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hreadedComments/threadedComment3.xml" ContentType="application/vnd.ms-excel.threadedcomments+xml"/>
  <Override PartName="/xl/drawings/drawing6.xml" ContentType="application/vnd.openxmlformats-officedocument.drawing+xml"/>
  <Override PartName="/xl/comments8.xml" ContentType="application/vnd.openxmlformats-officedocument.spreadsheetml.comments+xml"/>
  <Override PartName="/xl/threadedComments/threadedComment4.xml" ContentType="application/vnd.ms-excel.threadedcomments+xml"/>
  <Override PartName="/xl/drawings/drawing7.xml" ContentType="application/vnd.openxmlformats-officedocument.drawing+xml"/>
  <Override PartName="/xl/comments9.xml" ContentType="application/vnd.openxmlformats-officedocument.spreadsheetml.comments+xml"/>
  <Override PartName="/xl/threadedComments/threadedComment5.xml" ContentType="application/vnd.ms-excel.threadedcomments+xml"/>
  <Override PartName="/xl/drawings/drawing8.xml" ContentType="application/vnd.openxmlformats-officedocument.drawing+xml"/>
  <Override PartName="/xl/comments10.xml" ContentType="application/vnd.openxmlformats-officedocument.spreadsheetml.comments+xml"/>
  <Override PartName="/xl/threadedComments/threadedComment6.xml" ContentType="application/vnd.ms-excel.threaded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 defaultThemeVersion="124226"/>
  <xr:revisionPtr revIDLastSave="0" documentId="13_ncr:1_{BAEE3F6A-1496-49D3-9209-EC7FE8E82138}" xr6:coauthVersionLast="47" xr6:coauthVersionMax="47" xr10:uidLastSave="{00000000-0000-0000-0000-000000000000}"/>
  <bookViews>
    <workbookView xWindow="-110" yWindow="-110" windowWidth="25820" windowHeight="15500" firstSheet="9" activeTab="9" xr2:uid="{F335C8D5-97D0-472C-8A37-4FEE0846C68E}"/>
  </bookViews>
  <sheets>
    <sheet name="Cover" sheetId="55" r:id="rId1"/>
    <sheet name="Intro" sheetId="35" r:id="rId2"/>
    <sheet name="Regions" sheetId="53" r:id="rId3"/>
    <sheet name="SETUP" sheetId="43" r:id="rId4"/>
    <sheet name="EB2018" sheetId="24" r:id="rId5"/>
    <sheet name="RSD_Balance" sheetId="22" r:id="rId6"/>
    <sheet name="Fuel-Age_Adj" sheetId="45" r:id="rId7"/>
    <sheet name="COMM" sheetId="9" r:id="rId8"/>
    <sheet name="EMIS" sheetId="3" r:id="rId9"/>
    <sheet name="Sector_Fuels" sheetId="54" r:id="rId10"/>
    <sheet name="ArchetypeDemand" sheetId="56" r:id="rId11"/>
    <sheet name="Non-ArchetypeDemand" sheetId="48" r:id="rId12"/>
    <sheet name="DwellingStocks" sheetId="27" r:id="rId13"/>
    <sheet name="SHWLP-Apt" sheetId="28" r:id="rId14"/>
    <sheet name="SHWLP-Att" sheetId="51" r:id="rId15"/>
    <sheet name="SHWLP-Det" sheetId="52" r:id="rId16"/>
    <sheet name="ApartmentEnergyData" sheetId="37" r:id="rId17"/>
    <sheet name="AttachedEnergyData" sheetId="40" r:id="rId18"/>
    <sheet name="DettachedEnergyData" sheetId="41" r:id="rId19"/>
  </sheets>
  <definedNames>
    <definedName name="__123Graph_AEUMILKPN" localSheetId="0" hidden="1">#REF!</definedName>
    <definedName name="__123Graph_AEUMILKPN" localSheetId="9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9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9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9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9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9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9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solver_typ" localSheetId="13" hidden="1">2</definedName>
    <definedName name="solver_typ" localSheetId="14" hidden="1">2</definedName>
    <definedName name="solver_typ" localSheetId="15" hidden="1">2</definedName>
    <definedName name="solver_ver" localSheetId="13" hidden="1">17</definedName>
    <definedName name="solver_ver" localSheetId="14" hidden="1">17</definedName>
    <definedName name="solver_ver" localSheetId="15" hidden="1">17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9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9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7" i="54" l="1"/>
  <c r="I16" i="54"/>
  <c r="I10" i="54"/>
  <c r="X38" i="28"/>
  <c r="V34" i="28"/>
  <c r="V33" i="28"/>
  <c r="R33" i="28"/>
  <c r="R34" i="28"/>
  <c r="V9" i="52"/>
  <c r="V8" i="52"/>
  <c r="V50" i="52"/>
  <c r="V49" i="52"/>
  <c r="V44" i="52"/>
  <c r="V38" i="52"/>
  <c r="V37" i="52"/>
  <c r="V36" i="52"/>
  <c r="V35" i="52"/>
  <c r="V34" i="52"/>
  <c r="V33" i="52"/>
  <c r="V24" i="52"/>
  <c r="V10" i="52"/>
  <c r="V9" i="51"/>
  <c r="V50" i="51"/>
  <c r="V49" i="51"/>
  <c r="V44" i="51"/>
  <c r="V36" i="51"/>
  <c r="V35" i="51"/>
  <c r="V34" i="51"/>
  <c r="V24" i="51"/>
  <c r="V23" i="51"/>
  <c r="V20" i="51"/>
  <c r="V18" i="51"/>
  <c r="V16" i="51"/>
  <c r="V14" i="51"/>
  <c r="V12" i="51"/>
  <c r="V11" i="51"/>
  <c r="V10" i="51"/>
  <c r="V8" i="51"/>
  <c r="V7" i="51"/>
  <c r="V50" i="28"/>
  <c r="V49" i="28"/>
  <c r="V46" i="28"/>
  <c r="V44" i="28"/>
  <c r="V40" i="28"/>
  <c r="V36" i="28"/>
  <c r="V35" i="28"/>
  <c r="V24" i="28"/>
  <c r="V23" i="28"/>
  <c r="V20" i="28"/>
  <c r="V18" i="28"/>
  <c r="V16" i="28"/>
  <c r="V14" i="28"/>
  <c r="V12" i="28"/>
  <c r="V11" i="28"/>
  <c r="V10" i="28"/>
  <c r="V9" i="28"/>
  <c r="V8" i="28"/>
  <c r="V7" i="28"/>
  <c r="AC50" i="52"/>
  <c r="AC49" i="52"/>
  <c r="AC48" i="52"/>
  <c r="AC47" i="52"/>
  <c r="AC46" i="52"/>
  <c r="AC44" i="52"/>
  <c r="AC42" i="52"/>
  <c r="AC40" i="52"/>
  <c r="AC38" i="52"/>
  <c r="AC37" i="52"/>
  <c r="AC36" i="52"/>
  <c r="AC35" i="52"/>
  <c r="AC34" i="52"/>
  <c r="AC33" i="52"/>
  <c r="AC24" i="52"/>
  <c r="AC23" i="52"/>
  <c r="AC22" i="52"/>
  <c r="AC21" i="52"/>
  <c r="AC20" i="52"/>
  <c r="AC18" i="52"/>
  <c r="AC16" i="52"/>
  <c r="AC14" i="52"/>
  <c r="AC12" i="52"/>
  <c r="AC11" i="52"/>
  <c r="AC10" i="52"/>
  <c r="AC9" i="52"/>
  <c r="AC8" i="52"/>
  <c r="AC7" i="52"/>
  <c r="AC50" i="51"/>
  <c r="AC49" i="51"/>
  <c r="AC48" i="51"/>
  <c r="AC47" i="51"/>
  <c r="AC46" i="51"/>
  <c r="AC44" i="51"/>
  <c r="AC42" i="51"/>
  <c r="AC40" i="51"/>
  <c r="AC38" i="51"/>
  <c r="AC37" i="51"/>
  <c r="AC36" i="51"/>
  <c r="AC35" i="51"/>
  <c r="AC34" i="51"/>
  <c r="AC33" i="51"/>
  <c r="AC24" i="51"/>
  <c r="AC23" i="51"/>
  <c r="AC22" i="51"/>
  <c r="AC21" i="51"/>
  <c r="AC20" i="51"/>
  <c r="AC18" i="51"/>
  <c r="AC16" i="51"/>
  <c r="AC14" i="51"/>
  <c r="AC12" i="51"/>
  <c r="AC11" i="51"/>
  <c r="AC10" i="51"/>
  <c r="AC9" i="51"/>
  <c r="AC8" i="51"/>
  <c r="AC7" i="51"/>
  <c r="AC50" i="28"/>
  <c r="AC49" i="28"/>
  <c r="AC48" i="28"/>
  <c r="AC47" i="28"/>
  <c r="AC46" i="28"/>
  <c r="AC44" i="28"/>
  <c r="AC42" i="28"/>
  <c r="AC40" i="28"/>
  <c r="AC38" i="28"/>
  <c r="AC37" i="28"/>
  <c r="AC36" i="28"/>
  <c r="AC35" i="28"/>
  <c r="AC34" i="28"/>
  <c r="AC33" i="28"/>
  <c r="AC24" i="28"/>
  <c r="AC23" i="28"/>
  <c r="AC22" i="28"/>
  <c r="AC21" i="28"/>
  <c r="AC20" i="28"/>
  <c r="AC18" i="28"/>
  <c r="AC16" i="28"/>
  <c r="AC14" i="28"/>
  <c r="AC12" i="28"/>
  <c r="AC11" i="28"/>
  <c r="AC10" i="28"/>
  <c r="AC9" i="28"/>
  <c r="AC8" i="28"/>
  <c r="AC7" i="28"/>
  <c r="T14" i="51"/>
  <c r="T14" i="52"/>
  <c r="T14" i="28"/>
  <c r="O42" i="52"/>
  <c r="O16" i="52"/>
  <c r="O16" i="51"/>
  <c r="O42" i="51"/>
  <c r="O42" i="28"/>
  <c r="O16" i="28"/>
  <c r="F22" i="48"/>
  <c r="L6" i="48"/>
  <c r="I6" i="48"/>
  <c r="L5" i="48"/>
  <c r="AQ71" i="24"/>
  <c r="AB71" i="24"/>
  <c r="L71" i="24"/>
  <c r="H71" i="24"/>
  <c r="C71" i="24"/>
  <c r="AB70" i="24"/>
  <c r="L70" i="24"/>
  <c r="H70" i="24"/>
  <c r="AQ70" i="24" s="1"/>
  <c r="C70" i="24"/>
  <c r="AB69" i="24"/>
  <c r="L69" i="24"/>
  <c r="H69" i="24"/>
  <c r="C69" i="24"/>
  <c r="AQ69" i="24" s="1"/>
  <c r="AB68" i="24"/>
  <c r="AQ68" i="24" s="1"/>
  <c r="L68" i="24"/>
  <c r="H68" i="24"/>
  <c r="C68" i="24"/>
  <c r="AB67" i="24"/>
  <c r="L67" i="24"/>
  <c r="H67" i="24"/>
  <c r="C67" i="24"/>
  <c r="AQ67" i="24" s="1"/>
  <c r="AB66" i="24"/>
  <c r="L66" i="24"/>
  <c r="H66" i="24"/>
  <c r="C66" i="24"/>
  <c r="AQ66" i="24" s="1"/>
  <c r="AE65" i="24"/>
  <c r="AE57" i="24" s="1"/>
  <c r="AB65" i="24"/>
  <c r="V65" i="24"/>
  <c r="L65" i="24" s="1"/>
  <c r="H65" i="24"/>
  <c r="D65" i="24"/>
  <c r="C65" i="24" s="1"/>
  <c r="AB64" i="24"/>
  <c r="L64" i="24"/>
  <c r="AQ64" i="24" s="1"/>
  <c r="H64" i="24"/>
  <c r="C64" i="24"/>
  <c r="AB63" i="24"/>
  <c r="L63" i="24"/>
  <c r="H63" i="24"/>
  <c r="C63" i="24"/>
  <c r="AQ63" i="24" s="1"/>
  <c r="AQ62" i="24"/>
  <c r="AB62" i="24"/>
  <c r="L62" i="24"/>
  <c r="H62" i="24"/>
  <c r="C62" i="24"/>
  <c r="AB61" i="24"/>
  <c r="L61" i="24"/>
  <c r="H61" i="24"/>
  <c r="AQ61" i="24" s="1"/>
  <c r="C61" i="24"/>
  <c r="AB60" i="24"/>
  <c r="L60" i="24"/>
  <c r="H60" i="24"/>
  <c r="C60" i="24"/>
  <c r="AQ60" i="24" s="1"/>
  <c r="AB59" i="24"/>
  <c r="AQ59" i="24" s="1"/>
  <c r="L59" i="24"/>
  <c r="H59" i="24"/>
  <c r="C59" i="24"/>
  <c r="AP58" i="24"/>
  <c r="AP57" i="24" s="1"/>
  <c r="AN58" i="24"/>
  <c r="AN57" i="24" s="1"/>
  <c r="AJ58" i="24"/>
  <c r="AI58" i="24"/>
  <c r="AB58" i="24" s="1"/>
  <c r="AB57" i="24" s="1"/>
  <c r="AH58" i="24"/>
  <c r="AG58" i="24"/>
  <c r="AE58" i="24"/>
  <c r="AD58" i="24"/>
  <c r="AD57" i="24" s="1"/>
  <c r="AC58" i="24"/>
  <c r="Z58" i="24"/>
  <c r="Z57" i="24" s="1"/>
  <c r="Y58" i="24"/>
  <c r="Y57" i="24" s="1"/>
  <c r="X58" i="24"/>
  <c r="X57" i="24" s="1"/>
  <c r="W58" i="24"/>
  <c r="V58" i="24"/>
  <c r="R58" i="24"/>
  <c r="R57" i="24" s="1"/>
  <c r="P58" i="24"/>
  <c r="P57" i="24" s="1"/>
  <c r="O58" i="24"/>
  <c r="O57" i="24" s="1"/>
  <c r="N58" i="24"/>
  <c r="N57" i="24" s="1"/>
  <c r="M58" i="24"/>
  <c r="L58" i="24" s="1"/>
  <c r="L57" i="24" s="1"/>
  <c r="K58" i="24"/>
  <c r="J58" i="24"/>
  <c r="I58" i="24"/>
  <c r="I57" i="24" s="1"/>
  <c r="F58" i="24"/>
  <c r="F57" i="24" s="1"/>
  <c r="C58" i="24"/>
  <c r="AO57" i="24"/>
  <c r="AM57" i="24"/>
  <c r="AL57" i="24"/>
  <c r="AK57" i="24"/>
  <c r="AJ57" i="24"/>
  <c r="AI57" i="24"/>
  <c r="AH57" i="24"/>
  <c r="AG57" i="24"/>
  <c r="AF57" i="24"/>
  <c r="AC57" i="24"/>
  <c r="AA57" i="24"/>
  <c r="W57" i="24"/>
  <c r="V57" i="24"/>
  <c r="U57" i="24"/>
  <c r="T57" i="24"/>
  <c r="S57" i="24"/>
  <c r="Q57" i="24"/>
  <c r="K57" i="24"/>
  <c r="J57" i="24"/>
  <c r="G57" i="24"/>
  <c r="E57" i="24"/>
  <c r="D57" i="24"/>
  <c r="AB56" i="24"/>
  <c r="L56" i="24"/>
  <c r="H56" i="24"/>
  <c r="C56" i="24"/>
  <c r="AQ56" i="24" s="1"/>
  <c r="AB55" i="24"/>
  <c r="L55" i="24"/>
  <c r="AQ55" i="24" s="1"/>
  <c r="H55" i="24"/>
  <c r="C55" i="24"/>
  <c r="AB54" i="24"/>
  <c r="L54" i="24"/>
  <c r="H54" i="24"/>
  <c r="C54" i="24"/>
  <c r="AQ54" i="24" s="1"/>
  <c r="AQ53" i="24"/>
  <c r="AB53" i="24"/>
  <c r="L53" i="24"/>
  <c r="H53" i="24"/>
  <c r="C53" i="24"/>
  <c r="AB52" i="24"/>
  <c r="L52" i="24"/>
  <c r="H52" i="24"/>
  <c r="AQ52" i="24" s="1"/>
  <c r="C52" i="24"/>
  <c r="AB51" i="24"/>
  <c r="L51" i="24"/>
  <c r="H51" i="24"/>
  <c r="C51" i="24"/>
  <c r="AQ51" i="24" s="1"/>
  <c r="AB50" i="24"/>
  <c r="AB45" i="24" s="1"/>
  <c r="L50" i="24"/>
  <c r="H50" i="24"/>
  <c r="C50" i="24"/>
  <c r="AB49" i="24"/>
  <c r="L49" i="24"/>
  <c r="H49" i="24"/>
  <c r="C49" i="24"/>
  <c r="AQ49" i="24" s="1"/>
  <c r="AB48" i="24"/>
  <c r="L48" i="24"/>
  <c r="H48" i="24"/>
  <c r="C48" i="24"/>
  <c r="AQ48" i="24" s="1"/>
  <c r="AB47" i="24"/>
  <c r="L47" i="24"/>
  <c r="AQ47" i="24" s="1"/>
  <c r="H47" i="24"/>
  <c r="C47" i="24"/>
  <c r="AB46" i="24"/>
  <c r="L46" i="24"/>
  <c r="H46" i="24"/>
  <c r="H45" i="24" s="1"/>
  <c r="C46" i="24"/>
  <c r="AQ46" i="24" s="1"/>
  <c r="AP45" i="24"/>
  <c r="AO45" i="24"/>
  <c r="AN45" i="24"/>
  <c r="AM45" i="24"/>
  <c r="AM29" i="24" s="1"/>
  <c r="AL45" i="24"/>
  <c r="AL29" i="24" s="1"/>
  <c r="AK45" i="24"/>
  <c r="AJ45" i="24"/>
  <c r="AI45" i="24"/>
  <c r="AH45" i="24"/>
  <c r="AG45" i="24"/>
  <c r="AF45" i="24"/>
  <c r="AE45" i="24"/>
  <c r="AE29" i="24" s="1"/>
  <c r="AD45" i="24"/>
  <c r="AD29" i="24" s="1"/>
  <c r="AC45" i="24"/>
  <c r="AA45" i="24"/>
  <c r="AA29" i="24" s="1"/>
  <c r="Z45" i="24"/>
  <c r="Y45" i="24"/>
  <c r="X45" i="24"/>
  <c r="W45" i="24"/>
  <c r="W29" i="24" s="1"/>
  <c r="V45" i="24"/>
  <c r="V29" i="24" s="1"/>
  <c r="U45" i="24"/>
  <c r="U29" i="24" s="1"/>
  <c r="T45" i="24"/>
  <c r="T29" i="24" s="1"/>
  <c r="S45" i="24"/>
  <c r="S29" i="24" s="1"/>
  <c r="R45" i="24"/>
  <c r="Q45" i="24"/>
  <c r="P45" i="24"/>
  <c r="O45" i="24"/>
  <c r="N45" i="24"/>
  <c r="M45" i="24"/>
  <c r="K45" i="24"/>
  <c r="J45" i="24"/>
  <c r="I45" i="24"/>
  <c r="G45" i="24"/>
  <c r="G29" i="24" s="1"/>
  <c r="F45" i="24"/>
  <c r="F29" i="24" s="1"/>
  <c r="E45" i="24"/>
  <c r="E29" i="24" s="1"/>
  <c r="D45" i="24"/>
  <c r="D29" i="24" s="1"/>
  <c r="C45" i="24"/>
  <c r="AB44" i="24"/>
  <c r="L44" i="24"/>
  <c r="H44" i="24"/>
  <c r="C44" i="24"/>
  <c r="AQ44" i="24" s="1"/>
  <c r="AB43" i="24"/>
  <c r="L43" i="24"/>
  <c r="AQ43" i="24" s="1"/>
  <c r="H43" i="24"/>
  <c r="C43" i="24"/>
  <c r="AB42" i="24"/>
  <c r="L42" i="24"/>
  <c r="H42" i="24"/>
  <c r="C42" i="24"/>
  <c r="AQ42" i="24" s="1"/>
  <c r="AQ41" i="24"/>
  <c r="AB41" i="24"/>
  <c r="L41" i="24"/>
  <c r="H41" i="24"/>
  <c r="C41" i="24"/>
  <c r="AB40" i="24"/>
  <c r="L40" i="24"/>
  <c r="H40" i="24"/>
  <c r="AQ40" i="24" s="1"/>
  <c r="C40" i="24"/>
  <c r="AB39" i="24"/>
  <c r="L39" i="24"/>
  <c r="H39" i="24"/>
  <c r="C39" i="24"/>
  <c r="AQ39" i="24" s="1"/>
  <c r="AB38" i="24"/>
  <c r="AQ38" i="24" s="1"/>
  <c r="L38" i="24"/>
  <c r="H38" i="24"/>
  <c r="C38" i="24"/>
  <c r="AB37" i="24"/>
  <c r="L37" i="24"/>
  <c r="H37" i="24"/>
  <c r="C37" i="24"/>
  <c r="AQ37" i="24" s="1"/>
  <c r="AB36" i="24"/>
  <c r="L36" i="24"/>
  <c r="H36" i="24"/>
  <c r="C36" i="24"/>
  <c r="AQ36" i="24" s="1"/>
  <c r="AB35" i="24"/>
  <c r="L35" i="24"/>
  <c r="AQ35" i="24" s="1"/>
  <c r="H35" i="24"/>
  <c r="C35" i="24"/>
  <c r="AB34" i="24"/>
  <c r="L34" i="24"/>
  <c r="H34" i="24"/>
  <c r="C34" i="24"/>
  <c r="AQ34" i="24" s="1"/>
  <c r="AQ33" i="24"/>
  <c r="AB33" i="24"/>
  <c r="L33" i="24"/>
  <c r="H33" i="24"/>
  <c r="C33" i="24"/>
  <c r="AB32" i="24"/>
  <c r="AB30" i="24" s="1"/>
  <c r="L32" i="24"/>
  <c r="H32" i="24"/>
  <c r="AQ32" i="24" s="1"/>
  <c r="C32" i="24"/>
  <c r="AB31" i="24"/>
  <c r="L31" i="24"/>
  <c r="H31" i="24"/>
  <c r="H30" i="24" s="1"/>
  <c r="C31" i="24"/>
  <c r="AQ31" i="24" s="1"/>
  <c r="AP30" i="24"/>
  <c r="AP29" i="24" s="1"/>
  <c r="AN30" i="24"/>
  <c r="AM30" i="24"/>
  <c r="AL30" i="24"/>
  <c r="AK30" i="24"/>
  <c r="AK29" i="24" s="1"/>
  <c r="AJ30" i="24"/>
  <c r="AJ29" i="24" s="1"/>
  <c r="AI30" i="24"/>
  <c r="AI29" i="24" s="1"/>
  <c r="AH30" i="24"/>
  <c r="AH29" i="24" s="1"/>
  <c r="AG30" i="24"/>
  <c r="AG29" i="24" s="1"/>
  <c r="AF30" i="24"/>
  <c r="AE30" i="24"/>
  <c r="AD30" i="24"/>
  <c r="AC30" i="24"/>
  <c r="AC29" i="24" s="1"/>
  <c r="Z30" i="24"/>
  <c r="Z29" i="24" s="1"/>
  <c r="Y30" i="24"/>
  <c r="X30" i="24"/>
  <c r="W30" i="24"/>
  <c r="R30" i="24"/>
  <c r="P30" i="24"/>
  <c r="O30" i="24"/>
  <c r="O29" i="24" s="1"/>
  <c r="N30" i="24"/>
  <c r="N29" i="24" s="1"/>
  <c r="M30" i="24"/>
  <c r="M29" i="24" s="1"/>
  <c r="K30" i="24"/>
  <c r="K29" i="24" s="1"/>
  <c r="J30" i="24"/>
  <c r="I30" i="24"/>
  <c r="AO29" i="24"/>
  <c r="AN29" i="24"/>
  <c r="AF29" i="24"/>
  <c r="X29" i="24"/>
  <c r="R29" i="24"/>
  <c r="Q29" i="24"/>
  <c r="P29" i="24"/>
  <c r="J29" i="24"/>
  <c r="I29" i="24"/>
  <c r="AB28" i="24"/>
  <c r="AB27" i="24" s="1"/>
  <c r="H28" i="24"/>
  <c r="C28" i="24"/>
  <c r="AP27" i="24"/>
  <c r="AO27" i="24"/>
  <c r="AN27" i="24"/>
  <c r="AM27" i="24"/>
  <c r="AL27" i="24"/>
  <c r="AK27" i="24"/>
  <c r="AJ27" i="24"/>
  <c r="AJ8" i="24" s="1"/>
  <c r="AI27" i="24"/>
  <c r="AH27" i="24"/>
  <c r="AG27" i="24"/>
  <c r="AF27" i="24"/>
  <c r="AE27" i="24"/>
  <c r="AD27" i="24"/>
  <c r="AC27" i="24"/>
  <c r="AA27" i="24"/>
  <c r="V27" i="24"/>
  <c r="U27" i="24"/>
  <c r="T27" i="24"/>
  <c r="T8" i="24" s="1"/>
  <c r="S27" i="24"/>
  <c r="R27" i="24"/>
  <c r="Q27" i="24"/>
  <c r="P27" i="24"/>
  <c r="O27" i="24"/>
  <c r="N27" i="24"/>
  <c r="M27" i="24"/>
  <c r="K27" i="24"/>
  <c r="J27" i="24"/>
  <c r="I27" i="24"/>
  <c r="H27" i="24"/>
  <c r="G27" i="24"/>
  <c r="F27" i="24"/>
  <c r="E27" i="24"/>
  <c r="D27" i="24"/>
  <c r="D8" i="24" s="1"/>
  <c r="C27" i="24"/>
  <c r="AG26" i="24"/>
  <c r="AG72" i="24" s="1"/>
  <c r="Y26" i="24"/>
  <c r="Q26" i="24"/>
  <c r="Q72" i="24" s="1"/>
  <c r="I26" i="24"/>
  <c r="I72" i="24" s="1"/>
  <c r="AB25" i="24"/>
  <c r="AQ25" i="24" s="1"/>
  <c r="L25" i="24"/>
  <c r="H25" i="24"/>
  <c r="C25" i="24"/>
  <c r="AB24" i="24"/>
  <c r="L24" i="24"/>
  <c r="E24" i="24"/>
  <c r="E21" i="24" s="1"/>
  <c r="C24" i="24"/>
  <c r="AQ24" i="24" s="1"/>
  <c r="AQ23" i="24"/>
  <c r="AD22" i="24"/>
  <c r="AD21" i="24" s="1"/>
  <c r="AC22" i="24"/>
  <c r="AB22" i="24"/>
  <c r="AP21" i="24"/>
  <c r="AP26" i="24" s="1"/>
  <c r="AP72" i="24" s="1"/>
  <c r="AN21" i="24"/>
  <c r="AM21" i="24"/>
  <c r="AL21" i="24"/>
  <c r="AK21" i="24"/>
  <c r="AJ21" i="24"/>
  <c r="AI21" i="24"/>
  <c r="AI26" i="24" s="1"/>
  <c r="AH21" i="24"/>
  <c r="AH26" i="24" s="1"/>
  <c r="AH72" i="24" s="1"/>
  <c r="AG21" i="24"/>
  <c r="AF21" i="24"/>
  <c r="AE21" i="24"/>
  <c r="AC21" i="24"/>
  <c r="AB21" i="24"/>
  <c r="AA21" i="24"/>
  <c r="AA26" i="24" s="1"/>
  <c r="AA72" i="24" s="1"/>
  <c r="Z21" i="24"/>
  <c r="Z26" i="24" s="1"/>
  <c r="Y21" i="24"/>
  <c r="X21" i="24"/>
  <c r="W21" i="24"/>
  <c r="V21" i="24"/>
  <c r="U21" i="24"/>
  <c r="T21" i="24"/>
  <c r="S21" i="24"/>
  <c r="S26" i="24" s="1"/>
  <c r="S72" i="24" s="1"/>
  <c r="R21" i="24"/>
  <c r="R26" i="24" s="1"/>
  <c r="R72" i="24" s="1"/>
  <c r="Q21" i="24"/>
  <c r="P21" i="24"/>
  <c r="O21" i="24"/>
  <c r="N21" i="24"/>
  <c r="M21" i="24"/>
  <c r="K21" i="24"/>
  <c r="K26" i="24" s="1"/>
  <c r="J21" i="24"/>
  <c r="J26" i="24" s="1"/>
  <c r="J72" i="24" s="1"/>
  <c r="I21" i="24"/>
  <c r="H21" i="24" s="1"/>
  <c r="G21" i="24"/>
  <c r="F21" i="24"/>
  <c r="D21" i="24"/>
  <c r="AQ20" i="24"/>
  <c r="AB20" i="24"/>
  <c r="L20" i="24"/>
  <c r="H20" i="24"/>
  <c r="AB19" i="24"/>
  <c r="L19" i="24"/>
  <c r="H19" i="24"/>
  <c r="AQ19" i="24" s="1"/>
  <c r="AQ18" i="24"/>
  <c r="AB17" i="24"/>
  <c r="L17" i="24"/>
  <c r="H17" i="24"/>
  <c r="C17" i="24"/>
  <c r="AQ17" i="24" s="1"/>
  <c r="AB16" i="24"/>
  <c r="AB15" i="24" s="1"/>
  <c r="L16" i="24"/>
  <c r="L15" i="24" s="1"/>
  <c r="H16" i="24"/>
  <c r="C16" i="24"/>
  <c r="AP15" i="24"/>
  <c r="AO15" i="24"/>
  <c r="AN15" i="24"/>
  <c r="AM15" i="24"/>
  <c r="AL15" i="24"/>
  <c r="AK15" i="24"/>
  <c r="AJ15" i="24"/>
  <c r="AI15" i="24"/>
  <c r="AH15" i="24"/>
  <c r="AG15" i="24"/>
  <c r="AF15" i="24"/>
  <c r="AE15" i="24"/>
  <c r="AD15" i="24"/>
  <c r="AC15" i="24"/>
  <c r="AA15" i="24"/>
  <c r="Z15" i="24"/>
  <c r="Y15" i="24"/>
  <c r="X15" i="24"/>
  <c r="W15" i="24"/>
  <c r="V15" i="24"/>
  <c r="U15" i="24"/>
  <c r="T15" i="24"/>
  <c r="S15" i="24"/>
  <c r="R15" i="24"/>
  <c r="Q15" i="24"/>
  <c r="P15" i="24"/>
  <c r="O15" i="24"/>
  <c r="N15" i="24"/>
  <c r="M15" i="24"/>
  <c r="K15" i="24"/>
  <c r="J15" i="24"/>
  <c r="I15" i="24"/>
  <c r="G15" i="24"/>
  <c r="F15" i="24"/>
  <c r="E15" i="24"/>
  <c r="D15" i="24"/>
  <c r="AB14" i="24"/>
  <c r="L14" i="24"/>
  <c r="H14" i="24"/>
  <c r="C14" i="24"/>
  <c r="AQ14" i="24" s="1"/>
  <c r="AB13" i="24"/>
  <c r="L13" i="24"/>
  <c r="H13" i="24"/>
  <c r="C13" i="24"/>
  <c r="AQ13" i="24" s="1"/>
  <c r="AQ12" i="24"/>
  <c r="AB11" i="24"/>
  <c r="AQ11" i="24" s="1"/>
  <c r="L11" i="24"/>
  <c r="H11" i="24"/>
  <c r="C11" i="24"/>
  <c r="AB10" i="24"/>
  <c r="L10" i="24"/>
  <c r="H10" i="24"/>
  <c r="H9" i="24" s="1"/>
  <c r="C10" i="24"/>
  <c r="C9" i="24" s="1"/>
  <c r="AP9" i="24"/>
  <c r="AO9" i="24"/>
  <c r="AN9" i="24"/>
  <c r="AM9" i="24"/>
  <c r="AL9" i="24"/>
  <c r="AK9" i="24"/>
  <c r="AK26" i="24" s="1"/>
  <c r="AK72" i="24" s="1"/>
  <c r="AJ9" i="24"/>
  <c r="AJ26" i="24" s="1"/>
  <c r="AJ72" i="24" s="1"/>
  <c r="AI9" i="24"/>
  <c r="AH9" i="24"/>
  <c r="AG9" i="24"/>
  <c r="AF9" i="24"/>
  <c r="AE9" i="24"/>
  <c r="AD9" i="24"/>
  <c r="AC9" i="24"/>
  <c r="AC26" i="24" s="1"/>
  <c r="AC72" i="24" s="1"/>
  <c r="AB9" i="24"/>
  <c r="AA9" i="24"/>
  <c r="Z9" i="24"/>
  <c r="Y9" i="24"/>
  <c r="X9" i="24"/>
  <c r="W9" i="24"/>
  <c r="V9" i="24"/>
  <c r="U9" i="24"/>
  <c r="U26" i="24" s="1"/>
  <c r="U72" i="24" s="1"/>
  <c r="T9" i="24"/>
  <c r="T26" i="24" s="1"/>
  <c r="S9" i="24"/>
  <c r="R9" i="24"/>
  <c r="Q9" i="24"/>
  <c r="P9" i="24"/>
  <c r="O9" i="24"/>
  <c r="N9" i="24"/>
  <c r="M9" i="24"/>
  <c r="M26" i="24" s="1"/>
  <c r="M72" i="24" s="1"/>
  <c r="L9" i="24"/>
  <c r="K9" i="24"/>
  <c r="J9" i="24"/>
  <c r="I9" i="24"/>
  <c r="G9" i="24"/>
  <c r="F9" i="24"/>
  <c r="E9" i="24"/>
  <c r="E26" i="24" s="1"/>
  <c r="E72" i="24" s="1"/>
  <c r="D9" i="24"/>
  <c r="D26" i="24" s="1"/>
  <c r="D72" i="24" s="1"/>
  <c r="AK8" i="24"/>
  <c r="AC8" i="24"/>
  <c r="U8" i="24"/>
  <c r="M8" i="24"/>
  <c r="E8" i="24"/>
  <c r="AP7" i="24"/>
  <c r="AP8" i="24" s="1"/>
  <c r="AO7" i="24"/>
  <c r="AO8" i="24" s="1"/>
  <c r="AN7" i="24"/>
  <c r="AN26" i="24" s="1"/>
  <c r="AN72" i="24" s="1"/>
  <c r="AM7" i="24"/>
  <c r="AM26" i="24" s="1"/>
  <c r="AM72" i="24" s="1"/>
  <c r="AL7" i="24"/>
  <c r="AL26" i="24" s="1"/>
  <c r="AL72" i="24" s="1"/>
  <c r="AK7" i="24"/>
  <c r="AJ7" i="24"/>
  <c r="AI7" i="24"/>
  <c r="AI8" i="24" s="1"/>
  <c r="AH7" i="24"/>
  <c r="AH8" i="24" s="1"/>
  <c r="AG7" i="24"/>
  <c r="AG8" i="24" s="1"/>
  <c r="AF7" i="24"/>
  <c r="AF26" i="24" s="1"/>
  <c r="AF72" i="24" s="1"/>
  <c r="AE7" i="24"/>
  <c r="AE26" i="24" s="1"/>
  <c r="AE72" i="24" s="1"/>
  <c r="AD7" i="24"/>
  <c r="AD26" i="24" s="1"/>
  <c r="AD72" i="24" s="1"/>
  <c r="AC7" i="24"/>
  <c r="AA7" i="24"/>
  <c r="AA8" i="24" s="1"/>
  <c r="Z7" i="24"/>
  <c r="Y7" i="24"/>
  <c r="X7" i="24"/>
  <c r="X26" i="24" s="1"/>
  <c r="W7" i="24"/>
  <c r="W26" i="24" s="1"/>
  <c r="W72" i="24" s="1"/>
  <c r="V7" i="24"/>
  <c r="V26" i="24" s="1"/>
  <c r="V72" i="24" s="1"/>
  <c r="U7" i="24"/>
  <c r="T7" i="24"/>
  <c r="S7" i="24"/>
  <c r="S8" i="24" s="1"/>
  <c r="R7" i="24"/>
  <c r="R8" i="24" s="1"/>
  <c r="Q7" i="24"/>
  <c r="Q8" i="24" s="1"/>
  <c r="P7" i="24"/>
  <c r="P26" i="24" s="1"/>
  <c r="P72" i="24" s="1"/>
  <c r="O7" i="24"/>
  <c r="O26" i="24" s="1"/>
  <c r="O72" i="24" s="1"/>
  <c r="N7" i="24"/>
  <c r="N8" i="24" s="1"/>
  <c r="M7" i="24"/>
  <c r="K7" i="24"/>
  <c r="K8" i="24" s="1"/>
  <c r="J7" i="24"/>
  <c r="J8" i="24" s="1"/>
  <c r="I7" i="24"/>
  <c r="I8" i="24" s="1"/>
  <c r="G7" i="24"/>
  <c r="G8" i="24" s="1"/>
  <c r="F7" i="24"/>
  <c r="F26" i="24" s="1"/>
  <c r="F72" i="24" s="1"/>
  <c r="E7" i="24"/>
  <c r="D7" i="24"/>
  <c r="AB6" i="24"/>
  <c r="L6" i="24"/>
  <c r="H6" i="24"/>
  <c r="C6" i="24"/>
  <c r="AQ6" i="24" s="1"/>
  <c r="AB5" i="24"/>
  <c r="L5" i="24"/>
  <c r="H5" i="24"/>
  <c r="C5" i="24"/>
  <c r="AQ5" i="24" s="1"/>
  <c r="AB4" i="24"/>
  <c r="L4" i="24"/>
  <c r="AQ4" i="24" s="1"/>
  <c r="H4" i="24"/>
  <c r="C4" i="24"/>
  <c r="AB3" i="24"/>
  <c r="L3" i="24"/>
  <c r="H3" i="24"/>
  <c r="H7" i="24" s="1"/>
  <c r="C3" i="24"/>
  <c r="AQ3" i="24" s="1"/>
  <c r="AQ2" i="24"/>
  <c r="AB2" i="24"/>
  <c r="AB7" i="24" s="1"/>
  <c r="L2" i="24"/>
  <c r="L7" i="24" s="1"/>
  <c r="H2" i="24"/>
  <c r="C2" i="24"/>
  <c r="C7" i="24" s="1"/>
  <c r="AQ9" i="24" l="1"/>
  <c r="Z28" i="24"/>
  <c r="Z27" i="24" s="1"/>
  <c r="Z72" i="24" s="1"/>
  <c r="AI72" i="24"/>
  <c r="AQ45" i="24"/>
  <c r="T72" i="24"/>
  <c r="AQ65" i="24"/>
  <c r="C57" i="24"/>
  <c r="AQ57" i="24" s="1"/>
  <c r="K72" i="24"/>
  <c r="X28" i="24"/>
  <c r="AB8" i="24"/>
  <c r="AB26" i="24"/>
  <c r="C8" i="24"/>
  <c r="AQ7" i="24"/>
  <c r="C26" i="24"/>
  <c r="Y8" i="24"/>
  <c r="H8" i="24"/>
  <c r="AB29" i="24"/>
  <c r="L26" i="24"/>
  <c r="L45" i="24"/>
  <c r="W8" i="24"/>
  <c r="H58" i="24"/>
  <c r="H57" i="24" s="1"/>
  <c r="AD8" i="24"/>
  <c r="O8" i="24"/>
  <c r="F8" i="24"/>
  <c r="V8" i="24"/>
  <c r="AL8" i="24"/>
  <c r="C21" i="24"/>
  <c r="Y29" i="24"/>
  <c r="L30" i="24"/>
  <c r="L29" i="24" s="1"/>
  <c r="AQ50" i="24"/>
  <c r="AM8" i="24"/>
  <c r="H15" i="24"/>
  <c r="H26" i="24" s="1"/>
  <c r="AQ16" i="24"/>
  <c r="AN8" i="24"/>
  <c r="C15" i="24"/>
  <c r="AO22" i="24"/>
  <c r="AO21" i="24" s="1"/>
  <c r="AO26" i="24" s="1"/>
  <c r="AO72" i="24" s="1"/>
  <c r="N26" i="24"/>
  <c r="N72" i="24" s="1"/>
  <c r="AE8" i="24"/>
  <c r="L21" i="24"/>
  <c r="M57" i="24"/>
  <c r="AQ10" i="24"/>
  <c r="C30" i="24"/>
  <c r="G26" i="24"/>
  <c r="G72" i="24" s="1"/>
  <c r="P8" i="24"/>
  <c r="AF8" i="24"/>
  <c r="Y28" i="24"/>
  <c r="Y27" i="24" s="1"/>
  <c r="Y72" i="24" s="1"/>
  <c r="Z8" i="24" l="1"/>
  <c r="AB72" i="24"/>
  <c r="AQ58" i="24"/>
  <c r="AQ15" i="24"/>
  <c r="H29" i="24"/>
  <c r="H72" i="24" s="1"/>
  <c r="X27" i="24"/>
  <c r="L28" i="24"/>
  <c r="AQ30" i="24"/>
  <c r="AQ29" i="24" s="1"/>
  <c r="C29" i="24"/>
  <c r="C72" i="24" s="1"/>
  <c r="AQ22" i="24"/>
  <c r="AQ21" i="24" s="1"/>
  <c r="AQ26" i="24"/>
  <c r="L27" i="24" l="1"/>
  <c r="AQ28" i="24"/>
  <c r="AQ27" i="24" s="1"/>
  <c r="X72" i="24"/>
  <c r="X8" i="24"/>
  <c r="L8" i="24" l="1"/>
  <c r="AQ8" i="24" s="1"/>
  <c r="L72" i="24"/>
  <c r="AQ72" i="24" s="1"/>
  <c r="U51" i="56" l="1"/>
  <c r="U101" i="56"/>
  <c r="S101" i="56"/>
  <c r="S54" i="56"/>
  <c r="R9" i="56"/>
  <c r="AT48" i="56"/>
  <c r="S51" i="56"/>
  <c r="AT33" i="56"/>
  <c r="AQ71" i="56"/>
  <c r="AQ62" i="56"/>
  <c r="AT62" i="56" s="1"/>
  <c r="AQ63" i="56"/>
  <c r="AQ64" i="56"/>
  <c r="AQ65" i="56"/>
  <c r="AQ66" i="56"/>
  <c r="AQ67" i="56"/>
  <c r="AQ68" i="56"/>
  <c r="AQ69" i="56"/>
  <c r="AQ70" i="56"/>
  <c r="AQ57" i="56"/>
  <c r="AQ48" i="56"/>
  <c r="AQ49" i="56"/>
  <c r="AQ50" i="56"/>
  <c r="AQ51" i="56"/>
  <c r="AQ52" i="56"/>
  <c r="AQ53" i="56"/>
  <c r="AQ54" i="56"/>
  <c r="AQ55" i="56"/>
  <c r="AQ56" i="56"/>
  <c r="AQ42" i="56"/>
  <c r="AQ33" i="56"/>
  <c r="AQ34" i="56"/>
  <c r="AQ35" i="56"/>
  <c r="AQ36" i="56"/>
  <c r="AQ37" i="56"/>
  <c r="AQ38" i="56"/>
  <c r="AQ39" i="56"/>
  <c r="AQ40" i="56"/>
  <c r="AQ41" i="56"/>
  <c r="AT63" i="56"/>
  <c r="AH17" i="56"/>
  <c r="AI17" i="56"/>
  <c r="AG17" i="56"/>
  <c r="G56" i="56" l="1"/>
  <c r="L46" i="52"/>
  <c r="L47" i="52"/>
  <c r="L48" i="52"/>
  <c r="L38" i="52"/>
  <c r="L39" i="52"/>
  <c r="L20" i="52"/>
  <c r="L21" i="52"/>
  <c r="L22" i="52"/>
  <c r="L12" i="52"/>
  <c r="L13" i="52"/>
  <c r="L46" i="51"/>
  <c r="L47" i="51"/>
  <c r="L48" i="51"/>
  <c r="L38" i="51"/>
  <c r="L39" i="51"/>
  <c r="L20" i="51"/>
  <c r="L21" i="51"/>
  <c r="L22" i="51"/>
  <c r="L12" i="51"/>
  <c r="L13" i="51"/>
  <c r="L46" i="28"/>
  <c r="L47" i="28"/>
  <c r="L48" i="28"/>
  <c r="L38" i="28"/>
  <c r="L39" i="28"/>
  <c r="L12" i="28"/>
  <c r="L13" i="28"/>
  <c r="L20" i="28"/>
  <c r="L21" i="28"/>
  <c r="L22" i="28"/>
  <c r="B106" i="56"/>
  <c r="B107" i="56"/>
  <c r="B108" i="56"/>
  <c r="B109" i="56"/>
  <c r="B110" i="56"/>
  <c r="B111" i="56"/>
  <c r="B112" i="56"/>
  <c r="B113" i="56"/>
  <c r="B114" i="56"/>
  <c r="B115" i="56"/>
  <c r="B116" i="56"/>
  <c r="B117" i="56"/>
  <c r="B118" i="56"/>
  <c r="B119" i="56"/>
  <c r="B120" i="56"/>
  <c r="B121" i="56"/>
  <c r="B122" i="56"/>
  <c r="B123" i="56"/>
  <c r="B124" i="56"/>
  <c r="B125" i="56"/>
  <c r="B126" i="56"/>
  <c r="B127" i="56"/>
  <c r="B128" i="56"/>
  <c r="B129" i="56"/>
  <c r="B130" i="56"/>
  <c r="B131" i="56"/>
  <c r="B132" i="56"/>
  <c r="B133" i="56"/>
  <c r="B134" i="56"/>
  <c r="B135" i="56"/>
  <c r="B136" i="56"/>
  <c r="B137" i="56"/>
  <c r="B138" i="56"/>
  <c r="B139" i="56"/>
  <c r="B140" i="56"/>
  <c r="B141" i="56"/>
  <c r="B142" i="56"/>
  <c r="B143" i="56"/>
  <c r="B144" i="56"/>
  <c r="B145" i="56"/>
  <c r="B146" i="56"/>
  <c r="B147" i="56"/>
  <c r="B148" i="56"/>
  <c r="B149" i="56"/>
  <c r="B150" i="56"/>
  <c r="B56" i="56"/>
  <c r="B57" i="56"/>
  <c r="B58" i="56"/>
  <c r="B59" i="56"/>
  <c r="B60" i="56"/>
  <c r="B61" i="56"/>
  <c r="B62" i="56"/>
  <c r="B63" i="56"/>
  <c r="B64" i="56"/>
  <c r="B65" i="56"/>
  <c r="B66" i="56"/>
  <c r="B67" i="56"/>
  <c r="B68" i="56"/>
  <c r="B69" i="56"/>
  <c r="B70" i="56"/>
  <c r="B71" i="56"/>
  <c r="B72" i="56"/>
  <c r="B73" i="56"/>
  <c r="B74" i="56"/>
  <c r="B75" i="56"/>
  <c r="B76" i="56"/>
  <c r="B77" i="56"/>
  <c r="B78" i="56"/>
  <c r="B79" i="56"/>
  <c r="B80" i="56"/>
  <c r="B81" i="56"/>
  <c r="B82" i="56"/>
  <c r="B83" i="56"/>
  <c r="B84" i="56"/>
  <c r="B85" i="56"/>
  <c r="B86" i="56"/>
  <c r="B87" i="56"/>
  <c r="B88" i="56"/>
  <c r="B89" i="56"/>
  <c r="B90" i="56"/>
  <c r="B91" i="56"/>
  <c r="B92" i="56"/>
  <c r="B93" i="56"/>
  <c r="B94" i="56"/>
  <c r="B95" i="56"/>
  <c r="B96" i="56"/>
  <c r="B97" i="56"/>
  <c r="B98" i="56"/>
  <c r="B99" i="56"/>
  <c r="B100" i="56"/>
  <c r="B6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E150" i="56"/>
  <c r="E149" i="56"/>
  <c r="E148" i="56"/>
  <c r="E147" i="56"/>
  <c r="E145" i="56"/>
  <c r="E144" i="56"/>
  <c r="E143" i="56"/>
  <c r="E142" i="56"/>
  <c r="E140" i="56"/>
  <c r="E139" i="56"/>
  <c r="E138" i="56"/>
  <c r="E137" i="56"/>
  <c r="E135" i="56"/>
  <c r="E134" i="56"/>
  <c r="E133" i="56"/>
  <c r="E132" i="56"/>
  <c r="E130" i="56"/>
  <c r="E129" i="56"/>
  <c r="E128" i="56"/>
  <c r="E127" i="56"/>
  <c r="E125" i="56"/>
  <c r="E124" i="56"/>
  <c r="E123" i="56"/>
  <c r="E122" i="56"/>
  <c r="E120" i="56"/>
  <c r="E119" i="56"/>
  <c r="E118" i="56"/>
  <c r="E117" i="56"/>
  <c r="E115" i="56"/>
  <c r="E114" i="56"/>
  <c r="E113" i="56"/>
  <c r="E112" i="56"/>
  <c r="E110" i="56"/>
  <c r="E109" i="56"/>
  <c r="E108" i="56"/>
  <c r="E107" i="56"/>
  <c r="E100" i="56"/>
  <c r="E99" i="56"/>
  <c r="E98" i="56"/>
  <c r="E97" i="56"/>
  <c r="E95" i="56"/>
  <c r="E94" i="56"/>
  <c r="E93" i="56"/>
  <c r="E92" i="56"/>
  <c r="E90" i="56"/>
  <c r="E89" i="56"/>
  <c r="E88" i="56"/>
  <c r="E87" i="56"/>
  <c r="E85" i="56"/>
  <c r="E84" i="56"/>
  <c r="E83" i="56"/>
  <c r="E82" i="56"/>
  <c r="E80" i="56"/>
  <c r="E79" i="56"/>
  <c r="E78" i="56"/>
  <c r="E77" i="56"/>
  <c r="E75" i="56"/>
  <c r="E74" i="56"/>
  <c r="E73" i="56"/>
  <c r="E72" i="56"/>
  <c r="E70" i="56"/>
  <c r="E69" i="56"/>
  <c r="E68" i="56"/>
  <c r="E67" i="56"/>
  <c r="E65" i="56"/>
  <c r="E64" i="56"/>
  <c r="E63" i="56"/>
  <c r="E62" i="56"/>
  <c r="E60" i="56"/>
  <c r="E59" i="56"/>
  <c r="E58" i="56"/>
  <c r="E57" i="56"/>
  <c r="E50" i="56"/>
  <c r="E49" i="56"/>
  <c r="E48" i="56"/>
  <c r="E47" i="56"/>
  <c r="E45" i="56"/>
  <c r="E44" i="56"/>
  <c r="E43" i="56"/>
  <c r="E42" i="56"/>
  <c r="E40" i="56"/>
  <c r="E39" i="56"/>
  <c r="E38" i="56"/>
  <c r="E37" i="56"/>
  <c r="E35" i="56"/>
  <c r="E34" i="56"/>
  <c r="E33" i="56"/>
  <c r="E32" i="56"/>
  <c r="E30" i="56"/>
  <c r="E29" i="56"/>
  <c r="E28" i="56"/>
  <c r="E27" i="56"/>
  <c r="E25" i="56"/>
  <c r="E24" i="56"/>
  <c r="E23" i="56"/>
  <c r="E22" i="56"/>
  <c r="E20" i="56"/>
  <c r="E19" i="56"/>
  <c r="E18" i="56"/>
  <c r="E17" i="56"/>
  <c r="E15" i="56"/>
  <c r="E14" i="56"/>
  <c r="E13" i="56"/>
  <c r="E12" i="56"/>
  <c r="E10" i="56"/>
  <c r="E9" i="56"/>
  <c r="E8" i="56"/>
  <c r="E7" i="56"/>
  <c r="E146" i="56"/>
  <c r="E141" i="56"/>
  <c r="E136" i="56"/>
  <c r="E131" i="56"/>
  <c r="E126" i="56"/>
  <c r="E121" i="56"/>
  <c r="E116" i="56"/>
  <c r="E111" i="56"/>
  <c r="E106" i="56"/>
  <c r="E96" i="56"/>
  <c r="E91" i="56"/>
  <c r="E86" i="56"/>
  <c r="E81" i="56"/>
  <c r="E76" i="56"/>
  <c r="E71" i="56"/>
  <c r="E66" i="56"/>
  <c r="E61" i="56"/>
  <c r="E56" i="56"/>
  <c r="E46" i="56"/>
  <c r="E41" i="56"/>
  <c r="E36" i="56"/>
  <c r="E31" i="56"/>
  <c r="E26" i="56"/>
  <c r="E21" i="56"/>
  <c r="E16" i="56"/>
  <c r="E11" i="56"/>
  <c r="E6" i="56"/>
  <c r="F146" i="56"/>
  <c r="F141" i="56"/>
  <c r="F136" i="56"/>
  <c r="F131" i="56"/>
  <c r="F126" i="56"/>
  <c r="F121" i="56"/>
  <c r="F116" i="56"/>
  <c r="F111" i="56"/>
  <c r="F106" i="56"/>
  <c r="F96" i="56"/>
  <c r="F91" i="56"/>
  <c r="F86" i="56"/>
  <c r="F81" i="56"/>
  <c r="F76" i="56"/>
  <c r="F71" i="56"/>
  <c r="F66" i="56"/>
  <c r="F61" i="56"/>
  <c r="F56" i="56"/>
  <c r="F46" i="56"/>
  <c r="F41" i="56"/>
  <c r="F36" i="56"/>
  <c r="F31" i="56"/>
  <c r="F26" i="56"/>
  <c r="F21" i="56"/>
  <c r="F16" i="56"/>
  <c r="F11" i="56"/>
  <c r="F6" i="56"/>
  <c r="D6" i="56"/>
  <c r="AA43" i="56"/>
  <c r="Y43" i="56"/>
  <c r="AA42" i="56"/>
  <c r="Y42" i="56"/>
  <c r="AA41" i="56"/>
  <c r="Y41" i="56"/>
  <c r="Z32" i="56"/>
  <c r="Y32" i="56"/>
  <c r="Z31" i="56"/>
  <c r="Y31" i="56"/>
  <c r="Z30" i="56"/>
  <c r="Y30" i="56"/>
  <c r="Z29" i="56"/>
  <c r="Y29" i="56"/>
  <c r="Z28" i="56"/>
  <c r="Y28" i="56"/>
  <c r="Z27" i="56"/>
  <c r="Y27" i="56"/>
  <c r="Z26" i="56"/>
  <c r="Y26" i="56"/>
  <c r="Z25" i="56"/>
  <c r="Y25" i="56"/>
  <c r="Z24" i="56"/>
  <c r="Y24" i="56"/>
  <c r="Z23" i="56"/>
  <c r="Y23" i="56"/>
  <c r="Z22" i="56"/>
  <c r="Y22" i="56"/>
  <c r="Z21" i="56"/>
  <c r="Y21" i="56"/>
  <c r="Z20" i="56"/>
  <c r="Y20" i="56"/>
  <c r="Z19" i="56"/>
  <c r="Y19" i="56"/>
  <c r="Z18" i="56"/>
  <c r="Y18" i="56"/>
  <c r="Z17" i="56"/>
  <c r="Y17" i="56"/>
  <c r="Z16" i="56"/>
  <c r="Y16" i="56"/>
  <c r="Z15" i="56"/>
  <c r="Y15" i="56"/>
  <c r="Z14" i="56"/>
  <c r="Y14" i="56"/>
  <c r="Z13" i="56"/>
  <c r="Y13" i="56"/>
  <c r="Z12" i="56"/>
  <c r="Y12" i="56"/>
  <c r="Z11" i="56"/>
  <c r="Y11" i="56"/>
  <c r="Z10" i="56"/>
  <c r="Y10" i="56"/>
  <c r="Z9" i="56"/>
  <c r="Y9" i="56"/>
  <c r="Z8" i="56"/>
  <c r="Y8" i="56"/>
  <c r="Z7" i="56"/>
  <c r="Y7" i="56"/>
  <c r="Z6" i="56"/>
  <c r="Y6" i="56"/>
  <c r="X32" i="56"/>
  <c r="X31" i="56"/>
  <c r="X30" i="56"/>
  <c r="X29" i="56"/>
  <c r="X28" i="56"/>
  <c r="X27" i="56"/>
  <c r="X26" i="56"/>
  <c r="X25" i="56"/>
  <c r="X24" i="56"/>
  <c r="X23" i="56"/>
  <c r="X22" i="56"/>
  <c r="X21" i="56"/>
  <c r="X20" i="56"/>
  <c r="X19" i="56"/>
  <c r="X18" i="56"/>
  <c r="X17" i="56"/>
  <c r="X16" i="56"/>
  <c r="X15" i="56"/>
  <c r="X14" i="56"/>
  <c r="X13" i="56"/>
  <c r="X12" i="56"/>
  <c r="X11" i="56"/>
  <c r="X10" i="56"/>
  <c r="X9" i="56"/>
  <c r="X8" i="56"/>
  <c r="X7" i="56"/>
  <c r="X6" i="56"/>
  <c r="U153" i="56"/>
  <c r="U151" i="56"/>
  <c r="S153" i="56"/>
  <c r="S151" i="56"/>
  <c r="R114" i="56"/>
  <c r="S114" i="56" s="1"/>
  <c r="R109" i="56"/>
  <c r="S109" i="56" s="1"/>
  <c r="U103" i="56"/>
  <c r="S103" i="56"/>
  <c r="AC59" i="51"/>
  <c r="AB59" i="51"/>
  <c r="AB33" i="51"/>
  <c r="U53" i="56" l="1"/>
  <c r="Y51" i="56"/>
  <c r="R11" i="51" s="1"/>
  <c r="Y52" i="56"/>
  <c r="Y50" i="56"/>
  <c r="S7" i="28"/>
  <c r="G6" i="56"/>
  <c r="R12" i="51"/>
  <c r="R16" i="51"/>
  <c r="R7" i="51"/>
  <c r="AJ17" i="56"/>
  <c r="AJ9" i="56"/>
  <c r="AJ10" i="56"/>
  <c r="AJ11" i="56"/>
  <c r="AJ12" i="56"/>
  <c r="AJ13" i="56"/>
  <c r="AJ14" i="56"/>
  <c r="AJ15" i="56"/>
  <c r="AJ16" i="56"/>
  <c r="AJ8" i="56"/>
  <c r="K19" i="27"/>
  <c r="J19" i="27"/>
  <c r="I19" i="27"/>
  <c r="R6" i="51" l="1"/>
  <c r="K21" i="27"/>
  <c r="C22" i="27" a="1"/>
  <c r="C22" i="27" s="1"/>
  <c r="AR53" i="27"/>
  <c r="AR54" i="27"/>
  <c r="AR55" i="27"/>
  <c r="AR56" i="27"/>
  <c r="AR57" i="27"/>
  <c r="AR58" i="27"/>
  <c r="AR59" i="27"/>
  <c r="AR60" i="27"/>
  <c r="AR61" i="27"/>
  <c r="AR62" i="27"/>
  <c r="AR63" i="27"/>
  <c r="AR64" i="27"/>
  <c r="AR65" i="27"/>
  <c r="AR66" i="27"/>
  <c r="AR67" i="27"/>
  <c r="AR68" i="27"/>
  <c r="AR69" i="27"/>
  <c r="AR70" i="27"/>
  <c r="AR71" i="27"/>
  <c r="AR72" i="27"/>
  <c r="AR73" i="27"/>
  <c r="AR74" i="27"/>
  <c r="AR75" i="27"/>
  <c r="AR76" i="27"/>
  <c r="AR77" i="27"/>
  <c r="AR78" i="27"/>
  <c r="AR79" i="27"/>
  <c r="AR80" i="27"/>
  <c r="AR81" i="27"/>
  <c r="AR82" i="27"/>
  <c r="AR52" i="27"/>
  <c r="Z28" i="27" l="1"/>
  <c r="Z29" i="27" s="1"/>
  <c r="Y28" i="27"/>
  <c r="Y29" i="27" s="1"/>
  <c r="M42" i="52" l="1"/>
  <c r="M16" i="52"/>
  <c r="M42" i="51"/>
  <c r="M16" i="51"/>
  <c r="M42" i="28"/>
  <c r="M16" i="28"/>
  <c r="M20" i="52" l="1"/>
  <c r="M20" i="51"/>
  <c r="M24" i="52"/>
  <c r="M23" i="52"/>
  <c r="M18" i="52"/>
  <c r="M14" i="52"/>
  <c r="M12" i="52"/>
  <c r="M8" i="52"/>
  <c r="M9" i="52"/>
  <c r="M10" i="52"/>
  <c r="M11" i="52"/>
  <c r="M7" i="52"/>
  <c r="M20" i="28"/>
  <c r="M24" i="51"/>
  <c r="M23" i="51"/>
  <c r="M18" i="51"/>
  <c r="M14" i="51"/>
  <c r="M12" i="51"/>
  <c r="M8" i="51"/>
  <c r="M9" i="51"/>
  <c r="M10" i="51"/>
  <c r="M11" i="51"/>
  <c r="M7" i="51"/>
  <c r="M7" i="28"/>
  <c r="M14" i="28"/>
  <c r="M24" i="28"/>
  <c r="M23" i="28"/>
  <c r="M18" i="28"/>
  <c r="M12" i="28"/>
  <c r="M9" i="28"/>
  <c r="M10" i="28"/>
  <c r="M11" i="28"/>
  <c r="M8" i="28"/>
  <c r="M33" i="28"/>
  <c r="Q24" i="52" l="1"/>
  <c r="Q23" i="52"/>
  <c r="Q20" i="52"/>
  <c r="Q18" i="52"/>
  <c r="Q16" i="52"/>
  <c r="Q14" i="52"/>
  <c r="Q12" i="52"/>
  <c r="Q11" i="52"/>
  <c r="Q10" i="52"/>
  <c r="Q9" i="52"/>
  <c r="Q8" i="52"/>
  <c r="Q7" i="52"/>
  <c r="Q24" i="51"/>
  <c r="Q23" i="51"/>
  <c r="Q20" i="51"/>
  <c r="Q18" i="51"/>
  <c r="Q16" i="51"/>
  <c r="Q14" i="51"/>
  <c r="Q12" i="51"/>
  <c r="Q11" i="51"/>
  <c r="Q10" i="51"/>
  <c r="Q9" i="51"/>
  <c r="Q8" i="51"/>
  <c r="Q7" i="51"/>
  <c r="Q16" i="28"/>
  <c r="Q24" i="28"/>
  <c r="Q23" i="28"/>
  <c r="Q20" i="28"/>
  <c r="Q18" i="28"/>
  <c r="Q14" i="28"/>
  <c r="Q12" i="28"/>
  <c r="Q11" i="28"/>
  <c r="Q10" i="28"/>
  <c r="Q9" i="28"/>
  <c r="Q8" i="28"/>
  <c r="Q7" i="28"/>
  <c r="O14" i="9" l="1"/>
  <c r="O13" i="9"/>
  <c r="O12" i="9"/>
  <c r="O11" i="9"/>
  <c r="O10" i="9"/>
  <c r="O9" i="9"/>
  <c r="O26" i="9"/>
  <c r="O25" i="9"/>
  <c r="O24" i="9"/>
  <c r="O23" i="9"/>
  <c r="O22" i="9"/>
  <c r="O21" i="9"/>
  <c r="P20" i="9"/>
  <c r="O20" i="9"/>
  <c r="N20" i="9"/>
  <c r="P19" i="9"/>
  <c r="O19" i="9"/>
  <c r="N19" i="9"/>
  <c r="P18" i="9"/>
  <c r="O18" i="9"/>
  <c r="N18" i="9"/>
  <c r="O17" i="9"/>
  <c r="O16" i="9"/>
  <c r="O15" i="9"/>
  <c r="P23" i="9"/>
  <c r="N23" i="9"/>
  <c r="P22" i="9"/>
  <c r="N22" i="9"/>
  <c r="P21" i="9"/>
  <c r="N21" i="9"/>
  <c r="P17" i="9"/>
  <c r="N17" i="9"/>
  <c r="P16" i="9"/>
  <c r="N16" i="9"/>
  <c r="P15" i="9"/>
  <c r="N15" i="9"/>
  <c r="P14" i="9"/>
  <c r="N14" i="9"/>
  <c r="P13" i="9"/>
  <c r="N13" i="9"/>
  <c r="P12" i="9"/>
  <c r="N12" i="9"/>
  <c r="P11" i="9"/>
  <c r="N11" i="9"/>
  <c r="P10" i="9"/>
  <c r="N10" i="9"/>
  <c r="P9" i="9"/>
  <c r="N9" i="9"/>
  <c r="AB71" i="56" l="1"/>
  <c r="AB70" i="56"/>
  <c r="AB69" i="56"/>
  <c r="B29" i="54" l="1"/>
  <c r="B28" i="54"/>
  <c r="R38" i="52" l="1"/>
  <c r="R37" i="52"/>
  <c r="R12" i="52"/>
  <c r="R11" i="52"/>
  <c r="R38" i="51"/>
  <c r="R37" i="51"/>
  <c r="AB73" i="56" l="1"/>
  <c r="X71" i="56"/>
  <c r="X70" i="56"/>
  <c r="X69" i="56"/>
  <c r="G146" i="56"/>
  <c r="H146" i="56" s="1"/>
  <c r="G141" i="56"/>
  <c r="H141" i="56" s="1"/>
  <c r="G136" i="56"/>
  <c r="H136" i="56" s="1"/>
  <c r="G131" i="56"/>
  <c r="H131" i="56" s="1"/>
  <c r="G126" i="56"/>
  <c r="H126" i="56" s="1"/>
  <c r="G121" i="56"/>
  <c r="H121" i="56" s="1"/>
  <c r="G116" i="56"/>
  <c r="H116" i="56" s="1"/>
  <c r="G111" i="56"/>
  <c r="H111" i="56" s="1"/>
  <c r="G106" i="56"/>
  <c r="H106" i="56" s="1"/>
  <c r="G96" i="56"/>
  <c r="G91" i="56"/>
  <c r="G86" i="56"/>
  <c r="G81" i="56"/>
  <c r="G76" i="56"/>
  <c r="AU70" i="56"/>
  <c r="L150" i="56" s="1"/>
  <c r="AT70" i="56"/>
  <c r="AS70" i="56"/>
  <c r="L148" i="56" s="1"/>
  <c r="AR70" i="56"/>
  <c r="L146" i="56" s="1"/>
  <c r="AU69" i="56"/>
  <c r="AT69" i="56"/>
  <c r="AS69" i="56"/>
  <c r="L143" i="56" s="1"/>
  <c r="AR69" i="56"/>
  <c r="L141" i="56" s="1"/>
  <c r="AU68" i="56"/>
  <c r="AT68" i="56"/>
  <c r="AS68" i="56"/>
  <c r="L138" i="56" s="1"/>
  <c r="AR68" i="56"/>
  <c r="L136" i="56" s="1"/>
  <c r="AU67" i="56"/>
  <c r="AT67" i="56"/>
  <c r="AS67" i="56"/>
  <c r="L133" i="56" s="1"/>
  <c r="AR67" i="56"/>
  <c r="L131" i="56" s="1"/>
  <c r="AU66" i="56"/>
  <c r="AT66" i="56"/>
  <c r="AS66" i="56"/>
  <c r="L128" i="56" s="1"/>
  <c r="AR66" i="56"/>
  <c r="L126" i="56" s="1"/>
  <c r="G71" i="56"/>
  <c r="AU65" i="56"/>
  <c r="AT65" i="56"/>
  <c r="AS65" i="56"/>
  <c r="L123" i="56" s="1"/>
  <c r="AR65" i="56"/>
  <c r="L121" i="56" s="1"/>
  <c r="AU64" i="56"/>
  <c r="AT64" i="56"/>
  <c r="AS64" i="56"/>
  <c r="L118" i="56" s="1"/>
  <c r="AR64" i="56"/>
  <c r="L116" i="56" s="1"/>
  <c r="AU63" i="56"/>
  <c r="L114" i="56"/>
  <c r="AS63" i="56"/>
  <c r="AR63" i="56"/>
  <c r="L111" i="56" s="1"/>
  <c r="AU62" i="56"/>
  <c r="L109" i="56"/>
  <c r="AS62" i="56"/>
  <c r="L108" i="56" s="1"/>
  <c r="AR62" i="56"/>
  <c r="G66" i="56"/>
  <c r="AU56" i="56"/>
  <c r="T50" i="56" s="1"/>
  <c r="AT56" i="56"/>
  <c r="AS56" i="56"/>
  <c r="AR56" i="56"/>
  <c r="G61" i="56"/>
  <c r="AU55" i="56"/>
  <c r="T45" i="56" s="1"/>
  <c r="AT55" i="56"/>
  <c r="AS55" i="56"/>
  <c r="AR55" i="56"/>
  <c r="AU54" i="56"/>
  <c r="T40" i="56" s="1"/>
  <c r="AT54" i="56"/>
  <c r="AS54" i="56"/>
  <c r="AR54" i="56"/>
  <c r="AU53" i="56"/>
  <c r="T35" i="56" s="1"/>
  <c r="AT53" i="56"/>
  <c r="AS53" i="56"/>
  <c r="AR53" i="56"/>
  <c r="AU52" i="56"/>
  <c r="T30" i="56" s="1"/>
  <c r="AT52" i="56"/>
  <c r="AS52" i="56"/>
  <c r="AR52" i="56"/>
  <c r="AU51" i="56"/>
  <c r="T25" i="56" s="1"/>
  <c r="AT51" i="56"/>
  <c r="AS51" i="56"/>
  <c r="AR51" i="56"/>
  <c r="AU50" i="56"/>
  <c r="T20" i="56" s="1"/>
  <c r="AT50" i="56"/>
  <c r="AS50" i="56"/>
  <c r="AR50" i="56"/>
  <c r="AU49" i="56"/>
  <c r="T15" i="56" s="1"/>
  <c r="AT49" i="56"/>
  <c r="AS49" i="56"/>
  <c r="AR49" i="56"/>
  <c r="AU48" i="56"/>
  <c r="T10" i="56" s="1"/>
  <c r="AS48" i="56"/>
  <c r="AR48" i="56"/>
  <c r="G46" i="56"/>
  <c r="H46" i="56" s="1"/>
  <c r="AU41" i="56"/>
  <c r="T100" i="56" s="1"/>
  <c r="L100" i="56" s="1"/>
  <c r="AT41" i="56"/>
  <c r="R99" i="56" s="1"/>
  <c r="L99" i="56" s="1"/>
  <c r="AS41" i="56"/>
  <c r="AR41" i="56"/>
  <c r="G41" i="56"/>
  <c r="H41" i="56" s="1"/>
  <c r="AU40" i="56"/>
  <c r="T95" i="56" s="1"/>
  <c r="L95" i="56" s="1"/>
  <c r="AT40" i="56"/>
  <c r="R94" i="56" s="1"/>
  <c r="L94" i="56" s="1"/>
  <c r="AS40" i="56"/>
  <c r="AR40" i="56"/>
  <c r="AU39" i="56"/>
  <c r="T90" i="56" s="1"/>
  <c r="L90" i="56" s="1"/>
  <c r="AT39" i="56"/>
  <c r="R89" i="56" s="1"/>
  <c r="L89" i="56" s="1"/>
  <c r="AS39" i="56"/>
  <c r="AR39" i="56"/>
  <c r="AU38" i="56"/>
  <c r="T85" i="56" s="1"/>
  <c r="L85" i="56" s="1"/>
  <c r="AT38" i="56"/>
  <c r="R84" i="56" s="1"/>
  <c r="L84" i="56" s="1"/>
  <c r="AS38" i="56"/>
  <c r="AR38" i="56"/>
  <c r="AU37" i="56"/>
  <c r="T80" i="56" s="1"/>
  <c r="L80" i="56" s="1"/>
  <c r="AT37" i="56"/>
  <c r="R79" i="56" s="1"/>
  <c r="L79" i="56" s="1"/>
  <c r="AS37" i="56"/>
  <c r="AR37" i="56"/>
  <c r="AU36" i="56"/>
  <c r="T75" i="56" s="1"/>
  <c r="L75" i="56" s="1"/>
  <c r="AT36" i="56"/>
  <c r="R74" i="56" s="1"/>
  <c r="L74" i="56" s="1"/>
  <c r="AS36" i="56"/>
  <c r="AR36" i="56"/>
  <c r="G36" i="56"/>
  <c r="H36" i="56" s="1"/>
  <c r="AU35" i="56"/>
  <c r="T70" i="56" s="1"/>
  <c r="L70" i="56" s="1"/>
  <c r="AT35" i="56"/>
  <c r="R69" i="56" s="1"/>
  <c r="L69" i="56" s="1"/>
  <c r="AS35" i="56"/>
  <c r="AR35" i="56"/>
  <c r="AU34" i="56"/>
  <c r="T65" i="56" s="1"/>
  <c r="L65" i="56" s="1"/>
  <c r="AT34" i="56"/>
  <c r="R64" i="56" s="1"/>
  <c r="L64" i="56" s="1"/>
  <c r="AS34" i="56"/>
  <c r="AR34" i="56"/>
  <c r="AV33" i="56"/>
  <c r="AV42" i="56" s="1"/>
  <c r="AU33" i="56"/>
  <c r="T60" i="56" s="1"/>
  <c r="R59" i="56"/>
  <c r="L59" i="56" s="1"/>
  <c r="AS33" i="56"/>
  <c r="AR33" i="56"/>
  <c r="D146" i="56"/>
  <c r="C146" i="56"/>
  <c r="D141" i="56"/>
  <c r="C141" i="56"/>
  <c r="G31" i="56"/>
  <c r="H31" i="56" s="1"/>
  <c r="D136" i="56"/>
  <c r="C136" i="56"/>
  <c r="D131" i="56"/>
  <c r="C131" i="56"/>
  <c r="D126" i="56"/>
  <c r="C126" i="56"/>
  <c r="D121" i="56"/>
  <c r="C121" i="56"/>
  <c r="D116" i="56"/>
  <c r="C116" i="56"/>
  <c r="G26" i="56"/>
  <c r="H26" i="56" s="1"/>
  <c r="D111" i="56"/>
  <c r="C111" i="56"/>
  <c r="D106" i="56"/>
  <c r="C106" i="56"/>
  <c r="D96" i="56"/>
  <c r="C96" i="56"/>
  <c r="D91" i="56"/>
  <c r="C91" i="56"/>
  <c r="D86" i="56"/>
  <c r="C86" i="56"/>
  <c r="G21" i="56"/>
  <c r="H21" i="56" s="1"/>
  <c r="D81" i="56"/>
  <c r="C81" i="56"/>
  <c r="D76" i="56"/>
  <c r="C76" i="56"/>
  <c r="D71" i="56"/>
  <c r="C71" i="56"/>
  <c r="D66" i="56"/>
  <c r="C66" i="56"/>
  <c r="D61" i="56"/>
  <c r="C61" i="56"/>
  <c r="G16" i="56"/>
  <c r="H16" i="56" s="1"/>
  <c r="D56" i="56"/>
  <c r="C56" i="56"/>
  <c r="D46" i="56"/>
  <c r="C46" i="56"/>
  <c r="D41" i="56"/>
  <c r="C41" i="56"/>
  <c r="D36" i="56"/>
  <c r="C36" i="56"/>
  <c r="D31" i="56"/>
  <c r="C31" i="56"/>
  <c r="G11" i="56"/>
  <c r="H11" i="56" s="1"/>
  <c r="D26" i="56"/>
  <c r="C26" i="56"/>
  <c r="D21" i="56"/>
  <c r="C21" i="56"/>
  <c r="D16" i="56"/>
  <c r="C16" i="56"/>
  <c r="D11" i="56"/>
  <c r="C11" i="56"/>
  <c r="C6" i="56"/>
  <c r="H6" i="56"/>
  <c r="L115" i="56" l="1"/>
  <c r="T115" i="56"/>
  <c r="U115" i="56" s="1"/>
  <c r="L125" i="56"/>
  <c r="T130" i="56"/>
  <c r="U130" i="56" s="1"/>
  <c r="L134" i="56"/>
  <c r="R134" i="56"/>
  <c r="S134" i="56" s="1"/>
  <c r="L144" i="56"/>
  <c r="R144" i="56"/>
  <c r="S144" i="56" s="1"/>
  <c r="L135" i="56"/>
  <c r="T140" i="56"/>
  <c r="U140" i="56" s="1"/>
  <c r="L145" i="56"/>
  <c r="T150" i="56"/>
  <c r="U150" i="56" s="1"/>
  <c r="L119" i="56"/>
  <c r="R119" i="56"/>
  <c r="S119" i="56" s="1"/>
  <c r="L120" i="56"/>
  <c r="T125" i="56"/>
  <c r="U125" i="56" s="1"/>
  <c r="T120" i="56"/>
  <c r="U120" i="56" s="1"/>
  <c r="L129" i="56"/>
  <c r="R129" i="56"/>
  <c r="S129" i="56" s="1"/>
  <c r="L139" i="56"/>
  <c r="R139" i="56"/>
  <c r="S139" i="56" s="1"/>
  <c r="L149" i="56"/>
  <c r="R149" i="56"/>
  <c r="S149" i="56" s="1"/>
  <c r="L130" i="56"/>
  <c r="T135" i="56"/>
  <c r="U135" i="56" s="1"/>
  <c r="L140" i="56"/>
  <c r="T145" i="56"/>
  <c r="U145" i="56" s="1"/>
  <c r="L124" i="56"/>
  <c r="R124" i="56"/>
  <c r="S124" i="56" s="1"/>
  <c r="L110" i="56"/>
  <c r="T110" i="56"/>
  <c r="U110" i="56" s="1"/>
  <c r="U154" i="56" s="1"/>
  <c r="U155" i="56" s="1"/>
  <c r="L60" i="56"/>
  <c r="U60" i="56"/>
  <c r="U40" i="56"/>
  <c r="L40" i="56"/>
  <c r="H61" i="56"/>
  <c r="S64" i="56"/>
  <c r="U65" i="56"/>
  <c r="H71" i="56"/>
  <c r="U75" i="56"/>
  <c r="S74" i="56"/>
  <c r="H91" i="56"/>
  <c r="U95" i="56"/>
  <c r="S94" i="56"/>
  <c r="H96" i="56"/>
  <c r="U100" i="56"/>
  <c r="S99" i="56"/>
  <c r="L10" i="56"/>
  <c r="U10" i="56"/>
  <c r="U25" i="56"/>
  <c r="L25" i="56"/>
  <c r="H66" i="56"/>
  <c r="S69" i="56"/>
  <c r="U70" i="56"/>
  <c r="H86" i="56"/>
  <c r="U90" i="56"/>
  <c r="S89" i="56"/>
  <c r="H81" i="56"/>
  <c r="U85" i="56"/>
  <c r="S84" i="56"/>
  <c r="U20" i="56"/>
  <c r="L20" i="56"/>
  <c r="H76" i="56"/>
  <c r="U80" i="56"/>
  <c r="S79" i="56"/>
  <c r="U50" i="56"/>
  <c r="L50" i="56"/>
  <c r="U35" i="56"/>
  <c r="L35" i="56"/>
  <c r="H56" i="56"/>
  <c r="S59" i="56"/>
  <c r="S104" i="56" s="1"/>
  <c r="U45" i="56"/>
  <c r="L45" i="56"/>
  <c r="U15" i="56"/>
  <c r="L15" i="56"/>
  <c r="U30" i="56"/>
  <c r="L30" i="56"/>
  <c r="AS71" i="56"/>
  <c r="AU57" i="56"/>
  <c r="AR57" i="56"/>
  <c r="AR71" i="56"/>
  <c r="L106" i="56"/>
  <c r="AS57" i="56"/>
  <c r="AU42" i="56"/>
  <c r="AT57" i="56"/>
  <c r="AB42" i="56"/>
  <c r="Z42" i="56"/>
  <c r="Z41" i="56"/>
  <c r="AB43" i="56"/>
  <c r="AB41" i="56"/>
  <c r="Z43" i="56"/>
  <c r="AS42" i="56"/>
  <c r="AT42" i="56"/>
  <c r="L113" i="56"/>
  <c r="AR42" i="56"/>
  <c r="AT71" i="56"/>
  <c r="AU71" i="56"/>
  <c r="S154" i="56" l="1"/>
  <c r="S155" i="56" s="1"/>
  <c r="U104" i="56"/>
  <c r="U105" i="56" s="1"/>
  <c r="S105" i="56"/>
  <c r="U54" i="56"/>
  <c r="U55" i="56" s="1"/>
  <c r="N18" i="54"/>
  <c r="B18" i="54"/>
  <c r="X51" i="51" l="1"/>
  <c r="X44" i="51" l="1"/>
  <c r="R18" i="27" l="1"/>
  <c r="AD22" i="22" l="1"/>
  <c r="AD26" i="22"/>
  <c r="AD19" i="22"/>
  <c r="AD18" i="22"/>
  <c r="AD17" i="22"/>
  <c r="AD13" i="22"/>
  <c r="AD11" i="22"/>
  <c r="AD10" i="22"/>
  <c r="AD9" i="22"/>
  <c r="AD29" i="22" l="1"/>
  <c r="X39" i="52" l="1"/>
  <c r="X13" i="52"/>
  <c r="X13" i="51"/>
  <c r="X13" i="28"/>
  <c r="R8" i="28" l="1"/>
  <c r="R32" i="52" l="1"/>
  <c r="K13" i="48"/>
  <c r="K12" i="48"/>
  <c r="K11" i="48"/>
  <c r="K10" i="48"/>
  <c r="K9" i="48"/>
  <c r="K8" i="48"/>
  <c r="K7" i="48"/>
  <c r="K6" i="48"/>
  <c r="K5" i="48"/>
  <c r="AD59" i="52"/>
  <c r="AD59" i="51"/>
  <c r="X59" i="51" s="1"/>
  <c r="AD59" i="28"/>
  <c r="X59" i="28" s="1"/>
  <c r="X60" i="51"/>
  <c r="X50" i="51"/>
  <c r="X49" i="51"/>
  <c r="X46" i="51"/>
  <c r="X42" i="51"/>
  <c r="X40" i="51"/>
  <c r="X38" i="51"/>
  <c r="X37" i="51"/>
  <c r="X36" i="51"/>
  <c r="X35" i="51"/>
  <c r="X34" i="51"/>
  <c r="X33" i="51"/>
  <c r="X24" i="51"/>
  <c r="X23" i="51"/>
  <c r="X20" i="51"/>
  <c r="X18" i="51"/>
  <c r="X16" i="51"/>
  <c r="X14" i="51"/>
  <c r="X12" i="51"/>
  <c r="X11" i="51"/>
  <c r="X10" i="51"/>
  <c r="X9" i="51"/>
  <c r="X8" i="51"/>
  <c r="X7" i="51"/>
  <c r="X60" i="52"/>
  <c r="X59" i="52"/>
  <c r="X51" i="52"/>
  <c r="X50" i="52"/>
  <c r="X49" i="52"/>
  <c r="X46" i="52"/>
  <c r="X44" i="52"/>
  <c r="X42" i="52"/>
  <c r="X40" i="52"/>
  <c r="X38" i="52"/>
  <c r="X37" i="52"/>
  <c r="X36" i="52"/>
  <c r="X35" i="52"/>
  <c r="X34" i="52"/>
  <c r="X33" i="52"/>
  <c r="X24" i="52"/>
  <c r="X23" i="52"/>
  <c r="X20" i="52"/>
  <c r="X18" i="52"/>
  <c r="X16" i="52"/>
  <c r="X14" i="52"/>
  <c r="X12" i="52"/>
  <c r="X11" i="52"/>
  <c r="X10" i="52"/>
  <c r="X9" i="52"/>
  <c r="X8" i="52"/>
  <c r="X7" i="52"/>
  <c r="X60" i="28"/>
  <c r="X51" i="28"/>
  <c r="X50" i="28"/>
  <c r="X49" i="28"/>
  <c r="X46" i="28"/>
  <c r="X44" i="28"/>
  <c r="X42" i="28"/>
  <c r="X40" i="28"/>
  <c r="X37" i="28"/>
  <c r="X36" i="28"/>
  <c r="X35" i="28"/>
  <c r="X34" i="28"/>
  <c r="X33" i="28"/>
  <c r="X24" i="28"/>
  <c r="X23" i="28"/>
  <c r="X20" i="28"/>
  <c r="X18" i="28"/>
  <c r="X16" i="28"/>
  <c r="X14" i="28"/>
  <c r="X12" i="28"/>
  <c r="X11" i="28"/>
  <c r="X10" i="28"/>
  <c r="X9" i="28"/>
  <c r="X8" i="28"/>
  <c r="X7" i="28"/>
  <c r="W29" i="22" l="1"/>
  <c r="X29" i="22"/>
  <c r="R29" i="22"/>
  <c r="C27" i="22" l="1"/>
  <c r="M6" i="48" l="1"/>
  <c r="C9" i="22" l="1"/>
  <c r="L13" i="48" l="1"/>
  <c r="F27" i="48" s="1"/>
  <c r="Y48" i="52" l="1"/>
  <c r="Y47" i="52"/>
  <c r="Y46" i="52"/>
  <c r="Y22" i="52"/>
  <c r="Y21" i="52"/>
  <c r="Y20" i="52"/>
  <c r="Y48" i="51"/>
  <c r="Y47" i="51"/>
  <c r="Y46" i="51"/>
  <c r="Y22" i="51"/>
  <c r="Y21" i="51"/>
  <c r="Y20" i="51"/>
  <c r="Y48" i="28"/>
  <c r="Y22" i="28"/>
  <c r="Y47" i="28"/>
  <c r="Y21" i="28"/>
  <c r="Y46" i="28"/>
  <c r="Y20" i="28"/>
  <c r="O36" i="9" l="1"/>
  <c r="F38" i="9"/>
  <c r="S13" i="48" s="1"/>
  <c r="F37" i="9"/>
  <c r="S12" i="48" s="1"/>
  <c r="F36" i="9"/>
  <c r="S11" i="48" s="1"/>
  <c r="F35" i="9"/>
  <c r="S10" i="48" s="1"/>
  <c r="F34" i="9"/>
  <c r="S9" i="48" s="1"/>
  <c r="F33" i="9"/>
  <c r="F32" i="9"/>
  <c r="S5" i="48" s="1"/>
  <c r="P38" i="9"/>
  <c r="N60" i="52" s="1"/>
  <c r="P37" i="9"/>
  <c r="N60" i="51" s="1"/>
  <c r="AI59" i="51" s="1"/>
  <c r="P36" i="9"/>
  <c r="N60" i="28" s="1"/>
  <c r="P35" i="9"/>
  <c r="N59" i="52" s="1"/>
  <c r="P34" i="9"/>
  <c r="N59" i="51" s="1"/>
  <c r="AI58" i="51" s="1"/>
  <c r="P33" i="9"/>
  <c r="N59" i="28" s="1"/>
  <c r="P32" i="9"/>
  <c r="P31" i="9"/>
  <c r="P30" i="9"/>
  <c r="P29" i="9"/>
  <c r="P28" i="9"/>
  <c r="P27" i="9"/>
  <c r="P26" i="9"/>
  <c r="P25" i="9"/>
  <c r="P24" i="9"/>
  <c r="O38" i="9"/>
  <c r="Q60" i="52" s="1"/>
  <c r="O37" i="9"/>
  <c r="O35" i="9"/>
  <c r="Q59" i="52" s="1"/>
  <c r="O34" i="9"/>
  <c r="O33" i="9"/>
  <c r="M59" i="28" s="1"/>
  <c r="O32" i="9"/>
  <c r="Q51" i="52" s="1"/>
  <c r="O31" i="9"/>
  <c r="Q51" i="51" s="1"/>
  <c r="O30" i="9"/>
  <c r="O29" i="9"/>
  <c r="O28" i="9"/>
  <c r="O27" i="9"/>
  <c r="O8" i="9"/>
  <c r="Y71" i="56" s="1"/>
  <c r="O7" i="9"/>
  <c r="Y70" i="56" s="1"/>
  <c r="P7" i="9"/>
  <c r="Z70" i="56" s="1"/>
  <c r="P8" i="9"/>
  <c r="Z71" i="56" s="1"/>
  <c r="O6" i="9"/>
  <c r="Y69" i="56" s="1"/>
  <c r="P6" i="9"/>
  <c r="Z69" i="56" s="1"/>
  <c r="E38" i="9"/>
  <c r="R13" i="48" s="1"/>
  <c r="E34" i="9"/>
  <c r="R9" i="48" s="1"/>
  <c r="E35" i="9"/>
  <c r="R10" i="48" s="1"/>
  <c r="E36" i="9"/>
  <c r="R11" i="48" s="1"/>
  <c r="E37" i="9"/>
  <c r="R12" i="48" s="1"/>
  <c r="E33" i="9"/>
  <c r="E32" i="9"/>
  <c r="R5" i="48" s="1"/>
  <c r="C5" i="48" s="1"/>
  <c r="F8" i="48" l="1"/>
  <c r="F7" i="48"/>
  <c r="R8" i="48"/>
  <c r="C8" i="48" s="1"/>
  <c r="R7" i="48"/>
  <c r="C7" i="48" s="1"/>
  <c r="R6" i="48"/>
  <c r="C6" i="48" s="1"/>
  <c r="S6" i="48"/>
  <c r="D6" i="48" s="1"/>
  <c r="S8" i="48"/>
  <c r="D8" i="48" s="1"/>
  <c r="S7" i="48"/>
  <c r="D7" i="48" s="1"/>
  <c r="M60" i="51"/>
  <c r="AH59" i="51" s="1"/>
  <c r="Q60" i="51"/>
  <c r="Q60" i="28"/>
  <c r="M60" i="28"/>
  <c r="M59" i="51"/>
  <c r="AH58" i="51" s="1"/>
  <c r="Q59" i="51"/>
  <c r="Q51" i="28"/>
  <c r="M59" i="52"/>
  <c r="M60" i="52"/>
  <c r="H5" i="22" l="1"/>
  <c r="D7" i="53" l="1"/>
  <c r="C7" i="53"/>
  <c r="D6" i="53"/>
  <c r="C6" i="53"/>
  <c r="AD5" i="53"/>
  <c r="AD7" i="53" s="1"/>
  <c r="AC5" i="53"/>
  <c r="AC7" i="53" s="1"/>
  <c r="AB5" i="53"/>
  <c r="AB7" i="53" s="1"/>
  <c r="AA5" i="53"/>
  <c r="AA7" i="53" s="1"/>
  <c r="Z5" i="53"/>
  <c r="Z6" i="53" s="1"/>
  <c r="Y5" i="53"/>
  <c r="Y6" i="53" s="1"/>
  <c r="X5" i="53"/>
  <c r="X6" i="53" s="1"/>
  <c r="W5" i="53"/>
  <c r="W3" i="53" s="1" a="1"/>
  <c r="W3" i="53" s="1"/>
  <c r="V5" i="53"/>
  <c r="V7" i="53" s="1"/>
  <c r="U5" i="53"/>
  <c r="U7" i="53" s="1"/>
  <c r="T5" i="53"/>
  <c r="T7" i="53" s="1"/>
  <c r="S5" i="53"/>
  <c r="S7" i="53" s="1"/>
  <c r="R5" i="53"/>
  <c r="R6" i="53" s="1"/>
  <c r="Q5" i="53"/>
  <c r="Q6" i="53" s="1"/>
  <c r="P5" i="53"/>
  <c r="P6" i="53" s="1"/>
  <c r="O5" i="53"/>
  <c r="O3" i="53" s="1" a="1"/>
  <c r="O3" i="53" s="1"/>
  <c r="N5" i="53"/>
  <c r="N7" i="53" s="1"/>
  <c r="M5" i="53"/>
  <c r="M7" i="53" s="1"/>
  <c r="L5" i="53"/>
  <c r="L7" i="53" s="1"/>
  <c r="K5" i="53"/>
  <c r="K7" i="53" s="1"/>
  <c r="J5" i="53"/>
  <c r="J6" i="53" s="1"/>
  <c r="I5" i="53"/>
  <c r="I6" i="53" s="1"/>
  <c r="H5" i="53"/>
  <c r="H7" i="53" s="1"/>
  <c r="G5" i="53"/>
  <c r="G3" i="53" s="1" a="1"/>
  <c r="G3" i="53" s="1"/>
  <c r="F5" i="53"/>
  <c r="F7" i="53" s="1"/>
  <c r="E5" i="53"/>
  <c r="E7" i="53" s="1"/>
  <c r="I3" i="53" a="1"/>
  <c r="I3" i="53" s="1"/>
  <c r="D3" i="53" a="1"/>
  <c r="D3" i="53" s="1"/>
  <c r="C3" i="53" a="1"/>
  <c r="C3" i="53" s="1"/>
  <c r="B7" i="48" l="1"/>
  <c r="Q7" i="48"/>
  <c r="B8" i="48"/>
  <c r="Q6" i="48"/>
  <c r="X3" i="53" a="1"/>
  <c r="X3" i="53" s="1"/>
  <c r="P3" i="53" a="1"/>
  <c r="P3" i="53" s="1"/>
  <c r="Y3" i="53" a="1"/>
  <c r="Y3" i="53" s="1"/>
  <c r="Q3" i="53" a="1"/>
  <c r="Q3" i="53" s="1"/>
  <c r="AG59" i="51"/>
  <c r="L60" i="51"/>
  <c r="L59" i="51"/>
  <c r="AG58" i="51"/>
  <c r="N13" i="54"/>
  <c r="B11" i="54"/>
  <c r="B13" i="54"/>
  <c r="N11" i="54"/>
  <c r="B7" i="3"/>
  <c r="B12" i="3"/>
  <c r="B8" i="3"/>
  <c r="B9" i="3"/>
  <c r="B11" i="3"/>
  <c r="B10" i="3"/>
  <c r="AG18" i="52"/>
  <c r="AG14" i="52"/>
  <c r="AG36" i="52"/>
  <c r="AG47" i="52"/>
  <c r="L50" i="52"/>
  <c r="L37" i="52"/>
  <c r="L16" i="52"/>
  <c r="L7" i="51"/>
  <c r="L18" i="51"/>
  <c r="L36" i="51"/>
  <c r="L50" i="51"/>
  <c r="AG33" i="51"/>
  <c r="AG21" i="51"/>
  <c r="AG10" i="51"/>
  <c r="AG11" i="28"/>
  <c r="AG41" i="28"/>
  <c r="L59" i="28"/>
  <c r="L33" i="28"/>
  <c r="L23" i="28"/>
  <c r="L10" i="28"/>
  <c r="B24" i="48"/>
  <c r="B13" i="48"/>
  <c r="Q12" i="48"/>
  <c r="N15" i="54"/>
  <c r="B10" i="54"/>
  <c r="D9" i="9"/>
  <c r="D17" i="9"/>
  <c r="D25" i="9"/>
  <c r="D33" i="9"/>
  <c r="N8" i="9"/>
  <c r="N31" i="9"/>
  <c r="N6" i="9"/>
  <c r="L59" i="52"/>
  <c r="L23" i="52"/>
  <c r="AG16" i="51"/>
  <c r="AG47" i="28"/>
  <c r="B6" i="54"/>
  <c r="D37" i="9"/>
  <c r="AG38" i="28"/>
  <c r="Q10" i="48"/>
  <c r="D6" i="9"/>
  <c r="L49" i="52"/>
  <c r="L18" i="52"/>
  <c r="L49" i="51"/>
  <c r="AG10" i="28"/>
  <c r="B12" i="48"/>
  <c r="N14" i="54"/>
  <c r="D24" i="9"/>
  <c r="N38" i="9"/>
  <c r="AG16" i="52"/>
  <c r="AG20" i="52"/>
  <c r="AG37" i="52"/>
  <c r="AG48" i="52"/>
  <c r="L51" i="52"/>
  <c r="L7" i="52"/>
  <c r="L8" i="51"/>
  <c r="L37" i="51"/>
  <c r="L51" i="51"/>
  <c r="AG34" i="51"/>
  <c r="AG22" i="51"/>
  <c r="AG11" i="51"/>
  <c r="AG12" i="28"/>
  <c r="AG33" i="28"/>
  <c r="AG43" i="28"/>
  <c r="L60" i="28"/>
  <c r="L34" i="28"/>
  <c r="L24" i="28"/>
  <c r="L11" i="28"/>
  <c r="B25" i="48"/>
  <c r="B5" i="48"/>
  <c r="Q13" i="48"/>
  <c r="N16" i="54"/>
  <c r="B12" i="54"/>
  <c r="D10" i="9"/>
  <c r="D18" i="9"/>
  <c r="D26" i="9"/>
  <c r="D34" i="9"/>
  <c r="N24" i="9"/>
  <c r="N32" i="9"/>
  <c r="AG9" i="52"/>
  <c r="L33" i="52"/>
  <c r="L10" i="52"/>
  <c r="AG47" i="51"/>
  <c r="AG18" i="28"/>
  <c r="L50" i="28"/>
  <c r="N9" i="54"/>
  <c r="D21" i="9"/>
  <c r="N35" i="9"/>
  <c r="L40" i="28"/>
  <c r="B22" i="48"/>
  <c r="B8" i="54"/>
  <c r="D15" i="9"/>
  <c r="N37" i="9"/>
  <c r="AG12" i="52"/>
  <c r="L36" i="52"/>
  <c r="L35" i="51"/>
  <c r="AG9" i="51"/>
  <c r="AG59" i="28"/>
  <c r="B23" i="48"/>
  <c r="B9" i="54"/>
  <c r="D32" i="9"/>
  <c r="AG7" i="52"/>
  <c r="AG21" i="52"/>
  <c r="AG38" i="52"/>
  <c r="AG58" i="52"/>
  <c r="L44" i="52"/>
  <c r="L40" i="52"/>
  <c r="L8" i="52"/>
  <c r="L9" i="51"/>
  <c r="L23" i="51"/>
  <c r="AG45" i="51"/>
  <c r="AG35" i="51"/>
  <c r="AG12" i="51"/>
  <c r="AG14" i="28"/>
  <c r="AG34" i="28"/>
  <c r="AG45" i="28"/>
  <c r="L35" i="28"/>
  <c r="B26" i="48"/>
  <c r="B6" i="48"/>
  <c r="N7" i="54"/>
  <c r="N17" i="54"/>
  <c r="B14" i="54"/>
  <c r="D11" i="9"/>
  <c r="D19" i="9"/>
  <c r="D27" i="9"/>
  <c r="D35" i="9"/>
  <c r="N25" i="9"/>
  <c r="N33" i="9"/>
  <c r="AG41" i="52"/>
  <c r="L11" i="51"/>
  <c r="AG37" i="51"/>
  <c r="AG36" i="28"/>
  <c r="L16" i="28"/>
  <c r="Q8" i="48"/>
  <c r="D13" i="9"/>
  <c r="N27" i="9"/>
  <c r="L8" i="28"/>
  <c r="D7" i="9"/>
  <c r="N29" i="9"/>
  <c r="AG46" i="52"/>
  <c r="L14" i="52"/>
  <c r="AG41" i="51"/>
  <c r="AG22" i="28"/>
  <c r="L42" i="28"/>
  <c r="D8" i="9"/>
  <c r="N30" i="9"/>
  <c r="AG8" i="52"/>
  <c r="AG22" i="52"/>
  <c r="AG39" i="52"/>
  <c r="AG59" i="52"/>
  <c r="L42" i="52"/>
  <c r="L9" i="52"/>
  <c r="L10" i="51"/>
  <c r="L24" i="51"/>
  <c r="L40" i="51"/>
  <c r="AG46" i="51"/>
  <c r="AG36" i="51"/>
  <c r="AG18" i="51"/>
  <c r="AG14" i="51"/>
  <c r="AG16" i="28"/>
  <c r="AG35" i="28"/>
  <c r="AG46" i="28"/>
  <c r="L49" i="28"/>
  <c r="L36" i="28"/>
  <c r="L18" i="28"/>
  <c r="L14" i="28"/>
  <c r="B27" i="48"/>
  <c r="Q5" i="48"/>
  <c r="N8" i="54"/>
  <c r="N6" i="54"/>
  <c r="B15" i="54"/>
  <c r="D12" i="9"/>
  <c r="D20" i="9"/>
  <c r="D28" i="9"/>
  <c r="D36" i="9"/>
  <c r="N26" i="9"/>
  <c r="N34" i="9"/>
  <c r="L42" i="51"/>
  <c r="AG7" i="28"/>
  <c r="L37" i="28"/>
  <c r="B9" i="48"/>
  <c r="B16" i="54"/>
  <c r="D29" i="9"/>
  <c r="AG58" i="28"/>
  <c r="B11" i="48"/>
  <c r="D31" i="9"/>
  <c r="AG35" i="52"/>
  <c r="L16" i="51"/>
  <c r="AG20" i="51"/>
  <c r="AG39" i="28"/>
  <c r="L9" i="28"/>
  <c r="Q11" i="48"/>
  <c r="D16" i="9"/>
  <c r="N7" i="9"/>
  <c r="AG10" i="52"/>
  <c r="AG33" i="52"/>
  <c r="AG43" i="52"/>
  <c r="L60" i="52"/>
  <c r="L34" i="52"/>
  <c r="L24" i="52"/>
  <c r="L11" i="52"/>
  <c r="L33" i="51"/>
  <c r="L44" i="51"/>
  <c r="AG48" i="51"/>
  <c r="AG38" i="51"/>
  <c r="AG7" i="51"/>
  <c r="AG8" i="28"/>
  <c r="AG20" i="28"/>
  <c r="AG37" i="28"/>
  <c r="AG48" i="28"/>
  <c r="L51" i="28"/>
  <c r="L7" i="28"/>
  <c r="B21" i="48"/>
  <c r="B10" i="48"/>
  <c r="Q9" i="48"/>
  <c r="N10" i="54"/>
  <c r="B7" i="54"/>
  <c r="B17" i="54"/>
  <c r="D14" i="9"/>
  <c r="D22" i="9"/>
  <c r="D30" i="9"/>
  <c r="D38" i="9"/>
  <c r="N28" i="9"/>
  <c r="N36" i="9"/>
  <c r="AG11" i="52"/>
  <c r="AG34" i="52"/>
  <c r="AG45" i="52"/>
  <c r="L35" i="52"/>
  <c r="L14" i="51"/>
  <c r="L34" i="51"/>
  <c r="AG43" i="51"/>
  <c r="AG39" i="51"/>
  <c r="AG8" i="51"/>
  <c r="AG9" i="28"/>
  <c r="AG21" i="28"/>
  <c r="L44" i="28"/>
  <c r="N12" i="54"/>
  <c r="D23" i="9"/>
  <c r="AA3" i="53" a="1"/>
  <c r="AA3" i="53" s="1"/>
  <c r="U3" i="53" a="1"/>
  <c r="U3" i="53" s="1"/>
  <c r="H3" i="53" a="1"/>
  <c r="H3" i="53" s="1"/>
  <c r="AD3" i="53" a="1"/>
  <c r="AD3" i="53" s="1"/>
  <c r="S3" i="53" a="1"/>
  <c r="S3" i="53" s="1"/>
  <c r="F3" i="53" a="1"/>
  <c r="F3" i="53" s="1"/>
  <c r="T3" i="53" a="1"/>
  <c r="T3" i="53" s="1"/>
  <c r="V3" i="53" a="1"/>
  <c r="V3" i="53" s="1"/>
  <c r="K3" i="53" a="1"/>
  <c r="K3" i="53" s="1"/>
  <c r="F6" i="53"/>
  <c r="N3" i="53" a="1"/>
  <c r="N3" i="53" s="1"/>
  <c r="V6" i="53"/>
  <c r="AB3" i="53" a="1"/>
  <c r="AB3" i="53" s="1"/>
  <c r="AC3" i="53" a="1"/>
  <c r="AC3" i="53" s="1"/>
  <c r="K6" i="53"/>
  <c r="AA6" i="53"/>
  <c r="AC6" i="53"/>
  <c r="L3" i="53" a="1"/>
  <c r="L3" i="53" s="1"/>
  <c r="N6" i="53"/>
  <c r="AD6" i="53"/>
  <c r="L6" i="53"/>
  <c r="AB6" i="53"/>
  <c r="M6" i="53"/>
  <c r="S6" i="53"/>
  <c r="M3" i="53" a="1"/>
  <c r="M3" i="53" s="1"/>
  <c r="T6" i="53"/>
  <c r="E3" i="53" a="1"/>
  <c r="E3" i="53" s="1"/>
  <c r="E6" i="53"/>
  <c r="U6" i="53"/>
  <c r="O7" i="53"/>
  <c r="P7" i="53"/>
  <c r="Q7" i="53"/>
  <c r="J7" i="53"/>
  <c r="R7" i="53"/>
  <c r="Z7" i="53"/>
  <c r="Z3" i="53" a="1"/>
  <c r="Z3" i="53" s="1"/>
  <c r="W7" i="53"/>
  <c r="X7" i="53"/>
  <c r="I7" i="53"/>
  <c r="Y7" i="53"/>
  <c r="J3" i="53" a="1"/>
  <c r="J3" i="53" s="1"/>
  <c r="R3" i="53" a="1"/>
  <c r="R3" i="53" s="1"/>
  <c r="G6" i="53"/>
  <c r="O6" i="53"/>
  <c r="W6" i="53"/>
  <c r="H6" i="53"/>
  <c r="G7" i="53"/>
  <c r="F9" i="48" l="1"/>
  <c r="C10" i="48"/>
  <c r="C11" i="48"/>
  <c r="F12" i="48"/>
  <c r="F13" i="48"/>
  <c r="C13" i="48"/>
  <c r="C21" i="48"/>
  <c r="AL22" i="45"/>
  <c r="AO22" i="45" s="1"/>
  <c r="P22" i="45"/>
  <c r="Q22" i="45"/>
  <c r="R22" i="45"/>
  <c r="S22" i="45"/>
  <c r="T22" i="45"/>
  <c r="U22" i="45"/>
  <c r="V22" i="45"/>
  <c r="W22" i="45"/>
  <c r="X22" i="45"/>
  <c r="Y22" i="45"/>
  <c r="AL23" i="45"/>
  <c r="AO23" i="45" s="1"/>
  <c r="P23" i="45"/>
  <c r="Q23" i="45"/>
  <c r="R23" i="45"/>
  <c r="S23" i="45"/>
  <c r="T23" i="45"/>
  <c r="U23" i="45"/>
  <c r="V23" i="45"/>
  <c r="W23" i="45"/>
  <c r="X23" i="45"/>
  <c r="Y23" i="45"/>
  <c r="AL24" i="45"/>
  <c r="AO24" i="45" s="1"/>
  <c r="P24" i="45"/>
  <c r="Q24" i="45"/>
  <c r="R24" i="45"/>
  <c r="S24" i="45"/>
  <c r="T24" i="45"/>
  <c r="U24" i="45"/>
  <c r="V24" i="45"/>
  <c r="W24" i="45"/>
  <c r="X24" i="45"/>
  <c r="Y24" i="45"/>
  <c r="AL25" i="45"/>
  <c r="AO25" i="45" s="1"/>
  <c r="P25" i="45"/>
  <c r="Q25" i="45"/>
  <c r="R25" i="45"/>
  <c r="S25" i="45"/>
  <c r="T25" i="45"/>
  <c r="U25" i="45"/>
  <c r="V25" i="45"/>
  <c r="W25" i="45"/>
  <c r="X25" i="45"/>
  <c r="Y25" i="45"/>
  <c r="AL26" i="45"/>
  <c r="AO26" i="45" s="1"/>
  <c r="P26" i="45"/>
  <c r="Q26" i="45"/>
  <c r="R26" i="45"/>
  <c r="S26" i="45"/>
  <c r="T26" i="45"/>
  <c r="U26" i="45"/>
  <c r="V26" i="45"/>
  <c r="W26" i="45"/>
  <c r="X26" i="45"/>
  <c r="Y26" i="45"/>
  <c r="AL27" i="45"/>
  <c r="AO27" i="45" s="1"/>
  <c r="P27" i="45"/>
  <c r="Q27" i="45"/>
  <c r="R27" i="45"/>
  <c r="S27" i="45"/>
  <c r="T27" i="45"/>
  <c r="U27" i="45"/>
  <c r="V27" i="45"/>
  <c r="W27" i="45"/>
  <c r="X27" i="45"/>
  <c r="Y27" i="45"/>
  <c r="AL28" i="45"/>
  <c r="AO28" i="45" s="1"/>
  <c r="P28" i="45"/>
  <c r="Q28" i="45"/>
  <c r="R28" i="45"/>
  <c r="S28" i="45"/>
  <c r="T28" i="45"/>
  <c r="U28" i="45"/>
  <c r="V28" i="45"/>
  <c r="W28" i="45"/>
  <c r="X28" i="45"/>
  <c r="Y28" i="45"/>
  <c r="AL29" i="45"/>
  <c r="AO29" i="45" s="1"/>
  <c r="P29" i="45"/>
  <c r="Q29" i="45"/>
  <c r="R29" i="45"/>
  <c r="S29" i="45"/>
  <c r="T29" i="45"/>
  <c r="U29" i="45"/>
  <c r="V29" i="45"/>
  <c r="W29" i="45"/>
  <c r="X29" i="45"/>
  <c r="Y29" i="45"/>
  <c r="AL30" i="45"/>
  <c r="AO30" i="45" s="1"/>
  <c r="P30" i="45"/>
  <c r="Q30" i="45"/>
  <c r="R30" i="45"/>
  <c r="S30" i="45"/>
  <c r="T30" i="45"/>
  <c r="U30" i="45"/>
  <c r="V30" i="45"/>
  <c r="W30" i="45"/>
  <c r="X30" i="45"/>
  <c r="Y30" i="45"/>
  <c r="P31" i="45"/>
  <c r="Q31" i="45"/>
  <c r="R31" i="45"/>
  <c r="S31" i="45"/>
  <c r="T31" i="45"/>
  <c r="U31" i="45"/>
  <c r="V31" i="45"/>
  <c r="W31" i="45"/>
  <c r="X31" i="45"/>
  <c r="Y31" i="45"/>
  <c r="AP25" i="45"/>
  <c r="AQ25" i="45"/>
  <c r="AR25" i="45"/>
  <c r="AS25" i="45"/>
  <c r="AT25" i="45"/>
  <c r="AU25" i="45"/>
  <c r="AV25" i="45"/>
  <c r="AV26" i="45"/>
  <c r="AW25" i="45"/>
  <c r="AL34" i="45"/>
  <c r="AO34" i="45" s="1"/>
  <c r="P34" i="45"/>
  <c r="Q34" i="45"/>
  <c r="R34" i="45"/>
  <c r="S34" i="45"/>
  <c r="T34" i="45"/>
  <c r="U34" i="45"/>
  <c r="V34" i="45"/>
  <c r="W34" i="45"/>
  <c r="X34" i="45"/>
  <c r="Y34" i="45"/>
  <c r="AL35" i="45"/>
  <c r="AO35" i="45" s="1"/>
  <c r="P35" i="45"/>
  <c r="Q35" i="45"/>
  <c r="R35" i="45"/>
  <c r="S35" i="45"/>
  <c r="T35" i="45"/>
  <c r="U35" i="45"/>
  <c r="V35" i="45"/>
  <c r="W35" i="45"/>
  <c r="X35" i="45"/>
  <c r="Y35" i="45"/>
  <c r="AL36" i="45"/>
  <c r="AO36" i="45" s="1"/>
  <c r="P36" i="45"/>
  <c r="Q36" i="45"/>
  <c r="R36" i="45"/>
  <c r="S36" i="45"/>
  <c r="T36" i="45"/>
  <c r="U36" i="45"/>
  <c r="V36" i="45"/>
  <c r="W36" i="45"/>
  <c r="X36" i="45"/>
  <c r="Y36" i="45"/>
  <c r="AL37" i="45"/>
  <c r="AO37" i="45" s="1"/>
  <c r="P37" i="45"/>
  <c r="Q37" i="45"/>
  <c r="R37" i="45"/>
  <c r="S37" i="45"/>
  <c r="T37" i="45"/>
  <c r="U37" i="45"/>
  <c r="V37" i="45"/>
  <c r="W37" i="45"/>
  <c r="X37" i="45"/>
  <c r="Y37" i="45"/>
  <c r="AL38" i="45"/>
  <c r="AO38" i="45" s="1"/>
  <c r="P38" i="45"/>
  <c r="Q38" i="45"/>
  <c r="R38" i="45"/>
  <c r="S38" i="45"/>
  <c r="T38" i="45"/>
  <c r="U38" i="45"/>
  <c r="V38" i="45"/>
  <c r="W38" i="45"/>
  <c r="X38" i="45"/>
  <c r="Y38" i="45"/>
  <c r="AL39" i="45"/>
  <c r="AO39" i="45" s="1"/>
  <c r="P39" i="45"/>
  <c r="Q39" i="45"/>
  <c r="R39" i="45"/>
  <c r="S39" i="45"/>
  <c r="T39" i="45"/>
  <c r="U39" i="45"/>
  <c r="V39" i="45"/>
  <c r="W39" i="45"/>
  <c r="X39" i="45"/>
  <c r="Y39" i="45"/>
  <c r="AL40" i="45"/>
  <c r="AO40" i="45" s="1"/>
  <c r="P40" i="45"/>
  <c r="Q40" i="45"/>
  <c r="R40" i="45"/>
  <c r="S40" i="45"/>
  <c r="T40" i="45"/>
  <c r="U40" i="45"/>
  <c r="V40" i="45"/>
  <c r="W40" i="45"/>
  <c r="X40" i="45"/>
  <c r="Y40" i="45"/>
  <c r="AL41" i="45"/>
  <c r="AT41" i="45" s="1"/>
  <c r="P41" i="45"/>
  <c r="Q41" i="45"/>
  <c r="R41" i="45"/>
  <c r="S41" i="45"/>
  <c r="T41" i="45"/>
  <c r="U41" i="45"/>
  <c r="V41" i="45"/>
  <c r="W41" i="45"/>
  <c r="X41" i="45"/>
  <c r="Y41" i="45"/>
  <c r="AL42" i="45"/>
  <c r="AT42" i="45" s="1"/>
  <c r="P42" i="45"/>
  <c r="Q42" i="45"/>
  <c r="R42" i="45"/>
  <c r="S42" i="45"/>
  <c r="T42" i="45"/>
  <c r="U42" i="45"/>
  <c r="V42" i="45"/>
  <c r="W42" i="45"/>
  <c r="X42" i="45"/>
  <c r="Y42" i="45"/>
  <c r="P43" i="45"/>
  <c r="Q43" i="45"/>
  <c r="R43" i="45"/>
  <c r="S43" i="45"/>
  <c r="T43" i="45"/>
  <c r="U43" i="45"/>
  <c r="V43" i="45"/>
  <c r="W43" i="45"/>
  <c r="X43" i="45"/>
  <c r="Y43" i="45"/>
  <c r="AP39" i="45"/>
  <c r="AQ35" i="45"/>
  <c r="AR35" i="45"/>
  <c r="AS35" i="45"/>
  <c r="AT38" i="45"/>
  <c r="AU40" i="45"/>
  <c r="AV38" i="45"/>
  <c r="AL46" i="45"/>
  <c r="AP46" i="45" s="1"/>
  <c r="P46" i="45"/>
  <c r="Q46" i="45"/>
  <c r="R46" i="45"/>
  <c r="S46" i="45"/>
  <c r="T46" i="45"/>
  <c r="U46" i="45"/>
  <c r="V46" i="45"/>
  <c r="W46" i="45"/>
  <c r="X46" i="45"/>
  <c r="Y46" i="45"/>
  <c r="AL47" i="45"/>
  <c r="AO47" i="45" s="1"/>
  <c r="P47" i="45"/>
  <c r="Q47" i="45"/>
  <c r="R47" i="45"/>
  <c r="S47" i="45"/>
  <c r="T47" i="45"/>
  <c r="U47" i="45"/>
  <c r="V47" i="45"/>
  <c r="W47" i="45"/>
  <c r="X47" i="45"/>
  <c r="Y47" i="45"/>
  <c r="AL48" i="45"/>
  <c r="AP48" i="45" s="1"/>
  <c r="P48" i="45"/>
  <c r="Q48" i="45"/>
  <c r="R48" i="45"/>
  <c r="S48" i="45"/>
  <c r="T48" i="45"/>
  <c r="U48" i="45"/>
  <c r="V48" i="45"/>
  <c r="W48" i="45"/>
  <c r="X48" i="45"/>
  <c r="Y48" i="45"/>
  <c r="AL49" i="45"/>
  <c r="AO49" i="45" s="1"/>
  <c r="P49" i="45"/>
  <c r="Q49" i="45"/>
  <c r="R49" i="45"/>
  <c r="S49" i="45"/>
  <c r="T49" i="45"/>
  <c r="U49" i="45"/>
  <c r="V49" i="45"/>
  <c r="W49" i="45"/>
  <c r="X49" i="45"/>
  <c r="Y49" i="45"/>
  <c r="AL50" i="45"/>
  <c r="AP50" i="45" s="1"/>
  <c r="P50" i="45"/>
  <c r="Q50" i="45"/>
  <c r="R50" i="45"/>
  <c r="S50" i="45"/>
  <c r="T50" i="45"/>
  <c r="U50" i="45"/>
  <c r="V50" i="45"/>
  <c r="W50" i="45"/>
  <c r="X50" i="45"/>
  <c r="Y50" i="45"/>
  <c r="AL51" i="45"/>
  <c r="AO51" i="45" s="1"/>
  <c r="P51" i="45"/>
  <c r="Q51" i="45"/>
  <c r="R51" i="45"/>
  <c r="S51" i="45"/>
  <c r="T51" i="45"/>
  <c r="U51" i="45"/>
  <c r="V51" i="45"/>
  <c r="W51" i="45"/>
  <c r="X51" i="45"/>
  <c r="Y51" i="45"/>
  <c r="AL52" i="45"/>
  <c r="AO52" i="45" s="1"/>
  <c r="P52" i="45"/>
  <c r="Q52" i="45"/>
  <c r="R52" i="45"/>
  <c r="S52" i="45"/>
  <c r="T52" i="45"/>
  <c r="U52" i="45"/>
  <c r="V52" i="45"/>
  <c r="W52" i="45"/>
  <c r="X52" i="45"/>
  <c r="Y52" i="45"/>
  <c r="AL53" i="45"/>
  <c r="AO53" i="45" s="1"/>
  <c r="P53" i="45"/>
  <c r="Q53" i="45"/>
  <c r="R53" i="45"/>
  <c r="S53" i="45"/>
  <c r="T53" i="45"/>
  <c r="U53" i="45"/>
  <c r="V53" i="45"/>
  <c r="W53" i="45"/>
  <c r="X53" i="45"/>
  <c r="Y53" i="45"/>
  <c r="AL54" i="45"/>
  <c r="AS54" i="45" s="1"/>
  <c r="P54" i="45"/>
  <c r="Q54" i="45"/>
  <c r="R54" i="45"/>
  <c r="S54" i="45"/>
  <c r="T54" i="45"/>
  <c r="U54" i="45"/>
  <c r="V54" i="45"/>
  <c r="W54" i="45"/>
  <c r="X54" i="45"/>
  <c r="Y54" i="45"/>
  <c r="P55" i="45"/>
  <c r="Q55" i="45"/>
  <c r="R55" i="45"/>
  <c r="S55" i="45"/>
  <c r="T55" i="45"/>
  <c r="U55" i="45"/>
  <c r="V55" i="45"/>
  <c r="W55" i="45"/>
  <c r="X55" i="45"/>
  <c r="Y55" i="45"/>
  <c r="AP47" i="45"/>
  <c r="AP54" i="45"/>
  <c r="AQ47" i="45"/>
  <c r="AQ49" i="45"/>
  <c r="AR47" i="45"/>
  <c r="AS50" i="45"/>
  <c r="AS52" i="45"/>
  <c r="AT47" i="45"/>
  <c r="AU47" i="45"/>
  <c r="AU49" i="45"/>
  <c r="AU52" i="45"/>
  <c r="AV47" i="45"/>
  <c r="AV50" i="45"/>
  <c r="AV51" i="45"/>
  <c r="AV54" i="45"/>
  <c r="AW47" i="45"/>
  <c r="AW49" i="45"/>
  <c r="D54" i="28"/>
  <c r="D55" i="28"/>
  <c r="D56" i="28"/>
  <c r="D57" i="28"/>
  <c r="D58" i="28"/>
  <c r="D59" i="28"/>
  <c r="D60" i="28"/>
  <c r="D61" i="28"/>
  <c r="D62" i="28"/>
  <c r="E34" i="28"/>
  <c r="E35" i="28"/>
  <c r="E31" i="28"/>
  <c r="E32" i="28"/>
  <c r="E33" i="28"/>
  <c r="E36" i="28"/>
  <c r="E37" i="28"/>
  <c r="E38" i="28"/>
  <c r="E39" i="28"/>
  <c r="E40" i="28"/>
  <c r="E41" i="28"/>
  <c r="E42" i="28"/>
  <c r="E43" i="28"/>
  <c r="E44" i="28"/>
  <c r="E45" i="28"/>
  <c r="E46" i="28"/>
  <c r="E47" i="28"/>
  <c r="E48" i="28"/>
  <c r="E49" i="28"/>
  <c r="D54" i="51"/>
  <c r="D55" i="51"/>
  <c r="D56" i="51"/>
  <c r="D57" i="51"/>
  <c r="D58" i="51"/>
  <c r="D59" i="51"/>
  <c r="D60" i="51"/>
  <c r="D61" i="51"/>
  <c r="D62" i="51"/>
  <c r="E34" i="51"/>
  <c r="E35" i="51"/>
  <c r="E31" i="51"/>
  <c r="E32" i="51"/>
  <c r="E33" i="51"/>
  <c r="E36" i="51"/>
  <c r="E37" i="51"/>
  <c r="E38" i="51"/>
  <c r="E39" i="51"/>
  <c r="E40" i="51"/>
  <c r="E41" i="51"/>
  <c r="E42" i="51"/>
  <c r="E43" i="51"/>
  <c r="E44" i="51"/>
  <c r="E45" i="51"/>
  <c r="E46" i="51"/>
  <c r="E47" i="51"/>
  <c r="E48" i="51"/>
  <c r="E49" i="51"/>
  <c r="D54" i="52"/>
  <c r="D55" i="52"/>
  <c r="D56" i="52"/>
  <c r="D57" i="52"/>
  <c r="D58" i="52"/>
  <c r="D59" i="52"/>
  <c r="D60" i="52"/>
  <c r="D61" i="52"/>
  <c r="D62" i="52"/>
  <c r="E34" i="52"/>
  <c r="E35" i="52"/>
  <c r="E31" i="52"/>
  <c r="E32" i="52"/>
  <c r="E33" i="52"/>
  <c r="E36" i="52"/>
  <c r="E37" i="52"/>
  <c r="E38" i="52"/>
  <c r="E39" i="52"/>
  <c r="E40" i="52"/>
  <c r="E41" i="52"/>
  <c r="E42" i="52"/>
  <c r="E43" i="52"/>
  <c r="E44" i="52"/>
  <c r="E45" i="52"/>
  <c r="E46" i="52"/>
  <c r="E47" i="52"/>
  <c r="E48" i="52"/>
  <c r="E49" i="52"/>
  <c r="B26" i="43"/>
  <c r="E24" i="9" s="1"/>
  <c r="O37" i="51" s="1"/>
  <c r="B16" i="43"/>
  <c r="E14" i="9" s="1"/>
  <c r="B10" i="43"/>
  <c r="E8" i="9" s="1"/>
  <c r="D9" i="48"/>
  <c r="D10" i="48"/>
  <c r="D11" i="48"/>
  <c r="D12" i="48"/>
  <c r="D13" i="48"/>
  <c r="D21" i="48"/>
  <c r="Q59" i="28"/>
  <c r="Q46" i="52"/>
  <c r="Y36" i="22"/>
  <c r="Y35" i="22"/>
  <c r="F54" i="28"/>
  <c r="F55" i="28"/>
  <c r="F56" i="28"/>
  <c r="F57" i="28"/>
  <c r="F58" i="28"/>
  <c r="F59" i="28"/>
  <c r="F60" i="28"/>
  <c r="F61" i="28"/>
  <c r="F62" i="28"/>
  <c r="F54" i="51"/>
  <c r="F55" i="51"/>
  <c r="F56" i="51"/>
  <c r="F57" i="51"/>
  <c r="F58" i="51"/>
  <c r="F59" i="51"/>
  <c r="F60" i="51"/>
  <c r="F61" i="51"/>
  <c r="F62" i="51"/>
  <c r="F54" i="52"/>
  <c r="F55" i="52"/>
  <c r="F56" i="52"/>
  <c r="F57" i="52"/>
  <c r="F58" i="52"/>
  <c r="F59" i="52"/>
  <c r="F60" i="52"/>
  <c r="F61" i="52"/>
  <c r="F62" i="52"/>
  <c r="M8" i="48"/>
  <c r="L8" i="48" s="1"/>
  <c r="M7" i="48"/>
  <c r="L7" i="48" s="1"/>
  <c r="D31" i="28"/>
  <c r="I31" i="28"/>
  <c r="D38" i="28"/>
  <c r="I38" i="28"/>
  <c r="D40" i="28"/>
  <c r="I40" i="28"/>
  <c r="D41" i="28"/>
  <c r="I41" i="28"/>
  <c r="D42" i="28"/>
  <c r="I42" i="28"/>
  <c r="D34" i="28"/>
  <c r="I34" i="28"/>
  <c r="D35" i="28"/>
  <c r="I35" i="28"/>
  <c r="D37" i="28"/>
  <c r="I37" i="28"/>
  <c r="D39" i="28"/>
  <c r="I39" i="28"/>
  <c r="D44" i="28"/>
  <c r="I44" i="28"/>
  <c r="D45" i="28"/>
  <c r="I45" i="28"/>
  <c r="D46" i="28"/>
  <c r="I46" i="28"/>
  <c r="D47" i="28"/>
  <c r="I47" i="28"/>
  <c r="D33" i="28"/>
  <c r="I33" i="28"/>
  <c r="D32" i="28"/>
  <c r="I32" i="28"/>
  <c r="D49" i="28"/>
  <c r="I49" i="28"/>
  <c r="D36" i="28"/>
  <c r="D43" i="28"/>
  <c r="E24" i="28"/>
  <c r="E7" i="28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I48" i="28"/>
  <c r="I43" i="28"/>
  <c r="D31" i="51"/>
  <c r="I31" i="51"/>
  <c r="D38" i="51"/>
  <c r="I38" i="51"/>
  <c r="D40" i="51"/>
  <c r="I40" i="51"/>
  <c r="D41" i="51"/>
  <c r="I41" i="51"/>
  <c r="D42" i="51"/>
  <c r="I42" i="51"/>
  <c r="D34" i="51"/>
  <c r="I34" i="51"/>
  <c r="D35" i="51"/>
  <c r="I35" i="51"/>
  <c r="D37" i="51"/>
  <c r="I37" i="51"/>
  <c r="D39" i="51"/>
  <c r="I39" i="51"/>
  <c r="D44" i="51"/>
  <c r="I44" i="51"/>
  <c r="D45" i="51"/>
  <c r="I45" i="51"/>
  <c r="D46" i="51"/>
  <c r="I46" i="51"/>
  <c r="D47" i="51"/>
  <c r="I47" i="51"/>
  <c r="D33" i="51"/>
  <c r="I33" i="51"/>
  <c r="D32" i="51"/>
  <c r="I32" i="51"/>
  <c r="D49" i="51"/>
  <c r="I49" i="51"/>
  <c r="D36" i="51"/>
  <c r="D43" i="51"/>
  <c r="E24" i="51"/>
  <c r="E7" i="51"/>
  <c r="E8" i="51"/>
  <c r="E9" i="51"/>
  <c r="E10" i="51"/>
  <c r="E11" i="51"/>
  <c r="E12" i="51"/>
  <c r="E13" i="51"/>
  <c r="E14" i="51"/>
  <c r="E15" i="51"/>
  <c r="E16" i="51"/>
  <c r="E17" i="51"/>
  <c r="E18" i="51"/>
  <c r="E19" i="51"/>
  <c r="E20" i="51"/>
  <c r="E21" i="51"/>
  <c r="E22" i="51"/>
  <c r="E23" i="51"/>
  <c r="I48" i="51"/>
  <c r="I43" i="51"/>
  <c r="D31" i="52"/>
  <c r="I31" i="52"/>
  <c r="D38" i="52"/>
  <c r="I38" i="52"/>
  <c r="D40" i="52"/>
  <c r="I40" i="52"/>
  <c r="D41" i="52"/>
  <c r="I41" i="52"/>
  <c r="D42" i="52"/>
  <c r="I42" i="52"/>
  <c r="D34" i="52"/>
  <c r="I34" i="52"/>
  <c r="D35" i="52"/>
  <c r="I35" i="52"/>
  <c r="D37" i="52"/>
  <c r="I37" i="52"/>
  <c r="D39" i="52"/>
  <c r="I39" i="52"/>
  <c r="D44" i="52"/>
  <c r="I44" i="52"/>
  <c r="D45" i="52"/>
  <c r="I45" i="52"/>
  <c r="D46" i="52"/>
  <c r="I46" i="52"/>
  <c r="D47" i="52"/>
  <c r="I47" i="52"/>
  <c r="D33" i="52"/>
  <c r="I33" i="52"/>
  <c r="D32" i="52"/>
  <c r="I32" i="52"/>
  <c r="D49" i="52"/>
  <c r="I49" i="52"/>
  <c r="D36" i="52"/>
  <c r="D43" i="52"/>
  <c r="E24" i="52"/>
  <c r="E7" i="52"/>
  <c r="E8" i="52"/>
  <c r="E9" i="52"/>
  <c r="E10" i="52"/>
  <c r="E11" i="52"/>
  <c r="E12" i="52"/>
  <c r="E13" i="52"/>
  <c r="E14" i="52"/>
  <c r="E15" i="52"/>
  <c r="E16" i="52"/>
  <c r="E17" i="52"/>
  <c r="E18" i="52"/>
  <c r="E19" i="52"/>
  <c r="E20" i="52"/>
  <c r="E21" i="52"/>
  <c r="E22" i="52"/>
  <c r="E23" i="52"/>
  <c r="I48" i="52"/>
  <c r="I43" i="52"/>
  <c r="E25" i="28"/>
  <c r="D7" i="28"/>
  <c r="I7" i="28"/>
  <c r="D14" i="28"/>
  <c r="I14" i="28"/>
  <c r="D16" i="28"/>
  <c r="I16" i="28"/>
  <c r="D17" i="28"/>
  <c r="I17" i="28"/>
  <c r="D18" i="28"/>
  <c r="I18" i="28"/>
  <c r="D10" i="28"/>
  <c r="I10" i="28"/>
  <c r="D11" i="28"/>
  <c r="I11" i="28"/>
  <c r="D13" i="28"/>
  <c r="I13" i="28"/>
  <c r="D15" i="28"/>
  <c r="I15" i="28"/>
  <c r="D20" i="28"/>
  <c r="I20" i="28"/>
  <c r="D21" i="28"/>
  <c r="I21" i="28"/>
  <c r="D22" i="28"/>
  <c r="I22" i="28"/>
  <c r="D23" i="28"/>
  <c r="I23" i="28"/>
  <c r="D9" i="28"/>
  <c r="I9" i="28"/>
  <c r="D8" i="28"/>
  <c r="I8" i="28"/>
  <c r="D25" i="28"/>
  <c r="I25" i="28"/>
  <c r="D12" i="28"/>
  <c r="I12" i="28"/>
  <c r="D19" i="28"/>
  <c r="I24" i="28"/>
  <c r="I19" i="28"/>
  <c r="E25" i="51"/>
  <c r="D7" i="51"/>
  <c r="I7" i="51"/>
  <c r="D14" i="51"/>
  <c r="I14" i="51"/>
  <c r="D16" i="51"/>
  <c r="I16" i="51"/>
  <c r="D17" i="51"/>
  <c r="I17" i="51"/>
  <c r="D18" i="51"/>
  <c r="I18" i="51"/>
  <c r="D10" i="51"/>
  <c r="I10" i="51"/>
  <c r="D11" i="51"/>
  <c r="I11" i="51"/>
  <c r="D13" i="51"/>
  <c r="I13" i="51"/>
  <c r="D15" i="51"/>
  <c r="I15" i="51"/>
  <c r="D20" i="51"/>
  <c r="I20" i="51"/>
  <c r="D21" i="51"/>
  <c r="I21" i="51"/>
  <c r="D22" i="51"/>
  <c r="I22" i="51"/>
  <c r="D23" i="51"/>
  <c r="I23" i="51"/>
  <c r="D9" i="51"/>
  <c r="I9" i="51"/>
  <c r="D8" i="51"/>
  <c r="I8" i="51"/>
  <c r="D25" i="51"/>
  <c r="I25" i="51"/>
  <c r="D12" i="51"/>
  <c r="I12" i="51"/>
  <c r="D19" i="51"/>
  <c r="I24" i="51"/>
  <c r="I19" i="51"/>
  <c r="E25" i="52"/>
  <c r="D7" i="52"/>
  <c r="I7" i="52"/>
  <c r="D14" i="52"/>
  <c r="I14" i="52"/>
  <c r="D16" i="52"/>
  <c r="I16" i="52"/>
  <c r="D17" i="52"/>
  <c r="I17" i="52"/>
  <c r="D18" i="52"/>
  <c r="I18" i="52"/>
  <c r="D10" i="52"/>
  <c r="I10" i="52"/>
  <c r="D11" i="52"/>
  <c r="I11" i="52"/>
  <c r="D13" i="52"/>
  <c r="I13" i="52"/>
  <c r="D15" i="52"/>
  <c r="I15" i="52"/>
  <c r="D20" i="52"/>
  <c r="I20" i="52"/>
  <c r="D21" i="52"/>
  <c r="I21" i="52"/>
  <c r="D22" i="52"/>
  <c r="I22" i="52"/>
  <c r="D23" i="52"/>
  <c r="I23" i="52"/>
  <c r="D9" i="52"/>
  <c r="I9" i="52"/>
  <c r="D8" i="52"/>
  <c r="I8" i="52"/>
  <c r="D25" i="52"/>
  <c r="I25" i="52"/>
  <c r="D12" i="52"/>
  <c r="I12" i="52"/>
  <c r="D19" i="52"/>
  <c r="I24" i="52"/>
  <c r="I19" i="52"/>
  <c r="Y38" i="22"/>
  <c r="Y37" i="22"/>
  <c r="Y34" i="22"/>
  <c r="Y33" i="22"/>
  <c r="Y12" i="22"/>
  <c r="Y14" i="22"/>
  <c r="Y15" i="22"/>
  <c r="Y16" i="22"/>
  <c r="Y20" i="22"/>
  <c r="Y21" i="22"/>
  <c r="Y25" i="22"/>
  <c r="Z9" i="22"/>
  <c r="C10" i="22"/>
  <c r="C19" i="22"/>
  <c r="Z19" i="22" s="1"/>
  <c r="C11" i="22"/>
  <c r="Z11" i="22" s="1"/>
  <c r="C12" i="22"/>
  <c r="Z12" i="22" s="1"/>
  <c r="C13" i="22"/>
  <c r="Z13" i="22" s="1"/>
  <c r="C14" i="22"/>
  <c r="Z14" i="22" s="1"/>
  <c r="C15" i="22"/>
  <c r="Z15" i="22" s="1"/>
  <c r="C16" i="22"/>
  <c r="Z16" i="22" s="1"/>
  <c r="C17" i="22"/>
  <c r="Z17" i="22" s="1"/>
  <c r="C18" i="22"/>
  <c r="C20" i="22"/>
  <c r="Z20" i="22" s="1"/>
  <c r="C21" i="22"/>
  <c r="Z21" i="22" s="1"/>
  <c r="C22" i="22"/>
  <c r="C23" i="22"/>
  <c r="Z23" i="22" s="1"/>
  <c r="C24" i="22"/>
  <c r="Z24" i="22" s="1"/>
  <c r="C25" i="22"/>
  <c r="Z25" i="22" s="1"/>
  <c r="C26" i="22"/>
  <c r="Z26" i="22" s="1"/>
  <c r="Z27" i="22"/>
  <c r="AI58" i="52"/>
  <c r="AH59" i="52"/>
  <c r="G8" i="52"/>
  <c r="C23" i="43"/>
  <c r="F21" i="9" s="1"/>
  <c r="C8" i="43"/>
  <c r="F6" i="9" s="1"/>
  <c r="B27" i="22"/>
  <c r="B19" i="22"/>
  <c r="C18" i="43" s="1"/>
  <c r="F16" i="9" s="1"/>
  <c r="F23" i="9"/>
  <c r="B10" i="22"/>
  <c r="C9" i="43" s="1"/>
  <c r="F7" i="9" s="1"/>
  <c r="B17" i="22"/>
  <c r="C16" i="43" s="1"/>
  <c r="F14" i="9" s="1"/>
  <c r="B13" i="22"/>
  <c r="C12" i="43" s="1"/>
  <c r="F10" i="9" s="1"/>
  <c r="B26" i="22"/>
  <c r="C26" i="43" s="1"/>
  <c r="F24" i="9" s="1"/>
  <c r="B11" i="22"/>
  <c r="C10" i="43" s="1"/>
  <c r="F8" i="9" s="1"/>
  <c r="C22" i="43"/>
  <c r="F20" i="9" s="1"/>
  <c r="Q40" i="52"/>
  <c r="B9" i="43"/>
  <c r="E7" i="9" s="1"/>
  <c r="E5" i="3" s="1"/>
  <c r="B12" i="43"/>
  <c r="E10" i="9" s="1"/>
  <c r="B22" i="43"/>
  <c r="E20" i="9" s="1"/>
  <c r="J5" i="3" s="1"/>
  <c r="B23" i="43"/>
  <c r="E21" i="9" s="1"/>
  <c r="B8" i="43"/>
  <c r="E6" i="9" s="1"/>
  <c r="D5" i="3" s="1"/>
  <c r="B27" i="43"/>
  <c r="E25" i="9" s="1"/>
  <c r="B18" i="43"/>
  <c r="E16" i="9" s="1"/>
  <c r="I5" i="3" s="1"/>
  <c r="E23" i="9"/>
  <c r="H62" i="52"/>
  <c r="G62" i="52"/>
  <c r="E62" i="52"/>
  <c r="C62" i="52"/>
  <c r="H61" i="52"/>
  <c r="G61" i="52"/>
  <c r="E61" i="52"/>
  <c r="C61" i="52"/>
  <c r="H60" i="52"/>
  <c r="G60" i="52"/>
  <c r="E60" i="52"/>
  <c r="C60" i="52"/>
  <c r="H59" i="52"/>
  <c r="G59" i="52"/>
  <c r="E59" i="52"/>
  <c r="C59" i="52"/>
  <c r="H58" i="52"/>
  <c r="G58" i="52"/>
  <c r="E58" i="52"/>
  <c r="C58" i="52"/>
  <c r="H57" i="52"/>
  <c r="G57" i="52"/>
  <c r="E57" i="52"/>
  <c r="C57" i="52"/>
  <c r="H56" i="52"/>
  <c r="G56" i="52"/>
  <c r="E56" i="52"/>
  <c r="C56" i="52"/>
  <c r="H55" i="52"/>
  <c r="G55" i="52"/>
  <c r="E55" i="52"/>
  <c r="C55" i="52"/>
  <c r="H54" i="52"/>
  <c r="G54" i="52"/>
  <c r="E54" i="52"/>
  <c r="C54" i="52"/>
  <c r="J49" i="52"/>
  <c r="H49" i="52"/>
  <c r="F49" i="52"/>
  <c r="C49" i="52"/>
  <c r="J48" i="52"/>
  <c r="H48" i="52"/>
  <c r="F48" i="52"/>
  <c r="J47" i="52"/>
  <c r="H47" i="52"/>
  <c r="F47" i="52"/>
  <c r="C47" i="52"/>
  <c r="J46" i="52"/>
  <c r="H46" i="52"/>
  <c r="F46" i="52"/>
  <c r="C46" i="52"/>
  <c r="J45" i="52"/>
  <c r="H45" i="52"/>
  <c r="F45" i="52"/>
  <c r="C45" i="52"/>
  <c r="J44" i="52"/>
  <c r="H44" i="52"/>
  <c r="F44" i="52"/>
  <c r="C44" i="52"/>
  <c r="J43" i="52"/>
  <c r="H43" i="52"/>
  <c r="F43" i="52"/>
  <c r="C43" i="52"/>
  <c r="J42" i="52"/>
  <c r="H42" i="52"/>
  <c r="F42" i="52"/>
  <c r="C42" i="52"/>
  <c r="J41" i="52"/>
  <c r="H41" i="52"/>
  <c r="F41" i="52"/>
  <c r="C41" i="52"/>
  <c r="J40" i="52"/>
  <c r="H40" i="52"/>
  <c r="F40" i="52"/>
  <c r="C40" i="52"/>
  <c r="J39" i="52"/>
  <c r="H39" i="52"/>
  <c r="F39" i="52"/>
  <c r="C39" i="52"/>
  <c r="J38" i="52"/>
  <c r="H38" i="52"/>
  <c r="F38" i="52"/>
  <c r="C38" i="52"/>
  <c r="J37" i="52"/>
  <c r="H37" i="52"/>
  <c r="F37" i="52"/>
  <c r="C37" i="52"/>
  <c r="J36" i="52"/>
  <c r="I36" i="52"/>
  <c r="H36" i="52"/>
  <c r="F36" i="52"/>
  <c r="C36" i="52"/>
  <c r="J35" i="52"/>
  <c r="H35" i="52"/>
  <c r="F35" i="52"/>
  <c r="C35" i="52"/>
  <c r="J34" i="52"/>
  <c r="H34" i="52"/>
  <c r="F34" i="52"/>
  <c r="C34" i="52"/>
  <c r="J33" i="52"/>
  <c r="H33" i="52"/>
  <c r="F33" i="52"/>
  <c r="C33" i="52"/>
  <c r="J32" i="52"/>
  <c r="H32" i="52"/>
  <c r="F32" i="52"/>
  <c r="C32" i="52"/>
  <c r="J31" i="52"/>
  <c r="H31" i="52"/>
  <c r="F31" i="52"/>
  <c r="C31" i="52"/>
  <c r="J25" i="52"/>
  <c r="H25" i="52"/>
  <c r="G25" i="52"/>
  <c r="U11" i="52" s="1"/>
  <c r="U37" i="52" s="1"/>
  <c r="F25" i="52"/>
  <c r="C25" i="52"/>
  <c r="J24" i="52"/>
  <c r="H24" i="52"/>
  <c r="F24" i="52"/>
  <c r="J23" i="52"/>
  <c r="H23" i="52"/>
  <c r="G23" i="52"/>
  <c r="F23" i="52"/>
  <c r="C23" i="52"/>
  <c r="J22" i="52"/>
  <c r="H22" i="52"/>
  <c r="G22" i="52"/>
  <c r="F22" i="52"/>
  <c r="C22" i="52"/>
  <c r="J21" i="52"/>
  <c r="H21" i="52"/>
  <c r="G21" i="52"/>
  <c r="F21" i="52"/>
  <c r="C21" i="52"/>
  <c r="J20" i="52"/>
  <c r="H20" i="52"/>
  <c r="F20" i="52"/>
  <c r="C20" i="52"/>
  <c r="J19" i="52"/>
  <c r="H19" i="52"/>
  <c r="G19" i="52"/>
  <c r="U20" i="52" s="1"/>
  <c r="U46" i="52" s="1"/>
  <c r="F19" i="52"/>
  <c r="C19" i="52"/>
  <c r="J18" i="52"/>
  <c r="H18" i="52"/>
  <c r="G18" i="52"/>
  <c r="F18" i="52"/>
  <c r="C18" i="52"/>
  <c r="J17" i="52"/>
  <c r="H17" i="52"/>
  <c r="G17" i="52"/>
  <c r="F17" i="52"/>
  <c r="C17" i="52"/>
  <c r="J16" i="52"/>
  <c r="H16" i="52"/>
  <c r="G16" i="52"/>
  <c r="F16" i="52"/>
  <c r="C16" i="52"/>
  <c r="J15" i="52"/>
  <c r="H15" i="52"/>
  <c r="G15" i="52"/>
  <c r="U16" i="52" s="1"/>
  <c r="U42" i="52" s="1"/>
  <c r="F15" i="52"/>
  <c r="C15" i="52"/>
  <c r="J14" i="52"/>
  <c r="H14" i="52"/>
  <c r="G14" i="52"/>
  <c r="F14" i="52"/>
  <c r="C14" i="52"/>
  <c r="J13" i="52"/>
  <c r="H13" i="52"/>
  <c r="G13" i="52"/>
  <c r="U14" i="52" s="1"/>
  <c r="U40" i="52" s="1"/>
  <c r="F13" i="52"/>
  <c r="C13" i="52"/>
  <c r="J12" i="52"/>
  <c r="H12" i="52"/>
  <c r="G12" i="52"/>
  <c r="F12" i="52"/>
  <c r="C12" i="52"/>
  <c r="J11" i="52"/>
  <c r="H11" i="52"/>
  <c r="G11" i="52"/>
  <c r="F11" i="52"/>
  <c r="C11" i="52"/>
  <c r="J10" i="52"/>
  <c r="H10" i="52"/>
  <c r="G10" i="52"/>
  <c r="F10" i="52"/>
  <c r="C10" i="52"/>
  <c r="J9" i="52"/>
  <c r="H9" i="52"/>
  <c r="G9" i="52"/>
  <c r="F9" i="52"/>
  <c r="C9" i="52"/>
  <c r="J8" i="52"/>
  <c r="H8" i="52"/>
  <c r="F8" i="52"/>
  <c r="C8" i="52"/>
  <c r="J7" i="52"/>
  <c r="H7" i="52"/>
  <c r="G7" i="52"/>
  <c r="F7" i="52"/>
  <c r="C7" i="52"/>
  <c r="AF32" i="52"/>
  <c r="AF6" i="52"/>
  <c r="G54" i="51"/>
  <c r="G55" i="51"/>
  <c r="G56" i="51"/>
  <c r="G57" i="51"/>
  <c r="G58" i="51"/>
  <c r="G59" i="51"/>
  <c r="G60" i="51"/>
  <c r="G61" i="51"/>
  <c r="G62" i="51"/>
  <c r="G9" i="51"/>
  <c r="H62" i="51"/>
  <c r="E62" i="51"/>
  <c r="C62" i="51"/>
  <c r="H61" i="51"/>
  <c r="E61" i="51"/>
  <c r="C61" i="51"/>
  <c r="H60" i="51"/>
  <c r="E60" i="51"/>
  <c r="C60" i="51"/>
  <c r="H59" i="51"/>
  <c r="E59" i="51"/>
  <c r="C59" i="51"/>
  <c r="H58" i="51"/>
  <c r="E58" i="51"/>
  <c r="C58" i="51"/>
  <c r="H57" i="51"/>
  <c r="E57" i="51"/>
  <c r="C57" i="51"/>
  <c r="H56" i="51"/>
  <c r="E56" i="51"/>
  <c r="C56" i="51"/>
  <c r="H55" i="51"/>
  <c r="E55" i="51"/>
  <c r="C55" i="51"/>
  <c r="H54" i="51"/>
  <c r="E54" i="51"/>
  <c r="C54" i="51"/>
  <c r="J49" i="51"/>
  <c r="H49" i="51"/>
  <c r="F49" i="51"/>
  <c r="C49" i="51"/>
  <c r="J48" i="51"/>
  <c r="H48" i="51"/>
  <c r="F48" i="51"/>
  <c r="J47" i="51"/>
  <c r="H47" i="51"/>
  <c r="F47" i="51"/>
  <c r="C47" i="51"/>
  <c r="J46" i="51"/>
  <c r="H46" i="51"/>
  <c r="F46" i="51"/>
  <c r="C46" i="51"/>
  <c r="J45" i="51"/>
  <c r="H45" i="51"/>
  <c r="F45" i="51"/>
  <c r="C45" i="51"/>
  <c r="J44" i="51"/>
  <c r="H44" i="51"/>
  <c r="F44" i="51"/>
  <c r="C44" i="51"/>
  <c r="J43" i="51"/>
  <c r="H43" i="51"/>
  <c r="F43" i="51"/>
  <c r="C43" i="51"/>
  <c r="J42" i="51"/>
  <c r="H42" i="51"/>
  <c r="F42" i="51"/>
  <c r="C42" i="51"/>
  <c r="J41" i="51"/>
  <c r="H41" i="51"/>
  <c r="F41" i="51"/>
  <c r="C41" i="51"/>
  <c r="J40" i="51"/>
  <c r="H40" i="51"/>
  <c r="F40" i="51"/>
  <c r="C40" i="51"/>
  <c r="J39" i="51"/>
  <c r="H39" i="51"/>
  <c r="F39" i="51"/>
  <c r="C39" i="51"/>
  <c r="J38" i="51"/>
  <c r="H38" i="51"/>
  <c r="F38" i="51"/>
  <c r="C38" i="51"/>
  <c r="J37" i="51"/>
  <c r="H37" i="51"/>
  <c r="F37" i="51"/>
  <c r="C37" i="51"/>
  <c r="J36" i="51"/>
  <c r="I36" i="51"/>
  <c r="H36" i="51"/>
  <c r="F36" i="51"/>
  <c r="C36" i="51"/>
  <c r="J35" i="51"/>
  <c r="H35" i="51"/>
  <c r="F35" i="51"/>
  <c r="C35" i="51"/>
  <c r="J34" i="51"/>
  <c r="H34" i="51"/>
  <c r="F34" i="51"/>
  <c r="C34" i="51"/>
  <c r="J33" i="51"/>
  <c r="H33" i="51"/>
  <c r="F33" i="51"/>
  <c r="C33" i="51"/>
  <c r="J32" i="51"/>
  <c r="H32" i="51"/>
  <c r="F32" i="51"/>
  <c r="C32" i="51"/>
  <c r="J31" i="51"/>
  <c r="H31" i="51"/>
  <c r="F31" i="51"/>
  <c r="C31" i="51"/>
  <c r="Q50" i="51"/>
  <c r="Q49" i="51"/>
  <c r="Q46" i="51"/>
  <c r="Q44" i="51"/>
  <c r="Q42" i="51"/>
  <c r="Q35" i="51"/>
  <c r="Q36" i="51"/>
  <c r="Q37" i="51"/>
  <c r="Q38" i="51"/>
  <c r="Q40" i="51"/>
  <c r="Q34" i="51"/>
  <c r="Q33" i="51"/>
  <c r="G7" i="51"/>
  <c r="G14" i="51"/>
  <c r="G16" i="51"/>
  <c r="G8" i="51"/>
  <c r="U8" i="51" s="1"/>
  <c r="U34" i="51" s="1"/>
  <c r="J25" i="51"/>
  <c r="H25" i="51"/>
  <c r="G25" i="51"/>
  <c r="U11" i="51" s="1"/>
  <c r="U37" i="51" s="1"/>
  <c r="F25" i="51"/>
  <c r="C25" i="51"/>
  <c r="J24" i="51"/>
  <c r="H24" i="51"/>
  <c r="F24" i="51"/>
  <c r="J23" i="51"/>
  <c r="H23" i="51"/>
  <c r="G23" i="51"/>
  <c r="F23" i="51"/>
  <c r="C23" i="51"/>
  <c r="J22" i="51"/>
  <c r="H22" i="51"/>
  <c r="G22" i="51"/>
  <c r="F22" i="51"/>
  <c r="C22" i="51"/>
  <c r="J21" i="51"/>
  <c r="H21" i="51"/>
  <c r="G21" i="51"/>
  <c r="F21" i="51"/>
  <c r="C21" i="51"/>
  <c r="J20" i="51"/>
  <c r="H20" i="51"/>
  <c r="F20" i="51"/>
  <c r="C20" i="51"/>
  <c r="J19" i="51"/>
  <c r="H19" i="51"/>
  <c r="G19" i="51"/>
  <c r="U20" i="51" s="1"/>
  <c r="U46" i="51" s="1"/>
  <c r="F19" i="51"/>
  <c r="C19" i="51"/>
  <c r="J18" i="51"/>
  <c r="H18" i="51"/>
  <c r="G18" i="51"/>
  <c r="F18" i="51"/>
  <c r="C18" i="51"/>
  <c r="J17" i="51"/>
  <c r="H17" i="51"/>
  <c r="G17" i="51"/>
  <c r="F17" i="51"/>
  <c r="C17" i="51"/>
  <c r="J16" i="51"/>
  <c r="H16" i="51"/>
  <c r="F16" i="51"/>
  <c r="C16" i="51"/>
  <c r="J15" i="51"/>
  <c r="H15" i="51"/>
  <c r="G15" i="51"/>
  <c r="U16" i="51" s="1"/>
  <c r="U42" i="51" s="1"/>
  <c r="F15" i="51"/>
  <c r="C15" i="51"/>
  <c r="J14" i="51"/>
  <c r="H14" i="51"/>
  <c r="F14" i="51"/>
  <c r="C14" i="51"/>
  <c r="J13" i="51"/>
  <c r="H13" i="51"/>
  <c r="G13" i="51"/>
  <c r="U14" i="51" s="1"/>
  <c r="U40" i="51" s="1"/>
  <c r="F13" i="51"/>
  <c r="C13" i="51"/>
  <c r="J12" i="51"/>
  <c r="H12" i="51"/>
  <c r="G12" i="51"/>
  <c r="F12" i="51"/>
  <c r="C12" i="51"/>
  <c r="J11" i="51"/>
  <c r="H11" i="51"/>
  <c r="G11" i="51"/>
  <c r="F11" i="51"/>
  <c r="C11" i="51"/>
  <c r="J10" i="51"/>
  <c r="H10" i="51"/>
  <c r="G10" i="51"/>
  <c r="F10" i="51"/>
  <c r="C10" i="51"/>
  <c r="J9" i="51"/>
  <c r="H9" i="51"/>
  <c r="F9" i="51"/>
  <c r="C9" i="51"/>
  <c r="J8" i="51"/>
  <c r="H8" i="51"/>
  <c r="F8" i="51"/>
  <c r="C8" i="51"/>
  <c r="J7" i="51"/>
  <c r="H7" i="51"/>
  <c r="F7" i="51"/>
  <c r="C7" i="51"/>
  <c r="AF32" i="51"/>
  <c r="AF6" i="51"/>
  <c r="G25" i="28"/>
  <c r="U11" i="28" s="1"/>
  <c r="U37" i="28" s="1"/>
  <c r="Q37" i="28"/>
  <c r="J49" i="28"/>
  <c r="H49" i="28"/>
  <c r="F49" i="28"/>
  <c r="C49" i="28"/>
  <c r="J36" i="28"/>
  <c r="I36" i="28"/>
  <c r="H36" i="28"/>
  <c r="F36" i="28"/>
  <c r="C36" i="28"/>
  <c r="G9" i="28"/>
  <c r="U9" i="28" s="1"/>
  <c r="U35" i="28" s="1"/>
  <c r="G8" i="28"/>
  <c r="U8" i="28" s="1"/>
  <c r="U34" i="28" s="1"/>
  <c r="C7" i="28"/>
  <c r="C25" i="28"/>
  <c r="C8" i="28"/>
  <c r="C9" i="28"/>
  <c r="C10" i="28"/>
  <c r="C11" i="28"/>
  <c r="C12" i="28"/>
  <c r="C13" i="28"/>
  <c r="C14" i="28"/>
  <c r="C15" i="28"/>
  <c r="C16" i="28"/>
  <c r="C17" i="28"/>
  <c r="C18" i="28"/>
  <c r="C19" i="28"/>
  <c r="C20" i="28"/>
  <c r="C21" i="28"/>
  <c r="C22" i="28"/>
  <c r="C23" i="28"/>
  <c r="J25" i="28"/>
  <c r="H25" i="28"/>
  <c r="F25" i="28"/>
  <c r="J12" i="28"/>
  <c r="H12" i="28"/>
  <c r="G12" i="28"/>
  <c r="F12" i="28"/>
  <c r="G7" i="28"/>
  <c r="G14" i="28"/>
  <c r="G16" i="28"/>
  <c r="G21" i="28"/>
  <c r="G22" i="28"/>
  <c r="G23" i="28"/>
  <c r="C55" i="28"/>
  <c r="C54" i="28"/>
  <c r="G54" i="28"/>
  <c r="G55" i="28"/>
  <c r="G56" i="28"/>
  <c r="G57" i="28"/>
  <c r="G58" i="28"/>
  <c r="G59" i="28"/>
  <c r="G60" i="28"/>
  <c r="G61" i="28"/>
  <c r="G62" i="28"/>
  <c r="G19" i="28"/>
  <c r="U20" i="28" s="1"/>
  <c r="U46" i="28" s="1"/>
  <c r="G17" i="28"/>
  <c r="G18" i="28"/>
  <c r="G13" i="28"/>
  <c r="U14" i="28" s="1"/>
  <c r="U40" i="28" s="1"/>
  <c r="G15" i="28"/>
  <c r="U16" i="28" s="1"/>
  <c r="U42" i="28" s="1"/>
  <c r="G10" i="28"/>
  <c r="G11" i="28"/>
  <c r="F23" i="28"/>
  <c r="F48" i="28"/>
  <c r="C31" i="28"/>
  <c r="C32" i="28"/>
  <c r="C33" i="28"/>
  <c r="C34" i="28"/>
  <c r="C35" i="28"/>
  <c r="C37" i="28"/>
  <c r="C38" i="28"/>
  <c r="C39" i="28"/>
  <c r="C40" i="28"/>
  <c r="C41" i="28"/>
  <c r="C42" i="28"/>
  <c r="C43" i="28"/>
  <c r="C44" i="28"/>
  <c r="C45" i="28"/>
  <c r="C46" i="28"/>
  <c r="C47" i="28"/>
  <c r="AF32" i="28"/>
  <c r="Q50" i="28"/>
  <c r="Q49" i="28"/>
  <c r="Q46" i="28"/>
  <c r="Q42" i="28"/>
  <c r="Q44" i="28"/>
  <c r="Q40" i="28"/>
  <c r="Q38" i="28"/>
  <c r="Q35" i="28"/>
  <c r="Q36" i="28"/>
  <c r="Q34" i="28"/>
  <c r="Q33" i="28"/>
  <c r="E26" i="9"/>
  <c r="C7" i="3" s="1"/>
  <c r="E27" i="9"/>
  <c r="C8" i="3" s="1"/>
  <c r="E29" i="9"/>
  <c r="C10" i="3" s="1"/>
  <c r="E30" i="9"/>
  <c r="C11" i="3" s="1"/>
  <c r="F37" i="28"/>
  <c r="H37" i="28"/>
  <c r="J37" i="28"/>
  <c r="F38" i="28"/>
  <c r="H38" i="28"/>
  <c r="J38" i="28"/>
  <c r="F39" i="28"/>
  <c r="H39" i="28"/>
  <c r="J39" i="28"/>
  <c r="F40" i="28"/>
  <c r="H40" i="28"/>
  <c r="J40" i="28"/>
  <c r="F41" i="28"/>
  <c r="H41" i="28"/>
  <c r="J41" i="28"/>
  <c r="F42" i="28"/>
  <c r="H42" i="28"/>
  <c r="J42" i="28"/>
  <c r="F43" i="28"/>
  <c r="H43" i="28"/>
  <c r="J43" i="28"/>
  <c r="F44" i="28"/>
  <c r="H44" i="28"/>
  <c r="J44" i="28"/>
  <c r="F45" i="28"/>
  <c r="H45" i="28"/>
  <c r="J45" i="28"/>
  <c r="F46" i="28"/>
  <c r="H46" i="28"/>
  <c r="J46" i="28"/>
  <c r="F47" i="28"/>
  <c r="H47" i="28"/>
  <c r="J47" i="28"/>
  <c r="H48" i="28"/>
  <c r="J48" i="28"/>
  <c r="F35" i="28"/>
  <c r="H35" i="28"/>
  <c r="J35" i="28"/>
  <c r="F34" i="28"/>
  <c r="H34" i="28"/>
  <c r="J34" i="28"/>
  <c r="F33" i="28"/>
  <c r="H33" i="28"/>
  <c r="J33" i="28"/>
  <c r="F32" i="28"/>
  <c r="H32" i="28"/>
  <c r="J32" i="28"/>
  <c r="J31" i="28"/>
  <c r="H31" i="28"/>
  <c r="F31" i="28"/>
  <c r="J7" i="28"/>
  <c r="H24" i="28"/>
  <c r="J22" i="28"/>
  <c r="H21" i="28"/>
  <c r="J21" i="28"/>
  <c r="F21" i="28"/>
  <c r="J13" i="28"/>
  <c r="J8" i="28"/>
  <c r="J9" i="28"/>
  <c r="J10" i="28"/>
  <c r="J11" i="28"/>
  <c r="J14" i="28"/>
  <c r="J15" i="28"/>
  <c r="J16" i="28"/>
  <c r="J17" i="28"/>
  <c r="J18" i="28"/>
  <c r="J19" i="28"/>
  <c r="J20" i="28"/>
  <c r="J23" i="28"/>
  <c r="J24" i="28"/>
  <c r="H13" i="28"/>
  <c r="H7" i="28"/>
  <c r="H10" i="28"/>
  <c r="H9" i="28"/>
  <c r="F9" i="28"/>
  <c r="F7" i="28"/>
  <c r="F8" i="28"/>
  <c r="H8" i="28"/>
  <c r="F10" i="28"/>
  <c r="F11" i="28"/>
  <c r="H11" i="28"/>
  <c r="F13" i="28"/>
  <c r="F14" i="28"/>
  <c r="H14" i="28"/>
  <c r="F15" i="28"/>
  <c r="H15" i="28"/>
  <c r="F16" i="28"/>
  <c r="H16" i="28"/>
  <c r="F17" i="28"/>
  <c r="H17" i="28"/>
  <c r="F18" i="28"/>
  <c r="H18" i="28"/>
  <c r="F19" i="28"/>
  <c r="H19" i="28"/>
  <c r="F20" i="28"/>
  <c r="H20" i="28"/>
  <c r="F22" i="28"/>
  <c r="H22" i="28"/>
  <c r="H23" i="28"/>
  <c r="F24" i="28"/>
  <c r="F26" i="9"/>
  <c r="AI58" i="28"/>
  <c r="AH58" i="28"/>
  <c r="C33" i="9"/>
  <c r="C34" i="9"/>
  <c r="C35" i="9"/>
  <c r="C36" i="9"/>
  <c r="E55" i="28"/>
  <c r="E56" i="28"/>
  <c r="E57" i="28"/>
  <c r="E58" i="28"/>
  <c r="E59" i="28"/>
  <c r="E60" i="28"/>
  <c r="E61" i="28"/>
  <c r="E62" i="28"/>
  <c r="C37" i="9"/>
  <c r="C38" i="9"/>
  <c r="F28" i="9"/>
  <c r="E28" i="9"/>
  <c r="C9" i="3" s="1"/>
  <c r="G22" i="45"/>
  <c r="CN26" i="45"/>
  <c r="H62" i="28"/>
  <c r="C62" i="28"/>
  <c r="H61" i="28"/>
  <c r="C61" i="28"/>
  <c r="H60" i="28"/>
  <c r="C60" i="28"/>
  <c r="H59" i="28"/>
  <c r="C59" i="28"/>
  <c r="H58" i="28"/>
  <c r="C58" i="28"/>
  <c r="H57" i="28"/>
  <c r="C57" i="28"/>
  <c r="H56" i="28"/>
  <c r="C56" i="28"/>
  <c r="H55" i="28"/>
  <c r="H54" i="28"/>
  <c r="E54" i="28"/>
  <c r="C27" i="48"/>
  <c r="C26" i="48"/>
  <c r="C25" i="48"/>
  <c r="C24" i="48"/>
  <c r="C23" i="48"/>
  <c r="C22" i="48"/>
  <c r="L54" i="45"/>
  <c r="K54" i="45"/>
  <c r="J54" i="45"/>
  <c r="I54" i="45"/>
  <c r="H54" i="45"/>
  <c r="G54" i="45"/>
  <c r="F54" i="45"/>
  <c r="E54" i="45"/>
  <c r="D54" i="45"/>
  <c r="L53" i="45"/>
  <c r="K53" i="45"/>
  <c r="J53" i="45"/>
  <c r="I53" i="45"/>
  <c r="H53" i="45"/>
  <c r="G53" i="45"/>
  <c r="F53" i="45"/>
  <c r="E53" i="45"/>
  <c r="D53" i="45"/>
  <c r="L52" i="45"/>
  <c r="K52" i="45"/>
  <c r="J52" i="45"/>
  <c r="I52" i="45"/>
  <c r="H52" i="45"/>
  <c r="G52" i="45"/>
  <c r="F52" i="45"/>
  <c r="E52" i="45"/>
  <c r="D52" i="45"/>
  <c r="L51" i="45"/>
  <c r="K51" i="45"/>
  <c r="J51" i="45"/>
  <c r="I51" i="45"/>
  <c r="H51" i="45"/>
  <c r="G51" i="45"/>
  <c r="F51" i="45"/>
  <c r="E51" i="45"/>
  <c r="D51" i="45"/>
  <c r="L50" i="45"/>
  <c r="K50" i="45"/>
  <c r="J50" i="45"/>
  <c r="I50" i="45"/>
  <c r="H50" i="45"/>
  <c r="G50" i="45"/>
  <c r="F50" i="45"/>
  <c r="E50" i="45"/>
  <c r="D50" i="45"/>
  <c r="L49" i="45"/>
  <c r="K49" i="45"/>
  <c r="J49" i="45"/>
  <c r="I49" i="45"/>
  <c r="H49" i="45"/>
  <c r="G49" i="45"/>
  <c r="F49" i="45"/>
  <c r="E49" i="45"/>
  <c r="D49" i="45"/>
  <c r="L48" i="45"/>
  <c r="K48" i="45"/>
  <c r="J48" i="45"/>
  <c r="I48" i="45"/>
  <c r="H48" i="45"/>
  <c r="G48" i="45"/>
  <c r="F48" i="45"/>
  <c r="E48" i="45"/>
  <c r="D48" i="45"/>
  <c r="L47" i="45"/>
  <c r="K47" i="45"/>
  <c r="J47" i="45"/>
  <c r="I47" i="45"/>
  <c r="H47" i="45"/>
  <c r="G47" i="45"/>
  <c r="F47" i="45"/>
  <c r="E47" i="45"/>
  <c r="D47" i="45"/>
  <c r="L46" i="45"/>
  <c r="K46" i="45"/>
  <c r="J46" i="45"/>
  <c r="I46" i="45"/>
  <c r="H46" i="45"/>
  <c r="G46" i="45"/>
  <c r="F46" i="45"/>
  <c r="E46" i="45"/>
  <c r="D46" i="45"/>
  <c r="L42" i="45"/>
  <c r="K42" i="45"/>
  <c r="J42" i="45"/>
  <c r="I42" i="45"/>
  <c r="H42" i="45"/>
  <c r="G42" i="45"/>
  <c r="F42" i="45"/>
  <c r="E42" i="45"/>
  <c r="D42" i="45"/>
  <c r="L41" i="45"/>
  <c r="K41" i="45"/>
  <c r="J41" i="45"/>
  <c r="I41" i="45"/>
  <c r="H41" i="45"/>
  <c r="G41" i="45"/>
  <c r="F41" i="45"/>
  <c r="E41" i="45"/>
  <c r="D41" i="45"/>
  <c r="L40" i="45"/>
  <c r="K40" i="45"/>
  <c r="J40" i="45"/>
  <c r="I40" i="45"/>
  <c r="H40" i="45"/>
  <c r="G40" i="45"/>
  <c r="F40" i="45"/>
  <c r="E40" i="45"/>
  <c r="D40" i="45"/>
  <c r="L39" i="45"/>
  <c r="K39" i="45"/>
  <c r="J39" i="45"/>
  <c r="I39" i="45"/>
  <c r="H39" i="45"/>
  <c r="G39" i="45"/>
  <c r="F39" i="45"/>
  <c r="E39" i="45"/>
  <c r="D39" i="45"/>
  <c r="L38" i="45"/>
  <c r="K38" i="45"/>
  <c r="J38" i="45"/>
  <c r="I38" i="45"/>
  <c r="H38" i="45"/>
  <c r="G38" i="45"/>
  <c r="F38" i="45"/>
  <c r="E38" i="45"/>
  <c r="D38" i="45"/>
  <c r="L37" i="45"/>
  <c r="K37" i="45"/>
  <c r="J37" i="45"/>
  <c r="I37" i="45"/>
  <c r="H37" i="45"/>
  <c r="G37" i="45"/>
  <c r="F37" i="45"/>
  <c r="E37" i="45"/>
  <c r="D37" i="45"/>
  <c r="L36" i="45"/>
  <c r="K36" i="45"/>
  <c r="J36" i="45"/>
  <c r="I36" i="45"/>
  <c r="H36" i="45"/>
  <c r="G36" i="45"/>
  <c r="F36" i="45"/>
  <c r="E36" i="45"/>
  <c r="D36" i="45"/>
  <c r="L35" i="45"/>
  <c r="K35" i="45"/>
  <c r="J35" i="45"/>
  <c r="I35" i="45"/>
  <c r="H35" i="45"/>
  <c r="G35" i="45"/>
  <c r="F35" i="45"/>
  <c r="E35" i="45"/>
  <c r="D35" i="45"/>
  <c r="L34" i="45"/>
  <c r="K34" i="45"/>
  <c r="J34" i="45"/>
  <c r="I34" i="45"/>
  <c r="H34" i="45"/>
  <c r="G34" i="45"/>
  <c r="F34" i="45"/>
  <c r="E34" i="45"/>
  <c r="D34" i="45"/>
  <c r="L30" i="45"/>
  <c r="K30" i="45"/>
  <c r="J30" i="45"/>
  <c r="I30" i="45"/>
  <c r="H30" i="45"/>
  <c r="G30" i="45"/>
  <c r="F30" i="45"/>
  <c r="E30" i="45"/>
  <c r="D30" i="45"/>
  <c r="L29" i="45"/>
  <c r="K29" i="45"/>
  <c r="J29" i="45"/>
  <c r="I29" i="45"/>
  <c r="H29" i="45"/>
  <c r="G29" i="45"/>
  <c r="F29" i="45"/>
  <c r="E29" i="45"/>
  <c r="D29" i="45"/>
  <c r="L28" i="45"/>
  <c r="K28" i="45"/>
  <c r="J28" i="45"/>
  <c r="I28" i="45"/>
  <c r="H28" i="45"/>
  <c r="G28" i="45"/>
  <c r="F28" i="45"/>
  <c r="E28" i="45"/>
  <c r="D28" i="45"/>
  <c r="L27" i="45"/>
  <c r="K27" i="45"/>
  <c r="J27" i="45"/>
  <c r="I27" i="45"/>
  <c r="H27" i="45"/>
  <c r="G27" i="45"/>
  <c r="F27" i="45"/>
  <c r="E27" i="45"/>
  <c r="D27" i="45"/>
  <c r="L26" i="45"/>
  <c r="K26" i="45"/>
  <c r="J26" i="45"/>
  <c r="I26" i="45"/>
  <c r="H26" i="45"/>
  <c r="G26" i="45"/>
  <c r="F26" i="45"/>
  <c r="E26" i="45"/>
  <c r="D26" i="45"/>
  <c r="L25" i="45"/>
  <c r="K25" i="45"/>
  <c r="J25" i="45"/>
  <c r="I25" i="45"/>
  <c r="H25" i="45"/>
  <c r="G25" i="45"/>
  <c r="F25" i="45"/>
  <c r="E25" i="45"/>
  <c r="D25" i="45"/>
  <c r="L24" i="45"/>
  <c r="K24" i="45"/>
  <c r="J24" i="45"/>
  <c r="I24" i="45"/>
  <c r="H24" i="45"/>
  <c r="G24" i="45"/>
  <c r="F24" i="45"/>
  <c r="E24" i="45"/>
  <c r="D24" i="45"/>
  <c r="L23" i="45"/>
  <c r="K23" i="45"/>
  <c r="J23" i="45"/>
  <c r="I23" i="45"/>
  <c r="H23" i="45"/>
  <c r="G23" i="45"/>
  <c r="F23" i="45"/>
  <c r="E23" i="45"/>
  <c r="D23" i="45"/>
  <c r="L22" i="45"/>
  <c r="K22" i="45"/>
  <c r="J22" i="45"/>
  <c r="I22" i="45"/>
  <c r="H22" i="45"/>
  <c r="F22" i="45"/>
  <c r="E22" i="45"/>
  <c r="D22" i="45"/>
  <c r="B24" i="43"/>
  <c r="E22" i="9" s="1"/>
  <c r="B21" i="43"/>
  <c r="B20" i="43"/>
  <c r="E18" i="9" s="1"/>
  <c r="B19" i="43"/>
  <c r="B17" i="43"/>
  <c r="E15" i="9" s="1"/>
  <c r="B15" i="43"/>
  <c r="E13" i="9" s="1"/>
  <c r="B14" i="43"/>
  <c r="B13" i="43"/>
  <c r="E11" i="9" s="1"/>
  <c r="B11" i="43"/>
  <c r="AC31" i="45"/>
  <c r="AK31" i="45"/>
  <c r="AJ31" i="45"/>
  <c r="AI31" i="45"/>
  <c r="AH31" i="45"/>
  <c r="AG31" i="45"/>
  <c r="AF31" i="45"/>
  <c r="AE31" i="45"/>
  <c r="AD31" i="45"/>
  <c r="AK55" i="45"/>
  <c r="AJ55" i="45"/>
  <c r="AI55" i="45"/>
  <c r="AH55" i="45"/>
  <c r="AG55" i="45"/>
  <c r="AF55" i="45"/>
  <c r="AE55" i="45"/>
  <c r="AD55" i="45"/>
  <c r="AC55" i="45"/>
  <c r="AK43" i="45"/>
  <c r="AJ43" i="45"/>
  <c r="AI43" i="45"/>
  <c r="AH43" i="45"/>
  <c r="AG43" i="45"/>
  <c r="AF43" i="45"/>
  <c r="AE43" i="45"/>
  <c r="AD43" i="45"/>
  <c r="AC43" i="45"/>
  <c r="P8" i="45"/>
  <c r="P9" i="45"/>
  <c r="P10" i="45"/>
  <c r="P11" i="45"/>
  <c r="P12" i="45"/>
  <c r="P13" i="45"/>
  <c r="P14" i="45"/>
  <c r="P15" i="45"/>
  <c r="S15" i="45" s="1"/>
  <c r="P7" i="45"/>
  <c r="C55" i="45"/>
  <c r="C43" i="45"/>
  <c r="F8" i="45"/>
  <c r="F9" i="45"/>
  <c r="F10" i="45"/>
  <c r="F11" i="45"/>
  <c r="F12" i="45"/>
  <c r="F13" i="45"/>
  <c r="F14" i="45"/>
  <c r="F15" i="45"/>
  <c r="F7" i="45"/>
  <c r="D16" i="45"/>
  <c r="E16" i="45"/>
  <c r="C16" i="45"/>
  <c r="R8" i="45"/>
  <c r="R9" i="45"/>
  <c r="R10" i="45"/>
  <c r="R11" i="45"/>
  <c r="R12" i="45"/>
  <c r="R13" i="45"/>
  <c r="R14" i="45"/>
  <c r="R15" i="45"/>
  <c r="Q8" i="45"/>
  <c r="Q9" i="45"/>
  <c r="Q10" i="45"/>
  <c r="Q11" i="45"/>
  <c r="Q12" i="45"/>
  <c r="Q13" i="45"/>
  <c r="Q14" i="45"/>
  <c r="Q15" i="45"/>
  <c r="R7" i="45"/>
  <c r="Q7" i="45"/>
  <c r="Q44" i="45"/>
  <c r="Y44" i="45"/>
  <c r="W56" i="45"/>
  <c r="T44" i="45"/>
  <c r="R44" i="45"/>
  <c r="P56" i="45"/>
  <c r="X56" i="45"/>
  <c r="V32" i="45"/>
  <c r="R56" i="45"/>
  <c r="T32" i="45"/>
  <c r="U32" i="45"/>
  <c r="S44" i="45"/>
  <c r="S56" i="45"/>
  <c r="V44" i="45"/>
  <c r="Q32" i="45"/>
  <c r="Y32" i="45"/>
  <c r="W44" i="45"/>
  <c r="U56" i="45"/>
  <c r="P32" i="45"/>
  <c r="V56" i="45"/>
  <c r="P44" i="45"/>
  <c r="X44" i="45"/>
  <c r="T56" i="45"/>
  <c r="R32" i="45"/>
  <c r="S32" i="45"/>
  <c r="U44" i="45"/>
  <c r="Q56" i="45"/>
  <c r="Y56" i="45"/>
  <c r="W32" i="45"/>
  <c r="X32" i="45"/>
  <c r="AL31" i="45"/>
  <c r="AL55" i="45"/>
  <c r="AL43" i="45"/>
  <c r="C31" i="45"/>
  <c r="W2348" i="41"/>
  <c r="W2349" i="41"/>
  <c r="W2350" i="41"/>
  <c r="W2351" i="41"/>
  <c r="W2352" i="41"/>
  <c r="W2353" i="41"/>
  <c r="W2354" i="41"/>
  <c r="W2355" i="41"/>
  <c r="W2356" i="41"/>
  <c r="W2357" i="41"/>
  <c r="W2358" i="41"/>
  <c r="W2359" i="41"/>
  <c r="W2360" i="41"/>
  <c r="W2361" i="41"/>
  <c r="W2362" i="41"/>
  <c r="W2363" i="41"/>
  <c r="W2364" i="41"/>
  <c r="W2365" i="41"/>
  <c r="W2366" i="41"/>
  <c r="W2367" i="41"/>
  <c r="W2368" i="41"/>
  <c r="W2369" i="41"/>
  <c r="W2370" i="41"/>
  <c r="W2371" i="41"/>
  <c r="W2372" i="41"/>
  <c r="W2373" i="41"/>
  <c r="W2374" i="41"/>
  <c r="W2375" i="41"/>
  <c r="W2376" i="41"/>
  <c r="W2377" i="41"/>
  <c r="W2378" i="41"/>
  <c r="W2379" i="41"/>
  <c r="W2380" i="41"/>
  <c r="W2381" i="41"/>
  <c r="W2382" i="41"/>
  <c r="W2383" i="41"/>
  <c r="W2384" i="41"/>
  <c r="W2385" i="41"/>
  <c r="W2386" i="41"/>
  <c r="W2387" i="41"/>
  <c r="W2388" i="41"/>
  <c r="W2389" i="41"/>
  <c r="W2390" i="41"/>
  <c r="W2391" i="41"/>
  <c r="W2392" i="41"/>
  <c r="W2393" i="41"/>
  <c r="W2394" i="41"/>
  <c r="W2395" i="41"/>
  <c r="W2396" i="41"/>
  <c r="W2397" i="41"/>
  <c r="W2398" i="41"/>
  <c r="W2399" i="41"/>
  <c r="W2400" i="41"/>
  <c r="W2401" i="41"/>
  <c r="W2402" i="41"/>
  <c r="W2403" i="41"/>
  <c r="W2404" i="41"/>
  <c r="W2405" i="41"/>
  <c r="W2406" i="41"/>
  <c r="W2407" i="41"/>
  <c r="W2408" i="41"/>
  <c r="W2409" i="41"/>
  <c r="W2410" i="41"/>
  <c r="W2411" i="41"/>
  <c r="W2412" i="41"/>
  <c r="W2413" i="41"/>
  <c r="W2414" i="41"/>
  <c r="W2415" i="41"/>
  <c r="W2416" i="41"/>
  <c r="W2417" i="41"/>
  <c r="W2418" i="41"/>
  <c r="W2419" i="41"/>
  <c r="W2420" i="41"/>
  <c r="W2421" i="41"/>
  <c r="W2422" i="41"/>
  <c r="W2423" i="41"/>
  <c r="W2424" i="41"/>
  <c r="W2425" i="41"/>
  <c r="W2426" i="41"/>
  <c r="W2427" i="41"/>
  <c r="W2428" i="41"/>
  <c r="W2429" i="41"/>
  <c r="W2430" i="41"/>
  <c r="W2431" i="41"/>
  <c r="W2432" i="41"/>
  <c r="W2433" i="41"/>
  <c r="W2434" i="41"/>
  <c r="W2435" i="41"/>
  <c r="W2436" i="41"/>
  <c r="W2437" i="41"/>
  <c r="W2438" i="41"/>
  <c r="W2439" i="41"/>
  <c r="W2440" i="41"/>
  <c r="W2441" i="41"/>
  <c r="W2442" i="41"/>
  <c r="W2443" i="41"/>
  <c r="W2444" i="41"/>
  <c r="W2445" i="41"/>
  <c r="W2446" i="41"/>
  <c r="W2447" i="41"/>
  <c r="W2448" i="41"/>
  <c r="W2449" i="41"/>
  <c r="W2450" i="41"/>
  <c r="W2451" i="41"/>
  <c r="W2452" i="41"/>
  <c r="W2453" i="41"/>
  <c r="W2454" i="41"/>
  <c r="W2455" i="41"/>
  <c r="W2456" i="41"/>
  <c r="W2457" i="41"/>
  <c r="W2458" i="41"/>
  <c r="W2459" i="41"/>
  <c r="W2460" i="41"/>
  <c r="W2461" i="41"/>
  <c r="W2462" i="41"/>
  <c r="W2463" i="41"/>
  <c r="W2464" i="41"/>
  <c r="W2465" i="41"/>
  <c r="W2466" i="41"/>
  <c r="W2467" i="41"/>
  <c r="W2468" i="41"/>
  <c r="W2469" i="41"/>
  <c r="W2470" i="41"/>
  <c r="W2471" i="41"/>
  <c r="W2472" i="41"/>
  <c r="W2473" i="41"/>
  <c r="W2474" i="41"/>
  <c r="W2475" i="41"/>
  <c r="W2476" i="41"/>
  <c r="W2477" i="41"/>
  <c r="W2478" i="41"/>
  <c r="W2479" i="41"/>
  <c r="W2480" i="41"/>
  <c r="W2481" i="41"/>
  <c r="W2482" i="41"/>
  <c r="W2483" i="41"/>
  <c r="W2484" i="41"/>
  <c r="W2485" i="41"/>
  <c r="W2486" i="41"/>
  <c r="W2487" i="41"/>
  <c r="W2488" i="41"/>
  <c r="W2489" i="41"/>
  <c r="W2490" i="41"/>
  <c r="W2491" i="41"/>
  <c r="W2492" i="41"/>
  <c r="W2493" i="41"/>
  <c r="W2494" i="41"/>
  <c r="W2495" i="41"/>
  <c r="W2496" i="41"/>
  <c r="W2497" i="41"/>
  <c r="W2498" i="41"/>
  <c r="W2499" i="41"/>
  <c r="W2500" i="41"/>
  <c r="W2501" i="41"/>
  <c r="W2502" i="41"/>
  <c r="W2503" i="41"/>
  <c r="W2504" i="41"/>
  <c r="W2505" i="41"/>
  <c r="W2506" i="41"/>
  <c r="W2507" i="41"/>
  <c r="W2508" i="41"/>
  <c r="W2509" i="41"/>
  <c r="W2510" i="41"/>
  <c r="W2511" i="41"/>
  <c r="W2512" i="41"/>
  <c r="W2513" i="41"/>
  <c r="W2514" i="41"/>
  <c r="W2515" i="41"/>
  <c r="W2516" i="41"/>
  <c r="W2517" i="41"/>
  <c r="W2518" i="41"/>
  <c r="W2519" i="41"/>
  <c r="W2520" i="41"/>
  <c r="W2521" i="41"/>
  <c r="W2522" i="41"/>
  <c r="W2523" i="41"/>
  <c r="W2524" i="41"/>
  <c r="W2525" i="41"/>
  <c r="W2526" i="41"/>
  <c r="W2527" i="41"/>
  <c r="W2528" i="41"/>
  <c r="W2529" i="41"/>
  <c r="W2530" i="41"/>
  <c r="W2531" i="41"/>
  <c r="W2532" i="41"/>
  <c r="W2533" i="41"/>
  <c r="W2534" i="41"/>
  <c r="W2535" i="41"/>
  <c r="W2536" i="41"/>
  <c r="W2537" i="41"/>
  <c r="W2538" i="41"/>
  <c r="W2539" i="41"/>
  <c r="W2540" i="41"/>
  <c r="W2541" i="41"/>
  <c r="W2542" i="41"/>
  <c r="W2543" i="41"/>
  <c r="W2544" i="41"/>
  <c r="W2545" i="41"/>
  <c r="W2546" i="41"/>
  <c r="W2547" i="41"/>
  <c r="W2548" i="41"/>
  <c r="W2549" i="41"/>
  <c r="W2550" i="41"/>
  <c r="W2551" i="41"/>
  <c r="W2552" i="41"/>
  <c r="W2553" i="41"/>
  <c r="W2554" i="41"/>
  <c r="W2555" i="41"/>
  <c r="W2556" i="41"/>
  <c r="W2557" i="41"/>
  <c r="W2558" i="41"/>
  <c r="W2559" i="41"/>
  <c r="W2560" i="41"/>
  <c r="W2561" i="41"/>
  <c r="W2562" i="41"/>
  <c r="W2563" i="41"/>
  <c r="W2564" i="41"/>
  <c r="W2565" i="41"/>
  <c r="W2566" i="41"/>
  <c r="W2567" i="41"/>
  <c r="W2568" i="41"/>
  <c r="W2569" i="41"/>
  <c r="W2570" i="41"/>
  <c r="W2571" i="41"/>
  <c r="W2572" i="41"/>
  <c r="W2573" i="41"/>
  <c r="W2574" i="41"/>
  <c r="W2575" i="41"/>
  <c r="W2576" i="41"/>
  <c r="W2577" i="41"/>
  <c r="W2578" i="41"/>
  <c r="W2579" i="41"/>
  <c r="W2580" i="41"/>
  <c r="W2581" i="41"/>
  <c r="W2582" i="41"/>
  <c r="W2583" i="41"/>
  <c r="W2584" i="41"/>
  <c r="W2585" i="41"/>
  <c r="W2586" i="41"/>
  <c r="W2587" i="41"/>
  <c r="W2588" i="41"/>
  <c r="W2589" i="41"/>
  <c r="W2590" i="41"/>
  <c r="W2591" i="41"/>
  <c r="W2592" i="41"/>
  <c r="W2593" i="41"/>
  <c r="W2594" i="41"/>
  <c r="W2595" i="41"/>
  <c r="W2596" i="41"/>
  <c r="W2597" i="41"/>
  <c r="W2598" i="41"/>
  <c r="W2599" i="41"/>
  <c r="W2600" i="41"/>
  <c r="W2601" i="41"/>
  <c r="W2602" i="41"/>
  <c r="W2603" i="41"/>
  <c r="W2604" i="41"/>
  <c r="W2605" i="41"/>
  <c r="W2606" i="41"/>
  <c r="W2607" i="41"/>
  <c r="W2608" i="41"/>
  <c r="W2609" i="41"/>
  <c r="W2610" i="41"/>
  <c r="W2611" i="41"/>
  <c r="W2612" i="41"/>
  <c r="W2613" i="41"/>
  <c r="W2614" i="41"/>
  <c r="W2615" i="41"/>
  <c r="W2616" i="41"/>
  <c r="W2617" i="41"/>
  <c r="W2618" i="41"/>
  <c r="W2619" i="41"/>
  <c r="W2620" i="41"/>
  <c r="W2621" i="41"/>
  <c r="W2622" i="41"/>
  <c r="W2623" i="41"/>
  <c r="W2624" i="41"/>
  <c r="W2625" i="41"/>
  <c r="W2626" i="41"/>
  <c r="W2627" i="41"/>
  <c r="W2628" i="41"/>
  <c r="W2629" i="41"/>
  <c r="W2630" i="41"/>
  <c r="W2631" i="41"/>
  <c r="W2632" i="41"/>
  <c r="W2633" i="41"/>
  <c r="W2634" i="41"/>
  <c r="W2635" i="41"/>
  <c r="W2636" i="41"/>
  <c r="W2637" i="41"/>
  <c r="W2638" i="41"/>
  <c r="W2639" i="41"/>
  <c r="W2640" i="41"/>
  <c r="W2641" i="41"/>
  <c r="W2642" i="41"/>
  <c r="W2643" i="41"/>
  <c r="W2644" i="41"/>
  <c r="W2645" i="41"/>
  <c r="W2646" i="41"/>
  <c r="W2647" i="41"/>
  <c r="W2648" i="41"/>
  <c r="W2649" i="41"/>
  <c r="W2650" i="41"/>
  <c r="W2651" i="41"/>
  <c r="W2652" i="41"/>
  <c r="W2653" i="41"/>
  <c r="W2654" i="41"/>
  <c r="W2655" i="41"/>
  <c r="W2656" i="41"/>
  <c r="W2657" i="41"/>
  <c r="W2658" i="41"/>
  <c r="W2659" i="41"/>
  <c r="W2660" i="41"/>
  <c r="W2661" i="41"/>
  <c r="W2662" i="41"/>
  <c r="W2663" i="41"/>
  <c r="W2664" i="41"/>
  <c r="W2665" i="41"/>
  <c r="W2666" i="41"/>
  <c r="W2667" i="41"/>
  <c r="W2668" i="41"/>
  <c r="W2669" i="41"/>
  <c r="W2670" i="41"/>
  <c r="W2671" i="41"/>
  <c r="W2672" i="41"/>
  <c r="W2673" i="41"/>
  <c r="W2674" i="41"/>
  <c r="W2675" i="41"/>
  <c r="W2676" i="41"/>
  <c r="W2677" i="41"/>
  <c r="W2678" i="41"/>
  <c r="W2679" i="41"/>
  <c r="W2680" i="41"/>
  <c r="W2681" i="41"/>
  <c r="W2682" i="41"/>
  <c r="W2683" i="41"/>
  <c r="W2684" i="41"/>
  <c r="W2685" i="41"/>
  <c r="W2686" i="41"/>
  <c r="W2687" i="41"/>
  <c r="W2688" i="41"/>
  <c r="W2689" i="41"/>
  <c r="W2690" i="41"/>
  <c r="W2691" i="41"/>
  <c r="W2692" i="41"/>
  <c r="W2693" i="41"/>
  <c r="W2694" i="41"/>
  <c r="W2695" i="41"/>
  <c r="W2696" i="41"/>
  <c r="W2697" i="41"/>
  <c r="W2698" i="41"/>
  <c r="W2699" i="41"/>
  <c r="W2700" i="41"/>
  <c r="W2701" i="41"/>
  <c r="W2702" i="41"/>
  <c r="W2703" i="41"/>
  <c r="W2704" i="41"/>
  <c r="W2705" i="41"/>
  <c r="W2706" i="41"/>
  <c r="W2707" i="41"/>
  <c r="W2708" i="41"/>
  <c r="W2709" i="41"/>
  <c r="W2710" i="41"/>
  <c r="W2711" i="41"/>
  <c r="W2712" i="41"/>
  <c r="W2713" i="41"/>
  <c r="W2714" i="41"/>
  <c r="W2715" i="41"/>
  <c r="W2716" i="41"/>
  <c r="W2717" i="41"/>
  <c r="W2718" i="41"/>
  <c r="W2719" i="41"/>
  <c r="W2720" i="41"/>
  <c r="W2721" i="41"/>
  <c r="W2722" i="41"/>
  <c r="W2723" i="41"/>
  <c r="W2724" i="41"/>
  <c r="W2725" i="41"/>
  <c r="W2726" i="41"/>
  <c r="W2727" i="41"/>
  <c r="W2728" i="41"/>
  <c r="W2729" i="41"/>
  <c r="W2730" i="41"/>
  <c r="W2731" i="41"/>
  <c r="W2732" i="41"/>
  <c r="W2733" i="41"/>
  <c r="W2734" i="41"/>
  <c r="W2735" i="41"/>
  <c r="W2736" i="41"/>
  <c r="W2737" i="41"/>
  <c r="W2738" i="41"/>
  <c r="W2739" i="41"/>
  <c r="W2740" i="41"/>
  <c r="W2741" i="41"/>
  <c r="W2742" i="41"/>
  <c r="W2743" i="41"/>
  <c r="W2744" i="41"/>
  <c r="W2745" i="41"/>
  <c r="W2746" i="41"/>
  <c r="W2747" i="41"/>
  <c r="W2748" i="41"/>
  <c r="W2749" i="41"/>
  <c r="W2750" i="41"/>
  <c r="W2751" i="41"/>
  <c r="W2752" i="41"/>
  <c r="W2753" i="41"/>
  <c r="W2754" i="41"/>
  <c r="W2755" i="41"/>
  <c r="W2756" i="41"/>
  <c r="W2757" i="41"/>
  <c r="W2758" i="41"/>
  <c r="W2759" i="41"/>
  <c r="W2760" i="41"/>
  <c r="W2761" i="41"/>
  <c r="W2762" i="41"/>
  <c r="W2763" i="41"/>
  <c r="W2764" i="41"/>
  <c r="W2765" i="41"/>
  <c r="W2766" i="41"/>
  <c r="W2767" i="41"/>
  <c r="W2768" i="41"/>
  <c r="W2769" i="41"/>
  <c r="W2770" i="41"/>
  <c r="W2771" i="41"/>
  <c r="W2772" i="41"/>
  <c r="W2773" i="41"/>
  <c r="W2774" i="41"/>
  <c r="W2775" i="41"/>
  <c r="W2776" i="41"/>
  <c r="W2777" i="41"/>
  <c r="W2778" i="41"/>
  <c r="W2779" i="41"/>
  <c r="W2780" i="41"/>
  <c r="W2781" i="41"/>
  <c r="W2782" i="41"/>
  <c r="W2783" i="41"/>
  <c r="W2784" i="41"/>
  <c r="W2785" i="41"/>
  <c r="W2786" i="41"/>
  <c r="W2787" i="41"/>
  <c r="W2788" i="41"/>
  <c r="W2789" i="41"/>
  <c r="W2790" i="41"/>
  <c r="W2791" i="41"/>
  <c r="W2792" i="41"/>
  <c r="W2793" i="41"/>
  <c r="W2794" i="41"/>
  <c r="W2795" i="41"/>
  <c r="W2796" i="41"/>
  <c r="W2797" i="41"/>
  <c r="W2798" i="41"/>
  <c r="W2799" i="41"/>
  <c r="W2800" i="41"/>
  <c r="W2801" i="41"/>
  <c r="W2802" i="41"/>
  <c r="W2803" i="41"/>
  <c r="W2804" i="41"/>
  <c r="W2805" i="41"/>
  <c r="W2806" i="41"/>
  <c r="W2807" i="41"/>
  <c r="W2808" i="41"/>
  <c r="W2809" i="41"/>
  <c r="W2810" i="41"/>
  <c r="W2811" i="41"/>
  <c r="W2812" i="41"/>
  <c r="W2813" i="41"/>
  <c r="W2814" i="41"/>
  <c r="W2815" i="41"/>
  <c r="W2816" i="41"/>
  <c r="W2817" i="41"/>
  <c r="W2818" i="41"/>
  <c r="W2819" i="41"/>
  <c r="W2820" i="41"/>
  <c r="W2821" i="41"/>
  <c r="W2822" i="41"/>
  <c r="W2823" i="41"/>
  <c r="W2824" i="41"/>
  <c r="W2825" i="41"/>
  <c r="W2826" i="41"/>
  <c r="W2827" i="41"/>
  <c r="W2828" i="41"/>
  <c r="W2829" i="41"/>
  <c r="W2830" i="41"/>
  <c r="W2831" i="41"/>
  <c r="W2832" i="41"/>
  <c r="W2833" i="41"/>
  <c r="W2834" i="41"/>
  <c r="W2835" i="41"/>
  <c r="W2836" i="41"/>
  <c r="W2837" i="41"/>
  <c r="W2838" i="41"/>
  <c r="W2839" i="41"/>
  <c r="W2840" i="41"/>
  <c r="W2841" i="41"/>
  <c r="W2842" i="41"/>
  <c r="W2843" i="41"/>
  <c r="W2844" i="41"/>
  <c r="W2845" i="41"/>
  <c r="W2846" i="41"/>
  <c r="W2847" i="41"/>
  <c r="W2848" i="41"/>
  <c r="W2849" i="41"/>
  <c r="W2850" i="41"/>
  <c r="W2851" i="41"/>
  <c r="W2852" i="41"/>
  <c r="W2853" i="41"/>
  <c r="W2854" i="41"/>
  <c r="W2855" i="41"/>
  <c r="W2856" i="41"/>
  <c r="W2857" i="41"/>
  <c r="W2858" i="41"/>
  <c r="W2859" i="41"/>
  <c r="W2860" i="41"/>
  <c r="W2861" i="41"/>
  <c r="W2862" i="41"/>
  <c r="W2863" i="41"/>
  <c r="W2864" i="41"/>
  <c r="W2865" i="41"/>
  <c r="W2866" i="41"/>
  <c r="W2867" i="41"/>
  <c r="W2868" i="41"/>
  <c r="W2869" i="41"/>
  <c r="W2870" i="41"/>
  <c r="W2871" i="41"/>
  <c r="W2872" i="41"/>
  <c r="W2873" i="41"/>
  <c r="W2874" i="41"/>
  <c r="W2875" i="41"/>
  <c r="W2876" i="41"/>
  <c r="W2877" i="41"/>
  <c r="W2878" i="41"/>
  <c r="W2879" i="41"/>
  <c r="W2880" i="41"/>
  <c r="W2881" i="41"/>
  <c r="W2882" i="41"/>
  <c r="W2883" i="41"/>
  <c r="W2884" i="41"/>
  <c r="W2885" i="41"/>
  <c r="W2886" i="41"/>
  <c r="W2887" i="41"/>
  <c r="W2888" i="41"/>
  <c r="W2889" i="41"/>
  <c r="W2890" i="41"/>
  <c r="W2891" i="41"/>
  <c r="W2892" i="41"/>
  <c r="W2893" i="41"/>
  <c r="W2894" i="41"/>
  <c r="W2895" i="41"/>
  <c r="W2896" i="41"/>
  <c r="W2897" i="41"/>
  <c r="W2898" i="41"/>
  <c r="W2899" i="41"/>
  <c r="W2900" i="41"/>
  <c r="W2901" i="41"/>
  <c r="W2902" i="41"/>
  <c r="W2903" i="41"/>
  <c r="W2904" i="41"/>
  <c r="W2905" i="41"/>
  <c r="W2906" i="41"/>
  <c r="W2907" i="41"/>
  <c r="W2908" i="41"/>
  <c r="W2909" i="41"/>
  <c r="W2910" i="41"/>
  <c r="W2911" i="41"/>
  <c r="W2912" i="41"/>
  <c r="W2913" i="41"/>
  <c r="W2914" i="41"/>
  <c r="W2915" i="41"/>
  <c r="W2916" i="41"/>
  <c r="W2917" i="41"/>
  <c r="W2918" i="41"/>
  <c r="W2919" i="41"/>
  <c r="W2920" i="41"/>
  <c r="W2921" i="41"/>
  <c r="W2922" i="41"/>
  <c r="W2923" i="41"/>
  <c r="W2924" i="41"/>
  <c r="W2925" i="41"/>
  <c r="W2926" i="41"/>
  <c r="W2927" i="41"/>
  <c r="W2928" i="41"/>
  <c r="W2929" i="41"/>
  <c r="W2930" i="41"/>
  <c r="W2931" i="41"/>
  <c r="W2932" i="41"/>
  <c r="W2933" i="41"/>
  <c r="W2934" i="41"/>
  <c r="W2935" i="41"/>
  <c r="W2936" i="41"/>
  <c r="W2937" i="41"/>
  <c r="W2938" i="41"/>
  <c r="W2939" i="41"/>
  <c r="W2940" i="41"/>
  <c r="W2941" i="41"/>
  <c r="W2942" i="41"/>
  <c r="W2943" i="41"/>
  <c r="W2944" i="41"/>
  <c r="W2945" i="41"/>
  <c r="W2946" i="41"/>
  <c r="W2947" i="41"/>
  <c r="W2948" i="41"/>
  <c r="W2949" i="41"/>
  <c r="W2950" i="41"/>
  <c r="W2951" i="41"/>
  <c r="W2952" i="41"/>
  <c r="W2953" i="41"/>
  <c r="W2954" i="41"/>
  <c r="W2955" i="41"/>
  <c r="W2956" i="41"/>
  <c r="W2957" i="41"/>
  <c r="W2958" i="41"/>
  <c r="W2959" i="41"/>
  <c r="W2960" i="41"/>
  <c r="W2961" i="41"/>
  <c r="W2962" i="41"/>
  <c r="W2963" i="41"/>
  <c r="W2964" i="41"/>
  <c r="W2965" i="41"/>
  <c r="W2966" i="41"/>
  <c r="W2967" i="41"/>
  <c r="W2968" i="41"/>
  <c r="W2969" i="41"/>
  <c r="W2970" i="41"/>
  <c r="W2971" i="41"/>
  <c r="W2972" i="41"/>
  <c r="W2973" i="41"/>
  <c r="W2974" i="41"/>
  <c r="W2975" i="41"/>
  <c r="W2976" i="41"/>
  <c r="W2977" i="41"/>
  <c r="W2978" i="41"/>
  <c r="W2979" i="41"/>
  <c r="W2980" i="41"/>
  <c r="W2981" i="41"/>
  <c r="W2982" i="41"/>
  <c r="W2983" i="41"/>
  <c r="W2984" i="41"/>
  <c r="W2985" i="41"/>
  <c r="W2986" i="41"/>
  <c r="W2987" i="41"/>
  <c r="W2988" i="41"/>
  <c r="W2989" i="41"/>
  <c r="W2990" i="41"/>
  <c r="W2991" i="41"/>
  <c r="W2992" i="41"/>
  <c r="W2993" i="41"/>
  <c r="W2994" i="41"/>
  <c r="W2995" i="41"/>
  <c r="W2996" i="41"/>
  <c r="W2997" i="41"/>
  <c r="W2998" i="41"/>
  <c r="W2999" i="41"/>
  <c r="W3000" i="41"/>
  <c r="W3001" i="41"/>
  <c r="W3002" i="41"/>
  <c r="W3003" i="41"/>
  <c r="W3004" i="41"/>
  <c r="W3005" i="41"/>
  <c r="W3006" i="41"/>
  <c r="W3007" i="41"/>
  <c r="W3008" i="41"/>
  <c r="W3009" i="41"/>
  <c r="W3010" i="41"/>
  <c r="W3011" i="41"/>
  <c r="W3012" i="41"/>
  <c r="W3013" i="41"/>
  <c r="W3014" i="41"/>
  <c r="W3015" i="41"/>
  <c r="W3016" i="41"/>
  <c r="W3017" i="41"/>
  <c r="W3018" i="41"/>
  <c r="W3019" i="41"/>
  <c r="W3020" i="41"/>
  <c r="W3021" i="41"/>
  <c r="W3022" i="41"/>
  <c r="W3023" i="41"/>
  <c r="W3024" i="41"/>
  <c r="W3025" i="41"/>
  <c r="W3026" i="41"/>
  <c r="W3027" i="41"/>
  <c r="W3028" i="41"/>
  <c r="W3029" i="41"/>
  <c r="W3030" i="41"/>
  <c r="W3031" i="41"/>
  <c r="W3032" i="41"/>
  <c r="W3033" i="41"/>
  <c r="W3034" i="41"/>
  <c r="W3035" i="41"/>
  <c r="W3036" i="41"/>
  <c r="W3037" i="41"/>
  <c r="W3038" i="41"/>
  <c r="W3039" i="41"/>
  <c r="W3040" i="41"/>
  <c r="W3041" i="41"/>
  <c r="W3042" i="41"/>
  <c r="W3043" i="41"/>
  <c r="W3044" i="41"/>
  <c r="W3045" i="41"/>
  <c r="W3046" i="41"/>
  <c r="W3047" i="41"/>
  <c r="W3048" i="41"/>
  <c r="W3049" i="41"/>
  <c r="W3050" i="41"/>
  <c r="W3051" i="41"/>
  <c r="W3052" i="41"/>
  <c r="W3053" i="41"/>
  <c r="W3054" i="41"/>
  <c r="W3055" i="41"/>
  <c r="W3056" i="41"/>
  <c r="W3057" i="41"/>
  <c r="W3058" i="41"/>
  <c r="W3059" i="41"/>
  <c r="W3060" i="41"/>
  <c r="W3061" i="41"/>
  <c r="W3062" i="41"/>
  <c r="W3063" i="41"/>
  <c r="W3064" i="41"/>
  <c r="W3065" i="41"/>
  <c r="W3066" i="41"/>
  <c r="W3067" i="41"/>
  <c r="W3068" i="41"/>
  <c r="W3069" i="41"/>
  <c r="W3070" i="41"/>
  <c r="W3071" i="41"/>
  <c r="W3072" i="41"/>
  <c r="W3073" i="41"/>
  <c r="W3074" i="41"/>
  <c r="W3075" i="41"/>
  <c r="W3076" i="41"/>
  <c r="W3077" i="41"/>
  <c r="W3078" i="41"/>
  <c r="W3079" i="41"/>
  <c r="W3080" i="41"/>
  <c r="W3081" i="41"/>
  <c r="W3082" i="41"/>
  <c r="W3083" i="41"/>
  <c r="W3084" i="41"/>
  <c r="W3085" i="41"/>
  <c r="W3086" i="41"/>
  <c r="W3087" i="41"/>
  <c r="W3088" i="41"/>
  <c r="W3089" i="41"/>
  <c r="W3090" i="41"/>
  <c r="W3091" i="41"/>
  <c r="W3092" i="41"/>
  <c r="W3093" i="41"/>
  <c r="W3094" i="41"/>
  <c r="W3095" i="41"/>
  <c r="W3096" i="41"/>
  <c r="W3097" i="41"/>
  <c r="W3098" i="41"/>
  <c r="W3099" i="41"/>
  <c r="W3100" i="41"/>
  <c r="W3101" i="41"/>
  <c r="W3102" i="41"/>
  <c r="W3103" i="41"/>
  <c r="W3104" i="41"/>
  <c r="W3105" i="41"/>
  <c r="W3106" i="41"/>
  <c r="W3107" i="41"/>
  <c r="W3108" i="41"/>
  <c r="W3109" i="41"/>
  <c r="W3110" i="41"/>
  <c r="W3111" i="41"/>
  <c r="W3112" i="41"/>
  <c r="W3113" i="41"/>
  <c r="W3114" i="41"/>
  <c r="W3115" i="41"/>
  <c r="W3116" i="41"/>
  <c r="W3117" i="41"/>
  <c r="W3118" i="41"/>
  <c r="W3119" i="41"/>
  <c r="W3120" i="41"/>
  <c r="W3121" i="41"/>
  <c r="W3122" i="41"/>
  <c r="W3123" i="41"/>
  <c r="W3124" i="41"/>
  <c r="W3125" i="41"/>
  <c r="W3126" i="41"/>
  <c r="W3127" i="41"/>
  <c r="W3128" i="41"/>
  <c r="W3129" i="41"/>
  <c r="W3130" i="41"/>
  <c r="W3131" i="41"/>
  <c r="W3132" i="41"/>
  <c r="W3133" i="41"/>
  <c r="W3134" i="41"/>
  <c r="W3135" i="41"/>
  <c r="W3136" i="41"/>
  <c r="W3137" i="41"/>
  <c r="W3138" i="41"/>
  <c r="W3139" i="41"/>
  <c r="W3140" i="41"/>
  <c r="W3141" i="41"/>
  <c r="W3142" i="41"/>
  <c r="W3143" i="41"/>
  <c r="W3144" i="41"/>
  <c r="W3145" i="41"/>
  <c r="W3146" i="41"/>
  <c r="W3147" i="41"/>
  <c r="W3148" i="41"/>
  <c r="W3149" i="41"/>
  <c r="W3150" i="41"/>
  <c r="W3151" i="41"/>
  <c r="W3152" i="41"/>
  <c r="W3153" i="41"/>
  <c r="W3154" i="41"/>
  <c r="W3155" i="41"/>
  <c r="W3156" i="41"/>
  <c r="W3157" i="41"/>
  <c r="W3158" i="41"/>
  <c r="W3159" i="41"/>
  <c r="W3160" i="41"/>
  <c r="W3161" i="41"/>
  <c r="W3162" i="41"/>
  <c r="W3163" i="41"/>
  <c r="W3164" i="41"/>
  <c r="W3165" i="41"/>
  <c r="W3166" i="41"/>
  <c r="W3167" i="41"/>
  <c r="W3168" i="41"/>
  <c r="W3169" i="41"/>
  <c r="W3170" i="41"/>
  <c r="W3171" i="41"/>
  <c r="W3172" i="41"/>
  <c r="W3173" i="41"/>
  <c r="W3174" i="41"/>
  <c r="W3175" i="41"/>
  <c r="W3176" i="41"/>
  <c r="W3177" i="41"/>
  <c r="W3178" i="41"/>
  <c r="W3179" i="41"/>
  <c r="W3180" i="41"/>
  <c r="W3181" i="41"/>
  <c r="W3182" i="41"/>
  <c r="W3183" i="41"/>
  <c r="W3184" i="41"/>
  <c r="W3185" i="41"/>
  <c r="W3186" i="41"/>
  <c r="W3187" i="41"/>
  <c r="W3188" i="41"/>
  <c r="W3189" i="41"/>
  <c r="W3190" i="41"/>
  <c r="W3191" i="41"/>
  <c r="W3192" i="41"/>
  <c r="W3193" i="41"/>
  <c r="W3194" i="41"/>
  <c r="W3195" i="41"/>
  <c r="W3196" i="41"/>
  <c r="W3197" i="41"/>
  <c r="W3198" i="41"/>
  <c r="W3199" i="41"/>
  <c r="W3200" i="41"/>
  <c r="W3201" i="41"/>
  <c r="W3202" i="41"/>
  <c r="W3203" i="41"/>
  <c r="W3204" i="41"/>
  <c r="W3205" i="41"/>
  <c r="W3206" i="41"/>
  <c r="W3207" i="41"/>
  <c r="W3208" i="41"/>
  <c r="W3209" i="41"/>
  <c r="W3210" i="41"/>
  <c r="W3211" i="41"/>
  <c r="W3212" i="41"/>
  <c r="W3213" i="41"/>
  <c r="W3214" i="41"/>
  <c r="W3215" i="41"/>
  <c r="W3216" i="41"/>
  <c r="W3217" i="41"/>
  <c r="W3218" i="41"/>
  <c r="W3219" i="41"/>
  <c r="W3220" i="41"/>
  <c r="W3221" i="41"/>
  <c r="W3222" i="41"/>
  <c r="W3223" i="41"/>
  <c r="W3224" i="41"/>
  <c r="W3225" i="41"/>
  <c r="W3226" i="41"/>
  <c r="W3227" i="41"/>
  <c r="W3228" i="41"/>
  <c r="W3229" i="41"/>
  <c r="W3230" i="41"/>
  <c r="W3231" i="41"/>
  <c r="W3232" i="41"/>
  <c r="W3233" i="41"/>
  <c r="W3234" i="41"/>
  <c r="W3235" i="41"/>
  <c r="W3236" i="41"/>
  <c r="W3237" i="41"/>
  <c r="W3238" i="41"/>
  <c r="W3239" i="41"/>
  <c r="W3240" i="41"/>
  <c r="W3241" i="41"/>
  <c r="W3242" i="41"/>
  <c r="W3243" i="41"/>
  <c r="W3244" i="41"/>
  <c r="W3245" i="41"/>
  <c r="W3246" i="41"/>
  <c r="W3247" i="41"/>
  <c r="W3248" i="41"/>
  <c r="W3249" i="41"/>
  <c r="W3250" i="41"/>
  <c r="W3251" i="41"/>
  <c r="W3252" i="41"/>
  <c r="W3253" i="41"/>
  <c r="W3254" i="41"/>
  <c r="W3255" i="41"/>
  <c r="W3256" i="41"/>
  <c r="W3257" i="41"/>
  <c r="W3258" i="41"/>
  <c r="W3259" i="41"/>
  <c r="W3260" i="41"/>
  <c r="W3261" i="41"/>
  <c r="W3262" i="41"/>
  <c r="W3263" i="41"/>
  <c r="W3264" i="41"/>
  <c r="W3265" i="41"/>
  <c r="W3266" i="41"/>
  <c r="W3267" i="41"/>
  <c r="W3268" i="41"/>
  <c r="W3269" i="41"/>
  <c r="W3270" i="41"/>
  <c r="W3271" i="41"/>
  <c r="W3272" i="41"/>
  <c r="W3273" i="41"/>
  <c r="W3274" i="41"/>
  <c r="W3275" i="41"/>
  <c r="W3276" i="41"/>
  <c r="W3277" i="41"/>
  <c r="W3278" i="41"/>
  <c r="W3279" i="41"/>
  <c r="W3280" i="41"/>
  <c r="W3281" i="41"/>
  <c r="W3282" i="41"/>
  <c r="W3283" i="41"/>
  <c r="W3284" i="41"/>
  <c r="W3285" i="41"/>
  <c r="W3286" i="41"/>
  <c r="W3287" i="41"/>
  <c r="W3288" i="41"/>
  <c r="W3289" i="41"/>
  <c r="W3290" i="41"/>
  <c r="W3291" i="41"/>
  <c r="W3292" i="41"/>
  <c r="W3293" i="41"/>
  <c r="W3294" i="41"/>
  <c r="W3295" i="41"/>
  <c r="W3296" i="41"/>
  <c r="W3297" i="41"/>
  <c r="W3298" i="41"/>
  <c r="W3299" i="41"/>
  <c r="W3300" i="41"/>
  <c r="W3301" i="41"/>
  <c r="W3302" i="41"/>
  <c r="W3303" i="41"/>
  <c r="W3304" i="41"/>
  <c r="W3305" i="41"/>
  <c r="W3306" i="41"/>
  <c r="W3307" i="41"/>
  <c r="W3308" i="41"/>
  <c r="W3309" i="41"/>
  <c r="W3310" i="41"/>
  <c r="W3311" i="41"/>
  <c r="W3312" i="41"/>
  <c r="W3313" i="41"/>
  <c r="W3314" i="41"/>
  <c r="W3315" i="41"/>
  <c r="W3316" i="41"/>
  <c r="W3317" i="41"/>
  <c r="W3318" i="41"/>
  <c r="W3319" i="41"/>
  <c r="W3320" i="41"/>
  <c r="W3321" i="41"/>
  <c r="W3322" i="41"/>
  <c r="W3323" i="41"/>
  <c r="W3324" i="41"/>
  <c r="W3325" i="41"/>
  <c r="W3326" i="41"/>
  <c r="W3327" i="41"/>
  <c r="W3328" i="41"/>
  <c r="W3329" i="41"/>
  <c r="W3330" i="41"/>
  <c r="W3331" i="41"/>
  <c r="W3332" i="41"/>
  <c r="W3333" i="41"/>
  <c r="W3334" i="41"/>
  <c r="W3335" i="41"/>
  <c r="W3336" i="41"/>
  <c r="W3337" i="41"/>
  <c r="W3338" i="41"/>
  <c r="W3339" i="41"/>
  <c r="W3340" i="41"/>
  <c r="W3341" i="41"/>
  <c r="W3342" i="41"/>
  <c r="W3343" i="41"/>
  <c r="W3344" i="41"/>
  <c r="W3345" i="41"/>
  <c r="W3346" i="41"/>
  <c r="W3347" i="41"/>
  <c r="W3348" i="41"/>
  <c r="W3349" i="41"/>
  <c r="W3350" i="41"/>
  <c r="W3351" i="41"/>
  <c r="W3352" i="41"/>
  <c r="W3353" i="41"/>
  <c r="W3354" i="41"/>
  <c r="W3355" i="41"/>
  <c r="W3356" i="41"/>
  <c r="W3357" i="41"/>
  <c r="W3358" i="41"/>
  <c r="W3359" i="41"/>
  <c r="W3360" i="41"/>
  <c r="W3361" i="41"/>
  <c r="W3362" i="41"/>
  <c r="W3363" i="41"/>
  <c r="W3364" i="41"/>
  <c r="W3365" i="41"/>
  <c r="W3366" i="41"/>
  <c r="W3367" i="41"/>
  <c r="W3368" i="41"/>
  <c r="W3369" i="41"/>
  <c r="W3370" i="41"/>
  <c r="W3371" i="41"/>
  <c r="W3372" i="41"/>
  <c r="W3373" i="41"/>
  <c r="W3374" i="41"/>
  <c r="W3375" i="41"/>
  <c r="W3376" i="41"/>
  <c r="W3377" i="41"/>
  <c r="W3378" i="41"/>
  <c r="W3379" i="41"/>
  <c r="W3380" i="41"/>
  <c r="W3381" i="41"/>
  <c r="W3382" i="41"/>
  <c r="W3383" i="41"/>
  <c r="W3384" i="41"/>
  <c r="W3385" i="41"/>
  <c r="W3386" i="41"/>
  <c r="W3387" i="41"/>
  <c r="W3388" i="41"/>
  <c r="W3389" i="41"/>
  <c r="W3390" i="41"/>
  <c r="W3391" i="41"/>
  <c r="W3392" i="41"/>
  <c r="W3393" i="41"/>
  <c r="W3394" i="41"/>
  <c r="W3395" i="41"/>
  <c r="W3396" i="41"/>
  <c r="W3397" i="41"/>
  <c r="W3398" i="41"/>
  <c r="W3399" i="41"/>
  <c r="W3400" i="41"/>
  <c r="W3401" i="41"/>
  <c r="W3402" i="41"/>
  <c r="W3403" i="41"/>
  <c r="W3404" i="41"/>
  <c r="W3405" i="41"/>
  <c r="W3406" i="41"/>
  <c r="W3407" i="41"/>
  <c r="W3408" i="41"/>
  <c r="W3409" i="41"/>
  <c r="W3410" i="41"/>
  <c r="W3411" i="41"/>
  <c r="W3412" i="41"/>
  <c r="W3413" i="41"/>
  <c r="W3414" i="41"/>
  <c r="W3415" i="41"/>
  <c r="W3416" i="41"/>
  <c r="W3417" i="41"/>
  <c r="W3418" i="41"/>
  <c r="W3419" i="41"/>
  <c r="W3420" i="41"/>
  <c r="W3421" i="41"/>
  <c r="W3422" i="41"/>
  <c r="W3423" i="41"/>
  <c r="W3424" i="41"/>
  <c r="W3425" i="41"/>
  <c r="W3426" i="41"/>
  <c r="W3427" i="41"/>
  <c r="W3428" i="41"/>
  <c r="W3429" i="41"/>
  <c r="W3430" i="41"/>
  <c r="W3431" i="41"/>
  <c r="X2348" i="41"/>
  <c r="X2349" i="41"/>
  <c r="X2350" i="41"/>
  <c r="X2351" i="41"/>
  <c r="X2352" i="41"/>
  <c r="X2353" i="41"/>
  <c r="X2354" i="41"/>
  <c r="X2355" i="41"/>
  <c r="X2356" i="41"/>
  <c r="X2357" i="41"/>
  <c r="X2358" i="41"/>
  <c r="X2359" i="41"/>
  <c r="X2360" i="41"/>
  <c r="X2361" i="41"/>
  <c r="X2362" i="41"/>
  <c r="X2363" i="41"/>
  <c r="X2364" i="41"/>
  <c r="X2365" i="41"/>
  <c r="X2366" i="41"/>
  <c r="X2367" i="41"/>
  <c r="X2368" i="41"/>
  <c r="X2369" i="41"/>
  <c r="X2370" i="41"/>
  <c r="X2371" i="41"/>
  <c r="X2372" i="41"/>
  <c r="X2373" i="41"/>
  <c r="X2374" i="41"/>
  <c r="X2375" i="41"/>
  <c r="X2376" i="41"/>
  <c r="X2377" i="41"/>
  <c r="X2378" i="41"/>
  <c r="X2379" i="41"/>
  <c r="X2380" i="41"/>
  <c r="X2381" i="41"/>
  <c r="X2382" i="41"/>
  <c r="X2383" i="41"/>
  <c r="X2384" i="41"/>
  <c r="X2385" i="41"/>
  <c r="X2386" i="41"/>
  <c r="X2387" i="41"/>
  <c r="X2388" i="41"/>
  <c r="X2389" i="41"/>
  <c r="X2390" i="41"/>
  <c r="X2391" i="41"/>
  <c r="X2392" i="41"/>
  <c r="X2393" i="41"/>
  <c r="X2394" i="41"/>
  <c r="X2395" i="41"/>
  <c r="X2396" i="41"/>
  <c r="X2397" i="41"/>
  <c r="X2398" i="41"/>
  <c r="X2399" i="41"/>
  <c r="X2400" i="41"/>
  <c r="X2401" i="41"/>
  <c r="X2402" i="41"/>
  <c r="X2403" i="41"/>
  <c r="X2404" i="41"/>
  <c r="X2405" i="41"/>
  <c r="X2406" i="41"/>
  <c r="X2407" i="41"/>
  <c r="X2408" i="41"/>
  <c r="X2409" i="41"/>
  <c r="X2410" i="41"/>
  <c r="X2411" i="41"/>
  <c r="X2412" i="41"/>
  <c r="X2413" i="41"/>
  <c r="X2414" i="41"/>
  <c r="X2415" i="41"/>
  <c r="X2416" i="41"/>
  <c r="X2417" i="41"/>
  <c r="X2418" i="41"/>
  <c r="X2419" i="41"/>
  <c r="X2420" i="41"/>
  <c r="X2421" i="41"/>
  <c r="X2422" i="41"/>
  <c r="X2423" i="41"/>
  <c r="X2424" i="41"/>
  <c r="X2425" i="41"/>
  <c r="X2426" i="41"/>
  <c r="X2427" i="41"/>
  <c r="X2428" i="41"/>
  <c r="X2429" i="41"/>
  <c r="X2430" i="41"/>
  <c r="X2431" i="41"/>
  <c r="X2432" i="41"/>
  <c r="X2433" i="41"/>
  <c r="X2434" i="41"/>
  <c r="X2435" i="41"/>
  <c r="X2436" i="41"/>
  <c r="X2437" i="41"/>
  <c r="X2438" i="41"/>
  <c r="X2439" i="41"/>
  <c r="X2440" i="41"/>
  <c r="X2441" i="41"/>
  <c r="X2442" i="41"/>
  <c r="X2443" i="41"/>
  <c r="X2444" i="41"/>
  <c r="X2445" i="41"/>
  <c r="X2446" i="41"/>
  <c r="X2447" i="41"/>
  <c r="X2448" i="41"/>
  <c r="X2449" i="41"/>
  <c r="X2450" i="41"/>
  <c r="X2451" i="41"/>
  <c r="X2452" i="41"/>
  <c r="X2453" i="41"/>
  <c r="X2454" i="41"/>
  <c r="X2455" i="41"/>
  <c r="X2456" i="41"/>
  <c r="X2457" i="41"/>
  <c r="X2458" i="41"/>
  <c r="X2459" i="41"/>
  <c r="X2460" i="41"/>
  <c r="X2461" i="41"/>
  <c r="X2462" i="41"/>
  <c r="X2463" i="41"/>
  <c r="X2464" i="41"/>
  <c r="X2465" i="41"/>
  <c r="X2466" i="41"/>
  <c r="X2467" i="41"/>
  <c r="X2468" i="41"/>
  <c r="X2469" i="41"/>
  <c r="X2470" i="41"/>
  <c r="X2471" i="41"/>
  <c r="X2472" i="41"/>
  <c r="X2473" i="41"/>
  <c r="X2474" i="41"/>
  <c r="X2475" i="41"/>
  <c r="X2476" i="41"/>
  <c r="X2477" i="41"/>
  <c r="X2478" i="41"/>
  <c r="X2479" i="41"/>
  <c r="X2480" i="41"/>
  <c r="X2481" i="41"/>
  <c r="X2482" i="41"/>
  <c r="X2483" i="41"/>
  <c r="X2484" i="41"/>
  <c r="X2485" i="41"/>
  <c r="X2486" i="41"/>
  <c r="X2487" i="41"/>
  <c r="X2488" i="41"/>
  <c r="X2489" i="41"/>
  <c r="X2490" i="41"/>
  <c r="X2491" i="41"/>
  <c r="X2492" i="41"/>
  <c r="X2493" i="41"/>
  <c r="X2494" i="41"/>
  <c r="X2495" i="41"/>
  <c r="X2496" i="41"/>
  <c r="X2497" i="41"/>
  <c r="X2498" i="41"/>
  <c r="X2499" i="41"/>
  <c r="X2500" i="41"/>
  <c r="X2501" i="41"/>
  <c r="X2502" i="41"/>
  <c r="X2503" i="41"/>
  <c r="X2504" i="41"/>
  <c r="X2505" i="41"/>
  <c r="X2506" i="41"/>
  <c r="X2507" i="41"/>
  <c r="X2508" i="41"/>
  <c r="X2509" i="41"/>
  <c r="X2510" i="41"/>
  <c r="X2511" i="41"/>
  <c r="X2512" i="41"/>
  <c r="X2513" i="41"/>
  <c r="X2514" i="41"/>
  <c r="X2515" i="41"/>
  <c r="X2516" i="41"/>
  <c r="X2517" i="41"/>
  <c r="X2518" i="41"/>
  <c r="X2519" i="41"/>
  <c r="X2520" i="41"/>
  <c r="X2521" i="41"/>
  <c r="X2522" i="41"/>
  <c r="X2523" i="41"/>
  <c r="X2524" i="41"/>
  <c r="X2525" i="41"/>
  <c r="X2526" i="41"/>
  <c r="X2527" i="41"/>
  <c r="X2528" i="41"/>
  <c r="X2529" i="41"/>
  <c r="X2530" i="41"/>
  <c r="X2531" i="41"/>
  <c r="X2532" i="41"/>
  <c r="X2533" i="41"/>
  <c r="X2534" i="41"/>
  <c r="X2535" i="41"/>
  <c r="X2536" i="41"/>
  <c r="X2537" i="41"/>
  <c r="X2538" i="41"/>
  <c r="X2539" i="41"/>
  <c r="X2540" i="41"/>
  <c r="X2541" i="41"/>
  <c r="X2542" i="41"/>
  <c r="X2543" i="41"/>
  <c r="X2544" i="41"/>
  <c r="X2545" i="41"/>
  <c r="X2546" i="41"/>
  <c r="X2547" i="41"/>
  <c r="X2548" i="41"/>
  <c r="X2549" i="41"/>
  <c r="X2550" i="41"/>
  <c r="X2551" i="41"/>
  <c r="X2552" i="41"/>
  <c r="X2553" i="41"/>
  <c r="X2554" i="41"/>
  <c r="X2555" i="41"/>
  <c r="X2556" i="41"/>
  <c r="X2557" i="41"/>
  <c r="X2558" i="41"/>
  <c r="X2559" i="41"/>
  <c r="X2560" i="41"/>
  <c r="X2561" i="41"/>
  <c r="X2562" i="41"/>
  <c r="X2563" i="41"/>
  <c r="X2564" i="41"/>
  <c r="X2565" i="41"/>
  <c r="X2566" i="41"/>
  <c r="X2567" i="41"/>
  <c r="X2568" i="41"/>
  <c r="X2569" i="41"/>
  <c r="X2570" i="41"/>
  <c r="X2571" i="41"/>
  <c r="X2572" i="41"/>
  <c r="X2573" i="41"/>
  <c r="X2574" i="41"/>
  <c r="X2575" i="41"/>
  <c r="X2576" i="41"/>
  <c r="X2577" i="41"/>
  <c r="X2578" i="41"/>
  <c r="X2579" i="41"/>
  <c r="X2580" i="41"/>
  <c r="X2581" i="41"/>
  <c r="X2582" i="41"/>
  <c r="X2583" i="41"/>
  <c r="X2584" i="41"/>
  <c r="X2585" i="41"/>
  <c r="X2586" i="41"/>
  <c r="X2587" i="41"/>
  <c r="X2588" i="41"/>
  <c r="X2589" i="41"/>
  <c r="X2590" i="41"/>
  <c r="X2591" i="41"/>
  <c r="X2592" i="41"/>
  <c r="X2593" i="41"/>
  <c r="X2594" i="41"/>
  <c r="X2595" i="41"/>
  <c r="X2596" i="41"/>
  <c r="X2597" i="41"/>
  <c r="X2598" i="41"/>
  <c r="X2599" i="41"/>
  <c r="X2600" i="41"/>
  <c r="X2601" i="41"/>
  <c r="X2602" i="41"/>
  <c r="X2603" i="41"/>
  <c r="X2604" i="41"/>
  <c r="X2605" i="41"/>
  <c r="X2606" i="41"/>
  <c r="X2607" i="41"/>
  <c r="X2608" i="41"/>
  <c r="X2609" i="41"/>
  <c r="X2610" i="41"/>
  <c r="X2611" i="41"/>
  <c r="X2612" i="41"/>
  <c r="X2613" i="41"/>
  <c r="X2614" i="41"/>
  <c r="X2615" i="41"/>
  <c r="X2616" i="41"/>
  <c r="X2617" i="41"/>
  <c r="X2618" i="41"/>
  <c r="X2619" i="41"/>
  <c r="X2620" i="41"/>
  <c r="X2621" i="41"/>
  <c r="X2622" i="41"/>
  <c r="X2623" i="41"/>
  <c r="X2624" i="41"/>
  <c r="X2625" i="41"/>
  <c r="X2626" i="41"/>
  <c r="X2627" i="41"/>
  <c r="X2628" i="41"/>
  <c r="X2629" i="41"/>
  <c r="X2630" i="41"/>
  <c r="X2631" i="41"/>
  <c r="X2632" i="41"/>
  <c r="X2633" i="41"/>
  <c r="X2634" i="41"/>
  <c r="X2635" i="41"/>
  <c r="X2636" i="41"/>
  <c r="X2637" i="41"/>
  <c r="X2638" i="41"/>
  <c r="X2639" i="41"/>
  <c r="X2640" i="41"/>
  <c r="X2641" i="41"/>
  <c r="X2642" i="41"/>
  <c r="X2643" i="41"/>
  <c r="X2644" i="41"/>
  <c r="X2645" i="41"/>
  <c r="X2646" i="41"/>
  <c r="X2647" i="41"/>
  <c r="X2648" i="41"/>
  <c r="X2649" i="41"/>
  <c r="X2650" i="41"/>
  <c r="X2651" i="41"/>
  <c r="X2652" i="41"/>
  <c r="X2653" i="41"/>
  <c r="X2654" i="41"/>
  <c r="X2655" i="41"/>
  <c r="X2656" i="41"/>
  <c r="X2657" i="41"/>
  <c r="X2658" i="41"/>
  <c r="X2659" i="41"/>
  <c r="X2660" i="41"/>
  <c r="X2661" i="41"/>
  <c r="X2662" i="41"/>
  <c r="X2663" i="41"/>
  <c r="X2664" i="41"/>
  <c r="X2665" i="41"/>
  <c r="X2666" i="41"/>
  <c r="X2667" i="41"/>
  <c r="X2668" i="41"/>
  <c r="X2669" i="41"/>
  <c r="X2670" i="41"/>
  <c r="X2671" i="41"/>
  <c r="X2672" i="41"/>
  <c r="X2673" i="41"/>
  <c r="X2674" i="41"/>
  <c r="X2675" i="41"/>
  <c r="X2676" i="41"/>
  <c r="X2677" i="41"/>
  <c r="X2678" i="41"/>
  <c r="X2679" i="41"/>
  <c r="X2680" i="41"/>
  <c r="X2681" i="41"/>
  <c r="X2682" i="41"/>
  <c r="X2683" i="41"/>
  <c r="X2684" i="41"/>
  <c r="X2685" i="41"/>
  <c r="X2686" i="41"/>
  <c r="X2687" i="41"/>
  <c r="X2688" i="41"/>
  <c r="X2689" i="41"/>
  <c r="X2690" i="41"/>
  <c r="X2691" i="41"/>
  <c r="X2692" i="41"/>
  <c r="X2693" i="41"/>
  <c r="X2694" i="41"/>
  <c r="X2695" i="41"/>
  <c r="X2696" i="41"/>
  <c r="X2697" i="41"/>
  <c r="X2698" i="41"/>
  <c r="X2699" i="41"/>
  <c r="X2700" i="41"/>
  <c r="X2701" i="41"/>
  <c r="X2702" i="41"/>
  <c r="X2703" i="41"/>
  <c r="X2704" i="41"/>
  <c r="X2705" i="41"/>
  <c r="X2706" i="41"/>
  <c r="X2707" i="41"/>
  <c r="X2708" i="41"/>
  <c r="X2709" i="41"/>
  <c r="X2710" i="41"/>
  <c r="X2711" i="41"/>
  <c r="X2712" i="41"/>
  <c r="X2713" i="41"/>
  <c r="X2714" i="41"/>
  <c r="X2715" i="41"/>
  <c r="X2716" i="41"/>
  <c r="X2717" i="41"/>
  <c r="X2718" i="41"/>
  <c r="X2719" i="41"/>
  <c r="X2720" i="41"/>
  <c r="X2721" i="41"/>
  <c r="X2722" i="41"/>
  <c r="X2723" i="41"/>
  <c r="X2724" i="41"/>
  <c r="X2725" i="41"/>
  <c r="X2726" i="41"/>
  <c r="X2727" i="41"/>
  <c r="X2728" i="41"/>
  <c r="X2729" i="41"/>
  <c r="X2730" i="41"/>
  <c r="X2731" i="41"/>
  <c r="X2732" i="41"/>
  <c r="X2733" i="41"/>
  <c r="X2734" i="41"/>
  <c r="X2735" i="41"/>
  <c r="X2736" i="41"/>
  <c r="X2737" i="41"/>
  <c r="X2738" i="41"/>
  <c r="X2739" i="41"/>
  <c r="X2740" i="41"/>
  <c r="X2741" i="41"/>
  <c r="X2742" i="41"/>
  <c r="X2743" i="41"/>
  <c r="X2744" i="41"/>
  <c r="X2745" i="41"/>
  <c r="X2746" i="41"/>
  <c r="X2747" i="41"/>
  <c r="X2748" i="41"/>
  <c r="X2749" i="41"/>
  <c r="X2750" i="41"/>
  <c r="X2751" i="41"/>
  <c r="X2752" i="41"/>
  <c r="X2753" i="41"/>
  <c r="X2754" i="41"/>
  <c r="X2755" i="41"/>
  <c r="X2756" i="41"/>
  <c r="X2757" i="41"/>
  <c r="X2758" i="41"/>
  <c r="X2759" i="41"/>
  <c r="X2760" i="41"/>
  <c r="X2761" i="41"/>
  <c r="X2762" i="41"/>
  <c r="X2763" i="41"/>
  <c r="X2764" i="41"/>
  <c r="X2765" i="41"/>
  <c r="X2766" i="41"/>
  <c r="X2767" i="41"/>
  <c r="X2768" i="41"/>
  <c r="X2769" i="41"/>
  <c r="X2770" i="41"/>
  <c r="X2771" i="41"/>
  <c r="X2772" i="41"/>
  <c r="X2773" i="41"/>
  <c r="X2774" i="41"/>
  <c r="X2775" i="41"/>
  <c r="X2776" i="41"/>
  <c r="X2777" i="41"/>
  <c r="X2778" i="41"/>
  <c r="X2779" i="41"/>
  <c r="X2780" i="41"/>
  <c r="X2781" i="41"/>
  <c r="X2782" i="41"/>
  <c r="X2783" i="41"/>
  <c r="X2784" i="41"/>
  <c r="X2785" i="41"/>
  <c r="X2786" i="41"/>
  <c r="X2787" i="41"/>
  <c r="X2788" i="41"/>
  <c r="X2789" i="41"/>
  <c r="X2790" i="41"/>
  <c r="X2791" i="41"/>
  <c r="X2792" i="41"/>
  <c r="X2793" i="41"/>
  <c r="X2794" i="41"/>
  <c r="X2795" i="41"/>
  <c r="X2796" i="41"/>
  <c r="X2797" i="41"/>
  <c r="X2798" i="41"/>
  <c r="X2799" i="41"/>
  <c r="X2800" i="41"/>
  <c r="X2801" i="41"/>
  <c r="X2802" i="41"/>
  <c r="X2803" i="41"/>
  <c r="X2804" i="41"/>
  <c r="X2805" i="41"/>
  <c r="X2806" i="41"/>
  <c r="X2807" i="41"/>
  <c r="X2808" i="41"/>
  <c r="X2809" i="41"/>
  <c r="X2810" i="41"/>
  <c r="X2811" i="41"/>
  <c r="X2812" i="41"/>
  <c r="X2813" i="41"/>
  <c r="X2814" i="41"/>
  <c r="X2815" i="41"/>
  <c r="X2816" i="41"/>
  <c r="X2817" i="41"/>
  <c r="X2818" i="41"/>
  <c r="X2819" i="41"/>
  <c r="X2820" i="41"/>
  <c r="X2821" i="41"/>
  <c r="X2822" i="41"/>
  <c r="X2823" i="41"/>
  <c r="X2824" i="41"/>
  <c r="X2825" i="41"/>
  <c r="X2826" i="41"/>
  <c r="X2827" i="41"/>
  <c r="X2828" i="41"/>
  <c r="X2829" i="41"/>
  <c r="X2830" i="41"/>
  <c r="X2831" i="41"/>
  <c r="X2832" i="41"/>
  <c r="X2833" i="41"/>
  <c r="X2834" i="41"/>
  <c r="X2835" i="41"/>
  <c r="X2836" i="41"/>
  <c r="X2837" i="41"/>
  <c r="X2838" i="41"/>
  <c r="X2839" i="41"/>
  <c r="X2840" i="41"/>
  <c r="X2841" i="41"/>
  <c r="X2842" i="41"/>
  <c r="X2843" i="41"/>
  <c r="X2844" i="41"/>
  <c r="X2845" i="41"/>
  <c r="X2846" i="41"/>
  <c r="X2847" i="41"/>
  <c r="X2848" i="41"/>
  <c r="X2849" i="41"/>
  <c r="X2850" i="41"/>
  <c r="X2851" i="41"/>
  <c r="X2852" i="41"/>
  <c r="X2853" i="41"/>
  <c r="X2854" i="41"/>
  <c r="X2855" i="41"/>
  <c r="X2856" i="41"/>
  <c r="X2857" i="41"/>
  <c r="X2858" i="41"/>
  <c r="X2859" i="41"/>
  <c r="X2860" i="41"/>
  <c r="X2861" i="41"/>
  <c r="X2862" i="41"/>
  <c r="X2863" i="41"/>
  <c r="X2864" i="41"/>
  <c r="X2865" i="41"/>
  <c r="X2866" i="41"/>
  <c r="X2867" i="41"/>
  <c r="X2868" i="41"/>
  <c r="X2869" i="41"/>
  <c r="X2870" i="41"/>
  <c r="X2871" i="41"/>
  <c r="X2872" i="41"/>
  <c r="X2873" i="41"/>
  <c r="X2874" i="41"/>
  <c r="X2875" i="41"/>
  <c r="X2876" i="41"/>
  <c r="X2877" i="41"/>
  <c r="X2878" i="41"/>
  <c r="X2879" i="41"/>
  <c r="X2880" i="41"/>
  <c r="X2881" i="41"/>
  <c r="X2882" i="41"/>
  <c r="X2883" i="41"/>
  <c r="X2884" i="41"/>
  <c r="X2885" i="41"/>
  <c r="X2886" i="41"/>
  <c r="X2887" i="41"/>
  <c r="X2888" i="41"/>
  <c r="X2889" i="41"/>
  <c r="X2890" i="41"/>
  <c r="X2891" i="41"/>
  <c r="X2892" i="41"/>
  <c r="X2893" i="41"/>
  <c r="X2894" i="41"/>
  <c r="X2895" i="41"/>
  <c r="X2896" i="41"/>
  <c r="X2897" i="41"/>
  <c r="X2898" i="41"/>
  <c r="X2899" i="41"/>
  <c r="X2900" i="41"/>
  <c r="X2901" i="41"/>
  <c r="X2902" i="41"/>
  <c r="X2903" i="41"/>
  <c r="X2904" i="41"/>
  <c r="X2905" i="41"/>
  <c r="X2906" i="41"/>
  <c r="X2907" i="41"/>
  <c r="X2908" i="41"/>
  <c r="X2909" i="41"/>
  <c r="X2910" i="41"/>
  <c r="X2911" i="41"/>
  <c r="X2912" i="41"/>
  <c r="X2913" i="41"/>
  <c r="X2914" i="41"/>
  <c r="X2915" i="41"/>
  <c r="X2916" i="41"/>
  <c r="X2917" i="41"/>
  <c r="X2918" i="41"/>
  <c r="X2919" i="41"/>
  <c r="X2920" i="41"/>
  <c r="X2921" i="41"/>
  <c r="X2922" i="41"/>
  <c r="X2923" i="41"/>
  <c r="X2924" i="41"/>
  <c r="X2925" i="41"/>
  <c r="X2926" i="41"/>
  <c r="X2927" i="41"/>
  <c r="X2928" i="41"/>
  <c r="X2929" i="41"/>
  <c r="X2930" i="41"/>
  <c r="X2931" i="41"/>
  <c r="X2932" i="41"/>
  <c r="X2933" i="41"/>
  <c r="X2934" i="41"/>
  <c r="X2935" i="41"/>
  <c r="X2936" i="41"/>
  <c r="X2937" i="41"/>
  <c r="X2938" i="41"/>
  <c r="X2939" i="41"/>
  <c r="X2940" i="41"/>
  <c r="X2941" i="41"/>
  <c r="X2942" i="41"/>
  <c r="X2943" i="41"/>
  <c r="X2944" i="41"/>
  <c r="X2945" i="41"/>
  <c r="X2946" i="41"/>
  <c r="X2947" i="41"/>
  <c r="X2948" i="41"/>
  <c r="X2949" i="41"/>
  <c r="X2950" i="41"/>
  <c r="X2951" i="41"/>
  <c r="X2952" i="41"/>
  <c r="X2953" i="41"/>
  <c r="X2954" i="41"/>
  <c r="X2955" i="41"/>
  <c r="X2956" i="41"/>
  <c r="X2957" i="41"/>
  <c r="X2958" i="41"/>
  <c r="X2959" i="41"/>
  <c r="X2960" i="41"/>
  <c r="X2961" i="41"/>
  <c r="X2962" i="41"/>
  <c r="X2963" i="41"/>
  <c r="X2964" i="41"/>
  <c r="X2965" i="41"/>
  <c r="X2966" i="41"/>
  <c r="X2967" i="41"/>
  <c r="X2968" i="41"/>
  <c r="X2969" i="41"/>
  <c r="X2970" i="41"/>
  <c r="X2971" i="41"/>
  <c r="X2972" i="41"/>
  <c r="X2973" i="41"/>
  <c r="X2974" i="41"/>
  <c r="X2975" i="41"/>
  <c r="X2976" i="41"/>
  <c r="X2977" i="41"/>
  <c r="X2978" i="41"/>
  <c r="X2979" i="41"/>
  <c r="X2980" i="41"/>
  <c r="X2981" i="41"/>
  <c r="X2982" i="41"/>
  <c r="X2983" i="41"/>
  <c r="X2984" i="41"/>
  <c r="X2985" i="41"/>
  <c r="X2986" i="41"/>
  <c r="X2987" i="41"/>
  <c r="X2988" i="41"/>
  <c r="X2989" i="41"/>
  <c r="X2990" i="41"/>
  <c r="X2991" i="41"/>
  <c r="X2992" i="41"/>
  <c r="X2993" i="41"/>
  <c r="X2994" i="41"/>
  <c r="X2995" i="41"/>
  <c r="X2996" i="41"/>
  <c r="X2997" i="41"/>
  <c r="X2998" i="41"/>
  <c r="X2999" i="41"/>
  <c r="X3000" i="41"/>
  <c r="X3001" i="41"/>
  <c r="X3002" i="41"/>
  <c r="X3003" i="41"/>
  <c r="X3004" i="41"/>
  <c r="X3005" i="41"/>
  <c r="X3006" i="41"/>
  <c r="X3007" i="41"/>
  <c r="X3008" i="41"/>
  <c r="X3009" i="41"/>
  <c r="X3010" i="41"/>
  <c r="X3011" i="41"/>
  <c r="X3012" i="41"/>
  <c r="X3013" i="41"/>
  <c r="X3014" i="41"/>
  <c r="X3015" i="41"/>
  <c r="X3016" i="41"/>
  <c r="X3017" i="41"/>
  <c r="X3018" i="41"/>
  <c r="X3019" i="41"/>
  <c r="X3020" i="41"/>
  <c r="X3021" i="41"/>
  <c r="X3022" i="41"/>
  <c r="X3023" i="41"/>
  <c r="X3024" i="41"/>
  <c r="X3025" i="41"/>
  <c r="X3026" i="41"/>
  <c r="X3027" i="41"/>
  <c r="X3028" i="41"/>
  <c r="X3029" i="41"/>
  <c r="X3030" i="41"/>
  <c r="X3031" i="41"/>
  <c r="X3032" i="41"/>
  <c r="X3033" i="41"/>
  <c r="X3034" i="41"/>
  <c r="X3035" i="41"/>
  <c r="X3036" i="41"/>
  <c r="X3037" i="41"/>
  <c r="X3038" i="41"/>
  <c r="X3039" i="41"/>
  <c r="X3040" i="41"/>
  <c r="X3041" i="41"/>
  <c r="X3042" i="41"/>
  <c r="X3043" i="41"/>
  <c r="X3044" i="41"/>
  <c r="X3045" i="41"/>
  <c r="X3046" i="41"/>
  <c r="X3047" i="41"/>
  <c r="X3048" i="41"/>
  <c r="X3049" i="41"/>
  <c r="X3050" i="41"/>
  <c r="X3051" i="41"/>
  <c r="X3052" i="41"/>
  <c r="X3053" i="41"/>
  <c r="X3054" i="41"/>
  <c r="X3055" i="41"/>
  <c r="X3056" i="41"/>
  <c r="X3057" i="41"/>
  <c r="X3058" i="41"/>
  <c r="X3059" i="41"/>
  <c r="X3060" i="41"/>
  <c r="X3061" i="41"/>
  <c r="X3062" i="41"/>
  <c r="X3063" i="41"/>
  <c r="X3064" i="41"/>
  <c r="X3065" i="41"/>
  <c r="X3066" i="41"/>
  <c r="X3067" i="41"/>
  <c r="X3068" i="41"/>
  <c r="X3069" i="41"/>
  <c r="X3070" i="41"/>
  <c r="X3071" i="41"/>
  <c r="X3072" i="41"/>
  <c r="X3073" i="41"/>
  <c r="X3074" i="41"/>
  <c r="X3075" i="41"/>
  <c r="X3076" i="41"/>
  <c r="X3077" i="41"/>
  <c r="X3078" i="41"/>
  <c r="X3079" i="41"/>
  <c r="X3080" i="41"/>
  <c r="X3081" i="41"/>
  <c r="X3082" i="41"/>
  <c r="X3083" i="41"/>
  <c r="X3084" i="41"/>
  <c r="X3085" i="41"/>
  <c r="X3086" i="41"/>
  <c r="X3087" i="41"/>
  <c r="X3088" i="41"/>
  <c r="X3089" i="41"/>
  <c r="X3090" i="41"/>
  <c r="X3091" i="41"/>
  <c r="X3092" i="41"/>
  <c r="X3093" i="41"/>
  <c r="X3094" i="41"/>
  <c r="X3095" i="41"/>
  <c r="X3096" i="41"/>
  <c r="X3097" i="41"/>
  <c r="X3098" i="41"/>
  <c r="X3099" i="41"/>
  <c r="X3100" i="41"/>
  <c r="X3101" i="41"/>
  <c r="X3102" i="41"/>
  <c r="X3103" i="41"/>
  <c r="X3104" i="41"/>
  <c r="X3105" i="41"/>
  <c r="X3106" i="41"/>
  <c r="X3107" i="41"/>
  <c r="X3108" i="41"/>
  <c r="X3109" i="41"/>
  <c r="X3110" i="41"/>
  <c r="X3111" i="41"/>
  <c r="X3112" i="41"/>
  <c r="X3113" i="41"/>
  <c r="X3114" i="41"/>
  <c r="X3115" i="41"/>
  <c r="X3116" i="41"/>
  <c r="X3117" i="41"/>
  <c r="X3118" i="41"/>
  <c r="X3119" i="41"/>
  <c r="X3120" i="41"/>
  <c r="X3121" i="41"/>
  <c r="X3122" i="41"/>
  <c r="X3123" i="41"/>
  <c r="X3124" i="41"/>
  <c r="X3125" i="41"/>
  <c r="X3126" i="41"/>
  <c r="X3127" i="41"/>
  <c r="X3128" i="41"/>
  <c r="X3129" i="41"/>
  <c r="X3130" i="41"/>
  <c r="X3131" i="41"/>
  <c r="X3132" i="41"/>
  <c r="X3133" i="41"/>
  <c r="X3134" i="41"/>
  <c r="X3135" i="41"/>
  <c r="X3136" i="41"/>
  <c r="X3137" i="41"/>
  <c r="X3138" i="41"/>
  <c r="X3139" i="41"/>
  <c r="X3140" i="41"/>
  <c r="X3141" i="41"/>
  <c r="X3142" i="41"/>
  <c r="X3143" i="41"/>
  <c r="X3144" i="41"/>
  <c r="X3145" i="41"/>
  <c r="X3146" i="41"/>
  <c r="X3147" i="41"/>
  <c r="X3148" i="41"/>
  <c r="X3149" i="41"/>
  <c r="X3150" i="41"/>
  <c r="X3151" i="41"/>
  <c r="X3152" i="41"/>
  <c r="X3153" i="41"/>
  <c r="X3154" i="41"/>
  <c r="X3155" i="41"/>
  <c r="X3156" i="41"/>
  <c r="X3157" i="41"/>
  <c r="X3158" i="41"/>
  <c r="X3159" i="41"/>
  <c r="X3160" i="41"/>
  <c r="X3161" i="41"/>
  <c r="X3162" i="41"/>
  <c r="X3163" i="41"/>
  <c r="X3164" i="41"/>
  <c r="X3165" i="41"/>
  <c r="X3166" i="41"/>
  <c r="X3167" i="41"/>
  <c r="X3168" i="41"/>
  <c r="X3169" i="41"/>
  <c r="X3170" i="41"/>
  <c r="X3171" i="41"/>
  <c r="X3172" i="41"/>
  <c r="X3173" i="41"/>
  <c r="X3174" i="41"/>
  <c r="X3175" i="41"/>
  <c r="X3176" i="41"/>
  <c r="X3177" i="41"/>
  <c r="X3178" i="41"/>
  <c r="X3179" i="41"/>
  <c r="X3180" i="41"/>
  <c r="X3181" i="41"/>
  <c r="X3182" i="41"/>
  <c r="X3183" i="41"/>
  <c r="X3184" i="41"/>
  <c r="X3185" i="41"/>
  <c r="X3186" i="41"/>
  <c r="X3187" i="41"/>
  <c r="X3188" i="41"/>
  <c r="X3189" i="41"/>
  <c r="X3190" i="41"/>
  <c r="X3191" i="41"/>
  <c r="X3192" i="41"/>
  <c r="X3193" i="41"/>
  <c r="X3194" i="41"/>
  <c r="X3195" i="41"/>
  <c r="X3196" i="41"/>
  <c r="X3197" i="41"/>
  <c r="X3198" i="41"/>
  <c r="X3199" i="41"/>
  <c r="X3200" i="41"/>
  <c r="X3201" i="41"/>
  <c r="X3202" i="41"/>
  <c r="X3203" i="41"/>
  <c r="X3204" i="41"/>
  <c r="X3205" i="41"/>
  <c r="X3206" i="41"/>
  <c r="X3207" i="41"/>
  <c r="X3208" i="41"/>
  <c r="X3209" i="41"/>
  <c r="X3210" i="41"/>
  <c r="X3211" i="41"/>
  <c r="X3212" i="41"/>
  <c r="X3213" i="41"/>
  <c r="X3214" i="41"/>
  <c r="X3215" i="41"/>
  <c r="X3216" i="41"/>
  <c r="X3217" i="41"/>
  <c r="X3218" i="41"/>
  <c r="X3219" i="41"/>
  <c r="X3220" i="41"/>
  <c r="X3221" i="41"/>
  <c r="X3222" i="41"/>
  <c r="X3223" i="41"/>
  <c r="X3224" i="41"/>
  <c r="X3225" i="41"/>
  <c r="X3226" i="41"/>
  <c r="X3227" i="41"/>
  <c r="X3228" i="41"/>
  <c r="X3229" i="41"/>
  <c r="X3230" i="41"/>
  <c r="X3231" i="41"/>
  <c r="X3232" i="41"/>
  <c r="X3233" i="41"/>
  <c r="X3234" i="41"/>
  <c r="X3235" i="41"/>
  <c r="X3236" i="41"/>
  <c r="X3237" i="41"/>
  <c r="X3238" i="41"/>
  <c r="X3239" i="41"/>
  <c r="X3240" i="41"/>
  <c r="X3241" i="41"/>
  <c r="X3242" i="41"/>
  <c r="X3243" i="41"/>
  <c r="X3244" i="41"/>
  <c r="X3245" i="41"/>
  <c r="X3246" i="41"/>
  <c r="X3247" i="41"/>
  <c r="X3248" i="41"/>
  <c r="X3249" i="41"/>
  <c r="X3250" i="41"/>
  <c r="X3251" i="41"/>
  <c r="X3252" i="41"/>
  <c r="X3253" i="41"/>
  <c r="X3254" i="41"/>
  <c r="X3255" i="41"/>
  <c r="X3256" i="41"/>
  <c r="X3257" i="41"/>
  <c r="X3258" i="41"/>
  <c r="X3259" i="41"/>
  <c r="X3260" i="41"/>
  <c r="X3261" i="41"/>
  <c r="X3262" i="41"/>
  <c r="X3263" i="41"/>
  <c r="X3264" i="41"/>
  <c r="X3265" i="41"/>
  <c r="X3266" i="41"/>
  <c r="X3267" i="41"/>
  <c r="X3268" i="41"/>
  <c r="X3269" i="41"/>
  <c r="X3270" i="41"/>
  <c r="X3271" i="41"/>
  <c r="X3272" i="41"/>
  <c r="X3273" i="41"/>
  <c r="X3274" i="41"/>
  <c r="X3275" i="41"/>
  <c r="X3276" i="41"/>
  <c r="X3277" i="41"/>
  <c r="X3278" i="41"/>
  <c r="X3279" i="41"/>
  <c r="X3280" i="41"/>
  <c r="X3281" i="41"/>
  <c r="X3282" i="41"/>
  <c r="X3283" i="41"/>
  <c r="X3284" i="41"/>
  <c r="X3285" i="41"/>
  <c r="X3286" i="41"/>
  <c r="X3287" i="41"/>
  <c r="X3288" i="41"/>
  <c r="X3289" i="41"/>
  <c r="X3290" i="41"/>
  <c r="X3291" i="41"/>
  <c r="X3292" i="41"/>
  <c r="X3293" i="41"/>
  <c r="X3294" i="41"/>
  <c r="X3295" i="41"/>
  <c r="X3296" i="41"/>
  <c r="X3297" i="41"/>
  <c r="X3298" i="41"/>
  <c r="X3299" i="41"/>
  <c r="X3300" i="41"/>
  <c r="X3301" i="41"/>
  <c r="X3302" i="41"/>
  <c r="X3303" i="41"/>
  <c r="X3304" i="41"/>
  <c r="X3305" i="41"/>
  <c r="X3306" i="41"/>
  <c r="X3307" i="41"/>
  <c r="X3308" i="41"/>
  <c r="X3309" i="41"/>
  <c r="X3310" i="41"/>
  <c r="X3311" i="41"/>
  <c r="X3312" i="41"/>
  <c r="X3313" i="41"/>
  <c r="X3314" i="41"/>
  <c r="X3315" i="41"/>
  <c r="X3316" i="41"/>
  <c r="X3317" i="41"/>
  <c r="X3318" i="41"/>
  <c r="X3319" i="41"/>
  <c r="X3320" i="41"/>
  <c r="X3321" i="41"/>
  <c r="X3322" i="41"/>
  <c r="X3323" i="41"/>
  <c r="X3324" i="41"/>
  <c r="X3325" i="41"/>
  <c r="X3326" i="41"/>
  <c r="X3327" i="41"/>
  <c r="X3328" i="41"/>
  <c r="X3329" i="41"/>
  <c r="X3330" i="41"/>
  <c r="X3331" i="41"/>
  <c r="X3332" i="41"/>
  <c r="X3333" i="41"/>
  <c r="X3334" i="41"/>
  <c r="X3335" i="41"/>
  <c r="X3336" i="41"/>
  <c r="X3337" i="41"/>
  <c r="X3338" i="41"/>
  <c r="X3339" i="41"/>
  <c r="X3340" i="41"/>
  <c r="X3341" i="41"/>
  <c r="X3342" i="41"/>
  <c r="X3343" i="41"/>
  <c r="X3344" i="41"/>
  <c r="X3345" i="41"/>
  <c r="X3346" i="41"/>
  <c r="X3347" i="41"/>
  <c r="X3348" i="41"/>
  <c r="X3349" i="41"/>
  <c r="X3350" i="41"/>
  <c r="X3351" i="41"/>
  <c r="X3352" i="41"/>
  <c r="X3353" i="41"/>
  <c r="X3354" i="41"/>
  <c r="X3355" i="41"/>
  <c r="X3356" i="41"/>
  <c r="X3357" i="41"/>
  <c r="X3358" i="41"/>
  <c r="X3359" i="41"/>
  <c r="X3360" i="41"/>
  <c r="X3361" i="41"/>
  <c r="X3362" i="41"/>
  <c r="X3363" i="41"/>
  <c r="X3364" i="41"/>
  <c r="X3365" i="41"/>
  <c r="X3366" i="41"/>
  <c r="X3367" i="41"/>
  <c r="X3368" i="41"/>
  <c r="X3369" i="41"/>
  <c r="X3370" i="41"/>
  <c r="X3371" i="41"/>
  <c r="X3372" i="41"/>
  <c r="X3373" i="41"/>
  <c r="X3374" i="41"/>
  <c r="X3375" i="41"/>
  <c r="X3376" i="41"/>
  <c r="X3377" i="41"/>
  <c r="X3378" i="41"/>
  <c r="X3379" i="41"/>
  <c r="X3380" i="41"/>
  <c r="X3381" i="41"/>
  <c r="X3382" i="41"/>
  <c r="X3383" i="41"/>
  <c r="X3384" i="41"/>
  <c r="X3385" i="41"/>
  <c r="X3386" i="41"/>
  <c r="X3387" i="41"/>
  <c r="X3388" i="41"/>
  <c r="X3389" i="41"/>
  <c r="X3390" i="41"/>
  <c r="X3391" i="41"/>
  <c r="X3392" i="41"/>
  <c r="X3393" i="41"/>
  <c r="X3394" i="41"/>
  <c r="X3395" i="41"/>
  <c r="X3396" i="41"/>
  <c r="X3397" i="41"/>
  <c r="X3398" i="41"/>
  <c r="X3399" i="41"/>
  <c r="X3400" i="41"/>
  <c r="X3401" i="41"/>
  <c r="X3402" i="41"/>
  <c r="X3403" i="41"/>
  <c r="X3404" i="41"/>
  <c r="X3405" i="41"/>
  <c r="X3406" i="41"/>
  <c r="X3407" i="41"/>
  <c r="X3408" i="41"/>
  <c r="X3409" i="41"/>
  <c r="X3410" i="41"/>
  <c r="X3411" i="41"/>
  <c r="X3412" i="41"/>
  <c r="X3413" i="41"/>
  <c r="X3414" i="41"/>
  <c r="X3415" i="41"/>
  <c r="X3416" i="41"/>
  <c r="X3417" i="41"/>
  <c r="X3418" i="41"/>
  <c r="X3419" i="41"/>
  <c r="X3420" i="41"/>
  <c r="X3421" i="41"/>
  <c r="X3422" i="41"/>
  <c r="X3423" i="41"/>
  <c r="X3424" i="41"/>
  <c r="X3425" i="41"/>
  <c r="X3426" i="41"/>
  <c r="X3427" i="41"/>
  <c r="X3428" i="41"/>
  <c r="X3429" i="41"/>
  <c r="X3430" i="41"/>
  <c r="X3431" i="41"/>
  <c r="W1890" i="40"/>
  <c r="W1891" i="40"/>
  <c r="W1892" i="40"/>
  <c r="W1893" i="40"/>
  <c r="W1894" i="40"/>
  <c r="W1895" i="40"/>
  <c r="W1896" i="40"/>
  <c r="W1897" i="40"/>
  <c r="W1898" i="40"/>
  <c r="W1899" i="40"/>
  <c r="W1900" i="40"/>
  <c r="W1901" i="40"/>
  <c r="W1902" i="40"/>
  <c r="W1903" i="40"/>
  <c r="W1904" i="40"/>
  <c r="W1905" i="40"/>
  <c r="W1906" i="40"/>
  <c r="W1907" i="40"/>
  <c r="W1908" i="40"/>
  <c r="W1909" i="40"/>
  <c r="W1910" i="40"/>
  <c r="W1911" i="40"/>
  <c r="W1912" i="40"/>
  <c r="W1913" i="40"/>
  <c r="W1914" i="40"/>
  <c r="W1915" i="40"/>
  <c r="W1916" i="40"/>
  <c r="W1917" i="40"/>
  <c r="W1918" i="40"/>
  <c r="W1919" i="40"/>
  <c r="W1920" i="40"/>
  <c r="W1921" i="40"/>
  <c r="W1922" i="40"/>
  <c r="W1923" i="40"/>
  <c r="W1924" i="40"/>
  <c r="W1925" i="40"/>
  <c r="W1926" i="40"/>
  <c r="W1927" i="40"/>
  <c r="W1928" i="40"/>
  <c r="W1929" i="40"/>
  <c r="W1930" i="40"/>
  <c r="W1931" i="40"/>
  <c r="W1932" i="40"/>
  <c r="W1933" i="40"/>
  <c r="W1934" i="40"/>
  <c r="W1935" i="40"/>
  <c r="W1936" i="40"/>
  <c r="W1937" i="40"/>
  <c r="W1938" i="40"/>
  <c r="W1939" i="40"/>
  <c r="W1940" i="40"/>
  <c r="W1941" i="40"/>
  <c r="W1942" i="40"/>
  <c r="W1943" i="40"/>
  <c r="W1944" i="40"/>
  <c r="W1945" i="40"/>
  <c r="W1946" i="40"/>
  <c r="W1947" i="40"/>
  <c r="W1948" i="40"/>
  <c r="W1949" i="40"/>
  <c r="W1950" i="40"/>
  <c r="W1951" i="40"/>
  <c r="W1952" i="40"/>
  <c r="W1953" i="40"/>
  <c r="W1954" i="40"/>
  <c r="W1955" i="40"/>
  <c r="W1956" i="40"/>
  <c r="W1957" i="40"/>
  <c r="W1958" i="40"/>
  <c r="W1959" i="40"/>
  <c r="W1960" i="40"/>
  <c r="W1961" i="40"/>
  <c r="W1962" i="40"/>
  <c r="W1963" i="40"/>
  <c r="W1964" i="40"/>
  <c r="W1965" i="40"/>
  <c r="W1966" i="40"/>
  <c r="W1967" i="40"/>
  <c r="W1968" i="40"/>
  <c r="W1969" i="40"/>
  <c r="W1970" i="40"/>
  <c r="W1971" i="40"/>
  <c r="W1972" i="40"/>
  <c r="W1973" i="40"/>
  <c r="W1974" i="40"/>
  <c r="W1975" i="40"/>
  <c r="W1976" i="40"/>
  <c r="W1977" i="40"/>
  <c r="W1978" i="40"/>
  <c r="W1979" i="40"/>
  <c r="W1980" i="40"/>
  <c r="W1981" i="40"/>
  <c r="W1982" i="40"/>
  <c r="W1983" i="40"/>
  <c r="W1984" i="40"/>
  <c r="W1985" i="40"/>
  <c r="W1986" i="40"/>
  <c r="W1987" i="40"/>
  <c r="W1988" i="40"/>
  <c r="W1989" i="40"/>
  <c r="W1990" i="40"/>
  <c r="W1991" i="40"/>
  <c r="W1992" i="40"/>
  <c r="W1993" i="40"/>
  <c r="W1994" i="40"/>
  <c r="W1995" i="40"/>
  <c r="W1996" i="40"/>
  <c r="W1997" i="40"/>
  <c r="W1998" i="40"/>
  <c r="W1999" i="40"/>
  <c r="W2000" i="40"/>
  <c r="W2001" i="40"/>
  <c r="W2002" i="40"/>
  <c r="W2003" i="40"/>
  <c r="W2004" i="40"/>
  <c r="W2005" i="40"/>
  <c r="W2006" i="40"/>
  <c r="W2007" i="40"/>
  <c r="W2008" i="40"/>
  <c r="W2009" i="40"/>
  <c r="W2010" i="40"/>
  <c r="W2011" i="40"/>
  <c r="W2012" i="40"/>
  <c r="W2013" i="40"/>
  <c r="W2014" i="40"/>
  <c r="W2015" i="40"/>
  <c r="W2016" i="40"/>
  <c r="W2017" i="40"/>
  <c r="W2018" i="40"/>
  <c r="W2019" i="40"/>
  <c r="W2020" i="40"/>
  <c r="W2021" i="40"/>
  <c r="W2022" i="40"/>
  <c r="W2023" i="40"/>
  <c r="W2024" i="40"/>
  <c r="W2025" i="40"/>
  <c r="W2026" i="40"/>
  <c r="W2027" i="40"/>
  <c r="W2028" i="40"/>
  <c r="W2029" i="40"/>
  <c r="W2030" i="40"/>
  <c r="W2031" i="40"/>
  <c r="W2032" i="40"/>
  <c r="W2033" i="40"/>
  <c r="W2034" i="40"/>
  <c r="W2035" i="40"/>
  <c r="W2036" i="40"/>
  <c r="W2037" i="40"/>
  <c r="W2038" i="40"/>
  <c r="W2039" i="40"/>
  <c r="W2040" i="40"/>
  <c r="W2041" i="40"/>
  <c r="W2042" i="40"/>
  <c r="W2043" i="40"/>
  <c r="W2044" i="40"/>
  <c r="W2045" i="40"/>
  <c r="W2046" i="40"/>
  <c r="W2047" i="40"/>
  <c r="W2048" i="40"/>
  <c r="W2049" i="40"/>
  <c r="W2050" i="40"/>
  <c r="W2051" i="40"/>
  <c r="W2052" i="40"/>
  <c r="W2053" i="40"/>
  <c r="W2054" i="40"/>
  <c r="W2055" i="40"/>
  <c r="W2056" i="40"/>
  <c r="W2057" i="40"/>
  <c r="W2058" i="40"/>
  <c r="W2059" i="40"/>
  <c r="W2060" i="40"/>
  <c r="W2061" i="40"/>
  <c r="W2062" i="40"/>
  <c r="W2063" i="40"/>
  <c r="W2064" i="40"/>
  <c r="W2065" i="40"/>
  <c r="W2066" i="40"/>
  <c r="W2067" i="40"/>
  <c r="W2068" i="40"/>
  <c r="W2069" i="40"/>
  <c r="W2070" i="40"/>
  <c r="W2071" i="40"/>
  <c r="W2072" i="40"/>
  <c r="W2073" i="40"/>
  <c r="W2074" i="40"/>
  <c r="W2075" i="40"/>
  <c r="W2076" i="40"/>
  <c r="W2077" i="40"/>
  <c r="W2078" i="40"/>
  <c r="W2079" i="40"/>
  <c r="W2080" i="40"/>
  <c r="W2081" i="40"/>
  <c r="W2082" i="40"/>
  <c r="W2083" i="40"/>
  <c r="W2084" i="40"/>
  <c r="W2085" i="40"/>
  <c r="W2086" i="40"/>
  <c r="W2087" i="40"/>
  <c r="W2088" i="40"/>
  <c r="W2089" i="40"/>
  <c r="W2090" i="40"/>
  <c r="W2091" i="40"/>
  <c r="W2092" i="40"/>
  <c r="W2093" i="40"/>
  <c r="W2094" i="40"/>
  <c r="W2095" i="40"/>
  <c r="W2096" i="40"/>
  <c r="W2097" i="40"/>
  <c r="W2098" i="40"/>
  <c r="W2099" i="40"/>
  <c r="W2100" i="40"/>
  <c r="W2101" i="40"/>
  <c r="W2102" i="40"/>
  <c r="W2103" i="40"/>
  <c r="W2104" i="40"/>
  <c r="W2105" i="40"/>
  <c r="W2106" i="40"/>
  <c r="W2107" i="40"/>
  <c r="W2108" i="40"/>
  <c r="W2109" i="40"/>
  <c r="W2110" i="40"/>
  <c r="W2111" i="40"/>
  <c r="W2112" i="40"/>
  <c r="W2113" i="40"/>
  <c r="W2114" i="40"/>
  <c r="W2115" i="40"/>
  <c r="W2116" i="40"/>
  <c r="W2117" i="40"/>
  <c r="W2118" i="40"/>
  <c r="W2119" i="40"/>
  <c r="W2120" i="40"/>
  <c r="W2121" i="40"/>
  <c r="W2122" i="40"/>
  <c r="W2123" i="40"/>
  <c r="W2124" i="40"/>
  <c r="W2125" i="40"/>
  <c r="W2126" i="40"/>
  <c r="W2127" i="40"/>
  <c r="W2128" i="40"/>
  <c r="W2129" i="40"/>
  <c r="W2130" i="40"/>
  <c r="W2131" i="40"/>
  <c r="W2132" i="40"/>
  <c r="W2133" i="40"/>
  <c r="W2134" i="40"/>
  <c r="W2135" i="40"/>
  <c r="W2136" i="40"/>
  <c r="W2137" i="40"/>
  <c r="W2138" i="40"/>
  <c r="W2139" i="40"/>
  <c r="W2140" i="40"/>
  <c r="W2141" i="40"/>
  <c r="W2142" i="40"/>
  <c r="W2143" i="40"/>
  <c r="W2144" i="40"/>
  <c r="W2145" i="40"/>
  <c r="W2146" i="40"/>
  <c r="W2147" i="40"/>
  <c r="W2148" i="40"/>
  <c r="W2149" i="40"/>
  <c r="W2150" i="40"/>
  <c r="W2151" i="40"/>
  <c r="W2152" i="40"/>
  <c r="W2153" i="40"/>
  <c r="W2154" i="40"/>
  <c r="W2155" i="40"/>
  <c r="W2156" i="40"/>
  <c r="W2157" i="40"/>
  <c r="W2158" i="40"/>
  <c r="W2159" i="40"/>
  <c r="W2160" i="40"/>
  <c r="W2161" i="40"/>
  <c r="W2162" i="40"/>
  <c r="W2163" i="40"/>
  <c r="W2164" i="40"/>
  <c r="W2165" i="40"/>
  <c r="W2166" i="40"/>
  <c r="W2167" i="40"/>
  <c r="W2168" i="40"/>
  <c r="W2169" i="40"/>
  <c r="W2170" i="40"/>
  <c r="W2171" i="40"/>
  <c r="W2172" i="40"/>
  <c r="W2173" i="40"/>
  <c r="W2174" i="40"/>
  <c r="W2175" i="40"/>
  <c r="W2176" i="40"/>
  <c r="W2177" i="40"/>
  <c r="W2178" i="40"/>
  <c r="W2179" i="40"/>
  <c r="W2180" i="40"/>
  <c r="W2181" i="40"/>
  <c r="W2182" i="40"/>
  <c r="W2183" i="40"/>
  <c r="W2184" i="40"/>
  <c r="W2185" i="40"/>
  <c r="W2186" i="40"/>
  <c r="W2187" i="40"/>
  <c r="W2188" i="40"/>
  <c r="W2189" i="40"/>
  <c r="W2190" i="40"/>
  <c r="W2191" i="40"/>
  <c r="W2192" i="40"/>
  <c r="W2193" i="40"/>
  <c r="W2194" i="40"/>
  <c r="W2195" i="40"/>
  <c r="W2196" i="40"/>
  <c r="W2197" i="40"/>
  <c r="W2198" i="40"/>
  <c r="W2199" i="40"/>
  <c r="W2200" i="40"/>
  <c r="W2201" i="40"/>
  <c r="W2202" i="40"/>
  <c r="W2203" i="40"/>
  <c r="W2204" i="40"/>
  <c r="W2205" i="40"/>
  <c r="W2206" i="40"/>
  <c r="W2207" i="40"/>
  <c r="W2208" i="40"/>
  <c r="W2209" i="40"/>
  <c r="W2210" i="40"/>
  <c r="W2211" i="40"/>
  <c r="W2212" i="40"/>
  <c r="W2213" i="40"/>
  <c r="W2214" i="40"/>
  <c r="W2215" i="40"/>
  <c r="W2216" i="40"/>
  <c r="W2217" i="40"/>
  <c r="W2218" i="40"/>
  <c r="W2219" i="40"/>
  <c r="W2220" i="40"/>
  <c r="W2221" i="40"/>
  <c r="W2222" i="40"/>
  <c r="W2223" i="40"/>
  <c r="W2224" i="40"/>
  <c r="W2225" i="40"/>
  <c r="W2226" i="40"/>
  <c r="W2227" i="40"/>
  <c r="W2228" i="40"/>
  <c r="W2229" i="40"/>
  <c r="W2230" i="40"/>
  <c r="W2231" i="40"/>
  <c r="W2232" i="40"/>
  <c r="W2233" i="40"/>
  <c r="W2234" i="40"/>
  <c r="W2235" i="40"/>
  <c r="W2236" i="40"/>
  <c r="W2237" i="40"/>
  <c r="W2238" i="40"/>
  <c r="W2239" i="40"/>
  <c r="W2240" i="40"/>
  <c r="W2241" i="40"/>
  <c r="W2242" i="40"/>
  <c r="W2243" i="40"/>
  <c r="W2244" i="40"/>
  <c r="W2245" i="40"/>
  <c r="W2246" i="40"/>
  <c r="W2247" i="40"/>
  <c r="W2248" i="40"/>
  <c r="W2249" i="40"/>
  <c r="W2250" i="40"/>
  <c r="W2251" i="40"/>
  <c r="W2252" i="40"/>
  <c r="W2253" i="40"/>
  <c r="W2254" i="40"/>
  <c r="W2255" i="40"/>
  <c r="W2256" i="40"/>
  <c r="W2257" i="40"/>
  <c r="W2258" i="40"/>
  <c r="W2259" i="40"/>
  <c r="W2260" i="40"/>
  <c r="W2261" i="40"/>
  <c r="W2262" i="40"/>
  <c r="W2263" i="40"/>
  <c r="W2264" i="40"/>
  <c r="W2265" i="40"/>
  <c r="W2266" i="40"/>
  <c r="W2267" i="40"/>
  <c r="W2268" i="40"/>
  <c r="W2269" i="40"/>
  <c r="W2270" i="40"/>
  <c r="W2271" i="40"/>
  <c r="W2272" i="40"/>
  <c r="W2273" i="40"/>
  <c r="W2274" i="40"/>
  <c r="W2275" i="40"/>
  <c r="W2276" i="40"/>
  <c r="W2277" i="40"/>
  <c r="W2278" i="40"/>
  <c r="W2279" i="40"/>
  <c r="W2280" i="40"/>
  <c r="W2281" i="40"/>
  <c r="W2282" i="40"/>
  <c r="W2283" i="40"/>
  <c r="W2284" i="40"/>
  <c r="W2285" i="40"/>
  <c r="W2286" i="40"/>
  <c r="W2287" i="40"/>
  <c r="W2288" i="40"/>
  <c r="W2289" i="40"/>
  <c r="W2290" i="40"/>
  <c r="W2291" i="40"/>
  <c r="W2292" i="40"/>
  <c r="W2293" i="40"/>
  <c r="W2294" i="40"/>
  <c r="W2295" i="40"/>
  <c r="W2296" i="40"/>
  <c r="W2297" i="40"/>
  <c r="W2298" i="40"/>
  <c r="W2299" i="40"/>
  <c r="W2300" i="40"/>
  <c r="W2301" i="40"/>
  <c r="W2302" i="40"/>
  <c r="W2303" i="40"/>
  <c r="W2304" i="40"/>
  <c r="W2305" i="40"/>
  <c r="W2306" i="40"/>
  <c r="W2307" i="40"/>
  <c r="W2308" i="40"/>
  <c r="W2309" i="40"/>
  <c r="W2310" i="40"/>
  <c r="W2311" i="40"/>
  <c r="W2312" i="40"/>
  <c r="W2313" i="40"/>
  <c r="W2314" i="40"/>
  <c r="W2315" i="40"/>
  <c r="W2316" i="40"/>
  <c r="W2317" i="40"/>
  <c r="W2318" i="40"/>
  <c r="W2319" i="40"/>
  <c r="W2320" i="40"/>
  <c r="W2321" i="40"/>
  <c r="W2322" i="40"/>
  <c r="W2323" i="40"/>
  <c r="W2324" i="40"/>
  <c r="W2325" i="40"/>
  <c r="W2326" i="40"/>
  <c r="W2327" i="40"/>
  <c r="W2328" i="40"/>
  <c r="W2329" i="40"/>
  <c r="W2330" i="40"/>
  <c r="W2331" i="40"/>
  <c r="W2332" i="40"/>
  <c r="W2333" i="40"/>
  <c r="W2334" i="40"/>
  <c r="W2335" i="40"/>
  <c r="W2336" i="40"/>
  <c r="W2337" i="40"/>
  <c r="W2338" i="40"/>
  <c r="W2339" i="40"/>
  <c r="W2340" i="40"/>
  <c r="W2341" i="40"/>
  <c r="W2342" i="40"/>
  <c r="W2343" i="40"/>
  <c r="W2344" i="40"/>
  <c r="W2345" i="40"/>
  <c r="W2346" i="40"/>
  <c r="W2347" i="40"/>
  <c r="W2348" i="40"/>
  <c r="W2349" i="40"/>
  <c r="W2350" i="40"/>
  <c r="W2351" i="40"/>
  <c r="W2352" i="40"/>
  <c r="W2353" i="40"/>
  <c r="W2354" i="40"/>
  <c r="W2355" i="40"/>
  <c r="W2356" i="40"/>
  <c r="W2357" i="40"/>
  <c r="W2358" i="40"/>
  <c r="W2359" i="40"/>
  <c r="W2360" i="40"/>
  <c r="W2361" i="40"/>
  <c r="W2362" i="40"/>
  <c r="W2363" i="40"/>
  <c r="W2364" i="40"/>
  <c r="W2365" i="40"/>
  <c r="W2366" i="40"/>
  <c r="W2367" i="40"/>
  <c r="W2368" i="40"/>
  <c r="W2369" i="40"/>
  <c r="W2370" i="40"/>
  <c r="W2371" i="40"/>
  <c r="W2372" i="40"/>
  <c r="W2373" i="40"/>
  <c r="W2374" i="40"/>
  <c r="W2375" i="40"/>
  <c r="W2376" i="40"/>
  <c r="W2377" i="40"/>
  <c r="W2378" i="40"/>
  <c r="W2379" i="40"/>
  <c r="W2380" i="40"/>
  <c r="W2381" i="40"/>
  <c r="W2382" i="40"/>
  <c r="W2383" i="40"/>
  <c r="W2384" i="40"/>
  <c r="W2385" i="40"/>
  <c r="W2386" i="40"/>
  <c r="W2387" i="40"/>
  <c r="W2388" i="40"/>
  <c r="W2389" i="40"/>
  <c r="W2390" i="40"/>
  <c r="W2391" i="40"/>
  <c r="W2392" i="40"/>
  <c r="W2393" i="40"/>
  <c r="W2394" i="40"/>
  <c r="W2395" i="40"/>
  <c r="W2396" i="40"/>
  <c r="W2397" i="40"/>
  <c r="W2398" i="40"/>
  <c r="W2399" i="40"/>
  <c r="W2400" i="40"/>
  <c r="W2401" i="40"/>
  <c r="W2402" i="40"/>
  <c r="W2403" i="40"/>
  <c r="W2404" i="40"/>
  <c r="W2405" i="40"/>
  <c r="W2406" i="40"/>
  <c r="W2407" i="40"/>
  <c r="W2408" i="40"/>
  <c r="W2409" i="40"/>
  <c r="W2410" i="40"/>
  <c r="W2411" i="40"/>
  <c r="W2412" i="40"/>
  <c r="W2413" i="40"/>
  <c r="W2414" i="40"/>
  <c r="W2415" i="40"/>
  <c r="W2416" i="40"/>
  <c r="W2417" i="40"/>
  <c r="W2418" i="40"/>
  <c r="W2419" i="40"/>
  <c r="W2420" i="40"/>
  <c r="W2421" i="40"/>
  <c r="W2422" i="40"/>
  <c r="W2423" i="40"/>
  <c r="W2424" i="40"/>
  <c r="W2425" i="40"/>
  <c r="W2426" i="40"/>
  <c r="W2427" i="40"/>
  <c r="W2428" i="40"/>
  <c r="W2429" i="40"/>
  <c r="W2430" i="40"/>
  <c r="W2431" i="40"/>
  <c r="W2432" i="40"/>
  <c r="W2433" i="40"/>
  <c r="W2434" i="40"/>
  <c r="W2435" i="40"/>
  <c r="W2436" i="40"/>
  <c r="W2437" i="40"/>
  <c r="W2438" i="40"/>
  <c r="W2439" i="40"/>
  <c r="W2440" i="40"/>
  <c r="W2441" i="40"/>
  <c r="W2442" i="40"/>
  <c r="W2443" i="40"/>
  <c r="W2444" i="40"/>
  <c r="W2445" i="40"/>
  <c r="W2446" i="40"/>
  <c r="W2447" i="40"/>
  <c r="W2448" i="40"/>
  <c r="W2449" i="40"/>
  <c r="W2450" i="40"/>
  <c r="W2451" i="40"/>
  <c r="W2452" i="40"/>
  <c r="W2453" i="40"/>
  <c r="W2454" i="40"/>
  <c r="W2455" i="40"/>
  <c r="W2456" i="40"/>
  <c r="W2457" i="40"/>
  <c r="W2458" i="40"/>
  <c r="W2459" i="40"/>
  <c r="W2460" i="40"/>
  <c r="W2461" i="40"/>
  <c r="W2462" i="40"/>
  <c r="W2463" i="40"/>
  <c r="W2464" i="40"/>
  <c r="W2465" i="40"/>
  <c r="W2466" i="40"/>
  <c r="W2467" i="40"/>
  <c r="W2468" i="40"/>
  <c r="W2469" i="40"/>
  <c r="W2470" i="40"/>
  <c r="W2471" i="40"/>
  <c r="W2472" i="40"/>
  <c r="W2473" i="40"/>
  <c r="W2474" i="40"/>
  <c r="W2475" i="40"/>
  <c r="W2476" i="40"/>
  <c r="W2477" i="40"/>
  <c r="W2478" i="40"/>
  <c r="W2479" i="40"/>
  <c r="W2480" i="40"/>
  <c r="W2481" i="40"/>
  <c r="W2482" i="40"/>
  <c r="W2483" i="40"/>
  <c r="W2484" i="40"/>
  <c r="W2485" i="40"/>
  <c r="W2486" i="40"/>
  <c r="W2487" i="40"/>
  <c r="W2488" i="40"/>
  <c r="W2489" i="40"/>
  <c r="W2490" i="40"/>
  <c r="W2491" i="40"/>
  <c r="W2492" i="40"/>
  <c r="W2493" i="40"/>
  <c r="W2494" i="40"/>
  <c r="W2495" i="40"/>
  <c r="W2496" i="40"/>
  <c r="W2497" i="40"/>
  <c r="W2498" i="40"/>
  <c r="W2499" i="40"/>
  <c r="W2500" i="40"/>
  <c r="W2501" i="40"/>
  <c r="W2502" i="40"/>
  <c r="W2503" i="40"/>
  <c r="W2504" i="40"/>
  <c r="W2505" i="40"/>
  <c r="W2506" i="40"/>
  <c r="W2507" i="40"/>
  <c r="W2508" i="40"/>
  <c r="W2509" i="40"/>
  <c r="W2510" i="40"/>
  <c r="W2511" i="40"/>
  <c r="W2512" i="40"/>
  <c r="W2513" i="40"/>
  <c r="W2514" i="40"/>
  <c r="W2515" i="40"/>
  <c r="W2516" i="40"/>
  <c r="W2517" i="40"/>
  <c r="W2518" i="40"/>
  <c r="W2519" i="40"/>
  <c r="W2520" i="40"/>
  <c r="W2521" i="40"/>
  <c r="W2522" i="40"/>
  <c r="W2523" i="40"/>
  <c r="W2524" i="40"/>
  <c r="W2525" i="40"/>
  <c r="W2526" i="40"/>
  <c r="W2527" i="40"/>
  <c r="W2528" i="40"/>
  <c r="W2529" i="40"/>
  <c r="W2530" i="40"/>
  <c r="W2531" i="40"/>
  <c r="W2532" i="40"/>
  <c r="W2533" i="40"/>
  <c r="W2534" i="40"/>
  <c r="W2535" i="40"/>
  <c r="W2536" i="40"/>
  <c r="W2537" i="40"/>
  <c r="W2538" i="40"/>
  <c r="W2539" i="40"/>
  <c r="W2540" i="40"/>
  <c r="W2541" i="40"/>
  <c r="W2542" i="40"/>
  <c r="W2543" i="40"/>
  <c r="W2544" i="40"/>
  <c r="W2545" i="40"/>
  <c r="W2546" i="40"/>
  <c r="W2547" i="40"/>
  <c r="W2548" i="40"/>
  <c r="W2549" i="40"/>
  <c r="W2550" i="40"/>
  <c r="W2551" i="40"/>
  <c r="W2552" i="40"/>
  <c r="W2553" i="40"/>
  <c r="W2554" i="40"/>
  <c r="W2555" i="40"/>
  <c r="W2556" i="40"/>
  <c r="W2557" i="40"/>
  <c r="W2558" i="40"/>
  <c r="W2559" i="40"/>
  <c r="W2560" i="40"/>
  <c r="W2561" i="40"/>
  <c r="W2562" i="40"/>
  <c r="W2563" i="40"/>
  <c r="W2564" i="40"/>
  <c r="W2565" i="40"/>
  <c r="W2566" i="40"/>
  <c r="W2567" i="40"/>
  <c r="W2568" i="40"/>
  <c r="W2569" i="40"/>
  <c r="W2570" i="40"/>
  <c r="W2571" i="40"/>
  <c r="W2572" i="40"/>
  <c r="W2573" i="40"/>
  <c r="W2574" i="40"/>
  <c r="W2575" i="40"/>
  <c r="W2576" i="40"/>
  <c r="W2577" i="40"/>
  <c r="W2578" i="40"/>
  <c r="W2579" i="40"/>
  <c r="W2580" i="40"/>
  <c r="W2581" i="40"/>
  <c r="W2582" i="40"/>
  <c r="W2583" i="40"/>
  <c r="W2584" i="40"/>
  <c r="W2585" i="40"/>
  <c r="W2586" i="40"/>
  <c r="W2587" i="40"/>
  <c r="W2588" i="40"/>
  <c r="W2589" i="40"/>
  <c r="W2590" i="40"/>
  <c r="W2591" i="40"/>
  <c r="W2592" i="40"/>
  <c r="W2593" i="40"/>
  <c r="W2594" i="40"/>
  <c r="W2595" i="40"/>
  <c r="W2596" i="40"/>
  <c r="W2597" i="40"/>
  <c r="W2598" i="40"/>
  <c r="W2599" i="40"/>
  <c r="W2600" i="40"/>
  <c r="W2601" i="40"/>
  <c r="W2602" i="40"/>
  <c r="W2603" i="40"/>
  <c r="W2604" i="40"/>
  <c r="W2605" i="40"/>
  <c r="W2606" i="40"/>
  <c r="W2607" i="40"/>
  <c r="W2608" i="40"/>
  <c r="W2609" i="40"/>
  <c r="W2610" i="40"/>
  <c r="W2611" i="40"/>
  <c r="W2612" i="40"/>
  <c r="W2613" i="40"/>
  <c r="W2614" i="40"/>
  <c r="W2615" i="40"/>
  <c r="W2616" i="40"/>
  <c r="W2617" i="40"/>
  <c r="W2618" i="40"/>
  <c r="W2619" i="40"/>
  <c r="W2620" i="40"/>
  <c r="W2621" i="40"/>
  <c r="W2622" i="40"/>
  <c r="W2623" i="40"/>
  <c r="W2624" i="40"/>
  <c r="W2625" i="40"/>
  <c r="W2626" i="40"/>
  <c r="W2627" i="40"/>
  <c r="W2628" i="40"/>
  <c r="W2629" i="40"/>
  <c r="W2630" i="40"/>
  <c r="W2631" i="40"/>
  <c r="W2632" i="40"/>
  <c r="W2633" i="40"/>
  <c r="W2634" i="40"/>
  <c r="W2635" i="40"/>
  <c r="W2636" i="40"/>
  <c r="W2637" i="40"/>
  <c r="W2638" i="40"/>
  <c r="W2639" i="40"/>
  <c r="W2640" i="40"/>
  <c r="W2641" i="40"/>
  <c r="W2642" i="40"/>
  <c r="W2643" i="40"/>
  <c r="W2644" i="40"/>
  <c r="W2645" i="40"/>
  <c r="W2646" i="40"/>
  <c r="W2647" i="40"/>
  <c r="W2648" i="40"/>
  <c r="W2649" i="40"/>
  <c r="W2650" i="40"/>
  <c r="W2651" i="40"/>
  <c r="W2652" i="40"/>
  <c r="W2653" i="40"/>
  <c r="W2654" i="40"/>
  <c r="W2655" i="40"/>
  <c r="W2656" i="40"/>
  <c r="W2657" i="40"/>
  <c r="W2658" i="40"/>
  <c r="W2659" i="40"/>
  <c r="W2660" i="40"/>
  <c r="W2661" i="40"/>
  <c r="W2662" i="40"/>
  <c r="W2663" i="40"/>
  <c r="W2664" i="40"/>
  <c r="W2665" i="40"/>
  <c r="W2666" i="40"/>
  <c r="W2667" i="40"/>
  <c r="W2668" i="40"/>
  <c r="W2669" i="40"/>
  <c r="W2670" i="40"/>
  <c r="W2671" i="40"/>
  <c r="W2672" i="40"/>
  <c r="W2673" i="40"/>
  <c r="W2674" i="40"/>
  <c r="W2675" i="40"/>
  <c r="W2676" i="40"/>
  <c r="W2677" i="40"/>
  <c r="W2678" i="40"/>
  <c r="W2679" i="40"/>
  <c r="W2680" i="40"/>
  <c r="W2681" i="40"/>
  <c r="W2682" i="40"/>
  <c r="W2683" i="40"/>
  <c r="W2684" i="40"/>
  <c r="W2685" i="40"/>
  <c r="W2686" i="40"/>
  <c r="W2687" i="40"/>
  <c r="W2688" i="40"/>
  <c r="W2689" i="40"/>
  <c r="W2690" i="40"/>
  <c r="W2691" i="40"/>
  <c r="W2692" i="40"/>
  <c r="W2693" i="40"/>
  <c r="W2694" i="40"/>
  <c r="W2695" i="40"/>
  <c r="W2696" i="40"/>
  <c r="W2697" i="40"/>
  <c r="W2698" i="40"/>
  <c r="W2699" i="40"/>
  <c r="W2700" i="40"/>
  <c r="W2701" i="40"/>
  <c r="W2702" i="40"/>
  <c r="W2703" i="40"/>
  <c r="W2704" i="40"/>
  <c r="W2705" i="40"/>
  <c r="W2706" i="40"/>
  <c r="W2707" i="40"/>
  <c r="W2708" i="40"/>
  <c r="W2709" i="40"/>
  <c r="W2710" i="40"/>
  <c r="W2711" i="40"/>
  <c r="W2712" i="40"/>
  <c r="W2713" i="40"/>
  <c r="W2714" i="40"/>
  <c r="W2715" i="40"/>
  <c r="W2716" i="40"/>
  <c r="W2717" i="40"/>
  <c r="W2718" i="40"/>
  <c r="W2719" i="40"/>
  <c r="W2720" i="40"/>
  <c r="W2721" i="40"/>
  <c r="W2722" i="40"/>
  <c r="W2723" i="40"/>
  <c r="W2724" i="40"/>
  <c r="W2725" i="40"/>
  <c r="W2726" i="40"/>
  <c r="W2727" i="40"/>
  <c r="W2728" i="40"/>
  <c r="W2729" i="40"/>
  <c r="W2730" i="40"/>
  <c r="W2731" i="40"/>
  <c r="W2732" i="40"/>
  <c r="W2733" i="40"/>
  <c r="W2734" i="40"/>
  <c r="W2735" i="40"/>
  <c r="W2736" i="40"/>
  <c r="W2737" i="40"/>
  <c r="W2738" i="40"/>
  <c r="W2739" i="40"/>
  <c r="W2740" i="40"/>
  <c r="W2741" i="40"/>
  <c r="W2742" i="40"/>
  <c r="W2743" i="40"/>
  <c r="W2744" i="40"/>
  <c r="W2745" i="40"/>
  <c r="W2746" i="40"/>
  <c r="W2747" i="40"/>
  <c r="W2748" i="40"/>
  <c r="W2749" i="40"/>
  <c r="W2750" i="40"/>
  <c r="W2751" i="40"/>
  <c r="W2752" i="40"/>
  <c r="W2753" i="40"/>
  <c r="W2754" i="40"/>
  <c r="W2755" i="40"/>
  <c r="W2756" i="40"/>
  <c r="W2757" i="40"/>
  <c r="W2758" i="40"/>
  <c r="W2759" i="40"/>
  <c r="W2760" i="40"/>
  <c r="W2761" i="40"/>
  <c r="W2762" i="40"/>
  <c r="W2763" i="40"/>
  <c r="W2764" i="40"/>
  <c r="W2765" i="40"/>
  <c r="W2766" i="40"/>
  <c r="W2767" i="40"/>
  <c r="W2768" i="40"/>
  <c r="W2769" i="40"/>
  <c r="W2770" i="40"/>
  <c r="W2771" i="40"/>
  <c r="W2772" i="40"/>
  <c r="W2773" i="40"/>
  <c r="W2774" i="40"/>
  <c r="W2775" i="40"/>
  <c r="W2776" i="40"/>
  <c r="W2777" i="40"/>
  <c r="W2778" i="40"/>
  <c r="W2779" i="40"/>
  <c r="W2780" i="40"/>
  <c r="W2781" i="40"/>
  <c r="W2782" i="40"/>
  <c r="W2783" i="40"/>
  <c r="W2784" i="40"/>
  <c r="W2785" i="40"/>
  <c r="W2786" i="40"/>
  <c r="W2787" i="40"/>
  <c r="W2788" i="40"/>
  <c r="W2789" i="40"/>
  <c r="W2790" i="40"/>
  <c r="W2791" i="40"/>
  <c r="W2792" i="40"/>
  <c r="W2793" i="40"/>
  <c r="W2794" i="40"/>
  <c r="W2795" i="40"/>
  <c r="W2796" i="40"/>
  <c r="W2797" i="40"/>
  <c r="W2798" i="40"/>
  <c r="W2799" i="40"/>
  <c r="W2800" i="40"/>
  <c r="W2801" i="40"/>
  <c r="W2802" i="40"/>
  <c r="W2803" i="40"/>
  <c r="W2804" i="40"/>
  <c r="W2805" i="40"/>
  <c r="W2806" i="40"/>
  <c r="W2807" i="40"/>
  <c r="W2808" i="40"/>
  <c r="W2809" i="40"/>
  <c r="W2810" i="40"/>
  <c r="W2811" i="40"/>
  <c r="W2812" i="40"/>
  <c r="W2813" i="40"/>
  <c r="W2814" i="40"/>
  <c r="W2815" i="40"/>
  <c r="W2816" i="40"/>
  <c r="W2817" i="40"/>
  <c r="W2818" i="40"/>
  <c r="W2819" i="40"/>
  <c r="W2820" i="40"/>
  <c r="W2821" i="40"/>
  <c r="W2822" i="40"/>
  <c r="W2823" i="40"/>
  <c r="W2824" i="40"/>
  <c r="W2825" i="40"/>
  <c r="W2826" i="40"/>
  <c r="W2827" i="40"/>
  <c r="W2828" i="40"/>
  <c r="W2829" i="40"/>
  <c r="W2830" i="40"/>
  <c r="W2831" i="40"/>
  <c r="W2832" i="40"/>
  <c r="W2833" i="40"/>
  <c r="W2834" i="40"/>
  <c r="W2835" i="40"/>
  <c r="W2836" i="40"/>
  <c r="W2837" i="40"/>
  <c r="W2838" i="40"/>
  <c r="W2839" i="40"/>
  <c r="W2840" i="40"/>
  <c r="W2841" i="40"/>
  <c r="W2842" i="40"/>
  <c r="W2843" i="40"/>
  <c r="W2844" i="40"/>
  <c r="W2845" i="40"/>
  <c r="W2846" i="40"/>
  <c r="W2847" i="40"/>
  <c r="W2848" i="40"/>
  <c r="W2849" i="40"/>
  <c r="W2850" i="40"/>
  <c r="W2851" i="40"/>
  <c r="W2852" i="40"/>
  <c r="W2853" i="40"/>
  <c r="W2854" i="40"/>
  <c r="W2855" i="40"/>
  <c r="W2856" i="40"/>
  <c r="W2857" i="40"/>
  <c r="W2858" i="40"/>
  <c r="W2859" i="40"/>
  <c r="W2860" i="40"/>
  <c r="W2861" i="40"/>
  <c r="W2862" i="40"/>
  <c r="W2863" i="40"/>
  <c r="W2864" i="40"/>
  <c r="W2865" i="40"/>
  <c r="W2866" i="40"/>
  <c r="W2867" i="40"/>
  <c r="W2868" i="40"/>
  <c r="W2869" i="40"/>
  <c r="W2870" i="40"/>
  <c r="W2871" i="40"/>
  <c r="W2872" i="40"/>
  <c r="W2873" i="40"/>
  <c r="W2874" i="40"/>
  <c r="W2875" i="40"/>
  <c r="W2876" i="40"/>
  <c r="W2877" i="40"/>
  <c r="W2878" i="40"/>
  <c r="W2879" i="40"/>
  <c r="W2880" i="40"/>
  <c r="W2881" i="40"/>
  <c r="W2882" i="40"/>
  <c r="W2883" i="40"/>
  <c r="W2884" i="40"/>
  <c r="W2885" i="40"/>
  <c r="W2886" i="40"/>
  <c r="W2887" i="40"/>
  <c r="W2888" i="40"/>
  <c r="W2889" i="40"/>
  <c r="W2890" i="40"/>
  <c r="W2891" i="40"/>
  <c r="W2892" i="40"/>
  <c r="W2893" i="40"/>
  <c r="W2894" i="40"/>
  <c r="W2895" i="40"/>
  <c r="W2896" i="40"/>
  <c r="W2897" i="40"/>
  <c r="W2898" i="40"/>
  <c r="W2899" i="40"/>
  <c r="W2900" i="40"/>
  <c r="W2901" i="40"/>
  <c r="W2902" i="40"/>
  <c r="W2903" i="40"/>
  <c r="X1890" i="40"/>
  <c r="X1891" i="40"/>
  <c r="X1892" i="40"/>
  <c r="X1893" i="40"/>
  <c r="X1894" i="40"/>
  <c r="X1895" i="40"/>
  <c r="X1896" i="40"/>
  <c r="X1897" i="40"/>
  <c r="X1898" i="40"/>
  <c r="X1899" i="40"/>
  <c r="X1900" i="40"/>
  <c r="X1901" i="40"/>
  <c r="X1902" i="40"/>
  <c r="X1903" i="40"/>
  <c r="X1904" i="40"/>
  <c r="X1905" i="40"/>
  <c r="X1906" i="40"/>
  <c r="X1907" i="40"/>
  <c r="X1908" i="40"/>
  <c r="X1909" i="40"/>
  <c r="X1910" i="40"/>
  <c r="X1911" i="40"/>
  <c r="X1912" i="40"/>
  <c r="X1913" i="40"/>
  <c r="X1914" i="40"/>
  <c r="X1915" i="40"/>
  <c r="X1916" i="40"/>
  <c r="X1917" i="40"/>
  <c r="X1918" i="40"/>
  <c r="X1919" i="40"/>
  <c r="X1920" i="40"/>
  <c r="X1921" i="40"/>
  <c r="X1922" i="40"/>
  <c r="X1923" i="40"/>
  <c r="X1924" i="40"/>
  <c r="X1925" i="40"/>
  <c r="X1926" i="40"/>
  <c r="X1927" i="40"/>
  <c r="X1928" i="40"/>
  <c r="X1929" i="40"/>
  <c r="X1930" i="40"/>
  <c r="X1931" i="40"/>
  <c r="X1932" i="40"/>
  <c r="X1933" i="40"/>
  <c r="X1934" i="40"/>
  <c r="X1935" i="40"/>
  <c r="X1936" i="40"/>
  <c r="X1937" i="40"/>
  <c r="X1938" i="40"/>
  <c r="X1939" i="40"/>
  <c r="X1940" i="40"/>
  <c r="X1941" i="40"/>
  <c r="X1942" i="40"/>
  <c r="X1943" i="40"/>
  <c r="X1944" i="40"/>
  <c r="X1945" i="40"/>
  <c r="X1946" i="40"/>
  <c r="X1947" i="40"/>
  <c r="X1948" i="40"/>
  <c r="X1949" i="40"/>
  <c r="X1950" i="40"/>
  <c r="X1951" i="40"/>
  <c r="X1952" i="40"/>
  <c r="X1953" i="40"/>
  <c r="X1954" i="40"/>
  <c r="X1955" i="40"/>
  <c r="X1956" i="40"/>
  <c r="X1957" i="40"/>
  <c r="X1958" i="40"/>
  <c r="X1959" i="40"/>
  <c r="X1960" i="40"/>
  <c r="X1961" i="40"/>
  <c r="X1962" i="40"/>
  <c r="X1963" i="40"/>
  <c r="X1964" i="40"/>
  <c r="X1965" i="40"/>
  <c r="X1966" i="40"/>
  <c r="X1967" i="40"/>
  <c r="X1968" i="40"/>
  <c r="X1969" i="40"/>
  <c r="X1970" i="40"/>
  <c r="X1971" i="40"/>
  <c r="X1972" i="40"/>
  <c r="X1973" i="40"/>
  <c r="X1974" i="40"/>
  <c r="X1975" i="40"/>
  <c r="X1976" i="40"/>
  <c r="X1977" i="40"/>
  <c r="X1978" i="40"/>
  <c r="X1979" i="40"/>
  <c r="X1980" i="40"/>
  <c r="X1981" i="40"/>
  <c r="X1982" i="40"/>
  <c r="X1983" i="40"/>
  <c r="X1984" i="40"/>
  <c r="X1985" i="40"/>
  <c r="X1986" i="40"/>
  <c r="X1987" i="40"/>
  <c r="X1988" i="40"/>
  <c r="X1989" i="40"/>
  <c r="X1990" i="40"/>
  <c r="X1991" i="40"/>
  <c r="X1992" i="40"/>
  <c r="X1993" i="40"/>
  <c r="X1994" i="40"/>
  <c r="X1995" i="40"/>
  <c r="X1996" i="40"/>
  <c r="X1997" i="40"/>
  <c r="X1998" i="40"/>
  <c r="X1999" i="40"/>
  <c r="X2000" i="40"/>
  <c r="X2001" i="40"/>
  <c r="X2002" i="40"/>
  <c r="X2003" i="40"/>
  <c r="X2004" i="40"/>
  <c r="X2005" i="40"/>
  <c r="X2006" i="40"/>
  <c r="X2007" i="40"/>
  <c r="X2008" i="40"/>
  <c r="X2009" i="40"/>
  <c r="X2010" i="40"/>
  <c r="X2011" i="40"/>
  <c r="X2012" i="40"/>
  <c r="X2013" i="40"/>
  <c r="X2014" i="40"/>
  <c r="X2015" i="40"/>
  <c r="X2016" i="40"/>
  <c r="X2017" i="40"/>
  <c r="X2018" i="40"/>
  <c r="X2019" i="40"/>
  <c r="X2020" i="40"/>
  <c r="X2021" i="40"/>
  <c r="X2022" i="40"/>
  <c r="X2023" i="40"/>
  <c r="X2024" i="40"/>
  <c r="X2025" i="40"/>
  <c r="X2026" i="40"/>
  <c r="X2027" i="40"/>
  <c r="X2028" i="40"/>
  <c r="X2029" i="40"/>
  <c r="X2030" i="40"/>
  <c r="X2031" i="40"/>
  <c r="X2032" i="40"/>
  <c r="X2033" i="40"/>
  <c r="X2034" i="40"/>
  <c r="X2035" i="40"/>
  <c r="X2036" i="40"/>
  <c r="X2037" i="40"/>
  <c r="X2038" i="40"/>
  <c r="X2039" i="40"/>
  <c r="X2040" i="40"/>
  <c r="X2041" i="40"/>
  <c r="X2042" i="40"/>
  <c r="X2043" i="40"/>
  <c r="X2044" i="40"/>
  <c r="X2045" i="40"/>
  <c r="X2046" i="40"/>
  <c r="X2047" i="40"/>
  <c r="X2048" i="40"/>
  <c r="X2049" i="40"/>
  <c r="X2050" i="40"/>
  <c r="X2051" i="40"/>
  <c r="X2052" i="40"/>
  <c r="X2053" i="40"/>
  <c r="X2054" i="40"/>
  <c r="X2055" i="40"/>
  <c r="X2056" i="40"/>
  <c r="X2057" i="40"/>
  <c r="X2058" i="40"/>
  <c r="X2059" i="40"/>
  <c r="X2060" i="40"/>
  <c r="X2061" i="40"/>
  <c r="X2062" i="40"/>
  <c r="X2063" i="40"/>
  <c r="X2064" i="40"/>
  <c r="X2065" i="40"/>
  <c r="X2066" i="40"/>
  <c r="X2067" i="40"/>
  <c r="X2068" i="40"/>
  <c r="X2069" i="40"/>
  <c r="X2070" i="40"/>
  <c r="X2071" i="40"/>
  <c r="X2072" i="40"/>
  <c r="X2073" i="40"/>
  <c r="X2074" i="40"/>
  <c r="X2075" i="40"/>
  <c r="X2076" i="40"/>
  <c r="X2077" i="40"/>
  <c r="X2078" i="40"/>
  <c r="X2079" i="40"/>
  <c r="X2080" i="40"/>
  <c r="X2081" i="40"/>
  <c r="X2082" i="40"/>
  <c r="X2083" i="40"/>
  <c r="X2084" i="40"/>
  <c r="X2085" i="40"/>
  <c r="X2086" i="40"/>
  <c r="X2087" i="40"/>
  <c r="X2088" i="40"/>
  <c r="X2089" i="40"/>
  <c r="X2090" i="40"/>
  <c r="X2091" i="40"/>
  <c r="X2092" i="40"/>
  <c r="X2093" i="40"/>
  <c r="X2094" i="40"/>
  <c r="X2095" i="40"/>
  <c r="X2096" i="40"/>
  <c r="X2097" i="40"/>
  <c r="X2098" i="40"/>
  <c r="X2099" i="40"/>
  <c r="X2100" i="40"/>
  <c r="X2101" i="40"/>
  <c r="X2102" i="40"/>
  <c r="X2103" i="40"/>
  <c r="X2104" i="40"/>
  <c r="X2105" i="40"/>
  <c r="X2106" i="40"/>
  <c r="X2107" i="40"/>
  <c r="X2108" i="40"/>
  <c r="X2109" i="40"/>
  <c r="X2110" i="40"/>
  <c r="X2111" i="40"/>
  <c r="X2112" i="40"/>
  <c r="X2113" i="40"/>
  <c r="X2114" i="40"/>
  <c r="X2115" i="40"/>
  <c r="X2116" i="40"/>
  <c r="X2117" i="40"/>
  <c r="X2118" i="40"/>
  <c r="X2119" i="40"/>
  <c r="X2120" i="40"/>
  <c r="X2121" i="40"/>
  <c r="X2122" i="40"/>
  <c r="X2123" i="40"/>
  <c r="X2124" i="40"/>
  <c r="X2125" i="40"/>
  <c r="X2126" i="40"/>
  <c r="X2127" i="40"/>
  <c r="X2128" i="40"/>
  <c r="X2129" i="40"/>
  <c r="X2130" i="40"/>
  <c r="X2131" i="40"/>
  <c r="X2132" i="40"/>
  <c r="X2133" i="40"/>
  <c r="X2134" i="40"/>
  <c r="X2135" i="40"/>
  <c r="X2136" i="40"/>
  <c r="X2137" i="40"/>
  <c r="X2138" i="40"/>
  <c r="X2139" i="40"/>
  <c r="X2140" i="40"/>
  <c r="X2141" i="40"/>
  <c r="X2142" i="40"/>
  <c r="X2143" i="40"/>
  <c r="X2144" i="40"/>
  <c r="X2145" i="40"/>
  <c r="X2146" i="40"/>
  <c r="X2147" i="40"/>
  <c r="X2148" i="40"/>
  <c r="X2149" i="40"/>
  <c r="X2150" i="40"/>
  <c r="X2151" i="40"/>
  <c r="X2152" i="40"/>
  <c r="X2153" i="40"/>
  <c r="X2154" i="40"/>
  <c r="X2155" i="40"/>
  <c r="X2156" i="40"/>
  <c r="X2157" i="40"/>
  <c r="X2158" i="40"/>
  <c r="X2159" i="40"/>
  <c r="X2160" i="40"/>
  <c r="X2161" i="40"/>
  <c r="X2162" i="40"/>
  <c r="X2163" i="40"/>
  <c r="X2164" i="40"/>
  <c r="X2165" i="40"/>
  <c r="X2166" i="40"/>
  <c r="X2167" i="40"/>
  <c r="X2168" i="40"/>
  <c r="X2169" i="40"/>
  <c r="X2170" i="40"/>
  <c r="X2171" i="40"/>
  <c r="X2172" i="40"/>
  <c r="X2173" i="40"/>
  <c r="X2174" i="40"/>
  <c r="X2175" i="40"/>
  <c r="X2176" i="40"/>
  <c r="X2177" i="40"/>
  <c r="X2178" i="40"/>
  <c r="X2179" i="40"/>
  <c r="X2180" i="40"/>
  <c r="X2181" i="40"/>
  <c r="X2182" i="40"/>
  <c r="X2183" i="40"/>
  <c r="X2184" i="40"/>
  <c r="X2185" i="40"/>
  <c r="X2186" i="40"/>
  <c r="X2187" i="40"/>
  <c r="X2188" i="40"/>
  <c r="X2189" i="40"/>
  <c r="X2190" i="40"/>
  <c r="X2191" i="40"/>
  <c r="X2192" i="40"/>
  <c r="X2193" i="40"/>
  <c r="X2194" i="40"/>
  <c r="X2195" i="40"/>
  <c r="X2196" i="40"/>
  <c r="X2197" i="40"/>
  <c r="X2198" i="40"/>
  <c r="X2199" i="40"/>
  <c r="X2200" i="40"/>
  <c r="X2201" i="40"/>
  <c r="X2202" i="40"/>
  <c r="X2203" i="40"/>
  <c r="X2204" i="40"/>
  <c r="X2205" i="40"/>
  <c r="X2206" i="40"/>
  <c r="X2207" i="40"/>
  <c r="X2208" i="40"/>
  <c r="X2209" i="40"/>
  <c r="X2210" i="40"/>
  <c r="X2211" i="40"/>
  <c r="X2212" i="40"/>
  <c r="X2213" i="40"/>
  <c r="X2214" i="40"/>
  <c r="X2215" i="40"/>
  <c r="X2216" i="40"/>
  <c r="X2217" i="40"/>
  <c r="X2218" i="40"/>
  <c r="X2219" i="40"/>
  <c r="X2220" i="40"/>
  <c r="X2221" i="40"/>
  <c r="X2222" i="40"/>
  <c r="X2223" i="40"/>
  <c r="X2224" i="40"/>
  <c r="X2225" i="40"/>
  <c r="X2226" i="40"/>
  <c r="X2227" i="40"/>
  <c r="X2228" i="40"/>
  <c r="X2229" i="40"/>
  <c r="X2230" i="40"/>
  <c r="X2231" i="40"/>
  <c r="X2232" i="40"/>
  <c r="X2233" i="40"/>
  <c r="X2234" i="40"/>
  <c r="X2235" i="40"/>
  <c r="X2236" i="40"/>
  <c r="X2237" i="40"/>
  <c r="X2238" i="40"/>
  <c r="X2239" i="40"/>
  <c r="X2240" i="40"/>
  <c r="X2241" i="40"/>
  <c r="X2242" i="40"/>
  <c r="X2243" i="40"/>
  <c r="X2244" i="40"/>
  <c r="X2245" i="40"/>
  <c r="X2246" i="40"/>
  <c r="X2247" i="40"/>
  <c r="X2248" i="40"/>
  <c r="X2249" i="40"/>
  <c r="X2250" i="40"/>
  <c r="X2251" i="40"/>
  <c r="X2252" i="40"/>
  <c r="X2253" i="40"/>
  <c r="X2254" i="40"/>
  <c r="X2255" i="40"/>
  <c r="X2256" i="40"/>
  <c r="X2257" i="40"/>
  <c r="X2258" i="40"/>
  <c r="X2259" i="40"/>
  <c r="X2260" i="40"/>
  <c r="X2261" i="40"/>
  <c r="X2262" i="40"/>
  <c r="X2263" i="40"/>
  <c r="X2264" i="40"/>
  <c r="X2265" i="40"/>
  <c r="X2266" i="40"/>
  <c r="X2267" i="40"/>
  <c r="X2268" i="40"/>
  <c r="X2269" i="40"/>
  <c r="X2270" i="40"/>
  <c r="X2271" i="40"/>
  <c r="X2272" i="40"/>
  <c r="X2273" i="40"/>
  <c r="X2274" i="40"/>
  <c r="X2275" i="40"/>
  <c r="X2276" i="40"/>
  <c r="X2277" i="40"/>
  <c r="X2278" i="40"/>
  <c r="X2279" i="40"/>
  <c r="X2280" i="40"/>
  <c r="X2281" i="40"/>
  <c r="X2282" i="40"/>
  <c r="X2283" i="40"/>
  <c r="X2284" i="40"/>
  <c r="X2285" i="40"/>
  <c r="X2286" i="40"/>
  <c r="X2287" i="40"/>
  <c r="X2288" i="40"/>
  <c r="X2289" i="40"/>
  <c r="X2290" i="40"/>
  <c r="X2291" i="40"/>
  <c r="X2292" i="40"/>
  <c r="X2293" i="40"/>
  <c r="X2294" i="40"/>
  <c r="X2295" i="40"/>
  <c r="X2296" i="40"/>
  <c r="X2297" i="40"/>
  <c r="X2298" i="40"/>
  <c r="X2299" i="40"/>
  <c r="X2300" i="40"/>
  <c r="X2301" i="40"/>
  <c r="X2302" i="40"/>
  <c r="X2303" i="40"/>
  <c r="X2304" i="40"/>
  <c r="X2305" i="40"/>
  <c r="X2306" i="40"/>
  <c r="X2307" i="40"/>
  <c r="X2308" i="40"/>
  <c r="X2309" i="40"/>
  <c r="X2310" i="40"/>
  <c r="X2311" i="40"/>
  <c r="X2312" i="40"/>
  <c r="X2313" i="40"/>
  <c r="X2314" i="40"/>
  <c r="X2315" i="40"/>
  <c r="X2316" i="40"/>
  <c r="X2317" i="40"/>
  <c r="X2318" i="40"/>
  <c r="X2319" i="40"/>
  <c r="X2320" i="40"/>
  <c r="X2321" i="40"/>
  <c r="X2322" i="40"/>
  <c r="X2323" i="40"/>
  <c r="X2324" i="40"/>
  <c r="X2325" i="40"/>
  <c r="X2326" i="40"/>
  <c r="X2327" i="40"/>
  <c r="X2328" i="40"/>
  <c r="X2329" i="40"/>
  <c r="X2330" i="40"/>
  <c r="X2331" i="40"/>
  <c r="X2332" i="40"/>
  <c r="X2333" i="40"/>
  <c r="X2334" i="40"/>
  <c r="X2335" i="40"/>
  <c r="X2336" i="40"/>
  <c r="X2337" i="40"/>
  <c r="X2338" i="40"/>
  <c r="X2339" i="40"/>
  <c r="X2340" i="40"/>
  <c r="X2341" i="40"/>
  <c r="X2342" i="40"/>
  <c r="X2343" i="40"/>
  <c r="X2344" i="40"/>
  <c r="X2345" i="40"/>
  <c r="X2346" i="40"/>
  <c r="X2347" i="40"/>
  <c r="X2348" i="40"/>
  <c r="X2349" i="40"/>
  <c r="X2350" i="40"/>
  <c r="X2351" i="40"/>
  <c r="X2352" i="40"/>
  <c r="X2353" i="40"/>
  <c r="X2354" i="40"/>
  <c r="X2355" i="40"/>
  <c r="X2356" i="40"/>
  <c r="X2357" i="40"/>
  <c r="X2358" i="40"/>
  <c r="X2359" i="40"/>
  <c r="X2360" i="40"/>
  <c r="X2361" i="40"/>
  <c r="X2362" i="40"/>
  <c r="X2363" i="40"/>
  <c r="X2364" i="40"/>
  <c r="X2365" i="40"/>
  <c r="X2366" i="40"/>
  <c r="X2367" i="40"/>
  <c r="X2368" i="40"/>
  <c r="X2369" i="40"/>
  <c r="X2370" i="40"/>
  <c r="X2371" i="40"/>
  <c r="X2372" i="40"/>
  <c r="X2373" i="40"/>
  <c r="X2374" i="40"/>
  <c r="X2375" i="40"/>
  <c r="X2376" i="40"/>
  <c r="X2377" i="40"/>
  <c r="X2378" i="40"/>
  <c r="X2379" i="40"/>
  <c r="X2380" i="40"/>
  <c r="X2381" i="40"/>
  <c r="X2382" i="40"/>
  <c r="X2383" i="40"/>
  <c r="X2384" i="40"/>
  <c r="X2385" i="40"/>
  <c r="X2386" i="40"/>
  <c r="X2387" i="40"/>
  <c r="X2388" i="40"/>
  <c r="X2389" i="40"/>
  <c r="X2390" i="40"/>
  <c r="X2391" i="40"/>
  <c r="X2392" i="40"/>
  <c r="X2393" i="40"/>
  <c r="X2394" i="40"/>
  <c r="X2395" i="40"/>
  <c r="X2396" i="40"/>
  <c r="X2397" i="40"/>
  <c r="X2398" i="40"/>
  <c r="X2399" i="40"/>
  <c r="X2400" i="40"/>
  <c r="X2401" i="40"/>
  <c r="X2402" i="40"/>
  <c r="X2403" i="40"/>
  <c r="X2404" i="40"/>
  <c r="X2405" i="40"/>
  <c r="X2406" i="40"/>
  <c r="X2407" i="40"/>
  <c r="X2408" i="40"/>
  <c r="X2409" i="40"/>
  <c r="X2410" i="40"/>
  <c r="X2411" i="40"/>
  <c r="X2412" i="40"/>
  <c r="X2413" i="40"/>
  <c r="X2414" i="40"/>
  <c r="X2415" i="40"/>
  <c r="X2416" i="40"/>
  <c r="X2417" i="40"/>
  <c r="X2418" i="40"/>
  <c r="X2419" i="40"/>
  <c r="X2420" i="40"/>
  <c r="X2421" i="40"/>
  <c r="X2422" i="40"/>
  <c r="X2423" i="40"/>
  <c r="X2424" i="40"/>
  <c r="X2425" i="40"/>
  <c r="X2426" i="40"/>
  <c r="X2427" i="40"/>
  <c r="X2428" i="40"/>
  <c r="X2429" i="40"/>
  <c r="X2430" i="40"/>
  <c r="X2431" i="40"/>
  <c r="X2432" i="40"/>
  <c r="X2433" i="40"/>
  <c r="X2434" i="40"/>
  <c r="X2435" i="40"/>
  <c r="X2436" i="40"/>
  <c r="X2437" i="40"/>
  <c r="X2438" i="40"/>
  <c r="X2439" i="40"/>
  <c r="X2440" i="40"/>
  <c r="X2441" i="40"/>
  <c r="X2442" i="40"/>
  <c r="X2443" i="40"/>
  <c r="X2444" i="40"/>
  <c r="X2445" i="40"/>
  <c r="X2446" i="40"/>
  <c r="X2447" i="40"/>
  <c r="X2448" i="40"/>
  <c r="X2449" i="40"/>
  <c r="X2450" i="40"/>
  <c r="X2451" i="40"/>
  <c r="X2452" i="40"/>
  <c r="X2453" i="40"/>
  <c r="X2454" i="40"/>
  <c r="X2455" i="40"/>
  <c r="X2456" i="40"/>
  <c r="X2457" i="40"/>
  <c r="X2458" i="40"/>
  <c r="X2459" i="40"/>
  <c r="X2460" i="40"/>
  <c r="X2461" i="40"/>
  <c r="X2462" i="40"/>
  <c r="X2463" i="40"/>
  <c r="X2464" i="40"/>
  <c r="X2465" i="40"/>
  <c r="X2466" i="40"/>
  <c r="X2467" i="40"/>
  <c r="X2468" i="40"/>
  <c r="X2469" i="40"/>
  <c r="X2470" i="40"/>
  <c r="X2471" i="40"/>
  <c r="X2472" i="40"/>
  <c r="X2473" i="40"/>
  <c r="X2474" i="40"/>
  <c r="X2475" i="40"/>
  <c r="X2476" i="40"/>
  <c r="X2477" i="40"/>
  <c r="X2478" i="40"/>
  <c r="X2479" i="40"/>
  <c r="X2480" i="40"/>
  <c r="X2481" i="40"/>
  <c r="X2482" i="40"/>
  <c r="X2483" i="40"/>
  <c r="X2484" i="40"/>
  <c r="X2485" i="40"/>
  <c r="X2486" i="40"/>
  <c r="X2487" i="40"/>
  <c r="X2488" i="40"/>
  <c r="X2489" i="40"/>
  <c r="X2490" i="40"/>
  <c r="X2491" i="40"/>
  <c r="X2492" i="40"/>
  <c r="X2493" i="40"/>
  <c r="X2494" i="40"/>
  <c r="X2495" i="40"/>
  <c r="X2496" i="40"/>
  <c r="X2497" i="40"/>
  <c r="X2498" i="40"/>
  <c r="X2499" i="40"/>
  <c r="X2500" i="40"/>
  <c r="X2501" i="40"/>
  <c r="X2502" i="40"/>
  <c r="X2503" i="40"/>
  <c r="X2504" i="40"/>
  <c r="X2505" i="40"/>
  <c r="X2506" i="40"/>
  <c r="X2507" i="40"/>
  <c r="X2508" i="40"/>
  <c r="X2509" i="40"/>
  <c r="X2510" i="40"/>
  <c r="X2511" i="40"/>
  <c r="X2512" i="40"/>
  <c r="X2513" i="40"/>
  <c r="X2514" i="40"/>
  <c r="X2515" i="40"/>
  <c r="X2516" i="40"/>
  <c r="X2517" i="40"/>
  <c r="X2518" i="40"/>
  <c r="X2519" i="40"/>
  <c r="X2520" i="40"/>
  <c r="X2521" i="40"/>
  <c r="X2522" i="40"/>
  <c r="X2523" i="40"/>
  <c r="X2524" i="40"/>
  <c r="X2525" i="40"/>
  <c r="X2526" i="40"/>
  <c r="X2527" i="40"/>
  <c r="X2528" i="40"/>
  <c r="X2529" i="40"/>
  <c r="X2530" i="40"/>
  <c r="X2531" i="40"/>
  <c r="X2532" i="40"/>
  <c r="X2533" i="40"/>
  <c r="X2534" i="40"/>
  <c r="X2535" i="40"/>
  <c r="X2536" i="40"/>
  <c r="X2537" i="40"/>
  <c r="X2538" i="40"/>
  <c r="X2539" i="40"/>
  <c r="X2540" i="40"/>
  <c r="X2541" i="40"/>
  <c r="X2542" i="40"/>
  <c r="X2543" i="40"/>
  <c r="X2544" i="40"/>
  <c r="X2545" i="40"/>
  <c r="X2546" i="40"/>
  <c r="X2547" i="40"/>
  <c r="X2548" i="40"/>
  <c r="X2549" i="40"/>
  <c r="X2550" i="40"/>
  <c r="X2551" i="40"/>
  <c r="X2552" i="40"/>
  <c r="X2553" i="40"/>
  <c r="X2554" i="40"/>
  <c r="X2555" i="40"/>
  <c r="X2556" i="40"/>
  <c r="X2557" i="40"/>
  <c r="X2558" i="40"/>
  <c r="X2559" i="40"/>
  <c r="X2560" i="40"/>
  <c r="X2561" i="40"/>
  <c r="X2562" i="40"/>
  <c r="X2563" i="40"/>
  <c r="X2564" i="40"/>
  <c r="X2565" i="40"/>
  <c r="X2566" i="40"/>
  <c r="X2567" i="40"/>
  <c r="X2568" i="40"/>
  <c r="X2569" i="40"/>
  <c r="X2570" i="40"/>
  <c r="X2571" i="40"/>
  <c r="X2572" i="40"/>
  <c r="X2573" i="40"/>
  <c r="X2574" i="40"/>
  <c r="X2575" i="40"/>
  <c r="X2576" i="40"/>
  <c r="X2577" i="40"/>
  <c r="X2578" i="40"/>
  <c r="X2579" i="40"/>
  <c r="X2580" i="40"/>
  <c r="X2581" i="40"/>
  <c r="X2582" i="40"/>
  <c r="X2583" i="40"/>
  <c r="X2584" i="40"/>
  <c r="X2585" i="40"/>
  <c r="X2586" i="40"/>
  <c r="X2587" i="40"/>
  <c r="X2588" i="40"/>
  <c r="X2589" i="40"/>
  <c r="X2590" i="40"/>
  <c r="X2591" i="40"/>
  <c r="X2592" i="40"/>
  <c r="X2593" i="40"/>
  <c r="X2594" i="40"/>
  <c r="X2595" i="40"/>
  <c r="X2596" i="40"/>
  <c r="X2597" i="40"/>
  <c r="X2598" i="40"/>
  <c r="X2599" i="40"/>
  <c r="X2600" i="40"/>
  <c r="X2601" i="40"/>
  <c r="X2602" i="40"/>
  <c r="X2603" i="40"/>
  <c r="X2604" i="40"/>
  <c r="X2605" i="40"/>
  <c r="X2606" i="40"/>
  <c r="X2607" i="40"/>
  <c r="X2608" i="40"/>
  <c r="X2609" i="40"/>
  <c r="X2610" i="40"/>
  <c r="X2611" i="40"/>
  <c r="X2612" i="40"/>
  <c r="X2613" i="40"/>
  <c r="X2614" i="40"/>
  <c r="X2615" i="40"/>
  <c r="X2616" i="40"/>
  <c r="X2617" i="40"/>
  <c r="X2618" i="40"/>
  <c r="X2619" i="40"/>
  <c r="X2620" i="40"/>
  <c r="X2621" i="40"/>
  <c r="X2622" i="40"/>
  <c r="X2623" i="40"/>
  <c r="X2624" i="40"/>
  <c r="X2625" i="40"/>
  <c r="X2626" i="40"/>
  <c r="X2627" i="40"/>
  <c r="X2628" i="40"/>
  <c r="X2629" i="40"/>
  <c r="X2630" i="40"/>
  <c r="X2631" i="40"/>
  <c r="X2632" i="40"/>
  <c r="X2633" i="40"/>
  <c r="X2634" i="40"/>
  <c r="X2635" i="40"/>
  <c r="X2636" i="40"/>
  <c r="X2637" i="40"/>
  <c r="X2638" i="40"/>
  <c r="X2639" i="40"/>
  <c r="X2640" i="40"/>
  <c r="X2641" i="40"/>
  <c r="X2642" i="40"/>
  <c r="X2643" i="40"/>
  <c r="X2644" i="40"/>
  <c r="X2645" i="40"/>
  <c r="X2646" i="40"/>
  <c r="X2647" i="40"/>
  <c r="X2648" i="40"/>
  <c r="X2649" i="40"/>
  <c r="X2650" i="40"/>
  <c r="X2651" i="40"/>
  <c r="X2652" i="40"/>
  <c r="X2653" i="40"/>
  <c r="X2654" i="40"/>
  <c r="X2655" i="40"/>
  <c r="X2656" i="40"/>
  <c r="X2657" i="40"/>
  <c r="X2658" i="40"/>
  <c r="X2659" i="40"/>
  <c r="X2660" i="40"/>
  <c r="X2661" i="40"/>
  <c r="X2662" i="40"/>
  <c r="X2663" i="40"/>
  <c r="X2664" i="40"/>
  <c r="X2665" i="40"/>
  <c r="X2666" i="40"/>
  <c r="X2667" i="40"/>
  <c r="X2668" i="40"/>
  <c r="X2669" i="40"/>
  <c r="X2670" i="40"/>
  <c r="X2671" i="40"/>
  <c r="X2672" i="40"/>
  <c r="X2673" i="40"/>
  <c r="X2674" i="40"/>
  <c r="X2675" i="40"/>
  <c r="X2676" i="40"/>
  <c r="X2677" i="40"/>
  <c r="X2678" i="40"/>
  <c r="X2679" i="40"/>
  <c r="X2680" i="40"/>
  <c r="X2681" i="40"/>
  <c r="X2682" i="40"/>
  <c r="X2683" i="40"/>
  <c r="X2684" i="40"/>
  <c r="X2685" i="40"/>
  <c r="X2686" i="40"/>
  <c r="X2687" i="40"/>
  <c r="X2688" i="40"/>
  <c r="X2689" i="40"/>
  <c r="X2690" i="40"/>
  <c r="X2691" i="40"/>
  <c r="X2692" i="40"/>
  <c r="X2693" i="40"/>
  <c r="X2694" i="40"/>
  <c r="X2695" i="40"/>
  <c r="X2696" i="40"/>
  <c r="X2697" i="40"/>
  <c r="X2698" i="40"/>
  <c r="X2699" i="40"/>
  <c r="X2700" i="40"/>
  <c r="X2701" i="40"/>
  <c r="X2702" i="40"/>
  <c r="X2703" i="40"/>
  <c r="X2704" i="40"/>
  <c r="X2705" i="40"/>
  <c r="X2706" i="40"/>
  <c r="X2707" i="40"/>
  <c r="X2708" i="40"/>
  <c r="X2709" i="40"/>
  <c r="X2710" i="40"/>
  <c r="X2711" i="40"/>
  <c r="X2712" i="40"/>
  <c r="X2713" i="40"/>
  <c r="X2714" i="40"/>
  <c r="X2715" i="40"/>
  <c r="X2716" i="40"/>
  <c r="X2717" i="40"/>
  <c r="X2718" i="40"/>
  <c r="X2719" i="40"/>
  <c r="X2720" i="40"/>
  <c r="X2721" i="40"/>
  <c r="X2722" i="40"/>
  <c r="X2723" i="40"/>
  <c r="X2724" i="40"/>
  <c r="X2725" i="40"/>
  <c r="X2726" i="40"/>
  <c r="X2727" i="40"/>
  <c r="X2728" i="40"/>
  <c r="X2729" i="40"/>
  <c r="X2730" i="40"/>
  <c r="X2731" i="40"/>
  <c r="X2732" i="40"/>
  <c r="X2733" i="40"/>
  <c r="X2734" i="40"/>
  <c r="X2735" i="40"/>
  <c r="X2736" i="40"/>
  <c r="X2737" i="40"/>
  <c r="X2738" i="40"/>
  <c r="X2739" i="40"/>
  <c r="X2740" i="40"/>
  <c r="X2741" i="40"/>
  <c r="X2742" i="40"/>
  <c r="X2743" i="40"/>
  <c r="X2744" i="40"/>
  <c r="X2745" i="40"/>
  <c r="X2746" i="40"/>
  <c r="X2747" i="40"/>
  <c r="X2748" i="40"/>
  <c r="X2749" i="40"/>
  <c r="X2750" i="40"/>
  <c r="X2751" i="40"/>
  <c r="X2752" i="40"/>
  <c r="X2753" i="40"/>
  <c r="X2754" i="40"/>
  <c r="X2755" i="40"/>
  <c r="X2756" i="40"/>
  <c r="X2757" i="40"/>
  <c r="X2758" i="40"/>
  <c r="X2759" i="40"/>
  <c r="X2760" i="40"/>
  <c r="X2761" i="40"/>
  <c r="X2762" i="40"/>
  <c r="X2763" i="40"/>
  <c r="X2764" i="40"/>
  <c r="X2765" i="40"/>
  <c r="X2766" i="40"/>
  <c r="X2767" i="40"/>
  <c r="X2768" i="40"/>
  <c r="X2769" i="40"/>
  <c r="X2770" i="40"/>
  <c r="X2771" i="40"/>
  <c r="X2772" i="40"/>
  <c r="X2773" i="40"/>
  <c r="X2774" i="40"/>
  <c r="X2775" i="40"/>
  <c r="X2776" i="40"/>
  <c r="X2777" i="40"/>
  <c r="X2778" i="40"/>
  <c r="X2779" i="40"/>
  <c r="X2780" i="40"/>
  <c r="X2781" i="40"/>
  <c r="X2782" i="40"/>
  <c r="X2783" i="40"/>
  <c r="X2784" i="40"/>
  <c r="X2785" i="40"/>
  <c r="X2786" i="40"/>
  <c r="X2787" i="40"/>
  <c r="X2788" i="40"/>
  <c r="X2789" i="40"/>
  <c r="X2790" i="40"/>
  <c r="X2791" i="40"/>
  <c r="X2792" i="40"/>
  <c r="X2793" i="40"/>
  <c r="X2794" i="40"/>
  <c r="X2795" i="40"/>
  <c r="X2796" i="40"/>
  <c r="X2797" i="40"/>
  <c r="X2798" i="40"/>
  <c r="X2799" i="40"/>
  <c r="X2800" i="40"/>
  <c r="X2801" i="40"/>
  <c r="X2802" i="40"/>
  <c r="X2803" i="40"/>
  <c r="X2804" i="40"/>
  <c r="X2805" i="40"/>
  <c r="X2806" i="40"/>
  <c r="X2807" i="40"/>
  <c r="X2808" i="40"/>
  <c r="X2809" i="40"/>
  <c r="X2810" i="40"/>
  <c r="X2811" i="40"/>
  <c r="X2812" i="40"/>
  <c r="X2813" i="40"/>
  <c r="X2814" i="40"/>
  <c r="X2815" i="40"/>
  <c r="X2816" i="40"/>
  <c r="X2817" i="40"/>
  <c r="X2818" i="40"/>
  <c r="X2819" i="40"/>
  <c r="X2820" i="40"/>
  <c r="X2821" i="40"/>
  <c r="X2822" i="40"/>
  <c r="X2823" i="40"/>
  <c r="X2824" i="40"/>
  <c r="X2825" i="40"/>
  <c r="X2826" i="40"/>
  <c r="X2827" i="40"/>
  <c r="X2828" i="40"/>
  <c r="X2829" i="40"/>
  <c r="X2830" i="40"/>
  <c r="X2831" i="40"/>
  <c r="X2832" i="40"/>
  <c r="X2833" i="40"/>
  <c r="X2834" i="40"/>
  <c r="X2835" i="40"/>
  <c r="X2836" i="40"/>
  <c r="X2837" i="40"/>
  <c r="X2838" i="40"/>
  <c r="X2839" i="40"/>
  <c r="X2840" i="40"/>
  <c r="X2841" i="40"/>
  <c r="X2842" i="40"/>
  <c r="X2843" i="40"/>
  <c r="X2844" i="40"/>
  <c r="X2845" i="40"/>
  <c r="X2846" i="40"/>
  <c r="X2847" i="40"/>
  <c r="X2848" i="40"/>
  <c r="X2849" i="40"/>
  <c r="X2850" i="40"/>
  <c r="X2851" i="40"/>
  <c r="X2852" i="40"/>
  <c r="X2853" i="40"/>
  <c r="X2854" i="40"/>
  <c r="X2855" i="40"/>
  <c r="X2856" i="40"/>
  <c r="X2857" i="40"/>
  <c r="X2858" i="40"/>
  <c r="X2859" i="40"/>
  <c r="X2860" i="40"/>
  <c r="X2861" i="40"/>
  <c r="X2862" i="40"/>
  <c r="X2863" i="40"/>
  <c r="X2864" i="40"/>
  <c r="X2865" i="40"/>
  <c r="X2866" i="40"/>
  <c r="X2867" i="40"/>
  <c r="X2868" i="40"/>
  <c r="X2869" i="40"/>
  <c r="X2870" i="40"/>
  <c r="X2871" i="40"/>
  <c r="X2872" i="40"/>
  <c r="X2873" i="40"/>
  <c r="X2874" i="40"/>
  <c r="X2875" i="40"/>
  <c r="X2876" i="40"/>
  <c r="X2877" i="40"/>
  <c r="X2878" i="40"/>
  <c r="X2879" i="40"/>
  <c r="X2880" i="40"/>
  <c r="X2881" i="40"/>
  <c r="X2882" i="40"/>
  <c r="X2883" i="40"/>
  <c r="X2884" i="40"/>
  <c r="X2885" i="40"/>
  <c r="X2886" i="40"/>
  <c r="X2887" i="40"/>
  <c r="X2888" i="40"/>
  <c r="X2889" i="40"/>
  <c r="X2890" i="40"/>
  <c r="X2891" i="40"/>
  <c r="X2892" i="40"/>
  <c r="X2893" i="40"/>
  <c r="X2894" i="40"/>
  <c r="X2895" i="40"/>
  <c r="X2896" i="40"/>
  <c r="X2897" i="40"/>
  <c r="X2898" i="40"/>
  <c r="X2899" i="40"/>
  <c r="X2900" i="40"/>
  <c r="X2901" i="40"/>
  <c r="X2902" i="40"/>
  <c r="X2903" i="40"/>
  <c r="AF6" i="28"/>
  <c r="D27" i="48"/>
  <c r="D26" i="48"/>
  <c r="D24" i="48"/>
  <c r="D23" i="48"/>
  <c r="E31" i="9"/>
  <c r="C12" i="3" s="1"/>
  <c r="A20" i="9"/>
  <c r="F27" i="9"/>
  <c r="F29" i="9"/>
  <c r="F30" i="9"/>
  <c r="F31" i="9"/>
  <c r="C27" i="9"/>
  <c r="C28" i="9"/>
  <c r="C29" i="9"/>
  <c r="C30" i="9"/>
  <c r="C31" i="9"/>
  <c r="C26" i="9"/>
  <c r="B25" i="22"/>
  <c r="C24" i="43" s="1"/>
  <c r="F22" i="9" s="1"/>
  <c r="B22" i="22"/>
  <c r="C21" i="43" s="1"/>
  <c r="F19" i="9" s="1"/>
  <c r="B21" i="22"/>
  <c r="C20" i="43" s="1"/>
  <c r="F18" i="9" s="1"/>
  <c r="B20" i="22"/>
  <c r="C19" i="43" s="1"/>
  <c r="F17" i="9" s="1"/>
  <c r="P18" i="54" s="1"/>
  <c r="B18" i="22"/>
  <c r="C17" i="43" s="1"/>
  <c r="F15" i="9" s="1"/>
  <c r="B16" i="22"/>
  <c r="C15" i="43" s="1"/>
  <c r="F13" i="9" s="1"/>
  <c r="B15" i="22"/>
  <c r="C14" i="43" s="1"/>
  <c r="F12" i="9" s="1"/>
  <c r="B14" i="22"/>
  <c r="C13" i="43" s="1"/>
  <c r="F11" i="9" s="1"/>
  <c r="B12" i="22"/>
  <c r="C11" i="43" s="1"/>
  <c r="F9" i="9" s="1"/>
  <c r="C15" i="9"/>
  <c r="C17" i="9"/>
  <c r="C18" i="9"/>
  <c r="A13" i="43"/>
  <c r="C11" i="9"/>
  <c r="C19" i="9"/>
  <c r="C13" i="9"/>
  <c r="C12" i="9"/>
  <c r="A6" i="9"/>
  <c r="W23" i="37"/>
  <c r="W939" i="37"/>
  <c r="W940" i="37"/>
  <c r="W941" i="37"/>
  <c r="W942" i="37"/>
  <c r="W943" i="37"/>
  <c r="W944" i="37"/>
  <c r="W945" i="37"/>
  <c r="W946" i="37"/>
  <c r="W947" i="37"/>
  <c r="W948" i="37"/>
  <c r="W949" i="37"/>
  <c r="W950" i="37"/>
  <c r="W951" i="37"/>
  <c r="W952" i="37"/>
  <c r="W953" i="37"/>
  <c r="W954" i="37"/>
  <c r="W955" i="37"/>
  <c r="W956" i="37"/>
  <c r="W957" i="37"/>
  <c r="W958" i="37"/>
  <c r="W959" i="37"/>
  <c r="W960" i="37"/>
  <c r="W961" i="37"/>
  <c r="W962" i="37"/>
  <c r="W963" i="37"/>
  <c r="W964" i="37"/>
  <c r="W965" i="37"/>
  <c r="W966" i="37"/>
  <c r="W967" i="37"/>
  <c r="W968" i="37"/>
  <c r="W969" i="37"/>
  <c r="W970" i="37"/>
  <c r="W971" i="37"/>
  <c r="W972" i="37"/>
  <c r="W973" i="37"/>
  <c r="W974" i="37"/>
  <c r="W975" i="37"/>
  <c r="W976" i="37"/>
  <c r="W977" i="37"/>
  <c r="W978" i="37"/>
  <c r="W979" i="37"/>
  <c r="W980" i="37"/>
  <c r="W981" i="37"/>
  <c r="W982" i="37"/>
  <c r="W983" i="37"/>
  <c r="W984" i="37"/>
  <c r="W985" i="37"/>
  <c r="W986" i="37"/>
  <c r="W987" i="37"/>
  <c r="W988" i="37"/>
  <c r="W989" i="37"/>
  <c r="W990" i="37"/>
  <c r="W991" i="37"/>
  <c r="W992" i="37"/>
  <c r="W993" i="37"/>
  <c r="W994" i="37"/>
  <c r="W995" i="37"/>
  <c r="W996" i="37"/>
  <c r="W997" i="37"/>
  <c r="W998" i="37"/>
  <c r="W999" i="37"/>
  <c r="W1000" i="37"/>
  <c r="W1001" i="37"/>
  <c r="W1002" i="37"/>
  <c r="W1003" i="37"/>
  <c r="W1004" i="37"/>
  <c r="W1005" i="37"/>
  <c r="W1006" i="37"/>
  <c r="W1007" i="37"/>
  <c r="W1008" i="37"/>
  <c r="W1009" i="37"/>
  <c r="W1010" i="37"/>
  <c r="W1011" i="37"/>
  <c r="W1012" i="37"/>
  <c r="W1013" i="37"/>
  <c r="W1014" i="37"/>
  <c r="W1015" i="37"/>
  <c r="W1016" i="37"/>
  <c r="W1017" i="37"/>
  <c r="W1018" i="37"/>
  <c r="W1019" i="37"/>
  <c r="W1020" i="37"/>
  <c r="W1021" i="37"/>
  <c r="W1022" i="37"/>
  <c r="W1023" i="37"/>
  <c r="W1024" i="37"/>
  <c r="W1025" i="37"/>
  <c r="W1026" i="37"/>
  <c r="W1027" i="37"/>
  <c r="W1028" i="37"/>
  <c r="W1029" i="37"/>
  <c r="W1030" i="37"/>
  <c r="W1031" i="37"/>
  <c r="W1032" i="37"/>
  <c r="W1033" i="37"/>
  <c r="W1034" i="37"/>
  <c r="W1035" i="37"/>
  <c r="W1036" i="37"/>
  <c r="W1037" i="37"/>
  <c r="W1038" i="37"/>
  <c r="W1039" i="37"/>
  <c r="W1040" i="37"/>
  <c r="W1041" i="37"/>
  <c r="W1042" i="37"/>
  <c r="W1043" i="37"/>
  <c r="W1044" i="37"/>
  <c r="W1045" i="37"/>
  <c r="W1046" i="37"/>
  <c r="W1047" i="37"/>
  <c r="W1048" i="37"/>
  <c r="W1049" i="37"/>
  <c r="W1050" i="37"/>
  <c r="W1051" i="37"/>
  <c r="W1052" i="37"/>
  <c r="W1053" i="37"/>
  <c r="W1054" i="37"/>
  <c r="W1055" i="37"/>
  <c r="W1056" i="37"/>
  <c r="W1057" i="37"/>
  <c r="W1058" i="37"/>
  <c r="W1059" i="37"/>
  <c r="W1060" i="37"/>
  <c r="W1061" i="37"/>
  <c r="W1062" i="37"/>
  <c r="W1063" i="37"/>
  <c r="W1064" i="37"/>
  <c r="W1065" i="37"/>
  <c r="W1066" i="37"/>
  <c r="W1067" i="37"/>
  <c r="W1068" i="37"/>
  <c r="W1069" i="37"/>
  <c r="W1070" i="37"/>
  <c r="W1071" i="37"/>
  <c r="W1072" i="37"/>
  <c r="W1073" i="37"/>
  <c r="W1074" i="37"/>
  <c r="W1075" i="37"/>
  <c r="W1076" i="37"/>
  <c r="W1077" i="37"/>
  <c r="W1078" i="37"/>
  <c r="W1079" i="37"/>
  <c r="W1080" i="37"/>
  <c r="W1081" i="37"/>
  <c r="W1082" i="37"/>
  <c r="W1083" i="37"/>
  <c r="W1084" i="37"/>
  <c r="W1085" i="37"/>
  <c r="W1086" i="37"/>
  <c r="W1087" i="37"/>
  <c r="W1088" i="37"/>
  <c r="W1089" i="37"/>
  <c r="W1090" i="37"/>
  <c r="W1091" i="37"/>
  <c r="W1092" i="37"/>
  <c r="W1093" i="37"/>
  <c r="W1094" i="37"/>
  <c r="W1095" i="37"/>
  <c r="W1096" i="37"/>
  <c r="W1097" i="37"/>
  <c r="W1098" i="37"/>
  <c r="W1099" i="37"/>
  <c r="W1100" i="37"/>
  <c r="W1101" i="37"/>
  <c r="W1102" i="37"/>
  <c r="W1103" i="37"/>
  <c r="W1104" i="37"/>
  <c r="W1105" i="37"/>
  <c r="W1106" i="37"/>
  <c r="W1107" i="37"/>
  <c r="W1108" i="37"/>
  <c r="W1109" i="37"/>
  <c r="W1110" i="37"/>
  <c r="W1111" i="37"/>
  <c r="W1112" i="37"/>
  <c r="W1113" i="37"/>
  <c r="W1114" i="37"/>
  <c r="W1115" i="37"/>
  <c r="W1116" i="37"/>
  <c r="W1117" i="37"/>
  <c r="W1118" i="37"/>
  <c r="W1119" i="37"/>
  <c r="W1120" i="37"/>
  <c r="W1121" i="37"/>
  <c r="W1122" i="37"/>
  <c r="W1123" i="37"/>
  <c r="W1124" i="37"/>
  <c r="W1125" i="37"/>
  <c r="W1126" i="37"/>
  <c r="W1127" i="37"/>
  <c r="W1128" i="37"/>
  <c r="W1129" i="37"/>
  <c r="W1130" i="37"/>
  <c r="W1131" i="37"/>
  <c r="W1132" i="37"/>
  <c r="W1133" i="37"/>
  <c r="W1134" i="37"/>
  <c r="W1135" i="37"/>
  <c r="W1136" i="37"/>
  <c r="W1137" i="37"/>
  <c r="W1138" i="37"/>
  <c r="W1139" i="37"/>
  <c r="W1140" i="37"/>
  <c r="W1141" i="37"/>
  <c r="W1142" i="37"/>
  <c r="W1143" i="37"/>
  <c r="W1144" i="37"/>
  <c r="W1145" i="37"/>
  <c r="W1146" i="37"/>
  <c r="W1147" i="37"/>
  <c r="W1148" i="37"/>
  <c r="W1149" i="37"/>
  <c r="W1150" i="37"/>
  <c r="W1151" i="37"/>
  <c r="W1152" i="37"/>
  <c r="W1153" i="37"/>
  <c r="W1154" i="37"/>
  <c r="W1155" i="37"/>
  <c r="W1156" i="37"/>
  <c r="W1157" i="37"/>
  <c r="W1158" i="37"/>
  <c r="W1159" i="37"/>
  <c r="W1160" i="37"/>
  <c r="W1161" i="37"/>
  <c r="W1162" i="37"/>
  <c r="W1163" i="37"/>
  <c r="W1164" i="37"/>
  <c r="W1165" i="37"/>
  <c r="W1166" i="37"/>
  <c r="W1167" i="37"/>
  <c r="W1168" i="37"/>
  <c r="W1169" i="37"/>
  <c r="W1170" i="37"/>
  <c r="W1171" i="37"/>
  <c r="W1172" i="37"/>
  <c r="W1173" i="37"/>
  <c r="W1174" i="37"/>
  <c r="W1175" i="37"/>
  <c r="W1176" i="37"/>
  <c r="W1177" i="37"/>
  <c r="W1178" i="37"/>
  <c r="W1179" i="37"/>
  <c r="W1180" i="37"/>
  <c r="W1181" i="37"/>
  <c r="W1182" i="37"/>
  <c r="W1183" i="37"/>
  <c r="W1184" i="37"/>
  <c r="W1185" i="37"/>
  <c r="W1186" i="37"/>
  <c r="W1187" i="37"/>
  <c r="W1188" i="37"/>
  <c r="W1189" i="37"/>
  <c r="W1190" i="37"/>
  <c r="W1191" i="37"/>
  <c r="W1192" i="37"/>
  <c r="W1193" i="37"/>
  <c r="W1194" i="37"/>
  <c r="W1195" i="37"/>
  <c r="W1196" i="37"/>
  <c r="W1197" i="37"/>
  <c r="W1198" i="37"/>
  <c r="W1199" i="37"/>
  <c r="W1200" i="37"/>
  <c r="W1201" i="37"/>
  <c r="W1202" i="37"/>
  <c r="W1203" i="37"/>
  <c r="W1204" i="37"/>
  <c r="W1205" i="37"/>
  <c r="W1206" i="37"/>
  <c r="W1207" i="37"/>
  <c r="W1208" i="37"/>
  <c r="W1209" i="37"/>
  <c r="W1210" i="37"/>
  <c r="W1211" i="37"/>
  <c r="W1212" i="37"/>
  <c r="W1213" i="37"/>
  <c r="W1214" i="37"/>
  <c r="W1215" i="37"/>
  <c r="W1216" i="37"/>
  <c r="W1217" i="37"/>
  <c r="W1218" i="37"/>
  <c r="W1219" i="37"/>
  <c r="W1220" i="37"/>
  <c r="W1221" i="37"/>
  <c r="W1222" i="37"/>
  <c r="W1223" i="37"/>
  <c r="W1224" i="37"/>
  <c r="W1225" i="37"/>
  <c r="W1226" i="37"/>
  <c r="W1227" i="37"/>
  <c r="W1228" i="37"/>
  <c r="W1229" i="37"/>
  <c r="W1230" i="37"/>
  <c r="W1231" i="37"/>
  <c r="W1232" i="37"/>
  <c r="W1233" i="37"/>
  <c r="W1234" i="37"/>
  <c r="W1235" i="37"/>
  <c r="W1236" i="37"/>
  <c r="W1237" i="37"/>
  <c r="W1238" i="37"/>
  <c r="W1239" i="37"/>
  <c r="W1240" i="37"/>
  <c r="W1241" i="37"/>
  <c r="W1242" i="37"/>
  <c r="W1243" i="37"/>
  <c r="W1244" i="37"/>
  <c r="W1245" i="37"/>
  <c r="W1246" i="37"/>
  <c r="W1247" i="37"/>
  <c r="W1248" i="37"/>
  <c r="W1249" i="37"/>
  <c r="W1250" i="37"/>
  <c r="W1251" i="37"/>
  <c r="W1252" i="37"/>
  <c r="W1253" i="37"/>
  <c r="W1254" i="37"/>
  <c r="W1255" i="37"/>
  <c r="W1256" i="37"/>
  <c r="W1257" i="37"/>
  <c r="W1258" i="37"/>
  <c r="W1259" i="37"/>
  <c r="W1260" i="37"/>
  <c r="W1261" i="37"/>
  <c r="W1262" i="37"/>
  <c r="W1263" i="37"/>
  <c r="W1264" i="37"/>
  <c r="W1265" i="37"/>
  <c r="W1266" i="37"/>
  <c r="W1267" i="37"/>
  <c r="W1268" i="37"/>
  <c r="W1269" i="37"/>
  <c r="W1270" i="37"/>
  <c r="W1271" i="37"/>
  <c r="W1272" i="37"/>
  <c r="W1273" i="37"/>
  <c r="W1274" i="37"/>
  <c r="W1275" i="37"/>
  <c r="W1276" i="37"/>
  <c r="W1277" i="37"/>
  <c r="W1278" i="37"/>
  <c r="W1279" i="37"/>
  <c r="W1280" i="37"/>
  <c r="W1281" i="37"/>
  <c r="W1282" i="37"/>
  <c r="W1283" i="37"/>
  <c r="W1284" i="37"/>
  <c r="W1285" i="37"/>
  <c r="W1286" i="37"/>
  <c r="W1287" i="37"/>
  <c r="W1288" i="37"/>
  <c r="W1289" i="37"/>
  <c r="W1290" i="37"/>
  <c r="W1291" i="37"/>
  <c r="W1292" i="37"/>
  <c r="W1293" i="37"/>
  <c r="W1294" i="37"/>
  <c r="W1295" i="37"/>
  <c r="W1296" i="37"/>
  <c r="W1297" i="37"/>
  <c r="W1298" i="37"/>
  <c r="W1299" i="37"/>
  <c r="W1300" i="37"/>
  <c r="W1301" i="37"/>
  <c r="W1302" i="37"/>
  <c r="W1303" i="37"/>
  <c r="W1304" i="37"/>
  <c r="W1305" i="37"/>
  <c r="W1306" i="37"/>
  <c r="W1307" i="37"/>
  <c r="W1308" i="37"/>
  <c r="W1309" i="37"/>
  <c r="W1310" i="37"/>
  <c r="W1311" i="37"/>
  <c r="W1312" i="37"/>
  <c r="W1313" i="37"/>
  <c r="W1314" i="37"/>
  <c r="W1315" i="37"/>
  <c r="W1316" i="37"/>
  <c r="W1317" i="37"/>
  <c r="W1318" i="37"/>
  <c r="W1319" i="37"/>
  <c r="W1320" i="37"/>
  <c r="W1321" i="37"/>
  <c r="W1322" i="37"/>
  <c r="W1323" i="37"/>
  <c r="W1324" i="37"/>
  <c r="W1325" i="37"/>
  <c r="W1326" i="37"/>
  <c r="W1327" i="37"/>
  <c r="W1328" i="37"/>
  <c r="W1329" i="37"/>
  <c r="W1330" i="37"/>
  <c r="W1331" i="37"/>
  <c r="W1332" i="37"/>
  <c r="W1333" i="37"/>
  <c r="W1334" i="37"/>
  <c r="W1335" i="37"/>
  <c r="W1336" i="37"/>
  <c r="W1337" i="37"/>
  <c r="W1338" i="37"/>
  <c r="W1339" i="37"/>
  <c r="W1340" i="37"/>
  <c r="W1341" i="37"/>
  <c r="W1342" i="37"/>
  <c r="W1343" i="37"/>
  <c r="W1344" i="37"/>
  <c r="W1345" i="37"/>
  <c r="W1346" i="37"/>
  <c r="W1347" i="37"/>
  <c r="W1348" i="37"/>
  <c r="W1349" i="37"/>
  <c r="W1350" i="37"/>
  <c r="W1351" i="37"/>
  <c r="W1352" i="37"/>
  <c r="W1353" i="37"/>
  <c r="W1354" i="37"/>
  <c r="W1355" i="37"/>
  <c r="W1356" i="37"/>
  <c r="W1357" i="37"/>
  <c r="W1358" i="37"/>
  <c r="W1359" i="37"/>
  <c r="W1360" i="37"/>
  <c r="W1361" i="37"/>
  <c r="W1362" i="37"/>
  <c r="W1363" i="37"/>
  <c r="W1364" i="37"/>
  <c r="W1365" i="37"/>
  <c r="W1366" i="37"/>
  <c r="W1367" i="37"/>
  <c r="W1368" i="37"/>
  <c r="W1369" i="37"/>
  <c r="W1370" i="37"/>
  <c r="W1371" i="37"/>
  <c r="W1372" i="37"/>
  <c r="W1373" i="37"/>
  <c r="W1374" i="37"/>
  <c r="W1375" i="37"/>
  <c r="W1376" i="37"/>
  <c r="W1377" i="37"/>
  <c r="W1378" i="37"/>
  <c r="W1379" i="37"/>
  <c r="W1380" i="37"/>
  <c r="W1381" i="37"/>
  <c r="W1382" i="37"/>
  <c r="W1383" i="37"/>
  <c r="W1384" i="37"/>
  <c r="W1385" i="37"/>
  <c r="W1386" i="37"/>
  <c r="W1387" i="37"/>
  <c r="W1388" i="37"/>
  <c r="W1389" i="37"/>
  <c r="W1390" i="37"/>
  <c r="W1391" i="37"/>
  <c r="W1392" i="37"/>
  <c r="W1393" i="37"/>
  <c r="W1394" i="37"/>
  <c r="W1395" i="37"/>
  <c r="W1396" i="37"/>
  <c r="W1397" i="37"/>
  <c r="W1398" i="37"/>
  <c r="W1399" i="37"/>
  <c r="W1400" i="37"/>
  <c r="W1401" i="37"/>
  <c r="W1402" i="37"/>
  <c r="W1403" i="37"/>
  <c r="W1404" i="37"/>
  <c r="W1405" i="37"/>
  <c r="W1406" i="37"/>
  <c r="W1407" i="37"/>
  <c r="W1408" i="37"/>
  <c r="W1409" i="37"/>
  <c r="W1410" i="37"/>
  <c r="W1411" i="37"/>
  <c r="W1412" i="37"/>
  <c r="W1413" i="37"/>
  <c r="W1414" i="37"/>
  <c r="W1415" i="37"/>
  <c r="W1416" i="37"/>
  <c r="W1417" i="37"/>
  <c r="W1418" i="37"/>
  <c r="W1419" i="37"/>
  <c r="W1420" i="37"/>
  <c r="W1421" i="37"/>
  <c r="W1422" i="37"/>
  <c r="W1423" i="37"/>
  <c r="W1424" i="37"/>
  <c r="W1425" i="37"/>
  <c r="W1426" i="37"/>
  <c r="W1427" i="37"/>
  <c r="W1428" i="37"/>
  <c r="W1429" i="37"/>
  <c r="W1430" i="37"/>
  <c r="W1431" i="37"/>
  <c r="W1432" i="37"/>
  <c r="W1433" i="37"/>
  <c r="W1434" i="37"/>
  <c r="W1435" i="37"/>
  <c r="W1436" i="37"/>
  <c r="W1437" i="37"/>
  <c r="W1438" i="37"/>
  <c r="W1439" i="37"/>
  <c r="W1440" i="37"/>
  <c r="W1441" i="37"/>
  <c r="W1442" i="37"/>
  <c r="W1443" i="37"/>
  <c r="W1444" i="37"/>
  <c r="W1445" i="37"/>
  <c r="W1446" i="37"/>
  <c r="W1447" i="37"/>
  <c r="W1448" i="37"/>
  <c r="W1449" i="37"/>
  <c r="W1450" i="37"/>
  <c r="W1451" i="37"/>
  <c r="W1452" i="37"/>
  <c r="W1453" i="37"/>
  <c r="W1454" i="37"/>
  <c r="W1455" i="37"/>
  <c r="W1456" i="37"/>
  <c r="W1457" i="37"/>
  <c r="W1458" i="37"/>
  <c r="W1459" i="37"/>
  <c r="W1460" i="37"/>
  <c r="W1461" i="37"/>
  <c r="W1462" i="37"/>
  <c r="W1463" i="37"/>
  <c r="W1464" i="37"/>
  <c r="W1465" i="37"/>
  <c r="W1466" i="37"/>
  <c r="W1467" i="37"/>
  <c r="W1468" i="37"/>
  <c r="W1469" i="37"/>
  <c r="W1470" i="37"/>
  <c r="W1471" i="37"/>
  <c r="W1472" i="37"/>
  <c r="W1473" i="37"/>
  <c r="W1474" i="37"/>
  <c r="W1475" i="37"/>
  <c r="W1476" i="37"/>
  <c r="W1477" i="37"/>
  <c r="W1478" i="37"/>
  <c r="W1479" i="37"/>
  <c r="W1480" i="37"/>
  <c r="W1481" i="37"/>
  <c r="W1482" i="37"/>
  <c r="W1483" i="37"/>
  <c r="W1484" i="37"/>
  <c r="W1485" i="37"/>
  <c r="W1486" i="37"/>
  <c r="W1487" i="37"/>
  <c r="W1488" i="37"/>
  <c r="W1489" i="37"/>
  <c r="W1490" i="37"/>
  <c r="W1491" i="37"/>
  <c r="W1492" i="37"/>
  <c r="W1493" i="37"/>
  <c r="W1494" i="37"/>
  <c r="W1495" i="37"/>
  <c r="W1496" i="37"/>
  <c r="W1497" i="37"/>
  <c r="W1498" i="37"/>
  <c r="W1499" i="37"/>
  <c r="W1500" i="37"/>
  <c r="W1501" i="37"/>
  <c r="W1502" i="37"/>
  <c r="W1503" i="37"/>
  <c r="W1504" i="37"/>
  <c r="W1505" i="37"/>
  <c r="W1506" i="37"/>
  <c r="W1507" i="37"/>
  <c r="W1508" i="37"/>
  <c r="W1509" i="37"/>
  <c r="W1510" i="37"/>
  <c r="W1511" i="37"/>
  <c r="W1512" i="37"/>
  <c r="W1513" i="37"/>
  <c r="W1514" i="37"/>
  <c r="W1515" i="37"/>
  <c r="W1516" i="37"/>
  <c r="W1517" i="37"/>
  <c r="W1518" i="37"/>
  <c r="W1519" i="37"/>
  <c r="W1520" i="37"/>
  <c r="W1521" i="37"/>
  <c r="W1522" i="37"/>
  <c r="W1523" i="37"/>
  <c r="W1524" i="37"/>
  <c r="W1525" i="37"/>
  <c r="W1526" i="37"/>
  <c r="W1527" i="37"/>
  <c r="W1528" i="37"/>
  <c r="W1529" i="37"/>
  <c r="W1530" i="37"/>
  <c r="W1531" i="37"/>
  <c r="W1532" i="37"/>
  <c r="W1533" i="37"/>
  <c r="W1534" i="37"/>
  <c r="W1535" i="37"/>
  <c r="W1536" i="37"/>
  <c r="W1537" i="37"/>
  <c r="W1538" i="37"/>
  <c r="W1539" i="37"/>
  <c r="W1540" i="37"/>
  <c r="W1541" i="37"/>
  <c r="W1542" i="37"/>
  <c r="W1543" i="37"/>
  <c r="W1544" i="37"/>
  <c r="W1545" i="37"/>
  <c r="W1546" i="37"/>
  <c r="W1547" i="37"/>
  <c r="W1548" i="37"/>
  <c r="W1549" i="37"/>
  <c r="W1550" i="37"/>
  <c r="W1551" i="37"/>
  <c r="W1552" i="37"/>
  <c r="W1553" i="37"/>
  <c r="W1554" i="37"/>
  <c r="W1555" i="37"/>
  <c r="W1556" i="37"/>
  <c r="W1557" i="37"/>
  <c r="W1558" i="37"/>
  <c r="W1559" i="37"/>
  <c r="W1560" i="37"/>
  <c r="W1561" i="37"/>
  <c r="W1562" i="37"/>
  <c r="W1563" i="37"/>
  <c r="W1564" i="37"/>
  <c r="W1565" i="37"/>
  <c r="W1566" i="37"/>
  <c r="W1567" i="37"/>
  <c r="W1568" i="37"/>
  <c r="W1569" i="37"/>
  <c r="W1570" i="37"/>
  <c r="W1571" i="37"/>
  <c r="W1572" i="37"/>
  <c r="W1573" i="37"/>
  <c r="W1574" i="37"/>
  <c r="W1575" i="37"/>
  <c r="W1576" i="37"/>
  <c r="W1577" i="37"/>
  <c r="W1578" i="37"/>
  <c r="W1579" i="37"/>
  <c r="W1580" i="37"/>
  <c r="W1581" i="37"/>
  <c r="W1582" i="37"/>
  <c r="W1583" i="37"/>
  <c r="W1584" i="37"/>
  <c r="W1585" i="37"/>
  <c r="W1586" i="37"/>
  <c r="W1587" i="37"/>
  <c r="W1588" i="37"/>
  <c r="W1589" i="37"/>
  <c r="W1590" i="37"/>
  <c r="W1591" i="37"/>
  <c r="W1592" i="37"/>
  <c r="W1593" i="37"/>
  <c r="W1594" i="37"/>
  <c r="W1595" i="37"/>
  <c r="W1596" i="37"/>
  <c r="W1597" i="37"/>
  <c r="W1598" i="37"/>
  <c r="W1599" i="37"/>
  <c r="W1600" i="37"/>
  <c r="W1601" i="37"/>
  <c r="W1602" i="37"/>
  <c r="W1603" i="37"/>
  <c r="W1604" i="37"/>
  <c r="W1605" i="37"/>
  <c r="W1606" i="37"/>
  <c r="W1607" i="37"/>
  <c r="W1608" i="37"/>
  <c r="W1609" i="37"/>
  <c r="W1610" i="37"/>
  <c r="W1611" i="37"/>
  <c r="W1612" i="37"/>
  <c r="W1613" i="37"/>
  <c r="W1614" i="37"/>
  <c r="W1615" i="37"/>
  <c r="W1616" i="37"/>
  <c r="W1617" i="37"/>
  <c r="W1618" i="37"/>
  <c r="W1619" i="37"/>
  <c r="W1620" i="37"/>
  <c r="W1621" i="37"/>
  <c r="W1622" i="37"/>
  <c r="W1623" i="37"/>
  <c r="W1624" i="37"/>
  <c r="W1625" i="37"/>
  <c r="W1626" i="37"/>
  <c r="W1627" i="37"/>
  <c r="W1628" i="37"/>
  <c r="W1629" i="37"/>
  <c r="W1630" i="37"/>
  <c r="W1631" i="37"/>
  <c r="W1632" i="37"/>
  <c r="W1633" i="37"/>
  <c r="W1634" i="37"/>
  <c r="W1635" i="37"/>
  <c r="W1636" i="37"/>
  <c r="W1637" i="37"/>
  <c r="W1638" i="37"/>
  <c r="W1639" i="37"/>
  <c r="W1640" i="37"/>
  <c r="W1641" i="37"/>
  <c r="W1642" i="37"/>
  <c r="W1643" i="37"/>
  <c r="W1644" i="37"/>
  <c r="W1645" i="37"/>
  <c r="W1646" i="37"/>
  <c r="W1647" i="37"/>
  <c r="W1648" i="37"/>
  <c r="W1649" i="37"/>
  <c r="W1650" i="37"/>
  <c r="W1651" i="37"/>
  <c r="W1652" i="37"/>
  <c r="W1653" i="37"/>
  <c r="W1654" i="37"/>
  <c r="W1655" i="37"/>
  <c r="W1656" i="37"/>
  <c r="W1657" i="37"/>
  <c r="W1658" i="37"/>
  <c r="W1659" i="37"/>
  <c r="W1660" i="37"/>
  <c r="W1661" i="37"/>
  <c r="W1662" i="37"/>
  <c r="W1663" i="37"/>
  <c r="W1664" i="37"/>
  <c r="W1665" i="37"/>
  <c r="W1666" i="37"/>
  <c r="W1667" i="37"/>
  <c r="W1668" i="37"/>
  <c r="W1669" i="37"/>
  <c r="W1670" i="37"/>
  <c r="W1671" i="37"/>
  <c r="W1672" i="37"/>
  <c r="W1673" i="37"/>
  <c r="W1674" i="37"/>
  <c r="W1675" i="37"/>
  <c r="W1676" i="37"/>
  <c r="W1677" i="37"/>
  <c r="W1678" i="37"/>
  <c r="W1679" i="37"/>
  <c r="W1680" i="37"/>
  <c r="W1681" i="37"/>
  <c r="W1682" i="37"/>
  <c r="W1683" i="37"/>
  <c r="W1684" i="37"/>
  <c r="W1685" i="37"/>
  <c r="W1686" i="37"/>
  <c r="W1687" i="37"/>
  <c r="W1688" i="37"/>
  <c r="W1689" i="37"/>
  <c r="W1690" i="37"/>
  <c r="W1691" i="37"/>
  <c r="W1692" i="37"/>
  <c r="W1693" i="37"/>
  <c r="W1694" i="37"/>
  <c r="W1695" i="37"/>
  <c r="W1696" i="37"/>
  <c r="W1697" i="37"/>
  <c r="W1698" i="37"/>
  <c r="W1699" i="37"/>
  <c r="W1700" i="37"/>
  <c r="W1701" i="37"/>
  <c r="W1702" i="37"/>
  <c r="W1703" i="37"/>
  <c r="W1704" i="37"/>
  <c r="W1705" i="37"/>
  <c r="W1706" i="37"/>
  <c r="W1707" i="37"/>
  <c r="W1708" i="37"/>
  <c r="W1709" i="37"/>
  <c r="W1710" i="37"/>
  <c r="W1711" i="37"/>
  <c r="W1712" i="37"/>
  <c r="W1713" i="37"/>
  <c r="W1714" i="37"/>
  <c r="W1715" i="37"/>
  <c r="W1716" i="37"/>
  <c r="W1717" i="37"/>
  <c r="W1718" i="37"/>
  <c r="W1719" i="37"/>
  <c r="W1720" i="37"/>
  <c r="W1721" i="37"/>
  <c r="W1722" i="37"/>
  <c r="W1723" i="37"/>
  <c r="W1724" i="37"/>
  <c r="W1725" i="37"/>
  <c r="W1726" i="37"/>
  <c r="W1727" i="37"/>
  <c r="W1728" i="37"/>
  <c r="W1729" i="37"/>
  <c r="W1730" i="37"/>
  <c r="W1731" i="37"/>
  <c r="W1732" i="37"/>
  <c r="W1733" i="37"/>
  <c r="W1734" i="37"/>
  <c r="W1735" i="37"/>
  <c r="W1736" i="37"/>
  <c r="W1737" i="37"/>
  <c r="W1738" i="37"/>
  <c r="W1739" i="37"/>
  <c r="W1740" i="37"/>
  <c r="W1741" i="37"/>
  <c r="W1742" i="37"/>
  <c r="W1743" i="37"/>
  <c r="W1744" i="37"/>
  <c r="W1745" i="37"/>
  <c r="W1746" i="37"/>
  <c r="W1747" i="37"/>
  <c r="W1748" i="37"/>
  <c r="W1749" i="37"/>
  <c r="W1750" i="37"/>
  <c r="W1751" i="37"/>
  <c r="W1752" i="37"/>
  <c r="W1753" i="37"/>
  <c r="W1754" i="37"/>
  <c r="W1755" i="37"/>
  <c r="W1756" i="37"/>
  <c r="W1757" i="37"/>
  <c r="W1758" i="37"/>
  <c r="W1759" i="37"/>
  <c r="W1760" i="37"/>
  <c r="W1761" i="37"/>
  <c r="W1762" i="37"/>
  <c r="W1763" i="37"/>
  <c r="W1764" i="37"/>
  <c r="W1765" i="37"/>
  <c r="W1766" i="37"/>
  <c r="W1767" i="37"/>
  <c r="W1768" i="37"/>
  <c r="W1769" i="37"/>
  <c r="W1770" i="37"/>
  <c r="W1771" i="37"/>
  <c r="W1772" i="37"/>
  <c r="W1773" i="37"/>
  <c r="W1774" i="37"/>
  <c r="W1775" i="37"/>
  <c r="W1776" i="37"/>
  <c r="W1777" i="37"/>
  <c r="W1778" i="37"/>
  <c r="W1779" i="37"/>
  <c r="W1780" i="37"/>
  <c r="W1781" i="37"/>
  <c r="W1782" i="37"/>
  <c r="W1783" i="37"/>
  <c r="W1784" i="37"/>
  <c r="W1785" i="37"/>
  <c r="W1786" i="37"/>
  <c r="W1787" i="37"/>
  <c r="W1788" i="37"/>
  <c r="W1789" i="37"/>
  <c r="W1790" i="37"/>
  <c r="W1791" i="37"/>
  <c r="W1792" i="37"/>
  <c r="W1793" i="37"/>
  <c r="W1794" i="37"/>
  <c r="W1795" i="37"/>
  <c r="W1796" i="37"/>
  <c r="W1797" i="37"/>
  <c r="W1798" i="37"/>
  <c r="W1799" i="37"/>
  <c r="W1800" i="37"/>
  <c r="W1801" i="37"/>
  <c r="W1802" i="37"/>
  <c r="W1803" i="37"/>
  <c r="W1804" i="37"/>
  <c r="W1805" i="37"/>
  <c r="W1806" i="37"/>
  <c r="W1807" i="37"/>
  <c r="W1808" i="37"/>
  <c r="W1809" i="37"/>
  <c r="W1810" i="37"/>
  <c r="W1811" i="37"/>
  <c r="W1812" i="37"/>
  <c r="W1813" i="37"/>
  <c r="W1814" i="37"/>
  <c r="W1815" i="37"/>
  <c r="W1816" i="37"/>
  <c r="W1817" i="37"/>
  <c r="W1818" i="37"/>
  <c r="W1819" i="37"/>
  <c r="W1820" i="37"/>
  <c r="W1821" i="37"/>
  <c r="W1822" i="37"/>
  <c r="W1823" i="37"/>
  <c r="W1824" i="37"/>
  <c r="W1825" i="37"/>
  <c r="W1826" i="37"/>
  <c r="W1827" i="37"/>
  <c r="W1828" i="37"/>
  <c r="W1829" i="37"/>
  <c r="W1830" i="37"/>
  <c r="W1831" i="37"/>
  <c r="W1832" i="37"/>
  <c r="W1833" i="37"/>
  <c r="W1834" i="37"/>
  <c r="W1835" i="37"/>
  <c r="W1836" i="37"/>
  <c r="W1837" i="37"/>
  <c r="W1838" i="37"/>
  <c r="W1839" i="37"/>
  <c r="W1840" i="37"/>
  <c r="W1841" i="37"/>
  <c r="W1842" i="37"/>
  <c r="W1843" i="37"/>
  <c r="W1844" i="37"/>
  <c r="W1845" i="37"/>
  <c r="W1846" i="37"/>
  <c r="W1847" i="37"/>
  <c r="W1848" i="37"/>
  <c r="W1849" i="37"/>
  <c r="W1850" i="37"/>
  <c r="W1851" i="37"/>
  <c r="W1852" i="37"/>
  <c r="W1853" i="37"/>
  <c r="W1854" i="37"/>
  <c r="W1855" i="37"/>
  <c r="W1856" i="37"/>
  <c r="W1857" i="37"/>
  <c r="W1858" i="37"/>
  <c r="W1859" i="37"/>
  <c r="W1860" i="37"/>
  <c r="W1861" i="37"/>
  <c r="W1862" i="37"/>
  <c r="W1863" i="37"/>
  <c r="W1864" i="37"/>
  <c r="W1865" i="37"/>
  <c r="W1866" i="37"/>
  <c r="W1867" i="37"/>
  <c r="W1868" i="37"/>
  <c r="W1869" i="37"/>
  <c r="W1870" i="37"/>
  <c r="W1871" i="37"/>
  <c r="W1872" i="37"/>
  <c r="W1873" i="37"/>
  <c r="W1874" i="37"/>
  <c r="W1875" i="37"/>
  <c r="W1876" i="37"/>
  <c r="W1877" i="37"/>
  <c r="W1878" i="37"/>
  <c r="W1879" i="37"/>
  <c r="W1880" i="37"/>
  <c r="W1881" i="37"/>
  <c r="W1882" i="37"/>
  <c r="W1883" i="37"/>
  <c r="W1884" i="37"/>
  <c r="W1885" i="37"/>
  <c r="W1886" i="37"/>
  <c r="W1887" i="37"/>
  <c r="W1888" i="37"/>
  <c r="W1889" i="37"/>
  <c r="W1890" i="37"/>
  <c r="W1891" i="37"/>
  <c r="W1892" i="37"/>
  <c r="W1893" i="37"/>
  <c r="W1894" i="37"/>
  <c r="W1895" i="37"/>
  <c r="W1896" i="37"/>
  <c r="W1897" i="37"/>
  <c r="W1898" i="37"/>
  <c r="W1899" i="37"/>
  <c r="W1900" i="37"/>
  <c r="W1901" i="37"/>
  <c r="W1902" i="37"/>
  <c r="W1903" i="37"/>
  <c r="W1904" i="37"/>
  <c r="W1905" i="37"/>
  <c r="W1906" i="37"/>
  <c r="W1907" i="37"/>
  <c r="W1908" i="37"/>
  <c r="W1909" i="37"/>
  <c r="W1910" i="37"/>
  <c r="W1911" i="37"/>
  <c r="W1912" i="37"/>
  <c r="W1913" i="37"/>
  <c r="W1914" i="37"/>
  <c r="W1915" i="37"/>
  <c r="W1916" i="37"/>
  <c r="W1917" i="37"/>
  <c r="W1918" i="37"/>
  <c r="W1919" i="37"/>
  <c r="W1920" i="37"/>
  <c r="W1921" i="37"/>
  <c r="W1922" i="37"/>
  <c r="W1923" i="37"/>
  <c r="W1924" i="37"/>
  <c r="W1925" i="37"/>
  <c r="W1926" i="37"/>
  <c r="W1927" i="37"/>
  <c r="W1928" i="37"/>
  <c r="W1929" i="37"/>
  <c r="W1930" i="37"/>
  <c r="W1931" i="37"/>
  <c r="W1932" i="37"/>
  <c r="W1933" i="37"/>
  <c r="W1934" i="37"/>
  <c r="W1935" i="37"/>
  <c r="W1936" i="37"/>
  <c r="W1937" i="37"/>
  <c r="W1938" i="37"/>
  <c r="W1939" i="37"/>
  <c r="W1940" i="37"/>
  <c r="W1941" i="37"/>
  <c r="W1942" i="37"/>
  <c r="W1943" i="37"/>
  <c r="W1944" i="37"/>
  <c r="W1945" i="37"/>
  <c r="W1946" i="37"/>
  <c r="W1947" i="37"/>
  <c r="W1948" i="37"/>
  <c r="W1949" i="37"/>
  <c r="W1950" i="37"/>
  <c r="W1951" i="37"/>
  <c r="W1952" i="37"/>
  <c r="W1953" i="37"/>
  <c r="W1954" i="37"/>
  <c r="W1955" i="37"/>
  <c r="W1956" i="37"/>
  <c r="W1957" i="37"/>
  <c r="W1958" i="37"/>
  <c r="W1959" i="37"/>
  <c r="W1960" i="37"/>
  <c r="W1961" i="37"/>
  <c r="W1962" i="37"/>
  <c r="W1963" i="37"/>
  <c r="W1964" i="37"/>
  <c r="W1965" i="37"/>
  <c r="W1966" i="37"/>
  <c r="W1967" i="37"/>
  <c r="W1968" i="37"/>
  <c r="W1969" i="37"/>
  <c r="W1970" i="37"/>
  <c r="W1971" i="37"/>
  <c r="W1972" i="37"/>
  <c r="W1973" i="37"/>
  <c r="W1974" i="37"/>
  <c r="W1975" i="37"/>
  <c r="W1976" i="37"/>
  <c r="W1977" i="37"/>
  <c r="W1978" i="37"/>
  <c r="W1979" i="37"/>
  <c r="W1980" i="37"/>
  <c r="W1981" i="37"/>
  <c r="W1982" i="37"/>
  <c r="W1983" i="37"/>
  <c r="W1984" i="37"/>
  <c r="W1985" i="37"/>
  <c r="W1986" i="37"/>
  <c r="W1987" i="37"/>
  <c r="W1988" i="37"/>
  <c r="W1989" i="37"/>
  <c r="W1990" i="37"/>
  <c r="W1991" i="37"/>
  <c r="W1992" i="37"/>
  <c r="W1993" i="37"/>
  <c r="W1994" i="37"/>
  <c r="W1995" i="37"/>
  <c r="W1996" i="37"/>
  <c r="W1997" i="37"/>
  <c r="W1998" i="37"/>
  <c r="W1999" i="37"/>
  <c r="W2000" i="37"/>
  <c r="W2001" i="37"/>
  <c r="W2002" i="37"/>
  <c r="W2003" i="37"/>
  <c r="W2004" i="37"/>
  <c r="W2005" i="37"/>
  <c r="W2006" i="37"/>
  <c r="W2007" i="37"/>
  <c r="W2008" i="37"/>
  <c r="W2009" i="37"/>
  <c r="W2010" i="37"/>
  <c r="W2011" i="37"/>
  <c r="W2012" i="37"/>
  <c r="W2013" i="37"/>
  <c r="W2014" i="37"/>
  <c r="W2015" i="37"/>
  <c r="W2016" i="37"/>
  <c r="W2017" i="37"/>
  <c r="W2018" i="37"/>
  <c r="W2019" i="37"/>
  <c r="W2020" i="37"/>
  <c r="W2021" i="37"/>
  <c r="W2022" i="37"/>
  <c r="W2023" i="37"/>
  <c r="W2024" i="37"/>
  <c r="W2025" i="37"/>
  <c r="W2026" i="37"/>
  <c r="W2027" i="37"/>
  <c r="W2028" i="37"/>
  <c r="W2029" i="37"/>
  <c r="W2030" i="37"/>
  <c r="W2031" i="37"/>
  <c r="W2032" i="37"/>
  <c r="W2033" i="37"/>
  <c r="W2034" i="37"/>
  <c r="W2035" i="37"/>
  <c r="W2036" i="37"/>
  <c r="W2037" i="37"/>
  <c r="W2038" i="37"/>
  <c r="W2039" i="37"/>
  <c r="W2040" i="37"/>
  <c r="W2041" i="37"/>
  <c r="W2042" i="37"/>
  <c r="W2043" i="37"/>
  <c r="W2044" i="37"/>
  <c r="W2045" i="37"/>
  <c r="W2046" i="37"/>
  <c r="W2047" i="37"/>
  <c r="W2048" i="37"/>
  <c r="W2049" i="37"/>
  <c r="W2050" i="37"/>
  <c r="W2051" i="37"/>
  <c r="W2052" i="37"/>
  <c r="W2053" i="37"/>
  <c r="W2054" i="37"/>
  <c r="W2055" i="37"/>
  <c r="W2056" i="37"/>
  <c r="W2057" i="37"/>
  <c r="W2058" i="37"/>
  <c r="W2059" i="37"/>
  <c r="W2060" i="37"/>
  <c r="W2061" i="37"/>
  <c r="W2062" i="37"/>
  <c r="W2063" i="37"/>
  <c r="W2064" i="37"/>
  <c r="W2065" i="37"/>
  <c r="W2066" i="37"/>
  <c r="W2067" i="37"/>
  <c r="W2068" i="37"/>
  <c r="W2069" i="37"/>
  <c r="W2070" i="37"/>
  <c r="W2071" i="37"/>
  <c r="W2072" i="37"/>
  <c r="W2073" i="37"/>
  <c r="W2074" i="37"/>
  <c r="W2075" i="37"/>
  <c r="W2076" i="37"/>
  <c r="W2077" i="37"/>
  <c r="W2078" i="37"/>
  <c r="W2079" i="37"/>
  <c r="W2080" i="37"/>
  <c r="W2081" i="37"/>
  <c r="W2082" i="37"/>
  <c r="W2083" i="37"/>
  <c r="W2084" i="37"/>
  <c r="W2085" i="37"/>
  <c r="W2086" i="37"/>
  <c r="W2087" i="37"/>
  <c r="W2088" i="37"/>
  <c r="W2089" i="37"/>
  <c r="W2090" i="37"/>
  <c r="W2091" i="37"/>
  <c r="W2092" i="37"/>
  <c r="W2093" i="37"/>
  <c r="W2094" i="37"/>
  <c r="W2095" i="37"/>
  <c r="W2096" i="37"/>
  <c r="W2097" i="37"/>
  <c r="W2098" i="37"/>
  <c r="W2099" i="37"/>
  <c r="W2100" i="37"/>
  <c r="W2101" i="37"/>
  <c r="W2102" i="37"/>
  <c r="W2103" i="37"/>
  <c r="W2104" i="37"/>
  <c r="W2105" i="37"/>
  <c r="W2106" i="37"/>
  <c r="W2107" i="37"/>
  <c r="W2108" i="37"/>
  <c r="W2109" i="37"/>
  <c r="W2110" i="37"/>
  <c r="W2111" i="37"/>
  <c r="W2112" i="37"/>
  <c r="W2113" i="37"/>
  <c r="W2114" i="37"/>
  <c r="W2115" i="37"/>
  <c r="W2116" i="37"/>
  <c r="W2117" i="37"/>
  <c r="W2118" i="37"/>
  <c r="W2119" i="37"/>
  <c r="W2120" i="37"/>
  <c r="W2121" i="37"/>
  <c r="W2122" i="37"/>
  <c r="W2123" i="37"/>
  <c r="W2124" i="37"/>
  <c r="W2125" i="37"/>
  <c r="W2126" i="37"/>
  <c r="W2127" i="37"/>
  <c r="W2128" i="37"/>
  <c r="W2129" i="37"/>
  <c r="W2130" i="37"/>
  <c r="W2131" i="37"/>
  <c r="W2132" i="37"/>
  <c r="W2133" i="37"/>
  <c r="W2134" i="37"/>
  <c r="W2135" i="37"/>
  <c r="W2136" i="37"/>
  <c r="W2137" i="37"/>
  <c r="W2138" i="37"/>
  <c r="W2139" i="37"/>
  <c r="W2140" i="37"/>
  <c r="W2141" i="37"/>
  <c r="W2142" i="37"/>
  <c r="W2143" i="37"/>
  <c r="W2144" i="37"/>
  <c r="W2145" i="37"/>
  <c r="W2146" i="37"/>
  <c r="W2147" i="37"/>
  <c r="W2148" i="37"/>
  <c r="W2149" i="37"/>
  <c r="W2150" i="37"/>
  <c r="W2151" i="37"/>
  <c r="W2152" i="37"/>
  <c r="W2153" i="37"/>
  <c r="W2154" i="37"/>
  <c r="W2155" i="37"/>
  <c r="W2156" i="37"/>
  <c r="W2157" i="37"/>
  <c r="W2158" i="37"/>
  <c r="W2159" i="37"/>
  <c r="W2160" i="37"/>
  <c r="W2161" i="37"/>
  <c r="W2162" i="37"/>
  <c r="W2163" i="37"/>
  <c r="W2164" i="37"/>
  <c r="W2165" i="37"/>
  <c r="W2166" i="37"/>
  <c r="W2167" i="37"/>
  <c r="W2168" i="37"/>
  <c r="W2169" i="37"/>
  <c r="W2170" i="37"/>
  <c r="W2171" i="37"/>
  <c r="W2172" i="37"/>
  <c r="W2173" i="37"/>
  <c r="W2174" i="37"/>
  <c r="W2175" i="37"/>
  <c r="W2176" i="37"/>
  <c r="W2177" i="37"/>
  <c r="W2178" i="37"/>
  <c r="W2179" i="37"/>
  <c r="W2180" i="37"/>
  <c r="W2181" i="37"/>
  <c r="W2182" i="37"/>
  <c r="W2183" i="37"/>
  <c r="W2184" i="37"/>
  <c r="W2185" i="37"/>
  <c r="W2186" i="37"/>
  <c r="W2187" i="37"/>
  <c r="W2188" i="37"/>
  <c r="W2189" i="37"/>
  <c r="W2190" i="37"/>
  <c r="W2191" i="37"/>
  <c r="W2192" i="37"/>
  <c r="W2193" i="37"/>
  <c r="W2194" i="37"/>
  <c r="W2195" i="37"/>
  <c r="W2196" i="37"/>
  <c r="W2197" i="37"/>
  <c r="W2198" i="37"/>
  <c r="W2199" i="37"/>
  <c r="W2200" i="37"/>
  <c r="W2201" i="37"/>
  <c r="W2202" i="37"/>
  <c r="W2203" i="37"/>
  <c r="W2204" i="37"/>
  <c r="W2205" i="37"/>
  <c r="W2206" i="37"/>
  <c r="W2207" i="37"/>
  <c r="W2208" i="37"/>
  <c r="W2209" i="37"/>
  <c r="W2210" i="37"/>
  <c r="W2211" i="37"/>
  <c r="W2212" i="37"/>
  <c r="W2213" i="37"/>
  <c r="W2214" i="37"/>
  <c r="W2215" i="37"/>
  <c r="W2216" i="37"/>
  <c r="W2217" i="37"/>
  <c r="W2218" i="37"/>
  <c r="W2219" i="37"/>
  <c r="W2220" i="37"/>
  <c r="W2221" i="37"/>
  <c r="W2222" i="37"/>
  <c r="W2223" i="37"/>
  <c r="W2224" i="37"/>
  <c r="W2225" i="37"/>
  <c r="W2226" i="37"/>
  <c r="W2227" i="37"/>
  <c r="W2228" i="37"/>
  <c r="W2229" i="37"/>
  <c r="W2230" i="37"/>
  <c r="W2231" i="37"/>
  <c r="W2232" i="37"/>
  <c r="W2233" i="37"/>
  <c r="W2234" i="37"/>
  <c r="W2235" i="37"/>
  <c r="W2236" i="37"/>
  <c r="W2237" i="37"/>
  <c r="W2238" i="37"/>
  <c r="W2239" i="37"/>
  <c r="W2240" i="37"/>
  <c r="W2241" i="37"/>
  <c r="W2242" i="37"/>
  <c r="W2243" i="37"/>
  <c r="W2244" i="37"/>
  <c r="W2245" i="37"/>
  <c r="W2246" i="37"/>
  <c r="W2247" i="37"/>
  <c r="W2248" i="37"/>
  <c r="W2249" i="37"/>
  <c r="W2250" i="37"/>
  <c r="W2251" i="37"/>
  <c r="W2252" i="37"/>
  <c r="W2253" i="37"/>
  <c r="X939" i="37"/>
  <c r="X940" i="37"/>
  <c r="X941" i="37"/>
  <c r="X942" i="37"/>
  <c r="X943" i="37"/>
  <c r="X944" i="37"/>
  <c r="X945" i="37"/>
  <c r="X946" i="37"/>
  <c r="X947" i="37"/>
  <c r="X948" i="37"/>
  <c r="X949" i="37"/>
  <c r="X950" i="37"/>
  <c r="X951" i="37"/>
  <c r="X952" i="37"/>
  <c r="X953" i="37"/>
  <c r="X954" i="37"/>
  <c r="X955" i="37"/>
  <c r="X956" i="37"/>
  <c r="X957" i="37"/>
  <c r="X958" i="37"/>
  <c r="X959" i="37"/>
  <c r="X960" i="37"/>
  <c r="X961" i="37"/>
  <c r="X962" i="37"/>
  <c r="X963" i="37"/>
  <c r="X964" i="37"/>
  <c r="X965" i="37"/>
  <c r="X966" i="37"/>
  <c r="X967" i="37"/>
  <c r="X968" i="37"/>
  <c r="X969" i="37"/>
  <c r="X970" i="37"/>
  <c r="X971" i="37"/>
  <c r="X972" i="37"/>
  <c r="X973" i="37"/>
  <c r="X974" i="37"/>
  <c r="X975" i="37"/>
  <c r="X976" i="37"/>
  <c r="X977" i="37"/>
  <c r="X978" i="37"/>
  <c r="X979" i="37"/>
  <c r="X980" i="37"/>
  <c r="X981" i="37"/>
  <c r="X982" i="37"/>
  <c r="X983" i="37"/>
  <c r="X984" i="37"/>
  <c r="X985" i="37"/>
  <c r="X986" i="37"/>
  <c r="X987" i="37"/>
  <c r="X988" i="37"/>
  <c r="X989" i="37"/>
  <c r="X990" i="37"/>
  <c r="X991" i="37"/>
  <c r="X992" i="37"/>
  <c r="X993" i="37"/>
  <c r="X994" i="37"/>
  <c r="X995" i="37"/>
  <c r="X996" i="37"/>
  <c r="X997" i="37"/>
  <c r="X998" i="37"/>
  <c r="X999" i="37"/>
  <c r="X1000" i="37"/>
  <c r="X1001" i="37"/>
  <c r="X1002" i="37"/>
  <c r="X1003" i="37"/>
  <c r="X1004" i="37"/>
  <c r="X1005" i="37"/>
  <c r="X1006" i="37"/>
  <c r="X1007" i="37"/>
  <c r="X1008" i="37"/>
  <c r="X1009" i="37"/>
  <c r="X1010" i="37"/>
  <c r="X1011" i="37"/>
  <c r="X1012" i="37"/>
  <c r="X1013" i="37"/>
  <c r="X1014" i="37"/>
  <c r="X1015" i="37"/>
  <c r="X1016" i="37"/>
  <c r="X1017" i="37"/>
  <c r="X1018" i="37"/>
  <c r="X1019" i="37"/>
  <c r="X1020" i="37"/>
  <c r="X1021" i="37"/>
  <c r="X1022" i="37"/>
  <c r="X1023" i="37"/>
  <c r="X1024" i="37"/>
  <c r="X1025" i="37"/>
  <c r="X1026" i="37"/>
  <c r="X1027" i="37"/>
  <c r="X1028" i="37"/>
  <c r="X1029" i="37"/>
  <c r="X1030" i="37"/>
  <c r="X1031" i="37"/>
  <c r="X1032" i="37"/>
  <c r="X1033" i="37"/>
  <c r="X1034" i="37"/>
  <c r="X1035" i="37"/>
  <c r="X1036" i="37"/>
  <c r="X1037" i="37"/>
  <c r="X1038" i="37"/>
  <c r="X1039" i="37"/>
  <c r="X1040" i="37"/>
  <c r="X1041" i="37"/>
  <c r="X1042" i="37"/>
  <c r="X1043" i="37"/>
  <c r="X1044" i="37"/>
  <c r="X1045" i="37"/>
  <c r="X1046" i="37"/>
  <c r="X1047" i="37"/>
  <c r="X1048" i="37"/>
  <c r="X1049" i="37"/>
  <c r="X1050" i="37"/>
  <c r="X1051" i="37"/>
  <c r="X1052" i="37"/>
  <c r="X1053" i="37"/>
  <c r="X1054" i="37"/>
  <c r="X1055" i="37"/>
  <c r="X1056" i="37"/>
  <c r="X1057" i="37"/>
  <c r="X1058" i="37"/>
  <c r="X1059" i="37"/>
  <c r="X1060" i="37"/>
  <c r="X1061" i="37"/>
  <c r="X1062" i="37"/>
  <c r="X1063" i="37"/>
  <c r="X1064" i="37"/>
  <c r="X1065" i="37"/>
  <c r="X1066" i="37"/>
  <c r="X1067" i="37"/>
  <c r="X1068" i="37"/>
  <c r="X1069" i="37"/>
  <c r="X1070" i="37"/>
  <c r="X1071" i="37"/>
  <c r="X1072" i="37"/>
  <c r="X1073" i="37"/>
  <c r="X1074" i="37"/>
  <c r="X1075" i="37"/>
  <c r="X1076" i="37"/>
  <c r="X1077" i="37"/>
  <c r="X1078" i="37"/>
  <c r="X1079" i="37"/>
  <c r="X1080" i="37"/>
  <c r="X1081" i="37"/>
  <c r="X1082" i="37"/>
  <c r="X1083" i="37"/>
  <c r="X1084" i="37"/>
  <c r="X1085" i="37"/>
  <c r="X1086" i="37"/>
  <c r="X1087" i="37"/>
  <c r="X1088" i="37"/>
  <c r="X1089" i="37"/>
  <c r="X1090" i="37"/>
  <c r="X1091" i="37"/>
  <c r="X1092" i="37"/>
  <c r="X1093" i="37"/>
  <c r="X1094" i="37"/>
  <c r="X1095" i="37"/>
  <c r="X1096" i="37"/>
  <c r="X1097" i="37"/>
  <c r="X1098" i="37"/>
  <c r="X1099" i="37"/>
  <c r="X1100" i="37"/>
  <c r="X1101" i="37"/>
  <c r="X1102" i="37"/>
  <c r="X1103" i="37"/>
  <c r="X1104" i="37"/>
  <c r="X1105" i="37"/>
  <c r="X1106" i="37"/>
  <c r="X1107" i="37"/>
  <c r="X1108" i="37"/>
  <c r="X1109" i="37"/>
  <c r="X1110" i="37"/>
  <c r="X1111" i="37"/>
  <c r="X1112" i="37"/>
  <c r="X1113" i="37"/>
  <c r="X1114" i="37"/>
  <c r="X1115" i="37"/>
  <c r="X1116" i="37"/>
  <c r="X1117" i="37"/>
  <c r="X1118" i="37"/>
  <c r="X1119" i="37"/>
  <c r="X1120" i="37"/>
  <c r="X1121" i="37"/>
  <c r="X1122" i="37"/>
  <c r="X1123" i="37"/>
  <c r="X1124" i="37"/>
  <c r="X1125" i="37"/>
  <c r="X1126" i="37"/>
  <c r="X1127" i="37"/>
  <c r="X1128" i="37"/>
  <c r="X1129" i="37"/>
  <c r="X1130" i="37"/>
  <c r="X1131" i="37"/>
  <c r="X1132" i="37"/>
  <c r="X1133" i="37"/>
  <c r="X1134" i="37"/>
  <c r="X1135" i="37"/>
  <c r="X1136" i="37"/>
  <c r="X1137" i="37"/>
  <c r="X1138" i="37"/>
  <c r="X1139" i="37"/>
  <c r="X1140" i="37"/>
  <c r="X1141" i="37"/>
  <c r="X1142" i="37"/>
  <c r="X1143" i="37"/>
  <c r="X1144" i="37"/>
  <c r="X1145" i="37"/>
  <c r="X1146" i="37"/>
  <c r="X1147" i="37"/>
  <c r="X1148" i="37"/>
  <c r="X1149" i="37"/>
  <c r="X1150" i="37"/>
  <c r="X1151" i="37"/>
  <c r="X1152" i="37"/>
  <c r="X1153" i="37"/>
  <c r="X1154" i="37"/>
  <c r="X1155" i="37"/>
  <c r="X1156" i="37"/>
  <c r="X1157" i="37"/>
  <c r="X1158" i="37"/>
  <c r="X1159" i="37"/>
  <c r="X1160" i="37"/>
  <c r="X1161" i="37"/>
  <c r="X1162" i="37"/>
  <c r="X1163" i="37"/>
  <c r="X1164" i="37"/>
  <c r="X1165" i="37"/>
  <c r="X1166" i="37"/>
  <c r="X1167" i="37"/>
  <c r="X1168" i="37"/>
  <c r="X1169" i="37"/>
  <c r="X1170" i="37"/>
  <c r="X1171" i="37"/>
  <c r="X1172" i="37"/>
  <c r="X1173" i="37"/>
  <c r="X1174" i="37"/>
  <c r="X1175" i="37"/>
  <c r="X1176" i="37"/>
  <c r="X1177" i="37"/>
  <c r="X1178" i="37"/>
  <c r="X1179" i="37"/>
  <c r="X1180" i="37"/>
  <c r="X1181" i="37"/>
  <c r="X1182" i="37"/>
  <c r="X1183" i="37"/>
  <c r="X1184" i="37"/>
  <c r="X1185" i="37"/>
  <c r="X1186" i="37"/>
  <c r="X1187" i="37"/>
  <c r="X1188" i="37"/>
  <c r="X1189" i="37"/>
  <c r="X1190" i="37"/>
  <c r="X1191" i="37"/>
  <c r="X1192" i="37"/>
  <c r="X1193" i="37"/>
  <c r="X1194" i="37"/>
  <c r="X1195" i="37"/>
  <c r="X1196" i="37"/>
  <c r="X1197" i="37"/>
  <c r="X1198" i="37"/>
  <c r="X1199" i="37"/>
  <c r="X1200" i="37"/>
  <c r="X1201" i="37"/>
  <c r="X1202" i="37"/>
  <c r="X1203" i="37"/>
  <c r="X1204" i="37"/>
  <c r="X1205" i="37"/>
  <c r="X1206" i="37"/>
  <c r="X1207" i="37"/>
  <c r="X1208" i="37"/>
  <c r="X1209" i="37"/>
  <c r="X1210" i="37"/>
  <c r="X1211" i="37"/>
  <c r="X1212" i="37"/>
  <c r="X1213" i="37"/>
  <c r="X1214" i="37"/>
  <c r="X1215" i="37"/>
  <c r="X1216" i="37"/>
  <c r="X1217" i="37"/>
  <c r="X1218" i="37"/>
  <c r="X1219" i="37"/>
  <c r="X1220" i="37"/>
  <c r="X1221" i="37"/>
  <c r="X1222" i="37"/>
  <c r="X1223" i="37"/>
  <c r="X1224" i="37"/>
  <c r="X1225" i="37"/>
  <c r="X1226" i="37"/>
  <c r="X1227" i="37"/>
  <c r="X1228" i="37"/>
  <c r="X1229" i="37"/>
  <c r="X1230" i="37"/>
  <c r="X1231" i="37"/>
  <c r="X1232" i="37"/>
  <c r="X1233" i="37"/>
  <c r="X1234" i="37"/>
  <c r="X1235" i="37"/>
  <c r="X1236" i="37"/>
  <c r="X1237" i="37"/>
  <c r="X1238" i="37"/>
  <c r="X1239" i="37"/>
  <c r="X1240" i="37"/>
  <c r="X1241" i="37"/>
  <c r="X1242" i="37"/>
  <c r="X1243" i="37"/>
  <c r="X1244" i="37"/>
  <c r="X1245" i="37"/>
  <c r="X1246" i="37"/>
  <c r="X1247" i="37"/>
  <c r="X1248" i="37"/>
  <c r="X1249" i="37"/>
  <c r="X1250" i="37"/>
  <c r="X1251" i="37"/>
  <c r="X1252" i="37"/>
  <c r="X1253" i="37"/>
  <c r="X1254" i="37"/>
  <c r="X1255" i="37"/>
  <c r="X1256" i="37"/>
  <c r="X1257" i="37"/>
  <c r="X1258" i="37"/>
  <c r="X1259" i="37"/>
  <c r="X1260" i="37"/>
  <c r="X1261" i="37"/>
  <c r="X1262" i="37"/>
  <c r="X1263" i="37"/>
  <c r="X1264" i="37"/>
  <c r="X1265" i="37"/>
  <c r="X1266" i="37"/>
  <c r="X1267" i="37"/>
  <c r="X1268" i="37"/>
  <c r="X1269" i="37"/>
  <c r="X1270" i="37"/>
  <c r="X1271" i="37"/>
  <c r="X1272" i="37"/>
  <c r="X1273" i="37"/>
  <c r="X1274" i="37"/>
  <c r="X1275" i="37"/>
  <c r="X1276" i="37"/>
  <c r="X1277" i="37"/>
  <c r="X1278" i="37"/>
  <c r="X1279" i="37"/>
  <c r="X1280" i="37"/>
  <c r="X1281" i="37"/>
  <c r="X1282" i="37"/>
  <c r="X1283" i="37"/>
  <c r="X1284" i="37"/>
  <c r="X1285" i="37"/>
  <c r="X1286" i="37"/>
  <c r="X1287" i="37"/>
  <c r="X1288" i="37"/>
  <c r="X1289" i="37"/>
  <c r="X1290" i="37"/>
  <c r="X1291" i="37"/>
  <c r="X1292" i="37"/>
  <c r="X1293" i="37"/>
  <c r="X1294" i="37"/>
  <c r="X1295" i="37"/>
  <c r="X1296" i="37"/>
  <c r="X1297" i="37"/>
  <c r="X1298" i="37"/>
  <c r="X1299" i="37"/>
  <c r="X1300" i="37"/>
  <c r="X1301" i="37"/>
  <c r="X1302" i="37"/>
  <c r="X1303" i="37"/>
  <c r="X1304" i="37"/>
  <c r="X1305" i="37"/>
  <c r="X1306" i="37"/>
  <c r="X1307" i="37"/>
  <c r="X1308" i="37"/>
  <c r="X1309" i="37"/>
  <c r="X1310" i="37"/>
  <c r="X1311" i="37"/>
  <c r="X1312" i="37"/>
  <c r="X1313" i="37"/>
  <c r="X1314" i="37"/>
  <c r="X1315" i="37"/>
  <c r="X1316" i="37"/>
  <c r="X1317" i="37"/>
  <c r="X1318" i="37"/>
  <c r="X1319" i="37"/>
  <c r="X1320" i="37"/>
  <c r="X1321" i="37"/>
  <c r="X1322" i="37"/>
  <c r="X1323" i="37"/>
  <c r="X1324" i="37"/>
  <c r="X1325" i="37"/>
  <c r="X1326" i="37"/>
  <c r="X1327" i="37"/>
  <c r="X1328" i="37"/>
  <c r="X1329" i="37"/>
  <c r="X1330" i="37"/>
  <c r="X1331" i="37"/>
  <c r="X1332" i="37"/>
  <c r="X1333" i="37"/>
  <c r="X1334" i="37"/>
  <c r="X1335" i="37"/>
  <c r="X1336" i="37"/>
  <c r="X1337" i="37"/>
  <c r="X1338" i="37"/>
  <c r="X1339" i="37"/>
  <c r="X1340" i="37"/>
  <c r="X1341" i="37"/>
  <c r="X1342" i="37"/>
  <c r="X1343" i="37"/>
  <c r="X1344" i="37"/>
  <c r="X1345" i="37"/>
  <c r="X1346" i="37"/>
  <c r="X1347" i="37"/>
  <c r="X1348" i="37"/>
  <c r="X1349" i="37"/>
  <c r="X1350" i="37"/>
  <c r="X1351" i="37"/>
  <c r="X1352" i="37"/>
  <c r="X1353" i="37"/>
  <c r="X1354" i="37"/>
  <c r="X1355" i="37"/>
  <c r="X1356" i="37"/>
  <c r="X1357" i="37"/>
  <c r="X1358" i="37"/>
  <c r="X1359" i="37"/>
  <c r="X1360" i="37"/>
  <c r="X1361" i="37"/>
  <c r="X1362" i="37"/>
  <c r="X1363" i="37"/>
  <c r="X1364" i="37"/>
  <c r="X1365" i="37"/>
  <c r="X1366" i="37"/>
  <c r="X1367" i="37"/>
  <c r="X1368" i="37"/>
  <c r="X1369" i="37"/>
  <c r="X1370" i="37"/>
  <c r="X1371" i="37"/>
  <c r="X1372" i="37"/>
  <c r="X1373" i="37"/>
  <c r="X1374" i="37"/>
  <c r="X1375" i="37"/>
  <c r="X1376" i="37"/>
  <c r="X1377" i="37"/>
  <c r="X1378" i="37"/>
  <c r="X1379" i="37"/>
  <c r="X1380" i="37"/>
  <c r="X1381" i="37"/>
  <c r="X1382" i="37"/>
  <c r="X1383" i="37"/>
  <c r="X1384" i="37"/>
  <c r="X1385" i="37"/>
  <c r="X1386" i="37"/>
  <c r="X1387" i="37"/>
  <c r="X1388" i="37"/>
  <c r="X1389" i="37"/>
  <c r="X1390" i="37"/>
  <c r="X1391" i="37"/>
  <c r="X1392" i="37"/>
  <c r="X1393" i="37"/>
  <c r="X1394" i="37"/>
  <c r="X1395" i="37"/>
  <c r="X1396" i="37"/>
  <c r="X1397" i="37"/>
  <c r="X1398" i="37"/>
  <c r="X1399" i="37"/>
  <c r="X1400" i="37"/>
  <c r="X1401" i="37"/>
  <c r="X1402" i="37"/>
  <c r="X1403" i="37"/>
  <c r="X1404" i="37"/>
  <c r="X1405" i="37"/>
  <c r="X1406" i="37"/>
  <c r="X1407" i="37"/>
  <c r="X1408" i="37"/>
  <c r="X1409" i="37"/>
  <c r="X1410" i="37"/>
  <c r="X1411" i="37"/>
  <c r="X1412" i="37"/>
  <c r="X1413" i="37"/>
  <c r="X1414" i="37"/>
  <c r="X1415" i="37"/>
  <c r="X1416" i="37"/>
  <c r="X1417" i="37"/>
  <c r="X1418" i="37"/>
  <c r="X1419" i="37"/>
  <c r="X1420" i="37"/>
  <c r="X1421" i="37"/>
  <c r="X1422" i="37"/>
  <c r="X1423" i="37"/>
  <c r="X1424" i="37"/>
  <c r="X1425" i="37"/>
  <c r="X1426" i="37"/>
  <c r="X1427" i="37"/>
  <c r="X1428" i="37"/>
  <c r="X1429" i="37"/>
  <c r="X1430" i="37"/>
  <c r="X1431" i="37"/>
  <c r="X1432" i="37"/>
  <c r="X1433" i="37"/>
  <c r="X1434" i="37"/>
  <c r="X1435" i="37"/>
  <c r="X1436" i="37"/>
  <c r="X1437" i="37"/>
  <c r="X1438" i="37"/>
  <c r="X1439" i="37"/>
  <c r="X1440" i="37"/>
  <c r="X1441" i="37"/>
  <c r="X1442" i="37"/>
  <c r="X1443" i="37"/>
  <c r="X1444" i="37"/>
  <c r="X1445" i="37"/>
  <c r="X1446" i="37"/>
  <c r="X1447" i="37"/>
  <c r="X1448" i="37"/>
  <c r="X1449" i="37"/>
  <c r="X1450" i="37"/>
  <c r="X1451" i="37"/>
  <c r="X1452" i="37"/>
  <c r="X1453" i="37"/>
  <c r="X1454" i="37"/>
  <c r="X1455" i="37"/>
  <c r="X1456" i="37"/>
  <c r="X1457" i="37"/>
  <c r="X1458" i="37"/>
  <c r="X1459" i="37"/>
  <c r="X1460" i="37"/>
  <c r="X1461" i="37"/>
  <c r="X1462" i="37"/>
  <c r="X1463" i="37"/>
  <c r="X1464" i="37"/>
  <c r="X1465" i="37"/>
  <c r="X1466" i="37"/>
  <c r="X1467" i="37"/>
  <c r="X1468" i="37"/>
  <c r="X1469" i="37"/>
  <c r="X1470" i="37"/>
  <c r="X1471" i="37"/>
  <c r="X1472" i="37"/>
  <c r="X1473" i="37"/>
  <c r="X1474" i="37"/>
  <c r="X1475" i="37"/>
  <c r="X1476" i="37"/>
  <c r="X1477" i="37"/>
  <c r="X1478" i="37"/>
  <c r="X1479" i="37"/>
  <c r="X1480" i="37"/>
  <c r="X1481" i="37"/>
  <c r="X1482" i="37"/>
  <c r="X1483" i="37"/>
  <c r="X1484" i="37"/>
  <c r="X1485" i="37"/>
  <c r="X1486" i="37"/>
  <c r="X1487" i="37"/>
  <c r="X1488" i="37"/>
  <c r="X1489" i="37"/>
  <c r="X1490" i="37"/>
  <c r="X1491" i="37"/>
  <c r="X1492" i="37"/>
  <c r="X1493" i="37"/>
  <c r="X1494" i="37"/>
  <c r="X1495" i="37"/>
  <c r="X1496" i="37"/>
  <c r="X1497" i="37"/>
  <c r="X1498" i="37"/>
  <c r="X1499" i="37"/>
  <c r="X1500" i="37"/>
  <c r="X1501" i="37"/>
  <c r="X1502" i="37"/>
  <c r="X1503" i="37"/>
  <c r="X1504" i="37"/>
  <c r="X1505" i="37"/>
  <c r="X1506" i="37"/>
  <c r="X1507" i="37"/>
  <c r="X1508" i="37"/>
  <c r="X1509" i="37"/>
  <c r="X1510" i="37"/>
  <c r="X1511" i="37"/>
  <c r="X1512" i="37"/>
  <c r="X1513" i="37"/>
  <c r="X1514" i="37"/>
  <c r="X1515" i="37"/>
  <c r="X1516" i="37"/>
  <c r="X1517" i="37"/>
  <c r="X1518" i="37"/>
  <c r="X1519" i="37"/>
  <c r="X1520" i="37"/>
  <c r="X1521" i="37"/>
  <c r="X1522" i="37"/>
  <c r="X1523" i="37"/>
  <c r="X1524" i="37"/>
  <c r="X1525" i="37"/>
  <c r="X1526" i="37"/>
  <c r="X1527" i="37"/>
  <c r="X1528" i="37"/>
  <c r="X1529" i="37"/>
  <c r="X1530" i="37"/>
  <c r="X1531" i="37"/>
  <c r="X1532" i="37"/>
  <c r="X1533" i="37"/>
  <c r="X1534" i="37"/>
  <c r="X1535" i="37"/>
  <c r="X1536" i="37"/>
  <c r="X1537" i="37"/>
  <c r="X1538" i="37"/>
  <c r="X1539" i="37"/>
  <c r="X1540" i="37"/>
  <c r="X1541" i="37"/>
  <c r="X1542" i="37"/>
  <c r="X1543" i="37"/>
  <c r="X1544" i="37"/>
  <c r="X1545" i="37"/>
  <c r="X1546" i="37"/>
  <c r="X1547" i="37"/>
  <c r="X1548" i="37"/>
  <c r="X1549" i="37"/>
  <c r="X1550" i="37"/>
  <c r="X1551" i="37"/>
  <c r="X1552" i="37"/>
  <c r="X1553" i="37"/>
  <c r="X1554" i="37"/>
  <c r="X1555" i="37"/>
  <c r="X1556" i="37"/>
  <c r="X1557" i="37"/>
  <c r="X1558" i="37"/>
  <c r="X1559" i="37"/>
  <c r="X1560" i="37"/>
  <c r="X1561" i="37"/>
  <c r="X1562" i="37"/>
  <c r="X1563" i="37"/>
  <c r="X1564" i="37"/>
  <c r="X1565" i="37"/>
  <c r="X1566" i="37"/>
  <c r="X1567" i="37"/>
  <c r="X1568" i="37"/>
  <c r="X1569" i="37"/>
  <c r="X1570" i="37"/>
  <c r="X1571" i="37"/>
  <c r="X1572" i="37"/>
  <c r="X1573" i="37"/>
  <c r="X1574" i="37"/>
  <c r="X1575" i="37"/>
  <c r="X1576" i="37"/>
  <c r="X1577" i="37"/>
  <c r="X1578" i="37"/>
  <c r="X1579" i="37"/>
  <c r="X1580" i="37"/>
  <c r="X1581" i="37"/>
  <c r="X1582" i="37"/>
  <c r="X1583" i="37"/>
  <c r="X1584" i="37"/>
  <c r="X1585" i="37"/>
  <c r="X1586" i="37"/>
  <c r="X1587" i="37"/>
  <c r="X1588" i="37"/>
  <c r="X1589" i="37"/>
  <c r="X1590" i="37"/>
  <c r="X1591" i="37"/>
  <c r="X1592" i="37"/>
  <c r="X1593" i="37"/>
  <c r="X1594" i="37"/>
  <c r="X1595" i="37"/>
  <c r="X1596" i="37"/>
  <c r="X1597" i="37"/>
  <c r="X1598" i="37"/>
  <c r="X1599" i="37"/>
  <c r="X1600" i="37"/>
  <c r="X1601" i="37"/>
  <c r="X1602" i="37"/>
  <c r="X1603" i="37"/>
  <c r="X1604" i="37"/>
  <c r="X1605" i="37"/>
  <c r="X1606" i="37"/>
  <c r="X1607" i="37"/>
  <c r="X1608" i="37"/>
  <c r="X1609" i="37"/>
  <c r="X1610" i="37"/>
  <c r="X1611" i="37"/>
  <c r="X1612" i="37"/>
  <c r="X1613" i="37"/>
  <c r="X1614" i="37"/>
  <c r="X1615" i="37"/>
  <c r="X1616" i="37"/>
  <c r="X1617" i="37"/>
  <c r="X1618" i="37"/>
  <c r="X1619" i="37"/>
  <c r="X1620" i="37"/>
  <c r="X1621" i="37"/>
  <c r="X1622" i="37"/>
  <c r="X1623" i="37"/>
  <c r="X1624" i="37"/>
  <c r="X1625" i="37"/>
  <c r="X1626" i="37"/>
  <c r="X1627" i="37"/>
  <c r="X1628" i="37"/>
  <c r="X1629" i="37"/>
  <c r="X1630" i="37"/>
  <c r="X1631" i="37"/>
  <c r="X1632" i="37"/>
  <c r="X1633" i="37"/>
  <c r="X1634" i="37"/>
  <c r="X1635" i="37"/>
  <c r="X1636" i="37"/>
  <c r="X1637" i="37"/>
  <c r="X1638" i="37"/>
  <c r="X1639" i="37"/>
  <c r="X1640" i="37"/>
  <c r="X1641" i="37"/>
  <c r="X1642" i="37"/>
  <c r="X1643" i="37"/>
  <c r="X1644" i="37"/>
  <c r="X1645" i="37"/>
  <c r="X1646" i="37"/>
  <c r="X1647" i="37"/>
  <c r="X1648" i="37"/>
  <c r="X1649" i="37"/>
  <c r="X1650" i="37"/>
  <c r="X1651" i="37"/>
  <c r="X1652" i="37"/>
  <c r="X1653" i="37"/>
  <c r="X1654" i="37"/>
  <c r="X1655" i="37"/>
  <c r="X1656" i="37"/>
  <c r="X1657" i="37"/>
  <c r="X1658" i="37"/>
  <c r="X1659" i="37"/>
  <c r="X1660" i="37"/>
  <c r="X1661" i="37"/>
  <c r="X1662" i="37"/>
  <c r="X1663" i="37"/>
  <c r="X1664" i="37"/>
  <c r="X1665" i="37"/>
  <c r="X1666" i="37"/>
  <c r="X1667" i="37"/>
  <c r="X1668" i="37"/>
  <c r="X1669" i="37"/>
  <c r="X1670" i="37"/>
  <c r="X1671" i="37"/>
  <c r="X1672" i="37"/>
  <c r="X1673" i="37"/>
  <c r="X1674" i="37"/>
  <c r="X1675" i="37"/>
  <c r="X1676" i="37"/>
  <c r="X1677" i="37"/>
  <c r="X1678" i="37"/>
  <c r="X1679" i="37"/>
  <c r="X1680" i="37"/>
  <c r="X1681" i="37"/>
  <c r="X1682" i="37"/>
  <c r="X1683" i="37"/>
  <c r="X1684" i="37"/>
  <c r="X1685" i="37"/>
  <c r="X1686" i="37"/>
  <c r="X1687" i="37"/>
  <c r="X1688" i="37"/>
  <c r="X1689" i="37"/>
  <c r="X1690" i="37"/>
  <c r="X1691" i="37"/>
  <c r="X1692" i="37"/>
  <c r="X1693" i="37"/>
  <c r="X1694" i="37"/>
  <c r="X1695" i="37"/>
  <c r="X1696" i="37"/>
  <c r="X1697" i="37"/>
  <c r="X1698" i="37"/>
  <c r="X1699" i="37"/>
  <c r="X1700" i="37"/>
  <c r="X1701" i="37"/>
  <c r="X1702" i="37"/>
  <c r="X1703" i="37"/>
  <c r="X1704" i="37"/>
  <c r="X1705" i="37"/>
  <c r="X1706" i="37"/>
  <c r="X1707" i="37"/>
  <c r="X1708" i="37"/>
  <c r="X1709" i="37"/>
  <c r="X1710" i="37"/>
  <c r="X1711" i="37"/>
  <c r="X1712" i="37"/>
  <c r="X1713" i="37"/>
  <c r="X1714" i="37"/>
  <c r="X1715" i="37"/>
  <c r="X1716" i="37"/>
  <c r="X1717" i="37"/>
  <c r="X1718" i="37"/>
  <c r="X1719" i="37"/>
  <c r="X1720" i="37"/>
  <c r="X1721" i="37"/>
  <c r="X1722" i="37"/>
  <c r="X1723" i="37"/>
  <c r="X1724" i="37"/>
  <c r="X1725" i="37"/>
  <c r="X1726" i="37"/>
  <c r="X1727" i="37"/>
  <c r="X1728" i="37"/>
  <c r="X1729" i="37"/>
  <c r="X1730" i="37"/>
  <c r="X1731" i="37"/>
  <c r="X1732" i="37"/>
  <c r="X1733" i="37"/>
  <c r="X1734" i="37"/>
  <c r="X1735" i="37"/>
  <c r="X1736" i="37"/>
  <c r="X1737" i="37"/>
  <c r="X1738" i="37"/>
  <c r="X1739" i="37"/>
  <c r="X1740" i="37"/>
  <c r="X1741" i="37"/>
  <c r="X1742" i="37"/>
  <c r="X1743" i="37"/>
  <c r="X1744" i="37"/>
  <c r="X1745" i="37"/>
  <c r="X1746" i="37"/>
  <c r="X1747" i="37"/>
  <c r="X1748" i="37"/>
  <c r="X1749" i="37"/>
  <c r="X1750" i="37"/>
  <c r="X1751" i="37"/>
  <c r="X1752" i="37"/>
  <c r="X1753" i="37"/>
  <c r="X1754" i="37"/>
  <c r="X1755" i="37"/>
  <c r="X1756" i="37"/>
  <c r="X1757" i="37"/>
  <c r="X1758" i="37"/>
  <c r="X1759" i="37"/>
  <c r="X1760" i="37"/>
  <c r="X1761" i="37"/>
  <c r="X1762" i="37"/>
  <c r="X1763" i="37"/>
  <c r="X1764" i="37"/>
  <c r="X1765" i="37"/>
  <c r="X1766" i="37"/>
  <c r="X1767" i="37"/>
  <c r="X1768" i="37"/>
  <c r="X1769" i="37"/>
  <c r="X1770" i="37"/>
  <c r="X1771" i="37"/>
  <c r="X1772" i="37"/>
  <c r="X1773" i="37"/>
  <c r="X1774" i="37"/>
  <c r="X1775" i="37"/>
  <c r="X1776" i="37"/>
  <c r="X1777" i="37"/>
  <c r="X1778" i="37"/>
  <c r="X1779" i="37"/>
  <c r="X1780" i="37"/>
  <c r="X1781" i="37"/>
  <c r="X1782" i="37"/>
  <c r="X1783" i="37"/>
  <c r="X1784" i="37"/>
  <c r="X1785" i="37"/>
  <c r="X1786" i="37"/>
  <c r="X1787" i="37"/>
  <c r="X1788" i="37"/>
  <c r="X1789" i="37"/>
  <c r="X1790" i="37"/>
  <c r="X1791" i="37"/>
  <c r="X1792" i="37"/>
  <c r="X1793" i="37"/>
  <c r="X1794" i="37"/>
  <c r="X1795" i="37"/>
  <c r="X1796" i="37"/>
  <c r="X1797" i="37"/>
  <c r="X1798" i="37"/>
  <c r="X1799" i="37"/>
  <c r="X1800" i="37"/>
  <c r="X1801" i="37"/>
  <c r="X1802" i="37"/>
  <c r="X1803" i="37"/>
  <c r="X1804" i="37"/>
  <c r="X1805" i="37"/>
  <c r="X1806" i="37"/>
  <c r="X1807" i="37"/>
  <c r="X1808" i="37"/>
  <c r="X1809" i="37"/>
  <c r="X1810" i="37"/>
  <c r="X1811" i="37"/>
  <c r="X1812" i="37"/>
  <c r="X1813" i="37"/>
  <c r="X1814" i="37"/>
  <c r="X1815" i="37"/>
  <c r="X1816" i="37"/>
  <c r="X1817" i="37"/>
  <c r="X1818" i="37"/>
  <c r="X1819" i="37"/>
  <c r="X1820" i="37"/>
  <c r="X1821" i="37"/>
  <c r="X1822" i="37"/>
  <c r="X1823" i="37"/>
  <c r="X1824" i="37"/>
  <c r="X1825" i="37"/>
  <c r="X1826" i="37"/>
  <c r="X1827" i="37"/>
  <c r="X1828" i="37"/>
  <c r="X1829" i="37"/>
  <c r="X1830" i="37"/>
  <c r="X1831" i="37"/>
  <c r="X1832" i="37"/>
  <c r="X1833" i="37"/>
  <c r="X1834" i="37"/>
  <c r="X1835" i="37"/>
  <c r="X1836" i="37"/>
  <c r="X1837" i="37"/>
  <c r="X1838" i="37"/>
  <c r="X1839" i="37"/>
  <c r="X1840" i="37"/>
  <c r="X1841" i="37"/>
  <c r="X1842" i="37"/>
  <c r="X1843" i="37"/>
  <c r="X1844" i="37"/>
  <c r="X1845" i="37"/>
  <c r="X1846" i="37"/>
  <c r="X1847" i="37"/>
  <c r="X1848" i="37"/>
  <c r="X1849" i="37"/>
  <c r="X1850" i="37"/>
  <c r="X1851" i="37"/>
  <c r="X1852" i="37"/>
  <c r="X1853" i="37"/>
  <c r="X1854" i="37"/>
  <c r="X1855" i="37"/>
  <c r="X1856" i="37"/>
  <c r="X1857" i="37"/>
  <c r="X1858" i="37"/>
  <c r="X1859" i="37"/>
  <c r="X1860" i="37"/>
  <c r="X1861" i="37"/>
  <c r="X1862" i="37"/>
  <c r="X1863" i="37"/>
  <c r="X1864" i="37"/>
  <c r="X1865" i="37"/>
  <c r="X1866" i="37"/>
  <c r="X1867" i="37"/>
  <c r="X1868" i="37"/>
  <c r="X1869" i="37"/>
  <c r="X1870" i="37"/>
  <c r="X1871" i="37"/>
  <c r="X1872" i="37"/>
  <c r="X1873" i="37"/>
  <c r="X1874" i="37"/>
  <c r="X1875" i="37"/>
  <c r="X1876" i="37"/>
  <c r="X1877" i="37"/>
  <c r="X1878" i="37"/>
  <c r="X1879" i="37"/>
  <c r="X1880" i="37"/>
  <c r="X1881" i="37"/>
  <c r="X1882" i="37"/>
  <c r="X1883" i="37"/>
  <c r="X1884" i="37"/>
  <c r="X1885" i="37"/>
  <c r="X1886" i="37"/>
  <c r="X1887" i="37"/>
  <c r="X1888" i="37"/>
  <c r="X1889" i="37"/>
  <c r="X1890" i="37"/>
  <c r="X1891" i="37"/>
  <c r="X1892" i="37"/>
  <c r="X1893" i="37"/>
  <c r="X1894" i="37"/>
  <c r="X1895" i="37"/>
  <c r="X1896" i="37"/>
  <c r="X1897" i="37"/>
  <c r="X1898" i="37"/>
  <c r="X1899" i="37"/>
  <c r="X1900" i="37"/>
  <c r="X1901" i="37"/>
  <c r="X1902" i="37"/>
  <c r="X1903" i="37"/>
  <c r="X1904" i="37"/>
  <c r="X1905" i="37"/>
  <c r="X1906" i="37"/>
  <c r="X1907" i="37"/>
  <c r="X1908" i="37"/>
  <c r="X1909" i="37"/>
  <c r="X1910" i="37"/>
  <c r="X1911" i="37"/>
  <c r="X1912" i="37"/>
  <c r="X1913" i="37"/>
  <c r="X1914" i="37"/>
  <c r="X1915" i="37"/>
  <c r="X1916" i="37"/>
  <c r="X1917" i="37"/>
  <c r="X1918" i="37"/>
  <c r="X1919" i="37"/>
  <c r="X1920" i="37"/>
  <c r="X1921" i="37"/>
  <c r="X1922" i="37"/>
  <c r="X1923" i="37"/>
  <c r="X1924" i="37"/>
  <c r="X1925" i="37"/>
  <c r="X1926" i="37"/>
  <c r="X1927" i="37"/>
  <c r="X1928" i="37"/>
  <c r="X1929" i="37"/>
  <c r="X1930" i="37"/>
  <c r="X1931" i="37"/>
  <c r="X1932" i="37"/>
  <c r="X1933" i="37"/>
  <c r="X1934" i="37"/>
  <c r="X1935" i="37"/>
  <c r="X1936" i="37"/>
  <c r="X1937" i="37"/>
  <c r="X1938" i="37"/>
  <c r="X1939" i="37"/>
  <c r="X1940" i="37"/>
  <c r="X1941" i="37"/>
  <c r="X1942" i="37"/>
  <c r="X1943" i="37"/>
  <c r="X1944" i="37"/>
  <c r="X1945" i="37"/>
  <c r="X1946" i="37"/>
  <c r="X1947" i="37"/>
  <c r="X1948" i="37"/>
  <c r="X1949" i="37"/>
  <c r="X1950" i="37"/>
  <c r="X1951" i="37"/>
  <c r="X1952" i="37"/>
  <c r="X1953" i="37"/>
  <c r="X1954" i="37"/>
  <c r="X1955" i="37"/>
  <c r="X1956" i="37"/>
  <c r="X1957" i="37"/>
  <c r="X1958" i="37"/>
  <c r="X1959" i="37"/>
  <c r="X1960" i="37"/>
  <c r="X1961" i="37"/>
  <c r="X1962" i="37"/>
  <c r="X1963" i="37"/>
  <c r="X1964" i="37"/>
  <c r="X1965" i="37"/>
  <c r="X1966" i="37"/>
  <c r="X1967" i="37"/>
  <c r="X1968" i="37"/>
  <c r="X1969" i="37"/>
  <c r="X1970" i="37"/>
  <c r="X1971" i="37"/>
  <c r="X1972" i="37"/>
  <c r="X1973" i="37"/>
  <c r="X1974" i="37"/>
  <c r="X1975" i="37"/>
  <c r="X1976" i="37"/>
  <c r="X1977" i="37"/>
  <c r="X1978" i="37"/>
  <c r="X1979" i="37"/>
  <c r="X1980" i="37"/>
  <c r="X1981" i="37"/>
  <c r="X1982" i="37"/>
  <c r="X1983" i="37"/>
  <c r="X1984" i="37"/>
  <c r="X1985" i="37"/>
  <c r="X1986" i="37"/>
  <c r="X1987" i="37"/>
  <c r="X1988" i="37"/>
  <c r="X1989" i="37"/>
  <c r="X1990" i="37"/>
  <c r="X1991" i="37"/>
  <c r="X1992" i="37"/>
  <c r="X1993" i="37"/>
  <c r="X1994" i="37"/>
  <c r="X1995" i="37"/>
  <c r="X1996" i="37"/>
  <c r="X1997" i="37"/>
  <c r="X1998" i="37"/>
  <c r="X1999" i="37"/>
  <c r="X2000" i="37"/>
  <c r="X2001" i="37"/>
  <c r="X2002" i="37"/>
  <c r="X2003" i="37"/>
  <c r="X2004" i="37"/>
  <c r="X2005" i="37"/>
  <c r="X2006" i="37"/>
  <c r="X2007" i="37"/>
  <c r="X2008" i="37"/>
  <c r="X2009" i="37"/>
  <c r="X2010" i="37"/>
  <c r="X2011" i="37"/>
  <c r="X2012" i="37"/>
  <c r="X2013" i="37"/>
  <c r="X2014" i="37"/>
  <c r="X2015" i="37"/>
  <c r="X2016" i="37"/>
  <c r="X2017" i="37"/>
  <c r="X2018" i="37"/>
  <c r="X2019" i="37"/>
  <c r="X2020" i="37"/>
  <c r="X2021" i="37"/>
  <c r="X2022" i="37"/>
  <c r="X2023" i="37"/>
  <c r="X2024" i="37"/>
  <c r="X2025" i="37"/>
  <c r="X2026" i="37"/>
  <c r="X2027" i="37"/>
  <c r="X2028" i="37"/>
  <c r="X2029" i="37"/>
  <c r="X2030" i="37"/>
  <c r="X2031" i="37"/>
  <c r="X2032" i="37"/>
  <c r="X2033" i="37"/>
  <c r="X2034" i="37"/>
  <c r="X2035" i="37"/>
  <c r="X2036" i="37"/>
  <c r="X2037" i="37"/>
  <c r="X2038" i="37"/>
  <c r="X2039" i="37"/>
  <c r="X2040" i="37"/>
  <c r="X2041" i="37"/>
  <c r="X2042" i="37"/>
  <c r="X2043" i="37"/>
  <c r="X2044" i="37"/>
  <c r="X2045" i="37"/>
  <c r="X2046" i="37"/>
  <c r="X2047" i="37"/>
  <c r="X2048" i="37"/>
  <c r="X2049" i="37"/>
  <c r="X2050" i="37"/>
  <c r="X2051" i="37"/>
  <c r="X2052" i="37"/>
  <c r="X2053" i="37"/>
  <c r="X2054" i="37"/>
  <c r="X2055" i="37"/>
  <c r="X2056" i="37"/>
  <c r="X2057" i="37"/>
  <c r="X2058" i="37"/>
  <c r="X2059" i="37"/>
  <c r="X2060" i="37"/>
  <c r="X2061" i="37"/>
  <c r="X2062" i="37"/>
  <c r="X2063" i="37"/>
  <c r="X2064" i="37"/>
  <c r="X2065" i="37"/>
  <c r="X2066" i="37"/>
  <c r="X2067" i="37"/>
  <c r="X2068" i="37"/>
  <c r="X2069" i="37"/>
  <c r="X2070" i="37"/>
  <c r="X2071" i="37"/>
  <c r="X2072" i="37"/>
  <c r="X2073" i="37"/>
  <c r="X2074" i="37"/>
  <c r="X2075" i="37"/>
  <c r="X2076" i="37"/>
  <c r="X2077" i="37"/>
  <c r="X2078" i="37"/>
  <c r="X2079" i="37"/>
  <c r="X2080" i="37"/>
  <c r="X2081" i="37"/>
  <c r="X2082" i="37"/>
  <c r="X2083" i="37"/>
  <c r="X2084" i="37"/>
  <c r="X2085" i="37"/>
  <c r="X2086" i="37"/>
  <c r="X2087" i="37"/>
  <c r="X2088" i="37"/>
  <c r="X2089" i="37"/>
  <c r="X2090" i="37"/>
  <c r="X2091" i="37"/>
  <c r="X2092" i="37"/>
  <c r="X2093" i="37"/>
  <c r="X2094" i="37"/>
  <c r="X2095" i="37"/>
  <c r="X2096" i="37"/>
  <c r="X2097" i="37"/>
  <c r="X2098" i="37"/>
  <c r="X2099" i="37"/>
  <c r="X2100" i="37"/>
  <c r="X2101" i="37"/>
  <c r="X2102" i="37"/>
  <c r="X2103" i="37"/>
  <c r="X2104" i="37"/>
  <c r="X2105" i="37"/>
  <c r="X2106" i="37"/>
  <c r="X2107" i="37"/>
  <c r="X2108" i="37"/>
  <c r="X2109" i="37"/>
  <c r="X2110" i="37"/>
  <c r="X2111" i="37"/>
  <c r="X2112" i="37"/>
  <c r="X2113" i="37"/>
  <c r="X2114" i="37"/>
  <c r="X2115" i="37"/>
  <c r="X2116" i="37"/>
  <c r="X2117" i="37"/>
  <c r="X2118" i="37"/>
  <c r="X2119" i="37"/>
  <c r="X2120" i="37"/>
  <c r="X2121" i="37"/>
  <c r="X2122" i="37"/>
  <c r="X2123" i="37"/>
  <c r="X2124" i="37"/>
  <c r="X2125" i="37"/>
  <c r="X2126" i="37"/>
  <c r="X2127" i="37"/>
  <c r="X2128" i="37"/>
  <c r="X2129" i="37"/>
  <c r="X2130" i="37"/>
  <c r="X2131" i="37"/>
  <c r="X2132" i="37"/>
  <c r="X2133" i="37"/>
  <c r="X2134" i="37"/>
  <c r="X2135" i="37"/>
  <c r="X2136" i="37"/>
  <c r="X2137" i="37"/>
  <c r="X2138" i="37"/>
  <c r="X2139" i="37"/>
  <c r="X2140" i="37"/>
  <c r="X2141" i="37"/>
  <c r="X2142" i="37"/>
  <c r="X2143" i="37"/>
  <c r="X2144" i="37"/>
  <c r="X2145" i="37"/>
  <c r="X2146" i="37"/>
  <c r="X2147" i="37"/>
  <c r="X2148" i="37"/>
  <c r="X2149" i="37"/>
  <c r="X2150" i="37"/>
  <c r="X2151" i="37"/>
  <c r="X2152" i="37"/>
  <c r="X2153" i="37"/>
  <c r="X2154" i="37"/>
  <c r="X2155" i="37"/>
  <c r="X2156" i="37"/>
  <c r="X2157" i="37"/>
  <c r="X2158" i="37"/>
  <c r="X2159" i="37"/>
  <c r="X2160" i="37"/>
  <c r="X2161" i="37"/>
  <c r="X2162" i="37"/>
  <c r="X2163" i="37"/>
  <c r="X2164" i="37"/>
  <c r="X2165" i="37"/>
  <c r="X2166" i="37"/>
  <c r="X2167" i="37"/>
  <c r="X2168" i="37"/>
  <c r="X2169" i="37"/>
  <c r="X2170" i="37"/>
  <c r="X2171" i="37"/>
  <c r="X2172" i="37"/>
  <c r="X2173" i="37"/>
  <c r="X2174" i="37"/>
  <c r="X2175" i="37"/>
  <c r="X2176" i="37"/>
  <c r="X2177" i="37"/>
  <c r="X2178" i="37"/>
  <c r="X2179" i="37"/>
  <c r="X2180" i="37"/>
  <c r="X2181" i="37"/>
  <c r="X2182" i="37"/>
  <c r="X2183" i="37"/>
  <c r="X2184" i="37"/>
  <c r="X2185" i="37"/>
  <c r="X2186" i="37"/>
  <c r="X2187" i="37"/>
  <c r="X2188" i="37"/>
  <c r="X2189" i="37"/>
  <c r="X2190" i="37"/>
  <c r="X2191" i="37"/>
  <c r="X2192" i="37"/>
  <c r="X2193" i="37"/>
  <c r="X2194" i="37"/>
  <c r="X2195" i="37"/>
  <c r="X2196" i="37"/>
  <c r="X2197" i="37"/>
  <c r="X2198" i="37"/>
  <c r="X2199" i="37"/>
  <c r="X2200" i="37"/>
  <c r="X2201" i="37"/>
  <c r="X2202" i="37"/>
  <c r="X2203" i="37"/>
  <c r="X2204" i="37"/>
  <c r="X2205" i="37"/>
  <c r="X2206" i="37"/>
  <c r="X2207" i="37"/>
  <c r="X2208" i="37"/>
  <c r="X2209" i="37"/>
  <c r="X2210" i="37"/>
  <c r="X2211" i="37"/>
  <c r="X2212" i="37"/>
  <c r="X2213" i="37"/>
  <c r="X2214" i="37"/>
  <c r="X2215" i="37"/>
  <c r="X2216" i="37"/>
  <c r="X2217" i="37"/>
  <c r="X2218" i="37"/>
  <c r="X2219" i="37"/>
  <c r="X2220" i="37"/>
  <c r="X2221" i="37"/>
  <c r="X2222" i="37"/>
  <c r="X2223" i="37"/>
  <c r="X2224" i="37"/>
  <c r="X2225" i="37"/>
  <c r="X2226" i="37"/>
  <c r="X2227" i="37"/>
  <c r="X2228" i="37"/>
  <c r="X2229" i="37"/>
  <c r="X2230" i="37"/>
  <c r="X2231" i="37"/>
  <c r="X2232" i="37"/>
  <c r="X2233" i="37"/>
  <c r="X2234" i="37"/>
  <c r="X2235" i="37"/>
  <c r="X2236" i="37"/>
  <c r="X2237" i="37"/>
  <c r="X2238" i="37"/>
  <c r="X2239" i="37"/>
  <c r="X2240" i="37"/>
  <c r="X2241" i="37"/>
  <c r="X2242" i="37"/>
  <c r="X2243" i="37"/>
  <c r="X2244" i="37"/>
  <c r="X2245" i="37"/>
  <c r="X2246" i="37"/>
  <c r="X2247" i="37"/>
  <c r="X2248" i="37"/>
  <c r="X2249" i="37"/>
  <c r="X2250" i="37"/>
  <c r="X2251" i="37"/>
  <c r="X2252" i="37"/>
  <c r="X2253" i="37"/>
  <c r="D26" i="27" a="1"/>
  <c r="D26" i="27" s="1"/>
  <c r="D25" i="27" a="1"/>
  <c r="D25" i="27" s="1"/>
  <c r="D24" i="27" a="1"/>
  <c r="D24" i="27" s="1"/>
  <c r="D23" i="27" a="1"/>
  <c r="D23" i="27" s="1"/>
  <c r="E26" i="27" a="1"/>
  <c r="E26" i="27" s="1"/>
  <c r="E25" i="27" a="1"/>
  <c r="E25" i="27" s="1"/>
  <c r="E24" i="27" a="1"/>
  <c r="E24" i="27" s="1"/>
  <c r="E23" i="27" a="1"/>
  <c r="E23" i="27" s="1"/>
  <c r="D20" i="27" a="1"/>
  <c r="D20" i="27" s="1"/>
  <c r="D19" i="27" a="1"/>
  <c r="D19" i="27" s="1"/>
  <c r="E27" i="27" a="1"/>
  <c r="E27" i="27" s="1"/>
  <c r="E22" i="27" a="1"/>
  <c r="E22" i="27" s="1"/>
  <c r="D27" i="27" a="1"/>
  <c r="D27" i="27" s="1"/>
  <c r="D22" i="27" a="1"/>
  <c r="D22" i="27" s="1"/>
  <c r="C26" i="27" a="1"/>
  <c r="C26" i="27" s="1"/>
  <c r="C25" i="27" a="1"/>
  <c r="C25" i="27" s="1"/>
  <c r="C24" i="27" a="1"/>
  <c r="C24" i="27" s="1"/>
  <c r="C27" i="27" a="1"/>
  <c r="C27" i="27" s="1"/>
  <c r="C23" i="27" a="1"/>
  <c r="C23" i="27" s="1"/>
  <c r="C20" i="27" a="1"/>
  <c r="C20" i="27" s="1"/>
  <c r="C13" i="27"/>
  <c r="F6" i="27"/>
  <c r="F7" i="27"/>
  <c r="F8" i="27"/>
  <c r="F9" i="27"/>
  <c r="F10" i="27"/>
  <c r="F11" i="27"/>
  <c r="F12" i="27"/>
  <c r="F5" i="27"/>
  <c r="F4" i="27"/>
  <c r="G128" i="27"/>
  <c r="H128" i="27"/>
  <c r="I128" i="27"/>
  <c r="J128" i="27"/>
  <c r="W1890" i="41"/>
  <c r="W1891" i="41"/>
  <c r="W1892" i="41"/>
  <c r="W1893" i="41"/>
  <c r="W1894" i="41"/>
  <c r="W1895" i="41"/>
  <c r="W1896" i="41"/>
  <c r="W1897" i="41"/>
  <c r="W1898" i="41"/>
  <c r="W1899" i="41"/>
  <c r="W1900" i="41"/>
  <c r="W1901" i="41"/>
  <c r="W1902" i="41"/>
  <c r="W1903" i="41"/>
  <c r="W1904" i="41"/>
  <c r="W1905" i="41"/>
  <c r="W1906" i="41"/>
  <c r="W1907" i="41"/>
  <c r="W1908" i="41"/>
  <c r="W1909" i="41"/>
  <c r="W1910" i="41"/>
  <c r="W1911" i="41"/>
  <c r="W1912" i="41"/>
  <c r="W1913" i="41"/>
  <c r="W1914" i="41"/>
  <c r="W1915" i="41"/>
  <c r="W1916" i="41"/>
  <c r="W1917" i="41"/>
  <c r="W1918" i="41"/>
  <c r="W1919" i="41"/>
  <c r="W1920" i="41"/>
  <c r="W1921" i="41"/>
  <c r="W1922" i="41"/>
  <c r="W1923" i="41"/>
  <c r="W1924" i="41"/>
  <c r="W1925" i="41"/>
  <c r="W1926" i="41"/>
  <c r="W1927" i="41"/>
  <c r="W1928" i="41"/>
  <c r="W1929" i="41"/>
  <c r="W1930" i="41"/>
  <c r="W1931" i="41"/>
  <c r="W1932" i="41"/>
  <c r="W1933" i="41"/>
  <c r="W1934" i="41"/>
  <c r="W1935" i="41"/>
  <c r="W1936" i="41"/>
  <c r="W1937" i="41"/>
  <c r="W1938" i="41"/>
  <c r="W1939" i="41"/>
  <c r="W1940" i="41"/>
  <c r="W1941" i="41"/>
  <c r="W1942" i="41"/>
  <c r="W1943" i="41"/>
  <c r="W1944" i="41"/>
  <c r="W1945" i="41"/>
  <c r="W1946" i="41"/>
  <c r="W1947" i="41"/>
  <c r="W1948" i="41"/>
  <c r="W1949" i="41"/>
  <c r="W1950" i="41"/>
  <c r="W1951" i="41"/>
  <c r="W1952" i="41"/>
  <c r="W1953" i="41"/>
  <c r="W1954" i="41"/>
  <c r="W1955" i="41"/>
  <c r="W1956" i="41"/>
  <c r="W1957" i="41"/>
  <c r="W1958" i="41"/>
  <c r="W1959" i="41"/>
  <c r="W1960" i="41"/>
  <c r="W1961" i="41"/>
  <c r="W1962" i="41"/>
  <c r="W1963" i="41"/>
  <c r="W1964" i="41"/>
  <c r="W1965" i="41"/>
  <c r="W1966" i="41"/>
  <c r="W1967" i="41"/>
  <c r="W1968" i="41"/>
  <c r="W1969" i="41"/>
  <c r="W1970" i="41"/>
  <c r="W1971" i="41"/>
  <c r="W1972" i="41"/>
  <c r="W1973" i="41"/>
  <c r="W1974" i="41"/>
  <c r="W1975" i="41"/>
  <c r="W1976" i="41"/>
  <c r="W1977" i="41"/>
  <c r="W1978" i="41"/>
  <c r="W1979" i="41"/>
  <c r="W1980" i="41"/>
  <c r="W1981" i="41"/>
  <c r="W1982" i="41"/>
  <c r="W1983" i="41"/>
  <c r="W1984" i="41"/>
  <c r="W1985" i="41"/>
  <c r="W1986" i="41"/>
  <c r="W1987" i="41"/>
  <c r="W1988" i="41"/>
  <c r="W1989" i="41"/>
  <c r="W1990" i="41"/>
  <c r="W1991" i="41"/>
  <c r="W1992" i="41"/>
  <c r="W1993" i="41"/>
  <c r="W1994" i="41"/>
  <c r="W1995" i="41"/>
  <c r="W1996" i="41"/>
  <c r="W1997" i="41"/>
  <c r="W1998" i="41"/>
  <c r="W1999" i="41"/>
  <c r="W2000" i="41"/>
  <c r="W2001" i="41"/>
  <c r="W2002" i="41"/>
  <c r="W2003" i="41"/>
  <c r="W2004" i="41"/>
  <c r="W2005" i="41"/>
  <c r="W2006" i="41"/>
  <c r="W2007" i="41"/>
  <c r="W2008" i="41"/>
  <c r="W2009" i="41"/>
  <c r="W2010" i="41"/>
  <c r="W2011" i="41"/>
  <c r="W2012" i="41"/>
  <c r="W2013" i="41"/>
  <c r="W2014" i="41"/>
  <c r="W2015" i="41"/>
  <c r="W2016" i="41"/>
  <c r="W2017" i="41"/>
  <c r="W2018" i="41"/>
  <c r="W2019" i="41"/>
  <c r="W2020" i="41"/>
  <c r="W2021" i="41"/>
  <c r="W2022" i="41"/>
  <c r="W2023" i="41"/>
  <c r="W2024" i="41"/>
  <c r="W2025" i="41"/>
  <c r="W2026" i="41"/>
  <c r="W2027" i="41"/>
  <c r="W2028" i="41"/>
  <c r="W2029" i="41"/>
  <c r="W2030" i="41"/>
  <c r="W2031" i="41"/>
  <c r="W2032" i="41"/>
  <c r="W2033" i="41"/>
  <c r="W2034" i="41"/>
  <c r="W2035" i="41"/>
  <c r="W2036" i="41"/>
  <c r="W2037" i="41"/>
  <c r="W2038" i="41"/>
  <c r="W2039" i="41"/>
  <c r="W2040" i="41"/>
  <c r="W2041" i="41"/>
  <c r="W2042" i="41"/>
  <c r="W2043" i="41"/>
  <c r="W2044" i="41"/>
  <c r="W2045" i="41"/>
  <c r="W2046" i="41"/>
  <c r="W2047" i="41"/>
  <c r="W2048" i="41"/>
  <c r="W2049" i="41"/>
  <c r="W2050" i="41"/>
  <c r="W2051" i="41"/>
  <c r="W2052" i="41"/>
  <c r="W2053" i="41"/>
  <c r="W2054" i="41"/>
  <c r="W2055" i="41"/>
  <c r="W2056" i="41"/>
  <c r="W2057" i="41"/>
  <c r="W2058" i="41"/>
  <c r="W2059" i="41"/>
  <c r="W2060" i="41"/>
  <c r="W2061" i="41"/>
  <c r="W2062" i="41"/>
  <c r="W2063" i="41"/>
  <c r="W2064" i="41"/>
  <c r="W2065" i="41"/>
  <c r="W2066" i="41"/>
  <c r="W2067" i="41"/>
  <c r="W2068" i="41"/>
  <c r="W2069" i="41"/>
  <c r="W2070" i="41"/>
  <c r="W2071" i="41"/>
  <c r="W2072" i="41"/>
  <c r="W2073" i="41"/>
  <c r="W2074" i="41"/>
  <c r="W2075" i="41"/>
  <c r="W2076" i="41"/>
  <c r="W2077" i="41"/>
  <c r="W2078" i="41"/>
  <c r="W2079" i="41"/>
  <c r="W2080" i="41"/>
  <c r="W2081" i="41"/>
  <c r="W2082" i="41"/>
  <c r="W2083" i="41"/>
  <c r="W2084" i="41"/>
  <c r="W2085" i="41"/>
  <c r="W2086" i="41"/>
  <c r="W2087" i="41"/>
  <c r="W2088" i="41"/>
  <c r="W2089" i="41"/>
  <c r="W2090" i="41"/>
  <c r="W2091" i="41"/>
  <c r="W2092" i="41"/>
  <c r="W2093" i="41"/>
  <c r="W2094" i="41"/>
  <c r="W2095" i="41"/>
  <c r="W2096" i="41"/>
  <c r="W2097" i="41"/>
  <c r="W2098" i="41"/>
  <c r="W2099" i="41"/>
  <c r="W2100" i="41"/>
  <c r="W2101" i="41"/>
  <c r="W2102" i="41"/>
  <c r="W2103" i="41"/>
  <c r="W2104" i="41"/>
  <c r="W2105" i="41"/>
  <c r="W2106" i="41"/>
  <c r="W2107" i="41"/>
  <c r="W2108" i="41"/>
  <c r="W2109" i="41"/>
  <c r="W2110" i="41"/>
  <c r="W2111" i="41"/>
  <c r="W2112" i="41"/>
  <c r="W2113" i="41"/>
  <c r="W2114" i="41"/>
  <c r="W2115" i="41"/>
  <c r="W2116" i="41"/>
  <c r="W2117" i="41"/>
  <c r="W2118" i="41"/>
  <c r="W2119" i="41"/>
  <c r="W2120" i="41"/>
  <c r="W2121" i="41"/>
  <c r="W2122" i="41"/>
  <c r="W2123" i="41"/>
  <c r="W2124" i="41"/>
  <c r="W2125" i="41"/>
  <c r="W2126" i="41"/>
  <c r="W2127" i="41"/>
  <c r="W2128" i="41"/>
  <c r="W2129" i="41"/>
  <c r="W2130" i="41"/>
  <c r="W2131" i="41"/>
  <c r="W2132" i="41"/>
  <c r="W2133" i="41"/>
  <c r="W2134" i="41"/>
  <c r="W2135" i="41"/>
  <c r="W2136" i="41"/>
  <c r="W2137" i="41"/>
  <c r="W2138" i="41"/>
  <c r="W2139" i="41"/>
  <c r="W2140" i="41"/>
  <c r="W2141" i="41"/>
  <c r="W2142" i="41"/>
  <c r="W2143" i="41"/>
  <c r="W2144" i="41"/>
  <c r="W2145" i="41"/>
  <c r="W2146" i="41"/>
  <c r="W2147" i="41"/>
  <c r="W2148" i="41"/>
  <c r="W2149" i="41"/>
  <c r="W2150" i="41"/>
  <c r="W2151" i="41"/>
  <c r="W2152" i="41"/>
  <c r="W2153" i="41"/>
  <c r="W2154" i="41"/>
  <c r="W2155" i="41"/>
  <c r="W2156" i="41"/>
  <c r="W2157" i="41"/>
  <c r="W2158" i="41"/>
  <c r="W2159" i="41"/>
  <c r="W2160" i="41"/>
  <c r="W2161" i="41"/>
  <c r="W2162" i="41"/>
  <c r="W2163" i="41"/>
  <c r="W2164" i="41"/>
  <c r="W2165" i="41"/>
  <c r="W2166" i="41"/>
  <c r="W2167" i="41"/>
  <c r="W2168" i="41"/>
  <c r="W2169" i="41"/>
  <c r="W2170" i="41"/>
  <c r="W2171" i="41"/>
  <c r="W2172" i="41"/>
  <c r="W2173" i="41"/>
  <c r="W2174" i="41"/>
  <c r="W2175" i="41"/>
  <c r="W2176" i="41"/>
  <c r="W2177" i="41"/>
  <c r="W2178" i="41"/>
  <c r="W2179" i="41"/>
  <c r="W2180" i="41"/>
  <c r="W2181" i="41"/>
  <c r="W2182" i="41"/>
  <c r="W2183" i="41"/>
  <c r="W2184" i="41"/>
  <c r="W2185" i="41"/>
  <c r="W2186" i="41"/>
  <c r="W2187" i="41"/>
  <c r="W2188" i="41"/>
  <c r="W2189" i="41"/>
  <c r="W2190" i="41"/>
  <c r="W2191" i="41"/>
  <c r="W2192" i="41"/>
  <c r="W2193" i="41"/>
  <c r="W2194" i="41"/>
  <c r="W2195" i="41"/>
  <c r="W2196" i="41"/>
  <c r="W2197" i="41"/>
  <c r="W2198" i="41"/>
  <c r="W2199" i="41"/>
  <c r="W2200" i="41"/>
  <c r="W2201" i="41"/>
  <c r="W2202" i="41"/>
  <c r="W2203" i="41"/>
  <c r="W2204" i="41"/>
  <c r="W2205" i="41"/>
  <c r="W2206" i="41"/>
  <c r="W2207" i="41"/>
  <c r="W2208" i="41"/>
  <c r="W2209" i="41"/>
  <c r="W2210" i="41"/>
  <c r="W2211" i="41"/>
  <c r="W2212" i="41"/>
  <c r="W2213" i="41"/>
  <c r="W2214" i="41"/>
  <c r="W2215" i="41"/>
  <c r="W2216" i="41"/>
  <c r="W2217" i="41"/>
  <c r="W2218" i="41"/>
  <c r="W2219" i="41"/>
  <c r="W2220" i="41"/>
  <c r="W2221" i="41"/>
  <c r="W2222" i="41"/>
  <c r="W2223" i="41"/>
  <c r="W2224" i="41"/>
  <c r="W2225" i="41"/>
  <c r="W2226" i="41"/>
  <c r="W2227" i="41"/>
  <c r="W2228" i="41"/>
  <c r="W2229" i="41"/>
  <c r="W2230" i="41"/>
  <c r="W2231" i="41"/>
  <c r="W2232" i="41"/>
  <c r="W2233" i="41"/>
  <c r="W2234" i="41"/>
  <c r="W2235" i="41"/>
  <c r="W2236" i="41"/>
  <c r="W2237" i="41"/>
  <c r="W2238" i="41"/>
  <c r="W2239" i="41"/>
  <c r="W2240" i="41"/>
  <c r="W2241" i="41"/>
  <c r="W2242" i="41"/>
  <c r="W2243" i="41"/>
  <c r="W2244" i="41"/>
  <c r="W2245" i="41"/>
  <c r="W2246" i="41"/>
  <c r="W2247" i="41"/>
  <c r="W2248" i="41"/>
  <c r="W2249" i="41"/>
  <c r="W2250" i="41"/>
  <c r="W2251" i="41"/>
  <c r="W2252" i="41"/>
  <c r="W2253" i="41"/>
  <c r="W2254" i="41"/>
  <c r="W2255" i="41"/>
  <c r="W2256" i="41"/>
  <c r="W2257" i="41"/>
  <c r="W2258" i="41"/>
  <c r="W2259" i="41"/>
  <c r="W2260" i="41"/>
  <c r="W2261" i="41"/>
  <c r="W2262" i="41"/>
  <c r="W2263" i="41"/>
  <c r="W2264" i="41"/>
  <c r="W2265" i="41"/>
  <c r="W2266" i="41"/>
  <c r="W2267" i="41"/>
  <c r="W2268" i="41"/>
  <c r="W2269" i="41"/>
  <c r="W2270" i="41"/>
  <c r="W2271" i="41"/>
  <c r="W2272" i="41"/>
  <c r="W2273" i="41"/>
  <c r="W2274" i="41"/>
  <c r="W2275" i="41"/>
  <c r="W2276" i="41"/>
  <c r="W2277" i="41"/>
  <c r="W2278" i="41"/>
  <c r="W2279" i="41"/>
  <c r="W2280" i="41"/>
  <c r="W2281" i="41"/>
  <c r="W2282" i="41"/>
  <c r="W2283" i="41"/>
  <c r="W2284" i="41"/>
  <c r="W2285" i="41"/>
  <c r="W2286" i="41"/>
  <c r="W2287" i="41"/>
  <c r="W2288" i="41"/>
  <c r="W2289" i="41"/>
  <c r="W2290" i="41"/>
  <c r="W2291" i="41"/>
  <c r="W2292" i="41"/>
  <c r="W2293" i="41"/>
  <c r="W2294" i="41"/>
  <c r="W2295" i="41"/>
  <c r="W2296" i="41"/>
  <c r="W2297" i="41"/>
  <c r="W2298" i="41"/>
  <c r="W2299" i="41"/>
  <c r="W2300" i="41"/>
  <c r="W2301" i="41"/>
  <c r="W2302" i="41"/>
  <c r="W2303" i="41"/>
  <c r="W2304" i="41"/>
  <c r="W2305" i="41"/>
  <c r="W2306" i="41"/>
  <c r="W2307" i="41"/>
  <c r="W2308" i="41"/>
  <c r="W2309" i="41"/>
  <c r="W2310" i="41"/>
  <c r="W2311" i="41"/>
  <c r="W2312" i="41"/>
  <c r="W2313" i="41"/>
  <c r="W2314" i="41"/>
  <c r="W2315" i="41"/>
  <c r="W2316" i="41"/>
  <c r="W2317" i="41"/>
  <c r="W2318" i="41"/>
  <c r="W2319" i="41"/>
  <c r="W2320" i="41"/>
  <c r="W2321" i="41"/>
  <c r="W2322" i="41"/>
  <c r="W2323" i="41"/>
  <c r="W2324" i="41"/>
  <c r="W2325" i="41"/>
  <c r="W2326" i="41"/>
  <c r="W2327" i="41"/>
  <c r="W2328" i="41"/>
  <c r="W2329" i="41"/>
  <c r="W2330" i="41"/>
  <c r="W2331" i="41"/>
  <c r="W2332" i="41"/>
  <c r="W2333" i="41"/>
  <c r="W2334" i="41"/>
  <c r="W2335" i="41"/>
  <c r="W2336" i="41"/>
  <c r="W2337" i="41"/>
  <c r="W2338" i="41"/>
  <c r="W2339" i="41"/>
  <c r="W2340" i="41"/>
  <c r="W2341" i="41"/>
  <c r="W2342" i="41"/>
  <c r="W2343" i="41"/>
  <c r="W2344" i="41"/>
  <c r="W2345" i="41"/>
  <c r="W2346" i="41"/>
  <c r="W2347" i="41"/>
  <c r="X1890" i="41"/>
  <c r="X1891" i="41"/>
  <c r="X1892" i="41"/>
  <c r="X1893" i="41"/>
  <c r="X1894" i="41"/>
  <c r="X1895" i="41"/>
  <c r="X1896" i="41"/>
  <c r="X1897" i="41"/>
  <c r="X1898" i="41"/>
  <c r="X1899" i="41"/>
  <c r="X1900" i="41"/>
  <c r="X1901" i="41"/>
  <c r="X1902" i="41"/>
  <c r="X1903" i="41"/>
  <c r="X1904" i="41"/>
  <c r="X1905" i="41"/>
  <c r="X1906" i="41"/>
  <c r="X1907" i="41"/>
  <c r="X1908" i="41"/>
  <c r="X1909" i="41"/>
  <c r="X1910" i="41"/>
  <c r="X1911" i="41"/>
  <c r="X1912" i="41"/>
  <c r="X1913" i="41"/>
  <c r="X1914" i="41"/>
  <c r="X1915" i="41"/>
  <c r="X1916" i="41"/>
  <c r="X1917" i="41"/>
  <c r="X1918" i="41"/>
  <c r="X1919" i="41"/>
  <c r="X1920" i="41"/>
  <c r="X1921" i="41"/>
  <c r="X1922" i="41"/>
  <c r="X1923" i="41"/>
  <c r="X1924" i="41"/>
  <c r="X1925" i="41"/>
  <c r="X1926" i="41"/>
  <c r="X1927" i="41"/>
  <c r="X1928" i="41"/>
  <c r="X1929" i="41"/>
  <c r="X1930" i="41"/>
  <c r="X1931" i="41"/>
  <c r="X1932" i="41"/>
  <c r="X1933" i="41"/>
  <c r="X1934" i="41"/>
  <c r="X1935" i="41"/>
  <c r="X1936" i="41"/>
  <c r="X1937" i="41"/>
  <c r="X1938" i="41"/>
  <c r="X1939" i="41"/>
  <c r="X1940" i="41"/>
  <c r="X1941" i="41"/>
  <c r="X1942" i="41"/>
  <c r="X1943" i="41"/>
  <c r="X1944" i="41"/>
  <c r="X1945" i="41"/>
  <c r="X1946" i="41"/>
  <c r="X1947" i="41"/>
  <c r="X1948" i="41"/>
  <c r="X1949" i="41"/>
  <c r="X1950" i="41"/>
  <c r="X1951" i="41"/>
  <c r="X1952" i="41"/>
  <c r="X1953" i="41"/>
  <c r="X1954" i="41"/>
  <c r="X1955" i="41"/>
  <c r="X1956" i="41"/>
  <c r="X1957" i="41"/>
  <c r="X1958" i="41"/>
  <c r="X1959" i="41"/>
  <c r="X1960" i="41"/>
  <c r="X1961" i="41"/>
  <c r="X1962" i="41"/>
  <c r="X1963" i="41"/>
  <c r="X1964" i="41"/>
  <c r="X1965" i="41"/>
  <c r="X1966" i="41"/>
  <c r="X1967" i="41"/>
  <c r="X1968" i="41"/>
  <c r="X1969" i="41"/>
  <c r="X1970" i="41"/>
  <c r="X1971" i="41"/>
  <c r="X1972" i="41"/>
  <c r="X1973" i="41"/>
  <c r="X1974" i="41"/>
  <c r="X1975" i="41"/>
  <c r="X1976" i="41"/>
  <c r="X1977" i="41"/>
  <c r="X1978" i="41"/>
  <c r="X1979" i="41"/>
  <c r="X1980" i="41"/>
  <c r="X1981" i="41"/>
  <c r="X1982" i="41"/>
  <c r="X1983" i="41"/>
  <c r="X1984" i="41"/>
  <c r="X1985" i="41"/>
  <c r="X1986" i="41"/>
  <c r="X1987" i="41"/>
  <c r="X1988" i="41"/>
  <c r="X1989" i="41"/>
  <c r="X1990" i="41"/>
  <c r="X1991" i="41"/>
  <c r="X1992" i="41"/>
  <c r="X1993" i="41"/>
  <c r="X1994" i="41"/>
  <c r="X1995" i="41"/>
  <c r="X1996" i="41"/>
  <c r="X1997" i="41"/>
  <c r="X1998" i="41"/>
  <c r="X1999" i="41"/>
  <c r="X2000" i="41"/>
  <c r="X2001" i="41"/>
  <c r="X2002" i="41"/>
  <c r="X2003" i="41"/>
  <c r="X2004" i="41"/>
  <c r="X2005" i="41"/>
  <c r="X2006" i="41"/>
  <c r="X2007" i="41"/>
  <c r="X2008" i="41"/>
  <c r="X2009" i="41"/>
  <c r="X2010" i="41"/>
  <c r="X2011" i="41"/>
  <c r="X2012" i="41"/>
  <c r="X2013" i="41"/>
  <c r="X2014" i="41"/>
  <c r="X2015" i="41"/>
  <c r="X2016" i="41"/>
  <c r="X2017" i="41"/>
  <c r="X2018" i="41"/>
  <c r="X2019" i="41"/>
  <c r="X2020" i="41"/>
  <c r="X2021" i="41"/>
  <c r="X2022" i="41"/>
  <c r="X2023" i="41"/>
  <c r="X2024" i="41"/>
  <c r="X2025" i="41"/>
  <c r="X2026" i="41"/>
  <c r="X2027" i="41"/>
  <c r="X2028" i="41"/>
  <c r="X2029" i="41"/>
  <c r="X2030" i="41"/>
  <c r="X2031" i="41"/>
  <c r="X2032" i="41"/>
  <c r="X2033" i="41"/>
  <c r="X2034" i="41"/>
  <c r="X2035" i="41"/>
  <c r="X2036" i="41"/>
  <c r="X2037" i="41"/>
  <c r="X2038" i="41"/>
  <c r="X2039" i="41"/>
  <c r="X2040" i="41"/>
  <c r="X2041" i="41"/>
  <c r="X2042" i="41"/>
  <c r="X2043" i="41"/>
  <c r="X2044" i="41"/>
  <c r="X2045" i="41"/>
  <c r="X2046" i="41"/>
  <c r="X2047" i="41"/>
  <c r="X2048" i="41"/>
  <c r="X2049" i="41"/>
  <c r="X2050" i="41"/>
  <c r="X2051" i="41"/>
  <c r="X2052" i="41"/>
  <c r="X2053" i="41"/>
  <c r="X2054" i="41"/>
  <c r="X2055" i="41"/>
  <c r="X2056" i="41"/>
  <c r="X2057" i="41"/>
  <c r="X2058" i="41"/>
  <c r="X2059" i="41"/>
  <c r="X2060" i="41"/>
  <c r="X2061" i="41"/>
  <c r="X2062" i="41"/>
  <c r="X2063" i="41"/>
  <c r="X2064" i="41"/>
  <c r="X2065" i="41"/>
  <c r="X2066" i="41"/>
  <c r="X2067" i="41"/>
  <c r="X2068" i="41"/>
  <c r="X2069" i="41"/>
  <c r="X2070" i="41"/>
  <c r="X2071" i="41"/>
  <c r="X2072" i="41"/>
  <c r="X2073" i="41"/>
  <c r="X2074" i="41"/>
  <c r="X2075" i="41"/>
  <c r="X2076" i="41"/>
  <c r="X2077" i="41"/>
  <c r="X2078" i="41"/>
  <c r="X2079" i="41"/>
  <c r="X2080" i="41"/>
  <c r="X2081" i="41"/>
  <c r="X2082" i="41"/>
  <c r="X2083" i="41"/>
  <c r="X2084" i="41"/>
  <c r="X2085" i="41"/>
  <c r="X2086" i="41"/>
  <c r="X2087" i="41"/>
  <c r="X2088" i="41"/>
  <c r="X2089" i="41"/>
  <c r="X2090" i="41"/>
  <c r="X2091" i="41"/>
  <c r="X2092" i="41"/>
  <c r="X2093" i="41"/>
  <c r="X2094" i="41"/>
  <c r="X2095" i="41"/>
  <c r="X2096" i="41"/>
  <c r="X2097" i="41"/>
  <c r="X2098" i="41"/>
  <c r="X2099" i="41"/>
  <c r="X2100" i="41"/>
  <c r="X2101" i="41"/>
  <c r="X2102" i="41"/>
  <c r="X2103" i="41"/>
  <c r="X2104" i="41"/>
  <c r="X2105" i="41"/>
  <c r="X2106" i="41"/>
  <c r="X2107" i="41"/>
  <c r="X2108" i="41"/>
  <c r="X2109" i="41"/>
  <c r="X2110" i="41"/>
  <c r="X2111" i="41"/>
  <c r="X2112" i="41"/>
  <c r="X2113" i="41"/>
  <c r="X2114" i="41"/>
  <c r="X2115" i="41"/>
  <c r="X2116" i="41"/>
  <c r="X2117" i="41"/>
  <c r="X2118" i="41"/>
  <c r="X2119" i="41"/>
  <c r="X2120" i="41"/>
  <c r="X2121" i="41"/>
  <c r="X2122" i="41"/>
  <c r="X2123" i="41"/>
  <c r="X2124" i="41"/>
  <c r="X2125" i="41"/>
  <c r="X2126" i="41"/>
  <c r="X2127" i="41"/>
  <c r="X2128" i="41"/>
  <c r="X2129" i="41"/>
  <c r="X2130" i="41"/>
  <c r="X2131" i="41"/>
  <c r="X2132" i="41"/>
  <c r="X2133" i="41"/>
  <c r="X2134" i="41"/>
  <c r="X2135" i="41"/>
  <c r="X2136" i="41"/>
  <c r="X2137" i="41"/>
  <c r="X2138" i="41"/>
  <c r="X2139" i="41"/>
  <c r="X2140" i="41"/>
  <c r="X2141" i="41"/>
  <c r="X2142" i="41"/>
  <c r="X2143" i="41"/>
  <c r="X2144" i="41"/>
  <c r="X2145" i="41"/>
  <c r="X2146" i="41"/>
  <c r="X2147" i="41"/>
  <c r="X2148" i="41"/>
  <c r="X2149" i="41"/>
  <c r="X2150" i="41"/>
  <c r="X2151" i="41"/>
  <c r="X2152" i="41"/>
  <c r="X2153" i="41"/>
  <c r="X2154" i="41"/>
  <c r="X2155" i="41"/>
  <c r="X2156" i="41"/>
  <c r="X2157" i="41"/>
  <c r="X2158" i="41"/>
  <c r="X2159" i="41"/>
  <c r="X2160" i="41"/>
  <c r="X2161" i="41"/>
  <c r="X2162" i="41"/>
  <c r="X2163" i="41"/>
  <c r="X2164" i="41"/>
  <c r="X2165" i="41"/>
  <c r="X2166" i="41"/>
  <c r="X2167" i="41"/>
  <c r="X2168" i="41"/>
  <c r="X2169" i="41"/>
  <c r="X2170" i="41"/>
  <c r="X2171" i="41"/>
  <c r="X2172" i="41"/>
  <c r="X2173" i="41"/>
  <c r="X2174" i="41"/>
  <c r="X2175" i="41"/>
  <c r="X2176" i="41"/>
  <c r="X2177" i="41"/>
  <c r="X2178" i="41"/>
  <c r="X2179" i="41"/>
  <c r="X2180" i="41"/>
  <c r="X2181" i="41"/>
  <c r="X2182" i="41"/>
  <c r="X2183" i="41"/>
  <c r="X2184" i="41"/>
  <c r="X2185" i="41"/>
  <c r="X2186" i="41"/>
  <c r="X2187" i="41"/>
  <c r="X2188" i="41"/>
  <c r="X2189" i="41"/>
  <c r="X2190" i="41"/>
  <c r="X2191" i="41"/>
  <c r="X2192" i="41"/>
  <c r="X2193" i="41"/>
  <c r="X2194" i="41"/>
  <c r="X2195" i="41"/>
  <c r="X2196" i="41"/>
  <c r="X2197" i="41"/>
  <c r="X2198" i="41"/>
  <c r="X2199" i="41"/>
  <c r="X2200" i="41"/>
  <c r="X2201" i="41"/>
  <c r="X2202" i="41"/>
  <c r="X2203" i="41"/>
  <c r="X2204" i="41"/>
  <c r="X2205" i="41"/>
  <c r="X2206" i="41"/>
  <c r="X2207" i="41"/>
  <c r="X2208" i="41"/>
  <c r="X2209" i="41"/>
  <c r="X2210" i="41"/>
  <c r="X2211" i="41"/>
  <c r="X2212" i="41"/>
  <c r="X2213" i="41"/>
  <c r="X2214" i="41"/>
  <c r="X2215" i="41"/>
  <c r="X2216" i="41"/>
  <c r="X2217" i="41"/>
  <c r="X2218" i="41"/>
  <c r="X2219" i="41"/>
  <c r="X2220" i="41"/>
  <c r="X2221" i="41"/>
  <c r="X2222" i="41"/>
  <c r="X2223" i="41"/>
  <c r="X2224" i="41"/>
  <c r="X2225" i="41"/>
  <c r="X2226" i="41"/>
  <c r="X2227" i="41"/>
  <c r="X2228" i="41"/>
  <c r="X2229" i="41"/>
  <c r="X2230" i="41"/>
  <c r="X2231" i="41"/>
  <c r="X2232" i="41"/>
  <c r="X2233" i="41"/>
  <c r="X2234" i="41"/>
  <c r="X2235" i="41"/>
  <c r="X2236" i="41"/>
  <c r="X2237" i="41"/>
  <c r="X2238" i="41"/>
  <c r="X2239" i="41"/>
  <c r="X2240" i="41"/>
  <c r="X2241" i="41"/>
  <c r="X2242" i="41"/>
  <c r="X2243" i="41"/>
  <c r="X2244" i="41"/>
  <c r="X2245" i="41"/>
  <c r="X2246" i="41"/>
  <c r="X2247" i="41"/>
  <c r="X2248" i="41"/>
  <c r="X2249" i="41"/>
  <c r="X2250" i="41"/>
  <c r="X2251" i="41"/>
  <c r="X2252" i="41"/>
  <c r="X2253" i="41"/>
  <c r="X2254" i="41"/>
  <c r="X2255" i="41"/>
  <c r="X2256" i="41"/>
  <c r="X2257" i="41"/>
  <c r="X2258" i="41"/>
  <c r="X2259" i="41"/>
  <c r="X2260" i="41"/>
  <c r="X2261" i="41"/>
  <c r="X2262" i="41"/>
  <c r="X2263" i="41"/>
  <c r="X2264" i="41"/>
  <c r="X2265" i="41"/>
  <c r="X2266" i="41"/>
  <c r="X2267" i="41"/>
  <c r="X2268" i="41"/>
  <c r="X2269" i="41"/>
  <c r="X2270" i="41"/>
  <c r="X2271" i="41"/>
  <c r="X2272" i="41"/>
  <c r="X2273" i="41"/>
  <c r="X2274" i="41"/>
  <c r="X2275" i="41"/>
  <c r="X2276" i="41"/>
  <c r="X2277" i="41"/>
  <c r="X2278" i="41"/>
  <c r="X2279" i="41"/>
  <c r="X2280" i="41"/>
  <c r="X2281" i="41"/>
  <c r="X2282" i="41"/>
  <c r="X2283" i="41"/>
  <c r="X2284" i="41"/>
  <c r="X2285" i="41"/>
  <c r="X2286" i="41"/>
  <c r="X2287" i="41"/>
  <c r="X2288" i="41"/>
  <c r="X2289" i="41"/>
  <c r="X2290" i="41"/>
  <c r="X2291" i="41"/>
  <c r="X2292" i="41"/>
  <c r="X2293" i="41"/>
  <c r="X2294" i="41"/>
  <c r="X2295" i="41"/>
  <c r="X2296" i="41"/>
  <c r="X2297" i="41"/>
  <c r="X2298" i="41"/>
  <c r="X2299" i="41"/>
  <c r="X2300" i="41"/>
  <c r="X2301" i="41"/>
  <c r="X2302" i="41"/>
  <c r="X2303" i="41"/>
  <c r="X2304" i="41"/>
  <c r="X2305" i="41"/>
  <c r="X2306" i="41"/>
  <c r="X2307" i="41"/>
  <c r="X2308" i="41"/>
  <c r="X2309" i="41"/>
  <c r="X2310" i="41"/>
  <c r="X2311" i="41"/>
  <c r="X2312" i="41"/>
  <c r="X2313" i="41"/>
  <c r="X2314" i="41"/>
  <c r="X2315" i="41"/>
  <c r="X2316" i="41"/>
  <c r="X2317" i="41"/>
  <c r="X2318" i="41"/>
  <c r="X2319" i="41"/>
  <c r="X2320" i="41"/>
  <c r="X2321" i="41"/>
  <c r="X2322" i="41"/>
  <c r="X2323" i="41"/>
  <c r="X2324" i="41"/>
  <c r="X2325" i="41"/>
  <c r="X2326" i="41"/>
  <c r="X2327" i="41"/>
  <c r="X2328" i="41"/>
  <c r="X2329" i="41"/>
  <c r="X2330" i="41"/>
  <c r="X2331" i="41"/>
  <c r="X2332" i="41"/>
  <c r="X2333" i="41"/>
  <c r="X2334" i="41"/>
  <c r="X2335" i="41"/>
  <c r="X2336" i="41"/>
  <c r="X2337" i="41"/>
  <c r="X2338" i="41"/>
  <c r="X2339" i="41"/>
  <c r="X2340" i="41"/>
  <c r="X2341" i="41"/>
  <c r="X2342" i="41"/>
  <c r="X2343" i="41"/>
  <c r="X2344" i="41"/>
  <c r="X2345" i="41"/>
  <c r="X2346" i="41"/>
  <c r="X2347" i="41"/>
  <c r="X1889" i="41"/>
  <c r="W1889" i="41"/>
  <c r="X1888" i="41"/>
  <c r="W1888" i="41"/>
  <c r="X1887" i="41"/>
  <c r="W1887" i="41"/>
  <c r="X1886" i="41"/>
  <c r="W1886" i="41"/>
  <c r="X1885" i="41"/>
  <c r="W1885" i="41"/>
  <c r="X1884" i="41"/>
  <c r="W1884" i="41"/>
  <c r="X1883" i="41"/>
  <c r="W1883" i="41"/>
  <c r="X1882" i="41"/>
  <c r="W1882" i="41"/>
  <c r="X1881" i="41"/>
  <c r="W1881" i="41"/>
  <c r="X1880" i="41"/>
  <c r="W1880" i="41"/>
  <c r="X1879" i="41"/>
  <c r="W1879" i="41"/>
  <c r="X1878" i="41"/>
  <c r="W1878" i="41"/>
  <c r="X1877" i="41"/>
  <c r="W1877" i="41"/>
  <c r="X1876" i="41"/>
  <c r="W1876" i="41"/>
  <c r="X1875" i="41"/>
  <c r="W1875" i="41"/>
  <c r="X1874" i="41"/>
  <c r="W1874" i="41"/>
  <c r="X1873" i="41"/>
  <c r="W1873" i="41"/>
  <c r="X1872" i="41"/>
  <c r="W1872" i="41"/>
  <c r="X1871" i="41"/>
  <c r="W1871" i="41"/>
  <c r="X1870" i="41"/>
  <c r="W1870" i="41"/>
  <c r="X1869" i="41"/>
  <c r="W1869" i="41"/>
  <c r="X1868" i="41"/>
  <c r="W1868" i="41"/>
  <c r="X1867" i="41"/>
  <c r="W1867" i="41"/>
  <c r="X1866" i="41"/>
  <c r="W1866" i="41"/>
  <c r="X1865" i="41"/>
  <c r="W1865" i="41"/>
  <c r="X1864" i="41"/>
  <c r="W1864" i="41"/>
  <c r="X1863" i="41"/>
  <c r="W1863" i="41"/>
  <c r="X1862" i="41"/>
  <c r="W1862" i="41"/>
  <c r="X1861" i="41"/>
  <c r="W1861" i="41"/>
  <c r="X1860" i="41"/>
  <c r="W1860" i="41"/>
  <c r="X1859" i="41"/>
  <c r="W1859" i="41"/>
  <c r="X1858" i="41"/>
  <c r="W1858" i="41"/>
  <c r="X1857" i="41"/>
  <c r="W1857" i="41"/>
  <c r="X1856" i="41"/>
  <c r="W1856" i="41"/>
  <c r="X1855" i="41"/>
  <c r="W1855" i="41"/>
  <c r="X1854" i="41"/>
  <c r="W1854" i="41"/>
  <c r="X1853" i="41"/>
  <c r="W1853" i="41"/>
  <c r="X1852" i="41"/>
  <c r="W1852" i="41"/>
  <c r="X1851" i="41"/>
  <c r="W1851" i="41"/>
  <c r="X1850" i="41"/>
  <c r="W1850" i="41"/>
  <c r="X1849" i="41"/>
  <c r="W1849" i="41"/>
  <c r="X1848" i="41"/>
  <c r="W1848" i="41"/>
  <c r="X1847" i="41"/>
  <c r="W1847" i="41"/>
  <c r="X1846" i="41"/>
  <c r="W1846" i="41"/>
  <c r="X1845" i="41"/>
  <c r="W1845" i="41"/>
  <c r="X1844" i="41"/>
  <c r="W1844" i="41"/>
  <c r="X1843" i="41"/>
  <c r="W1843" i="41"/>
  <c r="X1842" i="41"/>
  <c r="W1842" i="41"/>
  <c r="X1841" i="41"/>
  <c r="W1841" i="41"/>
  <c r="X1840" i="41"/>
  <c r="W1840" i="41"/>
  <c r="X1839" i="41"/>
  <c r="W1839" i="41"/>
  <c r="X1838" i="41"/>
  <c r="W1838" i="41"/>
  <c r="X1837" i="41"/>
  <c r="W1837" i="41"/>
  <c r="X1836" i="41"/>
  <c r="W1836" i="41"/>
  <c r="X1835" i="41"/>
  <c r="W1835" i="41"/>
  <c r="X1834" i="41"/>
  <c r="W1834" i="41"/>
  <c r="X1833" i="41"/>
  <c r="W1833" i="41"/>
  <c r="X1832" i="41"/>
  <c r="W1832" i="41"/>
  <c r="X1831" i="41"/>
  <c r="W1831" i="41"/>
  <c r="X1830" i="41"/>
  <c r="W1830" i="41"/>
  <c r="X1829" i="41"/>
  <c r="W1829" i="41"/>
  <c r="X1828" i="41"/>
  <c r="W1828" i="41"/>
  <c r="X1827" i="41"/>
  <c r="W1827" i="41"/>
  <c r="X1826" i="41"/>
  <c r="W1826" i="41"/>
  <c r="X1825" i="41"/>
  <c r="W1825" i="41"/>
  <c r="X1824" i="41"/>
  <c r="W1824" i="41"/>
  <c r="X1823" i="41"/>
  <c r="W1823" i="41"/>
  <c r="X1822" i="41"/>
  <c r="W1822" i="41"/>
  <c r="X1821" i="41"/>
  <c r="W1821" i="41"/>
  <c r="X1820" i="41"/>
  <c r="W1820" i="41"/>
  <c r="X1819" i="41"/>
  <c r="W1819" i="41"/>
  <c r="X1818" i="41"/>
  <c r="W1818" i="41"/>
  <c r="X1817" i="41"/>
  <c r="W1817" i="41"/>
  <c r="X1816" i="41"/>
  <c r="W1816" i="41"/>
  <c r="X1815" i="41"/>
  <c r="W1815" i="41"/>
  <c r="X1814" i="41"/>
  <c r="W1814" i="41"/>
  <c r="X1813" i="41"/>
  <c r="W1813" i="41"/>
  <c r="X1812" i="41"/>
  <c r="W1812" i="41"/>
  <c r="X1811" i="41"/>
  <c r="W1811" i="41"/>
  <c r="X1810" i="41"/>
  <c r="W1810" i="41"/>
  <c r="X1809" i="41"/>
  <c r="W1809" i="41"/>
  <c r="X1808" i="41"/>
  <c r="W1808" i="41"/>
  <c r="X1807" i="41"/>
  <c r="W1807" i="41"/>
  <c r="X1806" i="41"/>
  <c r="W1806" i="41"/>
  <c r="X1805" i="41"/>
  <c r="W1805" i="41"/>
  <c r="X1804" i="41"/>
  <c r="W1804" i="41"/>
  <c r="X1803" i="41"/>
  <c r="W1803" i="41"/>
  <c r="X1802" i="41"/>
  <c r="W1802" i="41"/>
  <c r="X1801" i="41"/>
  <c r="W1801" i="41"/>
  <c r="X1800" i="41"/>
  <c r="W1800" i="41"/>
  <c r="X1799" i="41"/>
  <c r="W1799" i="41"/>
  <c r="X1798" i="41"/>
  <c r="W1798" i="41"/>
  <c r="X1797" i="41"/>
  <c r="W1797" i="41"/>
  <c r="X1796" i="41"/>
  <c r="W1796" i="41"/>
  <c r="X1795" i="41"/>
  <c r="W1795" i="41"/>
  <c r="X1794" i="41"/>
  <c r="W1794" i="41"/>
  <c r="X1793" i="41"/>
  <c r="W1793" i="41"/>
  <c r="X1792" i="41"/>
  <c r="W1792" i="41"/>
  <c r="X1791" i="41"/>
  <c r="W1791" i="41"/>
  <c r="X1790" i="41"/>
  <c r="W1790" i="41"/>
  <c r="X1789" i="41"/>
  <c r="W1789" i="41"/>
  <c r="X1788" i="41"/>
  <c r="W1788" i="41"/>
  <c r="X1787" i="41"/>
  <c r="W1787" i="41"/>
  <c r="X1786" i="41"/>
  <c r="W1786" i="41"/>
  <c r="X1785" i="41"/>
  <c r="W1785" i="41"/>
  <c r="X1784" i="41"/>
  <c r="W1784" i="41"/>
  <c r="X1783" i="41"/>
  <c r="W1783" i="41"/>
  <c r="X1782" i="41"/>
  <c r="W1782" i="41"/>
  <c r="X1781" i="41"/>
  <c r="W1781" i="41"/>
  <c r="X1780" i="41"/>
  <c r="W1780" i="41"/>
  <c r="X1779" i="41"/>
  <c r="W1779" i="41"/>
  <c r="X1778" i="41"/>
  <c r="W1778" i="41"/>
  <c r="X1777" i="41"/>
  <c r="W1777" i="41"/>
  <c r="X1776" i="41"/>
  <c r="W1776" i="41"/>
  <c r="X1775" i="41"/>
  <c r="W1775" i="41"/>
  <c r="X1774" i="41"/>
  <c r="W1774" i="41"/>
  <c r="X1773" i="41"/>
  <c r="W1773" i="41"/>
  <c r="X1772" i="41"/>
  <c r="W1772" i="41"/>
  <c r="X1771" i="41"/>
  <c r="W1771" i="41"/>
  <c r="X1770" i="41"/>
  <c r="W1770" i="41"/>
  <c r="X1769" i="41"/>
  <c r="W1769" i="41"/>
  <c r="X1768" i="41"/>
  <c r="W1768" i="41"/>
  <c r="X1767" i="41"/>
  <c r="W1767" i="41"/>
  <c r="X1766" i="41"/>
  <c r="W1766" i="41"/>
  <c r="X1765" i="41"/>
  <c r="W1765" i="41"/>
  <c r="X1764" i="41"/>
  <c r="W1764" i="41"/>
  <c r="X1763" i="41"/>
  <c r="W1763" i="41"/>
  <c r="X1762" i="41"/>
  <c r="W1762" i="41"/>
  <c r="X1761" i="41"/>
  <c r="W1761" i="41"/>
  <c r="X1760" i="41"/>
  <c r="W1760" i="41"/>
  <c r="X1759" i="41"/>
  <c r="W1759" i="41"/>
  <c r="X1758" i="41"/>
  <c r="W1758" i="41"/>
  <c r="X1757" i="41"/>
  <c r="W1757" i="41"/>
  <c r="X1756" i="41"/>
  <c r="W1756" i="41"/>
  <c r="X1755" i="41"/>
  <c r="W1755" i="41"/>
  <c r="X1754" i="41"/>
  <c r="W1754" i="41"/>
  <c r="X1753" i="41"/>
  <c r="W1753" i="41"/>
  <c r="X1752" i="41"/>
  <c r="W1752" i="41"/>
  <c r="X1751" i="41"/>
  <c r="W1751" i="41"/>
  <c r="X1750" i="41"/>
  <c r="W1750" i="41"/>
  <c r="X1749" i="41"/>
  <c r="W1749" i="41"/>
  <c r="X1748" i="41"/>
  <c r="W1748" i="41"/>
  <c r="X1747" i="41"/>
  <c r="W1747" i="41"/>
  <c r="X1746" i="41"/>
  <c r="W1746" i="41"/>
  <c r="X1745" i="41"/>
  <c r="W1745" i="41"/>
  <c r="X1744" i="41"/>
  <c r="W1744" i="41"/>
  <c r="X1743" i="41"/>
  <c r="W1743" i="41"/>
  <c r="X1742" i="41"/>
  <c r="W1742" i="41"/>
  <c r="X1741" i="41"/>
  <c r="W1741" i="41"/>
  <c r="X1740" i="41"/>
  <c r="W1740" i="41"/>
  <c r="X1739" i="41"/>
  <c r="W1739" i="41"/>
  <c r="X1738" i="41"/>
  <c r="W1738" i="41"/>
  <c r="X1737" i="41"/>
  <c r="W1737" i="41"/>
  <c r="X1736" i="41"/>
  <c r="W1736" i="41"/>
  <c r="X1735" i="41"/>
  <c r="W1735" i="41"/>
  <c r="X1734" i="41"/>
  <c r="W1734" i="41"/>
  <c r="X1733" i="41"/>
  <c r="W1733" i="41"/>
  <c r="X1732" i="41"/>
  <c r="W1732" i="41"/>
  <c r="X1731" i="41"/>
  <c r="W1731" i="41"/>
  <c r="X1730" i="41"/>
  <c r="W1730" i="41"/>
  <c r="X1729" i="41"/>
  <c r="W1729" i="41"/>
  <c r="X1728" i="41"/>
  <c r="W1728" i="41"/>
  <c r="X1727" i="41"/>
  <c r="W1727" i="41"/>
  <c r="X1726" i="41"/>
  <c r="W1726" i="41"/>
  <c r="X1725" i="41"/>
  <c r="W1725" i="41"/>
  <c r="X1724" i="41"/>
  <c r="W1724" i="41"/>
  <c r="X1723" i="41"/>
  <c r="W1723" i="41"/>
  <c r="X1722" i="41"/>
  <c r="W1722" i="41"/>
  <c r="X1721" i="41"/>
  <c r="W1721" i="41"/>
  <c r="X1720" i="41"/>
  <c r="W1720" i="41"/>
  <c r="X1719" i="41"/>
  <c r="W1719" i="41"/>
  <c r="X1718" i="41"/>
  <c r="W1718" i="41"/>
  <c r="X1717" i="41"/>
  <c r="W1717" i="41"/>
  <c r="X1716" i="41"/>
  <c r="W1716" i="41"/>
  <c r="X1715" i="41"/>
  <c r="W1715" i="41"/>
  <c r="X1714" i="41"/>
  <c r="W1714" i="41"/>
  <c r="X1713" i="41"/>
  <c r="W1713" i="41"/>
  <c r="X1712" i="41"/>
  <c r="W1712" i="41"/>
  <c r="X1711" i="41"/>
  <c r="W1711" i="41"/>
  <c r="X1710" i="41"/>
  <c r="W1710" i="41"/>
  <c r="X1709" i="41"/>
  <c r="W1709" i="41"/>
  <c r="X1708" i="41"/>
  <c r="W1708" i="41"/>
  <c r="X1707" i="41"/>
  <c r="W1707" i="41"/>
  <c r="X1706" i="41"/>
  <c r="W1706" i="41"/>
  <c r="X1705" i="41"/>
  <c r="W1705" i="41"/>
  <c r="X1704" i="41"/>
  <c r="W1704" i="41"/>
  <c r="X1703" i="41"/>
  <c r="W1703" i="41"/>
  <c r="X1702" i="41"/>
  <c r="W1702" i="41"/>
  <c r="X1701" i="41"/>
  <c r="W1701" i="41"/>
  <c r="X1700" i="41"/>
  <c r="W1700" i="41"/>
  <c r="X1699" i="41"/>
  <c r="W1699" i="41"/>
  <c r="X1698" i="41"/>
  <c r="W1698" i="41"/>
  <c r="X1697" i="41"/>
  <c r="W1697" i="41"/>
  <c r="X1696" i="41"/>
  <c r="W1696" i="41"/>
  <c r="X1695" i="41"/>
  <c r="W1695" i="41"/>
  <c r="X1694" i="41"/>
  <c r="W1694" i="41"/>
  <c r="X1693" i="41"/>
  <c r="W1693" i="41"/>
  <c r="X1692" i="41"/>
  <c r="W1692" i="41"/>
  <c r="X1691" i="41"/>
  <c r="W1691" i="41"/>
  <c r="X1690" i="41"/>
  <c r="W1690" i="41"/>
  <c r="X1689" i="41"/>
  <c r="W1689" i="41"/>
  <c r="X1688" i="41"/>
  <c r="W1688" i="41"/>
  <c r="X1687" i="41"/>
  <c r="W1687" i="41"/>
  <c r="X1686" i="41"/>
  <c r="W1686" i="41"/>
  <c r="X1685" i="41"/>
  <c r="W1685" i="41"/>
  <c r="X1684" i="41"/>
  <c r="W1684" i="41"/>
  <c r="X1683" i="41"/>
  <c r="W1683" i="41"/>
  <c r="X1682" i="41"/>
  <c r="W1682" i="41"/>
  <c r="X1681" i="41"/>
  <c r="W1681" i="41"/>
  <c r="X1680" i="41"/>
  <c r="W1680" i="41"/>
  <c r="X1679" i="41"/>
  <c r="W1679" i="41"/>
  <c r="X1678" i="41"/>
  <c r="W1678" i="41"/>
  <c r="X1677" i="41"/>
  <c r="W1677" i="41"/>
  <c r="X1676" i="41"/>
  <c r="W1676" i="41"/>
  <c r="X1675" i="41"/>
  <c r="W1675" i="41"/>
  <c r="X1674" i="41"/>
  <c r="W1674" i="41"/>
  <c r="X1673" i="41"/>
  <c r="W1673" i="41"/>
  <c r="X1672" i="41"/>
  <c r="W1672" i="41"/>
  <c r="X1671" i="41"/>
  <c r="W1671" i="41"/>
  <c r="X1670" i="41"/>
  <c r="W1670" i="41"/>
  <c r="X1669" i="41"/>
  <c r="W1669" i="41"/>
  <c r="X1668" i="41"/>
  <c r="W1668" i="41"/>
  <c r="X1667" i="41"/>
  <c r="W1667" i="41"/>
  <c r="X1666" i="41"/>
  <c r="W1666" i="41"/>
  <c r="X1665" i="41"/>
  <c r="W1665" i="41"/>
  <c r="X1664" i="41"/>
  <c r="W1664" i="41"/>
  <c r="X1663" i="41"/>
  <c r="W1663" i="41"/>
  <c r="X1662" i="41"/>
  <c r="W1662" i="41"/>
  <c r="X1661" i="41"/>
  <c r="W1661" i="41"/>
  <c r="X1660" i="41"/>
  <c r="W1660" i="41"/>
  <c r="X1659" i="41"/>
  <c r="W1659" i="41"/>
  <c r="X1658" i="41"/>
  <c r="W1658" i="41"/>
  <c r="X1657" i="41"/>
  <c r="W1657" i="41"/>
  <c r="X1656" i="41"/>
  <c r="W1656" i="41"/>
  <c r="X1655" i="41"/>
  <c r="W1655" i="41"/>
  <c r="X1654" i="41"/>
  <c r="W1654" i="41"/>
  <c r="X1653" i="41"/>
  <c r="W1653" i="41"/>
  <c r="X1652" i="41"/>
  <c r="W1652" i="41"/>
  <c r="X1651" i="41"/>
  <c r="W1651" i="41"/>
  <c r="X1650" i="41"/>
  <c r="W1650" i="41"/>
  <c r="X1649" i="41"/>
  <c r="W1649" i="41"/>
  <c r="X1648" i="41"/>
  <c r="W1648" i="41"/>
  <c r="X1647" i="41"/>
  <c r="W1647" i="41"/>
  <c r="X1646" i="41"/>
  <c r="W1646" i="41"/>
  <c r="X1645" i="41"/>
  <c r="W1645" i="41"/>
  <c r="X1644" i="41"/>
  <c r="W1644" i="41"/>
  <c r="X1643" i="41"/>
  <c r="W1643" i="41"/>
  <c r="X1642" i="41"/>
  <c r="W1642" i="41"/>
  <c r="X1641" i="41"/>
  <c r="W1641" i="41"/>
  <c r="X1640" i="41"/>
  <c r="W1640" i="41"/>
  <c r="X1639" i="41"/>
  <c r="W1639" i="41"/>
  <c r="X1638" i="41"/>
  <c r="W1638" i="41"/>
  <c r="X1637" i="41"/>
  <c r="W1637" i="41"/>
  <c r="X1636" i="41"/>
  <c r="W1636" i="41"/>
  <c r="X1635" i="41"/>
  <c r="W1635" i="41"/>
  <c r="X1634" i="41"/>
  <c r="W1634" i="41"/>
  <c r="X1633" i="41"/>
  <c r="W1633" i="41"/>
  <c r="X1632" i="41"/>
  <c r="W1632" i="41"/>
  <c r="X1631" i="41"/>
  <c r="W1631" i="41"/>
  <c r="X1630" i="41"/>
  <c r="W1630" i="41"/>
  <c r="X1629" i="41"/>
  <c r="W1629" i="41"/>
  <c r="X1628" i="41"/>
  <c r="W1628" i="41"/>
  <c r="X1627" i="41"/>
  <c r="W1627" i="41"/>
  <c r="X1626" i="41"/>
  <c r="W1626" i="41"/>
  <c r="X1625" i="41"/>
  <c r="W1625" i="41"/>
  <c r="X1624" i="41"/>
  <c r="W1624" i="41"/>
  <c r="X1623" i="41"/>
  <c r="W1623" i="41"/>
  <c r="X1622" i="41"/>
  <c r="W1622" i="41"/>
  <c r="X1621" i="41"/>
  <c r="W1621" i="41"/>
  <c r="X1620" i="41"/>
  <c r="W1620" i="41"/>
  <c r="X1619" i="41"/>
  <c r="W1619" i="41"/>
  <c r="X1618" i="41"/>
  <c r="W1618" i="41"/>
  <c r="X1617" i="41"/>
  <c r="W1617" i="41"/>
  <c r="X1616" i="41"/>
  <c r="W1616" i="41"/>
  <c r="X1615" i="41"/>
  <c r="W1615" i="41"/>
  <c r="X1614" i="41"/>
  <c r="W1614" i="41"/>
  <c r="X1613" i="41"/>
  <c r="W1613" i="41"/>
  <c r="X1612" i="41"/>
  <c r="W1612" i="41"/>
  <c r="X1611" i="41"/>
  <c r="W1611" i="41"/>
  <c r="X1610" i="41"/>
  <c r="W1610" i="41"/>
  <c r="X1609" i="41"/>
  <c r="W1609" i="41"/>
  <c r="X1608" i="41"/>
  <c r="W1608" i="41"/>
  <c r="X1607" i="41"/>
  <c r="W1607" i="41"/>
  <c r="X1606" i="41"/>
  <c r="W1606" i="41"/>
  <c r="X1605" i="41"/>
  <c r="W1605" i="41"/>
  <c r="X1604" i="41"/>
  <c r="W1604" i="41"/>
  <c r="X1603" i="41"/>
  <c r="W1603" i="41"/>
  <c r="X1602" i="41"/>
  <c r="W1602" i="41"/>
  <c r="X1601" i="41"/>
  <c r="W1601" i="41"/>
  <c r="X1600" i="41"/>
  <c r="W1600" i="41"/>
  <c r="X1599" i="41"/>
  <c r="W1599" i="41"/>
  <c r="X1598" i="41"/>
  <c r="W1598" i="41"/>
  <c r="X1597" i="41"/>
  <c r="W1597" i="41"/>
  <c r="X1596" i="41"/>
  <c r="W1596" i="41"/>
  <c r="X1595" i="41"/>
  <c r="W1595" i="41"/>
  <c r="X1594" i="41"/>
  <c r="W1594" i="41"/>
  <c r="X1593" i="41"/>
  <c r="W1593" i="41"/>
  <c r="X1592" i="41"/>
  <c r="W1592" i="41"/>
  <c r="X1591" i="41"/>
  <c r="W1591" i="41"/>
  <c r="X1590" i="41"/>
  <c r="W1590" i="41"/>
  <c r="X1589" i="41"/>
  <c r="W1589" i="41"/>
  <c r="X1588" i="41"/>
  <c r="W1588" i="41"/>
  <c r="X1587" i="41"/>
  <c r="W1587" i="41"/>
  <c r="X1586" i="41"/>
  <c r="W1586" i="41"/>
  <c r="X1585" i="41"/>
  <c r="W1585" i="41"/>
  <c r="X1584" i="41"/>
  <c r="W1584" i="41"/>
  <c r="X1583" i="41"/>
  <c r="W1583" i="41"/>
  <c r="X1582" i="41"/>
  <c r="W1582" i="41"/>
  <c r="X1581" i="41"/>
  <c r="W1581" i="41"/>
  <c r="X1580" i="41"/>
  <c r="W1580" i="41"/>
  <c r="X1579" i="41"/>
  <c r="W1579" i="41"/>
  <c r="X1578" i="41"/>
  <c r="W1578" i="41"/>
  <c r="X1577" i="41"/>
  <c r="W1577" i="41"/>
  <c r="X1576" i="41"/>
  <c r="W1576" i="41"/>
  <c r="X1575" i="41"/>
  <c r="W1575" i="41"/>
  <c r="X1574" i="41"/>
  <c r="W1574" i="41"/>
  <c r="X1573" i="41"/>
  <c r="W1573" i="41"/>
  <c r="X1572" i="41"/>
  <c r="W1572" i="41"/>
  <c r="X1571" i="41"/>
  <c r="W1571" i="41"/>
  <c r="X1570" i="41"/>
  <c r="W1570" i="41"/>
  <c r="X1569" i="41"/>
  <c r="W1569" i="41"/>
  <c r="X1568" i="41"/>
  <c r="W1568" i="41"/>
  <c r="X1567" i="41"/>
  <c r="W1567" i="41"/>
  <c r="X1566" i="41"/>
  <c r="W1566" i="41"/>
  <c r="X1565" i="41"/>
  <c r="W1565" i="41"/>
  <c r="X1564" i="41"/>
  <c r="W1564" i="41"/>
  <c r="X1563" i="41"/>
  <c r="W1563" i="41"/>
  <c r="X1562" i="41"/>
  <c r="W1562" i="41"/>
  <c r="X1561" i="41"/>
  <c r="W1561" i="41"/>
  <c r="X1560" i="41"/>
  <c r="W1560" i="41"/>
  <c r="X1559" i="41"/>
  <c r="W1559" i="41"/>
  <c r="X1558" i="41"/>
  <c r="W1558" i="41"/>
  <c r="X1557" i="41"/>
  <c r="W1557" i="41"/>
  <c r="X1556" i="41"/>
  <c r="W1556" i="41"/>
  <c r="X1555" i="41"/>
  <c r="W1555" i="41"/>
  <c r="X1554" i="41"/>
  <c r="W1554" i="41"/>
  <c r="X1553" i="41"/>
  <c r="W1553" i="41"/>
  <c r="X1552" i="41"/>
  <c r="W1552" i="41"/>
  <c r="X1551" i="41"/>
  <c r="W1551" i="41"/>
  <c r="X1550" i="41"/>
  <c r="W1550" i="41"/>
  <c r="X1549" i="41"/>
  <c r="W1549" i="41"/>
  <c r="X1548" i="41"/>
  <c r="W1548" i="41"/>
  <c r="X1547" i="41"/>
  <c r="W1547" i="41"/>
  <c r="X1546" i="41"/>
  <c r="W1546" i="41"/>
  <c r="X1545" i="41"/>
  <c r="W1545" i="41"/>
  <c r="X1544" i="41"/>
  <c r="W1544" i="41"/>
  <c r="X1543" i="41"/>
  <c r="W1543" i="41"/>
  <c r="X1542" i="41"/>
  <c r="W1542" i="41"/>
  <c r="X1541" i="41"/>
  <c r="W1541" i="41"/>
  <c r="X1540" i="41"/>
  <c r="W1540" i="41"/>
  <c r="X1539" i="41"/>
  <c r="W1539" i="41"/>
  <c r="X1538" i="41"/>
  <c r="W1538" i="41"/>
  <c r="X1537" i="41"/>
  <c r="W1537" i="41"/>
  <c r="X1536" i="41"/>
  <c r="W1536" i="41"/>
  <c r="X1535" i="41"/>
  <c r="W1535" i="41"/>
  <c r="X1534" i="41"/>
  <c r="W1534" i="41"/>
  <c r="X1533" i="41"/>
  <c r="W1533" i="41"/>
  <c r="X1532" i="41"/>
  <c r="W1532" i="41"/>
  <c r="X1531" i="41"/>
  <c r="W1531" i="41"/>
  <c r="X1530" i="41"/>
  <c r="W1530" i="41"/>
  <c r="X1529" i="41"/>
  <c r="W1529" i="41"/>
  <c r="X1528" i="41"/>
  <c r="W1528" i="41"/>
  <c r="X1527" i="41"/>
  <c r="W1527" i="41"/>
  <c r="X1526" i="41"/>
  <c r="W1526" i="41"/>
  <c r="X1525" i="41"/>
  <c r="W1525" i="41"/>
  <c r="X1524" i="41"/>
  <c r="W1524" i="41"/>
  <c r="X1523" i="41"/>
  <c r="W1523" i="41"/>
  <c r="X1522" i="41"/>
  <c r="W1522" i="41"/>
  <c r="X1521" i="41"/>
  <c r="W1521" i="41"/>
  <c r="X1520" i="41"/>
  <c r="W1520" i="41"/>
  <c r="X1519" i="41"/>
  <c r="W1519" i="41"/>
  <c r="X1518" i="41"/>
  <c r="W1518" i="41"/>
  <c r="X1517" i="41"/>
  <c r="W1517" i="41"/>
  <c r="X1516" i="41"/>
  <c r="W1516" i="41"/>
  <c r="X1515" i="41"/>
  <c r="W1515" i="41"/>
  <c r="X1514" i="41"/>
  <c r="W1514" i="41"/>
  <c r="X1513" i="41"/>
  <c r="W1513" i="41"/>
  <c r="X1512" i="41"/>
  <c r="W1512" i="41"/>
  <c r="X1511" i="41"/>
  <c r="W1511" i="41"/>
  <c r="X1510" i="41"/>
  <c r="W1510" i="41"/>
  <c r="X1509" i="41"/>
  <c r="W1509" i="41"/>
  <c r="X1508" i="41"/>
  <c r="W1508" i="41"/>
  <c r="X1507" i="41"/>
  <c r="W1507" i="41"/>
  <c r="X1506" i="41"/>
  <c r="W1506" i="41"/>
  <c r="X1505" i="41"/>
  <c r="W1505" i="41"/>
  <c r="X1504" i="41"/>
  <c r="W1504" i="41"/>
  <c r="X1503" i="41"/>
  <c r="W1503" i="41"/>
  <c r="X1502" i="41"/>
  <c r="W1502" i="41"/>
  <c r="X1501" i="41"/>
  <c r="W1501" i="41"/>
  <c r="X1500" i="41"/>
  <c r="W1500" i="41"/>
  <c r="X1499" i="41"/>
  <c r="W1499" i="41"/>
  <c r="X1498" i="41"/>
  <c r="W1498" i="41"/>
  <c r="X1497" i="41"/>
  <c r="W1497" i="41"/>
  <c r="X1496" i="41"/>
  <c r="W1496" i="41"/>
  <c r="X1495" i="41"/>
  <c r="W1495" i="41"/>
  <c r="X1494" i="41"/>
  <c r="W1494" i="41"/>
  <c r="X1493" i="41"/>
  <c r="W1493" i="41"/>
  <c r="X1492" i="41"/>
  <c r="W1492" i="41"/>
  <c r="X1491" i="41"/>
  <c r="W1491" i="41"/>
  <c r="X1490" i="41"/>
  <c r="W1490" i="41"/>
  <c r="X1489" i="41"/>
  <c r="W1489" i="41"/>
  <c r="X1488" i="41"/>
  <c r="W1488" i="41"/>
  <c r="X1487" i="41"/>
  <c r="W1487" i="41"/>
  <c r="X1486" i="41"/>
  <c r="W1486" i="41"/>
  <c r="X1485" i="41"/>
  <c r="W1485" i="41"/>
  <c r="X1484" i="41"/>
  <c r="W1484" i="41"/>
  <c r="X1483" i="41"/>
  <c r="W1483" i="41"/>
  <c r="X1482" i="41"/>
  <c r="W1482" i="41"/>
  <c r="X1481" i="41"/>
  <c r="W1481" i="41"/>
  <c r="X1480" i="41"/>
  <c r="W1480" i="41"/>
  <c r="X1479" i="41"/>
  <c r="W1479" i="41"/>
  <c r="X1478" i="41"/>
  <c r="W1478" i="41"/>
  <c r="X1477" i="41"/>
  <c r="W1477" i="41"/>
  <c r="X1476" i="41"/>
  <c r="W1476" i="41"/>
  <c r="X1475" i="41"/>
  <c r="W1475" i="41"/>
  <c r="X1474" i="41"/>
  <c r="W1474" i="41"/>
  <c r="X1473" i="41"/>
  <c r="W1473" i="41"/>
  <c r="X1472" i="41"/>
  <c r="W1472" i="41"/>
  <c r="X1471" i="41"/>
  <c r="W1471" i="41"/>
  <c r="X1470" i="41"/>
  <c r="W1470" i="41"/>
  <c r="X1469" i="41"/>
  <c r="W1469" i="41"/>
  <c r="X1468" i="41"/>
  <c r="W1468" i="41"/>
  <c r="X1467" i="41"/>
  <c r="W1467" i="41"/>
  <c r="X1466" i="41"/>
  <c r="W1466" i="41"/>
  <c r="X1465" i="41"/>
  <c r="W1465" i="41"/>
  <c r="X1464" i="41"/>
  <c r="W1464" i="41"/>
  <c r="X1463" i="41"/>
  <c r="W1463" i="41"/>
  <c r="X1462" i="41"/>
  <c r="W1462" i="41"/>
  <c r="X1461" i="41"/>
  <c r="W1461" i="41"/>
  <c r="X1460" i="41"/>
  <c r="W1460" i="41"/>
  <c r="X1459" i="41"/>
  <c r="W1459" i="41"/>
  <c r="X1458" i="41"/>
  <c r="W1458" i="41"/>
  <c r="X1457" i="41"/>
  <c r="W1457" i="41"/>
  <c r="X1456" i="41"/>
  <c r="W1456" i="41"/>
  <c r="X1455" i="41"/>
  <c r="W1455" i="41"/>
  <c r="X1454" i="41"/>
  <c r="W1454" i="41"/>
  <c r="X1453" i="41"/>
  <c r="W1453" i="41"/>
  <c r="X1452" i="41"/>
  <c r="W1452" i="41"/>
  <c r="X1451" i="41"/>
  <c r="W1451" i="41"/>
  <c r="X1450" i="41"/>
  <c r="W1450" i="41"/>
  <c r="X1449" i="41"/>
  <c r="W1449" i="41"/>
  <c r="X1448" i="41"/>
  <c r="W1448" i="41"/>
  <c r="X1447" i="41"/>
  <c r="W1447" i="41"/>
  <c r="X1446" i="41"/>
  <c r="W1446" i="41"/>
  <c r="X1445" i="41"/>
  <c r="W1445" i="41"/>
  <c r="X1444" i="41"/>
  <c r="W1444" i="41"/>
  <c r="X1443" i="41"/>
  <c r="W1443" i="41"/>
  <c r="X1442" i="41"/>
  <c r="W1442" i="41"/>
  <c r="X1441" i="41"/>
  <c r="W1441" i="41"/>
  <c r="X1440" i="41"/>
  <c r="W1440" i="41"/>
  <c r="X1439" i="41"/>
  <c r="W1439" i="41"/>
  <c r="X1438" i="41"/>
  <c r="W1438" i="41"/>
  <c r="X1437" i="41"/>
  <c r="W1437" i="41"/>
  <c r="X1436" i="41"/>
  <c r="W1436" i="41"/>
  <c r="X1435" i="41"/>
  <c r="W1435" i="41"/>
  <c r="X1434" i="41"/>
  <c r="W1434" i="41"/>
  <c r="X1433" i="41"/>
  <c r="W1433" i="41"/>
  <c r="X1432" i="41"/>
  <c r="W1432" i="41"/>
  <c r="X1431" i="41"/>
  <c r="W1431" i="41"/>
  <c r="X1430" i="41"/>
  <c r="W1430" i="41"/>
  <c r="X1429" i="41"/>
  <c r="W1429" i="41"/>
  <c r="X1428" i="41"/>
  <c r="W1428" i="41"/>
  <c r="X1427" i="41"/>
  <c r="W1427" i="41"/>
  <c r="X1426" i="41"/>
  <c r="W1426" i="41"/>
  <c r="X1425" i="41"/>
  <c r="W1425" i="41"/>
  <c r="X1424" i="41"/>
  <c r="W1424" i="41"/>
  <c r="X1423" i="41"/>
  <c r="W1423" i="41"/>
  <c r="X1422" i="41"/>
  <c r="W1422" i="41"/>
  <c r="X1421" i="41"/>
  <c r="W1421" i="41"/>
  <c r="X1420" i="41"/>
  <c r="W1420" i="41"/>
  <c r="X1419" i="41"/>
  <c r="W1419" i="41"/>
  <c r="X1418" i="41"/>
  <c r="W1418" i="41"/>
  <c r="X1417" i="41"/>
  <c r="W1417" i="41"/>
  <c r="X1416" i="41"/>
  <c r="W1416" i="41"/>
  <c r="X1415" i="41"/>
  <c r="W1415" i="41"/>
  <c r="X1414" i="41"/>
  <c r="W1414" i="41"/>
  <c r="X1413" i="41"/>
  <c r="W1413" i="41"/>
  <c r="X1412" i="41"/>
  <c r="W1412" i="41"/>
  <c r="X1411" i="41"/>
  <c r="W1411" i="41"/>
  <c r="X1410" i="41"/>
  <c r="W1410" i="41"/>
  <c r="X1409" i="41"/>
  <c r="W1409" i="41"/>
  <c r="X1408" i="41"/>
  <c r="W1408" i="41"/>
  <c r="X1407" i="41"/>
  <c r="W1407" i="41"/>
  <c r="X1406" i="41"/>
  <c r="W1406" i="41"/>
  <c r="X1405" i="41"/>
  <c r="W1405" i="41"/>
  <c r="X1404" i="41"/>
  <c r="W1404" i="41"/>
  <c r="X1403" i="41"/>
  <c r="W1403" i="41"/>
  <c r="X1402" i="41"/>
  <c r="W1402" i="41"/>
  <c r="X1401" i="41"/>
  <c r="W1401" i="41"/>
  <c r="X1400" i="41"/>
  <c r="W1400" i="41"/>
  <c r="X1399" i="41"/>
  <c r="W1399" i="41"/>
  <c r="X1398" i="41"/>
  <c r="W1398" i="41"/>
  <c r="X1397" i="41"/>
  <c r="W1397" i="41"/>
  <c r="X1396" i="41"/>
  <c r="W1396" i="41"/>
  <c r="X1395" i="41"/>
  <c r="W1395" i="41"/>
  <c r="X1394" i="41"/>
  <c r="W1394" i="41"/>
  <c r="X1393" i="41"/>
  <c r="W1393" i="41"/>
  <c r="X1392" i="41"/>
  <c r="W1392" i="41"/>
  <c r="X1391" i="41"/>
  <c r="W1391" i="41"/>
  <c r="X1390" i="41"/>
  <c r="W1390" i="41"/>
  <c r="X1389" i="41"/>
  <c r="W1389" i="41"/>
  <c r="X1388" i="41"/>
  <c r="W1388" i="41"/>
  <c r="X1387" i="41"/>
  <c r="W1387" i="41"/>
  <c r="X1386" i="41"/>
  <c r="W1386" i="41"/>
  <c r="X1385" i="41"/>
  <c r="W1385" i="41"/>
  <c r="X1384" i="41"/>
  <c r="W1384" i="41"/>
  <c r="X1383" i="41"/>
  <c r="W1383" i="41"/>
  <c r="X1382" i="41"/>
  <c r="W1382" i="41"/>
  <c r="X1381" i="41"/>
  <c r="W1381" i="41"/>
  <c r="X1380" i="41"/>
  <c r="W1380" i="41"/>
  <c r="X1379" i="41"/>
  <c r="W1379" i="41"/>
  <c r="X1378" i="41"/>
  <c r="W1378" i="41"/>
  <c r="X1377" i="41"/>
  <c r="W1377" i="41"/>
  <c r="X1376" i="41"/>
  <c r="W1376" i="41"/>
  <c r="X1375" i="41"/>
  <c r="W1375" i="41"/>
  <c r="X1374" i="41"/>
  <c r="W1374" i="41"/>
  <c r="X1373" i="41"/>
  <c r="W1373" i="41"/>
  <c r="X1372" i="41"/>
  <c r="W1372" i="41"/>
  <c r="X1371" i="41"/>
  <c r="W1371" i="41"/>
  <c r="X1370" i="41"/>
  <c r="W1370" i="41"/>
  <c r="X1369" i="41"/>
  <c r="W1369" i="41"/>
  <c r="X1368" i="41"/>
  <c r="W1368" i="41"/>
  <c r="X1367" i="41"/>
  <c r="W1367" i="41"/>
  <c r="X1366" i="41"/>
  <c r="W1366" i="41"/>
  <c r="X1365" i="41"/>
  <c r="W1365" i="41"/>
  <c r="X1364" i="41"/>
  <c r="W1364" i="41"/>
  <c r="X1363" i="41"/>
  <c r="W1363" i="41"/>
  <c r="X1362" i="41"/>
  <c r="W1362" i="41"/>
  <c r="X1361" i="41"/>
  <c r="W1361" i="41"/>
  <c r="X1360" i="41"/>
  <c r="W1360" i="41"/>
  <c r="X1359" i="41"/>
  <c r="W1359" i="41"/>
  <c r="X1358" i="41"/>
  <c r="W1358" i="41"/>
  <c r="X1357" i="41"/>
  <c r="W1357" i="41"/>
  <c r="X1356" i="41"/>
  <c r="W1356" i="41"/>
  <c r="X1355" i="41"/>
  <c r="W1355" i="41"/>
  <c r="X1354" i="41"/>
  <c r="W1354" i="41"/>
  <c r="X1353" i="41"/>
  <c r="W1353" i="41"/>
  <c r="X1352" i="41"/>
  <c r="W1352" i="41"/>
  <c r="X1351" i="41"/>
  <c r="W1351" i="41"/>
  <c r="X1350" i="41"/>
  <c r="W1350" i="41"/>
  <c r="X1349" i="41"/>
  <c r="W1349" i="41"/>
  <c r="X1348" i="41"/>
  <c r="W1348" i="41"/>
  <c r="X1347" i="41"/>
  <c r="W1347" i="41"/>
  <c r="X1346" i="41"/>
  <c r="W1346" i="41"/>
  <c r="X1345" i="41"/>
  <c r="W1345" i="41"/>
  <c r="X1344" i="41"/>
  <c r="W1344" i="41"/>
  <c r="X1343" i="41"/>
  <c r="W1343" i="41"/>
  <c r="X1342" i="41"/>
  <c r="W1342" i="41"/>
  <c r="X1341" i="41"/>
  <c r="W1341" i="41"/>
  <c r="X1340" i="41"/>
  <c r="W1340" i="41"/>
  <c r="X1339" i="41"/>
  <c r="W1339" i="41"/>
  <c r="X1338" i="41"/>
  <c r="W1338" i="41"/>
  <c r="X1337" i="41"/>
  <c r="W1337" i="41"/>
  <c r="X1336" i="41"/>
  <c r="W1336" i="41"/>
  <c r="X1335" i="41"/>
  <c r="W1335" i="41"/>
  <c r="X1334" i="41"/>
  <c r="W1334" i="41"/>
  <c r="X1333" i="41"/>
  <c r="W1333" i="41"/>
  <c r="X1332" i="41"/>
  <c r="W1332" i="41"/>
  <c r="X1331" i="41"/>
  <c r="W1331" i="41"/>
  <c r="X1330" i="41"/>
  <c r="W1330" i="41"/>
  <c r="X1329" i="41"/>
  <c r="W1329" i="41"/>
  <c r="X1328" i="41"/>
  <c r="W1328" i="41"/>
  <c r="X1327" i="41"/>
  <c r="W1327" i="41"/>
  <c r="X1326" i="41"/>
  <c r="W1326" i="41"/>
  <c r="X1325" i="41"/>
  <c r="W1325" i="41"/>
  <c r="X1324" i="41"/>
  <c r="W1324" i="41"/>
  <c r="X1323" i="41"/>
  <c r="W1323" i="41"/>
  <c r="X1322" i="41"/>
  <c r="W1322" i="41"/>
  <c r="X1321" i="41"/>
  <c r="W1321" i="41"/>
  <c r="X1320" i="41"/>
  <c r="W1320" i="41"/>
  <c r="X1319" i="41"/>
  <c r="W1319" i="41"/>
  <c r="X1318" i="41"/>
  <c r="W1318" i="41"/>
  <c r="X1317" i="41"/>
  <c r="W1317" i="41"/>
  <c r="X1316" i="41"/>
  <c r="W1316" i="41"/>
  <c r="X1315" i="41"/>
  <c r="W1315" i="41"/>
  <c r="X1314" i="41"/>
  <c r="W1314" i="41"/>
  <c r="X1313" i="41"/>
  <c r="W1313" i="41"/>
  <c r="X1312" i="41"/>
  <c r="W1312" i="41"/>
  <c r="X1311" i="41"/>
  <c r="W1311" i="41"/>
  <c r="X1310" i="41"/>
  <c r="W1310" i="41"/>
  <c r="X1309" i="41"/>
  <c r="W1309" i="41"/>
  <c r="X1308" i="41"/>
  <c r="W1308" i="41"/>
  <c r="X1307" i="41"/>
  <c r="W1307" i="41"/>
  <c r="X1306" i="41"/>
  <c r="W1306" i="41"/>
  <c r="X1305" i="41"/>
  <c r="W1305" i="41"/>
  <c r="X1304" i="41"/>
  <c r="W1304" i="41"/>
  <c r="X1303" i="41"/>
  <c r="W1303" i="41"/>
  <c r="X1302" i="41"/>
  <c r="W1302" i="41"/>
  <c r="X1301" i="41"/>
  <c r="W1301" i="41"/>
  <c r="X1300" i="41"/>
  <c r="W1300" i="41"/>
  <c r="X1299" i="41"/>
  <c r="W1299" i="41"/>
  <c r="X1298" i="41"/>
  <c r="W1298" i="41"/>
  <c r="X1297" i="41"/>
  <c r="W1297" i="41"/>
  <c r="X1296" i="41"/>
  <c r="W1296" i="41"/>
  <c r="X1295" i="41"/>
  <c r="W1295" i="41"/>
  <c r="X1294" i="41"/>
  <c r="W1294" i="41"/>
  <c r="X1293" i="41"/>
  <c r="W1293" i="41"/>
  <c r="X1292" i="41"/>
  <c r="W1292" i="41"/>
  <c r="X1291" i="41"/>
  <c r="W1291" i="41"/>
  <c r="X1290" i="41"/>
  <c r="W1290" i="41"/>
  <c r="X1289" i="41"/>
  <c r="W1289" i="41"/>
  <c r="X1288" i="41"/>
  <c r="W1288" i="41"/>
  <c r="X1287" i="41"/>
  <c r="W1287" i="41"/>
  <c r="X1286" i="41"/>
  <c r="W1286" i="41"/>
  <c r="X1285" i="41"/>
  <c r="W1285" i="41"/>
  <c r="X1284" i="41"/>
  <c r="W1284" i="41"/>
  <c r="X1283" i="41"/>
  <c r="W1283" i="41"/>
  <c r="X1282" i="41"/>
  <c r="W1282" i="41"/>
  <c r="X1281" i="41"/>
  <c r="W1281" i="41"/>
  <c r="X1280" i="41"/>
  <c r="W1280" i="41"/>
  <c r="X1279" i="41"/>
  <c r="W1279" i="41"/>
  <c r="X1278" i="41"/>
  <c r="W1278" i="41"/>
  <c r="X1277" i="41"/>
  <c r="W1277" i="41"/>
  <c r="X1276" i="41"/>
  <c r="W1276" i="41"/>
  <c r="X1275" i="41"/>
  <c r="W1275" i="41"/>
  <c r="X1274" i="41"/>
  <c r="W1274" i="41"/>
  <c r="X1273" i="41"/>
  <c r="W1273" i="41"/>
  <c r="X1272" i="41"/>
  <c r="W1272" i="41"/>
  <c r="X1271" i="41"/>
  <c r="W1271" i="41"/>
  <c r="X1270" i="41"/>
  <c r="W1270" i="41"/>
  <c r="X1269" i="41"/>
  <c r="W1269" i="41"/>
  <c r="X1268" i="41"/>
  <c r="W1268" i="41"/>
  <c r="X1267" i="41"/>
  <c r="W1267" i="41"/>
  <c r="X1266" i="41"/>
  <c r="W1266" i="41"/>
  <c r="X1265" i="41"/>
  <c r="W1265" i="41"/>
  <c r="X1264" i="41"/>
  <c r="W1264" i="41"/>
  <c r="X1263" i="41"/>
  <c r="W1263" i="41"/>
  <c r="X1262" i="41"/>
  <c r="W1262" i="41"/>
  <c r="X1261" i="41"/>
  <c r="W1261" i="41"/>
  <c r="X1260" i="41"/>
  <c r="W1260" i="41"/>
  <c r="X1259" i="41"/>
  <c r="W1259" i="41"/>
  <c r="X1258" i="41"/>
  <c r="W1258" i="41"/>
  <c r="X1257" i="41"/>
  <c r="W1257" i="41"/>
  <c r="X1256" i="41"/>
  <c r="W1256" i="41"/>
  <c r="X1255" i="41"/>
  <c r="W1255" i="41"/>
  <c r="X1254" i="41"/>
  <c r="W1254" i="41"/>
  <c r="X1253" i="41"/>
  <c r="W1253" i="41"/>
  <c r="X1252" i="41"/>
  <c r="W1252" i="41"/>
  <c r="X1251" i="41"/>
  <c r="W1251" i="41"/>
  <c r="X1250" i="41"/>
  <c r="W1250" i="41"/>
  <c r="X1249" i="41"/>
  <c r="W1249" i="41"/>
  <c r="X1248" i="41"/>
  <c r="W1248" i="41"/>
  <c r="X1247" i="41"/>
  <c r="W1247" i="41"/>
  <c r="X1246" i="41"/>
  <c r="W1246" i="41"/>
  <c r="X1245" i="41"/>
  <c r="W1245" i="41"/>
  <c r="X1244" i="41"/>
  <c r="W1244" i="41"/>
  <c r="X1243" i="41"/>
  <c r="W1243" i="41"/>
  <c r="X1242" i="41"/>
  <c r="W1242" i="41"/>
  <c r="X1241" i="41"/>
  <c r="W1241" i="41"/>
  <c r="X1240" i="41"/>
  <c r="W1240" i="41"/>
  <c r="X1239" i="41"/>
  <c r="W1239" i="41"/>
  <c r="X1238" i="41"/>
  <c r="W1238" i="41"/>
  <c r="X1237" i="41"/>
  <c r="W1237" i="41"/>
  <c r="X1236" i="41"/>
  <c r="W1236" i="41"/>
  <c r="X1235" i="41"/>
  <c r="W1235" i="41"/>
  <c r="X1234" i="41"/>
  <c r="W1234" i="41"/>
  <c r="X1233" i="41"/>
  <c r="W1233" i="41"/>
  <c r="X1232" i="41"/>
  <c r="W1232" i="41"/>
  <c r="X1231" i="41"/>
  <c r="W1231" i="41"/>
  <c r="X1230" i="41"/>
  <c r="W1230" i="41"/>
  <c r="X1229" i="41"/>
  <c r="W1229" i="41"/>
  <c r="X1228" i="41"/>
  <c r="W1228" i="41"/>
  <c r="X1227" i="41"/>
  <c r="W1227" i="41"/>
  <c r="X1226" i="41"/>
  <c r="W1226" i="41"/>
  <c r="X1225" i="41"/>
  <c r="W1225" i="41"/>
  <c r="X1224" i="41"/>
  <c r="W1224" i="41"/>
  <c r="X1223" i="41"/>
  <c r="W1223" i="41"/>
  <c r="X1222" i="41"/>
  <c r="W1222" i="41"/>
  <c r="X1221" i="41"/>
  <c r="W1221" i="41"/>
  <c r="X1220" i="41"/>
  <c r="W1220" i="41"/>
  <c r="X1219" i="41"/>
  <c r="W1219" i="41"/>
  <c r="X1218" i="41"/>
  <c r="W1218" i="41"/>
  <c r="X1217" i="41"/>
  <c r="W1217" i="41"/>
  <c r="X1216" i="41"/>
  <c r="W1216" i="41"/>
  <c r="X1215" i="41"/>
  <c r="W1215" i="41"/>
  <c r="X1214" i="41"/>
  <c r="W1214" i="41"/>
  <c r="X1213" i="41"/>
  <c r="W1213" i="41"/>
  <c r="X1212" i="41"/>
  <c r="W1212" i="41"/>
  <c r="X1211" i="41"/>
  <c r="W1211" i="41"/>
  <c r="X1210" i="41"/>
  <c r="W1210" i="41"/>
  <c r="X1209" i="41"/>
  <c r="W1209" i="41"/>
  <c r="X1208" i="41"/>
  <c r="W1208" i="41"/>
  <c r="X1207" i="41"/>
  <c r="W1207" i="41"/>
  <c r="X1206" i="41"/>
  <c r="W1206" i="41"/>
  <c r="X1205" i="41"/>
  <c r="W1205" i="41"/>
  <c r="X1204" i="41"/>
  <c r="W1204" i="41"/>
  <c r="X1203" i="41"/>
  <c r="W1203" i="41"/>
  <c r="X1202" i="41"/>
  <c r="W1202" i="41"/>
  <c r="X1201" i="41"/>
  <c r="W1201" i="41"/>
  <c r="X1200" i="41"/>
  <c r="W1200" i="41"/>
  <c r="X1199" i="41"/>
  <c r="W1199" i="41"/>
  <c r="X1198" i="41"/>
  <c r="W1198" i="41"/>
  <c r="X1197" i="41"/>
  <c r="W1197" i="41"/>
  <c r="X1196" i="41"/>
  <c r="W1196" i="41"/>
  <c r="X1195" i="41"/>
  <c r="W1195" i="41"/>
  <c r="X1194" i="41"/>
  <c r="W1194" i="41"/>
  <c r="X1193" i="41"/>
  <c r="W1193" i="41"/>
  <c r="X1192" i="41"/>
  <c r="W1192" i="41"/>
  <c r="X1191" i="41"/>
  <c r="W1191" i="41"/>
  <c r="X1190" i="41"/>
  <c r="W1190" i="41"/>
  <c r="X1189" i="41"/>
  <c r="W1189" i="41"/>
  <c r="X1188" i="41"/>
  <c r="W1188" i="41"/>
  <c r="X1187" i="41"/>
  <c r="W1187" i="41"/>
  <c r="X1186" i="41"/>
  <c r="W1186" i="41"/>
  <c r="X1185" i="41"/>
  <c r="W1185" i="41"/>
  <c r="X1184" i="41"/>
  <c r="W1184" i="41"/>
  <c r="X1183" i="41"/>
  <c r="W1183" i="41"/>
  <c r="X1182" i="41"/>
  <c r="W1182" i="41"/>
  <c r="X1181" i="41"/>
  <c r="W1181" i="41"/>
  <c r="X1180" i="41"/>
  <c r="W1180" i="41"/>
  <c r="X1179" i="41"/>
  <c r="W1179" i="41"/>
  <c r="X1178" i="41"/>
  <c r="W1178" i="41"/>
  <c r="X1177" i="41"/>
  <c r="W1177" i="41"/>
  <c r="X1176" i="41"/>
  <c r="W1176" i="41"/>
  <c r="X1175" i="41"/>
  <c r="W1175" i="41"/>
  <c r="X1174" i="41"/>
  <c r="W1174" i="41"/>
  <c r="X1173" i="41"/>
  <c r="W1173" i="41"/>
  <c r="X1172" i="41"/>
  <c r="W1172" i="41"/>
  <c r="X1171" i="41"/>
  <c r="W1171" i="41"/>
  <c r="X1170" i="41"/>
  <c r="W1170" i="41"/>
  <c r="X1169" i="41"/>
  <c r="W1169" i="41"/>
  <c r="X1168" i="41"/>
  <c r="W1168" i="41"/>
  <c r="X1167" i="41"/>
  <c r="W1167" i="41"/>
  <c r="X1166" i="41"/>
  <c r="W1166" i="41"/>
  <c r="X1165" i="41"/>
  <c r="W1165" i="41"/>
  <c r="X1164" i="41"/>
  <c r="W1164" i="41"/>
  <c r="X1163" i="41"/>
  <c r="W1163" i="41"/>
  <c r="X1162" i="41"/>
  <c r="W1162" i="41"/>
  <c r="X1161" i="41"/>
  <c r="W1161" i="41"/>
  <c r="X1160" i="41"/>
  <c r="W1160" i="41"/>
  <c r="X1159" i="41"/>
  <c r="W1159" i="41"/>
  <c r="X1158" i="41"/>
  <c r="W1158" i="41"/>
  <c r="X1157" i="41"/>
  <c r="W1157" i="41"/>
  <c r="X1156" i="41"/>
  <c r="W1156" i="41"/>
  <c r="X1155" i="41"/>
  <c r="W1155" i="41"/>
  <c r="X1154" i="41"/>
  <c r="W1154" i="41"/>
  <c r="X1153" i="41"/>
  <c r="W1153" i="41"/>
  <c r="X1152" i="41"/>
  <c r="W1152" i="41"/>
  <c r="X1151" i="41"/>
  <c r="W1151" i="41"/>
  <c r="X1150" i="41"/>
  <c r="W1150" i="41"/>
  <c r="X1149" i="41"/>
  <c r="W1149" i="41"/>
  <c r="X1148" i="41"/>
  <c r="W1148" i="41"/>
  <c r="X1147" i="41"/>
  <c r="W1147" i="41"/>
  <c r="X1146" i="41"/>
  <c r="W1146" i="41"/>
  <c r="X1145" i="41"/>
  <c r="W1145" i="41"/>
  <c r="X1144" i="41"/>
  <c r="W1144" i="41"/>
  <c r="X1143" i="41"/>
  <c r="W1143" i="41"/>
  <c r="X1142" i="41"/>
  <c r="W1142" i="41"/>
  <c r="X1141" i="41"/>
  <c r="W1141" i="41"/>
  <c r="X1140" i="41"/>
  <c r="W1140" i="41"/>
  <c r="X1139" i="41"/>
  <c r="W1139" i="41"/>
  <c r="X1138" i="41"/>
  <c r="W1138" i="41"/>
  <c r="X1137" i="41"/>
  <c r="W1137" i="41"/>
  <c r="X1136" i="41"/>
  <c r="W1136" i="41"/>
  <c r="X1135" i="41"/>
  <c r="W1135" i="41"/>
  <c r="X1134" i="41"/>
  <c r="W1134" i="41"/>
  <c r="X1133" i="41"/>
  <c r="W1133" i="41"/>
  <c r="X1132" i="41"/>
  <c r="W1132" i="41"/>
  <c r="X1131" i="41"/>
  <c r="W1131" i="41"/>
  <c r="X1130" i="41"/>
  <c r="W1130" i="41"/>
  <c r="X1129" i="41"/>
  <c r="W1129" i="41"/>
  <c r="X1128" i="41"/>
  <c r="W1128" i="41"/>
  <c r="X1127" i="41"/>
  <c r="W1127" i="41"/>
  <c r="X1126" i="41"/>
  <c r="W1126" i="41"/>
  <c r="X1125" i="41"/>
  <c r="W1125" i="41"/>
  <c r="X1124" i="41"/>
  <c r="W1124" i="41"/>
  <c r="X1123" i="41"/>
  <c r="W1123" i="41"/>
  <c r="X1122" i="41"/>
  <c r="W1122" i="41"/>
  <c r="X1121" i="41"/>
  <c r="W1121" i="41"/>
  <c r="X1120" i="41"/>
  <c r="W1120" i="41"/>
  <c r="X1119" i="41"/>
  <c r="W1119" i="41"/>
  <c r="X1118" i="41"/>
  <c r="W1118" i="41"/>
  <c r="X1117" i="41"/>
  <c r="W1117" i="41"/>
  <c r="X1116" i="41"/>
  <c r="W1116" i="41"/>
  <c r="X1115" i="41"/>
  <c r="W1115" i="41"/>
  <c r="X1114" i="41"/>
  <c r="W1114" i="41"/>
  <c r="X1113" i="41"/>
  <c r="W1113" i="41"/>
  <c r="X1112" i="41"/>
  <c r="W1112" i="41"/>
  <c r="X1111" i="41"/>
  <c r="W1111" i="41"/>
  <c r="X1110" i="41"/>
  <c r="W1110" i="41"/>
  <c r="X1109" i="41"/>
  <c r="W1109" i="41"/>
  <c r="X1108" i="41"/>
  <c r="W1108" i="41"/>
  <c r="X1107" i="41"/>
  <c r="W1107" i="41"/>
  <c r="X1106" i="41"/>
  <c r="W1106" i="41"/>
  <c r="X1105" i="41"/>
  <c r="W1105" i="41"/>
  <c r="X1104" i="41"/>
  <c r="W1104" i="41"/>
  <c r="X1103" i="41"/>
  <c r="W1103" i="41"/>
  <c r="X1102" i="41"/>
  <c r="W1102" i="41"/>
  <c r="X1101" i="41"/>
  <c r="W1101" i="41"/>
  <c r="X1100" i="41"/>
  <c r="W1100" i="41"/>
  <c r="X1099" i="41"/>
  <c r="W1099" i="41"/>
  <c r="X1098" i="41"/>
  <c r="W1098" i="41"/>
  <c r="X1097" i="41"/>
  <c r="W1097" i="41"/>
  <c r="X1096" i="41"/>
  <c r="W1096" i="41"/>
  <c r="X1095" i="41"/>
  <c r="W1095" i="41"/>
  <c r="X1094" i="41"/>
  <c r="W1094" i="41"/>
  <c r="X1093" i="41"/>
  <c r="W1093" i="41"/>
  <c r="X1092" i="41"/>
  <c r="W1092" i="41"/>
  <c r="X1091" i="41"/>
  <c r="W1091" i="41"/>
  <c r="X1090" i="41"/>
  <c r="W1090" i="41"/>
  <c r="X1089" i="41"/>
  <c r="W1089" i="41"/>
  <c r="X1088" i="41"/>
  <c r="W1088" i="41"/>
  <c r="X1087" i="41"/>
  <c r="W1087" i="41"/>
  <c r="X1086" i="41"/>
  <c r="W1086" i="41"/>
  <c r="X1085" i="41"/>
  <c r="W1085" i="41"/>
  <c r="X1084" i="41"/>
  <c r="W1084" i="41"/>
  <c r="X1083" i="41"/>
  <c r="W1083" i="41"/>
  <c r="X1082" i="41"/>
  <c r="W1082" i="41"/>
  <c r="X1081" i="41"/>
  <c r="W1081" i="41"/>
  <c r="X1080" i="41"/>
  <c r="W1080" i="41"/>
  <c r="X1079" i="41"/>
  <c r="W1079" i="41"/>
  <c r="X1078" i="41"/>
  <c r="W1078" i="41"/>
  <c r="X1077" i="41"/>
  <c r="W1077" i="41"/>
  <c r="X1076" i="41"/>
  <c r="W1076" i="41"/>
  <c r="X1075" i="41"/>
  <c r="W1075" i="41"/>
  <c r="X1074" i="41"/>
  <c r="W1074" i="41"/>
  <c r="X1073" i="41"/>
  <c r="W1073" i="41"/>
  <c r="X1072" i="41"/>
  <c r="W1072" i="41"/>
  <c r="X1071" i="41"/>
  <c r="W1071" i="41"/>
  <c r="X1070" i="41"/>
  <c r="W1070" i="41"/>
  <c r="X1069" i="41"/>
  <c r="W1069" i="41"/>
  <c r="X1068" i="41"/>
  <c r="W1068" i="41"/>
  <c r="X1067" i="41"/>
  <c r="W1067" i="41"/>
  <c r="X1066" i="41"/>
  <c r="W1066" i="41"/>
  <c r="X1065" i="41"/>
  <c r="W1065" i="41"/>
  <c r="X1064" i="41"/>
  <c r="W1064" i="41"/>
  <c r="X1063" i="41"/>
  <c r="W1063" i="41"/>
  <c r="X1062" i="41"/>
  <c r="W1062" i="41"/>
  <c r="X1061" i="41"/>
  <c r="W1061" i="41"/>
  <c r="X1060" i="41"/>
  <c r="W1060" i="41"/>
  <c r="X1059" i="41"/>
  <c r="W1059" i="41"/>
  <c r="X1058" i="41"/>
  <c r="W1058" i="41"/>
  <c r="X1057" i="41"/>
  <c r="W1057" i="41"/>
  <c r="X1056" i="41"/>
  <c r="W1056" i="41"/>
  <c r="X1055" i="41"/>
  <c r="W1055" i="41"/>
  <c r="X1054" i="41"/>
  <c r="W1054" i="41"/>
  <c r="X1053" i="41"/>
  <c r="W1053" i="41"/>
  <c r="X1052" i="41"/>
  <c r="W1052" i="41"/>
  <c r="X1051" i="41"/>
  <c r="W1051" i="41"/>
  <c r="X1050" i="41"/>
  <c r="W1050" i="41"/>
  <c r="X1049" i="41"/>
  <c r="W1049" i="41"/>
  <c r="X1048" i="41"/>
  <c r="W1048" i="41"/>
  <c r="X1047" i="41"/>
  <c r="W1047" i="41"/>
  <c r="X1046" i="41"/>
  <c r="W1046" i="41"/>
  <c r="X1045" i="41"/>
  <c r="W1045" i="41"/>
  <c r="X1044" i="41"/>
  <c r="W1044" i="41"/>
  <c r="X1043" i="41"/>
  <c r="W1043" i="41"/>
  <c r="X1042" i="41"/>
  <c r="W1042" i="41"/>
  <c r="X1041" i="41"/>
  <c r="W1041" i="41"/>
  <c r="X1040" i="41"/>
  <c r="W1040" i="41"/>
  <c r="X1039" i="41"/>
  <c r="W1039" i="41"/>
  <c r="X1038" i="41"/>
  <c r="W1038" i="41"/>
  <c r="X1037" i="41"/>
  <c r="W1037" i="41"/>
  <c r="X1036" i="41"/>
  <c r="W1036" i="41"/>
  <c r="X1035" i="41"/>
  <c r="W1035" i="41"/>
  <c r="X1034" i="41"/>
  <c r="W1034" i="41"/>
  <c r="X1033" i="41"/>
  <c r="W1033" i="41"/>
  <c r="X1032" i="41"/>
  <c r="W1032" i="41"/>
  <c r="X1031" i="41"/>
  <c r="W1031" i="41"/>
  <c r="X1030" i="41"/>
  <c r="W1030" i="41"/>
  <c r="X1029" i="41"/>
  <c r="W1029" i="41"/>
  <c r="X1028" i="41"/>
  <c r="W1028" i="41"/>
  <c r="X1027" i="41"/>
  <c r="W1027" i="41"/>
  <c r="X1026" i="41"/>
  <c r="W1026" i="41"/>
  <c r="X1025" i="41"/>
  <c r="W1025" i="41"/>
  <c r="X1024" i="41"/>
  <c r="W1024" i="41"/>
  <c r="X1023" i="41"/>
  <c r="W1023" i="41"/>
  <c r="X1022" i="41"/>
  <c r="W1022" i="41"/>
  <c r="X1021" i="41"/>
  <c r="W1021" i="41"/>
  <c r="X1020" i="41"/>
  <c r="W1020" i="41"/>
  <c r="X1019" i="41"/>
  <c r="W1019" i="41"/>
  <c r="X1018" i="41"/>
  <c r="W1018" i="41"/>
  <c r="X1017" i="41"/>
  <c r="W1017" i="41"/>
  <c r="X1016" i="41"/>
  <c r="W1016" i="41"/>
  <c r="X1015" i="41"/>
  <c r="W1015" i="41"/>
  <c r="X1014" i="41"/>
  <c r="W1014" i="41"/>
  <c r="X1013" i="41"/>
  <c r="W1013" i="41"/>
  <c r="X1012" i="41"/>
  <c r="W1012" i="41"/>
  <c r="X1011" i="41"/>
  <c r="W1011" i="41"/>
  <c r="X1010" i="41"/>
  <c r="W1010" i="41"/>
  <c r="X1009" i="41"/>
  <c r="W1009" i="41"/>
  <c r="X1008" i="41"/>
  <c r="W1008" i="41"/>
  <c r="X1007" i="41"/>
  <c r="W1007" i="41"/>
  <c r="X1006" i="41"/>
  <c r="W1006" i="41"/>
  <c r="X1005" i="41"/>
  <c r="W1005" i="41"/>
  <c r="X1004" i="41"/>
  <c r="W1004" i="41"/>
  <c r="X1003" i="41"/>
  <c r="W1003" i="41"/>
  <c r="X1002" i="41"/>
  <c r="W1002" i="41"/>
  <c r="X1001" i="41"/>
  <c r="W1001" i="41"/>
  <c r="X1000" i="41"/>
  <c r="W1000" i="41"/>
  <c r="X999" i="41"/>
  <c r="W999" i="41"/>
  <c r="X998" i="41"/>
  <c r="W998" i="41"/>
  <c r="X997" i="41"/>
  <c r="W997" i="41"/>
  <c r="X996" i="41"/>
  <c r="W996" i="41"/>
  <c r="X995" i="41"/>
  <c r="W995" i="41"/>
  <c r="X994" i="41"/>
  <c r="W994" i="41"/>
  <c r="X993" i="41"/>
  <c r="W993" i="41"/>
  <c r="X992" i="41"/>
  <c r="W992" i="41"/>
  <c r="X991" i="41"/>
  <c r="W991" i="41"/>
  <c r="X990" i="41"/>
  <c r="W990" i="41"/>
  <c r="X989" i="41"/>
  <c r="W989" i="41"/>
  <c r="X988" i="41"/>
  <c r="W988" i="41"/>
  <c r="X987" i="41"/>
  <c r="W987" i="41"/>
  <c r="X986" i="41"/>
  <c r="W986" i="41"/>
  <c r="X985" i="41"/>
  <c r="W985" i="41"/>
  <c r="X984" i="41"/>
  <c r="W984" i="41"/>
  <c r="X983" i="41"/>
  <c r="W983" i="41"/>
  <c r="X982" i="41"/>
  <c r="W982" i="41"/>
  <c r="X981" i="41"/>
  <c r="W981" i="41"/>
  <c r="X980" i="41"/>
  <c r="W980" i="41"/>
  <c r="X979" i="41"/>
  <c r="W979" i="41"/>
  <c r="X978" i="41"/>
  <c r="W978" i="41"/>
  <c r="X977" i="41"/>
  <c r="W977" i="41"/>
  <c r="X976" i="41"/>
  <c r="W976" i="41"/>
  <c r="X975" i="41"/>
  <c r="W975" i="41"/>
  <c r="X974" i="41"/>
  <c r="W974" i="41"/>
  <c r="X973" i="41"/>
  <c r="W973" i="41"/>
  <c r="X972" i="41"/>
  <c r="W972" i="41"/>
  <c r="X971" i="41"/>
  <c r="W971" i="41"/>
  <c r="X970" i="41"/>
  <c r="W970" i="41"/>
  <c r="X969" i="41"/>
  <c r="W969" i="41"/>
  <c r="X968" i="41"/>
  <c r="W968" i="41"/>
  <c r="X967" i="41"/>
  <c r="W967" i="41"/>
  <c r="X966" i="41"/>
  <c r="W966" i="41"/>
  <c r="X965" i="41"/>
  <c r="W965" i="41"/>
  <c r="X964" i="41"/>
  <c r="W964" i="41"/>
  <c r="X963" i="41"/>
  <c r="W963" i="41"/>
  <c r="X962" i="41"/>
  <c r="W962" i="41"/>
  <c r="X961" i="41"/>
  <c r="W961" i="41"/>
  <c r="X960" i="41"/>
  <c r="W960" i="41"/>
  <c r="X959" i="41"/>
  <c r="W959" i="41"/>
  <c r="X958" i="41"/>
  <c r="W958" i="41"/>
  <c r="X957" i="41"/>
  <c r="W957" i="41"/>
  <c r="X956" i="41"/>
  <c r="W956" i="41"/>
  <c r="X955" i="41"/>
  <c r="W955" i="41"/>
  <c r="X954" i="41"/>
  <c r="W954" i="41"/>
  <c r="X953" i="41"/>
  <c r="W953" i="41"/>
  <c r="X952" i="41"/>
  <c r="W952" i="41"/>
  <c r="X951" i="41"/>
  <c r="W951" i="41"/>
  <c r="X950" i="41"/>
  <c r="W950" i="41"/>
  <c r="X949" i="41"/>
  <c r="W949" i="41"/>
  <c r="X948" i="41"/>
  <c r="W948" i="41"/>
  <c r="X947" i="41"/>
  <c r="W947" i="41"/>
  <c r="X946" i="41"/>
  <c r="W946" i="41"/>
  <c r="X945" i="41"/>
  <c r="W945" i="41"/>
  <c r="X944" i="41"/>
  <c r="W944" i="41"/>
  <c r="X943" i="41"/>
  <c r="W943" i="41"/>
  <c r="X942" i="41"/>
  <c r="W942" i="41"/>
  <c r="X941" i="41"/>
  <c r="W941" i="41"/>
  <c r="X940" i="41"/>
  <c r="W940" i="41"/>
  <c r="X939" i="41"/>
  <c r="W939" i="41"/>
  <c r="X938" i="41"/>
  <c r="W938" i="41"/>
  <c r="X937" i="41"/>
  <c r="W937" i="41"/>
  <c r="X936" i="41"/>
  <c r="W936" i="41"/>
  <c r="X935" i="41"/>
  <c r="W935" i="41"/>
  <c r="X934" i="41"/>
  <c r="W934" i="41"/>
  <c r="X933" i="41"/>
  <c r="W933" i="41"/>
  <c r="X932" i="41"/>
  <c r="W932" i="41"/>
  <c r="X931" i="41"/>
  <c r="W931" i="41"/>
  <c r="X930" i="41"/>
  <c r="W930" i="41"/>
  <c r="X929" i="41"/>
  <c r="W929" i="41"/>
  <c r="X928" i="41"/>
  <c r="W928" i="41"/>
  <c r="X927" i="41"/>
  <c r="W927" i="41"/>
  <c r="X926" i="41"/>
  <c r="W926" i="41"/>
  <c r="X925" i="41"/>
  <c r="W925" i="41"/>
  <c r="X924" i="41"/>
  <c r="W924" i="41"/>
  <c r="X923" i="41"/>
  <c r="W923" i="41"/>
  <c r="X922" i="41"/>
  <c r="W922" i="41"/>
  <c r="X921" i="41"/>
  <c r="W921" i="41"/>
  <c r="X920" i="41"/>
  <c r="W920" i="41"/>
  <c r="X919" i="41"/>
  <c r="W919" i="41"/>
  <c r="X918" i="41"/>
  <c r="W918" i="41"/>
  <c r="X917" i="41"/>
  <c r="W917" i="41"/>
  <c r="X916" i="41"/>
  <c r="W916" i="41"/>
  <c r="X915" i="41"/>
  <c r="W915" i="41"/>
  <c r="X914" i="41"/>
  <c r="W914" i="41"/>
  <c r="X913" i="41"/>
  <c r="W913" i="41"/>
  <c r="X912" i="41"/>
  <c r="W912" i="41"/>
  <c r="X911" i="41"/>
  <c r="W911" i="41"/>
  <c r="X910" i="41"/>
  <c r="W910" i="41"/>
  <c r="X909" i="41"/>
  <c r="W909" i="41"/>
  <c r="X908" i="41"/>
  <c r="W908" i="41"/>
  <c r="X907" i="41"/>
  <c r="W907" i="41"/>
  <c r="X906" i="41"/>
  <c r="W906" i="41"/>
  <c r="X905" i="41"/>
  <c r="W905" i="41"/>
  <c r="X904" i="41"/>
  <c r="W904" i="41"/>
  <c r="X903" i="41"/>
  <c r="W903" i="41"/>
  <c r="X902" i="41"/>
  <c r="W902" i="41"/>
  <c r="X901" i="41"/>
  <c r="W901" i="41"/>
  <c r="X900" i="41"/>
  <c r="W900" i="41"/>
  <c r="X899" i="41"/>
  <c r="W899" i="41"/>
  <c r="X898" i="41"/>
  <c r="W898" i="41"/>
  <c r="X897" i="41"/>
  <c r="W897" i="41"/>
  <c r="X896" i="41"/>
  <c r="W896" i="41"/>
  <c r="X895" i="41"/>
  <c r="W895" i="41"/>
  <c r="X894" i="41"/>
  <c r="W894" i="41"/>
  <c r="X893" i="41"/>
  <c r="W893" i="41"/>
  <c r="X892" i="41"/>
  <c r="W892" i="41"/>
  <c r="X891" i="41"/>
  <c r="W891" i="41"/>
  <c r="X890" i="41"/>
  <c r="W890" i="41"/>
  <c r="X889" i="41"/>
  <c r="W889" i="41"/>
  <c r="X888" i="41"/>
  <c r="W888" i="41"/>
  <c r="X887" i="41"/>
  <c r="W887" i="41"/>
  <c r="X886" i="41"/>
  <c r="W886" i="41"/>
  <c r="X885" i="41"/>
  <c r="W885" i="41"/>
  <c r="X884" i="41"/>
  <c r="W884" i="41"/>
  <c r="X883" i="41"/>
  <c r="W883" i="41"/>
  <c r="X882" i="41"/>
  <c r="W882" i="41"/>
  <c r="X881" i="41"/>
  <c r="W881" i="41"/>
  <c r="X880" i="41"/>
  <c r="W880" i="41"/>
  <c r="X879" i="41"/>
  <c r="W879" i="41"/>
  <c r="X878" i="41"/>
  <c r="W878" i="41"/>
  <c r="X877" i="41"/>
  <c r="W877" i="41"/>
  <c r="X876" i="41"/>
  <c r="W876" i="41"/>
  <c r="X875" i="41"/>
  <c r="W875" i="41"/>
  <c r="X874" i="41"/>
  <c r="W874" i="41"/>
  <c r="X873" i="41"/>
  <c r="W873" i="41"/>
  <c r="X872" i="41"/>
  <c r="W872" i="41"/>
  <c r="X871" i="41"/>
  <c r="W871" i="41"/>
  <c r="X870" i="41"/>
  <c r="W870" i="41"/>
  <c r="X869" i="41"/>
  <c r="W869" i="41"/>
  <c r="X868" i="41"/>
  <c r="W868" i="41"/>
  <c r="X867" i="41"/>
  <c r="W867" i="41"/>
  <c r="X866" i="41"/>
  <c r="W866" i="41"/>
  <c r="X865" i="41"/>
  <c r="W865" i="41"/>
  <c r="X864" i="41"/>
  <c r="W864" i="41"/>
  <c r="X863" i="41"/>
  <c r="W863" i="41"/>
  <c r="X862" i="41"/>
  <c r="W862" i="41"/>
  <c r="X861" i="41"/>
  <c r="W861" i="41"/>
  <c r="X860" i="41"/>
  <c r="W860" i="41"/>
  <c r="X859" i="41"/>
  <c r="W859" i="41"/>
  <c r="X858" i="41"/>
  <c r="W858" i="41"/>
  <c r="X857" i="41"/>
  <c r="W857" i="41"/>
  <c r="X856" i="41"/>
  <c r="W856" i="41"/>
  <c r="X855" i="41"/>
  <c r="W855" i="41"/>
  <c r="X854" i="41"/>
  <c r="W854" i="41"/>
  <c r="X853" i="41"/>
  <c r="W853" i="41"/>
  <c r="X852" i="41"/>
  <c r="W852" i="41"/>
  <c r="X851" i="41"/>
  <c r="W851" i="41"/>
  <c r="X850" i="41"/>
  <c r="W850" i="41"/>
  <c r="X849" i="41"/>
  <c r="W849" i="41"/>
  <c r="X848" i="41"/>
  <c r="W848" i="41"/>
  <c r="X847" i="41"/>
  <c r="W847" i="41"/>
  <c r="X846" i="41"/>
  <c r="W846" i="41"/>
  <c r="X845" i="41"/>
  <c r="W845" i="41"/>
  <c r="X844" i="41"/>
  <c r="W844" i="41"/>
  <c r="X843" i="41"/>
  <c r="W843" i="41"/>
  <c r="X842" i="41"/>
  <c r="W842" i="41"/>
  <c r="X841" i="41"/>
  <c r="W841" i="41"/>
  <c r="X840" i="41"/>
  <c r="W840" i="41"/>
  <c r="X839" i="41"/>
  <c r="W839" i="41"/>
  <c r="X838" i="41"/>
  <c r="W838" i="41"/>
  <c r="X837" i="41"/>
  <c r="W837" i="41"/>
  <c r="X836" i="41"/>
  <c r="W836" i="41"/>
  <c r="X835" i="41"/>
  <c r="W835" i="41"/>
  <c r="X834" i="41"/>
  <c r="W834" i="41"/>
  <c r="X833" i="41"/>
  <c r="W833" i="41"/>
  <c r="X832" i="41"/>
  <c r="W832" i="41"/>
  <c r="X831" i="41"/>
  <c r="W831" i="41"/>
  <c r="X830" i="41"/>
  <c r="W830" i="41"/>
  <c r="X829" i="41"/>
  <c r="W829" i="41"/>
  <c r="X828" i="41"/>
  <c r="W828" i="41"/>
  <c r="X827" i="41"/>
  <c r="W827" i="41"/>
  <c r="X826" i="41"/>
  <c r="W826" i="41"/>
  <c r="X825" i="41"/>
  <c r="W825" i="41"/>
  <c r="X824" i="41"/>
  <c r="W824" i="41"/>
  <c r="X823" i="41"/>
  <c r="W823" i="41"/>
  <c r="X822" i="41"/>
  <c r="W822" i="41"/>
  <c r="X821" i="41"/>
  <c r="W821" i="41"/>
  <c r="X820" i="41"/>
  <c r="W820" i="41"/>
  <c r="X819" i="41"/>
  <c r="W819" i="41"/>
  <c r="X818" i="41"/>
  <c r="W818" i="41"/>
  <c r="X817" i="41"/>
  <c r="W817" i="41"/>
  <c r="X816" i="41"/>
  <c r="W816" i="41"/>
  <c r="X815" i="41"/>
  <c r="W815" i="41"/>
  <c r="X814" i="41"/>
  <c r="W814" i="41"/>
  <c r="X813" i="41"/>
  <c r="W813" i="41"/>
  <c r="X812" i="41"/>
  <c r="W812" i="41"/>
  <c r="X811" i="41"/>
  <c r="W811" i="41"/>
  <c r="X810" i="41"/>
  <c r="W810" i="41"/>
  <c r="X809" i="41"/>
  <c r="W809" i="41"/>
  <c r="X808" i="41"/>
  <c r="W808" i="41"/>
  <c r="X807" i="41"/>
  <c r="W807" i="41"/>
  <c r="X806" i="41"/>
  <c r="W806" i="41"/>
  <c r="X805" i="41"/>
  <c r="W805" i="41"/>
  <c r="X804" i="41"/>
  <c r="W804" i="41"/>
  <c r="X803" i="41"/>
  <c r="W803" i="41"/>
  <c r="X802" i="41"/>
  <c r="W802" i="41"/>
  <c r="X801" i="41"/>
  <c r="W801" i="41"/>
  <c r="X800" i="41"/>
  <c r="W800" i="41"/>
  <c r="X799" i="41"/>
  <c r="W799" i="41"/>
  <c r="X798" i="41"/>
  <c r="W798" i="41"/>
  <c r="X797" i="41"/>
  <c r="W797" i="41"/>
  <c r="X796" i="41"/>
  <c r="W796" i="41"/>
  <c r="X795" i="41"/>
  <c r="W795" i="41"/>
  <c r="X794" i="41"/>
  <c r="W794" i="41"/>
  <c r="X793" i="41"/>
  <c r="W793" i="41"/>
  <c r="X792" i="41"/>
  <c r="W792" i="41"/>
  <c r="X791" i="41"/>
  <c r="W791" i="41"/>
  <c r="X790" i="41"/>
  <c r="W790" i="41"/>
  <c r="X789" i="41"/>
  <c r="W789" i="41"/>
  <c r="X788" i="41"/>
  <c r="W788" i="41"/>
  <c r="X787" i="41"/>
  <c r="W787" i="41"/>
  <c r="X786" i="41"/>
  <c r="W786" i="41"/>
  <c r="X785" i="41"/>
  <c r="W785" i="41"/>
  <c r="X784" i="41"/>
  <c r="W784" i="41"/>
  <c r="X783" i="41"/>
  <c r="W783" i="41"/>
  <c r="X782" i="41"/>
  <c r="W782" i="41"/>
  <c r="X781" i="41"/>
  <c r="W781" i="41"/>
  <c r="X780" i="41"/>
  <c r="W780" i="41"/>
  <c r="X779" i="41"/>
  <c r="W779" i="41"/>
  <c r="X778" i="41"/>
  <c r="W778" i="41"/>
  <c r="X777" i="41"/>
  <c r="W777" i="41"/>
  <c r="X776" i="41"/>
  <c r="W776" i="41"/>
  <c r="X775" i="41"/>
  <c r="W775" i="41"/>
  <c r="X774" i="41"/>
  <c r="W774" i="41"/>
  <c r="X773" i="41"/>
  <c r="W773" i="41"/>
  <c r="X772" i="41"/>
  <c r="W772" i="41"/>
  <c r="X771" i="41"/>
  <c r="W771" i="41"/>
  <c r="X770" i="41"/>
  <c r="W770" i="41"/>
  <c r="X769" i="41"/>
  <c r="W769" i="41"/>
  <c r="X768" i="41"/>
  <c r="W768" i="41"/>
  <c r="X767" i="41"/>
  <c r="W767" i="41"/>
  <c r="X766" i="41"/>
  <c r="W766" i="41"/>
  <c r="X765" i="41"/>
  <c r="W765" i="41"/>
  <c r="X764" i="41"/>
  <c r="W764" i="41"/>
  <c r="X763" i="41"/>
  <c r="W763" i="41"/>
  <c r="X762" i="41"/>
  <c r="W762" i="41"/>
  <c r="X761" i="41"/>
  <c r="W761" i="41"/>
  <c r="X760" i="41"/>
  <c r="W760" i="41"/>
  <c r="X759" i="41"/>
  <c r="W759" i="41"/>
  <c r="X758" i="41"/>
  <c r="W758" i="41"/>
  <c r="X757" i="41"/>
  <c r="W757" i="41"/>
  <c r="X756" i="41"/>
  <c r="W756" i="41"/>
  <c r="X755" i="41"/>
  <c r="W755" i="41"/>
  <c r="X754" i="41"/>
  <c r="W754" i="41"/>
  <c r="X753" i="41"/>
  <c r="W753" i="41"/>
  <c r="X752" i="41"/>
  <c r="W752" i="41"/>
  <c r="X751" i="41"/>
  <c r="W751" i="41"/>
  <c r="X750" i="41"/>
  <c r="W750" i="41"/>
  <c r="X749" i="41"/>
  <c r="W749" i="41"/>
  <c r="X748" i="41"/>
  <c r="W748" i="41"/>
  <c r="X747" i="41"/>
  <c r="W747" i="41"/>
  <c r="X746" i="41"/>
  <c r="W746" i="41"/>
  <c r="X745" i="41"/>
  <c r="W745" i="41"/>
  <c r="X744" i="41"/>
  <c r="W744" i="41"/>
  <c r="X743" i="41"/>
  <c r="W743" i="41"/>
  <c r="X742" i="41"/>
  <c r="W742" i="41"/>
  <c r="X741" i="41"/>
  <c r="W741" i="41"/>
  <c r="X740" i="41"/>
  <c r="W740" i="41"/>
  <c r="X739" i="41"/>
  <c r="W739" i="41"/>
  <c r="X738" i="41"/>
  <c r="W738" i="41"/>
  <c r="X737" i="41"/>
  <c r="W737" i="41"/>
  <c r="X736" i="41"/>
  <c r="W736" i="41"/>
  <c r="X735" i="41"/>
  <c r="W735" i="41"/>
  <c r="X734" i="41"/>
  <c r="W734" i="41"/>
  <c r="X733" i="41"/>
  <c r="W733" i="41"/>
  <c r="X732" i="41"/>
  <c r="W732" i="41"/>
  <c r="X731" i="41"/>
  <c r="W731" i="41"/>
  <c r="X730" i="41"/>
  <c r="W730" i="41"/>
  <c r="X729" i="41"/>
  <c r="W729" i="41"/>
  <c r="X728" i="41"/>
  <c r="W728" i="41"/>
  <c r="X727" i="41"/>
  <c r="W727" i="41"/>
  <c r="X726" i="41"/>
  <c r="W726" i="41"/>
  <c r="X725" i="41"/>
  <c r="W725" i="41"/>
  <c r="X724" i="41"/>
  <c r="W724" i="41"/>
  <c r="X723" i="41"/>
  <c r="W723" i="41"/>
  <c r="X722" i="41"/>
  <c r="W722" i="41"/>
  <c r="X721" i="41"/>
  <c r="W721" i="41"/>
  <c r="X720" i="41"/>
  <c r="W720" i="41"/>
  <c r="X719" i="41"/>
  <c r="W719" i="41"/>
  <c r="X718" i="41"/>
  <c r="W718" i="41"/>
  <c r="X717" i="41"/>
  <c r="W717" i="41"/>
  <c r="X716" i="41"/>
  <c r="W716" i="41"/>
  <c r="X715" i="41"/>
  <c r="W715" i="41"/>
  <c r="X714" i="41"/>
  <c r="W714" i="41"/>
  <c r="X713" i="41"/>
  <c r="W713" i="41"/>
  <c r="X712" i="41"/>
  <c r="W712" i="41"/>
  <c r="X711" i="41"/>
  <c r="W711" i="41"/>
  <c r="X710" i="41"/>
  <c r="W710" i="41"/>
  <c r="X709" i="41"/>
  <c r="W709" i="41"/>
  <c r="X708" i="41"/>
  <c r="W708" i="41"/>
  <c r="X707" i="41"/>
  <c r="W707" i="41"/>
  <c r="X706" i="41"/>
  <c r="W706" i="41"/>
  <c r="X705" i="41"/>
  <c r="W705" i="41"/>
  <c r="X704" i="41"/>
  <c r="W704" i="41"/>
  <c r="X703" i="41"/>
  <c r="W703" i="41"/>
  <c r="X702" i="41"/>
  <c r="W702" i="41"/>
  <c r="X701" i="41"/>
  <c r="W701" i="41"/>
  <c r="X700" i="41"/>
  <c r="W700" i="41"/>
  <c r="X699" i="41"/>
  <c r="W699" i="41"/>
  <c r="X698" i="41"/>
  <c r="W698" i="41"/>
  <c r="X697" i="41"/>
  <c r="W697" i="41"/>
  <c r="X696" i="41"/>
  <c r="W696" i="41"/>
  <c r="X695" i="41"/>
  <c r="W695" i="41"/>
  <c r="X694" i="41"/>
  <c r="W694" i="41"/>
  <c r="X693" i="41"/>
  <c r="W693" i="41"/>
  <c r="X692" i="41"/>
  <c r="W692" i="41"/>
  <c r="X691" i="41"/>
  <c r="W691" i="41"/>
  <c r="X690" i="41"/>
  <c r="W690" i="41"/>
  <c r="X689" i="41"/>
  <c r="W689" i="41"/>
  <c r="X688" i="41"/>
  <c r="W688" i="41"/>
  <c r="X687" i="41"/>
  <c r="W687" i="41"/>
  <c r="X686" i="41"/>
  <c r="W686" i="41"/>
  <c r="X685" i="41"/>
  <c r="W685" i="41"/>
  <c r="X684" i="41"/>
  <c r="W684" i="41"/>
  <c r="X683" i="41"/>
  <c r="W683" i="41"/>
  <c r="X682" i="41"/>
  <c r="W682" i="41"/>
  <c r="X681" i="41"/>
  <c r="W681" i="41"/>
  <c r="X680" i="41"/>
  <c r="W680" i="41"/>
  <c r="X679" i="41"/>
  <c r="W679" i="41"/>
  <c r="X678" i="41"/>
  <c r="W678" i="41"/>
  <c r="X677" i="41"/>
  <c r="W677" i="41"/>
  <c r="X676" i="41"/>
  <c r="W676" i="41"/>
  <c r="X675" i="41"/>
  <c r="W675" i="41"/>
  <c r="X674" i="41"/>
  <c r="W674" i="41"/>
  <c r="X673" i="41"/>
  <c r="W673" i="41"/>
  <c r="X672" i="41"/>
  <c r="W672" i="41"/>
  <c r="X671" i="41"/>
  <c r="W671" i="41"/>
  <c r="X670" i="41"/>
  <c r="W670" i="41"/>
  <c r="X669" i="41"/>
  <c r="W669" i="41"/>
  <c r="X668" i="41"/>
  <c r="W668" i="41"/>
  <c r="X667" i="41"/>
  <c r="W667" i="41"/>
  <c r="X666" i="41"/>
  <c r="W666" i="41"/>
  <c r="X665" i="41"/>
  <c r="W665" i="41"/>
  <c r="X664" i="41"/>
  <c r="W664" i="41"/>
  <c r="X663" i="41"/>
  <c r="W663" i="41"/>
  <c r="X662" i="41"/>
  <c r="W662" i="41"/>
  <c r="X661" i="41"/>
  <c r="W661" i="41"/>
  <c r="X660" i="41"/>
  <c r="W660" i="41"/>
  <c r="X659" i="41"/>
  <c r="W659" i="41"/>
  <c r="X658" i="41"/>
  <c r="W658" i="41"/>
  <c r="X657" i="41"/>
  <c r="W657" i="41"/>
  <c r="X656" i="41"/>
  <c r="W656" i="41"/>
  <c r="X655" i="41"/>
  <c r="W655" i="41"/>
  <c r="X654" i="41"/>
  <c r="W654" i="41"/>
  <c r="X653" i="41"/>
  <c r="W653" i="41"/>
  <c r="X652" i="41"/>
  <c r="W652" i="41"/>
  <c r="X651" i="41"/>
  <c r="W651" i="41"/>
  <c r="X650" i="41"/>
  <c r="W650" i="41"/>
  <c r="X649" i="41"/>
  <c r="W649" i="41"/>
  <c r="X648" i="41"/>
  <c r="W648" i="41"/>
  <c r="X647" i="41"/>
  <c r="W647" i="41"/>
  <c r="X646" i="41"/>
  <c r="W646" i="41"/>
  <c r="X645" i="41"/>
  <c r="W645" i="41"/>
  <c r="X644" i="41"/>
  <c r="W644" i="41"/>
  <c r="X643" i="41"/>
  <c r="W643" i="41"/>
  <c r="X642" i="41"/>
  <c r="W642" i="41"/>
  <c r="X641" i="41"/>
  <c r="W641" i="41"/>
  <c r="X640" i="41"/>
  <c r="W640" i="41"/>
  <c r="X639" i="41"/>
  <c r="W639" i="41"/>
  <c r="X638" i="41"/>
  <c r="W638" i="41"/>
  <c r="X637" i="41"/>
  <c r="W637" i="41"/>
  <c r="X636" i="41"/>
  <c r="W636" i="41"/>
  <c r="X635" i="41"/>
  <c r="W635" i="41"/>
  <c r="X634" i="41"/>
  <c r="W634" i="41"/>
  <c r="X633" i="41"/>
  <c r="W633" i="41"/>
  <c r="X632" i="41"/>
  <c r="W632" i="41"/>
  <c r="X631" i="41"/>
  <c r="W631" i="41"/>
  <c r="X630" i="41"/>
  <c r="W630" i="41"/>
  <c r="X629" i="41"/>
  <c r="W629" i="41"/>
  <c r="X628" i="41"/>
  <c r="W628" i="41"/>
  <c r="X627" i="41"/>
  <c r="W627" i="41"/>
  <c r="X626" i="41"/>
  <c r="W626" i="41"/>
  <c r="X625" i="41"/>
  <c r="W625" i="41"/>
  <c r="X624" i="41"/>
  <c r="W624" i="41"/>
  <c r="X623" i="41"/>
  <c r="W623" i="41"/>
  <c r="X622" i="41"/>
  <c r="W622" i="41"/>
  <c r="X621" i="41"/>
  <c r="W621" i="41"/>
  <c r="X620" i="41"/>
  <c r="W620" i="41"/>
  <c r="X619" i="41"/>
  <c r="W619" i="41"/>
  <c r="X618" i="41"/>
  <c r="W618" i="41"/>
  <c r="X617" i="41"/>
  <c r="W617" i="41"/>
  <c r="X616" i="41"/>
  <c r="W616" i="41"/>
  <c r="X615" i="41"/>
  <c r="W615" i="41"/>
  <c r="X614" i="41"/>
  <c r="W614" i="41"/>
  <c r="X613" i="41"/>
  <c r="W613" i="41"/>
  <c r="X612" i="41"/>
  <c r="W612" i="41"/>
  <c r="X611" i="41"/>
  <c r="W611" i="41"/>
  <c r="X610" i="41"/>
  <c r="W610" i="41"/>
  <c r="X609" i="41"/>
  <c r="W609" i="41"/>
  <c r="X608" i="41"/>
  <c r="W608" i="41"/>
  <c r="X607" i="41"/>
  <c r="W607" i="41"/>
  <c r="X606" i="41"/>
  <c r="W606" i="41"/>
  <c r="X605" i="41"/>
  <c r="W605" i="41"/>
  <c r="X604" i="41"/>
  <c r="W604" i="41"/>
  <c r="X603" i="41"/>
  <c r="W603" i="41"/>
  <c r="X602" i="41"/>
  <c r="W602" i="41"/>
  <c r="X601" i="41"/>
  <c r="W601" i="41"/>
  <c r="X600" i="41"/>
  <c r="W600" i="41"/>
  <c r="X599" i="41"/>
  <c r="W599" i="41"/>
  <c r="X598" i="41"/>
  <c r="W598" i="41"/>
  <c r="X597" i="41"/>
  <c r="W597" i="41"/>
  <c r="X596" i="41"/>
  <c r="W596" i="41"/>
  <c r="X595" i="41"/>
  <c r="W595" i="41"/>
  <c r="X594" i="41"/>
  <c r="W594" i="41"/>
  <c r="X593" i="41"/>
  <c r="W593" i="41"/>
  <c r="X592" i="41"/>
  <c r="W592" i="41"/>
  <c r="X591" i="41"/>
  <c r="W591" i="41"/>
  <c r="X590" i="41"/>
  <c r="W590" i="41"/>
  <c r="X589" i="41"/>
  <c r="W589" i="41"/>
  <c r="X588" i="41"/>
  <c r="W588" i="41"/>
  <c r="X587" i="41"/>
  <c r="W587" i="41"/>
  <c r="X586" i="41"/>
  <c r="W586" i="41"/>
  <c r="X585" i="41"/>
  <c r="W585" i="41"/>
  <c r="X584" i="41"/>
  <c r="W584" i="41"/>
  <c r="X583" i="41"/>
  <c r="W583" i="41"/>
  <c r="X582" i="41"/>
  <c r="W582" i="41"/>
  <c r="X581" i="41"/>
  <c r="W581" i="41"/>
  <c r="X580" i="41"/>
  <c r="W580" i="41"/>
  <c r="X579" i="41"/>
  <c r="W579" i="41"/>
  <c r="X578" i="41"/>
  <c r="W578" i="41"/>
  <c r="X577" i="41"/>
  <c r="W577" i="41"/>
  <c r="X576" i="41"/>
  <c r="W576" i="41"/>
  <c r="X575" i="41"/>
  <c r="W575" i="41"/>
  <c r="X574" i="41"/>
  <c r="W574" i="41"/>
  <c r="X573" i="41"/>
  <c r="W573" i="41"/>
  <c r="X572" i="41"/>
  <c r="W572" i="41"/>
  <c r="X571" i="41"/>
  <c r="W571" i="41"/>
  <c r="X570" i="41"/>
  <c r="W570" i="41"/>
  <c r="X569" i="41"/>
  <c r="W569" i="41"/>
  <c r="X568" i="41"/>
  <c r="W568" i="41"/>
  <c r="X567" i="41"/>
  <c r="W567" i="41"/>
  <c r="X566" i="41"/>
  <c r="W566" i="41"/>
  <c r="X565" i="41"/>
  <c r="W565" i="41"/>
  <c r="X564" i="41"/>
  <c r="W564" i="41"/>
  <c r="X563" i="41"/>
  <c r="W563" i="41"/>
  <c r="X562" i="41"/>
  <c r="W562" i="41"/>
  <c r="X561" i="41"/>
  <c r="W561" i="41"/>
  <c r="X560" i="41"/>
  <c r="W560" i="41"/>
  <c r="X559" i="41"/>
  <c r="W559" i="41"/>
  <c r="X558" i="41"/>
  <c r="W558" i="41"/>
  <c r="X557" i="41"/>
  <c r="W557" i="41"/>
  <c r="X556" i="41"/>
  <c r="W556" i="41"/>
  <c r="X555" i="41"/>
  <c r="W555" i="41"/>
  <c r="X554" i="41"/>
  <c r="W554" i="41"/>
  <c r="X553" i="41"/>
  <c r="W553" i="41"/>
  <c r="X552" i="41"/>
  <c r="W552" i="41"/>
  <c r="X551" i="41"/>
  <c r="W551" i="41"/>
  <c r="X550" i="41"/>
  <c r="W550" i="41"/>
  <c r="X549" i="41"/>
  <c r="W549" i="41"/>
  <c r="X548" i="41"/>
  <c r="W548" i="41"/>
  <c r="X547" i="41"/>
  <c r="W547" i="41"/>
  <c r="X546" i="41"/>
  <c r="W546" i="41"/>
  <c r="X545" i="41"/>
  <c r="W545" i="41"/>
  <c r="X544" i="41"/>
  <c r="W544" i="41"/>
  <c r="X543" i="41"/>
  <c r="W543" i="41"/>
  <c r="X542" i="41"/>
  <c r="W542" i="41"/>
  <c r="X541" i="41"/>
  <c r="W541" i="41"/>
  <c r="X540" i="41"/>
  <c r="W540" i="41"/>
  <c r="X539" i="41"/>
  <c r="W539" i="41"/>
  <c r="X538" i="41"/>
  <c r="W538" i="41"/>
  <c r="X537" i="41"/>
  <c r="W537" i="41"/>
  <c r="X536" i="41"/>
  <c r="W536" i="41"/>
  <c r="X535" i="41"/>
  <c r="W535" i="41"/>
  <c r="X534" i="41"/>
  <c r="W534" i="41"/>
  <c r="X533" i="41"/>
  <c r="W533" i="41"/>
  <c r="X532" i="41"/>
  <c r="W532" i="41"/>
  <c r="X531" i="41"/>
  <c r="W531" i="41"/>
  <c r="X530" i="41"/>
  <c r="W530" i="41"/>
  <c r="X529" i="41"/>
  <c r="W529" i="41"/>
  <c r="X528" i="41"/>
  <c r="W528" i="41"/>
  <c r="X527" i="41"/>
  <c r="W527" i="41"/>
  <c r="X526" i="41"/>
  <c r="W526" i="41"/>
  <c r="X525" i="41"/>
  <c r="W525" i="41"/>
  <c r="X524" i="41"/>
  <c r="W524" i="41"/>
  <c r="X523" i="41"/>
  <c r="W523" i="41"/>
  <c r="X522" i="41"/>
  <c r="W522" i="41"/>
  <c r="X521" i="41"/>
  <c r="W521" i="41"/>
  <c r="X520" i="41"/>
  <c r="W520" i="41"/>
  <c r="X519" i="41"/>
  <c r="W519" i="41"/>
  <c r="X518" i="41"/>
  <c r="W518" i="41"/>
  <c r="X517" i="41"/>
  <c r="W517" i="41"/>
  <c r="X516" i="41"/>
  <c r="W516" i="41"/>
  <c r="X515" i="41"/>
  <c r="W515" i="41"/>
  <c r="X514" i="41"/>
  <c r="W514" i="41"/>
  <c r="X513" i="41"/>
  <c r="W513" i="41"/>
  <c r="X512" i="41"/>
  <c r="W512" i="41"/>
  <c r="X511" i="41"/>
  <c r="W511" i="41"/>
  <c r="X510" i="41"/>
  <c r="W510" i="41"/>
  <c r="X509" i="41"/>
  <c r="W509" i="41"/>
  <c r="X508" i="41"/>
  <c r="W508" i="41"/>
  <c r="X507" i="41"/>
  <c r="W507" i="41"/>
  <c r="X506" i="41"/>
  <c r="W506" i="41"/>
  <c r="X505" i="41"/>
  <c r="W505" i="41"/>
  <c r="X504" i="41"/>
  <c r="W504" i="41"/>
  <c r="X503" i="41"/>
  <c r="W503" i="41"/>
  <c r="X502" i="41"/>
  <c r="W502" i="41"/>
  <c r="X501" i="41"/>
  <c r="W501" i="41"/>
  <c r="X500" i="41"/>
  <c r="W500" i="41"/>
  <c r="X499" i="41"/>
  <c r="W499" i="41"/>
  <c r="X498" i="41"/>
  <c r="W498" i="41"/>
  <c r="X497" i="41"/>
  <c r="W497" i="41"/>
  <c r="X496" i="41"/>
  <c r="W496" i="41"/>
  <c r="X495" i="41"/>
  <c r="W495" i="41"/>
  <c r="X494" i="41"/>
  <c r="W494" i="41"/>
  <c r="X493" i="41"/>
  <c r="W493" i="41"/>
  <c r="X492" i="41"/>
  <c r="W492" i="41"/>
  <c r="X491" i="41"/>
  <c r="W491" i="41"/>
  <c r="X490" i="41"/>
  <c r="W490" i="41"/>
  <c r="X489" i="41"/>
  <c r="W489" i="41"/>
  <c r="X488" i="41"/>
  <c r="W488" i="41"/>
  <c r="X487" i="41"/>
  <c r="W487" i="41"/>
  <c r="X486" i="41"/>
  <c r="W486" i="41"/>
  <c r="X485" i="41"/>
  <c r="W485" i="41"/>
  <c r="X484" i="41"/>
  <c r="W484" i="41"/>
  <c r="X483" i="41"/>
  <c r="W483" i="41"/>
  <c r="X482" i="41"/>
  <c r="W482" i="41"/>
  <c r="X481" i="41"/>
  <c r="W481" i="41"/>
  <c r="X480" i="41"/>
  <c r="W480" i="41"/>
  <c r="X479" i="41"/>
  <c r="W479" i="41"/>
  <c r="X478" i="41"/>
  <c r="W478" i="41"/>
  <c r="X477" i="41"/>
  <c r="W477" i="41"/>
  <c r="X476" i="41"/>
  <c r="W476" i="41"/>
  <c r="X475" i="41"/>
  <c r="W475" i="41"/>
  <c r="X474" i="41"/>
  <c r="W474" i="41"/>
  <c r="X473" i="41"/>
  <c r="W473" i="41"/>
  <c r="X472" i="41"/>
  <c r="W472" i="41"/>
  <c r="X471" i="41"/>
  <c r="W471" i="41"/>
  <c r="X470" i="41"/>
  <c r="W470" i="41"/>
  <c r="X469" i="41"/>
  <c r="W469" i="41"/>
  <c r="X468" i="41"/>
  <c r="W468" i="41"/>
  <c r="X467" i="41"/>
  <c r="W467" i="41"/>
  <c r="X466" i="41"/>
  <c r="W466" i="41"/>
  <c r="X465" i="41"/>
  <c r="W465" i="41"/>
  <c r="X464" i="41"/>
  <c r="W464" i="41"/>
  <c r="X463" i="41"/>
  <c r="W463" i="41"/>
  <c r="X462" i="41"/>
  <c r="W462" i="41"/>
  <c r="X461" i="41"/>
  <c r="W461" i="41"/>
  <c r="X460" i="41"/>
  <c r="W460" i="41"/>
  <c r="X459" i="41"/>
  <c r="W459" i="41"/>
  <c r="X458" i="41"/>
  <c r="W458" i="41"/>
  <c r="X457" i="41"/>
  <c r="W457" i="41"/>
  <c r="X456" i="41"/>
  <c r="W456" i="41"/>
  <c r="X455" i="41"/>
  <c r="W455" i="41"/>
  <c r="X454" i="41"/>
  <c r="W454" i="41"/>
  <c r="X453" i="41"/>
  <c r="W453" i="41"/>
  <c r="X452" i="41"/>
  <c r="W452" i="41"/>
  <c r="X451" i="41"/>
  <c r="W451" i="41"/>
  <c r="X450" i="41"/>
  <c r="W450" i="41"/>
  <c r="X449" i="41"/>
  <c r="W449" i="41"/>
  <c r="X448" i="41"/>
  <c r="W448" i="41"/>
  <c r="X447" i="41"/>
  <c r="W447" i="41"/>
  <c r="X446" i="41"/>
  <c r="W446" i="41"/>
  <c r="X445" i="41"/>
  <c r="W445" i="41"/>
  <c r="X444" i="41"/>
  <c r="W444" i="41"/>
  <c r="X443" i="41"/>
  <c r="W443" i="41"/>
  <c r="X442" i="41"/>
  <c r="W442" i="41"/>
  <c r="X441" i="41"/>
  <c r="W441" i="41"/>
  <c r="X440" i="41"/>
  <c r="W440" i="41"/>
  <c r="X439" i="41"/>
  <c r="W439" i="41"/>
  <c r="X438" i="41"/>
  <c r="W438" i="41"/>
  <c r="X437" i="41"/>
  <c r="W437" i="41"/>
  <c r="X436" i="41"/>
  <c r="W436" i="41"/>
  <c r="X435" i="41"/>
  <c r="W435" i="41"/>
  <c r="X434" i="41"/>
  <c r="W434" i="41"/>
  <c r="X433" i="41"/>
  <c r="W433" i="41"/>
  <c r="X432" i="41"/>
  <c r="W432" i="41"/>
  <c r="X431" i="41"/>
  <c r="W431" i="41"/>
  <c r="X430" i="41"/>
  <c r="W430" i="41"/>
  <c r="X429" i="41"/>
  <c r="W429" i="41"/>
  <c r="X428" i="41"/>
  <c r="W428" i="41"/>
  <c r="X427" i="41"/>
  <c r="W427" i="41"/>
  <c r="X426" i="41"/>
  <c r="W426" i="41"/>
  <c r="X425" i="41"/>
  <c r="W425" i="41"/>
  <c r="X424" i="41"/>
  <c r="W424" i="41"/>
  <c r="X423" i="41"/>
  <c r="W423" i="41"/>
  <c r="X422" i="41"/>
  <c r="W422" i="41"/>
  <c r="X421" i="41"/>
  <c r="W421" i="41"/>
  <c r="X420" i="41"/>
  <c r="W420" i="41"/>
  <c r="X419" i="41"/>
  <c r="W419" i="41"/>
  <c r="X418" i="41"/>
  <c r="W418" i="41"/>
  <c r="X417" i="41"/>
  <c r="W417" i="41"/>
  <c r="X416" i="41"/>
  <c r="W416" i="41"/>
  <c r="X415" i="41"/>
  <c r="W415" i="41"/>
  <c r="X414" i="41"/>
  <c r="W414" i="41"/>
  <c r="X413" i="41"/>
  <c r="W413" i="41"/>
  <c r="X412" i="41"/>
  <c r="W412" i="41"/>
  <c r="X411" i="41"/>
  <c r="W411" i="41"/>
  <c r="X410" i="41"/>
  <c r="W410" i="41"/>
  <c r="X409" i="41"/>
  <c r="W409" i="41"/>
  <c r="X408" i="41"/>
  <c r="W408" i="41"/>
  <c r="X407" i="41"/>
  <c r="W407" i="41"/>
  <c r="X406" i="41"/>
  <c r="W406" i="41"/>
  <c r="X405" i="41"/>
  <c r="W405" i="41"/>
  <c r="X404" i="41"/>
  <c r="W404" i="41"/>
  <c r="X403" i="41"/>
  <c r="W403" i="41"/>
  <c r="X402" i="41"/>
  <c r="W402" i="41"/>
  <c r="X401" i="41"/>
  <c r="W401" i="41"/>
  <c r="X400" i="41"/>
  <c r="W400" i="41"/>
  <c r="X399" i="41"/>
  <c r="W399" i="41"/>
  <c r="X398" i="41"/>
  <c r="W398" i="41"/>
  <c r="X397" i="41"/>
  <c r="W397" i="41"/>
  <c r="X396" i="41"/>
  <c r="W396" i="41"/>
  <c r="X395" i="41"/>
  <c r="W395" i="41"/>
  <c r="X394" i="41"/>
  <c r="W394" i="41"/>
  <c r="X393" i="41"/>
  <c r="W393" i="41"/>
  <c r="X392" i="41"/>
  <c r="W392" i="41"/>
  <c r="X391" i="41"/>
  <c r="W391" i="41"/>
  <c r="X390" i="41"/>
  <c r="W390" i="41"/>
  <c r="X389" i="41"/>
  <c r="W389" i="41"/>
  <c r="X388" i="41"/>
  <c r="W388" i="41"/>
  <c r="X387" i="41"/>
  <c r="W387" i="41"/>
  <c r="X386" i="41"/>
  <c r="W386" i="41"/>
  <c r="X385" i="41"/>
  <c r="W385" i="41"/>
  <c r="X384" i="41"/>
  <c r="W384" i="41"/>
  <c r="X383" i="41"/>
  <c r="W383" i="41"/>
  <c r="X382" i="41"/>
  <c r="W382" i="41"/>
  <c r="X381" i="41"/>
  <c r="W381" i="41"/>
  <c r="X380" i="41"/>
  <c r="W380" i="41"/>
  <c r="X379" i="41"/>
  <c r="W379" i="41"/>
  <c r="X378" i="41"/>
  <c r="W378" i="41"/>
  <c r="X377" i="41"/>
  <c r="W377" i="41"/>
  <c r="X376" i="41"/>
  <c r="W376" i="41"/>
  <c r="X375" i="41"/>
  <c r="W375" i="41"/>
  <c r="X374" i="41"/>
  <c r="W374" i="41"/>
  <c r="X373" i="41"/>
  <c r="W373" i="41"/>
  <c r="X372" i="41"/>
  <c r="W372" i="41"/>
  <c r="X371" i="41"/>
  <c r="W371" i="41"/>
  <c r="X370" i="41"/>
  <c r="W370" i="41"/>
  <c r="X369" i="41"/>
  <c r="W369" i="41"/>
  <c r="X368" i="41"/>
  <c r="W368" i="41"/>
  <c r="X367" i="41"/>
  <c r="W367" i="41"/>
  <c r="X366" i="41"/>
  <c r="W366" i="41"/>
  <c r="X365" i="41"/>
  <c r="W365" i="41"/>
  <c r="X364" i="41"/>
  <c r="W364" i="41"/>
  <c r="X363" i="41"/>
  <c r="W363" i="41"/>
  <c r="X362" i="41"/>
  <c r="W362" i="41"/>
  <c r="X361" i="41"/>
  <c r="W361" i="41"/>
  <c r="X360" i="41"/>
  <c r="W360" i="41"/>
  <c r="X359" i="41"/>
  <c r="W359" i="41"/>
  <c r="X358" i="41"/>
  <c r="W358" i="41"/>
  <c r="X357" i="41"/>
  <c r="W357" i="41"/>
  <c r="X356" i="41"/>
  <c r="W356" i="41"/>
  <c r="X355" i="41"/>
  <c r="W355" i="41"/>
  <c r="X354" i="41"/>
  <c r="W354" i="41"/>
  <c r="X353" i="41"/>
  <c r="W353" i="41"/>
  <c r="X352" i="41"/>
  <c r="W352" i="41"/>
  <c r="X351" i="41"/>
  <c r="W351" i="41"/>
  <c r="X350" i="41"/>
  <c r="W350" i="41"/>
  <c r="X349" i="41"/>
  <c r="W349" i="41"/>
  <c r="X348" i="41"/>
  <c r="W348" i="41"/>
  <c r="X347" i="41"/>
  <c r="W347" i="41"/>
  <c r="X346" i="41"/>
  <c r="W346" i="41"/>
  <c r="X345" i="41"/>
  <c r="W345" i="41"/>
  <c r="X344" i="41"/>
  <c r="W344" i="41"/>
  <c r="X343" i="41"/>
  <c r="W343" i="41"/>
  <c r="X342" i="41"/>
  <c r="W342" i="41"/>
  <c r="X341" i="41"/>
  <c r="W341" i="41"/>
  <c r="X340" i="41"/>
  <c r="W340" i="41"/>
  <c r="X339" i="41"/>
  <c r="W339" i="41"/>
  <c r="X338" i="41"/>
  <c r="W338" i="41"/>
  <c r="X337" i="41"/>
  <c r="W337" i="41"/>
  <c r="X336" i="41"/>
  <c r="W336" i="41"/>
  <c r="X335" i="41"/>
  <c r="W335" i="41"/>
  <c r="X334" i="41"/>
  <c r="W334" i="41"/>
  <c r="X333" i="41"/>
  <c r="W333" i="41"/>
  <c r="X332" i="41"/>
  <c r="W332" i="41"/>
  <c r="X331" i="41"/>
  <c r="W331" i="41"/>
  <c r="X330" i="41"/>
  <c r="W330" i="41"/>
  <c r="X329" i="41"/>
  <c r="W329" i="41"/>
  <c r="X328" i="41"/>
  <c r="W328" i="41"/>
  <c r="X327" i="41"/>
  <c r="W327" i="41"/>
  <c r="X326" i="41"/>
  <c r="W326" i="41"/>
  <c r="X325" i="41"/>
  <c r="W325" i="41"/>
  <c r="X324" i="41"/>
  <c r="W324" i="41"/>
  <c r="X323" i="41"/>
  <c r="W323" i="41"/>
  <c r="X322" i="41"/>
  <c r="W322" i="41"/>
  <c r="X321" i="41"/>
  <c r="W321" i="41"/>
  <c r="X320" i="41"/>
  <c r="W320" i="41"/>
  <c r="X319" i="41"/>
  <c r="W319" i="41"/>
  <c r="X318" i="41"/>
  <c r="W318" i="41"/>
  <c r="X317" i="41"/>
  <c r="W317" i="41"/>
  <c r="X316" i="41"/>
  <c r="W316" i="41"/>
  <c r="X315" i="41"/>
  <c r="W315" i="41"/>
  <c r="X314" i="41"/>
  <c r="W314" i="41"/>
  <c r="X313" i="41"/>
  <c r="W313" i="41"/>
  <c r="X312" i="41"/>
  <c r="W312" i="41"/>
  <c r="X311" i="41"/>
  <c r="W311" i="41"/>
  <c r="X310" i="41"/>
  <c r="W310" i="41"/>
  <c r="X309" i="41"/>
  <c r="W309" i="41"/>
  <c r="X308" i="41"/>
  <c r="W308" i="41"/>
  <c r="X307" i="41"/>
  <c r="W307" i="41"/>
  <c r="X306" i="41"/>
  <c r="W306" i="41"/>
  <c r="X305" i="41"/>
  <c r="W305" i="41"/>
  <c r="X304" i="41"/>
  <c r="W304" i="41"/>
  <c r="X303" i="41"/>
  <c r="W303" i="41"/>
  <c r="X302" i="41"/>
  <c r="W302" i="41"/>
  <c r="X301" i="41"/>
  <c r="W301" i="41"/>
  <c r="X300" i="41"/>
  <c r="W300" i="41"/>
  <c r="X299" i="41"/>
  <c r="W299" i="41"/>
  <c r="X298" i="41"/>
  <c r="W298" i="41"/>
  <c r="X297" i="41"/>
  <c r="W297" i="41"/>
  <c r="X296" i="41"/>
  <c r="W296" i="41"/>
  <c r="X295" i="41"/>
  <c r="W295" i="41"/>
  <c r="X294" i="41"/>
  <c r="W294" i="41"/>
  <c r="X293" i="41"/>
  <c r="W293" i="41"/>
  <c r="X292" i="41"/>
  <c r="W292" i="41"/>
  <c r="X291" i="41"/>
  <c r="W291" i="41"/>
  <c r="X290" i="41"/>
  <c r="W290" i="41"/>
  <c r="X289" i="41"/>
  <c r="W289" i="41"/>
  <c r="X288" i="41"/>
  <c r="W288" i="41"/>
  <c r="X287" i="41"/>
  <c r="W287" i="41"/>
  <c r="X286" i="41"/>
  <c r="W286" i="41"/>
  <c r="X285" i="41"/>
  <c r="W285" i="41"/>
  <c r="X284" i="41"/>
  <c r="W284" i="41"/>
  <c r="X283" i="41"/>
  <c r="W283" i="41"/>
  <c r="X282" i="41"/>
  <c r="W282" i="41"/>
  <c r="X281" i="41"/>
  <c r="W281" i="41"/>
  <c r="X280" i="41"/>
  <c r="W280" i="41"/>
  <c r="X279" i="41"/>
  <c r="W279" i="41"/>
  <c r="X278" i="41"/>
  <c r="W278" i="41"/>
  <c r="X277" i="41"/>
  <c r="W277" i="41"/>
  <c r="X276" i="41"/>
  <c r="W276" i="41"/>
  <c r="X275" i="41"/>
  <c r="W275" i="41"/>
  <c r="X274" i="41"/>
  <c r="W274" i="41"/>
  <c r="X273" i="41"/>
  <c r="W273" i="41"/>
  <c r="X272" i="41"/>
  <c r="W272" i="41"/>
  <c r="X271" i="41"/>
  <c r="W271" i="41"/>
  <c r="X270" i="41"/>
  <c r="W270" i="41"/>
  <c r="X269" i="41"/>
  <c r="W269" i="41"/>
  <c r="X268" i="41"/>
  <c r="W268" i="41"/>
  <c r="X267" i="41"/>
  <c r="W267" i="41"/>
  <c r="X266" i="41"/>
  <c r="W266" i="41"/>
  <c r="X265" i="41"/>
  <c r="W265" i="41"/>
  <c r="X264" i="41"/>
  <c r="W264" i="41"/>
  <c r="X263" i="41"/>
  <c r="W263" i="41"/>
  <c r="X262" i="41"/>
  <c r="W262" i="41"/>
  <c r="X261" i="41"/>
  <c r="W261" i="41"/>
  <c r="X260" i="41"/>
  <c r="W260" i="41"/>
  <c r="X259" i="41"/>
  <c r="W259" i="41"/>
  <c r="X258" i="41"/>
  <c r="W258" i="41"/>
  <c r="X257" i="41"/>
  <c r="W257" i="41"/>
  <c r="X256" i="41"/>
  <c r="W256" i="41"/>
  <c r="X255" i="41"/>
  <c r="W255" i="41"/>
  <c r="X254" i="41"/>
  <c r="W254" i="41"/>
  <c r="X253" i="41"/>
  <c r="W253" i="41"/>
  <c r="X252" i="41"/>
  <c r="W252" i="41"/>
  <c r="X251" i="41"/>
  <c r="W251" i="41"/>
  <c r="X250" i="41"/>
  <c r="W250" i="41"/>
  <c r="X249" i="41"/>
  <c r="W249" i="41"/>
  <c r="X248" i="41"/>
  <c r="W248" i="41"/>
  <c r="X247" i="41"/>
  <c r="W247" i="41"/>
  <c r="X246" i="41"/>
  <c r="W246" i="41"/>
  <c r="X245" i="41"/>
  <c r="W245" i="41"/>
  <c r="X244" i="41"/>
  <c r="W244" i="41"/>
  <c r="X243" i="41"/>
  <c r="W243" i="41"/>
  <c r="X242" i="41"/>
  <c r="W242" i="41"/>
  <c r="X241" i="41"/>
  <c r="W241" i="41"/>
  <c r="X240" i="41"/>
  <c r="W240" i="41"/>
  <c r="X239" i="41"/>
  <c r="W239" i="41"/>
  <c r="X238" i="41"/>
  <c r="W238" i="41"/>
  <c r="X237" i="41"/>
  <c r="W237" i="41"/>
  <c r="X236" i="41"/>
  <c r="W236" i="41"/>
  <c r="X235" i="41"/>
  <c r="W235" i="41"/>
  <c r="X234" i="41"/>
  <c r="W234" i="41"/>
  <c r="X233" i="41"/>
  <c r="W233" i="41"/>
  <c r="X232" i="41"/>
  <c r="W232" i="41"/>
  <c r="X231" i="41"/>
  <c r="W231" i="41"/>
  <c r="X230" i="41"/>
  <c r="W230" i="41"/>
  <c r="X229" i="41"/>
  <c r="W229" i="41"/>
  <c r="X228" i="41"/>
  <c r="W228" i="41"/>
  <c r="X227" i="41"/>
  <c r="W227" i="41"/>
  <c r="X226" i="41"/>
  <c r="W226" i="41"/>
  <c r="X225" i="41"/>
  <c r="W225" i="41"/>
  <c r="X224" i="41"/>
  <c r="W224" i="41"/>
  <c r="X223" i="41"/>
  <c r="W223" i="41"/>
  <c r="X222" i="41"/>
  <c r="W222" i="41"/>
  <c r="X221" i="41"/>
  <c r="W221" i="41"/>
  <c r="X220" i="41"/>
  <c r="W220" i="41"/>
  <c r="X219" i="41"/>
  <c r="W219" i="41"/>
  <c r="X218" i="41"/>
  <c r="W218" i="41"/>
  <c r="X217" i="41"/>
  <c r="W217" i="41"/>
  <c r="X216" i="41"/>
  <c r="W216" i="41"/>
  <c r="X215" i="41"/>
  <c r="W215" i="41"/>
  <c r="X214" i="41"/>
  <c r="W214" i="41"/>
  <c r="X213" i="41"/>
  <c r="W213" i="41"/>
  <c r="X212" i="41"/>
  <c r="W212" i="41"/>
  <c r="X211" i="41"/>
  <c r="W211" i="41"/>
  <c r="X210" i="41"/>
  <c r="W210" i="41"/>
  <c r="X209" i="41"/>
  <c r="W209" i="41"/>
  <c r="X208" i="41"/>
  <c r="W208" i="41"/>
  <c r="X207" i="41"/>
  <c r="W207" i="41"/>
  <c r="X206" i="41"/>
  <c r="W206" i="41"/>
  <c r="X205" i="41"/>
  <c r="W205" i="41"/>
  <c r="X204" i="41"/>
  <c r="W204" i="41"/>
  <c r="X203" i="41"/>
  <c r="W203" i="41"/>
  <c r="X202" i="41"/>
  <c r="W202" i="41"/>
  <c r="X201" i="41"/>
  <c r="W201" i="41"/>
  <c r="X200" i="41"/>
  <c r="W200" i="41"/>
  <c r="X199" i="41"/>
  <c r="W199" i="41"/>
  <c r="X198" i="41"/>
  <c r="W198" i="41"/>
  <c r="X197" i="41"/>
  <c r="W197" i="41"/>
  <c r="X196" i="41"/>
  <c r="W196" i="41"/>
  <c r="X195" i="41"/>
  <c r="W195" i="41"/>
  <c r="X194" i="41"/>
  <c r="W194" i="41"/>
  <c r="X193" i="41"/>
  <c r="W193" i="41"/>
  <c r="X192" i="41"/>
  <c r="W192" i="41"/>
  <c r="X191" i="41"/>
  <c r="W191" i="41"/>
  <c r="X190" i="41"/>
  <c r="W190" i="41"/>
  <c r="X189" i="41"/>
  <c r="W189" i="41"/>
  <c r="X188" i="41"/>
  <c r="W188" i="41"/>
  <c r="X187" i="41"/>
  <c r="W187" i="41"/>
  <c r="X186" i="41"/>
  <c r="W186" i="41"/>
  <c r="X185" i="41"/>
  <c r="W185" i="41"/>
  <c r="X184" i="41"/>
  <c r="W184" i="41"/>
  <c r="X183" i="41"/>
  <c r="W183" i="41"/>
  <c r="X182" i="41"/>
  <c r="W182" i="41"/>
  <c r="X181" i="41"/>
  <c r="W181" i="41"/>
  <c r="X180" i="41"/>
  <c r="W180" i="41"/>
  <c r="X179" i="41"/>
  <c r="W179" i="41"/>
  <c r="X178" i="41"/>
  <c r="W178" i="41"/>
  <c r="X177" i="41"/>
  <c r="W177" i="41"/>
  <c r="X176" i="41"/>
  <c r="W176" i="41"/>
  <c r="X175" i="41"/>
  <c r="W175" i="41"/>
  <c r="X174" i="41"/>
  <c r="W174" i="41"/>
  <c r="X173" i="41"/>
  <c r="W173" i="41"/>
  <c r="X172" i="41"/>
  <c r="W172" i="41"/>
  <c r="X171" i="41"/>
  <c r="W171" i="41"/>
  <c r="X170" i="41"/>
  <c r="W170" i="41"/>
  <c r="X169" i="41"/>
  <c r="W169" i="41"/>
  <c r="X168" i="41"/>
  <c r="W168" i="41"/>
  <c r="X167" i="41"/>
  <c r="W167" i="41"/>
  <c r="X166" i="41"/>
  <c r="W166" i="41"/>
  <c r="X165" i="41"/>
  <c r="W165" i="41"/>
  <c r="X164" i="41"/>
  <c r="W164" i="41"/>
  <c r="X163" i="41"/>
  <c r="W163" i="41"/>
  <c r="X162" i="41"/>
  <c r="W162" i="41"/>
  <c r="X161" i="41"/>
  <c r="W161" i="41"/>
  <c r="X160" i="41"/>
  <c r="W160" i="41"/>
  <c r="X159" i="41"/>
  <c r="W159" i="41"/>
  <c r="X158" i="41"/>
  <c r="W158" i="41"/>
  <c r="X157" i="41"/>
  <c r="W157" i="41"/>
  <c r="X156" i="41"/>
  <c r="W156" i="41"/>
  <c r="X155" i="41"/>
  <c r="W155" i="41"/>
  <c r="X154" i="41"/>
  <c r="W154" i="41"/>
  <c r="X153" i="41"/>
  <c r="W153" i="41"/>
  <c r="X152" i="41"/>
  <c r="W152" i="41"/>
  <c r="X151" i="41"/>
  <c r="W151" i="41"/>
  <c r="X150" i="41"/>
  <c r="W150" i="41"/>
  <c r="X149" i="41"/>
  <c r="W149" i="41"/>
  <c r="X148" i="41"/>
  <c r="W148" i="41"/>
  <c r="X147" i="41"/>
  <c r="W147" i="41"/>
  <c r="X146" i="41"/>
  <c r="W146" i="41"/>
  <c r="X145" i="41"/>
  <c r="W145" i="41"/>
  <c r="X144" i="41"/>
  <c r="W144" i="41"/>
  <c r="X143" i="41"/>
  <c r="W143" i="41"/>
  <c r="X142" i="41"/>
  <c r="W142" i="41"/>
  <c r="X141" i="41"/>
  <c r="W141" i="41"/>
  <c r="X140" i="41"/>
  <c r="W140" i="41"/>
  <c r="X139" i="41"/>
  <c r="W139" i="41"/>
  <c r="X138" i="41"/>
  <c r="W138" i="41"/>
  <c r="X137" i="41"/>
  <c r="W137" i="41"/>
  <c r="X136" i="41"/>
  <c r="W136" i="41"/>
  <c r="X135" i="41"/>
  <c r="W135" i="41"/>
  <c r="X134" i="41"/>
  <c r="W134" i="41"/>
  <c r="X133" i="41"/>
  <c r="W133" i="41"/>
  <c r="X132" i="41"/>
  <c r="W132" i="41"/>
  <c r="X131" i="41"/>
  <c r="W131" i="41"/>
  <c r="X130" i="41"/>
  <c r="W130" i="41"/>
  <c r="X129" i="41"/>
  <c r="W129" i="41"/>
  <c r="X128" i="41"/>
  <c r="W128" i="41"/>
  <c r="X127" i="41"/>
  <c r="W127" i="41"/>
  <c r="X126" i="41"/>
  <c r="W126" i="41"/>
  <c r="X125" i="41"/>
  <c r="W125" i="41"/>
  <c r="X124" i="41"/>
  <c r="W124" i="41"/>
  <c r="X123" i="41"/>
  <c r="W123" i="41"/>
  <c r="X122" i="41"/>
  <c r="W122" i="41"/>
  <c r="X121" i="41"/>
  <c r="W121" i="41"/>
  <c r="X120" i="41"/>
  <c r="W120" i="41"/>
  <c r="X119" i="41"/>
  <c r="W119" i="41"/>
  <c r="X118" i="41"/>
  <c r="W118" i="41"/>
  <c r="X117" i="41"/>
  <c r="W117" i="41"/>
  <c r="X116" i="41"/>
  <c r="W116" i="41"/>
  <c r="X115" i="41"/>
  <c r="W115" i="41"/>
  <c r="X114" i="41"/>
  <c r="W114" i="41"/>
  <c r="X113" i="41"/>
  <c r="W113" i="41"/>
  <c r="X112" i="41"/>
  <c r="W112" i="41"/>
  <c r="X111" i="41"/>
  <c r="W111" i="41"/>
  <c r="X110" i="41"/>
  <c r="W110" i="41"/>
  <c r="X109" i="41"/>
  <c r="W109" i="41"/>
  <c r="X108" i="41"/>
  <c r="W108" i="41"/>
  <c r="X107" i="41"/>
  <c r="W107" i="41"/>
  <c r="X106" i="41"/>
  <c r="W106" i="41"/>
  <c r="X105" i="41"/>
  <c r="W105" i="41"/>
  <c r="X104" i="41"/>
  <c r="W104" i="41"/>
  <c r="X103" i="41"/>
  <c r="W103" i="41"/>
  <c r="X102" i="41"/>
  <c r="W102" i="41"/>
  <c r="X101" i="41"/>
  <c r="W101" i="41"/>
  <c r="X100" i="41"/>
  <c r="W100" i="41"/>
  <c r="X99" i="41"/>
  <c r="W99" i="41"/>
  <c r="X98" i="41"/>
  <c r="W98" i="41"/>
  <c r="X97" i="41"/>
  <c r="W97" i="41"/>
  <c r="X96" i="41"/>
  <c r="W96" i="41"/>
  <c r="X95" i="41"/>
  <c r="W95" i="41"/>
  <c r="X94" i="41"/>
  <c r="W94" i="41"/>
  <c r="X93" i="41"/>
  <c r="W93" i="41"/>
  <c r="X92" i="41"/>
  <c r="W92" i="41"/>
  <c r="X91" i="41"/>
  <c r="W91" i="41"/>
  <c r="X90" i="41"/>
  <c r="W90" i="41"/>
  <c r="X89" i="41"/>
  <c r="W89" i="41"/>
  <c r="X88" i="41"/>
  <c r="W88" i="41"/>
  <c r="X87" i="41"/>
  <c r="W87" i="41"/>
  <c r="X86" i="41"/>
  <c r="W86" i="41"/>
  <c r="X85" i="41"/>
  <c r="W85" i="41"/>
  <c r="X84" i="41"/>
  <c r="W84" i="41"/>
  <c r="X83" i="41"/>
  <c r="W83" i="41"/>
  <c r="X82" i="41"/>
  <c r="W82" i="41"/>
  <c r="X81" i="41"/>
  <c r="W81" i="41"/>
  <c r="X80" i="41"/>
  <c r="W80" i="41"/>
  <c r="X79" i="41"/>
  <c r="W79" i="41"/>
  <c r="X78" i="41"/>
  <c r="W78" i="41"/>
  <c r="X77" i="41"/>
  <c r="W77" i="41"/>
  <c r="X76" i="41"/>
  <c r="W76" i="41"/>
  <c r="X75" i="41"/>
  <c r="W75" i="41"/>
  <c r="X74" i="41"/>
  <c r="W74" i="41"/>
  <c r="X73" i="41"/>
  <c r="W73" i="41"/>
  <c r="X72" i="41"/>
  <c r="W72" i="41"/>
  <c r="X71" i="41"/>
  <c r="W71" i="41"/>
  <c r="X70" i="41"/>
  <c r="W70" i="41"/>
  <c r="X69" i="41"/>
  <c r="W69" i="41"/>
  <c r="X68" i="41"/>
  <c r="W68" i="41"/>
  <c r="X67" i="41"/>
  <c r="W67" i="41"/>
  <c r="X66" i="41"/>
  <c r="W66" i="41"/>
  <c r="X65" i="41"/>
  <c r="W65" i="41"/>
  <c r="X64" i="41"/>
  <c r="W64" i="41"/>
  <c r="X63" i="41"/>
  <c r="W63" i="41"/>
  <c r="X62" i="41"/>
  <c r="W62" i="41"/>
  <c r="X61" i="41"/>
  <c r="W61" i="41"/>
  <c r="X60" i="41"/>
  <c r="W60" i="41"/>
  <c r="X59" i="41"/>
  <c r="W59" i="41"/>
  <c r="X58" i="41"/>
  <c r="W58" i="41"/>
  <c r="X57" i="41"/>
  <c r="W57" i="41"/>
  <c r="X56" i="41"/>
  <c r="W56" i="41"/>
  <c r="X55" i="41"/>
  <c r="W55" i="41"/>
  <c r="X54" i="41"/>
  <c r="W54" i="41"/>
  <c r="X53" i="41"/>
  <c r="W53" i="41"/>
  <c r="X52" i="41"/>
  <c r="W52" i="41"/>
  <c r="X51" i="41"/>
  <c r="W51" i="41"/>
  <c r="X50" i="41"/>
  <c r="W50" i="41"/>
  <c r="X49" i="41"/>
  <c r="W49" i="41"/>
  <c r="X48" i="41"/>
  <c r="W48" i="41"/>
  <c r="X47" i="41"/>
  <c r="W47" i="41"/>
  <c r="X46" i="41"/>
  <c r="W46" i="41"/>
  <c r="X45" i="41"/>
  <c r="W45" i="41"/>
  <c r="X44" i="41"/>
  <c r="W44" i="41"/>
  <c r="X43" i="41"/>
  <c r="W43" i="41"/>
  <c r="X42" i="41"/>
  <c r="W42" i="41"/>
  <c r="X41" i="41"/>
  <c r="W41" i="41"/>
  <c r="X40" i="41"/>
  <c r="W40" i="41"/>
  <c r="X39" i="41"/>
  <c r="W39" i="41"/>
  <c r="X38" i="41"/>
  <c r="W38" i="41"/>
  <c r="X37" i="41"/>
  <c r="W37" i="41"/>
  <c r="X36" i="41"/>
  <c r="W36" i="41"/>
  <c r="X35" i="41"/>
  <c r="W35" i="41"/>
  <c r="X34" i="41"/>
  <c r="W34" i="41"/>
  <c r="X33" i="41"/>
  <c r="W33" i="41"/>
  <c r="X32" i="41"/>
  <c r="W32" i="41"/>
  <c r="X31" i="41"/>
  <c r="W31" i="41"/>
  <c r="X30" i="41"/>
  <c r="W30" i="41"/>
  <c r="X29" i="41"/>
  <c r="W29" i="41"/>
  <c r="X28" i="41"/>
  <c r="W28" i="41"/>
  <c r="X27" i="41"/>
  <c r="W27" i="41"/>
  <c r="X26" i="41"/>
  <c r="W26" i="41"/>
  <c r="X25" i="41"/>
  <c r="W25" i="41"/>
  <c r="X24" i="41"/>
  <c r="W24" i="41"/>
  <c r="X23" i="41"/>
  <c r="W23" i="41"/>
  <c r="X22" i="41"/>
  <c r="W22" i="41"/>
  <c r="X21" i="41"/>
  <c r="W21" i="41"/>
  <c r="X20" i="41"/>
  <c r="W20" i="41"/>
  <c r="X19" i="41"/>
  <c r="W19" i="41"/>
  <c r="X18" i="41"/>
  <c r="W18" i="41"/>
  <c r="X17" i="41"/>
  <c r="W17" i="41"/>
  <c r="X16" i="41"/>
  <c r="W16" i="41"/>
  <c r="X15" i="41"/>
  <c r="W15" i="41"/>
  <c r="X14" i="41"/>
  <c r="W14" i="41"/>
  <c r="X13" i="41"/>
  <c r="W13" i="41"/>
  <c r="X12" i="41"/>
  <c r="W12" i="41"/>
  <c r="X11" i="41"/>
  <c r="W11" i="41"/>
  <c r="X10" i="41"/>
  <c r="W10" i="41"/>
  <c r="X9" i="41"/>
  <c r="W9" i="41"/>
  <c r="X8" i="41"/>
  <c r="W8" i="41"/>
  <c r="X7" i="41"/>
  <c r="W7" i="41"/>
  <c r="W939" i="40"/>
  <c r="W940" i="40"/>
  <c r="W941" i="40"/>
  <c r="W942" i="40"/>
  <c r="W943" i="40"/>
  <c r="W944" i="40"/>
  <c r="W945" i="40"/>
  <c r="W946" i="40"/>
  <c r="W947" i="40"/>
  <c r="W948" i="40"/>
  <c r="W949" i="40"/>
  <c r="W950" i="40"/>
  <c r="W951" i="40"/>
  <c r="W952" i="40"/>
  <c r="W953" i="40"/>
  <c r="W954" i="40"/>
  <c r="W955" i="40"/>
  <c r="W956" i="40"/>
  <c r="W957" i="40"/>
  <c r="W958" i="40"/>
  <c r="W959" i="40"/>
  <c r="W960" i="40"/>
  <c r="W961" i="40"/>
  <c r="W962" i="40"/>
  <c r="W963" i="40"/>
  <c r="W964" i="40"/>
  <c r="W965" i="40"/>
  <c r="W966" i="40"/>
  <c r="W967" i="40"/>
  <c r="W968" i="40"/>
  <c r="W969" i="40"/>
  <c r="W970" i="40"/>
  <c r="W971" i="40"/>
  <c r="W972" i="40"/>
  <c r="W973" i="40"/>
  <c r="W974" i="40"/>
  <c r="W975" i="40"/>
  <c r="W976" i="40"/>
  <c r="W977" i="40"/>
  <c r="W978" i="40"/>
  <c r="W979" i="40"/>
  <c r="W980" i="40"/>
  <c r="W981" i="40"/>
  <c r="W982" i="40"/>
  <c r="W983" i="40"/>
  <c r="W984" i="40"/>
  <c r="W985" i="40"/>
  <c r="W986" i="40"/>
  <c r="W987" i="40"/>
  <c r="W988" i="40"/>
  <c r="W989" i="40"/>
  <c r="W990" i="40"/>
  <c r="W991" i="40"/>
  <c r="W992" i="40"/>
  <c r="W993" i="40"/>
  <c r="W994" i="40"/>
  <c r="W995" i="40"/>
  <c r="W996" i="40"/>
  <c r="W997" i="40"/>
  <c r="W998" i="40"/>
  <c r="W999" i="40"/>
  <c r="W1000" i="40"/>
  <c r="W1001" i="40"/>
  <c r="W1002" i="40"/>
  <c r="W1003" i="40"/>
  <c r="W1004" i="40"/>
  <c r="W1005" i="40"/>
  <c r="W1006" i="40"/>
  <c r="W1007" i="40"/>
  <c r="W1008" i="40"/>
  <c r="W1009" i="40"/>
  <c r="W1010" i="40"/>
  <c r="W1011" i="40"/>
  <c r="W1012" i="40"/>
  <c r="W1013" i="40"/>
  <c r="W1014" i="40"/>
  <c r="W1015" i="40"/>
  <c r="W1016" i="40"/>
  <c r="W1017" i="40"/>
  <c r="W1018" i="40"/>
  <c r="W1019" i="40"/>
  <c r="W1020" i="40"/>
  <c r="W1021" i="40"/>
  <c r="W1022" i="40"/>
  <c r="W1023" i="40"/>
  <c r="W1024" i="40"/>
  <c r="W1025" i="40"/>
  <c r="W1026" i="40"/>
  <c r="W1027" i="40"/>
  <c r="W1028" i="40"/>
  <c r="W1029" i="40"/>
  <c r="W1030" i="40"/>
  <c r="W1031" i="40"/>
  <c r="W1032" i="40"/>
  <c r="W1033" i="40"/>
  <c r="W1034" i="40"/>
  <c r="W1035" i="40"/>
  <c r="W1036" i="40"/>
  <c r="W1037" i="40"/>
  <c r="W1038" i="40"/>
  <c r="W1039" i="40"/>
  <c r="W1040" i="40"/>
  <c r="W1041" i="40"/>
  <c r="W1042" i="40"/>
  <c r="W1043" i="40"/>
  <c r="W1044" i="40"/>
  <c r="W1045" i="40"/>
  <c r="W1046" i="40"/>
  <c r="W1047" i="40"/>
  <c r="W1048" i="40"/>
  <c r="W1049" i="40"/>
  <c r="W1050" i="40"/>
  <c r="W1051" i="40"/>
  <c r="W1052" i="40"/>
  <c r="W1053" i="40"/>
  <c r="W1054" i="40"/>
  <c r="W1055" i="40"/>
  <c r="W1056" i="40"/>
  <c r="W1057" i="40"/>
  <c r="W1058" i="40"/>
  <c r="W1059" i="40"/>
  <c r="W1060" i="40"/>
  <c r="W1061" i="40"/>
  <c r="W1062" i="40"/>
  <c r="W1063" i="40"/>
  <c r="W1064" i="40"/>
  <c r="W1065" i="40"/>
  <c r="W1066" i="40"/>
  <c r="W1067" i="40"/>
  <c r="W1068" i="40"/>
  <c r="W1069" i="40"/>
  <c r="W1070" i="40"/>
  <c r="W1071" i="40"/>
  <c r="W1072" i="40"/>
  <c r="W1073" i="40"/>
  <c r="W1074" i="40"/>
  <c r="W1075" i="40"/>
  <c r="W1076" i="40"/>
  <c r="W1077" i="40"/>
  <c r="W1078" i="40"/>
  <c r="W1079" i="40"/>
  <c r="W1080" i="40"/>
  <c r="W1081" i="40"/>
  <c r="W1082" i="40"/>
  <c r="W1083" i="40"/>
  <c r="W1084" i="40"/>
  <c r="W1085" i="40"/>
  <c r="W1086" i="40"/>
  <c r="W1087" i="40"/>
  <c r="W1088" i="40"/>
  <c r="W1089" i="40"/>
  <c r="W1090" i="40"/>
  <c r="W1091" i="40"/>
  <c r="W1092" i="40"/>
  <c r="W1093" i="40"/>
  <c r="W1094" i="40"/>
  <c r="W1095" i="40"/>
  <c r="W1096" i="40"/>
  <c r="W1097" i="40"/>
  <c r="W1098" i="40"/>
  <c r="W1099" i="40"/>
  <c r="W1100" i="40"/>
  <c r="W1101" i="40"/>
  <c r="W1102" i="40"/>
  <c r="W1103" i="40"/>
  <c r="W1104" i="40"/>
  <c r="W1105" i="40"/>
  <c r="W1106" i="40"/>
  <c r="W1107" i="40"/>
  <c r="W1108" i="40"/>
  <c r="W1109" i="40"/>
  <c r="W1110" i="40"/>
  <c r="W1111" i="40"/>
  <c r="W1112" i="40"/>
  <c r="W1113" i="40"/>
  <c r="W1114" i="40"/>
  <c r="W1115" i="40"/>
  <c r="W1116" i="40"/>
  <c r="W1117" i="40"/>
  <c r="W1118" i="40"/>
  <c r="W1119" i="40"/>
  <c r="W1120" i="40"/>
  <c r="W1121" i="40"/>
  <c r="W1122" i="40"/>
  <c r="W1123" i="40"/>
  <c r="W1124" i="40"/>
  <c r="W1125" i="40"/>
  <c r="W1126" i="40"/>
  <c r="W1127" i="40"/>
  <c r="W1128" i="40"/>
  <c r="W1129" i="40"/>
  <c r="W1130" i="40"/>
  <c r="W1131" i="40"/>
  <c r="W1132" i="40"/>
  <c r="W1133" i="40"/>
  <c r="W1134" i="40"/>
  <c r="W1135" i="40"/>
  <c r="W1136" i="40"/>
  <c r="W1137" i="40"/>
  <c r="W1138" i="40"/>
  <c r="W1139" i="40"/>
  <c r="W1140" i="40"/>
  <c r="W1141" i="40"/>
  <c r="W1142" i="40"/>
  <c r="W1143" i="40"/>
  <c r="W1144" i="40"/>
  <c r="W1145" i="40"/>
  <c r="W1146" i="40"/>
  <c r="W1147" i="40"/>
  <c r="W1148" i="40"/>
  <c r="W1149" i="40"/>
  <c r="W1150" i="40"/>
  <c r="W1151" i="40"/>
  <c r="W1152" i="40"/>
  <c r="W1153" i="40"/>
  <c r="W1154" i="40"/>
  <c r="W1155" i="40"/>
  <c r="W1156" i="40"/>
  <c r="W1157" i="40"/>
  <c r="W1158" i="40"/>
  <c r="W1159" i="40"/>
  <c r="W1160" i="40"/>
  <c r="W1161" i="40"/>
  <c r="W1162" i="40"/>
  <c r="W1163" i="40"/>
  <c r="W1164" i="40"/>
  <c r="W1165" i="40"/>
  <c r="W1166" i="40"/>
  <c r="W1167" i="40"/>
  <c r="W1168" i="40"/>
  <c r="W1169" i="40"/>
  <c r="W1170" i="40"/>
  <c r="W1171" i="40"/>
  <c r="W1172" i="40"/>
  <c r="W1173" i="40"/>
  <c r="W1174" i="40"/>
  <c r="W1175" i="40"/>
  <c r="W1176" i="40"/>
  <c r="W1177" i="40"/>
  <c r="W1178" i="40"/>
  <c r="W1179" i="40"/>
  <c r="W1180" i="40"/>
  <c r="W1181" i="40"/>
  <c r="W1182" i="40"/>
  <c r="W1183" i="40"/>
  <c r="W1184" i="40"/>
  <c r="W1185" i="40"/>
  <c r="W1186" i="40"/>
  <c r="W1187" i="40"/>
  <c r="W1188" i="40"/>
  <c r="W1189" i="40"/>
  <c r="W1190" i="40"/>
  <c r="W1191" i="40"/>
  <c r="W1192" i="40"/>
  <c r="W1193" i="40"/>
  <c r="W1194" i="40"/>
  <c r="W1195" i="40"/>
  <c r="W1196" i="40"/>
  <c r="W1197" i="40"/>
  <c r="W1198" i="40"/>
  <c r="W1199" i="40"/>
  <c r="W1200" i="40"/>
  <c r="W1201" i="40"/>
  <c r="W1202" i="40"/>
  <c r="W1203" i="40"/>
  <c r="W1204" i="40"/>
  <c r="W1205" i="40"/>
  <c r="W1206" i="40"/>
  <c r="W1207" i="40"/>
  <c r="W1208" i="40"/>
  <c r="W1209" i="40"/>
  <c r="W1210" i="40"/>
  <c r="W1211" i="40"/>
  <c r="W1212" i="40"/>
  <c r="W1213" i="40"/>
  <c r="W1214" i="40"/>
  <c r="W1215" i="40"/>
  <c r="W1216" i="40"/>
  <c r="W1217" i="40"/>
  <c r="W1218" i="40"/>
  <c r="W1219" i="40"/>
  <c r="W1220" i="40"/>
  <c r="W1221" i="40"/>
  <c r="W1222" i="40"/>
  <c r="W1223" i="40"/>
  <c r="W1224" i="40"/>
  <c r="W1225" i="40"/>
  <c r="W1226" i="40"/>
  <c r="W1227" i="40"/>
  <c r="W1228" i="40"/>
  <c r="W1229" i="40"/>
  <c r="W1230" i="40"/>
  <c r="W1231" i="40"/>
  <c r="W1232" i="40"/>
  <c r="W1233" i="40"/>
  <c r="W1234" i="40"/>
  <c r="W1235" i="40"/>
  <c r="W1236" i="40"/>
  <c r="W1237" i="40"/>
  <c r="W1238" i="40"/>
  <c r="W1239" i="40"/>
  <c r="W1240" i="40"/>
  <c r="W1241" i="40"/>
  <c r="W1242" i="40"/>
  <c r="W1243" i="40"/>
  <c r="W1244" i="40"/>
  <c r="W1245" i="40"/>
  <c r="W1246" i="40"/>
  <c r="W1247" i="40"/>
  <c r="W1248" i="40"/>
  <c r="W1249" i="40"/>
  <c r="W1250" i="40"/>
  <c r="W1251" i="40"/>
  <c r="W1252" i="40"/>
  <c r="W1253" i="40"/>
  <c r="W1254" i="40"/>
  <c r="W1255" i="40"/>
  <c r="W1256" i="40"/>
  <c r="W1257" i="40"/>
  <c r="W1258" i="40"/>
  <c r="W1259" i="40"/>
  <c r="W1260" i="40"/>
  <c r="W1261" i="40"/>
  <c r="W1262" i="40"/>
  <c r="W1263" i="40"/>
  <c r="W1264" i="40"/>
  <c r="W1265" i="40"/>
  <c r="W1266" i="40"/>
  <c r="W1267" i="40"/>
  <c r="W1268" i="40"/>
  <c r="W1269" i="40"/>
  <c r="W1270" i="40"/>
  <c r="W1271" i="40"/>
  <c r="W1272" i="40"/>
  <c r="W1273" i="40"/>
  <c r="W1274" i="40"/>
  <c r="W1275" i="40"/>
  <c r="W1276" i="40"/>
  <c r="W1277" i="40"/>
  <c r="W1278" i="40"/>
  <c r="W1279" i="40"/>
  <c r="W1280" i="40"/>
  <c r="W1281" i="40"/>
  <c r="W1282" i="40"/>
  <c r="W1283" i="40"/>
  <c r="W1284" i="40"/>
  <c r="W1285" i="40"/>
  <c r="W1286" i="40"/>
  <c r="W1287" i="40"/>
  <c r="W1288" i="40"/>
  <c r="W1289" i="40"/>
  <c r="W1290" i="40"/>
  <c r="W1291" i="40"/>
  <c r="W1292" i="40"/>
  <c r="W1293" i="40"/>
  <c r="W1294" i="40"/>
  <c r="W1295" i="40"/>
  <c r="W1296" i="40"/>
  <c r="W1297" i="40"/>
  <c r="W1298" i="40"/>
  <c r="W1299" i="40"/>
  <c r="W1300" i="40"/>
  <c r="W1301" i="40"/>
  <c r="W1302" i="40"/>
  <c r="W1303" i="40"/>
  <c r="W1304" i="40"/>
  <c r="W1305" i="40"/>
  <c r="W1306" i="40"/>
  <c r="W1307" i="40"/>
  <c r="W1308" i="40"/>
  <c r="W1309" i="40"/>
  <c r="W1310" i="40"/>
  <c r="W1311" i="40"/>
  <c r="W1312" i="40"/>
  <c r="W1313" i="40"/>
  <c r="W1314" i="40"/>
  <c r="W1315" i="40"/>
  <c r="W1316" i="40"/>
  <c r="W1317" i="40"/>
  <c r="W1318" i="40"/>
  <c r="W1319" i="40"/>
  <c r="W1320" i="40"/>
  <c r="W1321" i="40"/>
  <c r="W1322" i="40"/>
  <c r="W1323" i="40"/>
  <c r="W1324" i="40"/>
  <c r="W1325" i="40"/>
  <c r="W1326" i="40"/>
  <c r="W1327" i="40"/>
  <c r="W1328" i="40"/>
  <c r="W1329" i="40"/>
  <c r="W1330" i="40"/>
  <c r="W1331" i="40"/>
  <c r="W1332" i="40"/>
  <c r="W1333" i="40"/>
  <c r="W1334" i="40"/>
  <c r="W1335" i="40"/>
  <c r="W1336" i="40"/>
  <c r="W1337" i="40"/>
  <c r="W1338" i="40"/>
  <c r="W1339" i="40"/>
  <c r="W1340" i="40"/>
  <c r="W1341" i="40"/>
  <c r="W1342" i="40"/>
  <c r="W1343" i="40"/>
  <c r="W1344" i="40"/>
  <c r="W1345" i="40"/>
  <c r="W1346" i="40"/>
  <c r="W1347" i="40"/>
  <c r="W1348" i="40"/>
  <c r="W1349" i="40"/>
  <c r="W1350" i="40"/>
  <c r="W1351" i="40"/>
  <c r="W1352" i="40"/>
  <c r="W1353" i="40"/>
  <c r="W1354" i="40"/>
  <c r="W1355" i="40"/>
  <c r="W1356" i="40"/>
  <c r="W1357" i="40"/>
  <c r="W1358" i="40"/>
  <c r="W1359" i="40"/>
  <c r="W1360" i="40"/>
  <c r="W1361" i="40"/>
  <c r="W1362" i="40"/>
  <c r="W1363" i="40"/>
  <c r="W1364" i="40"/>
  <c r="W1365" i="40"/>
  <c r="W1366" i="40"/>
  <c r="W1367" i="40"/>
  <c r="W1368" i="40"/>
  <c r="W1369" i="40"/>
  <c r="W1370" i="40"/>
  <c r="W1371" i="40"/>
  <c r="W1372" i="40"/>
  <c r="W1373" i="40"/>
  <c r="W1374" i="40"/>
  <c r="W1375" i="40"/>
  <c r="W1376" i="40"/>
  <c r="W1377" i="40"/>
  <c r="W1378" i="40"/>
  <c r="W1379" i="40"/>
  <c r="W1380" i="40"/>
  <c r="W1381" i="40"/>
  <c r="W1382" i="40"/>
  <c r="W1383" i="40"/>
  <c r="W1384" i="40"/>
  <c r="W1385" i="40"/>
  <c r="W1386" i="40"/>
  <c r="W1387" i="40"/>
  <c r="W1388" i="40"/>
  <c r="W1389" i="40"/>
  <c r="W1390" i="40"/>
  <c r="W1391" i="40"/>
  <c r="W1392" i="40"/>
  <c r="W1393" i="40"/>
  <c r="W1394" i="40"/>
  <c r="W1395" i="40"/>
  <c r="W1396" i="40"/>
  <c r="W1397" i="40"/>
  <c r="W1398" i="40"/>
  <c r="W1399" i="40"/>
  <c r="W1400" i="40"/>
  <c r="W1401" i="40"/>
  <c r="W1402" i="40"/>
  <c r="W1403" i="40"/>
  <c r="W1404" i="40"/>
  <c r="W1405" i="40"/>
  <c r="W1406" i="40"/>
  <c r="W1407" i="40"/>
  <c r="W1408" i="40"/>
  <c r="W1409" i="40"/>
  <c r="W1410" i="40"/>
  <c r="W1411" i="40"/>
  <c r="W1412" i="40"/>
  <c r="W1413" i="40"/>
  <c r="W1414" i="40"/>
  <c r="W1415" i="40"/>
  <c r="W1416" i="40"/>
  <c r="W1417" i="40"/>
  <c r="W1418" i="40"/>
  <c r="W1419" i="40"/>
  <c r="W1420" i="40"/>
  <c r="W1421" i="40"/>
  <c r="W1422" i="40"/>
  <c r="W1423" i="40"/>
  <c r="W1424" i="40"/>
  <c r="W1425" i="40"/>
  <c r="W1426" i="40"/>
  <c r="W1427" i="40"/>
  <c r="W1428" i="40"/>
  <c r="W1429" i="40"/>
  <c r="W1430" i="40"/>
  <c r="W1431" i="40"/>
  <c r="W1432" i="40"/>
  <c r="W1433" i="40"/>
  <c r="W1434" i="40"/>
  <c r="W1435" i="40"/>
  <c r="W1436" i="40"/>
  <c r="W1437" i="40"/>
  <c r="W1438" i="40"/>
  <c r="W1439" i="40"/>
  <c r="W1440" i="40"/>
  <c r="W1441" i="40"/>
  <c r="W1442" i="40"/>
  <c r="W1443" i="40"/>
  <c r="W1444" i="40"/>
  <c r="W1445" i="40"/>
  <c r="W1446" i="40"/>
  <c r="W1447" i="40"/>
  <c r="W1448" i="40"/>
  <c r="W1449" i="40"/>
  <c r="W1450" i="40"/>
  <c r="W1451" i="40"/>
  <c r="W1452" i="40"/>
  <c r="W1453" i="40"/>
  <c r="W1454" i="40"/>
  <c r="W1455" i="40"/>
  <c r="W1456" i="40"/>
  <c r="W1457" i="40"/>
  <c r="W1458" i="40"/>
  <c r="W1459" i="40"/>
  <c r="W1460" i="40"/>
  <c r="W1461" i="40"/>
  <c r="W1462" i="40"/>
  <c r="W1463" i="40"/>
  <c r="W1464" i="40"/>
  <c r="W1465" i="40"/>
  <c r="W1466" i="40"/>
  <c r="W1467" i="40"/>
  <c r="W1468" i="40"/>
  <c r="W1469" i="40"/>
  <c r="W1470" i="40"/>
  <c r="W1471" i="40"/>
  <c r="W1472" i="40"/>
  <c r="W1473" i="40"/>
  <c r="W1474" i="40"/>
  <c r="W1475" i="40"/>
  <c r="W1476" i="40"/>
  <c r="W1477" i="40"/>
  <c r="W1478" i="40"/>
  <c r="W1479" i="40"/>
  <c r="W1480" i="40"/>
  <c r="W1481" i="40"/>
  <c r="W1482" i="40"/>
  <c r="W1483" i="40"/>
  <c r="W1484" i="40"/>
  <c r="W1485" i="40"/>
  <c r="W1486" i="40"/>
  <c r="W1487" i="40"/>
  <c r="W1488" i="40"/>
  <c r="W1489" i="40"/>
  <c r="W1490" i="40"/>
  <c r="W1491" i="40"/>
  <c r="W1492" i="40"/>
  <c r="W1493" i="40"/>
  <c r="W1494" i="40"/>
  <c r="W1495" i="40"/>
  <c r="W1496" i="40"/>
  <c r="W1497" i="40"/>
  <c r="W1498" i="40"/>
  <c r="W1499" i="40"/>
  <c r="W1500" i="40"/>
  <c r="W1501" i="40"/>
  <c r="W1502" i="40"/>
  <c r="W1503" i="40"/>
  <c r="W1504" i="40"/>
  <c r="W1505" i="40"/>
  <c r="W1506" i="40"/>
  <c r="W1507" i="40"/>
  <c r="W1508" i="40"/>
  <c r="W1509" i="40"/>
  <c r="W1510" i="40"/>
  <c r="W1511" i="40"/>
  <c r="W1512" i="40"/>
  <c r="W1513" i="40"/>
  <c r="W1514" i="40"/>
  <c r="W1515" i="40"/>
  <c r="W1516" i="40"/>
  <c r="W1517" i="40"/>
  <c r="W1518" i="40"/>
  <c r="W1519" i="40"/>
  <c r="W1520" i="40"/>
  <c r="W1521" i="40"/>
  <c r="W1522" i="40"/>
  <c r="W1523" i="40"/>
  <c r="W1524" i="40"/>
  <c r="W1525" i="40"/>
  <c r="W1526" i="40"/>
  <c r="W1527" i="40"/>
  <c r="W1528" i="40"/>
  <c r="W1529" i="40"/>
  <c r="W1530" i="40"/>
  <c r="W1531" i="40"/>
  <c r="W1532" i="40"/>
  <c r="W1533" i="40"/>
  <c r="W1534" i="40"/>
  <c r="W1535" i="40"/>
  <c r="W1536" i="40"/>
  <c r="W1537" i="40"/>
  <c r="W1538" i="40"/>
  <c r="W1539" i="40"/>
  <c r="W1540" i="40"/>
  <c r="W1541" i="40"/>
  <c r="W1542" i="40"/>
  <c r="W1543" i="40"/>
  <c r="W1544" i="40"/>
  <c r="W1545" i="40"/>
  <c r="W1546" i="40"/>
  <c r="W1547" i="40"/>
  <c r="W1548" i="40"/>
  <c r="W1549" i="40"/>
  <c r="W1550" i="40"/>
  <c r="W1551" i="40"/>
  <c r="W1552" i="40"/>
  <c r="W1553" i="40"/>
  <c r="W1554" i="40"/>
  <c r="W1555" i="40"/>
  <c r="W1556" i="40"/>
  <c r="W1557" i="40"/>
  <c r="W1558" i="40"/>
  <c r="W1559" i="40"/>
  <c r="W1560" i="40"/>
  <c r="W1561" i="40"/>
  <c r="W1562" i="40"/>
  <c r="W1563" i="40"/>
  <c r="W1564" i="40"/>
  <c r="W1565" i="40"/>
  <c r="W1566" i="40"/>
  <c r="W1567" i="40"/>
  <c r="W1568" i="40"/>
  <c r="W1569" i="40"/>
  <c r="W1570" i="40"/>
  <c r="W1571" i="40"/>
  <c r="W1572" i="40"/>
  <c r="W1573" i="40"/>
  <c r="W1574" i="40"/>
  <c r="W1575" i="40"/>
  <c r="W1576" i="40"/>
  <c r="W1577" i="40"/>
  <c r="W1578" i="40"/>
  <c r="W1579" i="40"/>
  <c r="W1580" i="40"/>
  <c r="W1581" i="40"/>
  <c r="W1582" i="40"/>
  <c r="W1583" i="40"/>
  <c r="W1584" i="40"/>
  <c r="W1585" i="40"/>
  <c r="W1586" i="40"/>
  <c r="W1587" i="40"/>
  <c r="W1588" i="40"/>
  <c r="W1589" i="40"/>
  <c r="W1590" i="40"/>
  <c r="W1591" i="40"/>
  <c r="W1592" i="40"/>
  <c r="W1593" i="40"/>
  <c r="W1594" i="40"/>
  <c r="W1595" i="40"/>
  <c r="W1596" i="40"/>
  <c r="W1597" i="40"/>
  <c r="W1598" i="40"/>
  <c r="W1599" i="40"/>
  <c r="W1600" i="40"/>
  <c r="W1601" i="40"/>
  <c r="W1602" i="40"/>
  <c r="W1603" i="40"/>
  <c r="W1604" i="40"/>
  <c r="W1605" i="40"/>
  <c r="W1606" i="40"/>
  <c r="W1607" i="40"/>
  <c r="W1608" i="40"/>
  <c r="W1609" i="40"/>
  <c r="W1610" i="40"/>
  <c r="W1611" i="40"/>
  <c r="W1612" i="40"/>
  <c r="W1613" i="40"/>
  <c r="W1614" i="40"/>
  <c r="W1615" i="40"/>
  <c r="W1616" i="40"/>
  <c r="W1617" i="40"/>
  <c r="W1618" i="40"/>
  <c r="W1619" i="40"/>
  <c r="W1620" i="40"/>
  <c r="W1621" i="40"/>
  <c r="W1622" i="40"/>
  <c r="W1623" i="40"/>
  <c r="W1624" i="40"/>
  <c r="W1625" i="40"/>
  <c r="W1626" i="40"/>
  <c r="W1627" i="40"/>
  <c r="W1628" i="40"/>
  <c r="W1629" i="40"/>
  <c r="W1630" i="40"/>
  <c r="W1631" i="40"/>
  <c r="W1632" i="40"/>
  <c r="W1633" i="40"/>
  <c r="W1634" i="40"/>
  <c r="W1635" i="40"/>
  <c r="W1636" i="40"/>
  <c r="W1637" i="40"/>
  <c r="W1638" i="40"/>
  <c r="W1639" i="40"/>
  <c r="W1640" i="40"/>
  <c r="W1641" i="40"/>
  <c r="W1642" i="40"/>
  <c r="W1643" i="40"/>
  <c r="W1644" i="40"/>
  <c r="W1645" i="40"/>
  <c r="W1646" i="40"/>
  <c r="W1647" i="40"/>
  <c r="W1648" i="40"/>
  <c r="W1649" i="40"/>
  <c r="W1650" i="40"/>
  <c r="W1651" i="40"/>
  <c r="W1652" i="40"/>
  <c r="W1653" i="40"/>
  <c r="W1654" i="40"/>
  <c r="W1655" i="40"/>
  <c r="W1656" i="40"/>
  <c r="W1657" i="40"/>
  <c r="W1658" i="40"/>
  <c r="W1659" i="40"/>
  <c r="W1660" i="40"/>
  <c r="W1661" i="40"/>
  <c r="W1662" i="40"/>
  <c r="W1663" i="40"/>
  <c r="W1664" i="40"/>
  <c r="W1665" i="40"/>
  <c r="W1666" i="40"/>
  <c r="W1667" i="40"/>
  <c r="W1668" i="40"/>
  <c r="W1669" i="40"/>
  <c r="W1670" i="40"/>
  <c r="W1671" i="40"/>
  <c r="W1672" i="40"/>
  <c r="W1673" i="40"/>
  <c r="W1674" i="40"/>
  <c r="W1675" i="40"/>
  <c r="W1676" i="40"/>
  <c r="W1677" i="40"/>
  <c r="W1678" i="40"/>
  <c r="W1679" i="40"/>
  <c r="W1680" i="40"/>
  <c r="W1681" i="40"/>
  <c r="W1682" i="40"/>
  <c r="W1683" i="40"/>
  <c r="W1684" i="40"/>
  <c r="W1685" i="40"/>
  <c r="W1686" i="40"/>
  <c r="W1687" i="40"/>
  <c r="W1688" i="40"/>
  <c r="W1689" i="40"/>
  <c r="W1690" i="40"/>
  <c r="W1691" i="40"/>
  <c r="W1692" i="40"/>
  <c r="W1693" i="40"/>
  <c r="W1694" i="40"/>
  <c r="W1695" i="40"/>
  <c r="W1696" i="40"/>
  <c r="W1697" i="40"/>
  <c r="W1698" i="40"/>
  <c r="W1699" i="40"/>
  <c r="W1700" i="40"/>
  <c r="W1701" i="40"/>
  <c r="W1702" i="40"/>
  <c r="W1703" i="40"/>
  <c r="W1704" i="40"/>
  <c r="W1705" i="40"/>
  <c r="W1706" i="40"/>
  <c r="W1707" i="40"/>
  <c r="W1708" i="40"/>
  <c r="W1709" i="40"/>
  <c r="W1710" i="40"/>
  <c r="W1711" i="40"/>
  <c r="W1712" i="40"/>
  <c r="W1713" i="40"/>
  <c r="W1714" i="40"/>
  <c r="W1715" i="40"/>
  <c r="W1716" i="40"/>
  <c r="W1717" i="40"/>
  <c r="W1718" i="40"/>
  <c r="W1719" i="40"/>
  <c r="W1720" i="40"/>
  <c r="W1721" i="40"/>
  <c r="W1722" i="40"/>
  <c r="W1723" i="40"/>
  <c r="W1724" i="40"/>
  <c r="W1725" i="40"/>
  <c r="W1726" i="40"/>
  <c r="W1727" i="40"/>
  <c r="W1728" i="40"/>
  <c r="W1729" i="40"/>
  <c r="W1730" i="40"/>
  <c r="W1731" i="40"/>
  <c r="W1732" i="40"/>
  <c r="W1733" i="40"/>
  <c r="W1734" i="40"/>
  <c r="W1735" i="40"/>
  <c r="W1736" i="40"/>
  <c r="W1737" i="40"/>
  <c r="W1738" i="40"/>
  <c r="W1739" i="40"/>
  <c r="W1740" i="40"/>
  <c r="W1741" i="40"/>
  <c r="W1742" i="40"/>
  <c r="W1743" i="40"/>
  <c r="W1744" i="40"/>
  <c r="W1745" i="40"/>
  <c r="W1746" i="40"/>
  <c r="W1747" i="40"/>
  <c r="W1748" i="40"/>
  <c r="W1749" i="40"/>
  <c r="W1750" i="40"/>
  <c r="W1751" i="40"/>
  <c r="W1752" i="40"/>
  <c r="W1753" i="40"/>
  <c r="W1754" i="40"/>
  <c r="W1755" i="40"/>
  <c r="W1756" i="40"/>
  <c r="W1757" i="40"/>
  <c r="W1758" i="40"/>
  <c r="W1759" i="40"/>
  <c r="W1760" i="40"/>
  <c r="W1761" i="40"/>
  <c r="W1762" i="40"/>
  <c r="W1763" i="40"/>
  <c r="W1764" i="40"/>
  <c r="W1765" i="40"/>
  <c r="W1766" i="40"/>
  <c r="W1767" i="40"/>
  <c r="W1768" i="40"/>
  <c r="W1769" i="40"/>
  <c r="W1770" i="40"/>
  <c r="W1771" i="40"/>
  <c r="W1772" i="40"/>
  <c r="W1773" i="40"/>
  <c r="W1774" i="40"/>
  <c r="W1775" i="40"/>
  <c r="W1776" i="40"/>
  <c r="W1777" i="40"/>
  <c r="W1778" i="40"/>
  <c r="W1779" i="40"/>
  <c r="W1780" i="40"/>
  <c r="W1781" i="40"/>
  <c r="W1782" i="40"/>
  <c r="W1783" i="40"/>
  <c r="W1784" i="40"/>
  <c r="W1785" i="40"/>
  <c r="W1786" i="40"/>
  <c r="W1787" i="40"/>
  <c r="W1788" i="40"/>
  <c r="W1789" i="40"/>
  <c r="W1790" i="40"/>
  <c r="W1791" i="40"/>
  <c r="W1792" i="40"/>
  <c r="W1793" i="40"/>
  <c r="W1794" i="40"/>
  <c r="W1795" i="40"/>
  <c r="W1796" i="40"/>
  <c r="W1797" i="40"/>
  <c r="W1798" i="40"/>
  <c r="W1799" i="40"/>
  <c r="W1800" i="40"/>
  <c r="W1801" i="40"/>
  <c r="W1802" i="40"/>
  <c r="W1803" i="40"/>
  <c r="W1804" i="40"/>
  <c r="W1805" i="40"/>
  <c r="W1806" i="40"/>
  <c r="W1807" i="40"/>
  <c r="W1808" i="40"/>
  <c r="W1809" i="40"/>
  <c r="W1810" i="40"/>
  <c r="W1811" i="40"/>
  <c r="W1812" i="40"/>
  <c r="W1813" i="40"/>
  <c r="W1814" i="40"/>
  <c r="W1815" i="40"/>
  <c r="W1816" i="40"/>
  <c r="W1817" i="40"/>
  <c r="W1818" i="40"/>
  <c r="W1819" i="40"/>
  <c r="W1820" i="40"/>
  <c r="W1821" i="40"/>
  <c r="W1822" i="40"/>
  <c r="W1823" i="40"/>
  <c r="W1824" i="40"/>
  <c r="W1825" i="40"/>
  <c r="W1826" i="40"/>
  <c r="W1827" i="40"/>
  <c r="W1828" i="40"/>
  <c r="W1829" i="40"/>
  <c r="W1830" i="40"/>
  <c r="W1831" i="40"/>
  <c r="W1832" i="40"/>
  <c r="W1833" i="40"/>
  <c r="W1834" i="40"/>
  <c r="W1835" i="40"/>
  <c r="W1836" i="40"/>
  <c r="W1837" i="40"/>
  <c r="W1838" i="40"/>
  <c r="W1839" i="40"/>
  <c r="W1840" i="40"/>
  <c r="W1841" i="40"/>
  <c r="W1842" i="40"/>
  <c r="W1843" i="40"/>
  <c r="W1844" i="40"/>
  <c r="W1845" i="40"/>
  <c r="W1846" i="40"/>
  <c r="W1847" i="40"/>
  <c r="W1848" i="40"/>
  <c r="W1849" i="40"/>
  <c r="W1850" i="40"/>
  <c r="W1851" i="40"/>
  <c r="W1852" i="40"/>
  <c r="W1853" i="40"/>
  <c r="W1854" i="40"/>
  <c r="W1855" i="40"/>
  <c r="W1856" i="40"/>
  <c r="W1857" i="40"/>
  <c r="W1858" i="40"/>
  <c r="W1859" i="40"/>
  <c r="W1860" i="40"/>
  <c r="W1861" i="40"/>
  <c r="W1862" i="40"/>
  <c r="W1863" i="40"/>
  <c r="W1864" i="40"/>
  <c r="W1865" i="40"/>
  <c r="W1866" i="40"/>
  <c r="W1867" i="40"/>
  <c r="W1868" i="40"/>
  <c r="W1869" i="40"/>
  <c r="W1870" i="40"/>
  <c r="W1871" i="40"/>
  <c r="W1872" i="40"/>
  <c r="W1873" i="40"/>
  <c r="W1874" i="40"/>
  <c r="W1875" i="40"/>
  <c r="W1876" i="40"/>
  <c r="W1877" i="40"/>
  <c r="W1878" i="40"/>
  <c r="W1879" i="40"/>
  <c r="W1880" i="40"/>
  <c r="W1881" i="40"/>
  <c r="W1882" i="40"/>
  <c r="W1883" i="40"/>
  <c r="W1884" i="40"/>
  <c r="W1885" i="40"/>
  <c r="W1886" i="40"/>
  <c r="W1887" i="40"/>
  <c r="W1888" i="40"/>
  <c r="W1889" i="40"/>
  <c r="X939" i="40"/>
  <c r="X940" i="40"/>
  <c r="X941" i="40"/>
  <c r="X942" i="40"/>
  <c r="X943" i="40"/>
  <c r="X944" i="40"/>
  <c r="X945" i="40"/>
  <c r="X946" i="40"/>
  <c r="X947" i="40"/>
  <c r="X948" i="40"/>
  <c r="X949" i="40"/>
  <c r="X950" i="40"/>
  <c r="X951" i="40"/>
  <c r="X952" i="40"/>
  <c r="X953" i="40"/>
  <c r="X954" i="40"/>
  <c r="X955" i="40"/>
  <c r="X956" i="40"/>
  <c r="X957" i="40"/>
  <c r="X958" i="40"/>
  <c r="X959" i="40"/>
  <c r="X960" i="40"/>
  <c r="X961" i="40"/>
  <c r="X962" i="40"/>
  <c r="X963" i="40"/>
  <c r="X964" i="40"/>
  <c r="X965" i="40"/>
  <c r="X966" i="40"/>
  <c r="X967" i="40"/>
  <c r="X968" i="40"/>
  <c r="X969" i="40"/>
  <c r="X970" i="40"/>
  <c r="X971" i="40"/>
  <c r="X972" i="40"/>
  <c r="X973" i="40"/>
  <c r="X974" i="40"/>
  <c r="X975" i="40"/>
  <c r="X976" i="40"/>
  <c r="X977" i="40"/>
  <c r="X978" i="40"/>
  <c r="X979" i="40"/>
  <c r="X980" i="40"/>
  <c r="X981" i="40"/>
  <c r="X982" i="40"/>
  <c r="X983" i="40"/>
  <c r="X984" i="40"/>
  <c r="X985" i="40"/>
  <c r="X986" i="40"/>
  <c r="X987" i="40"/>
  <c r="X988" i="40"/>
  <c r="X989" i="40"/>
  <c r="X990" i="40"/>
  <c r="X991" i="40"/>
  <c r="X992" i="40"/>
  <c r="X993" i="40"/>
  <c r="X994" i="40"/>
  <c r="X995" i="40"/>
  <c r="X996" i="40"/>
  <c r="X997" i="40"/>
  <c r="X998" i="40"/>
  <c r="X999" i="40"/>
  <c r="X1000" i="40"/>
  <c r="X1001" i="40"/>
  <c r="X1002" i="40"/>
  <c r="X1003" i="40"/>
  <c r="X1004" i="40"/>
  <c r="X1005" i="40"/>
  <c r="X1006" i="40"/>
  <c r="X1007" i="40"/>
  <c r="X1008" i="40"/>
  <c r="X1009" i="40"/>
  <c r="X1010" i="40"/>
  <c r="X1011" i="40"/>
  <c r="X1012" i="40"/>
  <c r="X1013" i="40"/>
  <c r="X1014" i="40"/>
  <c r="X1015" i="40"/>
  <c r="X1016" i="40"/>
  <c r="X1017" i="40"/>
  <c r="X1018" i="40"/>
  <c r="X1019" i="40"/>
  <c r="X1020" i="40"/>
  <c r="X1021" i="40"/>
  <c r="X1022" i="40"/>
  <c r="X1023" i="40"/>
  <c r="X1024" i="40"/>
  <c r="X1025" i="40"/>
  <c r="X1026" i="40"/>
  <c r="X1027" i="40"/>
  <c r="X1028" i="40"/>
  <c r="X1029" i="40"/>
  <c r="X1030" i="40"/>
  <c r="X1031" i="40"/>
  <c r="X1032" i="40"/>
  <c r="X1033" i="40"/>
  <c r="X1034" i="40"/>
  <c r="X1035" i="40"/>
  <c r="X1036" i="40"/>
  <c r="X1037" i="40"/>
  <c r="X1038" i="40"/>
  <c r="X1039" i="40"/>
  <c r="X1040" i="40"/>
  <c r="X1041" i="40"/>
  <c r="X1042" i="40"/>
  <c r="X1043" i="40"/>
  <c r="X1044" i="40"/>
  <c r="X1045" i="40"/>
  <c r="X1046" i="40"/>
  <c r="X1047" i="40"/>
  <c r="X1048" i="40"/>
  <c r="X1049" i="40"/>
  <c r="X1050" i="40"/>
  <c r="X1051" i="40"/>
  <c r="X1052" i="40"/>
  <c r="X1053" i="40"/>
  <c r="X1054" i="40"/>
  <c r="X1055" i="40"/>
  <c r="X1056" i="40"/>
  <c r="X1057" i="40"/>
  <c r="X1058" i="40"/>
  <c r="X1059" i="40"/>
  <c r="X1060" i="40"/>
  <c r="X1061" i="40"/>
  <c r="X1062" i="40"/>
  <c r="X1063" i="40"/>
  <c r="X1064" i="40"/>
  <c r="X1065" i="40"/>
  <c r="X1066" i="40"/>
  <c r="X1067" i="40"/>
  <c r="X1068" i="40"/>
  <c r="X1069" i="40"/>
  <c r="X1070" i="40"/>
  <c r="X1071" i="40"/>
  <c r="X1072" i="40"/>
  <c r="X1073" i="40"/>
  <c r="X1074" i="40"/>
  <c r="X1075" i="40"/>
  <c r="X1076" i="40"/>
  <c r="X1077" i="40"/>
  <c r="X1078" i="40"/>
  <c r="X1079" i="40"/>
  <c r="X1080" i="40"/>
  <c r="X1081" i="40"/>
  <c r="X1082" i="40"/>
  <c r="X1083" i="40"/>
  <c r="X1084" i="40"/>
  <c r="X1085" i="40"/>
  <c r="X1086" i="40"/>
  <c r="X1087" i="40"/>
  <c r="X1088" i="40"/>
  <c r="X1089" i="40"/>
  <c r="X1090" i="40"/>
  <c r="X1091" i="40"/>
  <c r="X1092" i="40"/>
  <c r="X1093" i="40"/>
  <c r="X1094" i="40"/>
  <c r="X1095" i="40"/>
  <c r="X1096" i="40"/>
  <c r="X1097" i="40"/>
  <c r="X1098" i="40"/>
  <c r="X1099" i="40"/>
  <c r="X1100" i="40"/>
  <c r="X1101" i="40"/>
  <c r="X1102" i="40"/>
  <c r="X1103" i="40"/>
  <c r="X1104" i="40"/>
  <c r="X1105" i="40"/>
  <c r="X1106" i="40"/>
  <c r="X1107" i="40"/>
  <c r="X1108" i="40"/>
  <c r="X1109" i="40"/>
  <c r="X1110" i="40"/>
  <c r="X1111" i="40"/>
  <c r="X1112" i="40"/>
  <c r="X1113" i="40"/>
  <c r="X1114" i="40"/>
  <c r="X1115" i="40"/>
  <c r="X1116" i="40"/>
  <c r="X1117" i="40"/>
  <c r="X1118" i="40"/>
  <c r="X1119" i="40"/>
  <c r="X1120" i="40"/>
  <c r="X1121" i="40"/>
  <c r="X1122" i="40"/>
  <c r="X1123" i="40"/>
  <c r="X1124" i="40"/>
  <c r="X1125" i="40"/>
  <c r="X1126" i="40"/>
  <c r="X1127" i="40"/>
  <c r="X1128" i="40"/>
  <c r="X1129" i="40"/>
  <c r="X1130" i="40"/>
  <c r="X1131" i="40"/>
  <c r="X1132" i="40"/>
  <c r="X1133" i="40"/>
  <c r="X1134" i="40"/>
  <c r="X1135" i="40"/>
  <c r="X1136" i="40"/>
  <c r="X1137" i="40"/>
  <c r="X1138" i="40"/>
  <c r="X1139" i="40"/>
  <c r="X1140" i="40"/>
  <c r="X1141" i="40"/>
  <c r="X1142" i="40"/>
  <c r="X1143" i="40"/>
  <c r="X1144" i="40"/>
  <c r="X1145" i="40"/>
  <c r="X1146" i="40"/>
  <c r="X1147" i="40"/>
  <c r="X1148" i="40"/>
  <c r="X1149" i="40"/>
  <c r="X1150" i="40"/>
  <c r="X1151" i="40"/>
  <c r="X1152" i="40"/>
  <c r="X1153" i="40"/>
  <c r="X1154" i="40"/>
  <c r="X1155" i="40"/>
  <c r="X1156" i="40"/>
  <c r="X1157" i="40"/>
  <c r="X1158" i="40"/>
  <c r="X1159" i="40"/>
  <c r="X1160" i="40"/>
  <c r="X1161" i="40"/>
  <c r="X1162" i="40"/>
  <c r="X1163" i="40"/>
  <c r="X1164" i="40"/>
  <c r="X1165" i="40"/>
  <c r="X1166" i="40"/>
  <c r="X1167" i="40"/>
  <c r="X1168" i="40"/>
  <c r="X1169" i="40"/>
  <c r="X1170" i="40"/>
  <c r="X1171" i="40"/>
  <c r="X1172" i="40"/>
  <c r="X1173" i="40"/>
  <c r="X1174" i="40"/>
  <c r="X1175" i="40"/>
  <c r="X1176" i="40"/>
  <c r="X1177" i="40"/>
  <c r="X1178" i="40"/>
  <c r="X1179" i="40"/>
  <c r="X1180" i="40"/>
  <c r="X1181" i="40"/>
  <c r="X1182" i="40"/>
  <c r="X1183" i="40"/>
  <c r="X1184" i="40"/>
  <c r="X1185" i="40"/>
  <c r="X1186" i="40"/>
  <c r="X1187" i="40"/>
  <c r="X1188" i="40"/>
  <c r="X1189" i="40"/>
  <c r="X1190" i="40"/>
  <c r="X1191" i="40"/>
  <c r="X1192" i="40"/>
  <c r="X1193" i="40"/>
  <c r="X1194" i="40"/>
  <c r="X1195" i="40"/>
  <c r="X1196" i="40"/>
  <c r="X1197" i="40"/>
  <c r="X1198" i="40"/>
  <c r="X1199" i="40"/>
  <c r="X1200" i="40"/>
  <c r="X1201" i="40"/>
  <c r="X1202" i="40"/>
  <c r="X1203" i="40"/>
  <c r="X1204" i="40"/>
  <c r="X1205" i="40"/>
  <c r="X1206" i="40"/>
  <c r="X1207" i="40"/>
  <c r="X1208" i="40"/>
  <c r="X1209" i="40"/>
  <c r="X1210" i="40"/>
  <c r="X1211" i="40"/>
  <c r="X1212" i="40"/>
  <c r="X1213" i="40"/>
  <c r="X1214" i="40"/>
  <c r="X1215" i="40"/>
  <c r="X1216" i="40"/>
  <c r="X1217" i="40"/>
  <c r="X1218" i="40"/>
  <c r="X1219" i="40"/>
  <c r="X1220" i="40"/>
  <c r="X1221" i="40"/>
  <c r="X1222" i="40"/>
  <c r="X1223" i="40"/>
  <c r="X1224" i="40"/>
  <c r="X1225" i="40"/>
  <c r="X1226" i="40"/>
  <c r="X1227" i="40"/>
  <c r="X1228" i="40"/>
  <c r="X1229" i="40"/>
  <c r="X1230" i="40"/>
  <c r="X1231" i="40"/>
  <c r="X1232" i="40"/>
  <c r="X1233" i="40"/>
  <c r="X1234" i="40"/>
  <c r="X1235" i="40"/>
  <c r="X1236" i="40"/>
  <c r="X1237" i="40"/>
  <c r="X1238" i="40"/>
  <c r="X1239" i="40"/>
  <c r="X1240" i="40"/>
  <c r="X1241" i="40"/>
  <c r="X1242" i="40"/>
  <c r="X1243" i="40"/>
  <c r="X1244" i="40"/>
  <c r="X1245" i="40"/>
  <c r="X1246" i="40"/>
  <c r="X1247" i="40"/>
  <c r="X1248" i="40"/>
  <c r="X1249" i="40"/>
  <c r="X1250" i="40"/>
  <c r="X1251" i="40"/>
  <c r="X1252" i="40"/>
  <c r="X1253" i="40"/>
  <c r="X1254" i="40"/>
  <c r="X1255" i="40"/>
  <c r="X1256" i="40"/>
  <c r="X1257" i="40"/>
  <c r="X1258" i="40"/>
  <c r="X1259" i="40"/>
  <c r="X1260" i="40"/>
  <c r="X1261" i="40"/>
  <c r="X1262" i="40"/>
  <c r="X1263" i="40"/>
  <c r="X1264" i="40"/>
  <c r="X1265" i="40"/>
  <c r="X1266" i="40"/>
  <c r="X1267" i="40"/>
  <c r="X1268" i="40"/>
  <c r="X1269" i="40"/>
  <c r="X1270" i="40"/>
  <c r="X1271" i="40"/>
  <c r="X1272" i="40"/>
  <c r="X1273" i="40"/>
  <c r="X1274" i="40"/>
  <c r="X1275" i="40"/>
  <c r="X1276" i="40"/>
  <c r="X1277" i="40"/>
  <c r="X1278" i="40"/>
  <c r="X1279" i="40"/>
  <c r="X1280" i="40"/>
  <c r="X1281" i="40"/>
  <c r="X1282" i="40"/>
  <c r="X1283" i="40"/>
  <c r="X1284" i="40"/>
  <c r="X1285" i="40"/>
  <c r="X1286" i="40"/>
  <c r="X1287" i="40"/>
  <c r="X1288" i="40"/>
  <c r="X1289" i="40"/>
  <c r="X1290" i="40"/>
  <c r="X1291" i="40"/>
  <c r="X1292" i="40"/>
  <c r="X1293" i="40"/>
  <c r="X1294" i="40"/>
  <c r="X1295" i="40"/>
  <c r="X1296" i="40"/>
  <c r="X1297" i="40"/>
  <c r="X1298" i="40"/>
  <c r="X1299" i="40"/>
  <c r="X1300" i="40"/>
  <c r="X1301" i="40"/>
  <c r="X1302" i="40"/>
  <c r="X1303" i="40"/>
  <c r="X1304" i="40"/>
  <c r="X1305" i="40"/>
  <c r="X1306" i="40"/>
  <c r="X1307" i="40"/>
  <c r="X1308" i="40"/>
  <c r="X1309" i="40"/>
  <c r="X1310" i="40"/>
  <c r="X1311" i="40"/>
  <c r="X1312" i="40"/>
  <c r="X1313" i="40"/>
  <c r="X1314" i="40"/>
  <c r="X1315" i="40"/>
  <c r="X1316" i="40"/>
  <c r="X1317" i="40"/>
  <c r="X1318" i="40"/>
  <c r="X1319" i="40"/>
  <c r="X1320" i="40"/>
  <c r="X1321" i="40"/>
  <c r="X1322" i="40"/>
  <c r="X1323" i="40"/>
  <c r="X1324" i="40"/>
  <c r="X1325" i="40"/>
  <c r="X1326" i="40"/>
  <c r="X1327" i="40"/>
  <c r="X1328" i="40"/>
  <c r="X1329" i="40"/>
  <c r="X1330" i="40"/>
  <c r="X1331" i="40"/>
  <c r="X1332" i="40"/>
  <c r="X1333" i="40"/>
  <c r="X1334" i="40"/>
  <c r="X1335" i="40"/>
  <c r="X1336" i="40"/>
  <c r="X1337" i="40"/>
  <c r="X1338" i="40"/>
  <c r="X1339" i="40"/>
  <c r="X1340" i="40"/>
  <c r="X1341" i="40"/>
  <c r="X1342" i="40"/>
  <c r="X1343" i="40"/>
  <c r="X1344" i="40"/>
  <c r="X1345" i="40"/>
  <c r="X1346" i="40"/>
  <c r="X1347" i="40"/>
  <c r="X1348" i="40"/>
  <c r="X1349" i="40"/>
  <c r="X1350" i="40"/>
  <c r="X1351" i="40"/>
  <c r="X1352" i="40"/>
  <c r="X1353" i="40"/>
  <c r="X1354" i="40"/>
  <c r="X1355" i="40"/>
  <c r="X1356" i="40"/>
  <c r="X1357" i="40"/>
  <c r="X1358" i="40"/>
  <c r="X1359" i="40"/>
  <c r="X1360" i="40"/>
  <c r="X1361" i="40"/>
  <c r="X1362" i="40"/>
  <c r="X1363" i="40"/>
  <c r="X1364" i="40"/>
  <c r="X1365" i="40"/>
  <c r="X1366" i="40"/>
  <c r="X1367" i="40"/>
  <c r="X1368" i="40"/>
  <c r="X1369" i="40"/>
  <c r="X1370" i="40"/>
  <c r="X1371" i="40"/>
  <c r="X1372" i="40"/>
  <c r="X1373" i="40"/>
  <c r="X1374" i="40"/>
  <c r="X1375" i="40"/>
  <c r="X1376" i="40"/>
  <c r="X1377" i="40"/>
  <c r="X1378" i="40"/>
  <c r="X1379" i="40"/>
  <c r="X1380" i="40"/>
  <c r="X1381" i="40"/>
  <c r="X1382" i="40"/>
  <c r="X1383" i="40"/>
  <c r="X1384" i="40"/>
  <c r="X1385" i="40"/>
  <c r="X1386" i="40"/>
  <c r="X1387" i="40"/>
  <c r="X1388" i="40"/>
  <c r="X1389" i="40"/>
  <c r="X1390" i="40"/>
  <c r="X1391" i="40"/>
  <c r="X1392" i="40"/>
  <c r="X1393" i="40"/>
  <c r="X1394" i="40"/>
  <c r="X1395" i="40"/>
  <c r="X1396" i="40"/>
  <c r="X1397" i="40"/>
  <c r="X1398" i="40"/>
  <c r="X1399" i="40"/>
  <c r="X1400" i="40"/>
  <c r="X1401" i="40"/>
  <c r="X1402" i="40"/>
  <c r="X1403" i="40"/>
  <c r="X1404" i="40"/>
  <c r="X1405" i="40"/>
  <c r="X1406" i="40"/>
  <c r="X1407" i="40"/>
  <c r="X1408" i="40"/>
  <c r="X1409" i="40"/>
  <c r="X1410" i="40"/>
  <c r="X1411" i="40"/>
  <c r="X1412" i="40"/>
  <c r="X1413" i="40"/>
  <c r="X1414" i="40"/>
  <c r="X1415" i="40"/>
  <c r="X1416" i="40"/>
  <c r="X1417" i="40"/>
  <c r="X1418" i="40"/>
  <c r="X1419" i="40"/>
  <c r="X1420" i="40"/>
  <c r="X1421" i="40"/>
  <c r="X1422" i="40"/>
  <c r="X1423" i="40"/>
  <c r="X1424" i="40"/>
  <c r="X1425" i="40"/>
  <c r="X1426" i="40"/>
  <c r="X1427" i="40"/>
  <c r="X1428" i="40"/>
  <c r="X1429" i="40"/>
  <c r="X1430" i="40"/>
  <c r="X1431" i="40"/>
  <c r="X1432" i="40"/>
  <c r="X1433" i="40"/>
  <c r="X1434" i="40"/>
  <c r="X1435" i="40"/>
  <c r="X1436" i="40"/>
  <c r="X1437" i="40"/>
  <c r="X1438" i="40"/>
  <c r="X1439" i="40"/>
  <c r="X1440" i="40"/>
  <c r="X1441" i="40"/>
  <c r="X1442" i="40"/>
  <c r="X1443" i="40"/>
  <c r="X1444" i="40"/>
  <c r="X1445" i="40"/>
  <c r="X1446" i="40"/>
  <c r="X1447" i="40"/>
  <c r="X1448" i="40"/>
  <c r="X1449" i="40"/>
  <c r="X1450" i="40"/>
  <c r="X1451" i="40"/>
  <c r="X1452" i="40"/>
  <c r="X1453" i="40"/>
  <c r="X1454" i="40"/>
  <c r="X1455" i="40"/>
  <c r="X1456" i="40"/>
  <c r="X1457" i="40"/>
  <c r="X1458" i="40"/>
  <c r="X1459" i="40"/>
  <c r="X1460" i="40"/>
  <c r="X1461" i="40"/>
  <c r="X1462" i="40"/>
  <c r="X1463" i="40"/>
  <c r="X1464" i="40"/>
  <c r="X1465" i="40"/>
  <c r="X1466" i="40"/>
  <c r="X1467" i="40"/>
  <c r="X1468" i="40"/>
  <c r="X1469" i="40"/>
  <c r="X1470" i="40"/>
  <c r="X1471" i="40"/>
  <c r="X1472" i="40"/>
  <c r="X1473" i="40"/>
  <c r="X1474" i="40"/>
  <c r="X1475" i="40"/>
  <c r="X1476" i="40"/>
  <c r="X1477" i="40"/>
  <c r="X1478" i="40"/>
  <c r="X1479" i="40"/>
  <c r="X1480" i="40"/>
  <c r="X1481" i="40"/>
  <c r="X1482" i="40"/>
  <c r="X1483" i="40"/>
  <c r="X1484" i="40"/>
  <c r="X1485" i="40"/>
  <c r="X1486" i="40"/>
  <c r="X1487" i="40"/>
  <c r="X1488" i="40"/>
  <c r="X1489" i="40"/>
  <c r="X1490" i="40"/>
  <c r="X1491" i="40"/>
  <c r="X1492" i="40"/>
  <c r="X1493" i="40"/>
  <c r="X1494" i="40"/>
  <c r="X1495" i="40"/>
  <c r="X1496" i="40"/>
  <c r="X1497" i="40"/>
  <c r="X1498" i="40"/>
  <c r="X1499" i="40"/>
  <c r="X1500" i="40"/>
  <c r="X1501" i="40"/>
  <c r="X1502" i="40"/>
  <c r="X1503" i="40"/>
  <c r="X1504" i="40"/>
  <c r="X1505" i="40"/>
  <c r="X1506" i="40"/>
  <c r="X1507" i="40"/>
  <c r="X1508" i="40"/>
  <c r="X1509" i="40"/>
  <c r="X1510" i="40"/>
  <c r="X1511" i="40"/>
  <c r="X1512" i="40"/>
  <c r="X1513" i="40"/>
  <c r="X1514" i="40"/>
  <c r="X1515" i="40"/>
  <c r="X1516" i="40"/>
  <c r="X1517" i="40"/>
  <c r="X1518" i="40"/>
  <c r="X1519" i="40"/>
  <c r="X1520" i="40"/>
  <c r="X1521" i="40"/>
  <c r="X1522" i="40"/>
  <c r="X1523" i="40"/>
  <c r="X1524" i="40"/>
  <c r="X1525" i="40"/>
  <c r="X1526" i="40"/>
  <c r="X1527" i="40"/>
  <c r="X1528" i="40"/>
  <c r="X1529" i="40"/>
  <c r="X1530" i="40"/>
  <c r="X1531" i="40"/>
  <c r="X1532" i="40"/>
  <c r="X1533" i="40"/>
  <c r="X1534" i="40"/>
  <c r="X1535" i="40"/>
  <c r="X1536" i="40"/>
  <c r="X1537" i="40"/>
  <c r="X1538" i="40"/>
  <c r="X1539" i="40"/>
  <c r="X1540" i="40"/>
  <c r="X1541" i="40"/>
  <c r="X1542" i="40"/>
  <c r="X1543" i="40"/>
  <c r="X1544" i="40"/>
  <c r="X1545" i="40"/>
  <c r="X1546" i="40"/>
  <c r="X1547" i="40"/>
  <c r="X1548" i="40"/>
  <c r="X1549" i="40"/>
  <c r="X1550" i="40"/>
  <c r="X1551" i="40"/>
  <c r="X1552" i="40"/>
  <c r="X1553" i="40"/>
  <c r="X1554" i="40"/>
  <c r="X1555" i="40"/>
  <c r="X1556" i="40"/>
  <c r="X1557" i="40"/>
  <c r="X1558" i="40"/>
  <c r="X1559" i="40"/>
  <c r="X1560" i="40"/>
  <c r="X1561" i="40"/>
  <c r="X1562" i="40"/>
  <c r="X1563" i="40"/>
  <c r="X1564" i="40"/>
  <c r="X1565" i="40"/>
  <c r="X1566" i="40"/>
  <c r="X1567" i="40"/>
  <c r="X1568" i="40"/>
  <c r="X1569" i="40"/>
  <c r="X1570" i="40"/>
  <c r="X1571" i="40"/>
  <c r="X1572" i="40"/>
  <c r="X1573" i="40"/>
  <c r="X1574" i="40"/>
  <c r="X1575" i="40"/>
  <c r="X1576" i="40"/>
  <c r="X1577" i="40"/>
  <c r="X1578" i="40"/>
  <c r="X1579" i="40"/>
  <c r="X1580" i="40"/>
  <c r="X1581" i="40"/>
  <c r="X1582" i="40"/>
  <c r="X1583" i="40"/>
  <c r="X1584" i="40"/>
  <c r="X1585" i="40"/>
  <c r="X1586" i="40"/>
  <c r="X1587" i="40"/>
  <c r="X1588" i="40"/>
  <c r="X1589" i="40"/>
  <c r="X1590" i="40"/>
  <c r="X1591" i="40"/>
  <c r="X1592" i="40"/>
  <c r="X1593" i="40"/>
  <c r="X1594" i="40"/>
  <c r="X1595" i="40"/>
  <c r="X1596" i="40"/>
  <c r="X1597" i="40"/>
  <c r="X1598" i="40"/>
  <c r="X1599" i="40"/>
  <c r="X1600" i="40"/>
  <c r="X1601" i="40"/>
  <c r="X1602" i="40"/>
  <c r="X1603" i="40"/>
  <c r="X1604" i="40"/>
  <c r="X1605" i="40"/>
  <c r="X1606" i="40"/>
  <c r="X1607" i="40"/>
  <c r="X1608" i="40"/>
  <c r="X1609" i="40"/>
  <c r="X1610" i="40"/>
  <c r="X1611" i="40"/>
  <c r="X1612" i="40"/>
  <c r="X1613" i="40"/>
  <c r="X1614" i="40"/>
  <c r="X1615" i="40"/>
  <c r="X1616" i="40"/>
  <c r="X1617" i="40"/>
  <c r="X1618" i="40"/>
  <c r="X1619" i="40"/>
  <c r="X1620" i="40"/>
  <c r="X1621" i="40"/>
  <c r="X1622" i="40"/>
  <c r="X1623" i="40"/>
  <c r="X1624" i="40"/>
  <c r="X1625" i="40"/>
  <c r="X1626" i="40"/>
  <c r="X1627" i="40"/>
  <c r="X1628" i="40"/>
  <c r="X1629" i="40"/>
  <c r="X1630" i="40"/>
  <c r="X1631" i="40"/>
  <c r="X1632" i="40"/>
  <c r="X1633" i="40"/>
  <c r="X1634" i="40"/>
  <c r="X1635" i="40"/>
  <c r="X1636" i="40"/>
  <c r="X1637" i="40"/>
  <c r="X1638" i="40"/>
  <c r="X1639" i="40"/>
  <c r="X1640" i="40"/>
  <c r="X1641" i="40"/>
  <c r="X1642" i="40"/>
  <c r="X1643" i="40"/>
  <c r="X1644" i="40"/>
  <c r="X1645" i="40"/>
  <c r="X1646" i="40"/>
  <c r="X1647" i="40"/>
  <c r="X1648" i="40"/>
  <c r="X1649" i="40"/>
  <c r="X1650" i="40"/>
  <c r="X1651" i="40"/>
  <c r="X1652" i="40"/>
  <c r="X1653" i="40"/>
  <c r="X1654" i="40"/>
  <c r="X1655" i="40"/>
  <c r="X1656" i="40"/>
  <c r="X1657" i="40"/>
  <c r="X1658" i="40"/>
  <c r="X1659" i="40"/>
  <c r="X1660" i="40"/>
  <c r="X1661" i="40"/>
  <c r="X1662" i="40"/>
  <c r="X1663" i="40"/>
  <c r="X1664" i="40"/>
  <c r="X1665" i="40"/>
  <c r="X1666" i="40"/>
  <c r="X1667" i="40"/>
  <c r="X1668" i="40"/>
  <c r="X1669" i="40"/>
  <c r="X1670" i="40"/>
  <c r="X1671" i="40"/>
  <c r="X1672" i="40"/>
  <c r="X1673" i="40"/>
  <c r="X1674" i="40"/>
  <c r="X1675" i="40"/>
  <c r="X1676" i="40"/>
  <c r="X1677" i="40"/>
  <c r="X1678" i="40"/>
  <c r="X1679" i="40"/>
  <c r="X1680" i="40"/>
  <c r="X1681" i="40"/>
  <c r="X1682" i="40"/>
  <c r="X1683" i="40"/>
  <c r="X1684" i="40"/>
  <c r="X1685" i="40"/>
  <c r="X1686" i="40"/>
  <c r="X1687" i="40"/>
  <c r="X1688" i="40"/>
  <c r="X1689" i="40"/>
  <c r="X1690" i="40"/>
  <c r="X1691" i="40"/>
  <c r="X1692" i="40"/>
  <c r="X1693" i="40"/>
  <c r="X1694" i="40"/>
  <c r="X1695" i="40"/>
  <c r="X1696" i="40"/>
  <c r="X1697" i="40"/>
  <c r="X1698" i="40"/>
  <c r="X1699" i="40"/>
  <c r="X1700" i="40"/>
  <c r="X1701" i="40"/>
  <c r="X1702" i="40"/>
  <c r="X1703" i="40"/>
  <c r="X1704" i="40"/>
  <c r="X1705" i="40"/>
  <c r="X1706" i="40"/>
  <c r="X1707" i="40"/>
  <c r="X1708" i="40"/>
  <c r="X1709" i="40"/>
  <c r="X1710" i="40"/>
  <c r="X1711" i="40"/>
  <c r="X1712" i="40"/>
  <c r="X1713" i="40"/>
  <c r="X1714" i="40"/>
  <c r="X1715" i="40"/>
  <c r="X1716" i="40"/>
  <c r="X1717" i="40"/>
  <c r="X1718" i="40"/>
  <c r="X1719" i="40"/>
  <c r="X1720" i="40"/>
  <c r="X1721" i="40"/>
  <c r="X1722" i="40"/>
  <c r="X1723" i="40"/>
  <c r="X1724" i="40"/>
  <c r="X1725" i="40"/>
  <c r="X1726" i="40"/>
  <c r="X1727" i="40"/>
  <c r="X1728" i="40"/>
  <c r="X1729" i="40"/>
  <c r="X1730" i="40"/>
  <c r="X1731" i="40"/>
  <c r="X1732" i="40"/>
  <c r="X1733" i="40"/>
  <c r="X1734" i="40"/>
  <c r="X1735" i="40"/>
  <c r="X1736" i="40"/>
  <c r="X1737" i="40"/>
  <c r="X1738" i="40"/>
  <c r="X1739" i="40"/>
  <c r="X1740" i="40"/>
  <c r="X1741" i="40"/>
  <c r="X1742" i="40"/>
  <c r="X1743" i="40"/>
  <c r="X1744" i="40"/>
  <c r="X1745" i="40"/>
  <c r="X1746" i="40"/>
  <c r="X1747" i="40"/>
  <c r="X1748" i="40"/>
  <c r="X1749" i="40"/>
  <c r="X1750" i="40"/>
  <c r="X1751" i="40"/>
  <c r="X1752" i="40"/>
  <c r="X1753" i="40"/>
  <c r="X1754" i="40"/>
  <c r="X1755" i="40"/>
  <c r="X1756" i="40"/>
  <c r="X1757" i="40"/>
  <c r="X1758" i="40"/>
  <c r="X1759" i="40"/>
  <c r="X1760" i="40"/>
  <c r="X1761" i="40"/>
  <c r="X1762" i="40"/>
  <c r="X1763" i="40"/>
  <c r="X1764" i="40"/>
  <c r="X1765" i="40"/>
  <c r="X1766" i="40"/>
  <c r="X1767" i="40"/>
  <c r="X1768" i="40"/>
  <c r="X1769" i="40"/>
  <c r="X1770" i="40"/>
  <c r="X1771" i="40"/>
  <c r="X1772" i="40"/>
  <c r="X1773" i="40"/>
  <c r="X1774" i="40"/>
  <c r="X1775" i="40"/>
  <c r="X1776" i="40"/>
  <c r="X1777" i="40"/>
  <c r="X1778" i="40"/>
  <c r="X1779" i="40"/>
  <c r="X1780" i="40"/>
  <c r="X1781" i="40"/>
  <c r="X1782" i="40"/>
  <c r="X1783" i="40"/>
  <c r="X1784" i="40"/>
  <c r="X1785" i="40"/>
  <c r="X1786" i="40"/>
  <c r="X1787" i="40"/>
  <c r="X1788" i="40"/>
  <c r="X1789" i="40"/>
  <c r="X1790" i="40"/>
  <c r="X1791" i="40"/>
  <c r="X1792" i="40"/>
  <c r="X1793" i="40"/>
  <c r="X1794" i="40"/>
  <c r="X1795" i="40"/>
  <c r="X1796" i="40"/>
  <c r="X1797" i="40"/>
  <c r="X1798" i="40"/>
  <c r="X1799" i="40"/>
  <c r="X1800" i="40"/>
  <c r="X1801" i="40"/>
  <c r="X1802" i="40"/>
  <c r="X1803" i="40"/>
  <c r="X1804" i="40"/>
  <c r="X1805" i="40"/>
  <c r="X1806" i="40"/>
  <c r="X1807" i="40"/>
  <c r="X1808" i="40"/>
  <c r="X1809" i="40"/>
  <c r="X1810" i="40"/>
  <c r="X1811" i="40"/>
  <c r="X1812" i="40"/>
  <c r="X1813" i="40"/>
  <c r="X1814" i="40"/>
  <c r="X1815" i="40"/>
  <c r="X1816" i="40"/>
  <c r="X1817" i="40"/>
  <c r="X1818" i="40"/>
  <c r="X1819" i="40"/>
  <c r="X1820" i="40"/>
  <c r="X1821" i="40"/>
  <c r="X1822" i="40"/>
  <c r="X1823" i="40"/>
  <c r="X1824" i="40"/>
  <c r="X1825" i="40"/>
  <c r="X1826" i="40"/>
  <c r="X1827" i="40"/>
  <c r="X1828" i="40"/>
  <c r="X1829" i="40"/>
  <c r="X1830" i="40"/>
  <c r="X1831" i="40"/>
  <c r="X1832" i="40"/>
  <c r="X1833" i="40"/>
  <c r="X1834" i="40"/>
  <c r="X1835" i="40"/>
  <c r="X1836" i="40"/>
  <c r="X1837" i="40"/>
  <c r="X1838" i="40"/>
  <c r="X1839" i="40"/>
  <c r="X1840" i="40"/>
  <c r="X1841" i="40"/>
  <c r="X1842" i="40"/>
  <c r="X1843" i="40"/>
  <c r="X1844" i="40"/>
  <c r="X1845" i="40"/>
  <c r="X1846" i="40"/>
  <c r="X1847" i="40"/>
  <c r="X1848" i="40"/>
  <c r="X1849" i="40"/>
  <c r="X1850" i="40"/>
  <c r="X1851" i="40"/>
  <c r="X1852" i="40"/>
  <c r="X1853" i="40"/>
  <c r="X1854" i="40"/>
  <c r="X1855" i="40"/>
  <c r="X1856" i="40"/>
  <c r="X1857" i="40"/>
  <c r="X1858" i="40"/>
  <c r="X1859" i="40"/>
  <c r="X1860" i="40"/>
  <c r="X1861" i="40"/>
  <c r="X1862" i="40"/>
  <c r="X1863" i="40"/>
  <c r="X1864" i="40"/>
  <c r="X1865" i="40"/>
  <c r="X1866" i="40"/>
  <c r="X1867" i="40"/>
  <c r="X1868" i="40"/>
  <c r="X1869" i="40"/>
  <c r="X1870" i="40"/>
  <c r="X1871" i="40"/>
  <c r="X1872" i="40"/>
  <c r="X1873" i="40"/>
  <c r="X1874" i="40"/>
  <c r="X1875" i="40"/>
  <c r="X1876" i="40"/>
  <c r="X1877" i="40"/>
  <c r="X1878" i="40"/>
  <c r="X1879" i="40"/>
  <c r="X1880" i="40"/>
  <c r="X1881" i="40"/>
  <c r="X1882" i="40"/>
  <c r="X1883" i="40"/>
  <c r="X1884" i="40"/>
  <c r="X1885" i="40"/>
  <c r="X1886" i="40"/>
  <c r="X1887" i="40"/>
  <c r="X1888" i="40"/>
  <c r="X1889" i="40"/>
  <c r="X938" i="40"/>
  <c r="W938" i="40"/>
  <c r="X937" i="40"/>
  <c r="W937" i="40"/>
  <c r="X936" i="40"/>
  <c r="W936" i="40"/>
  <c r="X935" i="40"/>
  <c r="W935" i="40"/>
  <c r="X934" i="40"/>
  <c r="W934" i="40"/>
  <c r="X933" i="40"/>
  <c r="W933" i="40"/>
  <c r="X932" i="40"/>
  <c r="W932" i="40"/>
  <c r="X931" i="40"/>
  <c r="W931" i="40"/>
  <c r="X930" i="40"/>
  <c r="W930" i="40"/>
  <c r="X929" i="40"/>
  <c r="W929" i="40"/>
  <c r="X928" i="40"/>
  <c r="W928" i="40"/>
  <c r="X927" i="40"/>
  <c r="W927" i="40"/>
  <c r="X926" i="40"/>
  <c r="W926" i="40"/>
  <c r="X925" i="40"/>
  <c r="W925" i="40"/>
  <c r="X924" i="40"/>
  <c r="W924" i="40"/>
  <c r="X923" i="40"/>
  <c r="W923" i="40"/>
  <c r="X922" i="40"/>
  <c r="W922" i="40"/>
  <c r="X921" i="40"/>
  <c r="W921" i="40"/>
  <c r="X920" i="40"/>
  <c r="W920" i="40"/>
  <c r="X919" i="40"/>
  <c r="W919" i="40"/>
  <c r="X918" i="40"/>
  <c r="W918" i="40"/>
  <c r="X917" i="40"/>
  <c r="W917" i="40"/>
  <c r="X916" i="40"/>
  <c r="W916" i="40"/>
  <c r="X915" i="40"/>
  <c r="W915" i="40"/>
  <c r="X914" i="40"/>
  <c r="W914" i="40"/>
  <c r="X913" i="40"/>
  <c r="W913" i="40"/>
  <c r="X912" i="40"/>
  <c r="W912" i="40"/>
  <c r="X911" i="40"/>
  <c r="W911" i="40"/>
  <c r="X910" i="40"/>
  <c r="W910" i="40"/>
  <c r="X909" i="40"/>
  <c r="W909" i="40"/>
  <c r="X908" i="40"/>
  <c r="W908" i="40"/>
  <c r="X907" i="40"/>
  <c r="W907" i="40"/>
  <c r="X906" i="40"/>
  <c r="W906" i="40"/>
  <c r="X905" i="40"/>
  <c r="W905" i="40"/>
  <c r="X904" i="40"/>
  <c r="W904" i="40"/>
  <c r="X903" i="40"/>
  <c r="W903" i="40"/>
  <c r="X902" i="40"/>
  <c r="W902" i="40"/>
  <c r="X901" i="40"/>
  <c r="W901" i="40"/>
  <c r="X900" i="40"/>
  <c r="W900" i="40"/>
  <c r="X899" i="40"/>
  <c r="W899" i="40"/>
  <c r="X898" i="40"/>
  <c r="W898" i="40"/>
  <c r="X897" i="40"/>
  <c r="W897" i="40"/>
  <c r="X896" i="40"/>
  <c r="W896" i="40"/>
  <c r="X895" i="40"/>
  <c r="W895" i="40"/>
  <c r="X894" i="40"/>
  <c r="W894" i="40"/>
  <c r="X893" i="40"/>
  <c r="W893" i="40"/>
  <c r="X892" i="40"/>
  <c r="W892" i="40"/>
  <c r="X891" i="40"/>
  <c r="W891" i="40"/>
  <c r="X890" i="40"/>
  <c r="W890" i="40"/>
  <c r="X889" i="40"/>
  <c r="W889" i="40"/>
  <c r="X888" i="40"/>
  <c r="W888" i="40"/>
  <c r="X887" i="40"/>
  <c r="W887" i="40"/>
  <c r="X886" i="40"/>
  <c r="W886" i="40"/>
  <c r="X885" i="40"/>
  <c r="W885" i="40"/>
  <c r="X884" i="40"/>
  <c r="W884" i="40"/>
  <c r="X883" i="40"/>
  <c r="W883" i="40"/>
  <c r="X882" i="40"/>
  <c r="W882" i="40"/>
  <c r="X881" i="40"/>
  <c r="W881" i="40"/>
  <c r="X880" i="40"/>
  <c r="W880" i="40"/>
  <c r="X879" i="40"/>
  <c r="W879" i="40"/>
  <c r="X878" i="40"/>
  <c r="W878" i="40"/>
  <c r="X877" i="40"/>
  <c r="W877" i="40"/>
  <c r="X876" i="40"/>
  <c r="W876" i="40"/>
  <c r="X875" i="40"/>
  <c r="W875" i="40"/>
  <c r="X874" i="40"/>
  <c r="W874" i="40"/>
  <c r="X873" i="40"/>
  <c r="W873" i="40"/>
  <c r="X872" i="40"/>
  <c r="W872" i="40"/>
  <c r="X871" i="40"/>
  <c r="W871" i="40"/>
  <c r="X870" i="40"/>
  <c r="W870" i="40"/>
  <c r="X869" i="40"/>
  <c r="W869" i="40"/>
  <c r="X868" i="40"/>
  <c r="W868" i="40"/>
  <c r="X867" i="40"/>
  <c r="W867" i="40"/>
  <c r="X866" i="40"/>
  <c r="W866" i="40"/>
  <c r="X865" i="40"/>
  <c r="W865" i="40"/>
  <c r="X864" i="40"/>
  <c r="W864" i="40"/>
  <c r="X863" i="40"/>
  <c r="W863" i="40"/>
  <c r="X862" i="40"/>
  <c r="W862" i="40"/>
  <c r="X861" i="40"/>
  <c r="W861" i="40"/>
  <c r="X860" i="40"/>
  <c r="W860" i="40"/>
  <c r="X859" i="40"/>
  <c r="W859" i="40"/>
  <c r="X858" i="40"/>
  <c r="W858" i="40"/>
  <c r="X857" i="40"/>
  <c r="W857" i="40"/>
  <c r="X856" i="40"/>
  <c r="W856" i="40"/>
  <c r="X855" i="40"/>
  <c r="W855" i="40"/>
  <c r="X854" i="40"/>
  <c r="W854" i="40"/>
  <c r="X853" i="40"/>
  <c r="W853" i="40"/>
  <c r="X852" i="40"/>
  <c r="W852" i="40"/>
  <c r="X851" i="40"/>
  <c r="W851" i="40"/>
  <c r="X850" i="40"/>
  <c r="W850" i="40"/>
  <c r="X849" i="40"/>
  <c r="W849" i="40"/>
  <c r="X848" i="40"/>
  <c r="W848" i="40"/>
  <c r="X847" i="40"/>
  <c r="W847" i="40"/>
  <c r="X846" i="40"/>
  <c r="W846" i="40"/>
  <c r="X845" i="40"/>
  <c r="W845" i="40"/>
  <c r="X844" i="40"/>
  <c r="W844" i="40"/>
  <c r="X843" i="40"/>
  <c r="W843" i="40"/>
  <c r="X842" i="40"/>
  <c r="W842" i="40"/>
  <c r="X841" i="40"/>
  <c r="W841" i="40"/>
  <c r="X840" i="40"/>
  <c r="W840" i="40"/>
  <c r="X839" i="40"/>
  <c r="W839" i="40"/>
  <c r="X838" i="40"/>
  <c r="W838" i="40"/>
  <c r="X837" i="40"/>
  <c r="W837" i="40"/>
  <c r="X836" i="40"/>
  <c r="W836" i="40"/>
  <c r="X835" i="40"/>
  <c r="W835" i="40"/>
  <c r="X834" i="40"/>
  <c r="W834" i="40"/>
  <c r="X833" i="40"/>
  <c r="W833" i="40"/>
  <c r="X832" i="40"/>
  <c r="W832" i="40"/>
  <c r="X831" i="40"/>
  <c r="W831" i="40"/>
  <c r="X830" i="40"/>
  <c r="W830" i="40"/>
  <c r="X829" i="40"/>
  <c r="W829" i="40"/>
  <c r="X828" i="40"/>
  <c r="W828" i="40"/>
  <c r="X827" i="40"/>
  <c r="W827" i="40"/>
  <c r="X826" i="40"/>
  <c r="W826" i="40"/>
  <c r="X825" i="40"/>
  <c r="W825" i="40"/>
  <c r="X824" i="40"/>
  <c r="W824" i="40"/>
  <c r="X823" i="40"/>
  <c r="W823" i="40"/>
  <c r="X822" i="40"/>
  <c r="W822" i="40"/>
  <c r="X821" i="40"/>
  <c r="W821" i="40"/>
  <c r="X820" i="40"/>
  <c r="W820" i="40"/>
  <c r="X819" i="40"/>
  <c r="W819" i="40"/>
  <c r="X818" i="40"/>
  <c r="W818" i="40"/>
  <c r="X817" i="40"/>
  <c r="W817" i="40"/>
  <c r="X816" i="40"/>
  <c r="W816" i="40"/>
  <c r="X815" i="40"/>
  <c r="W815" i="40"/>
  <c r="X814" i="40"/>
  <c r="W814" i="40"/>
  <c r="X813" i="40"/>
  <c r="W813" i="40"/>
  <c r="X812" i="40"/>
  <c r="W812" i="40"/>
  <c r="X811" i="40"/>
  <c r="W811" i="40"/>
  <c r="X810" i="40"/>
  <c r="W810" i="40"/>
  <c r="X809" i="40"/>
  <c r="W809" i="40"/>
  <c r="X808" i="40"/>
  <c r="W808" i="40"/>
  <c r="X807" i="40"/>
  <c r="W807" i="40"/>
  <c r="X806" i="40"/>
  <c r="W806" i="40"/>
  <c r="X805" i="40"/>
  <c r="W805" i="40"/>
  <c r="X804" i="40"/>
  <c r="W804" i="40"/>
  <c r="X803" i="40"/>
  <c r="W803" i="40"/>
  <c r="X802" i="40"/>
  <c r="W802" i="40"/>
  <c r="X801" i="40"/>
  <c r="W801" i="40"/>
  <c r="X800" i="40"/>
  <c r="W800" i="40"/>
  <c r="X799" i="40"/>
  <c r="W799" i="40"/>
  <c r="X798" i="40"/>
  <c r="W798" i="40"/>
  <c r="X797" i="40"/>
  <c r="W797" i="40"/>
  <c r="X796" i="40"/>
  <c r="W796" i="40"/>
  <c r="X795" i="40"/>
  <c r="W795" i="40"/>
  <c r="X794" i="40"/>
  <c r="W794" i="40"/>
  <c r="X793" i="40"/>
  <c r="W793" i="40"/>
  <c r="X792" i="40"/>
  <c r="W792" i="40"/>
  <c r="X791" i="40"/>
  <c r="W791" i="40"/>
  <c r="X790" i="40"/>
  <c r="W790" i="40"/>
  <c r="X789" i="40"/>
  <c r="W789" i="40"/>
  <c r="X788" i="40"/>
  <c r="W788" i="40"/>
  <c r="X787" i="40"/>
  <c r="W787" i="40"/>
  <c r="X786" i="40"/>
  <c r="W786" i="40"/>
  <c r="X785" i="40"/>
  <c r="W785" i="40"/>
  <c r="X784" i="40"/>
  <c r="W784" i="40"/>
  <c r="X783" i="40"/>
  <c r="W783" i="40"/>
  <c r="X782" i="40"/>
  <c r="W782" i="40"/>
  <c r="X781" i="40"/>
  <c r="W781" i="40"/>
  <c r="X780" i="40"/>
  <c r="W780" i="40"/>
  <c r="X779" i="40"/>
  <c r="W779" i="40"/>
  <c r="X778" i="40"/>
  <c r="W778" i="40"/>
  <c r="X777" i="40"/>
  <c r="W777" i="40"/>
  <c r="X776" i="40"/>
  <c r="W776" i="40"/>
  <c r="X775" i="40"/>
  <c r="W775" i="40"/>
  <c r="X774" i="40"/>
  <c r="W774" i="40"/>
  <c r="X773" i="40"/>
  <c r="W773" i="40"/>
  <c r="X772" i="40"/>
  <c r="W772" i="40"/>
  <c r="X771" i="40"/>
  <c r="W771" i="40"/>
  <c r="X770" i="40"/>
  <c r="W770" i="40"/>
  <c r="X769" i="40"/>
  <c r="W769" i="40"/>
  <c r="X768" i="40"/>
  <c r="W768" i="40"/>
  <c r="X767" i="40"/>
  <c r="W767" i="40"/>
  <c r="X766" i="40"/>
  <c r="W766" i="40"/>
  <c r="X765" i="40"/>
  <c r="W765" i="40"/>
  <c r="X764" i="40"/>
  <c r="W764" i="40"/>
  <c r="X763" i="40"/>
  <c r="W763" i="40"/>
  <c r="X762" i="40"/>
  <c r="W762" i="40"/>
  <c r="X761" i="40"/>
  <c r="W761" i="40"/>
  <c r="X760" i="40"/>
  <c r="W760" i="40"/>
  <c r="X759" i="40"/>
  <c r="W759" i="40"/>
  <c r="X758" i="40"/>
  <c r="W758" i="40"/>
  <c r="X757" i="40"/>
  <c r="W757" i="40"/>
  <c r="X756" i="40"/>
  <c r="W756" i="40"/>
  <c r="X755" i="40"/>
  <c r="W755" i="40"/>
  <c r="X754" i="40"/>
  <c r="W754" i="40"/>
  <c r="X753" i="40"/>
  <c r="W753" i="40"/>
  <c r="X752" i="40"/>
  <c r="W752" i="40"/>
  <c r="X751" i="40"/>
  <c r="W751" i="40"/>
  <c r="X750" i="40"/>
  <c r="W750" i="40"/>
  <c r="X749" i="40"/>
  <c r="W749" i="40"/>
  <c r="X748" i="40"/>
  <c r="W748" i="40"/>
  <c r="X747" i="40"/>
  <c r="W747" i="40"/>
  <c r="X746" i="40"/>
  <c r="W746" i="40"/>
  <c r="X745" i="40"/>
  <c r="W745" i="40"/>
  <c r="X744" i="40"/>
  <c r="W744" i="40"/>
  <c r="X743" i="40"/>
  <c r="W743" i="40"/>
  <c r="X742" i="40"/>
  <c r="W742" i="40"/>
  <c r="X741" i="40"/>
  <c r="W741" i="40"/>
  <c r="X740" i="40"/>
  <c r="W740" i="40"/>
  <c r="X739" i="40"/>
  <c r="W739" i="40"/>
  <c r="X738" i="40"/>
  <c r="W738" i="40"/>
  <c r="X737" i="40"/>
  <c r="W737" i="40"/>
  <c r="X736" i="40"/>
  <c r="W736" i="40"/>
  <c r="X735" i="40"/>
  <c r="W735" i="40"/>
  <c r="X734" i="40"/>
  <c r="W734" i="40"/>
  <c r="X733" i="40"/>
  <c r="W733" i="40"/>
  <c r="X732" i="40"/>
  <c r="W732" i="40"/>
  <c r="X731" i="40"/>
  <c r="W731" i="40"/>
  <c r="X730" i="40"/>
  <c r="W730" i="40"/>
  <c r="X729" i="40"/>
  <c r="W729" i="40"/>
  <c r="X728" i="40"/>
  <c r="W728" i="40"/>
  <c r="X727" i="40"/>
  <c r="W727" i="40"/>
  <c r="X726" i="40"/>
  <c r="W726" i="40"/>
  <c r="X725" i="40"/>
  <c r="W725" i="40"/>
  <c r="X724" i="40"/>
  <c r="W724" i="40"/>
  <c r="X723" i="40"/>
  <c r="W723" i="40"/>
  <c r="X722" i="40"/>
  <c r="W722" i="40"/>
  <c r="X721" i="40"/>
  <c r="W721" i="40"/>
  <c r="X720" i="40"/>
  <c r="W720" i="40"/>
  <c r="X719" i="40"/>
  <c r="W719" i="40"/>
  <c r="X718" i="40"/>
  <c r="W718" i="40"/>
  <c r="X717" i="40"/>
  <c r="W717" i="40"/>
  <c r="X716" i="40"/>
  <c r="W716" i="40"/>
  <c r="X715" i="40"/>
  <c r="W715" i="40"/>
  <c r="X714" i="40"/>
  <c r="W714" i="40"/>
  <c r="X713" i="40"/>
  <c r="W713" i="40"/>
  <c r="X712" i="40"/>
  <c r="W712" i="40"/>
  <c r="X711" i="40"/>
  <c r="W711" i="40"/>
  <c r="X710" i="40"/>
  <c r="W710" i="40"/>
  <c r="X709" i="40"/>
  <c r="W709" i="40"/>
  <c r="X708" i="40"/>
  <c r="W708" i="40"/>
  <c r="X707" i="40"/>
  <c r="W707" i="40"/>
  <c r="X706" i="40"/>
  <c r="W706" i="40"/>
  <c r="X705" i="40"/>
  <c r="W705" i="40"/>
  <c r="X704" i="40"/>
  <c r="W704" i="40"/>
  <c r="X703" i="40"/>
  <c r="W703" i="40"/>
  <c r="X702" i="40"/>
  <c r="W702" i="40"/>
  <c r="X701" i="40"/>
  <c r="W701" i="40"/>
  <c r="X700" i="40"/>
  <c r="W700" i="40"/>
  <c r="X699" i="40"/>
  <c r="W699" i="40"/>
  <c r="X698" i="40"/>
  <c r="W698" i="40"/>
  <c r="X697" i="40"/>
  <c r="W697" i="40"/>
  <c r="X696" i="40"/>
  <c r="W696" i="40"/>
  <c r="X695" i="40"/>
  <c r="W695" i="40"/>
  <c r="X694" i="40"/>
  <c r="W694" i="40"/>
  <c r="X693" i="40"/>
  <c r="W693" i="40"/>
  <c r="X692" i="40"/>
  <c r="W692" i="40"/>
  <c r="X691" i="40"/>
  <c r="W691" i="40"/>
  <c r="X690" i="40"/>
  <c r="W690" i="40"/>
  <c r="X689" i="40"/>
  <c r="W689" i="40"/>
  <c r="X688" i="40"/>
  <c r="W688" i="40"/>
  <c r="X687" i="40"/>
  <c r="W687" i="40"/>
  <c r="X686" i="40"/>
  <c r="W686" i="40"/>
  <c r="X685" i="40"/>
  <c r="W685" i="40"/>
  <c r="X684" i="40"/>
  <c r="W684" i="40"/>
  <c r="X683" i="40"/>
  <c r="W683" i="40"/>
  <c r="X682" i="40"/>
  <c r="W682" i="40"/>
  <c r="X681" i="40"/>
  <c r="W681" i="40"/>
  <c r="X680" i="40"/>
  <c r="W680" i="40"/>
  <c r="X679" i="40"/>
  <c r="W679" i="40"/>
  <c r="X678" i="40"/>
  <c r="W678" i="40"/>
  <c r="X677" i="40"/>
  <c r="W677" i="40"/>
  <c r="X676" i="40"/>
  <c r="W676" i="40"/>
  <c r="X675" i="40"/>
  <c r="W675" i="40"/>
  <c r="X674" i="40"/>
  <c r="W674" i="40"/>
  <c r="X673" i="40"/>
  <c r="W673" i="40"/>
  <c r="X672" i="40"/>
  <c r="W672" i="40"/>
  <c r="X671" i="40"/>
  <c r="W671" i="40"/>
  <c r="X670" i="40"/>
  <c r="W670" i="40"/>
  <c r="X669" i="40"/>
  <c r="W669" i="40"/>
  <c r="X668" i="40"/>
  <c r="W668" i="40"/>
  <c r="X667" i="40"/>
  <c r="W667" i="40"/>
  <c r="X666" i="40"/>
  <c r="W666" i="40"/>
  <c r="X665" i="40"/>
  <c r="W665" i="40"/>
  <c r="X664" i="40"/>
  <c r="W664" i="40"/>
  <c r="X663" i="40"/>
  <c r="W663" i="40"/>
  <c r="X662" i="40"/>
  <c r="W662" i="40"/>
  <c r="X661" i="40"/>
  <c r="W661" i="40"/>
  <c r="X660" i="40"/>
  <c r="W660" i="40"/>
  <c r="X659" i="40"/>
  <c r="W659" i="40"/>
  <c r="X658" i="40"/>
  <c r="W658" i="40"/>
  <c r="X657" i="40"/>
  <c r="W657" i="40"/>
  <c r="X656" i="40"/>
  <c r="W656" i="40"/>
  <c r="X655" i="40"/>
  <c r="W655" i="40"/>
  <c r="X654" i="40"/>
  <c r="W654" i="40"/>
  <c r="X653" i="40"/>
  <c r="W653" i="40"/>
  <c r="X652" i="40"/>
  <c r="W652" i="40"/>
  <c r="X651" i="40"/>
  <c r="W651" i="40"/>
  <c r="X650" i="40"/>
  <c r="W650" i="40"/>
  <c r="X649" i="40"/>
  <c r="W649" i="40"/>
  <c r="X648" i="40"/>
  <c r="W648" i="40"/>
  <c r="X647" i="40"/>
  <c r="W647" i="40"/>
  <c r="X646" i="40"/>
  <c r="W646" i="40"/>
  <c r="X645" i="40"/>
  <c r="W645" i="40"/>
  <c r="X644" i="40"/>
  <c r="W644" i="40"/>
  <c r="X643" i="40"/>
  <c r="W643" i="40"/>
  <c r="X642" i="40"/>
  <c r="W642" i="40"/>
  <c r="X641" i="40"/>
  <c r="W641" i="40"/>
  <c r="X640" i="40"/>
  <c r="W640" i="40"/>
  <c r="X639" i="40"/>
  <c r="W639" i="40"/>
  <c r="X638" i="40"/>
  <c r="W638" i="40"/>
  <c r="X637" i="40"/>
  <c r="W637" i="40"/>
  <c r="X636" i="40"/>
  <c r="W636" i="40"/>
  <c r="X635" i="40"/>
  <c r="W635" i="40"/>
  <c r="X634" i="40"/>
  <c r="W634" i="40"/>
  <c r="X633" i="40"/>
  <c r="W633" i="40"/>
  <c r="X632" i="40"/>
  <c r="W632" i="40"/>
  <c r="X631" i="40"/>
  <c r="W631" i="40"/>
  <c r="X630" i="40"/>
  <c r="W630" i="40"/>
  <c r="X629" i="40"/>
  <c r="W629" i="40"/>
  <c r="X628" i="40"/>
  <c r="W628" i="40"/>
  <c r="X627" i="40"/>
  <c r="W627" i="40"/>
  <c r="X626" i="40"/>
  <c r="W626" i="40"/>
  <c r="X625" i="40"/>
  <c r="W625" i="40"/>
  <c r="X624" i="40"/>
  <c r="W624" i="40"/>
  <c r="X623" i="40"/>
  <c r="W623" i="40"/>
  <c r="X622" i="40"/>
  <c r="W622" i="40"/>
  <c r="X621" i="40"/>
  <c r="W621" i="40"/>
  <c r="X620" i="40"/>
  <c r="W620" i="40"/>
  <c r="X619" i="40"/>
  <c r="W619" i="40"/>
  <c r="X618" i="40"/>
  <c r="W618" i="40"/>
  <c r="X617" i="40"/>
  <c r="W617" i="40"/>
  <c r="X616" i="40"/>
  <c r="W616" i="40"/>
  <c r="X615" i="40"/>
  <c r="W615" i="40"/>
  <c r="X614" i="40"/>
  <c r="W614" i="40"/>
  <c r="X613" i="40"/>
  <c r="W613" i="40"/>
  <c r="X612" i="40"/>
  <c r="W612" i="40"/>
  <c r="X611" i="40"/>
  <c r="W611" i="40"/>
  <c r="X610" i="40"/>
  <c r="W610" i="40"/>
  <c r="X609" i="40"/>
  <c r="W609" i="40"/>
  <c r="X608" i="40"/>
  <c r="W608" i="40"/>
  <c r="X607" i="40"/>
  <c r="W607" i="40"/>
  <c r="X606" i="40"/>
  <c r="W606" i="40"/>
  <c r="X605" i="40"/>
  <c r="W605" i="40"/>
  <c r="X604" i="40"/>
  <c r="W604" i="40"/>
  <c r="X603" i="40"/>
  <c r="W603" i="40"/>
  <c r="X602" i="40"/>
  <c r="W602" i="40"/>
  <c r="X601" i="40"/>
  <c r="W601" i="40"/>
  <c r="X600" i="40"/>
  <c r="W600" i="40"/>
  <c r="X599" i="40"/>
  <c r="W599" i="40"/>
  <c r="X598" i="40"/>
  <c r="W598" i="40"/>
  <c r="X597" i="40"/>
  <c r="W597" i="40"/>
  <c r="X596" i="40"/>
  <c r="W596" i="40"/>
  <c r="X595" i="40"/>
  <c r="W595" i="40"/>
  <c r="X594" i="40"/>
  <c r="W594" i="40"/>
  <c r="X593" i="40"/>
  <c r="W593" i="40"/>
  <c r="X592" i="40"/>
  <c r="W592" i="40"/>
  <c r="X591" i="40"/>
  <c r="W591" i="40"/>
  <c r="X590" i="40"/>
  <c r="W590" i="40"/>
  <c r="X589" i="40"/>
  <c r="W589" i="40"/>
  <c r="X588" i="40"/>
  <c r="W588" i="40"/>
  <c r="X587" i="40"/>
  <c r="W587" i="40"/>
  <c r="X586" i="40"/>
  <c r="W586" i="40"/>
  <c r="X585" i="40"/>
  <c r="W585" i="40"/>
  <c r="X584" i="40"/>
  <c r="W584" i="40"/>
  <c r="X583" i="40"/>
  <c r="W583" i="40"/>
  <c r="X582" i="40"/>
  <c r="W582" i="40"/>
  <c r="X581" i="40"/>
  <c r="W581" i="40"/>
  <c r="X580" i="40"/>
  <c r="W580" i="40"/>
  <c r="X579" i="40"/>
  <c r="W579" i="40"/>
  <c r="X578" i="40"/>
  <c r="W578" i="40"/>
  <c r="X577" i="40"/>
  <c r="W577" i="40"/>
  <c r="X576" i="40"/>
  <c r="W576" i="40"/>
  <c r="X575" i="40"/>
  <c r="W575" i="40"/>
  <c r="X574" i="40"/>
  <c r="W574" i="40"/>
  <c r="X573" i="40"/>
  <c r="W573" i="40"/>
  <c r="X572" i="40"/>
  <c r="W572" i="40"/>
  <c r="X571" i="40"/>
  <c r="W571" i="40"/>
  <c r="X570" i="40"/>
  <c r="W570" i="40"/>
  <c r="X569" i="40"/>
  <c r="W569" i="40"/>
  <c r="X568" i="40"/>
  <c r="W568" i="40"/>
  <c r="X567" i="40"/>
  <c r="W567" i="40"/>
  <c r="X566" i="40"/>
  <c r="W566" i="40"/>
  <c r="X565" i="40"/>
  <c r="W565" i="40"/>
  <c r="X564" i="40"/>
  <c r="W564" i="40"/>
  <c r="X563" i="40"/>
  <c r="W563" i="40"/>
  <c r="X562" i="40"/>
  <c r="W562" i="40"/>
  <c r="X561" i="40"/>
  <c r="W561" i="40"/>
  <c r="X560" i="40"/>
  <c r="W560" i="40"/>
  <c r="X559" i="40"/>
  <c r="W559" i="40"/>
  <c r="X558" i="40"/>
  <c r="W558" i="40"/>
  <c r="X557" i="40"/>
  <c r="W557" i="40"/>
  <c r="X556" i="40"/>
  <c r="W556" i="40"/>
  <c r="X555" i="40"/>
  <c r="W555" i="40"/>
  <c r="X554" i="40"/>
  <c r="W554" i="40"/>
  <c r="X553" i="40"/>
  <c r="W553" i="40"/>
  <c r="X552" i="40"/>
  <c r="W552" i="40"/>
  <c r="X551" i="40"/>
  <c r="W551" i="40"/>
  <c r="X550" i="40"/>
  <c r="W550" i="40"/>
  <c r="X549" i="40"/>
  <c r="W549" i="40"/>
  <c r="X548" i="40"/>
  <c r="W548" i="40"/>
  <c r="X547" i="40"/>
  <c r="W547" i="40"/>
  <c r="X546" i="40"/>
  <c r="W546" i="40"/>
  <c r="X545" i="40"/>
  <c r="W545" i="40"/>
  <c r="X544" i="40"/>
  <c r="W544" i="40"/>
  <c r="X543" i="40"/>
  <c r="W543" i="40"/>
  <c r="X542" i="40"/>
  <c r="W542" i="40"/>
  <c r="X541" i="40"/>
  <c r="W541" i="40"/>
  <c r="X540" i="40"/>
  <c r="W540" i="40"/>
  <c r="X539" i="40"/>
  <c r="W539" i="40"/>
  <c r="X538" i="40"/>
  <c r="W538" i="40"/>
  <c r="X537" i="40"/>
  <c r="W537" i="40"/>
  <c r="X536" i="40"/>
  <c r="W536" i="40"/>
  <c r="X535" i="40"/>
  <c r="W535" i="40"/>
  <c r="X534" i="40"/>
  <c r="W534" i="40"/>
  <c r="X533" i="40"/>
  <c r="W533" i="40"/>
  <c r="X532" i="40"/>
  <c r="W532" i="40"/>
  <c r="X531" i="40"/>
  <c r="W531" i="40"/>
  <c r="X530" i="40"/>
  <c r="W530" i="40"/>
  <c r="X529" i="40"/>
  <c r="W529" i="40"/>
  <c r="X528" i="40"/>
  <c r="W528" i="40"/>
  <c r="X527" i="40"/>
  <c r="W527" i="40"/>
  <c r="X526" i="40"/>
  <c r="W526" i="40"/>
  <c r="X525" i="40"/>
  <c r="W525" i="40"/>
  <c r="X524" i="40"/>
  <c r="W524" i="40"/>
  <c r="X523" i="40"/>
  <c r="W523" i="40"/>
  <c r="X522" i="40"/>
  <c r="W522" i="40"/>
  <c r="X521" i="40"/>
  <c r="W521" i="40"/>
  <c r="X520" i="40"/>
  <c r="W520" i="40"/>
  <c r="X519" i="40"/>
  <c r="W519" i="40"/>
  <c r="X518" i="40"/>
  <c r="W518" i="40"/>
  <c r="X517" i="40"/>
  <c r="W517" i="40"/>
  <c r="X516" i="40"/>
  <c r="W516" i="40"/>
  <c r="X515" i="40"/>
  <c r="W515" i="40"/>
  <c r="X514" i="40"/>
  <c r="W514" i="40"/>
  <c r="X513" i="40"/>
  <c r="W513" i="40"/>
  <c r="X512" i="40"/>
  <c r="W512" i="40"/>
  <c r="X511" i="40"/>
  <c r="W511" i="40"/>
  <c r="X510" i="40"/>
  <c r="W510" i="40"/>
  <c r="X509" i="40"/>
  <c r="W509" i="40"/>
  <c r="X508" i="40"/>
  <c r="W508" i="40"/>
  <c r="X507" i="40"/>
  <c r="W507" i="40"/>
  <c r="X506" i="40"/>
  <c r="W506" i="40"/>
  <c r="X505" i="40"/>
  <c r="W505" i="40"/>
  <c r="X504" i="40"/>
  <c r="W504" i="40"/>
  <c r="X503" i="40"/>
  <c r="W503" i="40"/>
  <c r="X502" i="40"/>
  <c r="W502" i="40"/>
  <c r="X501" i="40"/>
  <c r="W501" i="40"/>
  <c r="X500" i="40"/>
  <c r="W500" i="40"/>
  <c r="X499" i="40"/>
  <c r="W499" i="40"/>
  <c r="X498" i="40"/>
  <c r="W498" i="40"/>
  <c r="X497" i="40"/>
  <c r="W497" i="40"/>
  <c r="X496" i="40"/>
  <c r="W496" i="40"/>
  <c r="X495" i="40"/>
  <c r="W495" i="40"/>
  <c r="X494" i="40"/>
  <c r="W494" i="40"/>
  <c r="X493" i="40"/>
  <c r="W493" i="40"/>
  <c r="X492" i="40"/>
  <c r="W492" i="40"/>
  <c r="X491" i="40"/>
  <c r="W491" i="40"/>
  <c r="X490" i="40"/>
  <c r="W490" i="40"/>
  <c r="X489" i="40"/>
  <c r="W489" i="40"/>
  <c r="X488" i="40"/>
  <c r="W488" i="40"/>
  <c r="X487" i="40"/>
  <c r="W487" i="40"/>
  <c r="X486" i="40"/>
  <c r="W486" i="40"/>
  <c r="X485" i="40"/>
  <c r="W485" i="40"/>
  <c r="X484" i="40"/>
  <c r="W484" i="40"/>
  <c r="X483" i="40"/>
  <c r="W483" i="40"/>
  <c r="X482" i="40"/>
  <c r="W482" i="40"/>
  <c r="X481" i="40"/>
  <c r="W481" i="40"/>
  <c r="X480" i="40"/>
  <c r="W480" i="40"/>
  <c r="X479" i="40"/>
  <c r="W479" i="40"/>
  <c r="X478" i="40"/>
  <c r="W478" i="40"/>
  <c r="X477" i="40"/>
  <c r="W477" i="40"/>
  <c r="X476" i="40"/>
  <c r="W476" i="40"/>
  <c r="X475" i="40"/>
  <c r="W475" i="40"/>
  <c r="X474" i="40"/>
  <c r="W474" i="40"/>
  <c r="X473" i="40"/>
  <c r="W473" i="40"/>
  <c r="X472" i="40"/>
  <c r="W472" i="40"/>
  <c r="X471" i="40"/>
  <c r="W471" i="40"/>
  <c r="X470" i="40"/>
  <c r="W470" i="40"/>
  <c r="X469" i="40"/>
  <c r="W469" i="40"/>
  <c r="X468" i="40"/>
  <c r="W468" i="40"/>
  <c r="X467" i="40"/>
  <c r="W467" i="40"/>
  <c r="X466" i="40"/>
  <c r="W466" i="40"/>
  <c r="X465" i="40"/>
  <c r="W465" i="40"/>
  <c r="X464" i="40"/>
  <c r="W464" i="40"/>
  <c r="X463" i="40"/>
  <c r="W463" i="40"/>
  <c r="X462" i="40"/>
  <c r="W462" i="40"/>
  <c r="X461" i="40"/>
  <c r="W461" i="40"/>
  <c r="X460" i="40"/>
  <c r="W460" i="40"/>
  <c r="X459" i="40"/>
  <c r="W459" i="40"/>
  <c r="X458" i="40"/>
  <c r="W458" i="40"/>
  <c r="X457" i="40"/>
  <c r="W457" i="40"/>
  <c r="X456" i="40"/>
  <c r="W456" i="40"/>
  <c r="X455" i="40"/>
  <c r="W455" i="40"/>
  <c r="X454" i="40"/>
  <c r="W454" i="40"/>
  <c r="X453" i="40"/>
  <c r="W453" i="40"/>
  <c r="X452" i="40"/>
  <c r="W452" i="40"/>
  <c r="X451" i="40"/>
  <c r="W451" i="40"/>
  <c r="X450" i="40"/>
  <c r="W450" i="40"/>
  <c r="X449" i="40"/>
  <c r="W449" i="40"/>
  <c r="X448" i="40"/>
  <c r="W448" i="40"/>
  <c r="X447" i="40"/>
  <c r="W447" i="40"/>
  <c r="X446" i="40"/>
  <c r="W446" i="40"/>
  <c r="X445" i="40"/>
  <c r="W445" i="40"/>
  <c r="X444" i="40"/>
  <c r="W444" i="40"/>
  <c r="X443" i="40"/>
  <c r="W443" i="40"/>
  <c r="X442" i="40"/>
  <c r="W442" i="40"/>
  <c r="X441" i="40"/>
  <c r="W441" i="40"/>
  <c r="X440" i="40"/>
  <c r="W440" i="40"/>
  <c r="X439" i="40"/>
  <c r="W439" i="40"/>
  <c r="X438" i="40"/>
  <c r="W438" i="40"/>
  <c r="X437" i="40"/>
  <c r="W437" i="40"/>
  <c r="X436" i="40"/>
  <c r="W436" i="40"/>
  <c r="X435" i="40"/>
  <c r="W435" i="40"/>
  <c r="X434" i="40"/>
  <c r="W434" i="40"/>
  <c r="X433" i="40"/>
  <c r="W433" i="40"/>
  <c r="X432" i="40"/>
  <c r="W432" i="40"/>
  <c r="X431" i="40"/>
  <c r="W431" i="40"/>
  <c r="X430" i="40"/>
  <c r="W430" i="40"/>
  <c r="X429" i="40"/>
  <c r="W429" i="40"/>
  <c r="X428" i="40"/>
  <c r="W428" i="40"/>
  <c r="X427" i="40"/>
  <c r="W427" i="40"/>
  <c r="X426" i="40"/>
  <c r="W426" i="40"/>
  <c r="X425" i="40"/>
  <c r="W425" i="40"/>
  <c r="X424" i="40"/>
  <c r="W424" i="40"/>
  <c r="X423" i="40"/>
  <c r="W423" i="40"/>
  <c r="X422" i="40"/>
  <c r="W422" i="40"/>
  <c r="X421" i="40"/>
  <c r="W421" i="40"/>
  <c r="X420" i="40"/>
  <c r="W420" i="40"/>
  <c r="X419" i="40"/>
  <c r="W419" i="40"/>
  <c r="X418" i="40"/>
  <c r="W418" i="40"/>
  <c r="X417" i="40"/>
  <c r="W417" i="40"/>
  <c r="X416" i="40"/>
  <c r="W416" i="40"/>
  <c r="X415" i="40"/>
  <c r="W415" i="40"/>
  <c r="X414" i="40"/>
  <c r="W414" i="40"/>
  <c r="X413" i="40"/>
  <c r="W413" i="40"/>
  <c r="X412" i="40"/>
  <c r="W412" i="40"/>
  <c r="X411" i="40"/>
  <c r="W411" i="40"/>
  <c r="X410" i="40"/>
  <c r="W410" i="40"/>
  <c r="X409" i="40"/>
  <c r="W409" i="40"/>
  <c r="X408" i="40"/>
  <c r="W408" i="40"/>
  <c r="X407" i="40"/>
  <c r="W407" i="40"/>
  <c r="X406" i="40"/>
  <c r="W406" i="40"/>
  <c r="X405" i="40"/>
  <c r="W405" i="40"/>
  <c r="X404" i="40"/>
  <c r="W404" i="40"/>
  <c r="X403" i="40"/>
  <c r="W403" i="40"/>
  <c r="X402" i="40"/>
  <c r="W402" i="40"/>
  <c r="X401" i="40"/>
  <c r="W401" i="40"/>
  <c r="X400" i="40"/>
  <c r="W400" i="40"/>
  <c r="X399" i="40"/>
  <c r="W399" i="40"/>
  <c r="X398" i="40"/>
  <c r="W398" i="40"/>
  <c r="X397" i="40"/>
  <c r="W397" i="40"/>
  <c r="X396" i="40"/>
  <c r="W396" i="40"/>
  <c r="X395" i="40"/>
  <c r="W395" i="40"/>
  <c r="X394" i="40"/>
  <c r="W394" i="40"/>
  <c r="X393" i="40"/>
  <c r="W393" i="40"/>
  <c r="X392" i="40"/>
  <c r="W392" i="40"/>
  <c r="X391" i="40"/>
  <c r="W391" i="40"/>
  <c r="X390" i="40"/>
  <c r="W390" i="40"/>
  <c r="X389" i="40"/>
  <c r="W389" i="40"/>
  <c r="X388" i="40"/>
  <c r="W388" i="40"/>
  <c r="X387" i="40"/>
  <c r="W387" i="40"/>
  <c r="X386" i="40"/>
  <c r="W386" i="40"/>
  <c r="X385" i="40"/>
  <c r="W385" i="40"/>
  <c r="X384" i="40"/>
  <c r="W384" i="40"/>
  <c r="X383" i="40"/>
  <c r="W383" i="40"/>
  <c r="X382" i="40"/>
  <c r="W382" i="40"/>
  <c r="X381" i="40"/>
  <c r="W381" i="40"/>
  <c r="X380" i="40"/>
  <c r="W380" i="40"/>
  <c r="X379" i="40"/>
  <c r="W379" i="40"/>
  <c r="X378" i="40"/>
  <c r="W378" i="40"/>
  <c r="X377" i="40"/>
  <c r="W377" i="40"/>
  <c r="X376" i="40"/>
  <c r="W376" i="40"/>
  <c r="X375" i="40"/>
  <c r="W375" i="40"/>
  <c r="X374" i="40"/>
  <c r="W374" i="40"/>
  <c r="X373" i="40"/>
  <c r="W373" i="40"/>
  <c r="X372" i="40"/>
  <c r="W372" i="40"/>
  <c r="X371" i="40"/>
  <c r="W371" i="40"/>
  <c r="X370" i="40"/>
  <c r="W370" i="40"/>
  <c r="X369" i="40"/>
  <c r="W369" i="40"/>
  <c r="X368" i="40"/>
  <c r="W368" i="40"/>
  <c r="X367" i="40"/>
  <c r="W367" i="40"/>
  <c r="X366" i="40"/>
  <c r="W366" i="40"/>
  <c r="X365" i="40"/>
  <c r="W365" i="40"/>
  <c r="X364" i="40"/>
  <c r="W364" i="40"/>
  <c r="X363" i="40"/>
  <c r="W363" i="40"/>
  <c r="X362" i="40"/>
  <c r="W362" i="40"/>
  <c r="X361" i="40"/>
  <c r="W361" i="40"/>
  <c r="X360" i="40"/>
  <c r="W360" i="40"/>
  <c r="X359" i="40"/>
  <c r="W359" i="40"/>
  <c r="X358" i="40"/>
  <c r="W358" i="40"/>
  <c r="X357" i="40"/>
  <c r="W357" i="40"/>
  <c r="X356" i="40"/>
  <c r="W356" i="40"/>
  <c r="X355" i="40"/>
  <c r="W355" i="40"/>
  <c r="X354" i="40"/>
  <c r="W354" i="40"/>
  <c r="X353" i="40"/>
  <c r="W353" i="40"/>
  <c r="X352" i="40"/>
  <c r="W352" i="40"/>
  <c r="X351" i="40"/>
  <c r="W351" i="40"/>
  <c r="X350" i="40"/>
  <c r="W350" i="40"/>
  <c r="X349" i="40"/>
  <c r="W349" i="40"/>
  <c r="X348" i="40"/>
  <c r="W348" i="40"/>
  <c r="X347" i="40"/>
  <c r="W347" i="40"/>
  <c r="X346" i="40"/>
  <c r="W346" i="40"/>
  <c r="X345" i="40"/>
  <c r="W345" i="40"/>
  <c r="X344" i="40"/>
  <c r="W344" i="40"/>
  <c r="X343" i="40"/>
  <c r="W343" i="40"/>
  <c r="X342" i="40"/>
  <c r="W342" i="40"/>
  <c r="X341" i="40"/>
  <c r="W341" i="40"/>
  <c r="X340" i="40"/>
  <c r="W340" i="40"/>
  <c r="X339" i="40"/>
  <c r="W339" i="40"/>
  <c r="X338" i="40"/>
  <c r="W338" i="40"/>
  <c r="X337" i="40"/>
  <c r="W337" i="40"/>
  <c r="X336" i="40"/>
  <c r="W336" i="40"/>
  <c r="X335" i="40"/>
  <c r="W335" i="40"/>
  <c r="X334" i="40"/>
  <c r="W334" i="40"/>
  <c r="X333" i="40"/>
  <c r="W333" i="40"/>
  <c r="X332" i="40"/>
  <c r="W332" i="40"/>
  <c r="X331" i="40"/>
  <c r="W331" i="40"/>
  <c r="X330" i="40"/>
  <c r="W330" i="40"/>
  <c r="X329" i="40"/>
  <c r="W329" i="40"/>
  <c r="X328" i="40"/>
  <c r="W328" i="40"/>
  <c r="X327" i="40"/>
  <c r="W327" i="40"/>
  <c r="X326" i="40"/>
  <c r="W326" i="40"/>
  <c r="X325" i="40"/>
  <c r="W325" i="40"/>
  <c r="X324" i="40"/>
  <c r="W324" i="40"/>
  <c r="X323" i="40"/>
  <c r="W323" i="40"/>
  <c r="X322" i="40"/>
  <c r="W322" i="40"/>
  <c r="X321" i="40"/>
  <c r="W321" i="40"/>
  <c r="X320" i="40"/>
  <c r="W320" i="40"/>
  <c r="X319" i="40"/>
  <c r="W319" i="40"/>
  <c r="X318" i="40"/>
  <c r="W318" i="40"/>
  <c r="X317" i="40"/>
  <c r="W317" i="40"/>
  <c r="X316" i="40"/>
  <c r="W316" i="40"/>
  <c r="X315" i="40"/>
  <c r="W315" i="40"/>
  <c r="X314" i="40"/>
  <c r="W314" i="40"/>
  <c r="X313" i="40"/>
  <c r="W313" i="40"/>
  <c r="X312" i="40"/>
  <c r="W312" i="40"/>
  <c r="X311" i="40"/>
  <c r="W311" i="40"/>
  <c r="X310" i="40"/>
  <c r="W310" i="40"/>
  <c r="X309" i="40"/>
  <c r="W309" i="40"/>
  <c r="X308" i="40"/>
  <c r="W308" i="40"/>
  <c r="X307" i="40"/>
  <c r="W307" i="40"/>
  <c r="X306" i="40"/>
  <c r="W306" i="40"/>
  <c r="X305" i="40"/>
  <c r="W305" i="40"/>
  <c r="X304" i="40"/>
  <c r="W304" i="40"/>
  <c r="X303" i="40"/>
  <c r="W303" i="40"/>
  <c r="X302" i="40"/>
  <c r="W302" i="40"/>
  <c r="X301" i="40"/>
  <c r="W301" i="40"/>
  <c r="X300" i="40"/>
  <c r="W300" i="40"/>
  <c r="X299" i="40"/>
  <c r="W299" i="40"/>
  <c r="X298" i="40"/>
  <c r="W298" i="40"/>
  <c r="X297" i="40"/>
  <c r="W297" i="40"/>
  <c r="X296" i="40"/>
  <c r="W296" i="40"/>
  <c r="X295" i="40"/>
  <c r="W295" i="40"/>
  <c r="X294" i="40"/>
  <c r="W294" i="40"/>
  <c r="X293" i="40"/>
  <c r="W293" i="40"/>
  <c r="X292" i="40"/>
  <c r="W292" i="40"/>
  <c r="X291" i="40"/>
  <c r="W291" i="40"/>
  <c r="X290" i="40"/>
  <c r="W290" i="40"/>
  <c r="X289" i="40"/>
  <c r="W289" i="40"/>
  <c r="X288" i="40"/>
  <c r="W288" i="40"/>
  <c r="X287" i="40"/>
  <c r="W287" i="40"/>
  <c r="X286" i="40"/>
  <c r="W286" i="40"/>
  <c r="X285" i="40"/>
  <c r="W285" i="40"/>
  <c r="X284" i="40"/>
  <c r="W284" i="40"/>
  <c r="X283" i="40"/>
  <c r="W283" i="40"/>
  <c r="X282" i="40"/>
  <c r="W282" i="40"/>
  <c r="X281" i="40"/>
  <c r="W281" i="40"/>
  <c r="X280" i="40"/>
  <c r="W280" i="40"/>
  <c r="X279" i="40"/>
  <c r="W279" i="40"/>
  <c r="X278" i="40"/>
  <c r="W278" i="40"/>
  <c r="X277" i="40"/>
  <c r="W277" i="40"/>
  <c r="X276" i="40"/>
  <c r="W276" i="40"/>
  <c r="X275" i="40"/>
  <c r="W275" i="40"/>
  <c r="X274" i="40"/>
  <c r="W274" i="40"/>
  <c r="X273" i="40"/>
  <c r="W273" i="40"/>
  <c r="X272" i="40"/>
  <c r="W272" i="40"/>
  <c r="X271" i="40"/>
  <c r="W271" i="40"/>
  <c r="X270" i="40"/>
  <c r="W270" i="40"/>
  <c r="X269" i="40"/>
  <c r="W269" i="40"/>
  <c r="X268" i="40"/>
  <c r="W268" i="40"/>
  <c r="X267" i="40"/>
  <c r="W267" i="40"/>
  <c r="X266" i="40"/>
  <c r="W266" i="40"/>
  <c r="X265" i="40"/>
  <c r="W265" i="40"/>
  <c r="X264" i="40"/>
  <c r="W264" i="40"/>
  <c r="X263" i="40"/>
  <c r="W263" i="40"/>
  <c r="X262" i="40"/>
  <c r="W262" i="40"/>
  <c r="X261" i="40"/>
  <c r="W261" i="40"/>
  <c r="X260" i="40"/>
  <c r="W260" i="40"/>
  <c r="X259" i="40"/>
  <c r="W259" i="40"/>
  <c r="X258" i="40"/>
  <c r="W258" i="40"/>
  <c r="X257" i="40"/>
  <c r="W257" i="40"/>
  <c r="X256" i="40"/>
  <c r="W256" i="40"/>
  <c r="X255" i="40"/>
  <c r="W255" i="40"/>
  <c r="X254" i="40"/>
  <c r="W254" i="40"/>
  <c r="X253" i="40"/>
  <c r="W253" i="40"/>
  <c r="X252" i="40"/>
  <c r="W252" i="40"/>
  <c r="X251" i="40"/>
  <c r="W251" i="40"/>
  <c r="X250" i="40"/>
  <c r="W250" i="40"/>
  <c r="X249" i="40"/>
  <c r="W249" i="40"/>
  <c r="X248" i="40"/>
  <c r="W248" i="40"/>
  <c r="X247" i="40"/>
  <c r="W247" i="40"/>
  <c r="X246" i="40"/>
  <c r="W246" i="40"/>
  <c r="X245" i="40"/>
  <c r="W245" i="40"/>
  <c r="X244" i="40"/>
  <c r="W244" i="40"/>
  <c r="X243" i="40"/>
  <c r="W243" i="40"/>
  <c r="X242" i="40"/>
  <c r="W242" i="40"/>
  <c r="X241" i="40"/>
  <c r="W241" i="40"/>
  <c r="X240" i="40"/>
  <c r="W240" i="40"/>
  <c r="X239" i="40"/>
  <c r="W239" i="40"/>
  <c r="X238" i="40"/>
  <c r="W238" i="40"/>
  <c r="X237" i="40"/>
  <c r="W237" i="40"/>
  <c r="X236" i="40"/>
  <c r="W236" i="40"/>
  <c r="X235" i="40"/>
  <c r="W235" i="40"/>
  <c r="X234" i="40"/>
  <c r="W234" i="40"/>
  <c r="X233" i="40"/>
  <c r="W233" i="40"/>
  <c r="X232" i="40"/>
  <c r="W232" i="40"/>
  <c r="X231" i="40"/>
  <c r="W231" i="40"/>
  <c r="X230" i="40"/>
  <c r="W230" i="40"/>
  <c r="X229" i="40"/>
  <c r="W229" i="40"/>
  <c r="X228" i="40"/>
  <c r="W228" i="40"/>
  <c r="X227" i="40"/>
  <c r="W227" i="40"/>
  <c r="X226" i="40"/>
  <c r="W226" i="40"/>
  <c r="X225" i="40"/>
  <c r="W225" i="40"/>
  <c r="X224" i="40"/>
  <c r="W224" i="40"/>
  <c r="X223" i="40"/>
  <c r="W223" i="40"/>
  <c r="X222" i="40"/>
  <c r="W222" i="40"/>
  <c r="X221" i="40"/>
  <c r="W221" i="40"/>
  <c r="X220" i="40"/>
  <c r="W220" i="40"/>
  <c r="X219" i="40"/>
  <c r="W219" i="40"/>
  <c r="X218" i="40"/>
  <c r="W218" i="40"/>
  <c r="X217" i="40"/>
  <c r="W217" i="40"/>
  <c r="X216" i="40"/>
  <c r="W216" i="40"/>
  <c r="X215" i="40"/>
  <c r="W215" i="40"/>
  <c r="X214" i="40"/>
  <c r="W214" i="40"/>
  <c r="X213" i="40"/>
  <c r="W213" i="40"/>
  <c r="X212" i="40"/>
  <c r="W212" i="40"/>
  <c r="X211" i="40"/>
  <c r="W211" i="40"/>
  <c r="X210" i="40"/>
  <c r="W210" i="40"/>
  <c r="X209" i="40"/>
  <c r="W209" i="40"/>
  <c r="X208" i="40"/>
  <c r="W208" i="40"/>
  <c r="X207" i="40"/>
  <c r="W207" i="40"/>
  <c r="X206" i="40"/>
  <c r="W206" i="40"/>
  <c r="X205" i="40"/>
  <c r="W205" i="40"/>
  <c r="X204" i="40"/>
  <c r="W204" i="40"/>
  <c r="X203" i="40"/>
  <c r="W203" i="40"/>
  <c r="X202" i="40"/>
  <c r="W202" i="40"/>
  <c r="X201" i="40"/>
  <c r="W201" i="40"/>
  <c r="X200" i="40"/>
  <c r="W200" i="40"/>
  <c r="X199" i="40"/>
  <c r="W199" i="40"/>
  <c r="X198" i="40"/>
  <c r="W198" i="40"/>
  <c r="X197" i="40"/>
  <c r="W197" i="40"/>
  <c r="X196" i="40"/>
  <c r="W196" i="40"/>
  <c r="X195" i="40"/>
  <c r="W195" i="40"/>
  <c r="X194" i="40"/>
  <c r="W194" i="40"/>
  <c r="X193" i="40"/>
  <c r="W193" i="40"/>
  <c r="X192" i="40"/>
  <c r="W192" i="40"/>
  <c r="X191" i="40"/>
  <c r="W191" i="40"/>
  <c r="X190" i="40"/>
  <c r="W190" i="40"/>
  <c r="X189" i="40"/>
  <c r="W189" i="40"/>
  <c r="X188" i="40"/>
  <c r="W188" i="40"/>
  <c r="X187" i="40"/>
  <c r="W187" i="40"/>
  <c r="X186" i="40"/>
  <c r="W186" i="40"/>
  <c r="X185" i="40"/>
  <c r="W185" i="40"/>
  <c r="X184" i="40"/>
  <c r="W184" i="40"/>
  <c r="X183" i="40"/>
  <c r="W183" i="40"/>
  <c r="X182" i="40"/>
  <c r="W182" i="40"/>
  <c r="X181" i="40"/>
  <c r="W181" i="40"/>
  <c r="X180" i="40"/>
  <c r="W180" i="40"/>
  <c r="X179" i="40"/>
  <c r="W179" i="40"/>
  <c r="X178" i="40"/>
  <c r="W178" i="40"/>
  <c r="X177" i="40"/>
  <c r="W177" i="40"/>
  <c r="X176" i="40"/>
  <c r="W176" i="40"/>
  <c r="X175" i="40"/>
  <c r="W175" i="40"/>
  <c r="X174" i="40"/>
  <c r="W174" i="40"/>
  <c r="X173" i="40"/>
  <c r="W173" i="40"/>
  <c r="X172" i="40"/>
  <c r="W172" i="40"/>
  <c r="X171" i="40"/>
  <c r="W171" i="40"/>
  <c r="X170" i="40"/>
  <c r="W170" i="40"/>
  <c r="X169" i="40"/>
  <c r="W169" i="40"/>
  <c r="X168" i="40"/>
  <c r="W168" i="40"/>
  <c r="X167" i="40"/>
  <c r="W167" i="40"/>
  <c r="X166" i="40"/>
  <c r="W166" i="40"/>
  <c r="X165" i="40"/>
  <c r="W165" i="40"/>
  <c r="X164" i="40"/>
  <c r="W164" i="40"/>
  <c r="X163" i="40"/>
  <c r="W163" i="40"/>
  <c r="X162" i="40"/>
  <c r="W162" i="40"/>
  <c r="X161" i="40"/>
  <c r="W161" i="40"/>
  <c r="X160" i="40"/>
  <c r="W160" i="40"/>
  <c r="X159" i="40"/>
  <c r="W159" i="40"/>
  <c r="X158" i="40"/>
  <c r="W158" i="40"/>
  <c r="X157" i="40"/>
  <c r="W157" i="40"/>
  <c r="X156" i="40"/>
  <c r="W156" i="40"/>
  <c r="X155" i="40"/>
  <c r="W155" i="40"/>
  <c r="X154" i="40"/>
  <c r="W154" i="40"/>
  <c r="X153" i="40"/>
  <c r="W153" i="40"/>
  <c r="X152" i="40"/>
  <c r="W152" i="40"/>
  <c r="X151" i="40"/>
  <c r="W151" i="40"/>
  <c r="X150" i="40"/>
  <c r="W150" i="40"/>
  <c r="X149" i="40"/>
  <c r="W149" i="40"/>
  <c r="X148" i="40"/>
  <c r="W148" i="40"/>
  <c r="X147" i="40"/>
  <c r="W147" i="40"/>
  <c r="X146" i="40"/>
  <c r="W146" i="40"/>
  <c r="X145" i="40"/>
  <c r="W145" i="40"/>
  <c r="X144" i="40"/>
  <c r="W144" i="40"/>
  <c r="X143" i="40"/>
  <c r="W143" i="40"/>
  <c r="X142" i="40"/>
  <c r="W142" i="40"/>
  <c r="X141" i="40"/>
  <c r="W141" i="40"/>
  <c r="X140" i="40"/>
  <c r="W140" i="40"/>
  <c r="X139" i="40"/>
  <c r="W139" i="40"/>
  <c r="X138" i="40"/>
  <c r="W138" i="40"/>
  <c r="X137" i="40"/>
  <c r="W137" i="40"/>
  <c r="X136" i="40"/>
  <c r="W136" i="40"/>
  <c r="X135" i="40"/>
  <c r="W135" i="40"/>
  <c r="X134" i="40"/>
  <c r="W134" i="40"/>
  <c r="X133" i="40"/>
  <c r="W133" i="40"/>
  <c r="X132" i="40"/>
  <c r="W132" i="40"/>
  <c r="X131" i="40"/>
  <c r="W131" i="40"/>
  <c r="X130" i="40"/>
  <c r="W130" i="40"/>
  <c r="X129" i="40"/>
  <c r="W129" i="40"/>
  <c r="X128" i="40"/>
  <c r="W128" i="40"/>
  <c r="X127" i="40"/>
  <c r="W127" i="40"/>
  <c r="X126" i="40"/>
  <c r="W126" i="40"/>
  <c r="X125" i="40"/>
  <c r="W125" i="40"/>
  <c r="X124" i="40"/>
  <c r="W124" i="40"/>
  <c r="X123" i="40"/>
  <c r="W123" i="40"/>
  <c r="X122" i="40"/>
  <c r="W122" i="40"/>
  <c r="X121" i="40"/>
  <c r="W121" i="40"/>
  <c r="X120" i="40"/>
  <c r="W120" i="40"/>
  <c r="X119" i="40"/>
  <c r="W119" i="40"/>
  <c r="X118" i="40"/>
  <c r="W118" i="40"/>
  <c r="X117" i="40"/>
  <c r="W117" i="40"/>
  <c r="X116" i="40"/>
  <c r="W116" i="40"/>
  <c r="X115" i="40"/>
  <c r="W115" i="40"/>
  <c r="X114" i="40"/>
  <c r="W114" i="40"/>
  <c r="X113" i="40"/>
  <c r="W113" i="40"/>
  <c r="X112" i="40"/>
  <c r="W112" i="40"/>
  <c r="X111" i="40"/>
  <c r="W111" i="40"/>
  <c r="X110" i="40"/>
  <c r="W110" i="40"/>
  <c r="X109" i="40"/>
  <c r="W109" i="40"/>
  <c r="X108" i="40"/>
  <c r="W108" i="40"/>
  <c r="X107" i="40"/>
  <c r="W107" i="40"/>
  <c r="X106" i="40"/>
  <c r="W106" i="40"/>
  <c r="X105" i="40"/>
  <c r="W105" i="40"/>
  <c r="X104" i="40"/>
  <c r="W104" i="40"/>
  <c r="X103" i="40"/>
  <c r="W103" i="40"/>
  <c r="X102" i="40"/>
  <c r="W102" i="40"/>
  <c r="X101" i="40"/>
  <c r="W101" i="40"/>
  <c r="X100" i="40"/>
  <c r="W100" i="40"/>
  <c r="X99" i="40"/>
  <c r="W99" i="40"/>
  <c r="X98" i="40"/>
  <c r="W98" i="40"/>
  <c r="X97" i="40"/>
  <c r="W97" i="40"/>
  <c r="X96" i="40"/>
  <c r="W96" i="40"/>
  <c r="X95" i="40"/>
  <c r="W95" i="40"/>
  <c r="X94" i="40"/>
  <c r="W94" i="40"/>
  <c r="X93" i="40"/>
  <c r="W93" i="40"/>
  <c r="X92" i="40"/>
  <c r="W92" i="40"/>
  <c r="X91" i="40"/>
  <c r="W91" i="40"/>
  <c r="X90" i="40"/>
  <c r="W90" i="40"/>
  <c r="X89" i="40"/>
  <c r="W89" i="40"/>
  <c r="X88" i="40"/>
  <c r="W88" i="40"/>
  <c r="X87" i="40"/>
  <c r="W87" i="40"/>
  <c r="X86" i="40"/>
  <c r="W86" i="40"/>
  <c r="X85" i="40"/>
  <c r="W85" i="40"/>
  <c r="X84" i="40"/>
  <c r="W84" i="40"/>
  <c r="X83" i="40"/>
  <c r="W83" i="40"/>
  <c r="X82" i="40"/>
  <c r="W82" i="40"/>
  <c r="X81" i="40"/>
  <c r="W81" i="40"/>
  <c r="X80" i="40"/>
  <c r="W80" i="40"/>
  <c r="X79" i="40"/>
  <c r="W79" i="40"/>
  <c r="X78" i="40"/>
  <c r="W78" i="40"/>
  <c r="X77" i="40"/>
  <c r="W77" i="40"/>
  <c r="X76" i="40"/>
  <c r="W76" i="40"/>
  <c r="X75" i="40"/>
  <c r="W75" i="40"/>
  <c r="X74" i="40"/>
  <c r="W74" i="40"/>
  <c r="X73" i="40"/>
  <c r="W73" i="40"/>
  <c r="X72" i="40"/>
  <c r="W72" i="40"/>
  <c r="X71" i="40"/>
  <c r="W71" i="40"/>
  <c r="X70" i="40"/>
  <c r="W70" i="40"/>
  <c r="X69" i="40"/>
  <c r="W69" i="40"/>
  <c r="X68" i="40"/>
  <c r="W68" i="40"/>
  <c r="X67" i="40"/>
  <c r="W67" i="40"/>
  <c r="X66" i="40"/>
  <c r="W66" i="40"/>
  <c r="X65" i="40"/>
  <c r="W65" i="40"/>
  <c r="X64" i="40"/>
  <c r="W64" i="40"/>
  <c r="X63" i="40"/>
  <c r="W63" i="40"/>
  <c r="X62" i="40"/>
  <c r="W62" i="40"/>
  <c r="X61" i="40"/>
  <c r="W61" i="40"/>
  <c r="X60" i="40"/>
  <c r="W60" i="40"/>
  <c r="X59" i="40"/>
  <c r="W59" i="40"/>
  <c r="X58" i="40"/>
  <c r="W58" i="40"/>
  <c r="X57" i="40"/>
  <c r="W57" i="40"/>
  <c r="X56" i="40"/>
  <c r="W56" i="40"/>
  <c r="X55" i="40"/>
  <c r="W55" i="40"/>
  <c r="X54" i="40"/>
  <c r="W54" i="40"/>
  <c r="X53" i="40"/>
  <c r="W53" i="40"/>
  <c r="X52" i="40"/>
  <c r="W52" i="40"/>
  <c r="X51" i="40"/>
  <c r="W51" i="40"/>
  <c r="X50" i="40"/>
  <c r="W50" i="40"/>
  <c r="X49" i="40"/>
  <c r="W49" i="40"/>
  <c r="X48" i="40"/>
  <c r="W48" i="40"/>
  <c r="X47" i="40"/>
  <c r="W47" i="40"/>
  <c r="X46" i="40"/>
  <c r="W46" i="40"/>
  <c r="X45" i="40"/>
  <c r="W45" i="40"/>
  <c r="X44" i="40"/>
  <c r="W44" i="40"/>
  <c r="X43" i="40"/>
  <c r="W43" i="40"/>
  <c r="X42" i="40"/>
  <c r="W42" i="40"/>
  <c r="X41" i="40"/>
  <c r="W41" i="40"/>
  <c r="X40" i="40"/>
  <c r="W40" i="40"/>
  <c r="X39" i="40"/>
  <c r="W39" i="40"/>
  <c r="X38" i="40"/>
  <c r="W38" i="40"/>
  <c r="X37" i="40"/>
  <c r="W37" i="40"/>
  <c r="X36" i="40"/>
  <c r="W36" i="40"/>
  <c r="X35" i="40"/>
  <c r="W35" i="40"/>
  <c r="X34" i="40"/>
  <c r="W34" i="40"/>
  <c r="X33" i="40"/>
  <c r="W33" i="40"/>
  <c r="X32" i="40"/>
  <c r="W32" i="40"/>
  <c r="X31" i="40"/>
  <c r="W31" i="40"/>
  <c r="X30" i="40"/>
  <c r="W30" i="40"/>
  <c r="X29" i="40"/>
  <c r="W29" i="40"/>
  <c r="X28" i="40"/>
  <c r="W28" i="40"/>
  <c r="X27" i="40"/>
  <c r="W27" i="40"/>
  <c r="X26" i="40"/>
  <c r="W26" i="40"/>
  <c r="X25" i="40"/>
  <c r="W25" i="40"/>
  <c r="X24" i="40"/>
  <c r="W24" i="40"/>
  <c r="X23" i="40"/>
  <c r="W23" i="40"/>
  <c r="X22" i="40"/>
  <c r="W22" i="40"/>
  <c r="X21" i="40"/>
  <c r="W21" i="40"/>
  <c r="X20" i="40"/>
  <c r="W20" i="40"/>
  <c r="X19" i="40"/>
  <c r="W19" i="40"/>
  <c r="X18" i="40"/>
  <c r="W18" i="40"/>
  <c r="X17" i="40"/>
  <c r="W17" i="40"/>
  <c r="X16" i="40"/>
  <c r="W16" i="40"/>
  <c r="X15" i="40"/>
  <c r="W15" i="40"/>
  <c r="X14" i="40"/>
  <c r="W14" i="40"/>
  <c r="X13" i="40"/>
  <c r="W13" i="40"/>
  <c r="X12" i="40"/>
  <c r="W12" i="40"/>
  <c r="X11" i="40"/>
  <c r="W11" i="40"/>
  <c r="X10" i="40"/>
  <c r="W10" i="40"/>
  <c r="X9" i="40"/>
  <c r="W9" i="40"/>
  <c r="X8" i="40"/>
  <c r="W8" i="40"/>
  <c r="X7" i="40"/>
  <c r="W7" i="40"/>
  <c r="W7" i="37"/>
  <c r="W8" i="37"/>
  <c r="W9" i="37"/>
  <c r="W10" i="37"/>
  <c r="W11" i="37"/>
  <c r="W12" i="37"/>
  <c r="W13" i="37"/>
  <c r="W14" i="37"/>
  <c r="W15" i="37"/>
  <c r="W16" i="37"/>
  <c r="W17" i="37"/>
  <c r="W18" i="37"/>
  <c r="W19" i="37"/>
  <c r="W20" i="37"/>
  <c r="W21" i="37"/>
  <c r="W22" i="37"/>
  <c r="W24" i="37"/>
  <c r="W25" i="37"/>
  <c r="W26" i="37"/>
  <c r="W27" i="37"/>
  <c r="W28" i="37"/>
  <c r="W29" i="37"/>
  <c r="W30" i="37"/>
  <c r="W31" i="37"/>
  <c r="W32" i="37"/>
  <c r="W33" i="37"/>
  <c r="W34" i="37"/>
  <c r="W35" i="37"/>
  <c r="W36" i="37"/>
  <c r="W37" i="37"/>
  <c r="W38" i="37"/>
  <c r="W39" i="37"/>
  <c r="W40" i="37"/>
  <c r="W41" i="37"/>
  <c r="W42" i="37"/>
  <c r="W43" i="37"/>
  <c r="W44" i="37"/>
  <c r="W45" i="37"/>
  <c r="W46" i="37"/>
  <c r="W47" i="37"/>
  <c r="W48" i="37"/>
  <c r="W49" i="37"/>
  <c r="W50" i="37"/>
  <c r="W51" i="37"/>
  <c r="W52" i="37"/>
  <c r="W53" i="37"/>
  <c r="W54" i="37"/>
  <c r="W55" i="37"/>
  <c r="W56" i="37"/>
  <c r="W57" i="37"/>
  <c r="W58" i="37"/>
  <c r="W59" i="37"/>
  <c r="W60" i="37"/>
  <c r="W61" i="37"/>
  <c r="W62" i="37"/>
  <c r="W63" i="37"/>
  <c r="W64" i="37"/>
  <c r="W65" i="37"/>
  <c r="W66" i="37"/>
  <c r="W67" i="37"/>
  <c r="W68" i="37"/>
  <c r="W69" i="37"/>
  <c r="W70" i="37"/>
  <c r="W71" i="37"/>
  <c r="W72" i="37"/>
  <c r="W73" i="37"/>
  <c r="W74" i="37"/>
  <c r="W75" i="37"/>
  <c r="W76" i="37"/>
  <c r="W77" i="37"/>
  <c r="W78" i="37"/>
  <c r="W79" i="37"/>
  <c r="W80" i="37"/>
  <c r="W81" i="37"/>
  <c r="W82" i="37"/>
  <c r="W83" i="37"/>
  <c r="W84" i="37"/>
  <c r="W85" i="37"/>
  <c r="W86" i="37"/>
  <c r="W87" i="37"/>
  <c r="W88" i="37"/>
  <c r="W89" i="37"/>
  <c r="W90" i="37"/>
  <c r="W91" i="37"/>
  <c r="W92" i="37"/>
  <c r="W93" i="37"/>
  <c r="W94" i="37"/>
  <c r="W95" i="37"/>
  <c r="W96" i="37"/>
  <c r="W97" i="37"/>
  <c r="W98" i="37"/>
  <c r="W99" i="37"/>
  <c r="W100" i="37"/>
  <c r="W101" i="37"/>
  <c r="W102" i="37"/>
  <c r="W103" i="37"/>
  <c r="W104" i="37"/>
  <c r="W105" i="37"/>
  <c r="W106" i="37"/>
  <c r="W107" i="37"/>
  <c r="W108" i="37"/>
  <c r="W109" i="37"/>
  <c r="W110" i="37"/>
  <c r="W111" i="37"/>
  <c r="W112" i="37"/>
  <c r="W113" i="37"/>
  <c r="W114" i="37"/>
  <c r="W115" i="37"/>
  <c r="W116" i="37"/>
  <c r="W117" i="37"/>
  <c r="W118" i="37"/>
  <c r="W119" i="37"/>
  <c r="W120" i="37"/>
  <c r="W121" i="37"/>
  <c r="W122" i="37"/>
  <c r="W123" i="37"/>
  <c r="W124" i="37"/>
  <c r="W125" i="37"/>
  <c r="W126" i="37"/>
  <c r="W127" i="37"/>
  <c r="W128" i="37"/>
  <c r="W129" i="37"/>
  <c r="W130" i="37"/>
  <c r="W131" i="37"/>
  <c r="W132" i="37"/>
  <c r="W133" i="37"/>
  <c r="W134" i="37"/>
  <c r="W135" i="37"/>
  <c r="W136" i="37"/>
  <c r="W137" i="37"/>
  <c r="W138" i="37"/>
  <c r="W139" i="37"/>
  <c r="W140" i="37"/>
  <c r="W141" i="37"/>
  <c r="W142" i="37"/>
  <c r="W143" i="37"/>
  <c r="W144" i="37"/>
  <c r="W145" i="37"/>
  <c r="W146" i="37"/>
  <c r="W147" i="37"/>
  <c r="W148" i="37"/>
  <c r="W149" i="37"/>
  <c r="W150" i="37"/>
  <c r="W151" i="37"/>
  <c r="W152" i="37"/>
  <c r="W153" i="37"/>
  <c r="W154" i="37"/>
  <c r="W155" i="37"/>
  <c r="W156" i="37"/>
  <c r="W157" i="37"/>
  <c r="W158" i="37"/>
  <c r="W159" i="37"/>
  <c r="W160" i="37"/>
  <c r="W161" i="37"/>
  <c r="W162" i="37"/>
  <c r="W163" i="37"/>
  <c r="W164" i="37"/>
  <c r="W165" i="37"/>
  <c r="W166" i="37"/>
  <c r="W167" i="37"/>
  <c r="W168" i="37"/>
  <c r="W169" i="37"/>
  <c r="W170" i="37"/>
  <c r="W171" i="37"/>
  <c r="W172" i="37"/>
  <c r="W173" i="37"/>
  <c r="W174" i="37"/>
  <c r="W175" i="37"/>
  <c r="W176" i="37"/>
  <c r="W177" i="37"/>
  <c r="W178" i="37"/>
  <c r="W179" i="37"/>
  <c r="W180" i="37"/>
  <c r="W181" i="37"/>
  <c r="W182" i="37"/>
  <c r="W183" i="37"/>
  <c r="W184" i="37"/>
  <c r="W185" i="37"/>
  <c r="W186" i="37"/>
  <c r="W187" i="37"/>
  <c r="W188" i="37"/>
  <c r="W189" i="37"/>
  <c r="W190" i="37"/>
  <c r="W191" i="37"/>
  <c r="W192" i="37"/>
  <c r="W193" i="37"/>
  <c r="W194" i="37"/>
  <c r="W195" i="37"/>
  <c r="W196" i="37"/>
  <c r="W197" i="37"/>
  <c r="W198" i="37"/>
  <c r="W199" i="37"/>
  <c r="W200" i="37"/>
  <c r="W201" i="37"/>
  <c r="W202" i="37"/>
  <c r="W203" i="37"/>
  <c r="W204" i="37"/>
  <c r="W205" i="37"/>
  <c r="W206" i="37"/>
  <c r="W207" i="37"/>
  <c r="W208" i="37"/>
  <c r="W209" i="37"/>
  <c r="W210" i="37"/>
  <c r="W211" i="37"/>
  <c r="W212" i="37"/>
  <c r="W213" i="37"/>
  <c r="W214" i="37"/>
  <c r="W215" i="37"/>
  <c r="W216" i="37"/>
  <c r="W217" i="37"/>
  <c r="W218" i="37"/>
  <c r="W219" i="37"/>
  <c r="W220" i="37"/>
  <c r="W221" i="37"/>
  <c r="W222" i="37"/>
  <c r="W223" i="37"/>
  <c r="W224" i="37"/>
  <c r="W225" i="37"/>
  <c r="W226" i="37"/>
  <c r="W227" i="37"/>
  <c r="W228" i="37"/>
  <c r="W229" i="37"/>
  <c r="W230" i="37"/>
  <c r="W231" i="37"/>
  <c r="W232" i="37"/>
  <c r="W233" i="37"/>
  <c r="W234" i="37"/>
  <c r="W235" i="37"/>
  <c r="W236" i="37"/>
  <c r="W237" i="37"/>
  <c r="W238" i="37"/>
  <c r="W239" i="37"/>
  <c r="W240" i="37"/>
  <c r="W241" i="37"/>
  <c r="W242" i="37"/>
  <c r="W243" i="37"/>
  <c r="W244" i="37"/>
  <c r="W245" i="37"/>
  <c r="W246" i="37"/>
  <c r="W247" i="37"/>
  <c r="W248" i="37"/>
  <c r="W249" i="37"/>
  <c r="W250" i="37"/>
  <c r="W251" i="37"/>
  <c r="W252" i="37"/>
  <c r="W253" i="37"/>
  <c r="W254" i="37"/>
  <c r="W255" i="37"/>
  <c r="W256" i="37"/>
  <c r="W257" i="37"/>
  <c r="W258" i="37"/>
  <c r="W259" i="37"/>
  <c r="W260" i="37"/>
  <c r="W261" i="37"/>
  <c r="W262" i="37"/>
  <c r="W263" i="37"/>
  <c r="W264" i="37"/>
  <c r="W265" i="37"/>
  <c r="W266" i="37"/>
  <c r="W267" i="37"/>
  <c r="W268" i="37"/>
  <c r="W269" i="37"/>
  <c r="W270" i="37"/>
  <c r="W271" i="37"/>
  <c r="W272" i="37"/>
  <c r="W273" i="37"/>
  <c r="W274" i="37"/>
  <c r="W275" i="37"/>
  <c r="W276" i="37"/>
  <c r="W277" i="37"/>
  <c r="W278" i="37"/>
  <c r="W279" i="37"/>
  <c r="W280" i="37"/>
  <c r="W281" i="37"/>
  <c r="W282" i="37"/>
  <c r="W283" i="37"/>
  <c r="W284" i="37"/>
  <c r="W285" i="37"/>
  <c r="W286" i="37"/>
  <c r="W287" i="37"/>
  <c r="W288" i="37"/>
  <c r="W289" i="37"/>
  <c r="W290" i="37"/>
  <c r="W291" i="37"/>
  <c r="W292" i="37"/>
  <c r="W293" i="37"/>
  <c r="W294" i="37"/>
  <c r="W295" i="37"/>
  <c r="W296" i="37"/>
  <c r="W297" i="37"/>
  <c r="W298" i="37"/>
  <c r="W299" i="37"/>
  <c r="W300" i="37"/>
  <c r="W301" i="37"/>
  <c r="W302" i="37"/>
  <c r="W303" i="37"/>
  <c r="W304" i="37"/>
  <c r="W305" i="37"/>
  <c r="W306" i="37"/>
  <c r="W307" i="37"/>
  <c r="W308" i="37"/>
  <c r="W309" i="37"/>
  <c r="W310" i="37"/>
  <c r="W311" i="37"/>
  <c r="W312" i="37"/>
  <c r="W313" i="37"/>
  <c r="W314" i="37"/>
  <c r="W315" i="37"/>
  <c r="W316" i="37"/>
  <c r="W317" i="37"/>
  <c r="W318" i="37"/>
  <c r="W319" i="37"/>
  <c r="W320" i="37"/>
  <c r="W321" i="37"/>
  <c r="W322" i="37"/>
  <c r="W323" i="37"/>
  <c r="W324" i="37"/>
  <c r="W325" i="37"/>
  <c r="W326" i="37"/>
  <c r="W327" i="37"/>
  <c r="W328" i="37"/>
  <c r="W329" i="37"/>
  <c r="W330" i="37"/>
  <c r="W331" i="37"/>
  <c r="W332" i="37"/>
  <c r="W333" i="37"/>
  <c r="W334" i="37"/>
  <c r="W335" i="37"/>
  <c r="W336" i="37"/>
  <c r="W337" i="37"/>
  <c r="W338" i="37"/>
  <c r="W339" i="37"/>
  <c r="W340" i="37"/>
  <c r="W341" i="37"/>
  <c r="W342" i="37"/>
  <c r="W343" i="37"/>
  <c r="W344" i="37"/>
  <c r="W345" i="37"/>
  <c r="W346" i="37"/>
  <c r="W347" i="37"/>
  <c r="W348" i="37"/>
  <c r="W349" i="37"/>
  <c r="W350" i="37"/>
  <c r="W351" i="37"/>
  <c r="W352" i="37"/>
  <c r="W353" i="37"/>
  <c r="W354" i="37"/>
  <c r="W355" i="37"/>
  <c r="W356" i="37"/>
  <c r="W357" i="37"/>
  <c r="W358" i="37"/>
  <c r="W359" i="37"/>
  <c r="W360" i="37"/>
  <c r="W361" i="37"/>
  <c r="W362" i="37"/>
  <c r="W363" i="37"/>
  <c r="W364" i="37"/>
  <c r="W365" i="37"/>
  <c r="W366" i="37"/>
  <c r="W367" i="37"/>
  <c r="W368" i="37"/>
  <c r="W369" i="37"/>
  <c r="W370" i="37"/>
  <c r="W371" i="37"/>
  <c r="W372" i="37"/>
  <c r="W373" i="37"/>
  <c r="W374" i="37"/>
  <c r="W375" i="37"/>
  <c r="W376" i="37"/>
  <c r="W377" i="37"/>
  <c r="W378" i="37"/>
  <c r="W379" i="37"/>
  <c r="W380" i="37"/>
  <c r="W381" i="37"/>
  <c r="W382" i="37"/>
  <c r="W383" i="37"/>
  <c r="W384" i="37"/>
  <c r="W385" i="37"/>
  <c r="W386" i="37"/>
  <c r="W387" i="37"/>
  <c r="W388" i="37"/>
  <c r="W389" i="37"/>
  <c r="W390" i="37"/>
  <c r="W391" i="37"/>
  <c r="W392" i="37"/>
  <c r="W393" i="37"/>
  <c r="W394" i="37"/>
  <c r="W395" i="37"/>
  <c r="W396" i="37"/>
  <c r="W397" i="37"/>
  <c r="W398" i="37"/>
  <c r="W399" i="37"/>
  <c r="W400" i="37"/>
  <c r="W401" i="37"/>
  <c r="W402" i="37"/>
  <c r="W403" i="37"/>
  <c r="W404" i="37"/>
  <c r="W405" i="37"/>
  <c r="W406" i="37"/>
  <c r="W407" i="37"/>
  <c r="W408" i="37"/>
  <c r="W409" i="37"/>
  <c r="W410" i="37"/>
  <c r="W411" i="37"/>
  <c r="W412" i="37"/>
  <c r="W413" i="37"/>
  <c r="W414" i="37"/>
  <c r="W415" i="37"/>
  <c r="W416" i="37"/>
  <c r="W417" i="37"/>
  <c r="W418" i="37"/>
  <c r="W419" i="37"/>
  <c r="W420" i="37"/>
  <c r="W421" i="37"/>
  <c r="W422" i="37"/>
  <c r="W423" i="37"/>
  <c r="W424" i="37"/>
  <c r="W425" i="37"/>
  <c r="W426" i="37"/>
  <c r="W427" i="37"/>
  <c r="W428" i="37"/>
  <c r="W429" i="37"/>
  <c r="W430" i="37"/>
  <c r="W431" i="37"/>
  <c r="W432" i="37"/>
  <c r="W433" i="37"/>
  <c r="W434" i="37"/>
  <c r="W435" i="37"/>
  <c r="W436" i="37"/>
  <c r="W437" i="37"/>
  <c r="W438" i="37"/>
  <c r="W439" i="37"/>
  <c r="W440" i="37"/>
  <c r="W441" i="37"/>
  <c r="W442" i="37"/>
  <c r="W443" i="37"/>
  <c r="W444" i="37"/>
  <c r="W445" i="37"/>
  <c r="W446" i="37"/>
  <c r="W447" i="37"/>
  <c r="W448" i="37"/>
  <c r="W449" i="37"/>
  <c r="W450" i="37"/>
  <c r="W451" i="37"/>
  <c r="W452" i="37"/>
  <c r="W453" i="37"/>
  <c r="W454" i="37"/>
  <c r="W455" i="37"/>
  <c r="W456" i="37"/>
  <c r="W457" i="37"/>
  <c r="W458" i="37"/>
  <c r="W459" i="37"/>
  <c r="W460" i="37"/>
  <c r="W461" i="37"/>
  <c r="W462" i="37"/>
  <c r="W463" i="37"/>
  <c r="W464" i="37"/>
  <c r="W465" i="37"/>
  <c r="W466" i="37"/>
  <c r="W467" i="37"/>
  <c r="W468" i="37"/>
  <c r="W469" i="37"/>
  <c r="W470" i="37"/>
  <c r="W471" i="37"/>
  <c r="W472" i="37"/>
  <c r="W473" i="37"/>
  <c r="W474" i="37"/>
  <c r="W475" i="37"/>
  <c r="W476" i="37"/>
  <c r="W477" i="37"/>
  <c r="W478" i="37"/>
  <c r="W479" i="37"/>
  <c r="W480" i="37"/>
  <c r="W481" i="37"/>
  <c r="W482" i="37"/>
  <c r="W483" i="37"/>
  <c r="W484" i="37"/>
  <c r="W485" i="37"/>
  <c r="W486" i="37"/>
  <c r="W487" i="37"/>
  <c r="W488" i="37"/>
  <c r="W489" i="37"/>
  <c r="W490" i="37"/>
  <c r="W491" i="37"/>
  <c r="W492" i="37"/>
  <c r="W493" i="37"/>
  <c r="W494" i="37"/>
  <c r="W495" i="37"/>
  <c r="W496" i="37"/>
  <c r="W497" i="37"/>
  <c r="W498" i="37"/>
  <c r="W499" i="37"/>
  <c r="W500" i="37"/>
  <c r="W501" i="37"/>
  <c r="W502" i="37"/>
  <c r="W503" i="37"/>
  <c r="W504" i="37"/>
  <c r="W505" i="37"/>
  <c r="W506" i="37"/>
  <c r="W507" i="37"/>
  <c r="W508" i="37"/>
  <c r="W509" i="37"/>
  <c r="W510" i="37"/>
  <c r="W511" i="37"/>
  <c r="W512" i="37"/>
  <c r="W513" i="37"/>
  <c r="W514" i="37"/>
  <c r="W515" i="37"/>
  <c r="W516" i="37"/>
  <c r="W517" i="37"/>
  <c r="W518" i="37"/>
  <c r="W519" i="37"/>
  <c r="W520" i="37"/>
  <c r="W521" i="37"/>
  <c r="W522" i="37"/>
  <c r="W523" i="37"/>
  <c r="W524" i="37"/>
  <c r="W525" i="37"/>
  <c r="W526" i="37"/>
  <c r="W527" i="37"/>
  <c r="W528" i="37"/>
  <c r="W529" i="37"/>
  <c r="W530" i="37"/>
  <c r="W531" i="37"/>
  <c r="W532" i="37"/>
  <c r="W533" i="37"/>
  <c r="W534" i="37"/>
  <c r="W535" i="37"/>
  <c r="W536" i="37"/>
  <c r="W537" i="37"/>
  <c r="W538" i="37"/>
  <c r="W539" i="37"/>
  <c r="W540" i="37"/>
  <c r="W541" i="37"/>
  <c r="W542" i="37"/>
  <c r="W543" i="37"/>
  <c r="W544" i="37"/>
  <c r="W545" i="37"/>
  <c r="W546" i="37"/>
  <c r="W547" i="37"/>
  <c r="W548" i="37"/>
  <c r="W549" i="37"/>
  <c r="W550" i="37"/>
  <c r="W551" i="37"/>
  <c r="W552" i="37"/>
  <c r="W553" i="37"/>
  <c r="W554" i="37"/>
  <c r="W555" i="37"/>
  <c r="W556" i="37"/>
  <c r="W557" i="37"/>
  <c r="W558" i="37"/>
  <c r="W559" i="37"/>
  <c r="W560" i="37"/>
  <c r="W561" i="37"/>
  <c r="W562" i="37"/>
  <c r="W563" i="37"/>
  <c r="W564" i="37"/>
  <c r="W565" i="37"/>
  <c r="W566" i="37"/>
  <c r="W567" i="37"/>
  <c r="W568" i="37"/>
  <c r="W569" i="37"/>
  <c r="W570" i="37"/>
  <c r="W571" i="37"/>
  <c r="W572" i="37"/>
  <c r="W573" i="37"/>
  <c r="W574" i="37"/>
  <c r="W575" i="37"/>
  <c r="W576" i="37"/>
  <c r="W577" i="37"/>
  <c r="W578" i="37"/>
  <c r="W579" i="37"/>
  <c r="W580" i="37"/>
  <c r="W581" i="37"/>
  <c r="W582" i="37"/>
  <c r="W583" i="37"/>
  <c r="W584" i="37"/>
  <c r="W585" i="37"/>
  <c r="W586" i="37"/>
  <c r="W587" i="37"/>
  <c r="W588" i="37"/>
  <c r="W589" i="37"/>
  <c r="W590" i="37"/>
  <c r="W591" i="37"/>
  <c r="W592" i="37"/>
  <c r="W593" i="37"/>
  <c r="W594" i="37"/>
  <c r="W595" i="37"/>
  <c r="W596" i="37"/>
  <c r="W597" i="37"/>
  <c r="W598" i="37"/>
  <c r="W599" i="37"/>
  <c r="W600" i="37"/>
  <c r="W601" i="37"/>
  <c r="W602" i="37"/>
  <c r="W603" i="37"/>
  <c r="W604" i="37"/>
  <c r="W605" i="37"/>
  <c r="W606" i="37"/>
  <c r="W607" i="37"/>
  <c r="W608" i="37"/>
  <c r="W609" i="37"/>
  <c r="W610" i="37"/>
  <c r="W611" i="37"/>
  <c r="W612" i="37"/>
  <c r="W613" i="37"/>
  <c r="W614" i="37"/>
  <c r="W615" i="37"/>
  <c r="W616" i="37"/>
  <c r="W617" i="37"/>
  <c r="W618" i="37"/>
  <c r="W619" i="37"/>
  <c r="W620" i="37"/>
  <c r="W621" i="37"/>
  <c r="W622" i="37"/>
  <c r="W623" i="37"/>
  <c r="W624" i="37"/>
  <c r="W625" i="37"/>
  <c r="W626" i="37"/>
  <c r="W627" i="37"/>
  <c r="W628" i="37"/>
  <c r="W629" i="37"/>
  <c r="W630" i="37"/>
  <c r="W631" i="37"/>
  <c r="W632" i="37"/>
  <c r="W633" i="37"/>
  <c r="W634" i="37"/>
  <c r="W635" i="37"/>
  <c r="W636" i="37"/>
  <c r="W637" i="37"/>
  <c r="W638" i="37"/>
  <c r="W639" i="37"/>
  <c r="W640" i="37"/>
  <c r="W641" i="37"/>
  <c r="W642" i="37"/>
  <c r="W643" i="37"/>
  <c r="W644" i="37"/>
  <c r="W645" i="37"/>
  <c r="W646" i="37"/>
  <c r="W647" i="37"/>
  <c r="W648" i="37"/>
  <c r="W649" i="37"/>
  <c r="W650" i="37"/>
  <c r="W651" i="37"/>
  <c r="W652" i="37"/>
  <c r="W653" i="37"/>
  <c r="W654" i="37"/>
  <c r="W655" i="37"/>
  <c r="W656" i="37"/>
  <c r="W657" i="37"/>
  <c r="W658" i="37"/>
  <c r="W659" i="37"/>
  <c r="W660" i="37"/>
  <c r="W661" i="37"/>
  <c r="W662" i="37"/>
  <c r="W663" i="37"/>
  <c r="W664" i="37"/>
  <c r="W665" i="37"/>
  <c r="W666" i="37"/>
  <c r="W667" i="37"/>
  <c r="W668" i="37"/>
  <c r="W669" i="37"/>
  <c r="W670" i="37"/>
  <c r="W671" i="37"/>
  <c r="W672" i="37"/>
  <c r="W673" i="37"/>
  <c r="W674" i="37"/>
  <c r="W675" i="37"/>
  <c r="W676" i="37"/>
  <c r="W677" i="37"/>
  <c r="W678" i="37"/>
  <c r="W679" i="37"/>
  <c r="W680" i="37"/>
  <c r="W681" i="37"/>
  <c r="W682" i="37"/>
  <c r="W683" i="37"/>
  <c r="W684" i="37"/>
  <c r="W685" i="37"/>
  <c r="W686" i="37"/>
  <c r="W687" i="37"/>
  <c r="W688" i="37"/>
  <c r="W689" i="37"/>
  <c r="W690" i="37"/>
  <c r="W691" i="37"/>
  <c r="W692" i="37"/>
  <c r="W693" i="37"/>
  <c r="W694" i="37"/>
  <c r="W695" i="37"/>
  <c r="W696" i="37"/>
  <c r="W697" i="37"/>
  <c r="W698" i="37"/>
  <c r="W699" i="37"/>
  <c r="W700" i="37"/>
  <c r="W701" i="37"/>
  <c r="W702" i="37"/>
  <c r="W703" i="37"/>
  <c r="W704" i="37"/>
  <c r="W705" i="37"/>
  <c r="W706" i="37"/>
  <c r="W707" i="37"/>
  <c r="W708" i="37"/>
  <c r="W709" i="37"/>
  <c r="W710" i="37"/>
  <c r="W711" i="37"/>
  <c r="W712" i="37"/>
  <c r="W713" i="37"/>
  <c r="W714" i="37"/>
  <c r="W715" i="37"/>
  <c r="W716" i="37"/>
  <c r="W717" i="37"/>
  <c r="W718" i="37"/>
  <c r="W719" i="37"/>
  <c r="W720" i="37"/>
  <c r="W721" i="37"/>
  <c r="W722" i="37"/>
  <c r="W723" i="37"/>
  <c r="W724" i="37"/>
  <c r="W725" i="37"/>
  <c r="W726" i="37"/>
  <c r="W727" i="37"/>
  <c r="W728" i="37"/>
  <c r="W729" i="37"/>
  <c r="W730" i="37"/>
  <c r="W731" i="37"/>
  <c r="W732" i="37"/>
  <c r="W733" i="37"/>
  <c r="W734" i="37"/>
  <c r="W735" i="37"/>
  <c r="W736" i="37"/>
  <c r="W737" i="37"/>
  <c r="W738" i="37"/>
  <c r="W739" i="37"/>
  <c r="W740" i="37"/>
  <c r="W741" i="37"/>
  <c r="W742" i="37"/>
  <c r="W743" i="37"/>
  <c r="W744" i="37"/>
  <c r="W745" i="37"/>
  <c r="W746" i="37"/>
  <c r="W747" i="37"/>
  <c r="W748" i="37"/>
  <c r="W749" i="37"/>
  <c r="W750" i="37"/>
  <c r="W751" i="37"/>
  <c r="W752" i="37"/>
  <c r="W753" i="37"/>
  <c r="W754" i="37"/>
  <c r="W755" i="37"/>
  <c r="W756" i="37"/>
  <c r="W757" i="37"/>
  <c r="W758" i="37"/>
  <c r="W759" i="37"/>
  <c r="W760" i="37"/>
  <c r="W761" i="37"/>
  <c r="W762" i="37"/>
  <c r="W763" i="37"/>
  <c r="W764" i="37"/>
  <c r="W765" i="37"/>
  <c r="W766" i="37"/>
  <c r="W767" i="37"/>
  <c r="W768" i="37"/>
  <c r="W769" i="37"/>
  <c r="W770" i="37"/>
  <c r="W771" i="37"/>
  <c r="W772" i="37"/>
  <c r="W773" i="37"/>
  <c r="W774" i="37"/>
  <c r="W775" i="37"/>
  <c r="W776" i="37"/>
  <c r="W777" i="37"/>
  <c r="W778" i="37"/>
  <c r="W779" i="37"/>
  <c r="W780" i="37"/>
  <c r="W781" i="37"/>
  <c r="W782" i="37"/>
  <c r="W783" i="37"/>
  <c r="W784" i="37"/>
  <c r="W785" i="37"/>
  <c r="W786" i="37"/>
  <c r="W787" i="37"/>
  <c r="W788" i="37"/>
  <c r="W789" i="37"/>
  <c r="W790" i="37"/>
  <c r="W791" i="37"/>
  <c r="W792" i="37"/>
  <c r="W793" i="37"/>
  <c r="W794" i="37"/>
  <c r="W795" i="37"/>
  <c r="W796" i="37"/>
  <c r="W797" i="37"/>
  <c r="W798" i="37"/>
  <c r="W799" i="37"/>
  <c r="W800" i="37"/>
  <c r="W801" i="37"/>
  <c r="W802" i="37"/>
  <c r="W803" i="37"/>
  <c r="W804" i="37"/>
  <c r="W805" i="37"/>
  <c r="W806" i="37"/>
  <c r="W807" i="37"/>
  <c r="W808" i="37"/>
  <c r="W809" i="37"/>
  <c r="W810" i="37"/>
  <c r="W811" i="37"/>
  <c r="W812" i="37"/>
  <c r="W813" i="37"/>
  <c r="W814" i="37"/>
  <c r="W815" i="37"/>
  <c r="W816" i="37"/>
  <c r="W817" i="37"/>
  <c r="W818" i="37"/>
  <c r="W819" i="37"/>
  <c r="W820" i="37"/>
  <c r="W821" i="37"/>
  <c r="W822" i="37"/>
  <c r="W823" i="37"/>
  <c r="W824" i="37"/>
  <c r="W825" i="37"/>
  <c r="W826" i="37"/>
  <c r="W827" i="37"/>
  <c r="W828" i="37"/>
  <c r="W829" i="37"/>
  <c r="W830" i="37"/>
  <c r="W831" i="37"/>
  <c r="W832" i="37"/>
  <c r="W833" i="37"/>
  <c r="W834" i="37"/>
  <c r="W835" i="37"/>
  <c r="W836" i="37"/>
  <c r="W837" i="37"/>
  <c r="W838" i="37"/>
  <c r="W839" i="37"/>
  <c r="W840" i="37"/>
  <c r="W841" i="37"/>
  <c r="W842" i="37"/>
  <c r="W843" i="37"/>
  <c r="W844" i="37"/>
  <c r="W845" i="37"/>
  <c r="W846" i="37"/>
  <c r="W847" i="37"/>
  <c r="W848" i="37"/>
  <c r="W849" i="37"/>
  <c r="W850" i="37"/>
  <c r="W851" i="37"/>
  <c r="W852" i="37"/>
  <c r="W853" i="37"/>
  <c r="W854" i="37"/>
  <c r="W855" i="37"/>
  <c r="W856" i="37"/>
  <c r="W857" i="37"/>
  <c r="W858" i="37"/>
  <c r="W859" i="37"/>
  <c r="W860" i="37"/>
  <c r="W861" i="37"/>
  <c r="W862" i="37"/>
  <c r="W863" i="37"/>
  <c r="W864" i="37"/>
  <c r="W865" i="37"/>
  <c r="W866" i="37"/>
  <c r="W867" i="37"/>
  <c r="W868" i="37"/>
  <c r="W869" i="37"/>
  <c r="W870" i="37"/>
  <c r="W871" i="37"/>
  <c r="W872" i="37"/>
  <c r="W873" i="37"/>
  <c r="W874" i="37"/>
  <c r="W875" i="37"/>
  <c r="W876" i="37"/>
  <c r="W877" i="37"/>
  <c r="W878" i="37"/>
  <c r="W879" i="37"/>
  <c r="W880" i="37"/>
  <c r="W881" i="37"/>
  <c r="W882" i="37"/>
  <c r="W883" i="37"/>
  <c r="W884" i="37"/>
  <c r="W885" i="37"/>
  <c r="W886" i="37"/>
  <c r="W887" i="37"/>
  <c r="W888" i="37"/>
  <c r="W889" i="37"/>
  <c r="W890" i="37"/>
  <c r="W891" i="37"/>
  <c r="W892" i="37"/>
  <c r="W893" i="37"/>
  <c r="W894" i="37"/>
  <c r="W895" i="37"/>
  <c r="W896" i="37"/>
  <c r="W897" i="37"/>
  <c r="W898" i="37"/>
  <c r="W899" i="37"/>
  <c r="W900" i="37"/>
  <c r="W901" i="37"/>
  <c r="W902" i="37"/>
  <c r="W903" i="37"/>
  <c r="W904" i="37"/>
  <c r="W905" i="37"/>
  <c r="W906" i="37"/>
  <c r="W907" i="37"/>
  <c r="W908" i="37"/>
  <c r="W909" i="37"/>
  <c r="W910" i="37"/>
  <c r="W911" i="37"/>
  <c r="W912" i="37"/>
  <c r="W913" i="37"/>
  <c r="W914" i="37"/>
  <c r="W915" i="37"/>
  <c r="W916" i="37"/>
  <c r="W917" i="37"/>
  <c r="W918" i="37"/>
  <c r="W919" i="37"/>
  <c r="W920" i="37"/>
  <c r="W921" i="37"/>
  <c r="W922" i="37"/>
  <c r="W923" i="37"/>
  <c r="W924" i="37"/>
  <c r="W925" i="37"/>
  <c r="W926" i="37"/>
  <c r="W927" i="37"/>
  <c r="W928" i="37"/>
  <c r="W929" i="37"/>
  <c r="W930" i="37"/>
  <c r="W931" i="37"/>
  <c r="W932" i="37"/>
  <c r="W933" i="37"/>
  <c r="W934" i="37"/>
  <c r="W935" i="37"/>
  <c r="W936" i="37"/>
  <c r="W937" i="37"/>
  <c r="W938" i="37"/>
  <c r="X7" i="37"/>
  <c r="X8" i="37"/>
  <c r="X9" i="37"/>
  <c r="X10" i="37"/>
  <c r="X11" i="37"/>
  <c r="X12" i="37"/>
  <c r="X13" i="37"/>
  <c r="X14" i="37"/>
  <c r="X15" i="37"/>
  <c r="X16" i="37"/>
  <c r="X17" i="37"/>
  <c r="X18" i="37"/>
  <c r="X19" i="37"/>
  <c r="X20" i="37"/>
  <c r="X21" i="37"/>
  <c r="X22" i="37"/>
  <c r="X23" i="37"/>
  <c r="X24" i="37"/>
  <c r="X25" i="37"/>
  <c r="X26" i="37"/>
  <c r="X27" i="37"/>
  <c r="X28" i="37"/>
  <c r="X29" i="37"/>
  <c r="X30" i="37"/>
  <c r="X31" i="37"/>
  <c r="X32" i="37"/>
  <c r="X33" i="37"/>
  <c r="X34" i="37"/>
  <c r="X35" i="37"/>
  <c r="X36" i="37"/>
  <c r="X37" i="37"/>
  <c r="X38" i="37"/>
  <c r="X39" i="37"/>
  <c r="X40" i="37"/>
  <c r="X41" i="37"/>
  <c r="X42" i="37"/>
  <c r="X43" i="37"/>
  <c r="X44" i="37"/>
  <c r="X45" i="37"/>
  <c r="X46" i="37"/>
  <c r="X47" i="37"/>
  <c r="X48" i="37"/>
  <c r="X49" i="37"/>
  <c r="X50" i="37"/>
  <c r="X51" i="37"/>
  <c r="X52" i="37"/>
  <c r="X53" i="37"/>
  <c r="X54" i="37"/>
  <c r="X55" i="37"/>
  <c r="X56" i="37"/>
  <c r="X57" i="37"/>
  <c r="X58" i="37"/>
  <c r="X59" i="37"/>
  <c r="X60" i="37"/>
  <c r="X61" i="37"/>
  <c r="X62" i="37"/>
  <c r="X63" i="37"/>
  <c r="X64" i="37"/>
  <c r="X65" i="37"/>
  <c r="X66" i="37"/>
  <c r="X67" i="37"/>
  <c r="X68" i="37"/>
  <c r="X69" i="37"/>
  <c r="X70" i="37"/>
  <c r="X71" i="37"/>
  <c r="X72" i="37"/>
  <c r="X73" i="37"/>
  <c r="X74" i="37"/>
  <c r="X75" i="37"/>
  <c r="X76" i="37"/>
  <c r="X77" i="37"/>
  <c r="X78" i="37"/>
  <c r="X79" i="37"/>
  <c r="X80" i="37"/>
  <c r="X81" i="37"/>
  <c r="X82" i="37"/>
  <c r="X83" i="37"/>
  <c r="X84" i="37"/>
  <c r="X85" i="37"/>
  <c r="X86" i="37"/>
  <c r="X87" i="37"/>
  <c r="X88" i="37"/>
  <c r="X89" i="37"/>
  <c r="X90" i="37"/>
  <c r="X91" i="37"/>
  <c r="X92" i="37"/>
  <c r="X93" i="37"/>
  <c r="X94" i="37"/>
  <c r="X95" i="37"/>
  <c r="X96" i="37"/>
  <c r="X97" i="37"/>
  <c r="X98" i="37"/>
  <c r="X99" i="37"/>
  <c r="X100" i="37"/>
  <c r="X101" i="37"/>
  <c r="X102" i="37"/>
  <c r="X103" i="37"/>
  <c r="X104" i="37"/>
  <c r="X105" i="37"/>
  <c r="X106" i="37"/>
  <c r="X107" i="37"/>
  <c r="X108" i="37"/>
  <c r="X109" i="37"/>
  <c r="X110" i="37"/>
  <c r="X111" i="37"/>
  <c r="X112" i="37"/>
  <c r="X113" i="37"/>
  <c r="X114" i="37"/>
  <c r="X115" i="37"/>
  <c r="X116" i="37"/>
  <c r="X117" i="37"/>
  <c r="X118" i="37"/>
  <c r="X119" i="37"/>
  <c r="X120" i="37"/>
  <c r="X121" i="37"/>
  <c r="X122" i="37"/>
  <c r="X123" i="37"/>
  <c r="X124" i="37"/>
  <c r="X125" i="37"/>
  <c r="X126" i="37"/>
  <c r="X127" i="37"/>
  <c r="X128" i="37"/>
  <c r="X129" i="37"/>
  <c r="X130" i="37"/>
  <c r="X131" i="37"/>
  <c r="X132" i="37"/>
  <c r="X133" i="37"/>
  <c r="X134" i="37"/>
  <c r="X135" i="37"/>
  <c r="X136" i="37"/>
  <c r="X137" i="37"/>
  <c r="X138" i="37"/>
  <c r="X139" i="37"/>
  <c r="X140" i="37"/>
  <c r="X141" i="37"/>
  <c r="X142" i="37"/>
  <c r="X143" i="37"/>
  <c r="X144" i="37"/>
  <c r="X145" i="37"/>
  <c r="X146" i="37"/>
  <c r="X147" i="37"/>
  <c r="X148" i="37"/>
  <c r="X149" i="37"/>
  <c r="X150" i="37"/>
  <c r="X151" i="37"/>
  <c r="X152" i="37"/>
  <c r="X153" i="37"/>
  <c r="X154" i="37"/>
  <c r="X155" i="37"/>
  <c r="X156" i="37"/>
  <c r="X157" i="37"/>
  <c r="X158" i="37"/>
  <c r="X159" i="37"/>
  <c r="X160" i="37"/>
  <c r="X161" i="37"/>
  <c r="X162" i="37"/>
  <c r="X163" i="37"/>
  <c r="X164" i="37"/>
  <c r="X165" i="37"/>
  <c r="X166" i="37"/>
  <c r="X167" i="37"/>
  <c r="X168" i="37"/>
  <c r="X169" i="37"/>
  <c r="X170" i="37"/>
  <c r="X171" i="37"/>
  <c r="X172" i="37"/>
  <c r="X173" i="37"/>
  <c r="X174" i="37"/>
  <c r="X175" i="37"/>
  <c r="X176" i="37"/>
  <c r="X177" i="37"/>
  <c r="X178" i="37"/>
  <c r="X179" i="37"/>
  <c r="X180" i="37"/>
  <c r="X181" i="37"/>
  <c r="X182" i="37"/>
  <c r="X183" i="37"/>
  <c r="X184" i="37"/>
  <c r="X185" i="37"/>
  <c r="X186" i="37"/>
  <c r="X187" i="37"/>
  <c r="X188" i="37"/>
  <c r="X189" i="37"/>
  <c r="X190" i="37"/>
  <c r="X191" i="37"/>
  <c r="X192" i="37"/>
  <c r="X193" i="37"/>
  <c r="X194" i="37"/>
  <c r="X195" i="37"/>
  <c r="X196" i="37"/>
  <c r="X197" i="37"/>
  <c r="X198" i="37"/>
  <c r="X199" i="37"/>
  <c r="X200" i="37"/>
  <c r="X201" i="37"/>
  <c r="X202" i="37"/>
  <c r="X203" i="37"/>
  <c r="X204" i="37"/>
  <c r="X205" i="37"/>
  <c r="X206" i="37"/>
  <c r="X207" i="37"/>
  <c r="X208" i="37"/>
  <c r="X209" i="37"/>
  <c r="X210" i="37"/>
  <c r="X211" i="37"/>
  <c r="X212" i="37"/>
  <c r="X213" i="37"/>
  <c r="X214" i="37"/>
  <c r="X215" i="37"/>
  <c r="X216" i="37"/>
  <c r="X217" i="37"/>
  <c r="X218" i="37"/>
  <c r="X219" i="37"/>
  <c r="X220" i="37"/>
  <c r="X221" i="37"/>
  <c r="X222" i="37"/>
  <c r="X223" i="37"/>
  <c r="X224" i="37"/>
  <c r="X225" i="37"/>
  <c r="X226" i="37"/>
  <c r="X227" i="37"/>
  <c r="X228" i="37"/>
  <c r="X229" i="37"/>
  <c r="X230" i="37"/>
  <c r="X231" i="37"/>
  <c r="X232" i="37"/>
  <c r="X233" i="37"/>
  <c r="X234" i="37"/>
  <c r="X235" i="37"/>
  <c r="X236" i="37"/>
  <c r="X237" i="37"/>
  <c r="X238" i="37"/>
  <c r="X239" i="37"/>
  <c r="X240" i="37"/>
  <c r="X241" i="37"/>
  <c r="X242" i="37"/>
  <c r="X243" i="37"/>
  <c r="X244" i="37"/>
  <c r="X245" i="37"/>
  <c r="X246" i="37"/>
  <c r="X247" i="37"/>
  <c r="X248" i="37"/>
  <c r="X249" i="37"/>
  <c r="X250" i="37"/>
  <c r="X251" i="37"/>
  <c r="X252" i="37"/>
  <c r="X253" i="37"/>
  <c r="X254" i="37"/>
  <c r="X255" i="37"/>
  <c r="X256" i="37"/>
  <c r="X257" i="37"/>
  <c r="X258" i="37"/>
  <c r="X259" i="37"/>
  <c r="X260" i="37"/>
  <c r="X261" i="37"/>
  <c r="X262" i="37"/>
  <c r="X263" i="37"/>
  <c r="X264" i="37"/>
  <c r="X265" i="37"/>
  <c r="X266" i="37"/>
  <c r="X267" i="37"/>
  <c r="X268" i="37"/>
  <c r="X269" i="37"/>
  <c r="X270" i="37"/>
  <c r="X271" i="37"/>
  <c r="X272" i="37"/>
  <c r="X273" i="37"/>
  <c r="X274" i="37"/>
  <c r="X275" i="37"/>
  <c r="X276" i="37"/>
  <c r="X277" i="37"/>
  <c r="X278" i="37"/>
  <c r="X279" i="37"/>
  <c r="X280" i="37"/>
  <c r="X281" i="37"/>
  <c r="X282" i="37"/>
  <c r="X283" i="37"/>
  <c r="X284" i="37"/>
  <c r="X285" i="37"/>
  <c r="X286" i="37"/>
  <c r="X287" i="37"/>
  <c r="X288" i="37"/>
  <c r="X289" i="37"/>
  <c r="X290" i="37"/>
  <c r="X291" i="37"/>
  <c r="X292" i="37"/>
  <c r="X293" i="37"/>
  <c r="X294" i="37"/>
  <c r="X295" i="37"/>
  <c r="X296" i="37"/>
  <c r="X297" i="37"/>
  <c r="X298" i="37"/>
  <c r="X299" i="37"/>
  <c r="X300" i="37"/>
  <c r="X301" i="37"/>
  <c r="X302" i="37"/>
  <c r="X303" i="37"/>
  <c r="X304" i="37"/>
  <c r="X305" i="37"/>
  <c r="X306" i="37"/>
  <c r="X307" i="37"/>
  <c r="X308" i="37"/>
  <c r="X309" i="37"/>
  <c r="X310" i="37"/>
  <c r="X311" i="37"/>
  <c r="X312" i="37"/>
  <c r="X313" i="37"/>
  <c r="X314" i="37"/>
  <c r="X315" i="37"/>
  <c r="X316" i="37"/>
  <c r="X317" i="37"/>
  <c r="X318" i="37"/>
  <c r="X319" i="37"/>
  <c r="X320" i="37"/>
  <c r="X321" i="37"/>
  <c r="X322" i="37"/>
  <c r="X323" i="37"/>
  <c r="X324" i="37"/>
  <c r="X325" i="37"/>
  <c r="X326" i="37"/>
  <c r="X327" i="37"/>
  <c r="X328" i="37"/>
  <c r="X329" i="37"/>
  <c r="X330" i="37"/>
  <c r="X331" i="37"/>
  <c r="X332" i="37"/>
  <c r="X333" i="37"/>
  <c r="X334" i="37"/>
  <c r="X335" i="37"/>
  <c r="X336" i="37"/>
  <c r="X337" i="37"/>
  <c r="X338" i="37"/>
  <c r="X339" i="37"/>
  <c r="X340" i="37"/>
  <c r="X341" i="37"/>
  <c r="X342" i="37"/>
  <c r="X343" i="37"/>
  <c r="X344" i="37"/>
  <c r="X345" i="37"/>
  <c r="X346" i="37"/>
  <c r="X347" i="37"/>
  <c r="X348" i="37"/>
  <c r="X349" i="37"/>
  <c r="X350" i="37"/>
  <c r="X351" i="37"/>
  <c r="X352" i="37"/>
  <c r="X353" i="37"/>
  <c r="X354" i="37"/>
  <c r="X355" i="37"/>
  <c r="X356" i="37"/>
  <c r="X357" i="37"/>
  <c r="X358" i="37"/>
  <c r="X359" i="37"/>
  <c r="X360" i="37"/>
  <c r="X361" i="37"/>
  <c r="X362" i="37"/>
  <c r="X363" i="37"/>
  <c r="X364" i="37"/>
  <c r="X365" i="37"/>
  <c r="X366" i="37"/>
  <c r="X367" i="37"/>
  <c r="X368" i="37"/>
  <c r="X369" i="37"/>
  <c r="X370" i="37"/>
  <c r="X371" i="37"/>
  <c r="X372" i="37"/>
  <c r="X373" i="37"/>
  <c r="X374" i="37"/>
  <c r="X375" i="37"/>
  <c r="X376" i="37"/>
  <c r="X377" i="37"/>
  <c r="X378" i="37"/>
  <c r="X379" i="37"/>
  <c r="X380" i="37"/>
  <c r="X381" i="37"/>
  <c r="X382" i="37"/>
  <c r="X383" i="37"/>
  <c r="X384" i="37"/>
  <c r="X385" i="37"/>
  <c r="X386" i="37"/>
  <c r="X387" i="37"/>
  <c r="X388" i="37"/>
  <c r="X389" i="37"/>
  <c r="X390" i="37"/>
  <c r="X391" i="37"/>
  <c r="X392" i="37"/>
  <c r="X393" i="37"/>
  <c r="X394" i="37"/>
  <c r="X395" i="37"/>
  <c r="X396" i="37"/>
  <c r="X397" i="37"/>
  <c r="X398" i="37"/>
  <c r="X399" i="37"/>
  <c r="X400" i="37"/>
  <c r="X401" i="37"/>
  <c r="X402" i="37"/>
  <c r="X403" i="37"/>
  <c r="X404" i="37"/>
  <c r="X405" i="37"/>
  <c r="X406" i="37"/>
  <c r="X407" i="37"/>
  <c r="X408" i="37"/>
  <c r="X409" i="37"/>
  <c r="X410" i="37"/>
  <c r="X411" i="37"/>
  <c r="X412" i="37"/>
  <c r="X413" i="37"/>
  <c r="X414" i="37"/>
  <c r="X415" i="37"/>
  <c r="X416" i="37"/>
  <c r="X417" i="37"/>
  <c r="X418" i="37"/>
  <c r="X419" i="37"/>
  <c r="X420" i="37"/>
  <c r="X421" i="37"/>
  <c r="X422" i="37"/>
  <c r="X423" i="37"/>
  <c r="X424" i="37"/>
  <c r="X425" i="37"/>
  <c r="X426" i="37"/>
  <c r="X427" i="37"/>
  <c r="X428" i="37"/>
  <c r="X429" i="37"/>
  <c r="X430" i="37"/>
  <c r="X431" i="37"/>
  <c r="X432" i="37"/>
  <c r="X433" i="37"/>
  <c r="X434" i="37"/>
  <c r="X435" i="37"/>
  <c r="X436" i="37"/>
  <c r="X437" i="37"/>
  <c r="X438" i="37"/>
  <c r="X439" i="37"/>
  <c r="X440" i="37"/>
  <c r="X441" i="37"/>
  <c r="X442" i="37"/>
  <c r="X443" i="37"/>
  <c r="X444" i="37"/>
  <c r="X445" i="37"/>
  <c r="X446" i="37"/>
  <c r="X447" i="37"/>
  <c r="X448" i="37"/>
  <c r="X449" i="37"/>
  <c r="X450" i="37"/>
  <c r="X451" i="37"/>
  <c r="X452" i="37"/>
  <c r="X453" i="37"/>
  <c r="X454" i="37"/>
  <c r="X455" i="37"/>
  <c r="X456" i="37"/>
  <c r="X457" i="37"/>
  <c r="X458" i="37"/>
  <c r="X459" i="37"/>
  <c r="X460" i="37"/>
  <c r="X461" i="37"/>
  <c r="X462" i="37"/>
  <c r="X463" i="37"/>
  <c r="X464" i="37"/>
  <c r="X465" i="37"/>
  <c r="X466" i="37"/>
  <c r="X467" i="37"/>
  <c r="X468" i="37"/>
  <c r="X469" i="37"/>
  <c r="X470" i="37"/>
  <c r="X471" i="37"/>
  <c r="X472" i="37"/>
  <c r="X473" i="37"/>
  <c r="X474" i="37"/>
  <c r="X475" i="37"/>
  <c r="X476" i="37"/>
  <c r="X477" i="37"/>
  <c r="X478" i="37"/>
  <c r="X479" i="37"/>
  <c r="X480" i="37"/>
  <c r="X481" i="37"/>
  <c r="X482" i="37"/>
  <c r="X483" i="37"/>
  <c r="X484" i="37"/>
  <c r="X485" i="37"/>
  <c r="X486" i="37"/>
  <c r="X487" i="37"/>
  <c r="X488" i="37"/>
  <c r="X489" i="37"/>
  <c r="X490" i="37"/>
  <c r="X491" i="37"/>
  <c r="X492" i="37"/>
  <c r="X493" i="37"/>
  <c r="X494" i="37"/>
  <c r="X495" i="37"/>
  <c r="X496" i="37"/>
  <c r="X497" i="37"/>
  <c r="X498" i="37"/>
  <c r="X499" i="37"/>
  <c r="X500" i="37"/>
  <c r="X501" i="37"/>
  <c r="X502" i="37"/>
  <c r="X503" i="37"/>
  <c r="X504" i="37"/>
  <c r="X505" i="37"/>
  <c r="X506" i="37"/>
  <c r="X507" i="37"/>
  <c r="X508" i="37"/>
  <c r="X509" i="37"/>
  <c r="X510" i="37"/>
  <c r="X511" i="37"/>
  <c r="X512" i="37"/>
  <c r="X513" i="37"/>
  <c r="X514" i="37"/>
  <c r="X515" i="37"/>
  <c r="X516" i="37"/>
  <c r="X517" i="37"/>
  <c r="X518" i="37"/>
  <c r="X519" i="37"/>
  <c r="X520" i="37"/>
  <c r="X521" i="37"/>
  <c r="X522" i="37"/>
  <c r="X523" i="37"/>
  <c r="X524" i="37"/>
  <c r="X525" i="37"/>
  <c r="X526" i="37"/>
  <c r="X527" i="37"/>
  <c r="X528" i="37"/>
  <c r="X529" i="37"/>
  <c r="X530" i="37"/>
  <c r="X531" i="37"/>
  <c r="X532" i="37"/>
  <c r="X533" i="37"/>
  <c r="X534" i="37"/>
  <c r="X535" i="37"/>
  <c r="X536" i="37"/>
  <c r="X537" i="37"/>
  <c r="X538" i="37"/>
  <c r="X539" i="37"/>
  <c r="X540" i="37"/>
  <c r="X541" i="37"/>
  <c r="X542" i="37"/>
  <c r="X543" i="37"/>
  <c r="X544" i="37"/>
  <c r="X545" i="37"/>
  <c r="X546" i="37"/>
  <c r="X547" i="37"/>
  <c r="X548" i="37"/>
  <c r="X549" i="37"/>
  <c r="X550" i="37"/>
  <c r="X551" i="37"/>
  <c r="X552" i="37"/>
  <c r="X553" i="37"/>
  <c r="X554" i="37"/>
  <c r="X555" i="37"/>
  <c r="X556" i="37"/>
  <c r="X557" i="37"/>
  <c r="X558" i="37"/>
  <c r="X559" i="37"/>
  <c r="X560" i="37"/>
  <c r="X561" i="37"/>
  <c r="X562" i="37"/>
  <c r="X563" i="37"/>
  <c r="X564" i="37"/>
  <c r="X565" i="37"/>
  <c r="X566" i="37"/>
  <c r="X567" i="37"/>
  <c r="X568" i="37"/>
  <c r="X569" i="37"/>
  <c r="X570" i="37"/>
  <c r="X571" i="37"/>
  <c r="X572" i="37"/>
  <c r="X573" i="37"/>
  <c r="X574" i="37"/>
  <c r="X575" i="37"/>
  <c r="X576" i="37"/>
  <c r="X577" i="37"/>
  <c r="X578" i="37"/>
  <c r="X579" i="37"/>
  <c r="X580" i="37"/>
  <c r="X581" i="37"/>
  <c r="X582" i="37"/>
  <c r="X583" i="37"/>
  <c r="X584" i="37"/>
  <c r="X585" i="37"/>
  <c r="X586" i="37"/>
  <c r="X587" i="37"/>
  <c r="X588" i="37"/>
  <c r="X589" i="37"/>
  <c r="X590" i="37"/>
  <c r="X591" i="37"/>
  <c r="X592" i="37"/>
  <c r="X593" i="37"/>
  <c r="X594" i="37"/>
  <c r="X595" i="37"/>
  <c r="X596" i="37"/>
  <c r="X597" i="37"/>
  <c r="X598" i="37"/>
  <c r="X599" i="37"/>
  <c r="X600" i="37"/>
  <c r="X601" i="37"/>
  <c r="X602" i="37"/>
  <c r="X603" i="37"/>
  <c r="X604" i="37"/>
  <c r="X605" i="37"/>
  <c r="X606" i="37"/>
  <c r="X607" i="37"/>
  <c r="X608" i="37"/>
  <c r="X609" i="37"/>
  <c r="X610" i="37"/>
  <c r="X611" i="37"/>
  <c r="X612" i="37"/>
  <c r="X613" i="37"/>
  <c r="X614" i="37"/>
  <c r="X615" i="37"/>
  <c r="X616" i="37"/>
  <c r="X617" i="37"/>
  <c r="X618" i="37"/>
  <c r="X619" i="37"/>
  <c r="X620" i="37"/>
  <c r="X621" i="37"/>
  <c r="X622" i="37"/>
  <c r="X623" i="37"/>
  <c r="X624" i="37"/>
  <c r="X625" i="37"/>
  <c r="X626" i="37"/>
  <c r="X627" i="37"/>
  <c r="X628" i="37"/>
  <c r="X629" i="37"/>
  <c r="X630" i="37"/>
  <c r="X631" i="37"/>
  <c r="X632" i="37"/>
  <c r="X633" i="37"/>
  <c r="X634" i="37"/>
  <c r="X635" i="37"/>
  <c r="X636" i="37"/>
  <c r="X637" i="37"/>
  <c r="X638" i="37"/>
  <c r="X639" i="37"/>
  <c r="X640" i="37"/>
  <c r="X641" i="37"/>
  <c r="X642" i="37"/>
  <c r="X643" i="37"/>
  <c r="X644" i="37"/>
  <c r="X645" i="37"/>
  <c r="X646" i="37"/>
  <c r="X647" i="37"/>
  <c r="X648" i="37"/>
  <c r="X649" i="37"/>
  <c r="X650" i="37"/>
  <c r="X651" i="37"/>
  <c r="X652" i="37"/>
  <c r="X653" i="37"/>
  <c r="X654" i="37"/>
  <c r="X655" i="37"/>
  <c r="X656" i="37"/>
  <c r="X657" i="37"/>
  <c r="X658" i="37"/>
  <c r="X659" i="37"/>
  <c r="X660" i="37"/>
  <c r="X661" i="37"/>
  <c r="X662" i="37"/>
  <c r="X663" i="37"/>
  <c r="X664" i="37"/>
  <c r="X665" i="37"/>
  <c r="X666" i="37"/>
  <c r="X667" i="37"/>
  <c r="X668" i="37"/>
  <c r="X669" i="37"/>
  <c r="X670" i="37"/>
  <c r="X671" i="37"/>
  <c r="X672" i="37"/>
  <c r="X673" i="37"/>
  <c r="X674" i="37"/>
  <c r="X675" i="37"/>
  <c r="X676" i="37"/>
  <c r="X677" i="37"/>
  <c r="X678" i="37"/>
  <c r="X679" i="37"/>
  <c r="X680" i="37"/>
  <c r="X681" i="37"/>
  <c r="X682" i="37"/>
  <c r="X683" i="37"/>
  <c r="X684" i="37"/>
  <c r="X685" i="37"/>
  <c r="X686" i="37"/>
  <c r="X687" i="37"/>
  <c r="X688" i="37"/>
  <c r="X689" i="37"/>
  <c r="X690" i="37"/>
  <c r="X691" i="37"/>
  <c r="X692" i="37"/>
  <c r="X693" i="37"/>
  <c r="X694" i="37"/>
  <c r="X695" i="37"/>
  <c r="X696" i="37"/>
  <c r="X697" i="37"/>
  <c r="X698" i="37"/>
  <c r="X699" i="37"/>
  <c r="X700" i="37"/>
  <c r="X701" i="37"/>
  <c r="X702" i="37"/>
  <c r="X703" i="37"/>
  <c r="X704" i="37"/>
  <c r="X705" i="37"/>
  <c r="X706" i="37"/>
  <c r="X707" i="37"/>
  <c r="X708" i="37"/>
  <c r="X709" i="37"/>
  <c r="X710" i="37"/>
  <c r="X711" i="37"/>
  <c r="X712" i="37"/>
  <c r="X713" i="37"/>
  <c r="X714" i="37"/>
  <c r="X715" i="37"/>
  <c r="X716" i="37"/>
  <c r="X717" i="37"/>
  <c r="X718" i="37"/>
  <c r="X719" i="37"/>
  <c r="X720" i="37"/>
  <c r="X721" i="37"/>
  <c r="X722" i="37"/>
  <c r="X723" i="37"/>
  <c r="X724" i="37"/>
  <c r="X725" i="37"/>
  <c r="X726" i="37"/>
  <c r="X727" i="37"/>
  <c r="X728" i="37"/>
  <c r="X729" i="37"/>
  <c r="X730" i="37"/>
  <c r="X731" i="37"/>
  <c r="X732" i="37"/>
  <c r="X733" i="37"/>
  <c r="X734" i="37"/>
  <c r="X735" i="37"/>
  <c r="X736" i="37"/>
  <c r="X737" i="37"/>
  <c r="X738" i="37"/>
  <c r="X739" i="37"/>
  <c r="X740" i="37"/>
  <c r="X741" i="37"/>
  <c r="X742" i="37"/>
  <c r="X743" i="37"/>
  <c r="X744" i="37"/>
  <c r="X745" i="37"/>
  <c r="X746" i="37"/>
  <c r="X747" i="37"/>
  <c r="X748" i="37"/>
  <c r="X749" i="37"/>
  <c r="X750" i="37"/>
  <c r="X751" i="37"/>
  <c r="X752" i="37"/>
  <c r="X753" i="37"/>
  <c r="X754" i="37"/>
  <c r="X755" i="37"/>
  <c r="X756" i="37"/>
  <c r="X757" i="37"/>
  <c r="X758" i="37"/>
  <c r="X759" i="37"/>
  <c r="X760" i="37"/>
  <c r="X761" i="37"/>
  <c r="X762" i="37"/>
  <c r="X763" i="37"/>
  <c r="X764" i="37"/>
  <c r="X765" i="37"/>
  <c r="X766" i="37"/>
  <c r="X767" i="37"/>
  <c r="X768" i="37"/>
  <c r="X769" i="37"/>
  <c r="X770" i="37"/>
  <c r="X771" i="37"/>
  <c r="X772" i="37"/>
  <c r="X773" i="37"/>
  <c r="X774" i="37"/>
  <c r="X775" i="37"/>
  <c r="X776" i="37"/>
  <c r="X777" i="37"/>
  <c r="X778" i="37"/>
  <c r="X779" i="37"/>
  <c r="X780" i="37"/>
  <c r="X781" i="37"/>
  <c r="X782" i="37"/>
  <c r="X783" i="37"/>
  <c r="X784" i="37"/>
  <c r="X785" i="37"/>
  <c r="X786" i="37"/>
  <c r="X787" i="37"/>
  <c r="X788" i="37"/>
  <c r="X789" i="37"/>
  <c r="X790" i="37"/>
  <c r="X791" i="37"/>
  <c r="X792" i="37"/>
  <c r="X793" i="37"/>
  <c r="X794" i="37"/>
  <c r="X795" i="37"/>
  <c r="X796" i="37"/>
  <c r="X797" i="37"/>
  <c r="X798" i="37"/>
  <c r="X799" i="37"/>
  <c r="X800" i="37"/>
  <c r="X801" i="37"/>
  <c r="X802" i="37"/>
  <c r="X803" i="37"/>
  <c r="X804" i="37"/>
  <c r="X805" i="37"/>
  <c r="X806" i="37"/>
  <c r="X807" i="37"/>
  <c r="X808" i="37"/>
  <c r="X809" i="37"/>
  <c r="X810" i="37"/>
  <c r="X811" i="37"/>
  <c r="X812" i="37"/>
  <c r="X813" i="37"/>
  <c r="X814" i="37"/>
  <c r="X815" i="37"/>
  <c r="X816" i="37"/>
  <c r="X817" i="37"/>
  <c r="X818" i="37"/>
  <c r="X819" i="37"/>
  <c r="X820" i="37"/>
  <c r="X821" i="37"/>
  <c r="X822" i="37"/>
  <c r="X823" i="37"/>
  <c r="X824" i="37"/>
  <c r="X825" i="37"/>
  <c r="X826" i="37"/>
  <c r="X827" i="37"/>
  <c r="X828" i="37"/>
  <c r="X829" i="37"/>
  <c r="X830" i="37"/>
  <c r="X831" i="37"/>
  <c r="X832" i="37"/>
  <c r="X833" i="37"/>
  <c r="X834" i="37"/>
  <c r="X835" i="37"/>
  <c r="X836" i="37"/>
  <c r="X837" i="37"/>
  <c r="X838" i="37"/>
  <c r="X839" i="37"/>
  <c r="X840" i="37"/>
  <c r="X841" i="37"/>
  <c r="X842" i="37"/>
  <c r="X843" i="37"/>
  <c r="X844" i="37"/>
  <c r="X845" i="37"/>
  <c r="X846" i="37"/>
  <c r="X847" i="37"/>
  <c r="X848" i="37"/>
  <c r="X849" i="37"/>
  <c r="X850" i="37"/>
  <c r="X851" i="37"/>
  <c r="X852" i="37"/>
  <c r="X853" i="37"/>
  <c r="X854" i="37"/>
  <c r="X855" i="37"/>
  <c r="X856" i="37"/>
  <c r="X857" i="37"/>
  <c r="X858" i="37"/>
  <c r="X859" i="37"/>
  <c r="X860" i="37"/>
  <c r="X861" i="37"/>
  <c r="X862" i="37"/>
  <c r="X863" i="37"/>
  <c r="X864" i="37"/>
  <c r="X865" i="37"/>
  <c r="X866" i="37"/>
  <c r="X867" i="37"/>
  <c r="X868" i="37"/>
  <c r="X869" i="37"/>
  <c r="X870" i="37"/>
  <c r="X871" i="37"/>
  <c r="X872" i="37"/>
  <c r="X873" i="37"/>
  <c r="X874" i="37"/>
  <c r="X875" i="37"/>
  <c r="X876" i="37"/>
  <c r="X877" i="37"/>
  <c r="X878" i="37"/>
  <c r="X879" i="37"/>
  <c r="X880" i="37"/>
  <c r="X881" i="37"/>
  <c r="X882" i="37"/>
  <c r="X883" i="37"/>
  <c r="X884" i="37"/>
  <c r="X885" i="37"/>
  <c r="X886" i="37"/>
  <c r="X887" i="37"/>
  <c r="X888" i="37"/>
  <c r="X889" i="37"/>
  <c r="X890" i="37"/>
  <c r="X891" i="37"/>
  <c r="X892" i="37"/>
  <c r="X893" i="37"/>
  <c r="X894" i="37"/>
  <c r="X895" i="37"/>
  <c r="X896" i="37"/>
  <c r="X897" i="37"/>
  <c r="X898" i="37"/>
  <c r="X899" i="37"/>
  <c r="X900" i="37"/>
  <c r="X901" i="37"/>
  <c r="X902" i="37"/>
  <c r="X903" i="37"/>
  <c r="X904" i="37"/>
  <c r="X905" i="37"/>
  <c r="X906" i="37"/>
  <c r="X907" i="37"/>
  <c r="X908" i="37"/>
  <c r="X909" i="37"/>
  <c r="X910" i="37"/>
  <c r="X911" i="37"/>
  <c r="X912" i="37"/>
  <c r="X913" i="37"/>
  <c r="X914" i="37"/>
  <c r="X915" i="37"/>
  <c r="X916" i="37"/>
  <c r="X917" i="37"/>
  <c r="X918" i="37"/>
  <c r="X919" i="37"/>
  <c r="X920" i="37"/>
  <c r="X921" i="37"/>
  <c r="X922" i="37"/>
  <c r="X923" i="37"/>
  <c r="X924" i="37"/>
  <c r="X925" i="37"/>
  <c r="X926" i="37"/>
  <c r="X927" i="37"/>
  <c r="X928" i="37"/>
  <c r="X929" i="37"/>
  <c r="X930" i="37"/>
  <c r="X931" i="37"/>
  <c r="X932" i="37"/>
  <c r="X933" i="37"/>
  <c r="X934" i="37"/>
  <c r="X935" i="37"/>
  <c r="X936" i="37"/>
  <c r="X937" i="37"/>
  <c r="X938" i="37"/>
  <c r="D128" i="27"/>
  <c r="E128" i="27"/>
  <c r="F128" i="27"/>
  <c r="L50" i="27"/>
  <c r="L51" i="27"/>
  <c r="L52" i="27"/>
  <c r="L53" i="27"/>
  <c r="L54" i="27"/>
  <c r="L55" i="27"/>
  <c r="L56" i="27"/>
  <c r="L57" i="27"/>
  <c r="L58" i="27"/>
  <c r="L59" i="27"/>
  <c r="L60" i="27"/>
  <c r="L61" i="27"/>
  <c r="L62" i="27"/>
  <c r="L63" i="27"/>
  <c r="L64" i="27"/>
  <c r="L65" i="27"/>
  <c r="L66" i="27"/>
  <c r="L67" i="27"/>
  <c r="L68" i="27"/>
  <c r="L69" i="27"/>
  <c r="L70" i="27"/>
  <c r="L71" i="27"/>
  <c r="L72" i="27"/>
  <c r="L73" i="27"/>
  <c r="L74" i="27"/>
  <c r="L75" i="27"/>
  <c r="L76" i="27"/>
  <c r="L77" i="27"/>
  <c r="L78" i="27"/>
  <c r="L79" i="27"/>
  <c r="L80" i="27"/>
  <c r="L81" i="27"/>
  <c r="L82" i="27"/>
  <c r="L83" i="27"/>
  <c r="L84" i="27"/>
  <c r="L85" i="27"/>
  <c r="L86" i="27"/>
  <c r="L87" i="27"/>
  <c r="L88" i="27"/>
  <c r="L89" i="27"/>
  <c r="L90" i="27"/>
  <c r="L91" i="27"/>
  <c r="L92" i="27"/>
  <c r="L93" i="27"/>
  <c r="L94" i="27"/>
  <c r="L95" i="27"/>
  <c r="L96" i="27"/>
  <c r="L97" i="27"/>
  <c r="L98" i="27"/>
  <c r="L99" i="27"/>
  <c r="L100" i="27"/>
  <c r="L101" i="27"/>
  <c r="L102" i="27"/>
  <c r="L103" i="27"/>
  <c r="L104" i="27"/>
  <c r="L105" i="27"/>
  <c r="L106" i="27"/>
  <c r="L107" i="27"/>
  <c r="L108" i="27"/>
  <c r="L109" i="27"/>
  <c r="L110" i="27"/>
  <c r="L111" i="27"/>
  <c r="L112" i="27"/>
  <c r="L113" i="27"/>
  <c r="L114" i="27"/>
  <c r="L115" i="27"/>
  <c r="L116" i="27"/>
  <c r="L117" i="27"/>
  <c r="L118" i="27"/>
  <c r="L119" i="27"/>
  <c r="L120" i="27"/>
  <c r="L121" i="27"/>
  <c r="L122" i="27"/>
  <c r="L123" i="27"/>
  <c r="L124" i="27"/>
  <c r="L125" i="27"/>
  <c r="L126" i="27"/>
  <c r="L127" i="27"/>
  <c r="E13" i="27"/>
  <c r="D13" i="27"/>
  <c r="E20" i="27" a="1"/>
  <c r="E20" i="27" s="1"/>
  <c r="E21" i="27" a="1"/>
  <c r="E21" i="27" s="1"/>
  <c r="D21" i="27" a="1"/>
  <c r="D21" i="27" s="1"/>
  <c r="C21" i="27" a="1"/>
  <c r="C21" i="27" s="1"/>
  <c r="E19" i="27" a="1"/>
  <c r="E19" i="27" s="1"/>
  <c r="C19" i="27" a="1"/>
  <c r="C19" i="27" s="1"/>
  <c r="AG85" i="27"/>
  <c r="AF85" i="27" s="1"/>
  <c r="AI85" i="27" s="1"/>
  <c r="C128" i="27"/>
  <c r="K128" i="27"/>
  <c r="AH72" i="27"/>
  <c r="AH54" i="27"/>
  <c r="AH55" i="27"/>
  <c r="AH56" i="27"/>
  <c r="AH57" i="27"/>
  <c r="AH58" i="27"/>
  <c r="AH59" i="27"/>
  <c r="AH60" i="27"/>
  <c r="AH61" i="27"/>
  <c r="AH62" i="27"/>
  <c r="AH63" i="27"/>
  <c r="AH64" i="27"/>
  <c r="AH65" i="27"/>
  <c r="AH66" i="27"/>
  <c r="AH67" i="27"/>
  <c r="AH68" i="27"/>
  <c r="AH69" i="27"/>
  <c r="AH70" i="27"/>
  <c r="AH71" i="27"/>
  <c r="AH73" i="27"/>
  <c r="AH75" i="27"/>
  <c r="AH76" i="27"/>
  <c r="AH77" i="27"/>
  <c r="AH78" i="27"/>
  <c r="AH79" i="27"/>
  <c r="AH74" i="27"/>
  <c r="AG80" i="27"/>
  <c r="AG98" i="27"/>
  <c r="AE98" i="27" s="1" a="1"/>
  <c r="AE98" i="27" s="1"/>
  <c r="M59" i="27" s="1"/>
  <c r="AG103" i="27"/>
  <c r="AD103" i="27" s="1" a="1"/>
  <c r="AD103" i="27" s="1"/>
  <c r="M69" i="27" s="1"/>
  <c r="X111" i="27"/>
  <c r="Y111" i="27"/>
  <c r="Z111" i="27"/>
  <c r="T111" i="27"/>
  <c r="AG86" i="27"/>
  <c r="AC86" i="27" s="1"/>
  <c r="M67" i="27" s="1"/>
  <c r="U111" i="27"/>
  <c r="Y80" i="27"/>
  <c r="AA80" i="27"/>
  <c r="AF72" i="27"/>
  <c r="V80" i="27"/>
  <c r="X80" i="27"/>
  <c r="AC80" i="27"/>
  <c r="AF67" i="27"/>
  <c r="S80" i="27"/>
  <c r="U80" i="27"/>
  <c r="AF56" i="27"/>
  <c r="W80" i="27"/>
  <c r="AG87" i="27"/>
  <c r="AF87" i="27" s="1"/>
  <c r="AI87" i="27" s="1"/>
  <c r="AG88" i="27"/>
  <c r="AE88" i="27" s="1" a="1"/>
  <c r="AE88" i="27" s="1"/>
  <c r="M77" i="27" s="1"/>
  <c r="AG89" i="27"/>
  <c r="AC89" i="27" s="1"/>
  <c r="M82" i="27" s="1"/>
  <c r="AG90" i="27"/>
  <c r="AG91" i="27"/>
  <c r="AE91" i="27" s="1" a="1"/>
  <c r="AE91" i="27" s="1"/>
  <c r="M92" i="27" s="1"/>
  <c r="AG92" i="27"/>
  <c r="AF92" i="27" s="1"/>
  <c r="AI92" i="27" s="1"/>
  <c r="AG93" i="27"/>
  <c r="AC93" i="27" s="1"/>
  <c r="M106" i="27" s="1"/>
  <c r="AG94" i="27"/>
  <c r="AC94" i="27" s="1"/>
  <c r="M121" i="27" s="1"/>
  <c r="AG95" i="27"/>
  <c r="AC95" i="27" s="1"/>
  <c r="M124" i="27" s="1"/>
  <c r="AG96" i="27"/>
  <c r="AC96" i="27" s="1"/>
  <c r="M127" i="27" s="1"/>
  <c r="AG97" i="27"/>
  <c r="AD97" i="27" s="1" a="1"/>
  <c r="AD97" i="27" s="1"/>
  <c r="M57" i="27" s="1"/>
  <c r="AG99" i="27"/>
  <c r="AG100" i="27"/>
  <c r="AF100" i="27" s="1"/>
  <c r="AI100" i="27" s="1"/>
  <c r="AG101" i="27"/>
  <c r="AC101" i="27" s="1"/>
  <c r="M115" i="27" s="1"/>
  <c r="AG102" i="27"/>
  <c r="AF102" i="27" s="1"/>
  <c r="AI102" i="27" s="1"/>
  <c r="AG104" i="27"/>
  <c r="AD104" i="27" s="1" a="1"/>
  <c r="AD104" i="27" s="1"/>
  <c r="M84" i="27" s="1"/>
  <c r="AG105" i="27"/>
  <c r="AD105" i="27" s="1" a="1"/>
  <c r="AD105" i="27" s="1"/>
  <c r="M96" i="27" s="1"/>
  <c r="AG106" i="27"/>
  <c r="AD106" i="27" s="1" a="1"/>
  <c r="AD106" i="27" s="1"/>
  <c r="M108" i="27" s="1"/>
  <c r="AG107" i="27"/>
  <c r="AD107" i="27" s="1" a="1"/>
  <c r="AD107" i="27" s="1"/>
  <c r="M111" i="27" s="1"/>
  <c r="AG108" i="27"/>
  <c r="AG109" i="27"/>
  <c r="AC109" i="27" s="1"/>
  <c r="M64" i="27" s="1"/>
  <c r="AG110" i="27"/>
  <c r="AE110" i="27" s="1" a="1"/>
  <c r="AE110" i="27" s="1"/>
  <c r="M101" i="27" s="1"/>
  <c r="S111" i="27"/>
  <c r="V111" i="27"/>
  <c r="W111" i="27"/>
  <c r="AD80" i="27"/>
  <c r="AE80" i="27"/>
  <c r="AF79" i="27"/>
  <c r="AF57" i="27"/>
  <c r="AF58" i="27"/>
  <c r="AF59" i="27"/>
  <c r="AF60" i="27"/>
  <c r="AF61" i="27"/>
  <c r="AF62" i="27"/>
  <c r="AF63" i="27"/>
  <c r="AF64" i="27"/>
  <c r="AF65" i="27"/>
  <c r="AF66" i="27"/>
  <c r="AF68" i="27"/>
  <c r="AF69" i="27"/>
  <c r="AF70" i="27"/>
  <c r="AF71" i="27"/>
  <c r="AF73" i="27"/>
  <c r="AF74" i="27"/>
  <c r="AF75" i="27"/>
  <c r="AF76" i="27"/>
  <c r="AF77" i="27"/>
  <c r="AF78" i="27"/>
  <c r="AF54" i="27"/>
  <c r="T80" i="27"/>
  <c r="A25" i="9"/>
  <c r="C25" i="9" s="1"/>
  <c r="A21" i="9"/>
  <c r="Z80" i="27"/>
  <c r="AB80" i="27"/>
  <c r="C22" i="9"/>
  <c r="A19" i="43" l="1"/>
  <c r="AF94" i="27"/>
  <c r="AI94" i="27" s="1"/>
  <c r="O50" i="51"/>
  <c r="C17" i="54"/>
  <c r="E28" i="54"/>
  <c r="C28" i="54"/>
  <c r="C10" i="54"/>
  <c r="A17" i="43"/>
  <c r="K18" i="22"/>
  <c r="J18" i="22"/>
  <c r="I18" i="22"/>
  <c r="AV34" i="45"/>
  <c r="AR34" i="45"/>
  <c r="AR53" i="45"/>
  <c r="AU34" i="45"/>
  <c r="AQ34" i="45"/>
  <c r="AV27" i="45"/>
  <c r="AW50" i="45"/>
  <c r="AQ53" i="45"/>
  <c r="AT34" i="45"/>
  <c r="AP34" i="45"/>
  <c r="AT50" i="45"/>
  <c r="AW34" i="45"/>
  <c r="AS34" i="45"/>
  <c r="C28" i="22"/>
  <c r="A26" i="43"/>
  <c r="A24" i="9" s="1"/>
  <c r="C24" i="9" s="1"/>
  <c r="A9" i="43"/>
  <c r="A7" i="9" s="1"/>
  <c r="C7" i="9" s="1"/>
  <c r="R7" i="28"/>
  <c r="C27" i="43"/>
  <c r="F25" i="9" s="1"/>
  <c r="A15" i="43"/>
  <c r="O8" i="51"/>
  <c r="AH8" i="51" s="1"/>
  <c r="K5" i="3"/>
  <c r="O40" i="28"/>
  <c r="M40" i="28" s="1"/>
  <c r="AH39" i="28" s="1"/>
  <c r="G5" i="3"/>
  <c r="O10" i="52"/>
  <c r="AH10" i="52" s="1"/>
  <c r="F5" i="3"/>
  <c r="H5" i="3"/>
  <c r="AF109" i="27"/>
  <c r="AI109" i="27" s="1"/>
  <c r="AS49" i="45"/>
  <c r="AU39" i="45"/>
  <c r="AR39" i="45"/>
  <c r="AP27" i="45"/>
  <c r="AV52" i="45"/>
  <c r="AT54" i="45"/>
  <c r="AR54" i="45"/>
  <c r="AP52" i="45"/>
  <c r="AW39" i="45"/>
  <c r="AT52" i="45"/>
  <c r="AP49" i="45"/>
  <c r="AT39" i="45"/>
  <c r="AR49" i="45"/>
  <c r="AV42" i="45"/>
  <c r="AQ42" i="45"/>
  <c r="AW52" i="45"/>
  <c r="AV49" i="45"/>
  <c r="AT49" i="45"/>
  <c r="AV39" i="45"/>
  <c r="AQ39" i="45"/>
  <c r="AS39" i="45"/>
  <c r="AR27" i="45"/>
  <c r="AT53" i="45"/>
  <c r="AS47" i="45"/>
  <c r="AR42" i="45"/>
  <c r="AS53" i="45"/>
  <c r="S11" i="45"/>
  <c r="A18" i="43"/>
  <c r="A16" i="9" s="1"/>
  <c r="C16" i="9" s="1"/>
  <c r="Z18" i="22"/>
  <c r="A21" i="43"/>
  <c r="AE106" i="27" a="1"/>
  <c r="AE106" i="27" s="1"/>
  <c r="M107" i="27" s="1"/>
  <c r="AR36" i="45"/>
  <c r="N20" i="28"/>
  <c r="AI20" i="28" s="1"/>
  <c r="AU48" i="45"/>
  <c r="P11" i="54"/>
  <c r="AS36" i="45"/>
  <c r="P13" i="54"/>
  <c r="AR30" i="45"/>
  <c r="AD88" i="27" a="1"/>
  <c r="AD88" i="27" s="1"/>
  <c r="M78" i="27" s="1"/>
  <c r="AF93" i="27"/>
  <c r="AI93" i="27" s="1"/>
  <c r="N106" i="27" s="1"/>
  <c r="O106" i="27" s="1"/>
  <c r="AW23" i="45"/>
  <c r="AT23" i="45"/>
  <c r="AQ23" i="45"/>
  <c r="AF97" i="27"/>
  <c r="AI97" i="27" s="1"/>
  <c r="S12" i="45"/>
  <c r="M40" i="45"/>
  <c r="AF91" i="27"/>
  <c r="AI91" i="27" s="1"/>
  <c r="N92" i="27" s="1"/>
  <c r="O92" i="27" s="1"/>
  <c r="AV46" i="45"/>
  <c r="AR51" i="45"/>
  <c r="AQ46" i="45"/>
  <c r="AE93" i="27" a="1"/>
  <c r="AE93" i="27" s="1"/>
  <c r="M104" i="27" s="1"/>
  <c r="AW46" i="45"/>
  <c r="AS51" i="45"/>
  <c r="AS23" i="45"/>
  <c r="AU51" i="45"/>
  <c r="AT51" i="45"/>
  <c r="AV37" i="45"/>
  <c r="AP23" i="45"/>
  <c r="AC103" i="27"/>
  <c r="M70" i="27" s="1"/>
  <c r="AR46" i="45"/>
  <c r="AP51" i="45"/>
  <c r="AO46" i="45"/>
  <c r="AV23" i="45"/>
  <c r="AF103" i="27"/>
  <c r="AI103" i="27" s="1"/>
  <c r="N69" i="27" s="1"/>
  <c r="O69" i="27" s="1"/>
  <c r="AC88" i="27"/>
  <c r="M79" i="27" s="1"/>
  <c r="AD93" i="27" a="1"/>
  <c r="AD93" i="27" s="1"/>
  <c r="M105" i="27" s="1"/>
  <c r="A12" i="43"/>
  <c r="A10" i="9" s="1"/>
  <c r="A9" i="54" s="1"/>
  <c r="AW51" i="45"/>
  <c r="AS46" i="45"/>
  <c r="AQ51" i="45"/>
  <c r="AU23" i="45"/>
  <c r="AR23" i="45"/>
  <c r="AU46" i="45"/>
  <c r="AT46" i="45"/>
  <c r="O33" i="52"/>
  <c r="M33" i="52" s="1"/>
  <c r="AH33" i="52" s="1"/>
  <c r="O20" i="28"/>
  <c r="O20" i="52"/>
  <c r="O46" i="51"/>
  <c r="O20" i="51"/>
  <c r="O46" i="52"/>
  <c r="O46" i="28"/>
  <c r="AF105" i="27"/>
  <c r="AI105" i="27" s="1"/>
  <c r="N96" i="27" s="1"/>
  <c r="O96" i="27" s="1"/>
  <c r="F27" i="27"/>
  <c r="F20" i="27"/>
  <c r="AE87" i="27" a="1"/>
  <c r="AE87" i="27" s="1"/>
  <c r="M74" i="27" s="1"/>
  <c r="N74" i="27" s="1"/>
  <c r="O74" i="27" s="1"/>
  <c r="AC105" i="27"/>
  <c r="M97" i="27" s="1"/>
  <c r="AE94" i="27" a="1"/>
  <c r="AE94" i="27" s="1"/>
  <c r="M119" i="27" s="1"/>
  <c r="F23" i="27"/>
  <c r="Z32" i="45"/>
  <c r="AT36" i="45"/>
  <c r="AU50" i="45"/>
  <c r="AR52" i="45"/>
  <c r="AQ52" i="45"/>
  <c r="AP53" i="45"/>
  <c r="BP47" i="45" s="1"/>
  <c r="AO50" i="45"/>
  <c r="AO48" i="45"/>
  <c r="AU38" i="45"/>
  <c r="AT35" i="45"/>
  <c r="AP40" i="45"/>
  <c r="AV29" i="45"/>
  <c r="AT27" i="45"/>
  <c r="AW41" i="45"/>
  <c r="AU36" i="45"/>
  <c r="AE95" i="27" a="1"/>
  <c r="AE95" i="27" s="1"/>
  <c r="M122" i="27" s="1"/>
  <c r="N122" i="27" s="1"/>
  <c r="O122" i="27" s="1"/>
  <c r="L43" i="45"/>
  <c r="AR50" i="45"/>
  <c r="AQ50" i="45"/>
  <c r="AU35" i="45"/>
  <c r="AS42" i="45"/>
  <c r="AR41" i="45"/>
  <c r="AQ40" i="45"/>
  <c r="AP38" i="45"/>
  <c r="AO42" i="45"/>
  <c r="AR22" i="45"/>
  <c r="AE104" i="27" a="1"/>
  <c r="AE104" i="27" s="1"/>
  <c r="M83" i="27" s="1"/>
  <c r="K55" i="45"/>
  <c r="AC87" i="27"/>
  <c r="M76" i="27" s="1"/>
  <c r="N76" i="27" s="1"/>
  <c r="O76" i="27" s="1"/>
  <c r="AF95" i="27"/>
  <c r="AI95" i="27" s="1"/>
  <c r="M34" i="45"/>
  <c r="M54" i="45"/>
  <c r="AW48" i="45"/>
  <c r="AV48" i="45"/>
  <c r="AT48" i="45"/>
  <c r="AS48" i="45"/>
  <c r="AW38" i="45"/>
  <c r="AV36" i="45"/>
  <c r="AS40" i="45"/>
  <c r="AR40" i="45"/>
  <c r="AP36" i="45"/>
  <c r="AS27" i="45"/>
  <c r="AQ29" i="45"/>
  <c r="AD87" i="27" a="1"/>
  <c r="AD87" i="27" s="1"/>
  <c r="M75" i="27" s="1"/>
  <c r="N75" i="27" s="1"/>
  <c r="O75" i="27" s="1"/>
  <c r="AD95" i="27" a="1"/>
  <c r="AD95" i="27" s="1"/>
  <c r="M123" i="27" s="1"/>
  <c r="S7" i="45"/>
  <c r="AR48" i="45"/>
  <c r="AQ48" i="45"/>
  <c r="AW36" i="45"/>
  <c r="AV35" i="45"/>
  <c r="AT40" i="45"/>
  <c r="AQ38" i="45"/>
  <c r="AP35" i="45"/>
  <c r="AQ27" i="45"/>
  <c r="S8" i="45"/>
  <c r="AW35" i="45"/>
  <c r="AS38" i="45"/>
  <c r="AR38" i="45"/>
  <c r="AQ36" i="45"/>
  <c r="AW27" i="45"/>
  <c r="AU27" i="45"/>
  <c r="O59" i="51"/>
  <c r="O60" i="51"/>
  <c r="O47" i="52"/>
  <c r="O21" i="51"/>
  <c r="O47" i="51"/>
  <c r="O21" i="28"/>
  <c r="O47" i="28"/>
  <c r="O21" i="52"/>
  <c r="O23" i="28"/>
  <c r="AH21" i="28" s="1"/>
  <c r="O48" i="52"/>
  <c r="O22" i="51"/>
  <c r="O22" i="28"/>
  <c r="O48" i="28"/>
  <c r="O22" i="52"/>
  <c r="O48" i="51"/>
  <c r="R9" i="51"/>
  <c r="A14" i="43"/>
  <c r="A20" i="43"/>
  <c r="E11" i="54"/>
  <c r="C11" i="54"/>
  <c r="O11" i="54" s="1"/>
  <c r="O7" i="28"/>
  <c r="AH7" i="28" s="1"/>
  <c r="O33" i="28"/>
  <c r="AH33" i="28" s="1"/>
  <c r="O51" i="52"/>
  <c r="M51" i="52" s="1"/>
  <c r="AH48" i="52" s="1"/>
  <c r="O51" i="51"/>
  <c r="M51" i="51" s="1"/>
  <c r="AH48" i="51" s="1"/>
  <c r="N51" i="51"/>
  <c r="AI48" i="51" s="1"/>
  <c r="N51" i="52"/>
  <c r="AI48" i="52" s="1"/>
  <c r="H23" i="22"/>
  <c r="R40" i="52"/>
  <c r="R7" i="52"/>
  <c r="R46" i="52"/>
  <c r="R33" i="52"/>
  <c r="U7" i="52"/>
  <c r="U33" i="52" s="1"/>
  <c r="U10" i="52"/>
  <c r="U36" i="52" s="1"/>
  <c r="U12" i="52"/>
  <c r="U38" i="52" s="1"/>
  <c r="R9" i="52"/>
  <c r="R42" i="52"/>
  <c r="R36" i="52"/>
  <c r="R20" i="52"/>
  <c r="R33" i="51"/>
  <c r="U12" i="51"/>
  <c r="U38" i="51" s="1"/>
  <c r="R50" i="51"/>
  <c r="R49" i="51"/>
  <c r="R42" i="51"/>
  <c r="R36" i="51"/>
  <c r="R40" i="51"/>
  <c r="R24" i="51"/>
  <c r="R46" i="51"/>
  <c r="R35" i="28"/>
  <c r="R23" i="28"/>
  <c r="R14" i="28"/>
  <c r="R40" i="28"/>
  <c r="R46" i="28"/>
  <c r="R49" i="28"/>
  <c r="R42" i="28"/>
  <c r="R36" i="28"/>
  <c r="R50" i="28"/>
  <c r="BM22" i="45"/>
  <c r="BQ22" i="45"/>
  <c r="BU22" i="45"/>
  <c r="N51" i="28"/>
  <c r="AI48" i="28" s="1"/>
  <c r="Q16" i="45"/>
  <c r="M53" i="45"/>
  <c r="R44" i="51"/>
  <c r="AW37" i="45"/>
  <c r="AS41" i="45"/>
  <c r="AP24" i="45"/>
  <c r="M30" i="45"/>
  <c r="M41" i="45"/>
  <c r="D55" i="45"/>
  <c r="E55" i="45"/>
  <c r="U12" i="28"/>
  <c r="U38" i="28" s="1"/>
  <c r="C24" i="51" a="1"/>
  <c r="C24" i="51" s="1"/>
  <c r="AE102" i="27" a="1"/>
  <c r="AE102" i="27" s="1"/>
  <c r="M116" i="27" s="1"/>
  <c r="N116" i="27" s="1"/>
  <c r="O116" i="27" s="1"/>
  <c r="F25" i="27"/>
  <c r="F31" i="45"/>
  <c r="M25" i="45"/>
  <c r="U18" i="52"/>
  <c r="U44" i="52" s="1"/>
  <c r="AU37" i="45"/>
  <c r="AQ41" i="45"/>
  <c r="AP42" i="45"/>
  <c r="AT29" i="45"/>
  <c r="AC102" i="27"/>
  <c r="M118" i="27" s="1"/>
  <c r="AF98" i="27"/>
  <c r="AI98" i="27" s="1"/>
  <c r="N59" i="27" s="1"/>
  <c r="O59" i="27" s="1"/>
  <c r="AE103" i="27" a="1"/>
  <c r="AE103" i="27" s="1"/>
  <c r="M68" i="27" s="1"/>
  <c r="A16" i="43"/>
  <c r="A14" i="9" s="1"/>
  <c r="A10" i="54" s="1"/>
  <c r="Z22" i="22"/>
  <c r="R44" i="28"/>
  <c r="AW42" i="45"/>
  <c r="AT37" i="45"/>
  <c r="AP41" i="45"/>
  <c r="AO41" i="45"/>
  <c r="BT34" i="45" s="1"/>
  <c r="AT28" i="45"/>
  <c r="AD102" i="27" a="1"/>
  <c r="AD102" i="27" s="1"/>
  <c r="M117" i="27" s="1"/>
  <c r="N117" i="27" s="1"/>
  <c r="O117" i="27" s="1"/>
  <c r="O51" i="28"/>
  <c r="U18" i="28"/>
  <c r="U44" i="28" s="1"/>
  <c r="R49" i="52"/>
  <c r="AS37" i="45"/>
  <c r="AR29" i="45"/>
  <c r="A10" i="43"/>
  <c r="A8" i="9" s="1"/>
  <c r="C8" i="9" s="1"/>
  <c r="E43" i="45"/>
  <c r="F19" i="27"/>
  <c r="F22" i="27"/>
  <c r="F16" i="45"/>
  <c r="AC92" i="27"/>
  <c r="M100" i="27" s="1"/>
  <c r="N100" i="27" s="1"/>
  <c r="O100" i="27" s="1"/>
  <c r="AE105" i="27" a="1"/>
  <c r="AE105" i="27" s="1"/>
  <c r="M95" i="27" s="1"/>
  <c r="E12" i="9"/>
  <c r="U10" i="28"/>
  <c r="U36" i="28" s="1"/>
  <c r="U23" i="52"/>
  <c r="U49" i="52" s="1"/>
  <c r="AW53" i="45"/>
  <c r="Z48" i="45"/>
  <c r="AW40" i="45"/>
  <c r="AV41" i="45"/>
  <c r="AU42" i="45"/>
  <c r="AR37" i="45"/>
  <c r="AW29" i="45"/>
  <c r="AP29" i="45"/>
  <c r="AE101" i="27" a="1"/>
  <c r="AE101" i="27" s="1"/>
  <c r="M113" i="27" s="1"/>
  <c r="AD85" i="27" a="1"/>
  <c r="AD85" i="27" s="1"/>
  <c r="M51" i="27" s="1"/>
  <c r="N51" i="27" s="1"/>
  <c r="O51" i="27" s="1"/>
  <c r="O7" i="51"/>
  <c r="AH7" i="51" s="1"/>
  <c r="O33" i="51"/>
  <c r="M33" i="51" s="1"/>
  <c r="AH33" i="51" s="1"/>
  <c r="R20" i="28"/>
  <c r="AV53" i="45"/>
  <c r="AU53" i="45"/>
  <c r="AV40" i="45"/>
  <c r="AU41" i="45"/>
  <c r="AQ37" i="45"/>
  <c r="AU29" i="45"/>
  <c r="AP37" i="45"/>
  <c r="AS29" i="45"/>
  <c r="AE97" i="27" a="1"/>
  <c r="AE97" i="27" s="1"/>
  <c r="M56" i="27" s="1"/>
  <c r="AC107" i="27"/>
  <c r="M112" i="27" s="1"/>
  <c r="AC100" i="27"/>
  <c r="M88" i="27" s="1"/>
  <c r="N88" i="27" s="1"/>
  <c r="O88" i="27" s="1"/>
  <c r="AE109" i="27" a="1"/>
  <c r="AE109" i="27" s="1"/>
  <c r="M62" i="27" s="1"/>
  <c r="F13" i="27"/>
  <c r="S14" i="45"/>
  <c r="P16" i="54"/>
  <c r="N37" i="52"/>
  <c r="AI37" i="52" s="1"/>
  <c r="N37" i="51"/>
  <c r="AI37" i="51" s="1"/>
  <c r="N12" i="52"/>
  <c r="AI12" i="52" s="1"/>
  <c r="N11" i="52"/>
  <c r="AI11" i="52" s="1"/>
  <c r="N37" i="28"/>
  <c r="AI37" i="28" s="1"/>
  <c r="N11" i="51"/>
  <c r="AI11" i="51" s="1"/>
  <c r="N12" i="51"/>
  <c r="AI12" i="51" s="1"/>
  <c r="N38" i="51"/>
  <c r="AI38" i="51" s="1"/>
  <c r="N38" i="28"/>
  <c r="AI38" i="28" s="1"/>
  <c r="N38" i="52"/>
  <c r="AI38" i="52" s="1"/>
  <c r="N11" i="28"/>
  <c r="AI11" i="28" s="1"/>
  <c r="N12" i="28"/>
  <c r="AI12" i="28" s="1"/>
  <c r="Z10" i="22"/>
  <c r="Z29" i="22" s="1"/>
  <c r="BO34" i="45"/>
  <c r="BN22" i="45"/>
  <c r="BS22" i="45"/>
  <c r="BP22" i="45"/>
  <c r="BR22" i="45"/>
  <c r="BO22" i="45"/>
  <c r="BT22" i="45"/>
  <c r="BV22" i="45"/>
  <c r="O35" i="52"/>
  <c r="M35" i="52" s="1"/>
  <c r="AH35" i="52" s="1"/>
  <c r="O9" i="28"/>
  <c r="AH9" i="28" s="1"/>
  <c r="AE107" i="27" a="1"/>
  <c r="AE107" i="27" s="1"/>
  <c r="M110" i="27" s="1"/>
  <c r="F26" i="27"/>
  <c r="E17" i="9"/>
  <c r="C18" i="54" s="1"/>
  <c r="O18" i="54" s="1"/>
  <c r="K31" i="45"/>
  <c r="G31" i="45"/>
  <c r="M28" i="45"/>
  <c r="M29" i="45"/>
  <c r="J43" i="45"/>
  <c r="I43" i="45"/>
  <c r="H55" i="45"/>
  <c r="G55" i="45"/>
  <c r="M49" i="45"/>
  <c r="M50" i="45"/>
  <c r="AD89" i="27" a="1"/>
  <c r="AD89" i="27" s="1"/>
  <c r="M81" i="27" s="1"/>
  <c r="AE96" i="27" a="1"/>
  <c r="AE96" i="27" s="1"/>
  <c r="M125" i="27" s="1"/>
  <c r="AE89" i="27" a="1"/>
  <c r="AE89" i="27" s="1"/>
  <c r="M80" i="27" s="1"/>
  <c r="AC97" i="27"/>
  <c r="M58" i="27" s="1"/>
  <c r="AF107" i="27"/>
  <c r="AI107" i="27" s="1"/>
  <c r="N111" i="27" s="1"/>
  <c r="O111" i="27" s="1"/>
  <c r="AE100" i="27" a="1"/>
  <c r="AE100" i="27" s="1"/>
  <c r="M86" i="27" s="1"/>
  <c r="N86" i="27" s="1"/>
  <c r="O86" i="27" s="1"/>
  <c r="N124" i="27"/>
  <c r="O124" i="27" s="1"/>
  <c r="P6" i="54"/>
  <c r="N7" i="52"/>
  <c r="AI7" i="52" s="1"/>
  <c r="N7" i="51"/>
  <c r="AI7" i="51" s="1"/>
  <c r="N7" i="28"/>
  <c r="AI7" i="28" s="1"/>
  <c r="N33" i="28"/>
  <c r="AI33" i="28" s="1"/>
  <c r="N33" i="52"/>
  <c r="AI33" i="52" s="1"/>
  <c r="N33" i="51"/>
  <c r="AI33" i="51" s="1"/>
  <c r="D28" i="27"/>
  <c r="AF96" i="27"/>
  <c r="AI96" i="27" s="1"/>
  <c r="N127" i="27" s="1"/>
  <c r="O127" i="27" s="1"/>
  <c r="AD110" i="27" a="1"/>
  <c r="AD110" i="27" s="1"/>
  <c r="M102" i="27" s="1"/>
  <c r="S10" i="45"/>
  <c r="AD100" i="27" a="1"/>
  <c r="AD100" i="27" s="1"/>
  <c r="M87" i="27" s="1"/>
  <c r="N87" i="27" s="1"/>
  <c r="O87" i="27" s="1"/>
  <c r="AD96" i="27" a="1"/>
  <c r="AD96" i="27" s="1"/>
  <c r="M126" i="27" s="1"/>
  <c r="AF89" i="27"/>
  <c r="AI89" i="27" s="1"/>
  <c r="AD91" i="27" a="1"/>
  <c r="AD91" i="27" s="1"/>
  <c r="M93" i="27" s="1"/>
  <c r="AC104" i="27"/>
  <c r="M85" i="27" s="1"/>
  <c r="AC85" i="27"/>
  <c r="M52" i="27" s="1"/>
  <c r="N52" i="27" s="1"/>
  <c r="O52" i="27" s="1"/>
  <c r="E31" i="45"/>
  <c r="M23" i="45"/>
  <c r="M24" i="45"/>
  <c r="L31" i="45"/>
  <c r="AF80" i="27"/>
  <c r="AC106" i="27"/>
  <c r="M109" i="27" s="1"/>
  <c r="AC91" i="27"/>
  <c r="M94" i="27" s="1"/>
  <c r="N94" i="27" s="1"/>
  <c r="O94" i="27" s="1"/>
  <c r="AD109" i="27" a="1"/>
  <c r="AD109" i="27" s="1"/>
  <c r="M63" i="27" s="1"/>
  <c r="AE85" i="27" a="1"/>
  <c r="AE85" i="27" s="1"/>
  <c r="M50" i="27" s="1"/>
  <c r="N50" i="27" s="1"/>
  <c r="O50" i="27" s="1"/>
  <c r="O38" i="52"/>
  <c r="M38" i="52" s="1"/>
  <c r="AH38" i="52" s="1"/>
  <c r="O12" i="28"/>
  <c r="AH12" i="28" s="1"/>
  <c r="O60" i="52"/>
  <c r="O37" i="28"/>
  <c r="O59" i="28"/>
  <c r="O37" i="52"/>
  <c r="O11" i="51"/>
  <c r="O11" i="28"/>
  <c r="O12" i="52"/>
  <c r="AH12" i="52" s="1"/>
  <c r="O59" i="52"/>
  <c r="O38" i="51"/>
  <c r="M38" i="51" s="1"/>
  <c r="AH38" i="51" s="1"/>
  <c r="O12" i="51"/>
  <c r="AH11" i="51" s="1"/>
  <c r="O11" i="52"/>
  <c r="O38" i="28"/>
  <c r="M38" i="28" s="1"/>
  <c r="AH38" i="28" s="1"/>
  <c r="O60" i="28"/>
  <c r="E9" i="9"/>
  <c r="N10" i="51"/>
  <c r="AI10" i="51" s="1"/>
  <c r="N36" i="51"/>
  <c r="AI36" i="51" s="1"/>
  <c r="N36" i="28"/>
  <c r="AI36" i="28" s="1"/>
  <c r="N10" i="52"/>
  <c r="AI10" i="52" s="1"/>
  <c r="N36" i="52"/>
  <c r="AI36" i="52" s="1"/>
  <c r="N10" i="28"/>
  <c r="AI10" i="28" s="1"/>
  <c r="P12" i="54"/>
  <c r="N23" i="28"/>
  <c r="AI21" i="28" s="1"/>
  <c r="N23" i="51"/>
  <c r="AI21" i="51" s="1"/>
  <c r="N49" i="52"/>
  <c r="AI46" i="52" s="1"/>
  <c r="N49" i="28"/>
  <c r="AI46" i="28" s="1"/>
  <c r="N49" i="51"/>
  <c r="AI46" i="51" s="1"/>
  <c r="N23" i="52"/>
  <c r="AI21" i="52" s="1"/>
  <c r="R16" i="52"/>
  <c r="R18" i="52"/>
  <c r="Z53" i="45"/>
  <c r="BB55" i="45" s="1"/>
  <c r="Z51" i="45"/>
  <c r="BG53" i="45" s="1"/>
  <c r="Z38" i="45"/>
  <c r="BB39" i="45" s="1"/>
  <c r="Z36" i="45"/>
  <c r="BD37" i="45" s="1"/>
  <c r="Z34" i="45"/>
  <c r="BC35" i="45" s="1"/>
  <c r="F43" i="45"/>
  <c r="M35" i="45"/>
  <c r="M36" i="45"/>
  <c r="K43" i="45"/>
  <c r="M42" i="45"/>
  <c r="M46" i="45"/>
  <c r="M47" i="45"/>
  <c r="L55" i="45"/>
  <c r="J55" i="45"/>
  <c r="M51" i="45"/>
  <c r="M52" i="45"/>
  <c r="U10" i="51"/>
  <c r="U36" i="51" s="1"/>
  <c r="AB8" i="52"/>
  <c r="R23" i="52"/>
  <c r="R14" i="52"/>
  <c r="D48" i="52"/>
  <c r="Z52" i="45"/>
  <c r="BC54" i="45" s="1"/>
  <c r="Z42" i="45"/>
  <c r="BF43" i="45" s="1"/>
  <c r="Z40" i="45"/>
  <c r="BF41" i="45" s="1"/>
  <c r="Z37" i="45"/>
  <c r="BG38" i="45" s="1"/>
  <c r="AW24" i="45"/>
  <c r="AU26" i="45"/>
  <c r="AS28" i="45"/>
  <c r="AQ30" i="45"/>
  <c r="AQ22" i="45"/>
  <c r="Z25" i="45"/>
  <c r="BH25" i="45" s="1"/>
  <c r="Z23" i="45"/>
  <c r="BB23" i="45" s="1"/>
  <c r="U18" i="51"/>
  <c r="U44" i="51" s="1"/>
  <c r="U23" i="51"/>
  <c r="U49" i="51" s="1"/>
  <c r="U7" i="51"/>
  <c r="U33" i="51" s="1"/>
  <c r="N14" i="52"/>
  <c r="AI14" i="52" s="1"/>
  <c r="N40" i="28"/>
  <c r="AI39" i="28" s="1"/>
  <c r="N14" i="51"/>
  <c r="AI14" i="51" s="1"/>
  <c r="N14" i="28"/>
  <c r="AI14" i="28" s="1"/>
  <c r="N40" i="52"/>
  <c r="AI39" i="52" s="1"/>
  <c r="N40" i="51"/>
  <c r="AI39" i="51" s="1"/>
  <c r="D24" i="51" a="1"/>
  <c r="D24" i="51" s="1"/>
  <c r="R23" i="51"/>
  <c r="D48" i="51"/>
  <c r="R34" i="52"/>
  <c r="BH50" i="45"/>
  <c r="Z50" i="45"/>
  <c r="BE52" i="45" s="1"/>
  <c r="Z46" i="45"/>
  <c r="BF48" i="45" s="1"/>
  <c r="Z41" i="45"/>
  <c r="BE42" i="45" s="1"/>
  <c r="AV24" i="45"/>
  <c r="BF25" i="45"/>
  <c r="AT26" i="45"/>
  <c r="AR28" i="45"/>
  <c r="AP30" i="45"/>
  <c r="AP22" i="45"/>
  <c r="Z29" i="45"/>
  <c r="BB29" i="45" s="1"/>
  <c r="Z27" i="45"/>
  <c r="I31" i="45"/>
  <c r="H31" i="45"/>
  <c r="M26" i="45"/>
  <c r="M27" i="45"/>
  <c r="H43" i="45"/>
  <c r="G43" i="45"/>
  <c r="M37" i="45"/>
  <c r="D43" i="45"/>
  <c r="M48" i="45"/>
  <c r="C48" i="52"/>
  <c r="P14" i="54"/>
  <c r="N35" i="28"/>
  <c r="AI35" i="28" s="1"/>
  <c r="N9" i="28"/>
  <c r="AI9" i="28" s="1"/>
  <c r="N9" i="51"/>
  <c r="AI9" i="51" s="1"/>
  <c r="N35" i="52"/>
  <c r="AI35" i="52" s="1"/>
  <c r="N35" i="51"/>
  <c r="AI35" i="51" s="1"/>
  <c r="N9" i="52"/>
  <c r="AI9" i="52" s="1"/>
  <c r="N16" i="51"/>
  <c r="AI16" i="51" s="1"/>
  <c r="N16" i="28"/>
  <c r="AI16" i="28" s="1"/>
  <c r="N16" i="52"/>
  <c r="AI16" i="52" s="1"/>
  <c r="N42" i="52"/>
  <c r="AI41" i="52" s="1"/>
  <c r="N42" i="51"/>
  <c r="AI41" i="51" s="1"/>
  <c r="N42" i="28"/>
  <c r="AI41" i="28" s="1"/>
  <c r="R20" i="51"/>
  <c r="D48" i="28"/>
  <c r="Z55" i="45"/>
  <c r="Z54" i="45"/>
  <c r="Z39" i="45"/>
  <c r="BG40" i="45" s="1"/>
  <c r="Z35" i="45"/>
  <c r="BG36" i="45" s="1"/>
  <c r="AW30" i="45"/>
  <c r="AW22" i="45"/>
  <c r="AU24" i="45"/>
  <c r="AS26" i="45"/>
  <c r="AQ28" i="45"/>
  <c r="Z31" i="45"/>
  <c r="BC31" i="45" s="1"/>
  <c r="Z30" i="45"/>
  <c r="Z26" i="45"/>
  <c r="AZ26" i="45" s="1"/>
  <c r="Z22" i="45"/>
  <c r="M38" i="45"/>
  <c r="J31" i="45"/>
  <c r="U7" i="28"/>
  <c r="U33" i="28" s="1"/>
  <c r="C48" i="51"/>
  <c r="C24" i="52" a="1"/>
  <c r="C24" i="52" s="1"/>
  <c r="R10" i="52"/>
  <c r="R34" i="51"/>
  <c r="R18" i="28"/>
  <c r="BE50" i="45"/>
  <c r="BD50" i="45"/>
  <c r="AZ50" i="45"/>
  <c r="AV30" i="45"/>
  <c r="BG30" i="45" s="1"/>
  <c r="AV22" i="45"/>
  <c r="AT24" i="45"/>
  <c r="AR26" i="45"/>
  <c r="AP28" i="45"/>
  <c r="I55" i="45"/>
  <c r="M46" i="51"/>
  <c r="AH45" i="51" s="1"/>
  <c r="AH20" i="51"/>
  <c r="M46" i="28"/>
  <c r="AH45" i="28" s="1"/>
  <c r="AH20" i="52"/>
  <c r="M46" i="52"/>
  <c r="AH45" i="52" s="1"/>
  <c r="AH20" i="28"/>
  <c r="N18" i="52"/>
  <c r="AI18" i="52" s="1"/>
  <c r="N18" i="28"/>
  <c r="AI18" i="28" s="1"/>
  <c r="N18" i="51"/>
  <c r="AI18" i="51" s="1"/>
  <c r="N44" i="51"/>
  <c r="AI43" i="51" s="1"/>
  <c r="N44" i="28"/>
  <c r="AI43" i="28" s="1"/>
  <c r="N44" i="52"/>
  <c r="AI43" i="52" s="1"/>
  <c r="D24" i="28" a="1"/>
  <c r="D24" i="28" s="1"/>
  <c r="BC50" i="45"/>
  <c r="AO54" i="45"/>
  <c r="AW28" i="45"/>
  <c r="BH28" i="45" s="1"/>
  <c r="AU30" i="45"/>
  <c r="AU22" i="45"/>
  <c r="AS24" i="45"/>
  <c r="AQ26" i="45"/>
  <c r="Z28" i="45"/>
  <c r="AZ28" i="45" s="1"/>
  <c r="Z24" i="45"/>
  <c r="F55" i="45"/>
  <c r="R16" i="45"/>
  <c r="S9" i="45"/>
  <c r="N46" i="52"/>
  <c r="AI45" i="52" s="1"/>
  <c r="N20" i="52"/>
  <c r="AI20" i="52" s="1"/>
  <c r="N46" i="28"/>
  <c r="AI45" i="28" s="1"/>
  <c r="N20" i="51"/>
  <c r="AI20" i="51" s="1"/>
  <c r="N46" i="51"/>
  <c r="AI45" i="51" s="1"/>
  <c r="N8" i="52"/>
  <c r="AI8" i="52" s="1"/>
  <c r="N34" i="52"/>
  <c r="AI34" i="52" s="1"/>
  <c r="N34" i="28"/>
  <c r="AI34" i="28" s="1"/>
  <c r="N8" i="51"/>
  <c r="AI8" i="51" s="1"/>
  <c r="N8" i="28"/>
  <c r="AI8" i="28" s="1"/>
  <c r="N34" i="51"/>
  <c r="AI34" i="51" s="1"/>
  <c r="BE48" i="45"/>
  <c r="BA50" i="45"/>
  <c r="BD56" i="45"/>
  <c r="BF37" i="45"/>
  <c r="BC40" i="45"/>
  <c r="AV28" i="45"/>
  <c r="BF29" i="45"/>
  <c r="AT30" i="45"/>
  <c r="BE30" i="45" s="1"/>
  <c r="AT22" i="45"/>
  <c r="AR24" i="45"/>
  <c r="BB25" i="45"/>
  <c r="AP26" i="45"/>
  <c r="Z44" i="45"/>
  <c r="Z56" i="45"/>
  <c r="U23" i="28"/>
  <c r="U49" i="28" s="1"/>
  <c r="D24" i="52" a="1"/>
  <c r="D24" i="52" s="1"/>
  <c r="AB9" i="51"/>
  <c r="R18" i="51"/>
  <c r="R35" i="51"/>
  <c r="BD55" i="45"/>
  <c r="Z49" i="45"/>
  <c r="BE51" i="45" s="1"/>
  <c r="Z47" i="45"/>
  <c r="BB49" i="45" s="1"/>
  <c r="Z43" i="45"/>
  <c r="BE44" i="45" s="1"/>
  <c r="AW26" i="45"/>
  <c r="AU28" i="45"/>
  <c r="AS30" i="45"/>
  <c r="BD30" i="45" s="1"/>
  <c r="AS22" i="45"/>
  <c r="AQ24" i="45"/>
  <c r="BB24" i="45" s="1"/>
  <c r="M50" i="51"/>
  <c r="AH47" i="51" s="1"/>
  <c r="O50" i="28"/>
  <c r="M50" i="28" s="1"/>
  <c r="AH47" i="28" s="1"/>
  <c r="O24" i="28"/>
  <c r="D22" i="48"/>
  <c r="Q49" i="52"/>
  <c r="AH59" i="28"/>
  <c r="O8" i="28"/>
  <c r="AH8" i="28" s="1"/>
  <c r="O10" i="51"/>
  <c r="O36" i="52"/>
  <c r="O34" i="28"/>
  <c r="O35" i="28"/>
  <c r="O36" i="28"/>
  <c r="O36" i="51"/>
  <c r="O10" i="28"/>
  <c r="AH10" i="28" s="1"/>
  <c r="O9" i="51"/>
  <c r="AH9" i="51" s="1"/>
  <c r="O35" i="51"/>
  <c r="Q38" i="52"/>
  <c r="Q50" i="52"/>
  <c r="Q37" i="52"/>
  <c r="Q36" i="52"/>
  <c r="Q35" i="52"/>
  <c r="D5" i="48"/>
  <c r="Q42" i="52"/>
  <c r="C9" i="48"/>
  <c r="D25" i="48"/>
  <c r="Q33" i="52"/>
  <c r="Q44" i="52"/>
  <c r="F5" i="48"/>
  <c r="Q34" i="52"/>
  <c r="N57" i="27"/>
  <c r="O57" i="27" s="1"/>
  <c r="AC90" i="27"/>
  <c r="M91" i="27" s="1"/>
  <c r="AE90" i="27" a="1"/>
  <c r="AE90" i="27" s="1"/>
  <c r="M89" i="27" s="1"/>
  <c r="AE99" i="27" a="1"/>
  <c r="AE99" i="27" s="1"/>
  <c r="M71" i="27" s="1"/>
  <c r="AC99" i="27"/>
  <c r="M73" i="27" s="1"/>
  <c r="AD99" i="27" a="1"/>
  <c r="AD99" i="27" s="1"/>
  <c r="M72" i="27" s="1"/>
  <c r="AG111" i="27"/>
  <c r="AD86" i="27" a="1"/>
  <c r="AD86" i="27" s="1"/>
  <c r="M66" i="27" s="1"/>
  <c r="A15" i="54"/>
  <c r="C21" i="9"/>
  <c r="AD90" i="27" a="1"/>
  <c r="AD90" i="27" s="1"/>
  <c r="M90" i="27" s="1"/>
  <c r="AF86" i="27"/>
  <c r="AI86" i="27" s="1"/>
  <c r="AC108" i="27"/>
  <c r="M55" i="27" s="1"/>
  <c r="AD108" i="27" a="1"/>
  <c r="AD108" i="27" s="1"/>
  <c r="M54" i="27" s="1"/>
  <c r="AE108" i="27" a="1"/>
  <c r="AE108" i="27" s="1"/>
  <c r="M53" i="27" s="1"/>
  <c r="AF99" i="27"/>
  <c r="AI99" i="27" s="1"/>
  <c r="AF90" i="27"/>
  <c r="AI90" i="27" s="1"/>
  <c r="AF110" i="27"/>
  <c r="AI110" i="27" s="1"/>
  <c r="AC110" i="27"/>
  <c r="M103" i="27" s="1"/>
  <c r="AE92" i="27" a="1"/>
  <c r="AE92" i="27" s="1"/>
  <c r="M98" i="27" s="1"/>
  <c r="N98" i="27" s="1"/>
  <c r="O98" i="27" s="1"/>
  <c r="AD92" i="27" a="1"/>
  <c r="AD92" i="27" s="1"/>
  <c r="M99" i="27" s="1"/>
  <c r="N99" i="27" s="1"/>
  <c r="O99" i="27" s="1"/>
  <c r="E28" i="27"/>
  <c r="N118" i="27"/>
  <c r="O118" i="27" s="1"/>
  <c r="AF101" i="27"/>
  <c r="AI101" i="27" s="1"/>
  <c r="AD101" i="27" a="1"/>
  <c r="AD101" i="27" s="1"/>
  <c r="M114" i="27" s="1"/>
  <c r="AD98" i="27" a="1"/>
  <c r="AD98" i="27" s="1"/>
  <c r="M60" i="27" s="1"/>
  <c r="AC98" i="27"/>
  <c r="M61" i="27" s="1"/>
  <c r="L128" i="27"/>
  <c r="AE86" i="27" a="1"/>
  <c r="AE86" i="27" s="1"/>
  <c r="M65" i="27" s="1"/>
  <c r="AF108" i="27"/>
  <c r="AI108" i="27" s="1"/>
  <c r="F21" i="27"/>
  <c r="AF88" i="27"/>
  <c r="AI88" i="27" s="1"/>
  <c r="AD94" i="27" a="1"/>
  <c r="AD94" i="27" s="1"/>
  <c r="M120" i="27" s="1"/>
  <c r="N120" i="27" s="1"/>
  <c r="O120" i="27" s="1"/>
  <c r="AF104" i="27"/>
  <c r="AI104" i="27" s="1"/>
  <c r="C28" i="27"/>
  <c r="AF106" i="27"/>
  <c r="AI106" i="27" s="1"/>
  <c r="F24" i="27"/>
  <c r="A6" i="54"/>
  <c r="C6" i="9"/>
  <c r="S13" i="45"/>
  <c r="P8" i="54"/>
  <c r="P7" i="54"/>
  <c r="P16" i="45"/>
  <c r="O23" i="52"/>
  <c r="E12" i="54"/>
  <c r="C12" i="54"/>
  <c r="O12" i="54" s="1"/>
  <c r="O49" i="28"/>
  <c r="O23" i="51"/>
  <c r="O49" i="52"/>
  <c r="D31" i="45"/>
  <c r="M22" i="45"/>
  <c r="M39" i="45"/>
  <c r="P15" i="54"/>
  <c r="E19" i="9"/>
  <c r="C9" i="54"/>
  <c r="O9" i="54" s="1"/>
  <c r="E9" i="54"/>
  <c r="O14" i="52"/>
  <c r="O14" i="51"/>
  <c r="O40" i="52"/>
  <c r="O40" i="51"/>
  <c r="O14" i="28"/>
  <c r="C20" i="9"/>
  <c r="A14" i="54"/>
  <c r="C48" i="28"/>
  <c r="C24" i="28" a="1"/>
  <c r="C24" i="28" s="1"/>
  <c r="P9" i="54"/>
  <c r="E7" i="54"/>
  <c r="C7" i="54"/>
  <c r="O7" i="54" s="1"/>
  <c r="O18" i="28"/>
  <c r="O18" i="51"/>
  <c r="O44" i="51"/>
  <c r="O44" i="28"/>
  <c r="P10" i="54"/>
  <c r="O34" i="52"/>
  <c r="C15" i="54"/>
  <c r="O15" i="54" s="1"/>
  <c r="E15" i="54"/>
  <c r="R24" i="52"/>
  <c r="R50" i="52"/>
  <c r="E12" i="48"/>
  <c r="E6" i="48"/>
  <c r="E16" i="54"/>
  <c r="C16" i="54"/>
  <c r="O16" i="54" s="1"/>
  <c r="E11" i="48"/>
  <c r="E13" i="48"/>
  <c r="E10" i="48"/>
  <c r="E9" i="48"/>
  <c r="R8" i="52"/>
  <c r="AI59" i="52"/>
  <c r="R14" i="51"/>
  <c r="R24" i="28"/>
  <c r="R9" i="28"/>
  <c r="R10" i="28"/>
  <c r="R35" i="52"/>
  <c r="BG56" i="45"/>
  <c r="AZ54" i="45"/>
  <c r="BD40" i="45"/>
  <c r="BB42" i="45"/>
  <c r="BD28" i="45"/>
  <c r="BD24" i="45"/>
  <c r="BH24" i="45"/>
  <c r="AZ24" i="45"/>
  <c r="O50" i="52"/>
  <c r="O17" i="54"/>
  <c r="E17" i="54"/>
  <c r="O9" i="52"/>
  <c r="E14" i="54"/>
  <c r="C14" i="54"/>
  <c r="O14" i="54" s="1"/>
  <c r="AH58" i="52"/>
  <c r="BC56" i="45"/>
  <c r="BC48" i="45"/>
  <c r="BC51" i="45"/>
  <c r="BG51" i="45"/>
  <c r="BA49" i="45"/>
  <c r="BE49" i="45"/>
  <c r="AZ49" i="45"/>
  <c r="BF44" i="45"/>
  <c r="AZ44" i="45"/>
  <c r="BH26" i="45"/>
  <c r="BD22" i="45"/>
  <c r="AZ30" i="45"/>
  <c r="AZ22" i="45"/>
  <c r="R8" i="51"/>
  <c r="BA56" i="45"/>
  <c r="BA48" i="45"/>
  <c r="BA53" i="45"/>
  <c r="BE53" i="45"/>
  <c r="AZ51" i="45"/>
  <c r="BB50" i="45"/>
  <c r="BF50" i="45"/>
  <c r="BG42" i="45"/>
  <c r="BA40" i="45"/>
  <c r="BA39" i="45"/>
  <c r="BE39" i="45"/>
  <c r="BC37" i="45"/>
  <c r="BG37" i="45"/>
  <c r="AZ37" i="45"/>
  <c r="BA35" i="45"/>
  <c r="BC30" i="45"/>
  <c r="BA24" i="45"/>
  <c r="AZ55" i="45"/>
  <c r="AZ53" i="45"/>
  <c r="BF42" i="45"/>
  <c r="BA43" i="45"/>
  <c r="BE43" i="45"/>
  <c r="AZ39" i="45"/>
  <c r="BH38" i="45"/>
  <c r="BA25" i="45"/>
  <c r="BE25" i="45"/>
  <c r="AZ25" i="45"/>
  <c r="O7" i="52"/>
  <c r="E6" i="54"/>
  <c r="C6" i="54"/>
  <c r="O6" i="54" s="1"/>
  <c r="R44" i="52"/>
  <c r="BD52" i="45"/>
  <c r="BD42" i="45"/>
  <c r="BH42" i="45"/>
  <c r="AZ29" i="45"/>
  <c r="AI59" i="28"/>
  <c r="R10" i="51"/>
  <c r="R16" i="28"/>
  <c r="E7" i="48"/>
  <c r="O10" i="54"/>
  <c r="E10" i="54"/>
  <c r="BB52" i="45"/>
  <c r="BA57" i="45"/>
  <c r="BE57" i="45"/>
  <c r="AZ57" i="45"/>
  <c r="BD57" i="45"/>
  <c r="BH57" i="45"/>
  <c r="BC57" i="45"/>
  <c r="BG57" i="45"/>
  <c r="BB57" i="45"/>
  <c r="BF57" i="45"/>
  <c r="BB40" i="45"/>
  <c r="BF40" i="45"/>
  <c r="AZ40" i="45"/>
  <c r="BB36" i="45"/>
  <c r="BG31" i="45"/>
  <c r="BB31" i="45"/>
  <c r="BF31" i="45"/>
  <c r="BA31" i="45"/>
  <c r="BE31" i="45"/>
  <c r="AZ31" i="45"/>
  <c r="BB30" i="45"/>
  <c r="BF30" i="45"/>
  <c r="BF22" i="45"/>
  <c r="E8" i="48"/>
  <c r="C8" i="54"/>
  <c r="O8" i="54" s="1"/>
  <c r="E8" i="54"/>
  <c r="AU54" i="45"/>
  <c r="AQ54" i="45"/>
  <c r="AW54" i="45"/>
  <c r="F11" i="48"/>
  <c r="F6" i="48"/>
  <c r="O34" i="51"/>
  <c r="O49" i="51"/>
  <c r="E5" i="48"/>
  <c r="F10" i="48"/>
  <c r="O18" i="52"/>
  <c r="O44" i="52"/>
  <c r="O24" i="51"/>
  <c r="O8" i="52"/>
  <c r="C12" i="48"/>
  <c r="O24" i="52"/>
  <c r="N62" i="27" l="1"/>
  <c r="O62" i="27" s="1"/>
  <c r="N93" i="27"/>
  <c r="O93" i="27" s="1"/>
  <c r="N64" i="27"/>
  <c r="O64" i="27" s="1"/>
  <c r="N63" i="27"/>
  <c r="O63" i="27" s="1"/>
  <c r="N119" i="27"/>
  <c r="O119" i="27" s="1"/>
  <c r="N121" i="27"/>
  <c r="O121" i="27" s="1"/>
  <c r="N70" i="27"/>
  <c r="O70" i="27" s="1"/>
  <c r="N104" i="27"/>
  <c r="O104" i="27" s="1"/>
  <c r="N68" i="27"/>
  <c r="O68" i="27" s="1"/>
  <c r="N105" i="27"/>
  <c r="O105" i="27" s="1"/>
  <c r="N95" i="27"/>
  <c r="O95" i="27" s="1"/>
  <c r="AH16" i="28"/>
  <c r="AH41" i="51"/>
  <c r="R32" i="51"/>
  <c r="N110" i="27"/>
  <c r="O110" i="27" s="1"/>
  <c r="A7" i="54"/>
  <c r="BH53" i="45"/>
  <c r="BH48" i="45"/>
  <c r="N58" i="27"/>
  <c r="O58" i="27" s="1"/>
  <c r="BG43" i="45"/>
  <c r="BC39" i="45"/>
  <c r="BC22" i="45"/>
  <c r="BC52" i="45"/>
  <c r="BG39" i="45"/>
  <c r="BB22" i="45"/>
  <c r="BF39" i="45"/>
  <c r="BD39" i="45"/>
  <c r="BH40" i="45"/>
  <c r="N50" i="51"/>
  <c r="AI47" i="51" s="1"/>
  <c r="N24" i="52"/>
  <c r="AI22" i="52" s="1"/>
  <c r="P17" i="54"/>
  <c r="N24" i="28"/>
  <c r="AI22" i="28" s="1"/>
  <c r="N24" i="51"/>
  <c r="AI22" i="51" s="1"/>
  <c r="N50" i="52"/>
  <c r="AI47" i="52" s="1"/>
  <c r="N50" i="28"/>
  <c r="AI47" i="28" s="1"/>
  <c r="P13" i="52"/>
  <c r="P13" i="51"/>
  <c r="P13" i="28"/>
  <c r="A12" i="54"/>
  <c r="C10" i="9"/>
  <c r="BD31" i="45"/>
  <c r="AZ36" i="45"/>
  <c r="BA29" i="45"/>
  <c r="BB54" i="45"/>
  <c r="BG26" i="45"/>
  <c r="BE36" i="45"/>
  <c r="BC55" i="45"/>
  <c r="BA44" i="45"/>
  <c r="BB48" i="45"/>
  <c r="BG48" i="45"/>
  <c r="S16" i="45"/>
  <c r="AZ42" i="45"/>
  <c r="BH54" i="45"/>
  <c r="BG44" i="45"/>
  <c r="BG45" i="45" s="1"/>
  <c r="BG46" i="45" s="1"/>
  <c r="J26" i="27" s="1"/>
  <c r="S25" i="27" s="1"/>
  <c r="BB44" i="45"/>
  <c r="BG29" i="45"/>
  <c r="G24" i="28"/>
  <c r="U24" i="28" s="1"/>
  <c r="U50" i="28" s="1"/>
  <c r="N56" i="27"/>
  <c r="O56" i="27" s="1"/>
  <c r="BB26" i="45"/>
  <c r="BU34" i="45"/>
  <c r="BM34" i="45"/>
  <c r="BD36" i="45"/>
  <c r="BC44" i="45"/>
  <c r="N60" i="27"/>
  <c r="O60" i="27" s="1"/>
  <c r="BE56" i="45"/>
  <c r="BP34" i="45"/>
  <c r="AZ48" i="45"/>
  <c r="N61" i="27"/>
  <c r="O61" i="27" s="1"/>
  <c r="AB34" i="27" s="1" a="1"/>
  <c r="AB34" i="27" s="1"/>
  <c r="BH44" i="45"/>
  <c r="BD48" i="45"/>
  <c r="BD44" i="45"/>
  <c r="BH36" i="45"/>
  <c r="BH31" i="45"/>
  <c r="BE29" i="45"/>
  <c r="BD38" i="45"/>
  <c r="BF54" i="45"/>
  <c r="BE28" i="45"/>
  <c r="BG55" i="45"/>
  <c r="BF28" i="45"/>
  <c r="BG54" i="45"/>
  <c r="BF55" i="45"/>
  <c r="BE55" i="45"/>
  <c r="BC25" i="45"/>
  <c r="BH55" i="45"/>
  <c r="BD25" i="45"/>
  <c r="BE37" i="45"/>
  <c r="BA26" i="45"/>
  <c r="BA42" i="45"/>
  <c r="BF38" i="45"/>
  <c r="BB43" i="45"/>
  <c r="BE38" i="45"/>
  <c r="BC42" i="45"/>
  <c r="BC43" i="45"/>
  <c r="BH37" i="45"/>
  <c r="AZ43" i="45"/>
  <c r="N81" i="27"/>
  <c r="O81" i="27" s="1"/>
  <c r="BN34" i="45"/>
  <c r="BB37" i="45"/>
  <c r="BG50" i="45"/>
  <c r="BF36" i="45"/>
  <c r="BC23" i="45"/>
  <c r="BD23" i="45"/>
  <c r="BE41" i="45"/>
  <c r="BQ47" i="45"/>
  <c r="BG23" i="45"/>
  <c r="BG41" i="45"/>
  <c r="BN47" i="45"/>
  <c r="BC41" i="45"/>
  <c r="N80" i="27"/>
  <c r="O80" i="27" s="1"/>
  <c r="BB41" i="45"/>
  <c r="BD41" i="45"/>
  <c r="BV47" i="45"/>
  <c r="N82" i="27"/>
  <c r="O82" i="27" s="1"/>
  <c r="BE23" i="45"/>
  <c r="AZ23" i="45"/>
  <c r="BO47" i="45"/>
  <c r="BA36" i="45"/>
  <c r="N97" i="27"/>
  <c r="O97" i="27" s="1"/>
  <c r="BS47" i="45"/>
  <c r="BF23" i="45"/>
  <c r="BA41" i="45"/>
  <c r="BD27" i="45"/>
  <c r="BH23" i="45"/>
  <c r="N123" i="27"/>
  <c r="O123" i="27" s="1"/>
  <c r="BR34" i="45"/>
  <c r="BV49" i="45"/>
  <c r="BQ49" i="45"/>
  <c r="BM49" i="45"/>
  <c r="BO49" i="45"/>
  <c r="BT49" i="45"/>
  <c r="BR49" i="45"/>
  <c r="BP49" i="45"/>
  <c r="BN49" i="45"/>
  <c r="BS49" i="45"/>
  <c r="BU49" i="45"/>
  <c r="BP50" i="45"/>
  <c r="BR50" i="45"/>
  <c r="BV50" i="45"/>
  <c r="BN50" i="45"/>
  <c r="BO50" i="45"/>
  <c r="BM50" i="45"/>
  <c r="BT50" i="45"/>
  <c r="BS50" i="45"/>
  <c r="BU50" i="45"/>
  <c r="BQ50" i="45"/>
  <c r="BH30" i="45"/>
  <c r="BD43" i="45"/>
  <c r="BO51" i="45"/>
  <c r="BM51" i="45"/>
  <c r="BV51" i="45"/>
  <c r="BU51" i="45"/>
  <c r="BR51" i="45"/>
  <c r="BN51" i="45"/>
  <c r="BP51" i="45"/>
  <c r="BT51" i="45"/>
  <c r="BQ51" i="45"/>
  <c r="BS51" i="45"/>
  <c r="BU47" i="45"/>
  <c r="BG28" i="45"/>
  <c r="BD54" i="45"/>
  <c r="BD29" i="45"/>
  <c r="BR47" i="45"/>
  <c r="BE54" i="45"/>
  <c r="BH43" i="45"/>
  <c r="BH29" i="45"/>
  <c r="BA37" i="45"/>
  <c r="BD53" i="45"/>
  <c r="BT47" i="45"/>
  <c r="F28" i="27"/>
  <c r="M43" i="45"/>
  <c r="N125" i="27"/>
  <c r="O125" i="27" s="1"/>
  <c r="M55" i="45"/>
  <c r="BM47" i="45"/>
  <c r="BF26" i="45"/>
  <c r="BC29" i="45"/>
  <c r="Z37" i="22"/>
  <c r="H24" i="22"/>
  <c r="A8" i="54"/>
  <c r="C14" i="9"/>
  <c r="R6" i="52"/>
  <c r="G24" i="52"/>
  <c r="U24" i="52" s="1"/>
  <c r="U50" i="52" s="1"/>
  <c r="M37" i="52"/>
  <c r="AH37" i="52" s="1"/>
  <c r="AB9" i="52"/>
  <c r="E13" i="54"/>
  <c r="C13" i="54"/>
  <c r="O13" i="54" s="1"/>
  <c r="AH12" i="51"/>
  <c r="AH11" i="52"/>
  <c r="M37" i="51"/>
  <c r="AH37" i="51" s="1"/>
  <c r="G24" i="51"/>
  <c r="U24" i="51" s="1"/>
  <c r="U50" i="51" s="1"/>
  <c r="AH11" i="28"/>
  <c r="M51" i="28"/>
  <c r="AH48" i="28" s="1"/>
  <c r="G23" i="22"/>
  <c r="BQ39" i="45"/>
  <c r="BN39" i="45"/>
  <c r="BS39" i="45"/>
  <c r="BV39" i="45"/>
  <c r="BP39" i="45"/>
  <c r="BO39" i="45"/>
  <c r="BT39" i="45"/>
  <c r="BM39" i="45"/>
  <c r="BU39" i="45"/>
  <c r="BR39" i="45"/>
  <c r="BQ34" i="45"/>
  <c r="BG35" i="45"/>
  <c r="BA54" i="45"/>
  <c r="BF53" i="45"/>
  <c r="BW22" i="45"/>
  <c r="BV35" i="45"/>
  <c r="BN35" i="45"/>
  <c r="BP35" i="45"/>
  <c r="BM35" i="45"/>
  <c r="BU35" i="45"/>
  <c r="BT35" i="45"/>
  <c r="BS35" i="45"/>
  <c r="BO35" i="45"/>
  <c r="BR35" i="45"/>
  <c r="BQ35" i="45"/>
  <c r="BO38" i="45"/>
  <c r="BP38" i="45"/>
  <c r="BM38" i="45"/>
  <c r="BV38" i="45"/>
  <c r="BU38" i="45"/>
  <c r="BN38" i="45"/>
  <c r="BR38" i="45"/>
  <c r="BT38" i="45"/>
  <c r="BQ38" i="45"/>
  <c r="BS38" i="45"/>
  <c r="BU36" i="45"/>
  <c r="BP36" i="45"/>
  <c r="BO36" i="45"/>
  <c r="BT36" i="45"/>
  <c r="BN36" i="45"/>
  <c r="BQ36" i="45"/>
  <c r="BR36" i="45"/>
  <c r="BV36" i="45"/>
  <c r="BM36" i="45"/>
  <c r="BS36" i="45"/>
  <c r="BA27" i="45"/>
  <c r="BB27" i="45"/>
  <c r="BB35" i="45"/>
  <c r="BB53" i="45"/>
  <c r="BB38" i="45"/>
  <c r="BR41" i="45"/>
  <c r="BQ41" i="45"/>
  <c r="BO41" i="45"/>
  <c r="BV41" i="45"/>
  <c r="BT41" i="45"/>
  <c r="BM41" i="45"/>
  <c r="BU41" i="45"/>
  <c r="BN41" i="45"/>
  <c r="BP41" i="45"/>
  <c r="BS41" i="45"/>
  <c r="BP37" i="45"/>
  <c r="BT37" i="45"/>
  <c r="BO37" i="45"/>
  <c r="BQ37" i="45"/>
  <c r="BR37" i="45"/>
  <c r="BV37" i="45"/>
  <c r="BS37" i="45"/>
  <c r="BM37" i="45"/>
  <c r="BU37" i="45"/>
  <c r="BN37" i="45"/>
  <c r="BG27" i="45"/>
  <c r="M31" i="45"/>
  <c r="BH27" i="45"/>
  <c r="BA52" i="45"/>
  <c r="BA58" i="45" s="1"/>
  <c r="BA59" i="45" s="1"/>
  <c r="K20" i="27" s="1"/>
  <c r="T19" i="27" s="1"/>
  <c r="BC53" i="45"/>
  <c r="AZ27" i="45"/>
  <c r="BC27" i="45"/>
  <c r="BE27" i="45"/>
  <c r="BF52" i="45"/>
  <c r="BF27" i="45"/>
  <c r="BH35" i="45"/>
  <c r="BD35" i="45"/>
  <c r="BD45" i="45" s="1"/>
  <c r="BD46" i="45" s="1"/>
  <c r="J23" i="27" s="1"/>
  <c r="S22" i="27" s="1"/>
  <c r="BA23" i="45"/>
  <c r="BF35" i="45"/>
  <c r="BQ53" i="45"/>
  <c r="BP53" i="45"/>
  <c r="BV53" i="45"/>
  <c r="BU53" i="45"/>
  <c r="BM53" i="45"/>
  <c r="BN53" i="45"/>
  <c r="BS53" i="45"/>
  <c r="BR53" i="45"/>
  <c r="BO53" i="45"/>
  <c r="BT53" i="45"/>
  <c r="BM40" i="45"/>
  <c r="BO40" i="45"/>
  <c r="BQ40" i="45"/>
  <c r="BU40" i="45"/>
  <c r="BP40" i="45"/>
  <c r="BT40" i="45"/>
  <c r="BN40" i="45"/>
  <c r="BS40" i="45"/>
  <c r="BV40" i="45"/>
  <c r="BR40" i="45"/>
  <c r="BN42" i="45"/>
  <c r="BU42" i="45"/>
  <c r="BV42" i="45"/>
  <c r="BO42" i="45"/>
  <c r="BM42" i="45"/>
  <c r="BQ42" i="45"/>
  <c r="BS42" i="45"/>
  <c r="BP42" i="45"/>
  <c r="BR42" i="45"/>
  <c r="BT42" i="45"/>
  <c r="BV34" i="45"/>
  <c r="AZ52" i="45"/>
  <c r="M37" i="28"/>
  <c r="AH37" i="28" s="1"/>
  <c r="BS34" i="45"/>
  <c r="AZ35" i="45"/>
  <c r="BG52" i="45"/>
  <c r="BH52" i="45"/>
  <c r="BE35" i="45"/>
  <c r="BE45" i="45" s="1"/>
  <c r="BE46" i="45" s="1"/>
  <c r="J24" i="27" s="1"/>
  <c r="S23" i="27" s="1"/>
  <c r="BE40" i="45"/>
  <c r="BH39" i="45"/>
  <c r="N126" i="27"/>
  <c r="O126" i="27" s="1"/>
  <c r="BC49" i="45"/>
  <c r="BS46" i="45"/>
  <c r="BQ46" i="45"/>
  <c r="BN46" i="45"/>
  <c r="BT46" i="45"/>
  <c r="BB28" i="45"/>
  <c r="BA30" i="45"/>
  <c r="AZ41" i="45"/>
  <c r="AZ45" i="45" s="1"/>
  <c r="BH41" i="45"/>
  <c r="BV46" i="45"/>
  <c r="BA51" i="45"/>
  <c r="BE24" i="45"/>
  <c r="BB51" i="45"/>
  <c r="BD26" i="45"/>
  <c r="BH49" i="45"/>
  <c r="BA55" i="45"/>
  <c r="BU46" i="45"/>
  <c r="M128" i="27"/>
  <c r="N128" i="27" s="1"/>
  <c r="BF24" i="45"/>
  <c r="BC28" i="45"/>
  <c r="BF51" i="45"/>
  <c r="BG25" i="45"/>
  <c r="BO46" i="45"/>
  <c r="AZ38" i="45"/>
  <c r="BE58" i="45"/>
  <c r="BE59" i="45" s="1"/>
  <c r="K24" i="27" s="1"/>
  <c r="T23" i="27" s="1"/>
  <c r="BD49" i="45"/>
  <c r="BG22" i="45"/>
  <c r="BM29" i="45"/>
  <c r="BQ29" i="45"/>
  <c r="BU29" i="45"/>
  <c r="BP29" i="45"/>
  <c r="BS29" i="45"/>
  <c r="BV29" i="45"/>
  <c r="BT29" i="45"/>
  <c r="BO29" i="45"/>
  <c r="BR29" i="45"/>
  <c r="BN29" i="45"/>
  <c r="BH22" i="45"/>
  <c r="BS30" i="45"/>
  <c r="BM30" i="45"/>
  <c r="BU30" i="45"/>
  <c r="BT30" i="45"/>
  <c r="BR30" i="45"/>
  <c r="BP30" i="45"/>
  <c r="BO30" i="45"/>
  <c r="BN30" i="45"/>
  <c r="BV30" i="45"/>
  <c r="BQ30" i="45"/>
  <c r="BA38" i="45"/>
  <c r="BP46" i="45"/>
  <c r="BC24" i="45"/>
  <c r="BT25" i="45"/>
  <c r="BU25" i="45"/>
  <c r="BM25" i="45"/>
  <c r="BP25" i="45"/>
  <c r="BO25" i="45"/>
  <c r="BV25" i="45"/>
  <c r="BN25" i="45"/>
  <c r="BQ25" i="45"/>
  <c r="BR25" i="45"/>
  <c r="BS25" i="45"/>
  <c r="BM28" i="45"/>
  <c r="BP28" i="45"/>
  <c r="BV28" i="45"/>
  <c r="BT28" i="45"/>
  <c r="BQ28" i="45"/>
  <c r="BR28" i="45"/>
  <c r="BO28" i="45"/>
  <c r="BU28" i="45"/>
  <c r="BS28" i="45"/>
  <c r="BN28" i="45"/>
  <c r="BF49" i="45"/>
  <c r="AZ56" i="45"/>
  <c r="BE26" i="45"/>
  <c r="BH51" i="45"/>
  <c r="BC38" i="45"/>
  <c r="BR46" i="45"/>
  <c r="BA28" i="45"/>
  <c r="BG49" i="45"/>
  <c r="BC36" i="45"/>
  <c r="N112" i="27"/>
  <c r="O112" i="27" s="1"/>
  <c r="BF45" i="45"/>
  <c r="BF46" i="45" s="1"/>
  <c r="J25" i="27" s="1"/>
  <c r="S24" i="27" s="1"/>
  <c r="BU26" i="45"/>
  <c r="BO26" i="45"/>
  <c r="BR26" i="45"/>
  <c r="BP26" i="45"/>
  <c r="BM26" i="45"/>
  <c r="BV26" i="45"/>
  <c r="BS26" i="45"/>
  <c r="BQ26" i="45"/>
  <c r="BN26" i="45"/>
  <c r="BT26" i="45"/>
  <c r="BE22" i="45"/>
  <c r="BT27" i="45"/>
  <c r="BS27" i="45"/>
  <c r="BQ27" i="45"/>
  <c r="BV27" i="45"/>
  <c r="BN27" i="45"/>
  <c r="BU27" i="45"/>
  <c r="BM27" i="45"/>
  <c r="BO27" i="45"/>
  <c r="BP27" i="45"/>
  <c r="BR27" i="45"/>
  <c r="BD51" i="45"/>
  <c r="BG24" i="45"/>
  <c r="BM24" i="45"/>
  <c r="BP24" i="45"/>
  <c r="BQ24" i="45"/>
  <c r="BT24" i="45"/>
  <c r="BN24" i="45"/>
  <c r="BR24" i="45"/>
  <c r="BV24" i="45"/>
  <c r="BU24" i="45"/>
  <c r="BO24" i="45"/>
  <c r="BS24" i="45"/>
  <c r="BC26" i="45"/>
  <c r="BA22" i="45"/>
  <c r="BU23" i="45"/>
  <c r="BV23" i="45"/>
  <c r="BO23" i="45"/>
  <c r="BQ23" i="45"/>
  <c r="BR23" i="45"/>
  <c r="BP23" i="45"/>
  <c r="BT23" i="45"/>
  <c r="BM23" i="45"/>
  <c r="BN23" i="45"/>
  <c r="BS23" i="45"/>
  <c r="BM46" i="45"/>
  <c r="AH21" i="51"/>
  <c r="AH18" i="51"/>
  <c r="M49" i="28"/>
  <c r="AH46" i="28" s="1"/>
  <c r="M36" i="51"/>
  <c r="AH36" i="51" s="1"/>
  <c r="M44" i="52"/>
  <c r="AH43" i="52" s="1"/>
  <c r="AH18" i="52"/>
  <c r="AH18" i="28"/>
  <c r="M36" i="28"/>
  <c r="AH36" i="28" s="1"/>
  <c r="AH22" i="28"/>
  <c r="M44" i="51"/>
  <c r="AH43" i="51" s="1"/>
  <c r="M49" i="51"/>
  <c r="AH46" i="51" s="1"/>
  <c r="M34" i="51"/>
  <c r="AH34" i="51" s="1"/>
  <c r="AH7" i="52"/>
  <c r="M50" i="52"/>
  <c r="AH47" i="52" s="1"/>
  <c r="AH16" i="52"/>
  <c r="AH41" i="52"/>
  <c r="M36" i="52"/>
  <c r="AH36" i="52" s="1"/>
  <c r="AH8" i="52"/>
  <c r="AH14" i="28"/>
  <c r="AH21" i="52"/>
  <c r="AH16" i="51"/>
  <c r="M35" i="51"/>
  <c r="AH35" i="51" s="1"/>
  <c r="AH10" i="51"/>
  <c r="AH9" i="52"/>
  <c r="AH14" i="52"/>
  <c r="M40" i="51"/>
  <c r="AH39" i="51" s="1"/>
  <c r="M34" i="52"/>
  <c r="AH34" i="52" s="1"/>
  <c r="M40" i="52"/>
  <c r="AH39" i="52" s="1"/>
  <c r="AH41" i="28"/>
  <c r="AH22" i="52"/>
  <c r="AH22" i="51"/>
  <c r="M44" i="28"/>
  <c r="AH43" i="28" s="1"/>
  <c r="AH14" i="51"/>
  <c r="M49" i="52"/>
  <c r="AH46" i="52" s="1"/>
  <c r="M35" i="28"/>
  <c r="AH35" i="28" s="1"/>
  <c r="M34" i="28"/>
  <c r="AH34" i="28" s="1"/>
  <c r="BH56" i="45"/>
  <c r="BR54" i="45"/>
  <c r="BP54" i="45"/>
  <c r="BV54" i="45"/>
  <c r="BN54" i="45"/>
  <c r="BO54" i="45"/>
  <c r="BT54" i="45"/>
  <c r="BQ54" i="45"/>
  <c r="BM54" i="45"/>
  <c r="BS54" i="45"/>
  <c r="BU54" i="45"/>
  <c r="BG58" i="45"/>
  <c r="BG59" i="45" s="1"/>
  <c r="K26" i="27" s="1"/>
  <c r="T25" i="27" s="1"/>
  <c r="N55" i="27"/>
  <c r="O55" i="27" s="1"/>
  <c r="N54" i="27"/>
  <c r="O54" i="27" s="1"/>
  <c r="N53" i="27"/>
  <c r="O53" i="27" s="1"/>
  <c r="CH34" i="27" s="1" a="1"/>
  <c r="CH34" i="27" s="1"/>
  <c r="BB56" i="45"/>
  <c r="BS48" i="45"/>
  <c r="BO48" i="45"/>
  <c r="BU48" i="45"/>
  <c r="BP48" i="45"/>
  <c r="BR48" i="45"/>
  <c r="BQ48" i="45"/>
  <c r="BT48" i="45"/>
  <c r="BV48" i="45"/>
  <c r="BM48" i="45"/>
  <c r="BN48" i="45"/>
  <c r="N103" i="27"/>
  <c r="O103" i="27" s="1"/>
  <c r="N101" i="27"/>
  <c r="O101" i="27" s="1"/>
  <c r="N102" i="27"/>
  <c r="O102" i="27" s="1"/>
  <c r="N107" i="27"/>
  <c r="O107" i="27" s="1"/>
  <c r="N109" i="27"/>
  <c r="O109" i="27" s="1"/>
  <c r="N108" i="27"/>
  <c r="O108" i="27" s="1"/>
  <c r="A11" i="43"/>
  <c r="A9" i="9" s="1"/>
  <c r="C9" i="9" s="1"/>
  <c r="N71" i="27"/>
  <c r="O71" i="27" s="1"/>
  <c r="AQ34" i="27" s="1" a="1"/>
  <c r="AQ34" i="27" s="1"/>
  <c r="N73" i="27"/>
  <c r="O73" i="27" s="1"/>
  <c r="N72" i="27"/>
  <c r="O72" i="27" s="1"/>
  <c r="BF56" i="45"/>
  <c r="BN52" i="45"/>
  <c r="BR52" i="45"/>
  <c r="BU52" i="45"/>
  <c r="BT52" i="45"/>
  <c r="BQ52" i="45"/>
  <c r="BO52" i="45"/>
  <c r="BS52" i="45"/>
  <c r="BP52" i="45"/>
  <c r="BM52" i="45"/>
  <c r="BV52" i="45"/>
  <c r="N84" i="27"/>
  <c r="O84" i="27" s="1"/>
  <c r="N85" i="27"/>
  <c r="O85" i="27" s="1"/>
  <c r="N83" i="27"/>
  <c r="O83" i="27" s="1"/>
  <c r="N114" i="27"/>
  <c r="O114" i="27" s="1"/>
  <c r="N113" i="27"/>
  <c r="O113" i="27" s="1"/>
  <c r="N115" i="27"/>
  <c r="O115" i="27" s="1"/>
  <c r="AZ32" i="45"/>
  <c r="BC58" i="45"/>
  <c r="BC59" i="45" s="1"/>
  <c r="K22" i="27" s="1"/>
  <c r="T21" i="27" s="1"/>
  <c r="N89" i="27"/>
  <c r="O89" i="27" s="1"/>
  <c r="N91" i="27"/>
  <c r="O91" i="27" s="1"/>
  <c r="N90" i="27"/>
  <c r="O90" i="27" s="1"/>
  <c r="BA45" i="45"/>
  <c r="BA46" i="45" s="1"/>
  <c r="J20" i="27" s="1"/>
  <c r="S19" i="27" s="1"/>
  <c r="N79" i="27"/>
  <c r="O79" i="27" s="1"/>
  <c r="N77" i="27"/>
  <c r="O77" i="27" s="1"/>
  <c r="N78" i="27"/>
  <c r="O78" i="27" s="1"/>
  <c r="N65" i="27"/>
  <c r="O65" i="27" s="1"/>
  <c r="N66" i="27"/>
  <c r="O66" i="27" s="1"/>
  <c r="N67" i="27"/>
  <c r="O67" i="27" s="1"/>
  <c r="Y34" i="27" l="1" a="1"/>
  <c r="Y34" i="27" s="1"/>
  <c r="AD34" i="27" a="1"/>
  <c r="AD34" i="27" s="1"/>
  <c r="J34" i="27" a="1"/>
  <c r="J34" i="27" s="1"/>
  <c r="AV34" i="27" a="1"/>
  <c r="AV34" i="27" s="1"/>
  <c r="BQ34" i="27" a="1"/>
  <c r="BQ34" i="27" s="1"/>
  <c r="AL34" i="27" a="1"/>
  <c r="AL34" i="27" s="1"/>
  <c r="AF34" i="27" a="1"/>
  <c r="AF34" i="27" s="1"/>
  <c r="BS34" i="27" a="1"/>
  <c r="BS34" i="27" s="1"/>
  <c r="AO34" i="27" a="1"/>
  <c r="AO34" i="27" s="1"/>
  <c r="O34" i="27" a="1"/>
  <c r="O34" i="27" s="1"/>
  <c r="CD34" i="27" a="1"/>
  <c r="CD34" i="27" s="1"/>
  <c r="BG34" i="27" a="1"/>
  <c r="BG34" i="27" s="1"/>
  <c r="AJ34" i="27" a="1"/>
  <c r="AJ34" i="27" s="1"/>
  <c r="M34" i="27" a="1"/>
  <c r="M34" i="27" s="1"/>
  <c r="BY34" i="27" a="1"/>
  <c r="BY34" i="27" s="1"/>
  <c r="BY43" i="27" s="1"/>
  <c r="AT34" i="27" a="1"/>
  <c r="AT34" i="27" s="1"/>
  <c r="BN34" i="27" a="1"/>
  <c r="BN34" i="27" s="1"/>
  <c r="BI34" i="27" a="1"/>
  <c r="BI34" i="27" s="1"/>
  <c r="BV34" i="27" a="1"/>
  <c r="BV34" i="27" s="1"/>
  <c r="CA34" i="27" a="1"/>
  <c r="CA34" i="27" s="1"/>
  <c r="BO34" i="27" a="1"/>
  <c r="BO34" i="27" s="1"/>
  <c r="BB34" i="27" a="1"/>
  <c r="BB34" i="27" s="1"/>
  <c r="W34" i="27" a="1"/>
  <c r="W34" i="27" s="1"/>
  <c r="X34" i="27" a="1"/>
  <c r="X34" i="27" s="1"/>
  <c r="BE34" i="27" a="1"/>
  <c r="BE34" i="27" s="1"/>
  <c r="AH34" i="27" a="1"/>
  <c r="AH34" i="27" s="1"/>
  <c r="K34" i="27" a="1"/>
  <c r="K34" i="27" s="1"/>
  <c r="BW34" i="27" a="1"/>
  <c r="BW34" i="27" s="1"/>
  <c r="AZ34" i="27" a="1"/>
  <c r="AZ34" i="27" s="1"/>
  <c r="AC34" i="27" a="1"/>
  <c r="AC34" i="27" s="1"/>
  <c r="S34" i="27" a="1"/>
  <c r="S34" i="27" s="1"/>
  <c r="BJ34" i="27" a="1"/>
  <c r="BJ34" i="27" s="1"/>
  <c r="BT34" i="27" a="1"/>
  <c r="BT34" i="27" s="1"/>
  <c r="CF34" i="27" a="1"/>
  <c r="CF34" i="27" s="1"/>
  <c r="AY34" i="27" a="1"/>
  <c r="AY34" i="27" s="1"/>
  <c r="AN34" i="27" a="1"/>
  <c r="AN34" i="27" s="1"/>
  <c r="CG34" i="27" a="1"/>
  <c r="CG34" i="27" s="1"/>
  <c r="AE34" i="27" a="1"/>
  <c r="AE34" i="27" s="1"/>
  <c r="CB34" i="27" a="1"/>
  <c r="CB34" i="27" s="1"/>
  <c r="BM34" i="27" a="1"/>
  <c r="BM34" i="27" s="1"/>
  <c r="AP34" i="27" a="1"/>
  <c r="AP34" i="27" s="1"/>
  <c r="P34" i="27" a="1"/>
  <c r="P34" i="27" s="1"/>
  <c r="CE34" i="27" a="1"/>
  <c r="CE34" i="27" s="1"/>
  <c r="BH34" i="27" a="1"/>
  <c r="BH34" i="27" s="1"/>
  <c r="AK34" i="27" a="1"/>
  <c r="AK34" i="27" s="1"/>
  <c r="BL34" i="27" a="1"/>
  <c r="BL34" i="27" s="1"/>
  <c r="BR34" i="27" a="1"/>
  <c r="BR34" i="27" s="1"/>
  <c r="BC34" i="27" a="1"/>
  <c r="BC34" i="27" s="1"/>
  <c r="Q34" i="27" a="1"/>
  <c r="Q34" i="27" s="1"/>
  <c r="AG34" i="27" a="1"/>
  <c r="AG34" i="27" s="1"/>
  <c r="R34" i="27" a="1"/>
  <c r="R34" i="27" s="1"/>
  <c r="AW34" i="27" a="1"/>
  <c r="AW34" i="27" s="1"/>
  <c r="U34" i="27" a="1"/>
  <c r="U34" i="27" s="1"/>
  <c r="AM34" i="27" a="1"/>
  <c r="AM34" i="27" s="1"/>
  <c r="I34" i="27" a="1"/>
  <c r="I34" i="27" s="1"/>
  <c r="BU34" i="27" a="1"/>
  <c r="BU34" i="27" s="1"/>
  <c r="AX34" i="27" a="1"/>
  <c r="AX34" i="27" s="1"/>
  <c r="AA34" i="27" a="1"/>
  <c r="AA34" i="27" s="1"/>
  <c r="BD34" i="27" a="1"/>
  <c r="BD34" i="27" s="1"/>
  <c r="BP34" i="27" a="1"/>
  <c r="BP34" i="27" s="1"/>
  <c r="AS34" i="27" a="1"/>
  <c r="AS34" i="27" s="1"/>
  <c r="L34" i="27" a="1"/>
  <c r="L34" i="27" s="1"/>
  <c r="BZ34" i="27" a="1"/>
  <c r="BZ34" i="27" s="1"/>
  <c r="BK34" i="27" a="1"/>
  <c r="BK34" i="27" s="1"/>
  <c r="Z34" i="27" a="1"/>
  <c r="Z34" i="27" s="1"/>
  <c r="AR34" i="27" a="1"/>
  <c r="AR34" i="27" s="1"/>
  <c r="AU34" i="27" a="1"/>
  <c r="AU34" i="27" s="1"/>
  <c r="T34" i="27" a="1"/>
  <c r="T34" i="27" s="1"/>
  <c r="CC34" i="27" a="1"/>
  <c r="CC34" i="27" s="1"/>
  <c r="BF34" i="27" a="1"/>
  <c r="BF34" i="27" s="1"/>
  <c r="AI34" i="27" a="1"/>
  <c r="AI34" i="27" s="1"/>
  <c r="N34" i="27" a="1"/>
  <c r="N34" i="27" s="1"/>
  <c r="BX34" i="27" a="1"/>
  <c r="BX34" i="27" s="1"/>
  <c r="BA34" i="27" a="1"/>
  <c r="BA34" i="27" s="1"/>
  <c r="V34" i="27" a="1"/>
  <c r="V34" i="27" s="1"/>
  <c r="W35" i="27" a="1"/>
  <c r="W35" i="27" s="1"/>
  <c r="I42" i="27" a="1"/>
  <c r="I42" i="27" s="1"/>
  <c r="L39" i="27" a="1"/>
  <c r="L39" i="27" s="1"/>
  <c r="W38" i="27" a="1"/>
  <c r="W38" i="27" s="1"/>
  <c r="K42" i="27" a="1"/>
  <c r="K42" i="27" s="1"/>
  <c r="M38" i="27" a="1"/>
  <c r="M38" i="27" s="1"/>
  <c r="CC42" i="27" a="1"/>
  <c r="CC42" i="27" s="1"/>
  <c r="CA37" i="27" a="1"/>
  <c r="CA37" i="27" s="1"/>
  <c r="BS42" i="27" a="1"/>
  <c r="BS42" i="27" s="1"/>
  <c r="BL41" i="27" a="1"/>
  <c r="BL41" i="27" s="1"/>
  <c r="BB39" i="27" a="1"/>
  <c r="BB39" i="27" s="1"/>
  <c r="AX37" i="27" a="1"/>
  <c r="AX37" i="27" s="1"/>
  <c r="AT36" i="27" a="1"/>
  <c r="AT36" i="27" s="1"/>
  <c r="AJ35" i="27" a="1"/>
  <c r="AJ35" i="27" s="1"/>
  <c r="AA42" i="27" a="1"/>
  <c r="AA42" i="27" s="1"/>
  <c r="V41" i="27" a="1"/>
  <c r="V41" i="27" s="1"/>
  <c r="CC36" i="27" a="1"/>
  <c r="CC36" i="27" s="1"/>
  <c r="BY39" i="27" a="1"/>
  <c r="BY39" i="27" s="1"/>
  <c r="BS38" i="27" a="1"/>
  <c r="BS38" i="27" s="1"/>
  <c r="BM36" i="27" a="1"/>
  <c r="BM36" i="27" s="1"/>
  <c r="BC36" i="27" a="1"/>
  <c r="BC36" i="27" s="1"/>
  <c r="AM41" i="27" a="1"/>
  <c r="AM41" i="27" s="1"/>
  <c r="AI39" i="27" a="1"/>
  <c r="AI39" i="27" s="1"/>
  <c r="CG41" i="27" a="1"/>
  <c r="CG41" i="27" s="1"/>
  <c r="CB36" i="27" a="1"/>
  <c r="CB36" i="27" s="1"/>
  <c r="BQ42" i="27" a="1"/>
  <c r="BQ42" i="27" s="1"/>
  <c r="BK41" i="27" a="1"/>
  <c r="BK41" i="27" s="1"/>
  <c r="BG39" i="27" a="1"/>
  <c r="BG39" i="27" s="1"/>
  <c r="AX38" i="27" a="1"/>
  <c r="AX38" i="27" s="1"/>
  <c r="AR36" i="27" a="1"/>
  <c r="AR36" i="27" s="1"/>
  <c r="Y41" i="27" a="1"/>
  <c r="Y41" i="27" s="1"/>
  <c r="R40" i="27" a="1"/>
  <c r="R40" i="27" s="1"/>
  <c r="CA41" i="27" a="1"/>
  <c r="CA41" i="27" s="1"/>
  <c r="BT36" i="27" a="1"/>
  <c r="BT36" i="27" s="1"/>
  <c r="BJ42" i="27" a="1"/>
  <c r="BJ42" i="27" s="1"/>
  <c r="BF39" i="27" a="1"/>
  <c r="BF39" i="27" s="1"/>
  <c r="AW38" i="27" a="1"/>
  <c r="AW38" i="27" s="1"/>
  <c r="AS37" i="27" a="1"/>
  <c r="AS37" i="27" s="1"/>
  <c r="AO35" i="27" a="1"/>
  <c r="AO35" i="27" s="1"/>
  <c r="CD38" i="27" a="1"/>
  <c r="CD38" i="27" s="1"/>
  <c r="BX41" i="27" a="1"/>
  <c r="BX41" i="27" s="1"/>
  <c r="BR39" i="27" a="1"/>
  <c r="BR39" i="27" s="1"/>
  <c r="BL37" i="27" a="1"/>
  <c r="BL37" i="27" s="1"/>
  <c r="BF35" i="27" a="1"/>
  <c r="BF35" i="27" s="1"/>
  <c r="AJ41" i="27" a="1"/>
  <c r="AJ41" i="27" s="1"/>
  <c r="AF39" i="27" a="1"/>
  <c r="AF39" i="27" s="1"/>
  <c r="Z37" i="27" a="1"/>
  <c r="Z37" i="27" s="1"/>
  <c r="V35" i="27" a="1"/>
  <c r="V35" i="27" s="1"/>
  <c r="CE35" i="27" a="1"/>
  <c r="CE35" i="27" s="1"/>
  <c r="BV38" i="27" a="1"/>
  <c r="BV38" i="27" s="1"/>
  <c r="BS36" i="27" a="1"/>
  <c r="BS36" i="27" s="1"/>
  <c r="BI36" i="27" a="1"/>
  <c r="BI36" i="27" s="1"/>
  <c r="AU40" i="27" a="1"/>
  <c r="AU40" i="27" s="1"/>
  <c r="AM39" i="27" a="1"/>
  <c r="AM39" i="27" s="1"/>
  <c r="AI37" i="27" a="1"/>
  <c r="AI37" i="27" s="1"/>
  <c r="AC35" i="27" a="1"/>
  <c r="AC35" i="27" s="1"/>
  <c r="CC40" i="27" a="1"/>
  <c r="CC40" i="27" s="1"/>
  <c r="BU41" i="27" a="1"/>
  <c r="BU41" i="27" s="1"/>
  <c r="BO39" i="27" a="1"/>
  <c r="BO39" i="27" s="1"/>
  <c r="BI37" i="27" a="1"/>
  <c r="BI37" i="27" s="1"/>
  <c r="BC35" i="27" a="1"/>
  <c r="BC35" i="27" s="1"/>
  <c r="AT42" i="27" a="1"/>
  <c r="AT42" i="27" s="1"/>
  <c r="AM40" i="27" a="1"/>
  <c r="AM40" i="27" s="1"/>
  <c r="AI38" i="27" a="1"/>
  <c r="AI38" i="27" s="1"/>
  <c r="AC36" i="27" a="1"/>
  <c r="AC36" i="27" s="1"/>
  <c r="S35" i="27" a="1"/>
  <c r="S35" i="27" s="1"/>
  <c r="AG39" i="27" a="1"/>
  <c r="AG39" i="27" s="1"/>
  <c r="O38" i="27" a="1"/>
  <c r="O38" i="27" s="1"/>
  <c r="L42" i="27" a="1"/>
  <c r="L42" i="27" s="1"/>
  <c r="BZ38" i="27" a="1"/>
  <c r="BZ38" i="27" s="1"/>
  <c r="AC42" i="27" a="1"/>
  <c r="AC42" i="27" s="1"/>
  <c r="Q37" i="27" a="1"/>
  <c r="Q37" i="27" s="1"/>
  <c r="AF40" i="27" a="1"/>
  <c r="AF40" i="27" s="1"/>
  <c r="AX40" i="27" a="1"/>
  <c r="AX40" i="27" s="1"/>
  <c r="R36" i="27" a="1"/>
  <c r="R36" i="27" s="1"/>
  <c r="K37" i="27" a="1"/>
  <c r="K37" i="27" s="1"/>
  <c r="BN42" i="27" a="1"/>
  <c r="BN42" i="27" s="1"/>
  <c r="L36" i="27" a="1"/>
  <c r="L36" i="27" s="1"/>
  <c r="BV41" i="27" a="1"/>
  <c r="BV41" i="27" s="1"/>
  <c r="X41" i="27" a="1"/>
  <c r="X41" i="27" s="1"/>
  <c r="Q36" i="27" a="1"/>
  <c r="Q36" i="27" s="1"/>
  <c r="J35" i="27" a="1"/>
  <c r="J35" i="27" s="1"/>
  <c r="BL38" i="27" a="1"/>
  <c r="BL38" i="27" s="1"/>
  <c r="W42" i="27" a="1"/>
  <c r="W42" i="27" s="1"/>
  <c r="N36" i="27" a="1"/>
  <c r="N36" i="27" s="1"/>
  <c r="J42" i="27" a="1"/>
  <c r="J42" i="27" s="1"/>
  <c r="CH39" i="27" a="1"/>
  <c r="CH39" i="27" s="1"/>
  <c r="BR41" i="27" a="1"/>
  <c r="BR41" i="27" s="1"/>
  <c r="BL40" i="27" a="1"/>
  <c r="BL40" i="27" s="1"/>
  <c r="BF37" i="27" a="1"/>
  <c r="BF37" i="27" s="1"/>
  <c r="AV36" i="27" a="1"/>
  <c r="AV36" i="27" s="1"/>
  <c r="AR35" i="27" a="1"/>
  <c r="AR35" i="27" s="1"/>
  <c r="AH42" i="27" a="1"/>
  <c r="AH42" i="27" s="1"/>
  <c r="AA41" i="27" a="1"/>
  <c r="AA41" i="27" s="1"/>
  <c r="T40" i="27" a="1"/>
  <c r="T40" i="27" s="1"/>
  <c r="BY38" i="27" a="1"/>
  <c r="BY38" i="27" s="1"/>
  <c r="BQ37" i="27" a="1"/>
  <c r="BQ37" i="27" s="1"/>
  <c r="BK35" i="27" a="1"/>
  <c r="BK35" i="27" s="1"/>
  <c r="AR42" i="27" a="1"/>
  <c r="AR42" i="27" s="1"/>
  <c r="AK40" i="27" a="1"/>
  <c r="AK40" i="27" s="1"/>
  <c r="AG38" i="27" a="1"/>
  <c r="AG38" i="27" s="1"/>
  <c r="CG40" i="27" a="1"/>
  <c r="CG40" i="27" s="1"/>
  <c r="BP41" i="27" a="1"/>
  <c r="BP41" i="27" s="1"/>
  <c r="BJ40" i="27" a="1"/>
  <c r="BJ40" i="27" s="1"/>
  <c r="BF38" i="27" a="1"/>
  <c r="BF38" i="27" s="1"/>
  <c r="AV37" i="27" a="1"/>
  <c r="AV37" i="27" s="1"/>
  <c r="AP35" i="27" a="1"/>
  <c r="AP35" i="27" s="1"/>
  <c r="AF42" i="27" a="1"/>
  <c r="AF42" i="27" s="1"/>
  <c r="Y40" i="27" a="1"/>
  <c r="Y40" i="27" s="1"/>
  <c r="CG42" i="27" a="1"/>
  <c r="CG42" i="27" s="1"/>
  <c r="BZ39" i="27" a="1"/>
  <c r="BZ39" i="27" s="1"/>
  <c r="BJ41" i="27" a="1"/>
  <c r="BJ41" i="27" s="1"/>
  <c r="BE38" i="27" a="1"/>
  <c r="BE38" i="27" s="1"/>
  <c r="BA36" i="27" a="1"/>
  <c r="BA36" i="27" s="1"/>
  <c r="AQ36" i="27" a="1"/>
  <c r="AQ36" i="27" s="1"/>
  <c r="CH36" i="27" a="1"/>
  <c r="CH36" i="27" s="1"/>
  <c r="BW40" i="27" a="1"/>
  <c r="BW40" i="27" s="1"/>
  <c r="BP38" i="27" a="1"/>
  <c r="BP38" i="27" s="1"/>
  <c r="BJ36" i="27" a="1"/>
  <c r="BJ36" i="27" s="1"/>
  <c r="AP42" i="27" a="1"/>
  <c r="AP42" i="27" s="1"/>
  <c r="AN39" i="27" a="1"/>
  <c r="AN39" i="27" s="1"/>
  <c r="AD38" i="27" a="1"/>
  <c r="AD38" i="27" s="1"/>
  <c r="X36" i="27" a="1"/>
  <c r="X36" i="27" s="1"/>
  <c r="BT37" i="27" a="1"/>
  <c r="BT37" i="27" s="1"/>
  <c r="BQ35" i="27" a="1"/>
  <c r="BQ35" i="27" s="1"/>
  <c r="BA41" i="27" a="1"/>
  <c r="BA41" i="27" s="1"/>
  <c r="AT39" i="27" a="1"/>
  <c r="AT39" i="27" s="1"/>
  <c r="AK38" i="27" a="1"/>
  <c r="AK38" i="27" s="1"/>
  <c r="AG36" i="27" a="1"/>
  <c r="AG36" i="27" s="1"/>
  <c r="CG37" i="27" a="1"/>
  <c r="CG37" i="27" s="1"/>
  <c r="BU40" i="27" a="1"/>
  <c r="BU40" i="27" s="1"/>
  <c r="BS37" i="27" a="1"/>
  <c r="BS37" i="27" s="1"/>
  <c r="BM35" i="27" a="1"/>
  <c r="BM35" i="27" s="1"/>
  <c r="BA42" i="27" a="1"/>
  <c r="BA42" i="27" s="1"/>
  <c r="AS40" i="27" a="1"/>
  <c r="AS40" i="27" s="1"/>
  <c r="AK39" i="27" a="1"/>
  <c r="AK39" i="27" s="1"/>
  <c r="AG37" i="27" a="1"/>
  <c r="AG37" i="27" s="1"/>
  <c r="AA35" i="27" a="1"/>
  <c r="AA35" i="27" s="1"/>
  <c r="Q42" i="27" a="1"/>
  <c r="Q42" i="27" s="1"/>
  <c r="P35" i="27" a="1"/>
  <c r="P35" i="27" s="1"/>
  <c r="J40" i="27" a="1"/>
  <c r="J40" i="27" s="1"/>
  <c r="BW35" i="27" a="1"/>
  <c r="BW35" i="27" s="1"/>
  <c r="Y39" i="27" a="1"/>
  <c r="Y39" i="27" s="1"/>
  <c r="O35" i="27" a="1"/>
  <c r="O35" i="27" s="1"/>
  <c r="V36" i="27" a="1"/>
  <c r="V36" i="27" s="1"/>
  <c r="AJ38" i="27" a="1"/>
  <c r="AJ38" i="27" s="1"/>
  <c r="J39" i="27" a="1"/>
  <c r="J39" i="27" s="1"/>
  <c r="BD40" i="27" a="1"/>
  <c r="BD40" i="27" s="1"/>
  <c r="S40" i="27" a="1"/>
  <c r="S40" i="27" s="1"/>
  <c r="M42" i="27" a="1"/>
  <c r="M42" i="27" s="1"/>
  <c r="BR40" i="27" a="1"/>
  <c r="BR40" i="27" s="1"/>
  <c r="AC37" i="27" a="1"/>
  <c r="AC37" i="27" s="1"/>
  <c r="BH36" i="27" a="1"/>
  <c r="BH36" i="27" s="1"/>
  <c r="BB38" i="27" a="1"/>
  <c r="BB38" i="27" s="1"/>
  <c r="T39" i="27" a="1"/>
  <c r="T39" i="27" s="1"/>
  <c r="N38" i="27" a="1"/>
  <c r="N38" i="27" s="1"/>
  <c r="CD35" i="27" a="1"/>
  <c r="CD35" i="27" s="1"/>
  <c r="CH38" i="27" a="1"/>
  <c r="CH38" i="27" s="1"/>
  <c r="BU42" i="27" a="1"/>
  <c r="BU42" i="27" s="1"/>
  <c r="BP40" i="27" a="1"/>
  <c r="BP40" i="27" s="1"/>
  <c r="BJ38" i="27" a="1"/>
  <c r="BJ38" i="27" s="1"/>
  <c r="BD36" i="27" a="1"/>
  <c r="BD36" i="27" s="1"/>
  <c r="AF41" i="27" a="1"/>
  <c r="AF41" i="27" s="1"/>
  <c r="Z40" i="27" a="1"/>
  <c r="Z40" i="27" s="1"/>
  <c r="R39" i="27" a="1"/>
  <c r="R39" i="27" s="1"/>
  <c r="BZ42" i="27" a="1"/>
  <c r="BZ42" i="27" s="1"/>
  <c r="BX37" i="27" a="1"/>
  <c r="BX37" i="27" s="1"/>
  <c r="BO36" i="27" a="1"/>
  <c r="BO36" i="27" s="1"/>
  <c r="AY42" i="27" a="1"/>
  <c r="AY42" i="27" s="1"/>
  <c r="AR41" i="27" a="1"/>
  <c r="AR41" i="27" s="1"/>
  <c r="AO38" i="27" a="1"/>
  <c r="AO38" i="27" s="1"/>
  <c r="AE37" i="27" a="1"/>
  <c r="AE37" i="27" s="1"/>
  <c r="CF38" i="27" a="1"/>
  <c r="CF38" i="27" s="1"/>
  <c r="BY41" i="27" a="1"/>
  <c r="BY41" i="27" s="1"/>
  <c r="BN40" i="27" a="1"/>
  <c r="BN40" i="27" s="1"/>
  <c r="BJ39" i="27" a="1"/>
  <c r="BJ39" i="27" s="1"/>
  <c r="BD37" i="27" a="1"/>
  <c r="BD37" i="27" s="1"/>
  <c r="AZ35" i="27" a="1"/>
  <c r="AZ35" i="27" s="1"/>
  <c r="AN42" i="27" a="1"/>
  <c r="AN42" i="27" s="1"/>
  <c r="AD41" i="27" a="1"/>
  <c r="AD41" i="27" s="1"/>
  <c r="X39" i="27" a="1"/>
  <c r="X39" i="27" s="1"/>
  <c r="CF40" i="27" a="1"/>
  <c r="CF40" i="27" s="1"/>
  <c r="CA36" i="27" a="1"/>
  <c r="CA36" i="27" s="1"/>
  <c r="BO41" i="27" a="1"/>
  <c r="BO41" i="27" s="1"/>
  <c r="BI39" i="27" a="1"/>
  <c r="BI39" i="27" s="1"/>
  <c r="BC37" i="27" a="1"/>
  <c r="BC37" i="27" s="1"/>
  <c r="AY35" i="27" a="1"/>
  <c r="AY35" i="27" s="1"/>
  <c r="AE42" i="27" a="1"/>
  <c r="AE42" i="27" s="1"/>
  <c r="CF35" i="27" a="1"/>
  <c r="CF35" i="27" s="1"/>
  <c r="BW39" i="27" a="1"/>
  <c r="BW39" i="27" s="1"/>
  <c r="BN37" i="27" a="1"/>
  <c r="BN37" i="27" s="1"/>
  <c r="BH35" i="27" a="1"/>
  <c r="BH35" i="27" s="1"/>
  <c r="AV42" i="27" a="1"/>
  <c r="AV42" i="27" s="1"/>
  <c r="AU39" i="27" a="1"/>
  <c r="AU39" i="27" s="1"/>
  <c r="AL38" i="27" a="1"/>
  <c r="AL38" i="27" s="1"/>
  <c r="AH36" i="27" a="1"/>
  <c r="AH36" i="27" s="1"/>
  <c r="O41" i="27" a="1"/>
  <c r="O41" i="27" s="1"/>
  <c r="CB40" i="27" a="1"/>
  <c r="CB40" i="27" s="1"/>
  <c r="BX35" i="27" a="1"/>
  <c r="BX35" i="27" s="1"/>
  <c r="BF42" i="27" a="1"/>
  <c r="BF42" i="27" s="1"/>
  <c r="AY40" i="27" a="1"/>
  <c r="AY40" i="27" s="1"/>
  <c r="AS38" i="27" a="1"/>
  <c r="AS38" i="27" s="1"/>
  <c r="AO36" i="27" a="1"/>
  <c r="AO36" i="27" s="1"/>
  <c r="AE35" i="27" a="1"/>
  <c r="AE35" i="27" s="1"/>
  <c r="S42" i="27" a="1"/>
  <c r="S42" i="27" s="1"/>
  <c r="CE36" i="27" a="1"/>
  <c r="CE36" i="27" s="1"/>
  <c r="BT38" i="27" a="1"/>
  <c r="BT38" i="27" s="1"/>
  <c r="BQ36" i="27" a="1"/>
  <c r="BQ36" i="27" s="1"/>
  <c r="AY41" i="27" a="1"/>
  <c r="AY41" i="27" s="1"/>
  <c r="AS39" i="27" a="1"/>
  <c r="AS39" i="27" s="1"/>
  <c r="AO37" i="27" a="1"/>
  <c r="AO37" i="27" s="1"/>
  <c r="AE36" i="27" a="1"/>
  <c r="AE36" i="27" s="1"/>
  <c r="BY36" i="27" a="1"/>
  <c r="BY36" i="27" s="1"/>
  <c r="Y36" i="27" a="1"/>
  <c r="Y36" i="27" s="1"/>
  <c r="L35" i="27" a="1"/>
  <c r="L35" i="27" s="1"/>
  <c r="I40" i="27" a="1"/>
  <c r="I40" i="27" s="1"/>
  <c r="AB35" i="27" a="1"/>
  <c r="AB35" i="27" s="1"/>
  <c r="M35" i="27" a="1"/>
  <c r="M35" i="27" s="1"/>
  <c r="M39" i="27" a="1"/>
  <c r="M39" i="27" s="1"/>
  <c r="AE38" i="27" a="1"/>
  <c r="AE38" i="27" s="1"/>
  <c r="O40" i="27" a="1"/>
  <c r="O40" i="27" s="1"/>
  <c r="AV39" i="27" a="1"/>
  <c r="AV39" i="27" s="1"/>
  <c r="U37" i="27" a="1"/>
  <c r="U37" i="27" s="1"/>
  <c r="K36" i="27" a="1"/>
  <c r="K36" i="27" s="1"/>
  <c r="BM39" i="27" a="1"/>
  <c r="BM39" i="27" s="1"/>
  <c r="M36" i="27" a="1"/>
  <c r="M36" i="27" s="1"/>
  <c r="X40" i="27" a="1"/>
  <c r="X40" i="27" s="1"/>
  <c r="AX36" i="27" a="1"/>
  <c r="AX36" i="27" s="1"/>
  <c r="S37" i="27" a="1"/>
  <c r="S37" i="27" s="1"/>
  <c r="L41" i="27" a="1"/>
  <c r="L41" i="27" s="1"/>
  <c r="BU39" i="27" a="1"/>
  <c r="BU39" i="27" s="1"/>
  <c r="CF37" i="27" a="1"/>
  <c r="CF37" i="27" s="1"/>
  <c r="BT40" i="27" a="1"/>
  <c r="BT40" i="27" s="1"/>
  <c r="BN39" i="27" a="1"/>
  <c r="BN39" i="27" s="1"/>
  <c r="BH37" i="27" a="1"/>
  <c r="BH37" i="27" s="1"/>
  <c r="BB35" i="27" a="1"/>
  <c r="BB35" i="27" s="1"/>
  <c r="AS42" i="27" a="1"/>
  <c r="AS42" i="27" s="1"/>
  <c r="AN41" i="27" a="1"/>
  <c r="AN41" i="27" s="1"/>
  <c r="AD40" i="27" a="1"/>
  <c r="AD40" i="27" s="1"/>
  <c r="Z39" i="27" a="1"/>
  <c r="Z39" i="27" s="1"/>
  <c r="CH41" i="27" a="1"/>
  <c r="CH41" i="27" s="1"/>
  <c r="CB39" i="27" a="1"/>
  <c r="CB39" i="27" s="1"/>
  <c r="BV36" i="27" a="1"/>
  <c r="BV36" i="27" s="1"/>
  <c r="BC42" i="27" a="1"/>
  <c r="BC42" i="27" s="1"/>
  <c r="AW41" i="27" a="1"/>
  <c r="AW41" i="27" s="1"/>
  <c r="AQ39" i="27" a="1"/>
  <c r="AQ39" i="27" s="1"/>
  <c r="AM37" i="27" a="1"/>
  <c r="AM37" i="27" s="1"/>
  <c r="AI35" i="27" a="1"/>
  <c r="AI35" i="27" s="1"/>
  <c r="CD37" i="27" a="1"/>
  <c r="CD37" i="27" s="1"/>
  <c r="BY40" i="27" a="1"/>
  <c r="BY40" i="27" s="1"/>
  <c r="BR38" i="27" a="1"/>
  <c r="BR38" i="27" s="1"/>
  <c r="BH38" i="27" a="1"/>
  <c r="BH38" i="27" s="1"/>
  <c r="BB36" i="27" a="1"/>
  <c r="BB36" i="27" s="1"/>
  <c r="AL41" i="27" a="1"/>
  <c r="AL41" i="27" s="1"/>
  <c r="AH39" i="27" a="1"/>
  <c r="AH39" i="27" s="1"/>
  <c r="AB37" i="27" a="1"/>
  <c r="AB37" i="27" s="1"/>
  <c r="CF39" i="27" a="1"/>
  <c r="CF39" i="27" s="1"/>
  <c r="BY42" i="27" a="1"/>
  <c r="BY42" i="27" s="1"/>
  <c r="BS39" i="27" a="1"/>
  <c r="BS39" i="27" s="1"/>
  <c r="BM37" i="27" a="1"/>
  <c r="BM37" i="27" s="1"/>
  <c r="BG35" i="27" a="1"/>
  <c r="BG35" i="27" s="1"/>
  <c r="AM42" i="27" a="1"/>
  <c r="AM42" i="27" s="1"/>
  <c r="AI40" i="27" a="1"/>
  <c r="AI40" i="27" s="1"/>
  <c r="BU37" i="27" a="1"/>
  <c r="BU37" i="27" s="1"/>
  <c r="BR35" i="27" a="1"/>
  <c r="BR35" i="27" s="1"/>
  <c r="BG42" i="27" a="1"/>
  <c r="BG42" i="27" s="1"/>
  <c r="AZ40" i="27" a="1"/>
  <c r="AZ40" i="27" s="1"/>
  <c r="AT38" i="27" a="1"/>
  <c r="AT38" i="27" s="1"/>
  <c r="AJ37" i="27" a="1"/>
  <c r="AJ37" i="27" s="1"/>
  <c r="AF35" i="27" a="1"/>
  <c r="AF35" i="27" s="1"/>
  <c r="T42" i="27" a="1"/>
  <c r="T42" i="27" s="1"/>
  <c r="CE42" i="27" a="1"/>
  <c r="CE42" i="27" s="1"/>
  <c r="CA38" i="27" a="1"/>
  <c r="CA38" i="27" s="1"/>
  <c r="BI42" i="27" a="1"/>
  <c r="BI42" i="27" s="1"/>
  <c r="BE40" i="27" a="1"/>
  <c r="BE40" i="27" s="1"/>
  <c r="AW39" i="27" a="1"/>
  <c r="AW39" i="27" s="1"/>
  <c r="AQ37" i="27" a="1"/>
  <c r="AQ37" i="27" s="1"/>
  <c r="AM35" i="27" a="1"/>
  <c r="AM35" i="27" s="1"/>
  <c r="AC41" i="27" a="1"/>
  <c r="AC41" i="27" s="1"/>
  <c r="W40" i="27" a="1"/>
  <c r="W40" i="27" s="1"/>
  <c r="CC35" i="27" a="1"/>
  <c r="CC35" i="27" s="1"/>
  <c r="BX36" i="27" a="1"/>
  <c r="BX36" i="27" s="1"/>
  <c r="BO35" i="27" a="1"/>
  <c r="BO35" i="27" s="1"/>
  <c r="BD42" i="27" a="1"/>
  <c r="BD42" i="27" s="1"/>
  <c r="AW40" i="27" a="1"/>
  <c r="AW40" i="27" s="1"/>
  <c r="AQ38" i="27" a="1"/>
  <c r="AQ38" i="27" s="1"/>
  <c r="AM36" i="27" a="1"/>
  <c r="AM36" i="27" s="1"/>
  <c r="W41" i="27" a="1"/>
  <c r="W41" i="27" s="1"/>
  <c r="BP35" i="27" a="1"/>
  <c r="BP35" i="27" s="1"/>
  <c r="U41" i="27" a="1"/>
  <c r="U41" i="27" s="1"/>
  <c r="N39" i="27" a="1"/>
  <c r="N39" i="27" s="1"/>
  <c r="CB42" i="27" a="1"/>
  <c r="CB42" i="27" s="1"/>
  <c r="BE42" i="27" a="1"/>
  <c r="BE42" i="27" s="1"/>
  <c r="S41" i="27" a="1"/>
  <c r="S41" i="27" s="1"/>
  <c r="N37" i="27" a="1"/>
  <c r="N37" i="27" s="1"/>
  <c r="CD36" i="27" a="1"/>
  <c r="CD36" i="27" s="1"/>
  <c r="BT39" i="27" a="1"/>
  <c r="BT39" i="27" s="1"/>
  <c r="BR37" i="27" a="1"/>
  <c r="BR37" i="27" s="1"/>
  <c r="BL35" i="27" a="1"/>
  <c r="BL35" i="27" s="1"/>
  <c r="AZ42" i="27" a="1"/>
  <c r="AZ42" i="27" s="1"/>
  <c r="AS41" i="27" a="1"/>
  <c r="AS41" i="27" s="1"/>
  <c r="AL40" i="27" a="1"/>
  <c r="AL40" i="27" s="1"/>
  <c r="AH38" i="27" a="1"/>
  <c r="AH38" i="27" s="1"/>
  <c r="X38" i="27" a="1"/>
  <c r="X38" i="27" s="1"/>
  <c r="CH40" i="27" a="1"/>
  <c r="CH40" i="27" s="1"/>
  <c r="BZ37" i="27" a="1"/>
  <c r="BZ37" i="27" s="1"/>
  <c r="BT35" i="27" a="1"/>
  <c r="BT35" i="27" s="1"/>
  <c r="BL42" i="27" a="1"/>
  <c r="BL42" i="27" s="1"/>
  <c r="BB41" i="27" a="1"/>
  <c r="BB41" i="27" s="1"/>
  <c r="BA39" i="27" a="1"/>
  <c r="BA39" i="27" s="1"/>
  <c r="AU37" i="27" a="1"/>
  <c r="AU37" i="27" s="1"/>
  <c r="AK36" i="27" a="1"/>
  <c r="AK36" i="27" s="1"/>
  <c r="CH35" i="27" a="1"/>
  <c r="CH35" i="27" s="1"/>
  <c r="BX38" i="27" a="1"/>
  <c r="BX38" i="27" s="1"/>
  <c r="BP37" i="27" a="1"/>
  <c r="BP37" i="27" s="1"/>
  <c r="BL36" i="27" a="1"/>
  <c r="BL36" i="27" s="1"/>
  <c r="AQ41" i="27" a="1"/>
  <c r="AQ41" i="27" s="1"/>
  <c r="AJ40" i="27" a="1"/>
  <c r="AJ40" i="27" s="1"/>
  <c r="AF38" i="27" a="1"/>
  <c r="AF38" i="27" s="1"/>
  <c r="Z36" i="27" a="1"/>
  <c r="Z36" i="27" s="1"/>
  <c r="CE38" i="27" a="1"/>
  <c r="CE38" i="27" s="1"/>
  <c r="BX40" i="27" a="1"/>
  <c r="BX40" i="27" s="1"/>
  <c r="BQ38" i="27" a="1"/>
  <c r="BQ38" i="27" s="1"/>
  <c r="BK36" i="27" a="1"/>
  <c r="BK36" i="27" s="1"/>
  <c r="AQ42" i="27" a="1"/>
  <c r="AQ42" i="27" s="1"/>
  <c r="AK41" i="27" a="1"/>
  <c r="AK41" i="27" s="1"/>
  <c r="CF42" i="27" a="1"/>
  <c r="CF42" i="27" s="1"/>
  <c r="BZ41" i="27" a="1"/>
  <c r="BZ41" i="27" s="1"/>
  <c r="BY35" i="27" a="1"/>
  <c r="BY35" i="27" s="1"/>
  <c r="BF41" i="27" a="1"/>
  <c r="BF41" i="27" s="1"/>
  <c r="AX39" i="27" a="1"/>
  <c r="AX39" i="27" s="1"/>
  <c r="AR37" i="27" a="1"/>
  <c r="AR37" i="27" s="1"/>
  <c r="AN35" i="27" a="1"/>
  <c r="AN35" i="27" s="1"/>
  <c r="R41" i="27" a="1"/>
  <c r="R41" i="27" s="1"/>
  <c r="CE41" i="27" a="1"/>
  <c r="CE41" i="27" s="1"/>
  <c r="CB35" i="27" a="1"/>
  <c r="CB35" i="27" s="1"/>
  <c r="BO42" i="27" a="1"/>
  <c r="BO42" i="27" s="1"/>
  <c r="BH41" i="27" a="1"/>
  <c r="BH41" i="27" s="1"/>
  <c r="BE39" i="27" a="1"/>
  <c r="BE39" i="27" s="1"/>
  <c r="BA37" i="27" a="1"/>
  <c r="BA37" i="27" s="1"/>
  <c r="AU35" i="27" a="1"/>
  <c r="AU35" i="27" s="1"/>
  <c r="AC40" i="27" a="1"/>
  <c r="AC40" i="27" s="1"/>
  <c r="U39" i="27" a="1"/>
  <c r="U39" i="27" s="1"/>
  <c r="CA40" i="27" a="1"/>
  <c r="CA40" i="27" s="1"/>
  <c r="BV35" i="27" a="1"/>
  <c r="BV35" i="27" s="1"/>
  <c r="BM41" i="27" a="1"/>
  <c r="BM41" i="27" s="1"/>
  <c r="BD41" i="27" a="1"/>
  <c r="BD41" i="27" s="1"/>
  <c r="BA38" i="27" a="1"/>
  <c r="BA38" i="27" s="1"/>
  <c r="AU36" i="27" a="1"/>
  <c r="AU36" i="27" s="1"/>
  <c r="AK35" i="27" a="1"/>
  <c r="AK35" i="27" s="1"/>
  <c r="AB42" i="27" a="1"/>
  <c r="AB42" i="27" s="1"/>
  <c r="U40" i="27" a="1"/>
  <c r="U40" i="27" s="1"/>
  <c r="U38" i="27" a="1"/>
  <c r="U38" i="27" s="1"/>
  <c r="N41" i="27" a="1"/>
  <c r="N41" i="27" s="1"/>
  <c r="AJ42" i="27" a="1"/>
  <c r="AJ42" i="27" s="1"/>
  <c r="AZ41" i="27" a="1"/>
  <c r="AZ41" i="27" s="1"/>
  <c r="R38" i="27" a="1"/>
  <c r="R38" i="27" s="1"/>
  <c r="L40" i="27" a="1"/>
  <c r="L40" i="27" s="1"/>
  <c r="CA35" i="27" a="1"/>
  <c r="CA35" i="27" s="1"/>
  <c r="AC38" i="27" a="1"/>
  <c r="AC38" i="27" s="1"/>
  <c r="AD35" i="27" a="1"/>
  <c r="AD35" i="27" s="1"/>
  <c r="AN36" i="27" a="1"/>
  <c r="AN36" i="27" s="1"/>
  <c r="I38" i="27" a="1"/>
  <c r="I38" i="27" s="1"/>
  <c r="AZ37" i="27" a="1"/>
  <c r="AZ37" i="27" s="1"/>
  <c r="T37" i="27" a="1"/>
  <c r="T37" i="27" s="1"/>
  <c r="N40" i="27" a="1"/>
  <c r="N40" i="27" s="1"/>
  <c r="K40" i="27" a="1"/>
  <c r="K40" i="27" s="1"/>
  <c r="O42" i="27" a="1"/>
  <c r="O42" i="27" s="1"/>
  <c r="I36" i="27" a="1"/>
  <c r="I36" i="27" s="1"/>
  <c r="BJ37" i="27" a="1"/>
  <c r="BJ37" i="27" s="1"/>
  <c r="BY37" i="27" a="1"/>
  <c r="BY37" i="27" s="1"/>
  <c r="BP36" i="27" a="1"/>
  <c r="BP36" i="27" s="1"/>
  <c r="AX41" i="27" a="1"/>
  <c r="AX41" i="27" s="1"/>
  <c r="AR40" i="27" a="1"/>
  <c r="AR40" i="27" s="1"/>
  <c r="AJ39" i="27" a="1"/>
  <c r="AJ39" i="27" s="1"/>
  <c r="AF37" i="27" a="1"/>
  <c r="AF37" i="27" s="1"/>
  <c r="AB36" i="27" a="1"/>
  <c r="AB36" i="27" s="1"/>
  <c r="CG39" i="27" a="1"/>
  <c r="CG39" i="27" s="1"/>
  <c r="BR42" i="27" a="1"/>
  <c r="BR42" i="27" s="1"/>
  <c r="BK40" i="27" a="1"/>
  <c r="BK40" i="27" s="1"/>
  <c r="BB40" i="27" a="1"/>
  <c r="BB40" i="27" s="1"/>
  <c r="AY38" i="27" a="1"/>
  <c r="AY38" i="27" s="1"/>
  <c r="AS36" i="27" a="1"/>
  <c r="AS36" i="27" s="1"/>
  <c r="Z42" i="27" a="1"/>
  <c r="Z42" i="27" s="1"/>
  <c r="BW37" i="27" a="1"/>
  <c r="BW37" i="27" s="1"/>
  <c r="BN36" i="27" a="1"/>
  <c r="BN36" i="27" s="1"/>
  <c r="BJ35" i="27" a="1"/>
  <c r="BJ35" i="27" s="1"/>
  <c r="AX42" i="27" a="1"/>
  <c r="AX42" i="27" s="1"/>
  <c r="AQ40" i="27" a="1"/>
  <c r="AQ40" i="27" s="1"/>
  <c r="AN38" i="27" a="1"/>
  <c r="AN38" i="27" s="1"/>
  <c r="AD37" i="27" a="1"/>
  <c r="AD37" i="27" s="1"/>
  <c r="X35" i="27" a="1"/>
  <c r="X35" i="27" s="1"/>
  <c r="CC37" i="27" a="1"/>
  <c r="CC37" i="27" s="1"/>
  <c r="BX39" i="27" a="1"/>
  <c r="BX39" i="27" s="1"/>
  <c r="BO37" i="27" a="1"/>
  <c r="BO37" i="27" s="1"/>
  <c r="BI35" i="27" a="1"/>
  <c r="BI35" i="27" s="1"/>
  <c r="AW42" i="27" a="1"/>
  <c r="AW42" i="27" s="1"/>
  <c r="AP41" i="27" a="1"/>
  <c r="AP41" i="27" s="1"/>
  <c r="AO39" i="27" a="1"/>
  <c r="AO39" i="27" s="1"/>
  <c r="CF41" i="27" a="1"/>
  <c r="CF41" i="27" s="1"/>
  <c r="CB38" i="27" a="1"/>
  <c r="CB38" i="27" s="1"/>
  <c r="BI41" i="27" a="1"/>
  <c r="BI41" i="27" s="1"/>
  <c r="BF40" i="27" a="1"/>
  <c r="BF40" i="27" s="1"/>
  <c r="AV38" i="27" a="1"/>
  <c r="AV38" i="27" s="1"/>
  <c r="AP36" i="27" a="1"/>
  <c r="AP36" i="27" s="1"/>
  <c r="X42" i="27" a="1"/>
  <c r="X42" i="27" s="1"/>
  <c r="V39" i="27" a="1"/>
  <c r="V39" i="27" s="1"/>
  <c r="CD39" i="27" a="1"/>
  <c r="CD39" i="27" s="1"/>
  <c r="BW42" i="27" a="1"/>
  <c r="BW42" i="27" s="1"/>
  <c r="BS40" i="27" a="1"/>
  <c r="BS40" i="27" s="1"/>
  <c r="BH40" i="27" a="1"/>
  <c r="BH40" i="27" s="1"/>
  <c r="BC38" i="27" a="1"/>
  <c r="BC38" i="27" s="1"/>
  <c r="AY36" i="27" a="1"/>
  <c r="AY36" i="27" s="1"/>
  <c r="AI41" i="27" a="1"/>
  <c r="AI41" i="27" s="1"/>
  <c r="AB39" i="27" a="1"/>
  <c r="AB39" i="27" s="1"/>
  <c r="S38" i="27" a="1"/>
  <c r="S38" i="27" s="1"/>
  <c r="CB37" i="27" a="1"/>
  <c r="CB37" i="27" s="1"/>
  <c r="BM40" i="27" a="1"/>
  <c r="BM40" i="27" s="1"/>
  <c r="BC39" i="27" a="1"/>
  <c r="BC39" i="27" s="1"/>
  <c r="AY37" i="27" a="1"/>
  <c r="AY37" i="27" s="1"/>
  <c r="AS35" i="27" a="1"/>
  <c r="AS35" i="27" s="1"/>
  <c r="AI42" i="27" a="1"/>
  <c r="AI42" i="27" s="1"/>
  <c r="AA40" i="27" a="1"/>
  <c r="AA40" i="27" s="1"/>
  <c r="S39" i="27" a="1"/>
  <c r="S39" i="27" s="1"/>
  <c r="T36" i="27" a="1"/>
  <c r="T36" i="27" s="1"/>
  <c r="K39" i="27" a="1"/>
  <c r="K39" i="27" s="1"/>
  <c r="V38" i="27" a="1"/>
  <c r="V38" i="27" s="1"/>
  <c r="AT40" i="27" a="1"/>
  <c r="AT40" i="27" s="1"/>
  <c r="S36" i="27" a="1"/>
  <c r="S36" i="27" s="1"/>
  <c r="K38" i="27" a="1"/>
  <c r="K38" i="27" s="1"/>
  <c r="Y35" i="27" a="1"/>
  <c r="Y35" i="27" s="1"/>
  <c r="N35" i="27" a="1"/>
  <c r="N35" i="27" s="1"/>
  <c r="CA42" i="27" a="1"/>
  <c r="CA42" i="27" s="1"/>
  <c r="BW36" i="27" a="1"/>
  <c r="BW36" i="27" s="1"/>
  <c r="BN35" i="27" a="1"/>
  <c r="BN35" i="27" s="1"/>
  <c r="BC41" i="27" a="1"/>
  <c r="BC41" i="27" s="1"/>
  <c r="AV40" i="27" a="1"/>
  <c r="AV40" i="27" s="1"/>
  <c r="AR39" i="27" a="1"/>
  <c r="AR39" i="27" s="1"/>
  <c r="AN37" i="27" a="1"/>
  <c r="AN37" i="27" s="1"/>
  <c r="AD36" i="27" a="1"/>
  <c r="AD36" i="27" s="1"/>
  <c r="Z35" i="27" a="1"/>
  <c r="Z35" i="27" s="1"/>
  <c r="CG38" i="27" a="1"/>
  <c r="CG38" i="27" s="1"/>
  <c r="BT42" i="27" a="1"/>
  <c r="BT42" i="27" s="1"/>
  <c r="BQ41" i="27" a="1"/>
  <c r="BQ41" i="27" s="1"/>
  <c r="BK39" i="27" a="1"/>
  <c r="BK39" i="27" s="1"/>
  <c r="BG38" i="27" a="1"/>
  <c r="BG38" i="27" s="1"/>
  <c r="AW37" i="27" a="1"/>
  <c r="AW37" i="27" s="1"/>
  <c r="AQ35" i="27" a="1"/>
  <c r="AQ35" i="27" s="1"/>
  <c r="AG42" i="27" a="1"/>
  <c r="AG42" i="27" s="1"/>
  <c r="Z41" i="27" a="1"/>
  <c r="Z41" i="27" s="1"/>
  <c r="CB41" i="27" a="1"/>
  <c r="CB41" i="27" s="1"/>
  <c r="BU36" i="27" a="1"/>
  <c r="BU36" i="27" s="1"/>
  <c r="AV41" i="27" a="1"/>
  <c r="AV41" i="27" s="1"/>
  <c r="AP39" i="27" a="1"/>
  <c r="AP39" i="27" s="1"/>
  <c r="AL37" i="27" a="1"/>
  <c r="AL37" i="27" s="1"/>
  <c r="AH35" i="27" a="1"/>
  <c r="AH35" i="27" s="1"/>
  <c r="V42" i="27" a="1"/>
  <c r="V42" i="27" s="1"/>
  <c r="CG35" i="27" a="1"/>
  <c r="CG35" i="27" s="1"/>
  <c r="BW38" i="27" a="1"/>
  <c r="BW38" i="27" s="1"/>
  <c r="BS35" i="27" a="1"/>
  <c r="BS35" i="27" s="1"/>
  <c r="BG41" i="27" a="1"/>
  <c r="BG41" i="27" s="1"/>
  <c r="BA40" i="27" a="1"/>
  <c r="BA40" i="27" s="1"/>
  <c r="AP40" i="27" a="1"/>
  <c r="AP40" i="27" s="1"/>
  <c r="AM38" i="27" a="1"/>
  <c r="AM38" i="27" s="1"/>
  <c r="CE40" i="27" a="1"/>
  <c r="CE40" i="27" s="1"/>
  <c r="BZ36" i="27" a="1"/>
  <c r="BZ36" i="27" s="1"/>
  <c r="BP42" i="27" a="1"/>
  <c r="BP42" i="27" s="1"/>
  <c r="BI40" i="27" a="1"/>
  <c r="BI40" i="27" s="1"/>
  <c r="BD38" i="27" a="1"/>
  <c r="BD38" i="27" s="1"/>
  <c r="AZ36" i="27" a="1"/>
  <c r="AZ36" i="27" s="1"/>
  <c r="AD42" i="27" a="1"/>
  <c r="AD42" i="27" s="1"/>
  <c r="AC39" i="27" a="1"/>
  <c r="AC39" i="27" s="1"/>
  <c r="T38" i="27" a="1"/>
  <c r="T38" i="27" s="1"/>
  <c r="CC38" i="27" a="1"/>
  <c r="CC38" i="27" s="1"/>
  <c r="BW41" i="27" a="1"/>
  <c r="BW41" i="27" s="1"/>
  <c r="BQ39" i="27" a="1"/>
  <c r="BQ39" i="27" s="1"/>
  <c r="BM38" i="27" a="1"/>
  <c r="BM38" i="27" s="1"/>
  <c r="BG36" i="27" a="1"/>
  <c r="BG36" i="27" s="1"/>
  <c r="AW35" i="27" a="1"/>
  <c r="AW35" i="27" s="1"/>
  <c r="AK42" i="27" a="1"/>
  <c r="AK42" i="27" s="1"/>
  <c r="AG40" i="27" a="1"/>
  <c r="AG40" i="27" s="1"/>
  <c r="AA38" i="27" a="1"/>
  <c r="AA38" i="27" s="1"/>
  <c r="CD42" i="27" a="1"/>
  <c r="CD42" i="27" s="1"/>
  <c r="BZ35" i="27" a="1"/>
  <c r="BZ35" i="27" s="1"/>
  <c r="BS41" i="27" a="1"/>
  <c r="BS41" i="27" s="1"/>
  <c r="BL39" i="27" a="1"/>
  <c r="BL39" i="27" s="1"/>
  <c r="BG37" i="27" a="1"/>
  <c r="BG37" i="27" s="1"/>
  <c r="AW36" i="27" a="1"/>
  <c r="AW36" i="27" s="1"/>
  <c r="AQ43" i="27"/>
  <c r="AG41" i="27" a="1"/>
  <c r="AG41" i="27" s="1"/>
  <c r="AA39" i="27" a="1"/>
  <c r="AA39" i="27" s="1"/>
  <c r="W37" i="27" a="1"/>
  <c r="W37" i="27" s="1"/>
  <c r="AT41" i="27" a="1"/>
  <c r="AT41" i="27" s="1"/>
  <c r="J41" i="27" a="1"/>
  <c r="J41" i="27" s="1"/>
  <c r="AL39" i="27" a="1"/>
  <c r="AL39" i="27" s="1"/>
  <c r="I39" i="27" a="1"/>
  <c r="I39" i="27" s="1"/>
  <c r="BH42" i="27" a="1"/>
  <c r="BH42" i="27" s="1"/>
  <c r="V40" i="27" a="1"/>
  <c r="V40" i="27" s="1"/>
  <c r="L38" i="27" a="1"/>
  <c r="L38" i="27" s="1"/>
  <c r="M37" i="27" a="1"/>
  <c r="M37" i="27" s="1"/>
  <c r="AB41" i="27" a="1"/>
  <c r="AB41" i="27" s="1"/>
  <c r="O37" i="27" a="1"/>
  <c r="O37" i="27" s="1"/>
  <c r="J36" i="27" a="1"/>
  <c r="J36" i="27" s="1"/>
  <c r="AL35" i="27" a="1"/>
  <c r="AL35" i="27" s="1"/>
  <c r="P42" i="27" a="1"/>
  <c r="P42" i="27" s="1"/>
  <c r="K35" i="27" a="1"/>
  <c r="K35" i="27" s="1"/>
  <c r="BV40" i="27" a="1"/>
  <c r="BV40" i="27" s="1"/>
  <c r="AB40" i="27" a="1"/>
  <c r="AB40" i="27" s="1"/>
  <c r="P36" i="27" a="1"/>
  <c r="P36" i="27" s="1"/>
  <c r="AA36" i="27" a="1"/>
  <c r="AA36" i="27" s="1"/>
  <c r="AV35" i="27" a="1"/>
  <c r="AV35" i="27" s="1"/>
  <c r="BZ40" i="27" a="1"/>
  <c r="BZ40" i="27" s="1"/>
  <c r="BU35" i="27" a="1"/>
  <c r="BU35" i="27" s="1"/>
  <c r="BM42" i="27" a="1"/>
  <c r="BM42" i="27" s="1"/>
  <c r="BC40" i="27" a="1"/>
  <c r="BC40" i="27" s="1"/>
  <c r="AZ38" i="27" a="1"/>
  <c r="AZ38" i="27" s="1"/>
  <c r="AP38" i="27" a="1"/>
  <c r="AP38" i="27" s="1"/>
  <c r="AL36" i="27" a="1"/>
  <c r="AL36" i="27" s="1"/>
  <c r="CE37" i="27" a="1"/>
  <c r="CE37" i="27" s="1"/>
  <c r="BT41" i="27" a="1"/>
  <c r="BT41" i="27" s="1"/>
  <c r="BO40" i="27" a="1"/>
  <c r="BO40" i="27" s="1"/>
  <c r="BI38" i="27" a="1"/>
  <c r="BI38" i="27" s="1"/>
  <c r="BE37" i="27" a="1"/>
  <c r="BE37" i="27" s="1"/>
  <c r="BA35" i="27" a="1"/>
  <c r="BA35" i="27" s="1"/>
  <c r="AO42" i="27" a="1"/>
  <c r="AO42" i="27" s="1"/>
  <c r="AE41" i="27" a="1"/>
  <c r="AE41" i="27" s="1"/>
  <c r="CH42" i="27" a="1"/>
  <c r="CH42" i="27" s="1"/>
  <c r="CA39" i="27" a="1"/>
  <c r="CA39" i="27" s="1"/>
  <c r="BK42" i="27" a="1"/>
  <c r="BK42" i="27" s="1"/>
  <c r="BB42" i="27" a="1"/>
  <c r="BB42" i="27" s="1"/>
  <c r="AZ39" i="27" a="1"/>
  <c r="AZ39" i="27" s="1"/>
  <c r="AT37" i="27" a="1"/>
  <c r="AT37" i="27" s="1"/>
  <c r="AJ36" i="27" a="1"/>
  <c r="AJ36" i="27" s="1"/>
  <c r="T41" i="27" a="1"/>
  <c r="T41" i="27" s="1"/>
  <c r="BV37" i="27" a="1"/>
  <c r="BV37" i="27" s="1"/>
  <c r="BG40" i="27" a="1"/>
  <c r="BG40" i="27" s="1"/>
  <c r="AY39" i="27" a="1"/>
  <c r="AY39" i="27" s="1"/>
  <c r="AU38" i="27" a="1"/>
  <c r="AU38" i="27" s="1"/>
  <c r="AK37" i="27" a="1"/>
  <c r="AK37" i="27" s="1"/>
  <c r="CE39" i="27" a="1"/>
  <c r="CE39" i="27" s="1"/>
  <c r="BX42" i="27" a="1"/>
  <c r="BX42" i="27" s="1"/>
  <c r="BN41" i="27" a="1"/>
  <c r="BN41" i="27" s="1"/>
  <c r="BH39" i="27" a="1"/>
  <c r="BH39" i="27" s="1"/>
  <c r="BB37" i="27" a="1"/>
  <c r="BB37" i="27" s="1"/>
  <c r="AX35" i="27" a="1"/>
  <c r="AX35" i="27" s="1"/>
  <c r="AL42" i="27" a="1"/>
  <c r="AL42" i="27" s="1"/>
  <c r="AH40" i="27" a="1"/>
  <c r="AH40" i="27" s="1"/>
  <c r="AB38" i="27" a="1"/>
  <c r="AB38" i="27" s="1"/>
  <c r="R37" i="27" a="1"/>
  <c r="R37" i="27" s="1"/>
  <c r="CG36" i="27" a="1"/>
  <c r="CG36" i="27" s="1"/>
  <c r="BV39" i="27" a="1"/>
  <c r="BV39" i="27" s="1"/>
  <c r="BO38" i="27" a="1"/>
  <c r="BO38" i="27" s="1"/>
  <c r="BK37" i="27" a="1"/>
  <c r="BK37" i="27" s="1"/>
  <c r="BE35" i="27" a="1"/>
  <c r="BE35" i="27" s="1"/>
  <c r="AU41" i="27" a="1"/>
  <c r="AU41" i="27" s="1"/>
  <c r="AO40" i="27" a="1"/>
  <c r="AO40" i="27" s="1"/>
  <c r="AE39" i="27" a="1"/>
  <c r="AE39" i="27" s="1"/>
  <c r="Y37" i="27" a="1"/>
  <c r="Y37" i="27" s="1"/>
  <c r="CC41" i="27" a="1"/>
  <c r="CC41" i="27" s="1"/>
  <c r="BV42" i="27" a="1"/>
  <c r="BV42" i="27" s="1"/>
  <c r="BQ40" i="27" a="1"/>
  <c r="BQ40" i="27" s="1"/>
  <c r="BK38" i="27" a="1"/>
  <c r="BK38" i="27" s="1"/>
  <c r="BE36" i="27" a="1"/>
  <c r="BE36" i="27" s="1"/>
  <c r="AO41" i="27" a="1"/>
  <c r="AO41" i="27" s="1"/>
  <c r="AE40" i="27" a="1"/>
  <c r="AE40" i="27" s="1"/>
  <c r="Y38" i="27" a="1"/>
  <c r="Y38" i="27" s="1"/>
  <c r="U36" i="27" a="1"/>
  <c r="U36" i="27" s="1"/>
  <c r="AN40" i="27" a="1"/>
  <c r="AN40" i="27" s="1"/>
  <c r="Q40" i="27" a="1"/>
  <c r="Q40" i="27" s="1"/>
  <c r="I41" i="27" a="1"/>
  <c r="I41" i="27" s="1"/>
  <c r="CD41" i="27" a="1"/>
  <c r="CD41" i="27" s="1"/>
  <c r="AD39" i="27" a="1"/>
  <c r="AD39" i="27" s="1"/>
  <c r="P40" i="27" a="1"/>
  <c r="P40" i="27" s="1"/>
  <c r="BR36" i="27" a="1"/>
  <c r="BR36" i="27" s="1"/>
  <c r="BE41" i="27" a="1"/>
  <c r="BE41" i="27" s="1"/>
  <c r="V37" i="27" a="1"/>
  <c r="V37" i="27" s="1"/>
  <c r="M40" i="27" a="1"/>
  <c r="M40" i="27" s="1"/>
  <c r="CC39" i="27" a="1"/>
  <c r="CC39" i="27" s="1"/>
  <c r="Z38" i="27" a="1"/>
  <c r="Z38" i="27" s="1"/>
  <c r="CH37" i="27" a="1"/>
  <c r="CH37" i="27" s="1"/>
  <c r="AI36" i="27" a="1"/>
  <c r="AI36" i="27" s="1"/>
  <c r="P39" i="27" a="1"/>
  <c r="P39" i="27" s="1"/>
  <c r="I37" i="27" a="1"/>
  <c r="I37" i="27" s="1"/>
  <c r="BP39" i="27" a="1"/>
  <c r="BP39" i="27" s="1"/>
  <c r="AA37" i="27" a="1"/>
  <c r="AA37" i="27" s="1"/>
  <c r="Q35" i="27" a="1"/>
  <c r="Q35" i="27" s="1"/>
  <c r="P38" i="27" a="1"/>
  <c r="P38" i="27" s="1"/>
  <c r="L37" i="27" a="1"/>
  <c r="L37" i="27" s="1"/>
  <c r="U42" i="27" a="1"/>
  <c r="U42" i="27" s="1"/>
  <c r="O39" i="27" a="1"/>
  <c r="O39" i="27" s="1"/>
  <c r="U35" i="27" a="1"/>
  <c r="U35" i="27" s="1"/>
  <c r="AH37" i="27" a="1"/>
  <c r="AH37" i="27" s="1"/>
  <c r="R42" i="27" a="1"/>
  <c r="R42" i="27" s="1"/>
  <c r="X37" i="27" a="1"/>
  <c r="X37" i="27" s="1"/>
  <c r="T35" i="27" a="1"/>
  <c r="T35" i="27" s="1"/>
  <c r="W39" i="27" a="1"/>
  <c r="W39" i="27" s="1"/>
  <c r="AR38" i="27" a="1"/>
  <c r="AR38" i="27" s="1"/>
  <c r="BD35" i="27" a="1"/>
  <c r="BD35" i="27" s="1"/>
  <c r="O36" i="27" a="1"/>
  <c r="O36" i="27" s="1"/>
  <c r="AG35" i="27" a="1"/>
  <c r="AG35" i="27" s="1"/>
  <c r="AF36" i="27" a="1"/>
  <c r="AF36" i="27" s="1"/>
  <c r="AP37" i="27" a="1"/>
  <c r="AP37" i="27" s="1"/>
  <c r="Q38" i="27" a="1"/>
  <c r="Q38" i="27" s="1"/>
  <c r="AH41" i="27" a="1"/>
  <c r="AH41" i="27" s="1"/>
  <c r="AT35" i="27" a="1"/>
  <c r="AT35" i="27" s="1"/>
  <c r="BD39" i="27" a="1"/>
  <c r="BD39" i="27" s="1"/>
  <c r="BU38" i="27" a="1"/>
  <c r="BU38" i="27" s="1"/>
  <c r="CF36" i="27" a="1"/>
  <c r="CF36" i="27" s="1"/>
  <c r="J37" i="27" a="1"/>
  <c r="J37" i="27" s="1"/>
  <c r="P37" i="27" a="1"/>
  <c r="P37" i="27" s="1"/>
  <c r="BF36" i="27" a="1"/>
  <c r="BF36" i="27" s="1"/>
  <c r="K41" i="27" a="1"/>
  <c r="K41" i="27" s="1"/>
  <c r="R35" i="27" a="1"/>
  <c r="R35" i="27" s="1"/>
  <c r="BN38" i="27" a="1"/>
  <c r="BN38" i="27" s="1"/>
  <c r="P41" i="27" a="1"/>
  <c r="P41" i="27" s="1"/>
  <c r="J38" i="27" a="1"/>
  <c r="J38" i="27" s="1"/>
  <c r="Y42" i="27" a="1"/>
  <c r="Y42" i="27" s="1"/>
  <c r="Q41" i="27" a="1"/>
  <c r="Q41" i="27" s="1"/>
  <c r="M41" i="27" a="1"/>
  <c r="M41" i="27" s="1"/>
  <c r="W36" i="27" a="1"/>
  <c r="W36" i="27" s="1"/>
  <c r="AU42" i="27" a="1"/>
  <c r="AU42" i="27" s="1"/>
  <c r="N42" i="27" a="1"/>
  <c r="N42" i="27" s="1"/>
  <c r="Q39" i="27" a="1"/>
  <c r="Q39" i="27" s="1"/>
  <c r="CD40" i="27" a="1"/>
  <c r="CD40" i="27" s="1"/>
  <c r="I35" i="27" a="1"/>
  <c r="I35" i="27" s="1"/>
  <c r="BB58" i="45"/>
  <c r="BB59" i="45" s="1"/>
  <c r="T20" i="27" s="1"/>
  <c r="BF32" i="45"/>
  <c r="BF33" i="45" s="1"/>
  <c r="I25" i="27" s="1"/>
  <c r="R24" i="27" s="1"/>
  <c r="BB45" i="45"/>
  <c r="BB46" i="45" s="1"/>
  <c r="J21" i="27" s="1"/>
  <c r="S20" i="27" s="1"/>
  <c r="BD58" i="45"/>
  <c r="BD59" i="45" s="1"/>
  <c r="K23" i="27" s="1"/>
  <c r="T22" i="27" s="1"/>
  <c r="BW34" i="45"/>
  <c r="BW42" i="45"/>
  <c r="BW50" i="45"/>
  <c r="BD32" i="45"/>
  <c r="BD33" i="45" s="1"/>
  <c r="I23" i="27" s="1"/>
  <c r="R22" i="27" s="1"/>
  <c r="AZ58" i="45"/>
  <c r="BB32" i="45"/>
  <c r="BB33" i="45" s="1"/>
  <c r="I21" i="27" s="1"/>
  <c r="R20" i="27" s="1"/>
  <c r="BG32" i="45"/>
  <c r="BG33" i="45" s="1"/>
  <c r="I26" i="27" s="1"/>
  <c r="R25" i="27" s="1"/>
  <c r="BE32" i="45"/>
  <c r="BE33" i="45" s="1"/>
  <c r="I24" i="27" s="1"/>
  <c r="R23" i="27" s="1"/>
  <c r="BW37" i="45"/>
  <c r="BF58" i="45"/>
  <c r="BF59" i="45" s="1"/>
  <c r="K25" i="27" s="1"/>
  <c r="T24" i="27" s="1"/>
  <c r="BW47" i="45"/>
  <c r="BW24" i="45"/>
  <c r="BH32" i="45"/>
  <c r="BH33" i="45" s="1"/>
  <c r="I27" i="27" s="1"/>
  <c r="R26" i="27" s="1"/>
  <c r="BH45" i="45"/>
  <c r="BH46" i="45" s="1"/>
  <c r="J27" i="27" s="1"/>
  <c r="S26" i="27" s="1"/>
  <c r="BW36" i="45"/>
  <c r="BW49" i="45"/>
  <c r="BH58" i="45"/>
  <c r="BH59" i="45" s="1"/>
  <c r="K27" i="27" s="1"/>
  <c r="T26" i="27" s="1"/>
  <c r="BC32" i="45"/>
  <c r="BC33" i="45" s="1"/>
  <c r="I22" i="27" s="1"/>
  <c r="R21" i="27" s="1"/>
  <c r="BW38" i="45"/>
  <c r="BW51" i="45"/>
  <c r="BA32" i="45"/>
  <c r="BA33" i="45" s="1"/>
  <c r="I20" i="27" s="1"/>
  <c r="R19" i="27" s="1"/>
  <c r="BW53" i="45"/>
  <c r="BW28" i="45"/>
  <c r="BC45" i="45"/>
  <c r="BC46" i="45" s="1"/>
  <c r="J22" i="27" s="1"/>
  <c r="S21" i="27" s="1"/>
  <c r="BW30" i="45"/>
  <c r="BW35" i="45"/>
  <c r="BW40" i="45"/>
  <c r="BW39" i="45"/>
  <c r="BW26" i="45"/>
  <c r="BW54" i="45"/>
  <c r="BW41" i="45"/>
  <c r="BW23" i="45"/>
  <c r="BW27" i="45"/>
  <c r="BW46" i="45"/>
  <c r="BW25" i="45"/>
  <c r="BW29" i="45"/>
  <c r="AZ33" i="45"/>
  <c r="BW52" i="45"/>
  <c r="AZ46" i="45"/>
  <c r="BI45" i="45"/>
  <c r="BW48" i="45"/>
  <c r="AZ59" i="45"/>
  <c r="BI58" i="45"/>
  <c r="O128" i="27"/>
  <c r="W43" i="27" l="1"/>
  <c r="BW43" i="27"/>
  <c r="AJ43" i="27"/>
  <c r="CB43" i="27"/>
  <c r="BJ43" i="27"/>
  <c r="M43" i="27"/>
  <c r="BQ43" i="27"/>
  <c r="N43" i="27"/>
  <c r="CE43" i="27"/>
  <c r="AT43" i="27"/>
  <c r="BA43" i="27"/>
  <c r="AO43" i="27"/>
  <c r="CH43" i="27"/>
  <c r="BP43" i="27"/>
  <c r="CD43" i="27"/>
  <c r="AA43" i="27"/>
  <c r="CC43" i="27"/>
  <c r="BX43" i="27"/>
  <c r="AL43" i="27"/>
  <c r="L43" i="27"/>
  <c r="AF43" i="27"/>
  <c r="BB43" i="27"/>
  <c r="BT43" i="27"/>
  <c r="BO43" i="27"/>
  <c r="T43" i="27"/>
  <c r="BC43" i="27"/>
  <c r="AN43" i="27"/>
  <c r="X43" i="27"/>
  <c r="BH43" i="27"/>
  <c r="BU43" i="27"/>
  <c r="R43" i="27"/>
  <c r="AK43" i="27"/>
  <c r="Z43" i="27"/>
  <c r="Y43" i="27"/>
  <c r="AP43" i="27"/>
  <c r="BZ43" i="27"/>
  <c r="AV43" i="27"/>
  <c r="P43" i="27"/>
  <c r="V43" i="27"/>
  <c r="AH43" i="27"/>
  <c r="U43" i="27"/>
  <c r="BR43" i="27"/>
  <c r="AD43" i="27"/>
  <c r="AW43" i="27"/>
  <c r="BI43" i="27"/>
  <c r="AZ43" i="27"/>
  <c r="AM43" i="27"/>
  <c r="CG43" i="27"/>
  <c r="AY43" i="27"/>
  <c r="AG43" i="27"/>
  <c r="BV43" i="27"/>
  <c r="BN43" i="27"/>
  <c r="AB43" i="27"/>
  <c r="S43" i="27"/>
  <c r="AE43" i="27"/>
  <c r="BM43" i="27"/>
  <c r="AX43" i="27"/>
  <c r="Q43" i="27"/>
  <c r="AR43" i="27"/>
  <c r="AS43" i="27"/>
  <c r="CF43" i="27"/>
  <c r="CA43" i="27"/>
  <c r="BL43" i="27"/>
  <c r="BE43" i="27"/>
  <c r="AI43" i="27"/>
  <c r="O43" i="27"/>
  <c r="BD43" i="27"/>
  <c r="BF43" i="27"/>
  <c r="BS43" i="27"/>
  <c r="BK43" i="27"/>
  <c r="AU43" i="27"/>
  <c r="BG43" i="27"/>
  <c r="AC43" i="27"/>
  <c r="L20" i="27"/>
  <c r="L24" i="27"/>
  <c r="L21" i="27"/>
  <c r="L26" i="27"/>
  <c r="L23" i="27"/>
  <c r="L22" i="27"/>
  <c r="L25" i="27"/>
  <c r="L27" i="27"/>
  <c r="BI32" i="45"/>
  <c r="BI59" i="45"/>
  <c r="BI33" i="45"/>
  <c r="BI46" i="45"/>
  <c r="J43" i="27"/>
  <c r="I43" i="27"/>
  <c r="K43" i="27"/>
  <c r="J28" i="27" l="1"/>
  <c r="S51" i="51" s="1"/>
  <c r="S18" i="27"/>
  <c r="I28" i="27"/>
  <c r="L19" i="27"/>
  <c r="K28" i="27"/>
  <c r="T18" i="27"/>
  <c r="S12" i="52" l="1"/>
  <c r="AA60" i="56" s="1"/>
  <c r="S11" i="52"/>
  <c r="Y60" i="56" s="1"/>
  <c r="Z60" i="56" s="1"/>
  <c r="S59" i="28"/>
  <c r="S60" i="51"/>
  <c r="T60" i="51" s="1"/>
  <c r="S59" i="51"/>
  <c r="T59" i="51" s="1"/>
  <c r="S51" i="52"/>
  <c r="S51" i="28"/>
  <c r="S9" i="52"/>
  <c r="S60" i="52"/>
  <c r="T60" i="52" s="1"/>
  <c r="AC60" i="52" s="1"/>
  <c r="AB60" i="52" s="1"/>
  <c r="S59" i="52"/>
  <c r="T59" i="52" s="1"/>
  <c r="AC59" i="52" s="1"/>
  <c r="AB59" i="52" s="1"/>
  <c r="S37" i="52"/>
  <c r="T37" i="52" s="1"/>
  <c r="S10" i="52"/>
  <c r="S7" i="52"/>
  <c r="S20" i="52"/>
  <c r="S49" i="52"/>
  <c r="T49" i="52" s="1"/>
  <c r="T27" i="27"/>
  <c r="S38" i="52"/>
  <c r="T38" i="52" s="1"/>
  <c r="S34" i="52"/>
  <c r="T34" i="52" s="1"/>
  <c r="AB34" i="52" s="1"/>
  <c r="S16" i="52"/>
  <c r="S23" i="52"/>
  <c r="S14" i="52"/>
  <c r="S36" i="52"/>
  <c r="T36" i="52" s="1"/>
  <c r="S18" i="52"/>
  <c r="S40" i="52"/>
  <c r="T40" i="52" s="1"/>
  <c r="S8" i="52"/>
  <c r="S24" i="52"/>
  <c r="S33" i="52"/>
  <c r="T33" i="52" s="1"/>
  <c r="S46" i="52"/>
  <c r="S44" i="52"/>
  <c r="S50" i="52"/>
  <c r="T50" i="52" s="1"/>
  <c r="AB50" i="52" s="1"/>
  <c r="S35" i="52"/>
  <c r="T35" i="52" s="1"/>
  <c r="AB35" i="52" s="1"/>
  <c r="S42" i="52"/>
  <c r="T42" i="52" s="1"/>
  <c r="L28" i="27"/>
  <c r="S35" i="28"/>
  <c r="T35" i="28" s="1"/>
  <c r="AB35" i="28" s="1"/>
  <c r="S50" i="28"/>
  <c r="T50" i="28" s="1"/>
  <c r="AB50" i="28" s="1"/>
  <c r="S46" i="28"/>
  <c r="T46" i="28" s="1"/>
  <c r="S40" i="28"/>
  <c r="T40" i="28" s="1"/>
  <c r="S34" i="28"/>
  <c r="T34" i="28" s="1"/>
  <c r="S49" i="28"/>
  <c r="T49" i="28" s="1"/>
  <c r="S60" i="28"/>
  <c r="S42" i="28"/>
  <c r="T42" i="28" s="1"/>
  <c r="S36" i="28"/>
  <c r="T36" i="28" s="1"/>
  <c r="S20" i="28"/>
  <c r="S23" i="28"/>
  <c r="S18" i="28"/>
  <c r="S33" i="28"/>
  <c r="T33" i="28" s="1"/>
  <c r="S44" i="28"/>
  <c r="S14" i="28"/>
  <c r="R27" i="27"/>
  <c r="S10" i="28"/>
  <c r="S16" i="28"/>
  <c r="S8" i="28"/>
  <c r="S24" i="28"/>
  <c r="S9" i="28"/>
  <c r="S35" i="51"/>
  <c r="T35" i="51" s="1"/>
  <c r="AB35" i="51" s="1"/>
  <c r="S37" i="51"/>
  <c r="T37" i="51" s="1"/>
  <c r="S33" i="51"/>
  <c r="T33" i="51" s="1"/>
  <c r="S34" i="51"/>
  <c r="T34" i="51" s="1"/>
  <c r="AB34" i="51" s="1"/>
  <c r="S46" i="51"/>
  <c r="T46" i="51" s="1"/>
  <c r="S49" i="51"/>
  <c r="T49" i="51" s="1"/>
  <c r="S9" i="51"/>
  <c r="S50" i="51"/>
  <c r="T50" i="51" s="1"/>
  <c r="AB50" i="51" s="1"/>
  <c r="S40" i="51"/>
  <c r="T40" i="51" s="1"/>
  <c r="S18" i="51"/>
  <c r="S20" i="51"/>
  <c r="S7" i="51"/>
  <c r="S11" i="51"/>
  <c r="Y59" i="56" s="1"/>
  <c r="S38" i="51"/>
  <c r="T38" i="51" s="1"/>
  <c r="S27" i="27"/>
  <c r="S42" i="51"/>
  <c r="T42" i="51" s="1"/>
  <c r="S23" i="51"/>
  <c r="S24" i="51"/>
  <c r="S36" i="51"/>
  <c r="T36" i="51" s="1"/>
  <c r="S44" i="51"/>
  <c r="S12" i="51"/>
  <c r="AA59" i="56" s="1"/>
  <c r="S14" i="51"/>
  <c r="S16" i="51"/>
  <c r="S10" i="51"/>
  <c r="S8" i="51"/>
  <c r="AB59" i="56" l="1"/>
  <c r="AB60" i="56"/>
  <c r="Z59" i="56"/>
  <c r="S27" i="51"/>
  <c r="T23" i="51"/>
  <c r="T10" i="51"/>
  <c r="T11" i="51"/>
  <c r="T20" i="52"/>
  <c r="T7" i="51"/>
  <c r="AB7" i="51" s="1"/>
  <c r="AB14" i="52"/>
  <c r="T7" i="52"/>
  <c r="T20" i="51"/>
  <c r="T23" i="52"/>
  <c r="AB23" i="52" s="1"/>
  <c r="T10" i="52"/>
  <c r="AB10" i="52" s="1"/>
  <c r="T12" i="51"/>
  <c r="AB14" i="51"/>
  <c r="T23" i="28"/>
  <c r="AB14" i="28"/>
  <c r="T10" i="28"/>
  <c r="AB10" i="28" s="1"/>
  <c r="T20" i="28"/>
  <c r="T46" i="52"/>
  <c r="AB46" i="52" s="1"/>
  <c r="T7" i="28"/>
  <c r="T11" i="52"/>
  <c r="AB11" i="52" s="1"/>
  <c r="T12" i="52"/>
  <c r="T60" i="28"/>
  <c r="AC60" i="28" s="1"/>
  <c r="AB60" i="28" s="1"/>
  <c r="T59" i="28"/>
  <c r="AC59" i="28" s="1"/>
  <c r="AB59" i="28" s="1"/>
  <c r="V59" i="28" s="1"/>
  <c r="G5" i="48"/>
  <c r="G6" i="48"/>
  <c r="G8" i="48"/>
  <c r="I8" i="48" s="1"/>
  <c r="G7" i="48"/>
  <c r="I7" i="48" s="1"/>
  <c r="AB23" i="28"/>
  <c r="T24" i="28"/>
  <c r="F27" i="22" s="1"/>
  <c r="T8" i="28"/>
  <c r="AB8" i="28" s="1"/>
  <c r="T16" i="28"/>
  <c r="AB16" i="28" s="1"/>
  <c r="G10" i="48"/>
  <c r="V59" i="51"/>
  <c r="AC60" i="51"/>
  <c r="AB60" i="51" s="1"/>
  <c r="T8" i="51"/>
  <c r="AB8" i="51" s="1"/>
  <c r="AB23" i="51"/>
  <c r="T24" i="51"/>
  <c r="AB24" i="51" s="1"/>
  <c r="T16" i="51"/>
  <c r="AB16" i="51" s="1"/>
  <c r="T44" i="52"/>
  <c r="T18" i="52"/>
  <c r="AB18" i="52" s="1"/>
  <c r="T9" i="28"/>
  <c r="AB9" i="28" s="1"/>
  <c r="AB34" i="28"/>
  <c r="T18" i="51"/>
  <c r="AB18" i="51" s="1"/>
  <c r="T18" i="28"/>
  <c r="AB18" i="28" s="1"/>
  <c r="J24" i="22"/>
  <c r="AB36" i="28"/>
  <c r="I24" i="22"/>
  <c r="S54" i="51"/>
  <c r="K23" i="22"/>
  <c r="AB36" i="52"/>
  <c r="K27" i="22"/>
  <c r="S54" i="52"/>
  <c r="T16" i="52"/>
  <c r="AB16" i="52" s="1"/>
  <c r="AB36" i="51"/>
  <c r="AB42" i="51"/>
  <c r="J27" i="22"/>
  <c r="AC51" i="51" s="1"/>
  <c r="AB51" i="51" s="1"/>
  <c r="V51" i="51" s="1"/>
  <c r="AB37" i="51"/>
  <c r="T44" i="28"/>
  <c r="AB42" i="28"/>
  <c r="I27" i="22"/>
  <c r="T24" i="52"/>
  <c r="AB24" i="52" s="1"/>
  <c r="K24" i="22"/>
  <c r="AB37" i="52"/>
  <c r="T9" i="51"/>
  <c r="J23" i="22"/>
  <c r="I23" i="22"/>
  <c r="T8" i="52"/>
  <c r="G9" i="48"/>
  <c r="G11" i="48"/>
  <c r="G12" i="48"/>
  <c r="G13" i="48"/>
  <c r="I13" i="48" s="1"/>
  <c r="S26" i="22"/>
  <c r="S29" i="22" s="1"/>
  <c r="T26" i="22"/>
  <c r="T29" i="22" s="1"/>
  <c r="U26" i="22"/>
  <c r="V26" i="22"/>
  <c r="V29" i="22" s="1"/>
  <c r="AB40" i="52"/>
  <c r="T44" i="51"/>
  <c r="S27" i="52"/>
  <c r="T9" i="52"/>
  <c r="F24" i="22" l="1"/>
  <c r="AB48" i="52"/>
  <c r="AB20" i="51"/>
  <c r="T51" i="51"/>
  <c r="F17" i="22"/>
  <c r="V11" i="52"/>
  <c r="M10" i="48"/>
  <c r="L10" i="48" s="1"/>
  <c r="F24" i="48" s="1"/>
  <c r="U29" i="22"/>
  <c r="AB11" i="51"/>
  <c r="AC51" i="52"/>
  <c r="AB51" i="52" s="1"/>
  <c r="V51" i="52" s="1"/>
  <c r="G27" i="22"/>
  <c r="G17" i="22"/>
  <c r="AB24" i="28"/>
  <c r="G24" i="22"/>
  <c r="Y24" i="22" s="1"/>
  <c r="AC51" i="28"/>
  <c r="AB51" i="28" s="1"/>
  <c r="V51" i="28" s="1"/>
  <c r="G13" i="22"/>
  <c r="V59" i="52"/>
  <c r="V60" i="28"/>
  <c r="V60" i="51"/>
  <c r="AB47" i="52"/>
  <c r="K28" i="22"/>
  <c r="AB49" i="28"/>
  <c r="AB44" i="28"/>
  <c r="AB44" i="51"/>
  <c r="AB22" i="51"/>
  <c r="G19" i="22"/>
  <c r="AB33" i="52"/>
  <c r="K9" i="22"/>
  <c r="AB49" i="52"/>
  <c r="K19" i="22"/>
  <c r="AB44" i="52"/>
  <c r="K10" i="22"/>
  <c r="H10" i="22"/>
  <c r="AB47" i="51"/>
  <c r="AB48" i="51"/>
  <c r="AB46" i="51"/>
  <c r="AB48" i="28"/>
  <c r="AB47" i="28"/>
  <c r="AB7" i="28"/>
  <c r="T51" i="52"/>
  <c r="AB42" i="52"/>
  <c r="V42" i="52" s="1"/>
  <c r="K17" i="22"/>
  <c r="AB49" i="51"/>
  <c r="AB40" i="51"/>
  <c r="V40" i="51" s="1"/>
  <c r="J13" i="22"/>
  <c r="AB40" i="28"/>
  <c r="I13" i="22"/>
  <c r="AB12" i="51"/>
  <c r="AB10" i="51"/>
  <c r="G11" i="22"/>
  <c r="F23" i="22"/>
  <c r="Y23" i="22" s="1"/>
  <c r="AB7" i="52"/>
  <c r="AB12" i="52"/>
  <c r="V12" i="52" s="1"/>
  <c r="F13" i="22"/>
  <c r="AB38" i="52"/>
  <c r="AB38" i="51"/>
  <c r="V38" i="51" s="1"/>
  <c r="I17" i="22"/>
  <c r="V42" i="28"/>
  <c r="V37" i="51"/>
  <c r="O26" i="22"/>
  <c r="O29" i="22" s="1"/>
  <c r="F11" i="22"/>
  <c r="J11" i="22"/>
  <c r="L26" i="22"/>
  <c r="L29" i="22" s="1"/>
  <c r="P26" i="22"/>
  <c r="P29" i="22" s="1"/>
  <c r="Q26" i="22"/>
  <c r="Q29" i="22" s="1"/>
  <c r="V14" i="52"/>
  <c r="H13" i="22"/>
  <c r="I11" i="22"/>
  <c r="V18" i="52"/>
  <c r="M26" i="22"/>
  <c r="M29" i="22" s="1"/>
  <c r="N26" i="22"/>
  <c r="N29" i="22" s="1"/>
  <c r="V40" i="52"/>
  <c r="K13" i="22"/>
  <c r="H27" i="22"/>
  <c r="V42" i="51"/>
  <c r="J17" i="22"/>
  <c r="H11" i="22"/>
  <c r="K11" i="22"/>
  <c r="V16" i="52"/>
  <c r="H17" i="22"/>
  <c r="V23" i="52"/>
  <c r="Y13" i="22" l="1"/>
  <c r="V46" i="52"/>
  <c r="G9" i="22"/>
  <c r="G28" i="22"/>
  <c r="G10" i="22"/>
  <c r="AB21" i="51"/>
  <c r="AB27" i="51" s="1"/>
  <c r="O51" i="56" s="1"/>
  <c r="O53" i="56" s="1"/>
  <c r="N6" i="56" s="1"/>
  <c r="L6" i="56" s="1"/>
  <c r="Y27" i="22"/>
  <c r="I10" i="48"/>
  <c r="I9" i="22"/>
  <c r="Y18" i="22"/>
  <c r="M9" i="48"/>
  <c r="L9" i="48" s="1"/>
  <c r="F23" i="48" s="1"/>
  <c r="M11" i="48"/>
  <c r="M5" i="48"/>
  <c r="I5" i="48" s="1"/>
  <c r="H28" i="22"/>
  <c r="F28" i="22"/>
  <c r="AB46" i="28"/>
  <c r="I28" i="22"/>
  <c r="V46" i="51"/>
  <c r="J28" i="22"/>
  <c r="AB22" i="28"/>
  <c r="F19" i="22"/>
  <c r="AB21" i="52"/>
  <c r="I10" i="22"/>
  <c r="AB22" i="52"/>
  <c r="H19" i="22"/>
  <c r="J19" i="22"/>
  <c r="AB20" i="28"/>
  <c r="F9" i="22"/>
  <c r="AB20" i="52"/>
  <c r="H9" i="22"/>
  <c r="V33" i="51"/>
  <c r="J9" i="22"/>
  <c r="J10" i="22"/>
  <c r="I19" i="22"/>
  <c r="AB21" i="28"/>
  <c r="F10" i="22"/>
  <c r="AB33" i="28"/>
  <c r="Y17" i="22"/>
  <c r="AE17" i="22" s="1"/>
  <c r="O30" i="22"/>
  <c r="L30" i="22"/>
  <c r="V60" i="52"/>
  <c r="AB54" i="52"/>
  <c r="Q151" i="56" s="1"/>
  <c r="Q153" i="56" s="1"/>
  <c r="V7" i="52"/>
  <c r="Y11" i="22"/>
  <c r="AE11" i="22" s="1"/>
  <c r="P138" i="56" l="1"/>
  <c r="Q138" i="56" s="1"/>
  <c r="P123" i="56"/>
  <c r="Q123" i="56" s="1"/>
  <c r="P148" i="56"/>
  <c r="Q148" i="56" s="1"/>
  <c r="P133" i="56"/>
  <c r="Q133" i="56" s="1"/>
  <c r="P128" i="56"/>
  <c r="Q128" i="56" s="1"/>
  <c r="P113" i="56"/>
  <c r="P108" i="56"/>
  <c r="Q108" i="56" s="1"/>
  <c r="P118" i="56"/>
  <c r="Q118" i="56" s="1"/>
  <c r="P143" i="56"/>
  <c r="Q143" i="56" s="1"/>
  <c r="O6" i="56"/>
  <c r="N16" i="56"/>
  <c r="L16" i="56" s="1"/>
  <c r="N11" i="56"/>
  <c r="L11" i="56" s="1"/>
  <c r="N21" i="56"/>
  <c r="L21" i="56" s="1"/>
  <c r="N46" i="56"/>
  <c r="N41" i="56"/>
  <c r="L41" i="56" s="1"/>
  <c r="N31" i="56"/>
  <c r="L31" i="56" s="1"/>
  <c r="N36" i="56"/>
  <c r="L36" i="56" s="1"/>
  <c r="N26" i="56"/>
  <c r="L26" i="56" s="1"/>
  <c r="Y28" i="22"/>
  <c r="AE13" i="22"/>
  <c r="AA13" i="22"/>
  <c r="AE18" i="22"/>
  <c r="AA18" i="22"/>
  <c r="Y9" i="22"/>
  <c r="AA9" i="22" s="1"/>
  <c r="F21" i="48"/>
  <c r="I9" i="48"/>
  <c r="Z35" i="22"/>
  <c r="Z36" i="22"/>
  <c r="AB27" i="52"/>
  <c r="O151" i="56" s="1"/>
  <c r="O153" i="56" s="1"/>
  <c r="AB54" i="51"/>
  <c r="Q51" i="56" s="1"/>
  <c r="Q53" i="56" s="1"/>
  <c r="P8" i="56" s="1"/>
  <c r="Y19" i="22"/>
  <c r="AE19" i="22" s="1"/>
  <c r="V20" i="52"/>
  <c r="Y10" i="22"/>
  <c r="AE10" i="22" s="1"/>
  <c r="AA17" i="22"/>
  <c r="AA11" i="22"/>
  <c r="AA16" i="22"/>
  <c r="AA14" i="22"/>
  <c r="AA15" i="22"/>
  <c r="N141" i="56" l="1"/>
  <c r="O141" i="56" s="1"/>
  <c r="N136" i="56"/>
  <c r="O136" i="56" s="1"/>
  <c r="N131" i="56"/>
  <c r="O131" i="56" s="1"/>
  <c r="N106" i="56"/>
  <c r="O106" i="56" s="1"/>
  <c r="N126" i="56"/>
  <c r="O126" i="56" s="1"/>
  <c r="N116" i="56"/>
  <c r="O116" i="56" s="1"/>
  <c r="N121" i="56"/>
  <c r="O121" i="56" s="1"/>
  <c r="N111" i="56"/>
  <c r="N146" i="56"/>
  <c r="O146" i="56" s="1"/>
  <c r="Q8" i="56"/>
  <c r="L8" i="56"/>
  <c r="O46" i="56"/>
  <c r="L46" i="56"/>
  <c r="P43" i="56"/>
  <c r="P38" i="56"/>
  <c r="P33" i="56"/>
  <c r="P13" i="56"/>
  <c r="P28" i="56"/>
  <c r="P23" i="56"/>
  <c r="P18" i="56"/>
  <c r="P48" i="56"/>
  <c r="O41" i="56"/>
  <c r="O36" i="56"/>
  <c r="O31" i="56"/>
  <c r="O26" i="56"/>
  <c r="O21" i="56"/>
  <c r="O16" i="56"/>
  <c r="O11" i="56"/>
  <c r="AE9" i="22"/>
  <c r="AA19" i="22"/>
  <c r="AA10" i="22"/>
  <c r="Q13" i="56" l="1"/>
  <c r="L13" i="56"/>
  <c r="Q43" i="56"/>
  <c r="L43" i="56"/>
  <c r="Q18" i="56"/>
  <c r="L18" i="56"/>
  <c r="Q38" i="56"/>
  <c r="L38" i="56"/>
  <c r="Q23" i="56"/>
  <c r="L23" i="56"/>
  <c r="Q33" i="56"/>
  <c r="L33" i="56"/>
  <c r="Q48" i="56"/>
  <c r="L48" i="56"/>
  <c r="Q28" i="56"/>
  <c r="L28" i="56"/>
  <c r="O54" i="56"/>
  <c r="M12" i="48"/>
  <c r="L12" i="48" s="1"/>
  <c r="Q54" i="56" l="1"/>
  <c r="Q55" i="56" s="1"/>
  <c r="O55" i="56"/>
  <c r="F26" i="48"/>
  <c r="I12" i="48"/>
  <c r="S30" i="22"/>
  <c r="Z38" i="22" l="1"/>
  <c r="L11" i="48" l="1"/>
  <c r="I11" i="48" l="1"/>
  <c r="F25" i="48"/>
  <c r="R37" i="28" l="1"/>
  <c r="R38" i="28"/>
  <c r="S38" i="28" s="1"/>
  <c r="T38" i="28" s="1"/>
  <c r="R11" i="28"/>
  <c r="R12" i="28"/>
  <c r="S12" i="28" s="1"/>
  <c r="T12" i="28" l="1"/>
  <c r="F22" i="22" s="1"/>
  <c r="AA58" i="56"/>
  <c r="R32" i="28"/>
  <c r="AB38" i="28"/>
  <c r="V38" i="28" s="1"/>
  <c r="S11" i="28"/>
  <c r="Y58" i="56" s="1"/>
  <c r="R6" i="28"/>
  <c r="S37" i="28"/>
  <c r="AB12" i="28" l="1"/>
  <c r="J22" i="22"/>
  <c r="K22" i="22"/>
  <c r="AC39" i="52" s="1"/>
  <c r="H22" i="22"/>
  <c r="AC13" i="52" s="1"/>
  <c r="I22" i="22"/>
  <c r="AC39" i="28" s="1"/>
  <c r="AA39" i="28" s="1"/>
  <c r="G22" i="22"/>
  <c r="AC39" i="51"/>
  <c r="T37" i="28"/>
  <c r="S54" i="28"/>
  <c r="AC13" i="28"/>
  <c r="T11" i="28"/>
  <c r="S27" i="28"/>
  <c r="Y22" i="22" l="1"/>
  <c r="AC13" i="51"/>
  <c r="AA13" i="28"/>
  <c r="H26" i="22"/>
  <c r="H29" i="22" s="1"/>
  <c r="AC27" i="52"/>
  <c r="AA13" i="52"/>
  <c r="J26" i="22"/>
  <c r="J29" i="22" s="1"/>
  <c r="AC54" i="51"/>
  <c r="AA39" i="51"/>
  <c r="G26" i="22"/>
  <c r="G29" i="22" s="1"/>
  <c r="AA13" i="51"/>
  <c r="AC27" i="51"/>
  <c r="AC27" i="28"/>
  <c r="AB11" i="28"/>
  <c r="F26" i="22"/>
  <c r="AA27" i="22"/>
  <c r="AA22" i="22"/>
  <c r="AE22" i="22"/>
  <c r="T51" i="28"/>
  <c r="AA39" i="52"/>
  <c r="AC54" i="52"/>
  <c r="K26" i="22"/>
  <c r="K29" i="22" s="1"/>
  <c r="F29" i="22" l="1"/>
  <c r="F30" i="22" s="1"/>
  <c r="AB27" i="28"/>
  <c r="O101" i="56" s="1"/>
  <c r="O103" i="56" s="1"/>
  <c r="N56" i="56" s="1"/>
  <c r="L56" i="56" s="1"/>
  <c r="AC54" i="28"/>
  <c r="AB37" i="28"/>
  <c r="I26" i="22"/>
  <c r="I29" i="22" s="1"/>
  <c r="I30" i="22" s="1"/>
  <c r="N71" i="56" l="1"/>
  <c r="N61" i="56"/>
  <c r="N76" i="56"/>
  <c r="O56" i="56"/>
  <c r="N96" i="56"/>
  <c r="N86" i="56"/>
  <c r="N91" i="56"/>
  <c r="N66" i="56"/>
  <c r="N81" i="56"/>
  <c r="V37" i="28"/>
  <c r="AB54" i="28"/>
  <c r="Q101" i="56" s="1"/>
  <c r="Q103" i="56" s="1"/>
  <c r="Z34" i="22"/>
  <c r="Z33" i="22"/>
  <c r="Y26" i="22"/>
  <c r="O66" i="56" l="1"/>
  <c r="L66" i="56"/>
  <c r="P98" i="56"/>
  <c r="P78" i="56"/>
  <c r="P73" i="56"/>
  <c r="P63" i="56"/>
  <c r="P93" i="56"/>
  <c r="P83" i="56"/>
  <c r="P68" i="56"/>
  <c r="P58" i="56"/>
  <c r="P88" i="56"/>
  <c r="O86" i="56"/>
  <c r="L86" i="56"/>
  <c r="O96" i="56"/>
  <c r="L96" i="56"/>
  <c r="O76" i="56"/>
  <c r="L76" i="56"/>
  <c r="O61" i="56"/>
  <c r="L61" i="56"/>
  <c r="O91" i="56"/>
  <c r="L91" i="56"/>
  <c r="O81" i="56"/>
  <c r="L81" i="56"/>
  <c r="O71" i="56"/>
  <c r="L71" i="56"/>
  <c r="AE26" i="22"/>
  <c r="AA26" i="22"/>
  <c r="Y29" i="22"/>
  <c r="O104" i="56" l="1"/>
  <c r="O105" i="56" s="1"/>
  <c r="L83" i="56"/>
  <c r="Q83" i="56"/>
  <c r="L93" i="56"/>
  <c r="Q93" i="56"/>
  <c r="L63" i="56"/>
  <c r="Q63" i="56"/>
  <c r="L73" i="56"/>
  <c r="Q73" i="56"/>
  <c r="L78" i="56"/>
  <c r="Q78" i="56"/>
  <c r="L88" i="56"/>
  <c r="Q88" i="56"/>
  <c r="L98" i="56"/>
  <c r="Q98" i="56"/>
  <c r="L58" i="56"/>
  <c r="Q58" i="56"/>
  <c r="L68" i="56"/>
  <c r="Q68" i="56"/>
  <c r="AA29" i="22"/>
  <c r="P30" i="22"/>
  <c r="M30" i="22"/>
  <c r="R30" i="22"/>
  <c r="T30" i="22"/>
  <c r="G30" i="22"/>
  <c r="J30" i="22"/>
  <c r="Q104" i="56" l="1"/>
  <c r="Y30" i="22"/>
  <c r="Q105" i="56" l="1"/>
  <c r="V104" i="56"/>
  <c r="S53" i="56"/>
  <c r="R19" i="56" l="1"/>
  <c r="R14" i="56"/>
  <c r="R49" i="56"/>
  <c r="R34" i="56"/>
  <c r="R44" i="56"/>
  <c r="R29" i="56"/>
  <c r="R39" i="56"/>
  <c r="R24" i="56"/>
  <c r="S44" i="56" l="1"/>
  <c r="L44" i="56"/>
  <c r="S39" i="56"/>
  <c r="L39" i="56"/>
  <c r="S9" i="56"/>
  <c r="L9" i="56"/>
  <c r="S29" i="56"/>
  <c r="L29" i="56"/>
  <c r="S34" i="56"/>
  <c r="L34" i="56"/>
  <c r="S49" i="56"/>
  <c r="L49" i="56"/>
  <c r="S14" i="56"/>
  <c r="L14" i="56"/>
  <c r="S24" i="56"/>
  <c r="L24" i="56"/>
  <c r="S19" i="56"/>
  <c r="L19" i="56"/>
  <c r="O111" i="56"/>
  <c r="O154" i="56" s="1"/>
  <c r="Q113" i="56"/>
  <c r="Q154" i="56" s="1"/>
  <c r="Q155" i="56" s="1"/>
  <c r="S55" i="56" l="1"/>
  <c r="O155" i="56"/>
  <c r="V154" i="56"/>
  <c r="V54" i="56" l="1"/>
  <c r="V157" i="5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4" authorId="0" shapeId="0" xr:uid="{00000000-0006-0000-0400-000001000000}">
      <text>
        <r>
          <rPr>
            <b/>
            <sz val="8"/>
            <color indexed="8"/>
            <rFont val="Tahoma"/>
            <family val="2"/>
          </rPr>
          <t>KanORS:</t>
        </r>
        <r>
          <rPr>
            <sz val="8"/>
            <color indexed="8"/>
            <rFont val="Tahoma"/>
            <family val="2"/>
          </rPr>
          <t xml:space="preserve">
ktoe to PJ</t>
        </r>
      </text>
    </comment>
    <comment ref="AA18" authorId="0" shapeId="0" xr:uid="{E69169C4-4167-4867-81E0-2976346D2AA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Solar, Ambient Heat Only in SEAI Energy Balance moved to Solar, Ambeint Heat and Heat in TIMES</t>
        </r>
      </text>
    </comment>
    <comment ref="F22" authorId="0" shapeId="0" xr:uid="{FD951BE2-1895-4D7F-8F7E-932C20720B67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Y27" authorId="0" shapeId="0" xr:uid="{E46C1FDC-3E24-43B8-ADA8-FFEEB08F8D4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Geothermal is a top-down values from which Heat is subtracted.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tc={1A437461-EFE9-4537-AFD6-F1BBE37B1B2F}</author>
    <author>tc={C2F67DD3-864A-4DE2-A245-252067C74AE1}</author>
  </authors>
  <commentList>
    <comment ref="BX31" authorId="0" shapeId="0" xr:uid="{1A437461-EFE9-4537-AFD6-F1BBE37B1B2F}">
      <text>
        <t>[Threaded comment]
Your version of Excel allows you to read this threaded comment; however, any edits to it will get removed if the file is opened in a newer version of Excel. Learn more: https://go.microsoft.com/fwlink/?linkid=870924
Comment:
    Adjustment for Unknown Fuel</t>
      </text>
    </comment>
    <comment ref="BJ32" authorId="1" shapeId="0" xr:uid="{C2F67DD3-864A-4DE2-A245-252067C74AE1}">
      <text>
        <t>[Threaded comment]
Your version of Excel allows you to read this threaded comment; however, any edits to it will get removed if the file is opened in a newer version of Excel. Learn more: https://go.microsoft.com/fwlink/?linkid=870924
Comment:
    Adjustment for Unknown Archetype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tc={2CB0A78A-BB9F-4A6A-B078-87B8F8DDA9AA}</author>
  </authors>
  <commentList>
    <comment ref="D5" authorId="0" shapeId="0" xr:uid="{2CB0A78A-BB9F-4A6A-B078-87B8F8DDA9AA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values based on EB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S3" authorId="0" shapeId="0" xr:uid="{4DCDC03D-D1EB-4D4B-A3B9-BDD0E15CFF2C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3" authorId="0" shapeId="0" xr:uid="{4A52DA36-691D-4643-A1BC-DD39763E4526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U3" authorId="0" shapeId="0" xr:uid="{196437B7-71CB-4C0A-8433-8A8A3A81735E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M4" authorId="0" shapeId="0" xr:uid="{A248964C-03C2-4724-A16D-D5D67FE56DC9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L6" authorId="0" shapeId="0" xr:uid="{DDDAABAF-F1BA-4F7B-8385-B90B450ABCC9}">
      <text>
        <r>
          <rPr>
            <b/>
            <sz val="9"/>
            <color indexed="81"/>
            <rFont val="Tahoma"/>
            <family val="2"/>
          </rPr>
          <t xml:space="preserve">Jason Mc Guire:
</t>
        </r>
        <r>
          <rPr>
            <sz val="9"/>
            <color indexed="81"/>
            <rFont val="Tahoma"/>
            <family val="2"/>
          </rPr>
          <t xml:space="preserve">The building archetype &amp; fuels are calibrated already, so the intensity per BER/EPC is calibrated agaisnt the fuel and building. 
The process uses the EPC data in the 1st iteration and calibrated fuel/buildings in the 2nd rating leaving 0% Error. </t>
        </r>
      </text>
    </comment>
    <comment ref="L11" authorId="0" shapeId="0" xr:uid="{13F04610-C689-4584-9D28-5348C78DDAC0}">
      <text>
        <r>
          <rPr>
            <b/>
            <sz val="9"/>
            <color indexed="81"/>
            <rFont val="Tahoma"/>
            <family val="2"/>
          </rPr>
          <t xml:space="preserve">Jason Mc Guire:
</t>
        </r>
        <r>
          <rPr>
            <sz val="9"/>
            <color indexed="81"/>
            <rFont val="Tahoma"/>
            <family val="2"/>
          </rPr>
          <t xml:space="preserve">The building archetype &amp; fuels are calibrated already, so the intensity per BER/EPC is calibrated agaisnt the fuel and building. 
</t>
        </r>
      </text>
    </comment>
    <comment ref="L16" authorId="0" shapeId="0" xr:uid="{96B6B061-AF25-4D5E-B047-C0138138F2A7}">
      <text>
        <r>
          <rPr>
            <b/>
            <sz val="9"/>
            <color indexed="81"/>
            <rFont val="Tahoma"/>
            <family val="2"/>
          </rPr>
          <t xml:space="preserve">Jason Mc Guire:
</t>
        </r>
        <r>
          <rPr>
            <sz val="9"/>
            <color indexed="81"/>
            <rFont val="Tahoma"/>
            <family val="2"/>
          </rPr>
          <t xml:space="preserve">The building archetype &amp; fuels are calibrated already, so the intensity per BER/EPC is calibrated agaisnt the fuel and building. 
</t>
        </r>
      </text>
    </comment>
    <comment ref="L21" authorId="0" shapeId="0" xr:uid="{10C07397-39F2-4362-AB0A-D51A2B1EC0AB}">
      <text>
        <r>
          <rPr>
            <b/>
            <sz val="9"/>
            <color indexed="81"/>
            <rFont val="Tahoma"/>
            <family val="2"/>
          </rPr>
          <t xml:space="preserve">Jason Mc Guire:
</t>
        </r>
        <r>
          <rPr>
            <sz val="9"/>
            <color indexed="81"/>
            <rFont val="Tahoma"/>
            <family val="2"/>
          </rPr>
          <t xml:space="preserve">The building archetype &amp; fuels are calibrated already, so the intensity per BER/EPC is calibrated agaisnt the fuel and building. 
</t>
        </r>
      </text>
    </comment>
    <comment ref="L26" authorId="0" shapeId="0" xr:uid="{DDAB6F32-6E3F-49EF-8162-56BAC117F658}">
      <text>
        <r>
          <rPr>
            <b/>
            <sz val="9"/>
            <color indexed="81"/>
            <rFont val="Tahoma"/>
            <family val="2"/>
          </rPr>
          <t xml:space="preserve">Jason Mc Guire:
</t>
        </r>
        <r>
          <rPr>
            <sz val="9"/>
            <color indexed="81"/>
            <rFont val="Tahoma"/>
            <family val="2"/>
          </rPr>
          <t xml:space="preserve">The building archetype &amp; fuels are calibrated already, so the intensity per BER/EPC is calibrated agaisnt the fuel and building. 
</t>
        </r>
      </text>
    </comment>
    <comment ref="L31" authorId="0" shapeId="0" xr:uid="{B17E32B5-9209-4AED-B2B1-C63E6B5A76C5}">
      <text>
        <r>
          <rPr>
            <b/>
            <sz val="9"/>
            <color indexed="81"/>
            <rFont val="Tahoma"/>
            <family val="2"/>
          </rPr>
          <t xml:space="preserve">Jason Mc Guire:
</t>
        </r>
        <r>
          <rPr>
            <sz val="9"/>
            <color indexed="81"/>
            <rFont val="Tahoma"/>
            <family val="2"/>
          </rPr>
          <t xml:space="preserve">The building archetype &amp; fuels are calibrated already, so the intensity per BER/EPC is calibrated agaisnt the fuel and building. 
</t>
        </r>
      </text>
    </comment>
    <comment ref="L36" authorId="0" shapeId="0" xr:uid="{F2A30A5B-4983-42B0-A253-2DDE26D3F20F}">
      <text>
        <r>
          <rPr>
            <b/>
            <sz val="9"/>
            <color indexed="81"/>
            <rFont val="Tahoma"/>
            <family val="2"/>
          </rPr>
          <t xml:space="preserve">Jason Mc Guire:
</t>
        </r>
        <r>
          <rPr>
            <sz val="9"/>
            <color indexed="81"/>
            <rFont val="Tahoma"/>
            <family val="2"/>
          </rPr>
          <t xml:space="preserve">The building archetype &amp; fuels are calibrated already, so the intensity per BER/EPC is calibrated agaisnt the fuel and building. 
</t>
        </r>
      </text>
    </comment>
    <comment ref="L41" authorId="0" shapeId="0" xr:uid="{32A883CF-7886-4154-A093-88C60DA8B83C}">
      <text>
        <r>
          <rPr>
            <b/>
            <sz val="9"/>
            <color indexed="81"/>
            <rFont val="Tahoma"/>
            <family val="2"/>
          </rPr>
          <t xml:space="preserve">Jason Mc Guire:
</t>
        </r>
        <r>
          <rPr>
            <sz val="9"/>
            <color indexed="81"/>
            <rFont val="Tahoma"/>
            <family val="2"/>
          </rPr>
          <t xml:space="preserve">The building archetype &amp; fuels are calibrated already, so the intensity per BER/EPC is calibrated agaisnt the fuel and building. 
</t>
        </r>
      </text>
    </comment>
    <comment ref="L46" authorId="0" shapeId="0" xr:uid="{275E7CE1-8D28-499D-9738-A126EE6861C6}">
      <text>
        <r>
          <rPr>
            <b/>
            <sz val="9"/>
            <color indexed="81"/>
            <rFont val="Tahoma"/>
            <family val="2"/>
          </rPr>
          <t xml:space="preserve">Jason Mc Guire:
</t>
        </r>
        <r>
          <rPr>
            <sz val="9"/>
            <color indexed="81"/>
            <rFont val="Tahoma"/>
            <family val="2"/>
          </rPr>
          <t xml:space="preserve">The building archetype &amp; fuels are calibrated already, so the intensity per BER/EPC is calibrated agaisnt the fuel and building. 
</t>
        </r>
      </text>
    </comment>
    <comment ref="L56" authorId="0" shapeId="0" xr:uid="{FA327400-7EA3-44BB-A335-9DE661A4DFD9}">
      <text>
        <r>
          <rPr>
            <b/>
            <sz val="9"/>
            <color indexed="81"/>
            <rFont val="Tahoma"/>
            <family val="2"/>
          </rPr>
          <t xml:space="preserve">Jason Mc Guire:
</t>
        </r>
        <r>
          <rPr>
            <sz val="9"/>
            <color indexed="81"/>
            <rFont val="Tahoma"/>
            <family val="2"/>
          </rPr>
          <t xml:space="preserve">The building archetype &amp; fuels are calibrated already, so the intensity per BER/EPC is calibrated agaisnt the fuel and building. 
</t>
        </r>
      </text>
    </comment>
    <comment ref="L61" authorId="0" shapeId="0" xr:uid="{A4567060-5BED-45A1-AF9A-3862C1ED55DE}">
      <text>
        <r>
          <rPr>
            <b/>
            <sz val="9"/>
            <color indexed="81"/>
            <rFont val="Tahoma"/>
            <family val="2"/>
          </rPr>
          <t xml:space="preserve">Jason Mc Guire:
</t>
        </r>
        <r>
          <rPr>
            <sz val="9"/>
            <color indexed="81"/>
            <rFont val="Tahoma"/>
            <family val="2"/>
          </rPr>
          <t xml:space="preserve">The building archetype &amp; fuels are calibrated already, so the intensity per BER/EPC is calibrated agaisnt the fuel and building. 
</t>
        </r>
      </text>
    </comment>
    <comment ref="L66" authorId="0" shapeId="0" xr:uid="{6C0922BC-BF3B-403D-9095-D07B1899D952}">
      <text>
        <r>
          <rPr>
            <b/>
            <sz val="9"/>
            <color indexed="81"/>
            <rFont val="Tahoma"/>
            <family val="2"/>
          </rPr>
          <t xml:space="preserve">Jason Mc Guire:
</t>
        </r>
        <r>
          <rPr>
            <sz val="9"/>
            <color indexed="81"/>
            <rFont val="Tahoma"/>
            <family val="2"/>
          </rPr>
          <t xml:space="preserve">The building archetype &amp; fuels are calibrated already, so the intensity per BER/EPC is calibrated agaisnt the fuel and building. 
</t>
        </r>
      </text>
    </comment>
    <comment ref="L71" authorId="0" shapeId="0" xr:uid="{E2BBE20D-3A81-4E79-BD92-5B205B89F8A1}">
      <text>
        <r>
          <rPr>
            <b/>
            <sz val="9"/>
            <color indexed="81"/>
            <rFont val="Tahoma"/>
            <family val="2"/>
          </rPr>
          <t xml:space="preserve">Jason Mc Guire:
</t>
        </r>
        <r>
          <rPr>
            <sz val="9"/>
            <color indexed="81"/>
            <rFont val="Tahoma"/>
            <family val="2"/>
          </rPr>
          <t xml:space="preserve">The building archetype &amp; fuels are calibrated already, so the intensity per BER/EPC is calibrated agaisnt the fuel and building. 
</t>
        </r>
      </text>
    </comment>
    <comment ref="L76" authorId="0" shapeId="0" xr:uid="{35260432-3432-4DAB-8AAA-C1B74578ABD7}">
      <text>
        <r>
          <rPr>
            <b/>
            <sz val="9"/>
            <color indexed="81"/>
            <rFont val="Tahoma"/>
            <family val="2"/>
          </rPr>
          <t xml:space="preserve">Jason Mc Guire:
</t>
        </r>
        <r>
          <rPr>
            <sz val="9"/>
            <color indexed="81"/>
            <rFont val="Tahoma"/>
            <family val="2"/>
          </rPr>
          <t xml:space="preserve">The building archetype &amp; fuels are calibrated already, so the intensity per BER/EPC is calibrated agaisnt the fuel and building. 
</t>
        </r>
      </text>
    </comment>
    <comment ref="L81" authorId="0" shapeId="0" xr:uid="{8454CDEF-D873-4C8D-98FB-2B1B2A25087E}">
      <text>
        <r>
          <rPr>
            <b/>
            <sz val="9"/>
            <color indexed="81"/>
            <rFont val="Tahoma"/>
            <family val="2"/>
          </rPr>
          <t xml:space="preserve">Jason Mc Guire:
</t>
        </r>
        <r>
          <rPr>
            <sz val="9"/>
            <color indexed="81"/>
            <rFont val="Tahoma"/>
            <family val="2"/>
          </rPr>
          <t xml:space="preserve">The building archetype &amp; fuels are calibrated already, so the intensity per BER/EPC is calibrated agaisnt the fuel and building. 
</t>
        </r>
      </text>
    </comment>
    <comment ref="L86" authorId="0" shapeId="0" xr:uid="{E3DFD8F0-1DDE-4837-A54D-E91B2F88AA03}">
      <text>
        <r>
          <rPr>
            <b/>
            <sz val="9"/>
            <color indexed="81"/>
            <rFont val="Tahoma"/>
            <family val="2"/>
          </rPr>
          <t xml:space="preserve">Jason Mc Guire:
</t>
        </r>
        <r>
          <rPr>
            <sz val="9"/>
            <color indexed="81"/>
            <rFont val="Tahoma"/>
            <family val="2"/>
          </rPr>
          <t xml:space="preserve">The building archetype &amp; fuels are calibrated already, so the intensity per BER/EPC is calibrated agaisnt the fuel and building. 
</t>
        </r>
      </text>
    </comment>
    <comment ref="L91" authorId="0" shapeId="0" xr:uid="{77348566-9ED9-44AD-9E01-B4815BA19C3C}">
      <text>
        <r>
          <rPr>
            <b/>
            <sz val="9"/>
            <color indexed="81"/>
            <rFont val="Tahoma"/>
            <family val="2"/>
          </rPr>
          <t xml:space="preserve">Jason Mc Guire:
</t>
        </r>
        <r>
          <rPr>
            <sz val="9"/>
            <color indexed="81"/>
            <rFont val="Tahoma"/>
            <family val="2"/>
          </rPr>
          <t xml:space="preserve">The building archetype &amp; fuels are calibrated already, so the intensity per BER/EPC is calibrated agaisnt the fuel and building. 
</t>
        </r>
      </text>
    </comment>
    <comment ref="L96" authorId="0" shapeId="0" xr:uid="{2D036552-0691-4F12-B035-2F13A8C267F1}">
      <text>
        <r>
          <rPr>
            <b/>
            <sz val="9"/>
            <color indexed="81"/>
            <rFont val="Tahoma"/>
            <family val="2"/>
          </rPr>
          <t xml:space="preserve">Jason Mc Guire:
</t>
        </r>
        <r>
          <rPr>
            <sz val="9"/>
            <color indexed="81"/>
            <rFont val="Tahoma"/>
            <family val="2"/>
          </rPr>
          <t xml:space="preserve">The building archetype &amp; fuels are calibrated already, so the intensity per BER/EPC is calibrated agaisnt the fuel and building. 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5" authorId="0" shapeId="0" xr:uid="{B2BF486E-364C-4F1C-A3B5-409A37C68E7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Approx 80% https://storage.topten.eu/source/files/WhiteGoods_in_Europe_June15.pdf</t>
        </r>
      </text>
    </comment>
    <comment ref="H6" authorId="0" shapeId="0" xr:uid="{BF91CA09-1AB5-444F-9952-27209144311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https://www.uswitch.com/energy-saving/guides/energy-efficient-cooking/#:~:text=In%20terms%20of%20energy%20use,less%20energy%20than%20gas%20hobs.</t>
        </r>
      </text>
    </comment>
    <comment ref="H7" authorId="0" shapeId="0" xr:uid="{60D95505-2883-444E-BA50-BA1EA667443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https://onlinelibrary.wiley.com/doi/abs/10.1002/er.708
</t>
        </r>
      </text>
    </comment>
    <comment ref="H9" authorId="0" shapeId="0" xr:uid="{3D8F350A-51DD-4333-A029-BED48130C7D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Assumptions</t>
        </r>
      </text>
    </comment>
    <comment ref="R20" authorId="0" shapeId="0" xr:uid="{F86BBF7C-609F-412F-A5F6-284C6BE8835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https://www.statista.com/statistics/656724/utility-ownership-home-electric-oven-gb-roi/#:~:text=This%20statistic%20depicts%20the%20share,than%20those%20in%20Great%20Britain.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tc={E541D5BE-3C27-4677-A0CD-AD62B3C8A6EF}</author>
  </authors>
  <commentList>
    <comment ref="N49" authorId="0" shapeId="0" xr:uid="{E541D5BE-3C27-4677-A0CD-AD62B3C8A6EF}">
      <text>
        <t>[Threaded comment]
Your version of Excel allows you to read this threaded comment; however, any edits to it will get removed if the file is opened in a newer version of Excel. Learn more: https://go.microsoft.com/fwlink/?linkid=870924
Comment:
    BER at county and dwelling type level is  calibrated to total residence + Non-Stated dwelling type ratio per county is added.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tc={DBC58626-586B-4857-B0EF-B83C6C8C9C8C}</author>
    <author>Author</author>
    <author>tc={F98A09A5-ED7F-446B-BDE7-7E3B32870D14}</author>
    <author>tc={C12E7C0B-2C5A-47E9-B3E9-D9411BB51E02}</author>
  </authors>
  <commentList>
    <comment ref="T4" authorId="0" shapeId="0" xr:uid="{DBC58626-586B-4857-B0EF-B83C6C8C9C8C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correction factor is based on two components. 1. The ratio of BER to total housing stock and the ArDEM internal temperature adjustment</t>
      </text>
    </comment>
    <comment ref="X5" authorId="1" shapeId="0" xr:uid="{A46AAA24-EC7A-4B0D-AE62-2B5F95CAAE5B}">
      <text>
        <r>
          <rPr>
            <b/>
            <sz val="9"/>
            <color indexed="81"/>
            <rFont val="Tahoma"/>
            <family val="2"/>
          </rPr>
          <t>E4SMA:</t>
        </r>
        <r>
          <rPr>
            <sz val="9"/>
            <color indexed="81"/>
            <rFont val="Tahoma"/>
            <family val="2"/>
          </rPr>
          <t xml:space="preserve">
ACT[PJ]/(Stock[000units]*AFA[%]*Cap2Act[PJ/GW*GW/000units])</t>
        </r>
      </text>
    </comment>
    <comment ref="C6" authorId="1" shapeId="0" xr:uid="{9A1F1C09-6D3E-4ED1-B282-668498CC4D5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includes delivered energy, plus an allowance for the energy “overhead” incurred in extracting, processing and transporting a fuel or other energy carrier to the dwelling. The generation efficiency of power stations is included.</t>
        </r>
      </text>
    </comment>
    <comment ref="D6" authorId="1" shapeId="0" xr:uid="{4903E3F5-8F37-42C2-80EA-E68FFC3038D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corresponds to the energy consumption that normally appears on the energy bills for the assumed standardised occupancy and end-uses considered.
</t>
        </r>
      </text>
    </comment>
    <comment ref="E6" authorId="1" shapeId="0" xr:uid="{91561C3B-D38C-4541-B6A2-E65FBA24FB5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is the number of dwellings in this archtype which have a given main space heating fuel. This should equal the total dwellings</t>
        </r>
      </text>
    </comment>
    <comment ref="F6" authorId="1" shapeId="0" xr:uid="{A7B84C69-0D59-47E3-AB80-4CDC233D0A2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Total Floor area of Archtype with given main space heating fuel ( NOT USED in TIMES Ireland )</t>
        </r>
      </text>
    </comment>
    <comment ref="G6" authorId="1" shapeId="0" xr:uid="{91FA6793-00CF-4EFD-B4A7-90A1F69E972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is the Average - For all systems except heat pumps this is the (gross) seasonal efficiency of the main space heating system and can have a value between 0 and 100. For heat pumps it is the seasonal performance factor (SPF) expressed as a percentage and may have a value greater than 100.</t>
        </r>
      </text>
    </comment>
    <comment ref="J6" authorId="1" shapeId="0" xr:uid="{2B5E439C-5D3D-42A2-9D5C-1F4FBBE6280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is the number of dwellings in this archtype which have a given secondary space heating fuel.</t>
        </r>
      </text>
    </comment>
    <comment ref="T7" authorId="1" shapeId="0" xr:uid="{EF6F5BEF-7E49-49D0-BC5A-E52F240AEBF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Updated SEAI Energy Balance had large change in Coal</t>
        </r>
      </text>
    </comment>
    <comment ref="B24" authorId="1" shapeId="0" xr:uid="{7D87A81B-67C5-49CA-90D4-9B7E6130466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could be a unkown fuel or not noted or community heating/district heating.
</t>
        </r>
      </text>
    </comment>
    <comment ref="E30" authorId="1" shapeId="0" xr:uid="{1B0D2A46-EA7B-42E2-B771-61E6004A7C1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is the number of dwellings in this archtype which have a given main space heating fuel. This should equal the total dwellings</t>
        </r>
      </text>
    </comment>
    <comment ref="F30" authorId="1" shapeId="0" xr:uid="{5830D705-3B7D-4117-99DA-04E3AA0765C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Total Floor area of Archtype with given main space heating fuel ( NOT USED in TIMES Ireland )</t>
        </r>
      </text>
    </comment>
    <comment ref="T30" authorId="2" shapeId="0" xr:uid="{F98A09A5-ED7F-446B-BDE7-7E3B32870D1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correction factor is based on the ratio of BER to total housing stock</t>
      </text>
    </comment>
    <comment ref="T33" authorId="1" shapeId="0" xr:uid="{A68DB980-55D1-4BF0-8B46-2C7562C4FE4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0.167 was deducted from the correction factor in all 3 dwelling types, in both space and water heating so that TIMES-Ireland and SEAI Energy Balance matched in Coal</t>
        </r>
      </text>
    </comment>
    <comment ref="T40" authorId="1" shapeId="0" xr:uid="{42998968-3CDA-4A9C-8424-7C68E729786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0.421 was deducted from the correction factor in all 3 dwelling types, so that TIMES-Ireland and SEAI Energy Balance matched in Oil </t>
        </r>
      </text>
    </comment>
    <comment ref="T42" authorId="1" shapeId="0" xr:uid="{91B3DE15-785F-4CF7-8F8C-0C1F7BDDA12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0.449  was deducted from the correction factor in all 3 dwelling types, so that TIMES-Ireland and SEAI Energy Balance matched in Natural Gas </t>
        </r>
      </text>
    </comment>
    <comment ref="B48" authorId="1" shapeId="0" xr:uid="{35BAC75E-26C3-46F6-B52E-BFB3E7F6CBC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could be a unkown fuel or not noted or community heating/district heating.
</t>
        </r>
      </text>
    </comment>
    <comment ref="R51" authorId="1" shapeId="0" xr:uid="{E78DA4CF-4866-4245-A52A-82E33AD7BF8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Approx 1% of Apartment Water Heating is from Solar</t>
        </r>
      </text>
    </comment>
    <comment ref="T57" authorId="3" shapeId="0" xr:uid="{C12E7C0B-2C5A-47E9-B3E9-D9411BB51E0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correction factor is based on the ratio of BER to total housing stock</t>
      </text>
    </comment>
    <comment ref="AD59" authorId="1" shapeId="0" xr:uid="{9EF34355-D7C4-4CCE-85A6-6218CAE85FF3}">
      <text>
        <r>
          <rPr>
            <b/>
            <sz val="9"/>
            <color indexed="81"/>
            <rFont val="Tahoma"/>
            <family val="2"/>
          </rPr>
          <t>E4SMA:</t>
        </r>
        <r>
          <rPr>
            <sz val="9"/>
            <color indexed="81"/>
            <rFont val="Tahoma"/>
            <family val="2"/>
          </rPr>
          <t xml:space="preserve">
Stock is estimated here as the dwelling stock. Here is assumed the average total capapcity [kW/dw]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tc={2871B56B-5E40-46C8-978A-9DA5F67D0804}</author>
    <author>Author</author>
    <author>tc={BAE0A747-CC3A-432B-8D64-48DEBDDEE535}</author>
    <author>tc={D24C9FE5-80EE-43E2-A261-7C8FFFAF3341}</author>
  </authors>
  <commentList>
    <comment ref="T4" authorId="0" shapeId="0" xr:uid="{2871B56B-5E40-46C8-978A-9DA5F67D080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correction factor is based on two components. 1. The ratio of BER to total housing stock and the ArDEM internal temperature adjustment</t>
      </text>
    </comment>
    <comment ref="X5" authorId="1" shapeId="0" xr:uid="{F7C827A1-1621-4AC0-A380-CC53D42169CB}">
      <text>
        <r>
          <rPr>
            <b/>
            <sz val="9"/>
            <color indexed="81"/>
            <rFont val="Tahoma"/>
            <family val="2"/>
          </rPr>
          <t>E4SMA:</t>
        </r>
        <r>
          <rPr>
            <sz val="9"/>
            <color indexed="81"/>
            <rFont val="Tahoma"/>
            <family val="2"/>
          </rPr>
          <t xml:space="preserve">
ACT[PJ]/(Stock[000units]*AFA[%]*Cap2Act[PJ/GW*GW/000units])</t>
        </r>
      </text>
    </comment>
    <comment ref="C6" authorId="1" shapeId="0" xr:uid="{E51CB128-FC0A-481E-A66D-983785C0CC3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includes delivered energy, plus an allowance for the energy “overhead” incurred in extracting, processing and transporting a fuel or other energy carrier to the dwelling. The generation efficiency of power stations is included.</t>
        </r>
      </text>
    </comment>
    <comment ref="D6" authorId="1" shapeId="0" xr:uid="{A290D9F0-4A17-4AD5-9503-2AFF2A56618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corresponds to the energy consumption that normally appears on the energy bills for the assumed standardised occupancy and end-uses considered.
</t>
        </r>
      </text>
    </comment>
    <comment ref="E6" authorId="1" shapeId="0" xr:uid="{85F88FFF-1297-422B-B251-D63A08ECECB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is the number of dwellings in this archtype which have a given main space heating fuel. This should equal the total dwellings</t>
        </r>
      </text>
    </comment>
    <comment ref="F6" authorId="1" shapeId="0" xr:uid="{E9CED29C-4EFF-40E0-8232-B41A6533D3B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Total Floor area of Archtype with given main space heating fuel ( NOT USED in TIMES Ireland )</t>
        </r>
      </text>
    </comment>
    <comment ref="G6" authorId="1" shapeId="0" xr:uid="{52A0EB36-F9D0-4840-84FB-857479BDAA0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is the Average - For all systems except heat pumps this is the (gross) seasonal efficiency of the main space heating system and can have a value between 0 and 100. For heat pumps it is the seasonal performance factor (SPF) expressed as a percentage and may have a value greater than 100.</t>
        </r>
      </text>
    </comment>
    <comment ref="J6" authorId="1" shapeId="0" xr:uid="{00079177-E89A-40DB-845C-C6CFD5B1FF5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is the number of dwellings in this archtype which have a given secondary space heating fuel.</t>
        </r>
      </text>
    </comment>
    <comment ref="T7" authorId="1" shapeId="0" xr:uid="{355EE2FC-E6EB-4084-8B13-D804EC689DD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0.167 was deducted from the correction factor in all 3 dwelling types, in both space and water heating so that TIMES-Ireland and SEAI Energy Balance matched in Coal</t>
        </r>
      </text>
    </comment>
    <comment ref="B24" authorId="1" shapeId="0" xr:uid="{F1588178-E815-4550-9FB9-0A51CC45CF8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could be a unkown fuel or not noted or community heating/district heating.
</t>
        </r>
      </text>
    </comment>
    <comment ref="E30" authorId="1" shapeId="0" xr:uid="{C7D902BA-6572-4F24-A744-AF34762D036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is the number of dwellings in this archtype which have a given main space heating fuel. This should equal the total dwellings</t>
        </r>
      </text>
    </comment>
    <comment ref="F30" authorId="1" shapeId="0" xr:uid="{687C88D2-4C62-44A2-96C9-34C9C756394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Total Floor area of Archtype with given main space heating fuel ( NOT USED in TIMES Ireland )</t>
        </r>
      </text>
    </comment>
    <comment ref="T30" authorId="2" shapeId="0" xr:uid="{BAE0A747-CC3A-432B-8D64-48DEBDDEE53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correction factor is based on the ratio of BER to total housing stock</t>
      </text>
    </comment>
    <comment ref="T33" authorId="1" shapeId="0" xr:uid="{866F198D-4F04-4BAD-9853-D128FA98CD0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0.167 was deducted from the correction factor in all 3 dwelling types, in both space and water heating so that TIMES-Ireland and SEAI Energy Balance matched in Coal</t>
        </r>
      </text>
    </comment>
    <comment ref="T40" authorId="1" shapeId="0" xr:uid="{CE99A9E8-ACD3-4325-8F64-F7BCCA46223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0.421 was deducted from the correction factor in all 3 dwelling types, so that TIMES-Ireland and SEAI Energy Balance matched in Oil </t>
        </r>
      </text>
    </comment>
    <comment ref="T42" authorId="1" shapeId="0" xr:uid="{15AE3FE4-759F-442C-B471-C59A7147ED6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0.449  was deducted from the correction factor in all 3 dwelling types, so that TIMES-Ireland and SEAI Energy Balance matched in Natural Gas </t>
        </r>
      </text>
    </comment>
    <comment ref="B48" authorId="1" shapeId="0" xr:uid="{9F270A5B-AFCC-4F44-A2DA-2ECC30D656B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could be a unkown fuel or not noted or community heating/district heating.
</t>
        </r>
      </text>
    </comment>
    <comment ref="T57" authorId="3" shapeId="0" xr:uid="{D24C9FE5-80EE-43E2-A261-7C8FFFAF3341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correction factor is based on the ratio of BER to total housing stock</t>
      </text>
    </comment>
    <comment ref="AD59" authorId="1" shapeId="0" xr:uid="{6D940E61-FC6C-4377-8CE6-ED9C4C00FB55}">
      <text>
        <r>
          <rPr>
            <b/>
            <sz val="9"/>
            <color indexed="81"/>
            <rFont val="Tahoma"/>
            <family val="2"/>
          </rPr>
          <t>E4SMA:</t>
        </r>
        <r>
          <rPr>
            <sz val="9"/>
            <color indexed="81"/>
            <rFont val="Tahoma"/>
            <family val="2"/>
          </rPr>
          <t xml:space="preserve">
Stock is estimated here as the dwelling stock. Here is assumed the average total capapcity [kW/dw]</t>
        </r>
      </text>
    </comment>
    <comment ref="AC70" authorId="1" shapeId="0" xr:uid="{89E515F9-4CC1-457D-8984-2F8E24E2E33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Corrected with Adj factor 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tc={04F46DFB-7618-4F69-B793-BEC292DAC661}</author>
    <author>Author</author>
    <author>tc={8F933052-EE78-47B9-BF6C-72EA9DEF76C0}</author>
    <author>tc={F22E0A0C-6053-48B6-8C6D-BAED2A5A08F3}</author>
  </authors>
  <commentList>
    <comment ref="T4" authorId="0" shapeId="0" xr:uid="{04F46DFB-7618-4F69-B793-BEC292DAC661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correction factor is based on two components. 1. The ratio of BER to total housing stock and the ArDEM internal temperature adjustment</t>
      </text>
    </comment>
    <comment ref="X5" authorId="1" shapeId="0" xr:uid="{F4431B35-8424-49A6-8E47-EA8DD43849BB}">
      <text>
        <r>
          <rPr>
            <b/>
            <sz val="9"/>
            <color indexed="81"/>
            <rFont val="Tahoma"/>
            <family val="2"/>
          </rPr>
          <t>E4SMA:</t>
        </r>
        <r>
          <rPr>
            <sz val="9"/>
            <color indexed="81"/>
            <rFont val="Tahoma"/>
            <family val="2"/>
          </rPr>
          <t xml:space="preserve">
ACT[PJ]/(Stock[000units]*AFA[%]*Cap2Act[PJ/GW*GW/000units])</t>
        </r>
      </text>
    </comment>
    <comment ref="C6" authorId="1" shapeId="0" xr:uid="{C9807346-3B1E-4957-A818-32D0071B253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includes delivered energy, plus an allowance for the energy “overhead” incurred in extracting, processing and transporting a fuel or other energy carrier to the dwelling. The generation efficiency of power stations is included.</t>
        </r>
      </text>
    </comment>
    <comment ref="D6" authorId="1" shapeId="0" xr:uid="{3F5BA202-72D4-40B9-A861-58E17B1024B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corresponds to the energy consumption that normally appears on the energy bills for the assumed standardised occupancy and end-uses considered.
</t>
        </r>
      </text>
    </comment>
    <comment ref="E6" authorId="1" shapeId="0" xr:uid="{9496E38C-117A-4299-9153-07587F7F895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is the number of dwellings in this archtype which have a given main space heating fuel. This should equal the total dwellings</t>
        </r>
      </text>
    </comment>
    <comment ref="F6" authorId="1" shapeId="0" xr:uid="{A55700F8-EBC1-468E-856C-BD70A69EED0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Total Floor area of Archtype with given main space heating fuel ( NOT USED in TIMES Ireland )</t>
        </r>
      </text>
    </comment>
    <comment ref="G6" authorId="1" shapeId="0" xr:uid="{788A1069-966A-4924-9135-95FC1D469E8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is the Average - For all systems except heat pumps this is the (gross) seasonal efficiency of the main space heating system and can have a value between 0 and 100. For heat pumps it is the seasonal performance factor (SPF) expressed as a percentage and may have a value greater than 100.</t>
        </r>
      </text>
    </comment>
    <comment ref="J6" authorId="1" shapeId="0" xr:uid="{A500B4D2-10E4-49FA-95C9-9E917CF6679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is the number of dwellings in this archtype which have a given secondary space heating fuel.</t>
        </r>
      </text>
    </comment>
    <comment ref="T7" authorId="1" shapeId="0" xr:uid="{21F7372B-B405-45A6-9B5A-0E099BC7936C}">
      <text>
        <r>
          <rPr>
            <b/>
            <sz val="9"/>
            <color indexed="81"/>
            <rFont val="Tahoma"/>
            <family val="2"/>
          </rPr>
          <t>Jason Mc Guire:</t>
        </r>
        <r>
          <rPr>
            <sz val="9"/>
            <color indexed="81"/>
            <rFont val="Tahoma"/>
            <family val="2"/>
          </rPr>
          <t xml:space="preserve">
0.0955 was deducted from the correction factor in all 3 dwelling types, in both space and water heating so that TIMES-Ireland and SEAI Energy Balance matched in Coal</t>
        </r>
      </text>
    </comment>
    <comment ref="T18" authorId="1" shapeId="0" xr:uid="{8DFFB6C4-8CBB-4F85-82E0-A1D6B97B004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Slightly Change Peat in Detached +0.16</t>
        </r>
      </text>
    </comment>
    <comment ref="T20" authorId="1" shapeId="0" xr:uid="{9DA4C7F0-0247-4C5F-A41D-1C696551681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0.1377 was deducted from the correction factor in all 3 dwelling types, in both space and water heating so that TIMES-Ireland and SEAI Energy Balance matched in Peat and became closer in Coal and Wood. More fine tuning in required in Coal and Wood. </t>
        </r>
      </text>
    </comment>
    <comment ref="B24" authorId="1" shapeId="0" xr:uid="{E7D42552-92B5-4C5B-9501-7C192FEBF88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could be a unkown fuel or not noted or community heating/district heating.
</t>
        </r>
      </text>
    </comment>
    <comment ref="E30" authorId="1" shapeId="0" xr:uid="{67102CA9-30DB-4074-ADCE-0CC5D41A483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is the number of dwellings in this archtype which have a given main space heating fuel. This should equal the total dwellings</t>
        </r>
      </text>
    </comment>
    <comment ref="F30" authorId="1" shapeId="0" xr:uid="{A23D1D1C-A440-4ACE-8E22-23E8D54A4E4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Total Floor area of Archtype with given main space heating fuel ( NOT USED in TIMES Ireland )</t>
        </r>
      </text>
    </comment>
    <comment ref="T30" authorId="2" shapeId="0" xr:uid="{8F933052-EE78-47B9-BF6C-72EA9DEF76C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correction factor is based on the ratio of BER to total housing stock</t>
      </text>
    </comment>
    <comment ref="T33" authorId="1" shapeId="0" xr:uid="{E7E4D94B-0FF0-4BEF-93F8-90008245D343}">
      <text>
        <r>
          <rPr>
            <b/>
            <sz val="9"/>
            <color indexed="81"/>
            <rFont val="Tahoma"/>
            <family val="2"/>
          </rPr>
          <t>Jason Mc Guire</t>
        </r>
        <r>
          <rPr>
            <sz val="9"/>
            <color indexed="81"/>
            <rFont val="Tahoma"/>
            <family val="2"/>
          </rPr>
          <t xml:space="preserve">
0.167 was deducted from the correction factor in all 3 dwelling types, in both space and water heating so that TIMES-Ireland and SEAI Energy Balance matched in Coal</t>
        </r>
      </text>
    </comment>
    <comment ref="T40" authorId="1" shapeId="0" xr:uid="{55F5CCF8-E2C3-4CF7-90BE-437CEB6FC96E}">
      <text>
        <r>
          <rPr>
            <b/>
            <sz val="9"/>
            <color indexed="81"/>
            <rFont val="Tahoma"/>
            <family val="2"/>
          </rPr>
          <t>Jason Mc Guire:</t>
        </r>
        <r>
          <rPr>
            <sz val="9"/>
            <color indexed="81"/>
            <rFont val="Tahoma"/>
            <family val="2"/>
          </rPr>
          <t xml:space="preserve">
0.421 was deducted from the correction factor in all 3 dwelling types, so that TIMES-Ireland and SEAI Energy Balance matched in Oil </t>
        </r>
      </text>
    </comment>
    <comment ref="T42" authorId="1" shapeId="0" xr:uid="{C2970898-1472-4A80-AB2D-22A3E34F83F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0.449  was deducted from the correction factor in all 3 dwelling types, so that TIMES-Ireland and SEAI Energy Balance matched in Natural Gas </t>
        </r>
      </text>
    </comment>
    <comment ref="B48" authorId="1" shapeId="0" xr:uid="{9AE50CED-5134-47E7-9623-04CC515B010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could be a unkown fuel or not noted or community heating/district heating.
</t>
        </r>
      </text>
    </comment>
    <comment ref="T57" authorId="3" shapeId="0" xr:uid="{F22E0A0C-6053-48B6-8C6D-BAED2A5A08F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correction factor is based on the ratio of BER to total housing stock</t>
      </text>
    </comment>
    <comment ref="AD59" authorId="1" shapeId="0" xr:uid="{6A915144-1791-4503-B71F-62719CF37981}">
      <text>
        <r>
          <rPr>
            <b/>
            <sz val="9"/>
            <color indexed="81"/>
            <rFont val="Tahoma"/>
            <family val="2"/>
          </rPr>
          <t>E4SMA:</t>
        </r>
        <r>
          <rPr>
            <sz val="9"/>
            <color indexed="81"/>
            <rFont val="Tahoma"/>
            <family val="2"/>
          </rPr>
          <t xml:space="preserve">
Stock is estimated here as the dwelling stock. Here is assumed the average total capapcity [kW/dw]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<sst xmlns="http://schemas.openxmlformats.org/spreadsheetml/2006/main" count="69080" uniqueCount="974">
  <si>
    <t>Document type:</t>
  </si>
  <si>
    <t>Residential</t>
  </si>
  <si>
    <t>Table of contents</t>
  </si>
  <si>
    <t>Colour code</t>
  </si>
  <si>
    <t>Description</t>
  </si>
  <si>
    <t>Updated</t>
  </si>
  <si>
    <t>RES</t>
  </si>
  <si>
    <t>Filtered Data</t>
  </si>
  <si>
    <t>RHWLP-APT</t>
  </si>
  <si>
    <t>RHWLP-Ter</t>
  </si>
  <si>
    <t>RHWLP-Det</t>
  </si>
  <si>
    <t>Units</t>
  </si>
  <si>
    <t>Capacity</t>
  </si>
  <si>
    <t>PJ</t>
  </si>
  <si>
    <t>Currency (year)</t>
  </si>
  <si>
    <t>ArDEM</t>
  </si>
  <si>
    <t>LEAP</t>
  </si>
  <si>
    <t>Value</t>
  </si>
  <si>
    <t>JRC_EU_TIMES</t>
  </si>
  <si>
    <t>European TIMES</t>
  </si>
  <si>
    <t xml:space="preserve"> Nov-19</t>
  </si>
  <si>
    <t>PET_IE</t>
  </si>
  <si>
    <t>Energy Balance 2018</t>
  </si>
  <si>
    <t xml:space="preserve">Automatic Naming Convention </t>
  </si>
  <si>
    <t>TIMES</t>
  </si>
  <si>
    <t>* Energy Carriers</t>
  </si>
  <si>
    <t>* Emissions</t>
  </si>
  <si>
    <t>RSDCO2</t>
  </si>
  <si>
    <t>Carbon Dioxide - Combustion (RSD)</t>
  </si>
  <si>
    <t>RSDCH4</t>
  </si>
  <si>
    <t>Methane (RSD)</t>
  </si>
  <si>
    <t>RSDSO2N</t>
  </si>
  <si>
    <t>Sulphur Oxides (RSD)</t>
  </si>
  <si>
    <t>RSDN2O</t>
  </si>
  <si>
    <t>Nitrogen Oxide (RSD)</t>
  </si>
  <si>
    <t>RSDPM10</t>
  </si>
  <si>
    <t>Particulate Matter &lt;10 µm (RSD)</t>
  </si>
  <si>
    <t>RSDPM25</t>
  </si>
  <si>
    <t>Particulate Matter &lt;2.5 µm (RSD)</t>
  </si>
  <si>
    <t>* Building Types</t>
  </si>
  <si>
    <t xml:space="preserve"> </t>
  </si>
  <si>
    <t>Apt</t>
  </si>
  <si>
    <t>Apartment</t>
  </si>
  <si>
    <t>Att</t>
  </si>
  <si>
    <t>Attached</t>
  </si>
  <si>
    <t>Det</t>
  </si>
  <si>
    <t>Detached</t>
  </si>
  <si>
    <t>* Building Energy Rating</t>
  </si>
  <si>
    <t>A</t>
  </si>
  <si>
    <t>-200 kWh/m2/yr to 75 kWh/m2/yr</t>
  </si>
  <si>
    <t>B1</t>
  </si>
  <si>
    <t>76 kWh/m2/yr to 100 kWh/m2/yr</t>
  </si>
  <si>
    <t>B2</t>
  </si>
  <si>
    <t>101 kWh/m2/yr to 125 kWh/m2/yr</t>
  </si>
  <si>
    <t>B3</t>
  </si>
  <si>
    <t>126 kWh/m2/yr to 150 kWh/m2/yr</t>
  </si>
  <si>
    <t>C</t>
  </si>
  <si>
    <t>151 kWh/m2/yr to 225 kWh/m2/yr</t>
  </si>
  <si>
    <t>D</t>
  </si>
  <si>
    <t>226 kWh/m2/yr to 300 kWh/m2/yr</t>
  </si>
  <si>
    <t>E</t>
  </si>
  <si>
    <t>301 kWh/m2/yr to 380 kWh/m2/yr</t>
  </si>
  <si>
    <t>F</t>
  </si>
  <si>
    <t>381 kWh/m2/yr to 450 kWh/m2/yr</t>
  </si>
  <si>
    <t>G</t>
  </si>
  <si>
    <t>451 kWh/m2/yr to 1500 kWh/m2/yr</t>
  </si>
  <si>
    <t>* Energy Services</t>
  </si>
  <si>
    <t>CD</t>
  </si>
  <si>
    <t>* TECHNOLOGIES</t>
  </si>
  <si>
    <t>* Quality</t>
  </si>
  <si>
    <t>X0</t>
  </si>
  <si>
    <t>Existing 00</t>
  </si>
  <si>
    <t>X1</t>
  </si>
  <si>
    <t>Existing 01</t>
  </si>
  <si>
    <t>X2</t>
  </si>
  <si>
    <t>Existing 02</t>
  </si>
  <si>
    <t>* Space Heating Control Type</t>
  </si>
  <si>
    <t>-NTC-</t>
  </si>
  <si>
    <t>No Temp Control-</t>
  </si>
  <si>
    <t>-FTC-</t>
  </si>
  <si>
    <t>Flow Temp Control-</t>
  </si>
  <si>
    <t>-RTC-</t>
  </si>
  <si>
    <t>Room Temp Control-</t>
  </si>
  <si>
    <t>-ZFTC-</t>
  </si>
  <si>
    <t>Zoned Flow Temp Control-</t>
  </si>
  <si>
    <t>-ZRTC-</t>
  </si>
  <si>
    <t>Zoned Room Temp Control-</t>
  </si>
  <si>
    <t>Archetype</t>
  </si>
  <si>
    <t xml:space="preserve"> Coal</t>
  </si>
  <si>
    <t xml:space="preserve"> Bituminous Coal</t>
  </si>
  <si>
    <t xml:space="preserve"> Coke</t>
  </si>
  <si>
    <t xml:space="preserve"> Lignite \ Brown Coal Briquettes</t>
  </si>
  <si>
    <t xml:space="preserve"> Peat</t>
  </si>
  <si>
    <t xml:space="preserve"> Milled Peat</t>
  </si>
  <si>
    <t xml:space="preserve"> Sod Peat</t>
  </si>
  <si>
    <t xml:space="preserve"> Briquettes</t>
  </si>
  <si>
    <t xml:space="preserve"> Oil</t>
  </si>
  <si>
    <t xml:space="preserve"> Crude</t>
  </si>
  <si>
    <t xml:space="preserve"> Refinery Gas</t>
  </si>
  <si>
    <t xml:space="preserve"> Gasoline</t>
  </si>
  <si>
    <t xml:space="preserve"> Kerosene</t>
  </si>
  <si>
    <t xml:space="preserve"> Jet Kerosene</t>
  </si>
  <si>
    <t xml:space="preserve"> Fueloil</t>
  </si>
  <si>
    <t xml:space="preserve"> LPG</t>
  </si>
  <si>
    <t xml:space="preserve"> Gasoil / Diesel /DERV</t>
  </si>
  <si>
    <t xml:space="preserve"> Petroleum Coke</t>
  </si>
  <si>
    <t xml:space="preserve"> Naphta</t>
  </si>
  <si>
    <t xml:space="preserve"> Bitumen</t>
  </si>
  <si>
    <t xml:space="preserve"> White Spirit</t>
  </si>
  <si>
    <t xml:space="preserve"> Lubricants</t>
  </si>
  <si>
    <t xml:space="preserve"> Natural Gas</t>
  </si>
  <si>
    <t xml:space="preserve"> Renewables</t>
  </si>
  <si>
    <t xml:space="preserve"> Hydro</t>
  </si>
  <si>
    <t xml:space="preserve"> Wind</t>
  </si>
  <si>
    <t xml:space="preserve"> Landfill Gas</t>
  </si>
  <si>
    <t xml:space="preserve"> Biogas</t>
  </si>
  <si>
    <t xml:space="preserve"> Non-Renewable  Waste</t>
  </si>
  <si>
    <t xml:space="preserve"> Electricity</t>
  </si>
  <si>
    <t xml:space="preserve"> Heat</t>
  </si>
  <si>
    <t xml:space="preserve"> TOTAL</t>
  </si>
  <si>
    <t>Indigenous Production</t>
  </si>
  <si>
    <t>Imports</t>
  </si>
  <si>
    <t>Exports</t>
  </si>
  <si>
    <t>Mar. Bunkers</t>
  </si>
  <si>
    <t>Stock Change</t>
  </si>
  <si>
    <t>Primary Energy Supply (incl non-energy)</t>
  </si>
  <si>
    <t>Primary Energy Requirement (excl. non-energy)</t>
  </si>
  <si>
    <t>Transformation Input</t>
  </si>
  <si>
    <t>Public Thermal Power Plants</t>
  </si>
  <si>
    <t>Combined Heat and Power Plants</t>
  </si>
  <si>
    <t>Pumped Storage Consumption</t>
  </si>
  <si>
    <t>Briquetting Plants</t>
  </si>
  <si>
    <t>Oil Refineries &amp; other energy sector</t>
  </si>
  <si>
    <t>Transformation Output</t>
  </si>
  <si>
    <t>Pumped Storage Generation</t>
  </si>
  <si>
    <t>Oil Refineries</t>
  </si>
  <si>
    <t>Exchanges and transfers</t>
  </si>
  <si>
    <t>Electricity</t>
  </si>
  <si>
    <t>Heat</t>
  </si>
  <si>
    <t xml:space="preserve">Other </t>
  </si>
  <si>
    <t>Own Use and Distribution Losses</t>
  </si>
  <si>
    <t>Available Final Energy Consumption</t>
  </si>
  <si>
    <t>Non-Energy Consumption</t>
  </si>
  <si>
    <t>Final non-Energy Consumption (Feedstocks)</t>
  </si>
  <si>
    <t>Total Final Energy Consumption</t>
  </si>
  <si>
    <t>Industry*</t>
  </si>
  <si>
    <t>Non-Energy Mining</t>
  </si>
  <si>
    <t>05-09</t>
  </si>
  <si>
    <t>Food &amp; beverages</t>
  </si>
  <si>
    <t>10-11</t>
  </si>
  <si>
    <t>Textiles and textile products</t>
  </si>
  <si>
    <t>13-14</t>
  </si>
  <si>
    <t>Wood and wood products</t>
  </si>
  <si>
    <t>16</t>
  </si>
  <si>
    <t>Pulp, paper, publishing and printing</t>
  </si>
  <si>
    <t>17-18</t>
  </si>
  <si>
    <t>Chemicals &amp; man-made fibres</t>
  </si>
  <si>
    <t>20-21</t>
  </si>
  <si>
    <t>Rubber and plastic products</t>
  </si>
  <si>
    <t>22</t>
  </si>
  <si>
    <t>Other non-metallic mineral products</t>
  </si>
  <si>
    <t>23</t>
  </si>
  <si>
    <t>Basic metals and fabricated metal products</t>
  </si>
  <si>
    <t>24-25</t>
  </si>
  <si>
    <t>Machinery and equipment n.e.c.</t>
  </si>
  <si>
    <t>28</t>
  </si>
  <si>
    <t>Electrical and optical equipment</t>
  </si>
  <si>
    <t>26-27</t>
  </si>
  <si>
    <t>Transport equipment manufacture</t>
  </si>
  <si>
    <t>29-30</t>
  </si>
  <si>
    <t>Other manufacturing</t>
  </si>
  <si>
    <t>31-33, 12 &amp; 15</t>
  </si>
  <si>
    <t>Transport</t>
  </si>
  <si>
    <t>Road Freight</t>
  </si>
  <si>
    <t>Road Light Goods Vehicle</t>
  </si>
  <si>
    <t>Road Private Car</t>
  </si>
  <si>
    <t>Public Passenger Services</t>
  </si>
  <si>
    <t>Rail</t>
  </si>
  <si>
    <t>Domestic Aviation</t>
  </si>
  <si>
    <t>International Aviation</t>
  </si>
  <si>
    <t>Fuel Tourism</t>
  </si>
  <si>
    <t>Navigation</t>
  </si>
  <si>
    <t>Unspecified</t>
  </si>
  <si>
    <t>Agricultural</t>
  </si>
  <si>
    <t>Fisheries</t>
  </si>
  <si>
    <t>Statistical Difference</t>
  </si>
  <si>
    <t>2018 provisional data</t>
  </si>
  <si>
    <t>2018 provisional data based on 2017 breakdown</t>
  </si>
  <si>
    <t>2017 data</t>
  </si>
  <si>
    <t>Sod peat is estimated due to new legislation and the methodology is under review</t>
  </si>
  <si>
    <t>Statistical differences may exist for crude oil between the calculated primary energy requirement and the observed refinery input</t>
  </si>
  <si>
    <t>Fuel Section</t>
  </si>
  <si>
    <t>Fuel Sub-Section</t>
  </si>
  <si>
    <t>~Country</t>
  </si>
  <si>
    <t>IE</t>
  </si>
  <si>
    <t>Sector</t>
  </si>
  <si>
    <t>~Year</t>
  </si>
  <si>
    <t>~Unit conversion</t>
  </si>
  <si>
    <t>Base-year energy consumption from SEAI (PJ)</t>
  </si>
  <si>
    <t>Fuel</t>
  </si>
  <si>
    <t>PEAT</t>
  </si>
  <si>
    <t>OILLPG</t>
  </si>
  <si>
    <t>OILGSL</t>
  </si>
  <si>
    <t>OILKER</t>
  </si>
  <si>
    <t>OILDST</t>
  </si>
  <si>
    <t>OILHFO</t>
  </si>
  <si>
    <t>OILCOK</t>
  </si>
  <si>
    <t>GASNAT</t>
  </si>
  <si>
    <t>RENSOL</t>
  </si>
  <si>
    <t>BIOWOO</t>
  </si>
  <si>
    <t>BIOGAS</t>
  </si>
  <si>
    <t>BIOMUN</t>
  </si>
  <si>
    <t>BIOETH</t>
  </si>
  <si>
    <t>Ethanol</t>
  </si>
  <si>
    <t>BIODST</t>
  </si>
  <si>
    <t>Biodiesel</t>
  </si>
  <si>
    <t>BIOSLU</t>
  </si>
  <si>
    <t>HET</t>
  </si>
  <si>
    <t>Total</t>
  </si>
  <si>
    <t>Space Heating</t>
  </si>
  <si>
    <t>Water Heating</t>
  </si>
  <si>
    <t>Lighting</t>
  </si>
  <si>
    <t>Pumps &amp; Fans</t>
  </si>
  <si>
    <t>Cooking</t>
  </si>
  <si>
    <t>Refrigeration</t>
  </si>
  <si>
    <t>Cloth Washing</t>
  </si>
  <si>
    <t>Cloth Drying</t>
  </si>
  <si>
    <t>Dish Washing</t>
  </si>
  <si>
    <t>Other Energy</t>
  </si>
  <si>
    <t xml:space="preserve"> Other Electric</t>
  </si>
  <si>
    <t xml:space="preserve">Commodities 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</si>
  <si>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</si>
  <si>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</si>
  <si>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</si>
  <si>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</si>
  <si>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</si>
  <si>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</si>
  <si>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</si>
  <si>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</si>
  <si>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* Set</t>
  </si>
  <si>
    <t>Commodity Name</t>
  </si>
  <si>
    <t>Commodity Description</t>
  </si>
  <si>
    <t>Sense of the Balance EQ</t>
  </si>
  <si>
    <t>Timeslice Level</t>
  </si>
  <si>
    <t>Peak Monitoring</t>
  </si>
  <si>
    <t>Electricity Indicator</t>
  </si>
  <si>
    <t/>
  </si>
  <si>
    <t>DEM</t>
  </si>
  <si>
    <t>000dwellings</t>
  </si>
  <si>
    <t>DAYNITE</t>
  </si>
  <si>
    <t>NRG</t>
  </si>
  <si>
    <t>kt</t>
  </si>
  <si>
    <t>kt/PJ</t>
  </si>
  <si>
    <t>Emission coefficients per unit of fuel consumed in the residential sector</t>
  </si>
  <si>
    <t>*</t>
  </si>
  <si>
    <t>TechName</t>
  </si>
  <si>
    <t>TechDesc</t>
  </si>
  <si>
    <t>Comm-IN</t>
  </si>
  <si>
    <t>Comm-OUT</t>
  </si>
  <si>
    <t>EFF</t>
  </si>
  <si>
    <t>Life</t>
  </si>
  <si>
    <t>Sets</t>
  </si>
  <si>
    <t>Tact</t>
  </si>
  <si>
    <t>Tcap</t>
  </si>
  <si>
    <t>Tslvl</t>
  </si>
  <si>
    <t>PrimaryCG</t>
  </si>
  <si>
    <t>PRE</t>
  </si>
  <si>
    <t>*TechDesc</t>
  </si>
  <si>
    <t>Stock</t>
  </si>
  <si>
    <t>LIFE</t>
  </si>
  <si>
    <t>Cap2Act</t>
  </si>
  <si>
    <t>*Technology Name</t>
  </si>
  <si>
    <t>Technology Description</t>
  </si>
  <si>
    <t>Input Commodity</t>
  </si>
  <si>
    <t>Output Commodity</t>
  </si>
  <si>
    <t>000units</t>
  </si>
  <si>
    <t>DMD</t>
  </si>
  <si>
    <t>Dwelling stock demand</t>
  </si>
  <si>
    <t>*CommDesc</t>
  </si>
  <si>
    <t>Attribute</t>
  </si>
  <si>
    <t>*Unit</t>
  </si>
  <si>
    <t>*Source</t>
  </si>
  <si>
    <t>Demand</t>
  </si>
  <si>
    <t>SEAI BER Database 2018 (filtered outliners as per M.Howley &amp; corrected based on Census 2016, CSO)</t>
  </si>
  <si>
    <t>SEAI BER Public Database</t>
  </si>
  <si>
    <t>Sum</t>
  </si>
  <si>
    <t xml:space="preserve">Data Filtered - As per M.Howley Recommendations </t>
  </si>
  <si>
    <t xml:space="preserve">Adjusted </t>
  </si>
  <si>
    <t>EnergyRating (group)</t>
  </si>
  <si>
    <t>Assumption &amp; Calibration with CSO</t>
  </si>
  <si>
    <t>County</t>
  </si>
  <si>
    <t>BER Total</t>
  </si>
  <si>
    <t>Residence Total</t>
  </si>
  <si>
    <t>Ratio</t>
  </si>
  <si>
    <t>Adjusted Total</t>
  </si>
  <si>
    <t>*NOT USED</t>
  </si>
  <si>
    <t>Carlow</t>
  </si>
  <si>
    <t>Apartments</t>
  </si>
  <si>
    <t>RESIDENCE OWNERSHIP</t>
  </si>
  <si>
    <t>Vacant or Visitor</t>
  </si>
  <si>
    <t>FINANCE (2015€)</t>
  </si>
  <si>
    <t>Owned</t>
  </si>
  <si>
    <t>Rented</t>
  </si>
  <si>
    <t xml:space="preserve">Not Stated </t>
  </si>
  <si>
    <t>TOTAL</t>
  </si>
  <si>
    <t>Absent/Visitor</t>
  </si>
  <si>
    <t>Vacant</t>
  </si>
  <si>
    <t>Disposable Income</t>
  </si>
  <si>
    <t>Cavan</t>
  </si>
  <si>
    <t>Unit is Households</t>
  </si>
  <si>
    <t>Owner occupied with loan or mortgage</t>
  </si>
  <si>
    <t>Owner occupied without loan or mortgage</t>
  </si>
  <si>
    <t>Rented from private landlord</t>
  </si>
  <si>
    <t>Rented from a Local Authority</t>
  </si>
  <si>
    <t>Rented from a Voluntary Body</t>
  </si>
  <si>
    <t>Occupied free of rent</t>
  </si>
  <si>
    <t>N/A</t>
  </si>
  <si>
    <t>Total Residence</t>
  </si>
  <si>
    <t>visitors only</t>
  </si>
  <si>
    <t>temporarily absent</t>
  </si>
  <si>
    <t xml:space="preserve"> house </t>
  </si>
  <si>
    <t>flat</t>
  </si>
  <si>
    <t>holiday home</t>
  </si>
  <si>
    <t>House Stock</t>
  </si>
  <si>
    <t>Per Household</t>
  </si>
  <si>
    <t xml:space="preserve">Dublin </t>
  </si>
  <si>
    <t>Clare</t>
  </si>
  <si>
    <t>Kildare</t>
  </si>
  <si>
    <t>Kilkenny</t>
  </si>
  <si>
    <t>Laois</t>
  </si>
  <si>
    <t>Cork</t>
  </si>
  <si>
    <t>Longford</t>
  </si>
  <si>
    <t>Louth</t>
  </si>
  <si>
    <t>Meath</t>
  </si>
  <si>
    <t>Donegal</t>
  </si>
  <si>
    <t>Offaly</t>
  </si>
  <si>
    <t>Westmeath</t>
  </si>
  <si>
    <t>Wexford</t>
  </si>
  <si>
    <t>Dublin</t>
  </si>
  <si>
    <t>Wicklow</t>
  </si>
  <si>
    <t>Galway</t>
  </si>
  <si>
    <t>Kerry</t>
  </si>
  <si>
    <t>Limerick</t>
  </si>
  <si>
    <t>Tipperary</t>
  </si>
  <si>
    <t>Waterford</t>
  </si>
  <si>
    <t>Leitrim</t>
  </si>
  <si>
    <t>Mayo</t>
  </si>
  <si>
    <t>Roscommon</t>
  </si>
  <si>
    <t>Sligo</t>
  </si>
  <si>
    <t>Monaghan</t>
  </si>
  <si>
    <t>ARCHETYPE</t>
  </si>
  <si>
    <t>AGGEGATED ARCHETYPE</t>
  </si>
  <si>
    <t>Semi-Detached</t>
  </si>
  <si>
    <t>Terraced</t>
  </si>
  <si>
    <t>Apartment in purpose built</t>
  </si>
  <si>
    <t>Apartment in purpose commerical or converted</t>
  </si>
  <si>
    <t>Bed Sit</t>
  </si>
  <si>
    <t>Mobile or Temporary Structure</t>
  </si>
  <si>
    <t>Column1</t>
  </si>
  <si>
    <t>Not Stated</t>
  </si>
  <si>
    <t>CountyName (group)</t>
  </si>
  <si>
    <t>DwellingTypeDescr -3 types</t>
  </si>
  <si>
    <t>Carlow County</t>
  </si>
  <si>
    <t>Cavan County</t>
  </si>
  <si>
    <t>Clare  County</t>
  </si>
  <si>
    <t>Cork  County</t>
  </si>
  <si>
    <t>Donegal  County</t>
  </si>
  <si>
    <t>Dublin  County</t>
  </si>
  <si>
    <t>Galway  County</t>
  </si>
  <si>
    <t>Kerry  County</t>
  </si>
  <si>
    <t>Kildare  County</t>
  </si>
  <si>
    <t>Kilkenny  County</t>
  </si>
  <si>
    <t>Laois County</t>
  </si>
  <si>
    <t>Leitrim  County</t>
  </si>
  <si>
    <t>Limerick  County</t>
  </si>
  <si>
    <t>Longford  County</t>
  </si>
  <si>
    <t>Louth  County</t>
  </si>
  <si>
    <t>Mayo  County</t>
  </si>
  <si>
    <t>Meath County</t>
  </si>
  <si>
    <t>Monaghan County</t>
  </si>
  <si>
    <t>Offaly  County</t>
  </si>
  <si>
    <t>Roscommon County</t>
  </si>
  <si>
    <t>Sligo County</t>
  </si>
  <si>
    <t>Tipperary  County</t>
  </si>
  <si>
    <t>Waterford  County</t>
  </si>
  <si>
    <t>Westmeath  County</t>
  </si>
  <si>
    <t>Wexford  County</t>
  </si>
  <si>
    <t>Wicklow  County</t>
  </si>
  <si>
    <t>*Stock Share</t>
  </si>
  <si>
    <t>kWh/yr</t>
  </si>
  <si>
    <t>m2</t>
  </si>
  <si>
    <t>%</t>
  </si>
  <si>
    <t>Rating</t>
  </si>
  <si>
    <t>MainSpaceHeatingFuel</t>
  </si>
  <si>
    <t>PrimaryEnergyMainSpace</t>
  </si>
  <si>
    <t>DeliveredEnergyMainSpace</t>
  </si>
  <si>
    <t>PrimaryEnergySecondarySpace</t>
  </si>
  <si>
    <t>DeliveredEnergySecondarySpace</t>
  </si>
  <si>
    <t>Count of EnergyRating</t>
  </si>
  <si>
    <t>Floor Area (m2)</t>
  </si>
  <si>
    <t>Avg. HSMainSystemEfficiency</t>
  </si>
  <si>
    <t>CalculatedPrimaryEnergy</t>
  </si>
  <si>
    <t>CalculatedDeliveredEnergy</t>
  </si>
  <si>
    <t>Biodiesel from renewable sourc</t>
  </si>
  <si>
    <t>Bioethanol from renewable sour</t>
  </si>
  <si>
    <t>Bulk LPG (propane or butane)</t>
  </si>
  <si>
    <t>Heating Oil</t>
  </si>
  <si>
    <t>Mains Gas</t>
  </si>
  <si>
    <t>Wood Pellets (bulk supply for</t>
  </si>
  <si>
    <t>RSDHET</t>
  </si>
  <si>
    <t>MainWaterHeatingFuel</t>
  </si>
  <si>
    <t>RSDELC</t>
  </si>
  <si>
    <t>RSDPEA</t>
  </si>
  <si>
    <t>Apartment -Energy Services Demand Data from SEAI BER Public Database and aggregated via Tableau</t>
  </si>
  <si>
    <t>*ADDED</t>
  </si>
  <si>
    <t>BerRating</t>
  </si>
  <si>
    <t>PrimaryEnergyLighting</t>
  </si>
  <si>
    <t>DeliveredLightingEnergy</t>
  </si>
  <si>
    <t>PrimaryEnergyPumpsFans</t>
  </si>
  <si>
    <t>DeliveredEnergyPumpsFans</t>
  </si>
  <si>
    <t>PrimaryEnergyMainWater</t>
  </si>
  <si>
    <t>DeliveredEnergyMainWater</t>
  </si>
  <si>
    <t>PrimaryEnergySupplementaryWater</t>
  </si>
  <si>
    <t>DeliveredEnergySupplementaryWater</t>
  </si>
  <si>
    <t>TotalDeliveredEnergy</t>
  </si>
  <si>
    <t>Bottled LPG</t>
  </si>
  <si>
    <t>Solid Multi-Fuel</t>
  </si>
  <si>
    <t>House Coal</t>
  </si>
  <si>
    <t>Peat Briquettes</t>
  </si>
  <si>
    <t>Wood Pellets (in bags for seco</t>
  </si>
  <si>
    <t>Electricity - Standard Domesti</t>
  </si>
  <si>
    <t>Sod Peat</t>
  </si>
  <si>
    <t>Clare County</t>
  </si>
  <si>
    <t>Wood Logs</t>
  </si>
  <si>
    <t>Cork City</t>
  </si>
  <si>
    <t>Cork County</t>
  </si>
  <si>
    <t>Donegal County</t>
  </si>
  <si>
    <t>Dublin 1</t>
  </si>
  <si>
    <t>Dublin 2</t>
  </si>
  <si>
    <t>Dublin 3</t>
  </si>
  <si>
    <t>Dublin 4</t>
  </si>
  <si>
    <t>Dublin 5</t>
  </si>
  <si>
    <t>Dublin 6</t>
  </si>
  <si>
    <t>Dublin 6W</t>
  </si>
  <si>
    <t>Dublin 7</t>
  </si>
  <si>
    <t>Dublin 8</t>
  </si>
  <si>
    <t>Dublin 9</t>
  </si>
  <si>
    <t>Dublin 10</t>
  </si>
  <si>
    <t>Dublin 11</t>
  </si>
  <si>
    <t>Dublin 12</t>
  </si>
  <si>
    <t>Dublin 13</t>
  </si>
  <si>
    <t>Dublin 14</t>
  </si>
  <si>
    <t>Dublin 15</t>
  </si>
  <si>
    <t>Dublin 16</t>
  </si>
  <si>
    <t>Dublin 17</t>
  </si>
  <si>
    <t>Dublin 18</t>
  </si>
  <si>
    <t>Dublin 19</t>
  </si>
  <si>
    <t>Dublin 20</t>
  </si>
  <si>
    <t>Dublin 21</t>
  </si>
  <si>
    <t>Dublin 22</t>
  </si>
  <si>
    <t>Dublin 24</t>
  </si>
  <si>
    <t>Dublin County</t>
  </si>
  <si>
    <t>Galway City</t>
  </si>
  <si>
    <t>Galway County</t>
  </si>
  <si>
    <t>Kerry County</t>
  </si>
  <si>
    <t>Kildare County</t>
  </si>
  <si>
    <t>Kilkenny County</t>
  </si>
  <si>
    <t>Leitrim County</t>
  </si>
  <si>
    <t>Limerick City</t>
  </si>
  <si>
    <t>Limerick County</t>
  </si>
  <si>
    <t>Longford County</t>
  </si>
  <si>
    <t>Louth County</t>
  </si>
  <si>
    <t>Mayo County</t>
  </si>
  <si>
    <t>Offaly County</t>
  </si>
  <si>
    <t>Tipperary County</t>
  </si>
  <si>
    <t>Waterford City</t>
  </si>
  <si>
    <t>Waterford County</t>
  </si>
  <si>
    <t>Westmeath County</t>
  </si>
  <si>
    <t>Wexford County</t>
  </si>
  <si>
    <t>Wicklow County</t>
  </si>
  <si>
    <t>Attached -Energy Services Demand Data from SEAI BER Public Database and aggregated via Tableau</t>
  </si>
  <si>
    <t>Wood Chips</t>
  </si>
  <si>
    <t>Dettached -Energy Services Demand Data from SEAI BER Public Database and aggregated via Tableau</t>
  </si>
  <si>
    <t>Electricity - Off-peak Night-R</t>
  </si>
  <si>
    <t>Electricity - On-peak Night-Ra</t>
  </si>
  <si>
    <t>Electrical Ground Sourced Heat Pump</t>
  </si>
  <si>
    <t>-AHP-</t>
  </si>
  <si>
    <t>* Space Heating Device</t>
  </si>
  <si>
    <t>Boiler</t>
  </si>
  <si>
    <t>-B-</t>
  </si>
  <si>
    <t>-DH-</t>
  </si>
  <si>
    <t>District Heating</t>
  </si>
  <si>
    <t>*Correction Factor</t>
  </si>
  <si>
    <t>*Units</t>
  </si>
  <si>
    <t>PEA</t>
  </si>
  <si>
    <t>RSDSMF</t>
  </si>
  <si>
    <t>Electrical Water Sourced Heat Pump</t>
  </si>
  <si>
    <t>'#</t>
  </si>
  <si>
    <t>Apartment Space Heating</t>
  </si>
  <si>
    <t>Apartment Water Heating</t>
  </si>
  <si>
    <t>Attached Water Heating</t>
  </si>
  <si>
    <t>Attached Space Heating</t>
  </si>
  <si>
    <t>SMF</t>
  </si>
  <si>
    <t>SEAI Energy Balance 2018</t>
  </si>
  <si>
    <t>kWh/yr/unit</t>
  </si>
  <si>
    <t>Item</t>
  </si>
  <si>
    <t>Ownership</t>
  </si>
  <si>
    <t>Year_of_Construction (group)</t>
  </si>
  <si>
    <t>Before_1919</t>
  </si>
  <si>
    <t>1919-1945</t>
  </si>
  <si>
    <t>1946-1960</t>
  </si>
  <si>
    <t>1961-1970</t>
  </si>
  <si>
    <t>1971-1980</t>
  </si>
  <si>
    <t>1981-1990</t>
  </si>
  <si>
    <t>1991-2000</t>
  </si>
  <si>
    <t>CSO Database 2016</t>
  </si>
  <si>
    <t>Private Households in Permanent Housing Units 2011 to 2016 (Number) by</t>
  </si>
  <si>
    <t>Persons per Household, Aggregate Town or Rural Area, Type of Private</t>
  </si>
  <si>
    <t>Accommodation, Period in which Built and Census Year</t>
  </si>
  <si>
    <t>All private households</t>
  </si>
  <si>
    <t>State</t>
  </si>
  <si>
    <t>All households</t>
  </si>
  <si>
    <t>All years</t>
  </si>
  <si>
    <t>Before 1919</t>
  </si>
  <si>
    <t>1919 to 1945</t>
  </si>
  <si>
    <t>1946 to 1960</t>
  </si>
  <si>
    <t>1961 to 1970</t>
  </si>
  <si>
    <t>1971 to 1980</t>
  </si>
  <si>
    <t>1981 to 1990</t>
  </si>
  <si>
    <t>1991 to 2000</t>
  </si>
  <si>
    <t>2001 to 2010</t>
  </si>
  <si>
    <t>2011 or later</t>
  </si>
  <si>
    <t>Not stated</t>
  </si>
  <si>
    <t>Detached house</t>
  </si>
  <si>
    <t>Semi- detached house</t>
  </si>
  <si>
    <t>Terraced house</t>
  </si>
  <si>
    <t>Flat or apartment in a purpose- built block</t>
  </si>
  <si>
    <t>Flat or apartment in a converted house or commercial building</t>
  </si>
  <si>
    <t>Bed-sit</t>
  </si>
  <si>
    <t>Accommodation, Type of Central Heating and Census Year</t>
  </si>
  <si>
    <t>No central heating</t>
  </si>
  <si>
    <t>Oil</t>
  </si>
  <si>
    <t>Natural Gas</t>
  </si>
  <si>
    <t>Peat (incl. turf)</t>
  </si>
  <si>
    <t>Liquid Petroleum Gas (LPG)</t>
  </si>
  <si>
    <t>Wood (incl. wood pellets)</t>
  </si>
  <si>
    <t>Other fuels</t>
  </si>
  <si>
    <t>2001-2010</t>
  </si>
  <si>
    <t>Later_2010</t>
  </si>
  <si>
    <t xml:space="preserve">Total </t>
  </si>
  <si>
    <t>Aggregate Town or Rural Area, Period in which Built, Type of Private</t>
  </si>
  <si>
    <t>Summary without Fuels</t>
  </si>
  <si>
    <t>Summary with Fuels</t>
  </si>
  <si>
    <t>Totals</t>
  </si>
  <si>
    <t>Coal (incl. Anthracite_Coal)</t>
  </si>
  <si>
    <t>Anthracite_Coal</t>
  </si>
  <si>
    <t>Manufactured Smokeless Fuel_Coal</t>
  </si>
  <si>
    <t>1920 to 1945</t>
  </si>
  <si>
    <t>BER  Database (Fuel-Age)</t>
  </si>
  <si>
    <t>BER Database (Fuel-Age)</t>
  </si>
  <si>
    <t>CSO Database 2016 (Fuel-Age)</t>
  </si>
  <si>
    <t>BER Database (Rating to Age)</t>
  </si>
  <si>
    <t>Correlation (Rating to Age)</t>
  </si>
  <si>
    <t>Housing Stock based upon Age to BER correlation index</t>
  </si>
  <si>
    <t>E1055: </t>
  </si>
  <si>
    <t>E1008</t>
  </si>
  <si>
    <t>Unknown</t>
  </si>
  <si>
    <t>Data used in DwellingStocks Tab</t>
  </si>
  <si>
    <t xml:space="preserve">BER Rating/Fuel Type </t>
  </si>
  <si>
    <t>Data from Tableau</t>
  </si>
  <si>
    <t>Cross-Checked</t>
  </si>
  <si>
    <t>BER Adjusted Dwelling</t>
  </si>
  <si>
    <t>Final Dwelling Stock Table</t>
  </si>
  <si>
    <t>Solid Multi Fuel</t>
  </si>
  <si>
    <t>1 kWh</t>
  </si>
  <si>
    <t>RSD</t>
  </si>
  <si>
    <t>SupplSHFuelName</t>
  </si>
  <si>
    <t>SupplWHFuelName</t>
  </si>
  <si>
    <t>Anthracite</t>
  </si>
  <si>
    <t>Manufactured Smokeless Fuel</t>
  </si>
  <si>
    <t xml:space="preserve">Heating Oil                   </t>
  </si>
  <si>
    <t>Coal</t>
  </si>
  <si>
    <t>https://www.seai.ie/data-and-insights/seai-statistics/conversion-factors/</t>
  </si>
  <si>
    <t>https://www.seai.ie/publications/Energy-Emissions-Report-2020.pdf</t>
  </si>
  <si>
    <t>Sheet</t>
  </si>
  <si>
    <t>Referenced data (columns and rows headers)</t>
  </si>
  <si>
    <t>Sector Reference Energy System</t>
  </si>
  <si>
    <t>Own calculations (columns and rows headers)</t>
  </si>
  <si>
    <t>SEAI 2018 energy balance in ktoe</t>
  </si>
  <si>
    <t>Own assumptions (columns and rows headers)</t>
  </si>
  <si>
    <t>RSD_Balance</t>
  </si>
  <si>
    <t>TIMES commodities list for the residential sector</t>
  </si>
  <si>
    <t>Emission coefficients for the residential sector</t>
  </si>
  <si>
    <t>Description of the fuel sectoral technologies for the residential sector</t>
  </si>
  <si>
    <t>DwellingStocks</t>
  </si>
  <si>
    <t>Description of the residential building stocks</t>
  </si>
  <si>
    <t>Description of space heat, water heat and lighting technologies in apartments</t>
  </si>
  <si>
    <t>Description of space heat, water heat and lighting technologies in terrace dwellings</t>
  </si>
  <si>
    <t>Description of space heat, water heat and lighting technologies in detached dwellings</t>
  </si>
  <si>
    <t>000units or PJa</t>
  </si>
  <si>
    <t>Consumption</t>
  </si>
  <si>
    <t>Base year</t>
  </si>
  <si>
    <t>Data Sources</t>
  </si>
  <si>
    <t xml:space="preserve">ArDEM SQL </t>
  </si>
  <si>
    <t>Assumptions</t>
  </si>
  <si>
    <t xml:space="preserve">Irish LEAP </t>
  </si>
  <si>
    <t xml:space="preserve">Irish TIMES 1.0 </t>
  </si>
  <si>
    <t>BER Database</t>
  </si>
  <si>
    <t>https://ndber.seai.ie/pass/ber/search.aspx</t>
  </si>
  <si>
    <t>https://www.seai.ie/data-and-insights/seai-statistics/key-publications/national-energy-balance/</t>
  </si>
  <si>
    <t>Verision Control</t>
  </si>
  <si>
    <t>Verision</t>
  </si>
  <si>
    <t xml:space="preserve"> ( * = 0PJ, ie. unused commodity in BY  )</t>
  </si>
  <si>
    <t>ELC</t>
  </si>
  <si>
    <t xml:space="preserve">*Total </t>
  </si>
  <si>
    <t>2016 Census &amp;Vol.2019, No.14 Population Change and Housing Demand in Ireland &amp; Estimating Ireland’s long-run housing demand,2019</t>
  </si>
  <si>
    <t>Distribution</t>
  </si>
  <si>
    <t>DISTN</t>
  </si>
  <si>
    <t>Residential BY Non-Heating Demands</t>
  </si>
  <si>
    <t>Residential BY Heating Demands</t>
  </si>
  <si>
    <t>N1</t>
  </si>
  <si>
    <t>N2</t>
  </si>
  <si>
    <t>N3</t>
  </si>
  <si>
    <t>New 01</t>
  </si>
  <si>
    <t>New 02</t>
  </si>
  <si>
    <t>New 03</t>
  </si>
  <si>
    <t>-GHHP-</t>
  </si>
  <si>
    <t>Gas Hybrid Heat Pump</t>
  </si>
  <si>
    <t>-GHP-</t>
  </si>
  <si>
    <t>-S-</t>
  </si>
  <si>
    <t>Stove or Open Fire</t>
  </si>
  <si>
    <t>-R-</t>
  </si>
  <si>
    <t>Electrical Resistance</t>
  </si>
  <si>
    <t>Code</t>
  </si>
  <si>
    <t>Fuel Tech</t>
  </si>
  <si>
    <t>COA</t>
  </si>
  <si>
    <t>*Expected Consumption</t>
  </si>
  <si>
    <t>*Useful Energy Provided</t>
  </si>
  <si>
    <t>AFA</t>
  </si>
  <si>
    <t># Secondary</t>
  </si>
  <si>
    <t># Main</t>
  </si>
  <si>
    <t>ArDEM Space Heat Adjustment</t>
  </si>
  <si>
    <t xml:space="preserve">Space Heating Correction Factor </t>
  </si>
  <si>
    <t>Primary</t>
  </si>
  <si>
    <t>Secondary</t>
  </si>
  <si>
    <t>Apartment Heating, Lighting &amp; Pumps&amp;Fans</t>
  </si>
  <si>
    <t xml:space="preserve"># </t>
  </si>
  <si>
    <t>Apartment Lighting + Pumps&amp;Fans</t>
  </si>
  <si>
    <t>Attached Heating, Lighting &amp; Pumps&amp;Fans</t>
  </si>
  <si>
    <t>Attached Lighting + Pumps&amp;Fans</t>
  </si>
  <si>
    <t>Appliances</t>
  </si>
  <si>
    <t>SMF - Components</t>
  </si>
  <si>
    <t>HP</t>
  </si>
  <si>
    <t>Non-HP</t>
  </si>
  <si>
    <t>Cooking &amp; Appliances</t>
  </si>
  <si>
    <t>Detached Heating, Lighting &amp; Pumps&amp;Fans</t>
  </si>
  <si>
    <t>Detached Space Heating</t>
  </si>
  <si>
    <t>Detached Water Heating</t>
  </si>
  <si>
    <t>Detached Lighting + Pumps&amp;Fans</t>
  </si>
  <si>
    <t>Error</t>
  </si>
  <si>
    <t>SHARE</t>
  </si>
  <si>
    <t>Heating Energy</t>
  </si>
  <si>
    <t>Development</t>
  </si>
  <si>
    <t>National</t>
  </si>
  <si>
    <t>Single-region</t>
  </si>
  <si>
    <t>Multi-region</t>
  </si>
  <si>
    <t>County name</t>
  </si>
  <si>
    <t>IE-CW</t>
  </si>
  <si>
    <t>IE-CN</t>
  </si>
  <si>
    <t>IE-CE</t>
  </si>
  <si>
    <t>IE-CO</t>
  </si>
  <si>
    <t>IE-DL</t>
  </si>
  <si>
    <t>IE-D</t>
  </si>
  <si>
    <t>IE-G</t>
  </si>
  <si>
    <t>IE-KY</t>
  </si>
  <si>
    <t>IE-KE</t>
  </si>
  <si>
    <t>IE-KK</t>
  </si>
  <si>
    <t>IE-LS</t>
  </si>
  <si>
    <t>IE-LM</t>
  </si>
  <si>
    <t>IE-LK</t>
  </si>
  <si>
    <t>IE-LD</t>
  </si>
  <si>
    <t>IE-LH</t>
  </si>
  <si>
    <t>IE-MO</t>
  </si>
  <si>
    <t>IE-MH</t>
  </si>
  <si>
    <t>IE-MN</t>
  </si>
  <si>
    <t>IE-OY</t>
  </si>
  <si>
    <t>IE-RN</t>
  </si>
  <si>
    <t>IE-SO</t>
  </si>
  <si>
    <t>IE-TA</t>
  </si>
  <si>
    <t>IE-WD</t>
  </si>
  <si>
    <t>IE-WH</t>
  </si>
  <si>
    <t>IE-WX</t>
  </si>
  <si>
    <t>IE-WW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</si>
  <si>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0"/>
        <rFont val="Arial"/>
        <family val="2"/>
      </rPr>
      <t>https://en.wikipedia.org/wiki/ISO_3166-2:IE</t>
    </r>
  </si>
  <si>
    <t>PJa</t>
  </si>
  <si>
    <t>Vintage</t>
  </si>
  <si>
    <t>Efficiency</t>
  </si>
  <si>
    <t>*Process Set Membership</t>
  </si>
  <si>
    <t>Technology Name</t>
  </si>
  <si>
    <t>Activity Unit</t>
  </si>
  <si>
    <t>Capacity Unit</t>
  </si>
  <si>
    <t>TimeSlice level of Process Activity</t>
  </si>
  <si>
    <t>Primary Commodity Group</t>
  </si>
  <si>
    <t>Vintage Tracking</t>
  </si>
  <si>
    <t>FT</t>
  </si>
  <si>
    <t>COABIT,COALIG,COAHAR</t>
  </si>
  <si>
    <t>BIOETH1G,BIOETH2G</t>
  </si>
  <si>
    <t>BIODST1G,BIODST2G</t>
  </si>
  <si>
    <t>Share-I</t>
  </si>
  <si>
    <t>Share-I~0</t>
  </si>
  <si>
    <t>I/E rule</t>
  </si>
  <si>
    <t>TIMES-Ireland Total</t>
  </si>
  <si>
    <t>INPUT</t>
  </si>
  <si>
    <t>*PJ/000dwelling</t>
  </si>
  <si>
    <t>* Demand process type</t>
  </si>
  <si>
    <t>BLD</t>
  </si>
  <si>
    <t>Building</t>
  </si>
  <si>
    <t>SH</t>
  </si>
  <si>
    <t>SC</t>
  </si>
  <si>
    <t>WH</t>
  </si>
  <si>
    <t>PF</t>
  </si>
  <si>
    <t>LT</t>
  </si>
  <si>
    <t>RF</t>
  </si>
  <si>
    <t>CK</t>
  </si>
  <si>
    <t>CW</t>
  </si>
  <si>
    <t>DW</t>
  </si>
  <si>
    <t>OE</t>
  </si>
  <si>
    <t>OA</t>
  </si>
  <si>
    <t>Space Cooling</t>
  </si>
  <si>
    <t>ELC Appliances</t>
  </si>
  <si>
    <t>Other Applications</t>
  </si>
  <si>
    <t>Regions</t>
  </si>
  <si>
    <t>County Level ( Mulit-Region ) or National Region Model Selection</t>
  </si>
  <si>
    <t>By</t>
  </si>
  <si>
    <t>Olex</t>
  </si>
  <si>
    <t>JMcG</t>
  </si>
  <si>
    <t>Setup</t>
  </si>
  <si>
    <t xml:space="preserve">Used for Automatic Naming Conenvtion </t>
  </si>
  <si>
    <t>Description of the existing uses of energy in the residential sector, used for BY calibration</t>
  </si>
  <si>
    <t>EnergyBalance</t>
  </si>
  <si>
    <t>Fuel-Age Adjustment</t>
  </si>
  <si>
    <t>Uses CSO data and BER data, to find probablilty of BER Rating for Age of dwelling</t>
  </si>
  <si>
    <t>COMM</t>
  </si>
  <si>
    <t>EMIS</t>
  </si>
  <si>
    <t>Sector_Fuels</t>
  </si>
  <si>
    <t>Archetype Drivers</t>
  </si>
  <si>
    <t>Non-Archetype Drivers</t>
  </si>
  <si>
    <t>The Share of Energy Service Drivers and projected demands assoicated with Archetypes</t>
  </si>
  <si>
    <t>projected demands NOT assoicated with Archetypes</t>
  </si>
  <si>
    <t>2018M€</t>
  </si>
  <si>
    <t>CSO 2016</t>
  </si>
  <si>
    <t>TopTen</t>
  </si>
  <si>
    <t>EU Appliances Data https://storage.topten.eu/source/files/WhiteGoods_in_Europe_June15.pdf</t>
  </si>
  <si>
    <t>https://www.cso.ie/en/csolatestnews/presspages/2017/census2016profile1-housinginireland/</t>
  </si>
  <si>
    <t>SEAI Residential</t>
  </si>
  <si>
    <t>SEAI Emissions</t>
  </si>
  <si>
    <t>SEAI Data</t>
  </si>
  <si>
    <t>EPA</t>
  </si>
  <si>
    <t>Central Bank</t>
  </si>
  <si>
    <t>vol-2019-no-14-population-change-and-housing-demand-in-ireland-(conefrey-and-staunton)</t>
  </si>
  <si>
    <t>http://www.epa.ie/pubs/reports/research/climate/researchreport339/Research_Report_339_Part3.pdf</t>
  </si>
  <si>
    <t>HDD Projection</t>
  </si>
  <si>
    <t>Comment</t>
  </si>
  <si>
    <t>~FI_COMM</t>
  </si>
  <si>
    <t>Region</t>
  </si>
  <si>
    <t>Region Name</t>
  </si>
  <si>
    <t>~COMEMI</t>
  </si>
  <si>
    <t>~FI_Process</t>
  </si>
  <si>
    <t>~FI_T</t>
  </si>
  <si>
    <t>Input data for TIMES-Ireland</t>
  </si>
  <si>
    <t>Excel Error</t>
  </si>
  <si>
    <t>* Region Name</t>
  </si>
  <si>
    <t>Stock~2070</t>
  </si>
  <si>
    <t>GSL</t>
  </si>
  <si>
    <t>LPG</t>
  </si>
  <si>
    <t>KER</t>
  </si>
  <si>
    <t>DST</t>
  </si>
  <si>
    <t>HFO</t>
  </si>
  <si>
    <t>COK</t>
  </si>
  <si>
    <t>GAS</t>
  </si>
  <si>
    <t>SOL</t>
  </si>
  <si>
    <t>WOO</t>
  </si>
  <si>
    <t>BGS</t>
  </si>
  <si>
    <t>ETH</t>
  </si>
  <si>
    <t>BDL</t>
  </si>
  <si>
    <t xml:space="preserve">2018                        Units = ktoe
</t>
  </si>
  <si>
    <t>NACE (Rev 2)</t>
  </si>
  <si>
    <t xml:space="preserve"> Anthracite + Manufactured Ovoids</t>
  </si>
  <si>
    <t xml:space="preserve"> Refinery Feedstocks</t>
  </si>
  <si>
    <t xml:space="preserve"> Biomass</t>
  </si>
  <si>
    <t xml:space="preserve"> Renewable Waste</t>
  </si>
  <si>
    <t xml:space="preserve"> Biodiesel</t>
  </si>
  <si>
    <t xml:space="preserve"> Bioethanol</t>
  </si>
  <si>
    <t xml:space="preserve"> Solar Photovoltaic</t>
  </si>
  <si>
    <t xml:space="preserve"> Solar Thermal</t>
  </si>
  <si>
    <t xml:space="preserve"> Ambient Heat</t>
  </si>
  <si>
    <t>Construction</t>
  </si>
  <si>
    <t>41-43</t>
  </si>
  <si>
    <t>Commercial/Public Services*</t>
  </si>
  <si>
    <t>Commercial Services*</t>
  </si>
  <si>
    <t>Wholesale, Retail, and Vehicle Repair</t>
  </si>
  <si>
    <t>45-47</t>
  </si>
  <si>
    <t>Transportation and Storage</t>
  </si>
  <si>
    <t>49-53</t>
  </si>
  <si>
    <t>Accommodation and Food Services</t>
  </si>
  <si>
    <t>55-56</t>
  </si>
  <si>
    <t>Information and Communication</t>
  </si>
  <si>
    <t>58-63</t>
  </si>
  <si>
    <t>Financial, Insurance and Real Estate Activities</t>
  </si>
  <si>
    <t>64-68</t>
  </si>
  <si>
    <t>Other Services Sectors</t>
  </si>
  <si>
    <t>Public Services*</t>
  </si>
  <si>
    <t>Water Supply, Sewerage, and Waste Management</t>
  </si>
  <si>
    <t>36-39</t>
  </si>
  <si>
    <t>Public Administration</t>
  </si>
  <si>
    <t>Education</t>
  </si>
  <si>
    <t>Health, Residential Care and Social Work Activities</t>
  </si>
  <si>
    <t>86-88</t>
  </si>
  <si>
    <t>ELCD</t>
  </si>
  <si>
    <t>BIOWOO,BIOWPE,BIOWCH</t>
  </si>
  <si>
    <t>HETD</t>
  </si>
  <si>
    <t>AF~FX</t>
  </si>
  <si>
    <t xml:space="preserve">Share of Cookers </t>
  </si>
  <si>
    <t>FX</t>
  </si>
  <si>
    <t>LTHEAT</t>
  </si>
  <si>
    <t>AHT</t>
  </si>
  <si>
    <t>Comm-IN-A</t>
  </si>
  <si>
    <t>Auxiliary Input Commodity</t>
  </si>
  <si>
    <t>Input</t>
  </si>
  <si>
    <t>*Unit size</t>
  </si>
  <si>
    <t>kW/unit</t>
  </si>
  <si>
    <t>Capacity to Activity Factor</t>
  </si>
  <si>
    <t>RENAHT</t>
  </si>
  <si>
    <t>kW/dw</t>
  </si>
  <si>
    <t>Housing Stock</t>
  </si>
  <si>
    <t>Non-HP (%)</t>
  </si>
  <si>
    <t>Non-HP (#)</t>
  </si>
  <si>
    <t>HP (#)</t>
  </si>
  <si>
    <t>HP (%)</t>
  </si>
  <si>
    <t>BER to Housing Stock - proportional Electrical Growth Assumption</t>
  </si>
  <si>
    <t>VEDA</t>
  </si>
  <si>
    <t>VEDA Error</t>
  </si>
  <si>
    <t>RSDAHT2</t>
  </si>
  <si>
    <t>Light</t>
  </si>
  <si>
    <t>APT</t>
  </si>
  <si>
    <t>ATT</t>
  </si>
  <si>
    <t>DET</t>
  </si>
  <si>
    <t>P&amp;F</t>
  </si>
  <si>
    <t>Gas</t>
  </si>
  <si>
    <t>RSDAHT</t>
  </si>
  <si>
    <t>RSDBDL</t>
  </si>
  <si>
    <t>RSDCOA</t>
  </si>
  <si>
    <t>RSDETH</t>
  </si>
  <si>
    <t>RSDGAS</t>
  </si>
  <si>
    <t>RSDKER</t>
  </si>
  <si>
    <t>RSDLPG</t>
  </si>
  <si>
    <t>RSDSOL</t>
  </si>
  <si>
    <t>RSDWOO</t>
  </si>
  <si>
    <t>DayNite</t>
  </si>
  <si>
    <t>JMcG continue from Alessandro Chiodi BY template in 2018  - Initial  Release</t>
  </si>
  <si>
    <t>Energy Balance Data</t>
  </si>
  <si>
    <t>Electric</t>
  </si>
  <si>
    <t>Reproduction of the contents is permissible provided the source is acknowledged.</t>
  </si>
  <si>
    <t>https://www.seai.ie/publications/Energy-in-the-Residential-Sector-2018-Final.pdf</t>
  </si>
  <si>
    <t>Eurostat has a policy of encouraging free re-use of its data, both for non-commercial and commercial purposes</t>
  </si>
  <si>
    <t>E4SMA referenced</t>
  </si>
  <si>
    <t>Anybody can directly and anonymously access the data, without being required to register or authenticate + Attribution 4.0 International (CC BY 4.0)</t>
  </si>
  <si>
    <t>Open Source</t>
  </si>
  <si>
    <t>ü</t>
  </si>
  <si>
    <t>https://www.epa.ie/publications/monitoring--assessment/climate-change/air-emissions/Ireland-NIR-2018.pdf(Table 3.1.1))</t>
  </si>
  <si>
    <t xml:space="preserve">Parts of this publication  may  be  reproduced  without  further  permission,  provided  the  source  is  acknowledged. </t>
  </si>
  <si>
    <t>https://storage.topten.eu/source/files/Market-Monitoring-2016-EN-Topten.eu.pdf</t>
  </si>
  <si>
    <t>Citation : Anette Michel, Sophie Attali, Eric Bush. Topten 2016. Energy efficiency of White Goods in Europe: monitoring the market with sales data – Final report. ADEME, 72 pages.</t>
  </si>
  <si>
    <t>Data only used to crosscheck in SHWLP-*** Tabs</t>
  </si>
  <si>
    <t>TIMES-Ireland Model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</si>
  <si>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</si>
  <si>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</si>
  <si>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</si>
  <si>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</si>
  <si>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</si>
  <si>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</si>
  <si>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</si>
  <si>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</si>
  <si>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</si>
  <si>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</si>
  <si>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 xml:space="preserve">Jason Mc Guire ( MaREI, jason.mcguire@ucc.ie) </t>
  </si>
  <si>
    <t xml:space="preserve">Alessandro Chiodi ( E4SMA, alessandro.chiodi@e4sma.com) </t>
  </si>
  <si>
    <t xml:space="preserve">Maurizio Gargiulo ( E4SMA, maurizio.gargiulo@e4sma.com) </t>
  </si>
  <si>
    <t xml:space="preserve">Olexandr Balyk ( MaREI, olexandr.balyk@ucc.ie) </t>
  </si>
  <si>
    <t>Base Year Template</t>
  </si>
  <si>
    <t>Residential sector (RSD)</t>
  </si>
  <si>
    <t>Specify base year (2018) data and define sector structure</t>
  </si>
  <si>
    <t>RSDBGS</t>
  </si>
  <si>
    <t>BIOGAS1G, BIOGAS2G</t>
  </si>
  <si>
    <t>SH Correction</t>
  </si>
  <si>
    <t>Obsolescence Rate</t>
  </si>
  <si>
    <t>Annual Rate</t>
  </si>
  <si>
    <t>2070 compared to 2018</t>
  </si>
  <si>
    <t xml:space="preserve">Water Heating </t>
  </si>
  <si>
    <t>PumpsFans</t>
  </si>
  <si>
    <t>SpaceCooling</t>
  </si>
  <si>
    <t>Avg. BerRating</t>
  </si>
  <si>
    <t>MainSpace</t>
  </si>
  <si>
    <t>SecondarySpace</t>
  </si>
  <si>
    <t>MainWater</t>
  </si>
  <si>
    <t>SupplementaryWater</t>
  </si>
  <si>
    <t>PJ/000dwelling</t>
  </si>
  <si>
    <t>Share-I~FX</t>
  </si>
  <si>
    <t>Share-I~FX~0</t>
  </si>
  <si>
    <t>*Technology name</t>
  </si>
  <si>
    <t>Input commodity</t>
  </si>
  <si>
    <t>Output commodity</t>
  </si>
  <si>
    <t>Input shares</t>
  </si>
  <si>
    <t>Maybe something like this to test renewable share in gas</t>
  </si>
  <si>
    <t>Single/Detached</t>
  </si>
  <si>
    <t>Scheme/Attached</t>
  </si>
  <si>
    <t>ApertureArea</t>
  </si>
  <si>
    <t>Count of SolarHotWaterHeating</t>
  </si>
  <si>
    <t>kWh</t>
  </si>
  <si>
    <t>Max Solar</t>
  </si>
  <si>
    <t>Cork City Council</t>
  </si>
  <si>
    <t>Clare County Council</t>
  </si>
  <si>
    <t>Cavan County Council</t>
  </si>
  <si>
    <t>Cork County Council</t>
  </si>
  <si>
    <t>Carlow County Council</t>
  </si>
  <si>
    <t>Dublin City Council</t>
  </si>
  <si>
    <t>Dún Laoghaire Rathdown County Council</t>
  </si>
  <si>
    <t>Donegal County Council</t>
  </si>
  <si>
    <t>Fingal County Council</t>
  </si>
  <si>
    <t>Galway County Council</t>
  </si>
  <si>
    <t>Galway City Council</t>
  </si>
  <si>
    <t>Kildare County Council</t>
  </si>
  <si>
    <t>Kilkenny County Council</t>
  </si>
  <si>
    <t>Kerry County Council</t>
  </si>
  <si>
    <t>Longford County Council</t>
  </si>
  <si>
    <t>Louth County Council</t>
  </si>
  <si>
    <t>Limerick City &amp; County Council</t>
  </si>
  <si>
    <t>Leitrim County Council</t>
  </si>
  <si>
    <t>Laois County Council</t>
  </si>
  <si>
    <t>Meath County Council</t>
  </si>
  <si>
    <t>Monaghan County Council</t>
  </si>
  <si>
    <t>Mayo County Council</t>
  </si>
  <si>
    <t>Offaly County Council</t>
  </si>
  <si>
    <t>Roscommon County Council</t>
  </si>
  <si>
    <t>South Dublin County Council</t>
  </si>
  <si>
    <t>Sligo County Council</t>
  </si>
  <si>
    <t>Tipperary County Council</t>
  </si>
  <si>
    <t>Waterford City &amp; County Council</t>
  </si>
  <si>
    <t>Westmeath County Council</t>
  </si>
  <si>
    <t>Wicklow County Council</t>
  </si>
  <si>
    <t>Wexford County Council</t>
  </si>
  <si>
    <t xml:space="preserve">Sournce: https://data.gov.ie/dataset/ndq06-new-dwelling-completion </t>
  </si>
  <si>
    <t>NDQ06 (2016 Q3-2018 Q4)</t>
  </si>
  <si>
    <t>Council</t>
  </si>
  <si>
    <t>Alias</t>
  </si>
  <si>
    <t>Letrim</t>
  </si>
  <si>
    <t>Intensity</t>
  </si>
  <si>
    <t>SHWLP-Att</t>
  </si>
  <si>
    <t>1st Total</t>
  </si>
  <si>
    <t>1st  Error</t>
  </si>
  <si>
    <t>2nd Total</t>
  </si>
  <si>
    <t>2nd Error</t>
  </si>
  <si>
    <t>SH Calibration</t>
  </si>
  <si>
    <t>WH Calibration</t>
  </si>
  <si>
    <t>Light Calibration</t>
  </si>
  <si>
    <t>P&amp;F Calibration</t>
  </si>
  <si>
    <t>SHWLP-Apt</t>
  </si>
  <si>
    <t>SHWLP-Det</t>
  </si>
  <si>
    <t>Stock~2018</t>
  </si>
  <si>
    <t>*Industry &amp; Services sub-sectoral breakdown is based on the BEUS 2018.</t>
  </si>
  <si>
    <t>Last Updated : 1st September 2022</t>
  </si>
  <si>
    <t>INVCOST</t>
  </si>
  <si>
    <t>FIXOM</t>
  </si>
  <si>
    <t>CAP2ACT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</si>
</sst>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3" formatCode="_-* #,##0.00_-;\-* #,##0.00_-;_-* &quot;-&quot;??_-;_-@_-"/>
    <numFmt numFmtId="164" formatCode="_(* #,##0.00_);_(* \(#,##0.00\);_(* &quot;-&quot;??_);_(@_)"/>
    <numFmt numFmtId="165" formatCode="0.0"/>
    <numFmt numFmtId="166" formatCode="0.0%"/>
    <numFmt numFmtId="167" formatCode="0.0000"/>
    <numFmt numFmtId="168" formatCode="0.000"/>
    <numFmt numFmtId="169" formatCode="0.00000"/>
    <numFmt numFmtId="170" formatCode="\Te\x\t"/>
    <numFmt numFmtId="171" formatCode="dd/mm/yyyy;@"/>
    <numFmt numFmtId="172" formatCode="&quot;€&quot;#,##0"/>
    <numFmt numFmtId="173" formatCode="#,##0.000"/>
    <numFmt numFmtId="174" formatCode="#,##0.00000"/>
    <numFmt numFmtId="175" formatCode="_(* #,##0_);_(* \(#,##0\);_(* &quot;-&quot;??_);_(@_)"/>
    <numFmt numFmtId="176" formatCode="0.00000000"/>
    <numFmt numFmtId="177" formatCode="_-* #,##0.000_-;\-* #,##0.000_-;_-* &quot;-&quot;??_-;_-@_-"/>
    <numFmt numFmtId="178" formatCode="_-* #,##0.0000_-;\-* #,##0.0000_-;_-* &quot;-&quot;??_-;_-@_-"/>
    <numFmt numFmtId="179" formatCode="_(* #,##0.0000_);_(* \(#,##0.0000\);_(* &quot;-&quot;??_);_(@_)"/>
  </numFmts>
  <fonts count="9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name val="Arial"/>
      <family val="2"/>
    </font>
    <font>
      <sz val="10"/>
      <name val="Myriad Pro"/>
      <family val="2"/>
    </font>
    <font>
      <b/>
      <sz val="11"/>
      <name val="Myriad Pro"/>
      <family val="2"/>
    </font>
    <font>
      <b/>
      <sz val="10"/>
      <name val="Myriad Pro"/>
      <family val="2"/>
    </font>
    <font>
      <b/>
      <sz val="18"/>
      <color rgb="FFFF0000"/>
      <name val="Myriad Pro"/>
      <family val="2"/>
    </font>
    <font>
      <sz val="10"/>
      <color rgb="FFFF0000"/>
      <name val="Myriad Pro"/>
      <family val="2"/>
    </font>
    <font>
      <b/>
      <sz val="10"/>
      <color rgb="FFFF0000"/>
      <name val="Myriad Pro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name val="Calibri"/>
      <family val="2"/>
      <scheme val="minor"/>
    </font>
    <font>
      <sz val="14"/>
      <color indexed="9"/>
      <name val="Calibri"/>
      <family val="2"/>
      <scheme val="minor"/>
    </font>
    <font>
      <sz val="11"/>
      <color indexed="9"/>
      <name val="Calibri"/>
      <family val="2"/>
      <scheme val="minor"/>
    </font>
    <font>
      <sz val="12"/>
      <name val="Arial"/>
      <family val="2"/>
    </font>
    <font>
      <b/>
      <sz val="9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24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9"/>
      <color rgb="FF333333"/>
      <name val="Arial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sz val="9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B0F0"/>
      <name val="Arial"/>
      <family val="2"/>
    </font>
    <font>
      <b/>
      <sz val="10"/>
      <color theme="0"/>
      <name val="Calibri"/>
      <family val="2"/>
      <scheme val="minor"/>
    </font>
    <font>
      <b/>
      <sz val="8"/>
      <color rgb="FFFF0000"/>
      <name val="Arial"/>
      <family val="2"/>
    </font>
    <font>
      <b/>
      <sz val="8"/>
      <color indexed="81"/>
      <name val="Tahoma"/>
      <family val="2"/>
    </font>
    <font>
      <b/>
      <sz val="9"/>
      <color theme="0"/>
      <name val="Calibri"/>
      <family val="2"/>
      <scheme val="minor"/>
    </font>
    <font>
      <sz val="8"/>
      <name val="Arial"/>
      <family val="2"/>
    </font>
    <font>
      <i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12"/>
      <name val="Arial"/>
      <family val="2"/>
    </font>
    <font>
      <sz val="8"/>
      <color theme="1"/>
      <name val="Arial"/>
      <family val="2"/>
    </font>
    <font>
      <sz val="8"/>
      <color indexed="81"/>
      <name val="Tahoma"/>
      <family val="2"/>
    </font>
    <font>
      <i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i/>
      <sz val="14"/>
      <color theme="1"/>
      <name val="Arial"/>
      <family val="2"/>
    </font>
    <font>
      <b/>
      <i/>
      <sz val="14"/>
      <name val="Arial"/>
      <family val="2"/>
    </font>
    <font>
      <sz val="16"/>
      <name val="Calibri"/>
      <family val="2"/>
      <scheme val="minor"/>
    </font>
    <font>
      <sz val="10"/>
      <name val="Arial"/>
      <family val="2"/>
    </font>
    <font>
      <sz val="10"/>
      <name val="Myriad Pro"/>
    </font>
    <font>
      <b/>
      <sz val="12"/>
      <color theme="1"/>
      <name val="Calibri"/>
      <family val="2"/>
      <scheme val="minor"/>
    </font>
    <font>
      <sz val="8.25"/>
      <color rgb="FF000000"/>
      <name val="Microsoft Sans Serif"/>
      <family val="2"/>
    </font>
    <font>
      <b/>
      <sz val="9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MS Sans Serif"/>
      <family val="2"/>
    </font>
  </fonts>
  <fills count="4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1"/>
        <bgColor indexed="64"/>
      </patternFill>
    </fill>
    <fill>
      <patternFill patternType="solid">
        <fgColor theme="1"/>
        <bgColor theme="7" tint="0.79998168889431442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theme="7" tint="0.79998168889431442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</fills>
  <borders count="19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theme="6"/>
      </top>
      <bottom style="thin">
        <color theme="6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6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0"/>
      </top>
      <bottom style="medium">
        <color theme="0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/>
      </top>
      <bottom style="thin">
        <color theme="0"/>
      </bottom>
      <diagonal/>
    </border>
  </borders>
  <cellStyleXfs count="11">
    <xf numFmtId="0" fontId="0" fillId="0" borderId="0"/>
    <xf numFmtId="9" fontId="15" fillId="0" borderId="0" applyFont="0" applyFill="0" applyBorder="0" applyAlignment="0" applyProtection="0"/>
    <xf numFmtId="0" fontId="29" fillId="9" borderId="0" applyNumberFormat="0" applyBorder="0" applyAlignment="0" applyProtection="0"/>
    <xf numFmtId="0" fontId="54" fillId="0" borderId="0" applyNumberFormat="0" applyFill="0" applyBorder="0" applyAlignment="0" applyProtection="0"/>
    <xf numFmtId="0" fontId="8" fillId="37" borderId="0" applyNumberFormat="0" applyBorder="0" applyAlignment="0" applyProtection="0"/>
    <xf numFmtId="164" fontId="84" fillId="0" borderId="0" applyFont="0" applyFill="0" applyBorder="0" applyAlignment="0" applyProtection="0"/>
    <xf numFmtId="0" fontId="15" fillId="0" borderId="0"/>
    <xf numFmtId="0" fontId="3" fillId="0" borderId="0"/>
    <xf numFmtId="0" fontId="44" fillId="0" borderId="0" applyNumberFormat="0" applyFill="0" applyBorder="0" applyAlignment="0" applyProtection="0"/>
    <xf numFmtId="0" fontId="94" fillId="0" borderId="0"/>
    <xf numFmtId="0" fontId="20" fillId="0" borderId="0"/>
  </cellStyleXfs>
  <cellXfs count="1154">
    <xf numFmtId="0" fontId="0" fillId="0" borderId="0" xfId="0"/>
    <xf numFmtId="38" fontId="21" fillId="0" borderId="0" xfId="0" applyNumberFormat="1" applyFont="1"/>
    <xf numFmtId="38" fontId="24" fillId="5" borderId="0" xfId="0" applyNumberFormat="1" applyFont="1" applyFill="1"/>
    <xf numFmtId="38" fontId="25" fillId="5" borderId="0" xfId="0" applyNumberFormat="1" applyFont="1" applyFill="1"/>
    <xf numFmtId="38" fontId="26" fillId="5" borderId="0" xfId="0" applyNumberFormat="1" applyFont="1" applyFill="1"/>
    <xf numFmtId="38" fontId="23" fillId="0" borderId="0" xfId="0" applyNumberFormat="1" applyFont="1"/>
    <xf numFmtId="38" fontId="0" fillId="0" borderId="0" xfId="0" applyNumberFormat="1"/>
    <xf numFmtId="166" fontId="23" fillId="0" borderId="0" xfId="1" applyNumberFormat="1" applyFont="1" applyFill="1" applyBorder="1" applyAlignment="1">
      <alignment horizontal="center"/>
    </xf>
    <xf numFmtId="38" fontId="0" fillId="8" borderId="0" xfId="0" applyNumberFormat="1" applyFill="1"/>
    <xf numFmtId="40" fontId="21" fillId="0" borderId="0" xfId="0" applyNumberFormat="1" applyFont="1"/>
    <xf numFmtId="40" fontId="23" fillId="0" borderId="0" xfId="0" applyNumberFormat="1" applyFont="1"/>
    <xf numFmtId="38" fontId="21" fillId="0" borderId="0" xfId="0" applyNumberFormat="1" applyFont="1" applyAlignment="1">
      <alignment horizontal="left"/>
    </xf>
    <xf numFmtId="38" fontId="23" fillId="0" borderId="0" xfId="0" applyNumberFormat="1" applyFont="1" applyAlignment="1">
      <alignment horizontal="center"/>
    </xf>
    <xf numFmtId="38" fontId="21" fillId="0" borderId="0" xfId="0" applyNumberFormat="1" applyFont="1" applyAlignment="1">
      <alignment horizontal="center"/>
    </xf>
    <xf numFmtId="38" fontId="26" fillId="0" borderId="0" xfId="0" applyNumberFormat="1" applyFont="1"/>
    <xf numFmtId="38" fontId="25" fillId="0" borderId="0" xfId="0" applyNumberFormat="1" applyFont="1"/>
    <xf numFmtId="38" fontId="21" fillId="7" borderId="0" xfId="0" applyNumberFormat="1" applyFont="1" applyFill="1"/>
    <xf numFmtId="38" fontId="26" fillId="7" borderId="0" xfId="0" applyNumberFormat="1" applyFont="1" applyFill="1"/>
    <xf numFmtId="38" fontId="23" fillId="7" borderId="0" xfId="0" applyNumberFormat="1" applyFont="1" applyFill="1"/>
    <xf numFmtId="170" fontId="29" fillId="9" borderId="0" xfId="2" applyNumberFormat="1"/>
    <xf numFmtId="0" fontId="31" fillId="12" borderId="4" xfId="0" applyFont="1" applyFill="1" applyBorder="1" applyAlignment="1">
      <alignment vertical="center"/>
    </xf>
    <xf numFmtId="0" fontId="31" fillId="12" borderId="5" xfId="0" applyFont="1" applyFill="1" applyBorder="1" applyAlignment="1">
      <alignment vertical="center"/>
    </xf>
    <xf numFmtId="0" fontId="32" fillId="6" borderId="4" xfId="0" applyFont="1" applyFill="1" applyBorder="1" applyAlignment="1">
      <alignment horizontal="left" vertical="center" wrapText="1"/>
    </xf>
    <xf numFmtId="0" fontId="32" fillId="6" borderId="2" xfId="0" applyFont="1" applyFill="1" applyBorder="1" applyAlignment="1">
      <alignment horizontal="left" vertical="center" wrapText="1"/>
    </xf>
    <xf numFmtId="0" fontId="28" fillId="13" borderId="0" xfId="0" applyFont="1" applyFill="1"/>
    <xf numFmtId="0" fontId="32" fillId="0" borderId="0" xfId="0" applyFont="1"/>
    <xf numFmtId="0" fontId="35" fillId="0" borderId="0" xfId="0" applyFont="1"/>
    <xf numFmtId="0" fontId="31" fillId="12" borderId="5" xfId="0" applyFont="1" applyFill="1" applyBorder="1" applyAlignment="1">
      <alignment horizontal="center" vertical="center"/>
    </xf>
    <xf numFmtId="0" fontId="32" fillId="6" borderId="4" xfId="0" applyFont="1" applyFill="1" applyBorder="1" applyAlignment="1">
      <alignment horizontal="center" vertical="center" wrapText="1"/>
    </xf>
    <xf numFmtId="0" fontId="32" fillId="6" borderId="4" xfId="0" quotePrefix="1" applyFont="1" applyFill="1" applyBorder="1" applyAlignment="1">
      <alignment horizontal="center" vertical="center" wrapText="1"/>
    </xf>
    <xf numFmtId="170" fontId="29" fillId="0" borderId="0" xfId="2" applyNumberFormat="1" applyFill="1" applyBorder="1" applyAlignment="1">
      <alignment vertical="center"/>
    </xf>
    <xf numFmtId="0" fontId="31" fillId="12" borderId="19" xfId="0" applyFont="1" applyFill="1" applyBorder="1" applyAlignment="1">
      <alignment horizontal="center" vertical="center"/>
    </xf>
    <xf numFmtId="9" fontId="28" fillId="13" borderId="0" xfId="0" applyNumberFormat="1" applyFont="1" applyFill="1"/>
    <xf numFmtId="0" fontId="29" fillId="17" borderId="0" xfId="0" applyFont="1" applyFill="1"/>
    <xf numFmtId="0" fontId="29" fillId="14" borderId="0" xfId="0" applyFont="1" applyFill="1"/>
    <xf numFmtId="0" fontId="34" fillId="2" borderId="0" xfId="0" applyFont="1" applyFill="1" applyProtection="1">
      <protection locked="0"/>
    </xf>
    <xf numFmtId="0" fontId="39" fillId="2" borderId="0" xfId="0" applyFont="1" applyFill="1" applyAlignment="1" applyProtection="1">
      <alignment horizontal="left"/>
      <protection locked="0"/>
    </xf>
    <xf numFmtId="0" fontId="32" fillId="0" borderId="0" xfId="0" applyFont="1" applyProtection="1">
      <protection locked="0"/>
    </xf>
    <xf numFmtId="0" fontId="32" fillId="2" borderId="0" xfId="0" applyFont="1" applyFill="1" applyProtection="1">
      <protection locked="0"/>
    </xf>
    <xf numFmtId="0" fontId="34" fillId="2" borderId="2" xfId="0" applyFont="1" applyFill="1" applyBorder="1" applyProtection="1">
      <protection locked="0"/>
    </xf>
    <xf numFmtId="0" fontId="39" fillId="2" borderId="2" xfId="0" applyFont="1" applyFill="1" applyBorder="1" applyAlignment="1" applyProtection="1">
      <alignment horizontal="left"/>
      <protection locked="0"/>
    </xf>
    <xf numFmtId="0" fontId="39" fillId="0" borderId="0" xfId="0" applyFont="1" applyProtection="1">
      <protection locked="0"/>
    </xf>
    <xf numFmtId="168" fontId="32" fillId="0" borderId="0" xfId="0" applyNumberFormat="1" applyFont="1"/>
    <xf numFmtId="2" fontId="32" fillId="0" borderId="0" xfId="0" applyNumberFormat="1" applyFont="1" applyProtection="1">
      <protection locked="0"/>
    </xf>
    <xf numFmtId="0" fontId="32" fillId="0" borderId="0" xfId="0" applyFont="1" applyAlignment="1">
      <alignment horizontal="center" wrapText="1"/>
    </xf>
    <xf numFmtId="0" fontId="32" fillId="0" borderId="0" xfId="0" applyFont="1" applyAlignment="1" applyProtection="1">
      <alignment horizontal="center" vertical="center"/>
      <protection locked="0"/>
    </xf>
    <xf numFmtId="0" fontId="32" fillId="0" borderId="0" xfId="0" quotePrefix="1" applyFont="1"/>
    <xf numFmtId="0" fontId="39" fillId="0" borderId="0" xfId="0" applyFont="1"/>
    <xf numFmtId="0" fontId="14" fillId="0" borderId="0" xfId="0" applyFont="1"/>
    <xf numFmtId="0" fontId="46" fillId="14" borderId="0" xfId="0" applyFont="1" applyFill="1" applyAlignment="1">
      <alignment vertical="center"/>
    </xf>
    <xf numFmtId="0" fontId="46" fillId="17" borderId="0" xfId="0" applyFont="1" applyFill="1" applyAlignment="1">
      <alignment vertical="center"/>
    </xf>
    <xf numFmtId="0" fontId="39" fillId="13" borderId="0" xfId="0" applyFont="1" applyFill="1"/>
    <xf numFmtId="0" fontId="32" fillId="13" borderId="0" xfId="0" applyFont="1" applyFill="1"/>
    <xf numFmtId="170" fontId="29" fillId="14" borderId="0" xfId="2" applyNumberFormat="1" applyFill="1" applyAlignment="1"/>
    <xf numFmtId="2" fontId="32" fillId="0" borderId="0" xfId="0" applyNumberFormat="1" applyFont="1" applyAlignment="1">
      <alignment horizontal="right"/>
    </xf>
    <xf numFmtId="0" fontId="48" fillId="0" borderId="0" xfId="0" applyFont="1"/>
    <xf numFmtId="0" fontId="47" fillId="0" borderId="0" xfId="0" applyFont="1" applyAlignment="1">
      <alignment horizontal="left"/>
    </xf>
    <xf numFmtId="0" fontId="41" fillId="0" borderId="0" xfId="0" applyFont="1"/>
    <xf numFmtId="0" fontId="15" fillId="0" borderId="0" xfId="0" applyFont="1"/>
    <xf numFmtId="38" fontId="21" fillId="20" borderId="0" xfId="0" applyNumberFormat="1" applyFont="1" applyFill="1" applyAlignment="1">
      <alignment horizontal="left"/>
    </xf>
    <xf numFmtId="38" fontId="21" fillId="21" borderId="0" xfId="0" applyNumberFormat="1" applyFont="1" applyFill="1" applyAlignment="1">
      <alignment horizontal="left"/>
    </xf>
    <xf numFmtId="38" fontId="23" fillId="24" borderId="0" xfId="0" applyNumberFormat="1" applyFont="1" applyFill="1"/>
    <xf numFmtId="0" fontId="27" fillId="27" borderId="1" xfId="0" applyFont="1" applyFill="1" applyBorder="1" applyAlignment="1">
      <alignment horizontal="center"/>
    </xf>
    <xf numFmtId="0" fontId="56" fillId="25" borderId="1" xfId="0" applyFont="1" applyFill="1" applyBorder="1" applyAlignment="1">
      <alignment horizontal="center"/>
    </xf>
    <xf numFmtId="0" fontId="16" fillId="0" borderId="11" xfId="0" applyFont="1" applyBorder="1"/>
    <xf numFmtId="0" fontId="16" fillId="0" borderId="61" xfId="0" applyFont="1" applyBorder="1"/>
    <xf numFmtId="0" fontId="16" fillId="0" borderId="0" xfId="0" applyFont="1"/>
    <xf numFmtId="0" fontId="56" fillId="25" borderId="19" xfId="0" applyFont="1" applyFill="1" applyBorder="1"/>
    <xf numFmtId="0" fontId="16" fillId="24" borderId="142" xfId="0" applyFont="1" applyFill="1" applyBorder="1"/>
    <xf numFmtId="0" fontId="16" fillId="0" borderId="156" xfId="0" applyFont="1" applyBorder="1"/>
    <xf numFmtId="0" fontId="16" fillId="0" borderId="151" xfId="0" applyFont="1" applyBorder="1" applyAlignment="1">
      <alignment horizontal="right"/>
    </xf>
    <xf numFmtId="0" fontId="16" fillId="0" borderId="157" xfId="0" applyFont="1" applyBorder="1" applyAlignment="1">
      <alignment horizontal="right"/>
    </xf>
    <xf numFmtId="0" fontId="16" fillId="0" borderId="154" xfId="0" applyFont="1" applyBorder="1" applyAlignment="1">
      <alignment horizontal="right" vertical="top"/>
    </xf>
    <xf numFmtId="0" fontId="16" fillId="0" borderId="25" xfId="0" applyFont="1" applyBorder="1"/>
    <xf numFmtId="0" fontId="16" fillId="0" borderId="152" xfId="0" applyFont="1" applyBorder="1"/>
    <xf numFmtId="0" fontId="27" fillId="24" borderId="142" xfId="0" applyFont="1" applyFill="1" applyBorder="1"/>
    <xf numFmtId="0" fontId="55" fillId="0" borderId="140" xfId="0" applyFont="1" applyBorder="1" applyAlignment="1">
      <alignment horizontal="right" vertical="top"/>
    </xf>
    <xf numFmtId="0" fontId="55" fillId="26" borderId="140" xfId="0" applyFont="1" applyFill="1" applyBorder="1" applyAlignment="1">
      <alignment horizontal="right" vertical="top"/>
    </xf>
    <xf numFmtId="0" fontId="56" fillId="27" borderId="8" xfId="0" applyFont="1" applyFill="1" applyBorder="1" applyAlignment="1">
      <alignment horizontal="center"/>
    </xf>
    <xf numFmtId="172" fontId="0" fillId="0" borderId="154" xfId="0" applyNumberFormat="1" applyBorder="1"/>
    <xf numFmtId="3" fontId="0" fillId="0" borderId="147" xfId="0" applyNumberFormat="1" applyBorder="1"/>
    <xf numFmtId="3" fontId="0" fillId="0" borderId="148" xfId="0" applyNumberFormat="1" applyBorder="1"/>
    <xf numFmtId="3" fontId="0" fillId="0" borderId="150" xfId="0" applyNumberFormat="1" applyBorder="1"/>
    <xf numFmtId="3" fontId="0" fillId="0" borderId="157" xfId="0" applyNumberFormat="1" applyBorder="1"/>
    <xf numFmtId="3" fontId="0" fillId="0" borderId="115" xfId="0" applyNumberFormat="1" applyBorder="1"/>
    <xf numFmtId="3" fontId="0" fillId="0" borderId="118" xfId="0" applyNumberFormat="1" applyBorder="1"/>
    <xf numFmtId="3" fontId="0" fillId="0" borderId="120" xfId="0" applyNumberFormat="1" applyBorder="1"/>
    <xf numFmtId="3" fontId="0" fillId="0" borderId="153" xfId="0" applyNumberFormat="1" applyBorder="1"/>
    <xf numFmtId="3" fontId="0" fillId="0" borderId="15" xfId="0" applyNumberFormat="1" applyBorder="1"/>
    <xf numFmtId="3" fontId="0" fillId="0" borderId="1" xfId="0" applyNumberFormat="1" applyBorder="1"/>
    <xf numFmtId="3" fontId="0" fillId="0" borderId="19" xfId="0" applyNumberFormat="1" applyBorder="1"/>
    <xf numFmtId="3" fontId="0" fillId="0" borderId="154" xfId="0" applyNumberFormat="1" applyBorder="1"/>
    <xf numFmtId="3" fontId="0" fillId="0" borderId="136" xfId="0" applyNumberFormat="1" applyBorder="1"/>
    <xf numFmtId="0" fontId="27" fillId="24" borderId="153" xfId="0" applyFont="1" applyFill="1" applyBorder="1" applyAlignment="1">
      <alignment horizontal="center"/>
    </xf>
    <xf numFmtId="0" fontId="27" fillId="24" borderId="154" xfId="0" applyFont="1" applyFill="1" applyBorder="1" applyAlignment="1">
      <alignment horizontal="center"/>
    </xf>
    <xf numFmtId="0" fontId="27" fillId="24" borderId="153" xfId="0" applyFont="1" applyFill="1" applyBorder="1"/>
    <xf numFmtId="0" fontId="27" fillId="27" borderId="113" xfId="0" applyFont="1" applyFill="1" applyBorder="1" applyAlignment="1">
      <alignment horizontal="center" wrapText="1"/>
    </xf>
    <xf numFmtId="0" fontId="27" fillId="27" borderId="146" xfId="0" applyFont="1" applyFill="1" applyBorder="1" applyAlignment="1">
      <alignment horizontal="center" wrapText="1"/>
    </xf>
    <xf numFmtId="0" fontId="56" fillId="0" borderId="158" xfId="0" applyFont="1" applyBorder="1"/>
    <xf numFmtId="172" fontId="0" fillId="0" borderId="93" xfId="0" applyNumberFormat="1" applyBorder="1"/>
    <xf numFmtId="172" fontId="0" fillId="0" borderId="140" xfId="0" applyNumberFormat="1" applyBorder="1"/>
    <xf numFmtId="0" fontId="16" fillId="0" borderId="155" xfId="0" applyFont="1" applyBorder="1" applyAlignment="1">
      <alignment horizontal="right" vertical="top"/>
    </xf>
    <xf numFmtId="3" fontId="0" fillId="0" borderId="149" xfId="0" applyNumberFormat="1" applyBorder="1"/>
    <xf numFmtId="3" fontId="0" fillId="0" borderId="14" xfId="0" applyNumberFormat="1" applyBorder="1"/>
    <xf numFmtId="3" fontId="0" fillId="0" borderId="16" xfId="0" applyNumberFormat="1" applyBorder="1"/>
    <xf numFmtId="3" fontId="0" fillId="0" borderId="155" xfId="0" applyNumberFormat="1" applyBorder="1"/>
    <xf numFmtId="3" fontId="0" fillId="0" borderId="96" xfId="0" applyNumberFormat="1" applyBorder="1"/>
    <xf numFmtId="172" fontId="0" fillId="0" borderId="95" xfId="0" applyNumberFormat="1" applyBorder="1"/>
    <xf numFmtId="0" fontId="16" fillId="0" borderId="151" xfId="0" applyFont="1" applyBorder="1" applyAlignment="1">
      <alignment horizontal="right" vertical="top"/>
    </xf>
    <xf numFmtId="3" fontId="16" fillId="24" borderId="159" xfId="0" applyNumberFormat="1" applyFont="1" applyFill="1" applyBorder="1"/>
    <xf numFmtId="3" fontId="16" fillId="24" borderId="111" xfId="0" applyNumberFormat="1" applyFont="1" applyFill="1" applyBorder="1"/>
    <xf numFmtId="3" fontId="16" fillId="24" borderId="141" xfId="0" applyNumberFormat="1" applyFont="1" applyFill="1" applyBorder="1"/>
    <xf numFmtId="3" fontId="16" fillId="24" borderId="151" xfId="0" applyNumberFormat="1" applyFont="1" applyFill="1" applyBorder="1"/>
    <xf numFmtId="3" fontId="16" fillId="24" borderId="108" xfId="0" applyNumberFormat="1" applyFont="1" applyFill="1" applyBorder="1"/>
    <xf numFmtId="3" fontId="28" fillId="24" borderId="151" xfId="0" applyNumberFormat="1" applyFont="1" applyFill="1" applyBorder="1"/>
    <xf numFmtId="172" fontId="28" fillId="24" borderId="151" xfId="0" applyNumberFormat="1" applyFont="1" applyFill="1" applyBorder="1"/>
    <xf numFmtId="3" fontId="15" fillId="0" borderId="15" xfId="0" applyNumberFormat="1" applyFont="1" applyBorder="1"/>
    <xf numFmtId="3" fontId="15" fillId="0" borderId="1" xfId="0" applyNumberFormat="1" applyFont="1" applyBorder="1"/>
    <xf numFmtId="3" fontId="15" fillId="0" borderId="19" xfId="0" applyNumberFormat="1" applyFont="1" applyBorder="1"/>
    <xf numFmtId="172" fontId="15" fillId="0" borderId="93" xfId="0" applyNumberFormat="1" applyFont="1" applyBorder="1"/>
    <xf numFmtId="3" fontId="15" fillId="0" borderId="154" xfId="0" applyNumberFormat="1" applyFont="1" applyBorder="1"/>
    <xf numFmtId="3" fontId="15" fillId="0" borderId="136" xfId="0" applyNumberFormat="1" applyFont="1" applyBorder="1"/>
    <xf numFmtId="3" fontId="0" fillId="0" borderId="0" xfId="0" applyNumberFormat="1"/>
    <xf numFmtId="0" fontId="59" fillId="0" borderId="0" xfId="0" quotePrefix="1" applyFont="1" applyAlignment="1">
      <alignment horizontal="left"/>
    </xf>
    <xf numFmtId="0" fontId="43" fillId="0" borderId="0" xfId="0" quotePrefix="1" applyFont="1" applyAlignment="1">
      <alignment horizontal="left" vertical="top"/>
    </xf>
    <xf numFmtId="0" fontId="60" fillId="0" borderId="0" xfId="0" applyFont="1" applyAlignment="1">
      <alignment horizontal="left" vertical="top"/>
    </xf>
    <xf numFmtId="0" fontId="56" fillId="27" borderId="67" xfId="3" applyFont="1" applyFill="1" applyBorder="1" applyAlignment="1">
      <alignment horizontal="center"/>
    </xf>
    <xf numFmtId="0" fontId="56" fillId="27" borderId="18" xfId="3" applyFont="1" applyFill="1" applyBorder="1" applyAlignment="1">
      <alignment horizontal="center"/>
    </xf>
    <xf numFmtId="0" fontId="56" fillId="27" borderId="143" xfId="3" applyFont="1" applyFill="1" applyBorder="1" applyAlignment="1">
      <alignment horizontal="center"/>
    </xf>
    <xf numFmtId="0" fontId="27" fillId="27" borderId="59" xfId="0" applyFont="1" applyFill="1" applyBorder="1" applyAlignment="1">
      <alignment horizontal="center"/>
    </xf>
    <xf numFmtId="0" fontId="27" fillId="27" borderId="18" xfId="0" applyFont="1" applyFill="1" applyBorder="1" applyAlignment="1">
      <alignment horizontal="center"/>
    </xf>
    <xf numFmtId="0" fontId="27" fillId="27" borderId="143" xfId="0" applyFont="1" applyFill="1" applyBorder="1" applyAlignment="1">
      <alignment horizontal="center"/>
    </xf>
    <xf numFmtId="0" fontId="27" fillId="27" borderId="136" xfId="0" applyFont="1" applyFill="1" applyBorder="1" applyAlignment="1">
      <alignment horizontal="center"/>
    </xf>
    <xf numFmtId="0" fontId="27" fillId="27" borderId="19" xfId="0" applyFont="1" applyFill="1" applyBorder="1" applyAlignment="1">
      <alignment horizontal="center"/>
    </xf>
    <xf numFmtId="0" fontId="56" fillId="27" borderId="113" xfId="0" applyFont="1" applyFill="1" applyBorder="1" applyAlignment="1">
      <alignment horizontal="center"/>
    </xf>
    <xf numFmtId="0" fontId="56" fillId="27" borderId="146" xfId="0" applyFont="1" applyFill="1" applyBorder="1" applyAlignment="1">
      <alignment horizontal="center"/>
    </xf>
    <xf numFmtId="0" fontId="29" fillId="27" borderId="0" xfId="0" applyFont="1" applyFill="1"/>
    <xf numFmtId="0" fontId="57" fillId="24" borderId="19" xfId="0" applyFont="1" applyFill="1" applyBorder="1" applyAlignment="1">
      <alignment horizontal="right" vertical="top"/>
    </xf>
    <xf numFmtId="166" fontId="0" fillId="24" borderId="0" xfId="0" applyNumberFormat="1" applyFill="1"/>
    <xf numFmtId="0" fontId="56" fillId="27" borderId="55" xfId="0" applyFont="1" applyFill="1" applyBorder="1"/>
    <xf numFmtId="0" fontId="56" fillId="27" borderId="56" xfId="0" applyFont="1" applyFill="1" applyBorder="1"/>
    <xf numFmtId="0" fontId="55" fillId="0" borderId="154" xfId="0" applyFont="1" applyBorder="1" applyAlignment="1">
      <alignment horizontal="right" vertical="top"/>
    </xf>
    <xf numFmtId="0" fontId="55" fillId="26" borderId="154" xfId="0" applyFont="1" applyFill="1" applyBorder="1" applyAlignment="1">
      <alignment horizontal="right" vertical="top"/>
    </xf>
    <xf numFmtId="0" fontId="16" fillId="24" borderId="61" xfId="0" applyFont="1" applyFill="1" applyBorder="1"/>
    <xf numFmtId="0" fontId="16" fillId="24" borderId="11" xfId="0" applyFont="1" applyFill="1" applyBorder="1"/>
    <xf numFmtId="0" fontId="16" fillId="24" borderId="60" xfId="0" applyFont="1" applyFill="1" applyBorder="1"/>
    <xf numFmtId="0" fontId="56" fillId="27" borderId="12" xfId="0" applyFont="1" applyFill="1" applyBorder="1"/>
    <xf numFmtId="0" fontId="56" fillId="27" borderId="17" xfId="0" applyFont="1" applyFill="1" applyBorder="1"/>
    <xf numFmtId="0" fontId="56" fillId="27" borderId="0" xfId="0" applyFont="1" applyFill="1"/>
    <xf numFmtId="0" fontId="56" fillId="27" borderId="88" xfId="0" applyFont="1" applyFill="1" applyBorder="1" applyAlignment="1">
      <alignment horizontal="center"/>
    </xf>
    <xf numFmtId="0" fontId="56" fillId="25" borderId="20" xfId="0" applyFont="1" applyFill="1" applyBorder="1"/>
    <xf numFmtId="0" fontId="55" fillId="26" borderId="1" xfId="0" applyFont="1" applyFill="1" applyBorder="1" applyAlignment="1">
      <alignment horizontal="right"/>
    </xf>
    <xf numFmtId="0" fontId="55" fillId="0" borderId="1" xfId="0" applyFont="1" applyBorder="1" applyAlignment="1">
      <alignment horizontal="right" vertical="top"/>
    </xf>
    <xf numFmtId="0" fontId="55" fillId="26" borderId="1" xfId="0" applyFont="1" applyFill="1" applyBorder="1" applyAlignment="1">
      <alignment horizontal="right" vertical="top"/>
    </xf>
    <xf numFmtId="0" fontId="56" fillId="25" borderId="7" xfId="0" applyFont="1" applyFill="1" applyBorder="1" applyAlignment="1">
      <alignment horizontal="right"/>
    </xf>
    <xf numFmtId="0" fontId="57" fillId="26" borderId="154" xfId="0" applyFont="1" applyFill="1" applyBorder="1" applyAlignment="1">
      <alignment horizontal="right"/>
    </xf>
    <xf numFmtId="0" fontId="57" fillId="0" borderId="154" xfId="0" applyFont="1" applyBorder="1" applyAlignment="1">
      <alignment horizontal="right" vertical="top"/>
    </xf>
    <xf numFmtId="0" fontId="57" fillId="26" borderId="154" xfId="0" applyFont="1" applyFill="1" applyBorder="1" applyAlignment="1">
      <alignment horizontal="right" vertical="top"/>
    </xf>
    <xf numFmtId="0" fontId="57" fillId="0" borderId="142" xfId="0" applyFont="1" applyBorder="1" applyAlignment="1">
      <alignment horizontal="right" vertical="top"/>
    </xf>
    <xf numFmtId="0" fontId="56" fillId="27" borderId="7" xfId="0" applyFont="1" applyFill="1" applyBorder="1"/>
    <xf numFmtId="0" fontId="55" fillId="26" borderId="154" xfId="0" applyFont="1" applyFill="1" applyBorder="1" applyAlignment="1">
      <alignment horizontal="right"/>
    </xf>
    <xf numFmtId="0" fontId="56" fillId="27" borderId="54" xfId="0" applyFont="1" applyFill="1" applyBorder="1"/>
    <xf numFmtId="0" fontId="55" fillId="26" borderId="136" xfId="0" applyFont="1" applyFill="1" applyBorder="1" applyAlignment="1">
      <alignment horizontal="right"/>
    </xf>
    <xf numFmtId="0" fontId="55" fillId="26" borderId="140" xfId="0" applyFont="1" applyFill="1" applyBorder="1" applyAlignment="1">
      <alignment horizontal="right"/>
    </xf>
    <xf numFmtId="0" fontId="55" fillId="0" borderId="136" xfId="0" applyFont="1" applyBorder="1" applyAlignment="1">
      <alignment horizontal="right" vertical="top"/>
    </xf>
    <xf numFmtId="0" fontId="55" fillId="26" borderId="136" xfId="0" applyFont="1" applyFill="1" applyBorder="1" applyAlignment="1">
      <alignment horizontal="right" vertical="top"/>
    </xf>
    <xf numFmtId="0" fontId="57" fillId="0" borderId="140" xfId="0" applyFont="1" applyBorder="1" applyAlignment="1">
      <alignment horizontal="right" vertical="top"/>
    </xf>
    <xf numFmtId="0" fontId="57" fillId="0" borderId="160" xfId="0" applyFont="1" applyBorder="1" applyAlignment="1">
      <alignment horizontal="right" vertical="top"/>
    </xf>
    <xf numFmtId="0" fontId="57" fillId="0" borderId="95" xfId="0" applyFont="1" applyBorder="1" applyAlignment="1">
      <alignment horizontal="right" vertical="top"/>
    </xf>
    <xf numFmtId="0" fontId="58" fillId="0" borderId="93" xfId="0" applyFont="1" applyBorder="1" applyAlignment="1">
      <alignment vertical="center"/>
    </xf>
    <xf numFmtId="168" fontId="58" fillId="0" borderId="0" xfId="0" applyNumberFormat="1" applyFont="1" applyAlignment="1">
      <alignment vertical="center"/>
    </xf>
    <xf numFmtId="1" fontId="58" fillId="0" borderId="145" xfId="0" applyNumberFormat="1" applyFont="1" applyBorder="1" applyAlignment="1">
      <alignment vertical="center"/>
    </xf>
    <xf numFmtId="0" fontId="59" fillId="0" borderId="26" xfId="0" applyFont="1" applyBorder="1" applyAlignment="1">
      <alignment vertical="center"/>
    </xf>
    <xf numFmtId="0" fontId="59" fillId="0" borderId="2" xfId="0" applyFont="1" applyBorder="1" applyAlignment="1">
      <alignment vertical="center"/>
    </xf>
    <xf numFmtId="1" fontId="58" fillId="0" borderId="93" xfId="0" applyNumberFormat="1" applyFont="1" applyBorder="1" applyAlignment="1">
      <alignment vertical="center"/>
    </xf>
    <xf numFmtId="1" fontId="59" fillId="0" borderId="26" xfId="0" applyNumberFormat="1" applyFont="1" applyBorder="1" applyAlignment="1">
      <alignment vertical="center"/>
    </xf>
    <xf numFmtId="1" fontId="59" fillId="0" borderId="144" xfId="0" applyNumberFormat="1" applyFont="1" applyBorder="1" applyAlignment="1">
      <alignment vertical="center"/>
    </xf>
    <xf numFmtId="0" fontId="58" fillId="0" borderId="9" xfId="0" applyFont="1" applyBorder="1" applyAlignment="1">
      <alignment vertical="center"/>
    </xf>
    <xf numFmtId="0" fontId="59" fillId="29" borderId="8" xfId="0" applyFont="1" applyFill="1" applyBorder="1" applyAlignment="1">
      <alignment vertical="center"/>
    </xf>
    <xf numFmtId="0" fontId="59" fillId="0" borderId="113" xfId="0" quotePrefix="1" applyFont="1" applyBorder="1" applyAlignment="1">
      <alignment horizontal="center"/>
    </xf>
    <xf numFmtId="0" fontId="59" fillId="0" borderId="106" xfId="0" quotePrefix="1" applyFont="1" applyBorder="1" applyAlignment="1">
      <alignment horizontal="center"/>
    </xf>
    <xf numFmtId="0" fontId="59" fillId="0" borderId="151" xfId="0" applyFont="1" applyBorder="1" applyAlignment="1">
      <alignment horizontal="center"/>
    </xf>
    <xf numFmtId="0" fontId="28" fillId="24" borderId="0" xfId="0" applyFont="1" applyFill="1"/>
    <xf numFmtId="168" fontId="57" fillId="0" borderId="160" xfId="0" applyNumberFormat="1" applyFont="1" applyBorder="1" applyAlignment="1">
      <alignment horizontal="right" vertical="top"/>
    </xf>
    <xf numFmtId="168" fontId="57" fillId="0" borderId="140" xfId="0" applyNumberFormat="1" applyFont="1" applyBorder="1" applyAlignment="1">
      <alignment horizontal="right" vertical="top"/>
    </xf>
    <xf numFmtId="168" fontId="57" fillId="0" borderId="95" xfId="0" applyNumberFormat="1" applyFont="1" applyBorder="1" applyAlignment="1">
      <alignment horizontal="right" vertical="top"/>
    </xf>
    <xf numFmtId="0" fontId="28" fillId="27" borderId="161" xfId="0" applyFont="1" applyFill="1" applyBorder="1"/>
    <xf numFmtId="0" fontId="28" fillId="27" borderId="24" xfId="0" applyFont="1" applyFill="1" applyBorder="1"/>
    <xf numFmtId="0" fontId="28" fillId="27" borderId="25" xfId="0" applyFont="1" applyFill="1" applyBorder="1"/>
    <xf numFmtId="0" fontId="28" fillId="27" borderId="8" xfId="0" applyFont="1" applyFill="1" applyBorder="1" applyAlignment="1">
      <alignment horizontal="right"/>
    </xf>
    <xf numFmtId="2" fontId="59" fillId="0" borderId="2" xfId="0" applyNumberFormat="1" applyFont="1" applyBorder="1" applyAlignment="1">
      <alignment vertical="center"/>
    </xf>
    <xf numFmtId="3" fontId="16" fillId="0" borderId="0" xfId="0" applyNumberFormat="1" applyFont="1"/>
    <xf numFmtId="0" fontId="61" fillId="11" borderId="12" xfId="0" applyFont="1" applyFill="1" applyBorder="1" applyAlignment="1">
      <alignment vertical="center"/>
    </xf>
    <xf numFmtId="0" fontId="28" fillId="10" borderId="113" xfId="0" applyFont="1" applyFill="1" applyBorder="1" applyAlignment="1">
      <alignment horizontal="center" vertical="center"/>
    </xf>
    <xf numFmtId="0" fontId="28" fillId="10" borderId="141" xfId="0" applyFont="1" applyFill="1" applyBorder="1" applyAlignment="1">
      <alignment horizontal="center" vertical="center"/>
    </xf>
    <xf numFmtId="0" fontId="28" fillId="10" borderId="107" xfId="0" applyFont="1" applyFill="1" applyBorder="1" applyAlignment="1">
      <alignment horizontal="center" vertical="center"/>
    </xf>
    <xf numFmtId="0" fontId="61" fillId="10" borderId="12" xfId="0" applyFont="1" applyFill="1" applyBorder="1" applyAlignment="1">
      <alignment vertical="center"/>
    </xf>
    <xf numFmtId="0" fontId="28" fillId="28" borderId="115" xfId="0" quotePrefix="1" applyFont="1" applyFill="1" applyBorder="1" applyAlignment="1">
      <alignment horizontal="right" vertical="top"/>
    </xf>
    <xf numFmtId="0" fontId="28" fillId="28" borderId="114" xfId="0" quotePrefix="1" applyFont="1" applyFill="1" applyBorder="1" applyAlignment="1">
      <alignment horizontal="right" vertical="top"/>
    </xf>
    <xf numFmtId="0" fontId="28" fillId="26" borderId="136" xfId="0" quotePrefix="1" applyFont="1" applyFill="1" applyBorder="1" applyAlignment="1">
      <alignment horizontal="right" vertical="top"/>
    </xf>
    <xf numFmtId="0" fontId="28" fillId="26" borderId="140" xfId="0" quotePrefix="1" applyFont="1" applyFill="1" applyBorder="1" applyAlignment="1">
      <alignment horizontal="right" vertical="top"/>
    </xf>
    <xf numFmtId="0" fontId="28" fillId="28" borderId="136" xfId="0" quotePrefix="1" applyFont="1" applyFill="1" applyBorder="1" applyAlignment="1">
      <alignment horizontal="right" vertical="top"/>
    </xf>
    <xf numFmtId="0" fontId="28" fillId="28" borderId="140" xfId="0" quotePrefix="1" applyFont="1" applyFill="1" applyBorder="1" applyAlignment="1">
      <alignment horizontal="right" vertical="top"/>
    </xf>
    <xf numFmtId="0" fontId="28" fillId="26" borderId="108" xfId="0" quotePrefix="1" applyFont="1" applyFill="1" applyBorder="1" applyAlignment="1">
      <alignment horizontal="right" vertical="top"/>
    </xf>
    <xf numFmtId="0" fontId="62" fillId="26" borderId="111" xfId="0" applyFont="1" applyFill="1" applyBorder="1" applyAlignment="1">
      <alignment vertical="center"/>
    </xf>
    <xf numFmtId="0" fontId="27" fillId="30" borderId="151" xfId="0" applyFont="1" applyFill="1" applyBorder="1" applyAlignment="1">
      <alignment vertical="center"/>
    </xf>
    <xf numFmtId="0" fontId="28" fillId="0" borderId="59" xfId="0" applyFont="1" applyBorder="1" applyAlignment="1">
      <alignment horizontal="right"/>
    </xf>
    <xf numFmtId="0" fontId="28" fillId="0" borderId="143" xfId="0" applyFont="1" applyBorder="1" applyAlignment="1">
      <alignment horizontal="right"/>
    </xf>
    <xf numFmtId="0" fontId="28" fillId="0" borderId="93" xfId="0" applyFont="1" applyBorder="1" applyAlignment="1">
      <alignment horizontal="right"/>
    </xf>
    <xf numFmtId="0" fontId="28" fillId="0" borderId="145" xfId="0" applyFont="1" applyBorder="1" applyAlignment="1">
      <alignment horizontal="right"/>
    </xf>
    <xf numFmtId="1" fontId="28" fillId="32" borderId="136" xfId="0" quotePrefix="1" applyNumberFormat="1" applyFont="1" applyFill="1" applyBorder="1" applyAlignment="1">
      <alignment horizontal="right" vertical="top"/>
    </xf>
    <xf numFmtId="0" fontId="55" fillId="11" borderId="12" xfId="0" applyFont="1" applyFill="1" applyBorder="1" applyAlignment="1">
      <alignment vertical="center"/>
    </xf>
    <xf numFmtId="0" fontId="32" fillId="6" borderId="152" xfId="0" applyFont="1" applyFill="1" applyBorder="1" applyAlignment="1">
      <alignment horizontal="center" vertical="center" wrapText="1"/>
    </xf>
    <xf numFmtId="1" fontId="28" fillId="16" borderId="115" xfId="0" applyNumberFormat="1" applyFont="1" applyFill="1" applyBorder="1" applyAlignment="1">
      <alignment horizontal="right" vertical="center"/>
    </xf>
    <xf numFmtId="1" fontId="28" fillId="16" borderId="136" xfId="0" applyNumberFormat="1" applyFont="1" applyFill="1" applyBorder="1" applyAlignment="1">
      <alignment horizontal="right" vertical="center"/>
    </xf>
    <xf numFmtId="0" fontId="28" fillId="28" borderId="96" xfId="0" quotePrefix="1" applyFont="1" applyFill="1" applyBorder="1" applyAlignment="1">
      <alignment horizontal="right" vertical="top"/>
    </xf>
    <xf numFmtId="0" fontId="28" fillId="28" borderId="95" xfId="0" quotePrefix="1" applyFont="1" applyFill="1" applyBorder="1" applyAlignment="1">
      <alignment horizontal="right" vertical="top"/>
    </xf>
    <xf numFmtId="0" fontId="28" fillId="28" borderId="61" xfId="0" quotePrefix="1" applyFont="1" applyFill="1" applyBorder="1" applyAlignment="1">
      <alignment horizontal="right" vertical="top"/>
    </xf>
    <xf numFmtId="0" fontId="28" fillId="28" borderId="60" xfId="0" quotePrefix="1" applyFont="1" applyFill="1" applyBorder="1" applyAlignment="1">
      <alignment horizontal="right" vertical="top"/>
    </xf>
    <xf numFmtId="3" fontId="27" fillId="30" borderId="151" xfId="0" applyNumberFormat="1" applyFont="1" applyFill="1" applyBorder="1" applyAlignment="1">
      <alignment horizontal="right" vertical="center"/>
    </xf>
    <xf numFmtId="0" fontId="28" fillId="0" borderId="113" xfId="0" applyFont="1" applyBorder="1" applyAlignment="1">
      <alignment horizontal="right"/>
    </xf>
    <xf numFmtId="3" fontId="28" fillId="0" borderId="106" xfId="0" applyNumberFormat="1" applyFont="1" applyBorder="1" applyAlignment="1">
      <alignment horizontal="right"/>
    </xf>
    <xf numFmtId="0" fontId="28" fillId="0" borderId="106" xfId="0" applyFont="1" applyBorder="1" applyAlignment="1">
      <alignment horizontal="right"/>
    </xf>
    <xf numFmtId="0" fontId="28" fillId="11" borderId="59" xfId="0" applyFont="1" applyFill="1" applyBorder="1" applyAlignment="1">
      <alignment vertical="center"/>
    </xf>
    <xf numFmtId="0" fontId="28" fillId="11" borderId="67" xfId="0" applyFont="1" applyFill="1" applyBorder="1" applyAlignment="1">
      <alignment vertical="center"/>
    </xf>
    <xf numFmtId="0" fontId="28" fillId="11" borderId="54" xfId="0" applyFont="1" applyFill="1" applyBorder="1" applyAlignment="1">
      <alignment vertical="center"/>
    </xf>
    <xf numFmtId="1" fontId="28" fillId="16" borderId="96" xfId="0" applyNumberFormat="1" applyFont="1" applyFill="1" applyBorder="1" applyAlignment="1">
      <alignment horizontal="right" vertical="center"/>
    </xf>
    <xf numFmtId="1" fontId="28" fillId="32" borderId="108" xfId="0" quotePrefix="1" applyNumberFormat="1" applyFont="1" applyFill="1" applyBorder="1" applyAlignment="1">
      <alignment horizontal="right" vertical="top"/>
    </xf>
    <xf numFmtId="1" fontId="0" fillId="0" borderId="0" xfId="0" applyNumberFormat="1"/>
    <xf numFmtId="0" fontId="60" fillId="25" borderId="162" xfId="0" quotePrefix="1" applyFont="1" applyFill="1" applyBorder="1" applyAlignment="1">
      <alignment horizontal="center"/>
    </xf>
    <xf numFmtId="0" fontId="13" fillId="28" borderId="164" xfId="0" applyFont="1" applyFill="1" applyBorder="1"/>
    <xf numFmtId="0" fontId="13" fillId="26" borderId="164" xfId="0" applyFont="1" applyFill="1" applyBorder="1"/>
    <xf numFmtId="3" fontId="13" fillId="26" borderId="164" xfId="0" applyNumberFormat="1" applyFont="1" applyFill="1" applyBorder="1"/>
    <xf numFmtId="3" fontId="13" fillId="28" borderId="164" xfId="0" applyNumberFormat="1" applyFont="1" applyFill="1" applyBorder="1"/>
    <xf numFmtId="49" fontId="64" fillId="0" borderId="0" xfId="0" applyNumberFormat="1" applyFont="1"/>
    <xf numFmtId="0" fontId="64" fillId="0" borderId="0" xfId="0" applyFont="1"/>
    <xf numFmtId="0" fontId="20" fillId="0" borderId="0" xfId="0" applyFont="1"/>
    <xf numFmtId="0" fontId="20" fillId="0" borderId="0" xfId="0" quotePrefix="1" applyFont="1"/>
    <xf numFmtId="0" fontId="32" fillId="0" borderId="18" xfId="0" applyFont="1" applyBorder="1"/>
    <xf numFmtId="0" fontId="32" fillId="0" borderId="2" xfId="0" applyFont="1" applyBorder="1"/>
    <xf numFmtId="0" fontId="32" fillId="0" borderId="2" xfId="0" quotePrefix="1" applyFont="1" applyBorder="1"/>
    <xf numFmtId="0" fontId="63" fillId="10" borderId="59" xfId="0" applyFont="1" applyFill="1" applyBorder="1" applyAlignment="1">
      <alignment vertical="center"/>
    </xf>
    <xf numFmtId="0" fontId="63" fillId="10" borderId="18" xfId="0" applyFont="1" applyFill="1" applyBorder="1" applyAlignment="1">
      <alignment vertical="center"/>
    </xf>
    <xf numFmtId="0" fontId="63" fillId="10" borderId="143" xfId="0" applyFont="1" applyFill="1" applyBorder="1" applyAlignment="1">
      <alignment vertical="center"/>
    </xf>
    <xf numFmtId="0" fontId="63" fillId="10" borderId="26" xfId="0" applyFont="1" applyFill="1" applyBorder="1" applyAlignment="1">
      <alignment vertical="center"/>
    </xf>
    <xf numFmtId="0" fontId="63" fillId="10" borderId="2" xfId="0" applyFont="1" applyFill="1" applyBorder="1" applyAlignment="1">
      <alignment vertical="center"/>
    </xf>
    <xf numFmtId="0" fontId="63" fillId="10" borderId="144" xfId="0" applyFont="1" applyFill="1" applyBorder="1" applyAlignment="1">
      <alignment vertical="center"/>
    </xf>
    <xf numFmtId="0" fontId="45" fillId="0" borderId="165" xfId="0" applyFont="1" applyBorder="1"/>
    <xf numFmtId="0" fontId="45" fillId="33" borderId="165" xfId="0" applyFont="1" applyFill="1" applyBorder="1"/>
    <xf numFmtId="0" fontId="27" fillId="29" borderId="8" xfId="0" applyFont="1" applyFill="1" applyBorder="1" applyProtection="1">
      <protection locked="0"/>
    </xf>
    <xf numFmtId="38" fontId="27" fillId="29" borderId="8" xfId="0" applyNumberFormat="1" applyFont="1" applyFill="1" applyBorder="1" applyAlignment="1">
      <alignment vertical="center" wrapText="1"/>
    </xf>
    <xf numFmtId="2" fontId="27" fillId="29" borderId="144" xfId="0" applyNumberFormat="1" applyFont="1" applyFill="1" applyBorder="1" applyAlignment="1" applyProtection="1">
      <alignment horizontal="right"/>
      <protection locked="0"/>
    </xf>
    <xf numFmtId="49" fontId="20" fillId="0" borderId="0" xfId="0" applyNumberFormat="1" applyFont="1"/>
    <xf numFmtId="2" fontId="45" fillId="0" borderId="165" xfId="0" applyNumberFormat="1" applyFont="1" applyBorder="1"/>
    <xf numFmtId="2" fontId="45" fillId="33" borderId="165" xfId="0" applyNumberFormat="1" applyFont="1" applyFill="1" applyBorder="1"/>
    <xf numFmtId="0" fontId="0" fillId="0" borderId="0" xfId="0" applyAlignment="1">
      <alignment horizontal="right"/>
    </xf>
    <xf numFmtId="0" fontId="32" fillId="0" borderId="0" xfId="0" applyFont="1" applyAlignment="1">
      <alignment horizontal="right"/>
    </xf>
    <xf numFmtId="170" fontId="17" fillId="6" borderId="2" xfId="0" applyNumberFormat="1" applyFont="1" applyFill="1" applyBorder="1" applyAlignment="1">
      <alignment horizontal="center" vertical="center" wrapText="1"/>
    </xf>
    <xf numFmtId="170" fontId="17" fillId="6" borderId="4" xfId="0" applyNumberFormat="1" applyFont="1" applyFill="1" applyBorder="1" applyAlignment="1">
      <alignment horizontal="center" vertical="center" wrapText="1"/>
    </xf>
    <xf numFmtId="0" fontId="31" fillId="12" borderId="3" xfId="0" applyFont="1" applyFill="1" applyBorder="1" applyAlignment="1">
      <alignment vertical="center"/>
    </xf>
    <xf numFmtId="170" fontId="13" fillId="0" borderId="0" xfId="0" applyNumberFormat="1" applyFont="1"/>
    <xf numFmtId="0" fontId="13" fillId="0" borderId="0" xfId="0" applyFont="1"/>
    <xf numFmtId="3" fontId="13" fillId="0" borderId="0" xfId="0" applyNumberFormat="1" applyFont="1"/>
    <xf numFmtId="0" fontId="13" fillId="28" borderId="118" xfId="0" quotePrefix="1" applyFont="1" applyFill="1" applyBorder="1" applyAlignment="1">
      <alignment horizontal="right" vertical="top"/>
    </xf>
    <xf numFmtId="0" fontId="13" fillId="26" borderId="1" xfId="0" quotePrefix="1" applyFont="1" applyFill="1" applyBorder="1" applyAlignment="1">
      <alignment horizontal="right" vertical="top"/>
    </xf>
    <xf numFmtId="0" fontId="13" fillId="28" borderId="1" xfId="0" quotePrefix="1" applyFont="1" applyFill="1" applyBorder="1" applyAlignment="1">
      <alignment horizontal="right" vertical="top"/>
    </xf>
    <xf numFmtId="0" fontId="13" fillId="28" borderId="14" xfId="0" quotePrefix="1" applyFont="1" applyFill="1" applyBorder="1" applyAlignment="1">
      <alignment horizontal="right" vertical="top"/>
    </xf>
    <xf numFmtId="0" fontId="13" fillId="28" borderId="11" xfId="0" quotePrefix="1" applyFont="1" applyFill="1" applyBorder="1" applyAlignment="1">
      <alignment horizontal="right" vertical="top"/>
    </xf>
    <xf numFmtId="0" fontId="13" fillId="7" borderId="0" xfId="0" applyFont="1" applyFill="1"/>
    <xf numFmtId="0" fontId="13" fillId="0" borderId="59" xfId="0" applyFont="1" applyBorder="1"/>
    <xf numFmtId="0" fontId="13" fillId="0" borderId="93" xfId="0" applyFont="1" applyBorder="1"/>
    <xf numFmtId="3" fontId="13" fillId="0" borderId="154" xfId="0" applyNumberFormat="1" applyFont="1" applyBorder="1"/>
    <xf numFmtId="3" fontId="13" fillId="0" borderId="136" xfId="0" applyNumberFormat="1" applyFont="1" applyBorder="1"/>
    <xf numFmtId="3" fontId="13" fillId="0" borderId="1" xfId="0" applyNumberFormat="1" applyFont="1" applyBorder="1"/>
    <xf numFmtId="3" fontId="13" fillId="0" borderId="19" xfId="0" applyNumberFormat="1" applyFont="1" applyBorder="1"/>
    <xf numFmtId="172" fontId="13" fillId="0" borderId="140" xfId="0" applyNumberFormat="1" applyFont="1" applyBorder="1"/>
    <xf numFmtId="4" fontId="13" fillId="0" borderId="107" xfId="0" applyNumberFormat="1" applyFont="1" applyBorder="1"/>
    <xf numFmtId="0" fontId="13" fillId="14" borderId="0" xfId="0" applyFont="1" applyFill="1"/>
    <xf numFmtId="0" fontId="45" fillId="33" borderId="0" xfId="0" applyFont="1" applyFill="1"/>
    <xf numFmtId="2" fontId="45" fillId="33" borderId="0" xfId="0" applyNumberFormat="1" applyFont="1" applyFill="1"/>
    <xf numFmtId="0" fontId="45" fillId="0" borderId="0" xfId="0" applyFont="1"/>
    <xf numFmtId="2" fontId="45" fillId="0" borderId="0" xfId="0" applyNumberFormat="1" applyFont="1"/>
    <xf numFmtId="0" fontId="35" fillId="2" borderId="7" xfId="0" applyFont="1" applyFill="1" applyBorder="1" applyAlignment="1">
      <alignment horizontal="left" vertical="center" wrapText="1"/>
    </xf>
    <xf numFmtId="0" fontId="45" fillId="33" borderId="9" xfId="0" applyFont="1" applyFill="1" applyBorder="1"/>
    <xf numFmtId="0" fontId="45" fillId="0" borderId="9" xfId="0" applyFont="1" applyBorder="1"/>
    <xf numFmtId="0" fontId="45" fillId="0" borderId="8" xfId="0" applyFont="1" applyBorder="1"/>
    <xf numFmtId="2" fontId="45" fillId="33" borderId="59" xfId="0" applyNumberFormat="1" applyFont="1" applyFill="1" applyBorder="1"/>
    <xf numFmtId="2" fontId="45" fillId="33" borderId="18" xfId="0" applyNumberFormat="1" applyFont="1" applyFill="1" applyBorder="1"/>
    <xf numFmtId="0" fontId="45" fillId="33" borderId="18" xfId="0" applyFont="1" applyFill="1" applyBorder="1"/>
    <xf numFmtId="2" fontId="45" fillId="0" borderId="93" xfId="0" applyNumberFormat="1" applyFont="1" applyBorder="1"/>
    <xf numFmtId="2" fontId="45" fillId="33" borderId="93" xfId="0" applyNumberFormat="1" applyFont="1" applyFill="1" applyBorder="1"/>
    <xf numFmtId="2" fontId="45" fillId="0" borderId="2" xfId="0" applyNumberFormat="1" applyFont="1" applyBorder="1"/>
    <xf numFmtId="0" fontId="45" fillId="0" borderId="2" xfId="0" applyFont="1" applyBorder="1"/>
    <xf numFmtId="0" fontId="0" fillId="35" borderId="0" xfId="0" applyFill="1"/>
    <xf numFmtId="0" fontId="35" fillId="35" borderId="0" xfId="0" applyFont="1" applyFill="1"/>
    <xf numFmtId="0" fontId="60" fillId="25" borderId="162" xfId="0" quotePrefix="1" applyFont="1" applyFill="1" applyBorder="1" applyAlignment="1">
      <alignment horizontal="center" wrapText="1"/>
    </xf>
    <xf numFmtId="0" fontId="60" fillId="25" borderId="163" xfId="0" quotePrefix="1" applyFont="1" applyFill="1" applyBorder="1" applyAlignment="1">
      <alignment horizontal="center" wrapText="1"/>
    </xf>
    <xf numFmtId="166" fontId="28" fillId="13" borderId="0" xfId="0" applyNumberFormat="1" applyFont="1" applyFill="1"/>
    <xf numFmtId="0" fontId="12" fillId="28" borderId="164" xfId="0" applyFont="1" applyFill="1" applyBorder="1"/>
    <xf numFmtId="0" fontId="12" fillId="26" borderId="164" xfId="0" applyFont="1" applyFill="1" applyBorder="1"/>
    <xf numFmtId="4" fontId="32" fillId="0" borderId="0" xfId="0" applyNumberFormat="1" applyFont="1"/>
    <xf numFmtId="4" fontId="39" fillId="0" borderId="0" xfId="0" applyNumberFormat="1" applyFont="1"/>
    <xf numFmtId="0" fontId="32" fillId="0" borderId="2" xfId="0" applyFont="1" applyBorder="1" applyProtection="1">
      <protection locked="0"/>
    </xf>
    <xf numFmtId="0" fontId="32" fillId="0" borderId="144" xfId="0" applyFont="1" applyBorder="1" applyProtection="1">
      <protection locked="0"/>
    </xf>
    <xf numFmtId="0" fontId="0" fillId="34" borderId="0" xfId="0" applyFill="1"/>
    <xf numFmtId="0" fontId="0" fillId="19" borderId="0" xfId="0" applyFill="1"/>
    <xf numFmtId="3" fontId="0" fillId="19" borderId="0" xfId="0" applyNumberFormat="1" applyFill="1"/>
    <xf numFmtId="0" fontId="66" fillId="0" borderId="0" xfId="0" applyFont="1"/>
    <xf numFmtId="0" fontId="15" fillId="34" borderId="0" xfId="0" applyFont="1" applyFill="1"/>
    <xf numFmtId="10" fontId="0" fillId="0" borderId="0" xfId="0" applyNumberFormat="1"/>
    <xf numFmtId="3" fontId="13" fillId="16" borderId="118" xfId="0" applyNumberFormat="1" applyFont="1" applyFill="1" applyBorder="1" applyAlignment="1">
      <alignment vertical="center"/>
    </xf>
    <xf numFmtId="3" fontId="28" fillId="16" borderId="114" xfId="0" applyNumberFormat="1" applyFont="1" applyFill="1" applyBorder="1" applyAlignment="1">
      <alignment vertical="center"/>
    </xf>
    <xf numFmtId="3" fontId="13" fillId="32" borderId="1" xfId="0" quotePrefix="1" applyNumberFormat="1" applyFont="1" applyFill="1" applyBorder="1" applyAlignment="1">
      <alignment horizontal="right" vertical="top"/>
    </xf>
    <xf numFmtId="3" fontId="28" fillId="32" borderId="140" xfId="0" quotePrefix="1" applyNumberFormat="1" applyFont="1" applyFill="1" applyBorder="1" applyAlignment="1">
      <alignment horizontal="right" vertical="top"/>
    </xf>
    <xf numFmtId="3" fontId="13" fillId="16" borderId="1" xfId="0" applyNumberFormat="1" applyFont="1" applyFill="1" applyBorder="1" applyAlignment="1">
      <alignment vertical="center"/>
    </xf>
    <xf numFmtId="3" fontId="28" fillId="16" borderId="140" xfId="0" applyNumberFormat="1" applyFont="1" applyFill="1" applyBorder="1" applyAlignment="1">
      <alignment vertical="center"/>
    </xf>
    <xf numFmtId="3" fontId="13" fillId="16" borderId="14" xfId="0" applyNumberFormat="1" applyFont="1" applyFill="1" applyBorder="1" applyAlignment="1">
      <alignment vertical="center"/>
    </xf>
    <xf numFmtId="3" fontId="13" fillId="32" borderId="111" xfId="0" quotePrefix="1" applyNumberFormat="1" applyFont="1" applyFill="1" applyBorder="1" applyAlignment="1">
      <alignment horizontal="right" vertical="top"/>
    </xf>
    <xf numFmtId="3" fontId="27" fillId="30" borderId="107" xfId="0" applyNumberFormat="1" applyFont="1" applyFill="1" applyBorder="1" applyAlignment="1">
      <alignment vertical="center"/>
    </xf>
    <xf numFmtId="0" fontId="0" fillId="0" borderId="18" xfId="0" applyBorder="1"/>
    <xf numFmtId="0" fontId="0" fillId="0" borderId="93" xfId="0" applyBorder="1"/>
    <xf numFmtId="3" fontId="55" fillId="16" borderId="1" xfId="0" applyNumberFormat="1" applyFont="1" applyFill="1" applyBorder="1" applyAlignment="1">
      <alignment horizontal="left" vertical="center"/>
    </xf>
    <xf numFmtId="3" fontId="55" fillId="32" borderId="1" xfId="0" quotePrefix="1" applyNumberFormat="1" applyFont="1" applyFill="1" applyBorder="1" applyAlignment="1">
      <alignment horizontal="left" vertical="top"/>
    </xf>
    <xf numFmtId="0" fontId="0" fillId="0" borderId="59" xfId="0" applyBorder="1"/>
    <xf numFmtId="0" fontId="0" fillId="0" borderId="143" xfId="0" applyBorder="1"/>
    <xf numFmtId="3" fontId="0" fillId="19" borderId="145" xfId="0" applyNumberFormat="1" applyFill="1" applyBorder="1"/>
    <xf numFmtId="3" fontId="0" fillId="19" borderId="26" xfId="0" applyNumberFormat="1" applyFill="1" applyBorder="1"/>
    <xf numFmtId="3" fontId="0" fillId="19" borderId="2" xfId="0" applyNumberFormat="1" applyFill="1" applyBorder="1"/>
    <xf numFmtId="3" fontId="56" fillId="29" borderId="144" xfId="0" applyNumberFormat="1" applyFont="1" applyFill="1" applyBorder="1"/>
    <xf numFmtId="0" fontId="15" fillId="0" borderId="59" xfId="0" applyFont="1" applyBorder="1"/>
    <xf numFmtId="3" fontId="0" fillId="19" borderId="143" xfId="0" applyNumberFormat="1" applyFill="1" applyBorder="1"/>
    <xf numFmtId="0" fontId="0" fillId="0" borderId="26" xfId="0" applyBorder="1"/>
    <xf numFmtId="167" fontId="0" fillId="0" borderId="0" xfId="0" applyNumberFormat="1"/>
    <xf numFmtId="167" fontId="0" fillId="0" borderId="145" xfId="0" applyNumberFormat="1" applyBorder="1"/>
    <xf numFmtId="167" fontId="0" fillId="0" borderId="2" xfId="0" applyNumberFormat="1" applyBorder="1"/>
    <xf numFmtId="167" fontId="0" fillId="0" borderId="144" xfId="0" applyNumberFormat="1" applyBorder="1"/>
    <xf numFmtId="10" fontId="0" fillId="0" borderId="18" xfId="0" applyNumberFormat="1" applyBorder="1"/>
    <xf numFmtId="10" fontId="0" fillId="0" borderId="143" xfId="0" applyNumberFormat="1" applyBorder="1"/>
    <xf numFmtId="167" fontId="0" fillId="0" borderId="93" xfId="0" applyNumberFormat="1" applyBorder="1"/>
    <xf numFmtId="0" fontId="0" fillId="0" borderId="145" xfId="0" applyBorder="1"/>
    <xf numFmtId="10" fontId="0" fillId="0" borderId="93" xfId="0" applyNumberFormat="1" applyBorder="1"/>
    <xf numFmtId="0" fontId="15" fillId="0" borderId="145" xfId="0" applyFont="1" applyBorder="1"/>
    <xf numFmtId="10" fontId="15" fillId="0" borderId="93" xfId="0" applyNumberFormat="1" applyFont="1" applyBorder="1"/>
    <xf numFmtId="173" fontId="0" fillId="19" borderId="145" xfId="0" applyNumberFormat="1" applyFill="1" applyBorder="1"/>
    <xf numFmtId="10" fontId="0" fillId="0" borderId="26" xfId="0" applyNumberFormat="1" applyBorder="1"/>
    <xf numFmtId="3" fontId="56" fillId="29" borderId="2" xfId="0" applyNumberFormat="1" applyFont="1" applyFill="1" applyBorder="1"/>
    <xf numFmtId="0" fontId="0" fillId="0" borderId="144" xfId="0" applyBorder="1"/>
    <xf numFmtId="2" fontId="57" fillId="16" borderId="136" xfId="0" applyNumberFormat="1" applyFont="1" applyFill="1" applyBorder="1" applyAlignment="1">
      <alignment horizontal="left" vertical="center"/>
    </xf>
    <xf numFmtId="2" fontId="57" fillId="32" borderId="136" xfId="0" quotePrefix="1" applyNumberFormat="1" applyFont="1" applyFill="1" applyBorder="1" applyAlignment="1">
      <alignment horizontal="left" vertical="top"/>
    </xf>
    <xf numFmtId="10" fontId="0" fillId="0" borderId="2" xfId="0" applyNumberFormat="1" applyBorder="1"/>
    <xf numFmtId="173" fontId="0" fillId="19" borderId="144" xfId="0" applyNumberFormat="1" applyFill="1" applyBorder="1"/>
    <xf numFmtId="0" fontId="11" fillId="0" borderId="0" xfId="0" applyFont="1"/>
    <xf numFmtId="3" fontId="55" fillId="16" borderId="15" xfId="0" applyNumberFormat="1" applyFont="1" applyFill="1" applyBorder="1" applyAlignment="1">
      <alignment horizontal="left" vertical="center"/>
    </xf>
    <xf numFmtId="3" fontId="55" fillId="32" borderId="15" xfId="0" quotePrefix="1" applyNumberFormat="1" applyFont="1" applyFill="1" applyBorder="1" applyAlignment="1">
      <alignment horizontal="left" vertical="top"/>
    </xf>
    <xf numFmtId="10" fontId="32" fillId="0" borderId="0" xfId="0" applyNumberFormat="1" applyFont="1" applyProtection="1">
      <protection locked="0"/>
    </xf>
    <xf numFmtId="0" fontId="32" fillId="13" borderId="65" xfId="0" applyFont="1" applyFill="1" applyBorder="1"/>
    <xf numFmtId="1" fontId="35" fillId="18" borderId="106" xfId="0" applyNumberFormat="1" applyFont="1" applyFill="1" applyBorder="1" applyAlignment="1">
      <alignment horizontal="center"/>
    </xf>
    <xf numFmtId="0" fontId="45" fillId="33" borderId="7" xfId="0" applyFont="1" applyFill="1" applyBorder="1"/>
    <xf numFmtId="0" fontId="45" fillId="0" borderId="7" xfId="0" applyFont="1" applyBorder="1"/>
    <xf numFmtId="2" fontId="45" fillId="0" borderId="18" xfId="0" applyNumberFormat="1" applyFont="1" applyBorder="1"/>
    <xf numFmtId="0" fontId="45" fillId="0" borderId="18" xfId="0" applyFont="1" applyBorder="1"/>
    <xf numFmtId="0" fontId="61" fillId="5" borderId="0" xfId="0" applyFont="1" applyFill="1" applyAlignment="1">
      <alignment vertical="center"/>
    </xf>
    <xf numFmtId="0" fontId="31" fillId="12" borderId="3" xfId="0" applyFont="1" applyFill="1" applyBorder="1" applyAlignment="1">
      <alignment horizontal="center" vertical="center"/>
    </xf>
    <xf numFmtId="0" fontId="61" fillId="11" borderId="0" xfId="0" applyFont="1" applyFill="1" applyAlignment="1">
      <alignment vertical="center"/>
    </xf>
    <xf numFmtId="0" fontId="42" fillId="0" borderId="0" xfId="0" applyFont="1" applyAlignment="1">
      <alignment horizontal="center"/>
    </xf>
    <xf numFmtId="0" fontId="56" fillId="29" borderId="0" xfId="0" applyFont="1" applyFill="1"/>
    <xf numFmtId="168" fontId="61" fillId="11" borderId="0" xfId="0" applyNumberFormat="1" applyFont="1" applyFill="1" applyAlignment="1">
      <alignment vertical="center"/>
    </xf>
    <xf numFmtId="168" fontId="61" fillId="5" borderId="0" xfId="0" applyNumberFormat="1" applyFont="1" applyFill="1" applyAlignment="1">
      <alignment vertical="center"/>
    </xf>
    <xf numFmtId="173" fontId="13" fillId="16" borderId="118" xfId="0" applyNumberFormat="1" applyFont="1" applyFill="1" applyBorder="1" applyAlignment="1">
      <alignment vertical="center"/>
    </xf>
    <xf numFmtId="173" fontId="13" fillId="32" borderId="1" xfId="0" quotePrefix="1" applyNumberFormat="1" applyFont="1" applyFill="1" applyBorder="1" applyAlignment="1">
      <alignment horizontal="right" vertical="top"/>
    </xf>
    <xf numFmtId="173" fontId="13" fillId="16" borderId="1" xfId="0" applyNumberFormat="1" applyFont="1" applyFill="1" applyBorder="1" applyAlignment="1">
      <alignment vertical="center"/>
    </xf>
    <xf numFmtId="3" fontId="13" fillId="16" borderId="114" xfId="0" applyNumberFormat="1" applyFont="1" applyFill="1" applyBorder="1" applyAlignment="1">
      <alignment vertical="center"/>
    </xf>
    <xf numFmtId="3" fontId="13" fillId="32" borderId="140" xfId="0" quotePrefix="1" applyNumberFormat="1" applyFont="1" applyFill="1" applyBorder="1" applyAlignment="1">
      <alignment horizontal="right" vertical="top"/>
    </xf>
    <xf numFmtId="3" fontId="13" fillId="16" borderId="140" xfId="0" applyNumberFormat="1" applyFont="1" applyFill="1" applyBorder="1" applyAlignment="1">
      <alignment vertical="center"/>
    </xf>
    <xf numFmtId="1" fontId="28" fillId="16" borderId="61" xfId="0" applyNumberFormat="1" applyFont="1" applyFill="1" applyBorder="1" applyAlignment="1">
      <alignment horizontal="right" vertical="center"/>
    </xf>
    <xf numFmtId="173" fontId="13" fillId="16" borderId="11" xfId="0" applyNumberFormat="1" applyFont="1" applyFill="1" applyBorder="1" applyAlignment="1">
      <alignment vertical="center"/>
    </xf>
    <xf numFmtId="3" fontId="13" fillId="16" borderId="11" xfId="0" applyNumberFormat="1" applyFont="1" applyFill="1" applyBorder="1" applyAlignment="1">
      <alignment vertical="center"/>
    </xf>
    <xf numFmtId="3" fontId="13" fillId="16" borderId="60" xfId="0" applyNumberFormat="1" applyFont="1" applyFill="1" applyBorder="1" applyAlignment="1">
      <alignment vertical="center"/>
    </xf>
    <xf numFmtId="173" fontId="27" fillId="30" borderId="158" xfId="0" applyNumberFormat="1" applyFont="1" applyFill="1" applyBorder="1" applyAlignment="1">
      <alignment vertical="center"/>
    </xf>
    <xf numFmtId="0" fontId="15" fillId="35" borderId="0" xfId="0" applyFont="1" applyFill="1"/>
    <xf numFmtId="0" fontId="28" fillId="15" borderId="0" xfId="0" applyFont="1" applyFill="1"/>
    <xf numFmtId="11" fontId="28" fillId="15" borderId="0" xfId="0" applyNumberFormat="1" applyFont="1" applyFill="1"/>
    <xf numFmtId="167" fontId="27" fillId="29" borderId="0" xfId="0" applyNumberFormat="1" applyFont="1" applyFill="1"/>
    <xf numFmtId="0" fontId="56" fillId="25" borderId="169" xfId="0" applyFont="1" applyFill="1" applyBorder="1" applyAlignment="1">
      <alignment wrapText="1"/>
    </xf>
    <xf numFmtId="168" fontId="27" fillId="29" borderId="0" xfId="0" applyNumberFormat="1" applyFont="1" applyFill="1"/>
    <xf numFmtId="0" fontId="45" fillId="0" borderId="171" xfId="0" applyFont="1" applyBorder="1"/>
    <xf numFmtId="2" fontId="45" fillId="0" borderId="171" xfId="0" applyNumberFormat="1" applyFont="1" applyBorder="1"/>
    <xf numFmtId="0" fontId="10" fillId="0" borderId="0" xfId="0" applyFont="1"/>
    <xf numFmtId="0" fontId="9" fillId="0" borderId="0" xfId="0" applyFont="1"/>
    <xf numFmtId="10" fontId="9" fillId="35" borderId="0" xfId="1" applyNumberFormat="1" applyFont="1" applyFill="1"/>
    <xf numFmtId="168" fontId="35" fillId="35" borderId="0" xfId="0" applyNumberFormat="1" applyFont="1" applyFill="1"/>
    <xf numFmtId="2" fontId="35" fillId="35" borderId="0" xfId="0" applyNumberFormat="1" applyFont="1" applyFill="1"/>
    <xf numFmtId="167" fontId="35" fillId="35" borderId="0" xfId="0" applyNumberFormat="1" applyFont="1" applyFill="1"/>
    <xf numFmtId="1" fontId="35" fillId="35" borderId="0" xfId="0" applyNumberFormat="1" applyFont="1" applyFill="1"/>
    <xf numFmtId="169" fontId="35" fillId="35" borderId="0" xfId="0" applyNumberFormat="1" applyFont="1" applyFill="1"/>
    <xf numFmtId="0" fontId="35" fillId="5" borderId="0" xfId="0" applyFont="1" applyFill="1"/>
    <xf numFmtId="10" fontId="9" fillId="5" borderId="0" xfId="1" applyNumberFormat="1" applyFont="1" applyFill="1"/>
    <xf numFmtId="168" fontId="35" fillId="5" borderId="0" xfId="0" applyNumberFormat="1" applyFont="1" applyFill="1"/>
    <xf numFmtId="2" fontId="35" fillId="0" borderId="0" xfId="0" applyNumberFormat="1" applyFont="1"/>
    <xf numFmtId="0" fontId="9" fillId="5" borderId="0" xfId="0" applyFont="1" applyFill="1"/>
    <xf numFmtId="169" fontId="9" fillId="5" borderId="0" xfId="0" applyNumberFormat="1" applyFont="1" applyFill="1"/>
    <xf numFmtId="169" fontId="35" fillId="0" borderId="0" xfId="0" applyNumberFormat="1" applyFont="1"/>
    <xf numFmtId="0" fontId="9" fillId="34" borderId="0" xfId="0" applyFont="1" applyFill="1"/>
    <xf numFmtId="10" fontId="9" fillId="34" borderId="0" xfId="0" applyNumberFormat="1" applyFont="1" applyFill="1"/>
    <xf numFmtId="168" fontId="9" fillId="34" borderId="0" xfId="0" applyNumberFormat="1" applyFont="1" applyFill="1"/>
    <xf numFmtId="0" fontId="35" fillId="34" borderId="0" xfId="0" applyFont="1" applyFill="1"/>
    <xf numFmtId="0" fontId="9" fillId="35" borderId="0" xfId="0" applyFont="1" applyFill="1"/>
    <xf numFmtId="0" fontId="35" fillId="6" borderId="2" xfId="0" applyFont="1" applyFill="1" applyBorder="1" applyAlignment="1">
      <alignment horizontal="left" vertical="center" wrapText="1"/>
    </xf>
    <xf numFmtId="0" fontId="35" fillId="6" borderId="4" xfId="0" applyFont="1" applyFill="1" applyBorder="1" applyAlignment="1">
      <alignment horizontal="left" vertical="center" wrapText="1"/>
    </xf>
    <xf numFmtId="0" fontId="31" fillId="13" borderId="0" xfId="0" applyFont="1" applyFill="1"/>
    <xf numFmtId="0" fontId="35" fillId="13" borderId="0" xfId="0" applyFont="1" applyFill="1"/>
    <xf numFmtId="2" fontId="32" fillId="0" borderId="26" xfId="0" applyNumberFormat="1" applyFont="1" applyBorder="1" applyProtection="1">
      <protection locked="0"/>
    </xf>
    <xf numFmtId="166" fontId="39" fillId="0" borderId="2" xfId="0" applyNumberFormat="1" applyFont="1" applyBorder="1" applyProtection="1">
      <protection locked="0"/>
    </xf>
    <xf numFmtId="2" fontId="32" fillId="0" borderId="2" xfId="0" applyNumberFormat="1" applyFont="1" applyBorder="1" applyProtection="1">
      <protection locked="0"/>
    </xf>
    <xf numFmtId="166" fontId="32" fillId="0" borderId="2" xfId="0" applyNumberFormat="1" applyFont="1" applyBorder="1" applyProtection="1">
      <protection locked="0"/>
    </xf>
    <xf numFmtId="0" fontId="28" fillId="36" borderId="6" xfId="0" applyFont="1" applyFill="1" applyBorder="1" applyAlignment="1">
      <alignment horizontal="left" vertical="center"/>
    </xf>
    <xf numFmtId="0" fontId="28" fillId="36" borderId="6" xfId="0" applyFont="1" applyFill="1" applyBorder="1" applyAlignment="1" applyProtection="1">
      <alignment horizontal="left" vertical="center"/>
      <protection locked="0"/>
    </xf>
    <xf numFmtId="0" fontId="28" fillId="18" borderId="4" xfId="0" applyFont="1" applyFill="1" applyBorder="1"/>
    <xf numFmtId="0" fontId="0" fillId="0" borderId="148" xfId="0" applyBorder="1"/>
    <xf numFmtId="0" fontId="0" fillId="0" borderId="1" xfId="0" applyBorder="1"/>
    <xf numFmtId="0" fontId="0" fillId="0" borderId="13" xfId="0" applyBorder="1"/>
    <xf numFmtId="0" fontId="72" fillId="0" borderId="0" xfId="0" applyFont="1" applyAlignment="1">
      <alignment horizontal="left"/>
    </xf>
    <xf numFmtId="170" fontId="72" fillId="0" borderId="0" xfId="0" applyNumberFormat="1" applyFont="1"/>
    <xf numFmtId="170" fontId="0" fillId="0" borderId="0" xfId="0" applyNumberFormat="1"/>
    <xf numFmtId="0" fontId="16" fillId="2" borderId="3" xfId="0" applyFont="1" applyFill="1" applyBorder="1" applyAlignment="1">
      <alignment horizontal="left"/>
    </xf>
    <xf numFmtId="0" fontId="16" fillId="2" borderId="5" xfId="0" applyFont="1" applyFill="1" applyBorder="1" applyAlignment="1">
      <alignment horizontal="left"/>
    </xf>
    <xf numFmtId="0" fontId="16" fillId="2" borderId="3" xfId="0" applyFont="1" applyFill="1" applyBorder="1" applyAlignment="1">
      <alignment horizontal="center"/>
    </xf>
    <xf numFmtId="170" fontId="16" fillId="2" borderId="3" xfId="0" applyNumberFormat="1" applyFont="1" applyFill="1" applyBorder="1" applyAlignment="1">
      <alignment horizontal="left"/>
    </xf>
    <xf numFmtId="0" fontId="73" fillId="37" borderId="4" xfId="4" applyFont="1" applyBorder="1" applyAlignment="1">
      <alignment horizontal="left" wrapText="1"/>
    </xf>
    <xf numFmtId="170" fontId="73" fillId="37" borderId="4" xfId="4" applyNumberFormat="1" applyFont="1" applyBorder="1" applyAlignment="1">
      <alignment horizontal="left" wrapText="1"/>
    </xf>
    <xf numFmtId="0" fontId="73" fillId="37" borderId="4" xfId="4" applyFont="1" applyBorder="1" applyAlignment="1">
      <alignment horizontal="center" wrapText="1"/>
    </xf>
    <xf numFmtId="170" fontId="73" fillId="37" borderId="4" xfId="4" applyNumberFormat="1" applyFont="1" applyBorder="1" applyAlignment="1">
      <alignment horizontal="center" wrapText="1"/>
    </xf>
    <xf numFmtId="170" fontId="15" fillId="0" borderId="0" xfId="0" applyNumberFormat="1" applyFont="1"/>
    <xf numFmtId="0" fontId="55" fillId="0" borderId="0" xfId="0" applyFont="1"/>
    <xf numFmtId="170" fontId="55" fillId="0" borderId="0" xfId="0" applyNumberFormat="1" applyFont="1"/>
    <xf numFmtId="170" fontId="55" fillId="0" borderId="0" xfId="0" applyNumberFormat="1" applyFont="1" applyAlignment="1">
      <alignment wrapText="1"/>
    </xf>
    <xf numFmtId="167" fontId="45" fillId="0" borderId="154" xfId="0" applyNumberFormat="1" applyFont="1" applyBorder="1" applyAlignment="1">
      <alignment horizontal="left"/>
    </xf>
    <xf numFmtId="0" fontId="15" fillId="0" borderId="0" xfId="0" applyFont="1" applyAlignment="1">
      <alignment horizontal="right"/>
    </xf>
    <xf numFmtId="0" fontId="45" fillId="0" borderId="139" xfId="0" applyFont="1" applyBorder="1"/>
    <xf numFmtId="167" fontId="45" fillId="0" borderId="1" xfId="0" applyNumberFormat="1" applyFont="1" applyBorder="1" applyAlignment="1">
      <alignment horizontal="left"/>
    </xf>
    <xf numFmtId="167" fontId="45" fillId="0" borderId="136" xfId="0" applyNumberFormat="1" applyFont="1" applyBorder="1" applyAlignment="1">
      <alignment horizontal="left"/>
    </xf>
    <xf numFmtId="167" fontId="45" fillId="0" borderId="140" xfId="0" applyNumberFormat="1" applyFont="1" applyBorder="1" applyAlignment="1">
      <alignment horizontal="left"/>
    </xf>
    <xf numFmtId="167" fontId="45" fillId="0" borderId="136" xfId="0" applyNumberFormat="1" applyFont="1" applyBorder="1"/>
    <xf numFmtId="167" fontId="13" fillId="0" borderId="0" xfId="0" applyNumberFormat="1" applyFont="1"/>
    <xf numFmtId="2" fontId="70" fillId="35" borderId="0" xfId="0" applyNumberFormat="1" applyFont="1" applyFill="1"/>
    <xf numFmtId="166" fontId="39" fillId="2" borderId="151" xfId="0" applyNumberFormat="1" applyFont="1" applyFill="1" applyBorder="1" applyAlignment="1" applyProtection="1">
      <alignment horizontal="left" vertical="center" wrapText="1"/>
      <protection locked="0"/>
    </xf>
    <xf numFmtId="166" fontId="71" fillId="0" borderId="153" xfId="0" applyNumberFormat="1" applyFont="1" applyBorder="1" applyAlignment="1">
      <alignment horizontal="left"/>
    </xf>
    <xf numFmtId="166" fontId="71" fillId="0" borderId="142" xfId="0" applyNumberFormat="1" applyFont="1" applyBorder="1" applyAlignment="1">
      <alignment horizontal="left"/>
    </xf>
    <xf numFmtId="0" fontId="0" fillId="5" borderId="0" xfId="0" applyFill="1"/>
    <xf numFmtId="2" fontId="0" fillId="5" borderId="0" xfId="0" applyNumberFormat="1" applyFill="1"/>
    <xf numFmtId="1" fontId="37" fillId="18" borderId="106" xfId="0" applyNumberFormat="1" applyFont="1" applyFill="1" applyBorder="1" applyAlignment="1">
      <alignment horizontal="center"/>
    </xf>
    <xf numFmtId="0" fontId="7" fillId="0" borderId="0" xfId="0" applyFont="1"/>
    <xf numFmtId="10" fontId="75" fillId="35" borderId="0" xfId="1" applyNumberFormat="1" applyFont="1" applyFill="1"/>
    <xf numFmtId="0" fontId="76" fillId="0" borderId="0" xfId="0" applyFont="1"/>
    <xf numFmtId="0" fontId="7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8" fillId="0" borderId="1" xfId="0" applyFont="1" applyBorder="1" applyAlignment="1">
      <alignment vertical="center"/>
    </xf>
    <xf numFmtId="0" fontId="77" fillId="10" borderId="153" xfId="0" applyFont="1" applyFill="1" applyBorder="1" applyAlignment="1">
      <alignment vertical="center"/>
    </xf>
    <xf numFmtId="0" fontId="15" fillId="0" borderId="1" xfId="0" applyFont="1" applyBorder="1" applyAlignment="1">
      <alignment vertical="center"/>
    </xf>
    <xf numFmtId="17" fontId="76" fillId="0" borderId="1" xfId="0" applyNumberFormat="1" applyFont="1" applyBorder="1"/>
    <xf numFmtId="0" fontId="76" fillId="0" borderId="1" xfId="0" applyFont="1" applyBorder="1"/>
    <xf numFmtId="0" fontId="77" fillId="11" borderId="154" xfId="0" applyFont="1" applyFill="1" applyBorder="1" applyAlignment="1">
      <alignment vertical="center"/>
    </xf>
    <xf numFmtId="15" fontId="76" fillId="0" borderId="1" xfId="0" applyNumberFormat="1" applyFont="1" applyBorder="1"/>
    <xf numFmtId="165" fontId="15" fillId="12" borderId="154" xfId="0" applyNumberFormat="1" applyFont="1" applyFill="1" applyBorder="1" applyAlignment="1">
      <alignment vertical="center"/>
    </xf>
    <xf numFmtId="0" fontId="79" fillId="24" borderId="154" xfId="0" applyFont="1" applyFill="1" applyBorder="1" applyAlignment="1">
      <alignment vertical="center"/>
    </xf>
    <xf numFmtId="0" fontId="76" fillId="31" borderId="142" xfId="0" applyFont="1" applyFill="1" applyBorder="1"/>
    <xf numFmtId="0" fontId="80" fillId="0" borderId="14" xfId="0" applyFont="1" applyBorder="1"/>
    <xf numFmtId="0" fontId="76" fillId="0" borderId="149" xfId="0" quotePrefix="1" applyFont="1" applyBorder="1"/>
    <xf numFmtId="0" fontId="80" fillId="0" borderId="13" xfId="0" applyFont="1" applyBorder="1"/>
    <xf numFmtId="0" fontId="76" fillId="0" borderId="17" xfId="0" applyFont="1" applyBorder="1"/>
    <xf numFmtId="0" fontId="80" fillId="0" borderId="148" xfId="0" applyFont="1" applyBorder="1"/>
    <xf numFmtId="0" fontId="76" fillId="0" borderId="147" xfId="0" applyFont="1" applyBorder="1" applyAlignment="1">
      <alignment horizontal="left"/>
    </xf>
    <xf numFmtId="0" fontId="78" fillId="0" borderId="14" xfId="0" applyFont="1" applyBorder="1" applyAlignment="1">
      <alignment vertical="center"/>
    </xf>
    <xf numFmtId="0" fontId="78" fillId="0" borderId="149" xfId="0" applyFont="1" applyBorder="1" applyAlignment="1">
      <alignment vertical="center"/>
    </xf>
    <xf numFmtId="0" fontId="80" fillId="0" borderId="0" xfId="0" applyFont="1"/>
    <xf numFmtId="0" fontId="78" fillId="0" borderId="108" xfId="0" applyFont="1" applyBorder="1" applyAlignment="1">
      <alignment vertical="center"/>
    </xf>
    <xf numFmtId="0" fontId="78" fillId="0" borderId="111" xfId="0" applyFont="1" applyBorder="1" applyAlignment="1">
      <alignment vertical="center"/>
    </xf>
    <xf numFmtId="0" fontId="78" fillId="0" borderId="107" xfId="0" applyFont="1" applyBorder="1" applyAlignment="1">
      <alignment vertical="center"/>
    </xf>
    <xf numFmtId="0" fontId="15" fillId="0" borderId="115" xfId="0" applyFont="1" applyBorder="1" applyAlignment="1">
      <alignment vertical="center"/>
    </xf>
    <xf numFmtId="0" fontId="15" fillId="0" borderId="118" xfId="0" applyFont="1" applyBorder="1" applyAlignment="1">
      <alignment vertical="center"/>
    </xf>
    <xf numFmtId="17" fontId="76" fillId="0" borderId="118" xfId="0" applyNumberFormat="1" applyFont="1" applyBorder="1"/>
    <xf numFmtId="0" fontId="76" fillId="0" borderId="114" xfId="0" applyFont="1" applyBorder="1"/>
    <xf numFmtId="0" fontId="15" fillId="0" borderId="136" xfId="0" applyFont="1" applyBorder="1" applyAlignment="1">
      <alignment vertical="center"/>
    </xf>
    <xf numFmtId="0" fontId="76" fillId="0" borderId="140" xfId="0" applyFont="1" applyBorder="1"/>
    <xf numFmtId="0" fontId="15" fillId="0" borderId="61" xfId="0" applyFont="1" applyBorder="1" applyAlignment="1">
      <alignment vertical="center"/>
    </xf>
    <xf numFmtId="0" fontId="15" fillId="0" borderId="11" xfId="0" applyFont="1" applyBorder="1" applyAlignment="1">
      <alignment vertical="center"/>
    </xf>
    <xf numFmtId="17" fontId="76" fillId="0" borderId="11" xfId="0" applyNumberFormat="1" applyFont="1" applyBorder="1"/>
    <xf numFmtId="0" fontId="76" fillId="0" borderId="60" xfId="0" applyFont="1" applyBorder="1"/>
    <xf numFmtId="17" fontId="76" fillId="0" borderId="0" xfId="0" applyNumberFormat="1" applyFont="1" applyAlignment="1">
      <alignment horizontal="right"/>
    </xf>
    <xf numFmtId="0" fontId="78" fillId="0" borderId="55" xfId="0" applyFont="1" applyBorder="1" applyAlignment="1">
      <alignment vertical="center"/>
    </xf>
    <xf numFmtId="0" fontId="78" fillId="0" borderId="58" xfId="0" applyFont="1" applyBorder="1" applyAlignment="1">
      <alignment vertical="center"/>
    </xf>
    <xf numFmtId="0" fontId="78" fillId="0" borderId="56" xfId="0" applyFont="1" applyBorder="1" applyAlignment="1">
      <alignment vertical="center"/>
    </xf>
    <xf numFmtId="0" fontId="78" fillId="0" borderId="54" xfId="0" applyFont="1" applyBorder="1" applyAlignment="1">
      <alignment vertical="center"/>
    </xf>
    <xf numFmtId="0" fontId="80" fillId="0" borderId="1" xfId="0" applyFont="1" applyBorder="1"/>
    <xf numFmtId="0" fontId="76" fillId="0" borderId="1" xfId="0" quotePrefix="1" applyFont="1" applyBorder="1"/>
    <xf numFmtId="0" fontId="76" fillId="0" borderId="1" xfId="0" applyFont="1" applyBorder="1" applyAlignment="1">
      <alignment horizontal="right"/>
    </xf>
    <xf numFmtId="17" fontId="76" fillId="0" borderId="1" xfId="0" applyNumberFormat="1" applyFont="1" applyBorder="1" applyAlignment="1">
      <alignment horizontal="right"/>
    </xf>
    <xf numFmtId="0" fontId="54" fillId="0" borderId="1" xfId="3" applyBorder="1" applyAlignment="1">
      <alignment horizontal="left"/>
    </xf>
    <xf numFmtId="0" fontId="80" fillId="0" borderId="136" xfId="0" applyFont="1" applyBorder="1"/>
    <xf numFmtId="0" fontId="76" fillId="0" borderId="140" xfId="0" applyFont="1" applyBorder="1" applyAlignment="1">
      <alignment horizontal="right"/>
    </xf>
    <xf numFmtId="0" fontId="76" fillId="0" borderId="0" xfId="0" applyFont="1" applyAlignment="1">
      <alignment horizontal="right"/>
    </xf>
    <xf numFmtId="0" fontId="76" fillId="0" borderId="0" xfId="0" applyFont="1" applyAlignment="1">
      <alignment horizontal="left"/>
    </xf>
    <xf numFmtId="17" fontId="76" fillId="0" borderId="1" xfId="0" quotePrefix="1" applyNumberFormat="1" applyFont="1" applyBorder="1"/>
    <xf numFmtId="15" fontId="76" fillId="0" borderId="1" xfId="0" applyNumberFormat="1" applyFont="1" applyBorder="1" applyAlignment="1">
      <alignment horizontal="left"/>
    </xf>
    <xf numFmtId="0" fontId="55" fillId="0" borderId="166" xfId="0" applyFont="1" applyBorder="1" applyAlignment="1">
      <alignment vertical="center"/>
    </xf>
    <xf numFmtId="0" fontId="55" fillId="0" borderId="167" xfId="0" applyFont="1" applyBorder="1" applyAlignment="1">
      <alignment vertical="center"/>
    </xf>
    <xf numFmtId="0" fontId="55" fillId="0" borderId="168" xfId="0" applyFont="1" applyBorder="1" applyAlignment="1">
      <alignment vertical="center"/>
    </xf>
    <xf numFmtId="170" fontId="29" fillId="9" borderId="0" xfId="2" applyNumberFormat="1" applyAlignment="1">
      <alignment vertical="center"/>
    </xf>
    <xf numFmtId="0" fontId="6" fillId="34" borderId="0" xfId="0" applyFont="1" applyFill="1"/>
    <xf numFmtId="170" fontId="13" fillId="14" borderId="0" xfId="0" applyNumberFormat="1" applyFont="1" applyFill="1"/>
    <xf numFmtId="0" fontId="83" fillId="0" borderId="0" xfId="0" applyFont="1"/>
    <xf numFmtId="0" fontId="33" fillId="0" borderId="0" xfId="0" applyFont="1"/>
    <xf numFmtId="0" fontId="29" fillId="9" borderId="0" xfId="2"/>
    <xf numFmtId="170" fontId="29" fillId="9" borderId="0" xfId="2" applyNumberFormat="1" applyBorder="1" applyAlignment="1" applyProtection="1"/>
    <xf numFmtId="2" fontId="55" fillId="5" borderId="0" xfId="0" applyNumberFormat="1" applyFont="1" applyFill="1"/>
    <xf numFmtId="166" fontId="9" fillId="5" borderId="0" xfId="0" applyNumberFormat="1" applyFont="1" applyFill="1"/>
    <xf numFmtId="166" fontId="35" fillId="35" borderId="0" xfId="0" applyNumberFormat="1" applyFont="1" applyFill="1"/>
    <xf numFmtId="169" fontId="13" fillId="0" borderId="0" xfId="0" applyNumberFormat="1" applyFont="1"/>
    <xf numFmtId="2" fontId="45" fillId="40" borderId="0" xfId="0" applyNumberFormat="1" applyFont="1" applyFill="1" applyAlignment="1">
      <alignment horizontal="left"/>
    </xf>
    <xf numFmtId="2" fontId="32" fillId="40" borderId="145" xfId="0" applyNumberFormat="1" applyFont="1" applyFill="1" applyBorder="1" applyAlignment="1" applyProtection="1">
      <alignment horizontal="left" vertical="center" wrapText="1"/>
      <protection locked="0"/>
    </xf>
    <xf numFmtId="168" fontId="32" fillId="0" borderId="2" xfId="0" applyNumberFormat="1" applyFont="1" applyBorder="1" applyProtection="1">
      <protection locked="0"/>
    </xf>
    <xf numFmtId="167" fontId="32" fillId="0" borderId="2" xfId="0" applyNumberFormat="1" applyFont="1" applyBorder="1" applyProtection="1">
      <protection locked="0"/>
    </xf>
    <xf numFmtId="173" fontId="61" fillId="11" borderId="0" xfId="0" applyNumberFormat="1" applyFont="1" applyFill="1" applyAlignment="1">
      <alignment vertical="center"/>
    </xf>
    <xf numFmtId="173" fontId="61" fillId="5" borderId="0" xfId="0" applyNumberFormat="1" applyFont="1" applyFill="1" applyAlignment="1">
      <alignment vertical="center"/>
    </xf>
    <xf numFmtId="173" fontId="68" fillId="29" borderId="0" xfId="0" applyNumberFormat="1" applyFont="1" applyFill="1" applyAlignment="1">
      <alignment vertical="center"/>
    </xf>
    <xf numFmtId="0" fontId="5" fillId="0" borderId="0" xfId="0" applyFont="1"/>
    <xf numFmtId="38" fontId="22" fillId="0" borderId="0" xfId="0" applyNumberFormat="1" applyFont="1" applyAlignment="1">
      <alignment horizontal="left" wrapText="1"/>
    </xf>
    <xf numFmtId="38" fontId="23" fillId="0" borderId="20" xfId="0" applyNumberFormat="1" applyFont="1" applyBorder="1" applyAlignment="1">
      <alignment horizontal="center" wrapText="1"/>
    </xf>
    <xf numFmtId="38" fontId="23" fillId="0" borderId="26" xfId="0" applyNumberFormat="1" applyFont="1" applyBorder="1" applyAlignment="1">
      <alignment horizontal="center" textRotation="90" wrapText="1"/>
    </xf>
    <xf numFmtId="38" fontId="21" fillId="0" borderId="27" xfId="0" applyNumberFormat="1" applyFont="1" applyBorder="1" applyAlignment="1">
      <alignment horizontal="left"/>
    </xf>
    <xf numFmtId="38" fontId="21" fillId="0" borderId="37" xfId="0" applyNumberFormat="1" applyFont="1" applyBorder="1" applyAlignment="1">
      <alignment horizontal="left"/>
    </xf>
    <xf numFmtId="38" fontId="21" fillId="0" borderId="46" xfId="0" applyNumberFormat="1" applyFont="1" applyBorder="1" applyAlignment="1">
      <alignment horizontal="left"/>
    </xf>
    <xf numFmtId="38" fontId="23" fillId="0" borderId="18" xfId="0" applyNumberFormat="1" applyFont="1" applyBorder="1" applyAlignment="1">
      <alignment horizontal="left"/>
    </xf>
    <xf numFmtId="38" fontId="23" fillId="0" borderId="4" xfId="0" applyNumberFormat="1" applyFont="1" applyBorder="1" applyAlignment="1">
      <alignment horizontal="left"/>
    </xf>
    <xf numFmtId="38" fontId="21" fillId="0" borderId="69" xfId="0" applyNumberFormat="1" applyFont="1" applyBorder="1" applyAlignment="1">
      <alignment horizontal="left"/>
    </xf>
    <xf numFmtId="38" fontId="21" fillId="0" borderId="79" xfId="0" applyNumberFormat="1" applyFont="1" applyBorder="1" applyAlignment="1">
      <alignment horizontal="left"/>
    </xf>
    <xf numFmtId="38" fontId="23" fillId="0" borderId="0" xfId="0" applyNumberFormat="1" applyFont="1" applyAlignment="1">
      <alignment horizontal="left"/>
    </xf>
    <xf numFmtId="38" fontId="23" fillId="0" borderId="3" xfId="0" applyNumberFormat="1" applyFont="1" applyBorder="1" applyAlignment="1">
      <alignment horizontal="left"/>
    </xf>
    <xf numFmtId="38" fontId="23" fillId="0" borderId="106" xfId="0" applyNumberFormat="1" applyFont="1" applyBorder="1" applyAlignment="1">
      <alignment horizontal="left"/>
    </xf>
    <xf numFmtId="38" fontId="21" fillId="0" borderId="3" xfId="0" applyNumberFormat="1" applyFont="1" applyBorder="1" applyAlignment="1">
      <alignment horizontal="left"/>
    </xf>
    <xf numFmtId="38" fontId="21" fillId="0" borderId="121" xfId="0" applyNumberFormat="1" applyFont="1" applyBorder="1" applyAlignment="1">
      <alignment horizontal="left" vertical="top" wrapText="1"/>
    </xf>
    <xf numFmtId="38" fontId="21" fillId="0" borderId="37" xfId="0" applyNumberFormat="1" applyFont="1" applyBorder="1" applyAlignment="1">
      <alignment horizontal="left" vertical="top" wrapText="1"/>
    </xf>
    <xf numFmtId="38" fontId="21" fillId="0" borderId="79" xfId="0" applyNumberFormat="1" applyFont="1" applyBorder="1" applyAlignment="1">
      <alignment horizontal="left" vertical="top" wrapText="1"/>
    </xf>
    <xf numFmtId="38" fontId="21" fillId="0" borderId="69" xfId="0" applyNumberFormat="1" applyFont="1" applyBorder="1" applyAlignment="1">
      <alignment horizontal="left" vertical="top" wrapText="1"/>
    </xf>
    <xf numFmtId="38" fontId="23" fillId="0" borderId="5" xfId="0" applyNumberFormat="1" applyFont="1" applyBorder="1" applyAlignment="1">
      <alignment horizontal="left"/>
    </xf>
    <xf numFmtId="38" fontId="85" fillId="0" borderId="37" xfId="0" applyNumberFormat="1" applyFont="1" applyBorder="1" applyAlignment="1">
      <alignment horizontal="left"/>
    </xf>
    <xf numFmtId="38" fontId="85" fillId="0" borderId="79" xfId="0" applyNumberFormat="1" applyFont="1" applyBorder="1" applyAlignment="1">
      <alignment horizontal="left"/>
    </xf>
    <xf numFmtId="38" fontId="85" fillId="0" borderId="69" xfId="0" applyNumberFormat="1" applyFont="1" applyBorder="1" applyAlignment="1">
      <alignment horizontal="left"/>
    </xf>
    <xf numFmtId="38" fontId="85" fillId="0" borderId="121" xfId="0" applyNumberFormat="1" applyFont="1" applyBorder="1" applyAlignment="1">
      <alignment horizontal="left"/>
    </xf>
    <xf numFmtId="164" fontId="23" fillId="0" borderId="98" xfId="5" applyFont="1" applyFill="1" applyBorder="1" applyAlignment="1">
      <alignment horizontal="center"/>
    </xf>
    <xf numFmtId="171" fontId="23" fillId="0" borderId="0" xfId="0" applyNumberFormat="1" applyFont="1" applyAlignment="1">
      <alignment horizontal="left"/>
    </xf>
    <xf numFmtId="171" fontId="23" fillId="8" borderId="0" xfId="0" applyNumberFormat="1" applyFont="1" applyFill="1" applyAlignment="1">
      <alignment horizontal="left"/>
    </xf>
    <xf numFmtId="38" fontId="23" fillId="8" borderId="0" xfId="0" applyNumberFormat="1" applyFont="1" applyFill="1"/>
    <xf numFmtId="38" fontId="23" fillId="24" borderId="161" xfId="0" applyNumberFormat="1" applyFont="1" applyFill="1" applyBorder="1" applyAlignment="1">
      <alignment horizontal="center" textRotation="90" wrapText="1"/>
    </xf>
    <xf numFmtId="38" fontId="23" fillId="24" borderId="24" xfId="0" applyNumberFormat="1" applyFont="1" applyFill="1" applyBorder="1" applyAlignment="1">
      <alignment horizontal="center" textRotation="90" wrapText="1"/>
    </xf>
    <xf numFmtId="38" fontId="23" fillId="24" borderId="2" xfId="0" applyNumberFormat="1" applyFont="1" applyFill="1" applyBorder="1" applyAlignment="1">
      <alignment horizontal="center" textRotation="90" wrapText="1"/>
    </xf>
    <xf numFmtId="38" fontId="23" fillId="20" borderId="21" xfId="0" applyNumberFormat="1" applyFont="1" applyFill="1" applyBorder="1" applyAlignment="1">
      <alignment horizontal="center" textRotation="90" wrapText="1"/>
    </xf>
    <xf numFmtId="38" fontId="23" fillId="20" borderId="22" xfId="0" applyNumberFormat="1" applyFont="1" applyFill="1" applyBorder="1" applyAlignment="1">
      <alignment horizontal="center" textRotation="90" wrapText="1"/>
    </xf>
    <xf numFmtId="38" fontId="23" fillId="20" borderId="23" xfId="0" applyNumberFormat="1" applyFont="1" applyFill="1" applyBorder="1" applyAlignment="1">
      <alignment horizontal="center" textRotation="90" wrapText="1"/>
    </xf>
    <xf numFmtId="38" fontId="23" fillId="20" borderId="25" xfId="0" applyNumberFormat="1" applyFont="1" applyFill="1" applyBorder="1" applyAlignment="1">
      <alignment horizontal="center" textRotation="90" wrapText="1"/>
    </xf>
    <xf numFmtId="169" fontId="14" fillId="0" borderId="0" xfId="0" applyNumberFormat="1" applyFont="1"/>
    <xf numFmtId="0" fontId="4" fillId="0" borderId="0" xfId="0" applyFont="1"/>
    <xf numFmtId="168" fontId="35" fillId="0" borderId="0" xfId="0" applyNumberFormat="1" applyFont="1"/>
    <xf numFmtId="1" fontId="35" fillId="0" borderId="0" xfId="0" applyNumberFormat="1" applyFont="1"/>
    <xf numFmtId="2" fontId="9" fillId="34" borderId="0" xfId="0" applyNumberFormat="1" applyFont="1" applyFill="1"/>
    <xf numFmtId="1" fontId="9" fillId="34" borderId="0" xfId="0" applyNumberFormat="1" applyFont="1" applyFill="1"/>
    <xf numFmtId="168" fontId="13" fillId="0" borderId="0" xfId="1" applyNumberFormat="1" applyFont="1"/>
    <xf numFmtId="2" fontId="9" fillId="5" borderId="0" xfId="0" applyNumberFormat="1" applyFont="1" applyFill="1"/>
    <xf numFmtId="2" fontId="14" fillId="0" borderId="0" xfId="0" applyNumberFormat="1" applyFont="1"/>
    <xf numFmtId="9" fontId="35" fillId="35" borderId="0" xfId="1" applyFont="1" applyFill="1"/>
    <xf numFmtId="9" fontId="70" fillId="0" borderId="0" xfId="1" applyFont="1"/>
    <xf numFmtId="9" fontId="35" fillId="0" borderId="0" xfId="1" applyFont="1"/>
    <xf numFmtId="9" fontId="70" fillId="35" borderId="0" xfId="1" applyFont="1" applyFill="1"/>
    <xf numFmtId="9" fontId="9" fillId="34" borderId="0" xfId="1" applyFont="1" applyFill="1" applyBorder="1"/>
    <xf numFmtId="9" fontId="14" fillId="0" borderId="0" xfId="1" applyFont="1"/>
    <xf numFmtId="2" fontId="35" fillId="5" borderId="0" xfId="0" applyNumberFormat="1" applyFont="1" applyFill="1"/>
    <xf numFmtId="9" fontId="35" fillId="5" borderId="0" xfId="1" applyFont="1" applyFill="1"/>
    <xf numFmtId="0" fontId="4" fillId="5" borderId="0" xfId="0" applyFont="1" applyFill="1"/>
    <xf numFmtId="168" fontId="4" fillId="5" borderId="0" xfId="0" applyNumberFormat="1" applyFont="1" applyFill="1"/>
    <xf numFmtId="169" fontId="4" fillId="5" borderId="0" xfId="0" applyNumberFormat="1" applyFont="1" applyFill="1"/>
    <xf numFmtId="4" fontId="35" fillId="5" borderId="0" xfId="0" applyNumberFormat="1" applyFont="1" applyFill="1" applyAlignment="1">
      <alignment horizontal="right"/>
    </xf>
    <xf numFmtId="4" fontId="35" fillId="35" borderId="0" xfId="0" applyNumberFormat="1" applyFont="1" applyFill="1" applyAlignment="1">
      <alignment horizontal="right"/>
    </xf>
    <xf numFmtId="0" fontId="35" fillId="35" borderId="0" xfId="0" applyFont="1" applyFill="1" applyAlignment="1">
      <alignment horizontal="right"/>
    </xf>
    <xf numFmtId="168" fontId="35" fillId="35" borderId="0" xfId="0" applyNumberFormat="1" applyFont="1" applyFill="1" applyAlignment="1">
      <alignment horizontal="right"/>
    </xf>
    <xf numFmtId="0" fontId="35" fillId="35" borderId="0" xfId="0" applyFont="1" applyFill="1" applyAlignment="1">
      <alignment horizontal="left"/>
    </xf>
    <xf numFmtId="174" fontId="35" fillId="35" borderId="0" xfId="0" applyNumberFormat="1" applyFont="1" applyFill="1" applyAlignment="1">
      <alignment horizontal="right"/>
    </xf>
    <xf numFmtId="3" fontId="35" fillId="35" borderId="0" xfId="0" applyNumberFormat="1" applyFont="1" applyFill="1" applyAlignment="1">
      <alignment horizontal="right"/>
    </xf>
    <xf numFmtId="173" fontId="35" fillId="35" borderId="0" xfId="0" applyNumberFormat="1" applyFont="1" applyFill="1" applyAlignment="1">
      <alignment horizontal="right"/>
    </xf>
    <xf numFmtId="2" fontId="35" fillId="5" borderId="0" xfId="0" applyNumberFormat="1" applyFont="1" applyFill="1" applyAlignment="1">
      <alignment horizontal="left"/>
    </xf>
    <xf numFmtId="2" fontId="35" fillId="5" borderId="0" xfId="0" applyNumberFormat="1" applyFont="1" applyFill="1" applyAlignment="1">
      <alignment horizontal="right"/>
    </xf>
    <xf numFmtId="0" fontId="35" fillId="5" borderId="0" xfId="0" applyFont="1" applyFill="1" applyAlignment="1">
      <alignment horizontal="right"/>
    </xf>
    <xf numFmtId="168" fontId="35" fillId="5" borderId="0" xfId="0" applyNumberFormat="1" applyFont="1" applyFill="1" applyAlignment="1">
      <alignment horizontal="right"/>
    </xf>
    <xf numFmtId="174" fontId="35" fillId="5" borderId="0" xfId="0" applyNumberFormat="1" applyFont="1" applyFill="1" applyAlignment="1">
      <alignment horizontal="right"/>
    </xf>
    <xf numFmtId="173" fontId="35" fillId="5" borderId="0" xfId="0" applyNumberFormat="1" applyFont="1" applyFill="1" applyAlignment="1">
      <alignment horizontal="right"/>
    </xf>
    <xf numFmtId="0" fontId="35" fillId="0" borderId="0" xfId="0" applyFont="1" applyAlignment="1">
      <alignment horizontal="center"/>
    </xf>
    <xf numFmtId="2" fontId="35" fillId="35" borderId="0" xfId="0" applyNumberFormat="1" applyFont="1" applyFill="1" applyAlignment="1">
      <alignment horizontal="right"/>
    </xf>
    <xf numFmtId="2" fontId="65" fillId="29" borderId="146" xfId="0" applyNumberFormat="1" applyFont="1" applyFill="1" applyBorder="1" applyProtection="1">
      <protection locked="0"/>
    </xf>
    <xf numFmtId="2" fontId="65" fillId="29" borderId="106" xfId="0" applyNumberFormat="1" applyFont="1" applyFill="1" applyBorder="1" applyProtection="1">
      <protection locked="0"/>
    </xf>
    <xf numFmtId="10" fontId="9" fillId="5" borderId="0" xfId="1" applyNumberFormat="1" applyFont="1" applyFill="1" applyBorder="1"/>
    <xf numFmtId="0" fontId="32" fillId="0" borderId="0" xfId="0" applyFont="1" applyAlignment="1">
      <alignment wrapText="1"/>
    </xf>
    <xf numFmtId="0" fontId="71" fillId="27" borderId="108" xfId="0" applyFont="1" applyFill="1" applyBorder="1"/>
    <xf numFmtId="0" fontId="71" fillId="27" borderId="111" xfId="0" applyFont="1" applyFill="1" applyBorder="1"/>
    <xf numFmtId="0" fontId="71" fillId="27" borderId="187" xfId="0" applyFont="1" applyFill="1" applyBorder="1"/>
    <xf numFmtId="0" fontId="71" fillId="28" borderId="115" xfId="0" quotePrefix="1" applyFont="1" applyFill="1" applyBorder="1" applyAlignment="1">
      <alignment horizontal="right" vertical="top"/>
    </xf>
    <xf numFmtId="9" fontId="45" fillId="28" borderId="118" xfId="1" quotePrefix="1" applyFont="1" applyFill="1" applyBorder="1" applyAlignment="1">
      <alignment horizontal="right" vertical="top"/>
    </xf>
    <xf numFmtId="9" fontId="71" fillId="28" borderId="115" xfId="1" quotePrefix="1" applyFont="1" applyFill="1" applyBorder="1" applyAlignment="1">
      <alignment horizontal="right" vertical="top"/>
    </xf>
    <xf numFmtId="0" fontId="71" fillId="26" borderId="136" xfId="0" quotePrefix="1" applyFont="1" applyFill="1" applyBorder="1" applyAlignment="1">
      <alignment horizontal="right" vertical="top"/>
    </xf>
    <xf numFmtId="9" fontId="45" fillId="26" borderId="1" xfId="1" quotePrefix="1" applyFont="1" applyFill="1" applyBorder="1" applyAlignment="1">
      <alignment horizontal="right" vertical="top"/>
    </xf>
    <xf numFmtId="9" fontId="71" fillId="26" borderId="136" xfId="1" quotePrefix="1" applyFont="1" applyFill="1" applyBorder="1" applyAlignment="1">
      <alignment horizontal="right" vertical="top"/>
    </xf>
    <xf numFmtId="0" fontId="71" fillId="28" borderId="136" xfId="0" quotePrefix="1" applyFont="1" applyFill="1" applyBorder="1" applyAlignment="1">
      <alignment horizontal="right" vertical="top"/>
    </xf>
    <xf numFmtId="9" fontId="45" fillId="28" borderId="1" xfId="1" quotePrefix="1" applyFont="1" applyFill="1" applyBorder="1" applyAlignment="1">
      <alignment horizontal="right" vertical="top"/>
    </xf>
    <xf numFmtId="9" fontId="71" fillId="28" borderId="136" xfId="1" quotePrefix="1" applyFont="1" applyFill="1" applyBorder="1" applyAlignment="1">
      <alignment horizontal="right" vertical="top"/>
    </xf>
    <xf numFmtId="175" fontId="45" fillId="28" borderId="118" xfId="5" quotePrefix="1" applyNumberFormat="1" applyFont="1" applyFill="1" applyBorder="1" applyAlignment="1">
      <alignment horizontal="right" vertical="top"/>
    </xf>
    <xf numFmtId="175" fontId="45" fillId="26" borderId="1" xfId="5" quotePrefix="1" applyNumberFormat="1" applyFont="1" applyFill="1" applyBorder="1" applyAlignment="1">
      <alignment horizontal="right" vertical="top"/>
    </xf>
    <xf numFmtId="175" fontId="45" fillId="28" borderId="1" xfId="5" quotePrefix="1" applyNumberFormat="1" applyFont="1" applyFill="1" applyBorder="1" applyAlignment="1">
      <alignment horizontal="right" vertical="top"/>
    </xf>
    <xf numFmtId="165" fontId="35" fillId="0" borderId="0" xfId="0" applyNumberFormat="1" applyFont="1"/>
    <xf numFmtId="10" fontId="45" fillId="23" borderId="154" xfId="1" applyNumberFormat="1" applyFont="1" applyFill="1" applyBorder="1" applyAlignment="1">
      <alignment horizontal="left"/>
    </xf>
    <xf numFmtId="168" fontId="14" fillId="7" borderId="0" xfId="0" applyNumberFormat="1" applyFont="1" applyFill="1"/>
    <xf numFmtId="0" fontId="32" fillId="6" borderId="3" xfId="0" applyFont="1" applyFill="1" applyBorder="1" applyAlignment="1">
      <alignment horizontal="left" vertical="center" wrapText="1"/>
    </xf>
    <xf numFmtId="0" fontId="32" fillId="6" borderId="3" xfId="0" quotePrefix="1" applyFont="1" applyFill="1" applyBorder="1" applyAlignment="1">
      <alignment horizontal="center" vertical="center" wrapText="1"/>
    </xf>
    <xf numFmtId="0" fontId="32" fillId="6" borderId="3" xfId="0" applyFont="1" applyFill="1" applyBorder="1" applyAlignment="1">
      <alignment horizontal="center" vertical="center" wrapText="1"/>
    </xf>
    <xf numFmtId="0" fontId="15" fillId="35" borderId="59" xfId="0" applyFont="1" applyFill="1" applyBorder="1"/>
    <xf numFmtId="0" fontId="15" fillId="35" borderId="18" xfId="0" applyFont="1" applyFill="1" applyBorder="1"/>
    <xf numFmtId="0" fontId="0" fillId="35" borderId="18" xfId="0" applyFill="1" applyBorder="1"/>
    <xf numFmtId="0" fontId="35" fillId="35" borderId="18" xfId="0" applyFont="1" applyFill="1" applyBorder="1"/>
    <xf numFmtId="168" fontId="0" fillId="35" borderId="18" xfId="0" applyNumberFormat="1" applyFill="1" applyBorder="1"/>
    <xf numFmtId="2" fontId="0" fillId="5" borderId="93" xfId="0" applyNumberFormat="1" applyFill="1" applyBorder="1"/>
    <xf numFmtId="0" fontId="0" fillId="35" borderId="93" xfId="0" applyFill="1" applyBorder="1"/>
    <xf numFmtId="0" fontId="0" fillId="35" borderId="26" xfId="0" applyFill="1" applyBorder="1"/>
    <xf numFmtId="0" fontId="0" fillId="35" borderId="2" xfId="0" applyFill="1" applyBorder="1"/>
    <xf numFmtId="168" fontId="0" fillId="35" borderId="2" xfId="0" applyNumberFormat="1" applyFill="1" applyBorder="1"/>
    <xf numFmtId="2" fontId="39" fillId="0" borderId="0" xfId="0" applyNumberFormat="1" applyFont="1" applyProtection="1">
      <protection locked="0"/>
    </xf>
    <xf numFmtId="2" fontId="32" fillId="0" borderId="0" xfId="0" applyNumberFormat="1" applyFont="1"/>
    <xf numFmtId="0" fontId="87" fillId="42" borderId="188" xfId="0" applyFont="1" applyFill="1" applyBorder="1" applyAlignment="1">
      <alignment horizontal="center" vertical="center"/>
    </xf>
    <xf numFmtId="49" fontId="87" fillId="41" borderId="188" xfId="0" applyNumberFormat="1" applyFont="1" applyFill="1" applyBorder="1" applyAlignment="1">
      <alignment horizontal="left" vertical="center"/>
    </xf>
    <xf numFmtId="165" fontId="16" fillId="39" borderId="1" xfId="0" applyNumberFormat="1" applyFont="1" applyFill="1" applyBorder="1" applyAlignment="1">
      <alignment vertical="center"/>
    </xf>
    <xf numFmtId="0" fontId="88" fillId="11" borderId="154" xfId="0" applyFont="1" applyFill="1" applyBorder="1" applyAlignment="1">
      <alignment vertical="center"/>
    </xf>
    <xf numFmtId="166" fontId="88" fillId="11" borderId="154" xfId="1" applyNumberFormat="1" applyFont="1" applyFill="1" applyBorder="1" applyAlignment="1">
      <alignment vertical="center"/>
    </xf>
    <xf numFmtId="0" fontId="32" fillId="11" borderId="151" xfId="0" applyFont="1" applyFill="1" applyBorder="1" applyAlignment="1" applyProtection="1">
      <alignment horizontal="left" vertical="center" wrapText="1"/>
      <protection locked="0"/>
    </xf>
    <xf numFmtId="0" fontId="39" fillId="11" borderId="113" xfId="0" applyFont="1" applyFill="1" applyBorder="1" applyAlignment="1" applyProtection="1">
      <alignment horizontal="center"/>
      <protection locked="0"/>
    </xf>
    <xf numFmtId="0" fontId="39" fillId="11" borderId="106" xfId="0" applyFont="1" applyFill="1" applyBorder="1" applyAlignment="1" applyProtection="1">
      <alignment horizontal="center"/>
      <protection locked="0"/>
    </xf>
    <xf numFmtId="0" fontId="39" fillId="11" borderId="146" xfId="0" applyFont="1" applyFill="1" applyBorder="1" applyAlignment="1" applyProtection="1">
      <alignment horizontal="center"/>
      <protection locked="0"/>
    </xf>
    <xf numFmtId="0" fontId="32" fillId="11" borderId="170" xfId="0" applyFont="1" applyFill="1" applyBorder="1" applyAlignment="1" applyProtection="1">
      <alignment horizontal="left" vertical="center" wrapText="1"/>
      <protection locked="0"/>
    </xf>
    <xf numFmtId="167" fontId="32" fillId="11" borderId="136" xfId="0" applyNumberFormat="1" applyFont="1" applyFill="1" applyBorder="1" applyAlignment="1" applyProtection="1">
      <alignment horizontal="left" vertical="center" wrapText="1"/>
      <protection locked="0"/>
    </xf>
    <xf numFmtId="167" fontId="32" fillId="11" borderId="1" xfId="0" applyNumberFormat="1" applyFont="1" applyFill="1" applyBorder="1" applyAlignment="1" applyProtection="1">
      <alignment horizontal="left" vertical="center" wrapText="1"/>
      <protection locked="0"/>
    </xf>
    <xf numFmtId="167" fontId="32" fillId="11" borderId="140" xfId="0" applyNumberFormat="1" applyFont="1" applyFill="1" applyBorder="1" applyAlignment="1" applyProtection="1">
      <alignment horizontal="left" vertical="center" wrapText="1"/>
      <protection locked="0"/>
    </xf>
    <xf numFmtId="167" fontId="32" fillId="11" borderId="115" xfId="0" applyNumberFormat="1" applyFont="1" applyFill="1" applyBorder="1" applyAlignment="1" applyProtection="1">
      <alignment horizontal="left" vertical="center" wrapText="1"/>
      <protection locked="0"/>
    </xf>
    <xf numFmtId="167" fontId="32" fillId="11" borderId="118" xfId="0" applyNumberFormat="1" applyFont="1" applyFill="1" applyBorder="1" applyAlignment="1" applyProtection="1">
      <alignment horizontal="left" vertical="center" wrapText="1"/>
      <protection locked="0"/>
    </xf>
    <xf numFmtId="167" fontId="32" fillId="11" borderId="114" xfId="0" applyNumberFormat="1" applyFont="1" applyFill="1" applyBorder="1" applyAlignment="1" applyProtection="1">
      <alignment horizontal="left" vertical="center" wrapText="1"/>
      <protection locked="0"/>
    </xf>
    <xf numFmtId="167" fontId="32" fillId="11" borderId="153" xfId="0" applyNumberFormat="1" applyFont="1" applyFill="1" applyBorder="1" applyAlignment="1" applyProtection="1">
      <alignment horizontal="left" vertical="center" wrapText="1"/>
      <protection locked="0"/>
    </xf>
    <xf numFmtId="167" fontId="32" fillId="11" borderId="154" xfId="0" applyNumberFormat="1" applyFont="1" applyFill="1" applyBorder="1" applyAlignment="1" applyProtection="1">
      <alignment horizontal="left" vertical="center" wrapText="1"/>
      <protection locked="0"/>
    </xf>
    <xf numFmtId="0" fontId="45" fillId="34" borderId="139" xfId="0" applyFont="1" applyFill="1" applyBorder="1"/>
    <xf numFmtId="0" fontId="32" fillId="34" borderId="170" xfId="0" applyFont="1" applyFill="1" applyBorder="1" applyAlignment="1" applyProtection="1">
      <alignment horizontal="left" vertical="center" wrapText="1"/>
      <protection locked="0"/>
    </xf>
    <xf numFmtId="165" fontId="32" fillId="12" borderId="154" xfId="0" applyNumberFormat="1" applyFont="1" applyFill="1" applyBorder="1" applyAlignment="1">
      <alignment vertical="center"/>
    </xf>
    <xf numFmtId="0" fontId="32" fillId="0" borderId="170" xfId="0" applyFont="1" applyBorder="1" applyAlignment="1" applyProtection="1">
      <alignment horizontal="left" vertical="center" wrapText="1"/>
      <protection locked="0"/>
    </xf>
    <xf numFmtId="0" fontId="39" fillId="0" borderId="55" xfId="0" applyFont="1" applyBorder="1" applyProtection="1">
      <protection locked="0"/>
    </xf>
    <xf numFmtId="0" fontId="39" fillId="0" borderId="56" xfId="0" applyFont="1" applyBorder="1" applyAlignment="1" applyProtection="1">
      <alignment horizontal="center"/>
      <protection locked="0"/>
    </xf>
    <xf numFmtId="0" fontId="39" fillId="0" borderId="54" xfId="0" applyFont="1" applyBorder="1" applyAlignment="1" applyProtection="1">
      <alignment horizontal="center"/>
      <protection locked="0"/>
    </xf>
    <xf numFmtId="0" fontId="39" fillId="0" borderId="59" xfId="0" applyFont="1" applyBorder="1" applyProtection="1">
      <protection locked="0"/>
    </xf>
    <xf numFmtId="0" fontId="39" fillId="0" borderId="18" xfId="0" applyFont="1" applyBorder="1" applyAlignment="1" applyProtection="1">
      <alignment horizontal="center"/>
      <protection locked="0"/>
    </xf>
    <xf numFmtId="0" fontId="39" fillId="0" borderId="143" xfId="0" applyFont="1" applyBorder="1" applyAlignment="1" applyProtection="1">
      <alignment horizontal="center"/>
      <protection locked="0"/>
    </xf>
    <xf numFmtId="0" fontId="39" fillId="0" borderId="18" xfId="0" applyFont="1" applyBorder="1" applyProtection="1">
      <protection locked="0"/>
    </xf>
    <xf numFmtId="0" fontId="39" fillId="0" borderId="0" xfId="0" applyFont="1" applyAlignment="1" applyProtection="1">
      <alignment horizontal="center"/>
      <protection locked="0"/>
    </xf>
    <xf numFmtId="0" fontId="39" fillId="0" borderId="145" xfId="0" applyFont="1" applyBorder="1" applyAlignment="1" applyProtection="1">
      <alignment horizontal="center"/>
      <protection locked="0"/>
    </xf>
    <xf numFmtId="0" fontId="53" fillId="29" borderId="59" xfId="0" applyFont="1" applyFill="1" applyBorder="1" applyProtection="1">
      <protection locked="0"/>
    </xf>
    <xf numFmtId="0" fontId="65" fillId="29" borderId="18" xfId="0" applyFont="1" applyFill="1" applyBorder="1" applyProtection="1">
      <protection locked="0"/>
    </xf>
    <xf numFmtId="0" fontId="65" fillId="29" borderId="143" xfId="0" applyFont="1" applyFill="1" applyBorder="1" applyProtection="1">
      <protection locked="0"/>
    </xf>
    <xf numFmtId="0" fontId="32" fillId="0" borderId="145" xfId="0" applyFont="1" applyBorder="1" applyProtection="1">
      <protection locked="0"/>
    </xf>
    <xf numFmtId="165" fontId="0" fillId="12" borderId="142" xfId="0" applyNumberFormat="1" applyFill="1" applyBorder="1" applyAlignment="1">
      <alignment vertical="center"/>
    </xf>
    <xf numFmtId="0" fontId="89" fillId="10" borderId="93" xfId="0" applyFont="1" applyFill="1" applyBorder="1" applyAlignment="1">
      <alignment horizontal="center" vertical="center"/>
    </xf>
    <xf numFmtId="0" fontId="45" fillId="33" borderId="59" xfId="0" applyFont="1" applyFill="1" applyBorder="1"/>
    <xf numFmtId="0" fontId="45" fillId="0" borderId="93" xfId="0" applyFont="1" applyBorder="1"/>
    <xf numFmtId="0" fontId="45" fillId="33" borderId="93" xfId="0" applyFont="1" applyFill="1" applyBorder="1"/>
    <xf numFmtId="0" fontId="45" fillId="0" borderId="59" xfId="0" applyFont="1" applyBorder="1"/>
    <xf numFmtId="0" fontId="45" fillId="0" borderId="26" xfId="0" applyFont="1" applyBorder="1"/>
    <xf numFmtId="0" fontId="32" fillId="13" borderId="56" xfId="0" applyFont="1" applyFill="1" applyBorder="1" applyAlignment="1">
      <alignment horizontal="center"/>
    </xf>
    <xf numFmtId="0" fontId="45" fillId="33" borderId="143" xfId="0" applyFont="1" applyFill="1" applyBorder="1"/>
    <xf numFmtId="0" fontId="45" fillId="0" borderId="145" xfId="0" applyFont="1" applyBorder="1"/>
    <xf numFmtId="2" fontId="45" fillId="33" borderId="26" xfId="0" applyNumberFormat="1" applyFont="1" applyFill="1" applyBorder="1"/>
    <xf numFmtId="2" fontId="45" fillId="33" borderId="2" xfId="0" applyNumberFormat="1" applyFont="1" applyFill="1" applyBorder="1"/>
    <xf numFmtId="0" fontId="45" fillId="33" borderId="2" xfId="0" applyFont="1" applyFill="1" applyBorder="1"/>
    <xf numFmtId="0" fontId="45" fillId="33" borderId="144" xfId="0" applyFont="1" applyFill="1" applyBorder="1"/>
    <xf numFmtId="2" fontId="45" fillId="0" borderId="59" xfId="0" applyNumberFormat="1" applyFont="1" applyBorder="1"/>
    <xf numFmtId="0" fontId="45" fillId="0" borderId="143" xfId="0" applyFont="1" applyBorder="1"/>
    <xf numFmtId="0" fontId="45" fillId="33" borderId="145" xfId="0" applyFont="1" applyFill="1" applyBorder="1"/>
    <xf numFmtId="2" fontId="45" fillId="0" borderId="26" xfId="0" applyNumberFormat="1" applyFont="1" applyBorder="1"/>
    <xf numFmtId="0" fontId="45" fillId="0" borderId="144" xfId="0" applyFont="1" applyBorder="1"/>
    <xf numFmtId="166" fontId="45" fillId="0" borderId="68" xfId="1" applyNumberFormat="1" applyFont="1" applyBorder="1" applyAlignment="1">
      <alignment horizontal="center"/>
    </xf>
    <xf numFmtId="166" fontId="88" fillId="11" borderId="139" xfId="1" applyNumberFormat="1" applyFont="1" applyFill="1" applyBorder="1" applyAlignment="1">
      <alignment horizontal="center" vertical="center"/>
    </xf>
    <xf numFmtId="166" fontId="45" fillId="0" borderId="65" xfId="1" applyNumberFormat="1" applyFont="1" applyBorder="1" applyAlignment="1">
      <alignment horizontal="center"/>
    </xf>
    <xf numFmtId="166" fontId="88" fillId="11" borderId="154" xfId="1" applyNumberFormat="1" applyFont="1" applyFill="1" applyBorder="1" applyAlignment="1">
      <alignment horizontal="center" vertical="center"/>
    </xf>
    <xf numFmtId="166" fontId="45" fillId="0" borderId="153" xfId="1" applyNumberFormat="1" applyFont="1" applyBorder="1" applyAlignment="1">
      <alignment horizontal="center"/>
    </xf>
    <xf numFmtId="166" fontId="45" fillId="0" borderId="142" xfId="1" applyNumberFormat="1" applyFont="1" applyBorder="1" applyAlignment="1">
      <alignment horizontal="center"/>
    </xf>
    <xf numFmtId="3" fontId="78" fillId="0" borderId="147" xfId="0" applyNumberFormat="1" applyFont="1" applyBorder="1"/>
    <xf numFmtId="3" fontId="78" fillId="0" borderId="15" xfId="0" applyNumberFormat="1" applyFont="1" applyBorder="1"/>
    <xf numFmtId="175" fontId="71" fillId="11" borderId="0" xfId="5" applyNumberFormat="1" applyFont="1" applyFill="1" applyBorder="1" applyAlignment="1">
      <alignment vertical="center"/>
    </xf>
    <xf numFmtId="175" fontId="71" fillId="5" borderId="0" xfId="5" applyNumberFormat="1" applyFont="1" applyFill="1" applyBorder="1" applyAlignment="1">
      <alignment vertical="center"/>
    </xf>
    <xf numFmtId="175" fontId="78" fillId="24" borderId="142" xfId="5" applyNumberFormat="1" applyFont="1" applyFill="1" applyBorder="1"/>
    <xf numFmtId="17" fontId="76" fillId="0" borderId="0" xfId="0" applyNumberFormat="1" applyFont="1"/>
    <xf numFmtId="0" fontId="80" fillId="19" borderId="136" xfId="0" applyFont="1" applyFill="1" applyBorder="1"/>
    <xf numFmtId="0" fontId="54" fillId="19" borderId="1" xfId="3" applyFill="1" applyBorder="1" applyAlignment="1">
      <alignment horizontal="left"/>
    </xf>
    <xf numFmtId="17" fontId="76" fillId="19" borderId="1" xfId="0" applyNumberFormat="1" applyFont="1" applyFill="1" applyBorder="1" applyAlignment="1">
      <alignment horizontal="right"/>
    </xf>
    <xf numFmtId="0" fontId="76" fillId="19" borderId="140" xfId="0" applyFont="1" applyFill="1" applyBorder="1"/>
    <xf numFmtId="0" fontId="80" fillId="19" borderId="61" xfId="0" applyFont="1" applyFill="1" applyBorder="1"/>
    <xf numFmtId="0" fontId="54" fillId="19" borderId="11" xfId="3" applyFill="1" applyBorder="1" applyAlignment="1">
      <alignment horizontal="left"/>
    </xf>
    <xf numFmtId="17" fontId="76" fillId="19" borderId="11" xfId="0" applyNumberFormat="1" applyFont="1" applyFill="1" applyBorder="1" applyAlignment="1">
      <alignment horizontal="right"/>
    </xf>
    <xf numFmtId="0" fontId="76" fillId="19" borderId="60" xfId="0" applyFont="1" applyFill="1" applyBorder="1"/>
    <xf numFmtId="0" fontId="76" fillId="19" borderId="1" xfId="0" applyFont="1" applyFill="1" applyBorder="1"/>
    <xf numFmtId="0" fontId="76" fillId="19" borderId="140" xfId="0" applyFont="1" applyFill="1" applyBorder="1" applyAlignment="1">
      <alignment horizontal="right"/>
    </xf>
    <xf numFmtId="0" fontId="91" fillId="0" borderId="140" xfId="0" applyFont="1" applyBorder="1" applyAlignment="1">
      <alignment horizontal="center"/>
    </xf>
    <xf numFmtId="0" fontId="91" fillId="4" borderId="140" xfId="0" applyFont="1" applyFill="1" applyBorder="1" applyAlignment="1">
      <alignment horizontal="center"/>
    </xf>
    <xf numFmtId="0" fontId="80" fillId="5" borderId="0" xfId="0" applyFont="1" applyFill="1"/>
    <xf numFmtId="0" fontId="54" fillId="5" borderId="0" xfId="3" applyFill="1" applyBorder="1" applyAlignment="1">
      <alignment horizontal="left"/>
    </xf>
    <xf numFmtId="0" fontId="3" fillId="5" borderId="0" xfId="6" applyFont="1" applyFill="1" applyAlignment="1">
      <alignment vertical="center"/>
    </xf>
    <xf numFmtId="0" fontId="3" fillId="19" borderId="0" xfId="6" applyFont="1" applyFill="1" applyAlignment="1">
      <alignment vertical="center"/>
    </xf>
    <xf numFmtId="0" fontId="3" fillId="0" borderId="0" xfId="7"/>
    <xf numFmtId="0" fontId="49" fillId="19" borderId="0" xfId="6" applyFont="1" applyFill="1" applyAlignment="1">
      <alignment vertical="center"/>
    </xf>
    <xf numFmtId="0" fontId="44" fillId="19" borderId="0" xfId="6" applyFont="1" applyFill="1" applyAlignment="1">
      <alignment vertical="center"/>
    </xf>
    <xf numFmtId="0" fontId="3" fillId="8" borderId="0" xfId="6" applyFont="1" applyFill="1" applyAlignment="1">
      <alignment vertical="center"/>
    </xf>
    <xf numFmtId="0" fontId="31" fillId="19" borderId="0" xfId="6" applyFont="1" applyFill="1" applyAlignment="1">
      <alignment vertical="center"/>
    </xf>
    <xf numFmtId="0" fontId="50" fillId="19" borderId="0" xfId="6" applyFont="1" applyFill="1" applyAlignment="1">
      <alignment vertical="center"/>
    </xf>
    <xf numFmtId="0" fontId="38" fillId="5" borderId="0" xfId="6" applyFont="1" applyFill="1" applyAlignment="1">
      <alignment vertical="center"/>
    </xf>
    <xf numFmtId="0" fontId="35" fillId="19" borderId="0" xfId="6" applyFont="1" applyFill="1" applyAlignment="1">
      <alignment vertical="center"/>
    </xf>
    <xf numFmtId="0" fontId="51" fillId="19" borderId="0" xfId="6" applyFont="1" applyFill="1" applyAlignment="1">
      <alignment vertical="center"/>
    </xf>
    <xf numFmtId="0" fontId="35" fillId="5" borderId="0" xfId="6" applyFont="1" applyFill="1" applyAlignment="1">
      <alignment vertical="center"/>
    </xf>
    <xf numFmtId="165" fontId="35" fillId="5" borderId="0" xfId="6" applyNumberFormat="1" applyFont="1" applyFill="1" applyAlignment="1">
      <alignment horizontal="left" vertical="center"/>
    </xf>
    <xf numFmtId="0" fontId="52" fillId="19" borderId="0" xfId="6" applyFont="1" applyFill="1" applyAlignment="1">
      <alignment vertical="center"/>
    </xf>
    <xf numFmtId="0" fontId="45" fillId="5" borderId="0" xfId="6" applyFont="1" applyFill="1" applyAlignment="1">
      <alignment vertical="center"/>
    </xf>
    <xf numFmtId="0" fontId="44" fillId="5" borderId="0" xfId="8" applyFill="1" applyAlignment="1">
      <alignment vertical="center"/>
    </xf>
    <xf numFmtId="170" fontId="29" fillId="14" borderId="0" xfId="2" applyNumberFormat="1" applyFill="1" applyAlignment="1">
      <alignment vertical="center"/>
    </xf>
    <xf numFmtId="170" fontId="2" fillId="0" borderId="0" xfId="0" applyNumberFormat="1" applyFont="1"/>
    <xf numFmtId="169" fontId="0" fillId="35" borderId="143" xfId="0" applyNumberFormat="1" applyFill="1" applyBorder="1"/>
    <xf numFmtId="2" fontId="15" fillId="35" borderId="0" xfId="0" applyNumberFormat="1" applyFont="1" applyFill="1"/>
    <xf numFmtId="168" fontId="0" fillId="5" borderId="0" xfId="0" applyNumberFormat="1" applyFill="1"/>
    <xf numFmtId="169" fontId="0" fillId="5" borderId="145" xfId="0" applyNumberFormat="1" applyFill="1" applyBorder="1"/>
    <xf numFmtId="0" fontId="15" fillId="5" borderId="0" xfId="0" applyFont="1" applyFill="1"/>
    <xf numFmtId="2" fontId="15" fillId="5" borderId="0" xfId="0" applyNumberFormat="1" applyFont="1" applyFill="1"/>
    <xf numFmtId="168" fontId="0" fillId="35" borderId="0" xfId="0" applyNumberFormat="1" applyFill="1"/>
    <xf numFmtId="169" fontId="0" fillId="35" borderId="145" xfId="0" applyNumberFormat="1" applyFill="1" applyBorder="1"/>
    <xf numFmtId="3" fontId="2" fillId="16" borderId="118" xfId="0" applyNumberFormat="1" applyFont="1" applyFill="1" applyBorder="1" applyAlignment="1">
      <alignment vertical="center"/>
    </xf>
    <xf numFmtId="3" fontId="2" fillId="32" borderId="1" xfId="0" quotePrefix="1" applyNumberFormat="1" applyFont="1" applyFill="1" applyBorder="1" applyAlignment="1">
      <alignment horizontal="right" vertical="top"/>
    </xf>
    <xf numFmtId="169" fontId="0" fillId="35" borderId="144" xfId="0" applyNumberFormat="1" applyFill="1" applyBorder="1"/>
    <xf numFmtId="3" fontId="2" fillId="16" borderId="1" xfId="0" applyNumberFormat="1" applyFont="1" applyFill="1" applyBorder="1" applyAlignment="1">
      <alignment vertical="center"/>
    </xf>
    <xf numFmtId="0" fontId="15" fillId="35" borderId="2" xfId="0" applyFont="1" applyFill="1" applyBorder="1"/>
    <xf numFmtId="2" fontId="15" fillId="35" borderId="2" xfId="0" applyNumberFormat="1" applyFont="1" applyFill="1" applyBorder="1"/>
    <xf numFmtId="3" fontId="2" fillId="16" borderId="14" xfId="0" applyNumberFormat="1" applyFont="1" applyFill="1" applyBorder="1" applyAlignment="1">
      <alignment vertical="center"/>
    </xf>
    <xf numFmtId="3" fontId="2" fillId="32" borderId="111" xfId="0" quotePrefix="1" applyNumberFormat="1" applyFont="1" applyFill="1" applyBorder="1" applyAlignment="1">
      <alignment horizontal="right" vertical="top"/>
    </xf>
    <xf numFmtId="1" fontId="28" fillId="16" borderId="88" xfId="0" applyNumberFormat="1" applyFont="1" applyFill="1" applyBorder="1" applyAlignment="1">
      <alignment horizontal="right" vertical="center"/>
    </xf>
    <xf numFmtId="0" fontId="15" fillId="5" borderId="2" xfId="0" applyFont="1" applyFill="1" applyBorder="1"/>
    <xf numFmtId="2" fontId="15" fillId="5" borderId="2" xfId="0" applyNumberFormat="1" applyFont="1" applyFill="1" applyBorder="1"/>
    <xf numFmtId="0" fontId="27" fillId="43" borderId="189" xfId="0" applyFont="1" applyFill="1" applyBorder="1" applyAlignment="1">
      <alignment horizontal="left" vertical="center"/>
    </xf>
    <xf numFmtId="0" fontId="45" fillId="44" borderId="6" xfId="0" applyFont="1" applyFill="1" applyBorder="1" applyAlignment="1">
      <alignment horizontal="left" vertical="center" wrapText="1"/>
    </xf>
    <xf numFmtId="0" fontId="45" fillId="44" borderId="190" xfId="0" applyFont="1" applyFill="1" applyBorder="1" applyAlignment="1">
      <alignment horizontal="left" vertical="center" wrapText="1"/>
    </xf>
    <xf numFmtId="9" fontId="0" fillId="0" borderId="0" xfId="0" applyNumberFormat="1"/>
    <xf numFmtId="9" fontId="55" fillId="0" borderId="0" xfId="0" applyNumberFormat="1" applyFont="1"/>
    <xf numFmtId="176" fontId="35" fillId="35" borderId="0" xfId="0" applyNumberFormat="1" applyFont="1" applyFill="1"/>
    <xf numFmtId="167" fontId="32" fillId="11" borderId="172" xfId="0" applyNumberFormat="1" applyFont="1" applyFill="1" applyBorder="1" applyAlignment="1" applyProtection="1">
      <alignment horizontal="left" vertical="center" wrapText="1"/>
      <protection locked="0"/>
    </xf>
    <xf numFmtId="167" fontId="32" fillId="11" borderId="157" xfId="0" applyNumberFormat="1" applyFont="1" applyFill="1" applyBorder="1" applyAlignment="1" applyProtection="1">
      <alignment horizontal="left" vertical="center" wrapText="1"/>
      <protection locked="0"/>
    </xf>
    <xf numFmtId="167" fontId="45" fillId="0" borderId="167" xfId="0" applyNumberFormat="1" applyFont="1" applyBorder="1" applyAlignment="1">
      <alignment horizontal="left"/>
    </xf>
    <xf numFmtId="167" fontId="32" fillId="38" borderId="172" xfId="0" applyNumberFormat="1" applyFont="1" applyFill="1" applyBorder="1" applyAlignment="1" applyProtection="1">
      <alignment horizontal="left" vertical="center" wrapText="1"/>
      <protection locked="0"/>
    </xf>
    <xf numFmtId="167" fontId="32" fillId="38" borderId="157" xfId="0" applyNumberFormat="1" applyFont="1" applyFill="1" applyBorder="1" applyAlignment="1" applyProtection="1">
      <alignment horizontal="left" vertical="center" wrapText="1"/>
      <protection locked="0"/>
    </xf>
    <xf numFmtId="167" fontId="45" fillId="38" borderId="167" xfId="0" applyNumberFormat="1" applyFont="1" applyFill="1" applyBorder="1" applyAlignment="1">
      <alignment horizontal="left"/>
    </xf>
    <xf numFmtId="167" fontId="45" fillId="38" borderId="154" xfId="0" applyNumberFormat="1" applyFont="1" applyFill="1" applyBorder="1" applyAlignment="1">
      <alignment horizontal="left"/>
    </xf>
    <xf numFmtId="167" fontId="45" fillId="23" borderId="167" xfId="0" applyNumberFormat="1" applyFont="1" applyFill="1" applyBorder="1" applyAlignment="1">
      <alignment horizontal="left"/>
    </xf>
    <xf numFmtId="167" fontId="45" fillId="23" borderId="154" xfId="0" applyNumberFormat="1" applyFont="1" applyFill="1" applyBorder="1" applyAlignment="1">
      <alignment horizontal="left"/>
    </xf>
    <xf numFmtId="167" fontId="45" fillId="23" borderId="173" xfId="0" applyNumberFormat="1" applyFont="1" applyFill="1" applyBorder="1" applyAlignment="1">
      <alignment horizontal="left"/>
    </xf>
    <xf numFmtId="167" fontId="32" fillId="23" borderId="157" xfId="0" applyNumberFormat="1" applyFont="1" applyFill="1" applyBorder="1" applyAlignment="1" applyProtection="1">
      <alignment horizontal="left" vertical="center" wrapText="1"/>
      <protection locked="0"/>
    </xf>
    <xf numFmtId="0" fontId="60" fillId="25" borderId="151" xfId="0" applyFont="1" applyFill="1" applyBorder="1" applyAlignment="1">
      <alignment horizontal="center"/>
    </xf>
    <xf numFmtId="0" fontId="58" fillId="28" borderId="191" xfId="0" applyFont="1" applyFill="1" applyBorder="1" applyAlignment="1">
      <alignment vertical="center"/>
    </xf>
    <xf numFmtId="0" fontId="58" fillId="26" borderId="191" xfId="0" applyFont="1" applyFill="1" applyBorder="1" applyAlignment="1">
      <alignment vertical="center"/>
    </xf>
    <xf numFmtId="175" fontId="0" fillId="0" borderId="0" xfId="5" applyNumberFormat="1" applyFont="1"/>
    <xf numFmtId="43" fontId="0" fillId="0" borderId="0" xfId="0" applyNumberFormat="1"/>
    <xf numFmtId="0" fontId="28" fillId="11" borderId="0" xfId="0" applyFont="1" applyFill="1" applyAlignment="1">
      <alignment vertical="center"/>
    </xf>
    <xf numFmtId="0" fontId="28" fillId="11" borderId="12" xfId="0" applyFont="1" applyFill="1" applyBorder="1" applyAlignment="1">
      <alignment vertical="center"/>
    </xf>
    <xf numFmtId="1" fontId="28" fillId="16" borderId="68" xfId="0" applyNumberFormat="1" applyFont="1" applyFill="1" applyBorder="1" applyAlignment="1">
      <alignment horizontal="right" vertical="center"/>
    </xf>
    <xf numFmtId="1" fontId="28" fillId="32" borderId="139" xfId="0" quotePrefix="1" applyNumberFormat="1" applyFont="1" applyFill="1" applyBorder="1" applyAlignment="1">
      <alignment horizontal="right" vertical="top"/>
    </xf>
    <xf numFmtId="1" fontId="28" fillId="16" borderId="139" xfId="0" applyNumberFormat="1" applyFont="1" applyFill="1" applyBorder="1" applyAlignment="1">
      <alignment horizontal="right" vertical="center"/>
    </xf>
    <xf numFmtId="1" fontId="28" fillId="16" borderId="100" xfId="0" applyNumberFormat="1" applyFont="1" applyFill="1" applyBorder="1" applyAlignment="1">
      <alignment horizontal="right" vertical="center"/>
    </xf>
    <xf numFmtId="1" fontId="28" fillId="32" borderId="113" xfId="0" quotePrefix="1" applyNumberFormat="1" applyFont="1" applyFill="1" applyBorder="1" applyAlignment="1">
      <alignment horizontal="right" vertical="top"/>
    </xf>
    <xf numFmtId="0" fontId="28" fillId="11" borderId="18" xfId="0" applyFont="1" applyFill="1" applyBorder="1" applyAlignment="1">
      <alignment vertical="center"/>
    </xf>
    <xf numFmtId="3" fontId="13" fillId="32" borderId="159" xfId="0" quotePrefix="1" applyNumberFormat="1" applyFont="1" applyFill="1" applyBorder="1" applyAlignment="1">
      <alignment horizontal="right" vertical="top"/>
    </xf>
    <xf numFmtId="0" fontId="28" fillId="11" borderId="143" xfId="0" applyFont="1" applyFill="1" applyBorder="1" applyAlignment="1">
      <alignment vertical="center"/>
    </xf>
    <xf numFmtId="0" fontId="28" fillId="11" borderId="93" xfId="0" applyFont="1" applyFill="1" applyBorder="1" applyAlignment="1">
      <alignment vertical="center"/>
    </xf>
    <xf numFmtId="0" fontId="28" fillId="11" borderId="145" xfId="0" applyFont="1" applyFill="1" applyBorder="1" applyAlignment="1">
      <alignment vertical="center"/>
    </xf>
    <xf numFmtId="3" fontId="13" fillId="32" borderId="26" xfId="0" quotePrefix="1" applyNumberFormat="1" applyFont="1" applyFill="1" applyBorder="1" applyAlignment="1">
      <alignment horizontal="right" vertical="top"/>
    </xf>
    <xf numFmtId="3" fontId="13" fillId="32" borderId="2" xfId="0" quotePrefix="1" applyNumberFormat="1" applyFont="1" applyFill="1" applyBorder="1" applyAlignment="1">
      <alignment horizontal="right" vertical="top"/>
    </xf>
    <xf numFmtId="3" fontId="13" fillId="32" borderId="144" xfId="0" quotePrefix="1" applyNumberFormat="1" applyFont="1" applyFill="1" applyBorder="1" applyAlignment="1">
      <alignment horizontal="right" vertical="top"/>
    </xf>
    <xf numFmtId="3" fontId="13" fillId="32" borderId="107" xfId="0" quotePrefix="1" applyNumberFormat="1" applyFont="1" applyFill="1" applyBorder="1" applyAlignment="1">
      <alignment horizontal="right" vertical="top"/>
    </xf>
    <xf numFmtId="3" fontId="13" fillId="16" borderId="115" xfId="0" applyNumberFormat="1" applyFont="1" applyFill="1" applyBorder="1" applyAlignment="1">
      <alignment vertical="center"/>
    </xf>
    <xf numFmtId="3" fontId="13" fillId="32" borderId="136" xfId="0" quotePrefix="1" applyNumberFormat="1" applyFont="1" applyFill="1" applyBorder="1" applyAlignment="1">
      <alignment horizontal="right" vertical="top"/>
    </xf>
    <xf numFmtId="3" fontId="13" fillId="16" borderId="136" xfId="0" applyNumberFormat="1" applyFont="1" applyFill="1" applyBorder="1" applyAlignment="1">
      <alignment vertical="center"/>
    </xf>
    <xf numFmtId="3" fontId="13" fillId="16" borderId="61" xfId="0" applyNumberFormat="1" applyFont="1" applyFill="1" applyBorder="1" applyAlignment="1">
      <alignment vertical="center"/>
    </xf>
    <xf numFmtId="3" fontId="1" fillId="16" borderId="148" xfId="0" applyNumberFormat="1" applyFont="1" applyFill="1" applyBorder="1" applyAlignment="1">
      <alignment horizontal="left" vertical="center"/>
    </xf>
    <xf numFmtId="3" fontId="13" fillId="16" borderId="120" xfId="0" applyNumberFormat="1" applyFont="1" applyFill="1" applyBorder="1" applyAlignment="1">
      <alignment vertical="center"/>
    </xf>
    <xf numFmtId="3" fontId="13" fillId="32" borderId="19" xfId="0" quotePrefix="1" applyNumberFormat="1" applyFont="1" applyFill="1" applyBorder="1" applyAlignment="1">
      <alignment horizontal="right" vertical="top"/>
    </xf>
    <xf numFmtId="3" fontId="13" fillId="16" borderId="19" xfId="0" applyNumberFormat="1" applyFont="1" applyFill="1" applyBorder="1" applyAlignment="1">
      <alignment vertical="center"/>
    </xf>
    <xf numFmtId="3" fontId="13" fillId="16" borderId="16" xfId="0" applyNumberFormat="1" applyFont="1" applyFill="1" applyBorder="1" applyAlignment="1">
      <alignment vertical="center"/>
    </xf>
    <xf numFmtId="3" fontId="27" fillId="30" borderId="158" xfId="0" applyNumberFormat="1" applyFont="1" applyFill="1" applyBorder="1" applyAlignment="1">
      <alignment vertical="center"/>
    </xf>
    <xf numFmtId="3" fontId="28" fillId="16" borderId="0" xfId="0" applyNumberFormat="1" applyFont="1" applyFill="1" applyAlignment="1">
      <alignment vertical="center"/>
    </xf>
    <xf numFmtId="0" fontId="46" fillId="17" borderId="2" xfId="0" applyFont="1" applyFill="1" applyBorder="1" applyAlignment="1">
      <alignment vertical="center"/>
    </xf>
    <xf numFmtId="177" fontId="0" fillId="0" borderId="0" xfId="0" applyNumberFormat="1"/>
    <xf numFmtId="0" fontId="0" fillId="0" borderId="2" xfId="0" applyBorder="1"/>
    <xf numFmtId="0" fontId="15" fillId="0" borderId="93" xfId="0" applyFont="1" applyBorder="1"/>
    <xf numFmtId="0" fontId="16" fillId="0" borderId="93" xfId="0" applyFont="1" applyBorder="1"/>
    <xf numFmtId="166" fontId="16" fillId="0" borderId="0" xfId="1" applyNumberFormat="1" applyFont="1" applyBorder="1"/>
    <xf numFmtId="0" fontId="16" fillId="40" borderId="26" xfId="0" applyFont="1" applyFill="1" applyBorder="1"/>
    <xf numFmtId="166" fontId="16" fillId="40" borderId="2" xfId="1" applyNumberFormat="1" applyFont="1" applyFill="1" applyBorder="1"/>
    <xf numFmtId="178" fontId="0" fillId="0" borderId="93" xfId="0" applyNumberFormat="1" applyBorder="1"/>
    <xf numFmtId="177" fontId="0" fillId="0" borderId="145" xfId="0" applyNumberFormat="1" applyBorder="1"/>
    <xf numFmtId="177" fontId="0" fillId="0" borderId="2" xfId="0" applyNumberFormat="1" applyBorder="1"/>
    <xf numFmtId="177" fontId="0" fillId="0" borderId="144" xfId="0" applyNumberFormat="1" applyBorder="1"/>
    <xf numFmtId="177" fontId="0" fillId="0" borderId="93" xfId="0" applyNumberFormat="1" applyBorder="1"/>
    <xf numFmtId="179" fontId="16" fillId="0" borderId="93" xfId="5" applyNumberFormat="1" applyFont="1" applyBorder="1"/>
    <xf numFmtId="179" fontId="16" fillId="0" borderId="145" xfId="5" applyNumberFormat="1" applyFont="1" applyBorder="1"/>
    <xf numFmtId="43" fontId="16" fillId="0" borderId="26" xfId="0" applyNumberFormat="1" applyFont="1" applyBorder="1"/>
    <xf numFmtId="43" fontId="16" fillId="0" borderId="144" xfId="0" applyNumberFormat="1" applyFont="1" applyBorder="1"/>
    <xf numFmtId="166" fontId="16" fillId="0" borderId="145" xfId="1" applyNumberFormat="1" applyFont="1" applyBorder="1"/>
    <xf numFmtId="166" fontId="16" fillId="40" borderId="144" xfId="1" applyNumberFormat="1" applyFont="1" applyFill="1" applyBorder="1"/>
    <xf numFmtId="0" fontId="93" fillId="12" borderId="139" xfId="0" applyFont="1" applyFill="1" applyBorder="1" applyAlignment="1">
      <alignment vertical="center"/>
    </xf>
    <xf numFmtId="0" fontId="93" fillId="12" borderId="5" xfId="0" applyFont="1" applyFill="1" applyBorder="1" applyAlignment="1">
      <alignment vertical="center"/>
    </xf>
    <xf numFmtId="0" fontId="93" fillId="12" borderId="0" xfId="0" applyFont="1" applyFill="1" applyAlignment="1">
      <alignment vertical="center"/>
    </xf>
    <xf numFmtId="0" fontId="93" fillId="12" borderId="145" xfId="0" applyFont="1" applyFill="1" applyBorder="1" applyAlignment="1">
      <alignment vertical="center"/>
    </xf>
    <xf numFmtId="0" fontId="92" fillId="17" borderId="113" xfId="0" applyFont="1" applyFill="1" applyBorder="1" applyAlignment="1">
      <alignment vertical="center"/>
    </xf>
    <xf numFmtId="0" fontId="92" fillId="17" borderId="106" xfId="0" applyFont="1" applyFill="1" applyBorder="1" applyAlignment="1">
      <alignment vertical="center"/>
    </xf>
    <xf numFmtId="0" fontId="92" fillId="17" borderId="146" xfId="0" applyFont="1" applyFill="1" applyBorder="1" applyAlignment="1">
      <alignment vertical="center"/>
    </xf>
    <xf numFmtId="178" fontId="0" fillId="0" borderId="59" xfId="0" applyNumberFormat="1" applyBorder="1"/>
    <xf numFmtId="177" fontId="0" fillId="0" borderId="18" xfId="0" applyNumberFormat="1" applyBorder="1"/>
    <xf numFmtId="177" fontId="0" fillId="0" borderId="59" xfId="0" applyNumberFormat="1" applyBorder="1"/>
    <xf numFmtId="177" fontId="0" fillId="0" borderId="143" xfId="0" applyNumberFormat="1" applyBorder="1"/>
    <xf numFmtId="178" fontId="0" fillId="0" borderId="26" xfId="0" applyNumberFormat="1" applyBorder="1"/>
    <xf numFmtId="177" fontId="0" fillId="0" borderId="26" xfId="0" applyNumberFormat="1" applyBorder="1"/>
    <xf numFmtId="178" fontId="0" fillId="0" borderId="2" xfId="0" applyNumberFormat="1" applyBorder="1"/>
    <xf numFmtId="178" fontId="0" fillId="0" borderId="0" xfId="0" applyNumberFormat="1"/>
    <xf numFmtId="178" fontId="0" fillId="0" borderId="18" xfId="0" applyNumberFormat="1" applyBorder="1"/>
    <xf numFmtId="38" fontId="23" fillId="0" borderId="28" xfId="9" applyNumberFormat="1" applyFont="1" applyBorder="1" applyAlignment="1">
      <alignment horizontal="center"/>
    </xf>
    <xf numFmtId="38" fontId="23" fillId="0" borderId="29" xfId="9" applyNumberFormat="1" applyFont="1" applyBorder="1" applyAlignment="1">
      <alignment horizontal="center"/>
    </xf>
    <xf numFmtId="38" fontId="23" fillId="0" borderId="30" xfId="9" applyNumberFormat="1" applyFont="1" applyBorder="1" applyAlignment="1">
      <alignment horizontal="center"/>
    </xf>
    <xf numFmtId="38" fontId="23" fillId="0" borderId="31" xfId="9" applyNumberFormat="1" applyFont="1" applyBorder="1" applyAlignment="1">
      <alignment horizontal="center"/>
    </xf>
    <xf numFmtId="38" fontId="21" fillId="0" borderId="32" xfId="9" applyNumberFormat="1" applyFont="1" applyBorder="1" applyAlignment="1">
      <alignment horizontal="center"/>
    </xf>
    <xf numFmtId="38" fontId="23" fillId="0" borderId="33" xfId="9" applyNumberFormat="1" applyFont="1" applyBorder="1" applyAlignment="1">
      <alignment horizontal="center"/>
    </xf>
    <xf numFmtId="38" fontId="21" fillId="0" borderId="30" xfId="9" applyNumberFormat="1" applyFont="1" applyBorder="1" applyAlignment="1">
      <alignment horizontal="center"/>
    </xf>
    <xf numFmtId="38" fontId="21" fillId="21" borderId="31" xfId="9" applyNumberFormat="1" applyFont="1" applyFill="1" applyBorder="1" applyAlignment="1">
      <alignment horizontal="center"/>
    </xf>
    <xf numFmtId="38" fontId="21" fillId="0" borderId="31" xfId="9" applyNumberFormat="1" applyFont="1" applyBorder="1" applyAlignment="1">
      <alignment horizontal="center"/>
    </xf>
    <xf numFmtId="38" fontId="21" fillId="0" borderId="57" xfId="9" applyNumberFormat="1" applyFont="1" applyBorder="1" applyAlignment="1">
      <alignment horizontal="center"/>
    </xf>
    <xf numFmtId="38" fontId="21" fillId="0" borderId="34" xfId="9" applyNumberFormat="1" applyFont="1" applyBorder="1" applyAlignment="1">
      <alignment horizontal="center"/>
    </xf>
    <xf numFmtId="38" fontId="23" fillId="0" borderId="27" xfId="9" applyNumberFormat="1" applyFont="1" applyBorder="1" applyAlignment="1">
      <alignment horizontal="center"/>
    </xf>
    <xf numFmtId="38" fontId="21" fillId="0" borderId="35" xfId="9" applyNumberFormat="1" applyFont="1" applyBorder="1" applyAlignment="1">
      <alignment horizontal="center"/>
    </xf>
    <xf numFmtId="38" fontId="21" fillId="0" borderId="33" xfId="9" applyNumberFormat="1" applyFont="1" applyBorder="1" applyAlignment="1">
      <alignment horizontal="center"/>
    </xf>
    <xf numFmtId="38" fontId="21" fillId="0" borderId="36" xfId="9" applyNumberFormat="1" applyFont="1" applyBorder="1" applyAlignment="1">
      <alignment horizontal="center"/>
    </xf>
    <xf numFmtId="38" fontId="23" fillId="0" borderId="38" xfId="9" applyNumberFormat="1" applyFont="1" applyBorder="1" applyAlignment="1">
      <alignment horizontal="center"/>
    </xf>
    <xf numFmtId="38" fontId="23" fillId="0" borderId="39" xfId="9" applyNumberFormat="1" applyFont="1" applyBorder="1" applyAlignment="1">
      <alignment horizontal="center"/>
    </xf>
    <xf numFmtId="38" fontId="23" fillId="0" borderId="40" xfId="9" applyNumberFormat="1" applyFont="1" applyBorder="1" applyAlignment="1">
      <alignment horizontal="center"/>
    </xf>
    <xf numFmtId="38" fontId="23" fillId="0" borderId="41" xfId="9" applyNumberFormat="1" applyFont="1" applyBorder="1" applyAlignment="1">
      <alignment horizontal="center"/>
    </xf>
    <xf numFmtId="38" fontId="21" fillId="0" borderId="41" xfId="9" applyNumberFormat="1" applyFont="1" applyBorder="1" applyAlignment="1">
      <alignment horizontal="center"/>
    </xf>
    <xf numFmtId="38" fontId="23" fillId="0" borderId="42" xfId="9" applyNumberFormat="1" applyFont="1" applyBorder="1" applyAlignment="1">
      <alignment horizontal="center"/>
    </xf>
    <xf numFmtId="38" fontId="21" fillId="0" borderId="40" xfId="9" applyNumberFormat="1" applyFont="1" applyBorder="1" applyAlignment="1">
      <alignment horizontal="center"/>
    </xf>
    <xf numFmtId="38" fontId="21" fillId="21" borderId="43" xfId="9" applyNumberFormat="1" applyFont="1" applyFill="1" applyBorder="1" applyAlignment="1">
      <alignment horizontal="center"/>
    </xf>
    <xf numFmtId="38" fontId="21" fillId="0" borderId="43" xfId="9" applyNumberFormat="1" applyFont="1" applyBorder="1" applyAlignment="1">
      <alignment horizontal="center"/>
    </xf>
    <xf numFmtId="38" fontId="23" fillId="0" borderId="37" xfId="9" applyNumberFormat="1" applyFont="1" applyBorder="1" applyAlignment="1">
      <alignment horizontal="center"/>
    </xf>
    <xf numFmtId="38" fontId="21" fillId="0" borderId="44" xfId="9" applyNumberFormat="1" applyFont="1" applyBorder="1" applyAlignment="1">
      <alignment horizontal="center"/>
    </xf>
    <xf numFmtId="38" fontId="21" fillId="0" borderId="42" xfId="9" applyNumberFormat="1" applyFont="1" applyBorder="1" applyAlignment="1">
      <alignment horizontal="center"/>
    </xf>
    <xf numFmtId="38" fontId="21" fillId="0" borderId="45" xfId="9" applyNumberFormat="1" applyFont="1" applyBorder="1" applyAlignment="1">
      <alignment horizontal="center"/>
    </xf>
    <xf numFmtId="38" fontId="23" fillId="0" borderId="43" xfId="9" applyNumberFormat="1" applyFont="1" applyBorder="1" applyAlignment="1">
      <alignment horizontal="center"/>
    </xf>
    <xf numFmtId="38" fontId="23" fillId="0" borderId="47" xfId="9" applyNumberFormat="1" applyFont="1" applyBorder="1" applyAlignment="1">
      <alignment horizontal="center"/>
    </xf>
    <xf numFmtId="38" fontId="23" fillId="0" borderId="48" xfId="9" applyNumberFormat="1" applyFont="1" applyBorder="1" applyAlignment="1">
      <alignment horizontal="center"/>
    </xf>
    <xf numFmtId="38" fontId="21" fillId="0" borderId="49" xfId="9" applyNumberFormat="1" applyFont="1" applyBorder="1" applyAlignment="1">
      <alignment horizontal="center"/>
    </xf>
    <xf numFmtId="38" fontId="23" fillId="0" borderId="50" xfId="9" applyNumberFormat="1" applyFont="1" applyBorder="1" applyAlignment="1">
      <alignment horizontal="center"/>
    </xf>
    <xf numFmtId="38" fontId="21" fillId="0" borderId="48" xfId="9" applyNumberFormat="1" applyFont="1" applyBorder="1" applyAlignment="1">
      <alignment horizontal="center"/>
    </xf>
    <xf numFmtId="38" fontId="21" fillId="21" borderId="48" xfId="9" applyNumberFormat="1" applyFont="1" applyFill="1" applyBorder="1" applyAlignment="1">
      <alignment horizontal="center"/>
    </xf>
    <xf numFmtId="38" fontId="23" fillId="0" borderId="46" xfId="9" applyNumberFormat="1" applyFont="1" applyBorder="1" applyAlignment="1">
      <alignment horizontal="center"/>
    </xf>
    <xf numFmtId="38" fontId="21" fillId="0" borderId="51" xfId="9" applyNumberFormat="1" applyFont="1" applyBorder="1" applyAlignment="1">
      <alignment horizontal="center"/>
    </xf>
    <xf numFmtId="38" fontId="21" fillId="0" borderId="52" xfId="9" applyNumberFormat="1" applyFont="1" applyBorder="1" applyAlignment="1">
      <alignment horizontal="center"/>
    </xf>
    <xf numFmtId="38" fontId="21" fillId="0" borderId="50" xfId="9" applyNumberFormat="1" applyFont="1" applyBorder="1" applyAlignment="1">
      <alignment horizontal="center"/>
    </xf>
    <xf numFmtId="38" fontId="21" fillId="0" borderId="53" xfId="9" applyNumberFormat="1" applyFont="1" applyBorder="1" applyAlignment="1">
      <alignment horizontal="center"/>
    </xf>
    <xf numFmtId="38" fontId="23" fillId="0" borderId="54" xfId="9" applyNumberFormat="1" applyFont="1" applyBorder="1" applyAlignment="1">
      <alignment horizontal="center"/>
    </xf>
    <xf numFmtId="38" fontId="23" fillId="0" borderId="55" xfId="9" applyNumberFormat="1" applyFont="1" applyBorder="1" applyAlignment="1">
      <alignment horizontal="center"/>
    </xf>
    <xf numFmtId="38" fontId="23" fillId="0" borderId="18" xfId="9" applyNumberFormat="1" applyFont="1" applyBorder="1" applyAlignment="1">
      <alignment horizontal="center"/>
    </xf>
    <xf numFmtId="38" fontId="23" fillId="0" borderId="34" xfId="9" applyNumberFormat="1" applyFont="1" applyBorder="1" applyAlignment="1">
      <alignment horizontal="center"/>
    </xf>
    <xf numFmtId="38" fontId="23" fillId="0" borderId="56" xfId="9" applyNumberFormat="1" applyFont="1" applyBorder="1" applyAlignment="1">
      <alignment horizontal="center"/>
    </xf>
    <xf numFmtId="38" fontId="23" fillId="21" borderId="34" xfId="9" applyNumberFormat="1" applyFont="1" applyFill="1" applyBorder="1" applyAlignment="1">
      <alignment horizontal="center"/>
    </xf>
    <xf numFmtId="38" fontId="23" fillId="0" borderId="57" xfId="9" applyNumberFormat="1" applyFont="1" applyBorder="1" applyAlignment="1">
      <alignment horizontal="center"/>
    </xf>
    <xf numFmtId="38" fontId="23" fillId="0" borderId="58" xfId="9" applyNumberFormat="1" applyFont="1" applyBorder="1" applyAlignment="1">
      <alignment horizontal="center"/>
    </xf>
    <xf numFmtId="38" fontId="23" fillId="0" borderId="59" xfId="9" applyNumberFormat="1" applyFont="1" applyBorder="1" applyAlignment="1">
      <alignment horizontal="center"/>
    </xf>
    <xf numFmtId="38" fontId="23" fillId="0" borderId="60" xfId="9" applyNumberFormat="1" applyFont="1" applyBorder="1" applyAlignment="1">
      <alignment horizontal="center"/>
    </xf>
    <xf numFmtId="38" fontId="23" fillId="0" borderId="61" xfId="9" applyNumberFormat="1" applyFont="1" applyBorder="1" applyAlignment="1">
      <alignment horizontal="center"/>
    </xf>
    <xf numFmtId="38" fontId="23" fillId="0" borderId="4" xfId="9" applyNumberFormat="1" applyFont="1" applyBorder="1" applyAlignment="1">
      <alignment horizontal="center"/>
    </xf>
    <xf numFmtId="38" fontId="23" fillId="0" borderId="62" xfId="9" applyNumberFormat="1" applyFont="1" applyBorder="1" applyAlignment="1">
      <alignment horizontal="center"/>
    </xf>
    <xf numFmtId="38" fontId="23" fillId="0" borderId="63" xfId="9" applyNumberFormat="1" applyFont="1" applyBorder="1" applyAlignment="1">
      <alignment horizontal="center"/>
    </xf>
    <xf numFmtId="38" fontId="23" fillId="0" borderId="11" xfId="9" applyNumberFormat="1" applyFont="1" applyBorder="1" applyAlignment="1">
      <alignment horizontal="center"/>
    </xf>
    <xf numFmtId="38" fontId="23" fillId="21" borderId="62" xfId="9" applyNumberFormat="1" applyFont="1" applyFill="1" applyBorder="1" applyAlignment="1">
      <alignment horizontal="center"/>
    </xf>
    <xf numFmtId="38" fontId="21" fillId="0" borderId="11" xfId="9" applyNumberFormat="1" applyFont="1" applyBorder="1" applyAlignment="1">
      <alignment horizontal="center"/>
    </xf>
    <xf numFmtId="38" fontId="23" fillId="0" borderId="64" xfId="9" applyNumberFormat="1" applyFont="1" applyBorder="1" applyAlignment="1">
      <alignment horizontal="center"/>
    </xf>
    <xf numFmtId="38" fontId="23" fillId="0" borderId="65" xfId="9" applyNumberFormat="1" applyFont="1" applyBorder="1" applyAlignment="1">
      <alignment horizontal="center"/>
    </xf>
    <xf numFmtId="38" fontId="23" fillId="0" borderId="66" xfId="9" applyNumberFormat="1" applyFont="1" applyBorder="1" applyAlignment="1">
      <alignment horizontal="center"/>
    </xf>
    <xf numFmtId="38" fontId="23" fillId="0" borderId="67" xfId="9" applyNumberFormat="1" applyFont="1" applyBorder="1" applyAlignment="1">
      <alignment horizontal="center"/>
    </xf>
    <xf numFmtId="38" fontId="23" fillId="0" borderId="68" xfId="9" applyNumberFormat="1" applyFont="1" applyBorder="1" applyAlignment="1">
      <alignment horizontal="center"/>
    </xf>
    <xf numFmtId="38" fontId="23" fillId="0" borderId="70" xfId="9" applyNumberFormat="1" applyFont="1" applyBorder="1" applyAlignment="1">
      <alignment horizontal="center"/>
    </xf>
    <xf numFmtId="38" fontId="23" fillId="0" borderId="71" xfId="9" applyNumberFormat="1" applyFont="1" applyBorder="1" applyAlignment="1">
      <alignment horizontal="center"/>
    </xf>
    <xf numFmtId="38" fontId="21" fillId="0" borderId="72" xfId="9" applyNumberFormat="1" applyFont="1" applyBorder="1" applyAlignment="1">
      <alignment horizontal="center"/>
    </xf>
    <xf numFmtId="38" fontId="21" fillId="0" borderId="73" xfId="9" applyNumberFormat="1" applyFont="1" applyBorder="1" applyAlignment="1">
      <alignment horizontal="center"/>
    </xf>
    <xf numFmtId="38" fontId="21" fillId="0" borderId="74" xfId="9" applyNumberFormat="1" applyFont="1" applyBorder="1" applyAlignment="1">
      <alignment horizontal="center"/>
    </xf>
    <xf numFmtId="38" fontId="23" fillId="0" borderId="75" xfId="9" applyNumberFormat="1" applyFont="1" applyBorder="1" applyAlignment="1">
      <alignment horizontal="center"/>
    </xf>
    <xf numFmtId="38" fontId="21" fillId="21" borderId="73" xfId="9" applyNumberFormat="1" applyFont="1" applyFill="1" applyBorder="1" applyAlignment="1">
      <alignment horizontal="center"/>
    </xf>
    <xf numFmtId="38" fontId="23" fillId="0" borderId="69" xfId="9" applyNumberFormat="1" applyFont="1" applyBorder="1" applyAlignment="1">
      <alignment horizontal="center"/>
    </xf>
    <xf numFmtId="38" fontId="21" fillId="0" borderId="76" xfId="9" applyNumberFormat="1" applyFont="1" applyBorder="1" applyAlignment="1">
      <alignment horizontal="center"/>
    </xf>
    <xf numFmtId="38" fontId="21" fillId="0" borderId="75" xfId="9" applyNumberFormat="1" applyFont="1" applyBorder="1" applyAlignment="1">
      <alignment horizontal="center"/>
    </xf>
    <xf numFmtId="38" fontId="21" fillId="0" borderId="77" xfId="9" applyNumberFormat="1" applyFont="1" applyBorder="1" applyAlignment="1">
      <alignment horizontal="center"/>
    </xf>
    <xf numFmtId="38" fontId="21" fillId="0" borderId="78" xfId="9" applyNumberFormat="1" applyFont="1" applyBorder="1" applyAlignment="1">
      <alignment horizontal="center"/>
    </xf>
    <xf numFmtId="38" fontId="23" fillId="0" borderId="80" xfId="9" applyNumberFormat="1" applyFont="1" applyBorder="1" applyAlignment="1">
      <alignment horizontal="center"/>
    </xf>
    <xf numFmtId="38" fontId="23" fillId="0" borderId="81" xfId="9" applyNumberFormat="1" applyFont="1" applyBorder="1" applyAlignment="1">
      <alignment horizontal="center"/>
    </xf>
    <xf numFmtId="38" fontId="21" fillId="0" borderId="82" xfId="9" applyNumberFormat="1" applyFont="1" applyBorder="1" applyAlignment="1">
      <alignment horizontal="center"/>
    </xf>
    <xf numFmtId="38" fontId="21" fillId="0" borderId="83" xfId="9" applyNumberFormat="1" applyFont="1" applyBorder="1" applyAlignment="1">
      <alignment horizontal="center"/>
    </xf>
    <xf numFmtId="38" fontId="21" fillId="0" borderId="84" xfId="9" applyNumberFormat="1" applyFont="1" applyBorder="1" applyAlignment="1">
      <alignment horizontal="center"/>
    </xf>
    <xf numFmtId="38" fontId="23" fillId="0" borderId="85" xfId="9" applyNumberFormat="1" applyFont="1" applyBorder="1" applyAlignment="1">
      <alignment horizontal="center"/>
    </xf>
    <xf numFmtId="38" fontId="21" fillId="21" borderId="83" xfId="9" applyNumberFormat="1" applyFont="1" applyFill="1" applyBorder="1" applyAlignment="1">
      <alignment horizontal="center"/>
    </xf>
    <xf numFmtId="38" fontId="23" fillId="0" borderId="79" xfId="9" applyNumberFormat="1" applyFont="1" applyBorder="1" applyAlignment="1">
      <alignment horizontal="center"/>
    </xf>
    <xf numFmtId="38" fontId="21" fillId="0" borderId="86" xfId="9" applyNumberFormat="1" applyFont="1" applyBorder="1" applyAlignment="1">
      <alignment horizontal="center"/>
    </xf>
    <xf numFmtId="38" fontId="21" fillId="0" borderId="85" xfId="9" applyNumberFormat="1" applyFont="1" applyBorder="1" applyAlignment="1">
      <alignment horizontal="center"/>
    </xf>
    <xf numFmtId="38" fontId="21" fillId="0" borderId="87" xfId="9" applyNumberFormat="1" applyFont="1" applyBorder="1" applyAlignment="1">
      <alignment horizontal="center"/>
    </xf>
    <xf numFmtId="38" fontId="23" fillId="0" borderId="20" xfId="9" applyNumberFormat="1" applyFont="1" applyBorder="1" applyAlignment="1">
      <alignment horizontal="center"/>
    </xf>
    <xf numFmtId="38" fontId="23" fillId="0" borderId="88" xfId="9" applyNumberFormat="1" applyFont="1" applyBorder="1" applyAlignment="1">
      <alignment horizontal="center"/>
    </xf>
    <xf numFmtId="38" fontId="23" fillId="0" borderId="89" xfId="9" applyNumberFormat="1" applyFont="1" applyBorder="1" applyAlignment="1">
      <alignment horizontal="center"/>
    </xf>
    <xf numFmtId="38" fontId="23" fillId="0" borderId="90" xfId="9" applyNumberFormat="1" applyFont="1" applyBorder="1" applyAlignment="1">
      <alignment horizontal="center"/>
    </xf>
    <xf numFmtId="38" fontId="23" fillId="0" borderId="91" xfId="9" applyNumberFormat="1" applyFont="1" applyBorder="1" applyAlignment="1">
      <alignment horizontal="center"/>
    </xf>
    <xf numFmtId="38" fontId="23" fillId="0" borderId="13" xfId="9" applyNumberFormat="1" applyFont="1" applyBorder="1" applyAlignment="1">
      <alignment horizontal="center"/>
    </xf>
    <xf numFmtId="38" fontId="23" fillId="21" borderId="90" xfId="9" applyNumberFormat="1" applyFont="1" applyFill="1" applyBorder="1" applyAlignment="1">
      <alignment horizontal="center"/>
    </xf>
    <xf numFmtId="38" fontId="23" fillId="0" borderId="0" xfId="9" applyNumberFormat="1" applyFont="1" applyAlignment="1">
      <alignment horizontal="center"/>
    </xf>
    <xf numFmtId="38" fontId="23" fillId="0" borderId="12" xfId="9" applyNumberFormat="1" applyFont="1" applyBorder="1" applyAlignment="1">
      <alignment horizontal="center"/>
    </xf>
    <xf numFmtId="38" fontId="23" fillId="0" borderId="92" xfId="9" applyNumberFormat="1" applyFont="1" applyBorder="1" applyAlignment="1">
      <alignment horizontal="center"/>
    </xf>
    <xf numFmtId="38" fontId="23" fillId="0" borderId="93" xfId="9" applyNumberFormat="1" applyFont="1" applyBorder="1" applyAlignment="1">
      <alignment horizontal="center"/>
    </xf>
    <xf numFmtId="38" fontId="21" fillId="0" borderId="94" xfId="9" applyNumberFormat="1" applyFont="1" applyBorder="1" applyAlignment="1">
      <alignment horizontal="center"/>
    </xf>
    <xf numFmtId="1" fontId="21" fillId="0" borderId="42" xfId="9" applyNumberFormat="1" applyFont="1" applyBorder="1" applyAlignment="1">
      <alignment horizontal="center"/>
    </xf>
    <xf numFmtId="38" fontId="23" fillId="0" borderId="95" xfId="9" applyNumberFormat="1" applyFont="1" applyBorder="1" applyAlignment="1">
      <alignment horizontal="center"/>
    </xf>
    <xf numFmtId="38" fontId="23" fillId="0" borderId="96" xfId="9" applyNumberFormat="1" applyFont="1" applyBorder="1" applyAlignment="1">
      <alignment horizontal="center"/>
    </xf>
    <xf numFmtId="38" fontId="21" fillId="0" borderId="97" xfId="9" applyNumberFormat="1" applyFont="1" applyBorder="1" applyAlignment="1">
      <alignment horizontal="center"/>
    </xf>
    <xf numFmtId="38" fontId="21" fillId="0" borderId="98" xfId="9" applyNumberFormat="1" applyFont="1" applyBorder="1" applyAlignment="1">
      <alignment horizontal="center"/>
    </xf>
    <xf numFmtId="38" fontId="21" fillId="0" borderId="99" xfId="9" applyNumberFormat="1" applyFont="1" applyBorder="1" applyAlignment="1">
      <alignment horizontal="center"/>
    </xf>
    <xf numFmtId="38" fontId="23" fillId="0" borderId="14" xfId="9" applyNumberFormat="1" applyFont="1" applyBorder="1" applyAlignment="1">
      <alignment horizontal="center"/>
    </xf>
    <xf numFmtId="38" fontId="23" fillId="0" borderId="3" xfId="9" applyNumberFormat="1" applyFont="1" applyBorder="1" applyAlignment="1">
      <alignment horizontal="center"/>
    </xf>
    <xf numFmtId="38" fontId="21" fillId="0" borderId="16" xfId="9" applyNumberFormat="1" applyFont="1" applyBorder="1" applyAlignment="1">
      <alignment horizontal="center"/>
    </xf>
    <xf numFmtId="38" fontId="21" fillId="0" borderId="92" xfId="9" applyNumberFormat="1" applyFont="1" applyBorder="1" applyAlignment="1">
      <alignment horizontal="center"/>
    </xf>
    <xf numFmtId="38" fontId="21" fillId="0" borderId="14" xfId="9" applyNumberFormat="1" applyFont="1" applyBorder="1" applyAlignment="1">
      <alignment horizontal="center"/>
    </xf>
    <xf numFmtId="38" fontId="21" fillId="0" borderId="100" xfId="9" applyNumberFormat="1" applyFont="1" applyBorder="1" applyAlignment="1">
      <alignment horizontal="center"/>
    </xf>
    <xf numFmtId="38" fontId="23" fillId="0" borderId="101" xfId="9" applyNumberFormat="1" applyFont="1" applyBorder="1" applyAlignment="1">
      <alignment horizontal="center"/>
    </xf>
    <xf numFmtId="38" fontId="21" fillId="0" borderId="102" xfId="9" applyNumberFormat="1" applyFont="1" applyBorder="1" applyAlignment="1">
      <alignment horizontal="center"/>
    </xf>
    <xf numFmtId="38" fontId="23" fillId="0" borderId="73" xfId="9" applyNumberFormat="1" applyFont="1" applyBorder="1" applyAlignment="1">
      <alignment horizontal="center"/>
    </xf>
    <xf numFmtId="38" fontId="21" fillId="0" borderId="69" xfId="9" applyNumberFormat="1" applyFont="1" applyBorder="1" applyAlignment="1">
      <alignment horizontal="center"/>
    </xf>
    <xf numFmtId="38" fontId="23" fillId="0" borderId="17" xfId="9" applyNumberFormat="1" applyFont="1" applyBorder="1" applyAlignment="1">
      <alignment horizontal="center"/>
    </xf>
    <xf numFmtId="38" fontId="23" fillId="0" borderId="103" xfId="9" applyNumberFormat="1" applyFont="1" applyBorder="1" applyAlignment="1">
      <alignment horizontal="center"/>
    </xf>
    <xf numFmtId="38" fontId="21" fillId="0" borderId="91" xfId="9" applyNumberFormat="1" applyFont="1" applyBorder="1" applyAlignment="1">
      <alignment horizontal="center"/>
    </xf>
    <xf numFmtId="38" fontId="21" fillId="0" borderId="0" xfId="9" applyNumberFormat="1" applyFont="1" applyAlignment="1">
      <alignment horizontal="center"/>
    </xf>
    <xf numFmtId="38" fontId="21" fillId="0" borderId="90" xfId="9" applyNumberFormat="1" applyFont="1" applyBorder="1" applyAlignment="1">
      <alignment horizontal="center"/>
    </xf>
    <xf numFmtId="38" fontId="21" fillId="0" borderId="12" xfId="9" applyNumberFormat="1" applyFont="1" applyBorder="1" applyAlignment="1">
      <alignment horizontal="center"/>
    </xf>
    <xf numFmtId="38" fontId="21" fillId="0" borderId="89" xfId="9" applyNumberFormat="1" applyFont="1" applyBorder="1" applyAlignment="1">
      <alignment horizontal="center"/>
    </xf>
    <xf numFmtId="38" fontId="21" fillId="0" borderId="13" xfId="9" applyNumberFormat="1" applyFont="1" applyBorder="1" applyAlignment="1">
      <alignment horizontal="center"/>
    </xf>
    <xf numFmtId="38" fontId="21" fillId="0" borderId="93" xfId="9" applyNumberFormat="1" applyFont="1" applyBorder="1" applyAlignment="1">
      <alignment horizontal="center"/>
    </xf>
    <xf numFmtId="38" fontId="23" fillId="0" borderId="104" xfId="9" applyNumberFormat="1" applyFont="1" applyBorder="1" applyAlignment="1">
      <alignment horizontal="center"/>
    </xf>
    <xf numFmtId="38" fontId="21" fillId="0" borderId="105" xfId="9" applyNumberFormat="1" applyFont="1" applyBorder="1" applyAlignment="1">
      <alignment horizontal="center"/>
    </xf>
    <xf numFmtId="38" fontId="21" fillId="0" borderId="46" xfId="9" applyNumberFormat="1" applyFont="1" applyBorder="1" applyAlignment="1">
      <alignment horizontal="center"/>
    </xf>
    <xf numFmtId="38" fontId="21" fillId="21" borderId="90" xfId="9" applyNumberFormat="1" applyFont="1" applyFill="1" applyBorder="1" applyAlignment="1">
      <alignment horizontal="center"/>
    </xf>
    <xf numFmtId="38" fontId="23" fillId="0" borderId="107" xfId="9" applyNumberFormat="1" applyFont="1" applyBorder="1" applyAlignment="1">
      <alignment horizontal="center"/>
    </xf>
    <xf numFmtId="38" fontId="23" fillId="0" borderId="108" xfId="9" applyNumberFormat="1" applyFont="1" applyBorder="1" applyAlignment="1">
      <alignment horizontal="center"/>
    </xf>
    <xf numFmtId="38" fontId="23" fillId="0" borderId="109" xfId="9" applyNumberFormat="1" applyFont="1" applyBorder="1" applyAlignment="1">
      <alignment horizontal="center"/>
    </xf>
    <xf numFmtId="38" fontId="23" fillId="0" borderId="110" xfId="9" applyNumberFormat="1" applyFont="1" applyBorder="1" applyAlignment="1">
      <alignment horizontal="center"/>
    </xf>
    <xf numFmtId="38" fontId="23" fillId="0" borderId="111" xfId="9" applyNumberFormat="1" applyFont="1" applyBorder="1" applyAlignment="1">
      <alignment horizontal="center"/>
    </xf>
    <xf numFmtId="38" fontId="23" fillId="21" borderId="110" xfId="9" applyNumberFormat="1" applyFont="1" applyFill="1" applyBorder="1" applyAlignment="1">
      <alignment horizontal="center"/>
    </xf>
    <xf numFmtId="38" fontId="23" fillId="0" borderId="106" xfId="9" applyNumberFormat="1" applyFont="1" applyBorder="1" applyAlignment="1">
      <alignment horizontal="center"/>
    </xf>
    <xf numFmtId="38" fontId="23" fillId="0" borderId="112" xfId="9" applyNumberFormat="1" applyFont="1" applyBorder="1" applyAlignment="1">
      <alignment horizontal="center"/>
    </xf>
    <xf numFmtId="38" fontId="23" fillId="0" borderId="113" xfId="9" applyNumberFormat="1" applyFont="1" applyBorder="1" applyAlignment="1">
      <alignment horizontal="center"/>
    </xf>
    <xf numFmtId="38" fontId="21" fillId="0" borderId="95" xfId="9" applyNumberFormat="1" applyFont="1" applyBorder="1" applyAlignment="1">
      <alignment horizontal="center"/>
    </xf>
    <xf numFmtId="38" fontId="21" fillId="0" borderId="96" xfId="9" applyNumberFormat="1" applyFont="1" applyBorder="1" applyAlignment="1">
      <alignment horizontal="center"/>
    </xf>
    <xf numFmtId="38" fontId="21" fillId="21" borderId="98" xfId="9" applyNumberFormat="1" applyFont="1" applyFill="1" applyBorder="1" applyAlignment="1">
      <alignment horizontal="center"/>
    </xf>
    <xf numFmtId="38" fontId="21" fillId="0" borderId="3" xfId="9" applyNumberFormat="1" applyFont="1" applyBorder="1" applyAlignment="1">
      <alignment horizontal="center"/>
    </xf>
    <xf numFmtId="38" fontId="23" fillId="21" borderId="57" xfId="9" applyNumberFormat="1" applyFont="1" applyFill="1" applyBorder="1" applyAlignment="1">
      <alignment horizontal="center"/>
    </xf>
    <xf numFmtId="38" fontId="23" fillId="0" borderId="114" xfId="9" applyNumberFormat="1" applyFont="1" applyBorder="1" applyAlignment="1">
      <alignment horizontal="center"/>
    </xf>
    <xf numFmtId="38" fontId="23" fillId="0" borderId="115" xfId="9" applyNumberFormat="1" applyFont="1" applyBorder="1" applyAlignment="1">
      <alignment horizontal="center"/>
    </xf>
    <xf numFmtId="38" fontId="23" fillId="0" borderId="116" xfId="9" applyNumberFormat="1" applyFont="1" applyBorder="1" applyAlignment="1">
      <alignment horizontal="center"/>
    </xf>
    <xf numFmtId="38" fontId="23" fillId="0" borderId="117" xfId="9" applyNumberFormat="1" applyFont="1" applyBorder="1" applyAlignment="1">
      <alignment horizontal="center"/>
    </xf>
    <xf numFmtId="38" fontId="23" fillId="0" borderId="118" xfId="9" applyNumberFormat="1" applyFont="1" applyBorder="1" applyAlignment="1">
      <alignment horizontal="center"/>
    </xf>
    <xf numFmtId="38" fontId="23" fillId="0" borderId="119" xfId="9" applyNumberFormat="1" applyFont="1" applyBorder="1" applyAlignment="1">
      <alignment horizontal="center"/>
    </xf>
    <xf numFmtId="38" fontId="23" fillId="0" borderId="10" xfId="9" applyNumberFormat="1" applyFont="1" applyBorder="1" applyAlignment="1">
      <alignment horizontal="center"/>
    </xf>
    <xf numFmtId="38" fontId="23" fillId="0" borderId="120" xfId="9" applyNumberFormat="1" applyFont="1" applyBorder="1" applyAlignment="1">
      <alignment horizontal="center"/>
    </xf>
    <xf numFmtId="38" fontId="23" fillId="0" borderId="174" xfId="9" applyNumberFormat="1" applyFont="1" applyBorder="1" applyAlignment="1">
      <alignment horizontal="center"/>
    </xf>
    <xf numFmtId="38" fontId="21" fillId="0" borderId="122" xfId="10" applyNumberFormat="1" applyFont="1" applyBorder="1" applyAlignment="1">
      <alignment vertical="top"/>
    </xf>
    <xf numFmtId="38" fontId="23" fillId="0" borderId="123" xfId="9" applyNumberFormat="1" applyFont="1" applyBorder="1" applyAlignment="1">
      <alignment horizontal="center"/>
    </xf>
    <xf numFmtId="38" fontId="21" fillId="0" borderId="121" xfId="9" applyNumberFormat="1" applyFont="1" applyBorder="1" applyAlignment="1">
      <alignment horizontal="center"/>
    </xf>
    <xf numFmtId="38" fontId="21" fillId="0" borderId="175" xfId="9" applyNumberFormat="1" applyFont="1" applyBorder="1" applyAlignment="1">
      <alignment horizontal="center"/>
    </xf>
    <xf numFmtId="38" fontId="23" fillId="0" borderId="125" xfId="9" applyNumberFormat="1" applyFont="1" applyBorder="1" applyAlignment="1">
      <alignment horizontal="center"/>
    </xf>
    <xf numFmtId="38" fontId="21" fillId="0" borderId="126" xfId="9" applyNumberFormat="1" applyFont="1" applyBorder="1" applyAlignment="1">
      <alignment horizontal="center"/>
    </xf>
    <xf numFmtId="38" fontId="21" fillId="21" borderId="78" xfId="9" applyNumberFormat="1" applyFont="1" applyFill="1" applyBorder="1" applyAlignment="1">
      <alignment horizontal="center"/>
    </xf>
    <xf numFmtId="38" fontId="21" fillId="0" borderId="124" xfId="9" applyNumberFormat="1" applyFont="1" applyBorder="1" applyAlignment="1">
      <alignment horizontal="center"/>
    </xf>
    <xf numFmtId="38" fontId="23" fillId="0" borderId="121" xfId="9" applyNumberFormat="1" applyFont="1" applyBorder="1" applyAlignment="1">
      <alignment horizontal="center"/>
    </xf>
    <xf numFmtId="38" fontId="21" fillId="0" borderId="127" xfId="9" applyNumberFormat="1" applyFont="1" applyBorder="1" applyAlignment="1">
      <alignment horizontal="center"/>
    </xf>
    <xf numFmtId="38" fontId="21" fillId="0" borderId="38" xfId="10" applyNumberFormat="1" applyFont="1" applyBorder="1" applyAlignment="1">
      <alignment horizontal="left" vertical="top"/>
    </xf>
    <xf numFmtId="38" fontId="21" fillId="0" borderId="37" xfId="9" applyNumberFormat="1" applyFont="1" applyBorder="1" applyAlignment="1">
      <alignment horizontal="center"/>
    </xf>
    <xf numFmtId="38" fontId="21" fillId="0" borderId="176" xfId="9" applyNumberFormat="1" applyFont="1" applyBorder="1" applyAlignment="1">
      <alignment horizontal="center"/>
    </xf>
    <xf numFmtId="38" fontId="21" fillId="0" borderId="38" xfId="10" applyNumberFormat="1" applyFont="1" applyBorder="1" applyAlignment="1">
      <alignment vertical="top"/>
    </xf>
    <xf numFmtId="38" fontId="21" fillId="0" borderId="125" xfId="9" applyNumberFormat="1" applyFont="1" applyBorder="1" applyAlignment="1">
      <alignment horizontal="center"/>
    </xf>
    <xf numFmtId="38" fontId="21" fillId="0" borderId="80" xfId="10" applyNumberFormat="1" applyFont="1" applyBorder="1" applyAlignment="1">
      <alignment vertical="top"/>
    </xf>
    <xf numFmtId="38" fontId="21" fillId="0" borderId="79" xfId="9" applyNumberFormat="1" applyFont="1" applyBorder="1" applyAlignment="1">
      <alignment horizontal="center"/>
    </xf>
    <xf numFmtId="38" fontId="21" fillId="0" borderId="177" xfId="9" applyNumberFormat="1" applyFont="1" applyBorder="1" applyAlignment="1">
      <alignment horizontal="center"/>
    </xf>
    <xf numFmtId="38" fontId="23" fillId="0" borderId="178" xfId="9" applyNumberFormat="1" applyFont="1" applyBorder="1" applyAlignment="1">
      <alignment horizontal="center"/>
    </xf>
    <xf numFmtId="38" fontId="23" fillId="0" borderId="179" xfId="9" applyNumberFormat="1" applyFont="1" applyBorder="1" applyAlignment="1">
      <alignment horizontal="center"/>
    </xf>
    <xf numFmtId="38" fontId="23" fillId="0" borderId="180" xfId="9" applyNumberFormat="1" applyFont="1" applyBorder="1" applyAlignment="1">
      <alignment horizontal="center"/>
    </xf>
    <xf numFmtId="38" fontId="23" fillId="0" borderId="148" xfId="9" applyNumberFormat="1" applyFont="1" applyBorder="1" applyAlignment="1">
      <alignment horizontal="center"/>
    </xf>
    <xf numFmtId="38" fontId="23" fillId="0" borderId="181" xfId="9" applyNumberFormat="1" applyFont="1" applyBorder="1" applyAlignment="1">
      <alignment horizontal="center"/>
    </xf>
    <xf numFmtId="38" fontId="23" fillId="21" borderId="179" xfId="9" applyNumberFormat="1" applyFont="1" applyFill="1" applyBorder="1" applyAlignment="1">
      <alignment horizontal="center"/>
    </xf>
    <xf numFmtId="38" fontId="23" fillId="0" borderId="6" xfId="9" applyNumberFormat="1" applyFont="1" applyBorder="1" applyAlignment="1">
      <alignment horizontal="center"/>
    </xf>
    <xf numFmtId="38" fontId="23" fillId="0" borderId="150" xfId="9" applyNumberFormat="1" applyFont="1" applyBorder="1" applyAlignment="1">
      <alignment horizontal="center"/>
    </xf>
    <xf numFmtId="38" fontId="23" fillId="0" borderId="170" xfId="9" applyNumberFormat="1" applyFont="1" applyBorder="1" applyAlignment="1">
      <alignment horizontal="center"/>
    </xf>
    <xf numFmtId="38" fontId="23" fillId="0" borderId="72" xfId="9" applyNumberFormat="1" applyFont="1" applyBorder="1" applyAlignment="1">
      <alignment horizontal="center"/>
    </xf>
    <xf numFmtId="38" fontId="23" fillId="0" borderId="122" xfId="9" applyNumberFormat="1" applyFont="1" applyBorder="1" applyAlignment="1">
      <alignment horizontal="center"/>
    </xf>
    <xf numFmtId="38" fontId="23" fillId="0" borderId="126" xfId="9" applyNumberFormat="1" applyFont="1" applyBorder="1" applyAlignment="1">
      <alignment horizontal="center"/>
    </xf>
    <xf numFmtId="38" fontId="23" fillId="0" borderId="78" xfId="9" applyNumberFormat="1" applyFont="1" applyBorder="1" applyAlignment="1">
      <alignment horizontal="center"/>
    </xf>
    <xf numFmtId="38" fontId="21" fillId="0" borderId="129" xfId="9" applyNumberFormat="1" applyFont="1" applyBorder="1" applyAlignment="1">
      <alignment horizontal="center"/>
    </xf>
    <xf numFmtId="38" fontId="23" fillId="0" borderId="128" xfId="9" applyNumberFormat="1" applyFont="1" applyBorder="1" applyAlignment="1">
      <alignment horizontal="center"/>
    </xf>
    <xf numFmtId="38" fontId="21" fillId="0" borderId="130" xfId="9" applyNumberFormat="1" applyFont="1" applyBorder="1" applyAlignment="1">
      <alignment horizontal="center"/>
    </xf>
    <xf numFmtId="38" fontId="23" fillId="0" borderId="131" xfId="9" applyNumberFormat="1" applyFont="1" applyBorder="1" applyAlignment="1">
      <alignment horizontal="center"/>
    </xf>
    <xf numFmtId="38" fontId="21" fillId="0" borderId="132" xfId="9" applyNumberFormat="1" applyFont="1" applyBorder="1" applyAlignment="1">
      <alignment horizontal="center"/>
    </xf>
    <xf numFmtId="38" fontId="21" fillId="21" borderId="129" xfId="9" applyNumberFormat="1" applyFont="1" applyFill="1" applyBorder="1" applyAlignment="1">
      <alignment horizontal="center"/>
    </xf>
    <xf numFmtId="38" fontId="23" fillId="0" borderId="133" xfId="9" applyNumberFormat="1" applyFont="1" applyBorder="1" applyAlignment="1">
      <alignment horizontal="center"/>
    </xf>
    <xf numFmtId="38" fontId="21" fillId="0" borderId="134" xfId="9" applyNumberFormat="1" applyFont="1" applyBorder="1" applyAlignment="1">
      <alignment horizontal="center"/>
    </xf>
    <xf numFmtId="38" fontId="21" fillId="0" borderId="135" xfId="9" applyNumberFormat="1" applyFont="1" applyBorder="1" applyAlignment="1">
      <alignment horizontal="center"/>
    </xf>
    <xf numFmtId="38" fontId="23" fillId="0" borderId="82" xfId="9" applyNumberFormat="1" applyFont="1" applyBorder="1" applyAlignment="1">
      <alignment horizontal="center"/>
    </xf>
    <xf numFmtId="38" fontId="23" fillId="0" borderId="83" xfId="9" applyNumberFormat="1" applyFont="1" applyBorder="1" applyAlignment="1">
      <alignment horizontal="center"/>
    </xf>
    <xf numFmtId="38" fontId="23" fillId="0" borderId="140" xfId="9" applyNumberFormat="1" applyFont="1" applyBorder="1" applyAlignment="1">
      <alignment horizontal="center"/>
    </xf>
    <xf numFmtId="38" fontId="23" fillId="0" borderId="136" xfId="9" applyNumberFormat="1" applyFont="1" applyBorder="1" applyAlignment="1">
      <alignment horizontal="center"/>
    </xf>
    <xf numFmtId="38" fontId="23" fillId="0" borderId="138" xfId="9" applyNumberFormat="1" applyFont="1" applyBorder="1" applyAlignment="1">
      <alignment horizontal="center"/>
    </xf>
    <xf numFmtId="38" fontId="23" fillId="0" borderId="137" xfId="9" applyNumberFormat="1" applyFont="1" applyBorder="1" applyAlignment="1">
      <alignment horizontal="center"/>
    </xf>
    <xf numFmtId="38" fontId="23" fillId="0" borderId="1" xfId="9" applyNumberFormat="1" applyFont="1" applyBorder="1" applyAlignment="1">
      <alignment horizontal="center"/>
    </xf>
    <xf numFmtId="38" fontId="23" fillId="21" borderId="92" xfId="9" applyNumberFormat="1" applyFont="1" applyFill="1" applyBorder="1" applyAlignment="1">
      <alignment horizontal="center"/>
    </xf>
    <xf numFmtId="38" fontId="23" fillId="0" borderId="5" xfId="9" applyNumberFormat="1" applyFont="1" applyBorder="1" applyAlignment="1">
      <alignment horizontal="center"/>
    </xf>
    <xf numFmtId="38" fontId="23" fillId="0" borderId="19" xfId="9" applyNumberFormat="1" applyFont="1" applyBorder="1" applyAlignment="1">
      <alignment horizontal="center"/>
    </xf>
    <xf numFmtId="38" fontId="23" fillId="0" borderId="139" xfId="9" applyNumberFormat="1" applyFont="1" applyBorder="1" applyAlignment="1">
      <alignment horizontal="center"/>
    </xf>
    <xf numFmtId="38" fontId="23" fillId="0" borderId="15" xfId="9" applyNumberFormat="1" applyFont="1" applyBorder="1" applyAlignment="1">
      <alignment horizontal="center"/>
    </xf>
    <xf numFmtId="38" fontId="23" fillId="21" borderId="138" xfId="9" applyNumberFormat="1" applyFont="1" applyFill="1" applyBorder="1" applyAlignment="1">
      <alignment horizontal="center"/>
    </xf>
    <xf numFmtId="38" fontId="21" fillId="0" borderId="38" xfId="9" applyNumberFormat="1" applyFont="1" applyBorder="1" applyAlignment="1">
      <alignment horizontal="left" vertical="top"/>
    </xf>
    <xf numFmtId="38" fontId="23" fillId="21" borderId="72" xfId="9" applyNumberFormat="1" applyFont="1" applyFill="1" applyBorder="1" applyAlignment="1">
      <alignment horizontal="center"/>
    </xf>
    <xf numFmtId="38" fontId="23" fillId="0" borderId="74" xfId="9" applyNumberFormat="1" applyFont="1" applyBorder="1" applyAlignment="1">
      <alignment horizontal="center"/>
    </xf>
    <xf numFmtId="38" fontId="23" fillId="0" borderId="76" xfId="9" applyNumberFormat="1" applyFont="1" applyBorder="1" applyAlignment="1">
      <alignment horizontal="center"/>
    </xf>
    <xf numFmtId="38" fontId="23" fillId="0" borderId="176" xfId="9" applyNumberFormat="1" applyFont="1" applyBorder="1" applyAlignment="1">
      <alignment horizontal="center"/>
    </xf>
    <xf numFmtId="38" fontId="23" fillId="21" borderId="40" xfId="9" applyNumberFormat="1" applyFont="1" applyFill="1" applyBorder="1" applyAlignment="1">
      <alignment horizontal="center"/>
    </xf>
    <xf numFmtId="38" fontId="23" fillId="0" borderId="44" xfId="9" applyNumberFormat="1" applyFont="1" applyBorder="1" applyAlignment="1">
      <alignment horizontal="center"/>
    </xf>
    <xf numFmtId="38" fontId="21" fillId="0" borderId="133" xfId="9" applyNumberFormat="1" applyFont="1" applyBorder="1" applyAlignment="1">
      <alignment horizontal="center"/>
    </xf>
    <xf numFmtId="38" fontId="21" fillId="0" borderId="131" xfId="9" applyNumberFormat="1" applyFont="1" applyBorder="1" applyAlignment="1">
      <alignment horizontal="center"/>
    </xf>
    <xf numFmtId="38" fontId="21" fillId="0" borderId="80" xfId="9" applyNumberFormat="1" applyFont="1" applyBorder="1" applyAlignment="1">
      <alignment horizontal="left" vertical="top"/>
    </xf>
    <xf numFmtId="38" fontId="23" fillId="0" borderId="177" xfId="9" applyNumberFormat="1" applyFont="1" applyBorder="1" applyAlignment="1">
      <alignment horizontal="center"/>
    </xf>
    <xf numFmtId="38" fontId="23" fillId="21" borderId="82" xfId="9" applyNumberFormat="1" applyFont="1" applyFill="1" applyBorder="1" applyAlignment="1">
      <alignment horizontal="center"/>
    </xf>
    <xf numFmtId="38" fontId="23" fillId="0" borderId="84" xfId="9" applyNumberFormat="1" applyFont="1" applyBorder="1" applyAlignment="1">
      <alignment horizontal="center"/>
    </xf>
    <xf numFmtId="38" fontId="23" fillId="0" borderId="86" xfId="9" applyNumberFormat="1" applyFont="1" applyBorder="1" applyAlignment="1">
      <alignment horizontal="center"/>
    </xf>
    <xf numFmtId="38" fontId="23" fillId="0" borderId="87" xfId="9" applyNumberFormat="1" applyFont="1" applyBorder="1" applyAlignment="1">
      <alignment horizontal="center"/>
    </xf>
    <xf numFmtId="38" fontId="21" fillId="0" borderId="70" xfId="9" applyNumberFormat="1" applyFont="1" applyBorder="1" applyAlignment="1">
      <alignment horizontal="left" vertical="top"/>
    </xf>
    <xf numFmtId="38" fontId="21" fillId="0" borderId="101" xfId="9" applyNumberFormat="1" applyFont="1" applyBorder="1" applyAlignment="1">
      <alignment horizontal="center"/>
    </xf>
    <xf numFmtId="38" fontId="21" fillId="0" borderId="182" xfId="9" applyNumberFormat="1" applyFont="1" applyBorder="1" applyAlignment="1">
      <alignment horizontal="center"/>
    </xf>
    <xf numFmtId="38" fontId="21" fillId="0" borderId="122" xfId="9" applyNumberFormat="1" applyFont="1" applyBorder="1" applyAlignment="1">
      <alignment horizontal="left" vertical="top"/>
    </xf>
    <xf numFmtId="38" fontId="21" fillId="0" borderId="183" xfId="9" applyNumberFormat="1" applyFont="1" applyBorder="1" applyAlignment="1">
      <alignment horizontal="center"/>
    </xf>
    <xf numFmtId="38" fontId="21" fillId="0" borderId="184" xfId="9" applyNumberFormat="1" applyFont="1" applyBorder="1" applyAlignment="1">
      <alignment horizontal="center"/>
    </xf>
    <xf numFmtId="38" fontId="21" fillId="0" borderId="185" xfId="9" applyNumberFormat="1" applyFont="1" applyBorder="1" applyAlignment="1">
      <alignment horizontal="center"/>
    </xf>
    <xf numFmtId="38" fontId="21" fillId="0" borderId="186" xfId="9" applyNumberFormat="1" applyFont="1" applyBorder="1" applyAlignment="1">
      <alignment horizontal="center"/>
    </xf>
    <xf numFmtId="38" fontId="23" fillId="0" borderId="97" xfId="9" applyNumberFormat="1" applyFont="1" applyBorder="1" applyAlignment="1">
      <alignment horizontal="center"/>
    </xf>
    <xf numFmtId="38" fontId="23" fillId="0" borderId="98" xfId="9" applyNumberFormat="1" applyFont="1" applyBorder="1" applyAlignment="1">
      <alignment horizontal="center"/>
    </xf>
    <xf numFmtId="38" fontId="23" fillId="0" borderId="99" xfId="9" applyNumberFormat="1" applyFont="1" applyBorder="1" applyAlignment="1">
      <alignment horizontal="center"/>
    </xf>
    <xf numFmtId="38" fontId="23" fillId="21" borderId="98" xfId="9" applyNumberFormat="1" applyFont="1" applyFill="1" applyBorder="1" applyAlignment="1">
      <alignment horizontal="center"/>
    </xf>
    <xf numFmtId="38" fontId="23" fillId="0" borderId="16" xfId="9" applyNumberFormat="1" applyFont="1" applyBorder="1" applyAlignment="1">
      <alignment horizontal="center"/>
    </xf>
    <xf numFmtId="38" fontId="23" fillId="0" borderId="141" xfId="9" applyNumberFormat="1" applyFont="1" applyBorder="1" applyAlignment="1">
      <alignment horizontal="center"/>
    </xf>
    <xf numFmtId="38" fontId="21" fillId="0" borderId="0" xfId="9" applyNumberFormat="1" applyFont="1" applyAlignment="1">
      <alignment horizontal="left"/>
    </xf>
    <xf numFmtId="171" fontId="23" fillId="0" borderId="0" xfId="9" applyNumberFormat="1" applyFont="1" applyAlignment="1">
      <alignment horizontal="left"/>
    </xf>
    <xf numFmtId="171" fontId="21" fillId="22" borderId="0" xfId="9" applyNumberFormat="1" applyFont="1" applyFill="1" applyAlignment="1">
      <alignment horizontal="left"/>
    </xf>
    <xf numFmtId="171" fontId="21" fillId="6" borderId="0" xfId="9" applyNumberFormat="1" applyFont="1" applyFill="1" applyAlignment="1">
      <alignment horizontal="left"/>
    </xf>
    <xf numFmtId="171" fontId="21" fillId="8" borderId="0" xfId="9" applyNumberFormat="1" applyFont="1" applyFill="1" applyAlignment="1">
      <alignment horizontal="left"/>
    </xf>
    <xf numFmtId="166" fontId="35" fillId="35" borderId="0" xfId="1" applyNumberFormat="1" applyFont="1" applyFill="1"/>
    <xf numFmtId="10" fontId="9" fillId="7" borderId="0" xfId="1" applyNumberFormat="1" applyFont="1" applyFill="1"/>
    <xf numFmtId="0" fontId="16" fillId="2" borderId="0" xfId="0" applyFont="1" applyFill="1" applyAlignment="1">
      <alignment horizontal="center"/>
    </xf>
    <xf numFmtId="0" fontId="73" fillId="37" borderId="0" xfId="4" applyFont="1" applyBorder="1" applyAlignment="1">
      <alignment horizontal="left" wrapText="1"/>
    </xf>
    <xf numFmtId="0" fontId="73" fillId="37" borderId="0" xfId="4" applyFont="1" applyBorder="1" applyAlignment="1">
      <alignment horizontal="center" wrapText="1"/>
    </xf>
    <xf numFmtId="0" fontId="35" fillId="5" borderId="0" xfId="6" applyFont="1" applyFill="1" applyAlignment="1">
      <alignment vertical="center"/>
    </xf>
    <xf numFmtId="0" fontId="49" fillId="5" borderId="0" xfId="6" applyFont="1" applyFill="1" applyAlignment="1">
      <alignment horizontal="center" vertical="center"/>
    </xf>
    <xf numFmtId="0" fontId="44" fillId="5" borderId="0" xfId="8" applyFill="1" applyAlignment="1">
      <alignment vertical="center"/>
    </xf>
    <xf numFmtId="165" fontId="82" fillId="39" borderId="113" xfId="0" applyNumberFormat="1" applyFont="1" applyFill="1" applyBorder="1" applyAlignment="1">
      <alignment horizontal="center" vertical="center"/>
    </xf>
    <xf numFmtId="165" fontId="82" fillId="39" borderId="106" xfId="0" applyNumberFormat="1" applyFont="1" applyFill="1" applyBorder="1" applyAlignment="1">
      <alignment horizontal="center" vertical="center"/>
    </xf>
    <xf numFmtId="165" fontId="82" fillId="39" borderId="146" xfId="0" applyNumberFormat="1" applyFont="1" applyFill="1" applyBorder="1" applyAlignment="1">
      <alignment horizontal="center" vertical="center"/>
    </xf>
    <xf numFmtId="165" fontId="82" fillId="12" borderId="68" xfId="0" applyNumberFormat="1" applyFont="1" applyFill="1" applyBorder="1" applyAlignment="1">
      <alignment horizontal="center" vertical="center"/>
    </xf>
    <xf numFmtId="165" fontId="82" fillId="12" borderId="166" xfId="0" applyNumberFormat="1" applyFont="1" applyFill="1" applyBorder="1" applyAlignment="1">
      <alignment horizontal="center" vertical="center"/>
    </xf>
    <xf numFmtId="0" fontId="81" fillId="10" borderId="26" xfId="0" applyFont="1" applyFill="1" applyBorder="1" applyAlignment="1">
      <alignment horizontal="center" vertical="center"/>
    </xf>
    <xf numFmtId="0" fontId="81" fillId="10" borderId="2" xfId="0" applyFont="1" applyFill="1" applyBorder="1" applyAlignment="1">
      <alignment horizontal="center" vertical="center"/>
    </xf>
    <xf numFmtId="165" fontId="16" fillId="39" borderId="12" xfId="0" applyNumberFormat="1" applyFont="1" applyFill="1" applyBorder="1" applyAlignment="1">
      <alignment horizontal="center" vertical="center"/>
    </xf>
    <xf numFmtId="165" fontId="16" fillId="39" borderId="0" xfId="0" applyNumberFormat="1" applyFont="1" applyFill="1" applyAlignment="1">
      <alignment horizontal="center" vertical="center"/>
    </xf>
    <xf numFmtId="165" fontId="16" fillId="39" borderId="19" xfId="0" applyNumberFormat="1" applyFont="1" applyFill="1" applyBorder="1" applyAlignment="1">
      <alignment horizontal="center" vertical="center"/>
    </xf>
    <xf numFmtId="165" fontId="16" fillId="39" borderId="5" xfId="0" applyNumberFormat="1" applyFont="1" applyFill="1" applyBorder="1" applyAlignment="1">
      <alignment horizontal="center" vertical="center"/>
    </xf>
    <xf numFmtId="165" fontId="16" fillId="39" borderId="15" xfId="0" applyNumberFormat="1" applyFont="1" applyFill="1" applyBorder="1" applyAlignment="1">
      <alignment horizontal="center" vertical="center"/>
    </xf>
    <xf numFmtId="0" fontId="39" fillId="11" borderId="113" xfId="0" applyFont="1" applyFill="1" applyBorder="1" applyAlignment="1" applyProtection="1">
      <alignment horizontal="center"/>
      <protection locked="0"/>
    </xf>
    <xf numFmtId="0" fontId="39" fillId="11" borderId="106" xfId="0" applyFont="1" applyFill="1" applyBorder="1" applyAlignment="1" applyProtection="1">
      <alignment horizontal="center"/>
      <protection locked="0"/>
    </xf>
    <xf numFmtId="0" fontId="39" fillId="11" borderId="146" xfId="0" applyFont="1" applyFill="1" applyBorder="1" applyAlignment="1" applyProtection="1">
      <alignment horizontal="center"/>
      <protection locked="0"/>
    </xf>
    <xf numFmtId="2" fontId="45" fillId="0" borderId="68" xfId="0" applyNumberFormat="1" applyFont="1" applyBorder="1" applyAlignment="1">
      <alignment horizontal="center"/>
    </xf>
    <xf numFmtId="2" fontId="45" fillId="0" borderId="166" xfId="0" applyNumberFormat="1" applyFont="1" applyBorder="1" applyAlignment="1">
      <alignment horizontal="center"/>
    </xf>
    <xf numFmtId="0" fontId="88" fillId="11" borderId="139" xfId="0" applyFont="1" applyFill="1" applyBorder="1" applyAlignment="1">
      <alignment horizontal="center" vertical="center"/>
    </xf>
    <xf numFmtId="0" fontId="88" fillId="11" borderId="167" xfId="0" applyFont="1" applyFill="1" applyBorder="1" applyAlignment="1">
      <alignment horizontal="center" vertical="center"/>
    </xf>
    <xf numFmtId="2" fontId="45" fillId="0" borderId="65" xfId="0" applyNumberFormat="1" applyFont="1" applyBorder="1" applyAlignment="1">
      <alignment horizontal="center"/>
    </xf>
    <xf numFmtId="2" fontId="45" fillId="0" borderId="168" xfId="0" applyNumberFormat="1" applyFont="1" applyBorder="1" applyAlignment="1">
      <alignment horizontal="center"/>
    </xf>
    <xf numFmtId="2" fontId="32" fillId="2" borderId="113" xfId="0" applyNumberFormat="1" applyFont="1" applyFill="1" applyBorder="1" applyAlignment="1" applyProtection="1">
      <alignment horizontal="center" vertical="center" wrapText="1"/>
      <protection locked="0"/>
    </xf>
    <xf numFmtId="2" fontId="32" fillId="2" borderId="146" xfId="0" applyNumberFormat="1" applyFont="1" applyFill="1" applyBorder="1" applyAlignment="1" applyProtection="1">
      <alignment horizontal="center" vertical="center" wrapText="1"/>
      <protection locked="0"/>
    </xf>
    <xf numFmtId="0" fontId="65" fillId="34" borderId="59" xfId="0" applyFont="1" applyFill="1" applyBorder="1" applyAlignment="1" applyProtection="1">
      <alignment horizontal="center" wrapText="1"/>
      <protection locked="0"/>
    </xf>
    <xf numFmtId="0" fontId="65" fillId="34" borderId="26" xfId="0" applyFont="1" applyFill="1" applyBorder="1" applyAlignment="1" applyProtection="1">
      <alignment horizontal="center" wrapText="1"/>
      <protection locked="0"/>
    </xf>
    <xf numFmtId="0" fontId="39" fillId="11" borderId="7" xfId="0" applyFont="1" applyFill="1" applyBorder="1" applyAlignment="1" applyProtection="1">
      <alignment horizontal="center" wrapText="1"/>
      <protection locked="0"/>
    </xf>
    <xf numFmtId="0" fontId="39" fillId="11" borderId="8" xfId="0" applyFont="1" applyFill="1" applyBorder="1" applyAlignment="1" applyProtection="1">
      <alignment horizontal="center" wrapText="1"/>
      <protection locked="0"/>
    </xf>
    <xf numFmtId="0" fontId="39" fillId="11" borderId="7" xfId="0" applyFont="1" applyFill="1" applyBorder="1" applyAlignment="1" applyProtection="1">
      <alignment horizontal="center" vertical="center"/>
      <protection locked="0"/>
    </xf>
    <xf numFmtId="0" fontId="39" fillId="11" borderId="8" xfId="0" applyFont="1" applyFill="1" applyBorder="1" applyAlignment="1" applyProtection="1">
      <alignment horizontal="center" vertical="center"/>
      <protection locked="0"/>
    </xf>
    <xf numFmtId="0" fontId="39" fillId="2" borderId="93" xfId="0" applyFont="1" applyFill="1" applyBorder="1" applyAlignment="1" applyProtection="1">
      <alignment horizontal="center"/>
      <protection locked="0"/>
    </xf>
    <xf numFmtId="0" fontId="39" fillId="2" borderId="0" xfId="0" applyFont="1" applyFill="1" applyAlignment="1" applyProtection="1">
      <alignment horizontal="center"/>
      <protection locked="0"/>
    </xf>
    <xf numFmtId="0" fontId="39" fillId="2" borderId="26" xfId="0" applyFont="1" applyFill="1" applyBorder="1" applyAlignment="1" applyProtection="1">
      <alignment horizontal="center"/>
      <protection locked="0"/>
    </xf>
    <xf numFmtId="0" fontId="39" fillId="2" borderId="2" xfId="0" applyFont="1" applyFill="1" applyBorder="1" applyAlignment="1" applyProtection="1">
      <alignment horizontal="center"/>
      <protection locked="0"/>
    </xf>
    <xf numFmtId="0" fontId="39" fillId="2" borderId="7" xfId="0" applyFont="1" applyFill="1" applyBorder="1" applyAlignment="1" applyProtection="1">
      <alignment horizontal="center" wrapText="1"/>
      <protection locked="0"/>
    </xf>
    <xf numFmtId="0" fontId="39" fillId="2" borderId="8" xfId="0" applyFont="1" applyFill="1" applyBorder="1" applyAlignment="1" applyProtection="1">
      <alignment horizontal="center" wrapText="1"/>
      <protection locked="0"/>
    </xf>
    <xf numFmtId="0" fontId="90" fillId="11" borderId="0" xfId="0" applyFont="1" applyFill="1" applyAlignment="1">
      <alignment horizontal="center" vertical="center"/>
    </xf>
    <xf numFmtId="0" fontId="89" fillId="10" borderId="93" xfId="0" applyFont="1" applyFill="1" applyBorder="1" applyAlignment="1">
      <alignment horizontal="center" vertical="center"/>
    </xf>
    <xf numFmtId="0" fontId="89" fillId="10" borderId="0" xfId="0" applyFont="1" applyFill="1" applyAlignment="1">
      <alignment horizontal="center" vertical="center"/>
    </xf>
    <xf numFmtId="0" fontId="89" fillId="11" borderId="93" xfId="0" applyFont="1" applyFill="1" applyBorder="1" applyAlignment="1">
      <alignment horizontal="center" vertical="center"/>
    </xf>
    <xf numFmtId="0" fontId="89" fillId="11" borderId="0" xfId="0" applyFont="1" applyFill="1" applyAlignment="1">
      <alignment horizontal="center" vertical="center"/>
    </xf>
    <xf numFmtId="0" fontId="46" fillId="14" borderId="0" xfId="0" applyFont="1" applyFill="1" applyAlignment="1">
      <alignment horizontal="center" vertical="center"/>
    </xf>
    <xf numFmtId="0" fontId="40" fillId="3" borderId="0" xfId="0" applyFont="1" applyFill="1" applyAlignment="1">
      <alignment horizontal="center" vertical="center"/>
    </xf>
    <xf numFmtId="0" fontId="46" fillId="17" borderId="113" xfId="0" applyFont="1" applyFill="1" applyBorder="1" applyAlignment="1">
      <alignment horizontal="center" vertical="center"/>
    </xf>
    <xf numFmtId="0" fontId="46" fillId="17" borderId="106" xfId="0" applyFont="1" applyFill="1" applyBorder="1" applyAlignment="1">
      <alignment horizontal="center" vertical="center"/>
    </xf>
    <xf numFmtId="0" fontId="46" fillId="17" borderId="146" xfId="0" applyFont="1" applyFill="1" applyBorder="1" applyAlignment="1">
      <alignment horizontal="center" vertical="center"/>
    </xf>
    <xf numFmtId="0" fontId="28" fillId="11" borderId="59" xfId="0" applyFont="1" applyFill="1" applyBorder="1" applyAlignment="1">
      <alignment horizontal="center" vertical="center"/>
    </xf>
    <xf numFmtId="0" fontId="28" fillId="11" borderId="18" xfId="0" applyFont="1" applyFill="1" applyBorder="1" applyAlignment="1">
      <alignment horizontal="center" vertical="center"/>
    </xf>
    <xf numFmtId="0" fontId="28" fillId="11" borderId="143" xfId="0" applyFont="1" applyFill="1" applyBorder="1" applyAlignment="1">
      <alignment horizontal="center" vertical="center"/>
    </xf>
    <xf numFmtId="10" fontId="0" fillId="0" borderId="26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4" xfId="0" applyBorder="1" applyAlignment="1">
      <alignment horizontal="center"/>
    </xf>
    <xf numFmtId="0" fontId="92" fillId="17" borderId="113" xfId="0" applyFont="1" applyFill="1" applyBorder="1" applyAlignment="1">
      <alignment horizontal="center" vertical="center"/>
    </xf>
    <xf numFmtId="0" fontId="92" fillId="17" borderId="106" xfId="0" applyFont="1" applyFill="1" applyBorder="1" applyAlignment="1">
      <alignment horizontal="center" vertical="center"/>
    </xf>
    <xf numFmtId="0" fontId="92" fillId="17" borderId="146" xfId="0" applyFont="1" applyFill="1" applyBorder="1" applyAlignment="1">
      <alignment horizontal="center" vertical="center"/>
    </xf>
    <xf numFmtId="0" fontId="86" fillId="27" borderId="141" xfId="0" applyFont="1" applyFill="1" applyBorder="1" applyAlignment="1">
      <alignment horizontal="center"/>
    </xf>
    <xf numFmtId="0" fontId="86" fillId="27" borderId="106" xfId="0" applyFont="1" applyFill="1" applyBorder="1" applyAlignment="1">
      <alignment horizontal="center"/>
    </xf>
    <xf numFmtId="0" fontId="86" fillId="27" borderId="159" xfId="0" applyFont="1" applyFill="1" applyBorder="1" applyAlignment="1">
      <alignment horizontal="center"/>
    </xf>
    <xf numFmtId="166" fontId="88" fillId="11" borderId="113" xfId="1" applyNumberFormat="1" applyFont="1" applyFill="1" applyBorder="1" applyAlignment="1">
      <alignment horizontal="center" vertical="center"/>
    </xf>
    <xf numFmtId="166" fontId="88" fillId="11" borderId="146" xfId="1" applyNumberFormat="1" applyFont="1" applyFill="1" applyBorder="1" applyAlignment="1">
      <alignment horizontal="center" vertical="center"/>
    </xf>
    <xf numFmtId="0" fontId="46" fillId="17" borderId="2" xfId="0" applyFont="1" applyFill="1" applyBorder="1" applyAlignment="1">
      <alignment horizontal="center" vertical="center"/>
    </xf>
    <xf numFmtId="0" fontId="29" fillId="27" borderId="0" xfId="0" applyFont="1" applyFill="1" applyAlignment="1">
      <alignment horizontal="center"/>
    </xf>
    <xf numFmtId="0" fontId="29" fillId="27" borderId="145" xfId="0" applyFont="1" applyFill="1" applyBorder="1" applyAlignment="1">
      <alignment horizontal="center"/>
    </xf>
    <xf numFmtId="0" fontId="28" fillId="11" borderId="113" xfId="0" applyFont="1" applyFill="1" applyBorder="1" applyAlignment="1">
      <alignment horizontal="center" vertical="center"/>
    </xf>
    <xf numFmtId="0" fontId="28" fillId="11" borderId="106" xfId="0" applyFont="1" applyFill="1" applyBorder="1" applyAlignment="1">
      <alignment horizontal="center" vertical="center"/>
    </xf>
    <xf numFmtId="0" fontId="28" fillId="11" borderId="146" xfId="0" applyFont="1" applyFill="1" applyBorder="1" applyAlignment="1">
      <alignment horizontal="center" vertical="center"/>
    </xf>
    <xf numFmtId="0" fontId="60" fillId="27" borderId="59" xfId="0" quotePrefix="1" applyFont="1" applyFill="1" applyBorder="1" applyAlignment="1">
      <alignment horizontal="center" vertical="center"/>
    </xf>
    <xf numFmtId="0" fontId="60" fillId="27" borderId="18" xfId="0" quotePrefix="1" applyFont="1" applyFill="1" applyBorder="1" applyAlignment="1">
      <alignment horizontal="center" vertical="center"/>
    </xf>
    <xf numFmtId="0" fontId="60" fillId="27" borderId="143" xfId="0" quotePrefix="1" applyFont="1" applyFill="1" applyBorder="1" applyAlignment="1">
      <alignment horizontal="center" vertical="center"/>
    </xf>
    <xf numFmtId="0" fontId="56" fillId="27" borderId="113" xfId="0" applyFont="1" applyFill="1" applyBorder="1" applyAlignment="1">
      <alignment horizontal="center"/>
    </xf>
    <xf numFmtId="0" fontId="56" fillId="27" borderId="106" xfId="0" applyFont="1" applyFill="1" applyBorder="1" applyAlignment="1">
      <alignment horizontal="center"/>
    </xf>
    <xf numFmtId="0" fontId="56" fillId="27" borderId="146" xfId="0" applyFont="1" applyFill="1" applyBorder="1" applyAlignment="1">
      <alignment horizontal="center"/>
    </xf>
    <xf numFmtId="0" fontId="60" fillId="25" borderId="113" xfId="0" quotePrefix="1" applyFont="1" applyFill="1" applyBorder="1" applyAlignment="1">
      <alignment horizontal="center"/>
    </xf>
    <xf numFmtId="0" fontId="60" fillId="25" borderId="106" xfId="0" quotePrefix="1" applyFont="1" applyFill="1" applyBorder="1" applyAlignment="1">
      <alignment horizontal="center"/>
    </xf>
    <xf numFmtId="0" fontId="60" fillId="25" borderId="146" xfId="0" quotePrefix="1" applyFont="1" applyFill="1" applyBorder="1" applyAlignment="1">
      <alignment horizontal="center"/>
    </xf>
    <xf numFmtId="0" fontId="46" fillId="17" borderId="0" xfId="0" applyFont="1" applyFill="1" applyAlignment="1">
      <alignment horizontal="center" vertical="center"/>
    </xf>
  </cellXfs>
  <cellStyles count="11">
    <cellStyle name="20% - Accent5" xfId="4" builtinId="46"/>
    <cellStyle name="Accent1" xfId="2" builtinId="29"/>
    <cellStyle name="Comma" xfId="5" builtinId="3"/>
    <cellStyle name="Hyperlink" xfId="3" builtinId="8"/>
    <cellStyle name="Hyperlink 2" xfId="8" xr:uid="{E7663622-3EBD-442A-8869-9482D07AFA06}"/>
    <cellStyle name="Normal" xfId="0" builtinId="0"/>
    <cellStyle name="Normal 2" xfId="6" xr:uid="{2AD07E2E-7D06-4C14-8DB4-6BD1EA6F8964}"/>
    <cellStyle name="Normal 3" xfId="7" xr:uid="{91D2ECDD-082C-48E7-A016-F5FEBC6DE15B}"/>
    <cellStyle name="Normal_1990 and 1998 CIP - Prices Quantity and CO2(MH)" xfId="10" xr:uid="{DA39EE82-37B8-4624-87D6-61485535B494}"/>
    <cellStyle name="Normal_2000balx" xfId="9" xr:uid="{00E4BB23-EF2C-4EEA-8668-056646E27EBB}"/>
    <cellStyle name="Percent" xfId="1" builtinId="5"/>
  </cellStyles>
  <dxfs count="204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7" tint="0.79998168889431442"/>
          <bgColor theme="7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general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right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right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right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7" tint="0.59999389629810485"/>
          <bgColor theme="7" tint="0.59999389629810485"/>
        </patternFill>
      </fill>
      <alignment horizontal="righ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right" textRotation="0" wrapText="0" indent="0" justifyLastLine="0" shrinkToFit="0" readingOrder="0"/>
    </dxf>
    <dxf>
      <border outline="0"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right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7" tint="0.59999389629810485"/>
          <bgColor theme="7" tint="0.59999389629810485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border outline="0"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8" formatCode="0.000"/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" formatCode="#,##0"/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" formatCode="#,##0"/>
      <alignment horizontal="right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" formatCode="#,##0"/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" formatCode="#,##0"/>
      <alignment horizontal="righ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3" formatCode="#,##0"/>
      <alignment horizontal="right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numFmt numFmtId="1" formatCode="0"/>
      <alignment horizontal="general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1" formatCode="0"/>
      <alignment horizontal="general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numFmt numFmtId="2" formatCode="0.00"/>
      <alignment horizontal="general" vertical="center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168" formatCode="0.0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numFmt numFmtId="1" formatCode="0"/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theme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strike val="0"/>
        <outline val="0"/>
        <shadow val="0"/>
        <u val="none"/>
        <vertAlign val="baseline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33333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2" formatCode="&quot;€&quot;#,##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numFmt numFmtId="3" formatCode="#,##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2"/>
      </font>
      <alignment horizontal="right" vertical="top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FFFF00"/>
        </patternFill>
      </fill>
    </dxf>
  </dxfs>
  <tableStyles count="1" defaultTableStyle="TableStyleMedium2" defaultPivotStyle="PivotStyleLight16">
    <tableStyle name="Table Style 1" pivot="0" count="1" xr9:uid="{6466AE88-DD34-414A-9E08-915E3C7C4193}">
      <tableStyleElement type="firstRowStripe" dxfId="203"/>
    </tableStyle>
  </tableStyles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 sz="1100"/>
              <a:t>TIMES-IRELAND Residential</a:t>
            </a:r>
            <a:r>
              <a:rPr lang="en-IE" sz="1100" baseline="0"/>
              <a:t> Energy Balance 2018</a:t>
            </a:r>
            <a:endParaRPr lang="en-IE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IE"/>
        </a:p>
      </c:txPr>
    </c:title>
    <c:autoTitleDeleted val="0"/>
    <c:plotArea>
      <c:layout>
        <c:manualLayout>
          <c:layoutTarget val="inner"/>
          <c:xMode val="edge"/>
          <c:yMode val="edge"/>
          <c:x val="0.32308436445444322"/>
          <c:y val="0.20251150539411206"/>
          <c:w val="0.36422088148072407"/>
          <c:h val="0.79748849460588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5D2D-44E5-9F8D-B1CAD29BACA6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6-5D2D-44E5-9F8D-B1CAD29BACA6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2-5D2D-44E5-9F8D-B1CAD29BACA6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5D2D-44E5-9F8D-B1CAD29BACA6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4-5D2D-44E5-9F8D-B1CAD29BACA6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5D2D-44E5-9F8D-B1CAD29BACA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5D2D-44E5-9F8D-B1CAD29BACA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5D2D-44E5-9F8D-B1CAD29BACA6}"/>
                </c:ext>
              </c:extLst>
            </c:dLbl>
            <c:dLbl>
              <c:idx val="2"/>
              <c:layout>
                <c:manualLayout>
                  <c:x val="-0.15776030917622505"/>
                  <c:y val="-4.417344978471577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D2D-44E5-9F8D-B1CAD29BACA6}"/>
                </c:ext>
              </c:extLst>
            </c:dLbl>
            <c:dLbl>
              <c:idx val="3"/>
              <c:layout>
                <c:manualLayout>
                  <c:x val="-0.14109350055196815"/>
                  <c:y val="-0.1602067835385393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D2D-44E5-9F8D-B1CAD29BACA6}"/>
                </c:ext>
              </c:extLst>
            </c:dLbl>
            <c:dLbl>
              <c:idx val="4"/>
              <c:layout>
                <c:manualLayout>
                  <c:x val="-5.6437400220787304E-2"/>
                  <c:y val="-0.2015504696130011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D2D-44E5-9F8D-B1CAD29BACA6}"/>
                </c:ext>
              </c:extLst>
            </c:dLbl>
            <c:dLbl>
              <c:idx val="5"/>
              <c:layout>
                <c:manualLayout>
                  <c:x val="7.054675027598321E-3"/>
                  <c:y val="-5.16796075930772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D2D-44E5-9F8D-B1CAD29BAC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RSD_Balance!$Y$33:$Y$38</c:f>
              <c:strCache>
                <c:ptCount val="6"/>
                <c:pt idx="0">
                  <c:v>Space Heating</c:v>
                </c:pt>
                <c:pt idx="1">
                  <c:v>Water Heating</c:v>
                </c:pt>
                <c:pt idx="2">
                  <c:v>Pumps &amp; Fans</c:v>
                </c:pt>
                <c:pt idx="3">
                  <c:v>Lighting</c:v>
                </c:pt>
                <c:pt idx="4">
                  <c:v>Cooking</c:v>
                </c:pt>
                <c:pt idx="5">
                  <c:v>Appliances</c:v>
                </c:pt>
              </c:strCache>
            </c:strRef>
          </c:cat>
          <c:val>
            <c:numRef>
              <c:f>RSD_Balance!$Z$33:$Z$38</c:f>
              <c:numCache>
                <c:formatCode>0.00</c:formatCode>
                <c:ptCount val="6"/>
                <c:pt idx="0">
                  <c:v>82.152490582671078</c:v>
                </c:pt>
                <c:pt idx="1">
                  <c:v>21.438179605446461</c:v>
                </c:pt>
                <c:pt idx="2">
                  <c:v>1.1487968357609819</c:v>
                </c:pt>
                <c:pt idx="3">
                  <c:v>4.9252824777426403</c:v>
                </c:pt>
                <c:pt idx="4">
                  <c:v>2.7611554513679644</c:v>
                </c:pt>
                <c:pt idx="5">
                  <c:v>16.378697418149557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2D-44E5-9F8D-B1CAD29BACA6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Drop" dropStyle="combo" dx="39" fmlaLink="$A$4" fmlaRange="$A$5:$A$7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svg"/><Relationship Id="rId1" Type="http://schemas.openxmlformats.org/officeDocument/2006/relationships/image" Target="../media/image8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31750</xdr:colOff>
          <xdr:row>3</xdr:row>
          <xdr:rowOff>0</xdr:rowOff>
        </xdr:to>
        <xdr:sp macro="" textlink="">
          <xdr:nvSpPr>
            <xdr:cNvPr id="116737" name="Drop Down 1" hidden="1">
              <a:extLst>
                <a:ext uri="{63B3BB69-23CF-44E3-9099-C40C66FF867C}">
                  <a14:compatExt spid="_x0000_s116737"/>
                </a:ext>
                <a:ext uri="{FF2B5EF4-FFF2-40B4-BE49-F238E27FC236}">
                  <a16:creationId xmlns:a16="http://schemas.microsoft.com/office/drawing/2014/main" id="{00000000-0008-0000-0200-000001C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497416</xdr:colOff>
      <xdr:row>30</xdr:row>
      <xdr:rowOff>59267</xdr:rowOff>
    </xdr:from>
    <xdr:to>
      <xdr:col>10</xdr:col>
      <xdr:colOff>529166</xdr:colOff>
      <xdr:row>44</xdr:row>
      <xdr:rowOff>27516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4763</xdr:colOff>
      <xdr:row>44</xdr:row>
      <xdr:rowOff>4764</xdr:rowOff>
    </xdr:from>
    <xdr:to>
      <xdr:col>25</xdr:col>
      <xdr:colOff>354410</xdr:colOff>
      <xdr:row>46</xdr:row>
      <xdr:rowOff>45642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 rot="5400000">
          <a:off x="15365810" y="7846617"/>
          <a:ext cx="374253" cy="349647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24</xdr:col>
      <xdr:colOff>685800</xdr:colOff>
      <xdr:row>52</xdr:row>
      <xdr:rowOff>95251</xdr:rowOff>
    </xdr:from>
    <xdr:to>
      <xdr:col>25</xdr:col>
      <xdr:colOff>340122</xdr:colOff>
      <xdr:row>54</xdr:row>
      <xdr:rowOff>88504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 rot="5400000">
          <a:off x="15203884" y="9275367"/>
          <a:ext cx="374253" cy="6449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729881</xdr:colOff>
      <xdr:row>28</xdr:row>
      <xdr:rowOff>110051</xdr:rowOff>
    </xdr:from>
    <xdr:to>
      <xdr:col>3</xdr:col>
      <xdr:colOff>1279156</xdr:colOff>
      <xdr:row>46</xdr:row>
      <xdr:rowOff>71951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/>
      </xdr:nvSpPr>
      <xdr:spPr>
        <a:xfrm rot="5400000">
          <a:off x="8133701" y="14008613"/>
          <a:ext cx="533400" cy="5492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15</xdr:col>
      <xdr:colOff>442916</xdr:colOff>
      <xdr:row>93</xdr:row>
      <xdr:rowOff>174625</xdr:rowOff>
    </xdr:from>
    <xdr:to>
      <xdr:col>16</xdr:col>
      <xdr:colOff>714374</xdr:colOff>
      <xdr:row>101</xdr:row>
      <xdr:rowOff>107157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/>
      </xdr:nvSpPr>
      <xdr:spPr>
        <a:xfrm rot="10800000">
          <a:off x="14539916" y="17192625"/>
          <a:ext cx="1493833" cy="14565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654728</xdr:colOff>
      <xdr:row>13</xdr:row>
      <xdr:rowOff>123562</xdr:rowOff>
    </xdr:from>
    <xdr:to>
      <xdr:col>3</xdr:col>
      <xdr:colOff>1204003</xdr:colOff>
      <xdr:row>16</xdr:row>
      <xdr:rowOff>85462</xdr:rowOff>
    </xdr:to>
    <xdr:sp macro="" textlink="">
      <xdr:nvSpPr>
        <xdr:cNvPr id="8" name="Arrow: Right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/>
      </xdr:nvSpPr>
      <xdr:spPr>
        <a:xfrm rot="5400000">
          <a:off x="8054066" y="11107474"/>
          <a:ext cx="533400" cy="5492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397556</xdr:colOff>
      <xdr:row>43</xdr:row>
      <xdr:rowOff>123562</xdr:rowOff>
    </xdr:from>
    <xdr:to>
      <xdr:col>10</xdr:col>
      <xdr:colOff>32431</xdr:colOff>
      <xdr:row>46</xdr:row>
      <xdr:rowOff>85462</xdr:rowOff>
    </xdr:to>
    <xdr:sp macro="" textlink="">
      <xdr:nvSpPr>
        <xdr:cNvPr id="10" name="Arrow: Right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/>
      </xdr:nvSpPr>
      <xdr:spPr>
        <a:xfrm rot="16200000">
          <a:off x="15750269" y="16708174"/>
          <a:ext cx="533400" cy="5492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8</xdr:col>
      <xdr:colOff>1039091</xdr:colOff>
      <xdr:row>27</xdr:row>
      <xdr:rowOff>108080</xdr:rowOff>
    </xdr:from>
    <xdr:to>
      <xdr:col>9</xdr:col>
      <xdr:colOff>746125</xdr:colOff>
      <xdr:row>31</xdr:row>
      <xdr:rowOff>64365</xdr:rowOff>
    </xdr:to>
    <xdr:pic>
      <xdr:nvPicPr>
        <xdr:cNvPr id="3" name="Graphic 2" descr="Arrow circle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421091" y="5537330"/>
          <a:ext cx="754784" cy="7500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125800</xdr:colOff>
      <xdr:row>11</xdr:row>
      <xdr:rowOff>182620</xdr:rowOff>
    </xdr:from>
    <xdr:to>
      <xdr:col>10</xdr:col>
      <xdr:colOff>760444</xdr:colOff>
      <xdr:row>15</xdr:row>
      <xdr:rowOff>2703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1192118" y="2685097"/>
          <a:ext cx="634644" cy="58208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47867</xdr:colOff>
      <xdr:row>36</xdr:row>
      <xdr:rowOff>28680</xdr:rowOff>
    </xdr:from>
    <xdr:to>
      <xdr:col>10</xdr:col>
      <xdr:colOff>682511</xdr:colOff>
      <xdr:row>39</xdr:row>
      <xdr:rowOff>39263</xdr:rowOff>
    </xdr:to>
    <xdr:sp macro="" textlink="">
      <xdr:nvSpPr>
        <xdr:cNvPr id="28" name="Arrow: Right 27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SpPr/>
      </xdr:nvSpPr>
      <xdr:spPr>
        <a:xfrm>
          <a:off x="10292534" y="7574597"/>
          <a:ext cx="634644" cy="58208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291284</xdr:colOff>
      <xdr:row>53</xdr:row>
      <xdr:rowOff>92181</xdr:rowOff>
    </xdr:from>
    <xdr:to>
      <xdr:col>9</xdr:col>
      <xdr:colOff>925928</xdr:colOff>
      <xdr:row>56</xdr:row>
      <xdr:rowOff>102764</xdr:rowOff>
    </xdr:to>
    <xdr:sp macro="" textlink="">
      <xdr:nvSpPr>
        <xdr:cNvPr id="29" name="Arrow: Right 28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SpPr/>
      </xdr:nvSpPr>
      <xdr:spPr>
        <a:xfrm>
          <a:off x="9530534" y="11278764"/>
          <a:ext cx="634644" cy="58208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125800</xdr:colOff>
      <xdr:row>11</xdr:row>
      <xdr:rowOff>182620</xdr:rowOff>
    </xdr:from>
    <xdr:to>
      <xdr:col>10</xdr:col>
      <xdr:colOff>760444</xdr:colOff>
      <xdr:row>15</xdr:row>
      <xdr:rowOff>2703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10450900" y="2697220"/>
          <a:ext cx="634644" cy="58208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47867</xdr:colOff>
      <xdr:row>36</xdr:row>
      <xdr:rowOff>28680</xdr:rowOff>
    </xdr:from>
    <xdr:to>
      <xdr:col>10</xdr:col>
      <xdr:colOff>682511</xdr:colOff>
      <xdr:row>39</xdr:row>
      <xdr:rowOff>39263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/>
      </xdr:nvSpPr>
      <xdr:spPr>
        <a:xfrm>
          <a:off x="10372967" y="7705830"/>
          <a:ext cx="634644" cy="58208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291284</xdr:colOff>
      <xdr:row>53</xdr:row>
      <xdr:rowOff>92181</xdr:rowOff>
    </xdr:from>
    <xdr:to>
      <xdr:col>9</xdr:col>
      <xdr:colOff>925928</xdr:colOff>
      <xdr:row>56</xdr:row>
      <xdr:rowOff>102764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/>
      </xdr:nvSpPr>
      <xdr:spPr>
        <a:xfrm>
          <a:off x="9587684" y="11417406"/>
          <a:ext cx="634644" cy="58208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125800</xdr:colOff>
      <xdr:row>11</xdr:row>
      <xdr:rowOff>182620</xdr:rowOff>
    </xdr:from>
    <xdr:to>
      <xdr:col>10</xdr:col>
      <xdr:colOff>760444</xdr:colOff>
      <xdr:row>15</xdr:row>
      <xdr:rowOff>2703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10450900" y="2697220"/>
          <a:ext cx="634644" cy="58208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47867</xdr:colOff>
      <xdr:row>36</xdr:row>
      <xdr:rowOff>28680</xdr:rowOff>
    </xdr:from>
    <xdr:to>
      <xdr:col>10</xdr:col>
      <xdr:colOff>682511</xdr:colOff>
      <xdr:row>39</xdr:row>
      <xdr:rowOff>39263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/>
      </xdr:nvSpPr>
      <xdr:spPr>
        <a:xfrm>
          <a:off x="10372967" y="7705830"/>
          <a:ext cx="634644" cy="58208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291284</xdr:colOff>
      <xdr:row>53</xdr:row>
      <xdr:rowOff>92181</xdr:rowOff>
    </xdr:from>
    <xdr:to>
      <xdr:col>9</xdr:col>
      <xdr:colOff>925928</xdr:colOff>
      <xdr:row>56</xdr:row>
      <xdr:rowOff>102764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/>
      </xdr:nvSpPr>
      <xdr:spPr>
        <a:xfrm>
          <a:off x="9587684" y="11417406"/>
          <a:ext cx="634644" cy="58208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8906989-3468-4691-B054-0E0D62A38628}" name="Table5" displayName="Table5" ref="B56:F205" totalsRowShown="0">
  <autoFilter ref="B56:F205" xr:uid="{5B183AF2-436E-47E6-8774-6F9B7D1C3D0D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C4785A82-27FD-43E7-A6FB-9807112ED6CE}" name="Year_of_Construction (group)"/>
    <tableColumn id="2" xr3:uid="{2DC966FE-55F1-4B85-B671-BC5B23ADBDF0}" name="MainSpaceHeatingFuel"/>
    <tableColumn id="3" xr3:uid="{914A9A5D-E339-4A9B-9C43-5939C221C4CF}" name="Apartments"/>
    <tableColumn id="4" xr3:uid="{3610BCCC-8101-45B2-BA48-4B29DCD9C0AC}" name="Attached"/>
    <tableColumn id="5" xr3:uid="{70219296-100A-4658-A42C-BCF7643344D6}" name="Detach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65546F7-D80D-48A6-9841-0F40E1CF5DED}" name="Table4" displayName="Table4" ref="R53:AH80" totalsRowShown="0" headerRowDxfId="202" headerRowBorderDxfId="201" tableBorderDxfId="200" totalsRowBorderDxfId="199">
  <autoFilter ref="R53:AH80" xr:uid="{E737A4B2-4239-47A0-AEF6-A8E68695381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2" xr3:uid="{90882899-90F9-4CB6-B00E-68CC6CADF31D}" name="Unit is Households" dataDxfId="198"/>
    <tableColumn id="3" xr3:uid="{9D2D053C-AFA4-48CE-83DC-BD22CAA091C6}" name="Owner occupied with loan or mortgage" dataDxfId="197"/>
    <tableColumn id="4" xr3:uid="{1F8E2CD3-C802-4E78-B92D-2CC7C25335F9}" name="Owner occupied without loan or mortgage" dataDxfId="196"/>
    <tableColumn id="5" xr3:uid="{01E5B646-1EB2-40E4-B770-96CCD4121E2A}" name="Rented from private landlord" dataDxfId="195"/>
    <tableColumn id="6" xr3:uid="{00B66988-5772-4656-8023-9FA42F99BEF8}" name="Rented from a Local Authority" dataDxfId="194"/>
    <tableColumn id="7" xr3:uid="{2C3B50A6-074C-420F-BB56-A9F69342BAC0}" name="Rented from a Voluntary Body" dataDxfId="193"/>
    <tableColumn id="8" xr3:uid="{7990DD1D-3A51-422F-BB7C-A664AC0C5AF5}" name="Occupied free of rent" dataDxfId="192"/>
    <tableColumn id="9" xr3:uid="{9E144BA9-81AE-443D-BAAF-266CD3CEC57E}" name="N/A" dataDxfId="191"/>
    <tableColumn id="17" xr3:uid="{65DA1563-B1D0-4734-B239-80169572B2C9}" name="Total Residence" dataDxfId="190"/>
    <tableColumn id="18" xr3:uid="{24F055F8-56EA-47A1-8029-8AEF72170196}" name="visitors only" dataDxfId="189"/>
    <tableColumn id="19" xr3:uid="{7FD71A36-30E1-40BB-A919-E34027B464E2}" name="temporarily absent" dataDxfId="188"/>
    <tableColumn id="20" xr3:uid="{983C0DF0-4950-4BF4-A066-943D0CBCD5E2}" name=" house " dataDxfId="187"/>
    <tableColumn id="21" xr3:uid="{FD8AC94D-EACB-4729-A811-52897926688C}" name="flat" dataDxfId="186"/>
    <tableColumn id="22" xr3:uid="{A4B7AB23-90D0-4C7D-86B2-A1E5A1A8F071}" name="holiday home" dataDxfId="185"/>
    <tableColumn id="23" xr3:uid="{3D179D7C-16ED-4A84-883F-D4743261F612}" name="House Stock" dataDxfId="184"/>
    <tableColumn id="25" xr3:uid="{251C6A32-48E5-4D08-BF7B-F214DF4DAEE4}" name="TOTAL" dataDxfId="183"/>
    <tableColumn id="27" xr3:uid="{9CCD7EB1-3FC3-4CD5-AD95-F9B553D7A04B}" name="Per Household" dataDxfId="182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CD63462-FE31-4CA1-80DB-A9DB7A76FE24}" name="Table8" displayName="Table8" ref="A49:O128" totalsRowCount="1" headerRowDxfId="181" dataDxfId="180">
  <autoFilter ref="A49:O127" xr:uid="{C13EC299-1A4F-4B0B-B735-E441CC1D1A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6D83684-644C-4D34-A552-49D6EEB6CC1F}" name="County" totalsRowLabel="Total" dataDxfId="179" totalsRowDxfId="178"/>
    <tableColumn id="2" xr3:uid="{7201402F-8021-4FD7-A7B7-89473BB4117C}" name="Archetype" dataDxfId="177" totalsRowDxfId="176"/>
    <tableColumn id="3" xr3:uid="{DC004CC3-929C-445E-B591-C0AC16D55557}" name="A" totalsRowFunction="sum" dataDxfId="175" totalsRowDxfId="174"/>
    <tableColumn id="12" xr3:uid="{F46568F7-2E1B-4683-B35E-8A683F2CF784}" name="B1" totalsRowFunction="sum" dataDxfId="173" totalsRowDxfId="172"/>
    <tableColumn id="11" xr3:uid="{53AFEEAF-B08E-4ED1-93AC-AD529138CC26}" name="B2" totalsRowFunction="sum" dataDxfId="171" totalsRowDxfId="170"/>
    <tableColumn id="6" xr3:uid="{DF672283-2310-4C4D-B210-69B88FC9626E}" name="B3" totalsRowFunction="sum" dataDxfId="169" totalsRowDxfId="168"/>
    <tableColumn id="13" xr3:uid="{A5A83843-8DB6-416F-9F9D-9C38EE8BC182}" name="C" totalsRowFunction="sum" dataDxfId="167" totalsRowDxfId="166"/>
    <tableColumn id="4" xr3:uid="{5FC28852-4C95-4707-BD02-404A90226529}" name="D" totalsRowFunction="sum" dataDxfId="165" totalsRowDxfId="164"/>
    <tableColumn id="15" xr3:uid="{4114AC19-808E-493C-ACA0-6BE02E1EB97A}" name="E" totalsRowFunction="sum" dataDxfId="163" totalsRowDxfId="162"/>
    <tableColumn id="14" xr3:uid="{380B2B76-F46F-4E5D-89BF-1B21B40C5B4B}" name="F" totalsRowFunction="sum" dataDxfId="161" totalsRowDxfId="160"/>
    <tableColumn id="5" xr3:uid="{4E08C2FD-1A3E-4731-98D5-EDC866FF5AE2}" name="G" totalsRowFunction="sum" dataDxfId="159" totalsRowDxfId="158"/>
    <tableColumn id="7" xr3:uid="{AA743120-D70B-4EDB-BDF2-FCEF15E161AD}" name="BER Total" totalsRowFunction="custom" dataDxfId="157" totalsRowDxfId="156">
      <calculatedColumnFormula>SUM(Table8[[#This Row],[A]:[G]])</calculatedColumnFormula>
      <totalsRowFormula>SUM(Table8[BER Total])</totalsRowFormula>
    </tableColumn>
    <tableColumn id="8" xr3:uid="{E05FAFB8-DB6F-4A69-A0A0-953C5E436F12}" name="Residence Total" totalsRowFunction="custom" dataDxfId="155" totalsRowDxfId="154">
      <calculatedColumnFormula>VLOOKUP(A50,Table2[],MATCH(B50,Table2[#Headers],0), 0 )</calculatedColumnFormula>
      <totalsRowFormula>SUM(M50:M127)</totalsRowFormula>
    </tableColumn>
    <tableColumn id="9" xr3:uid="{8737D0B3-F76C-40B2-8291-DF0F8115CB18}" name="Ratio" totalsRowFunction="custom" dataDxfId="153" totalsRowDxfId="152">
      <calculatedColumnFormula>VLOOKUP(A50,Table2[], 8, 0 )+SUM(Table8[[#This Row],[Residence Total]]/Table8[[#This Row],[BER Total]])</calculatedColumnFormula>
      <totalsRowFormula>Table8[[#Totals],[Residence Total]]/Table8[[#Totals],[BER Total]]</totalsRowFormula>
    </tableColumn>
    <tableColumn id="10" xr3:uid="{55604080-BB0E-41A6-9CE0-6D32025FFC67}" name="Adjusted Total" totalsRowFunction="custom" dataDxfId="151" totalsRowDxfId="150">
      <calculatedColumnFormula>L50*N50</calculatedColumnFormula>
      <totalsRowFormula>SUM(O50:O127)</totalsRowFormula>
    </tableColumn>
  </tableColumns>
  <tableStyleInfo name="TableStyleMedium12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8B645A-5E34-45E9-9C3B-CFB5E28DA096}" name="Table2" displayName="Table2" ref="AB84:AI110" totalsRowShown="0" headerRowDxfId="149" dataDxfId="148" tableBorderDxfId="147">
  <autoFilter ref="AB84:AI110" xr:uid="{08860D62-778F-455F-B07E-B44F63BE4AF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2E314C1-016B-4ED0-B3CD-AB58D695F671}" name="Column1" dataDxfId="146"/>
    <tableColumn id="2" xr3:uid="{96BAEC97-2ACF-4A34-B257-6E9F45283D27}" name="Detached" dataDxfId="145">
      <calculatedColumnFormula>S85/AG85*AG85</calculatedColumnFormula>
    </tableColumn>
    <tableColumn id="3" xr3:uid="{9DF096E0-120A-4543-A6A2-D95695579FF8}" name="Attached" dataDxfId="144">
      <calculatedColumnFormula array="1">SUM((T85:U85)/AG85)*AG85</calculatedColumnFormula>
    </tableColumn>
    <tableColumn id="4" xr3:uid="{C86FFDAC-54CF-49D5-B11F-C2E365ED6217}" name="Apartments" dataDxfId="143">
      <calculatedColumnFormula array="1">SUM((V85:Y85)/AG85)*AG85</calculatedColumnFormula>
    </tableColumn>
    <tableColumn id="5" xr3:uid="{47784C07-400C-4D61-BBC0-5E2619012207}" name="Not Stated" dataDxfId="142">
      <calculatedColumnFormula>Z85/AG85*AG85</calculatedColumnFormula>
    </tableColumn>
    <tableColumn id="6" xr3:uid="{802D838E-C585-40C6-8DF7-A9064AB0F3C1}" name="Total Residence" dataDxfId="141">
      <calculatedColumnFormula>SUM(S85:Z85)</calculatedColumnFormula>
    </tableColumn>
    <tableColumn id="7" xr3:uid="{1F62F34D-70C9-43C8-B41A-0A65E998D203}" name="House Stock" dataDxfId="140"/>
    <tableColumn id="8" xr3:uid="{8C2BEBB6-BC1C-4269-90AA-2803071E539F}" name="Ratio" dataDxfId="139">
      <calculatedColumnFormula>Table2[[#This Row],[Not Stated]]/Table2[[#This Row],[Total Residence]]</calculatedColumnFormula>
    </tableColumn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8A79DF-F60A-48D8-9537-9F97F3415CE4}" name="Table1" displayName="Table1" ref="B18:F28" totalsRowShown="0" headerRowDxfId="138" dataDxfId="136" headerRowBorderDxfId="137" tableBorderDxfId="135">
  <autoFilter ref="B18:F28" xr:uid="{3F07B9AE-02F6-4DBC-B025-1BA7F188856E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211730DE-3E90-4B61-857B-DFCF14404238}" name="SEAI BER Public Database" dataDxfId="134"/>
    <tableColumn id="2" xr3:uid="{B5B58BBD-58D1-4769-8742-648475464B4C}" name="Apartment" dataDxfId="133"/>
    <tableColumn id="3" xr3:uid="{A3481B69-8D8A-451F-8C8A-77F4076F1210}" name="Attached" dataDxfId="132"/>
    <tableColumn id="4" xr3:uid="{1589639B-5089-4715-969D-552E0A2734A3}" name="Detached" dataDxfId="131"/>
    <tableColumn id="5" xr3:uid="{45B78410-557B-4FEF-85A1-7912EED6288E}" name="Sum" dataDxfId="130">
      <calculatedColumnFormula>SUM(C19:E19)</calculatedColumnFormula>
    </tableColumn>
  </tableColumns>
  <tableStyleInfo name="TableStyleMedium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6AF8B4-CAFA-4C16-AA5D-609D0AE6CB6E}" name="Table14" displayName="Table14" ref="B3:F13" totalsRowShown="0" headerRowDxfId="129" dataDxfId="127" headerRowBorderDxfId="128" tableBorderDxfId="126">
  <autoFilter ref="B3:F13" xr:uid="{53B5FB56-B1CD-44E3-A26E-0B2FC17A73C2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F07E637A-12A9-49D0-A377-6B9B9F81E87E}" name="SEAI BER Public Database" dataDxfId="125"/>
    <tableColumn id="2" xr3:uid="{596E7502-37B3-43D8-935D-27523A036B07}" name="Apartment" dataDxfId="124"/>
    <tableColumn id="3" xr3:uid="{C0DF3C0B-CA49-4C0C-B100-DE02FF1A8777}" name="Attached" dataDxfId="123"/>
    <tableColumn id="4" xr3:uid="{7DE38B67-A899-4847-BF6E-1AC8523790AF}" name="Detached" dataDxfId="122"/>
    <tableColumn id="5" xr3:uid="{9CFFA1EF-7E96-4A5D-9174-2F0CB71A4440}" name="Sum" dataDxfId="121">
      <calculatedColumnFormula>SUM(C4:E4)</calculatedColumnFormula>
    </tableColumn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C7B31CF-6A2F-459D-B220-2CF05ADF1D39}" name="Table10" displayName="Table10" ref="AM51:AR82" totalsRowShown="0" headerRowDxfId="120" tableBorderDxfId="119">
  <autoFilter ref="AM51:AR82" xr:uid="{084DB465-E9DB-4A74-B459-AB309374C47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1BADC78-3DC3-4230-B274-27647B0E5212}" name="Alias" dataDxfId="118"/>
    <tableColumn id="2" xr3:uid="{B3D25B3A-9F7B-407C-94CD-741C8897D138}" name="Council" dataDxfId="117"/>
    <tableColumn id="3" xr3:uid="{63E4AF90-8329-4A05-A1A7-DA16D57C4024}" name="Single/Detached"/>
    <tableColumn id="4" xr3:uid="{8B1CA2B0-5DAB-4DC2-8673-43AF84806E8A}" name="Scheme/Attached"/>
    <tableColumn id="5" xr3:uid="{F1323F97-EB06-447B-AABA-D862CCA69F3D}" name="Apartment"/>
    <tableColumn id="6" xr3:uid="{1B2B10CF-0857-48FC-A1E8-51A5031D2AB0}" name="Total">
      <calculatedColumnFormula>SUM(AO52:AQ52)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C4989BF-83A6-495F-A06C-F3C5E046CFEF}" name="Table9" displayName="Table9" ref="B6:X2253" totalsRowShown="0">
  <autoFilter ref="B6:X2253" xr:uid="{15303E22-67D8-4E63-88D3-CC8B604FF83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</autoFilter>
  <tableColumns count="23">
    <tableColumn id="1" xr3:uid="{76C7BDEB-6385-492D-902E-A3A3D99285E2}" name="CountyName (group)"/>
    <tableColumn id="2" xr3:uid="{AFAF908C-25E5-4101-B54F-A7F15248F084}" name="EnergyRating (group)"/>
    <tableColumn id="3" xr3:uid="{085C2792-D2EB-4069-A104-906E8A786305}" name="MainSpaceHeatingFuel"/>
    <tableColumn id="4" xr3:uid="{82D73960-6E01-41F4-9221-FDDB2C884B53}" name="MainWaterHeatingFuel"/>
    <tableColumn id="5" xr3:uid="{18F05C73-E315-4679-B215-ACFEC4BBD2BE}" name="Count of EnergyRating" dataDxfId="116"/>
    <tableColumn id="6" xr3:uid="{A059AE6E-8676-49B8-88EB-A0A2C5822D7A}" name="Floor Area (m2)" dataDxfId="115"/>
    <tableColumn id="7" xr3:uid="{F30E8A92-C2F2-4B48-B8C9-8C565F9BC379}" name="BerRating" dataDxfId="114"/>
    <tableColumn id="8" xr3:uid="{4D19991B-27C9-4C72-AD44-133CA40230EA}" name="PrimaryEnergyMainSpace" dataDxfId="113"/>
    <tableColumn id="9" xr3:uid="{2D4629D6-CD55-4A4B-91E7-F6A649F20BC3}" name="DeliveredEnergyMainSpace" dataDxfId="112"/>
    <tableColumn id="10" xr3:uid="{ECA1EAAF-3A02-43C8-8C9D-69836FCD7F4B}" name="Avg. HSMainSystemEfficiency" dataDxfId="111"/>
    <tableColumn id="11" xr3:uid="{9664BB98-3377-4DC6-A878-76C87925B826}" name="PrimaryEnergySecondarySpace" dataDxfId="110"/>
    <tableColumn id="12" xr3:uid="{54D208C6-87F2-487B-AFB2-68E871BAEF0B}" name="DeliveredEnergySecondarySpace" dataDxfId="109"/>
    <tableColumn id="13" xr3:uid="{8501683D-B91E-4E73-9063-52CEBA59A47C}" name="PrimaryEnergyLighting" dataDxfId="108"/>
    <tableColumn id="14" xr3:uid="{C3741AC8-8B58-44DF-9AD5-83A8A7432939}" name="DeliveredLightingEnergy" dataDxfId="107"/>
    <tableColumn id="15" xr3:uid="{911493A7-84F8-4604-AD90-0697B8576A31}" name="PrimaryEnergyPumpsFans" dataDxfId="106"/>
    <tableColumn id="24" xr3:uid="{F49D93D1-A080-4495-8C83-C1041C97DDE3}" name="DeliveredEnergyPumpsFans" dataDxfId="105"/>
    <tableColumn id="23" xr3:uid="{3CEEA488-2CA8-4D7C-82E9-23C4CFAF4632}" name="PrimaryEnergyMainWater" dataDxfId="104"/>
    <tableColumn id="22" xr3:uid="{159BA0EA-907C-420F-8682-461AC0ECE885}" name="DeliveredEnergyMainWater" dataDxfId="103"/>
    <tableColumn id="21" xr3:uid="{F8DFF044-1D46-4AA3-A2E3-ECE928197AF2}" name="PrimaryEnergySupplementaryWater" dataDxfId="102"/>
    <tableColumn id="20" xr3:uid="{0E4BF917-31D8-4B35-B40E-EF0FD920254D}" name="DeliveredEnergySupplementaryWater" dataDxfId="101"/>
    <tableColumn id="19" xr3:uid="{5F814D11-37A6-4B99-B633-2884F355FE8C}" name="TotalDeliveredEnergy" dataDxfId="100"/>
    <tableColumn id="17" xr3:uid="{3C959419-0D70-4D29-95DC-87641B14BC27}" name="CalculatedDeliveredEnergy" dataDxfId="99">
      <calculatedColumnFormula>SUM(ABS(J7),ABS(M7),ABS(O7),ABS(Q7),ABS(S7),ABS(U7))</calculatedColumnFormula>
    </tableColumn>
    <tableColumn id="25" xr3:uid="{E2A708DE-434E-41F3-8BEE-84CB3B63293E}" name="CalculatedPrimaryEnergy" dataDxfId="98">
      <calculatedColumnFormula>SUM(ABS(I7),ABS(N7),ABS(P7),ABS(R7),ABS(T7),ABS(L7))</calculatedColumnFormula>
    </tableColumn>
  </tableColumns>
  <tableStyleInfo name="TableStyleMedium1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CF94990-E554-49C9-8C59-2C7C93799240}" name="Table7" displayName="Table7" ref="AA6:AV857" totalsRowShown="0">
  <autoFilter ref="AA6:AV857" xr:uid="{93482FA4-94FE-46BF-B906-F4DE12E0C078}"/>
  <tableColumns count="22">
    <tableColumn id="1" xr3:uid="{5EF5B4F9-1420-4E20-AE44-DD4A38ABB641}" name="EnergyRating (group)"/>
    <tableColumn id="2" xr3:uid="{84A5A29A-7FA1-44EC-98CC-70DA3BEBDA12}" name="MainSpaceHeatingFuel"/>
    <tableColumn id="3" xr3:uid="{60682AAE-A5B2-41E5-B672-1FBFDD9273A5}" name="SupplSHFuelName" dataDxfId="97"/>
    <tableColumn id="4" xr3:uid="{5ECEA210-31E4-4BB9-AD80-DDFFD912ACDF}" name="MainWaterHeatingFuel" dataDxfId="96"/>
    <tableColumn id="5" xr3:uid="{669BCA4A-83FF-49E8-A59E-216B194A31B9}" name="SupplWHFuelName" dataDxfId="95"/>
    <tableColumn id="6" xr3:uid="{886337F8-5AFF-4A7A-91F4-79109FC04F74}" name="Count of EnergyRating" dataDxfId="94"/>
    <tableColumn id="7" xr3:uid="{74A9355A-9C40-4ABE-819D-C17CF4E6C388}" name="Floor Area (m2)" dataDxfId="93"/>
    <tableColumn id="8" xr3:uid="{1E4F32B6-C57C-4764-B29E-79F450C7D99D}" name="BerRating" dataDxfId="92"/>
    <tableColumn id="9" xr3:uid="{59416566-4F68-4A0B-85FB-BAC88B15D463}" name="PrimaryEnergyMainSpace" dataDxfId="91"/>
    <tableColumn id="13" xr3:uid="{0E3EDD86-970C-44B3-A78B-924A5A594F3C}" name="DeliveredEnergyMainSpace" dataDxfId="90"/>
    <tableColumn id="10" xr3:uid="{9B2E811E-10C7-4543-A328-A0D4E6169CB8}" name="Avg. HSMainSystemEfficiency" dataDxfId="89"/>
    <tableColumn id="11" xr3:uid="{3292BFAC-9EB6-4025-8204-EADF01810411}" name="PrimaryEnergySecondarySpace" dataDxfId="88"/>
    <tableColumn id="12" xr3:uid="{D6C73573-8AF3-4E14-8C39-5018D8475CF9}" name="DeliveredEnergySecondarySpace" dataDxfId="87"/>
    <tableColumn id="14" xr3:uid="{73069199-8486-4560-98BB-1821381BFB69}" name="PrimaryEnergyLighting" dataDxfId="86"/>
    <tableColumn id="20" xr3:uid="{8B48CB3C-3B63-40D4-8537-058DB0AAE1A2}" name="DeliveredLightingEnergy" dataDxfId="85"/>
    <tableColumn id="19" xr3:uid="{C29E1288-C432-4C8F-B90F-F8B6A964755C}" name="PrimaryEnergyPumpsFans" dataDxfId="84"/>
    <tableColumn id="18" xr3:uid="{FFF6D09C-99F4-44ED-866E-A3AD645E700B}" name="DeliveredEnergyPumpsFans" dataDxfId="83"/>
    <tableColumn id="17" xr3:uid="{8E8C3AB4-C75E-4617-97B6-E1390F7ACE23}" name="PrimaryEnergyMainWater" dataDxfId="82"/>
    <tableColumn id="21" xr3:uid="{4D2542B8-3E81-47B0-B623-10BD4B8EB06E}" name="DeliveredEnergyMainWater" dataDxfId="81"/>
    <tableColumn id="16" xr3:uid="{8362ED86-8A41-48F8-8695-45C8D1FD4575}" name="PrimaryEnergySupplementaryWater" dataDxfId="80"/>
    <tableColumn id="15" xr3:uid="{71CC2515-A8AE-4D29-AE39-0DB607FB472E}" name="DeliveredEnergySupplementaryWater" dataDxfId="79">
      <calculatedColumnFormula>SUM(ABS(#REF!), ABS(#REF!),ABS(#REF!),ABS(#REF!),ABS(#REF!),ABS(#REF!))</calculatedColumnFormula>
    </tableColumn>
    <tableColumn id="22" xr3:uid="{BCE9DC6F-04CD-4804-80C7-232399C171C8}" name="TotalDeliveredEnergy" dataDxfId="78">
      <calculatedColumnFormula>SUM(ABS(#REF!),ABS(#REF!),ABS(#REF!),ABS(#REF!),ABS(#REF!),ABS(#REF!))</calculatedColumnFormula>
    </tableColumn>
  </tableColumns>
  <tableStyleInfo name="TableStyleMedium1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AD8812F-49DE-4F57-BBBE-D2E105DADF86}" name="Table915" displayName="Table915" ref="B6:X2903" totalsRowShown="0">
  <autoFilter ref="B6:X2903" xr:uid="{C253AB4F-5BCE-4D8C-BD63-FC1C5865A7EB}"/>
  <tableColumns count="23">
    <tableColumn id="1" xr3:uid="{31A07C81-082F-4F48-B736-025A6DD11EF9}" name="CountyName (group)"/>
    <tableColumn id="2" xr3:uid="{F8873D6A-70A8-4A0D-BA9F-ED7F9A1A0E3F}" name="EnergyRating (group)"/>
    <tableColumn id="3" xr3:uid="{60928CD3-D086-41A5-BADB-3E7F8CAC4411}" name="MainSpaceHeatingFuel"/>
    <tableColumn id="4" xr3:uid="{5F390EF9-F27B-4ECF-9ED5-7E75DA94407A}" name="MainWaterHeatingFuel"/>
    <tableColumn id="5" xr3:uid="{E8E1DDDD-B62C-4E54-8A26-C2D5137FA3FB}" name="Count of EnergyRating" dataDxfId="77"/>
    <tableColumn id="6" xr3:uid="{6C8C9047-8044-4BB9-B261-272B38ACA6F2}" name="Floor Area (m2)" dataDxfId="76"/>
    <tableColumn id="7" xr3:uid="{8C2DA10B-CA7E-40F7-92A3-E1B66D113124}" name="BerRating" dataDxfId="75"/>
    <tableColumn id="8" xr3:uid="{65385AF6-4852-4B2D-884B-2D2B68A67AC7}" name="PrimaryEnergyMainSpace" dataDxfId="74"/>
    <tableColumn id="9" xr3:uid="{C5E385A2-5F6F-4893-A786-2D88CED3E17E}" name="DeliveredEnergyMainSpace" dataDxfId="73"/>
    <tableColumn id="10" xr3:uid="{A66C45D0-18FC-4E70-9050-358603A70873}" name="Avg. HSMainSystemEfficiency" dataDxfId="72"/>
    <tableColumn id="11" xr3:uid="{151F0E48-5A21-4CF7-9A6B-643A40B20EC6}" name="PrimaryEnergySecondarySpace" dataDxfId="71"/>
    <tableColumn id="12" xr3:uid="{D216F541-EEB7-4839-BA91-5D0A90A1D165}" name="DeliveredEnergySecondarySpace" dataDxfId="70"/>
    <tableColumn id="13" xr3:uid="{4972F16E-6965-4CFB-A773-4DFA8FC13D61}" name="PrimaryEnergyLighting" dataDxfId="69"/>
    <tableColumn id="14" xr3:uid="{CFA95CEF-0DEC-4C75-A39B-EC7733E788D2}" name="DeliveredLightingEnergy" dataDxfId="68"/>
    <tableColumn id="15" xr3:uid="{CFAF5EB8-8CB2-4F4D-B3F6-7DE8C1F7F991}" name="PrimaryEnergyPumpsFans" dataDxfId="67"/>
    <tableColumn id="24" xr3:uid="{83554BB5-61A8-4986-BD83-1E416EC0EB37}" name="DeliveredEnergyPumpsFans" dataDxfId="66"/>
    <tableColumn id="23" xr3:uid="{5E705E4C-4E02-4862-90B6-C5893F8D4065}" name="PrimaryEnergyMainWater" dataDxfId="65"/>
    <tableColumn id="22" xr3:uid="{F8F4C948-746D-47EB-866A-1BCC03C85414}" name="DeliveredEnergyMainWater" dataDxfId="64"/>
    <tableColumn id="21" xr3:uid="{3016F69D-750D-4ACA-87D3-16EA8AC43A9F}" name="PrimaryEnergySupplementaryWater" dataDxfId="63"/>
    <tableColumn id="20" xr3:uid="{4E6E219C-1739-4E1D-9880-8DD8B8360924}" name="DeliveredEnergySupplementaryWater" dataDxfId="62"/>
    <tableColumn id="19" xr3:uid="{E175D695-E94B-4A84-9E1D-358A80143EFB}" name="TotalDeliveredEnergy" dataDxfId="61"/>
    <tableColumn id="17" xr3:uid="{1725EF49-91C8-47EE-896B-F086F0B050FA}" name="CalculatedDeliveredEnergy" dataDxfId="60">
      <calculatedColumnFormula>SUM(ABS(J7),ABS(M7),ABS(O7),ABS(Q7),ABS(S7),ABS(U7))</calculatedColumnFormula>
    </tableColumn>
    <tableColumn id="25" xr3:uid="{7014D6FF-755A-483D-A093-7B04E0539CD6}" name="CalculatedPrimaryEnergy" dataDxfId="59">
      <calculatedColumnFormula>SUM(ABS(I7),ABS(N7),ABS(P7),ABS(R7),ABS(T7),ABS(L7))</calculatedColumnFormula>
    </tableColumn>
  </tableColumns>
  <tableStyleInfo name="TableStyleMedium1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4223A61-96C2-4C3C-80E0-B2209227BE2F}" name="Table716" displayName="Table716" ref="AA6:AV2129" totalsRowShown="0">
  <autoFilter ref="AA6:AV2129" xr:uid="{D3B8FAD6-39D7-4ED2-A152-B1D6E49F85FC}">
    <filterColumn colId="0">
      <filters>
        <filter val="B1"/>
      </filters>
    </filterColumn>
    <filterColumn colId="2">
      <filters>
        <filter val="Anthracite"/>
      </filters>
    </filterColumn>
    <filterColumn colId="4">
      <filters>
        <filter val="Unknown"/>
      </filters>
    </filterColumn>
  </autoFilter>
  <tableColumns count="22">
    <tableColumn id="1" xr3:uid="{981D07C0-02EA-4015-98C5-437DC4F9B119}" name="EnergyRating (group)"/>
    <tableColumn id="2" xr3:uid="{DB1A450D-AA00-457E-9999-F6FD4B8C4982}" name="MainSpaceHeatingFuel"/>
    <tableColumn id="3" xr3:uid="{816BEF87-5FF7-462B-8445-DC76FF0D0696}" name="SupplSHFuelName" dataDxfId="58"/>
    <tableColumn id="4" xr3:uid="{23ABCD2C-6BA2-4CCC-AC6B-39C67D17A4D0}" name="MainWaterHeatingFuel" dataDxfId="57"/>
    <tableColumn id="5" xr3:uid="{C4EF1B18-946B-4DBA-B6F9-B9CEA6F8F8EE}" name="SupplWHFuelName" dataDxfId="56"/>
    <tableColumn id="6" xr3:uid="{4A059165-8933-416C-9BF8-88BEA9CF42A1}" name="Count of EnergyRating" dataDxfId="55"/>
    <tableColumn id="7" xr3:uid="{F1D0B0FC-131D-4ACA-9395-65FA1E99B29F}" name="Floor Area (m2)" dataDxfId="54"/>
    <tableColumn id="8" xr3:uid="{2109C7F5-F09B-4D0B-872D-6032A57C46C2}" name="BerRating" dataDxfId="53"/>
    <tableColumn id="9" xr3:uid="{7DA0B498-A1CB-45EA-B6DB-B9AE456A3EF1}" name="PrimaryEnergyMainSpace" dataDxfId="52"/>
    <tableColumn id="13" xr3:uid="{9B89BD2B-3BA2-4EF3-B907-5B71124E9D91}" name="DeliveredEnergyMainSpace" dataDxfId="51"/>
    <tableColumn id="10" xr3:uid="{70D5E91D-B718-4B82-9AB5-4AB76BC475A5}" name="Avg. HSMainSystemEfficiency" dataDxfId="50"/>
    <tableColumn id="11" xr3:uid="{979F7BE7-595E-4998-9A78-F68F8FC42795}" name="PrimaryEnergySecondarySpace" dataDxfId="49"/>
    <tableColumn id="12" xr3:uid="{1D17B1FF-2FC0-46A6-B168-03EF35846A2E}" name="DeliveredEnergySecondarySpace" dataDxfId="48"/>
    <tableColumn id="14" xr3:uid="{039EB663-60A1-4B3C-9B29-F75E4B96D226}" name="PrimaryEnergyLighting" dataDxfId="47"/>
    <tableColumn id="20" xr3:uid="{34B5AF7B-31D4-4996-AAEA-905DD48D1890}" name="DeliveredLightingEnergy" dataDxfId="46"/>
    <tableColumn id="19" xr3:uid="{59FD46FB-7C41-40A9-9873-5E6E052CB8EF}" name="PrimaryEnergyPumpsFans" dataDxfId="45"/>
    <tableColumn id="18" xr3:uid="{92327A22-5874-4C10-BFA4-6A9E600AD080}" name="DeliveredEnergyPumpsFans" dataDxfId="44"/>
    <tableColumn id="17" xr3:uid="{D930EEF8-F4BE-4AC3-BDD3-7C8460E2B565}" name="PrimaryEnergyMainWater" dataDxfId="43"/>
    <tableColumn id="21" xr3:uid="{5A309E19-16A4-433C-9E4B-AAA7B1B24F6D}" name="DeliveredEnergyMainWater" dataDxfId="42"/>
    <tableColumn id="16" xr3:uid="{D54817B0-F835-4C9B-9E31-08062BA432D8}" name="PrimaryEnergySupplementaryWater" dataDxfId="41"/>
    <tableColumn id="15" xr3:uid="{F615EA97-A0E1-4BDC-BE82-B3055596F132}" name="DeliveredEnergySupplementaryWater" dataDxfId="40">
      <calculatedColumnFormula>SUM(ABS(#REF!), ABS(#REF!),ABS(#REF!),ABS(#REF!),ABS(#REF!),ABS(#REF!))</calculatedColumnFormula>
    </tableColumn>
    <tableColumn id="22" xr3:uid="{DE4FD950-42BB-4B40-BC59-C87C0E98225C}" name="TotalDeliveredEnergy" dataDxfId="39">
      <calculatedColumnFormula>SUM(ABS(#REF!),ABS(#REF!),ABS(#REF!),ABS(#REF!),ABS(#REF!),ABS(#REF!))</calculatedColumnFormula>
    </tableColumn>
  </tableColumns>
  <tableStyleInfo name="TableStyleMedium1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736C7CA-1402-4BD7-B235-3FD180CE65FB}" name="Table91517" displayName="Table91517" ref="B6:X3431" totalsRowShown="0">
  <autoFilter ref="B6:X3431" xr:uid="{C253AB4F-5BCE-4D8C-BD63-FC1C5865A7EB}"/>
  <tableColumns count="23">
    <tableColumn id="1" xr3:uid="{FE82DF69-9304-47D1-BE0C-7F26FEE779D2}" name="CountyName (group)"/>
    <tableColumn id="2" xr3:uid="{7A86E467-F274-4B2B-8E25-F96963514ABB}" name="EnergyRating (group)"/>
    <tableColumn id="3" xr3:uid="{73B61291-DB1E-429B-B79E-C63E7E5A4A4C}" name="MainSpaceHeatingFuel"/>
    <tableColumn id="4" xr3:uid="{2742ED29-91A2-4D44-B81E-2C5F9462BFFB}" name="MainWaterHeatingFuel"/>
    <tableColumn id="5" xr3:uid="{29C57469-1E9D-4C8D-8641-509B288610BA}" name="Count of EnergyRating" dataDxfId="38"/>
    <tableColumn id="6" xr3:uid="{6D2A3978-E681-4EAC-93E4-3FB057572A32}" name="Floor Area (m2)" dataDxfId="37"/>
    <tableColumn id="7" xr3:uid="{AA969558-0C26-4908-9DAB-6BE3A4CD9A5F}" name="BerRating" dataDxfId="36"/>
    <tableColumn id="8" xr3:uid="{19C43895-2933-4981-B5E8-A39D211F7B64}" name="PrimaryEnergyMainSpace" dataDxfId="35"/>
    <tableColumn id="9" xr3:uid="{19719C12-4AF1-4877-9B96-06DB09117111}" name="DeliveredEnergyMainSpace" dataDxfId="34"/>
    <tableColumn id="10" xr3:uid="{1041BAED-81AB-4D60-A363-88D03CCFC76E}" name="Avg. HSMainSystemEfficiency" dataDxfId="33"/>
    <tableColumn id="11" xr3:uid="{382F0C58-9487-4DE3-884A-46CDDDED24EF}" name="PrimaryEnergySecondarySpace" dataDxfId="32"/>
    <tableColumn id="12" xr3:uid="{5ACFD186-E354-49E6-B3C7-A76354220E3F}" name="DeliveredEnergySecondarySpace" dataDxfId="31"/>
    <tableColumn id="13" xr3:uid="{B0A15977-D13B-4816-879E-5F7D7DDF0266}" name="PrimaryEnergyLighting" dataDxfId="30"/>
    <tableColumn id="14" xr3:uid="{DAFCC0CC-3130-4C0F-870F-7B7E4A04EA93}" name="DeliveredLightingEnergy" dataDxfId="29"/>
    <tableColumn id="15" xr3:uid="{5457854B-472F-473F-9EF4-C87A449E8328}" name="PrimaryEnergyPumpsFans" dataDxfId="28"/>
    <tableColumn id="24" xr3:uid="{24E0CE14-E7E2-41F5-83B9-E5B6BDBCDF40}" name="DeliveredEnergyPumpsFans" dataDxfId="27"/>
    <tableColumn id="23" xr3:uid="{AC73380F-4188-476B-A9F3-C3B11F51E761}" name="PrimaryEnergyMainWater" dataDxfId="26"/>
    <tableColumn id="22" xr3:uid="{C78CAB35-A152-4AED-92D4-96359F6A0BC9}" name="DeliveredEnergyMainWater" dataDxfId="25"/>
    <tableColumn id="21" xr3:uid="{85C24508-98E8-48B7-88AB-C19E8EE1E1B6}" name="PrimaryEnergySupplementaryWater" dataDxfId="24"/>
    <tableColumn id="20" xr3:uid="{94CF8964-60FB-42E6-AB4D-825F261C9B40}" name="DeliveredEnergySupplementaryWater" dataDxfId="23"/>
    <tableColumn id="19" xr3:uid="{66C30ECF-EBA4-4EB8-B1C3-734DD7AA3079}" name="TotalDeliveredEnergy" dataDxfId="22"/>
    <tableColumn id="17" xr3:uid="{75AE0158-9541-41AE-B72B-867E2EC7B666}" name="CalculatedDeliveredEnergy" dataDxfId="21">
      <calculatedColumnFormula>SUM(ABS(J7),ABS(M7),ABS(O7),ABS(Q7),ABS(S7),ABS(U7))</calculatedColumnFormula>
    </tableColumn>
    <tableColumn id="25" xr3:uid="{D2211670-3541-44F5-A261-D0342E8FBA91}" name="CalculatedPrimaryEnergy" dataDxfId="20">
      <calculatedColumnFormula>SUM(ABS(I7),ABS(N7),ABS(P7),ABS(R7),ABS(T7),ABS(L7))</calculatedColumnFormula>
    </tableColumn>
  </tableColumns>
  <tableStyleInfo name="TableStyleMedium1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3174ED6-571F-4135-86CF-D1EEE9B9585D}" name="Table71618" displayName="Table71618" ref="AA6:AV2569" totalsRowShown="0">
  <autoFilter ref="AA6:AV2569" xr:uid="{D3B8FAD6-39D7-4ED2-A152-B1D6E49F85FC}">
    <filterColumn colId="0">
      <filters>
        <filter val="A"/>
      </filters>
    </filterColumn>
    <filterColumn colId="4">
      <filters>
        <filter val="Electricity"/>
      </filters>
    </filterColumn>
  </autoFilter>
  <tableColumns count="22">
    <tableColumn id="1" xr3:uid="{D3BC06CB-80A4-4503-969C-6E44A6E62DAE}" name="EnergyRating (group)"/>
    <tableColumn id="2" xr3:uid="{870F94C5-E0BD-427E-B5C7-55699EDF1AAA}" name="MainSpaceHeatingFuel"/>
    <tableColumn id="3" xr3:uid="{4E4B2052-C485-44F4-9613-D7FC4A32BF6A}" name="SupplSHFuelName" dataDxfId="19"/>
    <tableColumn id="4" xr3:uid="{F829DFF3-7B8F-4DC4-B81D-A60624A69859}" name="MainWaterHeatingFuel" dataDxfId="18"/>
    <tableColumn id="5" xr3:uid="{9D899E3C-E933-4F72-B04E-EA67855240BC}" name="SupplWHFuelName" dataDxfId="17"/>
    <tableColumn id="6" xr3:uid="{2BDF39A8-0EDB-41C7-9E67-4A22B4659E94}" name="Count of EnergyRating" dataDxfId="16"/>
    <tableColumn id="7" xr3:uid="{8B7EEE88-9D94-4A83-940F-312B932B464E}" name="Floor Area (m2)" dataDxfId="15"/>
    <tableColumn id="8" xr3:uid="{A121F83E-C34D-4318-A61E-3FD728AFDF21}" name="BerRating" dataDxfId="14"/>
    <tableColumn id="9" xr3:uid="{76615A38-3E90-4E20-8371-38C9441D4DA6}" name="PrimaryEnergyMainSpace" dataDxfId="13"/>
    <tableColumn id="13" xr3:uid="{CFA74B60-EBC2-45B7-B090-C52A4FEDC663}" name="DeliveredEnergyMainSpace" dataDxfId="12"/>
    <tableColumn id="10" xr3:uid="{50B4CDF2-EC43-4E10-8B33-7DAF2205A8DA}" name="Avg. HSMainSystemEfficiency" dataDxfId="11"/>
    <tableColumn id="11" xr3:uid="{C44447A3-F0B0-4CDF-9563-AC7CE94C17C7}" name="PrimaryEnergySecondarySpace" dataDxfId="10"/>
    <tableColumn id="12" xr3:uid="{2EF93E04-5541-438A-81D6-AB000F591EA0}" name="DeliveredEnergySecondarySpace" dataDxfId="9"/>
    <tableColumn id="14" xr3:uid="{8794168B-A094-46FF-BF0E-C2AC841827AF}" name="PrimaryEnergyLighting" dataDxfId="8"/>
    <tableColumn id="20" xr3:uid="{1CB9E793-6F90-421F-8546-3FA5720E5052}" name="DeliveredLightingEnergy" dataDxfId="7"/>
    <tableColumn id="19" xr3:uid="{2C385480-827C-435E-9C3C-6C471E8984A2}" name="PrimaryEnergyPumpsFans" dataDxfId="6"/>
    <tableColumn id="18" xr3:uid="{8A9DDF54-5576-49EF-B441-86AB22DEC715}" name="DeliveredEnergyPumpsFans" dataDxfId="5"/>
    <tableColumn id="17" xr3:uid="{91B34B1C-03DD-44C2-97BA-804F1873BA53}" name="PrimaryEnergyMainWater" dataDxfId="4"/>
    <tableColumn id="21" xr3:uid="{6BB07D26-5C61-4DC1-94BD-AE456B3DCEC4}" name="DeliveredEnergyMainWater" dataDxfId="3"/>
    <tableColumn id="16" xr3:uid="{FDBA8E64-5575-48F9-985B-8E8D25503349}" name="PrimaryEnergySupplementaryWater" dataDxfId="2"/>
    <tableColumn id="15" xr3:uid="{FDCD2094-98B0-4C05-AF78-A2166A988222}" name="DeliveredEnergySupplementaryWater" dataDxfId="1">
      <calculatedColumnFormula>SUM(ABS(#REF!), ABS(#REF!),ABS(#REF!),ABS(#REF!),ABS(#REF!),ABS(#REF!))</calculatedColumnFormula>
    </tableColumn>
    <tableColumn id="22" xr3:uid="{9FA898EC-D144-4BEC-92B3-19CCC25639A5}" name="TotalDeliveredEnergy" dataDxfId="0">
      <calculatedColumnFormula>SUM(ABS(#REF!),ABS(#REF!),ABS(#REF!),ABS(#REF!),ABS(#REF!),ABS(#REF!))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X31" dT="2020-09-09T15:42:03.69" personId="{00000000-0000-0000-0000-000000000000}" id="{1A437461-EFE9-4537-AFD6-F1BBE37B1B2F}">
    <text>Adjustment for Unknown Fuel</text>
  </threadedComment>
  <threadedComment ref="BJ32" dT="2020-09-09T15:40:04.76" personId="{00000000-0000-0000-0000-000000000000}" id="{C2F67DD3-864A-4DE2-A245-252067C74AE1}">
    <text>Adjustment for Unknown Archetype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5" dT="2020-12-03T20:57:31.65" personId="{00000000-0000-0000-0000-000000000000}" id="{2CB0A78A-BB9F-4A6A-B078-87B8F8DDA9AA}">
    <text>Average values based on EB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N49" dT="2020-05-15T15:13:46.73" personId="{00000000-0000-0000-0000-000000000000}" id="{E541D5BE-3C27-4677-A0CD-AD62B3C8A6EF}">
    <text>BER at county and dwelling type level is  calibrated to total residence + Non-Stated dwelling type ratio per county is added.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T4" dT="2020-11-20T09:29:57.47" personId="{00000000-0000-0000-0000-000000000000}" id="{DBC58626-586B-4857-B0EF-B83C6C8C9C8C}">
    <text>The correction factor is based on two components. 1. The ratio of BER to total housing stock and the ArDEM internal temperature adjustment</text>
  </threadedComment>
  <threadedComment ref="T30" dT="2020-11-20T09:29:57.47" personId="{00000000-0000-0000-0000-000000000000}" id="{F98A09A5-ED7F-446B-BDE7-7E3B32870D14}">
    <text>The correction factor is based on the ratio of BER to total housing stock</text>
  </threadedComment>
  <threadedComment ref="T57" dT="2020-11-20T09:29:57.47" personId="{00000000-0000-0000-0000-000000000000}" id="{C12E7C0B-2C5A-47E9-B3E9-D9411BB51E02}">
    <text>The correction factor is based on the ratio of BER to total housing stock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T4" dT="2020-11-20T09:29:57.47" personId="{00000000-0000-0000-0000-000000000000}" id="{2871B56B-5E40-46C8-978A-9DA5F67D0804}">
    <text>The correction factor is based on two components. 1. The ratio of BER to total housing stock and the ArDEM internal temperature adjustment</text>
  </threadedComment>
  <threadedComment ref="T30" dT="2020-11-20T09:29:57.47" personId="{00000000-0000-0000-0000-000000000000}" id="{BAE0A747-CC3A-432B-8D64-48DEBDDEE535}">
    <text>The correction factor is based on the ratio of BER to total housing stock</text>
  </threadedComment>
  <threadedComment ref="T57" dT="2020-11-20T09:29:57.47" personId="{00000000-0000-0000-0000-000000000000}" id="{D24C9FE5-80EE-43E2-A261-7C8FFFAF3341}">
    <text>The correction factor is based on the ratio of BER to total housing stock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T4" dT="2020-11-20T09:29:57.47" personId="{00000000-0000-0000-0000-000000000000}" id="{04F46DFB-7618-4F69-B793-BEC292DAC661}">
    <text>The correction factor is based on two components. 1. The ratio of BER to total housing stock and the ArDEM internal temperature adjustment</text>
  </threadedComment>
  <threadedComment ref="T30" dT="2020-11-20T09:29:57.47" personId="{00000000-0000-0000-0000-000000000000}" id="{8F933052-EE78-47B9-BF6C-72EA9DEF76C0}">
    <text>The correction factor is based on the ratio of BER to total housing stock</text>
  </threadedComment>
  <threadedComment ref="T57" dT="2020-11-20T09:29:57.47" personId="{00000000-0000-0000-0000-000000000000}" id="{F22E0A0C-6053-48B6-8C6D-BAED2A5A08F3}">
    <text>The correction factor is based on the ratio of BER to total housing stock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epa.ie/pubs/reports/research/climate/researchreport339/Research_Report_339_Part3.pdf" TargetMode="External"/><Relationship Id="rId3" Type="http://schemas.openxmlformats.org/officeDocument/2006/relationships/hyperlink" Target="https://storage.topten.eu/source/files/WhiteGoods_in_Europe_June15.pdf" TargetMode="External"/><Relationship Id="rId7" Type="http://schemas.openxmlformats.org/officeDocument/2006/relationships/hyperlink" Target="https://www.centralbank.ie/docs/default-source/publications/economic-letters/vol-2019-no-14-population-change-and-housing-demand-in-ireland-(conefrey-and-staunton).pdf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https://ndber.seai.ie/pass/ber/search.aspx" TargetMode="External"/><Relationship Id="rId1" Type="http://schemas.openxmlformats.org/officeDocument/2006/relationships/hyperlink" Target="https://www.seai.ie/data-and-insights/seai-statistics/key-publications/national-energy-balance/" TargetMode="External"/><Relationship Id="rId6" Type="http://schemas.openxmlformats.org/officeDocument/2006/relationships/hyperlink" Target="https://www.epa.ie/publications/monitoring--assessment/climate-change/air-emissions/Ireland-NIR-2018.pdf(Table%203.1.1))" TargetMode="External"/><Relationship Id="rId11" Type="http://schemas.openxmlformats.org/officeDocument/2006/relationships/hyperlink" Target="https://storage.topten.eu/source/files/Market-Monitoring-2016-EN-Topten.eu.pdf" TargetMode="External"/><Relationship Id="rId5" Type="http://schemas.openxmlformats.org/officeDocument/2006/relationships/hyperlink" Target="https://www.seai.ie/publications/Energy-in-the-Residential-Sector-2018-Final.pdf" TargetMode="External"/><Relationship Id="rId10" Type="http://schemas.openxmlformats.org/officeDocument/2006/relationships/hyperlink" Target="https://www.seai.ie/publications/Energy-Emissions-Report-2020.pdf" TargetMode="External"/><Relationship Id="rId4" Type="http://schemas.openxmlformats.org/officeDocument/2006/relationships/hyperlink" Target="https://www.cso.ie/en/csolatestnews/presspages/2017/census2016profile1-housinginireland/" TargetMode="External"/><Relationship Id="rId9" Type="http://schemas.openxmlformats.org/officeDocument/2006/relationships/hyperlink" Target="https://www.seai.ie/data-and-insights/seai-statistics/conversion-factors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vmlDrawing" Target="../drawings/vmlDrawing9.vml"/><Relationship Id="rId7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4.xml"/><Relationship Id="rId11" Type="http://schemas.microsoft.com/office/2017/10/relationships/threadedComment" Target="../threadedComments/threadedComment3.xml"/><Relationship Id="rId5" Type="http://schemas.openxmlformats.org/officeDocument/2006/relationships/table" Target="../tables/table3.xml"/><Relationship Id="rId10" Type="http://schemas.openxmlformats.org/officeDocument/2006/relationships/comments" Target="../comments7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8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Relationship Id="rId5" Type="http://schemas.microsoft.com/office/2017/10/relationships/threadedComment" Target="../threadedComments/threadedComment5.xml"/><Relationship Id="rId4" Type="http://schemas.openxmlformats.org/officeDocument/2006/relationships/comments" Target="../comments9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Relationship Id="rId5" Type="http://schemas.microsoft.com/office/2017/10/relationships/threadedComment" Target="../threadedComments/threadedComment6.xml"/><Relationship Id="rId4" Type="http://schemas.openxmlformats.org/officeDocument/2006/relationships/comments" Target="../comments10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06FDA-B4C0-446A-AAD3-28F890818E2C}">
  <sheetPr codeName="Sheet20"/>
  <dimension ref="A1:Z99"/>
  <sheetViews>
    <sheetView showGridLines="0" topLeftCell="A8" zoomScaleNormal="100" workbookViewId="0">
      <selection activeCell="B26" sqref="B26:D27"/>
    </sheetView>
  </sheetViews>
  <sheetFormatPr defaultColWidth="8.81640625" defaultRowHeight="14.5"/>
  <cols>
    <col min="1" max="4" width="21.7265625" style="715" customWidth="1"/>
    <col min="5" max="6" width="14.1796875" style="715" customWidth="1"/>
    <col min="7" max="7" width="12.1796875" style="715" customWidth="1"/>
    <col min="8" max="10" width="8.1796875" style="715" customWidth="1"/>
    <col min="11" max="11" width="9.7265625" style="715" customWidth="1"/>
    <col min="12" max="12" width="8.1796875" style="715" customWidth="1"/>
    <col min="13" max="13" width="10" style="715" customWidth="1"/>
    <col min="14" max="14" width="11.453125" style="715" customWidth="1"/>
    <col min="15" max="15" width="13.453125" style="715" customWidth="1"/>
    <col min="16" max="16384" width="8.81640625" style="715"/>
  </cols>
  <sheetData>
    <row r="1" spans="1:26">
      <c r="A1" s="713"/>
      <c r="B1" s="713"/>
      <c r="C1" s="713"/>
      <c r="D1" s="713"/>
      <c r="E1" s="714"/>
      <c r="F1" s="714"/>
      <c r="G1" s="714"/>
      <c r="H1" s="714"/>
      <c r="I1" s="714"/>
      <c r="J1" s="714"/>
      <c r="K1" s="714"/>
      <c r="L1" s="714"/>
      <c r="M1" s="714"/>
      <c r="N1" s="714"/>
      <c r="O1" s="714"/>
      <c r="P1" s="714"/>
      <c r="Q1" s="714"/>
      <c r="R1" s="714"/>
      <c r="S1" s="714"/>
      <c r="T1" s="714"/>
      <c r="U1" s="714"/>
      <c r="V1" s="714"/>
      <c r="W1" s="714"/>
      <c r="X1" s="714"/>
      <c r="Y1" s="714"/>
      <c r="Z1" s="714"/>
    </row>
    <row r="2" spans="1:26">
      <c r="A2" s="713"/>
      <c r="B2" s="713"/>
      <c r="C2" s="713"/>
      <c r="D2" s="713"/>
      <c r="E2" s="714"/>
      <c r="F2" s="714"/>
      <c r="G2" s="714"/>
      <c r="H2" s="714"/>
      <c r="I2" s="714"/>
      <c r="J2" s="714"/>
      <c r="K2" s="714"/>
      <c r="L2" s="714"/>
      <c r="M2" s="714"/>
      <c r="N2" s="714"/>
      <c r="O2" s="714"/>
      <c r="P2" s="714"/>
      <c r="Q2" s="714"/>
      <c r="R2" s="714"/>
      <c r="S2" s="714"/>
      <c r="T2" s="714"/>
      <c r="U2" s="714"/>
      <c r="V2" s="714"/>
      <c r="W2" s="714"/>
      <c r="X2" s="714"/>
      <c r="Y2" s="714"/>
      <c r="Z2" s="714"/>
    </row>
    <row r="3" spans="1:26">
      <c r="A3" s="713"/>
      <c r="B3" s="713"/>
      <c r="C3" s="713"/>
      <c r="D3" s="713"/>
      <c r="E3" s="714"/>
      <c r="F3" s="714"/>
      <c r="G3" s="714"/>
      <c r="H3" s="714"/>
      <c r="I3" s="714"/>
      <c r="J3" s="714"/>
      <c r="K3" s="714"/>
      <c r="L3" s="714"/>
      <c r="M3" s="714"/>
      <c r="N3" s="714"/>
      <c r="O3" s="714"/>
      <c r="P3" s="714"/>
      <c r="Q3" s="714"/>
      <c r="R3" s="714"/>
      <c r="S3" s="714"/>
      <c r="T3" s="714"/>
      <c r="U3" s="714"/>
      <c r="V3" s="714"/>
      <c r="W3" s="714"/>
      <c r="X3" s="714"/>
      <c r="Y3" s="714"/>
      <c r="Z3" s="714"/>
    </row>
    <row r="4" spans="1:26">
      <c r="A4" s="713"/>
      <c r="B4" s="713"/>
      <c r="C4" s="713"/>
      <c r="D4" s="713"/>
      <c r="E4" s="714"/>
      <c r="F4" s="714"/>
      <c r="G4" s="714"/>
      <c r="H4" s="714"/>
      <c r="I4" s="714"/>
      <c r="J4" s="714"/>
      <c r="K4" s="714"/>
      <c r="L4" s="714"/>
      <c r="M4" s="714"/>
      <c r="N4" s="714"/>
      <c r="O4" s="714"/>
      <c r="P4" s="714"/>
      <c r="Q4" s="714"/>
      <c r="R4" s="714"/>
      <c r="S4" s="714"/>
      <c r="T4" s="714"/>
      <c r="U4" s="714"/>
      <c r="V4" s="714"/>
      <c r="W4" s="714"/>
      <c r="X4" s="714"/>
      <c r="Y4" s="714"/>
      <c r="Z4" s="714"/>
    </row>
    <row r="5" spans="1:26">
      <c r="A5" s="713"/>
      <c r="B5" s="713"/>
      <c r="C5" s="713"/>
      <c r="D5" s="713"/>
      <c r="E5" s="714"/>
      <c r="F5" s="714"/>
      <c r="G5" s="714"/>
      <c r="H5" s="714"/>
      <c r="I5" s="714"/>
      <c r="J5" s="714"/>
      <c r="K5" s="714"/>
      <c r="L5" s="714"/>
      <c r="M5" s="714"/>
      <c r="N5" s="714"/>
      <c r="O5" s="714"/>
      <c r="P5" s="714"/>
      <c r="Q5" s="714"/>
      <c r="R5" s="714"/>
      <c r="S5" s="714"/>
      <c r="T5" s="714"/>
      <c r="U5" s="714"/>
      <c r="V5" s="714"/>
      <c r="W5" s="714"/>
      <c r="X5" s="714"/>
      <c r="Y5" s="714"/>
      <c r="Z5" s="714"/>
    </row>
    <row r="6" spans="1:26">
      <c r="A6" s="713"/>
      <c r="B6" s="713"/>
      <c r="C6" s="713"/>
      <c r="D6" s="713"/>
      <c r="E6" s="714"/>
      <c r="F6" s="714"/>
      <c r="G6" s="714"/>
      <c r="H6" s="714"/>
      <c r="I6" s="714"/>
      <c r="J6" s="714"/>
      <c r="K6" s="714"/>
      <c r="L6" s="714"/>
      <c r="M6" s="714"/>
      <c r="N6" s="714"/>
      <c r="O6" s="714"/>
      <c r="P6" s="714"/>
      <c r="Q6" s="714"/>
      <c r="R6" s="714"/>
      <c r="S6" s="714"/>
      <c r="T6" s="714"/>
      <c r="U6" s="714"/>
      <c r="V6" s="714"/>
      <c r="W6" s="714"/>
      <c r="X6" s="714"/>
      <c r="Y6" s="714"/>
      <c r="Z6" s="714"/>
    </row>
    <row r="7" spans="1:26">
      <c r="A7" s="713"/>
      <c r="B7" s="713"/>
      <c r="C7" s="713"/>
      <c r="D7" s="713"/>
      <c r="E7" s="714"/>
      <c r="F7" s="714"/>
      <c r="G7" s="714"/>
      <c r="H7" s="714"/>
      <c r="I7" s="714"/>
      <c r="J7" s="714"/>
      <c r="K7" s="714"/>
      <c r="L7" s="714"/>
      <c r="M7" s="714"/>
      <c r="N7" s="714"/>
      <c r="O7" s="714"/>
      <c r="P7" s="714"/>
      <c r="Q7" s="714"/>
      <c r="R7" s="714"/>
      <c r="S7" s="714"/>
      <c r="T7" s="714"/>
      <c r="U7" s="714"/>
      <c r="V7" s="714"/>
      <c r="W7" s="714"/>
      <c r="X7" s="714"/>
      <c r="Y7" s="714"/>
      <c r="Z7" s="714"/>
    </row>
    <row r="8" spans="1:26">
      <c r="A8" s="713"/>
      <c r="B8" s="713"/>
      <c r="C8" s="713"/>
      <c r="D8" s="713"/>
      <c r="E8" s="714"/>
      <c r="F8" s="714"/>
      <c r="G8" s="714"/>
      <c r="H8" s="714"/>
      <c r="I8" s="714"/>
      <c r="J8" s="714"/>
      <c r="K8" s="714"/>
      <c r="L8" s="714"/>
      <c r="M8" s="714"/>
      <c r="N8" s="714"/>
      <c r="O8" s="714"/>
      <c r="P8" s="714"/>
      <c r="Q8" s="714"/>
      <c r="R8" s="714"/>
      <c r="S8" s="714"/>
      <c r="T8" s="714"/>
      <c r="U8" s="714"/>
      <c r="V8" s="714"/>
      <c r="W8" s="714"/>
      <c r="X8" s="714"/>
      <c r="Y8" s="714"/>
      <c r="Z8" s="714"/>
    </row>
    <row r="9" spans="1:26">
      <c r="A9" s="713"/>
      <c r="B9" s="713"/>
      <c r="C9" s="713"/>
      <c r="D9" s="713"/>
      <c r="E9" s="714"/>
      <c r="F9" s="714"/>
      <c r="G9" s="714"/>
      <c r="H9" s="714"/>
      <c r="I9" s="714"/>
      <c r="J9" s="714"/>
      <c r="K9" s="714"/>
      <c r="L9" s="714"/>
      <c r="M9" s="714"/>
      <c r="N9" s="714"/>
      <c r="O9" s="714"/>
      <c r="P9" s="714"/>
      <c r="Q9" s="714"/>
      <c r="R9" s="714"/>
      <c r="S9" s="714"/>
      <c r="T9" s="714"/>
      <c r="U9" s="714"/>
      <c r="V9" s="714"/>
      <c r="W9" s="714"/>
      <c r="X9" s="714"/>
      <c r="Y9" s="714"/>
      <c r="Z9" s="714"/>
    </row>
    <row r="10" spans="1:26">
      <c r="A10" s="713"/>
      <c r="B10" s="713"/>
      <c r="C10" s="713"/>
      <c r="D10" s="713"/>
      <c r="E10" s="714"/>
      <c r="F10" s="714"/>
      <c r="G10" s="714"/>
      <c r="H10" s="714"/>
      <c r="I10" s="714"/>
      <c r="J10" s="714"/>
      <c r="K10" s="714"/>
      <c r="L10" s="714"/>
      <c r="M10" s="714"/>
      <c r="N10" s="714"/>
      <c r="O10" s="714"/>
      <c r="P10" s="714"/>
      <c r="Q10" s="714"/>
      <c r="R10" s="714"/>
      <c r="S10" s="714"/>
      <c r="T10" s="714"/>
      <c r="U10" s="714"/>
      <c r="V10" s="714"/>
      <c r="W10" s="714"/>
      <c r="X10" s="714"/>
      <c r="Y10" s="714"/>
      <c r="Z10" s="714"/>
    </row>
    <row r="11" spans="1:26">
      <c r="A11" s="713"/>
      <c r="B11" s="713"/>
      <c r="C11" s="713"/>
      <c r="D11" s="713"/>
      <c r="E11" s="714"/>
      <c r="F11" s="714"/>
      <c r="G11" s="714"/>
      <c r="H11" s="714"/>
      <c r="I11" s="714"/>
      <c r="J11" s="714"/>
      <c r="K11" s="714"/>
      <c r="L11" s="714"/>
      <c r="M11" s="714"/>
      <c r="N11" s="714"/>
      <c r="O11" s="714"/>
      <c r="P11" s="714"/>
      <c r="Q11" s="714"/>
      <c r="R11" s="714"/>
      <c r="S11" s="714"/>
      <c r="T11" s="714"/>
      <c r="U11" s="714"/>
      <c r="V11" s="714"/>
      <c r="W11" s="714"/>
      <c r="X11" s="714"/>
      <c r="Y11" s="714"/>
      <c r="Z11" s="714"/>
    </row>
    <row r="12" spans="1:26">
      <c r="A12" s="713"/>
      <c r="B12" s="713"/>
      <c r="C12" s="713"/>
      <c r="D12" s="713"/>
      <c r="E12" s="714"/>
      <c r="F12" s="714"/>
      <c r="G12" s="714"/>
      <c r="H12" s="714"/>
      <c r="I12" s="714"/>
      <c r="J12" s="714"/>
      <c r="K12" s="714"/>
      <c r="L12" s="714"/>
      <c r="M12" s="714"/>
      <c r="N12" s="714"/>
      <c r="O12" s="714"/>
      <c r="P12" s="714"/>
      <c r="Q12" s="714"/>
      <c r="R12" s="714"/>
      <c r="S12" s="714"/>
      <c r="T12" s="714"/>
      <c r="U12" s="714"/>
      <c r="V12" s="714"/>
      <c r="W12" s="714"/>
      <c r="X12" s="714"/>
      <c r="Y12" s="714"/>
      <c r="Z12" s="714"/>
    </row>
    <row r="13" spans="1:26">
      <c r="A13" s="713"/>
      <c r="B13" s="713"/>
      <c r="C13" s="713"/>
      <c r="D13" s="713"/>
      <c r="E13" s="714"/>
      <c r="F13" s="714"/>
      <c r="G13" s="714"/>
      <c r="H13" s="714"/>
      <c r="I13" s="714"/>
      <c r="J13" s="714"/>
      <c r="K13" s="714"/>
      <c r="L13" s="714"/>
      <c r="M13" s="714"/>
      <c r="N13" s="714"/>
      <c r="O13" s="714"/>
      <c r="P13" s="714"/>
      <c r="Q13" s="714"/>
      <c r="R13" s="714"/>
      <c r="S13" s="714"/>
      <c r="T13" s="714"/>
      <c r="U13" s="714"/>
      <c r="V13" s="714"/>
      <c r="W13" s="714"/>
      <c r="X13" s="714"/>
      <c r="Y13" s="714"/>
      <c r="Z13" s="714"/>
    </row>
    <row r="14" spans="1:26">
      <c r="A14" s="713"/>
      <c r="B14" s="713"/>
      <c r="C14" s="713"/>
      <c r="D14" s="713"/>
      <c r="E14" s="714"/>
      <c r="F14" s="714"/>
      <c r="G14" s="714"/>
      <c r="H14" s="714"/>
      <c r="I14" s="714"/>
      <c r="J14" s="714"/>
      <c r="K14" s="714"/>
      <c r="L14" s="714"/>
      <c r="M14" s="714"/>
      <c r="N14" s="714"/>
      <c r="O14" s="714"/>
      <c r="P14" s="714"/>
      <c r="Q14" s="714"/>
      <c r="R14" s="714"/>
      <c r="S14" s="714"/>
      <c r="T14" s="714"/>
      <c r="U14" s="714"/>
      <c r="V14" s="714"/>
      <c r="W14" s="714"/>
      <c r="X14" s="714"/>
      <c r="Y14" s="714"/>
      <c r="Z14" s="714"/>
    </row>
    <row r="15" spans="1:26">
      <c r="A15" s="713"/>
      <c r="B15" s="713"/>
      <c r="C15" s="713"/>
      <c r="D15" s="713"/>
      <c r="E15" s="714"/>
      <c r="F15" s="714"/>
      <c r="G15" s="714"/>
      <c r="H15" s="714"/>
      <c r="I15" s="714"/>
      <c r="J15" s="714"/>
      <c r="K15" s="714"/>
      <c r="L15" s="714"/>
      <c r="M15" s="714"/>
      <c r="N15" s="714"/>
      <c r="O15" s="714"/>
      <c r="P15" s="714"/>
      <c r="Q15" s="714"/>
      <c r="R15" s="714"/>
      <c r="S15" s="714"/>
      <c r="T15" s="714"/>
      <c r="U15" s="714"/>
      <c r="V15" s="714"/>
      <c r="W15" s="714"/>
      <c r="X15" s="714"/>
      <c r="Y15" s="714"/>
      <c r="Z15" s="714"/>
    </row>
    <row r="16" spans="1:26" ht="102.75" customHeight="1">
      <c r="A16" s="1076" t="s">
        <v>874</v>
      </c>
      <c r="B16" s="1076"/>
      <c r="C16" s="1076"/>
      <c r="D16" s="1076"/>
      <c r="E16" s="716"/>
      <c r="F16" s="716"/>
      <c r="G16" s="717"/>
      <c r="H16" s="717"/>
      <c r="I16" s="717"/>
      <c r="J16" s="717"/>
      <c r="K16" s="717"/>
      <c r="L16" s="717"/>
      <c r="M16" s="714"/>
      <c r="N16" s="714"/>
      <c r="O16" s="714"/>
      <c r="P16" s="714"/>
      <c r="Q16" s="714"/>
      <c r="R16" s="714"/>
      <c r="S16" s="714"/>
      <c r="T16" s="714"/>
      <c r="U16" s="714"/>
      <c r="V16" s="714"/>
      <c r="W16" s="714"/>
      <c r="X16" s="714"/>
      <c r="Y16" s="714"/>
      <c r="Z16" s="714"/>
    </row>
    <row r="17" spans="1:26" ht="17.25" customHeight="1">
      <c r="A17" s="718"/>
      <c r="B17" s="718"/>
      <c r="C17" s="718"/>
      <c r="D17" s="718"/>
      <c r="E17" s="714"/>
      <c r="F17" s="714"/>
      <c r="G17" s="714"/>
      <c r="H17" s="714"/>
      <c r="I17" s="714"/>
      <c r="J17" s="714"/>
      <c r="K17" s="714"/>
      <c r="L17" s="714"/>
      <c r="M17" s="714"/>
      <c r="N17" s="714"/>
      <c r="O17" s="714"/>
      <c r="P17" s="714"/>
      <c r="Q17" s="714"/>
      <c r="R17" s="714"/>
      <c r="S17" s="714"/>
      <c r="T17" s="714"/>
      <c r="U17" s="714"/>
      <c r="V17" s="714"/>
      <c r="W17" s="714"/>
      <c r="X17" s="714"/>
      <c r="Y17" s="714"/>
      <c r="Z17" s="714"/>
    </row>
    <row r="18" spans="1:26" ht="17.25" customHeight="1">
      <c r="A18" s="718"/>
      <c r="B18" s="718"/>
      <c r="C18" s="718"/>
      <c r="D18" s="718"/>
      <c r="E18" s="719"/>
      <c r="F18" s="719"/>
      <c r="G18" s="720"/>
      <c r="H18" s="720"/>
      <c r="I18" s="720"/>
      <c r="J18" s="720"/>
      <c r="K18" s="720"/>
      <c r="L18" s="720"/>
      <c r="M18" s="714"/>
      <c r="N18" s="714"/>
      <c r="O18" s="714"/>
      <c r="P18" s="714"/>
      <c r="Q18" s="714"/>
      <c r="R18" s="714"/>
      <c r="S18" s="714"/>
      <c r="T18" s="714"/>
      <c r="U18" s="714"/>
      <c r="V18" s="714"/>
      <c r="W18" s="714"/>
      <c r="X18" s="714"/>
      <c r="Y18" s="714"/>
      <c r="Z18" s="714"/>
    </row>
    <row r="19" spans="1:26" ht="17.25" customHeight="1">
      <c r="A19" s="721" t="s">
        <v>0</v>
      </c>
      <c r="B19" s="1075" t="s">
        <v>889</v>
      </c>
      <c r="C19" s="1075"/>
      <c r="D19" s="1075"/>
      <c r="E19" s="722"/>
      <c r="F19" s="722"/>
      <c r="G19" s="723"/>
      <c r="H19" s="723"/>
      <c r="I19" s="723"/>
      <c r="J19" s="723"/>
      <c r="K19" s="723"/>
      <c r="L19" s="723"/>
      <c r="M19" s="714"/>
      <c r="N19" s="714"/>
      <c r="O19" s="714"/>
      <c r="P19" s="714"/>
      <c r="Q19" s="714"/>
      <c r="R19" s="714"/>
      <c r="S19" s="714"/>
      <c r="T19" s="714"/>
      <c r="U19" s="714"/>
      <c r="V19" s="714"/>
      <c r="W19" s="714"/>
      <c r="X19" s="714"/>
      <c r="Y19" s="714"/>
      <c r="Z19" s="714"/>
    </row>
    <row r="20" spans="1:26" ht="17.25" customHeight="1">
      <c r="A20" s="721" t="s">
        <v>875</v>
      </c>
      <c r="B20" s="1075" t="s">
        <v>890</v>
      </c>
      <c r="C20" s="1075"/>
      <c r="D20" s="1075"/>
      <c r="E20" s="722"/>
      <c r="F20" s="722"/>
      <c r="G20" s="723"/>
      <c r="H20" s="723"/>
      <c r="I20" s="723"/>
      <c r="J20" s="723"/>
      <c r="K20" s="723"/>
      <c r="L20" s="723"/>
      <c r="M20" s="714"/>
      <c r="N20" s="714"/>
      <c r="O20" s="714"/>
      <c r="P20" s="714"/>
      <c r="Q20" s="714"/>
      <c r="R20" s="714"/>
      <c r="S20" s="714"/>
      <c r="T20" s="714"/>
      <c r="U20" s="714"/>
      <c r="V20" s="714"/>
      <c r="W20" s="714"/>
      <c r="X20" s="714"/>
      <c r="Y20" s="714"/>
      <c r="Z20" s="714"/>
    </row>
    <row r="21" spans="1:26" ht="17.25" customHeight="1">
      <c r="A21" s="721" t="s">
        <v>876</v>
      </c>
      <c r="B21" s="724" t="s">
        <v>891</v>
      </c>
      <c r="C21" s="724"/>
      <c r="D21" s="724"/>
      <c r="E21" s="722"/>
      <c r="F21" s="722"/>
      <c r="G21" s="723"/>
      <c r="H21" s="723"/>
      <c r="I21" s="723"/>
      <c r="J21" s="723"/>
      <c r="K21" s="723"/>
      <c r="L21" s="723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714"/>
      <c r="Y21" s="714"/>
      <c r="Z21" s="714"/>
    </row>
    <row r="22" spans="1:26" ht="17.25" customHeight="1">
      <c r="A22" s="721"/>
      <c r="B22" s="724"/>
      <c r="C22" s="724"/>
      <c r="D22" s="724"/>
      <c r="E22" s="722"/>
      <c r="F22" s="722"/>
      <c r="G22" s="723"/>
      <c r="H22" s="723"/>
      <c r="I22" s="723"/>
      <c r="J22" s="723"/>
      <c r="K22" s="723"/>
      <c r="L22" s="723"/>
      <c r="M22" s="714"/>
      <c r="N22" s="714"/>
      <c r="O22" s="714"/>
      <c r="P22" s="714"/>
      <c r="Q22" s="714"/>
      <c r="R22" s="714"/>
      <c r="S22" s="714"/>
      <c r="T22" s="714"/>
      <c r="U22" s="714"/>
      <c r="V22" s="714"/>
      <c r="W22" s="714"/>
      <c r="X22" s="714"/>
      <c r="Y22" s="714"/>
      <c r="Z22" s="714"/>
    </row>
    <row r="23" spans="1:26" ht="17.25" customHeight="1">
      <c r="A23" s="721" t="s">
        <v>877</v>
      </c>
      <c r="B23" s="1075" t="s">
        <v>885</v>
      </c>
      <c r="C23" s="1075"/>
      <c r="D23" s="1075"/>
      <c r="E23" s="714"/>
      <c r="F23" s="714"/>
      <c r="G23" s="714"/>
      <c r="H23" s="714"/>
      <c r="I23" s="714"/>
      <c r="J23" s="714"/>
      <c r="K23" s="714"/>
      <c r="L23" s="714"/>
      <c r="M23" s="714"/>
      <c r="N23" s="714"/>
      <c r="O23" s="714"/>
      <c r="P23" s="714"/>
      <c r="Q23" s="714"/>
      <c r="R23" s="714"/>
      <c r="S23" s="714"/>
      <c r="T23" s="714"/>
      <c r="U23" s="714"/>
      <c r="V23" s="714"/>
      <c r="W23" s="714"/>
      <c r="X23" s="714"/>
      <c r="Y23" s="714"/>
      <c r="Z23" s="714"/>
    </row>
    <row r="24" spans="1:26" ht="17.25" customHeight="1">
      <c r="A24" s="721"/>
      <c r="B24" s="1075" t="s">
        <v>886</v>
      </c>
      <c r="C24" s="1075"/>
      <c r="D24" s="1075"/>
      <c r="E24" s="714"/>
      <c r="F24" s="714"/>
      <c r="G24" s="714"/>
      <c r="H24" s="714"/>
      <c r="I24" s="714"/>
      <c r="J24" s="714"/>
      <c r="K24" s="714"/>
      <c r="L24" s="714"/>
      <c r="M24" s="714"/>
      <c r="N24" s="714"/>
      <c r="O24" s="714"/>
      <c r="P24" s="714"/>
      <c r="Q24" s="714"/>
      <c r="R24" s="714"/>
      <c r="S24" s="714"/>
      <c r="T24" s="714"/>
      <c r="U24" s="714"/>
      <c r="V24" s="714"/>
      <c r="W24" s="714"/>
      <c r="X24" s="714"/>
      <c r="Y24" s="714"/>
      <c r="Z24" s="714"/>
    </row>
    <row r="25" spans="1:26" ht="17.25" customHeight="1">
      <c r="A25" s="721"/>
      <c r="B25" s="1075" t="s">
        <v>887</v>
      </c>
      <c r="C25" s="1075"/>
      <c r="D25" s="1075"/>
      <c r="E25" s="714"/>
      <c r="F25" s="714"/>
      <c r="G25" s="714"/>
      <c r="H25" s="714"/>
      <c r="I25" s="714"/>
      <c r="J25" s="714"/>
      <c r="K25" s="714"/>
      <c r="L25" s="714"/>
      <c r="M25" s="714"/>
      <c r="N25" s="714"/>
      <c r="O25" s="714"/>
      <c r="P25" s="714"/>
      <c r="Q25" s="714"/>
      <c r="R25" s="714"/>
      <c r="S25" s="714"/>
      <c r="T25" s="714"/>
      <c r="U25" s="714"/>
      <c r="V25" s="714"/>
      <c r="W25" s="714"/>
      <c r="X25" s="714"/>
      <c r="Y25" s="714"/>
      <c r="Z25" s="714"/>
    </row>
    <row r="26" spans="1:26" ht="17.25" customHeight="1">
      <c r="A26" s="721" t="s">
        <v>878</v>
      </c>
      <c r="B26" s="1075" t="s">
        <v>885</v>
      </c>
      <c r="C26" s="1075"/>
      <c r="D26" s="1075"/>
      <c r="E26" s="714"/>
      <c r="F26" s="714"/>
      <c r="G26" s="714"/>
      <c r="H26" s="714"/>
      <c r="I26" s="714"/>
      <c r="J26" s="714"/>
      <c r="K26" s="714"/>
      <c r="L26" s="714"/>
      <c r="M26" s="714"/>
      <c r="N26" s="714"/>
      <c r="O26" s="714"/>
      <c r="P26" s="714"/>
      <c r="Q26" s="714"/>
      <c r="R26" s="714"/>
      <c r="S26" s="714"/>
      <c r="T26" s="714"/>
      <c r="U26" s="714"/>
      <c r="V26" s="714"/>
      <c r="W26" s="714"/>
      <c r="X26" s="714"/>
      <c r="Y26" s="714"/>
      <c r="Z26" s="714"/>
    </row>
    <row r="27" spans="1:26" ht="17.25" customHeight="1">
      <c r="A27" s="721"/>
      <c r="B27" s="1075" t="s">
        <v>888</v>
      </c>
      <c r="C27" s="1075"/>
      <c r="D27" s="1075"/>
      <c r="E27" s="714"/>
      <c r="F27" s="714"/>
      <c r="G27" s="714"/>
      <c r="H27" s="714"/>
      <c r="I27" s="714"/>
      <c r="J27" s="714"/>
      <c r="K27" s="714"/>
      <c r="L27" s="714"/>
      <c r="M27" s="714"/>
      <c r="N27" s="714"/>
      <c r="O27" s="714"/>
      <c r="P27" s="714"/>
      <c r="Q27" s="714"/>
      <c r="R27" s="714"/>
      <c r="S27" s="714"/>
      <c r="T27" s="714"/>
      <c r="U27" s="714"/>
      <c r="V27" s="714"/>
      <c r="W27" s="714"/>
      <c r="X27" s="714"/>
      <c r="Y27" s="714"/>
      <c r="Z27" s="714"/>
    </row>
    <row r="28" spans="1:26" ht="17.25" customHeight="1">
      <c r="A28" s="721"/>
      <c r="B28" s="724"/>
      <c r="C28" s="724"/>
      <c r="D28" s="724"/>
      <c r="E28" s="714"/>
      <c r="F28" s="714"/>
      <c r="G28" s="714"/>
      <c r="H28" s="714"/>
      <c r="I28" s="714"/>
      <c r="J28" s="714"/>
      <c r="K28" s="714"/>
      <c r="L28" s="714"/>
      <c r="M28" s="714"/>
      <c r="N28" s="714"/>
      <c r="O28" s="714"/>
      <c r="P28" s="714"/>
      <c r="Q28" s="714"/>
      <c r="R28" s="714"/>
      <c r="S28" s="714"/>
      <c r="T28" s="714"/>
      <c r="U28" s="714"/>
      <c r="V28" s="714"/>
      <c r="W28" s="714"/>
      <c r="X28" s="714"/>
      <c r="Y28" s="714"/>
      <c r="Z28" s="714"/>
    </row>
    <row r="29" spans="1:26" ht="17.25" customHeight="1">
      <c r="A29" s="721" t="s">
        <v>879</v>
      </c>
      <c r="B29" s="725">
        <v>1</v>
      </c>
      <c r="C29" s="724"/>
      <c r="D29" s="724"/>
      <c r="E29" s="714"/>
      <c r="F29" s="714"/>
      <c r="G29" s="714"/>
      <c r="H29" s="714"/>
      <c r="I29" s="714"/>
      <c r="J29" s="714"/>
      <c r="K29" s="714"/>
      <c r="L29" s="714"/>
      <c r="M29" s="714"/>
      <c r="N29" s="714"/>
      <c r="O29" s="714"/>
      <c r="P29" s="714"/>
      <c r="Q29" s="714"/>
      <c r="R29" s="714"/>
      <c r="S29" s="714"/>
      <c r="T29" s="714"/>
      <c r="U29" s="714"/>
      <c r="V29" s="714"/>
      <c r="W29" s="714"/>
      <c r="X29" s="714"/>
      <c r="Y29" s="714"/>
      <c r="Z29" s="714"/>
    </row>
    <row r="30" spans="1:26" ht="17.25" customHeight="1">
      <c r="A30" s="721" t="s">
        <v>880</v>
      </c>
      <c r="B30" s="1077" t="s">
        <v>881</v>
      </c>
      <c r="C30" s="1075"/>
      <c r="D30" s="1075"/>
      <c r="E30" s="726"/>
      <c r="F30" s="726"/>
      <c r="G30" s="714"/>
      <c r="H30" s="714"/>
      <c r="I30" s="714"/>
      <c r="J30" s="714"/>
      <c r="K30" s="714"/>
      <c r="L30" s="714"/>
      <c r="M30" s="714"/>
      <c r="N30" s="714"/>
      <c r="O30" s="714"/>
      <c r="P30" s="714"/>
      <c r="Q30" s="714"/>
      <c r="R30" s="714"/>
      <c r="S30" s="714"/>
      <c r="T30" s="714"/>
      <c r="U30" s="714"/>
      <c r="V30" s="714"/>
      <c r="W30" s="714"/>
      <c r="X30" s="714"/>
      <c r="Y30" s="714"/>
      <c r="Z30" s="714"/>
    </row>
    <row r="31" spans="1:26" ht="17.25" customHeight="1">
      <c r="A31" s="721" t="s">
        <v>882</v>
      </c>
      <c r="B31" s="1075" t="s">
        <v>883</v>
      </c>
      <c r="C31" s="1075"/>
      <c r="D31" s="1075"/>
      <c r="E31" s="726"/>
      <c r="F31" s="726"/>
      <c r="G31" s="714"/>
      <c r="H31" s="714"/>
      <c r="I31" s="714"/>
      <c r="J31" s="714"/>
      <c r="K31" s="714"/>
      <c r="L31" s="714"/>
      <c r="M31" s="714"/>
      <c r="N31" s="714"/>
      <c r="O31" s="714"/>
      <c r="P31" s="714"/>
      <c r="Q31" s="714"/>
      <c r="R31" s="714"/>
      <c r="S31" s="714"/>
      <c r="T31" s="714"/>
      <c r="U31" s="714"/>
      <c r="V31" s="714"/>
      <c r="W31" s="714"/>
      <c r="X31" s="714"/>
      <c r="Y31" s="714"/>
      <c r="Z31" s="714"/>
    </row>
    <row r="32" spans="1:26" ht="17.25" customHeight="1">
      <c r="A32" s="727"/>
      <c r="B32" s="728" t="s">
        <v>884</v>
      </c>
      <c r="C32" s="727"/>
      <c r="D32" s="727"/>
      <c r="E32" s="714"/>
      <c r="F32" s="714"/>
      <c r="G32" s="714"/>
      <c r="H32" s="714"/>
      <c r="I32" s="714"/>
      <c r="J32" s="714"/>
      <c r="K32" s="714"/>
      <c r="L32" s="714"/>
      <c r="M32" s="714"/>
      <c r="N32" s="714"/>
      <c r="O32" s="714"/>
      <c r="P32" s="714"/>
      <c r="Q32" s="714"/>
      <c r="R32" s="714"/>
      <c r="S32" s="714"/>
      <c r="T32" s="714"/>
      <c r="U32" s="714"/>
      <c r="V32" s="714"/>
      <c r="W32" s="714"/>
      <c r="X32" s="714"/>
      <c r="Y32" s="714"/>
      <c r="Z32" s="714"/>
    </row>
    <row r="33" spans="1:26">
      <c r="A33" s="713"/>
      <c r="B33" s="713"/>
      <c r="C33" s="713"/>
      <c r="D33" s="713"/>
      <c r="E33" s="714"/>
      <c r="F33" s="714"/>
      <c r="G33" s="714"/>
      <c r="H33" s="714"/>
      <c r="I33" s="714"/>
      <c r="J33" s="714"/>
      <c r="K33" s="714"/>
      <c r="L33" s="714"/>
      <c r="M33" s="714"/>
      <c r="N33" s="714"/>
      <c r="O33" s="714"/>
      <c r="P33" s="714"/>
      <c r="Q33" s="714"/>
      <c r="R33" s="714"/>
      <c r="S33" s="714"/>
      <c r="T33" s="714"/>
      <c r="U33" s="714"/>
      <c r="V33" s="714"/>
      <c r="W33" s="714"/>
      <c r="X33" s="714"/>
      <c r="Y33" s="714"/>
      <c r="Z33" s="714"/>
    </row>
    <row r="34" spans="1:26">
      <c r="A34" s="713"/>
      <c r="B34" s="713"/>
      <c r="C34" s="713"/>
      <c r="D34" s="713"/>
      <c r="E34" s="714"/>
      <c r="F34" s="714"/>
      <c r="G34" s="714"/>
      <c r="H34" s="714"/>
      <c r="I34" s="714"/>
      <c r="J34" s="714"/>
      <c r="K34" s="714"/>
      <c r="L34" s="714"/>
      <c r="M34" s="714"/>
      <c r="N34" s="714"/>
      <c r="O34" s="714"/>
      <c r="P34" s="714"/>
      <c r="Q34" s="714"/>
      <c r="R34" s="714"/>
      <c r="S34" s="714"/>
      <c r="T34" s="714"/>
      <c r="U34" s="714"/>
      <c r="V34" s="714"/>
      <c r="W34" s="714"/>
      <c r="X34" s="714"/>
      <c r="Y34" s="714"/>
      <c r="Z34" s="714"/>
    </row>
    <row r="35" spans="1:26">
      <c r="A35" s="713"/>
      <c r="B35" s="713"/>
      <c r="C35" s="713"/>
      <c r="D35" s="713"/>
      <c r="E35" s="714"/>
      <c r="F35" s="714"/>
      <c r="G35" s="714"/>
      <c r="H35" s="714"/>
      <c r="I35" s="714"/>
      <c r="J35" s="714"/>
      <c r="K35" s="714"/>
      <c r="L35" s="714"/>
      <c r="M35" s="714"/>
      <c r="N35" s="714"/>
      <c r="O35" s="714"/>
      <c r="P35" s="714"/>
      <c r="Q35" s="714"/>
      <c r="R35" s="714"/>
      <c r="S35" s="714"/>
      <c r="T35" s="714"/>
      <c r="U35" s="714"/>
      <c r="V35" s="714"/>
      <c r="W35" s="714"/>
      <c r="X35" s="714"/>
      <c r="Y35" s="714"/>
      <c r="Z35" s="714"/>
    </row>
    <row r="36" spans="1:26">
      <c r="A36" s="713"/>
      <c r="B36" s="713"/>
      <c r="C36" s="713"/>
      <c r="D36" s="713"/>
      <c r="E36" s="714"/>
      <c r="F36" s="714"/>
      <c r="G36" s="714"/>
      <c r="H36" s="714"/>
      <c r="I36" s="714"/>
      <c r="J36" s="714"/>
      <c r="K36" s="714"/>
      <c r="L36" s="714"/>
      <c r="M36" s="714"/>
      <c r="N36" s="714"/>
      <c r="O36" s="714"/>
      <c r="P36" s="714"/>
      <c r="Q36" s="714"/>
      <c r="R36" s="714"/>
      <c r="S36" s="714"/>
      <c r="T36" s="714"/>
      <c r="U36" s="714"/>
      <c r="V36" s="714"/>
      <c r="W36" s="714"/>
      <c r="X36" s="714"/>
      <c r="Y36" s="714"/>
      <c r="Z36" s="714"/>
    </row>
    <row r="37" spans="1:26">
      <c r="A37" s="713"/>
      <c r="B37" s="713"/>
      <c r="C37" s="713"/>
      <c r="D37" s="713"/>
      <c r="E37" s="714"/>
      <c r="F37" s="714"/>
      <c r="G37" s="714"/>
      <c r="H37" s="714"/>
      <c r="I37" s="714"/>
      <c r="J37" s="714"/>
      <c r="K37" s="714"/>
      <c r="L37" s="714"/>
      <c r="M37" s="714"/>
      <c r="N37" s="714"/>
      <c r="O37" s="714"/>
      <c r="P37" s="714"/>
      <c r="Q37" s="714"/>
      <c r="R37" s="714"/>
      <c r="S37" s="714"/>
      <c r="T37" s="714"/>
      <c r="U37" s="714"/>
      <c r="V37" s="714"/>
      <c r="W37" s="714"/>
      <c r="X37" s="714"/>
      <c r="Y37" s="714"/>
      <c r="Z37" s="714"/>
    </row>
    <row r="38" spans="1:26">
      <c r="A38" s="713"/>
      <c r="B38" s="713"/>
      <c r="C38" s="713"/>
      <c r="D38" s="713"/>
      <c r="E38" s="714"/>
      <c r="F38" s="714"/>
      <c r="G38" s="714"/>
      <c r="H38" s="714"/>
      <c r="I38" s="714"/>
      <c r="J38" s="714"/>
      <c r="K38" s="714"/>
      <c r="L38" s="714"/>
      <c r="M38" s="714"/>
      <c r="N38" s="714"/>
      <c r="O38" s="714"/>
      <c r="P38" s="714"/>
      <c r="Q38" s="714"/>
      <c r="R38" s="714"/>
      <c r="S38" s="714"/>
      <c r="T38" s="714"/>
      <c r="U38" s="714"/>
      <c r="V38" s="714"/>
      <c r="W38" s="714"/>
      <c r="X38" s="714"/>
      <c r="Y38" s="714"/>
      <c r="Z38" s="714"/>
    </row>
    <row r="39" spans="1:26">
      <c r="A39" s="713"/>
      <c r="B39" s="713"/>
      <c r="C39" s="713"/>
      <c r="D39" s="713"/>
      <c r="E39" s="714"/>
      <c r="F39" s="714"/>
      <c r="G39" s="714"/>
      <c r="H39" s="714"/>
      <c r="I39" s="714"/>
      <c r="J39" s="714"/>
      <c r="K39" s="714"/>
      <c r="L39" s="714"/>
      <c r="M39" s="714"/>
      <c r="N39" s="714"/>
      <c r="O39" s="714"/>
      <c r="P39" s="714"/>
      <c r="Q39" s="714"/>
      <c r="R39" s="714"/>
      <c r="S39" s="714"/>
      <c r="T39" s="714"/>
      <c r="U39" s="714"/>
      <c r="V39" s="714"/>
      <c r="W39" s="714"/>
      <c r="X39" s="714"/>
      <c r="Y39" s="714"/>
      <c r="Z39" s="714"/>
    </row>
    <row r="40" spans="1:26">
      <c r="A40" s="713"/>
      <c r="B40" s="713"/>
      <c r="C40" s="713"/>
      <c r="D40" s="713"/>
      <c r="E40" s="714"/>
      <c r="F40" s="714"/>
      <c r="G40" s="714"/>
      <c r="H40" s="714"/>
      <c r="I40" s="714"/>
      <c r="J40" s="714"/>
      <c r="K40" s="714"/>
      <c r="L40" s="714"/>
      <c r="M40" s="714"/>
      <c r="N40" s="714"/>
      <c r="O40" s="714"/>
      <c r="P40" s="714"/>
      <c r="Q40" s="714"/>
      <c r="R40" s="714"/>
      <c r="S40" s="714"/>
      <c r="T40" s="714"/>
      <c r="U40" s="714"/>
      <c r="V40" s="714"/>
      <c r="W40" s="714"/>
      <c r="X40" s="714"/>
      <c r="Y40" s="714"/>
      <c r="Z40" s="714"/>
    </row>
    <row r="41" spans="1:26">
      <c r="A41" s="713"/>
      <c r="B41" s="713"/>
      <c r="C41" s="713"/>
      <c r="D41" s="713"/>
      <c r="E41" s="714"/>
      <c r="F41" s="714"/>
      <c r="G41" s="714"/>
      <c r="H41" s="714"/>
      <c r="I41" s="714"/>
      <c r="J41" s="714"/>
      <c r="K41" s="714"/>
      <c r="L41" s="714"/>
      <c r="M41" s="714"/>
      <c r="N41" s="714"/>
      <c r="O41" s="714"/>
      <c r="P41" s="714"/>
      <c r="Q41" s="714"/>
      <c r="R41" s="714"/>
      <c r="S41" s="714"/>
      <c r="T41" s="714"/>
      <c r="U41" s="714"/>
      <c r="V41" s="714"/>
      <c r="W41" s="714"/>
      <c r="X41" s="714"/>
      <c r="Y41" s="714"/>
      <c r="Z41" s="714"/>
    </row>
    <row r="42" spans="1:26">
      <c r="A42" s="713"/>
      <c r="B42" s="713"/>
      <c r="C42" s="713"/>
      <c r="D42" s="713"/>
      <c r="E42" s="714"/>
      <c r="F42" s="714"/>
      <c r="G42" s="714"/>
      <c r="H42" s="714"/>
      <c r="I42" s="714"/>
      <c r="J42" s="714"/>
      <c r="K42" s="714"/>
      <c r="L42" s="714"/>
      <c r="M42" s="714"/>
      <c r="N42" s="714"/>
      <c r="O42" s="714"/>
      <c r="P42" s="714"/>
      <c r="Q42" s="714"/>
      <c r="R42" s="714"/>
      <c r="S42" s="714"/>
      <c r="T42" s="714"/>
      <c r="U42" s="714"/>
      <c r="V42" s="714"/>
      <c r="W42" s="714"/>
      <c r="X42" s="714"/>
      <c r="Y42" s="714"/>
      <c r="Z42" s="714"/>
    </row>
    <row r="43" spans="1:26">
      <c r="A43" s="714"/>
      <c r="B43" s="714"/>
      <c r="C43" s="714"/>
      <c r="D43" s="714"/>
      <c r="E43" s="714"/>
      <c r="F43" s="714"/>
      <c r="G43" s="714"/>
      <c r="H43" s="714"/>
      <c r="I43" s="714"/>
      <c r="J43" s="714"/>
      <c r="K43" s="714"/>
      <c r="L43" s="714"/>
      <c r="M43" s="714"/>
      <c r="N43" s="714"/>
      <c r="O43" s="714"/>
      <c r="P43" s="714"/>
      <c r="Q43" s="714"/>
      <c r="R43" s="714"/>
      <c r="S43" s="714"/>
      <c r="T43" s="714"/>
      <c r="U43" s="714"/>
      <c r="V43" s="714"/>
      <c r="W43" s="714"/>
      <c r="X43" s="714"/>
      <c r="Y43" s="714"/>
      <c r="Z43" s="714"/>
    </row>
    <row r="44" spans="1:26">
      <c r="A44" s="714"/>
      <c r="B44" s="714"/>
      <c r="C44" s="714"/>
      <c r="D44" s="714"/>
      <c r="E44" s="714"/>
      <c r="F44" s="714"/>
      <c r="G44" s="714"/>
      <c r="H44" s="714"/>
      <c r="I44" s="714"/>
      <c r="J44" s="714"/>
      <c r="K44" s="714"/>
      <c r="L44" s="714"/>
      <c r="M44" s="714"/>
      <c r="N44" s="714"/>
      <c r="O44" s="714"/>
      <c r="P44" s="714"/>
      <c r="Q44" s="714"/>
      <c r="R44" s="714"/>
      <c r="S44" s="714"/>
      <c r="T44" s="714"/>
      <c r="U44" s="714"/>
      <c r="V44" s="714"/>
      <c r="W44" s="714"/>
      <c r="X44" s="714"/>
      <c r="Y44" s="714"/>
      <c r="Z44" s="714"/>
    </row>
    <row r="45" spans="1:26">
      <c r="A45" s="714"/>
      <c r="B45" s="714"/>
      <c r="C45" s="714"/>
      <c r="D45" s="714"/>
      <c r="E45" s="714"/>
      <c r="F45" s="714"/>
      <c r="G45" s="714"/>
      <c r="H45" s="714"/>
      <c r="I45" s="714"/>
      <c r="J45" s="714"/>
      <c r="K45" s="714"/>
      <c r="L45" s="714"/>
      <c r="M45" s="714"/>
      <c r="N45" s="714"/>
      <c r="O45" s="714"/>
      <c r="P45" s="714"/>
      <c r="Q45" s="714"/>
      <c r="R45" s="714"/>
      <c r="S45" s="714"/>
      <c r="T45" s="714"/>
      <c r="U45" s="714"/>
      <c r="V45" s="714"/>
      <c r="W45" s="714"/>
      <c r="X45" s="714"/>
      <c r="Y45" s="714"/>
      <c r="Z45" s="714"/>
    </row>
    <row r="46" spans="1:26">
      <c r="A46" s="714"/>
      <c r="B46" s="714"/>
      <c r="C46" s="714"/>
      <c r="D46" s="714"/>
      <c r="E46" s="714"/>
      <c r="F46" s="714"/>
      <c r="G46" s="714"/>
      <c r="H46" s="714"/>
      <c r="I46" s="714"/>
      <c r="J46" s="714"/>
      <c r="K46" s="714"/>
      <c r="L46" s="714"/>
      <c r="M46" s="714"/>
      <c r="N46" s="714"/>
      <c r="O46" s="714"/>
      <c r="P46" s="714"/>
      <c r="Q46" s="714"/>
      <c r="R46" s="714"/>
      <c r="S46" s="714"/>
      <c r="T46" s="714"/>
      <c r="U46" s="714"/>
      <c r="V46" s="714"/>
      <c r="W46" s="714"/>
      <c r="X46" s="714"/>
      <c r="Y46" s="714"/>
      <c r="Z46" s="714"/>
    </row>
    <row r="47" spans="1:26">
      <c r="A47" s="714"/>
      <c r="B47" s="714"/>
      <c r="C47" s="714"/>
      <c r="D47" s="714"/>
      <c r="E47" s="714"/>
      <c r="F47" s="714"/>
      <c r="G47" s="714"/>
      <c r="H47" s="714"/>
      <c r="I47" s="714"/>
      <c r="J47" s="714"/>
      <c r="K47" s="714"/>
      <c r="L47" s="714"/>
      <c r="M47" s="714"/>
      <c r="N47" s="714"/>
      <c r="O47" s="714"/>
      <c r="P47" s="714"/>
      <c r="Q47" s="714"/>
      <c r="R47" s="714"/>
      <c r="S47" s="714"/>
      <c r="T47" s="714"/>
      <c r="U47" s="714"/>
      <c r="V47" s="714"/>
      <c r="W47" s="714"/>
      <c r="X47" s="714"/>
      <c r="Y47" s="714"/>
      <c r="Z47" s="714"/>
    </row>
    <row r="48" spans="1:26">
      <c r="A48" s="714"/>
      <c r="B48" s="714"/>
      <c r="C48" s="714"/>
      <c r="D48" s="714"/>
      <c r="E48" s="714"/>
      <c r="F48" s="714"/>
      <c r="G48" s="714"/>
      <c r="H48" s="714"/>
      <c r="I48" s="714"/>
      <c r="J48" s="714"/>
      <c r="K48" s="714"/>
      <c r="L48" s="714"/>
      <c r="M48" s="714"/>
      <c r="N48" s="714"/>
      <c r="O48" s="714"/>
      <c r="P48" s="714"/>
      <c r="Q48" s="714"/>
      <c r="R48" s="714"/>
      <c r="S48" s="714"/>
      <c r="T48" s="714"/>
      <c r="U48" s="714"/>
      <c r="V48" s="714"/>
      <c r="W48" s="714"/>
      <c r="X48" s="714"/>
      <c r="Y48" s="714"/>
      <c r="Z48" s="714"/>
    </row>
    <row r="49" spans="1:26">
      <c r="A49" s="714"/>
      <c r="B49" s="714"/>
      <c r="C49" s="714"/>
      <c r="D49" s="714"/>
      <c r="E49" s="714"/>
      <c r="F49" s="714"/>
      <c r="G49" s="714"/>
      <c r="H49" s="714"/>
      <c r="I49" s="714"/>
      <c r="J49" s="714"/>
      <c r="K49" s="714"/>
      <c r="L49" s="714"/>
      <c r="M49" s="714"/>
      <c r="N49" s="714"/>
      <c r="O49" s="714"/>
      <c r="P49" s="714"/>
      <c r="Q49" s="714"/>
      <c r="R49" s="714"/>
      <c r="S49" s="714"/>
      <c r="T49" s="714"/>
      <c r="U49" s="714"/>
      <c r="V49" s="714"/>
      <c r="W49" s="714"/>
      <c r="X49" s="714"/>
      <c r="Y49" s="714"/>
      <c r="Z49" s="714"/>
    </row>
    <row r="50" spans="1:26">
      <c r="A50" s="714"/>
      <c r="B50" s="714"/>
      <c r="C50" s="714"/>
      <c r="D50" s="714"/>
      <c r="E50" s="714"/>
      <c r="F50" s="714"/>
      <c r="G50" s="714"/>
      <c r="H50" s="714"/>
      <c r="I50" s="714"/>
      <c r="J50" s="714"/>
      <c r="K50" s="714"/>
      <c r="L50" s="714"/>
      <c r="M50" s="714"/>
      <c r="N50" s="714"/>
      <c r="O50" s="714"/>
      <c r="P50" s="714"/>
      <c r="Q50" s="714"/>
      <c r="R50" s="714"/>
      <c r="S50" s="714"/>
      <c r="T50" s="714"/>
      <c r="U50" s="714"/>
      <c r="V50" s="714"/>
      <c r="W50" s="714"/>
      <c r="X50" s="714"/>
      <c r="Y50" s="714"/>
      <c r="Z50" s="714"/>
    </row>
    <row r="51" spans="1:26">
      <c r="A51" s="714"/>
      <c r="B51" s="714"/>
      <c r="C51" s="714"/>
      <c r="D51" s="714"/>
      <c r="E51" s="714"/>
      <c r="F51" s="714"/>
      <c r="G51" s="714"/>
      <c r="H51" s="714"/>
      <c r="I51" s="714"/>
      <c r="J51" s="714"/>
      <c r="K51" s="714"/>
      <c r="L51" s="714"/>
      <c r="M51" s="714"/>
      <c r="N51" s="714"/>
      <c r="O51" s="714"/>
      <c r="P51" s="714"/>
      <c r="Q51" s="714"/>
      <c r="R51" s="714"/>
      <c r="S51" s="714"/>
      <c r="T51" s="714"/>
      <c r="U51" s="714"/>
      <c r="V51" s="714"/>
      <c r="W51" s="714"/>
      <c r="X51" s="714"/>
      <c r="Y51" s="714"/>
      <c r="Z51" s="714"/>
    </row>
    <row r="52" spans="1:26">
      <c r="A52" s="714"/>
      <c r="B52" s="714"/>
      <c r="C52" s="714"/>
      <c r="D52" s="714"/>
      <c r="E52" s="714"/>
      <c r="F52" s="714"/>
      <c r="G52" s="714"/>
      <c r="H52" s="714"/>
      <c r="I52" s="714"/>
      <c r="J52" s="714"/>
      <c r="K52" s="714"/>
      <c r="L52" s="714"/>
      <c r="M52" s="714"/>
      <c r="N52" s="714"/>
      <c r="O52" s="714"/>
      <c r="P52" s="714"/>
      <c r="Q52" s="714"/>
      <c r="R52" s="714"/>
      <c r="S52" s="714"/>
      <c r="T52" s="714"/>
      <c r="U52" s="714"/>
      <c r="V52" s="714"/>
      <c r="W52" s="714"/>
      <c r="X52" s="714"/>
      <c r="Y52" s="714"/>
      <c r="Z52" s="714"/>
    </row>
    <row r="53" spans="1:26">
      <c r="A53" s="714"/>
      <c r="B53" s="714"/>
      <c r="C53" s="714"/>
      <c r="D53" s="714"/>
      <c r="E53" s="714"/>
      <c r="F53" s="714"/>
      <c r="G53" s="714"/>
      <c r="H53" s="714"/>
      <c r="I53" s="714"/>
      <c r="J53" s="714"/>
      <c r="K53" s="714"/>
      <c r="L53" s="714"/>
      <c r="M53" s="714"/>
      <c r="N53" s="714"/>
      <c r="O53" s="714"/>
      <c r="P53" s="714"/>
      <c r="Q53" s="714"/>
      <c r="R53" s="714"/>
      <c r="S53" s="714"/>
      <c r="T53" s="714"/>
      <c r="U53" s="714"/>
      <c r="V53" s="714"/>
      <c r="W53" s="714"/>
      <c r="X53" s="714"/>
      <c r="Y53" s="714"/>
      <c r="Z53" s="714"/>
    </row>
    <row r="54" spans="1:26">
      <c r="A54" s="714"/>
      <c r="B54" s="714"/>
      <c r="C54" s="714"/>
      <c r="D54" s="714"/>
      <c r="E54" s="714"/>
      <c r="F54" s="714"/>
      <c r="G54" s="714"/>
      <c r="H54" s="714"/>
      <c r="I54" s="714"/>
      <c r="J54" s="714"/>
      <c r="K54" s="714"/>
      <c r="L54" s="714"/>
      <c r="M54" s="714"/>
      <c r="N54" s="714"/>
      <c r="O54" s="714"/>
      <c r="P54" s="714"/>
      <c r="Q54" s="714"/>
      <c r="R54" s="714"/>
      <c r="S54" s="714"/>
      <c r="T54" s="714"/>
      <c r="U54" s="714"/>
      <c r="V54" s="714"/>
      <c r="W54" s="714"/>
      <c r="X54" s="714"/>
      <c r="Y54" s="714"/>
      <c r="Z54" s="714"/>
    </row>
    <row r="55" spans="1:26">
      <c r="A55" s="714"/>
      <c r="B55" s="714"/>
      <c r="C55" s="714"/>
      <c r="D55" s="714"/>
      <c r="E55" s="714"/>
      <c r="F55" s="714"/>
      <c r="G55" s="714"/>
      <c r="H55" s="714"/>
      <c r="I55" s="714"/>
      <c r="J55" s="714"/>
      <c r="K55" s="714"/>
      <c r="L55" s="714"/>
      <c r="M55" s="714"/>
      <c r="N55" s="714"/>
      <c r="O55" s="714"/>
      <c r="P55" s="714"/>
      <c r="Q55" s="714"/>
      <c r="R55" s="714"/>
      <c r="S55" s="714"/>
      <c r="T55" s="714"/>
      <c r="U55" s="714"/>
      <c r="V55" s="714"/>
      <c r="W55" s="714"/>
      <c r="X55" s="714"/>
      <c r="Y55" s="714"/>
      <c r="Z55" s="714"/>
    </row>
    <row r="56" spans="1:26">
      <c r="A56" s="714"/>
      <c r="B56" s="714"/>
      <c r="C56" s="714"/>
      <c r="D56" s="714"/>
      <c r="E56" s="714"/>
      <c r="F56" s="714"/>
      <c r="G56" s="714"/>
      <c r="H56" s="714"/>
      <c r="I56" s="714"/>
      <c r="J56" s="714"/>
      <c r="K56" s="714"/>
      <c r="L56" s="714"/>
      <c r="M56" s="714"/>
      <c r="N56" s="714"/>
      <c r="O56" s="714"/>
      <c r="P56" s="714"/>
      <c r="Q56" s="714"/>
      <c r="R56" s="714"/>
      <c r="S56" s="714"/>
      <c r="T56" s="714"/>
      <c r="U56" s="714"/>
      <c r="V56" s="714"/>
      <c r="W56" s="714"/>
      <c r="X56" s="714"/>
      <c r="Y56" s="714"/>
      <c r="Z56" s="714"/>
    </row>
    <row r="57" spans="1:26">
      <c r="A57" s="714"/>
      <c r="B57" s="714"/>
      <c r="C57" s="714"/>
      <c r="D57" s="714"/>
      <c r="E57" s="714"/>
      <c r="F57" s="714"/>
      <c r="G57" s="714"/>
      <c r="H57" s="714"/>
      <c r="I57" s="714"/>
      <c r="J57" s="714"/>
      <c r="K57" s="714"/>
      <c r="L57" s="714"/>
      <c r="M57" s="714"/>
      <c r="N57" s="714"/>
      <c r="O57" s="714"/>
      <c r="P57" s="714"/>
      <c r="Q57" s="714"/>
      <c r="R57" s="714"/>
      <c r="S57" s="714"/>
      <c r="T57" s="714"/>
      <c r="U57" s="714"/>
      <c r="V57" s="714"/>
      <c r="W57" s="714"/>
      <c r="X57" s="714"/>
      <c r="Y57" s="714"/>
      <c r="Z57" s="714"/>
    </row>
    <row r="58" spans="1:26">
      <c r="A58" s="714"/>
      <c r="B58" s="714"/>
      <c r="C58" s="714"/>
      <c r="D58" s="714"/>
      <c r="E58" s="714"/>
      <c r="F58" s="714"/>
      <c r="G58" s="714"/>
      <c r="H58" s="714"/>
      <c r="I58" s="714"/>
      <c r="J58" s="714"/>
      <c r="K58" s="714"/>
      <c r="L58" s="714"/>
      <c r="M58" s="714"/>
      <c r="N58" s="714"/>
      <c r="O58" s="714"/>
      <c r="P58" s="714"/>
      <c r="Q58" s="714"/>
      <c r="R58" s="714"/>
      <c r="S58" s="714"/>
      <c r="T58" s="714"/>
      <c r="U58" s="714"/>
      <c r="V58" s="714"/>
      <c r="W58" s="714"/>
      <c r="X58" s="714"/>
      <c r="Y58" s="714"/>
      <c r="Z58" s="714"/>
    </row>
    <row r="59" spans="1:26">
      <c r="A59" s="714"/>
      <c r="B59" s="714"/>
      <c r="C59" s="714"/>
      <c r="D59" s="714"/>
      <c r="E59" s="714"/>
      <c r="F59" s="714"/>
      <c r="G59" s="714"/>
      <c r="H59" s="714"/>
      <c r="I59" s="714"/>
      <c r="J59" s="714"/>
      <c r="K59" s="714"/>
      <c r="L59" s="714"/>
      <c r="M59" s="714"/>
      <c r="N59" s="714"/>
      <c r="O59" s="714"/>
      <c r="P59" s="714"/>
      <c r="Q59" s="714"/>
      <c r="R59" s="714"/>
      <c r="S59" s="714"/>
      <c r="T59" s="714"/>
      <c r="U59" s="714"/>
      <c r="V59" s="714"/>
      <c r="W59" s="714"/>
      <c r="X59" s="714"/>
      <c r="Y59" s="714"/>
      <c r="Z59" s="714"/>
    </row>
    <row r="60" spans="1:26">
      <c r="A60" s="714"/>
      <c r="B60" s="714"/>
      <c r="C60" s="714"/>
      <c r="D60" s="714"/>
      <c r="E60" s="714"/>
      <c r="F60" s="714"/>
      <c r="G60" s="714"/>
      <c r="H60" s="714"/>
      <c r="I60" s="714"/>
      <c r="J60" s="714"/>
      <c r="K60" s="714"/>
      <c r="L60" s="714"/>
      <c r="M60" s="714"/>
      <c r="N60" s="714"/>
      <c r="O60" s="714"/>
      <c r="P60" s="714"/>
      <c r="Q60" s="714"/>
      <c r="R60" s="714"/>
      <c r="S60" s="714"/>
      <c r="T60" s="714"/>
      <c r="U60" s="714"/>
      <c r="V60" s="714"/>
      <c r="W60" s="714"/>
      <c r="X60" s="714"/>
      <c r="Y60" s="714"/>
      <c r="Z60" s="714"/>
    </row>
    <row r="61" spans="1:26">
      <c r="A61" s="714"/>
      <c r="B61" s="714"/>
      <c r="C61" s="714"/>
      <c r="D61" s="714"/>
      <c r="E61" s="714"/>
      <c r="F61" s="714"/>
      <c r="G61" s="714"/>
      <c r="H61" s="714"/>
      <c r="I61" s="714"/>
      <c r="J61" s="714"/>
      <c r="K61" s="714"/>
      <c r="L61" s="714"/>
      <c r="M61" s="714"/>
      <c r="N61" s="714"/>
      <c r="O61" s="714"/>
      <c r="P61" s="714"/>
      <c r="Q61" s="714"/>
      <c r="R61" s="714"/>
      <c r="S61" s="714"/>
      <c r="T61" s="714"/>
      <c r="U61" s="714"/>
      <c r="V61" s="714"/>
      <c r="W61" s="714"/>
      <c r="X61" s="714"/>
      <c r="Y61" s="714"/>
      <c r="Z61" s="714"/>
    </row>
    <row r="62" spans="1:26">
      <c r="A62" s="714"/>
      <c r="B62" s="714"/>
      <c r="C62" s="714"/>
      <c r="D62" s="714"/>
      <c r="E62" s="714"/>
      <c r="F62" s="714"/>
      <c r="G62" s="714"/>
      <c r="H62" s="714"/>
      <c r="I62" s="714"/>
      <c r="J62" s="714"/>
      <c r="K62" s="714"/>
      <c r="L62" s="714"/>
      <c r="M62" s="714"/>
      <c r="N62" s="714"/>
      <c r="O62" s="714"/>
      <c r="P62" s="714"/>
      <c r="Q62" s="714"/>
      <c r="R62" s="714"/>
      <c r="S62" s="714"/>
      <c r="T62" s="714"/>
      <c r="U62" s="714"/>
      <c r="V62" s="714"/>
      <c r="W62" s="714"/>
      <c r="X62" s="714"/>
      <c r="Y62" s="714"/>
      <c r="Z62" s="714"/>
    </row>
    <row r="63" spans="1:26">
      <c r="A63" s="714"/>
      <c r="B63" s="714"/>
      <c r="C63" s="714"/>
      <c r="D63" s="714"/>
      <c r="E63" s="714"/>
      <c r="F63" s="714"/>
      <c r="G63" s="714"/>
      <c r="H63" s="714"/>
      <c r="I63" s="714"/>
      <c r="J63" s="714"/>
      <c r="K63" s="714"/>
      <c r="L63" s="714"/>
      <c r="M63" s="714"/>
      <c r="N63" s="714"/>
      <c r="O63" s="714"/>
      <c r="P63" s="714"/>
      <c r="Q63" s="714"/>
      <c r="R63" s="714"/>
      <c r="S63" s="714"/>
      <c r="T63" s="714"/>
      <c r="U63" s="714"/>
      <c r="V63" s="714"/>
      <c r="W63" s="714"/>
      <c r="X63" s="714"/>
      <c r="Y63" s="714"/>
      <c r="Z63" s="714"/>
    </row>
    <row r="64" spans="1:26">
      <c r="A64" s="714"/>
      <c r="B64" s="714"/>
      <c r="C64" s="714"/>
      <c r="D64" s="714"/>
      <c r="E64" s="714"/>
      <c r="F64" s="714"/>
      <c r="G64" s="714"/>
      <c r="H64" s="714"/>
      <c r="I64" s="714"/>
      <c r="J64" s="714"/>
      <c r="K64" s="714"/>
      <c r="L64" s="714"/>
      <c r="M64" s="714"/>
      <c r="N64" s="714"/>
      <c r="O64" s="714"/>
      <c r="P64" s="714"/>
      <c r="Q64" s="714"/>
      <c r="R64" s="714"/>
      <c r="S64" s="714"/>
      <c r="T64" s="714"/>
      <c r="U64" s="714"/>
      <c r="V64" s="714"/>
      <c r="W64" s="714"/>
      <c r="X64" s="714"/>
      <c r="Y64" s="714"/>
      <c r="Z64" s="714"/>
    </row>
    <row r="65" spans="1:26">
      <c r="A65" s="714"/>
      <c r="B65" s="714"/>
      <c r="C65" s="714"/>
      <c r="D65" s="714"/>
      <c r="E65" s="714"/>
      <c r="F65" s="714"/>
      <c r="G65" s="714"/>
      <c r="H65" s="714"/>
      <c r="I65" s="714"/>
      <c r="J65" s="714"/>
      <c r="K65" s="714"/>
      <c r="L65" s="714"/>
      <c r="M65" s="714"/>
      <c r="N65" s="714"/>
      <c r="O65" s="714"/>
      <c r="P65" s="714"/>
      <c r="Q65" s="714"/>
      <c r="R65" s="714"/>
      <c r="S65" s="714"/>
      <c r="T65" s="714"/>
      <c r="U65" s="714"/>
      <c r="V65" s="714"/>
      <c r="W65" s="714"/>
      <c r="X65" s="714"/>
      <c r="Y65" s="714"/>
      <c r="Z65" s="714"/>
    </row>
    <row r="66" spans="1:26">
      <c r="A66" s="714"/>
      <c r="B66" s="714"/>
      <c r="C66" s="714"/>
      <c r="D66" s="714"/>
      <c r="E66" s="714"/>
      <c r="F66" s="714"/>
      <c r="G66" s="714"/>
      <c r="H66" s="714"/>
      <c r="I66" s="714"/>
      <c r="J66" s="714"/>
      <c r="K66" s="714"/>
      <c r="L66" s="714"/>
      <c r="M66" s="714"/>
      <c r="N66" s="714"/>
      <c r="O66" s="714"/>
      <c r="P66" s="714"/>
      <c r="Q66" s="714"/>
      <c r="R66" s="714"/>
      <c r="S66" s="714"/>
      <c r="T66" s="714"/>
      <c r="U66" s="714"/>
      <c r="V66" s="714"/>
      <c r="W66" s="714"/>
      <c r="X66" s="714"/>
      <c r="Y66" s="714"/>
      <c r="Z66" s="714"/>
    </row>
    <row r="67" spans="1:26">
      <c r="A67" s="714"/>
      <c r="B67" s="714"/>
      <c r="C67" s="714"/>
      <c r="D67" s="714"/>
      <c r="E67" s="714"/>
      <c r="F67" s="714"/>
      <c r="G67" s="714"/>
      <c r="H67" s="714"/>
      <c r="I67" s="714"/>
      <c r="J67" s="714"/>
      <c r="K67" s="714"/>
      <c r="L67" s="714"/>
      <c r="M67" s="714"/>
      <c r="N67" s="714"/>
      <c r="O67" s="714"/>
      <c r="P67" s="714"/>
      <c r="Q67" s="714"/>
      <c r="R67" s="714"/>
      <c r="S67" s="714"/>
      <c r="T67" s="714"/>
      <c r="U67" s="714"/>
      <c r="V67" s="714"/>
      <c r="W67" s="714"/>
      <c r="X67" s="714"/>
      <c r="Y67" s="714"/>
      <c r="Z67" s="714"/>
    </row>
    <row r="68" spans="1:26">
      <c r="A68" s="714"/>
      <c r="B68" s="714"/>
      <c r="C68" s="714"/>
      <c r="D68" s="714"/>
      <c r="E68" s="714"/>
      <c r="F68" s="714"/>
      <c r="G68" s="714"/>
      <c r="H68" s="714"/>
      <c r="I68" s="714"/>
      <c r="J68" s="714"/>
      <c r="K68" s="714"/>
      <c r="L68" s="714"/>
      <c r="M68" s="714"/>
      <c r="N68" s="714"/>
      <c r="O68" s="714"/>
      <c r="P68" s="714"/>
      <c r="Q68" s="714"/>
      <c r="R68" s="714"/>
      <c r="S68" s="714"/>
      <c r="T68" s="714"/>
      <c r="U68" s="714"/>
      <c r="V68" s="714"/>
      <c r="W68" s="714"/>
      <c r="X68" s="714"/>
      <c r="Y68" s="714"/>
      <c r="Z68" s="714"/>
    </row>
    <row r="69" spans="1:26">
      <c r="A69" s="714"/>
      <c r="B69" s="714"/>
      <c r="C69" s="714"/>
      <c r="D69" s="714"/>
      <c r="E69" s="714"/>
      <c r="F69" s="714"/>
      <c r="G69" s="714"/>
      <c r="H69" s="714"/>
      <c r="I69" s="714"/>
      <c r="J69" s="714"/>
      <c r="K69" s="714"/>
      <c r="L69" s="714"/>
      <c r="M69" s="714"/>
      <c r="N69" s="714"/>
      <c r="O69" s="714"/>
      <c r="P69" s="714"/>
      <c r="Q69" s="714"/>
      <c r="R69" s="714"/>
      <c r="S69" s="714"/>
      <c r="T69" s="714"/>
      <c r="U69" s="714"/>
      <c r="V69" s="714"/>
      <c r="W69" s="714"/>
      <c r="X69" s="714"/>
      <c r="Y69" s="714"/>
      <c r="Z69" s="714"/>
    </row>
    <row r="70" spans="1:26">
      <c r="A70" s="714"/>
      <c r="B70" s="714"/>
      <c r="C70" s="714"/>
      <c r="D70" s="714"/>
      <c r="E70" s="714"/>
      <c r="F70" s="714"/>
      <c r="G70" s="714"/>
      <c r="H70" s="714"/>
      <c r="I70" s="714"/>
      <c r="J70" s="714"/>
      <c r="K70" s="714"/>
      <c r="L70" s="714"/>
      <c r="M70" s="714"/>
      <c r="N70" s="714"/>
      <c r="O70" s="714"/>
      <c r="P70" s="714"/>
      <c r="Q70" s="714"/>
      <c r="R70" s="714"/>
      <c r="S70" s="714"/>
      <c r="T70" s="714"/>
      <c r="U70" s="714"/>
      <c r="V70" s="714"/>
      <c r="W70" s="714"/>
      <c r="X70" s="714"/>
      <c r="Y70" s="714"/>
      <c r="Z70" s="714"/>
    </row>
    <row r="71" spans="1:26">
      <c r="A71" s="714"/>
      <c r="B71" s="714"/>
      <c r="C71" s="714"/>
      <c r="D71" s="714"/>
      <c r="E71" s="714"/>
      <c r="F71" s="714"/>
      <c r="G71" s="714"/>
      <c r="H71" s="714"/>
      <c r="I71" s="714"/>
      <c r="J71" s="714"/>
      <c r="K71" s="714"/>
      <c r="L71" s="714"/>
      <c r="M71" s="714"/>
      <c r="N71" s="714"/>
      <c r="O71" s="714"/>
      <c r="P71" s="714"/>
      <c r="Q71" s="714"/>
      <c r="R71" s="714"/>
      <c r="S71" s="714"/>
      <c r="T71" s="714"/>
      <c r="U71" s="714"/>
      <c r="V71" s="714"/>
      <c r="W71" s="714"/>
      <c r="X71" s="714"/>
      <c r="Y71" s="714"/>
      <c r="Z71" s="714"/>
    </row>
    <row r="72" spans="1:26">
      <c r="A72" s="714"/>
      <c r="B72" s="714"/>
      <c r="C72" s="714"/>
      <c r="D72" s="714"/>
      <c r="E72" s="714"/>
      <c r="F72" s="714"/>
      <c r="G72" s="714"/>
      <c r="H72" s="714"/>
      <c r="I72" s="714"/>
      <c r="J72" s="714"/>
      <c r="K72" s="714"/>
      <c r="L72" s="714"/>
      <c r="M72" s="714"/>
      <c r="N72" s="714"/>
      <c r="O72" s="714"/>
      <c r="P72" s="714"/>
      <c r="Q72" s="714"/>
      <c r="R72" s="714"/>
      <c r="S72" s="714"/>
      <c r="T72" s="714"/>
      <c r="U72" s="714"/>
      <c r="V72" s="714"/>
      <c r="W72" s="714"/>
      <c r="X72" s="714"/>
      <c r="Y72" s="714"/>
      <c r="Z72" s="714"/>
    </row>
    <row r="73" spans="1:26">
      <c r="A73" s="714"/>
      <c r="B73" s="714"/>
      <c r="C73" s="714"/>
      <c r="D73" s="714"/>
      <c r="E73" s="714"/>
      <c r="F73" s="714"/>
      <c r="G73" s="714"/>
      <c r="H73" s="714"/>
      <c r="I73" s="714"/>
      <c r="J73" s="714"/>
      <c r="K73" s="714"/>
      <c r="L73" s="714"/>
      <c r="M73" s="714"/>
      <c r="N73" s="714"/>
      <c r="O73" s="714"/>
      <c r="P73" s="714"/>
      <c r="Q73" s="714"/>
      <c r="R73" s="714"/>
      <c r="S73" s="714"/>
      <c r="T73" s="714"/>
      <c r="U73" s="714"/>
      <c r="V73" s="714"/>
      <c r="W73" s="714"/>
      <c r="X73" s="714"/>
      <c r="Y73" s="714"/>
      <c r="Z73" s="714"/>
    </row>
    <row r="74" spans="1:26">
      <c r="A74" s="714"/>
      <c r="B74" s="714"/>
      <c r="C74" s="714"/>
      <c r="D74" s="714"/>
      <c r="E74" s="714"/>
      <c r="F74" s="714"/>
      <c r="G74" s="714"/>
      <c r="H74" s="714"/>
      <c r="I74" s="714"/>
      <c r="J74" s="714"/>
      <c r="K74" s="714"/>
      <c r="L74" s="714"/>
      <c r="M74" s="714"/>
      <c r="N74" s="714"/>
      <c r="O74" s="714"/>
      <c r="P74" s="714"/>
      <c r="Q74" s="714"/>
      <c r="R74" s="714"/>
      <c r="S74" s="714"/>
      <c r="T74" s="714"/>
      <c r="U74" s="714"/>
      <c r="V74" s="714"/>
      <c r="W74" s="714"/>
      <c r="X74" s="714"/>
      <c r="Y74" s="714"/>
      <c r="Z74" s="714"/>
    </row>
    <row r="75" spans="1:26">
      <c r="A75" s="714"/>
      <c r="B75" s="714"/>
      <c r="C75" s="714"/>
      <c r="D75" s="714"/>
      <c r="E75" s="714"/>
      <c r="F75" s="714"/>
      <c r="G75" s="714"/>
      <c r="H75" s="714"/>
      <c r="I75" s="714"/>
      <c r="J75" s="714"/>
      <c r="K75" s="714"/>
      <c r="L75" s="714"/>
      <c r="M75" s="714"/>
      <c r="N75" s="714"/>
      <c r="O75" s="714"/>
      <c r="P75" s="714"/>
      <c r="Q75" s="714"/>
      <c r="R75" s="714"/>
      <c r="S75" s="714"/>
      <c r="T75" s="714"/>
      <c r="U75" s="714"/>
      <c r="V75" s="714"/>
      <c r="W75" s="714"/>
      <c r="X75" s="714"/>
      <c r="Y75" s="714"/>
      <c r="Z75" s="714"/>
    </row>
    <row r="76" spans="1:26">
      <c r="A76" s="714"/>
      <c r="B76" s="714"/>
      <c r="C76" s="714"/>
      <c r="D76" s="714"/>
      <c r="E76" s="714"/>
      <c r="F76" s="714"/>
      <c r="G76" s="714"/>
      <c r="H76" s="714"/>
      <c r="I76" s="714"/>
      <c r="J76" s="714"/>
      <c r="K76" s="714"/>
      <c r="L76" s="714"/>
      <c r="M76" s="714"/>
      <c r="N76" s="714"/>
      <c r="O76" s="714"/>
      <c r="P76" s="714"/>
      <c r="Q76" s="714"/>
      <c r="R76" s="714"/>
      <c r="S76" s="714"/>
      <c r="T76" s="714"/>
      <c r="U76" s="714"/>
      <c r="V76" s="714"/>
      <c r="W76" s="714"/>
      <c r="X76" s="714"/>
      <c r="Y76" s="714"/>
      <c r="Z76" s="714"/>
    </row>
    <row r="77" spans="1:26">
      <c r="A77" s="714"/>
      <c r="B77" s="714"/>
      <c r="C77" s="714"/>
      <c r="D77" s="714"/>
      <c r="E77" s="714"/>
      <c r="F77" s="714"/>
      <c r="G77" s="714"/>
      <c r="H77" s="714"/>
      <c r="I77" s="714"/>
      <c r="J77" s="714"/>
      <c r="K77" s="714"/>
      <c r="L77" s="714"/>
      <c r="M77" s="714"/>
      <c r="N77" s="714"/>
      <c r="O77" s="714"/>
      <c r="P77" s="714"/>
      <c r="Q77" s="714"/>
      <c r="R77" s="714"/>
      <c r="S77" s="714"/>
      <c r="T77" s="714"/>
      <c r="U77" s="714"/>
      <c r="V77" s="714"/>
      <c r="W77" s="714"/>
      <c r="X77" s="714"/>
      <c r="Y77" s="714"/>
      <c r="Z77" s="714"/>
    </row>
    <row r="78" spans="1:26">
      <c r="A78" s="714"/>
      <c r="B78" s="714"/>
      <c r="C78" s="714"/>
      <c r="D78" s="714"/>
      <c r="E78" s="714"/>
      <c r="F78" s="714"/>
      <c r="G78" s="714"/>
      <c r="H78" s="714"/>
      <c r="I78" s="714"/>
      <c r="J78" s="714"/>
      <c r="K78" s="714"/>
      <c r="L78" s="714"/>
      <c r="M78" s="714"/>
      <c r="N78" s="714"/>
      <c r="O78" s="714"/>
      <c r="P78" s="714"/>
      <c r="Q78" s="714"/>
      <c r="R78" s="714"/>
      <c r="S78" s="714"/>
      <c r="T78" s="714"/>
      <c r="U78" s="714"/>
      <c r="V78" s="714"/>
      <c r="W78" s="714"/>
      <c r="X78" s="714"/>
      <c r="Y78" s="714"/>
      <c r="Z78" s="714"/>
    </row>
    <row r="79" spans="1:26">
      <c r="A79" s="714"/>
      <c r="B79" s="714"/>
      <c r="C79" s="714"/>
      <c r="D79" s="714"/>
      <c r="E79" s="714"/>
      <c r="F79" s="714"/>
      <c r="G79" s="714"/>
      <c r="H79" s="714"/>
      <c r="I79" s="714"/>
      <c r="J79" s="714"/>
      <c r="K79" s="714"/>
      <c r="L79" s="714"/>
      <c r="M79" s="714"/>
      <c r="N79" s="714"/>
      <c r="O79" s="714"/>
      <c r="P79" s="714"/>
      <c r="Q79" s="714"/>
      <c r="R79" s="714"/>
      <c r="S79" s="714"/>
      <c r="T79" s="714"/>
      <c r="U79" s="714"/>
      <c r="V79" s="714"/>
      <c r="W79" s="714"/>
      <c r="X79" s="714"/>
      <c r="Y79" s="714"/>
      <c r="Z79" s="714"/>
    </row>
    <row r="80" spans="1:26">
      <c r="A80" s="714"/>
      <c r="B80" s="714"/>
      <c r="C80" s="714"/>
      <c r="D80" s="714"/>
      <c r="E80" s="714"/>
      <c r="F80" s="714"/>
      <c r="G80" s="714"/>
      <c r="H80" s="714"/>
      <c r="I80" s="714"/>
      <c r="J80" s="714"/>
      <c r="K80" s="714"/>
      <c r="L80" s="714"/>
      <c r="M80" s="714"/>
      <c r="N80" s="714"/>
      <c r="O80" s="714"/>
      <c r="P80" s="714"/>
      <c r="Q80" s="714"/>
      <c r="R80" s="714"/>
      <c r="S80" s="714"/>
      <c r="T80" s="714"/>
      <c r="U80" s="714"/>
      <c r="V80" s="714"/>
      <c r="W80" s="714"/>
      <c r="X80" s="714"/>
      <c r="Y80" s="714"/>
      <c r="Z80" s="714"/>
    </row>
    <row r="81" spans="1:26">
      <c r="A81" s="714"/>
      <c r="B81" s="714"/>
      <c r="C81" s="714"/>
      <c r="D81" s="714"/>
      <c r="E81" s="714"/>
      <c r="F81" s="714"/>
      <c r="G81" s="714"/>
      <c r="H81" s="714"/>
      <c r="I81" s="714"/>
      <c r="J81" s="714"/>
      <c r="K81" s="714"/>
      <c r="L81" s="714"/>
      <c r="M81" s="714"/>
      <c r="N81" s="714"/>
      <c r="O81" s="714"/>
      <c r="P81" s="714"/>
      <c r="Q81" s="714"/>
      <c r="R81" s="714"/>
      <c r="S81" s="714"/>
      <c r="T81" s="714"/>
      <c r="U81" s="714"/>
      <c r="V81" s="714"/>
      <c r="W81" s="714"/>
      <c r="X81" s="714"/>
      <c r="Y81" s="714"/>
      <c r="Z81" s="714"/>
    </row>
    <row r="82" spans="1:26">
      <c r="A82" s="714"/>
      <c r="B82" s="714"/>
      <c r="C82" s="714"/>
      <c r="D82" s="714"/>
      <c r="E82" s="714"/>
      <c r="F82" s="714"/>
      <c r="G82" s="714"/>
      <c r="H82" s="714"/>
      <c r="I82" s="714"/>
      <c r="J82" s="714"/>
      <c r="K82" s="714"/>
      <c r="L82" s="714"/>
      <c r="M82" s="714"/>
      <c r="N82" s="714"/>
      <c r="O82" s="714"/>
      <c r="P82" s="714"/>
      <c r="Q82" s="714"/>
      <c r="R82" s="714"/>
      <c r="S82" s="714"/>
      <c r="T82" s="714"/>
      <c r="U82" s="714"/>
      <c r="V82" s="714"/>
      <c r="W82" s="714"/>
      <c r="X82" s="714"/>
      <c r="Y82" s="714"/>
      <c r="Z82" s="714"/>
    </row>
    <row r="83" spans="1:26">
      <c r="A83" s="714"/>
      <c r="B83" s="714"/>
      <c r="C83" s="714"/>
      <c r="D83" s="714"/>
      <c r="E83" s="714"/>
      <c r="F83" s="714"/>
      <c r="G83" s="714"/>
      <c r="H83" s="714"/>
      <c r="I83" s="714"/>
      <c r="J83" s="714"/>
      <c r="K83" s="714"/>
      <c r="L83" s="714"/>
      <c r="M83" s="714"/>
      <c r="N83" s="714"/>
      <c r="O83" s="714"/>
      <c r="P83" s="714"/>
      <c r="Q83" s="714"/>
      <c r="R83" s="714"/>
      <c r="S83" s="714"/>
      <c r="T83" s="714"/>
      <c r="U83" s="714"/>
      <c r="V83" s="714"/>
      <c r="W83" s="714"/>
      <c r="X83" s="714"/>
      <c r="Y83" s="714"/>
      <c r="Z83" s="714"/>
    </row>
    <row r="84" spans="1:26">
      <c r="A84" s="714"/>
      <c r="B84" s="714"/>
      <c r="C84" s="714"/>
      <c r="D84" s="714"/>
      <c r="E84" s="714"/>
      <c r="F84" s="714"/>
      <c r="G84" s="714"/>
      <c r="H84" s="714"/>
      <c r="I84" s="714"/>
      <c r="J84" s="714"/>
      <c r="K84" s="714"/>
      <c r="L84" s="714"/>
      <c r="M84" s="714"/>
      <c r="N84" s="714"/>
      <c r="O84" s="714"/>
      <c r="P84" s="714"/>
      <c r="Q84" s="714"/>
      <c r="R84" s="714"/>
      <c r="S84" s="714"/>
      <c r="T84" s="714"/>
      <c r="U84" s="714"/>
      <c r="V84" s="714"/>
      <c r="W84" s="714"/>
      <c r="X84" s="714"/>
      <c r="Y84" s="714"/>
      <c r="Z84" s="714"/>
    </row>
    <row r="85" spans="1:26">
      <c r="A85" s="714"/>
      <c r="B85" s="714"/>
      <c r="C85" s="714"/>
      <c r="D85" s="714"/>
      <c r="E85" s="714"/>
      <c r="F85" s="714"/>
      <c r="G85" s="714"/>
      <c r="H85" s="714"/>
      <c r="I85" s="714"/>
      <c r="J85" s="714"/>
      <c r="K85" s="714"/>
      <c r="L85" s="714"/>
      <c r="M85" s="714"/>
      <c r="N85" s="714"/>
      <c r="O85" s="714"/>
      <c r="P85" s="714"/>
      <c r="Q85" s="714"/>
      <c r="R85" s="714"/>
      <c r="S85" s="714"/>
      <c r="T85" s="714"/>
      <c r="U85" s="714"/>
      <c r="V85" s="714"/>
      <c r="W85" s="714"/>
      <c r="X85" s="714"/>
      <c r="Y85" s="714"/>
      <c r="Z85" s="714"/>
    </row>
    <row r="86" spans="1:26">
      <c r="A86" s="714"/>
      <c r="B86" s="714"/>
      <c r="C86" s="714"/>
      <c r="D86" s="714"/>
      <c r="E86" s="714"/>
      <c r="F86" s="714"/>
      <c r="G86" s="714"/>
      <c r="H86" s="714"/>
      <c r="I86" s="714"/>
      <c r="J86" s="714"/>
      <c r="K86" s="714"/>
      <c r="L86" s="714"/>
      <c r="M86" s="714"/>
      <c r="N86" s="714"/>
      <c r="O86" s="714"/>
      <c r="P86" s="714"/>
      <c r="Q86" s="714"/>
      <c r="R86" s="714"/>
      <c r="S86" s="714"/>
      <c r="T86" s="714"/>
      <c r="U86" s="714"/>
      <c r="V86" s="714"/>
      <c r="W86" s="714"/>
      <c r="X86" s="714"/>
      <c r="Y86" s="714"/>
      <c r="Z86" s="714"/>
    </row>
    <row r="87" spans="1:26">
      <c r="A87" s="714"/>
      <c r="B87" s="714"/>
      <c r="C87" s="714"/>
      <c r="D87" s="714"/>
      <c r="E87" s="714"/>
      <c r="F87" s="714"/>
      <c r="G87" s="714"/>
      <c r="H87" s="714"/>
      <c r="I87" s="714"/>
      <c r="J87" s="714"/>
      <c r="K87" s="714"/>
      <c r="L87" s="714"/>
      <c r="M87" s="714"/>
      <c r="N87" s="714"/>
      <c r="O87" s="714"/>
      <c r="P87" s="714"/>
      <c r="Q87" s="714"/>
      <c r="R87" s="714"/>
      <c r="S87" s="714"/>
      <c r="T87" s="714"/>
      <c r="U87" s="714"/>
      <c r="V87" s="714"/>
      <c r="W87" s="714"/>
      <c r="X87" s="714"/>
      <c r="Y87" s="714"/>
      <c r="Z87" s="714"/>
    </row>
    <row r="88" spans="1:26">
      <c r="A88" s="714"/>
      <c r="B88" s="714"/>
      <c r="C88" s="714"/>
      <c r="D88" s="714"/>
      <c r="E88" s="714"/>
      <c r="F88" s="714"/>
      <c r="G88" s="714"/>
      <c r="H88" s="714"/>
      <c r="I88" s="714"/>
      <c r="J88" s="714"/>
      <c r="K88" s="714"/>
      <c r="L88" s="714"/>
      <c r="M88" s="714"/>
      <c r="N88" s="714"/>
      <c r="O88" s="714"/>
      <c r="P88" s="714"/>
      <c r="Q88" s="714"/>
      <c r="R88" s="714"/>
      <c r="S88" s="714"/>
      <c r="T88" s="714"/>
      <c r="U88" s="714"/>
      <c r="V88" s="714"/>
      <c r="W88" s="714"/>
      <c r="X88" s="714"/>
      <c r="Y88" s="714"/>
      <c r="Z88" s="714"/>
    </row>
    <row r="89" spans="1:26">
      <c r="A89" s="714"/>
      <c r="B89" s="714"/>
      <c r="C89" s="714"/>
      <c r="D89" s="714"/>
      <c r="E89" s="714"/>
      <c r="F89" s="714"/>
      <c r="G89" s="714"/>
      <c r="H89" s="714"/>
      <c r="I89" s="714"/>
      <c r="J89" s="714"/>
      <c r="K89" s="714"/>
      <c r="L89" s="714"/>
      <c r="M89" s="714"/>
      <c r="N89" s="714"/>
      <c r="O89" s="714"/>
      <c r="P89" s="714"/>
      <c r="Q89" s="714"/>
      <c r="R89" s="714"/>
      <c r="S89" s="714"/>
      <c r="T89" s="714"/>
      <c r="U89" s="714"/>
      <c r="V89" s="714"/>
      <c r="W89" s="714"/>
      <c r="X89" s="714"/>
      <c r="Y89" s="714"/>
      <c r="Z89" s="714"/>
    </row>
    <row r="90" spans="1:26">
      <c r="A90" s="714"/>
      <c r="B90" s="714"/>
      <c r="C90" s="714"/>
      <c r="D90" s="714"/>
      <c r="E90" s="714"/>
      <c r="F90" s="714"/>
      <c r="G90" s="714"/>
      <c r="H90" s="714"/>
      <c r="I90" s="714"/>
      <c r="J90" s="714"/>
      <c r="K90" s="714"/>
      <c r="L90" s="714"/>
      <c r="M90" s="714"/>
      <c r="N90" s="714"/>
      <c r="O90" s="714"/>
      <c r="P90" s="714"/>
      <c r="Q90" s="714"/>
      <c r="R90" s="714"/>
      <c r="S90" s="714"/>
      <c r="T90" s="714"/>
      <c r="U90" s="714"/>
      <c r="V90" s="714"/>
      <c r="W90" s="714"/>
      <c r="X90" s="714"/>
      <c r="Y90" s="714"/>
      <c r="Z90" s="714"/>
    </row>
    <row r="91" spans="1:26">
      <c r="A91" s="714"/>
      <c r="B91" s="714"/>
      <c r="C91" s="714"/>
      <c r="D91" s="714"/>
      <c r="E91" s="714"/>
      <c r="F91" s="714"/>
      <c r="G91" s="714"/>
      <c r="H91" s="714"/>
      <c r="I91" s="714"/>
      <c r="J91" s="714"/>
      <c r="K91" s="714"/>
      <c r="L91" s="714"/>
      <c r="M91" s="714"/>
      <c r="N91" s="714"/>
      <c r="O91" s="714"/>
      <c r="P91" s="714"/>
      <c r="Q91" s="714"/>
      <c r="R91" s="714"/>
      <c r="S91" s="714"/>
      <c r="T91" s="714"/>
      <c r="U91" s="714"/>
      <c r="V91" s="714"/>
      <c r="W91" s="714"/>
      <c r="X91" s="714"/>
      <c r="Y91" s="714"/>
      <c r="Z91" s="714"/>
    </row>
    <row r="92" spans="1:26">
      <c r="A92" s="714"/>
      <c r="B92" s="714"/>
      <c r="C92" s="714"/>
      <c r="D92" s="714"/>
      <c r="E92" s="714"/>
      <c r="F92" s="714"/>
      <c r="G92" s="714"/>
      <c r="H92" s="714"/>
      <c r="I92" s="714"/>
      <c r="J92" s="714"/>
      <c r="K92" s="714"/>
      <c r="L92" s="714"/>
      <c r="M92" s="714"/>
      <c r="N92" s="714"/>
      <c r="O92" s="714"/>
      <c r="P92" s="714"/>
      <c r="Q92" s="714"/>
      <c r="R92" s="714"/>
      <c r="S92" s="714"/>
      <c r="T92" s="714"/>
      <c r="U92" s="714"/>
      <c r="V92" s="714"/>
      <c r="W92" s="714"/>
      <c r="X92" s="714"/>
      <c r="Y92" s="714"/>
      <c r="Z92" s="714"/>
    </row>
    <row r="93" spans="1:26">
      <c r="A93" s="714"/>
      <c r="B93" s="714"/>
      <c r="C93" s="714"/>
      <c r="D93" s="714"/>
      <c r="E93" s="714"/>
      <c r="F93" s="714"/>
      <c r="G93" s="714"/>
      <c r="H93" s="714"/>
      <c r="I93" s="714"/>
      <c r="J93" s="714"/>
      <c r="K93" s="714"/>
      <c r="L93" s="714"/>
      <c r="M93" s="714"/>
      <c r="N93" s="714"/>
      <c r="O93" s="714"/>
      <c r="P93" s="714"/>
      <c r="Q93" s="714"/>
      <c r="R93" s="714"/>
      <c r="S93" s="714"/>
      <c r="T93" s="714"/>
      <c r="U93" s="714"/>
      <c r="V93" s="714"/>
      <c r="W93" s="714"/>
      <c r="X93" s="714"/>
      <c r="Y93" s="714"/>
      <c r="Z93" s="714"/>
    </row>
    <row r="94" spans="1:26">
      <c r="A94" s="714"/>
      <c r="B94" s="714"/>
      <c r="C94" s="714"/>
      <c r="D94" s="714"/>
      <c r="E94" s="714"/>
      <c r="F94" s="714"/>
      <c r="G94" s="714"/>
      <c r="H94" s="714"/>
      <c r="I94" s="714"/>
      <c r="J94" s="714"/>
      <c r="K94" s="714"/>
      <c r="L94" s="714"/>
      <c r="M94" s="714"/>
      <c r="N94" s="714"/>
      <c r="O94" s="714"/>
      <c r="P94" s="714"/>
      <c r="Q94" s="714"/>
      <c r="R94" s="714"/>
      <c r="S94" s="714"/>
      <c r="T94" s="714"/>
      <c r="U94" s="714"/>
      <c r="V94" s="714"/>
      <c r="W94" s="714"/>
      <c r="X94" s="714"/>
      <c r="Y94" s="714"/>
      <c r="Z94" s="714"/>
    </row>
    <row r="95" spans="1:26">
      <c r="A95" s="714"/>
      <c r="B95" s="714"/>
      <c r="C95" s="714"/>
      <c r="D95" s="714"/>
      <c r="E95" s="714"/>
      <c r="F95" s="714"/>
      <c r="G95" s="714"/>
      <c r="H95" s="714"/>
      <c r="I95" s="714"/>
      <c r="J95" s="714"/>
      <c r="K95" s="714"/>
      <c r="L95" s="714"/>
      <c r="M95" s="714"/>
      <c r="N95" s="714"/>
      <c r="O95" s="714"/>
      <c r="P95" s="714"/>
      <c r="Q95" s="714"/>
      <c r="R95" s="714"/>
      <c r="S95" s="714"/>
      <c r="T95" s="714"/>
      <c r="U95" s="714"/>
      <c r="V95" s="714"/>
      <c r="W95" s="714"/>
      <c r="X95" s="714"/>
      <c r="Y95" s="714"/>
      <c r="Z95" s="714"/>
    </row>
    <row r="96" spans="1:26">
      <c r="A96" s="714"/>
      <c r="B96" s="714"/>
      <c r="C96" s="714"/>
      <c r="D96" s="714"/>
      <c r="E96" s="714"/>
      <c r="F96" s="714"/>
      <c r="G96" s="714"/>
      <c r="H96" s="714"/>
      <c r="I96" s="714"/>
      <c r="J96" s="714"/>
      <c r="K96" s="714"/>
      <c r="L96" s="714"/>
      <c r="M96" s="714"/>
      <c r="N96" s="714"/>
      <c r="O96" s="714"/>
      <c r="P96" s="714"/>
      <c r="Q96" s="714"/>
      <c r="R96" s="714"/>
      <c r="S96" s="714"/>
      <c r="T96" s="714"/>
      <c r="U96" s="714"/>
      <c r="V96" s="714"/>
      <c r="W96" s="714"/>
      <c r="X96" s="714"/>
      <c r="Y96" s="714"/>
      <c r="Z96" s="714"/>
    </row>
    <row r="97" spans="1:26">
      <c r="A97" s="714"/>
      <c r="B97" s="714"/>
      <c r="C97" s="714"/>
      <c r="D97" s="714"/>
      <c r="E97" s="714"/>
      <c r="F97" s="714"/>
      <c r="G97" s="714"/>
      <c r="H97" s="714"/>
      <c r="I97" s="714"/>
      <c r="J97" s="714"/>
      <c r="K97" s="714"/>
      <c r="L97" s="714"/>
      <c r="M97" s="714"/>
      <c r="N97" s="714"/>
      <c r="O97" s="714"/>
      <c r="P97" s="714"/>
      <c r="Q97" s="714"/>
      <c r="R97" s="714"/>
      <c r="S97" s="714"/>
      <c r="T97" s="714"/>
      <c r="U97" s="714"/>
      <c r="V97" s="714"/>
      <c r="W97" s="714"/>
      <c r="X97" s="714"/>
      <c r="Y97" s="714"/>
      <c r="Z97" s="714"/>
    </row>
    <row r="98" spans="1:26">
      <c r="A98" s="714"/>
      <c r="B98" s="714"/>
      <c r="C98" s="714"/>
      <c r="D98" s="714"/>
      <c r="E98" s="714"/>
      <c r="F98" s="714"/>
      <c r="G98" s="714"/>
      <c r="H98" s="714"/>
      <c r="I98" s="714"/>
      <c r="J98" s="714"/>
      <c r="K98" s="714"/>
      <c r="L98" s="714"/>
      <c r="M98" s="714"/>
      <c r="N98" s="714"/>
      <c r="O98" s="714"/>
      <c r="P98" s="714"/>
      <c r="Q98" s="714"/>
      <c r="R98" s="714"/>
      <c r="S98" s="714"/>
      <c r="T98" s="714"/>
      <c r="U98" s="714"/>
      <c r="V98" s="714"/>
      <c r="W98" s="714"/>
      <c r="X98" s="714"/>
      <c r="Y98" s="714"/>
      <c r="Z98" s="714"/>
    </row>
    <row r="99" spans="1:26">
      <c r="A99" s="714"/>
      <c r="B99" s="714"/>
      <c r="C99" s="714"/>
      <c r="D99" s="714"/>
      <c r="E99" s="714"/>
      <c r="F99" s="714"/>
      <c r="G99" s="714"/>
      <c r="H99" s="714"/>
      <c r="I99" s="714"/>
      <c r="J99" s="714"/>
      <c r="K99" s="714"/>
      <c r="L99" s="714"/>
      <c r="M99" s="714"/>
      <c r="N99" s="714"/>
      <c r="O99" s="714"/>
      <c r="P99" s="714"/>
      <c r="Q99" s="714"/>
      <c r="R99" s="714"/>
      <c r="S99" s="714"/>
      <c r="T99" s="714"/>
      <c r="U99" s="714"/>
      <c r="V99" s="714"/>
      <c r="W99" s="714"/>
      <c r="X99" s="714"/>
      <c r="Y99" s="714"/>
      <c r="Z99" s="714"/>
    </row>
  </sheetData>
  <mergeCells count="10">
    <mergeCell ref="B31:D31"/>
    <mergeCell ref="A16:D16"/>
    <mergeCell ref="B19:D19"/>
    <mergeCell ref="B20:D20"/>
    <mergeCell ref="B23:D23"/>
    <mergeCell ref="B26:D26"/>
    <mergeCell ref="B30:D30"/>
    <mergeCell ref="B24:D24"/>
    <mergeCell ref="B25:D25"/>
    <mergeCell ref="B27:D27"/>
  </mergeCells>
  <hyperlinks>
    <hyperlink ref="B30" r:id="rId1" xr:uid="{EBAFFCD7-9FF4-4F76-8AD9-CD86B7E00383}"/>
    <hyperlink ref="B32" r:id="rId2" xr:uid="{DC44C238-8BAB-4DFE-BD49-55DBB7FAB193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/>
  <dimension ref="B1:T52"/>
  <sheetViews>
    <sheetView workbookViewId="0">
      <selection activeCell="G4" sqref="G4"/>
    </sheetView>
  </sheetViews>
  <sheetFormatPr defaultColWidth="9.1796875" defaultRowHeight="14"/>
  <cols>
    <col min="1" max="1" width="3.7265625" style="453" customWidth="1"/>
    <col min="2" max="2" width="19.54296875" style="453" customWidth="1"/>
    <col min="3" max="3" width="93.54296875" style="453" bestFit="1" customWidth="1"/>
    <col min="4" max="4" width="11.26953125" style="453" customWidth="1"/>
    <col min="5" max="5" width="11.453125" style="453" customWidth="1"/>
    <col min="6" max="6" width="15.26953125" style="453" customWidth="1"/>
    <col min="7" max="7" width="18.54296875" style="453" customWidth="1"/>
    <col min="8" max="8" width="96.54296875" style="453" customWidth="1"/>
    <col min="9" max="16384" width="9.1796875" style="453"/>
  </cols>
  <sheetData>
    <row r="1" spans="2:20" ht="14.5" thickBot="1"/>
    <row r="2" spans="2:20" ht="18" thickBot="1">
      <c r="B2" s="1078" t="s">
        <v>2</v>
      </c>
      <c r="C2" s="1079"/>
      <c r="D2" s="1079"/>
      <c r="E2" s="1080"/>
      <c r="G2" s="1078" t="s">
        <v>3</v>
      </c>
      <c r="H2" s="1080"/>
      <c r="I2" s="454"/>
      <c r="J2" s="454"/>
      <c r="K2" s="455"/>
      <c r="L2" s="455"/>
      <c r="M2" s="455"/>
      <c r="N2" s="455"/>
      <c r="O2" s="455"/>
      <c r="P2" s="455"/>
      <c r="Q2" s="455"/>
      <c r="R2" s="455"/>
      <c r="S2" s="455"/>
      <c r="T2" s="455"/>
    </row>
    <row r="3" spans="2:20" ht="14.5" thickBot="1">
      <c r="B3" s="475" t="s">
        <v>584</v>
      </c>
      <c r="C3" s="476" t="s">
        <v>4</v>
      </c>
      <c r="D3" s="476" t="s">
        <v>5</v>
      </c>
      <c r="E3" s="477" t="s">
        <v>733</v>
      </c>
      <c r="G3" s="457"/>
      <c r="H3" s="504" t="s">
        <v>585</v>
      </c>
      <c r="I3" s="454"/>
      <c r="J3" s="454"/>
      <c r="K3" s="455"/>
      <c r="L3" s="455"/>
      <c r="M3" s="455"/>
      <c r="N3" s="455"/>
      <c r="O3" s="455"/>
      <c r="P3" s="455"/>
      <c r="Q3" s="455"/>
      <c r="R3" s="455"/>
      <c r="S3" s="455"/>
      <c r="T3" s="455"/>
    </row>
    <row r="4" spans="2:20">
      <c r="B4" s="478" t="s">
        <v>731</v>
      </c>
      <c r="C4" s="479" t="s">
        <v>732</v>
      </c>
      <c r="D4" s="480">
        <v>44136</v>
      </c>
      <c r="E4" s="481" t="s">
        <v>734</v>
      </c>
      <c r="G4" s="461"/>
      <c r="H4" s="505" t="s">
        <v>587</v>
      </c>
      <c r="I4" s="454"/>
      <c r="J4" s="454"/>
      <c r="K4" s="455"/>
      <c r="L4" s="455"/>
      <c r="M4" s="455"/>
      <c r="N4" s="455"/>
      <c r="O4" s="455"/>
      <c r="P4" s="455"/>
      <c r="Q4" s="455"/>
      <c r="R4" s="455"/>
      <c r="S4" s="455"/>
      <c r="T4" s="455"/>
    </row>
    <row r="5" spans="2:20">
      <c r="B5" s="482" t="s">
        <v>6</v>
      </c>
      <c r="C5" s="458" t="s">
        <v>586</v>
      </c>
      <c r="D5" s="462">
        <v>44169</v>
      </c>
      <c r="E5" s="483" t="s">
        <v>735</v>
      </c>
      <c r="G5" s="463"/>
      <c r="H5" s="505" t="s">
        <v>589</v>
      </c>
      <c r="I5" s="454"/>
      <c r="J5" s="454"/>
      <c r="K5" s="455"/>
      <c r="L5" s="455"/>
      <c r="M5" s="455"/>
      <c r="N5" s="455"/>
      <c r="O5" s="455"/>
      <c r="P5" s="455"/>
      <c r="Q5" s="455"/>
      <c r="R5" s="455"/>
      <c r="S5" s="455"/>
      <c r="T5" s="455"/>
    </row>
    <row r="6" spans="2:20">
      <c r="B6" s="482" t="s">
        <v>736</v>
      </c>
      <c r="C6" s="458" t="s">
        <v>737</v>
      </c>
      <c r="D6" s="462">
        <v>44166</v>
      </c>
      <c r="E6" s="483" t="s">
        <v>735</v>
      </c>
      <c r="G6" s="464"/>
      <c r="H6" s="505" t="s">
        <v>860</v>
      </c>
      <c r="I6" s="454"/>
      <c r="J6" s="454"/>
      <c r="K6" s="455"/>
      <c r="L6" s="455"/>
      <c r="M6" s="455"/>
      <c r="N6" s="455"/>
      <c r="O6" s="455"/>
      <c r="P6" s="455"/>
      <c r="Q6" s="455"/>
      <c r="R6" s="455"/>
      <c r="S6" s="455"/>
      <c r="T6" s="455"/>
    </row>
    <row r="7" spans="2:20" ht="14.5" thickBot="1">
      <c r="B7" s="482" t="s">
        <v>739</v>
      </c>
      <c r="C7" s="458" t="s">
        <v>588</v>
      </c>
      <c r="D7" s="459">
        <v>43862</v>
      </c>
      <c r="E7" s="483" t="s">
        <v>735</v>
      </c>
      <c r="G7" s="465"/>
      <c r="H7" s="506" t="s">
        <v>7</v>
      </c>
      <c r="I7" s="454"/>
      <c r="J7" s="454"/>
      <c r="K7" s="455"/>
      <c r="L7" s="455"/>
      <c r="M7" s="455"/>
      <c r="N7" s="455"/>
      <c r="O7" s="455"/>
      <c r="P7" s="455"/>
      <c r="Q7" s="455"/>
      <c r="R7" s="455"/>
      <c r="S7" s="455"/>
      <c r="T7" s="455"/>
    </row>
    <row r="8" spans="2:20">
      <c r="B8" s="482" t="s">
        <v>590</v>
      </c>
      <c r="C8" s="458" t="s">
        <v>738</v>
      </c>
      <c r="D8" s="459">
        <v>44166</v>
      </c>
      <c r="E8" s="483" t="s">
        <v>735</v>
      </c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</row>
    <row r="9" spans="2:20">
      <c r="B9" s="482" t="s">
        <v>740</v>
      </c>
      <c r="C9" s="458" t="s">
        <v>741</v>
      </c>
      <c r="D9" s="459">
        <v>44044</v>
      </c>
      <c r="E9" s="483" t="s">
        <v>735</v>
      </c>
    </row>
    <row r="10" spans="2:20" ht="14.5" thickBot="1">
      <c r="B10" s="482" t="s">
        <v>742</v>
      </c>
      <c r="C10" s="458" t="s">
        <v>591</v>
      </c>
      <c r="D10" s="459">
        <v>44136</v>
      </c>
      <c r="E10" s="483" t="s">
        <v>735</v>
      </c>
    </row>
    <row r="11" spans="2:20" ht="18" thickBot="1">
      <c r="B11" s="482" t="s">
        <v>743</v>
      </c>
      <c r="C11" s="458" t="s">
        <v>592</v>
      </c>
      <c r="D11" s="459">
        <v>44013</v>
      </c>
      <c r="E11" s="483" t="s">
        <v>735</v>
      </c>
      <c r="G11" s="1078" t="s">
        <v>11</v>
      </c>
      <c r="H11" s="1080"/>
    </row>
    <row r="12" spans="2:20">
      <c r="B12" s="482" t="s">
        <v>744</v>
      </c>
      <c r="C12" s="458" t="s">
        <v>593</v>
      </c>
      <c r="D12" s="459">
        <v>44136</v>
      </c>
      <c r="E12" s="483" t="s">
        <v>734</v>
      </c>
      <c r="G12" s="466" t="s">
        <v>12</v>
      </c>
      <c r="H12" s="467" t="s">
        <v>599</v>
      </c>
    </row>
    <row r="13" spans="2:20">
      <c r="B13" s="482" t="s">
        <v>745</v>
      </c>
      <c r="C13" s="458" t="s">
        <v>747</v>
      </c>
      <c r="D13" s="459">
        <v>44136</v>
      </c>
      <c r="E13" s="483" t="s">
        <v>735</v>
      </c>
      <c r="G13" s="468" t="s">
        <v>600</v>
      </c>
      <c r="H13" s="469" t="s">
        <v>13</v>
      </c>
    </row>
    <row r="14" spans="2:20">
      <c r="B14" s="482" t="s">
        <v>746</v>
      </c>
      <c r="C14" s="458" t="s">
        <v>748</v>
      </c>
      <c r="D14" s="459">
        <v>44105</v>
      </c>
      <c r="E14" s="483" t="s">
        <v>735</v>
      </c>
      <c r="G14" s="468" t="s">
        <v>14</v>
      </c>
      <c r="H14" s="469" t="s">
        <v>749</v>
      </c>
    </row>
    <row r="15" spans="2:20">
      <c r="B15" s="482" t="s">
        <v>594</v>
      </c>
      <c r="C15" s="458" t="s">
        <v>595</v>
      </c>
      <c r="D15" s="459">
        <v>44105</v>
      </c>
      <c r="E15" s="483" t="s">
        <v>735</v>
      </c>
      <c r="G15" s="470" t="s">
        <v>601</v>
      </c>
      <c r="H15" s="471">
        <v>2018</v>
      </c>
    </row>
    <row r="16" spans="2:20">
      <c r="B16" s="482" t="s">
        <v>8</v>
      </c>
      <c r="C16" s="458" t="s">
        <v>596</v>
      </c>
      <c r="D16" s="459">
        <v>44166</v>
      </c>
      <c r="E16" s="483" t="s">
        <v>735</v>
      </c>
    </row>
    <row r="17" spans="2:8" ht="14.5" thickBot="1">
      <c r="B17" s="482" t="s">
        <v>9</v>
      </c>
      <c r="C17" s="458" t="s">
        <v>597</v>
      </c>
      <c r="D17" s="459">
        <v>44166</v>
      </c>
      <c r="E17" s="483" t="s">
        <v>735</v>
      </c>
    </row>
    <row r="18" spans="2:8" ht="18" thickBot="1">
      <c r="B18" s="484" t="s">
        <v>10</v>
      </c>
      <c r="C18" s="485" t="s">
        <v>598</v>
      </c>
      <c r="D18" s="486">
        <v>44166</v>
      </c>
      <c r="E18" s="487" t="s">
        <v>735</v>
      </c>
      <c r="G18" s="1081" t="s">
        <v>604</v>
      </c>
      <c r="H18" s="1082"/>
    </row>
    <row r="19" spans="2:8">
      <c r="B19" s="455"/>
      <c r="C19" s="455"/>
      <c r="D19" s="698"/>
      <c r="G19" s="493" t="s">
        <v>17</v>
      </c>
      <c r="H19" s="493" t="s">
        <v>762</v>
      </c>
    </row>
    <row r="20" spans="2:8">
      <c r="B20" s="455"/>
      <c r="C20" s="455"/>
      <c r="D20" s="698"/>
      <c r="G20" s="460"/>
      <c r="H20" s="460"/>
    </row>
    <row r="21" spans="2:8" ht="15" customHeight="1">
      <c r="B21" s="455"/>
      <c r="C21" s="455"/>
      <c r="D21" s="698"/>
      <c r="G21" s="460"/>
      <c r="H21" s="460"/>
    </row>
    <row r="22" spans="2:8" ht="15" customHeight="1">
      <c r="B22" s="455"/>
      <c r="C22" s="455"/>
      <c r="D22" s="698"/>
      <c r="G22" s="460"/>
      <c r="H22" s="460"/>
    </row>
    <row r="23" spans="2:8" ht="15" customHeight="1">
      <c r="B23" s="455"/>
      <c r="C23" s="455"/>
      <c r="D23" s="698"/>
      <c r="G23" s="460"/>
      <c r="H23" s="460"/>
    </row>
    <row r="24" spans="2:8" ht="15" customHeight="1">
      <c r="B24" s="455"/>
      <c r="C24" s="455"/>
      <c r="D24" s="698"/>
      <c r="G24" s="460"/>
      <c r="H24" s="460"/>
    </row>
    <row r="25" spans="2:8" ht="15" hidden="1" customHeight="1">
      <c r="B25" s="455"/>
      <c r="C25" s="455"/>
      <c r="D25" s="698"/>
      <c r="G25" s="460"/>
      <c r="H25" s="460"/>
    </row>
    <row r="26" spans="2:8" ht="15" customHeight="1"/>
    <row r="27" spans="2:8" ht="15" customHeight="1" thickBot="1">
      <c r="B27" s="1083" t="s">
        <v>602</v>
      </c>
      <c r="C27" s="1084"/>
      <c r="D27" s="1084"/>
      <c r="E27" s="1084"/>
      <c r="F27" s="1084"/>
    </row>
    <row r="28" spans="2:8" ht="15" customHeight="1">
      <c r="B28" s="489" t="s">
        <v>584</v>
      </c>
      <c r="C28" s="490" t="s">
        <v>4</v>
      </c>
      <c r="D28" s="491" t="s">
        <v>5</v>
      </c>
      <c r="E28" s="492" t="s">
        <v>733</v>
      </c>
      <c r="F28" s="492" t="s">
        <v>867</v>
      </c>
    </row>
    <row r="29" spans="2:8" ht="15" customHeight="1">
      <c r="B29" s="498" t="s">
        <v>15</v>
      </c>
      <c r="C29" s="494" t="s">
        <v>603</v>
      </c>
      <c r="D29" s="494"/>
      <c r="E29" s="499"/>
      <c r="F29" s="709" t="s">
        <v>868</v>
      </c>
    </row>
    <row r="30" spans="2:8">
      <c r="B30" s="699" t="s">
        <v>16</v>
      </c>
      <c r="C30" s="707" t="s">
        <v>605</v>
      </c>
      <c r="D30" s="707"/>
      <c r="E30" s="708"/>
      <c r="F30" s="702" t="s">
        <v>316</v>
      </c>
    </row>
    <row r="31" spans="2:8">
      <c r="B31" s="498" t="s">
        <v>18</v>
      </c>
      <c r="C31" s="460" t="s">
        <v>19</v>
      </c>
      <c r="D31" s="495" t="s">
        <v>20</v>
      </c>
      <c r="E31" s="483" t="s">
        <v>735</v>
      </c>
      <c r="F31" s="709" t="s">
        <v>868</v>
      </c>
      <c r="G31" s="58" t="s">
        <v>866</v>
      </c>
    </row>
    <row r="32" spans="2:8">
      <c r="B32" s="699" t="s">
        <v>21</v>
      </c>
      <c r="C32" s="707" t="s">
        <v>606</v>
      </c>
      <c r="D32" s="701">
        <v>44044</v>
      </c>
      <c r="E32" s="708" t="s">
        <v>735</v>
      </c>
      <c r="F32" s="702" t="s">
        <v>316</v>
      </c>
    </row>
    <row r="33" spans="2:7" ht="17.25" customHeight="1">
      <c r="B33" s="498" t="s">
        <v>607</v>
      </c>
      <c r="C33" s="497" t="s">
        <v>608</v>
      </c>
      <c r="D33" s="496">
        <v>43952</v>
      </c>
      <c r="E33" s="483" t="s">
        <v>735</v>
      </c>
      <c r="F33" s="710" t="s">
        <v>868</v>
      </c>
    </row>
    <row r="34" spans="2:7">
      <c r="B34" s="498" t="s">
        <v>22</v>
      </c>
      <c r="C34" s="497" t="s">
        <v>609</v>
      </c>
      <c r="D34" s="496">
        <v>43952</v>
      </c>
      <c r="E34" s="483" t="s">
        <v>735</v>
      </c>
      <c r="F34" s="709" t="s">
        <v>868</v>
      </c>
      <c r="G34" s="58" t="s">
        <v>864</v>
      </c>
    </row>
    <row r="35" spans="2:7" hidden="1">
      <c r="B35" s="498" t="s">
        <v>750</v>
      </c>
      <c r="C35" s="497" t="s">
        <v>753</v>
      </c>
      <c r="D35" s="496">
        <v>43983</v>
      </c>
      <c r="E35" s="483" t="s">
        <v>735</v>
      </c>
      <c r="F35" s="483" t="s">
        <v>735</v>
      </c>
    </row>
    <row r="36" spans="2:7" hidden="1">
      <c r="B36" s="498" t="s">
        <v>751</v>
      </c>
      <c r="C36" s="497" t="s">
        <v>752</v>
      </c>
      <c r="D36" s="496">
        <v>43983</v>
      </c>
      <c r="E36" s="483" t="s">
        <v>735</v>
      </c>
      <c r="F36" s="483" t="s">
        <v>735</v>
      </c>
    </row>
    <row r="37" spans="2:7">
      <c r="B37" s="498" t="s">
        <v>754</v>
      </c>
      <c r="C37" s="497" t="s">
        <v>863</v>
      </c>
      <c r="D37" s="496">
        <v>43983</v>
      </c>
      <c r="E37" s="483" t="s">
        <v>735</v>
      </c>
      <c r="F37" s="710" t="s">
        <v>868</v>
      </c>
      <c r="G37" s="58" t="s">
        <v>862</v>
      </c>
    </row>
    <row r="38" spans="2:7">
      <c r="B38" s="498" t="s">
        <v>755</v>
      </c>
      <c r="C38" s="497" t="s">
        <v>583</v>
      </c>
      <c r="D38" s="496">
        <v>43983</v>
      </c>
      <c r="E38" s="483" t="s">
        <v>735</v>
      </c>
      <c r="F38" s="710" t="s">
        <v>868</v>
      </c>
      <c r="G38" s="58" t="s">
        <v>862</v>
      </c>
    </row>
    <row r="39" spans="2:7">
      <c r="B39" s="498" t="s">
        <v>757</v>
      </c>
      <c r="C39" s="497" t="s">
        <v>869</v>
      </c>
      <c r="D39" s="496">
        <v>43983</v>
      </c>
      <c r="E39" s="483" t="s">
        <v>735</v>
      </c>
      <c r="F39" s="710" t="s">
        <v>868</v>
      </c>
      <c r="G39" s="58" t="s">
        <v>870</v>
      </c>
    </row>
    <row r="40" spans="2:7">
      <c r="B40" s="498" t="s">
        <v>756</v>
      </c>
      <c r="C40" s="497" t="s">
        <v>582</v>
      </c>
      <c r="D40" s="496">
        <v>43983</v>
      </c>
      <c r="E40" s="483" t="s">
        <v>735</v>
      </c>
      <c r="F40" s="710" t="s">
        <v>868</v>
      </c>
    </row>
    <row r="41" spans="2:7">
      <c r="B41" s="498" t="s">
        <v>758</v>
      </c>
      <c r="C41" s="497" t="s">
        <v>759</v>
      </c>
      <c r="D41" s="496">
        <v>44044</v>
      </c>
      <c r="E41" s="483" t="s">
        <v>735</v>
      </c>
      <c r="F41" s="709" t="s">
        <v>868</v>
      </c>
    </row>
    <row r="42" spans="2:7">
      <c r="B42" s="699" t="s">
        <v>761</v>
      </c>
      <c r="C42" s="700" t="s">
        <v>760</v>
      </c>
      <c r="D42" s="701">
        <v>44044</v>
      </c>
      <c r="E42" s="702" t="s">
        <v>735</v>
      </c>
      <c r="F42" s="702" t="s">
        <v>316</v>
      </c>
    </row>
    <row r="43" spans="2:7" ht="14.5" thickBot="1">
      <c r="B43" s="703" t="s">
        <v>761</v>
      </c>
      <c r="C43" s="704" t="s">
        <v>760</v>
      </c>
      <c r="D43" s="705">
        <v>44044</v>
      </c>
      <c r="E43" s="706" t="s">
        <v>735</v>
      </c>
      <c r="F43" s="706" t="s">
        <v>316</v>
      </c>
    </row>
    <row r="44" spans="2:7">
      <c r="B44" s="711" t="s">
        <v>751</v>
      </c>
      <c r="C44" s="712" t="s">
        <v>871</v>
      </c>
      <c r="D44" s="496">
        <v>44044</v>
      </c>
      <c r="E44" s="483" t="s">
        <v>735</v>
      </c>
      <c r="F44" s="710" t="s">
        <v>868</v>
      </c>
      <c r="G44" s="453" t="s">
        <v>872</v>
      </c>
    </row>
    <row r="45" spans="2:7" ht="14.5" thickBot="1"/>
    <row r="46" spans="2:7" ht="18" thickBot="1">
      <c r="B46" s="1078" t="s">
        <v>610</v>
      </c>
      <c r="C46" s="1079"/>
      <c r="D46" s="1079"/>
      <c r="E46" s="1080"/>
    </row>
    <row r="47" spans="2:7">
      <c r="B47" s="472" t="s">
        <v>611</v>
      </c>
      <c r="C47" s="473" t="s">
        <v>4</v>
      </c>
      <c r="D47" s="456" t="s">
        <v>5</v>
      </c>
      <c r="E47" s="456" t="s">
        <v>733</v>
      </c>
    </row>
    <row r="48" spans="2:7">
      <c r="B48" s="493">
        <v>1</v>
      </c>
      <c r="C48" s="494" t="s">
        <v>859</v>
      </c>
      <c r="D48" s="502">
        <v>44166</v>
      </c>
      <c r="E48" s="503" t="s">
        <v>735</v>
      </c>
      <c r="G48" s="453" t="s">
        <v>865</v>
      </c>
    </row>
    <row r="49" spans="2:5">
      <c r="B49" s="493"/>
      <c r="C49" s="460"/>
      <c r="D49" s="460"/>
      <c r="E49" s="495"/>
    </row>
    <row r="50" spans="2:5">
      <c r="B50" s="474"/>
      <c r="E50" s="500"/>
    </row>
    <row r="51" spans="2:5">
      <c r="B51" s="474"/>
      <c r="C51" s="501"/>
      <c r="D51" s="501"/>
      <c r="E51" s="488"/>
    </row>
    <row r="52" spans="2:5">
      <c r="B52" s="474"/>
      <c r="C52" s="501"/>
      <c r="D52" s="501"/>
      <c r="E52" s="488"/>
    </row>
  </sheetData>
  <mergeCells count="6">
    <mergeCell ref="B2:E2"/>
    <mergeCell ref="B46:E46"/>
    <mergeCell ref="G2:H2"/>
    <mergeCell ref="G11:H11"/>
    <mergeCell ref="G18:H18"/>
    <mergeCell ref="B27:F27"/>
  </mergeCells>
  <hyperlinks>
    <hyperlink ref="C34" r:id="rId1" xr:uid="{9F377BEA-D09D-4A54-91FD-7E4204833045}"/>
    <hyperlink ref="C33" r:id="rId2" xr:uid="{035093B7-DE57-412E-9B42-F01DDBA61654}"/>
    <hyperlink ref="C36" r:id="rId3" display="https://storage.topten.eu/source/files/WhiteGoods_in_Europe_June15.pdf" xr:uid="{BF265E06-3E13-476A-8851-3343398773AC}"/>
    <hyperlink ref="C35" r:id="rId4" xr:uid="{7641A1BF-8802-42B6-AFFE-3999B520CF3F}"/>
    <hyperlink ref="C37" r:id="rId5" xr:uid="{FDE0A3C4-9AAB-4B15-A2A0-15345448B2B1}"/>
    <hyperlink ref="C39" r:id="rId6" xr:uid="{4A21F1C7-AD0C-437E-B668-15674B1BBB27}"/>
    <hyperlink ref="C41" r:id="rId7" xr:uid="{A25E08E2-4B27-47CF-A020-86C473908D93}"/>
    <hyperlink ref="C43" r:id="rId8" xr:uid="{ABFA8FA2-EE67-4FAE-BD90-C25F4F9D84ED}"/>
    <hyperlink ref="C40" r:id="rId9" xr:uid="{EB88EB1D-D46A-4126-AB71-1F53AF450859}"/>
    <hyperlink ref="C38" r:id="rId10" xr:uid="{FCE321A7-45EF-448C-9D0B-F473FBE2D9EA}"/>
    <hyperlink ref="C44" r:id="rId11" xr:uid="{AFB0F3F6-2562-4F37-BAA4-1CACF8FB00B7}"/>
  </hyperlinks>
  <pageMargins left="0.7" right="0.7" top="0.75" bottom="0.75" header="0.3" footer="0.3"/>
  <pageSetup paperSize="9" orientation="portrait" r:id="rId1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00DFF-E2CC-42CF-BEC9-D96966E8B305}">
  <sheetPr codeName="Sheet7"/>
  <dimension ref="A3:AD37"/>
  <sheetViews>
    <sheetView workbookViewId="0"/>
  </sheetViews>
  <sheetFormatPr defaultColWidth="9" defaultRowHeight="12.5"/>
  <cols>
    <col min="1" max="1" width="12.1796875" customWidth="1"/>
    <col min="2" max="2" width="11.7265625" customWidth="1"/>
    <col min="3" max="3" width="3.1796875" bestFit="1" customWidth="1"/>
    <col min="4" max="4" width="8.54296875" bestFit="1" customWidth="1"/>
    <col min="5" max="5" width="6.453125" bestFit="1" customWidth="1"/>
    <col min="6" max="6" width="5" bestFit="1" customWidth="1"/>
    <col min="7" max="7" width="5.7265625" bestFit="1" customWidth="1"/>
    <col min="8" max="8" width="5.81640625" bestFit="1" customWidth="1"/>
    <col min="9" max="9" width="5.453125" bestFit="1" customWidth="1"/>
    <col min="10" max="11" width="5.7265625" bestFit="1" customWidth="1"/>
    <col min="12" max="12" width="6.54296875" bestFit="1" customWidth="1"/>
    <col min="13" max="13" width="6" bestFit="1" customWidth="1"/>
    <col min="14" max="14" width="6.7265625" bestFit="1" customWidth="1"/>
    <col min="15" max="15" width="6.54296875" bestFit="1" customWidth="1"/>
    <col min="16" max="16" width="7.1796875" bestFit="1" customWidth="1"/>
    <col min="17" max="17" width="5.7265625" bestFit="1" customWidth="1"/>
    <col min="18" max="18" width="6" bestFit="1" customWidth="1"/>
    <col min="19" max="19" width="5.81640625" bestFit="1" customWidth="1"/>
    <col min="20" max="20" width="5.54296875" bestFit="1" customWidth="1"/>
    <col min="21" max="21" width="5.81640625" bestFit="1" customWidth="1"/>
    <col min="22" max="22" width="6.7265625" bestFit="1" customWidth="1"/>
    <col min="23" max="23" width="5" bestFit="1" customWidth="1"/>
    <col min="24" max="24" width="7.54296875" customWidth="1"/>
    <col min="25" max="25" width="6.7265625" bestFit="1" customWidth="1"/>
    <col min="26" max="28" width="6" bestFit="1" customWidth="1"/>
    <col min="29" max="29" width="5.7265625" bestFit="1" customWidth="1"/>
    <col min="30" max="30" width="6.7265625" bestFit="1" customWidth="1"/>
  </cols>
  <sheetData>
    <row r="3" spans="1:30" ht="14.5">
      <c r="C3" s="415" t="str" cm="1">
        <f t="array" ref="C3">INDEX(C5:C7,$A$4)</f>
        <v>IE</v>
      </c>
      <c r="D3" s="415" t="str" cm="1">
        <f t="array" ref="D3">INDEX(D5:D7,$A$4)</f>
        <v>National</v>
      </c>
      <c r="E3" s="415" t="str" cm="1">
        <f t="array" ref="E3">INDEX(E5:E7,$A$4)</f>
        <v>IE-CW</v>
      </c>
      <c r="F3" s="415" t="str" cm="1">
        <f t="array" ref="F3">INDEX(F5:F7,$A$4)</f>
        <v>IE-D</v>
      </c>
      <c r="G3" s="415" t="str" cm="1">
        <f t="array" ref="G3">INDEX(G5:G7,$A$4)</f>
        <v>IE-KE</v>
      </c>
      <c r="H3" s="415" t="str" cm="1">
        <f t="array" ref="H3">INDEX(H5:H7,$A$4)</f>
        <v>IE-KK</v>
      </c>
      <c r="I3" s="415" t="str" cm="1">
        <f t="array" ref="I3">INDEX(I5:I7,$A$4)</f>
        <v>IE-LS</v>
      </c>
      <c r="J3" s="415" t="str" cm="1">
        <f t="array" ref="J3">INDEX(J5:J7,$A$4)</f>
        <v>IE-LD</v>
      </c>
      <c r="K3" s="415" t="str" cm="1">
        <f t="array" ref="K3">INDEX(K5:K7,$A$4)</f>
        <v>IE-LH</v>
      </c>
      <c r="L3" s="415" t="str" cm="1">
        <f t="array" ref="L3">INDEX(L5:L7,$A$4)</f>
        <v>IE-MH</v>
      </c>
      <c r="M3" s="415" t="str" cm="1">
        <f t="array" ref="M3">INDEX(M5:M7,$A$4)</f>
        <v>IE-OY</v>
      </c>
      <c r="N3" s="415" t="str" cm="1">
        <f t="array" ref="N3">INDEX(N5:N7,$A$4)</f>
        <v>IE-WH</v>
      </c>
      <c r="O3" s="415" t="str" cm="1">
        <f t="array" ref="O3">INDEX(O5:O7,$A$4)</f>
        <v>IE-WX</v>
      </c>
      <c r="P3" s="415" t="str" cm="1">
        <f t="array" ref="P3">INDEX(P5:P7,$A$4)</f>
        <v>IE-WW</v>
      </c>
      <c r="Q3" s="415" t="str" cm="1">
        <f t="array" ref="Q3">INDEX(Q5:Q7,$A$4)</f>
        <v>IE-CE</v>
      </c>
      <c r="R3" s="415" t="str" cm="1">
        <f t="array" ref="R3">INDEX(R5:R7,$A$4)</f>
        <v>IE-CO</v>
      </c>
      <c r="S3" s="415" t="str" cm="1">
        <f t="array" ref="S3">INDEX(S5:S7,$A$4)</f>
        <v>IE-KY</v>
      </c>
      <c r="T3" s="415" t="str" cm="1">
        <f t="array" ref="T3">INDEX(T5:T7,$A$4)</f>
        <v>IE-LK</v>
      </c>
      <c r="U3" s="415" t="str" cm="1">
        <f t="array" ref="U3">INDEX(U5:U7,$A$4)</f>
        <v>IE-TA</v>
      </c>
      <c r="V3" s="415" t="str" cm="1">
        <f t="array" ref="V3">INDEX(V5:V7,$A$4)</f>
        <v>IE-WD</v>
      </c>
      <c r="W3" s="415" t="str" cm="1">
        <f t="array" ref="W3">INDEX(W5:W7,$A$4)</f>
        <v>IE-G</v>
      </c>
      <c r="X3" s="415" t="str" cm="1">
        <f t="array" ref="X3">INDEX(X5:X7,$A$4)</f>
        <v>IE-LM</v>
      </c>
      <c r="Y3" s="415" t="str" cm="1">
        <f t="array" ref="Y3">INDEX(Y5:Y7,$A$4)</f>
        <v>IE-MO</v>
      </c>
      <c r="Z3" s="415" t="str" cm="1">
        <f t="array" ref="Z3">INDEX(Z5:Z7,$A$4)</f>
        <v>IE-RN</v>
      </c>
      <c r="AA3" s="415" t="str" cm="1">
        <f t="array" ref="AA3">INDEX(AA5:AA7,$A$4)</f>
        <v>IE-SO</v>
      </c>
      <c r="AB3" s="415" t="str" cm="1">
        <f t="array" ref="AB3">INDEX(AB5:AB7,$A$4)</f>
        <v>IE-CN</v>
      </c>
      <c r="AC3" s="415" t="str" cm="1">
        <f t="array" ref="AC3">INDEX(AC5:AC7,$A$4)</f>
        <v>IE-DL</v>
      </c>
      <c r="AD3" s="415" t="str" cm="1">
        <f t="array" ref="AD3">INDEX(AD5:AD7,$A$4)</f>
        <v>IE-MN</v>
      </c>
    </row>
    <row r="4" spans="1:30">
      <c r="A4">
        <v>1</v>
      </c>
    </row>
    <row r="5" spans="1:30" ht="14.5">
      <c r="A5" t="s">
        <v>662</v>
      </c>
      <c r="C5" s="416" t="s">
        <v>194</v>
      </c>
      <c r="D5" s="416" t="s">
        <v>663</v>
      </c>
      <c r="E5" s="415" t="str">
        <f>A11</f>
        <v>IE-CW</v>
      </c>
      <c r="F5" s="415" t="str">
        <f>A16</f>
        <v>IE-D</v>
      </c>
      <c r="G5" s="415" t="str">
        <f>A19</f>
        <v>IE-KE</v>
      </c>
      <c r="H5" s="415" t="str">
        <f>A20</f>
        <v>IE-KK</v>
      </c>
      <c r="I5" s="415" t="str">
        <f>A21</f>
        <v>IE-LS</v>
      </c>
      <c r="J5" s="415" t="str">
        <f>A24</f>
        <v>IE-LD</v>
      </c>
      <c r="K5" s="415" t="str">
        <f>A25</f>
        <v>IE-LH</v>
      </c>
      <c r="L5" s="415" t="str">
        <f>A27</f>
        <v>IE-MH</v>
      </c>
      <c r="M5" s="415" t="str">
        <f>A29</f>
        <v>IE-OY</v>
      </c>
      <c r="N5" s="415" t="str">
        <f>A34</f>
        <v>IE-WH</v>
      </c>
      <c r="O5" s="415" t="str">
        <f>A35</f>
        <v>IE-WX</v>
      </c>
      <c r="P5" s="415" t="str">
        <f>A36</f>
        <v>IE-WW</v>
      </c>
      <c r="Q5" s="415" t="str">
        <f>A13</f>
        <v>IE-CE</v>
      </c>
      <c r="R5" s="415" t="str">
        <f>A14</f>
        <v>IE-CO</v>
      </c>
      <c r="S5" s="415" t="str">
        <f>A18</f>
        <v>IE-KY</v>
      </c>
      <c r="T5" s="415" t="str">
        <f>A23</f>
        <v>IE-LK</v>
      </c>
      <c r="U5" s="415" t="str">
        <f>A32</f>
        <v>IE-TA</v>
      </c>
      <c r="V5" s="415" t="str">
        <f>A33</f>
        <v>IE-WD</v>
      </c>
      <c r="W5" s="415" t="str">
        <f>A17</f>
        <v>IE-G</v>
      </c>
      <c r="X5" s="415" t="str">
        <f>A22</f>
        <v>IE-LM</v>
      </c>
      <c r="Y5" s="415" t="str">
        <f>A26</f>
        <v>IE-MO</v>
      </c>
      <c r="Z5" s="415" t="str">
        <f>A30</f>
        <v>IE-RN</v>
      </c>
      <c r="AA5" s="415" t="str">
        <f>A31</f>
        <v>IE-SO</v>
      </c>
      <c r="AB5" s="415" t="str">
        <f>A12</f>
        <v>IE-CN</v>
      </c>
      <c r="AC5" s="415" t="str">
        <f>A15</f>
        <v>IE-DL</v>
      </c>
      <c r="AD5" s="415" t="str">
        <f>A28</f>
        <v>IE-MN</v>
      </c>
    </row>
    <row r="6" spans="1:30" ht="14.5">
      <c r="A6" t="s">
        <v>664</v>
      </c>
      <c r="C6" s="415" t="str">
        <f>C5</f>
        <v>IE</v>
      </c>
      <c r="D6" s="415" t="str">
        <f>"*"&amp;D5</f>
        <v>*National</v>
      </c>
      <c r="E6" s="415" t="str">
        <f>"*"&amp;E5</f>
        <v>*IE-CW</v>
      </c>
      <c r="F6" s="415" t="str">
        <f t="shared" ref="F6:AD6" si="0">"*"&amp;F5</f>
        <v>*IE-D</v>
      </c>
      <c r="G6" s="415" t="str">
        <f t="shared" si="0"/>
        <v>*IE-KE</v>
      </c>
      <c r="H6" s="415" t="str">
        <f t="shared" si="0"/>
        <v>*IE-KK</v>
      </c>
      <c r="I6" s="415" t="str">
        <f t="shared" si="0"/>
        <v>*IE-LS</v>
      </c>
      <c r="J6" s="415" t="str">
        <f t="shared" si="0"/>
        <v>*IE-LD</v>
      </c>
      <c r="K6" s="415" t="str">
        <f t="shared" si="0"/>
        <v>*IE-LH</v>
      </c>
      <c r="L6" s="415" t="str">
        <f t="shared" si="0"/>
        <v>*IE-MH</v>
      </c>
      <c r="M6" s="415" t="str">
        <f t="shared" si="0"/>
        <v>*IE-OY</v>
      </c>
      <c r="N6" s="415" t="str">
        <f t="shared" si="0"/>
        <v>*IE-WH</v>
      </c>
      <c r="O6" s="415" t="str">
        <f t="shared" si="0"/>
        <v>*IE-WX</v>
      </c>
      <c r="P6" s="415" t="str">
        <f t="shared" si="0"/>
        <v>*IE-WW</v>
      </c>
      <c r="Q6" s="415" t="str">
        <f t="shared" si="0"/>
        <v>*IE-CE</v>
      </c>
      <c r="R6" s="415" t="str">
        <f t="shared" si="0"/>
        <v>*IE-CO</v>
      </c>
      <c r="S6" s="415" t="str">
        <f t="shared" si="0"/>
        <v>*IE-KY</v>
      </c>
      <c r="T6" s="415" t="str">
        <f t="shared" si="0"/>
        <v>*IE-LK</v>
      </c>
      <c r="U6" s="415" t="str">
        <f t="shared" si="0"/>
        <v>*IE-TA</v>
      </c>
      <c r="V6" s="415" t="str">
        <f t="shared" si="0"/>
        <v>*IE-WD</v>
      </c>
      <c r="W6" s="415" t="str">
        <f t="shared" si="0"/>
        <v>*IE-G</v>
      </c>
      <c r="X6" s="415" t="str">
        <f t="shared" si="0"/>
        <v>*IE-LM</v>
      </c>
      <c r="Y6" s="415" t="str">
        <f t="shared" si="0"/>
        <v>*IE-MO</v>
      </c>
      <c r="Z6" s="415" t="str">
        <f t="shared" si="0"/>
        <v>*IE-RN</v>
      </c>
      <c r="AA6" s="415" t="str">
        <f t="shared" si="0"/>
        <v>*IE-SO</v>
      </c>
      <c r="AB6" s="415" t="str">
        <f t="shared" si="0"/>
        <v>*IE-CN</v>
      </c>
      <c r="AC6" s="415" t="str">
        <f t="shared" si="0"/>
        <v>*IE-DL</v>
      </c>
      <c r="AD6" s="415" t="str">
        <f t="shared" si="0"/>
        <v>*IE-MN</v>
      </c>
    </row>
    <row r="7" spans="1:30" ht="14.5">
      <c r="A7" t="s">
        <v>665</v>
      </c>
      <c r="C7" s="415" t="str">
        <f>"*"&amp;C5</f>
        <v>*IE</v>
      </c>
      <c r="D7" s="415" t="str">
        <f>D5</f>
        <v>National</v>
      </c>
      <c r="E7" s="415" t="str">
        <f t="shared" ref="E7:AD7" si="1">E5</f>
        <v>IE-CW</v>
      </c>
      <c r="F7" s="415" t="str">
        <f t="shared" si="1"/>
        <v>IE-D</v>
      </c>
      <c r="G7" s="415" t="str">
        <f t="shared" si="1"/>
        <v>IE-KE</v>
      </c>
      <c r="H7" s="415" t="str">
        <f t="shared" si="1"/>
        <v>IE-KK</v>
      </c>
      <c r="I7" s="415" t="str">
        <f t="shared" si="1"/>
        <v>IE-LS</v>
      </c>
      <c r="J7" s="415" t="str">
        <f t="shared" si="1"/>
        <v>IE-LD</v>
      </c>
      <c r="K7" s="415" t="str">
        <f t="shared" si="1"/>
        <v>IE-LH</v>
      </c>
      <c r="L7" s="415" t="str">
        <f t="shared" si="1"/>
        <v>IE-MH</v>
      </c>
      <c r="M7" s="415" t="str">
        <f t="shared" si="1"/>
        <v>IE-OY</v>
      </c>
      <c r="N7" s="415" t="str">
        <f t="shared" si="1"/>
        <v>IE-WH</v>
      </c>
      <c r="O7" s="415" t="str">
        <f t="shared" si="1"/>
        <v>IE-WX</v>
      </c>
      <c r="P7" s="415" t="str">
        <f t="shared" si="1"/>
        <v>IE-WW</v>
      </c>
      <c r="Q7" s="415" t="str">
        <f t="shared" si="1"/>
        <v>IE-CE</v>
      </c>
      <c r="R7" s="415" t="str">
        <f t="shared" si="1"/>
        <v>IE-CO</v>
      </c>
      <c r="S7" s="415" t="str">
        <f t="shared" si="1"/>
        <v>IE-KY</v>
      </c>
      <c r="T7" s="415" t="str">
        <f t="shared" si="1"/>
        <v>IE-LK</v>
      </c>
      <c r="U7" s="415" t="str">
        <f t="shared" si="1"/>
        <v>IE-TA</v>
      </c>
      <c r="V7" s="415" t="str">
        <f t="shared" si="1"/>
        <v>IE-WD</v>
      </c>
      <c r="W7" s="415" t="str">
        <f t="shared" si="1"/>
        <v>IE-G</v>
      </c>
      <c r="X7" s="415" t="str">
        <f t="shared" si="1"/>
        <v>IE-LM</v>
      </c>
      <c r="Y7" s="415" t="str">
        <f t="shared" si="1"/>
        <v>IE-MO</v>
      </c>
      <c r="Z7" s="415" t="str">
        <f t="shared" si="1"/>
        <v>IE-RN</v>
      </c>
      <c r="AA7" s="415" t="str">
        <f t="shared" si="1"/>
        <v>IE-SO</v>
      </c>
      <c r="AB7" s="415" t="str">
        <f t="shared" si="1"/>
        <v>IE-CN</v>
      </c>
      <c r="AC7" s="415" t="str">
        <f t="shared" si="1"/>
        <v>IE-DL</v>
      </c>
      <c r="AD7" s="415" t="str">
        <f t="shared" si="1"/>
        <v>IE-MN</v>
      </c>
    </row>
    <row r="10" spans="1:30" ht="15" thickBot="1">
      <c r="A10" s="417" t="s">
        <v>633</v>
      </c>
      <c r="B10" s="417" t="s">
        <v>666</v>
      </c>
    </row>
    <row r="11" spans="1:30">
      <c r="A11" s="418" t="s">
        <v>667</v>
      </c>
      <c r="B11" s="418" t="s">
        <v>296</v>
      </c>
    </row>
    <row r="12" spans="1:30">
      <c r="A12" s="419" t="s">
        <v>668</v>
      </c>
      <c r="B12" s="419" t="s">
        <v>308</v>
      </c>
    </row>
    <row r="13" spans="1:30">
      <c r="A13" s="419" t="s">
        <v>669</v>
      </c>
      <c r="B13" s="419" t="s">
        <v>326</v>
      </c>
    </row>
    <row r="14" spans="1:30">
      <c r="A14" s="419" t="s">
        <v>670</v>
      </c>
      <c r="B14" s="419" t="s">
        <v>330</v>
      </c>
    </row>
    <row r="15" spans="1:30">
      <c r="A15" s="419" t="s">
        <v>671</v>
      </c>
      <c r="B15" s="419" t="s">
        <v>334</v>
      </c>
    </row>
    <row r="16" spans="1:30">
      <c r="A16" s="419" t="s">
        <v>672</v>
      </c>
      <c r="B16" s="419" t="s">
        <v>338</v>
      </c>
    </row>
    <row r="17" spans="1:2">
      <c r="A17" s="419" t="s">
        <v>673</v>
      </c>
      <c r="B17" s="419" t="s">
        <v>340</v>
      </c>
    </row>
    <row r="18" spans="1:2">
      <c r="A18" s="419" t="s">
        <v>674</v>
      </c>
      <c r="B18" s="419" t="s">
        <v>341</v>
      </c>
    </row>
    <row r="19" spans="1:2">
      <c r="A19" s="419" t="s">
        <v>675</v>
      </c>
      <c r="B19" s="419" t="s">
        <v>327</v>
      </c>
    </row>
    <row r="20" spans="1:2">
      <c r="A20" s="419" t="s">
        <v>676</v>
      </c>
      <c r="B20" s="419" t="s">
        <v>328</v>
      </c>
    </row>
    <row r="21" spans="1:2">
      <c r="A21" s="419" t="s">
        <v>677</v>
      </c>
      <c r="B21" s="419" t="s">
        <v>329</v>
      </c>
    </row>
    <row r="22" spans="1:2">
      <c r="A22" s="419" t="s">
        <v>678</v>
      </c>
      <c r="B22" s="419" t="s">
        <v>345</v>
      </c>
    </row>
    <row r="23" spans="1:2">
      <c r="A23" s="419" t="s">
        <v>679</v>
      </c>
      <c r="B23" s="419" t="s">
        <v>342</v>
      </c>
    </row>
    <row r="24" spans="1:2">
      <c r="A24" s="419" t="s">
        <v>680</v>
      </c>
      <c r="B24" s="419" t="s">
        <v>331</v>
      </c>
    </row>
    <row r="25" spans="1:2">
      <c r="A25" s="419" t="s">
        <v>681</v>
      </c>
      <c r="B25" s="419" t="s">
        <v>332</v>
      </c>
    </row>
    <row r="26" spans="1:2">
      <c r="A26" s="419" t="s">
        <v>682</v>
      </c>
      <c r="B26" s="419" t="s">
        <v>346</v>
      </c>
    </row>
    <row r="27" spans="1:2">
      <c r="A27" s="419" t="s">
        <v>683</v>
      </c>
      <c r="B27" s="419" t="s">
        <v>333</v>
      </c>
    </row>
    <row r="28" spans="1:2">
      <c r="A28" s="419" t="s">
        <v>684</v>
      </c>
      <c r="B28" s="419" t="s">
        <v>349</v>
      </c>
    </row>
    <row r="29" spans="1:2">
      <c r="A29" s="419" t="s">
        <v>685</v>
      </c>
      <c r="B29" s="419" t="s">
        <v>335</v>
      </c>
    </row>
    <row r="30" spans="1:2">
      <c r="A30" s="419" t="s">
        <v>686</v>
      </c>
      <c r="B30" s="419" t="s">
        <v>347</v>
      </c>
    </row>
    <row r="31" spans="1:2">
      <c r="A31" s="419" t="s">
        <v>687</v>
      </c>
      <c r="B31" s="419" t="s">
        <v>348</v>
      </c>
    </row>
    <row r="32" spans="1:2">
      <c r="A32" s="419" t="s">
        <v>688</v>
      </c>
      <c r="B32" s="419" t="s">
        <v>343</v>
      </c>
    </row>
    <row r="33" spans="1:2">
      <c r="A33" s="419" t="s">
        <v>689</v>
      </c>
      <c r="B33" s="419" t="s">
        <v>344</v>
      </c>
    </row>
    <row r="34" spans="1:2">
      <c r="A34" s="419" t="s">
        <v>690</v>
      </c>
      <c r="B34" s="419" t="s">
        <v>336</v>
      </c>
    </row>
    <row r="35" spans="1:2">
      <c r="A35" s="419" t="s">
        <v>691</v>
      </c>
      <c r="B35" s="419" t="s">
        <v>337</v>
      </c>
    </row>
    <row r="36" spans="1:2">
      <c r="A36" s="419" t="s">
        <v>692</v>
      </c>
      <c r="B36" s="419" t="s">
        <v>339</v>
      </c>
    </row>
    <row r="37" spans="1:2" ht="14.5">
      <c r="A37" s="420" t="s">
        <v>693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6737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31750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87C89-683D-48F0-B23B-7DEFAB066D87}">
  <sheetPr codeName="Sheet5"/>
  <dimension ref="A1:E92"/>
  <sheetViews>
    <sheetView workbookViewId="0">
      <selection activeCell="B13" sqref="B13"/>
    </sheetView>
  </sheetViews>
  <sheetFormatPr defaultColWidth="9.1796875" defaultRowHeight="13"/>
  <cols>
    <col min="1" max="1" width="39" style="25" customWidth="1"/>
    <col min="2" max="2" width="24.54296875" style="25" customWidth="1"/>
    <col min="3" max="3" width="35" style="25" customWidth="1"/>
    <col min="4" max="11" width="10.7265625" style="25" customWidth="1"/>
    <col min="12" max="12" width="15.1796875" style="25" customWidth="1"/>
    <col min="13" max="24" width="10.7265625" style="25" customWidth="1"/>
    <col min="25" max="16384" width="9.1796875" style="25"/>
  </cols>
  <sheetData>
    <row r="1" spans="1:3">
      <c r="A1" s="1085" t="s">
        <v>23</v>
      </c>
      <c r="B1" s="1086"/>
      <c r="C1" s="1086"/>
    </row>
    <row r="2" spans="1:3" s="47" customFormat="1">
      <c r="A2" s="635" t="s">
        <v>612</v>
      </c>
      <c r="B2" s="635" t="s">
        <v>24</v>
      </c>
      <c r="C2" s="635" t="s">
        <v>4</v>
      </c>
    </row>
    <row r="3" spans="1:3">
      <c r="A3"/>
      <c r="B3" s="234" t="s">
        <v>575</v>
      </c>
      <c r="C3" s="235" t="s">
        <v>1</v>
      </c>
    </row>
    <row r="4" spans="1:3">
      <c r="A4"/>
      <c r="B4" s="234" t="s">
        <v>704</v>
      </c>
      <c r="C4" s="234" t="s">
        <v>634</v>
      </c>
    </row>
    <row r="5" spans="1:3">
      <c r="A5"/>
      <c r="B5" s="234" t="s">
        <v>617</v>
      </c>
      <c r="C5" s="234" t="s">
        <v>616</v>
      </c>
    </row>
    <row r="6" spans="1:3">
      <c r="A6" s="635"/>
      <c r="B6" s="635" t="s">
        <v>24</v>
      </c>
      <c r="C6" s="635" t="s">
        <v>4</v>
      </c>
    </row>
    <row r="7" spans="1:3">
      <c r="A7" s="1087" t="s">
        <v>25</v>
      </c>
      <c r="B7" s="1088"/>
      <c r="C7" s="1089"/>
    </row>
    <row r="8" spans="1:3">
      <c r="A8" s="255"/>
      <c r="B8" s="236" t="str">
        <f>B3&amp;"COA"</f>
        <v>RSDCOA</v>
      </c>
      <c r="C8" s="236" t="str">
        <f>TRIM("Coal"&amp;" to "&amp;C3)</f>
        <v>Coal to Residential</v>
      </c>
    </row>
    <row r="9" spans="1:3">
      <c r="A9" s="255" t="str">
        <f>IF(RSD_Balance!C10&gt;0," ",IF(ISBLANK('EB2018'!C13)," ","*"))</f>
        <v xml:space="preserve"> </v>
      </c>
      <c r="B9" s="236" t="str">
        <f>B3&amp;RSD_Balance!A10</f>
        <v>RSDPEA</v>
      </c>
      <c r="C9" s="236" t="str">
        <f>TRIM(RSD_Balance!B10&amp;" to "&amp;C3)</f>
        <v>Peat to Residential</v>
      </c>
    </row>
    <row r="10" spans="1:3">
      <c r="A10" s="255" t="str">
        <f>IF(RSD_Balance!C11&gt;0," ",IF(ISBLANK('EB2018'!C14)," ","*"))</f>
        <v xml:space="preserve"> </v>
      </c>
      <c r="B10" s="236" t="str">
        <f>B3&amp;RSD_Balance!A11</f>
        <v>RSDLPG</v>
      </c>
      <c r="C10" s="236" t="str">
        <f>TRIM(RSD_Balance!B11&amp;" to "&amp;C3)</f>
        <v>LPG to Residential</v>
      </c>
    </row>
    <row r="11" spans="1:3">
      <c r="A11" s="255" t="str">
        <f>IF(RSD_Balance!C12&gt;0," ",IF(ISBLANK('EB2018'!C15)," ","*"))</f>
        <v>*</v>
      </c>
      <c r="B11" s="236" t="str">
        <f>B3&amp;RSD_Balance!A12</f>
        <v>RSDGSL</v>
      </c>
      <c r="C11" s="236" t="str">
        <f>TRIM(RSD_Balance!B12&amp;" to "&amp;C3)</f>
        <v>Gasoline to Residential</v>
      </c>
    </row>
    <row r="12" spans="1:3">
      <c r="A12" s="255" t="str">
        <f>IF(RSD_Balance!C13&gt;0," ",IF(ISBLANK('EB2018'!C16)," ","*"))</f>
        <v xml:space="preserve"> </v>
      </c>
      <c r="B12" s="236" t="str">
        <f>B3&amp;RSD_Balance!A13</f>
        <v>RSDKER</v>
      </c>
      <c r="C12" s="236" t="str">
        <f>TRIM(RSD_Balance!B13&amp;" to "&amp;C3)</f>
        <v>Kerosene to Residential</v>
      </c>
    </row>
    <row r="13" spans="1:3">
      <c r="A13" s="255" t="str">
        <f>IF(RSD_Balance!C14&gt;0," ",IF(ISBLANK('EB2018'!C17)," ","*"))</f>
        <v xml:space="preserve"> </v>
      </c>
      <c r="B13" s="236" t="str">
        <f>B3&amp;RSD_Balance!A14</f>
        <v>RSDDST</v>
      </c>
      <c r="C13" s="236" t="str">
        <f>TRIM(RSD_Balance!B14&amp;" to "&amp;C3)</f>
        <v>Gasoil / Diesel /DERV to Residential</v>
      </c>
    </row>
    <row r="14" spans="1:3">
      <c r="A14" s="255" t="str">
        <f>IF(RSD_Balance!C15&gt;0," ",IF(ISBLANK('EB2018'!#REF!)," ","*"))</f>
        <v>*</v>
      </c>
      <c r="B14" s="236" t="str">
        <f>B3&amp;RSD_Balance!A15</f>
        <v>RSDHFO</v>
      </c>
      <c r="C14" s="236" t="str">
        <f>TRIM(RSD_Balance!B15&amp;" to "&amp;C3)</f>
        <v>Fueloil to Residential</v>
      </c>
    </row>
    <row r="15" spans="1:3">
      <c r="A15" s="255" t="str">
        <f>IF(RSD_Balance!C16&gt;0," ",IF(ISBLANK('EB2018'!C18)," ","*"))</f>
        <v xml:space="preserve"> </v>
      </c>
      <c r="B15" s="236" t="str">
        <f>B3&amp;RSD_Balance!A16</f>
        <v>RSDCOK</v>
      </c>
      <c r="C15" s="236" t="str">
        <f>TRIM(RSD_Balance!B16&amp;" to "&amp;C3)</f>
        <v>Petroleum Coke to Residential</v>
      </c>
    </row>
    <row r="16" spans="1:3">
      <c r="A16" s="255" t="str">
        <f>IF(RSD_Balance!C17&gt;0," ",IF(ISBLANK('EB2018'!C19)," ","*"))</f>
        <v xml:space="preserve"> </v>
      </c>
      <c r="B16" s="236" t="str">
        <f>B3&amp;RSD_Balance!A17</f>
        <v>RSDGAS</v>
      </c>
      <c r="C16" s="236" t="str">
        <f>TRIM(RSD_Balance!B17&amp;" to "&amp;C3)</f>
        <v>Natural Gas to Residential</v>
      </c>
    </row>
    <row r="17" spans="1:5">
      <c r="A17" s="255" t="str">
        <f>IF(RSD_Balance!C18&gt;0," ",IF(ISBLANK('EB2018'!C20)," ","*"))</f>
        <v xml:space="preserve"> </v>
      </c>
      <c r="B17" s="236" t="str">
        <f>B3&amp;RSD_Balance!A18</f>
        <v>RSDSOL</v>
      </c>
      <c r="C17" s="236" t="str">
        <f>TRIM(RSD_Balance!B18&amp;" to "&amp;C3)</f>
        <v>Solar Thermal to Residential</v>
      </c>
    </row>
    <row r="18" spans="1:5">
      <c r="A18" s="255" t="str">
        <f>IF(RSD_Balance!C19&gt;0," ",IF(ISBLANK('EB2018'!C21)," ","*"))</f>
        <v xml:space="preserve"> </v>
      </c>
      <c r="B18" s="236" t="str">
        <f>B3&amp;RSD_Balance!A19</f>
        <v>RSDWOO</v>
      </c>
      <c r="C18" s="236" t="str">
        <f>TRIM(RSD_Balance!B19&amp;" to "&amp;C3)</f>
        <v>Biomass to Residential</v>
      </c>
    </row>
    <row r="19" spans="1:5">
      <c r="A19" s="255" t="str">
        <f>IF(RSD_Balance!C20&gt;0," ",IF(ISBLANK('EB2018'!C22)," ","*"))</f>
        <v xml:space="preserve"> </v>
      </c>
      <c r="B19" s="236" t="str">
        <f>B3&amp;RSD_Balance!A20</f>
        <v>RSDBGS</v>
      </c>
      <c r="C19" s="236" t="str">
        <f>TRIM(RSD_Balance!B20&amp;" to "&amp;C3)</f>
        <v>Biogas to Residential</v>
      </c>
    </row>
    <row r="20" spans="1:5">
      <c r="A20" s="255" t="str">
        <f>IF(RSD_Balance!C21&gt;0," ",IF(ISBLANK('EB2018'!C23)," ","*"))</f>
        <v xml:space="preserve"> </v>
      </c>
      <c r="B20" s="236" t="str">
        <f>B3&amp;RSD_Balance!A21</f>
        <v>RSDBIOMUN</v>
      </c>
      <c r="C20" s="236" t="str">
        <f>TRIM(RSD_Balance!B21&amp;" to "&amp;C3)</f>
        <v>Landfill Gas to Residential</v>
      </c>
    </row>
    <row r="21" spans="1:5">
      <c r="A21" s="255" t="str">
        <f>IF(RSD_Balance!C22&gt;0," ",IF(ISBLANK('EB2018'!C24)," ","*"))</f>
        <v xml:space="preserve"> </v>
      </c>
      <c r="B21" s="236" t="str">
        <f>B3&amp;RSD_Balance!A22</f>
        <v>RSDAHT</v>
      </c>
      <c r="C21" s="236" t="str">
        <f>TRIM(RSD_Balance!B22&amp;" to "&amp;C3)</f>
        <v>Ambient Heat to Residential</v>
      </c>
    </row>
    <row r="22" spans="1:5">
      <c r="A22" s="255"/>
      <c r="B22" s="236" t="str">
        <f>B3&amp;RSD_Balance!A23</f>
        <v>RSDETH</v>
      </c>
      <c r="C22" s="236" t="str">
        <f>TRIM(RSD_Balance!B23&amp;" to "&amp;C3)</f>
        <v>Ethanol to Residential</v>
      </c>
    </row>
    <row r="23" spans="1:5">
      <c r="A23" s="255"/>
      <c r="B23" s="236" t="str">
        <f>B3&amp;RSD_Balance!A24</f>
        <v>RSDBDL</v>
      </c>
      <c r="C23" s="236" t="str">
        <f>TRIM(RSD_Balance!B24&amp;" to "&amp;C3)</f>
        <v>Biodiesel to Residential</v>
      </c>
    </row>
    <row r="24" spans="1:5">
      <c r="A24" s="255"/>
      <c r="B24" s="236" t="str">
        <f>B3&amp;RSD_Balance!A25</f>
        <v>RSDBIOSLU</v>
      </c>
      <c r="C24" s="236" t="str">
        <f>TRIM(RSD_Balance!B25&amp;" to "&amp;C3)</f>
        <v>Non-Renewable Waste to Residential</v>
      </c>
    </row>
    <row r="25" spans="1:5">
      <c r="A25" s="255"/>
      <c r="B25" s="236" t="s">
        <v>495</v>
      </c>
      <c r="C25" s="236" t="s">
        <v>426</v>
      </c>
    </row>
    <row r="26" spans="1:5">
      <c r="A26" s="255" t="str">
        <f>IF(RSD_Balance!C26&gt;0," ",IF(ISBLANK('EB2018'!C27)," ","*"))</f>
        <v xml:space="preserve"> </v>
      </c>
      <c r="B26" s="236" t="str">
        <f>B3&amp;RSD_Balance!A26</f>
        <v>RSDELC</v>
      </c>
      <c r="C26" s="236" t="str">
        <f>TRIM(RSD_Balance!B26&amp;" to "&amp;C3)</f>
        <v>Electricity to Residential</v>
      </c>
    </row>
    <row r="27" spans="1:5">
      <c r="A27" s="255"/>
      <c r="B27" s="236" t="str">
        <f>B3&amp;RSD_Balance!A27</f>
        <v>RSDHET</v>
      </c>
      <c r="C27" s="236" t="str">
        <f>TRIM(RSD_Balance!B27&amp;" to "&amp;C3)</f>
        <v>Heat to Residential</v>
      </c>
    </row>
    <row r="28" spans="1:5">
      <c r="A28" s="1087" t="s">
        <v>26</v>
      </c>
      <c r="B28" s="1088"/>
      <c r="C28" s="1089"/>
    </row>
    <row r="29" spans="1:5">
      <c r="A29" s="255"/>
      <c r="B29" s="236" t="s">
        <v>27</v>
      </c>
      <c r="C29" s="236" t="s">
        <v>28</v>
      </c>
    </row>
    <row r="30" spans="1:5">
      <c r="A30" s="255"/>
      <c r="B30" s="236" t="s">
        <v>29</v>
      </c>
      <c r="C30" s="236" t="s">
        <v>30</v>
      </c>
    </row>
    <row r="31" spans="1:5">
      <c r="A31" s="255"/>
      <c r="B31" s="236" t="s">
        <v>33</v>
      </c>
      <c r="C31" s="236" t="s">
        <v>34</v>
      </c>
      <c r="E31" s="255"/>
    </row>
    <row r="32" spans="1:5">
      <c r="A32" s="255"/>
      <c r="B32" s="236" t="s">
        <v>31</v>
      </c>
      <c r="C32" s="236" t="s">
        <v>32</v>
      </c>
    </row>
    <row r="33" spans="1:3">
      <c r="A33" s="255"/>
      <c r="B33" s="236" t="s">
        <v>35</v>
      </c>
      <c r="C33" s="236" t="s">
        <v>36</v>
      </c>
    </row>
    <row r="34" spans="1:3">
      <c r="A34" s="255"/>
      <c r="B34" s="236" t="s">
        <v>37</v>
      </c>
      <c r="C34" s="236" t="s">
        <v>38</v>
      </c>
    </row>
    <row r="35" spans="1:3">
      <c r="A35" s="1087" t="s">
        <v>39</v>
      </c>
      <c r="B35" s="1088"/>
      <c r="C35" s="1089"/>
    </row>
    <row r="36" spans="1:3">
      <c r="A36" s="255" t="s">
        <v>40</v>
      </c>
      <c r="B36" s="236" t="s">
        <v>41</v>
      </c>
      <c r="C36" s="236" t="s">
        <v>42</v>
      </c>
    </row>
    <row r="37" spans="1:3">
      <c r="A37" s="255"/>
      <c r="B37" s="236" t="s">
        <v>43</v>
      </c>
      <c r="C37" s="236" t="s">
        <v>44</v>
      </c>
    </row>
    <row r="38" spans="1:3">
      <c r="A38" s="255"/>
      <c r="B38" s="236" t="s">
        <v>45</v>
      </c>
      <c r="C38" s="236" t="s">
        <v>46</v>
      </c>
    </row>
    <row r="39" spans="1:3">
      <c r="A39" s="1087" t="s">
        <v>47</v>
      </c>
      <c r="B39" s="1088"/>
      <c r="C39" s="1089"/>
    </row>
    <row r="40" spans="1:3">
      <c r="A40" s="255" t="s">
        <v>40</v>
      </c>
      <c r="B40" s="236" t="s">
        <v>48</v>
      </c>
      <c r="C40" s="252" t="s">
        <v>49</v>
      </c>
    </row>
    <row r="41" spans="1:3">
      <c r="A41" s="255"/>
      <c r="B41" s="236" t="s">
        <v>50</v>
      </c>
      <c r="C41" s="252" t="s">
        <v>51</v>
      </c>
    </row>
    <row r="42" spans="1:3">
      <c r="A42" s="255"/>
      <c r="B42" s="236" t="s">
        <v>52</v>
      </c>
      <c r="C42" s="252" t="s">
        <v>53</v>
      </c>
    </row>
    <row r="43" spans="1:3">
      <c r="A43" s="255"/>
      <c r="B43" s="236" t="s">
        <v>54</v>
      </c>
      <c r="C43" s="252" t="s">
        <v>55</v>
      </c>
    </row>
    <row r="44" spans="1:3">
      <c r="A44" s="255"/>
      <c r="B44" s="236" t="s">
        <v>56</v>
      </c>
      <c r="C44" s="252" t="s">
        <v>57</v>
      </c>
    </row>
    <row r="45" spans="1:3">
      <c r="A45" s="255"/>
      <c r="B45" s="236" t="s">
        <v>58</v>
      </c>
      <c r="C45" s="252" t="s">
        <v>59</v>
      </c>
    </row>
    <row r="46" spans="1:3">
      <c r="A46" s="255"/>
      <c r="B46" s="236" t="s">
        <v>60</v>
      </c>
      <c r="C46" s="252" t="s">
        <v>61</v>
      </c>
    </row>
    <row r="47" spans="1:3">
      <c r="A47" s="255"/>
      <c r="B47" s="236" t="s">
        <v>62</v>
      </c>
      <c r="C47" s="252" t="s">
        <v>63</v>
      </c>
    </row>
    <row r="48" spans="1:3">
      <c r="A48" s="255"/>
      <c r="B48" s="236" t="s">
        <v>64</v>
      </c>
      <c r="C48" s="252" t="s">
        <v>65</v>
      </c>
    </row>
    <row r="49" spans="1:3">
      <c r="A49" s="1087" t="s">
        <v>66</v>
      </c>
      <c r="B49" s="1088"/>
      <c r="C49" s="1089"/>
    </row>
    <row r="50" spans="1:3">
      <c r="A50" s="255"/>
      <c r="B50" s="237" t="s">
        <v>717</v>
      </c>
      <c r="C50" s="236" t="s">
        <v>219</v>
      </c>
    </row>
    <row r="51" spans="1:3">
      <c r="A51" s="437" t="s">
        <v>254</v>
      </c>
      <c r="B51" s="237" t="s">
        <v>718</v>
      </c>
      <c r="C51" s="236" t="s">
        <v>728</v>
      </c>
    </row>
    <row r="52" spans="1:3">
      <c r="A52" s="255"/>
      <c r="B52" s="237" t="s">
        <v>719</v>
      </c>
      <c r="C52" s="236" t="s">
        <v>220</v>
      </c>
    </row>
    <row r="53" spans="1:3">
      <c r="A53" s="255"/>
      <c r="B53" s="237" t="s">
        <v>721</v>
      </c>
      <c r="C53" s="236" t="s">
        <v>221</v>
      </c>
    </row>
    <row r="54" spans="1:3">
      <c r="A54" s="255"/>
      <c r="B54" s="237" t="s">
        <v>720</v>
      </c>
      <c r="C54" s="236" t="s">
        <v>222</v>
      </c>
    </row>
    <row r="55" spans="1:3">
      <c r="A55" s="255"/>
      <c r="B55" s="237" t="s">
        <v>722</v>
      </c>
      <c r="C55" s="236" t="s">
        <v>224</v>
      </c>
    </row>
    <row r="56" spans="1:3">
      <c r="A56" s="255"/>
      <c r="B56" s="237" t="s">
        <v>723</v>
      </c>
      <c r="C56" s="236" t="s">
        <v>223</v>
      </c>
    </row>
    <row r="57" spans="1:3">
      <c r="A57" s="255"/>
      <c r="B57" s="237" t="s">
        <v>724</v>
      </c>
      <c r="C57" s="236" t="s">
        <v>225</v>
      </c>
    </row>
    <row r="58" spans="1:3">
      <c r="A58" s="255"/>
      <c r="B58" s="237" t="s">
        <v>67</v>
      </c>
      <c r="C58" s="236" t="s">
        <v>226</v>
      </c>
    </row>
    <row r="59" spans="1:3">
      <c r="A59" s="255"/>
      <c r="B59" s="237" t="s">
        <v>725</v>
      </c>
      <c r="C59" s="236" t="s">
        <v>227</v>
      </c>
    </row>
    <row r="60" spans="1:3">
      <c r="A60" s="255"/>
      <c r="B60" s="237" t="s">
        <v>726</v>
      </c>
      <c r="C60" s="236" t="s">
        <v>729</v>
      </c>
    </row>
    <row r="61" spans="1:3">
      <c r="A61" s="437" t="s">
        <v>254</v>
      </c>
      <c r="B61" s="237" t="s">
        <v>727</v>
      </c>
      <c r="C61" s="236" t="s">
        <v>730</v>
      </c>
    </row>
    <row r="62" spans="1:3">
      <c r="A62" s="1087" t="s">
        <v>68</v>
      </c>
      <c r="B62" s="1088"/>
      <c r="C62" s="1089"/>
    </row>
    <row r="63" spans="1:3">
      <c r="A63" s="1087" t="s">
        <v>69</v>
      </c>
      <c r="B63" s="1088"/>
      <c r="C63" s="1089"/>
    </row>
    <row r="64" spans="1:3">
      <c r="A64" s="255"/>
      <c r="B64" s="236" t="s">
        <v>70</v>
      </c>
      <c r="C64" s="237" t="s">
        <v>71</v>
      </c>
    </row>
    <row r="65" spans="1:3">
      <c r="A65" s="255"/>
      <c r="B65" s="236" t="s">
        <v>72</v>
      </c>
      <c r="C65" s="237" t="s">
        <v>73</v>
      </c>
    </row>
    <row r="66" spans="1:3">
      <c r="A66" s="255"/>
      <c r="B66" s="236" t="s">
        <v>74</v>
      </c>
      <c r="C66" s="237" t="s">
        <v>75</v>
      </c>
    </row>
    <row r="67" spans="1:3">
      <c r="A67" s="255"/>
      <c r="B67" s="236" t="s">
        <v>620</v>
      </c>
      <c r="C67" s="237" t="s">
        <v>623</v>
      </c>
    </row>
    <row r="68" spans="1:3">
      <c r="A68" s="255"/>
      <c r="B68" s="236" t="s">
        <v>621</v>
      </c>
      <c r="C68" s="237" t="s">
        <v>624</v>
      </c>
    </row>
    <row r="69" spans="1:3">
      <c r="A69" s="255"/>
      <c r="B69" s="236" t="s">
        <v>622</v>
      </c>
      <c r="C69" s="237" t="s">
        <v>625</v>
      </c>
    </row>
    <row r="70" spans="1:3">
      <c r="A70" s="1087" t="s">
        <v>76</v>
      </c>
      <c r="B70" s="1088"/>
      <c r="C70" s="1089"/>
    </row>
    <row r="71" spans="1:3">
      <c r="A71" s="255" t="s">
        <v>40</v>
      </c>
      <c r="B71" s="237" t="s">
        <v>77</v>
      </c>
      <c r="C71" s="236" t="s">
        <v>78</v>
      </c>
    </row>
    <row r="72" spans="1:3">
      <c r="A72" s="255" t="s">
        <v>40</v>
      </c>
      <c r="B72" s="237" t="s">
        <v>79</v>
      </c>
      <c r="C72" s="236" t="s">
        <v>80</v>
      </c>
    </row>
    <row r="73" spans="1:3">
      <c r="A73" s="256"/>
      <c r="B73" s="237" t="s">
        <v>81</v>
      </c>
      <c r="C73" s="236" t="s">
        <v>82</v>
      </c>
    </row>
    <row r="74" spans="1:3">
      <c r="A74" s="256"/>
      <c r="B74" s="237" t="s">
        <v>83</v>
      </c>
      <c r="C74" s="236" t="s">
        <v>84</v>
      </c>
    </row>
    <row r="75" spans="1:3">
      <c r="A75" s="256"/>
      <c r="B75" s="237" t="s">
        <v>85</v>
      </c>
      <c r="C75" s="236" t="s">
        <v>86</v>
      </c>
    </row>
    <row r="76" spans="1:3">
      <c r="A76" s="1087" t="s">
        <v>487</v>
      </c>
      <c r="B76" s="1088"/>
      <c r="C76" s="1089"/>
    </row>
    <row r="77" spans="1:3">
      <c r="B77" s="237" t="s">
        <v>628</v>
      </c>
      <c r="C77" s="236" t="s">
        <v>485</v>
      </c>
    </row>
    <row r="78" spans="1:3">
      <c r="B78" s="237" t="s">
        <v>486</v>
      </c>
      <c r="C78" s="236" t="s">
        <v>496</v>
      </c>
    </row>
    <row r="79" spans="1:3">
      <c r="B79" s="237" t="s">
        <v>626</v>
      </c>
      <c r="C79" s="236" t="s">
        <v>627</v>
      </c>
    </row>
    <row r="80" spans="1:3">
      <c r="B80" s="237" t="s">
        <v>489</v>
      </c>
      <c r="C80" s="236" t="s">
        <v>488</v>
      </c>
    </row>
    <row r="81" spans="1:3">
      <c r="B81" s="237" t="s">
        <v>629</v>
      </c>
      <c r="C81" s="237" t="s">
        <v>630</v>
      </c>
    </row>
    <row r="82" spans="1:3">
      <c r="B82" s="237" t="s">
        <v>490</v>
      </c>
      <c r="C82" s="237" t="s">
        <v>491</v>
      </c>
    </row>
    <row r="83" spans="1:3">
      <c r="B83" s="237" t="s">
        <v>631</v>
      </c>
      <c r="C83" s="25" t="s">
        <v>632</v>
      </c>
    </row>
    <row r="84" spans="1:3">
      <c r="A84" s="1087" t="s">
        <v>714</v>
      </c>
      <c r="B84" s="1088"/>
      <c r="C84" s="1089"/>
    </row>
    <row r="85" spans="1:3">
      <c r="B85" s="25" t="s">
        <v>715</v>
      </c>
      <c r="C85" s="25" t="s">
        <v>716</v>
      </c>
    </row>
    <row r="89" spans="1:3">
      <c r="C89" t="s">
        <v>40</v>
      </c>
    </row>
    <row r="90" spans="1:3">
      <c r="C90" t="s">
        <v>40</v>
      </c>
    </row>
    <row r="91" spans="1:3">
      <c r="C91" t="s">
        <v>40</v>
      </c>
    </row>
    <row r="92" spans="1:3">
      <c r="C92" t="s">
        <v>40</v>
      </c>
    </row>
  </sheetData>
  <mergeCells count="11">
    <mergeCell ref="A84:C84"/>
    <mergeCell ref="A76:C76"/>
    <mergeCell ref="A70:C70"/>
    <mergeCell ref="A28:C28"/>
    <mergeCell ref="A7:C7"/>
    <mergeCell ref="A63:C63"/>
    <mergeCell ref="A1:C1"/>
    <mergeCell ref="A35:C35"/>
    <mergeCell ref="A39:C39"/>
    <mergeCell ref="A49:C49"/>
    <mergeCell ref="A62:C62"/>
  </mergeCells>
  <phoneticPr fontId="69" type="noConversion"/>
  <pageMargins left="0.75" right="0.75" top="1" bottom="1" header="0.5" footer="0.5"/>
  <pageSetup paperSize="9" orientation="portrait" horizontalDpi="0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pageSetUpPr fitToPage="1"/>
  </sheetPr>
  <dimension ref="A1:AS82"/>
  <sheetViews>
    <sheetView topLeftCell="A37" workbookViewId="0">
      <selection activeCell="U56" sqref="U56"/>
    </sheetView>
  </sheetViews>
  <sheetFormatPr defaultColWidth="9.1796875" defaultRowHeight="13"/>
  <cols>
    <col min="1" max="1" width="38.1796875" style="11" customWidth="1"/>
    <col min="2" max="2" width="13" style="1" bestFit="1" customWidth="1"/>
    <col min="3" max="4" width="7.7265625" style="12" bestFit="1" customWidth="1"/>
    <col min="5" max="5" width="9.26953125" style="12" bestFit="1" customWidth="1"/>
    <col min="6" max="6" width="6.1796875" style="13" customWidth="1"/>
    <col min="7" max="7" width="6" style="13" bestFit="1" customWidth="1"/>
    <col min="8" max="8" width="7.7265625" style="12" bestFit="1" customWidth="1"/>
    <col min="9" max="9" width="6.26953125" style="13" bestFit="1" customWidth="1"/>
    <col min="10" max="10" width="7.7265625" style="13" bestFit="1" customWidth="1"/>
    <col min="11" max="11" width="7" style="13" bestFit="1" customWidth="1"/>
    <col min="12" max="12" width="9.26953125" style="5" bestFit="1" customWidth="1"/>
    <col min="13" max="13" width="8.26953125" style="1" bestFit="1" customWidth="1"/>
    <col min="14" max="14" width="8.26953125" style="1" customWidth="1"/>
    <col min="15" max="15" width="5.26953125" style="1" customWidth="1"/>
    <col min="16" max="16" width="7.453125" style="1" customWidth="1"/>
    <col min="17" max="17" width="7.7265625" style="1" bestFit="1" customWidth="1"/>
    <col min="18" max="18" width="9.26953125" style="1" bestFit="1" customWidth="1"/>
    <col min="19" max="19" width="7.453125" style="1" bestFit="1" customWidth="1"/>
    <col min="20" max="20" width="7.7265625" style="1" bestFit="1" customWidth="1"/>
    <col min="21" max="21" width="9.26953125" style="1" bestFit="1" customWidth="1"/>
    <col min="22" max="22" width="7.7265625" style="1" bestFit="1" customWidth="1"/>
    <col min="23" max="25" width="5.453125" style="1" customWidth="1"/>
    <col min="26" max="26" width="5.453125" style="13" customWidth="1"/>
    <col min="27" max="27" width="9.26953125" style="5" bestFit="1" customWidth="1"/>
    <col min="28" max="28" width="7.7265625" style="5" bestFit="1" customWidth="1"/>
    <col min="29" max="30" width="5.54296875" style="1" customWidth="1"/>
    <col min="31" max="31" width="8.81640625" style="1" bestFit="1" customWidth="1"/>
    <col min="32" max="32" width="8.81640625" style="1" customWidth="1"/>
    <col min="33" max="33" width="5.54296875" style="1" customWidth="1"/>
    <col min="34" max="34" width="6" style="1" bestFit="1" customWidth="1"/>
    <col min="35" max="37" width="8.7265625" style="1" customWidth="1"/>
    <col min="38" max="39" width="7" style="1" customWidth="1"/>
    <col min="40" max="40" width="5.54296875" style="1" customWidth="1"/>
    <col min="41" max="41" width="9.26953125" style="5" bestFit="1" customWidth="1"/>
    <col min="42" max="42" width="5.54296875" style="5" bestFit="1" customWidth="1"/>
    <col min="43" max="43" width="10.26953125" style="1" bestFit="1" customWidth="1"/>
    <col min="44" max="44" width="9.1796875" style="1"/>
    <col min="45" max="45" width="9.1796875" style="3"/>
    <col min="46" max="16384" width="9.1796875" style="1"/>
  </cols>
  <sheetData>
    <row r="1" spans="1:45" ht="84.75" customHeight="1" thickBot="1">
      <c r="A1" s="526" t="s">
        <v>785</v>
      </c>
      <c r="B1" s="527" t="s">
        <v>786</v>
      </c>
      <c r="C1" s="553" t="s">
        <v>88</v>
      </c>
      <c r="D1" s="556" t="s">
        <v>89</v>
      </c>
      <c r="E1" s="557" t="s">
        <v>787</v>
      </c>
      <c r="F1" s="558" t="s">
        <v>90</v>
      </c>
      <c r="G1" s="558" t="s">
        <v>91</v>
      </c>
      <c r="H1" s="554" t="s">
        <v>92</v>
      </c>
      <c r="I1" s="556" t="s">
        <v>93</v>
      </c>
      <c r="J1" s="557" t="s">
        <v>94</v>
      </c>
      <c r="K1" s="557" t="s">
        <v>95</v>
      </c>
      <c r="L1" s="554" t="s">
        <v>96</v>
      </c>
      <c r="M1" s="556" t="s">
        <v>97</v>
      </c>
      <c r="N1" s="556" t="s">
        <v>788</v>
      </c>
      <c r="O1" s="557" t="s">
        <v>98</v>
      </c>
      <c r="P1" s="557" t="s">
        <v>99</v>
      </c>
      <c r="Q1" s="557" t="s">
        <v>100</v>
      </c>
      <c r="R1" s="557" t="s">
        <v>101</v>
      </c>
      <c r="S1" s="557" t="s">
        <v>102</v>
      </c>
      <c r="T1" s="554" t="s">
        <v>103</v>
      </c>
      <c r="U1" s="557" t="s">
        <v>104</v>
      </c>
      <c r="V1" s="557" t="s">
        <v>105</v>
      </c>
      <c r="W1" s="558" t="s">
        <v>106</v>
      </c>
      <c r="X1" s="558" t="s">
        <v>107</v>
      </c>
      <c r="Y1" s="558" t="s">
        <v>108</v>
      </c>
      <c r="Z1" s="557" t="s">
        <v>109</v>
      </c>
      <c r="AA1" s="554" t="s">
        <v>110</v>
      </c>
      <c r="AB1" s="555" t="s">
        <v>111</v>
      </c>
      <c r="AC1" s="559" t="s">
        <v>112</v>
      </c>
      <c r="AD1" s="557" t="s">
        <v>113</v>
      </c>
      <c r="AE1" s="554" t="s">
        <v>789</v>
      </c>
      <c r="AF1" s="557" t="s">
        <v>790</v>
      </c>
      <c r="AG1" s="557" t="s">
        <v>114</v>
      </c>
      <c r="AH1" s="557" t="s">
        <v>115</v>
      </c>
      <c r="AI1" s="554" t="s">
        <v>791</v>
      </c>
      <c r="AJ1" s="554" t="s">
        <v>792</v>
      </c>
      <c r="AK1" s="554" t="s">
        <v>793</v>
      </c>
      <c r="AL1" s="554" t="s">
        <v>794</v>
      </c>
      <c r="AM1" s="554" t="s">
        <v>795</v>
      </c>
      <c r="AN1" s="554" t="s">
        <v>116</v>
      </c>
      <c r="AO1" s="554" t="s">
        <v>117</v>
      </c>
      <c r="AP1" s="555" t="s">
        <v>118</v>
      </c>
      <c r="AQ1" s="528" t="s">
        <v>119</v>
      </c>
      <c r="AS1" s="2"/>
    </row>
    <row r="2" spans="1:45" ht="12.75" customHeight="1">
      <c r="A2" s="529" t="s">
        <v>120</v>
      </c>
      <c r="B2" s="834"/>
      <c r="C2" s="835">
        <f>SUM(D2:G2)</f>
        <v>0</v>
      </c>
      <c r="D2" s="836">
        <v>0</v>
      </c>
      <c r="E2" s="837"/>
      <c r="F2" s="838"/>
      <c r="G2" s="838"/>
      <c r="H2" s="839">
        <f>SUM(I2:K2)</f>
        <v>815.92434898628403</v>
      </c>
      <c r="I2" s="840">
        <v>688.22034898628408</v>
      </c>
      <c r="J2" s="841">
        <v>127.70399999999999</v>
      </c>
      <c r="K2" s="842"/>
      <c r="L2" s="839">
        <f>SUM(M2:Z2)</f>
        <v>0</v>
      </c>
      <c r="M2" s="840"/>
      <c r="N2" s="843"/>
      <c r="O2" s="844"/>
      <c r="P2" s="844"/>
      <c r="Q2" s="844"/>
      <c r="R2" s="844"/>
      <c r="S2" s="844"/>
      <c r="T2" s="844"/>
      <c r="U2" s="844"/>
      <c r="V2" s="844"/>
      <c r="W2" s="838"/>
      <c r="X2" s="838"/>
      <c r="Y2" s="838"/>
      <c r="Z2" s="842"/>
      <c r="AA2" s="839">
        <v>2751.9191872187112</v>
      </c>
      <c r="AB2" s="845">
        <f>SUM(AC2:AM2)</f>
        <v>1334.658297317769</v>
      </c>
      <c r="AC2" s="846">
        <v>59.691708987970003</v>
      </c>
      <c r="AD2" s="842">
        <v>743.01992281532614</v>
      </c>
      <c r="AE2" s="842">
        <v>248.90859762015592</v>
      </c>
      <c r="AF2" s="842">
        <v>139.99992739520798</v>
      </c>
      <c r="AG2" s="842">
        <v>33.531818868055431</v>
      </c>
      <c r="AH2" s="842">
        <v>16.813132576534866</v>
      </c>
      <c r="AI2" s="842">
        <v>31.064467987392003</v>
      </c>
      <c r="AJ2" s="842">
        <v>2.6691993220799999</v>
      </c>
      <c r="AK2" s="840">
        <v>1.8899880806415161</v>
      </c>
      <c r="AL2" s="840">
        <v>13.54608560366562</v>
      </c>
      <c r="AM2" s="838">
        <v>43.523448060739646</v>
      </c>
      <c r="AN2" s="847">
        <v>145.43710297949829</v>
      </c>
      <c r="AO2" s="847"/>
      <c r="AP2" s="845"/>
      <c r="AQ2" s="848">
        <f>C2+H2+L2+AA2+AB2+AN2+AO2+AP2</f>
        <v>5047.9389365022625</v>
      </c>
    </row>
    <row r="3" spans="1:45" ht="12.75" customHeight="1">
      <c r="A3" s="530" t="s">
        <v>121</v>
      </c>
      <c r="B3" s="849"/>
      <c r="C3" s="850">
        <f>SUM(D3:G3)</f>
        <v>903.49466255082825</v>
      </c>
      <c r="D3" s="851">
        <v>829.57460107090037</v>
      </c>
      <c r="E3" s="852">
        <v>61.722867734674637</v>
      </c>
      <c r="F3" s="853"/>
      <c r="G3" s="853">
        <v>12.197193745253209</v>
      </c>
      <c r="H3" s="854">
        <f>SUM(I3:K3)</f>
        <v>0</v>
      </c>
      <c r="I3" s="855"/>
      <c r="J3" s="856"/>
      <c r="K3" s="857"/>
      <c r="L3" s="854">
        <f>SUM(M3:Z3)</f>
        <v>9138.5577999094057</v>
      </c>
      <c r="M3" s="855">
        <v>3053.4742963851995</v>
      </c>
      <c r="N3" s="855">
        <v>16.633377499200002</v>
      </c>
      <c r="O3" s="857">
        <v>0</v>
      </c>
      <c r="P3" s="857">
        <v>564.2364083333332</v>
      </c>
      <c r="Q3" s="857">
        <v>369.14638715136005</v>
      </c>
      <c r="R3" s="857">
        <v>1542.2444022448799</v>
      </c>
      <c r="S3" s="857">
        <v>82.827948630790956</v>
      </c>
      <c r="T3" s="857">
        <v>157.5463640726893</v>
      </c>
      <c r="U3" s="857">
        <v>2932.6955801163149</v>
      </c>
      <c r="V3" s="857">
        <v>166.37647928144222</v>
      </c>
      <c r="W3" s="853">
        <v>7.5616539426795564</v>
      </c>
      <c r="X3" s="853">
        <v>200.83222211696253</v>
      </c>
      <c r="Y3" s="853">
        <v>1.2281470084248403</v>
      </c>
      <c r="Z3" s="857">
        <v>43.754533126130625</v>
      </c>
      <c r="AA3" s="854">
        <v>1728.338063506957</v>
      </c>
      <c r="AB3" s="858">
        <f>SUM(AC3:AM3)</f>
        <v>151.93355907200862</v>
      </c>
      <c r="AC3" s="859"/>
      <c r="AD3" s="857"/>
      <c r="AE3" s="857">
        <v>24.282116302936618</v>
      </c>
      <c r="AF3" s="857"/>
      <c r="AG3" s="857"/>
      <c r="AH3" s="857"/>
      <c r="AI3" s="857">
        <v>104.81441230492801</v>
      </c>
      <c r="AJ3" s="857">
        <v>22.837030464144</v>
      </c>
      <c r="AK3" s="855"/>
      <c r="AL3" s="855"/>
      <c r="AM3" s="853"/>
      <c r="AN3" s="860"/>
      <c r="AO3" s="860">
        <v>139.45061680000001</v>
      </c>
      <c r="AP3" s="858"/>
      <c r="AQ3" s="861">
        <f t="shared" ref="AQ3:AQ20" si="0">C3+H3+L3+AA3+AB3+AN3+AO3+AP3</f>
        <v>12061.7747018392</v>
      </c>
    </row>
    <row r="4" spans="1:45" ht="12.75" customHeight="1">
      <c r="A4" s="530" t="s">
        <v>122</v>
      </c>
      <c r="B4" s="849"/>
      <c r="C4" s="850">
        <f>SUM(D4:G4)</f>
        <v>15.186580890896002</v>
      </c>
      <c r="D4" s="851">
        <v>0</v>
      </c>
      <c r="E4" s="862">
        <v>14.097722162000002</v>
      </c>
      <c r="F4" s="853"/>
      <c r="G4" s="853">
        <v>1.0888587288959999</v>
      </c>
      <c r="H4" s="854">
        <f>SUM(I4:K4)</f>
        <v>7.0330680000000001</v>
      </c>
      <c r="I4" s="855"/>
      <c r="J4" s="856"/>
      <c r="K4" s="857">
        <v>7.0330680000000001</v>
      </c>
      <c r="L4" s="854">
        <f>SUM(M4:Z4)</f>
        <v>1717.0624747879344</v>
      </c>
      <c r="M4" s="855">
        <v>0</v>
      </c>
      <c r="N4" s="855">
        <v>0</v>
      </c>
      <c r="O4" s="857"/>
      <c r="P4" s="857">
        <v>364.52221864444448</v>
      </c>
      <c r="Q4" s="857">
        <v>21.672508399360005</v>
      </c>
      <c r="R4" s="857">
        <v>156.29379915984001</v>
      </c>
      <c r="S4" s="857">
        <v>986.60611760112999</v>
      </c>
      <c r="T4" s="857">
        <v>35.289733288720633</v>
      </c>
      <c r="U4" s="857">
        <v>102.14625414775992</v>
      </c>
      <c r="V4" s="857">
        <v>2.9088437938490893E-3</v>
      </c>
      <c r="W4" s="853">
        <v>36.297317128453038</v>
      </c>
      <c r="X4" s="853">
        <v>5.4694689952000006</v>
      </c>
      <c r="Y4" s="853">
        <v>1.8500297569930473E-2</v>
      </c>
      <c r="Z4" s="857">
        <v>8.7436482816626366</v>
      </c>
      <c r="AA4" s="854">
        <v>0</v>
      </c>
      <c r="AB4" s="858">
        <f>SUM(AC4:AM4)</f>
        <v>9.4476585178560004</v>
      </c>
      <c r="AC4" s="859"/>
      <c r="AD4" s="857"/>
      <c r="AE4" s="857">
        <v>0.41264639999999991</v>
      </c>
      <c r="AF4" s="857"/>
      <c r="AG4" s="857"/>
      <c r="AH4" s="857"/>
      <c r="AI4" s="857">
        <v>9.0350121178560006</v>
      </c>
      <c r="AJ4" s="857">
        <v>0</v>
      </c>
      <c r="AK4" s="855"/>
      <c r="AL4" s="855"/>
      <c r="AM4" s="853"/>
      <c r="AN4" s="860"/>
      <c r="AO4" s="860">
        <v>141.83539077999998</v>
      </c>
      <c r="AP4" s="858"/>
      <c r="AQ4" s="861">
        <f t="shared" si="0"/>
        <v>1890.5651729766864</v>
      </c>
    </row>
    <row r="5" spans="1:45" ht="12.75" customHeight="1">
      <c r="A5" s="530" t="s">
        <v>123</v>
      </c>
      <c r="B5" s="849"/>
      <c r="C5" s="850">
        <f>SUM(D5:G5)</f>
        <v>0</v>
      </c>
      <c r="D5" s="851"/>
      <c r="E5" s="862"/>
      <c r="F5" s="853"/>
      <c r="G5" s="853"/>
      <c r="H5" s="854">
        <f>SUM(I5:K5)</f>
        <v>0</v>
      </c>
      <c r="I5" s="855"/>
      <c r="J5" s="856"/>
      <c r="K5" s="857"/>
      <c r="L5" s="854">
        <f>SUM(M5:Z5)</f>
        <v>172.71258946798309</v>
      </c>
      <c r="M5" s="855"/>
      <c r="N5" s="855"/>
      <c r="O5" s="857"/>
      <c r="P5" s="857"/>
      <c r="Q5" s="857"/>
      <c r="R5" s="857"/>
      <c r="S5" s="857">
        <v>15.730078096892656</v>
      </c>
      <c r="T5" s="857"/>
      <c r="U5" s="857">
        <v>156.98251137109042</v>
      </c>
      <c r="V5" s="857"/>
      <c r="W5" s="853"/>
      <c r="X5" s="853"/>
      <c r="Y5" s="853"/>
      <c r="Z5" s="857"/>
      <c r="AA5" s="854"/>
      <c r="AB5" s="858">
        <f>SUM(AC5:AM5)</f>
        <v>0</v>
      </c>
      <c r="AC5" s="859"/>
      <c r="AD5" s="857"/>
      <c r="AE5" s="857"/>
      <c r="AF5" s="857"/>
      <c r="AG5" s="857"/>
      <c r="AH5" s="857"/>
      <c r="AI5" s="857"/>
      <c r="AJ5" s="857"/>
      <c r="AK5" s="855"/>
      <c r="AL5" s="855"/>
      <c r="AM5" s="853"/>
      <c r="AN5" s="860"/>
      <c r="AO5" s="860"/>
      <c r="AP5" s="858"/>
      <c r="AQ5" s="861">
        <f t="shared" si="0"/>
        <v>172.71258946798309</v>
      </c>
    </row>
    <row r="6" spans="1:45" ht="12.75" customHeight="1" thickBot="1">
      <c r="A6" s="531" t="s">
        <v>124</v>
      </c>
      <c r="B6" s="863"/>
      <c r="C6" s="850">
        <f>SUM(D6:G6)</f>
        <v>-101.25634942971131</v>
      </c>
      <c r="D6" s="864">
        <v>-101.869888772661</v>
      </c>
      <c r="E6" s="853">
        <v>-0.8079766727235479</v>
      </c>
      <c r="F6" s="865"/>
      <c r="G6" s="865">
        <v>1.4215160156732278</v>
      </c>
      <c r="H6" s="866">
        <f>SUM(I6:K6)</f>
        <v>-122.93905189963694</v>
      </c>
      <c r="I6" s="867">
        <v>-136.53826589963694</v>
      </c>
      <c r="J6" s="868">
        <v>0</v>
      </c>
      <c r="K6" s="867">
        <v>13.599214000000003</v>
      </c>
      <c r="L6" s="866">
        <f>SUM(M6:Z6)</f>
        <v>151.33981188504902</v>
      </c>
      <c r="M6" s="855">
        <v>38.730964773999993</v>
      </c>
      <c r="N6" s="855">
        <v>-8.8751519999999999</v>
      </c>
      <c r="O6" s="857"/>
      <c r="P6" s="857">
        <v>-9.6980083333333713</v>
      </c>
      <c r="Q6" s="857">
        <v>12.883201938880001</v>
      </c>
      <c r="R6" s="857">
        <v>82.12024884504001</v>
      </c>
      <c r="S6" s="857">
        <v>23.637599999999999</v>
      </c>
      <c r="T6" s="857">
        <v>1.4659197380156652</v>
      </c>
      <c r="U6" s="857">
        <v>8.3874136006762399</v>
      </c>
      <c r="V6" s="857">
        <v>3.2040911090633046</v>
      </c>
      <c r="W6" s="865">
        <v>-0.51646778729281662</v>
      </c>
      <c r="X6" s="865">
        <v>0</v>
      </c>
      <c r="Y6" s="865">
        <v>0</v>
      </c>
      <c r="Z6" s="867">
        <v>0</v>
      </c>
      <c r="AA6" s="866">
        <v>0</v>
      </c>
      <c r="AB6" s="869">
        <f>SUM(AC6:AM6)</f>
        <v>4.4601014379600006</v>
      </c>
      <c r="AC6" s="870"/>
      <c r="AD6" s="871"/>
      <c r="AE6" s="871">
        <v>0.26707427819999968</v>
      </c>
      <c r="AF6" s="871"/>
      <c r="AG6" s="871"/>
      <c r="AH6" s="871"/>
      <c r="AI6" s="871">
        <v>1.7828522013120007</v>
      </c>
      <c r="AJ6" s="871">
        <v>2.4101749584479997</v>
      </c>
      <c r="AK6" s="867"/>
      <c r="AL6" s="867"/>
      <c r="AM6" s="865"/>
      <c r="AN6" s="872"/>
      <c r="AO6" s="872"/>
      <c r="AP6" s="869"/>
      <c r="AQ6" s="873">
        <f t="shared" si="0"/>
        <v>-68.395488006339221</v>
      </c>
    </row>
    <row r="7" spans="1:45" s="5" customFormat="1" ht="12.75" customHeight="1">
      <c r="A7" s="532" t="s">
        <v>125</v>
      </c>
      <c r="B7" s="874"/>
      <c r="C7" s="875">
        <f t="shared" ref="C7:AP7" si="1">C2+C3-C4-C5+C6</f>
        <v>787.05173223022086</v>
      </c>
      <c r="D7" s="876">
        <f t="shared" si="1"/>
        <v>727.70471229823943</v>
      </c>
      <c r="E7" s="877">
        <f t="shared" si="1"/>
        <v>46.817168899951085</v>
      </c>
      <c r="F7" s="877">
        <f t="shared" si="1"/>
        <v>0</v>
      </c>
      <c r="G7" s="877">
        <f t="shared" si="1"/>
        <v>12.529851032030438</v>
      </c>
      <c r="H7" s="878">
        <f t="shared" si="1"/>
        <v>685.95222908664709</v>
      </c>
      <c r="I7" s="876">
        <f t="shared" si="1"/>
        <v>551.68208308664714</v>
      </c>
      <c r="J7" s="879">
        <f t="shared" si="1"/>
        <v>127.70399999999999</v>
      </c>
      <c r="K7" s="877">
        <f t="shared" si="1"/>
        <v>6.5661460000000034</v>
      </c>
      <c r="L7" s="878">
        <f t="shared" si="1"/>
        <v>7400.1225475385372</v>
      </c>
      <c r="M7" s="876">
        <f t="shared" si="1"/>
        <v>3092.2052611591994</v>
      </c>
      <c r="N7" s="876">
        <f t="shared" si="1"/>
        <v>7.7582254992000017</v>
      </c>
      <c r="O7" s="877">
        <f t="shared" si="1"/>
        <v>0</v>
      </c>
      <c r="P7" s="877">
        <f t="shared" si="1"/>
        <v>190.01618135555535</v>
      </c>
      <c r="Q7" s="877">
        <f t="shared" si="1"/>
        <v>360.35708069088003</v>
      </c>
      <c r="R7" s="877">
        <f t="shared" si="1"/>
        <v>1468.0708519300797</v>
      </c>
      <c r="S7" s="877">
        <f t="shared" si="1"/>
        <v>-895.87064706723163</v>
      </c>
      <c r="T7" s="877">
        <f t="shared" si="1"/>
        <v>123.72255052198433</v>
      </c>
      <c r="U7" s="877">
        <f t="shared" si="1"/>
        <v>2681.9542281981408</v>
      </c>
      <c r="V7" s="877">
        <f t="shared" si="1"/>
        <v>169.57766154671168</v>
      </c>
      <c r="W7" s="877">
        <f t="shared" si="1"/>
        <v>-29.252130973066301</v>
      </c>
      <c r="X7" s="877">
        <f t="shared" si="1"/>
        <v>195.36275312176252</v>
      </c>
      <c r="Y7" s="877">
        <f t="shared" si="1"/>
        <v>1.2096467108549098</v>
      </c>
      <c r="Z7" s="877">
        <f t="shared" si="1"/>
        <v>35.010884844467988</v>
      </c>
      <c r="AA7" s="878">
        <f t="shared" si="1"/>
        <v>4480.2572507256682</v>
      </c>
      <c r="AB7" s="878">
        <f t="shared" si="1"/>
        <v>1481.6042993098815</v>
      </c>
      <c r="AC7" s="876">
        <f t="shared" si="1"/>
        <v>59.691708987970003</v>
      </c>
      <c r="AD7" s="877">
        <f t="shared" si="1"/>
        <v>743.01992281532614</v>
      </c>
      <c r="AE7" s="877">
        <f t="shared" si="1"/>
        <v>273.04514180129252</v>
      </c>
      <c r="AF7" s="877">
        <f t="shared" si="1"/>
        <v>139.99992739520798</v>
      </c>
      <c r="AG7" s="877">
        <f t="shared" si="1"/>
        <v>33.531818868055431</v>
      </c>
      <c r="AH7" s="877">
        <f t="shared" si="1"/>
        <v>16.813132576534866</v>
      </c>
      <c r="AI7" s="877">
        <f t="shared" si="1"/>
        <v>128.62672037577602</v>
      </c>
      <c r="AJ7" s="877">
        <f t="shared" si="1"/>
        <v>27.916404744672001</v>
      </c>
      <c r="AK7" s="880">
        <f t="shared" si="1"/>
        <v>1.8899880806415161</v>
      </c>
      <c r="AL7" s="880">
        <f t="shared" si="1"/>
        <v>13.54608560366562</v>
      </c>
      <c r="AM7" s="876">
        <f t="shared" si="1"/>
        <v>43.523448060739646</v>
      </c>
      <c r="AN7" s="878">
        <f t="shared" si="1"/>
        <v>145.43710297949829</v>
      </c>
      <c r="AO7" s="878">
        <f t="shared" si="1"/>
        <v>-2.3847739799999772</v>
      </c>
      <c r="AP7" s="881">
        <f t="shared" si="1"/>
        <v>0</v>
      </c>
      <c r="AQ7" s="882">
        <f t="shared" si="0"/>
        <v>14978.040387890453</v>
      </c>
      <c r="AR7" s="1"/>
      <c r="AS7" s="4"/>
    </row>
    <row r="8" spans="1:45" s="5" customFormat="1" ht="12.75" customHeight="1" thickBot="1">
      <c r="A8" s="533" t="s">
        <v>126</v>
      </c>
      <c r="B8" s="883"/>
      <c r="C8" s="884">
        <f t="shared" ref="C8:AP8" si="2">C7-C27</f>
        <v>787.05173223022086</v>
      </c>
      <c r="D8" s="885">
        <f t="shared" si="2"/>
        <v>727.70471229823943</v>
      </c>
      <c r="E8" s="886">
        <f t="shared" si="2"/>
        <v>46.817168899951085</v>
      </c>
      <c r="F8" s="887">
        <f t="shared" si="2"/>
        <v>0</v>
      </c>
      <c r="G8" s="887">
        <f t="shared" si="2"/>
        <v>12.529851032030438</v>
      </c>
      <c r="H8" s="888">
        <f t="shared" si="2"/>
        <v>685.95222908664709</v>
      </c>
      <c r="I8" s="885">
        <f t="shared" si="2"/>
        <v>551.68208308664714</v>
      </c>
      <c r="J8" s="889">
        <f t="shared" si="2"/>
        <v>127.70399999999999</v>
      </c>
      <c r="K8" s="886">
        <f t="shared" si="2"/>
        <v>6.5661460000000034</v>
      </c>
      <c r="L8" s="888">
        <f t="shared" si="2"/>
        <v>7168.5392628614518</v>
      </c>
      <c r="M8" s="885">
        <f t="shared" si="2"/>
        <v>3092.2052611591994</v>
      </c>
      <c r="N8" s="885">
        <f t="shared" si="2"/>
        <v>7.7582254992000017</v>
      </c>
      <c r="O8" s="886">
        <f t="shared" si="2"/>
        <v>0</v>
      </c>
      <c r="P8" s="886">
        <f t="shared" si="2"/>
        <v>190.01618135555535</v>
      </c>
      <c r="Q8" s="886">
        <f t="shared" si="2"/>
        <v>360.35708069088003</v>
      </c>
      <c r="R8" s="886">
        <f t="shared" si="2"/>
        <v>1468.0708519300797</v>
      </c>
      <c r="S8" s="886">
        <f t="shared" si="2"/>
        <v>-895.87064706723163</v>
      </c>
      <c r="T8" s="886">
        <f t="shared" si="2"/>
        <v>123.72255052198433</v>
      </c>
      <c r="U8" s="886">
        <f t="shared" si="2"/>
        <v>2681.9542281981408</v>
      </c>
      <c r="V8" s="886">
        <f t="shared" si="2"/>
        <v>169.57766154671168</v>
      </c>
      <c r="W8" s="887">
        <f t="shared" si="2"/>
        <v>-29.252130973066301</v>
      </c>
      <c r="X8" s="887">
        <f t="shared" si="2"/>
        <v>0</v>
      </c>
      <c r="Y8" s="887">
        <f t="shared" si="2"/>
        <v>0</v>
      </c>
      <c r="Z8" s="886">
        <f t="shared" si="2"/>
        <v>0</v>
      </c>
      <c r="AA8" s="888">
        <f t="shared" si="2"/>
        <v>4480.2572507256682</v>
      </c>
      <c r="AB8" s="890">
        <f t="shared" si="2"/>
        <v>1481.6042993098815</v>
      </c>
      <c r="AC8" s="885">
        <f t="shared" si="2"/>
        <v>59.691708987970003</v>
      </c>
      <c r="AD8" s="886">
        <f t="shared" si="2"/>
        <v>743.01992281532614</v>
      </c>
      <c r="AE8" s="886">
        <f t="shared" si="2"/>
        <v>273.04514180129252</v>
      </c>
      <c r="AF8" s="886">
        <f t="shared" si="2"/>
        <v>139.99992739520798</v>
      </c>
      <c r="AG8" s="886">
        <f t="shared" si="2"/>
        <v>33.531818868055431</v>
      </c>
      <c r="AH8" s="886">
        <f t="shared" si="2"/>
        <v>16.813132576534866</v>
      </c>
      <c r="AI8" s="886">
        <f t="shared" si="2"/>
        <v>128.62672037577602</v>
      </c>
      <c r="AJ8" s="886">
        <f t="shared" si="2"/>
        <v>27.916404744672001</v>
      </c>
      <c r="AK8" s="891">
        <f t="shared" si="2"/>
        <v>1.8899880806415161</v>
      </c>
      <c r="AL8" s="891">
        <f t="shared" si="2"/>
        <v>13.54608560366562</v>
      </c>
      <c r="AM8" s="885">
        <f t="shared" si="2"/>
        <v>43.523448060739646</v>
      </c>
      <c r="AN8" s="888">
        <f t="shared" si="2"/>
        <v>145.43710297949829</v>
      </c>
      <c r="AO8" s="888">
        <f t="shared" si="2"/>
        <v>-2.3847739799999772</v>
      </c>
      <c r="AP8" s="885">
        <f t="shared" si="2"/>
        <v>0</v>
      </c>
      <c r="AQ8" s="892">
        <f t="shared" si="0"/>
        <v>14746.457103213368</v>
      </c>
      <c r="AR8" s="1"/>
      <c r="AS8" s="4"/>
    </row>
    <row r="9" spans="1:45" s="5" customFormat="1" ht="12.75" customHeight="1">
      <c r="A9" s="532" t="s">
        <v>127</v>
      </c>
      <c r="B9" s="874"/>
      <c r="C9" s="875">
        <f t="shared" ref="C9:AP9" si="3">SUM(C10:C14)</f>
        <v>489.13419536754503</v>
      </c>
      <c r="D9" s="880">
        <f t="shared" si="3"/>
        <v>489.13419536754503</v>
      </c>
      <c r="E9" s="877">
        <f t="shared" si="3"/>
        <v>0</v>
      </c>
      <c r="F9" s="893">
        <f t="shared" si="3"/>
        <v>0</v>
      </c>
      <c r="G9" s="893">
        <f t="shared" si="3"/>
        <v>0</v>
      </c>
      <c r="H9" s="878">
        <f t="shared" si="3"/>
        <v>541.02658367795425</v>
      </c>
      <c r="I9" s="880">
        <f t="shared" si="3"/>
        <v>541.02658367795425</v>
      </c>
      <c r="J9" s="879">
        <f t="shared" si="3"/>
        <v>0</v>
      </c>
      <c r="K9" s="877">
        <f t="shared" si="3"/>
        <v>0</v>
      </c>
      <c r="L9" s="878">
        <f t="shared" si="3"/>
        <v>3165.7216476484605</v>
      </c>
      <c r="M9" s="877">
        <f t="shared" si="3"/>
        <v>3092.2052611591994</v>
      </c>
      <c r="N9" s="877">
        <f t="shared" ref="N9" si="4">SUM(N10:N14)</f>
        <v>38.786602361842682</v>
      </c>
      <c r="O9" s="877">
        <f t="shared" si="3"/>
        <v>0</v>
      </c>
      <c r="P9" s="877">
        <f t="shared" si="3"/>
        <v>0</v>
      </c>
      <c r="Q9" s="877">
        <f t="shared" si="3"/>
        <v>0</v>
      </c>
      <c r="R9" s="877">
        <f t="shared" si="3"/>
        <v>0</v>
      </c>
      <c r="S9" s="877">
        <f t="shared" si="3"/>
        <v>25.868327226603597</v>
      </c>
      <c r="T9" s="877">
        <f t="shared" si="3"/>
        <v>0.63499472294399995</v>
      </c>
      <c r="U9" s="877">
        <f t="shared" si="3"/>
        <v>8.2264621778709284</v>
      </c>
      <c r="V9" s="877">
        <f t="shared" si="3"/>
        <v>0</v>
      </c>
      <c r="W9" s="893">
        <f t="shared" si="3"/>
        <v>0</v>
      </c>
      <c r="X9" s="893">
        <f t="shared" si="3"/>
        <v>0</v>
      </c>
      <c r="Y9" s="893">
        <f t="shared" si="3"/>
        <v>0</v>
      </c>
      <c r="Z9" s="877">
        <f t="shared" si="3"/>
        <v>0</v>
      </c>
      <c r="AA9" s="878">
        <f t="shared" si="3"/>
        <v>2501.2994242635782</v>
      </c>
      <c r="AB9" s="876">
        <f t="shared" si="3"/>
        <v>215.90352917717644</v>
      </c>
      <c r="AC9" s="894">
        <f t="shared" si="3"/>
        <v>0</v>
      </c>
      <c r="AD9" s="877">
        <f t="shared" si="3"/>
        <v>0</v>
      </c>
      <c r="AE9" s="877">
        <f t="shared" si="3"/>
        <v>76.028615684916531</v>
      </c>
      <c r="AF9" s="877">
        <f t="shared" ref="AF9" si="5">SUM(AF10:AF14)</f>
        <v>99.30702317107577</v>
      </c>
      <c r="AG9" s="877">
        <f t="shared" si="3"/>
        <v>33.531818868055431</v>
      </c>
      <c r="AH9" s="877">
        <f t="shared" si="3"/>
        <v>7.0360714531287174</v>
      </c>
      <c r="AI9" s="877">
        <f t="shared" si="3"/>
        <v>0</v>
      </c>
      <c r="AJ9" s="877">
        <f t="shared" ref="AJ9" si="6">SUM(AJ10:AJ14)</f>
        <v>0</v>
      </c>
      <c r="AK9" s="880">
        <f t="shared" si="3"/>
        <v>0</v>
      </c>
      <c r="AL9" s="880">
        <f t="shared" ref="AL9" si="7">SUM(AL10:AL14)</f>
        <v>0</v>
      </c>
      <c r="AM9" s="893">
        <f t="shared" si="3"/>
        <v>0</v>
      </c>
      <c r="AN9" s="878">
        <f t="shared" si="3"/>
        <v>90.714163374524205</v>
      </c>
      <c r="AO9" s="878">
        <f t="shared" si="3"/>
        <v>54.38453208</v>
      </c>
      <c r="AP9" s="876">
        <f t="shared" si="3"/>
        <v>0</v>
      </c>
      <c r="AQ9" s="895">
        <f t="shared" si="0"/>
        <v>7058.184075589239</v>
      </c>
      <c r="AR9" s="1"/>
      <c r="AS9" s="4"/>
    </row>
    <row r="10" spans="1:45" ht="12.75" customHeight="1">
      <c r="A10" s="534" t="s">
        <v>128</v>
      </c>
      <c r="B10" s="896"/>
      <c r="C10" s="897">
        <f>SUM(D10:G10)</f>
        <v>489.13419536754503</v>
      </c>
      <c r="D10" s="898">
        <v>489.13419536754503</v>
      </c>
      <c r="E10" s="899"/>
      <c r="F10" s="900"/>
      <c r="G10" s="900"/>
      <c r="H10" s="901">
        <f>SUM(I10:K10)</f>
        <v>467.10845991760607</v>
      </c>
      <c r="I10" s="898">
        <v>467.10845991760607</v>
      </c>
      <c r="J10" s="902">
        <v>0</v>
      </c>
      <c r="K10" s="899"/>
      <c r="L10" s="901">
        <f>SUM(M10:Z10)</f>
        <v>34.094789404474525</v>
      </c>
      <c r="M10" s="899"/>
      <c r="N10" s="899"/>
      <c r="O10" s="899"/>
      <c r="P10" s="899"/>
      <c r="Q10" s="899"/>
      <c r="R10" s="899"/>
      <c r="S10" s="899">
        <v>25.868327226603597</v>
      </c>
      <c r="T10" s="899"/>
      <c r="U10" s="899">
        <v>8.2264621778709284</v>
      </c>
      <c r="V10" s="899"/>
      <c r="W10" s="900"/>
      <c r="X10" s="900"/>
      <c r="Y10" s="900"/>
      <c r="Z10" s="899"/>
      <c r="AA10" s="901">
        <v>2187.6033883210698</v>
      </c>
      <c r="AB10" s="903">
        <f>SUM(AC10:AM10)</f>
        <v>205.30590173319058</v>
      </c>
      <c r="AC10" s="904"/>
      <c r="AD10" s="899"/>
      <c r="AE10" s="899">
        <v>72.467059694059387</v>
      </c>
      <c r="AF10" s="899">
        <v>99.30702317107577</v>
      </c>
      <c r="AG10" s="899">
        <v>33.531818868055431</v>
      </c>
      <c r="AH10" s="899"/>
      <c r="AI10" s="899"/>
      <c r="AJ10" s="899"/>
      <c r="AK10" s="898"/>
      <c r="AL10" s="898"/>
      <c r="AM10" s="900"/>
      <c r="AN10" s="905">
        <v>90.714163374524205</v>
      </c>
      <c r="AO10" s="901"/>
      <c r="AP10" s="903"/>
      <c r="AQ10" s="906">
        <f t="shared" si="0"/>
        <v>3473.9608981184101</v>
      </c>
    </row>
    <row r="11" spans="1:45" ht="12.75" customHeight="1">
      <c r="A11" s="530" t="s">
        <v>129</v>
      </c>
      <c r="B11" s="849"/>
      <c r="C11" s="850">
        <f>SUM(D11:G11)</f>
        <v>0</v>
      </c>
      <c r="D11" s="855">
        <v>0</v>
      </c>
      <c r="E11" s="857"/>
      <c r="F11" s="853"/>
      <c r="G11" s="853"/>
      <c r="H11" s="854">
        <f>SUM(I11:K11)</f>
        <v>5.8425469182429177</v>
      </c>
      <c r="I11" s="855">
        <v>5.8425469182429177</v>
      </c>
      <c r="J11" s="856"/>
      <c r="K11" s="857"/>
      <c r="L11" s="854">
        <f>SUM(M11:Z11)</f>
        <v>0.63499472294399995</v>
      </c>
      <c r="M11" s="857"/>
      <c r="N11" s="907"/>
      <c r="O11" s="907">
        <v>0</v>
      </c>
      <c r="P11" s="857"/>
      <c r="Q11" s="857"/>
      <c r="R11" s="857"/>
      <c r="S11" s="857">
        <v>0</v>
      </c>
      <c r="T11" s="857">
        <v>0.63499472294399995</v>
      </c>
      <c r="U11" s="857">
        <v>0</v>
      </c>
      <c r="V11" s="857"/>
      <c r="W11" s="853"/>
      <c r="X11" s="853"/>
      <c r="Y11" s="853"/>
      <c r="Z11" s="857"/>
      <c r="AA11" s="854">
        <v>272.96145103491432</v>
      </c>
      <c r="AB11" s="858">
        <f>SUM(AC11:AM11)</f>
        <v>10.597627443985861</v>
      </c>
      <c r="AC11" s="859"/>
      <c r="AD11" s="857"/>
      <c r="AE11" s="857">
        <v>3.5615559908571428</v>
      </c>
      <c r="AF11" s="857"/>
      <c r="AG11" s="857"/>
      <c r="AH11" s="857">
        <v>7.0360714531287174</v>
      </c>
      <c r="AI11" s="857"/>
      <c r="AJ11" s="857"/>
      <c r="AK11" s="855"/>
      <c r="AL11" s="855"/>
      <c r="AM11" s="853"/>
      <c r="AN11" s="860"/>
      <c r="AO11" s="860"/>
      <c r="AP11" s="858"/>
      <c r="AQ11" s="861">
        <f t="shared" si="0"/>
        <v>290.03662012008709</v>
      </c>
    </row>
    <row r="12" spans="1:45" ht="12.75" customHeight="1">
      <c r="A12" s="530" t="s">
        <v>130</v>
      </c>
      <c r="B12" s="849"/>
      <c r="C12" s="850"/>
      <c r="D12" s="855"/>
      <c r="E12" s="857"/>
      <c r="F12" s="853"/>
      <c r="G12" s="853"/>
      <c r="H12" s="854"/>
      <c r="I12" s="855"/>
      <c r="J12" s="856"/>
      <c r="K12" s="857"/>
      <c r="L12" s="854"/>
      <c r="M12" s="857"/>
      <c r="N12" s="907"/>
      <c r="O12" s="907"/>
      <c r="P12" s="857"/>
      <c r="Q12" s="857"/>
      <c r="R12" s="857"/>
      <c r="S12" s="857"/>
      <c r="T12" s="857"/>
      <c r="U12" s="857"/>
      <c r="V12" s="857"/>
      <c r="W12" s="853"/>
      <c r="X12" s="853"/>
      <c r="Y12" s="853"/>
      <c r="Z12" s="857"/>
      <c r="AA12" s="854"/>
      <c r="AB12" s="858"/>
      <c r="AC12" s="859"/>
      <c r="AD12" s="857"/>
      <c r="AE12" s="857"/>
      <c r="AF12" s="857"/>
      <c r="AG12" s="857"/>
      <c r="AH12" s="857"/>
      <c r="AI12" s="857"/>
      <c r="AJ12" s="857"/>
      <c r="AK12" s="855"/>
      <c r="AL12" s="855"/>
      <c r="AM12" s="853"/>
      <c r="AN12" s="860"/>
      <c r="AO12" s="860">
        <v>42.942060079999997</v>
      </c>
      <c r="AP12" s="858"/>
      <c r="AQ12" s="861">
        <f t="shared" si="0"/>
        <v>42.942060079999997</v>
      </c>
    </row>
    <row r="13" spans="1:45" ht="12.75" customHeight="1">
      <c r="A13" s="530" t="s">
        <v>131</v>
      </c>
      <c r="B13" s="849"/>
      <c r="C13" s="850">
        <f>SUM(D13:G13)</f>
        <v>0</v>
      </c>
      <c r="D13" s="855"/>
      <c r="E13" s="853"/>
      <c r="F13" s="853"/>
      <c r="G13" s="853"/>
      <c r="H13" s="854">
        <f>SUM(I13:K13)</f>
        <v>68.075576842105264</v>
      </c>
      <c r="I13" s="855">
        <v>68.075576842105264</v>
      </c>
      <c r="J13" s="856"/>
      <c r="K13" s="857"/>
      <c r="L13" s="854">
        <f>SUM(M13:Z13)</f>
        <v>0</v>
      </c>
      <c r="M13" s="857"/>
      <c r="N13" s="857"/>
      <c r="O13" s="857"/>
      <c r="P13" s="857"/>
      <c r="Q13" s="857"/>
      <c r="R13" s="857"/>
      <c r="S13" s="857"/>
      <c r="T13" s="857"/>
      <c r="U13" s="857"/>
      <c r="V13" s="857"/>
      <c r="W13" s="853"/>
      <c r="X13" s="853"/>
      <c r="Y13" s="853"/>
      <c r="Z13" s="857"/>
      <c r="AA13" s="854"/>
      <c r="AB13" s="858">
        <f>SUM(AC13:AM13)</f>
        <v>0</v>
      </c>
      <c r="AC13" s="859"/>
      <c r="AD13" s="857"/>
      <c r="AE13" s="857"/>
      <c r="AF13" s="857"/>
      <c r="AG13" s="857"/>
      <c r="AH13" s="857"/>
      <c r="AI13" s="857"/>
      <c r="AJ13" s="857"/>
      <c r="AK13" s="855"/>
      <c r="AL13" s="855"/>
      <c r="AM13" s="853"/>
      <c r="AN13" s="860"/>
      <c r="AO13" s="860"/>
      <c r="AP13" s="858"/>
      <c r="AQ13" s="861">
        <f t="shared" si="0"/>
        <v>68.075576842105264</v>
      </c>
    </row>
    <row r="14" spans="1:45" ht="12.75" customHeight="1">
      <c r="A14" s="535" t="s">
        <v>132</v>
      </c>
      <c r="B14" s="908"/>
      <c r="C14" s="909">
        <f>SUM(D14:G14)</f>
        <v>0</v>
      </c>
      <c r="D14" s="910"/>
      <c r="E14" s="911"/>
      <c r="F14" s="912"/>
      <c r="G14" s="912"/>
      <c r="H14" s="913">
        <f>SUM(I14:K14)</f>
        <v>0</v>
      </c>
      <c r="I14" s="910"/>
      <c r="J14" s="914"/>
      <c r="K14" s="911"/>
      <c r="L14" s="913">
        <f>SUM(M14:Z14)</f>
        <v>3130.991863521042</v>
      </c>
      <c r="M14" s="911">
        <v>3092.2052611591994</v>
      </c>
      <c r="N14" s="911">
        <v>38.786602361842682</v>
      </c>
      <c r="O14" s="911"/>
      <c r="P14" s="911"/>
      <c r="Q14" s="911"/>
      <c r="R14" s="911"/>
      <c r="S14" s="911"/>
      <c r="T14" s="911"/>
      <c r="U14" s="911"/>
      <c r="V14" s="911"/>
      <c r="W14" s="912"/>
      <c r="X14" s="912"/>
      <c r="Y14" s="912"/>
      <c r="Z14" s="911"/>
      <c r="AA14" s="913">
        <v>40.734584907594211</v>
      </c>
      <c r="AB14" s="915">
        <f>SUM(AC14:AM14)</f>
        <v>0</v>
      </c>
      <c r="AC14" s="916"/>
      <c r="AD14" s="911"/>
      <c r="AE14" s="911"/>
      <c r="AF14" s="911"/>
      <c r="AG14" s="911"/>
      <c r="AH14" s="911"/>
      <c r="AI14" s="911"/>
      <c r="AJ14" s="911"/>
      <c r="AK14" s="910"/>
      <c r="AL14" s="910"/>
      <c r="AM14" s="912"/>
      <c r="AN14" s="917"/>
      <c r="AO14" s="917">
        <v>11.442471999999999</v>
      </c>
      <c r="AP14" s="915"/>
      <c r="AQ14" s="918">
        <f t="shared" si="0"/>
        <v>3183.1689204286363</v>
      </c>
    </row>
    <row r="15" spans="1:45" s="5" customFormat="1" ht="12.75" customHeight="1">
      <c r="A15" s="536" t="s">
        <v>133</v>
      </c>
      <c r="B15" s="919"/>
      <c r="C15" s="920">
        <f t="shared" ref="C15:AP15" si="8">SUM(C16:C20)</f>
        <v>0</v>
      </c>
      <c r="D15" s="921">
        <f t="shared" si="8"/>
        <v>0</v>
      </c>
      <c r="E15" s="922">
        <f t="shared" si="8"/>
        <v>0</v>
      </c>
      <c r="F15" s="923">
        <f t="shared" si="8"/>
        <v>0</v>
      </c>
      <c r="G15" s="923">
        <f t="shared" si="8"/>
        <v>0</v>
      </c>
      <c r="H15" s="924">
        <f t="shared" si="8"/>
        <v>64.671797999999995</v>
      </c>
      <c r="I15" s="921">
        <f t="shared" si="8"/>
        <v>0</v>
      </c>
      <c r="J15" s="925">
        <f t="shared" si="8"/>
        <v>0</v>
      </c>
      <c r="K15" s="922">
        <f t="shared" si="8"/>
        <v>64.671797999999995</v>
      </c>
      <c r="L15" s="924">
        <f t="shared" si="8"/>
        <v>3166.7858692089685</v>
      </c>
      <c r="M15" s="922">
        <f t="shared" si="8"/>
        <v>0</v>
      </c>
      <c r="N15" s="922">
        <f t="shared" si="8"/>
        <v>0</v>
      </c>
      <c r="O15" s="922">
        <f t="shared" si="8"/>
        <v>90.017983923640699</v>
      </c>
      <c r="P15" s="922">
        <f t="shared" si="8"/>
        <v>640.53679657777786</v>
      </c>
      <c r="Q15" s="922">
        <f t="shared" si="8"/>
        <v>226.77459106847999</v>
      </c>
      <c r="R15" s="922">
        <f t="shared" si="8"/>
        <v>0</v>
      </c>
      <c r="S15" s="922">
        <f t="shared" si="8"/>
        <v>960.95017928079096</v>
      </c>
      <c r="T15" s="922">
        <f t="shared" si="8"/>
        <v>64.797462901984332</v>
      </c>
      <c r="U15" s="922">
        <f t="shared" si="8"/>
        <v>1146.9502117491124</v>
      </c>
      <c r="V15" s="922">
        <f t="shared" si="8"/>
        <v>0</v>
      </c>
      <c r="W15" s="923">
        <f t="shared" si="8"/>
        <v>36.758643707182323</v>
      </c>
      <c r="X15" s="923">
        <f t="shared" si="8"/>
        <v>0</v>
      </c>
      <c r="Y15" s="923">
        <f t="shared" si="8"/>
        <v>0</v>
      </c>
      <c r="Z15" s="922">
        <f t="shared" si="8"/>
        <v>0</v>
      </c>
      <c r="AA15" s="924">
        <f t="shared" si="8"/>
        <v>0</v>
      </c>
      <c r="AB15" s="926">
        <f t="shared" si="8"/>
        <v>0</v>
      </c>
      <c r="AC15" s="927">
        <f t="shared" si="8"/>
        <v>0</v>
      </c>
      <c r="AD15" s="922">
        <f t="shared" si="8"/>
        <v>0</v>
      </c>
      <c r="AE15" s="922">
        <f t="shared" si="8"/>
        <v>0</v>
      </c>
      <c r="AF15" s="922">
        <f t="shared" si="8"/>
        <v>0</v>
      </c>
      <c r="AG15" s="928">
        <f t="shared" si="8"/>
        <v>0</v>
      </c>
      <c r="AH15" s="928">
        <f t="shared" si="8"/>
        <v>0</v>
      </c>
      <c r="AI15" s="928">
        <f t="shared" si="8"/>
        <v>0</v>
      </c>
      <c r="AJ15" s="928">
        <f t="shared" si="8"/>
        <v>0</v>
      </c>
      <c r="AK15" s="921">
        <f t="shared" si="8"/>
        <v>0</v>
      </c>
      <c r="AL15" s="921">
        <f t="shared" si="8"/>
        <v>0</v>
      </c>
      <c r="AM15" s="923">
        <f t="shared" si="8"/>
        <v>0</v>
      </c>
      <c r="AN15" s="924">
        <f t="shared" si="8"/>
        <v>0</v>
      </c>
      <c r="AO15" s="924">
        <f t="shared" si="8"/>
        <v>1873.361490524092</v>
      </c>
      <c r="AP15" s="926">
        <f t="shared" si="8"/>
        <v>0</v>
      </c>
      <c r="AQ15" s="929">
        <f t="shared" si="0"/>
        <v>5104.8191577330599</v>
      </c>
      <c r="AR15" s="1"/>
      <c r="AS15" s="4"/>
    </row>
    <row r="16" spans="1:45" ht="12.75" customHeight="1">
      <c r="A16" s="534" t="s">
        <v>128</v>
      </c>
      <c r="B16" s="896"/>
      <c r="C16" s="897">
        <f>SUM(D16:G16)</f>
        <v>0</v>
      </c>
      <c r="D16" s="898"/>
      <c r="E16" s="899"/>
      <c r="F16" s="900"/>
      <c r="G16" s="900"/>
      <c r="H16" s="901">
        <f>SUM(I16:K16)</f>
        <v>0</v>
      </c>
      <c r="I16" s="898"/>
      <c r="J16" s="899"/>
      <c r="K16" s="899"/>
      <c r="L16" s="901">
        <f>SUM(M16:Z16)</f>
        <v>0</v>
      </c>
      <c r="M16" s="899"/>
      <c r="N16" s="899"/>
      <c r="O16" s="899"/>
      <c r="P16" s="899"/>
      <c r="Q16" s="899"/>
      <c r="R16" s="899"/>
      <c r="S16" s="899"/>
      <c r="T16" s="899"/>
      <c r="U16" s="899"/>
      <c r="V16" s="899"/>
      <c r="W16" s="900"/>
      <c r="X16" s="900"/>
      <c r="Y16" s="900"/>
      <c r="Z16" s="899"/>
      <c r="AA16" s="901"/>
      <c r="AB16" s="903">
        <f>SUM(AC16:AL16)</f>
        <v>0</v>
      </c>
      <c r="AC16" s="904"/>
      <c r="AD16" s="899"/>
      <c r="AE16" s="899"/>
      <c r="AF16" s="899"/>
      <c r="AG16" s="907"/>
      <c r="AH16" s="907"/>
      <c r="AI16" s="907"/>
      <c r="AJ16" s="907"/>
      <c r="AK16" s="898"/>
      <c r="AL16" s="898"/>
      <c r="AM16" s="900"/>
      <c r="AN16" s="905"/>
      <c r="AO16" s="905">
        <v>1667.7865923774164</v>
      </c>
      <c r="AP16" s="903"/>
      <c r="AQ16" s="930">
        <f>C16+H16+L16+AA16+AO16+AP16</f>
        <v>1667.7865923774164</v>
      </c>
    </row>
    <row r="17" spans="1:45" ht="12.75" customHeight="1">
      <c r="A17" s="530" t="s">
        <v>129</v>
      </c>
      <c r="B17" s="849"/>
      <c r="C17" s="850">
        <f>SUM(D17:G17)</f>
        <v>0</v>
      </c>
      <c r="D17" s="855"/>
      <c r="E17" s="857"/>
      <c r="F17" s="853"/>
      <c r="G17" s="853"/>
      <c r="H17" s="854">
        <f>SUM(I17:K17)</f>
        <v>0</v>
      </c>
      <c r="I17" s="855"/>
      <c r="J17" s="857"/>
      <c r="K17" s="857"/>
      <c r="L17" s="854">
        <f>SUM(M17:Z17)</f>
        <v>0</v>
      </c>
      <c r="M17" s="857"/>
      <c r="N17" s="857"/>
      <c r="O17" s="857"/>
      <c r="P17" s="857"/>
      <c r="Q17" s="857"/>
      <c r="R17" s="857"/>
      <c r="S17" s="857"/>
      <c r="T17" s="857"/>
      <c r="U17" s="857"/>
      <c r="V17" s="857"/>
      <c r="W17" s="853"/>
      <c r="X17" s="853"/>
      <c r="Y17" s="853"/>
      <c r="Z17" s="857"/>
      <c r="AA17" s="854"/>
      <c r="AB17" s="858">
        <f>SUM(AC17:AL17)</f>
        <v>0</v>
      </c>
      <c r="AC17" s="859"/>
      <c r="AD17" s="857"/>
      <c r="AE17" s="857"/>
      <c r="AF17" s="857"/>
      <c r="AG17" s="857"/>
      <c r="AH17" s="857"/>
      <c r="AI17" s="857"/>
      <c r="AJ17" s="857"/>
      <c r="AK17" s="855"/>
      <c r="AL17" s="855"/>
      <c r="AM17" s="853"/>
      <c r="AN17" s="860"/>
      <c r="AO17" s="931">
        <v>185.14395873624346</v>
      </c>
      <c r="AP17" s="858"/>
      <c r="AQ17" s="861">
        <f>C17+H17+L17+AA17+AO17+AP17</f>
        <v>185.14395873624346</v>
      </c>
    </row>
    <row r="18" spans="1:45" ht="12.75" customHeight="1">
      <c r="A18" s="530" t="s">
        <v>134</v>
      </c>
      <c r="B18" s="849"/>
      <c r="C18" s="850"/>
      <c r="D18" s="855"/>
      <c r="E18" s="857"/>
      <c r="F18" s="853"/>
      <c r="G18" s="853"/>
      <c r="H18" s="854"/>
      <c r="I18" s="855"/>
      <c r="J18" s="857"/>
      <c r="K18" s="857"/>
      <c r="L18" s="854"/>
      <c r="M18" s="857"/>
      <c r="N18" s="857"/>
      <c r="O18" s="857"/>
      <c r="P18" s="857"/>
      <c r="Q18" s="857"/>
      <c r="R18" s="857"/>
      <c r="S18" s="857"/>
      <c r="T18" s="857"/>
      <c r="U18" s="857"/>
      <c r="V18" s="857"/>
      <c r="W18" s="853"/>
      <c r="X18" s="853"/>
      <c r="Y18" s="853"/>
      <c r="Z18" s="857"/>
      <c r="AA18" s="854"/>
      <c r="AB18" s="858"/>
      <c r="AC18" s="859"/>
      <c r="AD18" s="857"/>
      <c r="AE18" s="857"/>
      <c r="AF18" s="857"/>
      <c r="AG18" s="857"/>
      <c r="AH18" s="857"/>
      <c r="AI18" s="857"/>
      <c r="AJ18" s="857"/>
      <c r="AK18" s="855"/>
      <c r="AL18" s="855"/>
      <c r="AM18" s="853"/>
      <c r="AN18" s="860"/>
      <c r="AO18" s="860">
        <v>20.430939410432</v>
      </c>
      <c r="AP18" s="858"/>
      <c r="AQ18" s="861">
        <f t="shared" si="0"/>
        <v>20.430939410432</v>
      </c>
    </row>
    <row r="19" spans="1:45" ht="12.75" customHeight="1">
      <c r="A19" s="530" t="s">
        <v>131</v>
      </c>
      <c r="B19" s="849"/>
      <c r="C19" s="850"/>
      <c r="D19" s="1"/>
      <c r="E19" s="857"/>
      <c r="F19" s="853"/>
      <c r="G19" s="853"/>
      <c r="H19" s="854">
        <f>SUM(I19:K19)</f>
        <v>64.671797999999995</v>
      </c>
      <c r="I19" s="855"/>
      <c r="J19" s="857"/>
      <c r="K19" s="857">
        <v>64.671797999999995</v>
      </c>
      <c r="L19" s="854">
        <f>SUM(M19:Z19)</f>
        <v>0</v>
      </c>
      <c r="M19" s="857"/>
      <c r="N19" s="857"/>
      <c r="O19" s="857"/>
      <c r="P19" s="857"/>
      <c r="Q19" s="857"/>
      <c r="R19" s="857"/>
      <c r="S19" s="857"/>
      <c r="T19" s="857"/>
      <c r="U19" s="857"/>
      <c r="V19" s="857"/>
      <c r="W19" s="853"/>
      <c r="X19" s="853"/>
      <c r="Y19" s="853"/>
      <c r="Z19" s="857"/>
      <c r="AA19" s="854"/>
      <c r="AB19" s="858">
        <f>SUM(AC19:AL19)</f>
        <v>0</v>
      </c>
      <c r="AC19" s="859"/>
      <c r="AD19" s="857"/>
      <c r="AE19" s="857"/>
      <c r="AF19" s="857"/>
      <c r="AG19" s="857"/>
      <c r="AH19" s="857"/>
      <c r="AI19" s="857"/>
      <c r="AJ19" s="857"/>
      <c r="AK19" s="855"/>
      <c r="AL19" s="855"/>
      <c r="AM19" s="853"/>
      <c r="AN19" s="860"/>
      <c r="AO19" s="860"/>
      <c r="AP19" s="858"/>
      <c r="AQ19" s="861">
        <f t="shared" si="0"/>
        <v>64.671797999999995</v>
      </c>
    </row>
    <row r="20" spans="1:45" ht="12.75" customHeight="1">
      <c r="A20" s="535" t="s">
        <v>135</v>
      </c>
      <c r="B20" s="908"/>
      <c r="C20" s="909"/>
      <c r="D20" s="910"/>
      <c r="E20" s="911"/>
      <c r="F20" s="912"/>
      <c r="G20" s="912"/>
      <c r="H20" s="913">
        <f>SUM(I20:K20)</f>
        <v>0</v>
      </c>
      <c r="I20" s="910"/>
      <c r="J20" s="911"/>
      <c r="K20" s="911"/>
      <c r="L20" s="913">
        <f>SUM(M20:Z20)</f>
        <v>3166.7858692089685</v>
      </c>
      <c r="M20" s="911"/>
      <c r="N20" s="911"/>
      <c r="O20" s="911">
        <v>90.017983923640699</v>
      </c>
      <c r="P20" s="911">
        <v>640.53679657777786</v>
      </c>
      <c r="Q20" s="911">
        <v>226.77459106847999</v>
      </c>
      <c r="R20" s="911">
        <v>0</v>
      </c>
      <c r="S20" s="911">
        <v>960.95017928079096</v>
      </c>
      <c r="T20" s="911">
        <v>64.797462901984332</v>
      </c>
      <c r="U20" s="911">
        <v>1146.9502117491124</v>
      </c>
      <c r="V20" s="911"/>
      <c r="W20" s="912">
        <v>36.758643707182323</v>
      </c>
      <c r="X20" s="912"/>
      <c r="Y20" s="912"/>
      <c r="Z20" s="911"/>
      <c r="AA20" s="913"/>
      <c r="AB20" s="915">
        <f>SUM(AC20:AL20)</f>
        <v>0</v>
      </c>
      <c r="AC20" s="916"/>
      <c r="AD20" s="911"/>
      <c r="AE20" s="911"/>
      <c r="AF20" s="911"/>
      <c r="AG20" s="911"/>
      <c r="AH20" s="911"/>
      <c r="AI20" s="911"/>
      <c r="AJ20" s="911"/>
      <c r="AK20" s="910"/>
      <c r="AL20" s="910"/>
      <c r="AM20" s="912"/>
      <c r="AN20" s="917"/>
      <c r="AO20" s="917"/>
      <c r="AP20" s="915"/>
      <c r="AQ20" s="918">
        <f t="shared" si="0"/>
        <v>3166.7858692089685</v>
      </c>
    </row>
    <row r="21" spans="1:45" ht="12.75" customHeight="1">
      <c r="A21" s="537" t="s">
        <v>136</v>
      </c>
      <c r="B21" s="932"/>
      <c r="C21" s="933">
        <f>SUM(C22:C24)</f>
        <v>22.240061570656763</v>
      </c>
      <c r="D21" s="934">
        <f>SUM(D22:D24)</f>
        <v>-17.141361188350004</v>
      </c>
      <c r="E21" s="935">
        <f>SUM(E22:E24)</f>
        <v>39.381422759006767</v>
      </c>
      <c r="F21" s="936">
        <f>SUM(F22:F24)</f>
        <v>0</v>
      </c>
      <c r="G21" s="936">
        <f>SUM(G22:G24)</f>
        <v>0</v>
      </c>
      <c r="H21" s="937">
        <f>SUM(I21:K21)</f>
        <v>0</v>
      </c>
      <c r="I21" s="934">
        <f>SUM(I22:I24)</f>
        <v>0</v>
      </c>
      <c r="J21" s="935">
        <f>SUM(J22:J24)</f>
        <v>0</v>
      </c>
      <c r="K21" s="935">
        <f>SUM(K22:K24)</f>
        <v>0</v>
      </c>
      <c r="L21" s="937">
        <f>SUM(M21:Z21)</f>
        <v>-24.684016341344112</v>
      </c>
      <c r="M21" s="935">
        <f t="shared" ref="M21:AQ21" si="9">SUM(M22:M24)</f>
        <v>0</v>
      </c>
      <c r="N21" s="935">
        <f t="shared" si="9"/>
        <v>30.880435114089789</v>
      </c>
      <c r="O21" s="935">
        <f t="shared" si="9"/>
        <v>0</v>
      </c>
      <c r="P21" s="935">
        <f t="shared" si="9"/>
        <v>-31.331710700000009</v>
      </c>
      <c r="Q21" s="935">
        <f t="shared" si="9"/>
        <v>361.91080481920005</v>
      </c>
      <c r="R21" s="935">
        <f t="shared" si="9"/>
        <v>-361.12225342559998</v>
      </c>
      <c r="S21" s="935">
        <f t="shared" si="9"/>
        <v>-0.17168420677966101</v>
      </c>
      <c r="T21" s="935">
        <f t="shared" si="9"/>
        <v>0</v>
      </c>
      <c r="U21" s="935">
        <f t="shared" si="9"/>
        <v>-2.6095463715975598</v>
      </c>
      <c r="V21" s="935">
        <f t="shared" si="9"/>
        <v>-22.240061570656767</v>
      </c>
      <c r="W21" s="936">
        <f t="shared" si="9"/>
        <v>0</v>
      </c>
      <c r="X21" s="936">
        <f t="shared" si="9"/>
        <v>0</v>
      </c>
      <c r="Y21" s="936">
        <f t="shared" si="9"/>
        <v>0</v>
      </c>
      <c r="Z21" s="935">
        <f t="shared" si="9"/>
        <v>0</v>
      </c>
      <c r="AA21" s="937">
        <f t="shared" si="9"/>
        <v>0</v>
      </c>
      <c r="AB21" s="938">
        <f t="shared" si="9"/>
        <v>-804.60161988393759</v>
      </c>
      <c r="AC21" s="939">
        <f t="shared" si="9"/>
        <v>-59.691708987970003</v>
      </c>
      <c r="AD21" s="935">
        <f t="shared" si="9"/>
        <v>-743.01992281532614</v>
      </c>
      <c r="AE21" s="935">
        <f t="shared" si="9"/>
        <v>0</v>
      </c>
      <c r="AF21" s="935">
        <f t="shared" si="9"/>
        <v>0</v>
      </c>
      <c r="AG21" s="940">
        <f t="shared" si="9"/>
        <v>0</v>
      </c>
      <c r="AH21" s="940">
        <f t="shared" si="9"/>
        <v>0</v>
      </c>
      <c r="AI21" s="940">
        <f t="shared" si="9"/>
        <v>0</v>
      </c>
      <c r="AJ21" s="940">
        <f t="shared" si="9"/>
        <v>0</v>
      </c>
      <c r="AK21" s="934">
        <f t="shared" si="9"/>
        <v>-1.8899880806415161</v>
      </c>
      <c r="AL21" s="940">
        <f t="shared" si="9"/>
        <v>0</v>
      </c>
      <c r="AM21" s="936">
        <f t="shared" si="9"/>
        <v>0</v>
      </c>
      <c r="AN21" s="941">
        <f t="shared" si="9"/>
        <v>0</v>
      </c>
      <c r="AO21" s="937">
        <f t="shared" si="9"/>
        <v>804.60161988393759</v>
      </c>
      <c r="AP21" s="938">
        <f t="shared" si="9"/>
        <v>0</v>
      </c>
      <c r="AQ21" s="942">
        <f t="shared" si="9"/>
        <v>-2.4439547706873483</v>
      </c>
    </row>
    <row r="22" spans="1:45" ht="12.75" customHeight="1">
      <c r="A22" s="534" t="s">
        <v>137</v>
      </c>
      <c r="B22" s="896"/>
      <c r="C22" s="943"/>
      <c r="D22" s="944"/>
      <c r="E22" s="945"/>
      <c r="F22" s="900"/>
      <c r="G22" s="900"/>
      <c r="H22" s="901"/>
      <c r="I22" s="946"/>
      <c r="J22" s="899"/>
      <c r="K22" s="899"/>
      <c r="L22" s="901"/>
      <c r="M22" s="899"/>
      <c r="N22" s="899"/>
      <c r="O22" s="899"/>
      <c r="P22" s="899"/>
      <c r="Q22" s="899"/>
      <c r="R22" s="899"/>
      <c r="S22" s="899"/>
      <c r="T22" s="899"/>
      <c r="U22" s="899"/>
      <c r="V22" s="899"/>
      <c r="W22" s="900"/>
      <c r="X22" s="900"/>
      <c r="Y22" s="900"/>
      <c r="Z22" s="899"/>
      <c r="AA22" s="901"/>
      <c r="AB22" s="903">
        <f>SUM(AC22:AM22)</f>
        <v>-804.60161988393759</v>
      </c>
      <c r="AC22" s="904">
        <f>-AC2</f>
        <v>-59.691708987970003</v>
      </c>
      <c r="AD22" s="899">
        <f>-AD2</f>
        <v>-743.01992281532614</v>
      </c>
      <c r="AE22" s="899"/>
      <c r="AF22" s="899"/>
      <c r="AG22" s="907"/>
      <c r="AH22" s="907"/>
      <c r="AI22" s="907"/>
      <c r="AJ22" s="907"/>
      <c r="AK22" s="898">
        <v>-1.8899880806415161</v>
      </c>
      <c r="AL22" s="907"/>
      <c r="AM22" s="900"/>
      <c r="AN22" s="905"/>
      <c r="AO22" s="901">
        <f>-(C22+H22+L22+AA22+AB22)</f>
        <v>804.60161988393759</v>
      </c>
      <c r="AP22" s="903"/>
      <c r="AQ22" s="930">
        <f>C22+H22+L22+AA22+AB22+AN22+AO22+AP22</f>
        <v>0</v>
      </c>
    </row>
    <row r="23" spans="1:45" ht="12.75" customHeight="1">
      <c r="A23" s="11" t="s">
        <v>138</v>
      </c>
      <c r="B23" s="919"/>
      <c r="C23" s="947"/>
      <c r="D23" s="948"/>
      <c r="E23" s="922"/>
      <c r="F23" s="949"/>
      <c r="G23" s="949"/>
      <c r="H23" s="924"/>
      <c r="I23" s="950"/>
      <c r="J23" s="951"/>
      <c r="K23" s="951"/>
      <c r="L23" s="924"/>
      <c r="M23" s="951"/>
      <c r="N23" s="951"/>
      <c r="O23" s="951"/>
      <c r="P23" s="951"/>
      <c r="Q23" s="951"/>
      <c r="R23" s="951"/>
      <c r="S23" s="951"/>
      <c r="T23" s="951"/>
      <c r="U23" s="951"/>
      <c r="V23" s="951"/>
      <c r="W23" s="949"/>
      <c r="X23" s="949"/>
      <c r="Y23" s="949"/>
      <c r="Z23" s="951"/>
      <c r="AA23" s="924"/>
      <c r="AB23" s="926"/>
      <c r="AC23" s="952"/>
      <c r="AD23" s="951"/>
      <c r="AE23" s="951"/>
      <c r="AF23" s="951"/>
      <c r="AG23" s="951"/>
      <c r="AH23" s="951"/>
      <c r="AI23" s="951"/>
      <c r="AJ23" s="951"/>
      <c r="AK23" s="953"/>
      <c r="AL23" s="953"/>
      <c r="AM23" s="949"/>
      <c r="AN23" s="954"/>
      <c r="AO23" s="924"/>
      <c r="AP23" s="926"/>
      <c r="AQ23" s="955">
        <f>C23+H23+L23+AA23+AB23+AN23+AO23+AP23</f>
        <v>0</v>
      </c>
    </row>
    <row r="24" spans="1:45" ht="12.75" customHeight="1" thickBot="1">
      <c r="A24" s="531" t="s">
        <v>139</v>
      </c>
      <c r="B24" s="863"/>
      <c r="C24" s="956">
        <f>SUM(D24:G24)</f>
        <v>22.240061570656763</v>
      </c>
      <c r="D24" s="957">
        <v>-17.141361188350004</v>
      </c>
      <c r="E24" s="871">
        <f>-D24-V24</f>
        <v>39.381422759006767</v>
      </c>
      <c r="F24" s="865"/>
      <c r="G24" s="865"/>
      <c r="H24" s="866"/>
      <c r="I24" s="958"/>
      <c r="J24" s="871"/>
      <c r="K24" s="871"/>
      <c r="L24" s="866">
        <f>SUM(N24:Z24)</f>
        <v>-24.684016341344112</v>
      </c>
      <c r="M24" s="871"/>
      <c r="N24" s="871">
        <v>30.880435114089789</v>
      </c>
      <c r="O24" s="871"/>
      <c r="P24" s="871">
        <v>-31.331710700000009</v>
      </c>
      <c r="Q24" s="871">
        <v>361.91080481920005</v>
      </c>
      <c r="R24" s="871">
        <v>-361.12225342559998</v>
      </c>
      <c r="S24" s="871">
        <v>-0.17168420677966101</v>
      </c>
      <c r="T24" s="871"/>
      <c r="U24" s="871">
        <v>-2.6095463715975598</v>
      </c>
      <c r="V24" s="865">
        <v>-22.240061570656767</v>
      </c>
      <c r="W24" s="865">
        <v>0</v>
      </c>
      <c r="X24" s="865"/>
      <c r="Y24" s="865"/>
      <c r="Z24" s="871"/>
      <c r="AA24" s="866"/>
      <c r="AB24" s="866">
        <f>SUM(AC24:AM24)</f>
        <v>0</v>
      </c>
      <c r="AC24" s="870"/>
      <c r="AD24" s="871"/>
      <c r="AE24" s="871"/>
      <c r="AF24" s="871"/>
      <c r="AG24" s="871"/>
      <c r="AH24" s="871"/>
      <c r="AI24" s="871"/>
      <c r="AJ24" s="871"/>
      <c r="AK24" s="867"/>
      <c r="AL24" s="867"/>
      <c r="AM24" s="865"/>
      <c r="AN24" s="872"/>
      <c r="AO24" s="866"/>
      <c r="AP24" s="869"/>
      <c r="AQ24" s="873">
        <f>C24+H24+L24+AA24+AB24+AN24+AO24+AP24</f>
        <v>-2.4439547706873483</v>
      </c>
    </row>
    <row r="25" spans="1:45" ht="12.75" customHeight="1" thickBot="1">
      <c r="A25" s="536" t="s">
        <v>140</v>
      </c>
      <c r="B25" s="919"/>
      <c r="C25" s="920">
        <f>SUM(D25:G25)</f>
        <v>0</v>
      </c>
      <c r="D25" s="921"/>
      <c r="E25" s="922"/>
      <c r="F25" s="949"/>
      <c r="G25" s="949"/>
      <c r="H25" s="924">
        <f>SUM(I25:K25)</f>
        <v>10.28324833984202</v>
      </c>
      <c r="I25" s="949">
        <v>10.28324833984202</v>
      </c>
      <c r="J25" s="959"/>
      <c r="K25" s="951"/>
      <c r="L25" s="924">
        <f>SUM(O25:Z25)</f>
        <v>98.284657617035819</v>
      </c>
      <c r="M25" s="951"/>
      <c r="N25" s="951"/>
      <c r="O25" s="951">
        <v>95.274692021714102</v>
      </c>
      <c r="P25" s="951"/>
      <c r="Q25" s="951"/>
      <c r="R25" s="951"/>
      <c r="S25" s="951">
        <v>0</v>
      </c>
      <c r="T25" s="951">
        <v>4.1693256233877908E-3</v>
      </c>
      <c r="U25" s="951">
        <v>3.0057962696983291</v>
      </c>
      <c r="V25" s="951"/>
      <c r="W25" s="949"/>
      <c r="X25" s="949"/>
      <c r="Y25" s="949"/>
      <c r="Z25" s="951"/>
      <c r="AA25" s="924">
        <v>57.528599543766255</v>
      </c>
      <c r="AB25" s="926">
        <f>SUM(AC25:AI25)</f>
        <v>0</v>
      </c>
      <c r="AC25" s="927"/>
      <c r="AD25" s="951"/>
      <c r="AE25" s="951"/>
      <c r="AF25" s="951"/>
      <c r="AG25" s="951"/>
      <c r="AH25" s="951"/>
      <c r="AI25" s="951"/>
      <c r="AJ25" s="951"/>
      <c r="AK25" s="953"/>
      <c r="AL25" s="953"/>
      <c r="AM25" s="949"/>
      <c r="AN25" s="954"/>
      <c r="AO25" s="924">
        <v>259.46681438260055</v>
      </c>
      <c r="AP25" s="926"/>
      <c r="AQ25" s="955">
        <f>C25+H25+L25+AA25+AB25+AN25+AO25+AP25</f>
        <v>425.56331988324462</v>
      </c>
    </row>
    <row r="26" spans="1:45" s="5" customFormat="1" ht="12.75" customHeight="1" thickBot="1">
      <c r="A26" s="538" t="s">
        <v>141</v>
      </c>
      <c r="B26" s="960"/>
      <c r="C26" s="961">
        <f t="shared" ref="C26:AP26" si="10">C7-C9+C15+C21-C25</f>
        <v>320.15759843333262</v>
      </c>
      <c r="D26" s="962">
        <f t="shared" si="10"/>
        <v>221.42915574234439</v>
      </c>
      <c r="E26" s="963">
        <f t="shared" si="10"/>
        <v>86.198591658957852</v>
      </c>
      <c r="F26" s="963">
        <f t="shared" si="10"/>
        <v>0</v>
      </c>
      <c r="G26" s="963">
        <f t="shared" si="10"/>
        <v>12.529851032030438</v>
      </c>
      <c r="H26" s="964">
        <f t="shared" si="10"/>
        <v>199.31419506885081</v>
      </c>
      <c r="I26" s="962">
        <f t="shared" si="10"/>
        <v>0.37225106885087023</v>
      </c>
      <c r="J26" s="965">
        <f t="shared" si="10"/>
        <v>127.70399999999999</v>
      </c>
      <c r="K26" s="963">
        <f t="shared" si="10"/>
        <v>71.237943999999999</v>
      </c>
      <c r="L26" s="964">
        <f t="shared" si="10"/>
        <v>7278.2180951406654</v>
      </c>
      <c r="M26" s="963">
        <f t="shared" si="10"/>
        <v>0</v>
      </c>
      <c r="N26" s="963">
        <f t="shared" si="10"/>
        <v>-0.14794174855289199</v>
      </c>
      <c r="O26" s="963">
        <f t="shared" si="10"/>
        <v>-5.2567080980734033</v>
      </c>
      <c r="P26" s="963">
        <f t="shared" si="10"/>
        <v>799.22126723333315</v>
      </c>
      <c r="Q26" s="963">
        <f t="shared" si="10"/>
        <v>949.04247657856001</v>
      </c>
      <c r="R26" s="963">
        <f t="shared" si="10"/>
        <v>1106.9485985044798</v>
      </c>
      <c r="S26" s="963">
        <f t="shared" si="10"/>
        <v>39.03952078017609</v>
      </c>
      <c r="T26" s="963">
        <f t="shared" si="10"/>
        <v>187.88084937540125</v>
      </c>
      <c r="U26" s="963">
        <f t="shared" si="10"/>
        <v>3815.0626351280866</v>
      </c>
      <c r="V26" s="963">
        <f t="shared" si="10"/>
        <v>147.33759997605492</v>
      </c>
      <c r="W26" s="963">
        <f t="shared" si="10"/>
        <v>7.506512734116022</v>
      </c>
      <c r="X26" s="963">
        <f t="shared" si="10"/>
        <v>195.36275312176252</v>
      </c>
      <c r="Y26" s="963">
        <f t="shared" si="10"/>
        <v>1.2096467108549098</v>
      </c>
      <c r="Z26" s="963">
        <f t="shared" si="10"/>
        <v>35.010884844467988</v>
      </c>
      <c r="AA26" s="964">
        <f t="shared" si="10"/>
        <v>1921.4292269183238</v>
      </c>
      <c r="AB26" s="966">
        <f t="shared" si="10"/>
        <v>461.09915024876761</v>
      </c>
      <c r="AC26" s="894">
        <f t="shared" si="10"/>
        <v>0</v>
      </c>
      <c r="AD26" s="877">
        <f t="shared" si="10"/>
        <v>0</v>
      </c>
      <c r="AE26" s="877">
        <f t="shared" si="10"/>
        <v>197.01652611637599</v>
      </c>
      <c r="AF26" s="877">
        <f t="shared" si="10"/>
        <v>40.692904224132207</v>
      </c>
      <c r="AG26" s="877">
        <f t="shared" si="10"/>
        <v>0</v>
      </c>
      <c r="AH26" s="877">
        <f t="shared" si="10"/>
        <v>9.7770611234061491</v>
      </c>
      <c r="AI26" s="877">
        <f t="shared" si="10"/>
        <v>128.62672037577602</v>
      </c>
      <c r="AJ26" s="877">
        <f t="shared" si="10"/>
        <v>27.916404744672001</v>
      </c>
      <c r="AK26" s="880">
        <f t="shared" si="10"/>
        <v>0</v>
      </c>
      <c r="AL26" s="880">
        <f t="shared" si="10"/>
        <v>13.54608560366562</v>
      </c>
      <c r="AM26" s="967">
        <f t="shared" si="10"/>
        <v>43.523448060739646</v>
      </c>
      <c r="AN26" s="964">
        <f t="shared" si="10"/>
        <v>54.722939604974087</v>
      </c>
      <c r="AO26" s="964">
        <f t="shared" si="10"/>
        <v>2361.7269899654289</v>
      </c>
      <c r="AP26" s="966">
        <f t="shared" si="10"/>
        <v>0</v>
      </c>
      <c r="AQ26" s="968">
        <f>C26+H26+L26+AA26+AB26+AN26+AO26+AP26</f>
        <v>12596.668195380342</v>
      </c>
      <c r="AR26" s="1"/>
      <c r="AS26" s="4"/>
    </row>
    <row r="27" spans="1:45" s="5" customFormat="1" ht="12.75" customHeight="1">
      <c r="A27" s="532" t="s">
        <v>142</v>
      </c>
      <c r="B27" s="874"/>
      <c r="C27" s="875">
        <f t="shared" ref="C27:V27" si="11">C28</f>
        <v>0</v>
      </c>
      <c r="D27" s="880">
        <f t="shared" si="11"/>
        <v>0</v>
      </c>
      <c r="E27" s="877">
        <f t="shared" si="11"/>
        <v>0</v>
      </c>
      <c r="F27" s="893">
        <f t="shared" si="11"/>
        <v>0</v>
      </c>
      <c r="G27" s="893">
        <f t="shared" si="11"/>
        <v>0</v>
      </c>
      <c r="H27" s="878">
        <f t="shared" si="11"/>
        <v>0</v>
      </c>
      <c r="I27" s="880">
        <f t="shared" si="11"/>
        <v>0</v>
      </c>
      <c r="J27" s="879">
        <f t="shared" si="11"/>
        <v>0</v>
      </c>
      <c r="K27" s="877">
        <f t="shared" si="11"/>
        <v>0</v>
      </c>
      <c r="L27" s="878">
        <f t="shared" si="11"/>
        <v>231.58328467708543</v>
      </c>
      <c r="M27" s="877">
        <f t="shared" si="11"/>
        <v>0</v>
      </c>
      <c r="N27" s="877">
        <f t="shared" si="11"/>
        <v>0</v>
      </c>
      <c r="O27" s="877">
        <f t="shared" si="11"/>
        <v>0</v>
      </c>
      <c r="P27" s="877">
        <f t="shared" si="11"/>
        <v>0</v>
      </c>
      <c r="Q27" s="877">
        <f t="shared" si="11"/>
        <v>0</v>
      </c>
      <c r="R27" s="877">
        <f t="shared" si="11"/>
        <v>0</v>
      </c>
      <c r="S27" s="877">
        <f t="shared" si="11"/>
        <v>0</v>
      </c>
      <c r="T27" s="877">
        <f t="shared" si="11"/>
        <v>0</v>
      </c>
      <c r="U27" s="877">
        <f t="shared" si="11"/>
        <v>0</v>
      </c>
      <c r="V27" s="877">
        <f t="shared" si="11"/>
        <v>0</v>
      </c>
      <c r="W27" s="893"/>
      <c r="X27" s="893">
        <f t="shared" ref="X27:AQ27" si="12">X28</f>
        <v>195.36275312176252</v>
      </c>
      <c r="Y27" s="893">
        <f t="shared" si="12"/>
        <v>1.2096467108549098</v>
      </c>
      <c r="Z27" s="877">
        <f t="shared" si="12"/>
        <v>35.010884844467988</v>
      </c>
      <c r="AA27" s="878">
        <f t="shared" si="12"/>
        <v>0</v>
      </c>
      <c r="AB27" s="876">
        <f t="shared" si="12"/>
        <v>0</v>
      </c>
      <c r="AC27" s="894">
        <f t="shared" si="12"/>
        <v>0</v>
      </c>
      <c r="AD27" s="877">
        <f t="shared" si="12"/>
        <v>0</v>
      </c>
      <c r="AE27" s="877">
        <f t="shared" si="12"/>
        <v>0</v>
      </c>
      <c r="AF27" s="877">
        <f t="shared" si="12"/>
        <v>0</v>
      </c>
      <c r="AG27" s="877">
        <f t="shared" si="12"/>
        <v>0</v>
      </c>
      <c r="AH27" s="877">
        <f t="shared" si="12"/>
        <v>0</v>
      </c>
      <c r="AI27" s="877">
        <f t="shared" si="12"/>
        <v>0</v>
      </c>
      <c r="AJ27" s="877">
        <f t="shared" si="12"/>
        <v>0</v>
      </c>
      <c r="AK27" s="880">
        <f t="shared" si="12"/>
        <v>0</v>
      </c>
      <c r="AL27" s="880">
        <f t="shared" si="12"/>
        <v>0</v>
      </c>
      <c r="AM27" s="893">
        <f t="shared" si="12"/>
        <v>0</v>
      </c>
      <c r="AN27" s="878">
        <f t="shared" si="12"/>
        <v>0</v>
      </c>
      <c r="AO27" s="878">
        <f t="shared" si="12"/>
        <v>0</v>
      </c>
      <c r="AP27" s="876">
        <f t="shared" si="12"/>
        <v>0</v>
      </c>
      <c r="AQ27" s="882">
        <f t="shared" si="12"/>
        <v>231.58328467708543</v>
      </c>
      <c r="AR27" s="1"/>
      <c r="AS27" s="4"/>
    </row>
    <row r="28" spans="1:45" ht="12.75" customHeight="1" thickBot="1">
      <c r="A28" s="539" t="s">
        <v>143</v>
      </c>
      <c r="B28" s="969"/>
      <c r="C28" s="970">
        <f>SUM(D28:G28)</f>
        <v>0</v>
      </c>
      <c r="D28" s="934"/>
      <c r="E28" s="935"/>
      <c r="F28" s="936"/>
      <c r="G28" s="936"/>
      <c r="H28" s="941">
        <f>SUM(I28:K28)</f>
        <v>0</v>
      </c>
      <c r="I28" s="934"/>
      <c r="J28" s="971"/>
      <c r="K28" s="935"/>
      <c r="L28" s="941">
        <f>SUM(M28:Z28)</f>
        <v>231.58328467708543</v>
      </c>
      <c r="M28" s="935"/>
      <c r="N28" s="935"/>
      <c r="O28" s="935"/>
      <c r="P28" s="935"/>
      <c r="Q28" s="935"/>
      <c r="R28" s="935"/>
      <c r="S28" s="935"/>
      <c r="T28" s="935"/>
      <c r="U28" s="935"/>
      <c r="V28" s="935"/>
      <c r="W28" s="936"/>
      <c r="X28" s="936">
        <f>X26</f>
        <v>195.36275312176252</v>
      </c>
      <c r="Y28" s="936">
        <f>Y26</f>
        <v>1.2096467108549098</v>
      </c>
      <c r="Z28" s="935">
        <f>Z26</f>
        <v>35.010884844467988</v>
      </c>
      <c r="AA28" s="941">
        <v>0</v>
      </c>
      <c r="AB28" s="972">
        <f>SUM(AC28:AI28)</f>
        <v>0</v>
      </c>
      <c r="AC28" s="939"/>
      <c r="AD28" s="935"/>
      <c r="AE28" s="935"/>
      <c r="AF28" s="935"/>
      <c r="AG28" s="935"/>
      <c r="AH28" s="935"/>
      <c r="AI28" s="935"/>
      <c r="AJ28" s="935"/>
      <c r="AK28" s="934"/>
      <c r="AL28" s="934"/>
      <c r="AM28" s="936"/>
      <c r="AN28" s="941"/>
      <c r="AO28" s="941"/>
      <c r="AP28" s="972"/>
      <c r="AQ28" s="942">
        <f t="shared" ref="AQ28:AQ72" si="13">C28+H28+L28+AA28+AB28+AN28+AO28+AP28</f>
        <v>231.58328467708543</v>
      </c>
    </row>
    <row r="29" spans="1:45" s="5" customFormat="1" ht="12.75" customHeight="1" thickBot="1">
      <c r="A29" s="532" t="s">
        <v>144</v>
      </c>
      <c r="B29" s="874"/>
      <c r="C29" s="875">
        <f t="shared" ref="C29:AQ29" si="14">C30+C45+C56+C58+C65+C70+C71</f>
        <v>322.73713313616526</v>
      </c>
      <c r="D29" s="880">
        <f t="shared" si="14"/>
        <v>221.25198906014759</v>
      </c>
      <c r="E29" s="877">
        <f t="shared" si="14"/>
        <v>89.647280058277374</v>
      </c>
      <c r="F29" s="893">
        <f t="shared" si="14"/>
        <v>0</v>
      </c>
      <c r="G29" s="893">
        <f t="shared" si="14"/>
        <v>11.837385289740231</v>
      </c>
      <c r="H29" s="878">
        <f t="shared" si="14"/>
        <v>197.36847005356</v>
      </c>
      <c r="I29" s="880">
        <f t="shared" si="14"/>
        <v>0.82966372355999995</v>
      </c>
      <c r="J29" s="973">
        <f t="shared" si="14"/>
        <v>127.70399999999999</v>
      </c>
      <c r="K29" s="880">
        <f t="shared" si="14"/>
        <v>68.834806329999992</v>
      </c>
      <c r="L29" s="878">
        <f t="shared" si="14"/>
        <v>7044.2916862331467</v>
      </c>
      <c r="M29" s="877">
        <f t="shared" si="14"/>
        <v>0</v>
      </c>
      <c r="N29" s="877">
        <f t="shared" si="14"/>
        <v>0</v>
      </c>
      <c r="O29" s="877">
        <f t="shared" si="14"/>
        <v>0</v>
      </c>
      <c r="P29" s="877">
        <f t="shared" si="14"/>
        <v>824.24502392197087</v>
      </c>
      <c r="Q29" s="877">
        <f t="shared" si="14"/>
        <v>934.32541284991999</v>
      </c>
      <c r="R29" s="877">
        <f t="shared" si="14"/>
        <v>1102.8442060797599</v>
      </c>
      <c r="S29" s="877">
        <f t="shared" si="14"/>
        <v>31.039400915077643</v>
      </c>
      <c r="T29" s="877">
        <f t="shared" si="14"/>
        <v>181.32381570558746</v>
      </c>
      <c r="U29" s="877">
        <f t="shared" si="14"/>
        <v>3824.001555864289</v>
      </c>
      <c r="V29" s="877">
        <f t="shared" si="14"/>
        <v>146.51227089654276</v>
      </c>
      <c r="W29" s="893">
        <f t="shared" si="14"/>
        <v>0</v>
      </c>
      <c r="X29" s="893">
        <f t="shared" si="14"/>
        <v>0</v>
      </c>
      <c r="Y29" s="893">
        <f t="shared" si="14"/>
        <v>0</v>
      </c>
      <c r="Z29" s="880">
        <f t="shared" si="14"/>
        <v>0</v>
      </c>
      <c r="AA29" s="964">
        <f t="shared" si="14"/>
        <v>1961.7039372255224</v>
      </c>
      <c r="AB29" s="876">
        <f t="shared" si="14"/>
        <v>463.5152964293224</v>
      </c>
      <c r="AC29" s="894">
        <f t="shared" si="14"/>
        <v>0</v>
      </c>
      <c r="AD29" s="877">
        <f t="shared" si="14"/>
        <v>0</v>
      </c>
      <c r="AE29" s="877">
        <f t="shared" si="14"/>
        <v>201.73619537368276</v>
      </c>
      <c r="AF29" s="877">
        <f t="shared" si="14"/>
        <v>40.692904224132199</v>
      </c>
      <c r="AG29" s="877">
        <f t="shared" si="14"/>
        <v>0</v>
      </c>
      <c r="AH29" s="877">
        <f t="shared" si="14"/>
        <v>9.7770611234061491</v>
      </c>
      <c r="AI29" s="877">
        <f t="shared" si="14"/>
        <v>126.96834918892804</v>
      </c>
      <c r="AJ29" s="877">
        <f t="shared" si="14"/>
        <v>27.271252854767994</v>
      </c>
      <c r="AK29" s="876">
        <f t="shared" si="14"/>
        <v>0</v>
      </c>
      <c r="AL29" s="876">
        <f t="shared" si="14"/>
        <v>13.546085603665619</v>
      </c>
      <c r="AM29" s="876">
        <f t="shared" si="14"/>
        <v>43.523448060739653</v>
      </c>
      <c r="AN29" s="876">
        <f t="shared" si="14"/>
        <v>54.722939604974094</v>
      </c>
      <c r="AO29" s="878">
        <f t="shared" si="14"/>
        <v>2397.4208343089181</v>
      </c>
      <c r="AP29" s="876">
        <f t="shared" si="14"/>
        <v>0</v>
      </c>
      <c r="AQ29" s="968">
        <f t="shared" si="14"/>
        <v>12441.760296991612</v>
      </c>
      <c r="AR29" s="1"/>
      <c r="AS29" s="4"/>
    </row>
    <row r="30" spans="1:45" s="5" customFormat="1" ht="12.75" customHeight="1">
      <c r="A30" s="61" t="s">
        <v>145</v>
      </c>
      <c r="B30" s="974"/>
      <c r="C30" s="975">
        <f>SUM(C31:C44)</f>
        <v>105.42502802800003</v>
      </c>
      <c r="D30" s="976">
        <v>105.4245493</v>
      </c>
      <c r="E30" s="976">
        <v>0</v>
      </c>
      <c r="F30" s="977"/>
      <c r="G30" s="977"/>
      <c r="H30" s="978">
        <f>SUM(H31:H44)</f>
        <v>0.82966372355999995</v>
      </c>
      <c r="I30" s="979">
        <f t="shared" ref="I30:K30" si="15">SUM(I31:I44)</f>
        <v>0.82966372355999995</v>
      </c>
      <c r="J30" s="976">
        <f t="shared" si="15"/>
        <v>0</v>
      </c>
      <c r="K30" s="976">
        <f t="shared" si="15"/>
        <v>0</v>
      </c>
      <c r="L30" s="978">
        <f>SUM(L31:L44)</f>
        <v>333.21700779482637</v>
      </c>
      <c r="M30" s="976">
        <f>SUM(M31:M44)</f>
        <v>0</v>
      </c>
      <c r="N30" s="976">
        <f>SUM(N31:N44)</f>
        <v>0</v>
      </c>
      <c r="O30" s="976">
        <f>SUM(O31:O44)</f>
        <v>0</v>
      </c>
      <c r="P30" s="976">
        <f>SUM(P31:P44)</f>
        <v>0</v>
      </c>
      <c r="Q30" s="976">
        <v>5.8273117756492638</v>
      </c>
      <c r="R30" s="976">
        <f>SUM(R31:R44)</f>
        <v>0</v>
      </c>
      <c r="S30" s="976">
        <v>30.396553446461994</v>
      </c>
      <c r="T30" s="976">
        <v>55.10581048870722</v>
      </c>
      <c r="U30" s="976">
        <v>100.77893291075623</v>
      </c>
      <c r="V30" s="976">
        <v>141.10839917325163</v>
      </c>
      <c r="W30" s="976">
        <f>SUM(W31:W44)</f>
        <v>0</v>
      </c>
      <c r="X30" s="976">
        <f>SUM(X31:X44)</f>
        <v>0</v>
      </c>
      <c r="Y30" s="976">
        <f>SUM(Y31:Y44)</f>
        <v>0</v>
      </c>
      <c r="Z30" s="976">
        <f>SUM(Z31:Z44)</f>
        <v>0</v>
      </c>
      <c r="AA30" s="978">
        <v>1006.4294471460221</v>
      </c>
      <c r="AB30" s="980">
        <f t="shared" ref="AB30:AN30" si="16">SUM(AB31:AB44)</f>
        <v>198.81521058080656</v>
      </c>
      <c r="AC30" s="981">
        <f t="shared" si="16"/>
        <v>0</v>
      </c>
      <c r="AD30" s="976">
        <f t="shared" si="16"/>
        <v>0</v>
      </c>
      <c r="AE30" s="976">
        <f t="shared" si="16"/>
        <v>153.96698996806381</v>
      </c>
      <c r="AF30" s="976">
        <f t="shared" si="16"/>
        <v>40.692904224132199</v>
      </c>
      <c r="AG30" s="976">
        <f t="shared" si="16"/>
        <v>0</v>
      </c>
      <c r="AH30" s="976">
        <f t="shared" si="16"/>
        <v>4.1553163886105651</v>
      </c>
      <c r="AI30" s="976">
        <f t="shared" si="16"/>
        <v>0</v>
      </c>
      <c r="AJ30" s="976">
        <f t="shared" si="16"/>
        <v>0</v>
      </c>
      <c r="AK30" s="976">
        <f t="shared" si="16"/>
        <v>0</v>
      </c>
      <c r="AL30" s="976">
        <f t="shared" si="16"/>
        <v>0</v>
      </c>
      <c r="AM30" s="982">
        <f t="shared" si="16"/>
        <v>0</v>
      </c>
      <c r="AN30" s="979">
        <f t="shared" si="16"/>
        <v>54.722939604974094</v>
      </c>
      <c r="AO30" s="978">
        <v>562.37095164267794</v>
      </c>
      <c r="AP30" s="980">
        <f>SUM(AP31:AP44)</f>
        <v>0</v>
      </c>
      <c r="AQ30" s="895">
        <f t="shared" ref="AQ30" si="17">C30+H30+L30+AA30+AB30+AN30+AO30+AP30</f>
        <v>2261.8102485208669</v>
      </c>
      <c r="AR30" s="1"/>
      <c r="AS30" s="4"/>
    </row>
    <row r="31" spans="1:45" ht="12.75" customHeight="1">
      <c r="A31" s="540" t="s">
        <v>146</v>
      </c>
      <c r="B31" s="983" t="s">
        <v>147</v>
      </c>
      <c r="C31" s="984">
        <f t="shared" ref="C31:C43" si="18">SUM(D31:G31)</f>
        <v>0</v>
      </c>
      <c r="D31" s="904">
        <v>0</v>
      </c>
      <c r="E31" s="985"/>
      <c r="F31" s="985"/>
      <c r="G31" s="986"/>
      <c r="H31" s="987">
        <f t="shared" ref="H31:H43" si="19">SUM(I31:K31)</f>
        <v>0</v>
      </c>
      <c r="I31" s="988"/>
      <c r="J31" s="989"/>
      <c r="K31" s="907"/>
      <c r="L31" s="987">
        <f t="shared" ref="L31:L43" si="20">SUM(M31:Z31)</f>
        <v>15.076944231866809</v>
      </c>
      <c r="M31" s="907"/>
      <c r="N31" s="907"/>
      <c r="O31" s="907"/>
      <c r="P31" s="990"/>
      <c r="Q31" s="946">
        <v>0.252</v>
      </c>
      <c r="R31" s="985"/>
      <c r="S31" s="946">
        <v>0</v>
      </c>
      <c r="T31" s="946">
        <v>9.0944231866809708E-2</v>
      </c>
      <c r="U31" s="946">
        <v>14.734</v>
      </c>
      <c r="V31" s="946">
        <v>0</v>
      </c>
      <c r="W31" s="985"/>
      <c r="X31" s="988"/>
      <c r="Y31" s="990"/>
      <c r="Z31" s="907"/>
      <c r="AA31" s="905">
        <v>11.321518316813064</v>
      </c>
      <c r="AB31" s="991">
        <f t="shared" ref="AB31:AB43" si="21">SUM(AC31:AM31)</f>
        <v>0</v>
      </c>
      <c r="AC31" s="992"/>
      <c r="AD31" s="907"/>
      <c r="AE31" s="907"/>
      <c r="AF31" s="907"/>
      <c r="AG31" s="907"/>
      <c r="AH31" s="907"/>
      <c r="AI31" s="907"/>
      <c r="AJ31" s="907"/>
      <c r="AK31" s="898"/>
      <c r="AL31" s="900"/>
      <c r="AM31" s="907"/>
      <c r="AN31" s="905"/>
      <c r="AO31" s="905">
        <v>18.942945216847264</v>
      </c>
      <c r="AP31" s="991"/>
      <c r="AQ31" s="906">
        <f t="shared" si="13"/>
        <v>45.341407765527137</v>
      </c>
    </row>
    <row r="32" spans="1:45" ht="12.75" customHeight="1">
      <c r="A32" s="541" t="s">
        <v>148</v>
      </c>
      <c r="B32" s="993" t="s">
        <v>149</v>
      </c>
      <c r="C32" s="850">
        <f t="shared" si="18"/>
        <v>18.505815952000003</v>
      </c>
      <c r="D32" s="859">
        <v>18.505815952000003</v>
      </c>
      <c r="E32" s="994"/>
      <c r="F32" s="994"/>
      <c r="G32" s="995"/>
      <c r="H32" s="854">
        <f t="shared" si="19"/>
        <v>0.82966372355999995</v>
      </c>
      <c r="I32" s="855">
        <v>0.82966372355999995</v>
      </c>
      <c r="J32" s="856"/>
      <c r="K32" s="857"/>
      <c r="L32" s="854">
        <f t="shared" si="20"/>
        <v>65.081234617624631</v>
      </c>
      <c r="M32" s="857"/>
      <c r="N32" s="857"/>
      <c r="O32" s="857"/>
      <c r="P32" s="990"/>
      <c r="Q32" s="994">
        <v>1.514</v>
      </c>
      <c r="R32" s="994"/>
      <c r="S32" s="994">
        <v>22.968462416696998</v>
      </c>
      <c r="T32" s="994">
        <v>29.49577220092764</v>
      </c>
      <c r="U32" s="994">
        <v>11.103</v>
      </c>
      <c r="V32" s="994">
        <v>0</v>
      </c>
      <c r="W32" s="994"/>
      <c r="X32" s="855"/>
      <c r="Y32" s="853"/>
      <c r="Z32" s="857"/>
      <c r="AA32" s="860">
        <v>272.71139495674981</v>
      </c>
      <c r="AB32" s="858">
        <f t="shared" si="21"/>
        <v>27.983335383690566</v>
      </c>
      <c r="AC32" s="859"/>
      <c r="AD32" s="857"/>
      <c r="AE32" s="857">
        <v>23.828018995080001</v>
      </c>
      <c r="AF32" s="857"/>
      <c r="AG32" s="907"/>
      <c r="AH32" s="907">
        <v>4.1553163886105651</v>
      </c>
      <c r="AI32" s="907"/>
      <c r="AJ32" s="907"/>
      <c r="AK32" s="855"/>
      <c r="AL32" s="853"/>
      <c r="AM32" s="857"/>
      <c r="AN32" s="860"/>
      <c r="AO32" s="860">
        <v>95.275088867672153</v>
      </c>
      <c r="AP32" s="858"/>
      <c r="AQ32" s="861">
        <f t="shared" si="13"/>
        <v>480.38653350129721</v>
      </c>
    </row>
    <row r="33" spans="1:45" ht="12.75" customHeight="1">
      <c r="A33" s="541" t="s">
        <v>150</v>
      </c>
      <c r="B33" s="996" t="s">
        <v>151</v>
      </c>
      <c r="C33" s="850">
        <f t="shared" si="18"/>
        <v>0</v>
      </c>
      <c r="D33" s="859">
        <v>0</v>
      </c>
      <c r="E33" s="994"/>
      <c r="F33" s="994"/>
      <c r="G33" s="995"/>
      <c r="H33" s="854">
        <f t="shared" si="19"/>
        <v>0</v>
      </c>
      <c r="I33" s="855"/>
      <c r="J33" s="856"/>
      <c r="K33" s="857"/>
      <c r="L33" s="854">
        <f t="shared" si="20"/>
        <v>4.2587599630269795</v>
      </c>
      <c r="M33" s="857"/>
      <c r="N33" s="857"/>
      <c r="O33" s="857"/>
      <c r="P33" s="990"/>
      <c r="Q33" s="994">
        <v>7.6999999999999999E-2</v>
      </c>
      <c r="R33" s="994"/>
      <c r="S33" s="994">
        <v>0</v>
      </c>
      <c r="T33" s="994">
        <v>3.9077599630269795</v>
      </c>
      <c r="U33" s="994">
        <v>0.27400000000000002</v>
      </c>
      <c r="V33" s="994">
        <v>0</v>
      </c>
      <c r="W33" s="994"/>
      <c r="X33" s="855"/>
      <c r="Y33" s="853"/>
      <c r="Z33" s="857"/>
      <c r="AA33" s="860">
        <v>3.3044502133205622</v>
      </c>
      <c r="AB33" s="858">
        <f t="shared" si="21"/>
        <v>0</v>
      </c>
      <c r="AC33" s="859"/>
      <c r="AD33" s="857"/>
      <c r="AE33" s="857"/>
      <c r="AF33" s="857"/>
      <c r="AG33" s="907"/>
      <c r="AH33" s="907"/>
      <c r="AI33" s="907"/>
      <c r="AJ33" s="907"/>
      <c r="AK33" s="855"/>
      <c r="AL33" s="853"/>
      <c r="AM33" s="857"/>
      <c r="AN33" s="860"/>
      <c r="AO33" s="860">
        <v>2.6521774464642336</v>
      </c>
      <c r="AP33" s="858"/>
      <c r="AQ33" s="861">
        <f t="shared" si="13"/>
        <v>10.215387622811775</v>
      </c>
    </row>
    <row r="34" spans="1:45" ht="12.75" customHeight="1">
      <c r="A34" s="541" t="s">
        <v>152</v>
      </c>
      <c r="B34" s="996" t="s">
        <v>153</v>
      </c>
      <c r="C34" s="850">
        <f t="shared" si="18"/>
        <v>0</v>
      </c>
      <c r="D34" s="859">
        <v>0</v>
      </c>
      <c r="E34" s="994"/>
      <c r="F34" s="994"/>
      <c r="G34" s="995"/>
      <c r="H34" s="854">
        <f t="shared" si="19"/>
        <v>0</v>
      </c>
      <c r="I34" s="855"/>
      <c r="J34" s="856"/>
      <c r="K34" s="857"/>
      <c r="L34" s="854">
        <f t="shared" si="20"/>
        <v>3.2131895506092896</v>
      </c>
      <c r="M34" s="857"/>
      <c r="N34" s="857"/>
      <c r="O34" s="857"/>
      <c r="P34" s="990"/>
      <c r="Q34" s="994">
        <v>0.17699999999999999</v>
      </c>
      <c r="R34" s="994"/>
      <c r="S34" s="994">
        <v>0</v>
      </c>
      <c r="T34" s="994">
        <v>0.60818955060928981</v>
      </c>
      <c r="U34" s="994">
        <v>2.4279999999999999</v>
      </c>
      <c r="V34" s="994">
        <v>0</v>
      </c>
      <c r="W34" s="994"/>
      <c r="X34" s="855"/>
      <c r="Y34" s="853"/>
      <c r="Z34" s="857"/>
      <c r="AA34" s="860">
        <v>9.6605545809524642</v>
      </c>
      <c r="AB34" s="858">
        <f t="shared" si="21"/>
        <v>127.91319688416</v>
      </c>
      <c r="AC34" s="859"/>
      <c r="AD34" s="857"/>
      <c r="AE34" s="857">
        <v>127.91319688416</v>
      </c>
      <c r="AF34" s="857"/>
      <c r="AG34" s="907"/>
      <c r="AH34" s="907"/>
      <c r="AI34" s="907"/>
      <c r="AJ34" s="907"/>
      <c r="AK34" s="855"/>
      <c r="AL34" s="853"/>
      <c r="AM34" s="857"/>
      <c r="AN34" s="860"/>
      <c r="AO34" s="860">
        <v>24.722008913423029</v>
      </c>
      <c r="AP34" s="858"/>
      <c r="AQ34" s="861">
        <f t="shared" si="13"/>
        <v>165.50894992914479</v>
      </c>
    </row>
    <row r="35" spans="1:45" ht="12.75" customHeight="1">
      <c r="A35" s="541" t="s">
        <v>154</v>
      </c>
      <c r="B35" s="996" t="s">
        <v>155</v>
      </c>
      <c r="C35" s="850">
        <f t="shared" si="18"/>
        <v>0</v>
      </c>
      <c r="D35" s="859">
        <v>0</v>
      </c>
      <c r="E35" s="994"/>
      <c r="F35" s="994"/>
      <c r="G35" s="995"/>
      <c r="H35" s="854">
        <f t="shared" si="19"/>
        <v>0</v>
      </c>
      <c r="I35" s="855"/>
      <c r="J35" s="856"/>
      <c r="K35" s="857"/>
      <c r="L35" s="854">
        <f t="shared" si="20"/>
        <v>1.6055046049530732</v>
      </c>
      <c r="M35" s="857"/>
      <c r="N35" s="857"/>
      <c r="O35" s="857"/>
      <c r="P35" s="990"/>
      <c r="Q35" s="994">
        <v>9.6000000000000002E-2</v>
      </c>
      <c r="R35" s="994"/>
      <c r="S35" s="994">
        <v>0</v>
      </c>
      <c r="T35" s="994">
        <v>0.62950460495307337</v>
      </c>
      <c r="U35" s="994">
        <v>0.88</v>
      </c>
      <c r="V35" s="994">
        <v>0</v>
      </c>
      <c r="W35" s="994"/>
      <c r="X35" s="855"/>
      <c r="Y35" s="853"/>
      <c r="Z35" s="857"/>
      <c r="AA35" s="860">
        <v>14.125994102315383</v>
      </c>
      <c r="AB35" s="858">
        <f t="shared" si="21"/>
        <v>0</v>
      </c>
      <c r="AC35" s="859"/>
      <c r="AD35" s="857"/>
      <c r="AE35" s="857"/>
      <c r="AF35" s="857"/>
      <c r="AG35" s="907"/>
      <c r="AH35" s="907"/>
      <c r="AI35" s="907"/>
      <c r="AJ35" s="907"/>
      <c r="AK35" s="855"/>
      <c r="AL35" s="853"/>
      <c r="AM35" s="857"/>
      <c r="AN35" s="860"/>
      <c r="AO35" s="860">
        <v>10.336268211589791</v>
      </c>
      <c r="AP35" s="858"/>
      <c r="AQ35" s="861">
        <f t="shared" si="13"/>
        <v>26.067766918858247</v>
      </c>
    </row>
    <row r="36" spans="1:45" ht="12.75" customHeight="1">
      <c r="A36" s="541" t="s">
        <v>156</v>
      </c>
      <c r="B36" s="996" t="s">
        <v>157</v>
      </c>
      <c r="C36" s="850">
        <f t="shared" si="18"/>
        <v>0</v>
      </c>
      <c r="D36" s="992">
        <v>0</v>
      </c>
      <c r="E36" s="994"/>
      <c r="F36" s="994"/>
      <c r="G36" s="995"/>
      <c r="H36" s="854">
        <f t="shared" si="19"/>
        <v>0</v>
      </c>
      <c r="I36" s="855"/>
      <c r="J36" s="856"/>
      <c r="K36" s="857"/>
      <c r="L36" s="854">
        <f t="shared" si="20"/>
        <v>21.418897222529047</v>
      </c>
      <c r="M36" s="857"/>
      <c r="N36" s="857"/>
      <c r="O36" s="857"/>
      <c r="P36" s="990"/>
      <c r="Q36" s="985">
        <v>0.30599999999999994</v>
      </c>
      <c r="R36" s="994"/>
      <c r="S36" s="985">
        <v>2.7458233928999998</v>
      </c>
      <c r="T36" s="985">
        <v>3.9702841224354111</v>
      </c>
      <c r="U36" s="985">
        <v>4.5789999999999997</v>
      </c>
      <c r="V36" s="985">
        <v>9.8177897071936346</v>
      </c>
      <c r="W36" s="994"/>
      <c r="X36" s="855"/>
      <c r="Y36" s="853"/>
      <c r="Z36" s="857"/>
      <c r="AA36" s="997">
        <v>129.58450822372785</v>
      </c>
      <c r="AB36" s="858">
        <f t="shared" si="21"/>
        <v>0</v>
      </c>
      <c r="AC36" s="859"/>
      <c r="AD36" s="857"/>
      <c r="AE36" s="857">
        <v>0</v>
      </c>
      <c r="AF36" s="857"/>
      <c r="AG36" s="907"/>
      <c r="AH36" s="907"/>
      <c r="AI36" s="907"/>
      <c r="AJ36" s="907"/>
      <c r="AK36" s="988"/>
      <c r="AL36" s="990"/>
      <c r="AM36" s="857"/>
      <c r="AN36" s="997"/>
      <c r="AO36" s="997">
        <v>76.140196178045755</v>
      </c>
      <c r="AP36" s="858"/>
      <c r="AQ36" s="861">
        <f t="shared" si="13"/>
        <v>227.14360162430265</v>
      </c>
    </row>
    <row r="37" spans="1:45" ht="12.75" customHeight="1">
      <c r="A37" s="541" t="s">
        <v>158</v>
      </c>
      <c r="B37" s="996" t="s">
        <v>159</v>
      </c>
      <c r="C37" s="850">
        <f t="shared" si="18"/>
        <v>0</v>
      </c>
      <c r="D37" s="859">
        <v>0</v>
      </c>
      <c r="E37" s="994"/>
      <c r="F37" s="994"/>
      <c r="G37" s="995"/>
      <c r="H37" s="854">
        <f t="shared" si="19"/>
        <v>0</v>
      </c>
      <c r="I37" s="855"/>
      <c r="J37" s="856"/>
      <c r="K37" s="857"/>
      <c r="L37" s="854">
        <f t="shared" si="20"/>
        <v>4.1927665829180274</v>
      </c>
      <c r="M37" s="857"/>
      <c r="N37" s="857"/>
      <c r="O37" s="857"/>
      <c r="P37" s="990"/>
      <c r="Q37" s="994">
        <v>0.53500000000000003</v>
      </c>
      <c r="R37" s="994"/>
      <c r="S37" s="994">
        <v>0</v>
      </c>
      <c r="T37" s="994">
        <v>2.1897665829180273</v>
      </c>
      <c r="U37" s="994">
        <v>1.468</v>
      </c>
      <c r="V37" s="994">
        <v>0</v>
      </c>
      <c r="W37" s="994"/>
      <c r="X37" s="855"/>
      <c r="Y37" s="853"/>
      <c r="Z37" s="857"/>
      <c r="AA37" s="860">
        <v>17.456036015436883</v>
      </c>
      <c r="AB37" s="858">
        <f t="shared" si="21"/>
        <v>0</v>
      </c>
      <c r="AC37" s="859"/>
      <c r="AD37" s="857"/>
      <c r="AE37" s="857"/>
      <c r="AF37" s="857"/>
      <c r="AG37" s="907"/>
      <c r="AH37" s="907"/>
      <c r="AI37" s="907"/>
      <c r="AJ37" s="907"/>
      <c r="AK37" s="855"/>
      <c r="AL37" s="853"/>
      <c r="AM37" s="857"/>
      <c r="AN37" s="860"/>
      <c r="AO37" s="860">
        <v>25.06049692993675</v>
      </c>
      <c r="AP37" s="858"/>
      <c r="AQ37" s="861">
        <f t="shared" si="13"/>
        <v>46.709299528291666</v>
      </c>
    </row>
    <row r="38" spans="1:45" ht="12.75" customHeight="1">
      <c r="A38" s="541" t="s">
        <v>160</v>
      </c>
      <c r="B38" s="996" t="s">
        <v>161</v>
      </c>
      <c r="C38" s="850">
        <f t="shared" si="18"/>
        <v>86.919212076000022</v>
      </c>
      <c r="D38" s="859">
        <v>86.919212076000022</v>
      </c>
      <c r="E38" s="994"/>
      <c r="F38" s="994"/>
      <c r="G38" s="995"/>
      <c r="H38" s="854">
        <f t="shared" si="19"/>
        <v>0</v>
      </c>
      <c r="I38" s="855"/>
      <c r="J38" s="856"/>
      <c r="K38" s="857"/>
      <c r="L38" s="854">
        <f t="shared" si="20"/>
        <v>160.32357118657256</v>
      </c>
      <c r="M38" s="857"/>
      <c r="N38" s="857"/>
      <c r="O38" s="857"/>
      <c r="P38" s="990"/>
      <c r="Q38" s="994">
        <v>1.1439999999999999</v>
      </c>
      <c r="R38" s="994"/>
      <c r="S38" s="994">
        <v>0</v>
      </c>
      <c r="T38" s="994">
        <v>2.6359617205145627</v>
      </c>
      <c r="U38" s="994">
        <v>25.253</v>
      </c>
      <c r="V38" s="994">
        <v>131.29060946605799</v>
      </c>
      <c r="W38" s="994"/>
      <c r="X38" s="855"/>
      <c r="Y38" s="853"/>
      <c r="Z38" s="857"/>
      <c r="AA38" s="860">
        <v>46.760404850906049</v>
      </c>
      <c r="AB38" s="858">
        <f t="shared" si="21"/>
        <v>42.918678312955997</v>
      </c>
      <c r="AC38" s="859"/>
      <c r="AD38" s="857"/>
      <c r="AE38" s="857">
        <v>2.2257740888237998</v>
      </c>
      <c r="AF38" s="857">
        <v>40.692904224132199</v>
      </c>
      <c r="AG38" s="907"/>
      <c r="AH38" s="907"/>
      <c r="AI38" s="907"/>
      <c r="AJ38" s="907"/>
      <c r="AK38" s="855"/>
      <c r="AL38" s="853"/>
      <c r="AM38" s="857"/>
      <c r="AN38" s="860">
        <v>54.722939604974094</v>
      </c>
      <c r="AO38" s="860">
        <v>73.686158058321269</v>
      </c>
      <c r="AP38" s="858"/>
      <c r="AQ38" s="861">
        <f t="shared" si="13"/>
        <v>465.33096408973</v>
      </c>
    </row>
    <row r="39" spans="1:45" ht="12.75" customHeight="1">
      <c r="A39" s="541" t="s">
        <v>162</v>
      </c>
      <c r="B39" s="996" t="s">
        <v>163</v>
      </c>
      <c r="C39" s="850">
        <f t="shared" si="18"/>
        <v>0</v>
      </c>
      <c r="D39" s="859">
        <v>0</v>
      </c>
      <c r="E39" s="994"/>
      <c r="F39" s="994"/>
      <c r="G39" s="995"/>
      <c r="H39" s="854">
        <f t="shared" si="19"/>
        <v>0</v>
      </c>
      <c r="I39" s="855"/>
      <c r="J39" s="856"/>
      <c r="K39" s="857"/>
      <c r="L39" s="854">
        <f t="shared" si="20"/>
        <v>5.6776554397216028</v>
      </c>
      <c r="M39" s="857"/>
      <c r="N39" s="857"/>
      <c r="O39" s="857"/>
      <c r="P39" s="990"/>
      <c r="Q39" s="994">
        <v>0.33800000000000002</v>
      </c>
      <c r="R39" s="994"/>
      <c r="S39" s="994">
        <v>1.0397614907400001</v>
      </c>
      <c r="T39" s="994">
        <v>1.5488939489816029</v>
      </c>
      <c r="U39" s="994">
        <v>2.7509999999999999</v>
      </c>
      <c r="V39" s="994">
        <v>0</v>
      </c>
      <c r="W39" s="994"/>
      <c r="X39" s="855"/>
      <c r="Y39" s="853"/>
      <c r="Z39" s="857"/>
      <c r="AA39" s="860">
        <v>411.95146425902993</v>
      </c>
      <c r="AB39" s="858">
        <f t="shared" si="21"/>
        <v>0</v>
      </c>
      <c r="AC39" s="859"/>
      <c r="AD39" s="857"/>
      <c r="AE39" s="857"/>
      <c r="AF39" s="857"/>
      <c r="AG39" s="907"/>
      <c r="AH39" s="907"/>
      <c r="AI39" s="907"/>
      <c r="AJ39" s="907"/>
      <c r="AK39" s="855"/>
      <c r="AL39" s="853"/>
      <c r="AM39" s="857"/>
      <c r="AN39" s="860"/>
      <c r="AO39" s="860">
        <v>67.595437712394457</v>
      </c>
      <c r="AP39" s="858"/>
      <c r="AQ39" s="861">
        <f t="shared" si="13"/>
        <v>485.22455741114601</v>
      </c>
    </row>
    <row r="40" spans="1:45" ht="12.75" customHeight="1">
      <c r="A40" s="541" t="s">
        <v>164</v>
      </c>
      <c r="B40" s="996" t="s">
        <v>165</v>
      </c>
      <c r="C40" s="850">
        <f t="shared" si="18"/>
        <v>0</v>
      </c>
      <c r="D40" s="859">
        <v>0</v>
      </c>
      <c r="E40" s="994"/>
      <c r="F40" s="994"/>
      <c r="G40" s="995"/>
      <c r="H40" s="854">
        <f t="shared" si="19"/>
        <v>0</v>
      </c>
      <c r="I40" s="855"/>
      <c r="J40" s="856"/>
      <c r="K40" s="857"/>
      <c r="L40" s="854">
        <f t="shared" si="20"/>
        <v>4.0583976227701353</v>
      </c>
      <c r="M40" s="857"/>
      <c r="N40" s="857"/>
      <c r="O40" s="857"/>
      <c r="P40" s="990"/>
      <c r="Q40" s="994">
        <v>0.14399999999999999</v>
      </c>
      <c r="R40" s="994"/>
      <c r="S40" s="994">
        <v>0</v>
      </c>
      <c r="T40" s="994">
        <v>2.2053976227701355</v>
      </c>
      <c r="U40" s="994">
        <v>1.7090000000000001</v>
      </c>
      <c r="V40" s="994">
        <v>0</v>
      </c>
      <c r="W40" s="994"/>
      <c r="X40" s="855"/>
      <c r="Y40" s="853"/>
      <c r="Z40" s="857"/>
      <c r="AA40" s="860">
        <v>14.088542834314019</v>
      </c>
      <c r="AB40" s="858">
        <f t="shared" si="21"/>
        <v>0</v>
      </c>
      <c r="AC40" s="859"/>
      <c r="AD40" s="857"/>
      <c r="AE40" s="857"/>
      <c r="AF40" s="857"/>
      <c r="AG40" s="907"/>
      <c r="AH40" s="907"/>
      <c r="AI40" s="907"/>
      <c r="AJ40" s="907"/>
      <c r="AK40" s="855"/>
      <c r="AL40" s="853"/>
      <c r="AM40" s="857"/>
      <c r="AN40" s="860"/>
      <c r="AO40" s="860">
        <v>17.033790245657055</v>
      </c>
      <c r="AP40" s="858"/>
      <c r="AQ40" s="861">
        <f t="shared" si="13"/>
        <v>35.180730702741215</v>
      </c>
    </row>
    <row r="41" spans="1:45" ht="12.75" customHeight="1">
      <c r="A41" s="541" t="s">
        <v>166</v>
      </c>
      <c r="B41" s="996" t="s">
        <v>167</v>
      </c>
      <c r="C41" s="850">
        <f t="shared" si="18"/>
        <v>0</v>
      </c>
      <c r="D41" s="992">
        <v>0</v>
      </c>
      <c r="E41" s="994"/>
      <c r="F41" s="994"/>
      <c r="G41" s="995"/>
      <c r="H41" s="854">
        <f t="shared" si="19"/>
        <v>0</v>
      </c>
      <c r="I41" s="855"/>
      <c r="J41" s="856"/>
      <c r="K41" s="857"/>
      <c r="L41" s="854">
        <f t="shared" si="20"/>
        <v>2.3538976736397665</v>
      </c>
      <c r="M41" s="857"/>
      <c r="N41" s="857"/>
      <c r="O41" s="857"/>
      <c r="P41" s="990"/>
      <c r="Q41" s="985">
        <v>0.184</v>
      </c>
      <c r="R41" s="994"/>
      <c r="S41" s="985">
        <v>0</v>
      </c>
      <c r="T41" s="985">
        <v>1.4408976736397665</v>
      </c>
      <c r="U41" s="985">
        <v>0.72899999999999998</v>
      </c>
      <c r="V41" s="985">
        <v>0</v>
      </c>
      <c r="W41" s="994"/>
      <c r="X41" s="855"/>
      <c r="Y41" s="853"/>
      <c r="Z41" s="857"/>
      <c r="AA41" s="997">
        <v>20.514556235548469</v>
      </c>
      <c r="AB41" s="858">
        <f t="shared" si="21"/>
        <v>0</v>
      </c>
      <c r="AC41" s="859"/>
      <c r="AD41" s="857"/>
      <c r="AE41" s="857"/>
      <c r="AF41" s="857"/>
      <c r="AG41" s="907"/>
      <c r="AH41" s="907"/>
      <c r="AI41" s="907"/>
      <c r="AJ41" s="907"/>
      <c r="AK41" s="988"/>
      <c r="AL41" s="990"/>
      <c r="AM41" s="857"/>
      <c r="AN41" s="997"/>
      <c r="AO41" s="997">
        <v>88.215343376908805</v>
      </c>
      <c r="AP41" s="858"/>
      <c r="AQ41" s="861">
        <f t="shared" si="13"/>
        <v>111.08379728609704</v>
      </c>
    </row>
    <row r="42" spans="1:45" ht="12.75" customHeight="1">
      <c r="A42" s="541" t="s">
        <v>168</v>
      </c>
      <c r="B42" s="996" t="s">
        <v>169</v>
      </c>
      <c r="C42" s="850">
        <f t="shared" si="18"/>
        <v>0</v>
      </c>
      <c r="D42" s="859">
        <v>0</v>
      </c>
      <c r="E42" s="994"/>
      <c r="F42" s="994"/>
      <c r="G42" s="995"/>
      <c r="H42" s="854">
        <f t="shared" si="19"/>
        <v>0</v>
      </c>
      <c r="I42" s="855"/>
      <c r="J42" s="856"/>
      <c r="K42" s="857"/>
      <c r="L42" s="854">
        <f t="shared" si="20"/>
        <v>1.2106523548972861</v>
      </c>
      <c r="M42" s="857"/>
      <c r="N42" s="857"/>
      <c r="O42" s="857"/>
      <c r="P42" s="990"/>
      <c r="Q42" s="994">
        <v>6.6000000000000003E-2</v>
      </c>
      <c r="R42" s="994"/>
      <c r="S42" s="994">
        <v>0</v>
      </c>
      <c r="T42" s="994">
        <v>0.92365235489728603</v>
      </c>
      <c r="U42" s="994">
        <v>0.221</v>
      </c>
      <c r="V42" s="994">
        <v>0</v>
      </c>
      <c r="W42" s="994"/>
      <c r="X42" s="855"/>
      <c r="Y42" s="853"/>
      <c r="Z42" s="857"/>
      <c r="AA42" s="860">
        <v>0.86574847863158677</v>
      </c>
      <c r="AB42" s="858">
        <f t="shared" si="21"/>
        <v>0</v>
      </c>
      <c r="AC42" s="859"/>
      <c r="AD42" s="857"/>
      <c r="AE42" s="857"/>
      <c r="AF42" s="857"/>
      <c r="AG42" s="907"/>
      <c r="AH42" s="907"/>
      <c r="AI42" s="907"/>
      <c r="AJ42" s="907"/>
      <c r="AK42" s="953"/>
      <c r="AL42" s="949"/>
      <c r="AM42" s="857"/>
      <c r="AN42" s="954"/>
      <c r="AO42" s="860">
        <v>2.5758112476166248</v>
      </c>
      <c r="AP42" s="858"/>
      <c r="AQ42" s="861">
        <f t="shared" si="13"/>
        <v>4.6522120811454979</v>
      </c>
    </row>
    <row r="43" spans="1:45" ht="12.75" customHeight="1">
      <c r="A43" s="541" t="s">
        <v>170</v>
      </c>
      <c r="B43" s="996" t="s">
        <v>171</v>
      </c>
      <c r="C43" s="850">
        <f t="shared" si="18"/>
        <v>0</v>
      </c>
      <c r="D43" s="859">
        <v>0</v>
      </c>
      <c r="E43" s="994"/>
      <c r="F43" s="994"/>
      <c r="G43" s="995"/>
      <c r="H43" s="854">
        <f t="shared" si="19"/>
        <v>0</v>
      </c>
      <c r="I43" s="855"/>
      <c r="J43" s="856"/>
      <c r="K43" s="857">
        <v>0</v>
      </c>
      <c r="L43" s="854">
        <f t="shared" si="20"/>
        <v>12.040386855324506</v>
      </c>
      <c r="M43" s="857"/>
      <c r="N43" s="857"/>
      <c r="O43" s="857"/>
      <c r="P43" s="853"/>
      <c r="Q43" s="994">
        <v>0.29299999999999998</v>
      </c>
      <c r="R43" s="994"/>
      <c r="S43" s="994">
        <v>3.6425061461249997</v>
      </c>
      <c r="T43" s="994">
        <v>4.9848807091995067</v>
      </c>
      <c r="U43" s="994">
        <v>3.12</v>
      </c>
      <c r="V43" s="994">
        <v>0</v>
      </c>
      <c r="W43" s="994"/>
      <c r="X43" s="855"/>
      <c r="Y43" s="853"/>
      <c r="Z43" s="857"/>
      <c r="AA43" s="860">
        <v>49.987455777023783</v>
      </c>
      <c r="AB43" s="858">
        <f t="shared" si="21"/>
        <v>0</v>
      </c>
      <c r="AC43" s="859"/>
      <c r="AD43" s="857"/>
      <c r="AE43" s="857"/>
      <c r="AF43" s="857"/>
      <c r="AG43" s="857"/>
      <c r="AH43" s="857"/>
      <c r="AI43" s="857"/>
      <c r="AJ43" s="857"/>
      <c r="AK43" s="855"/>
      <c r="AL43" s="853"/>
      <c r="AM43" s="857"/>
      <c r="AN43" s="860"/>
      <c r="AO43" s="860">
        <v>50.192200180420599</v>
      </c>
      <c r="AP43" s="858"/>
      <c r="AQ43" s="861">
        <f t="shared" si="13"/>
        <v>112.2200428127689</v>
      </c>
    </row>
    <row r="44" spans="1:45" ht="12.75" customHeight="1">
      <c r="A44" s="542" t="s">
        <v>796</v>
      </c>
      <c r="B44" s="998" t="s">
        <v>797</v>
      </c>
      <c r="C44" s="909">
        <f>SUM(D44:G44)</f>
        <v>0</v>
      </c>
      <c r="D44" s="916">
        <v>0</v>
      </c>
      <c r="E44" s="999"/>
      <c r="F44" s="999"/>
      <c r="G44" s="1000"/>
      <c r="H44" s="913">
        <f>SUM(I44:K44)</f>
        <v>0</v>
      </c>
      <c r="I44" s="910"/>
      <c r="J44" s="911"/>
      <c r="K44" s="911"/>
      <c r="L44" s="913">
        <f>SUM(M44:Z44)</f>
        <v>32.705149888372631</v>
      </c>
      <c r="M44" s="911"/>
      <c r="N44" s="911"/>
      <c r="O44" s="911"/>
      <c r="P44" s="912"/>
      <c r="Q44" s="999">
        <v>0.70131177564926306</v>
      </c>
      <c r="R44" s="999"/>
      <c r="S44" s="999">
        <v>0</v>
      </c>
      <c r="T44" s="999">
        <v>0.47390520196714231</v>
      </c>
      <c r="U44" s="999">
        <v>31.529932910756227</v>
      </c>
      <c r="V44" s="999">
        <v>0</v>
      </c>
      <c r="W44" s="999"/>
      <c r="X44" s="910"/>
      <c r="Y44" s="912"/>
      <c r="Z44" s="911"/>
      <c r="AA44" s="917">
        <v>4.0968183012521333</v>
      </c>
      <c r="AB44" s="915">
        <f>SUM(AC44:AM44)</f>
        <v>0</v>
      </c>
      <c r="AC44" s="916"/>
      <c r="AD44" s="911"/>
      <c r="AE44" s="911"/>
      <c r="AF44" s="911"/>
      <c r="AG44" s="911"/>
      <c r="AH44" s="911"/>
      <c r="AI44" s="911"/>
      <c r="AJ44" s="911"/>
      <c r="AK44" s="910"/>
      <c r="AL44" s="912"/>
      <c r="AM44" s="911"/>
      <c r="AN44" s="917"/>
      <c r="AO44" s="917">
        <v>9.9430290573801638</v>
      </c>
      <c r="AP44" s="915"/>
      <c r="AQ44" s="918">
        <f>C44+H44+L44+AA44+AB44+AN44+AO44+AP44</f>
        <v>46.744997247004932</v>
      </c>
    </row>
    <row r="45" spans="1:45" s="5" customFormat="1" ht="12.75" customHeight="1">
      <c r="A45" s="61" t="s">
        <v>172</v>
      </c>
      <c r="B45" s="919"/>
      <c r="C45" s="1001">
        <f t="shared" ref="C45:AP45" si="22">SUM(C46:C55)</f>
        <v>0</v>
      </c>
      <c r="D45" s="1002">
        <f t="shared" si="22"/>
        <v>0</v>
      </c>
      <c r="E45" s="1002">
        <f t="shared" si="22"/>
        <v>0</v>
      </c>
      <c r="F45" s="1003">
        <f t="shared" si="22"/>
        <v>0</v>
      </c>
      <c r="G45" s="1003">
        <f t="shared" si="22"/>
        <v>0</v>
      </c>
      <c r="H45" s="1004">
        <f t="shared" si="22"/>
        <v>0</v>
      </c>
      <c r="I45" s="1005">
        <f t="shared" si="22"/>
        <v>0</v>
      </c>
      <c r="J45" s="1006">
        <f t="shared" si="22"/>
        <v>0</v>
      </c>
      <c r="K45" s="1002">
        <f t="shared" si="22"/>
        <v>0</v>
      </c>
      <c r="L45" s="1004">
        <f t="shared" si="22"/>
        <v>5012.6665578559823</v>
      </c>
      <c r="M45" s="1002">
        <f t="shared" si="22"/>
        <v>0</v>
      </c>
      <c r="N45" s="1002">
        <f t="shared" ref="N45" si="23">SUM(N46:N55)</f>
        <v>0</v>
      </c>
      <c r="O45" s="1002">
        <f t="shared" si="22"/>
        <v>0</v>
      </c>
      <c r="P45" s="1002">
        <f t="shared" si="22"/>
        <v>824.24502392197087</v>
      </c>
      <c r="Q45" s="1002">
        <f t="shared" si="22"/>
        <v>0</v>
      </c>
      <c r="R45" s="1002">
        <f t="shared" si="22"/>
        <v>1102.8442060797599</v>
      </c>
      <c r="S45" s="1002">
        <f t="shared" si="22"/>
        <v>0</v>
      </c>
      <c r="T45" s="1002">
        <f t="shared" si="22"/>
        <v>1.8520724281984335</v>
      </c>
      <c r="U45" s="1002">
        <f>SUM(U46:U55)</f>
        <v>3083.7252554260544</v>
      </c>
      <c r="V45" s="1002">
        <f t="shared" si="22"/>
        <v>0</v>
      </c>
      <c r="W45" s="1003">
        <f t="shared" si="22"/>
        <v>0</v>
      </c>
      <c r="X45" s="1003">
        <f t="shared" si="22"/>
        <v>0</v>
      </c>
      <c r="Y45" s="1003">
        <f t="shared" si="22"/>
        <v>0</v>
      </c>
      <c r="Z45" s="1002">
        <f t="shared" si="22"/>
        <v>0</v>
      </c>
      <c r="AA45" s="1004">
        <f t="shared" si="22"/>
        <v>22.560835415583806</v>
      </c>
      <c r="AB45" s="1007">
        <f t="shared" si="22"/>
        <v>154.23960204369604</v>
      </c>
      <c r="AC45" s="1008">
        <f t="shared" si="22"/>
        <v>0</v>
      </c>
      <c r="AD45" s="1002">
        <f t="shared" si="22"/>
        <v>0</v>
      </c>
      <c r="AE45" s="1002">
        <f t="shared" si="22"/>
        <v>0</v>
      </c>
      <c r="AF45" s="1002">
        <f t="shared" ref="AF45" si="24">SUM(AF46:AF55)</f>
        <v>0</v>
      </c>
      <c r="AG45" s="1002">
        <f t="shared" si="22"/>
        <v>0</v>
      </c>
      <c r="AH45" s="1002">
        <f t="shared" si="22"/>
        <v>0</v>
      </c>
      <c r="AI45" s="1002">
        <f t="shared" si="22"/>
        <v>126.96834918892804</v>
      </c>
      <c r="AJ45" s="1002">
        <f t="shared" ref="AJ45" si="25">SUM(AJ46:AJ55)</f>
        <v>27.271252854767994</v>
      </c>
      <c r="AK45" s="1005">
        <f t="shared" si="22"/>
        <v>0</v>
      </c>
      <c r="AL45" s="1003">
        <f t="shared" ref="AL45" si="26">SUM(AL46:AL55)</f>
        <v>0</v>
      </c>
      <c r="AM45" s="1002">
        <f t="shared" si="22"/>
        <v>0</v>
      </c>
      <c r="AN45" s="1004">
        <f t="shared" si="22"/>
        <v>0</v>
      </c>
      <c r="AO45" s="1004">
        <f t="shared" si="22"/>
        <v>5.3733816232262495</v>
      </c>
      <c r="AP45" s="1007">
        <f t="shared" si="22"/>
        <v>0</v>
      </c>
      <c r="AQ45" s="1009">
        <f t="shared" si="13"/>
        <v>5194.8403769384886</v>
      </c>
      <c r="AR45" s="1"/>
      <c r="AS45" s="4"/>
    </row>
    <row r="46" spans="1:45" ht="12.75" customHeight="1">
      <c r="A46" s="543" t="s">
        <v>173</v>
      </c>
      <c r="B46" s="896"/>
      <c r="C46" s="897">
        <f t="shared" ref="C46:C64" si="27">SUM(D46:G46)</f>
        <v>0</v>
      </c>
      <c r="D46" s="1010"/>
      <c r="E46" s="945"/>
      <c r="F46" s="900"/>
      <c r="G46" s="900"/>
      <c r="H46" s="901">
        <f t="shared" ref="H46:H64" si="28">SUM(I46:K46)</f>
        <v>0</v>
      </c>
      <c r="I46" s="898"/>
      <c r="J46" s="902"/>
      <c r="K46" s="899"/>
      <c r="L46" s="901">
        <f t="shared" ref="L46:L64" si="29">SUM(M46:Z46)</f>
        <v>703.5908900281911</v>
      </c>
      <c r="M46" s="899"/>
      <c r="N46" s="899"/>
      <c r="O46" s="899"/>
      <c r="P46" s="899"/>
      <c r="Q46" s="899"/>
      <c r="R46" s="899"/>
      <c r="S46" s="899"/>
      <c r="T46" s="899"/>
      <c r="U46" s="899">
        <v>703.5908900281911</v>
      </c>
      <c r="V46" s="899"/>
      <c r="W46" s="900"/>
      <c r="X46" s="900"/>
      <c r="Y46" s="900"/>
      <c r="Z46" s="899"/>
      <c r="AA46" s="905">
        <v>2.9723185667999998E-2</v>
      </c>
      <c r="AB46" s="903">
        <f t="shared" ref="AB46:AB64" si="30">SUM(AC46:AM46)</f>
        <v>30.162309971808927</v>
      </c>
      <c r="AC46" s="904"/>
      <c r="AD46" s="899"/>
      <c r="AE46" s="899"/>
      <c r="AF46" s="899"/>
      <c r="AG46" s="899"/>
      <c r="AH46" s="899"/>
      <c r="AI46" s="899">
        <v>30.162309971808927</v>
      </c>
      <c r="AJ46" s="899">
        <v>0</v>
      </c>
      <c r="AK46" s="898"/>
      <c r="AL46" s="900"/>
      <c r="AM46" s="899"/>
      <c r="AN46" s="901"/>
      <c r="AO46" s="905"/>
      <c r="AP46" s="903"/>
      <c r="AQ46" s="930">
        <f t="shared" si="13"/>
        <v>733.78292318566798</v>
      </c>
    </row>
    <row r="47" spans="1:45" ht="12.75" customHeight="1">
      <c r="A47" s="540" t="s">
        <v>174</v>
      </c>
      <c r="B47" s="1011"/>
      <c r="C47" s="850">
        <f t="shared" si="27"/>
        <v>0</v>
      </c>
      <c r="D47" s="1012"/>
      <c r="E47" s="1013"/>
      <c r="F47" s="990"/>
      <c r="G47" s="990"/>
      <c r="H47" s="854">
        <f t="shared" si="28"/>
        <v>0</v>
      </c>
      <c r="I47" s="988"/>
      <c r="J47" s="989"/>
      <c r="K47" s="907"/>
      <c r="L47" s="987">
        <f t="shared" si="29"/>
        <v>329.18377939153407</v>
      </c>
      <c r="M47" s="907"/>
      <c r="N47" s="907"/>
      <c r="O47" s="907"/>
      <c r="P47" s="907"/>
      <c r="Q47" s="907"/>
      <c r="R47" s="907"/>
      <c r="S47" s="907"/>
      <c r="T47" s="907"/>
      <c r="U47" s="907">
        <v>329.18377939153407</v>
      </c>
      <c r="V47" s="907"/>
      <c r="W47" s="990"/>
      <c r="X47" s="990"/>
      <c r="Y47" s="990"/>
      <c r="Z47" s="907"/>
      <c r="AA47" s="997"/>
      <c r="AB47" s="991">
        <f t="shared" si="30"/>
        <v>14.111813174984674</v>
      </c>
      <c r="AC47" s="992"/>
      <c r="AD47" s="907"/>
      <c r="AE47" s="907"/>
      <c r="AF47" s="907"/>
      <c r="AG47" s="907"/>
      <c r="AH47" s="907"/>
      <c r="AI47" s="907">
        <v>14.111813174984674</v>
      </c>
      <c r="AJ47" s="907">
        <v>0</v>
      </c>
      <c r="AK47" s="988"/>
      <c r="AL47" s="990"/>
      <c r="AM47" s="907"/>
      <c r="AN47" s="987"/>
      <c r="AO47" s="997"/>
      <c r="AP47" s="991"/>
      <c r="AQ47" s="906">
        <f t="shared" si="13"/>
        <v>343.29559256651874</v>
      </c>
    </row>
    <row r="48" spans="1:45" ht="12.75" customHeight="1">
      <c r="A48" s="541" t="s">
        <v>175</v>
      </c>
      <c r="B48" s="849"/>
      <c r="C48" s="850">
        <f t="shared" si="27"/>
        <v>0</v>
      </c>
      <c r="D48" s="851"/>
      <c r="E48" s="862"/>
      <c r="F48" s="853"/>
      <c r="G48" s="853"/>
      <c r="H48" s="854">
        <f t="shared" si="28"/>
        <v>0</v>
      </c>
      <c r="I48" s="855"/>
      <c r="J48" s="856"/>
      <c r="K48" s="857"/>
      <c r="L48" s="854">
        <f t="shared" si="29"/>
        <v>1988.8117004276846</v>
      </c>
      <c r="M48" s="857"/>
      <c r="N48" s="857"/>
      <c r="O48" s="857"/>
      <c r="P48" s="857">
        <v>674.58043053629058</v>
      </c>
      <c r="Q48" s="857"/>
      <c r="R48" s="857"/>
      <c r="S48" s="857"/>
      <c r="T48" s="857">
        <v>1.8520724281984335</v>
      </c>
      <c r="U48" s="857">
        <v>1312.3791974631956</v>
      </c>
      <c r="V48" s="857"/>
      <c r="W48" s="853"/>
      <c r="X48" s="853"/>
      <c r="Y48" s="853"/>
      <c r="Z48" s="857"/>
      <c r="AA48" s="860"/>
      <c r="AB48" s="858">
        <f t="shared" si="30"/>
        <v>78.598025526444061</v>
      </c>
      <c r="AC48" s="859"/>
      <c r="AD48" s="857"/>
      <c r="AE48" s="857"/>
      <c r="AF48" s="857"/>
      <c r="AG48" s="857"/>
      <c r="AH48" s="857"/>
      <c r="AI48" s="857">
        <v>56.260518314631256</v>
      </c>
      <c r="AJ48" s="857">
        <v>22.33750721181281</v>
      </c>
      <c r="AK48" s="855"/>
      <c r="AL48" s="853"/>
      <c r="AM48" s="857"/>
      <c r="AN48" s="854"/>
      <c r="AO48" s="860">
        <v>1.0652907432262495</v>
      </c>
      <c r="AP48" s="858"/>
      <c r="AQ48" s="861">
        <f t="shared" si="13"/>
        <v>2068.4750166973549</v>
      </c>
    </row>
    <row r="49" spans="1:45" ht="12.75" customHeight="1">
      <c r="A49" s="541" t="s">
        <v>176</v>
      </c>
      <c r="B49" s="849"/>
      <c r="C49" s="850">
        <f t="shared" si="27"/>
        <v>0</v>
      </c>
      <c r="D49" s="851"/>
      <c r="E49" s="862"/>
      <c r="F49" s="853"/>
      <c r="G49" s="853"/>
      <c r="H49" s="854">
        <f t="shared" si="28"/>
        <v>0</v>
      </c>
      <c r="I49" s="855"/>
      <c r="J49" s="856"/>
      <c r="K49" s="857"/>
      <c r="L49" s="854">
        <f t="shared" si="29"/>
        <v>132.19128758585111</v>
      </c>
      <c r="M49" s="857"/>
      <c r="N49" s="857"/>
      <c r="O49" s="857"/>
      <c r="P49" s="857">
        <v>6.5053363986760129</v>
      </c>
      <c r="Q49" s="857"/>
      <c r="R49" s="857"/>
      <c r="S49" s="857"/>
      <c r="T49" s="857"/>
      <c r="U49" s="857">
        <v>125.68595118717511</v>
      </c>
      <c r="V49" s="857"/>
      <c r="W49" s="853"/>
      <c r="X49" s="853"/>
      <c r="Y49" s="853"/>
      <c r="Z49" s="857"/>
      <c r="AA49" s="860"/>
      <c r="AB49" s="858">
        <f t="shared" si="30"/>
        <v>5.6034563359273175</v>
      </c>
      <c r="AC49" s="859"/>
      <c r="AD49" s="857"/>
      <c r="AE49" s="857"/>
      <c r="AF49" s="857"/>
      <c r="AG49" s="857"/>
      <c r="AH49" s="857"/>
      <c r="AI49" s="857">
        <v>5.3880439223102039</v>
      </c>
      <c r="AJ49" s="857">
        <v>0.21541241361711327</v>
      </c>
      <c r="AK49" s="855"/>
      <c r="AL49" s="853"/>
      <c r="AM49" s="857"/>
      <c r="AN49" s="854"/>
      <c r="AO49" s="860"/>
      <c r="AP49" s="858"/>
      <c r="AQ49" s="861">
        <f t="shared" si="13"/>
        <v>137.79474392177843</v>
      </c>
    </row>
    <row r="50" spans="1:45" ht="12.75" customHeight="1">
      <c r="A50" s="541" t="s">
        <v>177</v>
      </c>
      <c r="B50" s="849"/>
      <c r="C50" s="850">
        <f t="shared" si="27"/>
        <v>0</v>
      </c>
      <c r="D50" s="851"/>
      <c r="E50" s="862"/>
      <c r="F50" s="853"/>
      <c r="G50" s="853"/>
      <c r="H50" s="854">
        <f t="shared" si="28"/>
        <v>0</v>
      </c>
      <c r="I50" s="855"/>
      <c r="J50" s="856"/>
      <c r="K50" s="857"/>
      <c r="L50" s="854">
        <f t="shared" si="29"/>
        <v>38.043221783939138</v>
      </c>
      <c r="M50" s="857"/>
      <c r="N50" s="857"/>
      <c r="O50" s="857"/>
      <c r="P50" s="857"/>
      <c r="Q50" s="857"/>
      <c r="R50" s="1014"/>
      <c r="S50" s="857"/>
      <c r="T50" s="857"/>
      <c r="U50" s="857">
        <v>38.043221783939138</v>
      </c>
      <c r="V50" s="857"/>
      <c r="W50" s="853"/>
      <c r="X50" s="853"/>
      <c r="Y50" s="853"/>
      <c r="Z50" s="857"/>
      <c r="AA50" s="860"/>
      <c r="AB50" s="858">
        <f t="shared" si="30"/>
        <v>0</v>
      </c>
      <c r="AC50" s="859"/>
      <c r="AD50" s="857"/>
      <c r="AE50" s="857"/>
      <c r="AF50" s="857"/>
      <c r="AG50" s="857"/>
      <c r="AH50" s="857"/>
      <c r="AI50" s="857">
        <v>0</v>
      </c>
      <c r="AJ50" s="857"/>
      <c r="AK50" s="855"/>
      <c r="AL50" s="853"/>
      <c r="AM50" s="857"/>
      <c r="AN50" s="854"/>
      <c r="AO50" s="860">
        <v>4.30809088</v>
      </c>
      <c r="AP50" s="858"/>
      <c r="AQ50" s="861">
        <f t="shared" si="13"/>
        <v>42.35131266393914</v>
      </c>
    </row>
    <row r="51" spans="1:45" ht="12.75" customHeight="1">
      <c r="A51" s="541" t="s">
        <v>178</v>
      </c>
      <c r="B51" s="849"/>
      <c r="C51" s="850">
        <f t="shared" si="27"/>
        <v>0</v>
      </c>
      <c r="D51" s="851"/>
      <c r="E51" s="862"/>
      <c r="F51" s="853"/>
      <c r="G51" s="853"/>
      <c r="H51" s="854">
        <f t="shared" si="28"/>
        <v>0</v>
      </c>
      <c r="I51" s="855"/>
      <c r="J51" s="856"/>
      <c r="K51" s="857"/>
      <c r="L51" s="854">
        <f t="shared" si="29"/>
        <v>5.5768892778871395</v>
      </c>
      <c r="M51" s="857"/>
      <c r="N51" s="857"/>
      <c r="O51" s="857"/>
      <c r="P51" s="857">
        <v>0.66818888888888883</v>
      </c>
      <c r="Q51" s="857"/>
      <c r="R51" s="857">
        <v>4.908700388998251</v>
      </c>
      <c r="S51" s="857"/>
      <c r="T51" s="857"/>
      <c r="U51" s="857"/>
      <c r="V51" s="857"/>
      <c r="W51" s="853"/>
      <c r="X51" s="853"/>
      <c r="Y51" s="853"/>
      <c r="Z51" s="857"/>
      <c r="AA51" s="860"/>
      <c r="AB51" s="858">
        <f t="shared" si="30"/>
        <v>0</v>
      </c>
      <c r="AC51" s="859"/>
      <c r="AD51" s="857"/>
      <c r="AE51" s="857"/>
      <c r="AF51" s="857"/>
      <c r="AG51" s="857"/>
      <c r="AH51" s="857"/>
      <c r="AI51" s="857"/>
      <c r="AJ51" s="857"/>
      <c r="AK51" s="855"/>
      <c r="AL51" s="853"/>
      <c r="AM51" s="857"/>
      <c r="AN51" s="854"/>
      <c r="AO51" s="860"/>
      <c r="AP51" s="858"/>
      <c r="AQ51" s="861">
        <f t="shared" si="13"/>
        <v>5.5768892778871395</v>
      </c>
    </row>
    <row r="52" spans="1:45" ht="12.75" customHeight="1">
      <c r="A52" s="541" t="s">
        <v>179</v>
      </c>
      <c r="B52" s="996"/>
      <c r="C52" s="1015">
        <f t="shared" si="27"/>
        <v>0</v>
      </c>
      <c r="D52" s="1014"/>
      <c r="E52" s="1014"/>
      <c r="F52" s="1016"/>
      <c r="G52" s="1016"/>
      <c r="H52" s="1017">
        <f t="shared" si="28"/>
        <v>0</v>
      </c>
      <c r="I52" s="1018"/>
      <c r="J52" s="1019"/>
      <c r="K52" s="1014"/>
      <c r="L52" s="1017">
        <f t="shared" si="29"/>
        <v>1097.9355056907616</v>
      </c>
      <c r="M52" s="1014"/>
      <c r="N52" s="1014"/>
      <c r="O52" s="1014"/>
      <c r="P52" s="907"/>
      <c r="Q52" s="1014"/>
      <c r="R52" s="1014">
        <v>1097.9355056907616</v>
      </c>
      <c r="S52" s="1014"/>
      <c r="T52" s="1014"/>
      <c r="U52" s="1014"/>
      <c r="V52" s="1014"/>
      <c r="W52" s="1016"/>
      <c r="X52" s="1016"/>
      <c r="Y52" s="1016"/>
      <c r="Z52" s="1014"/>
      <c r="AA52" s="997"/>
      <c r="AB52" s="1020">
        <f t="shared" si="30"/>
        <v>0</v>
      </c>
      <c r="AC52" s="1021"/>
      <c r="AD52" s="1014"/>
      <c r="AE52" s="1014"/>
      <c r="AF52" s="1014"/>
      <c r="AG52" s="1014"/>
      <c r="AH52" s="1014"/>
      <c r="AI52" s="1014"/>
      <c r="AJ52" s="1014"/>
      <c r="AK52" s="988"/>
      <c r="AL52" s="990"/>
      <c r="AM52" s="1014"/>
      <c r="AN52" s="997"/>
      <c r="AO52" s="997"/>
      <c r="AP52" s="1020"/>
      <c r="AQ52" s="1022">
        <f t="shared" si="13"/>
        <v>1097.9355056907616</v>
      </c>
    </row>
    <row r="53" spans="1:45" ht="12.75" customHeight="1">
      <c r="A53" s="541" t="s">
        <v>180</v>
      </c>
      <c r="B53" s="996"/>
      <c r="C53" s="1015">
        <f t="shared" si="27"/>
        <v>0</v>
      </c>
      <c r="D53" s="1018"/>
      <c r="E53" s="1014"/>
      <c r="F53" s="1016"/>
      <c r="G53" s="1016"/>
      <c r="H53" s="1017">
        <f t="shared" si="28"/>
        <v>0</v>
      </c>
      <c r="I53" s="1018"/>
      <c r="J53" s="1019"/>
      <c r="K53" s="1014"/>
      <c r="L53" s="1017">
        <f t="shared" si="29"/>
        <v>176.59351048332516</v>
      </c>
      <c r="M53" s="1014"/>
      <c r="N53" s="1014"/>
      <c r="O53" s="1014"/>
      <c r="P53" s="1014">
        <v>0</v>
      </c>
      <c r="Q53" s="1014"/>
      <c r="R53" s="1014"/>
      <c r="S53" s="1014"/>
      <c r="T53" s="1014"/>
      <c r="U53" s="1014">
        <v>176.59351048332516</v>
      </c>
      <c r="V53" s="1014"/>
      <c r="W53" s="1016"/>
      <c r="X53" s="1016"/>
      <c r="Y53" s="1016"/>
      <c r="Z53" s="1014"/>
      <c r="AA53" s="997"/>
      <c r="AB53" s="1020">
        <f t="shared" si="30"/>
        <v>7.570405299014781</v>
      </c>
      <c r="AC53" s="1021"/>
      <c r="AD53" s="1014"/>
      <c r="AE53" s="1014"/>
      <c r="AF53" s="1014"/>
      <c r="AG53" s="1014"/>
      <c r="AH53" s="1014"/>
      <c r="AI53" s="857">
        <v>7.570405299014781</v>
      </c>
      <c r="AJ53" s="857">
        <v>0</v>
      </c>
      <c r="AK53" s="1014"/>
      <c r="AL53" s="1014"/>
      <c r="AM53" s="1014"/>
      <c r="AN53" s="997"/>
      <c r="AO53" s="860"/>
      <c r="AP53" s="1020"/>
      <c r="AQ53" s="1022">
        <f t="shared" si="13"/>
        <v>184.16391578233996</v>
      </c>
    </row>
    <row r="54" spans="1:45" ht="12.75" customHeight="1">
      <c r="A54" s="530" t="s">
        <v>181</v>
      </c>
      <c r="B54" s="849"/>
      <c r="C54" s="1015">
        <f t="shared" si="27"/>
        <v>0</v>
      </c>
      <c r="D54" s="1018"/>
      <c r="E54" s="1014"/>
      <c r="F54" s="1016"/>
      <c r="G54" s="1016"/>
      <c r="H54" s="1017">
        <f t="shared" si="28"/>
        <v>0</v>
      </c>
      <c r="I54" s="1018"/>
      <c r="J54" s="1019"/>
      <c r="K54" s="1014"/>
      <c r="L54" s="1017">
        <f t="shared" si="29"/>
        <v>83.913724293678101</v>
      </c>
      <c r="M54" s="1014"/>
      <c r="N54" s="1014"/>
      <c r="O54" s="1014"/>
      <c r="P54" s="1014"/>
      <c r="Q54" s="1014"/>
      <c r="R54" s="1014"/>
      <c r="S54" s="1014"/>
      <c r="T54" s="1014"/>
      <c r="U54" s="1014">
        <v>83.913724293678101</v>
      </c>
      <c r="V54" s="1014"/>
      <c r="W54" s="1016"/>
      <c r="X54" s="1016"/>
      <c r="Y54" s="1016"/>
      <c r="Z54" s="1014"/>
      <c r="AA54" s="954"/>
      <c r="AB54" s="1020">
        <f t="shared" si="30"/>
        <v>0</v>
      </c>
      <c r="AC54" s="1021"/>
      <c r="AD54" s="1014"/>
      <c r="AE54" s="1014"/>
      <c r="AF54" s="1014"/>
      <c r="AG54" s="1014"/>
      <c r="AH54" s="1014"/>
      <c r="AI54" s="1014"/>
      <c r="AJ54" s="1014"/>
      <c r="AK54" s="1014"/>
      <c r="AL54" s="1014"/>
      <c r="AM54" s="1014"/>
      <c r="AN54" s="954"/>
      <c r="AO54" s="997"/>
      <c r="AP54" s="1020"/>
      <c r="AQ54" s="1022">
        <f t="shared" si="13"/>
        <v>83.913724293678101</v>
      </c>
    </row>
    <row r="55" spans="1:45" ht="12.75" customHeight="1">
      <c r="A55" s="535" t="s">
        <v>182</v>
      </c>
      <c r="B55" s="908"/>
      <c r="C55" s="909">
        <f t="shared" si="27"/>
        <v>0</v>
      </c>
      <c r="D55" s="1023"/>
      <c r="E55" s="1024"/>
      <c r="F55" s="912"/>
      <c r="G55" s="912"/>
      <c r="H55" s="913">
        <f t="shared" si="28"/>
        <v>0</v>
      </c>
      <c r="I55" s="910"/>
      <c r="J55" s="914"/>
      <c r="K55" s="911"/>
      <c r="L55" s="913">
        <f t="shared" si="29"/>
        <v>456.8260488931312</v>
      </c>
      <c r="M55" s="911"/>
      <c r="N55" s="911"/>
      <c r="O55" s="911"/>
      <c r="P55" s="911">
        <v>142.49106809811542</v>
      </c>
      <c r="Q55" s="911"/>
      <c r="R55" s="911"/>
      <c r="S55" s="911">
        <v>0</v>
      </c>
      <c r="T55" s="911"/>
      <c r="U55" s="911">
        <v>314.33498079501578</v>
      </c>
      <c r="V55" s="911"/>
      <c r="W55" s="912"/>
      <c r="X55" s="912"/>
      <c r="Y55" s="912"/>
      <c r="Z55" s="911"/>
      <c r="AA55" s="917">
        <v>22.531112229915806</v>
      </c>
      <c r="AB55" s="915">
        <f t="shared" si="30"/>
        <v>18.193591735516275</v>
      </c>
      <c r="AC55" s="916"/>
      <c r="AD55" s="911"/>
      <c r="AE55" s="911"/>
      <c r="AF55" s="911"/>
      <c r="AG55" s="911"/>
      <c r="AH55" s="911"/>
      <c r="AI55" s="911">
        <v>13.475258506178202</v>
      </c>
      <c r="AJ55" s="911">
        <v>4.7183332293380724</v>
      </c>
      <c r="AK55" s="910"/>
      <c r="AL55" s="912"/>
      <c r="AM55" s="911"/>
      <c r="AN55" s="913"/>
      <c r="AO55" s="917"/>
      <c r="AP55" s="915"/>
      <c r="AQ55" s="918">
        <f t="shared" si="13"/>
        <v>497.55075285856333</v>
      </c>
    </row>
    <row r="56" spans="1:45" s="18" customFormat="1" ht="12.75" customHeight="1">
      <c r="A56" s="61" t="s">
        <v>1</v>
      </c>
      <c r="B56" s="1025"/>
      <c r="C56" s="1026">
        <f t="shared" si="27"/>
        <v>216.79218330365393</v>
      </c>
      <c r="D56" s="1027">
        <v>115.30751795563631</v>
      </c>
      <c r="E56" s="852">
        <v>89.647280058277374</v>
      </c>
      <c r="F56" s="1028"/>
      <c r="G56" s="1028">
        <v>11.837385289740231</v>
      </c>
      <c r="H56" s="1029">
        <f t="shared" si="28"/>
        <v>196.53880633</v>
      </c>
      <c r="I56" s="1027"/>
      <c r="J56" s="1030">
        <v>127.70399999999999</v>
      </c>
      <c r="K56" s="928">
        <v>68.834806329999992</v>
      </c>
      <c r="L56" s="1029">
        <f t="shared" si="29"/>
        <v>1254.8255059886615</v>
      </c>
      <c r="M56" s="928"/>
      <c r="N56" s="928"/>
      <c r="O56" s="928"/>
      <c r="P56" s="928">
        <v>0</v>
      </c>
      <c r="Q56" s="928">
        <v>865.67110107427072</v>
      </c>
      <c r="R56" s="928"/>
      <c r="S56" s="928">
        <v>0</v>
      </c>
      <c r="T56" s="928">
        <v>53.841522983216713</v>
      </c>
      <c r="U56" s="928">
        <v>329.909010207883</v>
      </c>
      <c r="V56" s="928">
        <v>5.4038717232911377</v>
      </c>
      <c r="W56" s="1028"/>
      <c r="X56" s="1028"/>
      <c r="Y56" s="1028"/>
      <c r="Z56" s="928"/>
      <c r="AA56" s="1029">
        <v>604.09375845912712</v>
      </c>
      <c r="AB56" s="1031">
        <f t="shared" si="30"/>
        <v>71.026669556951646</v>
      </c>
      <c r="AC56" s="1032"/>
      <c r="AD56" s="928"/>
      <c r="AE56" s="928">
        <v>29.776082158378955</v>
      </c>
      <c r="AF56" s="928"/>
      <c r="AG56" s="928"/>
      <c r="AH56" s="928"/>
      <c r="AI56" s="928"/>
      <c r="AJ56" s="928"/>
      <c r="AK56" s="1027"/>
      <c r="AL56" s="1028">
        <v>13.379590942008413</v>
      </c>
      <c r="AM56" s="928">
        <v>27.870996456564281</v>
      </c>
      <c r="AN56" s="1029"/>
      <c r="AO56" s="1029">
        <v>702.94473599999992</v>
      </c>
      <c r="AP56" s="1031"/>
      <c r="AQ56" s="929">
        <f t="shared" si="13"/>
        <v>3046.2216596383942</v>
      </c>
      <c r="AR56" s="16"/>
      <c r="AS56" s="17"/>
    </row>
    <row r="57" spans="1:45" s="5" customFormat="1" ht="12.75" customHeight="1">
      <c r="A57" s="544" t="s">
        <v>798</v>
      </c>
      <c r="B57" s="1025"/>
      <c r="C57" s="1026">
        <f>C58+C65</f>
        <v>0.51992180451127823</v>
      </c>
      <c r="D57" s="928">
        <f t="shared" ref="D57:AP57" si="31">D58+D65</f>
        <v>0.51992180451127823</v>
      </c>
      <c r="E57" s="928">
        <f t="shared" si="31"/>
        <v>0</v>
      </c>
      <c r="F57" s="1028">
        <f t="shared" si="31"/>
        <v>0</v>
      </c>
      <c r="G57" s="1028">
        <f t="shared" si="31"/>
        <v>0</v>
      </c>
      <c r="H57" s="1029">
        <f t="shared" si="31"/>
        <v>0</v>
      </c>
      <c r="I57" s="1027">
        <f t="shared" si="31"/>
        <v>0</v>
      </c>
      <c r="J57" s="1027">
        <f t="shared" si="31"/>
        <v>0</v>
      </c>
      <c r="K57" s="1027">
        <f t="shared" si="31"/>
        <v>0</v>
      </c>
      <c r="L57" s="1029">
        <f t="shared" si="31"/>
        <v>240.86725727408077</v>
      </c>
      <c r="M57" s="928">
        <f t="shared" si="31"/>
        <v>0</v>
      </c>
      <c r="N57" s="928">
        <f t="shared" si="31"/>
        <v>0</v>
      </c>
      <c r="O57" s="928">
        <f t="shared" si="31"/>
        <v>0</v>
      </c>
      <c r="P57" s="928">
        <f t="shared" si="31"/>
        <v>0</v>
      </c>
      <c r="Q57" s="928">
        <f t="shared" si="31"/>
        <v>62.827000000000005</v>
      </c>
      <c r="R57" s="928">
        <f t="shared" si="31"/>
        <v>0</v>
      </c>
      <c r="S57" s="928">
        <f t="shared" si="31"/>
        <v>0.64284746861564912</v>
      </c>
      <c r="T57" s="928">
        <f t="shared" si="31"/>
        <v>70.524409805465098</v>
      </c>
      <c r="U57" s="928">
        <f t="shared" si="31"/>
        <v>106.87300000000002</v>
      </c>
      <c r="V57" s="928">
        <f t="shared" si="31"/>
        <v>0</v>
      </c>
      <c r="W57" s="1028">
        <f t="shared" si="31"/>
        <v>0</v>
      </c>
      <c r="X57" s="1028">
        <f t="shared" si="31"/>
        <v>0</v>
      </c>
      <c r="Y57" s="1028">
        <f t="shared" si="31"/>
        <v>0</v>
      </c>
      <c r="Z57" s="1027">
        <f t="shared" si="31"/>
        <v>0</v>
      </c>
      <c r="AA57" s="1029">
        <f t="shared" si="31"/>
        <v>328.6198962047896</v>
      </c>
      <c r="AB57" s="1031">
        <f t="shared" si="31"/>
        <v>39.433814247868156</v>
      </c>
      <c r="AC57" s="1032">
        <f t="shared" si="31"/>
        <v>0</v>
      </c>
      <c r="AD57" s="928">
        <f t="shared" si="31"/>
        <v>0</v>
      </c>
      <c r="AE57" s="928">
        <f t="shared" si="31"/>
        <v>17.99312324724</v>
      </c>
      <c r="AF57" s="928">
        <f t="shared" si="31"/>
        <v>0</v>
      </c>
      <c r="AG57" s="928">
        <f t="shared" si="31"/>
        <v>0</v>
      </c>
      <c r="AH57" s="928">
        <f t="shared" si="31"/>
        <v>5.621744734795584</v>
      </c>
      <c r="AI57" s="928">
        <f t="shared" si="31"/>
        <v>0</v>
      </c>
      <c r="AJ57" s="928">
        <f t="shared" si="31"/>
        <v>0</v>
      </c>
      <c r="AK57" s="928">
        <f t="shared" si="31"/>
        <v>0</v>
      </c>
      <c r="AL57" s="928">
        <f t="shared" si="31"/>
        <v>0.16649466165720572</v>
      </c>
      <c r="AM57" s="1027">
        <f t="shared" si="31"/>
        <v>15.65245160417537</v>
      </c>
      <c r="AN57" s="1029">
        <f t="shared" si="31"/>
        <v>0</v>
      </c>
      <c r="AO57" s="1029">
        <f t="shared" si="31"/>
        <v>1078.743765043014</v>
      </c>
      <c r="AP57" s="1031">
        <f t="shared" si="31"/>
        <v>0</v>
      </c>
      <c r="AQ57" s="1033">
        <f t="shared" si="13"/>
        <v>1688.184654574264</v>
      </c>
      <c r="AR57" s="1"/>
      <c r="AS57" s="14"/>
    </row>
    <row r="58" spans="1:45" ht="12.75" customHeight="1">
      <c r="A58" s="61" t="s">
        <v>799</v>
      </c>
      <c r="B58" s="1025"/>
      <c r="C58" s="1026">
        <f t="shared" si="27"/>
        <v>0.5149225563909775</v>
      </c>
      <c r="D58" s="1032">
        <v>0.5149225563909775</v>
      </c>
      <c r="E58" s="1031">
        <v>0</v>
      </c>
      <c r="F58" s="1031">
        <f>SUM(F59:F64)</f>
        <v>0</v>
      </c>
      <c r="G58" s="1034">
        <v>0</v>
      </c>
      <c r="H58" s="1029">
        <f t="shared" si="28"/>
        <v>0</v>
      </c>
      <c r="I58" s="1027">
        <f>SUM(I59:I64)</f>
        <v>0</v>
      </c>
      <c r="J58" s="1035">
        <f>SUM(J59:J64)</f>
        <v>0</v>
      </c>
      <c r="K58" s="1027">
        <f>SUM(K59:K64)</f>
        <v>0</v>
      </c>
      <c r="L58" s="1029">
        <f t="shared" si="29"/>
        <v>109.16310972047087</v>
      </c>
      <c r="M58" s="928">
        <f t="shared" ref="M58:AN58" si="32">SUM(M59:M64)</f>
        <v>0</v>
      </c>
      <c r="N58" s="1028">
        <f t="shared" si="32"/>
        <v>0</v>
      </c>
      <c r="O58" s="1028">
        <f t="shared" si="32"/>
        <v>0</v>
      </c>
      <c r="P58" s="1031">
        <f t="shared" si="32"/>
        <v>0</v>
      </c>
      <c r="Q58" s="1031">
        <v>15.841000000000001</v>
      </c>
      <c r="R58" s="1031">
        <f t="shared" si="32"/>
        <v>0</v>
      </c>
      <c r="S58" s="1031">
        <v>0</v>
      </c>
      <c r="T58" s="1031">
        <v>41.074109720470858</v>
      </c>
      <c r="U58" s="1031">
        <v>52.248000000000012</v>
      </c>
      <c r="V58" s="1031">
        <f t="shared" si="32"/>
        <v>0</v>
      </c>
      <c r="W58" s="1031">
        <f t="shared" si="32"/>
        <v>0</v>
      </c>
      <c r="X58" s="1031">
        <f t="shared" si="32"/>
        <v>0</v>
      </c>
      <c r="Y58" s="1028">
        <f t="shared" si="32"/>
        <v>0</v>
      </c>
      <c r="Z58" s="1027">
        <f t="shared" si="32"/>
        <v>0</v>
      </c>
      <c r="AA58" s="1029">
        <v>206.51565457653467</v>
      </c>
      <c r="AB58" s="1031">
        <f t="shared" si="30"/>
        <v>20.523795887314584</v>
      </c>
      <c r="AC58" s="1032">
        <f t="shared" si="32"/>
        <v>0</v>
      </c>
      <c r="AD58" s="928">
        <f t="shared" si="32"/>
        <v>0</v>
      </c>
      <c r="AE58" s="928">
        <f t="shared" si="32"/>
        <v>3.9004188670820072</v>
      </c>
      <c r="AF58" s="928"/>
      <c r="AG58" s="928">
        <f t="shared" si="32"/>
        <v>0</v>
      </c>
      <c r="AH58" s="928">
        <f t="shared" si="32"/>
        <v>0.80443075440000011</v>
      </c>
      <c r="AI58" s="928">
        <f t="shared" si="32"/>
        <v>0</v>
      </c>
      <c r="AJ58" s="928">
        <f t="shared" si="32"/>
        <v>0</v>
      </c>
      <c r="AK58" s="928"/>
      <c r="AL58" s="928">
        <v>0.16649466165720572</v>
      </c>
      <c r="AM58" s="1028">
        <v>15.65245160417537</v>
      </c>
      <c r="AN58" s="1029">
        <f t="shared" si="32"/>
        <v>0</v>
      </c>
      <c r="AO58" s="1029">
        <v>828.90452168344279</v>
      </c>
      <c r="AP58" s="1031">
        <f t="shared" ref="AP58" si="33">SUM(AP59:AP64)</f>
        <v>0</v>
      </c>
      <c r="AQ58" s="1033">
        <f t="shared" si="13"/>
        <v>1165.6220044241538</v>
      </c>
      <c r="AS58" s="15"/>
    </row>
    <row r="59" spans="1:45" ht="12.75" customHeight="1">
      <c r="A59" s="545" t="s">
        <v>800</v>
      </c>
      <c r="B59" s="1036" t="s">
        <v>801</v>
      </c>
      <c r="C59" s="897">
        <f t="shared" si="27"/>
        <v>3.9993984962406011E-3</v>
      </c>
      <c r="D59" s="859">
        <v>3.9993984962406011E-3</v>
      </c>
      <c r="E59" s="903"/>
      <c r="F59" s="903"/>
      <c r="G59" s="943"/>
      <c r="H59" s="901">
        <f t="shared" si="28"/>
        <v>0</v>
      </c>
      <c r="I59" s="1010"/>
      <c r="J59" s="1037"/>
      <c r="K59" s="1010"/>
      <c r="L59" s="901">
        <f t="shared" si="29"/>
        <v>29.110393287676398</v>
      </c>
      <c r="M59" s="945"/>
      <c r="N59" s="1038"/>
      <c r="O59" s="1038"/>
      <c r="P59" s="903"/>
      <c r="Q59" s="994">
        <v>6.548</v>
      </c>
      <c r="R59" s="903"/>
      <c r="S59" s="994">
        <v>0</v>
      </c>
      <c r="T59" s="994">
        <v>11.487393287676401</v>
      </c>
      <c r="U59" s="994">
        <v>11.074999999999999</v>
      </c>
      <c r="V59" s="994">
        <v>0</v>
      </c>
      <c r="W59" s="903"/>
      <c r="X59" s="903"/>
      <c r="Y59" s="1038"/>
      <c r="Z59" s="1010"/>
      <c r="AA59" s="860">
        <v>52.670839129321678</v>
      </c>
      <c r="AB59" s="903">
        <f t="shared" si="30"/>
        <v>1.2953271877604666</v>
      </c>
      <c r="AC59" s="1039"/>
      <c r="AD59" s="945"/>
      <c r="AE59" s="899">
        <v>1.2953271877604666</v>
      </c>
      <c r="AF59" s="899"/>
      <c r="AG59" s="899"/>
      <c r="AH59" s="899">
        <v>0</v>
      </c>
      <c r="AI59" s="899"/>
      <c r="AJ59" s="899"/>
      <c r="AK59" s="899"/>
      <c r="AL59" s="899">
        <v>0</v>
      </c>
      <c r="AM59" s="900">
        <v>0</v>
      </c>
      <c r="AN59" s="901"/>
      <c r="AO59" s="860">
        <v>225.7085564993871</v>
      </c>
      <c r="AP59" s="903"/>
      <c r="AQ59" s="930">
        <f t="shared" si="13"/>
        <v>308.78911550264189</v>
      </c>
      <c r="AS59" s="15"/>
    </row>
    <row r="60" spans="1:45" ht="12.75" customHeight="1">
      <c r="A60" s="545" t="s">
        <v>802</v>
      </c>
      <c r="B60" s="1036" t="s">
        <v>803</v>
      </c>
      <c r="C60" s="850">
        <f t="shared" si="27"/>
        <v>8.9986466165413535E-3</v>
      </c>
      <c r="D60" s="859">
        <v>8.9986466165413535E-3</v>
      </c>
      <c r="E60" s="858"/>
      <c r="F60" s="858"/>
      <c r="G60" s="1040"/>
      <c r="H60" s="854">
        <f t="shared" si="28"/>
        <v>0</v>
      </c>
      <c r="I60" s="851"/>
      <c r="J60" s="1041"/>
      <c r="K60" s="851"/>
      <c r="L60" s="854">
        <f t="shared" si="29"/>
        <v>24.503931093823979</v>
      </c>
      <c r="M60" s="862"/>
      <c r="N60" s="852"/>
      <c r="O60" s="852"/>
      <c r="P60" s="858"/>
      <c r="Q60" s="994">
        <v>1.2709999999999999</v>
      </c>
      <c r="R60" s="858"/>
      <c r="S60" s="994">
        <v>0</v>
      </c>
      <c r="T60" s="994">
        <v>1.9979310938239756</v>
      </c>
      <c r="U60" s="994">
        <v>21.235000000000003</v>
      </c>
      <c r="V60" s="994">
        <v>0</v>
      </c>
      <c r="W60" s="858"/>
      <c r="X60" s="858"/>
      <c r="Y60" s="852"/>
      <c r="Z60" s="851"/>
      <c r="AA60" s="860">
        <v>23.743479725066276</v>
      </c>
      <c r="AB60" s="858">
        <f t="shared" si="30"/>
        <v>1.138556689715082E-2</v>
      </c>
      <c r="AC60" s="1042"/>
      <c r="AD60" s="862"/>
      <c r="AE60" s="857">
        <v>1.138556689715082E-2</v>
      </c>
      <c r="AF60" s="857"/>
      <c r="AG60" s="857"/>
      <c r="AH60" s="857">
        <v>0</v>
      </c>
      <c r="AI60" s="857"/>
      <c r="AJ60" s="857"/>
      <c r="AK60" s="857"/>
      <c r="AL60" s="857">
        <v>0</v>
      </c>
      <c r="AM60" s="853">
        <v>0</v>
      </c>
      <c r="AN60" s="854"/>
      <c r="AO60" s="860">
        <v>81.932675558202874</v>
      </c>
      <c r="AP60" s="858"/>
      <c r="AQ60" s="861">
        <f t="shared" si="13"/>
        <v>130.20047059060681</v>
      </c>
      <c r="AS60" s="15"/>
    </row>
    <row r="61" spans="1:45" ht="12.75" customHeight="1">
      <c r="A61" s="545" t="s">
        <v>804</v>
      </c>
      <c r="B61" s="1036" t="s">
        <v>805</v>
      </c>
      <c r="C61" s="850">
        <f t="shared" si="27"/>
        <v>0.42993533834586467</v>
      </c>
      <c r="D61" s="859">
        <v>0.42993533834586467</v>
      </c>
      <c r="E61" s="858"/>
      <c r="F61" s="858"/>
      <c r="G61" s="1040"/>
      <c r="H61" s="854">
        <f t="shared" si="28"/>
        <v>0</v>
      </c>
      <c r="I61" s="851"/>
      <c r="J61" s="1041"/>
      <c r="K61" s="851"/>
      <c r="L61" s="854">
        <f t="shared" si="29"/>
        <v>27.815960601382685</v>
      </c>
      <c r="M61" s="862"/>
      <c r="N61" s="852"/>
      <c r="O61" s="852"/>
      <c r="P61" s="858"/>
      <c r="Q61" s="994">
        <v>3.399</v>
      </c>
      <c r="R61" s="858"/>
      <c r="S61" s="994">
        <v>0</v>
      </c>
      <c r="T61" s="994">
        <v>19.454960601382684</v>
      </c>
      <c r="U61" s="994">
        <v>4.9619999999999997</v>
      </c>
      <c r="V61" s="994">
        <v>0</v>
      </c>
      <c r="W61" s="858"/>
      <c r="X61" s="858"/>
      <c r="Y61" s="852"/>
      <c r="Z61" s="851"/>
      <c r="AA61" s="860">
        <v>30.235657033103141</v>
      </c>
      <c r="AB61" s="858">
        <f t="shared" si="30"/>
        <v>0.86179983283049288</v>
      </c>
      <c r="AC61" s="1042"/>
      <c r="AD61" s="862"/>
      <c r="AE61" s="857">
        <v>0.86179983283049288</v>
      </c>
      <c r="AF61" s="857"/>
      <c r="AG61" s="857"/>
      <c r="AH61" s="857">
        <v>0</v>
      </c>
      <c r="AI61" s="857"/>
      <c r="AJ61" s="857"/>
      <c r="AK61" s="857"/>
      <c r="AL61" s="857">
        <v>0</v>
      </c>
      <c r="AM61" s="853">
        <v>0</v>
      </c>
      <c r="AN61" s="854"/>
      <c r="AO61" s="860">
        <v>126.36748353090987</v>
      </c>
      <c r="AP61" s="858"/>
      <c r="AQ61" s="861">
        <f t="shared" si="13"/>
        <v>185.71083633657204</v>
      </c>
      <c r="AS61" s="15"/>
    </row>
    <row r="62" spans="1:45" ht="12.75" customHeight="1">
      <c r="A62" s="545" t="s">
        <v>806</v>
      </c>
      <c r="B62" s="1036" t="s">
        <v>807</v>
      </c>
      <c r="C62" s="850">
        <f t="shared" si="27"/>
        <v>6.9989473684210534E-3</v>
      </c>
      <c r="D62" s="859">
        <v>6.9989473684210534E-3</v>
      </c>
      <c r="E62" s="858"/>
      <c r="F62" s="858"/>
      <c r="G62" s="1040"/>
      <c r="H62" s="854">
        <f t="shared" si="28"/>
        <v>0</v>
      </c>
      <c r="I62" s="851"/>
      <c r="J62" s="1041"/>
      <c r="K62" s="851"/>
      <c r="L62" s="854">
        <f t="shared" si="29"/>
        <v>2.6967648223282072</v>
      </c>
      <c r="M62" s="862"/>
      <c r="N62" s="852"/>
      <c r="O62" s="852"/>
      <c r="P62" s="858"/>
      <c r="Q62" s="994">
        <v>0.36299999999999999</v>
      </c>
      <c r="R62" s="858"/>
      <c r="S62" s="994">
        <v>0</v>
      </c>
      <c r="T62" s="994">
        <v>0.71476482232820748</v>
      </c>
      <c r="U62" s="994">
        <v>1.619</v>
      </c>
      <c r="V62" s="994">
        <v>0</v>
      </c>
      <c r="W62" s="858"/>
      <c r="X62" s="858"/>
      <c r="Y62" s="852"/>
      <c r="Z62" s="851"/>
      <c r="AA62" s="860">
        <v>12.942534033472208</v>
      </c>
      <c r="AB62" s="858">
        <f t="shared" si="30"/>
        <v>4.6418080426845656E-2</v>
      </c>
      <c r="AC62" s="1042"/>
      <c r="AD62" s="862"/>
      <c r="AE62" s="857">
        <v>4.6418080426845656E-2</v>
      </c>
      <c r="AF62" s="857"/>
      <c r="AG62" s="857"/>
      <c r="AH62" s="857">
        <v>0</v>
      </c>
      <c r="AI62" s="857"/>
      <c r="AJ62" s="857"/>
      <c r="AK62" s="857"/>
      <c r="AL62" s="857">
        <v>0</v>
      </c>
      <c r="AM62" s="853">
        <v>0</v>
      </c>
      <c r="AN62" s="854"/>
      <c r="AO62" s="860">
        <v>234.42875082725587</v>
      </c>
      <c r="AP62" s="858"/>
      <c r="AQ62" s="861">
        <f t="shared" si="13"/>
        <v>250.12146671085156</v>
      </c>
      <c r="AS62" s="15"/>
    </row>
    <row r="63" spans="1:45" ht="12.75" customHeight="1">
      <c r="A63" s="545" t="s">
        <v>808</v>
      </c>
      <c r="B63" s="1036" t="s">
        <v>809</v>
      </c>
      <c r="C63" s="850">
        <f t="shared" si="27"/>
        <v>5.799127819548873E-2</v>
      </c>
      <c r="D63" s="1021">
        <v>5.799127819548873E-2</v>
      </c>
      <c r="E63" s="858"/>
      <c r="F63" s="858"/>
      <c r="G63" s="1040"/>
      <c r="H63" s="854">
        <f t="shared" si="28"/>
        <v>0</v>
      </c>
      <c r="I63" s="851"/>
      <c r="J63" s="1041"/>
      <c r="K63" s="851"/>
      <c r="L63" s="854">
        <f t="shared" si="29"/>
        <v>3.8680994311273493</v>
      </c>
      <c r="M63" s="862"/>
      <c r="N63" s="852"/>
      <c r="O63" s="852"/>
      <c r="P63" s="858"/>
      <c r="Q63" s="1043">
        <v>0.68400000000000005</v>
      </c>
      <c r="R63" s="858"/>
      <c r="S63" s="1043">
        <v>0</v>
      </c>
      <c r="T63" s="1043">
        <v>0.16909943112734929</v>
      </c>
      <c r="U63" s="1043">
        <v>3.0150000000000001</v>
      </c>
      <c r="V63" s="1043">
        <v>0</v>
      </c>
      <c r="W63" s="858"/>
      <c r="X63" s="858"/>
      <c r="Y63" s="852"/>
      <c r="Z63" s="851"/>
      <c r="AA63" s="1044">
        <v>11.636733155824563</v>
      </c>
      <c r="AB63" s="858">
        <f t="shared" si="30"/>
        <v>0.34769769678222129</v>
      </c>
      <c r="AC63" s="1042"/>
      <c r="AD63" s="862"/>
      <c r="AE63" s="857">
        <v>0.34769769678222129</v>
      </c>
      <c r="AF63" s="857"/>
      <c r="AG63" s="857"/>
      <c r="AH63" s="857">
        <v>0</v>
      </c>
      <c r="AI63" s="857"/>
      <c r="AJ63" s="857"/>
      <c r="AK63" s="857"/>
      <c r="AL63" s="857">
        <v>0</v>
      </c>
      <c r="AM63" s="853">
        <v>0</v>
      </c>
      <c r="AN63" s="854"/>
      <c r="AO63" s="1044">
        <v>42.659809837330151</v>
      </c>
      <c r="AP63" s="858"/>
      <c r="AQ63" s="861">
        <f t="shared" si="13"/>
        <v>58.570331399259771</v>
      </c>
      <c r="AS63" s="15"/>
    </row>
    <row r="64" spans="1:45" ht="12.75" customHeight="1">
      <c r="A64" s="546" t="s">
        <v>810</v>
      </c>
      <c r="B64" s="1045"/>
      <c r="C64" s="909">
        <f t="shared" si="27"/>
        <v>6.9989473684210534E-3</v>
      </c>
      <c r="D64" s="1021">
        <v>6.9989473684210534E-3</v>
      </c>
      <c r="E64" s="915"/>
      <c r="F64" s="915"/>
      <c r="G64" s="1046"/>
      <c r="H64" s="913">
        <f t="shared" si="28"/>
        <v>0</v>
      </c>
      <c r="I64" s="1023"/>
      <c r="J64" s="1047"/>
      <c r="K64" s="1023"/>
      <c r="L64" s="913">
        <f t="shared" si="29"/>
        <v>21.167960484132237</v>
      </c>
      <c r="M64" s="1024"/>
      <c r="N64" s="1048"/>
      <c r="O64" s="1048"/>
      <c r="P64" s="915"/>
      <c r="Q64" s="1043">
        <v>3.5760000000000001</v>
      </c>
      <c r="R64" s="915"/>
      <c r="S64" s="1043">
        <v>0</v>
      </c>
      <c r="T64" s="1043">
        <v>7.2499604841322363</v>
      </c>
      <c r="U64" s="1043">
        <v>10.342000000000001</v>
      </c>
      <c r="V64" s="1043">
        <v>0</v>
      </c>
      <c r="W64" s="915"/>
      <c r="X64" s="915"/>
      <c r="Y64" s="1048"/>
      <c r="Z64" s="1023"/>
      <c r="AA64" s="1044">
        <v>75.286411499746805</v>
      </c>
      <c r="AB64" s="915">
        <f t="shared" si="30"/>
        <v>17.961167522617405</v>
      </c>
      <c r="AC64" s="1049"/>
      <c r="AD64" s="1024"/>
      <c r="AE64" s="911">
        <v>1.3377905023848295</v>
      </c>
      <c r="AF64" s="911"/>
      <c r="AG64" s="911"/>
      <c r="AH64" s="911">
        <v>0.80443075440000011</v>
      </c>
      <c r="AI64" s="911"/>
      <c r="AJ64" s="911"/>
      <c r="AK64" s="911"/>
      <c r="AL64" s="911">
        <v>0.16649466165720572</v>
      </c>
      <c r="AM64" s="912">
        <v>15.65245160417537</v>
      </c>
      <c r="AN64" s="913"/>
      <c r="AO64" s="1044">
        <v>117.80724543035701</v>
      </c>
      <c r="AP64" s="915"/>
      <c r="AQ64" s="918">
        <f t="shared" si="13"/>
        <v>232.22978388422189</v>
      </c>
      <c r="AS64" s="15"/>
    </row>
    <row r="65" spans="1:45" ht="12.75" customHeight="1">
      <c r="A65" s="61" t="s">
        <v>811</v>
      </c>
      <c r="B65" s="1025"/>
      <c r="C65" s="909">
        <f>SUM(D65:G65)</f>
        <v>4.9992481203007515E-3</v>
      </c>
      <c r="D65" s="1032">
        <f>SUM(D66:D69)</f>
        <v>4.9992481203007515E-3</v>
      </c>
      <c r="E65" s="999"/>
      <c r="F65" s="999"/>
      <c r="G65" s="1000"/>
      <c r="H65" s="913">
        <f>SUM(I65:K65)</f>
        <v>0</v>
      </c>
      <c r="I65" s="910"/>
      <c r="J65" s="914">
        <v>0</v>
      </c>
      <c r="K65" s="911">
        <v>0</v>
      </c>
      <c r="L65" s="913">
        <f>SUM(M65:Z65)</f>
        <v>131.70414755360989</v>
      </c>
      <c r="M65" s="911"/>
      <c r="N65" s="912"/>
      <c r="O65" s="912"/>
      <c r="P65" s="999"/>
      <c r="Q65" s="1031">
        <v>46.986000000000004</v>
      </c>
      <c r="R65" s="999"/>
      <c r="S65" s="1031">
        <v>0.64284746861564912</v>
      </c>
      <c r="T65" s="1031">
        <v>29.45030008499424</v>
      </c>
      <c r="U65" s="1031">
        <v>54.625</v>
      </c>
      <c r="V65" s="1031">
        <f>SUM(V66:V69)</f>
        <v>0</v>
      </c>
      <c r="W65" s="999"/>
      <c r="X65" s="999"/>
      <c r="Y65" s="912"/>
      <c r="Z65" s="911"/>
      <c r="AA65" s="1029">
        <v>122.10424162825494</v>
      </c>
      <c r="AB65" s="915">
        <f>SUM(AC65:AM65)</f>
        <v>18.910018360553575</v>
      </c>
      <c r="AC65" s="916"/>
      <c r="AD65" s="911"/>
      <c r="AE65" s="911">
        <f>SUM(AE66:AE69)</f>
        <v>14.092704380157992</v>
      </c>
      <c r="AF65" s="911"/>
      <c r="AG65" s="911"/>
      <c r="AH65" s="911">
        <v>4.8173139803955838</v>
      </c>
      <c r="AI65" s="911"/>
      <c r="AJ65" s="911"/>
      <c r="AK65" s="911"/>
      <c r="AL65" s="911"/>
      <c r="AM65" s="912"/>
      <c r="AN65" s="913"/>
      <c r="AO65" s="1029">
        <v>249.83924335957121</v>
      </c>
      <c r="AP65" s="915"/>
      <c r="AQ65" s="1050">
        <f t="shared" si="13"/>
        <v>522.5626501501099</v>
      </c>
      <c r="AS65" s="15"/>
    </row>
    <row r="66" spans="1:45" ht="12.75" customHeight="1">
      <c r="A66" s="547" t="s">
        <v>812</v>
      </c>
      <c r="B66" s="1051" t="s">
        <v>813</v>
      </c>
      <c r="C66" s="897">
        <f t="shared" ref="C66:C69" si="34">SUM(D66:G66)</f>
        <v>2.9995488721804514E-3</v>
      </c>
      <c r="D66" s="904">
        <v>2.9995488721804514E-3</v>
      </c>
      <c r="E66" s="946"/>
      <c r="F66" s="946"/>
      <c r="G66" s="1052"/>
      <c r="H66" s="901">
        <f t="shared" ref="H66:H69" si="35">SUM(I66:K66)</f>
        <v>0</v>
      </c>
      <c r="I66" s="944"/>
      <c r="J66" s="902"/>
      <c r="K66" s="1053"/>
      <c r="L66" s="901">
        <f t="shared" ref="L66:L69" si="36">SUM(M66:Z66)</f>
        <v>4.8361472478110468</v>
      </c>
      <c r="M66" s="944"/>
      <c r="N66" s="946"/>
      <c r="O66" s="900"/>
      <c r="P66" s="946"/>
      <c r="Q66" s="946">
        <v>0.13</v>
      </c>
      <c r="R66" s="946"/>
      <c r="S66" s="946">
        <v>3.1863567217628209E-3</v>
      </c>
      <c r="T66" s="946">
        <v>1.1339608910892836</v>
      </c>
      <c r="U66" s="946">
        <v>3.569</v>
      </c>
      <c r="V66" s="946">
        <v>0</v>
      </c>
      <c r="W66" s="946"/>
      <c r="X66" s="946"/>
      <c r="Y66" s="900"/>
      <c r="Z66" s="899"/>
      <c r="AA66" s="905">
        <v>6.2855711462293291</v>
      </c>
      <c r="AB66" s="903">
        <f t="shared" ref="AB66:AB69" si="37">SUM(AC66:AM66)</f>
        <v>4.8181897932338265</v>
      </c>
      <c r="AC66" s="904"/>
      <c r="AD66" s="899"/>
      <c r="AE66" s="899">
        <v>8.7581283824237082E-4</v>
      </c>
      <c r="AF66" s="899"/>
      <c r="AG66" s="899"/>
      <c r="AH66" s="899">
        <v>4.8173139803955838</v>
      </c>
      <c r="AI66" s="899"/>
      <c r="AJ66" s="899"/>
      <c r="AK66" s="899"/>
      <c r="AL66" s="899"/>
      <c r="AM66" s="900"/>
      <c r="AN66" s="901"/>
      <c r="AO66" s="905">
        <v>62.066112125563578</v>
      </c>
      <c r="AP66" s="903"/>
      <c r="AQ66" s="930">
        <f t="shared" si="13"/>
        <v>78.009019861709959</v>
      </c>
      <c r="AS66" s="15"/>
    </row>
    <row r="67" spans="1:45" ht="12.75" customHeight="1">
      <c r="A67" s="548" t="s">
        <v>814</v>
      </c>
      <c r="B67" s="1054">
        <v>84</v>
      </c>
      <c r="C67" s="850">
        <f t="shared" si="34"/>
        <v>1.9996992481203005E-3</v>
      </c>
      <c r="D67" s="992">
        <v>1.9996992481203005E-3</v>
      </c>
      <c r="E67" s="994"/>
      <c r="F67" s="994"/>
      <c r="G67" s="995"/>
      <c r="H67" s="854">
        <f t="shared" si="35"/>
        <v>0</v>
      </c>
      <c r="I67" s="1055"/>
      <c r="J67" s="856"/>
      <c r="K67" s="1056"/>
      <c r="L67" s="854">
        <f t="shared" si="36"/>
        <v>37.49597693290648</v>
      </c>
      <c r="M67" s="1055"/>
      <c r="N67" s="994"/>
      <c r="O67" s="853"/>
      <c r="P67" s="994"/>
      <c r="Q67" s="985">
        <v>6.9249999999999998</v>
      </c>
      <c r="R67" s="994"/>
      <c r="S67" s="985">
        <v>0.36191701764689377</v>
      </c>
      <c r="T67" s="985">
        <v>7.4190599152595853</v>
      </c>
      <c r="U67" s="985">
        <v>22.79</v>
      </c>
      <c r="V67" s="985">
        <v>0</v>
      </c>
      <c r="W67" s="994"/>
      <c r="X67" s="994"/>
      <c r="Y67" s="853"/>
      <c r="Z67" s="857"/>
      <c r="AA67" s="997">
        <v>43.318633321580478</v>
      </c>
      <c r="AB67" s="858">
        <f t="shared" si="37"/>
        <v>3.0136719763919984</v>
      </c>
      <c r="AC67" s="859"/>
      <c r="AD67" s="857"/>
      <c r="AE67" s="857">
        <v>3.0136719763919984</v>
      </c>
      <c r="AF67" s="857"/>
      <c r="AG67" s="857"/>
      <c r="AH67" s="857">
        <v>0</v>
      </c>
      <c r="AI67" s="857"/>
      <c r="AJ67" s="857"/>
      <c r="AK67" s="857"/>
      <c r="AL67" s="857"/>
      <c r="AM67" s="853"/>
      <c r="AN67" s="854"/>
      <c r="AO67" s="997">
        <v>90.275166794474018</v>
      </c>
      <c r="AP67" s="858"/>
      <c r="AQ67" s="861">
        <f t="shared" si="13"/>
        <v>174.1054487246011</v>
      </c>
      <c r="AS67" s="15"/>
    </row>
    <row r="68" spans="1:45" ht="12.75" customHeight="1">
      <c r="A68" s="545" t="s">
        <v>815</v>
      </c>
      <c r="B68" s="1036">
        <v>85</v>
      </c>
      <c r="C68" s="850">
        <f t="shared" si="34"/>
        <v>0</v>
      </c>
      <c r="D68" s="992">
        <v>0</v>
      </c>
      <c r="E68" s="994"/>
      <c r="F68" s="994"/>
      <c r="G68" s="995"/>
      <c r="H68" s="854">
        <f t="shared" si="35"/>
        <v>0</v>
      </c>
      <c r="I68" s="1055"/>
      <c r="J68" s="856"/>
      <c r="K68" s="1056"/>
      <c r="L68" s="854">
        <f t="shared" si="36"/>
        <v>63.764873205839493</v>
      </c>
      <c r="M68" s="1055"/>
      <c r="N68" s="994"/>
      <c r="O68" s="853"/>
      <c r="P68" s="994"/>
      <c r="Q68" s="985">
        <v>27.067</v>
      </c>
      <c r="R68" s="994"/>
      <c r="S68" s="985">
        <v>5.416806426996796E-2</v>
      </c>
      <c r="T68" s="985">
        <v>17.705705141569517</v>
      </c>
      <c r="U68" s="985">
        <v>18.937999999999999</v>
      </c>
      <c r="V68" s="985">
        <v>0</v>
      </c>
      <c r="W68" s="994"/>
      <c r="X68" s="994"/>
      <c r="Y68" s="853"/>
      <c r="Z68" s="857"/>
      <c r="AA68" s="997">
        <v>27.252039348994288</v>
      </c>
      <c r="AB68" s="858">
        <f t="shared" si="37"/>
        <v>9.8108554139910407</v>
      </c>
      <c r="AC68" s="859"/>
      <c r="AD68" s="857"/>
      <c r="AE68" s="857">
        <v>9.8108554139910407</v>
      </c>
      <c r="AF68" s="857"/>
      <c r="AG68" s="857"/>
      <c r="AH68" s="857">
        <v>0</v>
      </c>
      <c r="AI68" s="857"/>
      <c r="AJ68" s="857"/>
      <c r="AK68" s="857"/>
      <c r="AL68" s="857"/>
      <c r="AM68" s="853"/>
      <c r="AN68" s="854"/>
      <c r="AO68" s="997">
        <v>58.093005834167748</v>
      </c>
      <c r="AP68" s="858"/>
      <c r="AQ68" s="861">
        <f t="shared" si="13"/>
        <v>158.92077380299256</v>
      </c>
      <c r="AS68" s="15"/>
    </row>
    <row r="69" spans="1:45" ht="12.75" customHeight="1">
      <c r="A69" s="546" t="s">
        <v>816</v>
      </c>
      <c r="B69" s="1045" t="s">
        <v>817</v>
      </c>
      <c r="C69" s="1015">
        <f t="shared" si="34"/>
        <v>0</v>
      </c>
      <c r="D69" s="916">
        <v>0</v>
      </c>
      <c r="E69" s="999"/>
      <c r="F69" s="999"/>
      <c r="G69" s="1000"/>
      <c r="H69" s="1017">
        <f t="shared" si="35"/>
        <v>0</v>
      </c>
      <c r="I69" s="1057"/>
      <c r="J69" s="914"/>
      <c r="K69" s="1058"/>
      <c r="L69" s="1017">
        <f t="shared" si="36"/>
        <v>25.607150167052879</v>
      </c>
      <c r="M69" s="1057"/>
      <c r="N69" s="999"/>
      <c r="O69" s="912"/>
      <c r="P69" s="999"/>
      <c r="Q69" s="999">
        <v>12.864000000000001</v>
      </c>
      <c r="R69" s="999"/>
      <c r="S69" s="999">
        <v>0.22357602997702461</v>
      </c>
      <c r="T69" s="999">
        <v>3.191574137075853</v>
      </c>
      <c r="U69" s="999">
        <v>9.3279999999999994</v>
      </c>
      <c r="V69" s="999">
        <v>0</v>
      </c>
      <c r="W69" s="999"/>
      <c r="X69" s="999"/>
      <c r="Y69" s="912"/>
      <c r="Z69" s="911"/>
      <c r="AA69" s="917">
        <v>45.247997811450865</v>
      </c>
      <c r="AB69" s="1020">
        <f t="shared" si="37"/>
        <v>1.2673011769367108</v>
      </c>
      <c r="AC69" s="1021"/>
      <c r="AD69" s="1014"/>
      <c r="AE69" s="1014">
        <v>1.2673011769367108</v>
      </c>
      <c r="AF69" s="1014"/>
      <c r="AG69" s="1014"/>
      <c r="AH69" s="1014">
        <v>0</v>
      </c>
      <c r="AI69" s="1014"/>
      <c r="AJ69" s="1014"/>
      <c r="AK69" s="1014"/>
      <c r="AL69" s="1014"/>
      <c r="AM69" s="1016"/>
      <c r="AN69" s="1017"/>
      <c r="AO69" s="917">
        <v>39.40495860536587</v>
      </c>
      <c r="AP69" s="1020"/>
      <c r="AQ69" s="1022">
        <f t="shared" si="13"/>
        <v>111.52740776080631</v>
      </c>
      <c r="AS69" s="15"/>
    </row>
    <row r="70" spans="1:45" s="5" customFormat="1" ht="12.75" customHeight="1">
      <c r="A70" s="61" t="s">
        <v>183</v>
      </c>
      <c r="B70" s="932"/>
      <c r="C70" s="933">
        <f>SUM(D70:G70)</f>
        <v>0</v>
      </c>
      <c r="D70" s="1059">
        <v>0</v>
      </c>
      <c r="E70" s="1060"/>
      <c r="F70" s="1061"/>
      <c r="G70" s="1061"/>
      <c r="H70" s="937">
        <f>SUM(I70:K70)</f>
        <v>0</v>
      </c>
      <c r="I70" s="1059"/>
      <c r="J70" s="1062"/>
      <c r="K70" s="1060"/>
      <c r="L70" s="937">
        <f>SUM(M70:Z70)</f>
        <v>175.46549158593075</v>
      </c>
      <c r="M70" s="1060"/>
      <c r="N70" s="1060"/>
      <c r="O70" s="1060"/>
      <c r="P70" s="1060">
        <v>0</v>
      </c>
      <c r="Q70" s="1060">
        <v>0</v>
      </c>
      <c r="R70" s="1060"/>
      <c r="S70" s="1060"/>
      <c r="T70" s="549">
        <v>0</v>
      </c>
      <c r="U70" s="1060">
        <v>175.46549158593075</v>
      </c>
      <c r="V70" s="899"/>
      <c r="W70" s="1061"/>
      <c r="X70" s="1061"/>
      <c r="Y70" s="1061"/>
      <c r="Z70" s="1060"/>
      <c r="AA70" s="937">
        <v>0</v>
      </c>
      <c r="AB70" s="938">
        <f>SUM(AC70:AM70)</f>
        <v>0</v>
      </c>
      <c r="AC70" s="1063"/>
      <c r="AD70" s="1060"/>
      <c r="AE70" s="1060"/>
      <c r="AF70" s="1060"/>
      <c r="AG70" s="1060"/>
      <c r="AH70" s="1060"/>
      <c r="AI70" s="1060"/>
      <c r="AJ70" s="1060"/>
      <c r="AK70" s="1059"/>
      <c r="AL70" s="1061"/>
      <c r="AM70" s="1060"/>
      <c r="AN70" s="937"/>
      <c r="AO70" s="937">
        <v>47.988</v>
      </c>
      <c r="AP70" s="938"/>
      <c r="AQ70" s="929">
        <f t="shared" si="13"/>
        <v>223.45349158593075</v>
      </c>
      <c r="AR70" s="1"/>
      <c r="AS70" s="4"/>
    </row>
    <row r="71" spans="1:45" s="5" customFormat="1" ht="12.75" customHeight="1" thickBot="1">
      <c r="A71" s="61" t="s">
        <v>184</v>
      </c>
      <c r="B71" s="908"/>
      <c r="C71" s="909">
        <f>SUM(D71:G71)</f>
        <v>0</v>
      </c>
      <c r="D71" s="910"/>
      <c r="E71" s="911"/>
      <c r="F71" s="912"/>
      <c r="G71" s="912"/>
      <c r="H71" s="913">
        <f>SUM(I71:K71)</f>
        <v>0</v>
      </c>
      <c r="I71" s="910"/>
      <c r="J71" s="914"/>
      <c r="K71" s="911"/>
      <c r="L71" s="913">
        <f>SUM(M71:Z71)</f>
        <v>27.249865733664667</v>
      </c>
      <c r="M71" s="911"/>
      <c r="N71" s="911"/>
      <c r="O71" s="911"/>
      <c r="P71" s="911"/>
      <c r="Q71" s="911"/>
      <c r="R71" s="911"/>
      <c r="S71" s="911"/>
      <c r="T71" s="911"/>
      <c r="U71" s="1024">
        <v>27.249865733664667</v>
      </c>
      <c r="V71" s="911"/>
      <c r="W71" s="912"/>
      <c r="X71" s="912"/>
      <c r="Y71" s="912"/>
      <c r="Z71" s="911"/>
      <c r="AA71" s="913"/>
      <c r="AB71" s="915">
        <f>SUM(AC71:AM71)</f>
        <v>0</v>
      </c>
      <c r="AC71" s="916"/>
      <c r="AD71" s="911"/>
      <c r="AE71" s="911"/>
      <c r="AF71" s="911"/>
      <c r="AG71" s="911"/>
      <c r="AH71" s="911"/>
      <c r="AI71" s="911"/>
      <c r="AJ71" s="911"/>
      <c r="AK71" s="910"/>
      <c r="AL71" s="912"/>
      <c r="AM71" s="911"/>
      <c r="AN71" s="913"/>
      <c r="AO71" s="917"/>
      <c r="AP71" s="915"/>
      <c r="AQ71" s="1050">
        <f t="shared" si="13"/>
        <v>27.249865733664667</v>
      </c>
      <c r="AR71" s="1"/>
      <c r="AS71" s="4"/>
    </row>
    <row r="72" spans="1:45" s="5" customFormat="1" ht="12.75" customHeight="1" thickBot="1">
      <c r="A72" s="538" t="s">
        <v>185</v>
      </c>
      <c r="B72" s="960"/>
      <c r="C72" s="961">
        <f t="shared" ref="C72:AP72" si="38">C26-C27-C29</f>
        <v>-2.5795347028326319</v>
      </c>
      <c r="D72" s="962">
        <f t="shared" si="38"/>
        <v>0.17716668219679832</v>
      </c>
      <c r="E72" s="963">
        <f t="shared" si="38"/>
        <v>-3.4486883993195221</v>
      </c>
      <c r="F72" s="967">
        <f t="shared" si="38"/>
        <v>0</v>
      </c>
      <c r="G72" s="967">
        <f t="shared" si="38"/>
        <v>0.69246574229020652</v>
      </c>
      <c r="H72" s="964">
        <f t="shared" si="38"/>
        <v>1.9457250152908045</v>
      </c>
      <c r="I72" s="962">
        <f t="shared" si="38"/>
        <v>-0.45741265470912973</v>
      </c>
      <c r="J72" s="965">
        <f t="shared" si="38"/>
        <v>0</v>
      </c>
      <c r="K72" s="963">
        <f t="shared" si="38"/>
        <v>2.4031376700000067</v>
      </c>
      <c r="L72" s="964">
        <f t="shared" si="38"/>
        <v>2.3431242304332045</v>
      </c>
      <c r="M72" s="963">
        <f t="shared" si="38"/>
        <v>0</v>
      </c>
      <c r="N72" s="963">
        <f t="shared" si="38"/>
        <v>-0.14794174855289199</v>
      </c>
      <c r="O72" s="963">
        <f t="shared" si="38"/>
        <v>-5.2567080980734033</v>
      </c>
      <c r="P72" s="963">
        <f t="shared" si="38"/>
        <v>-25.023756688637718</v>
      </c>
      <c r="Q72" s="963">
        <f t="shared" si="38"/>
        <v>14.717063728640028</v>
      </c>
      <c r="R72" s="963">
        <f t="shared" si="38"/>
        <v>4.1043924247198902</v>
      </c>
      <c r="S72" s="963">
        <f t="shared" si="38"/>
        <v>8.0001198650984477</v>
      </c>
      <c r="T72" s="963">
        <f t="shared" si="38"/>
        <v>6.5570336698137908</v>
      </c>
      <c r="U72" s="963">
        <f t="shared" si="38"/>
        <v>-8.9389207362023626</v>
      </c>
      <c r="V72" s="963">
        <f t="shared" si="38"/>
        <v>0.82532907951215861</v>
      </c>
      <c r="W72" s="967">
        <f t="shared" si="38"/>
        <v>7.506512734116022</v>
      </c>
      <c r="X72" s="967">
        <f t="shared" si="38"/>
        <v>0</v>
      </c>
      <c r="Y72" s="967">
        <f t="shared" si="38"/>
        <v>0</v>
      </c>
      <c r="Z72" s="963">
        <f t="shared" si="38"/>
        <v>0</v>
      </c>
      <c r="AA72" s="964">
        <f t="shared" si="38"/>
        <v>-40.274710307198575</v>
      </c>
      <c r="AB72" s="966">
        <f t="shared" si="38"/>
        <v>-2.4161461805547901</v>
      </c>
      <c r="AC72" s="1064">
        <f t="shared" si="38"/>
        <v>0</v>
      </c>
      <c r="AD72" s="963">
        <f t="shared" si="38"/>
        <v>0</v>
      </c>
      <c r="AE72" s="963">
        <f t="shared" si="38"/>
        <v>-4.7196692573067764</v>
      </c>
      <c r="AF72" s="963">
        <f t="shared" si="38"/>
        <v>0</v>
      </c>
      <c r="AG72" s="963">
        <f t="shared" si="38"/>
        <v>0</v>
      </c>
      <c r="AH72" s="963">
        <f t="shared" si="38"/>
        <v>0</v>
      </c>
      <c r="AI72" s="963">
        <f t="shared" si="38"/>
        <v>1.6583711868479725</v>
      </c>
      <c r="AJ72" s="963">
        <f t="shared" si="38"/>
        <v>0.64515188990400674</v>
      </c>
      <c r="AK72" s="962">
        <f t="shared" si="38"/>
        <v>0</v>
      </c>
      <c r="AL72" s="967">
        <f t="shared" si="38"/>
        <v>0</v>
      </c>
      <c r="AM72" s="963">
        <f t="shared" si="38"/>
        <v>0</v>
      </c>
      <c r="AN72" s="964">
        <f t="shared" si="38"/>
        <v>0</v>
      </c>
      <c r="AO72" s="964">
        <f t="shared" si="38"/>
        <v>-35.693844343489218</v>
      </c>
      <c r="AP72" s="966">
        <f t="shared" si="38"/>
        <v>0</v>
      </c>
      <c r="AQ72" s="968">
        <f t="shared" si="13"/>
        <v>-76.675386288351206</v>
      </c>
      <c r="AR72" s="1"/>
      <c r="AS72" s="4"/>
    </row>
    <row r="73" spans="1:45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</row>
    <row r="74" spans="1:45" s="5" customFormat="1" ht="15" customHeight="1">
      <c r="A74" s="1065" t="s">
        <v>969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7"/>
      <c r="M74" s="12"/>
      <c r="N74" s="12"/>
      <c r="Q74" s="12"/>
      <c r="R74" s="12"/>
      <c r="S74" s="12"/>
      <c r="T74" s="12"/>
      <c r="U74" s="12"/>
      <c r="V74" s="12"/>
      <c r="W74" s="536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S74" s="4"/>
    </row>
    <row r="75" spans="1:45" ht="12.75" customHeight="1">
      <c r="A75" s="1066" t="s">
        <v>970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</row>
    <row r="76" spans="1:45" ht="12.75" customHeight="1">
      <c r="A76" s="1067" t="s">
        <v>186</v>
      </c>
      <c r="B76" s="551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</row>
    <row r="77" spans="1:45" ht="12.75" customHeight="1">
      <c r="A77" s="1068" t="s">
        <v>187</v>
      </c>
      <c r="B77" s="550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</row>
    <row r="78" spans="1:45" ht="12.75" customHeight="1">
      <c r="A78" s="60" t="s">
        <v>188</v>
      </c>
      <c r="B78" s="550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</row>
    <row r="79" spans="1:45" ht="12.75" customHeight="1">
      <c r="A79" s="1069" t="s">
        <v>189</v>
      </c>
      <c r="B79" s="8"/>
      <c r="C79" s="8"/>
      <c r="D79" s="8"/>
      <c r="E79" s="552"/>
      <c r="F79" s="1"/>
      <c r="G79" s="1"/>
      <c r="H79" s="5"/>
      <c r="I79" s="1"/>
      <c r="J79" s="1"/>
      <c r="K79" s="1"/>
      <c r="S79" s="9"/>
      <c r="T79"/>
      <c r="U79" s="9"/>
      <c r="V79" s="9"/>
      <c r="Z79" s="1"/>
      <c r="AB79" s="10"/>
      <c r="AP79" s="10"/>
    </row>
    <row r="80" spans="1:45" ht="12.75" customHeight="1">
      <c r="A80" s="1069" t="s">
        <v>190</v>
      </c>
      <c r="B80" s="8"/>
      <c r="C80" s="8"/>
      <c r="D80" s="8"/>
      <c r="E80" s="552"/>
      <c r="F80" s="1"/>
      <c r="G80" s="1"/>
      <c r="H80" s="5"/>
      <c r="I80" s="1"/>
      <c r="J80" s="1"/>
      <c r="K80" s="1"/>
      <c r="S80" s="9"/>
      <c r="T80"/>
      <c r="U80" s="9"/>
      <c r="V80" s="9"/>
      <c r="Z80" s="1"/>
      <c r="AB80" s="10"/>
      <c r="AP80" s="10"/>
    </row>
    <row r="81" spans="1:42" ht="12.75" customHeight="1">
      <c r="A81" s="61" t="s">
        <v>191</v>
      </c>
      <c r="B81" s="5"/>
      <c r="C81" s="5"/>
      <c r="D81" s="5"/>
      <c r="E81" s="5"/>
      <c r="F81" s="5"/>
      <c r="G81" s="5"/>
      <c r="H81" s="5"/>
      <c r="I81" s="5"/>
      <c r="J81" s="5"/>
      <c r="K81" s="5"/>
      <c r="S81" s="9"/>
      <c r="T81"/>
      <c r="U81" s="9"/>
      <c r="V81" s="9"/>
      <c r="Z81" s="1"/>
      <c r="AB81" s="10"/>
      <c r="AP81" s="10"/>
    </row>
    <row r="82" spans="1:42">
      <c r="A82" s="59" t="s">
        <v>192</v>
      </c>
    </row>
  </sheetData>
  <pageMargins left="0.19685039370078741" right="0.19685039370078741" top="0.59055118110236227" bottom="0.78740157480314965" header="0.31496062992125984" footer="0.19685039370078741"/>
  <pageSetup paperSize="9" scale="43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A1:AR65"/>
  <sheetViews>
    <sheetView zoomScale="70" zoomScaleNormal="70" workbookViewId="0">
      <selection activeCell="H13" sqref="H13"/>
    </sheetView>
  </sheetViews>
  <sheetFormatPr defaultColWidth="9.1796875" defaultRowHeight="13"/>
  <cols>
    <col min="1" max="1" width="15.7265625" style="25" customWidth="1"/>
    <col min="2" max="2" width="25.1796875" style="25" customWidth="1"/>
    <col min="3" max="5" width="10.7265625" style="25" customWidth="1"/>
    <col min="6" max="6" width="8.54296875" style="25" customWidth="1"/>
    <col min="7" max="7" width="7.7265625" style="25" customWidth="1"/>
    <col min="8" max="8" width="8.54296875" style="25" customWidth="1"/>
    <col min="9" max="10" width="7.7265625" style="25" customWidth="1"/>
    <col min="11" max="11" width="8.26953125" style="25" customWidth="1"/>
    <col min="12" max="12" width="9.453125" style="25" customWidth="1"/>
    <col min="13" max="13" width="7.7265625" style="25" customWidth="1"/>
    <col min="14" max="14" width="8.26953125" style="25" customWidth="1"/>
    <col min="15" max="16" width="7.7265625" style="25" customWidth="1"/>
    <col min="17" max="17" width="8.81640625" style="25" customWidth="1"/>
    <col min="18" max="18" width="8" style="25" customWidth="1"/>
    <col min="19" max="19" width="10.7265625" style="25" customWidth="1"/>
    <col min="20" max="20" width="13.26953125" style="25" customWidth="1"/>
    <col min="21" max="21" width="10.7265625" style="25" customWidth="1"/>
    <col min="22" max="22" width="10.54296875" style="25" customWidth="1"/>
    <col min="23" max="23" width="14.26953125" style="25" customWidth="1"/>
    <col min="24" max="24" width="10.81640625" style="25" customWidth="1"/>
    <col min="25" max="25" width="14" style="25" customWidth="1"/>
    <col min="26" max="26" width="15.7265625" style="25" customWidth="1"/>
    <col min="27" max="27" width="8.81640625" style="25" customWidth="1"/>
    <col min="28" max="30" width="9.1796875" style="25"/>
    <col min="31" max="31" width="8.7265625" style="25" customWidth="1"/>
    <col min="32" max="33" width="9.1796875" style="25"/>
    <col min="34" max="34" width="9.453125" style="25" customWidth="1"/>
    <col min="35" max="36" width="9.1796875" style="25"/>
    <col min="37" max="37" width="10.1796875" style="25" customWidth="1"/>
    <col min="38" max="38" width="9.1796875" style="25"/>
    <col min="39" max="39" width="15.26953125" style="25" customWidth="1"/>
    <col min="40" max="16384" width="9.1796875" style="25"/>
  </cols>
  <sheetData>
    <row r="1" spans="1:44" ht="12.75" customHeight="1" thickBot="1">
      <c r="A1" s="35" t="s">
        <v>193</v>
      </c>
      <c r="B1" s="36" t="s">
        <v>194</v>
      </c>
      <c r="C1" s="37"/>
      <c r="D1" s="37"/>
      <c r="E1" s="37"/>
      <c r="F1" s="636" t="s">
        <v>651</v>
      </c>
      <c r="G1" s="636"/>
      <c r="H1" s="636" t="s">
        <v>660</v>
      </c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spans="1:44">
      <c r="A2" s="38" t="s">
        <v>195</v>
      </c>
      <c r="B2" s="36" t="s">
        <v>1</v>
      </c>
      <c r="C2" s="37"/>
      <c r="D2" s="37"/>
      <c r="E2" s="37"/>
      <c r="F2" s="1093" t="s">
        <v>635</v>
      </c>
      <c r="G2" s="1094"/>
      <c r="H2" s="446">
        <v>0.19400000000000001</v>
      </c>
      <c r="I2" s="37"/>
      <c r="J2" s="37"/>
      <c r="K2" s="37"/>
      <c r="L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spans="1:44">
      <c r="A3" s="35" t="s">
        <v>196</v>
      </c>
      <c r="B3" s="36">
        <v>2018</v>
      </c>
      <c r="C3" s="37"/>
      <c r="D3" s="37"/>
      <c r="E3" s="37"/>
      <c r="F3" s="1095" t="s">
        <v>494</v>
      </c>
      <c r="G3" s="1096"/>
      <c r="H3" s="637">
        <v>0.74399999999999999</v>
      </c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</row>
    <row r="4" spans="1:44" ht="13.5" thickBot="1">
      <c r="A4" s="39" t="s">
        <v>197</v>
      </c>
      <c r="B4" s="40">
        <v>4.1868000000000002E-2</v>
      </c>
      <c r="C4" s="41"/>
      <c r="D4" s="37"/>
      <c r="E4" s="42"/>
      <c r="F4" s="1097" t="s">
        <v>209</v>
      </c>
      <c r="G4" s="1098"/>
      <c r="H4" s="447">
        <v>6.2E-2</v>
      </c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</row>
    <row r="5" spans="1:44" ht="13.5" thickBot="1">
      <c r="A5" s="37"/>
      <c r="B5" s="37"/>
      <c r="C5" s="44"/>
      <c r="D5" s="44"/>
      <c r="E5" s="44"/>
      <c r="F5" s="1099" t="s">
        <v>502</v>
      </c>
      <c r="G5" s="1100"/>
      <c r="H5" s="445">
        <f>SUM(H2:H4)</f>
        <v>1</v>
      </c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5"/>
      <c r="Y5" s="37"/>
      <c r="Z5" s="37"/>
      <c r="AA5" s="37"/>
      <c r="AN5" s="25" t="s">
        <v>843</v>
      </c>
    </row>
    <row r="6" spans="1:44" ht="13.5" thickBot="1">
      <c r="A6" s="37"/>
      <c r="B6" s="37"/>
      <c r="C6" s="37"/>
      <c r="D6" s="44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N6" s="25" t="s">
        <v>844</v>
      </c>
      <c r="AO6" s="25">
        <v>0.33</v>
      </c>
      <c r="AQ6" s="25" t="s">
        <v>613</v>
      </c>
      <c r="AR6" s="25">
        <v>2.0499999999999998</v>
      </c>
    </row>
    <row r="7" spans="1:44" ht="13.5" customHeight="1" thickBot="1">
      <c r="A7" s="241" t="s">
        <v>198</v>
      </c>
      <c r="B7" s="242"/>
      <c r="C7" s="243"/>
      <c r="D7" s="44"/>
      <c r="E7" s="638"/>
      <c r="F7" s="639" t="s">
        <v>219</v>
      </c>
      <c r="G7" s="640"/>
      <c r="H7" s="641"/>
      <c r="I7" s="1090" t="s">
        <v>220</v>
      </c>
      <c r="J7" s="1091"/>
      <c r="K7" s="1092"/>
      <c r="L7" s="1090" t="s">
        <v>221</v>
      </c>
      <c r="M7" s="1091"/>
      <c r="N7" s="1092"/>
      <c r="O7" s="1090" t="s">
        <v>222</v>
      </c>
      <c r="P7" s="1091"/>
      <c r="Q7" s="1092"/>
      <c r="R7" s="1105" t="s">
        <v>223</v>
      </c>
      <c r="S7" s="1090" t="s">
        <v>650</v>
      </c>
      <c r="T7" s="1091"/>
      <c r="U7" s="1091"/>
      <c r="V7" s="1091"/>
      <c r="W7" s="1091"/>
      <c r="X7" s="1092"/>
      <c r="Y7" s="1103" t="s">
        <v>711</v>
      </c>
      <c r="Z7" s="1103" t="s">
        <v>503</v>
      </c>
      <c r="AA7" s="1101" t="s">
        <v>770</v>
      </c>
      <c r="AD7" s="1111" t="s">
        <v>840</v>
      </c>
      <c r="AE7" s="1101" t="s">
        <v>841</v>
      </c>
      <c r="AI7" s="25" t="s">
        <v>717</v>
      </c>
      <c r="AN7" s="25" t="s">
        <v>845</v>
      </c>
      <c r="AO7" s="25">
        <v>1.75</v>
      </c>
      <c r="AQ7" s="25" t="s">
        <v>848</v>
      </c>
      <c r="AR7" s="25">
        <v>0.67</v>
      </c>
    </row>
    <row r="8" spans="1:44" ht="13.5" thickBot="1">
      <c r="A8" s="244" t="s">
        <v>199</v>
      </c>
      <c r="B8" s="245" t="s">
        <v>4</v>
      </c>
      <c r="C8" s="246" t="s">
        <v>13</v>
      </c>
      <c r="D8" s="44"/>
      <c r="E8" s="654"/>
      <c r="F8" s="655" t="s">
        <v>42</v>
      </c>
      <c r="G8" s="656" t="s">
        <v>44</v>
      </c>
      <c r="H8" s="657" t="s">
        <v>46</v>
      </c>
      <c r="I8" s="658" t="s">
        <v>42</v>
      </c>
      <c r="J8" s="659" t="s">
        <v>44</v>
      </c>
      <c r="K8" s="660" t="s">
        <v>46</v>
      </c>
      <c r="L8" s="661" t="s">
        <v>42</v>
      </c>
      <c r="M8" s="659" t="s">
        <v>44</v>
      </c>
      <c r="N8" s="660" t="s">
        <v>46</v>
      </c>
      <c r="O8" s="658" t="s">
        <v>42</v>
      </c>
      <c r="P8" s="659" t="s">
        <v>44</v>
      </c>
      <c r="Q8" s="660" t="s">
        <v>46</v>
      </c>
      <c r="R8" s="1106"/>
      <c r="S8" s="662" t="s">
        <v>224</v>
      </c>
      <c r="T8" s="662" t="s">
        <v>225</v>
      </c>
      <c r="U8" s="662" t="s">
        <v>226</v>
      </c>
      <c r="V8" s="662" t="s">
        <v>227</v>
      </c>
      <c r="W8" s="662" t="s">
        <v>229</v>
      </c>
      <c r="X8" s="663" t="s">
        <v>228</v>
      </c>
      <c r="Y8" s="1104"/>
      <c r="Z8" s="1104"/>
      <c r="AA8" s="1102" t="s">
        <v>659</v>
      </c>
      <c r="AD8" s="1112"/>
      <c r="AE8" s="1102" t="s">
        <v>659</v>
      </c>
      <c r="AI8" s="634" t="s">
        <v>849</v>
      </c>
      <c r="AJ8" s="633">
        <v>1.1516522859674401</v>
      </c>
      <c r="AN8" s="25" t="s">
        <v>846</v>
      </c>
      <c r="AO8" s="25">
        <v>2.73</v>
      </c>
      <c r="AQ8" s="25" t="s">
        <v>774</v>
      </c>
      <c r="AR8" s="25">
        <v>0.04</v>
      </c>
    </row>
    <row r="9" spans="1:44" ht="12" customHeight="1">
      <c r="A9" s="385" t="s">
        <v>635</v>
      </c>
      <c r="B9" s="386" t="s">
        <v>581</v>
      </c>
      <c r="C9" s="386">
        <f>SUM('EB2018'!C56)*RSD_Balance!B4</f>
        <v>9.0766551305573824</v>
      </c>
      <c r="D9" s="44"/>
      <c r="E9" s="642" t="s">
        <v>635</v>
      </c>
      <c r="F9" s="643">
        <f>'SHWLP-Apt'!$AC$7+'SHWLP-Apt'!AC20</f>
        <v>0</v>
      </c>
      <c r="G9" s="644">
        <f>'SHWLP-Att'!$AC$7+'SHWLP-Att'!$AC$20</f>
        <v>5.0701051172741778</v>
      </c>
      <c r="H9" s="645">
        <f>'SHWLP-Det'!$AC$7+'SHWLP-Det'!$AC$20</f>
        <v>4.4286560276585281</v>
      </c>
      <c r="I9" s="643">
        <f>'SHWLP-Apt'!$AC$33+'SHWLP-Apt'!$AC$46</f>
        <v>0</v>
      </c>
      <c r="J9" s="644">
        <f>'SHWLP-Att'!$AC$33+'SHWLP-Att'!$AC$46</f>
        <v>0.4085621664140332</v>
      </c>
      <c r="K9" s="645">
        <f>'SHWLP-Det'!$AC$33+'SHWLP-Det'!$AC$46</f>
        <v>0.10058759437750613</v>
      </c>
      <c r="L9" s="646"/>
      <c r="M9" s="647"/>
      <c r="N9" s="648"/>
      <c r="O9" s="646"/>
      <c r="P9" s="647"/>
      <c r="Q9" s="648"/>
      <c r="R9" s="649"/>
      <c r="S9" s="646"/>
      <c r="T9" s="647"/>
      <c r="U9" s="647"/>
      <c r="V9" s="647"/>
      <c r="W9" s="647"/>
      <c r="X9" s="648"/>
      <c r="Y9" s="756">
        <f>SUM(F9:X9)</f>
        <v>10.007910905724245</v>
      </c>
      <c r="Z9" s="757">
        <f>C9</f>
        <v>9.0766551305573824</v>
      </c>
      <c r="AA9" s="354">
        <f>ABS(Z9-Y9)/Z9</f>
        <v>0.10259900390306836</v>
      </c>
      <c r="AD9" s="25">
        <f>AJ9+AJ20</f>
        <v>10.269075645345431</v>
      </c>
      <c r="AE9" s="354">
        <f>ABS(AD9-Y9)/AD9</f>
        <v>2.5432156568012253E-2</v>
      </c>
      <c r="AI9" s="634" t="s">
        <v>851</v>
      </c>
      <c r="AJ9" s="633">
        <v>9.6599740335233797</v>
      </c>
      <c r="AN9" s="25" t="s">
        <v>847</v>
      </c>
    </row>
    <row r="10" spans="1:44" ht="12" customHeight="1">
      <c r="A10" s="248" t="s">
        <v>494</v>
      </c>
      <c r="B10" s="254" t="str">
        <f>'EB2018'!H1</f>
        <v xml:space="preserve"> Peat</v>
      </c>
      <c r="C10" s="254">
        <f>'EB2018'!H56*RSD_Balance!B4</f>
        <v>8.22868674342444</v>
      </c>
      <c r="D10" s="44"/>
      <c r="E10" s="438" t="s">
        <v>494</v>
      </c>
      <c r="F10" s="440">
        <f>'SHWLP-Apt'!$AC$18+'SHWLP-Apt'!$AC$21</f>
        <v>3.2061498965965211E-3</v>
      </c>
      <c r="G10" s="439">
        <f>'SHWLP-Att'!$AC$18+'SHWLP-Att'!$AC$21</f>
        <v>2.0071676224144213</v>
      </c>
      <c r="H10" s="441">
        <f>'SHWLP-Det'!$AC$18+'SHWLP-Det'!$AC$21</f>
        <v>5.3563325107675972</v>
      </c>
      <c r="I10" s="440">
        <f>'SHWLP-Apt'!$AC$44+'SHWLP-Apt'!$AC$47</f>
        <v>0</v>
      </c>
      <c r="J10" s="439">
        <f>'SHWLP-Att'!$AC$44+'SHWLP-Att'!$AC$47</f>
        <v>0.36088383689539283</v>
      </c>
      <c r="K10" s="441">
        <f>'SHWLP-Det'!$AC$44+'SHWLP-Det'!$AC$47</f>
        <v>0.38575860936528117</v>
      </c>
      <c r="L10" s="440"/>
      <c r="M10" s="439"/>
      <c r="N10" s="441"/>
      <c r="O10" s="440"/>
      <c r="P10" s="439"/>
      <c r="Q10" s="441"/>
      <c r="R10" s="436"/>
      <c r="S10" s="442"/>
      <c r="T10" s="439"/>
      <c r="U10" s="439"/>
      <c r="V10" s="439"/>
      <c r="W10" s="439"/>
      <c r="X10" s="441"/>
      <c r="Y10" s="758">
        <f>SUM(F10:X10)</f>
        <v>8.1133487293392896</v>
      </c>
      <c r="Z10" s="436">
        <f t="shared" ref="Z10:Z27" si="0">C10</f>
        <v>8.22868674342444</v>
      </c>
      <c r="AA10" s="354">
        <f>ABS(Z10-Y10)/Z10</f>
        <v>1.4016576117363705E-2</v>
      </c>
      <c r="AD10" s="25">
        <f>AJ14+AJ27</f>
        <v>8.1954076367650153</v>
      </c>
      <c r="AE10" s="354">
        <f t="shared" ref="AE10" si="1">ABS(AD10-Y10)/AD10</f>
        <v>1.0012791439147604E-2</v>
      </c>
      <c r="AI10" s="634" t="s">
        <v>411</v>
      </c>
      <c r="AJ10" s="633">
        <v>4.4337733997372402</v>
      </c>
      <c r="AN10" s="25" t="s">
        <v>844</v>
      </c>
      <c r="AO10" s="25">
        <v>7.0000000000000007E-2</v>
      </c>
    </row>
    <row r="11" spans="1:44" ht="12" customHeight="1">
      <c r="A11" s="247" t="s">
        <v>774</v>
      </c>
      <c r="B11" s="253" t="str">
        <f>'EB2018'!T1</f>
        <v xml:space="preserve"> LPG</v>
      </c>
      <c r="C11" s="253">
        <f>'EB2018'!T56*RSD_Balance!B4</f>
        <v>2.2542368842613176</v>
      </c>
      <c r="D11" s="44"/>
      <c r="E11" s="642" t="s">
        <v>201</v>
      </c>
      <c r="F11" s="643">
        <f>'SHWLP-Apt'!$AC$10</f>
        <v>0</v>
      </c>
      <c r="G11" s="644">
        <f>'SHWLP-Att'!$AC$10</f>
        <v>0.33080594499020705</v>
      </c>
      <c r="H11" s="645">
        <f>'SHWLP-Det'!$AC$10</f>
        <v>1.2958225591678023</v>
      </c>
      <c r="I11" s="643">
        <f>'SHWLP-Apt'!$AC$36</f>
        <v>0</v>
      </c>
      <c r="J11" s="644">
        <f>'SHWLP-Att'!$AC$36</f>
        <v>0</v>
      </c>
      <c r="K11" s="645">
        <f>'SHWLP-Det'!$AC$36</f>
        <v>0</v>
      </c>
      <c r="L11" s="643"/>
      <c r="M11" s="644"/>
      <c r="N11" s="645"/>
      <c r="O11" s="643"/>
      <c r="P11" s="644"/>
      <c r="Q11" s="645"/>
      <c r="R11" s="650">
        <v>3.9492406345735545E-2</v>
      </c>
      <c r="S11" s="643"/>
      <c r="T11" s="644"/>
      <c r="U11" s="644"/>
      <c r="V11" s="644"/>
      <c r="W11" s="644"/>
      <c r="X11" s="645"/>
      <c r="Y11" s="756">
        <f t="shared" ref="Y11:Y25" si="2">SUM(F11:X11)</f>
        <v>1.6661209105037449</v>
      </c>
      <c r="Z11" s="757">
        <f t="shared" si="0"/>
        <v>2.2542368842613176</v>
      </c>
      <c r="AA11" s="354">
        <f>ABS(Z11-Y11)/Z11</f>
        <v>0.26089359901068704</v>
      </c>
      <c r="AD11" s="25">
        <f>AJ13+AJ26+AR8</f>
        <v>2.1294859113248128</v>
      </c>
      <c r="AE11" s="354">
        <f>ABS(AD11-Y11)/AD11</f>
        <v>0.21759477175070652</v>
      </c>
      <c r="AI11" s="634" t="s">
        <v>853</v>
      </c>
      <c r="AJ11" s="633">
        <v>16.539193232500899</v>
      </c>
      <c r="AN11" s="25" t="s">
        <v>845</v>
      </c>
      <c r="AO11" s="25">
        <v>0.49</v>
      </c>
    </row>
    <row r="12" spans="1:44" ht="12" customHeight="1">
      <c r="A12" s="248" t="s">
        <v>773</v>
      </c>
      <c r="B12" s="254" t="str">
        <f>'EB2018'!P1</f>
        <v xml:space="preserve"> Gasoline</v>
      </c>
      <c r="C12" s="254">
        <f>'EB2018'!P56*B4</f>
        <v>0</v>
      </c>
      <c r="D12" s="44"/>
      <c r="E12" s="651" t="s">
        <v>202</v>
      </c>
      <c r="F12" s="440"/>
      <c r="G12" s="439"/>
      <c r="H12" s="441"/>
      <c r="I12" s="440"/>
      <c r="J12" s="439"/>
      <c r="K12" s="441"/>
      <c r="L12" s="440"/>
      <c r="M12" s="439"/>
      <c r="N12" s="441"/>
      <c r="O12" s="440"/>
      <c r="P12" s="439"/>
      <c r="Q12" s="441"/>
      <c r="R12" s="436"/>
      <c r="S12" s="442"/>
      <c r="T12" s="439"/>
      <c r="U12" s="439"/>
      <c r="V12" s="439"/>
      <c r="W12" s="439"/>
      <c r="X12" s="441"/>
      <c r="Y12" s="758">
        <f t="shared" si="2"/>
        <v>0</v>
      </c>
      <c r="Z12" s="436">
        <f t="shared" si="0"/>
        <v>0</v>
      </c>
      <c r="AA12" s="354"/>
      <c r="AD12" s="37"/>
      <c r="AE12" s="354"/>
      <c r="AI12" s="634" t="s">
        <v>854</v>
      </c>
      <c r="AJ12" s="633">
        <v>33.821000958649797</v>
      </c>
      <c r="AN12" s="25" t="s">
        <v>846</v>
      </c>
      <c r="AO12" s="25">
        <v>0.56999999999999995</v>
      </c>
    </row>
    <row r="13" spans="1:44" ht="12" customHeight="1">
      <c r="A13" s="247" t="s">
        <v>775</v>
      </c>
      <c r="B13" s="253" t="str">
        <f>'EB2018'!Q1</f>
        <v xml:space="preserve"> Kerosene</v>
      </c>
      <c r="C13" s="253">
        <f>'EB2018'!Q56*RSD_Balance!B4</f>
        <v>36.243917659777566</v>
      </c>
      <c r="D13" s="44"/>
      <c r="E13" s="642" t="s">
        <v>203</v>
      </c>
      <c r="F13" s="643">
        <f>'SHWLP-Apt'!$AC$14</f>
        <v>0.23973746740711377</v>
      </c>
      <c r="G13" s="644">
        <f>'SHWLP-Att'!$AC$14</f>
        <v>8.5556650016606195</v>
      </c>
      <c r="H13" s="645">
        <f>'SHWLP-Det'!$AC$14</f>
        <v>31.600517865997496</v>
      </c>
      <c r="I13" s="643">
        <f>'SHWLP-Apt'!$AC$40</f>
        <v>0</v>
      </c>
      <c r="J13" s="644">
        <f>'SHWLP-Att'!$AC$40</f>
        <v>3.1609218088799507</v>
      </c>
      <c r="K13" s="645">
        <f>'SHWLP-Det'!$AC$40</f>
        <v>8.4233864898363215</v>
      </c>
      <c r="L13" s="643"/>
      <c r="M13" s="644"/>
      <c r="N13" s="645"/>
      <c r="O13" s="643"/>
      <c r="P13" s="644"/>
      <c r="Q13" s="645"/>
      <c r="R13" s="650"/>
      <c r="S13" s="643"/>
      <c r="T13" s="644"/>
      <c r="U13" s="644"/>
      <c r="V13" s="644"/>
      <c r="W13" s="644"/>
      <c r="X13" s="645"/>
      <c r="Y13" s="759">
        <f>SUM(F13:X13)</f>
        <v>51.980228633781493</v>
      </c>
      <c r="Z13" s="760">
        <f t="shared" si="0"/>
        <v>36.243917659777566</v>
      </c>
      <c r="AA13" s="354">
        <f>ABS(Z13+Z14+Z16-Y13)/(Z13+Z14+Z16)</f>
        <v>3.3757692910172048E-2</v>
      </c>
      <c r="AD13" s="25">
        <f>AJ12+AJ25</f>
        <v>43.727300517765926</v>
      </c>
      <c r="AE13" s="354">
        <f>ABS(AD13-Y13)/AD13</f>
        <v>0.18873628187183641</v>
      </c>
      <c r="AI13" s="634" t="s">
        <v>855</v>
      </c>
      <c r="AJ13" s="633">
        <v>1.6238402306206099</v>
      </c>
    </row>
    <row r="14" spans="1:44" ht="12" customHeight="1">
      <c r="A14" s="248" t="s">
        <v>776</v>
      </c>
      <c r="B14" s="254" t="str">
        <f>'EB2018'!U1</f>
        <v xml:space="preserve"> Gasoil / Diesel /DERV</v>
      </c>
      <c r="C14" s="254">
        <f>'EB2018'!U56*RSD_Balance!B4</f>
        <v>13.812630439383646</v>
      </c>
      <c r="D14" s="44"/>
      <c r="E14" s="651" t="s">
        <v>204</v>
      </c>
      <c r="F14" s="440"/>
      <c r="G14" s="439"/>
      <c r="H14" s="441"/>
      <c r="I14" s="440"/>
      <c r="J14" s="439"/>
      <c r="K14" s="441"/>
      <c r="L14" s="440"/>
      <c r="M14" s="439"/>
      <c r="N14" s="441"/>
      <c r="O14" s="440"/>
      <c r="P14" s="439"/>
      <c r="Q14" s="441"/>
      <c r="R14" s="436"/>
      <c r="S14" s="442"/>
      <c r="T14" s="439"/>
      <c r="U14" s="439"/>
      <c r="V14" s="439"/>
      <c r="W14" s="439"/>
      <c r="X14" s="441"/>
      <c r="Y14" s="761">
        <f t="shared" si="2"/>
        <v>0</v>
      </c>
      <c r="Z14" s="762">
        <f t="shared" si="0"/>
        <v>13.812630439383646</v>
      </c>
      <c r="AA14" s="354">
        <f>ABS(Z13+Z14+Z16-Y13)/(Z13+Z14+Z16)</f>
        <v>3.3757692910172048E-2</v>
      </c>
      <c r="AI14" s="634" t="s">
        <v>412</v>
      </c>
      <c r="AJ14" s="633">
        <v>7.3969700958689097</v>
      </c>
    </row>
    <row r="15" spans="1:44" ht="12" customHeight="1">
      <c r="A15" s="247" t="s">
        <v>777</v>
      </c>
      <c r="B15" s="253" t="str">
        <f>'EB2018'!S1</f>
        <v xml:space="preserve"> Fueloil</v>
      </c>
      <c r="C15" s="253">
        <f>'EB2018'!S56*RSD_Balance!B4</f>
        <v>0</v>
      </c>
      <c r="D15" s="44"/>
      <c r="E15" s="652" t="s">
        <v>205</v>
      </c>
      <c r="F15" s="643"/>
      <c r="G15" s="644"/>
      <c r="H15" s="645"/>
      <c r="I15" s="643"/>
      <c r="J15" s="644"/>
      <c r="K15" s="645"/>
      <c r="L15" s="643"/>
      <c r="M15" s="644"/>
      <c r="N15" s="645"/>
      <c r="O15" s="643"/>
      <c r="P15" s="644"/>
      <c r="Q15" s="645"/>
      <c r="R15" s="650"/>
      <c r="S15" s="643"/>
      <c r="T15" s="644"/>
      <c r="U15" s="644"/>
      <c r="V15" s="644"/>
      <c r="W15" s="644"/>
      <c r="X15" s="645"/>
      <c r="Y15" s="759">
        <f t="shared" si="2"/>
        <v>0</v>
      </c>
      <c r="Z15" s="762">
        <f t="shared" si="0"/>
        <v>0</v>
      </c>
      <c r="AA15" s="354">
        <f>ABS(Z13+Z14+Z16-Y13)/(Z13+Z14+Z16)</f>
        <v>3.3757692910172048E-2</v>
      </c>
      <c r="AI15" s="634" t="s">
        <v>857</v>
      </c>
      <c r="AJ15" s="633">
        <v>1.1222131821933099</v>
      </c>
      <c r="AQ15" s="25" t="s">
        <v>67</v>
      </c>
      <c r="AR15" s="25">
        <v>1.71</v>
      </c>
    </row>
    <row r="16" spans="1:44" ht="12" customHeight="1">
      <c r="A16" s="248" t="s">
        <v>778</v>
      </c>
      <c r="B16" s="254" t="str">
        <f>'EB2018'!V1</f>
        <v xml:space="preserve"> Petroleum Coke</v>
      </c>
      <c r="C16" s="254">
        <f>'EB2018'!V56*RSD_Balance!B4</f>
        <v>0.22624930131075338</v>
      </c>
      <c r="D16" s="44"/>
      <c r="E16" s="651" t="s">
        <v>206</v>
      </c>
      <c r="F16" s="440"/>
      <c r="G16" s="439"/>
      <c r="H16" s="441"/>
      <c r="I16" s="440"/>
      <c r="J16" s="439"/>
      <c r="K16" s="441"/>
      <c r="L16" s="440"/>
      <c r="M16" s="439"/>
      <c r="N16" s="441"/>
      <c r="O16" s="440"/>
      <c r="P16" s="439"/>
      <c r="Q16" s="441"/>
      <c r="R16" s="436"/>
      <c r="S16" s="442"/>
      <c r="T16" s="439"/>
      <c r="U16" s="439"/>
      <c r="V16" s="439"/>
      <c r="W16" s="439"/>
      <c r="X16" s="441"/>
      <c r="Y16" s="761">
        <f t="shared" si="2"/>
        <v>0</v>
      </c>
      <c r="Z16" s="762">
        <f t="shared" si="0"/>
        <v>0.22624930131075338</v>
      </c>
      <c r="AA16" s="354">
        <f>ABS(Z13+Z14+Z16-Y13)/(Z13+Z14+Z16)</f>
        <v>3.3757692910172048E-2</v>
      </c>
      <c r="AQ16" s="25" t="s">
        <v>724</v>
      </c>
      <c r="AR16" s="25">
        <v>1.1000000000000001</v>
      </c>
    </row>
    <row r="17" spans="1:44" ht="12" customHeight="1">
      <c r="A17" s="247" t="s">
        <v>779</v>
      </c>
      <c r="B17" s="253" t="str">
        <f>'EB2018'!AA1</f>
        <v xml:space="preserve"> Natural Gas</v>
      </c>
      <c r="C17" s="253">
        <f>'EB2018'!AA56*RSD_Balance!B4</f>
        <v>25.292197479166735</v>
      </c>
      <c r="D17" s="44"/>
      <c r="E17" s="642" t="s">
        <v>207</v>
      </c>
      <c r="F17" s="643">
        <f>'SHWLP-Apt'!$AC$16</f>
        <v>1.290633418103742</v>
      </c>
      <c r="G17" s="644">
        <f>'SHWLP-Att'!$AC$16</f>
        <v>11.879485989406717</v>
      </c>
      <c r="H17" s="645">
        <f>'SHWLP-Det'!$AC$16</f>
        <v>5.2345577020498419</v>
      </c>
      <c r="I17" s="643">
        <f>'SHWLP-Apt'!$AC$42</f>
        <v>0.60716401702944534</v>
      </c>
      <c r="J17" s="644">
        <f>'SHWLP-Att'!$AC$42</f>
        <v>4.1120335446691945</v>
      </c>
      <c r="K17" s="645">
        <f>'SHWLP-Det'!$AC$42</f>
        <v>1.4948266478005934</v>
      </c>
      <c r="L17" s="643"/>
      <c r="M17" s="644"/>
      <c r="N17" s="645"/>
      <c r="O17" s="643"/>
      <c r="P17" s="644"/>
      <c r="Q17" s="645"/>
      <c r="R17" s="650">
        <v>0.66992893469234771</v>
      </c>
      <c r="S17" s="643"/>
      <c r="T17" s="644"/>
      <c r="U17" s="644"/>
      <c r="V17" s="644"/>
      <c r="W17" s="644"/>
      <c r="X17" s="645"/>
      <c r="Y17" s="756">
        <f t="shared" si="2"/>
        <v>25.288630253751879</v>
      </c>
      <c r="Z17" s="757">
        <f t="shared" si="0"/>
        <v>25.292197479166735</v>
      </c>
      <c r="AA17" s="354">
        <f>ABS(Z17-Y17)/Z17</f>
        <v>1.4104054888047736E-4</v>
      </c>
      <c r="AD17" s="25">
        <f>AJ11+AJ23+AR7</f>
        <v>23.52273418334358</v>
      </c>
      <c r="AE17" s="354">
        <f t="shared" ref="AE17:AE26" si="3">ABS(AD17-Y17)/AD17</f>
        <v>7.5071888184611135E-2</v>
      </c>
      <c r="AI17" s="25" t="s">
        <v>719</v>
      </c>
      <c r="AQ17" s="25" t="s">
        <v>725</v>
      </c>
      <c r="AR17" s="25">
        <v>1.19</v>
      </c>
    </row>
    <row r="18" spans="1:44" ht="12" customHeight="1">
      <c r="A18" s="248" t="s">
        <v>780</v>
      </c>
      <c r="B18" s="254" t="str">
        <f>'EB2018'!AL1</f>
        <v xml:space="preserve"> Solar Thermal</v>
      </c>
      <c r="C18" s="254">
        <f>'EB2018'!AL56*RSD_Balance!B4</f>
        <v>0.56017671356000831</v>
      </c>
      <c r="D18" s="44"/>
      <c r="E18" s="653" t="s">
        <v>208</v>
      </c>
      <c r="F18" s="440"/>
      <c r="G18" s="439"/>
      <c r="H18" s="441"/>
      <c r="I18" s="440">
        <f>($C$18*0.05)</f>
        <v>2.8008835678000416E-2</v>
      </c>
      <c r="J18" s="439">
        <f>($C$18*0.475)</f>
        <v>0.26608393894100396</v>
      </c>
      <c r="K18" s="441">
        <f>($C$18*0.475)</f>
        <v>0.26608393894100396</v>
      </c>
      <c r="L18" s="440"/>
      <c r="M18" s="439"/>
      <c r="N18" s="441"/>
      <c r="O18" s="440"/>
      <c r="P18" s="439"/>
      <c r="Q18" s="441"/>
      <c r="R18" s="436"/>
      <c r="S18" s="442"/>
      <c r="T18" s="439"/>
      <c r="U18" s="439"/>
      <c r="V18" s="439"/>
      <c r="W18" s="439"/>
      <c r="X18" s="441"/>
      <c r="Y18" s="758">
        <f t="shared" si="2"/>
        <v>0.56017671356000842</v>
      </c>
      <c r="Z18" s="436">
        <f t="shared" si="0"/>
        <v>0.56017671356000831</v>
      </c>
      <c r="AA18" s="354">
        <f>ABS(Z18-Y18)/Z18</f>
        <v>1.9819157022246073E-16</v>
      </c>
      <c r="AD18" s="25">
        <f>AJ28</f>
        <v>0.56017671356000898</v>
      </c>
      <c r="AE18" s="354">
        <f t="shared" si="3"/>
        <v>9.9095785111230238E-16</v>
      </c>
      <c r="AI18" s="634" t="s">
        <v>842</v>
      </c>
      <c r="AJ18" s="633">
        <v>1.0513799860672901</v>
      </c>
      <c r="AQ18" s="25" t="s">
        <v>726</v>
      </c>
      <c r="AR18" s="25">
        <v>10.84</v>
      </c>
    </row>
    <row r="19" spans="1:44" ht="12" customHeight="1">
      <c r="A19" s="247" t="s">
        <v>781</v>
      </c>
      <c r="B19" s="253" t="str">
        <f>'EB2018'!AE1</f>
        <v xml:space="preserve"> Biomass</v>
      </c>
      <c r="C19" s="253">
        <f>'EB2018'!AE56*RSD_Balance!B4</f>
        <v>1.2466650078070101</v>
      </c>
      <c r="D19" s="44"/>
      <c r="E19" s="642" t="s">
        <v>209</v>
      </c>
      <c r="F19" s="643">
        <f>'SHWLP-Apt'!$AC$22+'SHWLP-Apt'!$AC$23</f>
        <v>0</v>
      </c>
      <c r="G19" s="644">
        <f>'SHWLP-Att'!$AC$22+'SHWLP-Att'!$AC$23</f>
        <v>0.15910157693805971</v>
      </c>
      <c r="H19" s="645">
        <f>'SHWLP-Det'!$AC$22+'SHWLP-Det'!$AC$23</f>
        <v>0.86316679487914505</v>
      </c>
      <c r="I19" s="643">
        <f>'SHWLP-Apt'!$AC$49+'SHWLP-Apt'!$AC$48</f>
        <v>0</v>
      </c>
      <c r="J19" s="644">
        <f>'SHWLP-Att'!$AC$49+'SHWLP-Att'!$AC$48</f>
        <v>3.0073653074616069E-2</v>
      </c>
      <c r="K19" s="645">
        <f>'SHWLP-Det'!$AC$49+'SHWLP-Det'!$AC$48</f>
        <v>3.2146550780440097E-2</v>
      </c>
      <c r="L19" s="643"/>
      <c r="M19" s="644"/>
      <c r="N19" s="645"/>
      <c r="O19" s="643"/>
      <c r="P19" s="644"/>
      <c r="Q19" s="645"/>
      <c r="R19" s="650"/>
      <c r="S19" s="643"/>
      <c r="T19" s="644"/>
      <c r="U19" s="644"/>
      <c r="V19" s="644"/>
      <c r="W19" s="644"/>
      <c r="X19" s="645"/>
      <c r="Y19" s="756">
        <f>SUM(F19:X19)</f>
        <v>1.0844885756722611</v>
      </c>
      <c r="Z19" s="757">
        <f t="shared" si="0"/>
        <v>1.2466650078070101</v>
      </c>
      <c r="AA19" s="354">
        <f>ABS(Z19-Y19)/Z19</f>
        <v>0.13008822026699146</v>
      </c>
      <c r="AD19" s="25">
        <f>AJ29+AJ15</f>
        <v>1.2689594898892349</v>
      </c>
      <c r="AE19" s="354">
        <f t="shared" si="3"/>
        <v>0.1453717913667015</v>
      </c>
      <c r="AI19" s="634" t="s">
        <v>850</v>
      </c>
      <c r="AJ19" s="633">
        <v>7.8153182244299698E-5</v>
      </c>
      <c r="AQ19" s="25" t="s">
        <v>722</v>
      </c>
      <c r="AR19" s="25">
        <v>1.41</v>
      </c>
    </row>
    <row r="20" spans="1:44" ht="12" customHeight="1">
      <c r="A20" s="248" t="s">
        <v>782</v>
      </c>
      <c r="B20" s="254" t="str">
        <f>'EB2018'!AH1</f>
        <v xml:space="preserve"> Biogas</v>
      </c>
      <c r="C20" s="254">
        <f>'EB2018'!AH56*RSD_Balance!B4</f>
        <v>0</v>
      </c>
      <c r="D20" s="44"/>
      <c r="E20" s="651" t="s">
        <v>210</v>
      </c>
      <c r="F20" s="440"/>
      <c r="G20" s="439"/>
      <c r="H20" s="441"/>
      <c r="I20" s="440"/>
      <c r="J20" s="439"/>
      <c r="K20" s="441"/>
      <c r="L20" s="440"/>
      <c r="M20" s="439"/>
      <c r="N20" s="441"/>
      <c r="O20" s="440"/>
      <c r="P20" s="439"/>
      <c r="Q20" s="441"/>
      <c r="R20" s="436"/>
      <c r="S20" s="442"/>
      <c r="T20" s="439"/>
      <c r="U20" s="439"/>
      <c r="V20" s="439"/>
      <c r="W20" s="439"/>
      <c r="X20" s="441"/>
      <c r="Y20" s="758">
        <f t="shared" si="2"/>
        <v>0</v>
      </c>
      <c r="Z20" s="436">
        <f t="shared" si="0"/>
        <v>0</v>
      </c>
      <c r="AI20" s="634" t="s">
        <v>851</v>
      </c>
      <c r="AJ20" s="633">
        <v>0.60910161182205103</v>
      </c>
    </row>
    <row r="21" spans="1:44" ht="12" customHeight="1">
      <c r="A21" s="247" t="s">
        <v>211</v>
      </c>
      <c r="B21" s="253" t="str">
        <f>'EB2018'!AG1</f>
        <v xml:space="preserve"> Landfill Gas</v>
      </c>
      <c r="C21" s="253">
        <f>'EB2018'!AG56*RSD_Balance!B4</f>
        <v>0</v>
      </c>
      <c r="D21" s="44"/>
      <c r="E21" s="642" t="s">
        <v>211</v>
      </c>
      <c r="F21" s="643"/>
      <c r="G21" s="644"/>
      <c r="H21" s="645"/>
      <c r="I21" s="643"/>
      <c r="J21" s="644"/>
      <c r="K21" s="645"/>
      <c r="L21" s="643"/>
      <c r="M21" s="644"/>
      <c r="N21" s="645"/>
      <c r="O21" s="643"/>
      <c r="P21" s="644"/>
      <c r="Q21" s="645"/>
      <c r="R21" s="650"/>
      <c r="S21" s="643"/>
      <c r="T21" s="644"/>
      <c r="U21" s="644"/>
      <c r="V21" s="644"/>
      <c r="W21" s="644"/>
      <c r="X21" s="645"/>
      <c r="Y21" s="756">
        <f t="shared" si="2"/>
        <v>0</v>
      </c>
      <c r="Z21" s="757">
        <f t="shared" si="0"/>
        <v>0</v>
      </c>
      <c r="AI21" s="634" t="s">
        <v>411</v>
      </c>
      <c r="AJ21" s="633">
        <v>2.3626993757787398</v>
      </c>
    </row>
    <row r="22" spans="1:44" ht="12" customHeight="1">
      <c r="A22" s="248" t="s">
        <v>825</v>
      </c>
      <c r="B22" s="254" t="str">
        <f>'EB2018'!AM1</f>
        <v xml:space="preserve"> Ambient Heat</v>
      </c>
      <c r="C22" s="254">
        <f>'EB2018'!AM56*RSD_Balance!B4</f>
        <v>1.1669028796434333</v>
      </c>
      <c r="D22" s="44"/>
      <c r="E22" s="653" t="s">
        <v>832</v>
      </c>
      <c r="F22" s="440">
        <f>('SHWLP-Apt'!$AC$12/('SHWLP-Apt'!$AC$12+'SHWLP-Att'!$AC$12+'SHWLP-Det'!$AC$12+'SHWLP-Apt'!$AC$38+'SHWLP-Att'!$AC$38+'SHWLP-Det'!$AC$38+'SHWLP-Apt'!AC24+'SHWLP-Apt'!AC50+'SHWLP-Att'!AC24+'SHWLP-Att'!AC50+'SHWLP-Det'!AC24+'SHWLP-Det'!AC50))</f>
        <v>0.21442628392933846</v>
      </c>
      <c r="G22" s="439">
        <f>('SHWLP-Att'!$AC$12/('SHWLP-Apt'!$AC$12+'SHWLP-Att'!$AC$12+'SHWLP-Det'!$AC$12+'SHWLP-Apt'!$AC$38+'SHWLP-Att'!$AC$38+'SHWLP-Det'!$AC$38+'SHWLP-Apt'!AC24+'SHWLP-Apt'!AC50+'SHWLP-Att'!AC24+'SHWLP-Att'!AC50+'SHWLP-Det'!AC24+'SHWLP-Det'!AC50))</f>
        <v>0.1328039621482244</v>
      </c>
      <c r="H22" s="441">
        <f>('SHWLP-Det'!$AC$12/('SHWLP-Apt'!$AC$12+'SHWLP-Att'!$AC$12+'SHWLP-Det'!$AC$12+'SHWLP-Apt'!$AC$38+'SHWLP-Att'!$AC$38+'SHWLP-Det'!$AC$38+'SHWLP-Apt'!AC24+'SHWLP-Apt'!AC50+'SHWLP-Att'!AC24+'SHWLP-Att'!AC50+'SHWLP-Det'!AC24+'SHWLP-Det'!AC50))</f>
        <v>0.14941040324491844</v>
      </c>
      <c r="I22" s="440">
        <f>('SHWLP-Apt'!$AC$38/('SHWLP-Apt'!$AC$12+'SHWLP-Att'!$AC$12+'SHWLP-Det'!$AC$12+'SHWLP-Apt'!$AC$38+'SHWLP-Att'!$AC$38+'SHWLP-Det'!$AC$38+'SHWLP-Apt'!AC50))</f>
        <v>0.34644334075781774</v>
      </c>
      <c r="J22" s="439">
        <f>('SHWLP-Att'!$AC$38/('SHWLP-Apt'!$AC$12+'SHWLP-Att'!$AC$12+'SHWLP-Det'!$AC$12+'SHWLP-Apt'!$AC$38+'SHWLP-Att'!$AC$38+'SHWLP-Det'!$AC$38+'SHWLP-Att'!AC50))</f>
        <v>0.15691600991970089</v>
      </c>
      <c r="K22" s="441">
        <f>('SHWLP-Det'!$AC$38/('SHWLP-Apt'!$AC$12+'SHWLP-Att'!$AC$12+'SHWLP-Det'!$AC$12+'SHWLP-Apt'!$AC$38+'SHWLP-Att'!$AC$38+'SHWLP-Det'!$AC$38+'SHWLP-Det'!AC50))</f>
        <v>0</v>
      </c>
      <c r="L22" s="440"/>
      <c r="M22" s="439"/>
      <c r="N22" s="441"/>
      <c r="O22" s="440"/>
      <c r="P22" s="439"/>
      <c r="Q22" s="441"/>
      <c r="R22" s="436"/>
      <c r="S22" s="442"/>
      <c r="T22" s="439"/>
      <c r="U22" s="439"/>
      <c r="V22" s="439"/>
      <c r="W22" s="439"/>
      <c r="X22" s="441"/>
      <c r="Y22" s="763">
        <f>SUM(F22:X22)</f>
        <v>1</v>
      </c>
      <c r="Z22" s="764">
        <f t="shared" si="0"/>
        <v>1.1669028796434333</v>
      </c>
      <c r="AA22" s="616">
        <f>ABS(Z22+Z27-Y22-Y27)/(Z22+Z27)</f>
        <v>0.14303065195488529</v>
      </c>
      <c r="AD22" s="25">
        <f>AJ8+AJ18+AJ24</f>
        <v>2.2054176010201956</v>
      </c>
      <c r="AE22" s="354">
        <f>ABS(AD22-Y22)/SUM(AD22+AD27)</f>
        <v>0.5465711348556328</v>
      </c>
      <c r="AI22" s="634" t="s">
        <v>852</v>
      </c>
      <c r="AJ22" s="633">
        <v>2.1879412797081899E-5</v>
      </c>
    </row>
    <row r="23" spans="1:44" ht="12" customHeight="1">
      <c r="A23" s="247" t="s">
        <v>783</v>
      </c>
      <c r="B23" s="253" t="s">
        <v>213</v>
      </c>
      <c r="C23" s="253">
        <f>'EB2018'!AI56*RSD_Balance!B4*0.5</f>
        <v>0</v>
      </c>
      <c r="D23" s="44"/>
      <c r="E23" s="642" t="s">
        <v>212</v>
      </c>
      <c r="F23" s="643">
        <f>'SHWLP-Apt'!$AC$9</f>
        <v>0</v>
      </c>
      <c r="G23" s="644">
        <f>'SHWLP-Att'!$AC$9</f>
        <v>0</v>
      </c>
      <c r="H23" s="645">
        <f>'SHWLP-Det'!$AC$9</f>
        <v>0</v>
      </c>
      <c r="I23" s="643">
        <f>'SHWLP-Apt'!$AC$35</f>
        <v>0</v>
      </c>
      <c r="J23" s="644">
        <f>'SHWLP-Att'!$AC$35</f>
        <v>0</v>
      </c>
      <c r="K23" s="645">
        <f>'SHWLP-Det'!$AC$35</f>
        <v>0</v>
      </c>
      <c r="L23" s="643"/>
      <c r="M23" s="644"/>
      <c r="N23" s="645"/>
      <c r="O23" s="643"/>
      <c r="P23" s="644"/>
      <c r="Q23" s="645"/>
      <c r="R23" s="650"/>
      <c r="S23" s="643"/>
      <c r="T23" s="644"/>
      <c r="U23" s="644"/>
      <c r="V23" s="644"/>
      <c r="W23" s="644"/>
      <c r="X23" s="645"/>
      <c r="Y23" s="756">
        <f t="shared" si="2"/>
        <v>0</v>
      </c>
      <c r="Z23" s="757">
        <f t="shared" si="0"/>
        <v>0</v>
      </c>
      <c r="AA23" s="37"/>
      <c r="AI23" s="634" t="s">
        <v>853</v>
      </c>
      <c r="AJ23" s="633">
        <v>6.3135409508426799</v>
      </c>
    </row>
    <row r="24" spans="1:44" ht="12" customHeight="1">
      <c r="A24" s="248" t="s">
        <v>784</v>
      </c>
      <c r="B24" s="254" t="s">
        <v>215</v>
      </c>
      <c r="C24" s="254">
        <f>'EB2018'!AI56*RSD_Balance!B4*0.5</f>
        <v>0</v>
      </c>
      <c r="D24" s="44"/>
      <c r="E24" s="651" t="s">
        <v>214</v>
      </c>
      <c r="F24" s="440">
        <f>'SHWLP-Apt'!$AC$8</f>
        <v>0</v>
      </c>
      <c r="G24" s="439">
        <f>'SHWLP-Att'!$AC$8</f>
        <v>0</v>
      </c>
      <c r="H24" s="441">
        <f>'SHWLP-Det'!$AC$8</f>
        <v>0</v>
      </c>
      <c r="I24" s="440">
        <f>'SHWLP-Apt'!$AC$34</f>
        <v>0</v>
      </c>
      <c r="J24" s="439">
        <f>'SHWLP-Att'!$AC$34</f>
        <v>0</v>
      </c>
      <c r="K24" s="441">
        <f>'SHWLP-Det'!$AC$34</f>
        <v>0</v>
      </c>
      <c r="L24" s="440"/>
      <c r="M24" s="439"/>
      <c r="N24" s="441"/>
      <c r="O24" s="440"/>
      <c r="P24" s="439"/>
      <c r="Q24" s="441"/>
      <c r="R24" s="436"/>
      <c r="S24" s="442"/>
      <c r="T24" s="439"/>
      <c r="U24" s="439"/>
      <c r="V24" s="439"/>
      <c r="W24" s="439"/>
      <c r="X24" s="441"/>
      <c r="Y24" s="758">
        <f t="shared" si="2"/>
        <v>0</v>
      </c>
      <c r="Z24" s="436">
        <f t="shared" si="0"/>
        <v>0</v>
      </c>
      <c r="AA24" s="37"/>
      <c r="AI24" s="634" t="s">
        <v>409</v>
      </c>
      <c r="AJ24" s="633">
        <v>2.3853289854654501E-3</v>
      </c>
    </row>
    <row r="25" spans="1:44" ht="12" customHeight="1">
      <c r="A25" s="247" t="s">
        <v>216</v>
      </c>
      <c r="B25" s="253" t="str">
        <f>'EB2018'!AN1</f>
        <v xml:space="preserve"> Non-Renewable  Waste</v>
      </c>
      <c r="C25" s="253">
        <f>'EB2018'!AN56*RSD_Balance!B4</f>
        <v>0</v>
      </c>
      <c r="D25" s="44"/>
      <c r="E25" s="652" t="s">
        <v>216</v>
      </c>
      <c r="F25" s="643"/>
      <c r="G25" s="644"/>
      <c r="H25" s="645"/>
      <c r="I25" s="643"/>
      <c r="J25" s="644"/>
      <c r="K25" s="645"/>
      <c r="L25" s="643"/>
      <c r="M25" s="644"/>
      <c r="N25" s="645"/>
      <c r="O25" s="643"/>
      <c r="P25" s="644"/>
      <c r="Q25" s="645"/>
      <c r="R25" s="650"/>
      <c r="S25" s="643"/>
      <c r="T25" s="644"/>
      <c r="U25" s="644"/>
      <c r="V25" s="644"/>
      <c r="W25" s="644"/>
      <c r="X25" s="645"/>
      <c r="Y25" s="756">
        <f t="shared" si="2"/>
        <v>0</v>
      </c>
      <c r="Z25" s="757">
        <f t="shared" si="0"/>
        <v>0</v>
      </c>
      <c r="AA25" s="37"/>
      <c r="AI25" s="634" t="s">
        <v>854</v>
      </c>
      <c r="AJ25" s="633">
        <v>9.90629955911613</v>
      </c>
    </row>
    <row r="26" spans="1:44" ht="12" customHeight="1">
      <c r="A26" s="248" t="s">
        <v>613</v>
      </c>
      <c r="B26" s="254" t="str">
        <f>'EB2018'!AO1</f>
        <v xml:space="preserve"> Electricity</v>
      </c>
      <c r="C26" s="254">
        <f>'EB2018'!AO56*RSD_Balance!B4</f>
        <v>29.430890206847998</v>
      </c>
      <c r="D26" s="44"/>
      <c r="E26" s="438" t="s">
        <v>613</v>
      </c>
      <c r="F26" s="440">
        <f>'SHWLP-Apt'!$AC$11+'SHWLP-Apt'!$AC$13</f>
        <v>0.66757192323568215</v>
      </c>
      <c r="G26" s="439">
        <f>'SHWLP-Att'!$AC$11+'SHWLP-Att'!$AC$13</f>
        <v>1.0838903110495035</v>
      </c>
      <c r="H26" s="441">
        <f>'SHWLP-Det'!$AC$11+'SHWLP-Det'!$AC$13</f>
        <v>1.5894259504513475</v>
      </c>
      <c r="I26" s="440">
        <f>'SHWLP-Apt'!$AC$37+'SHWLP-Apt'!$AC$39</f>
        <v>0.69372778462180618</v>
      </c>
      <c r="J26" s="439">
        <f>'SHWLP-Att'!$AC$37+'SHWLP-Att'!$AC$39</f>
        <v>0.56457083746435377</v>
      </c>
      <c r="K26" s="441">
        <f>'SHWLP-Det'!$AC$37+'SHWLP-Det'!$AC$39</f>
        <v>0</v>
      </c>
      <c r="L26" s="440">
        <f>'SHWLP-Apt'!$AC$59</f>
        <v>0.34353539472387451</v>
      </c>
      <c r="M26" s="439">
        <f>'SHWLP-Att'!$AC$59</f>
        <v>1.8080718525599928</v>
      </c>
      <c r="N26" s="441">
        <f>'SHWLP-Det'!$AC$59</f>
        <v>2.7736752304587728</v>
      </c>
      <c r="O26" s="440">
        <f>'SHWLP-Apt'!$AC$60</f>
        <v>7.078848738741389E-2</v>
      </c>
      <c r="P26" s="439">
        <f>'SHWLP-Att'!$AC$60</f>
        <v>0.50068510037742064</v>
      </c>
      <c r="Q26" s="441">
        <f>'SHWLP-Det'!$AC$60</f>
        <v>0.57732324799614743</v>
      </c>
      <c r="R26" s="436">
        <v>2.051734110329881</v>
      </c>
      <c r="S26" s="442">
        <f>(T38*0.0000000036)*(DwellingStocks!L28*RSD_Balance!U38)</f>
        <v>1.4430682741859997</v>
      </c>
      <c r="T26" s="439">
        <f>(T36*0.0000000036)*(DwellingStocks!L28*RSD_Balance!U36)</f>
        <v>1.1268114283822497</v>
      </c>
      <c r="U26" s="439">
        <f>(T37*0.0000000036)*(DwellingStocks!L28*RSD_Balance!U37)</f>
        <v>1.7528219421827038</v>
      </c>
      <c r="V26" s="439">
        <f>(T39*0.0000000036)*(DwellingStocks!L28*RSD_Balance!U39)</f>
        <v>1.2125521732445999</v>
      </c>
      <c r="W26" s="439">
        <v>10.843443600154002</v>
      </c>
      <c r="X26" s="441">
        <v>0</v>
      </c>
      <c r="Y26" s="758">
        <f>SUM(F26:X26)</f>
        <v>29.103697648805749</v>
      </c>
      <c r="Z26" s="436">
        <f t="shared" si="0"/>
        <v>29.430890206847998</v>
      </c>
      <c r="AA26" s="354">
        <f>ABS(Z26-Y26)/Z26</f>
        <v>1.1117317748211286E-2</v>
      </c>
      <c r="AD26" s="37">
        <f>AJ10+AJ21+AO6+AO7+AO8+AO10+AO11+AO12+AR6+AR15+AR16+AR17+AR18+AR19</f>
        <v>31.036472775515985</v>
      </c>
      <c r="AE26" s="354">
        <f t="shared" si="3"/>
        <v>6.227431643698126E-2</v>
      </c>
      <c r="AI26" s="634" t="s">
        <v>855</v>
      </c>
      <c r="AJ26" s="633">
        <v>0.46564568070420298</v>
      </c>
    </row>
    <row r="27" spans="1:44">
      <c r="A27" s="247" t="s">
        <v>217</v>
      </c>
      <c r="B27" s="253" t="str">
        <f>'EB2018'!AP1</f>
        <v xml:space="preserve"> Heat</v>
      </c>
      <c r="C27" s="253">
        <f>'EB2018'!AP56*RSD_Balance!B4</f>
        <v>0</v>
      </c>
      <c r="D27" s="44"/>
      <c r="E27" s="642" t="s">
        <v>217</v>
      </c>
      <c r="F27" s="643">
        <f>'SHWLP-Apt'!$AC$24</f>
        <v>0</v>
      </c>
      <c r="G27" s="644">
        <f>'SHWLP-Att'!$AC$24</f>
        <v>0</v>
      </c>
      <c r="H27" s="645">
        <f>'SHWLP-Det'!$AC$24</f>
        <v>0</v>
      </c>
      <c r="I27" s="643">
        <f>'SHWLP-Apt'!$AC$50</f>
        <v>0</v>
      </c>
      <c r="J27" s="644">
        <f>'SHWLP-Att'!$AC$50</f>
        <v>0</v>
      </c>
      <c r="K27" s="645">
        <f>'SHWLP-Det'!$AC$50</f>
        <v>0</v>
      </c>
      <c r="L27" s="643"/>
      <c r="M27" s="644"/>
      <c r="N27" s="645"/>
      <c r="O27" s="643"/>
      <c r="P27" s="644"/>
      <c r="Q27" s="645"/>
      <c r="R27" s="650"/>
      <c r="S27" s="643"/>
      <c r="T27" s="644"/>
      <c r="U27" s="644"/>
      <c r="V27" s="644"/>
      <c r="W27" s="644"/>
      <c r="X27" s="645"/>
      <c r="Y27" s="765">
        <f>SUM(F27:X27)</f>
        <v>0</v>
      </c>
      <c r="Z27" s="766">
        <f t="shared" si="0"/>
        <v>0</v>
      </c>
      <c r="AA27" s="616">
        <f>ABS(Z22+Z27-Y22-Y27)/(Z22+Z27)</f>
        <v>0.14303065195488529</v>
      </c>
      <c r="AI27" s="634" t="s">
        <v>412</v>
      </c>
      <c r="AJ27" s="633">
        <v>0.79843754089610497</v>
      </c>
    </row>
    <row r="28" spans="1:44" ht="12.75" customHeight="1" thickBot="1">
      <c r="A28" s="249"/>
      <c r="B28" s="250" t="s">
        <v>218</v>
      </c>
      <c r="C28" s="251">
        <f>SUM(C9:C27)</f>
        <v>127.53920844574029</v>
      </c>
      <c r="D28" s="44"/>
      <c r="E28" s="518" t="s">
        <v>502</v>
      </c>
      <c r="F28" s="518">
        <f>SUM('SHWLP-Apt'!AC20:AC22)</f>
        <v>0</v>
      </c>
      <c r="G28" s="518">
        <f>SUM('SHWLP-Att'!AC20:AC22)</f>
        <v>2.5661544667428986</v>
      </c>
      <c r="H28" s="518">
        <f>SUM('SHWLP-Det'!AC20:AC22)</f>
        <v>6.6941079630758544</v>
      </c>
      <c r="I28" s="518">
        <f>SUM('SHWLP-Apt'!AC46:AC48)</f>
        <v>0</v>
      </c>
      <c r="J28" s="518">
        <f>SUM('SHWLP-Att'!AC46:AC48)</f>
        <v>0.48505892055832367</v>
      </c>
      <c r="K28" s="518">
        <f>SUM('SHWLP-Det'!AC46:AC48)</f>
        <v>0.51849275452322741</v>
      </c>
      <c r="L28" s="518"/>
      <c r="M28" s="518"/>
      <c r="N28" s="518"/>
      <c r="O28" s="518"/>
      <c r="P28" s="518"/>
      <c r="Q28" s="518"/>
      <c r="R28" s="518"/>
      <c r="S28" s="518"/>
      <c r="T28" s="518"/>
      <c r="U28" s="518"/>
      <c r="V28" s="518"/>
      <c r="W28" s="518"/>
      <c r="X28" s="518"/>
      <c r="Y28" s="518">
        <f>SUM(F28:K28)</f>
        <v>10.263814104900304</v>
      </c>
      <c r="Z28" s="519"/>
      <c r="AA28" s="354"/>
      <c r="AD28" s="37"/>
      <c r="AI28" s="634" t="s">
        <v>856</v>
      </c>
      <c r="AJ28" s="633">
        <v>0.56017671356000898</v>
      </c>
    </row>
    <row r="29" spans="1:44" ht="13.5" thickBot="1">
      <c r="A29" s="37"/>
      <c r="B29" s="37"/>
      <c r="C29" s="37"/>
      <c r="D29" s="37"/>
      <c r="E29" s="37"/>
      <c r="F29" s="411">
        <f>SUM(F9:F27)</f>
        <v>2.4155752425724728</v>
      </c>
      <c r="G29" s="411">
        <f t="shared" ref="G29:K29" si="4">SUM(G9:G27)</f>
        <v>29.219025525881932</v>
      </c>
      <c r="H29" s="411">
        <f t="shared" si="4"/>
        <v>50.51788981421668</v>
      </c>
      <c r="I29" s="411">
        <f t="shared" si="4"/>
        <v>1.6753439780870696</v>
      </c>
      <c r="J29" s="411">
        <f t="shared" si="4"/>
        <v>9.0600457962582457</v>
      </c>
      <c r="K29" s="411">
        <f t="shared" si="4"/>
        <v>10.702789831101146</v>
      </c>
      <c r="L29" s="413">
        <f t="shared" ref="L29:X29" si="5">SUM(L9:L27)</f>
        <v>0.34353539472387451</v>
      </c>
      <c r="M29" s="413">
        <f t="shared" si="5"/>
        <v>1.8080718525599928</v>
      </c>
      <c r="N29" s="413">
        <f t="shared" si="5"/>
        <v>2.7736752304587728</v>
      </c>
      <c r="O29" s="413">
        <f t="shared" si="5"/>
        <v>7.078848738741389E-2</v>
      </c>
      <c r="P29" s="413">
        <f t="shared" si="5"/>
        <v>0.50068510037742064</v>
      </c>
      <c r="Q29" s="413">
        <f t="shared" si="5"/>
        <v>0.57732324799614743</v>
      </c>
      <c r="R29" s="521">
        <f t="shared" si="5"/>
        <v>2.7611554513679644</v>
      </c>
      <c r="S29" s="413">
        <f t="shared" si="5"/>
        <v>1.4430682741859997</v>
      </c>
      <c r="T29" s="413">
        <f t="shared" si="5"/>
        <v>1.1268114283822497</v>
      </c>
      <c r="U29" s="413">
        <f t="shared" si="5"/>
        <v>1.7528219421827038</v>
      </c>
      <c r="V29" s="413">
        <f t="shared" si="5"/>
        <v>1.2125521732445999</v>
      </c>
      <c r="W29" s="520">
        <f t="shared" si="5"/>
        <v>10.843443600154002</v>
      </c>
      <c r="X29" s="413">
        <f t="shared" si="5"/>
        <v>0</v>
      </c>
      <c r="Y29" s="597">
        <f>SUM(Y9:Y27)</f>
        <v>128.80460237113869</v>
      </c>
      <c r="Z29" s="596">
        <f>SUM(Z9:Z27)</f>
        <v>127.53920844574029</v>
      </c>
      <c r="AA29" s="354">
        <f>ABS(Z29-Y29)/Z29</f>
        <v>9.9216071733481299E-3</v>
      </c>
      <c r="AD29" s="596">
        <f>SUM(AD9:AD27)</f>
        <v>122.9150304745302</v>
      </c>
      <c r="AI29" s="634" t="s">
        <v>857</v>
      </c>
      <c r="AJ29" s="633">
        <v>0.146746307695925</v>
      </c>
    </row>
    <row r="30" spans="1:44" ht="13.5" thickBot="1">
      <c r="A30" s="37"/>
      <c r="B30" s="37"/>
      <c r="C30" s="37"/>
      <c r="E30" s="37"/>
      <c r="F30" s="411">
        <f>SUM(F29:H29)</f>
        <v>82.152490582671078</v>
      </c>
      <c r="G30" s="412">
        <f>F30/$Y$29</f>
        <v>0.63780710526131812</v>
      </c>
      <c r="H30" s="302"/>
      <c r="I30" s="413">
        <f>SUM(I29:K29)</f>
        <v>21.438179605446461</v>
      </c>
      <c r="J30" s="412">
        <f>I30/$Y$29</f>
        <v>0.16643954649752582</v>
      </c>
      <c r="K30" s="302"/>
      <c r="L30" s="413">
        <f>SUM(L29:N29)</f>
        <v>4.9252824777426403</v>
      </c>
      <c r="M30" s="412">
        <f>L30/$Y$29</f>
        <v>3.8238404428677861E-2</v>
      </c>
      <c r="N30" s="302"/>
      <c r="O30" s="413">
        <f>SUM(O29:Q29)</f>
        <v>1.1487968357609819</v>
      </c>
      <c r="P30" s="412">
        <f>O30/$Y$29</f>
        <v>8.9189113945698055E-3</v>
      </c>
      <c r="Q30" s="302"/>
      <c r="R30" s="412">
        <f>R29/$Y$29</f>
        <v>2.143677633049126E-2</v>
      </c>
      <c r="S30" s="413">
        <f>SUM(S29:X29)</f>
        <v>16.378697418149557</v>
      </c>
      <c r="T30" s="412">
        <f>S30/$Y$29</f>
        <v>0.1271592560874171</v>
      </c>
      <c r="U30" s="302"/>
      <c r="V30" s="302"/>
      <c r="W30" s="302"/>
      <c r="X30" s="302"/>
      <c r="Y30" s="414">
        <f>T30+R30+P30++M30+J30+G30</f>
        <v>1</v>
      </c>
      <c r="Z30" s="303"/>
      <c r="AA30" s="37"/>
      <c r="AD30" s="37"/>
    </row>
    <row r="31" spans="1:44">
      <c r="B31" s="301"/>
      <c r="D31" s="47"/>
      <c r="H31" s="300"/>
      <c r="N31" s="37"/>
      <c r="O31" s="37"/>
      <c r="P31" s="37"/>
      <c r="Q31" s="37"/>
      <c r="R31" s="37"/>
      <c r="T31" s="37"/>
      <c r="U31" s="37"/>
      <c r="V31" s="37"/>
      <c r="W31" s="37"/>
      <c r="X31" s="37"/>
      <c r="Y31" s="631"/>
      <c r="Z31" s="631"/>
      <c r="AA31" s="37"/>
      <c r="AB31" s="37"/>
      <c r="AD31" s="37"/>
    </row>
    <row r="32" spans="1:44" s="47" customFormat="1">
      <c r="D32" s="25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25"/>
      <c r="AD32" s="37"/>
      <c r="AE32" s="25"/>
      <c r="AF32" s="25"/>
      <c r="AG32" s="25"/>
      <c r="AH32" s="25"/>
      <c r="AI32" s="25"/>
      <c r="AJ32" s="25"/>
      <c r="AK32" s="25"/>
      <c r="AL32" s="25"/>
    </row>
    <row r="33" spans="9:31">
      <c r="I33" s="632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 t="str">
        <f>F7</f>
        <v>Space Heating</v>
      </c>
      <c r="Z33" s="43">
        <f>F30</f>
        <v>82.152490582671078</v>
      </c>
      <c r="AA33" s="37"/>
      <c r="AB33" s="37"/>
      <c r="AC33" s="37"/>
      <c r="AD33" s="37"/>
    </row>
    <row r="34" spans="9:31" ht="13.5" thickBot="1"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 t="str">
        <f>I7</f>
        <v>Water Heating</v>
      </c>
      <c r="Z34" s="43">
        <f>I30</f>
        <v>21.438179605446461</v>
      </c>
      <c r="AA34" s="37"/>
      <c r="AB34" s="37"/>
      <c r="AC34" s="37"/>
      <c r="AD34" s="37"/>
    </row>
    <row r="35" spans="9:31">
      <c r="N35" s="37"/>
      <c r="O35" s="37"/>
      <c r="P35" s="37"/>
      <c r="Q35" s="37"/>
      <c r="R35" s="664"/>
      <c r="S35" s="665" t="s">
        <v>505</v>
      </c>
      <c r="T35" s="665" t="s">
        <v>504</v>
      </c>
      <c r="U35" s="666" t="s">
        <v>506</v>
      </c>
      <c r="V35" s="37"/>
      <c r="W35" s="37"/>
      <c r="X35" s="37"/>
      <c r="Y35" s="37" t="str">
        <f>O7</f>
        <v>Pumps &amp; Fans</v>
      </c>
      <c r="Z35" s="43">
        <f>O30</f>
        <v>1.1487968357609819</v>
      </c>
      <c r="AA35" s="37"/>
      <c r="AB35" s="37"/>
      <c r="AC35" s="37"/>
      <c r="AD35" s="37"/>
    </row>
    <row r="36" spans="9:31">
      <c r="N36" s="37"/>
      <c r="O36" s="37"/>
      <c r="P36" s="37"/>
      <c r="Q36" s="37"/>
      <c r="R36" s="1107" t="s">
        <v>225</v>
      </c>
      <c r="S36" s="1108"/>
      <c r="T36" s="41">
        <v>185</v>
      </c>
      <c r="U36" s="667">
        <v>0.97499999999999998</v>
      </c>
      <c r="V36" s="37"/>
      <c r="W36" s="37"/>
      <c r="X36" s="37"/>
      <c r="Y36" s="37" t="str">
        <f>L7</f>
        <v>Lighting</v>
      </c>
      <c r="Z36" s="43">
        <f>L30</f>
        <v>4.9252824777426403</v>
      </c>
      <c r="AA36" s="37"/>
      <c r="AB36" s="37"/>
      <c r="AC36" s="37"/>
      <c r="AD36" s="37"/>
    </row>
    <row r="37" spans="9:31">
      <c r="N37" s="37"/>
      <c r="O37" s="37"/>
      <c r="P37" s="37"/>
      <c r="Q37" s="37"/>
      <c r="R37" s="1107" t="s">
        <v>226</v>
      </c>
      <c r="S37" s="1108"/>
      <c r="T37" s="37">
        <v>433</v>
      </c>
      <c r="U37" s="667">
        <v>0.64800000000000002</v>
      </c>
      <c r="V37" s="37"/>
      <c r="W37" s="37"/>
      <c r="X37" s="37"/>
      <c r="Y37" s="37" t="str">
        <f>R7</f>
        <v>Cooking</v>
      </c>
      <c r="Z37" s="43">
        <f>R29</f>
        <v>2.7611554513679644</v>
      </c>
      <c r="AA37" s="37"/>
      <c r="AB37" s="37"/>
      <c r="AC37" s="37"/>
      <c r="AD37" s="37"/>
    </row>
    <row r="38" spans="9:31">
      <c r="N38" s="37"/>
      <c r="O38" s="37"/>
      <c r="P38" s="37"/>
      <c r="Q38" s="37"/>
      <c r="R38" s="1107" t="s">
        <v>224</v>
      </c>
      <c r="S38" s="1108"/>
      <c r="T38" s="37">
        <v>231</v>
      </c>
      <c r="U38" s="667">
        <v>1</v>
      </c>
      <c r="V38" s="37"/>
      <c r="W38" s="37"/>
      <c r="X38" s="37"/>
      <c r="Y38" s="37" t="str">
        <f>S7</f>
        <v>Appliances</v>
      </c>
      <c r="Z38" s="43">
        <f>S30</f>
        <v>16.378697418149557</v>
      </c>
      <c r="AA38" s="37"/>
      <c r="AB38" s="37"/>
      <c r="AC38" s="37"/>
      <c r="AD38" s="37"/>
    </row>
    <row r="39" spans="9:31" ht="13.5" thickBot="1">
      <c r="N39" s="37"/>
      <c r="O39" s="37"/>
      <c r="P39" s="37"/>
      <c r="Q39" s="37"/>
      <c r="R39" s="1109" t="s">
        <v>227</v>
      </c>
      <c r="S39" s="1110"/>
      <c r="T39" s="668">
        <v>300</v>
      </c>
      <c r="U39" s="303">
        <v>0.64700000000000002</v>
      </c>
      <c r="V39" s="37"/>
      <c r="W39" s="37"/>
      <c r="X39" s="37"/>
      <c r="Y39" s="37"/>
      <c r="Z39" s="37"/>
      <c r="AA39" s="37"/>
      <c r="AB39" s="37"/>
      <c r="AC39" s="37"/>
      <c r="AD39" s="37"/>
    </row>
    <row r="40" spans="9:31"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</row>
    <row r="41" spans="9:31"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</row>
    <row r="42" spans="9:31"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</row>
    <row r="43" spans="9:31"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</row>
    <row r="44" spans="9:31"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</row>
    <row r="45" spans="9:31"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</row>
    <row r="46" spans="9:31"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</row>
    <row r="47" spans="9:31"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</row>
    <row r="48" spans="9:31"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</row>
    <row r="49" spans="1:31"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</row>
    <row r="50" spans="1:31"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</row>
    <row r="51" spans="1:31"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</row>
    <row r="52" spans="1:31">
      <c r="N52" s="37"/>
      <c r="O52" s="37"/>
      <c r="P52" s="37"/>
      <c r="Q52" s="37"/>
      <c r="R52" s="37"/>
      <c r="S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</row>
    <row r="53" spans="1:31">
      <c r="N53" s="37"/>
      <c r="O53" s="37"/>
      <c r="P53" s="37"/>
    </row>
    <row r="54" spans="1:31">
      <c r="N54" s="37"/>
      <c r="O54" s="37"/>
      <c r="P54" s="37"/>
    </row>
    <row r="55" spans="1:31">
      <c r="N55" s="37"/>
      <c r="O55" s="37"/>
      <c r="P55" s="37"/>
    </row>
    <row r="56" spans="1:31">
      <c r="N56" s="37"/>
      <c r="O56" s="37"/>
      <c r="P56" s="37"/>
    </row>
    <row r="57" spans="1:31">
      <c r="N57" s="37"/>
      <c r="O57" s="37"/>
      <c r="P57" s="37"/>
      <c r="T57" s="37"/>
      <c r="U57" s="37"/>
    </row>
    <row r="58" spans="1:31">
      <c r="N58" s="37"/>
      <c r="O58" s="37"/>
      <c r="P58" s="37"/>
      <c r="Q58" s="37"/>
      <c r="R58" s="37"/>
      <c r="S58" s="37"/>
      <c r="V58" s="37"/>
      <c r="W58" s="37"/>
      <c r="X58" s="37"/>
      <c r="Y58" s="37"/>
      <c r="Z58" s="37"/>
      <c r="AA58" s="37"/>
    </row>
    <row r="63" spans="1:31">
      <c r="D63" s="37"/>
    </row>
    <row r="64" spans="1:3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</row>
    <row r="65" spans="1:12">
      <c r="A65" s="37"/>
      <c r="B65" s="37"/>
      <c r="C65" s="37"/>
      <c r="E65" s="37"/>
      <c r="F65" s="37"/>
      <c r="G65" s="37"/>
      <c r="H65" s="37"/>
      <c r="I65" s="37"/>
      <c r="J65" s="37"/>
      <c r="K65" s="37"/>
      <c r="L65" s="37"/>
    </row>
  </sheetData>
  <mergeCells count="18">
    <mergeCell ref="R36:S36"/>
    <mergeCell ref="R37:S37"/>
    <mergeCell ref="R38:S38"/>
    <mergeCell ref="R39:S39"/>
    <mergeCell ref="AD7:AD8"/>
    <mergeCell ref="AE7:AE8"/>
    <mergeCell ref="Y7:Y8"/>
    <mergeCell ref="Z7:Z8"/>
    <mergeCell ref="AA7:AA8"/>
    <mergeCell ref="R7:R8"/>
    <mergeCell ref="S7:X7"/>
    <mergeCell ref="I7:K7"/>
    <mergeCell ref="L7:N7"/>
    <mergeCell ref="O7:Q7"/>
    <mergeCell ref="F2:G2"/>
    <mergeCell ref="F3:G3"/>
    <mergeCell ref="F4:G4"/>
    <mergeCell ref="F5:G5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46C7C-8BCD-4122-9B66-CF849AE926A1}">
  <sheetPr codeName="Sheet8"/>
  <dimension ref="B3:CU947"/>
  <sheetViews>
    <sheetView zoomScale="50" zoomScaleNormal="50" workbookViewId="0">
      <selection activeCell="BS29" sqref="BS29"/>
    </sheetView>
  </sheetViews>
  <sheetFormatPr defaultRowHeight="12.5"/>
  <cols>
    <col min="2" max="2" width="30.7265625" customWidth="1"/>
    <col min="3" max="50" width="10.7265625" customWidth="1"/>
    <col min="51" max="51" width="13.81640625" customWidth="1"/>
    <col min="52" max="62" width="10.7265625" customWidth="1"/>
    <col min="63" max="63" width="9.1796875" customWidth="1"/>
    <col min="64" max="70" width="10.7265625" customWidth="1"/>
    <col min="71" max="71" width="15.54296875" customWidth="1"/>
    <col min="72" max="77" width="10.7265625" customWidth="1"/>
  </cols>
  <sheetData>
    <row r="3" spans="2:99" ht="21">
      <c r="B3" s="49" t="s">
        <v>551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CA3" s="307" t="s">
        <v>564</v>
      </c>
      <c r="CI3" s="307" t="s">
        <v>565</v>
      </c>
    </row>
    <row r="4" spans="2:99" ht="18">
      <c r="B4" s="1114" t="s">
        <v>558</v>
      </c>
      <c r="C4" s="1115"/>
      <c r="D4" s="1115"/>
      <c r="E4" s="1115"/>
      <c r="F4" s="1115"/>
      <c r="G4" s="1115"/>
      <c r="H4" s="1115"/>
      <c r="I4" s="1115"/>
      <c r="J4" s="1115"/>
      <c r="K4" s="1115"/>
      <c r="L4" s="1115"/>
      <c r="O4" s="1114" t="s">
        <v>560</v>
      </c>
      <c r="P4" s="1115"/>
      <c r="Q4" s="1115"/>
      <c r="R4" s="1115"/>
      <c r="S4" s="1115"/>
      <c r="T4" s="1115"/>
      <c r="U4" s="1115"/>
      <c r="V4" s="1115"/>
      <c r="W4" s="1115"/>
      <c r="X4" s="1115"/>
      <c r="Y4" s="1115"/>
      <c r="Z4" s="669"/>
      <c r="CA4" t="s">
        <v>515</v>
      </c>
    </row>
    <row r="6" spans="2:99">
      <c r="B6" t="s">
        <v>507</v>
      </c>
      <c r="C6" t="s">
        <v>297</v>
      </c>
      <c r="D6" t="s">
        <v>44</v>
      </c>
      <c r="E6" t="s">
        <v>46</v>
      </c>
      <c r="O6" t="s">
        <v>507</v>
      </c>
      <c r="P6" t="s">
        <v>297</v>
      </c>
      <c r="Q6" t="s">
        <v>44</v>
      </c>
      <c r="R6" t="s">
        <v>46</v>
      </c>
      <c r="CA6" s="58" t="s">
        <v>516</v>
      </c>
      <c r="CI6" t="s">
        <v>516</v>
      </c>
      <c r="CQ6" t="s">
        <v>516</v>
      </c>
    </row>
    <row r="7" spans="2:99">
      <c r="B7" t="s">
        <v>508</v>
      </c>
      <c r="C7" s="122">
        <v>6094</v>
      </c>
      <c r="D7" s="122">
        <v>22883</v>
      </c>
      <c r="E7" s="122">
        <v>21159</v>
      </c>
      <c r="F7" s="306">
        <f>SUM(C7:E7)</f>
        <v>50136</v>
      </c>
      <c r="O7" t="s">
        <v>523</v>
      </c>
      <c r="P7">
        <f>CE76+CE64+CE88</f>
        <v>13706</v>
      </c>
      <c r="Q7">
        <f>CE39+CE52</f>
        <v>52434</v>
      </c>
      <c r="R7">
        <f t="shared" ref="R7:R15" si="0">CE27</f>
        <v>74125</v>
      </c>
      <c r="S7" s="306">
        <f>SUM(P7:R7)</f>
        <v>140265</v>
      </c>
      <c r="CA7" t="s">
        <v>517</v>
      </c>
      <c r="CI7" t="s">
        <v>517</v>
      </c>
      <c r="CQ7" t="s">
        <v>550</v>
      </c>
    </row>
    <row r="8" spans="2:99">
      <c r="B8" t="s">
        <v>509</v>
      </c>
      <c r="C8" s="122">
        <v>2800</v>
      </c>
      <c r="D8" s="122">
        <v>26844</v>
      </c>
      <c r="E8" s="122">
        <v>16032</v>
      </c>
      <c r="F8" s="306">
        <f t="shared" ref="F8:F15" si="1">SUM(C8:E8)</f>
        <v>45676</v>
      </c>
      <c r="O8" t="s">
        <v>524</v>
      </c>
      <c r="P8">
        <f t="shared" ref="P8:P15" si="2">CE77+CE65+CE89</f>
        <v>5393</v>
      </c>
      <c r="Q8">
        <f>CE40+CE53</f>
        <v>56743</v>
      </c>
      <c r="R8">
        <f t="shared" si="0"/>
        <v>46847</v>
      </c>
      <c r="S8" s="306">
        <f t="shared" ref="S8:S15" si="3">SUM(P8:R8)</f>
        <v>108983</v>
      </c>
      <c r="CA8" t="s">
        <v>518</v>
      </c>
      <c r="CI8" t="s">
        <v>539</v>
      </c>
      <c r="CQ8" t="s">
        <v>539</v>
      </c>
    </row>
    <row r="9" spans="2:99">
      <c r="B9" t="s">
        <v>510</v>
      </c>
      <c r="C9" s="122">
        <v>2187</v>
      </c>
      <c r="D9" s="122">
        <v>33473</v>
      </c>
      <c r="E9" s="122">
        <v>14682</v>
      </c>
      <c r="F9" s="306">
        <f t="shared" si="1"/>
        <v>50342</v>
      </c>
      <c r="O9" t="s">
        <v>525</v>
      </c>
      <c r="P9">
        <f t="shared" si="2"/>
        <v>5389</v>
      </c>
      <c r="Q9">
        <f t="shared" ref="Q9:Q15" si="4">CE42+CE54</f>
        <v>77531</v>
      </c>
      <c r="R9">
        <f t="shared" si="0"/>
        <v>42427</v>
      </c>
      <c r="S9" s="306">
        <f t="shared" si="3"/>
        <v>125347</v>
      </c>
    </row>
    <row r="10" spans="2:99">
      <c r="B10" t="s">
        <v>511</v>
      </c>
      <c r="C10" s="122">
        <v>2486</v>
      </c>
      <c r="D10" s="122">
        <v>24851</v>
      </c>
      <c r="E10" s="122">
        <v>14478</v>
      </c>
      <c r="F10" s="306">
        <f t="shared" si="1"/>
        <v>41815</v>
      </c>
      <c r="O10" t="s">
        <v>526</v>
      </c>
      <c r="P10">
        <f t="shared" si="2"/>
        <v>5420</v>
      </c>
      <c r="Q10">
        <f t="shared" si="4"/>
        <v>67734</v>
      </c>
      <c r="R10">
        <f t="shared" si="0"/>
        <v>42221</v>
      </c>
      <c r="S10" s="306">
        <f t="shared" si="3"/>
        <v>115375</v>
      </c>
      <c r="CA10" t="s">
        <v>40</v>
      </c>
      <c r="CB10" t="s">
        <v>40</v>
      </c>
      <c r="CC10" t="s">
        <v>40</v>
      </c>
      <c r="CD10" t="s">
        <v>40</v>
      </c>
      <c r="CE10">
        <v>2016</v>
      </c>
      <c r="CI10" t="s">
        <v>40</v>
      </c>
      <c r="CJ10" t="s">
        <v>40</v>
      </c>
      <c r="CK10" t="s">
        <v>40</v>
      </c>
      <c r="CL10" t="s">
        <v>40</v>
      </c>
      <c r="CM10">
        <v>2016</v>
      </c>
      <c r="CQ10" t="s">
        <v>40</v>
      </c>
      <c r="CR10" t="s">
        <v>40</v>
      </c>
      <c r="CS10" t="s">
        <v>40</v>
      </c>
      <c r="CT10" t="s">
        <v>40</v>
      </c>
      <c r="CU10">
        <v>2016</v>
      </c>
    </row>
    <row r="11" spans="2:99">
      <c r="B11" t="s">
        <v>512</v>
      </c>
      <c r="C11" s="122">
        <v>3677</v>
      </c>
      <c r="D11" s="122">
        <v>51695</v>
      </c>
      <c r="E11" s="122">
        <v>35579</v>
      </c>
      <c r="F11" s="306">
        <f t="shared" si="1"/>
        <v>90951</v>
      </c>
      <c r="O11" t="s">
        <v>527</v>
      </c>
      <c r="P11">
        <f t="shared" si="2"/>
        <v>7201</v>
      </c>
      <c r="Q11">
        <f t="shared" si="4"/>
        <v>107453</v>
      </c>
      <c r="R11">
        <f t="shared" si="0"/>
        <v>97698</v>
      </c>
      <c r="S11" s="306">
        <f t="shared" si="3"/>
        <v>212352</v>
      </c>
      <c r="CA11" t="s">
        <v>519</v>
      </c>
      <c r="CI11" t="s">
        <v>519</v>
      </c>
      <c r="CQ11" t="s">
        <v>520</v>
      </c>
    </row>
    <row r="12" spans="2:99">
      <c r="B12" t="s">
        <v>513</v>
      </c>
      <c r="C12" s="122">
        <v>6342</v>
      </c>
      <c r="D12" s="122">
        <v>43624</v>
      </c>
      <c r="E12" s="122">
        <v>33190</v>
      </c>
      <c r="F12" s="306">
        <f t="shared" si="1"/>
        <v>83156</v>
      </c>
      <c r="O12" t="s">
        <v>528</v>
      </c>
      <c r="P12">
        <f t="shared" si="2"/>
        <v>10485</v>
      </c>
      <c r="Q12">
        <f t="shared" si="4"/>
        <v>73079</v>
      </c>
      <c r="R12">
        <f t="shared" si="0"/>
        <v>86491</v>
      </c>
      <c r="S12" s="306">
        <f t="shared" si="3"/>
        <v>170055</v>
      </c>
      <c r="CA12" t="s">
        <v>40</v>
      </c>
      <c r="CB12" t="s">
        <v>520</v>
      </c>
      <c r="CI12" t="s">
        <v>40</v>
      </c>
      <c r="CJ12" t="s">
        <v>520</v>
      </c>
      <c r="CQ12" t="s">
        <v>40</v>
      </c>
      <c r="CR12" t="s">
        <v>523</v>
      </c>
    </row>
    <row r="13" spans="2:99">
      <c r="B13" t="s">
        <v>514</v>
      </c>
      <c r="C13" s="122">
        <v>25354</v>
      </c>
      <c r="D13" s="122">
        <v>64118</v>
      </c>
      <c r="E13" s="122">
        <v>50159</v>
      </c>
      <c r="F13" s="306">
        <f t="shared" si="1"/>
        <v>139631</v>
      </c>
      <c r="O13" t="s">
        <v>529</v>
      </c>
      <c r="P13">
        <f t="shared" si="2"/>
        <v>28780</v>
      </c>
      <c r="Q13">
        <f t="shared" si="4"/>
        <v>99598</v>
      </c>
      <c r="R13">
        <f t="shared" si="0"/>
        <v>111455</v>
      </c>
      <c r="S13" s="306">
        <f t="shared" si="3"/>
        <v>239833</v>
      </c>
      <c r="CA13" t="s">
        <v>40</v>
      </c>
      <c r="CB13" t="s">
        <v>40</v>
      </c>
      <c r="CC13" t="s">
        <v>521</v>
      </c>
      <c r="CI13" t="s">
        <v>40</v>
      </c>
      <c r="CJ13" t="s">
        <v>40</v>
      </c>
      <c r="CK13" t="s">
        <v>521</v>
      </c>
      <c r="CQ13" t="s">
        <v>40</v>
      </c>
      <c r="CR13" t="s">
        <v>523</v>
      </c>
      <c r="CS13" t="s">
        <v>521</v>
      </c>
    </row>
    <row r="14" spans="2:99">
      <c r="B14" t="s">
        <v>547</v>
      </c>
      <c r="C14" s="122">
        <v>78381</v>
      </c>
      <c r="D14" s="122">
        <v>115507</v>
      </c>
      <c r="E14" s="122">
        <v>69518</v>
      </c>
      <c r="F14" s="306">
        <f t="shared" si="1"/>
        <v>263406</v>
      </c>
      <c r="O14" t="s">
        <v>530</v>
      </c>
      <c r="P14">
        <f t="shared" si="2"/>
        <v>86920</v>
      </c>
      <c r="Q14">
        <f t="shared" si="4"/>
        <v>167551</v>
      </c>
      <c r="R14">
        <f t="shared" si="0"/>
        <v>175223</v>
      </c>
      <c r="S14" s="306">
        <f t="shared" si="3"/>
        <v>429694</v>
      </c>
      <c r="CA14" t="s">
        <v>40</v>
      </c>
      <c r="CB14" t="s">
        <v>40</v>
      </c>
      <c r="CC14" t="s">
        <v>40</v>
      </c>
      <c r="CD14" t="s">
        <v>522</v>
      </c>
      <c r="CE14">
        <v>1697665</v>
      </c>
      <c r="CI14" t="s">
        <v>40</v>
      </c>
      <c r="CJ14" t="s">
        <v>40</v>
      </c>
      <c r="CK14" t="s">
        <v>40</v>
      </c>
      <c r="CL14" t="s">
        <v>521</v>
      </c>
      <c r="CM14">
        <v>1697665</v>
      </c>
      <c r="CQ14" t="s">
        <v>40</v>
      </c>
      <c r="CR14" t="s">
        <v>523</v>
      </c>
      <c r="CS14" t="s">
        <v>40</v>
      </c>
      <c r="CT14" t="s">
        <v>521</v>
      </c>
      <c r="CU14">
        <v>141200</v>
      </c>
    </row>
    <row r="15" spans="2:99">
      <c r="B15" t="s">
        <v>548</v>
      </c>
      <c r="C15" s="122">
        <v>7476</v>
      </c>
      <c r="D15" s="122">
        <v>31963</v>
      </c>
      <c r="E15" s="122">
        <v>10694</v>
      </c>
      <c r="F15" s="306">
        <f t="shared" si="1"/>
        <v>50133</v>
      </c>
      <c r="O15" t="s">
        <v>531</v>
      </c>
      <c r="P15">
        <f t="shared" si="2"/>
        <v>6124</v>
      </c>
      <c r="Q15">
        <f t="shared" si="4"/>
        <v>9027</v>
      </c>
      <c r="R15">
        <f t="shared" si="0"/>
        <v>18050</v>
      </c>
      <c r="S15" s="306">
        <f t="shared" si="3"/>
        <v>33201</v>
      </c>
      <c r="CA15" t="s">
        <v>40</v>
      </c>
      <c r="CB15" t="s">
        <v>40</v>
      </c>
      <c r="CC15" t="s">
        <v>40</v>
      </c>
      <c r="CD15" t="s">
        <v>523</v>
      </c>
      <c r="CE15">
        <v>141200</v>
      </c>
      <c r="CI15" t="s">
        <v>40</v>
      </c>
      <c r="CJ15" t="s">
        <v>40</v>
      </c>
      <c r="CK15" t="s">
        <v>40</v>
      </c>
      <c r="CL15" t="s">
        <v>540</v>
      </c>
      <c r="CM15">
        <v>23174</v>
      </c>
      <c r="CQ15" t="s">
        <v>40</v>
      </c>
      <c r="CR15" t="s">
        <v>523</v>
      </c>
      <c r="CS15" t="s">
        <v>40</v>
      </c>
      <c r="CT15" t="s">
        <v>540</v>
      </c>
      <c r="CU15">
        <v>6507</v>
      </c>
    </row>
    <row r="16" spans="2:99">
      <c r="B16" s="305" t="s">
        <v>549</v>
      </c>
      <c r="C16" s="306">
        <f>SUM(C7:C15)</f>
        <v>134797</v>
      </c>
      <c r="D16" s="306">
        <f>SUM(D7:D15)</f>
        <v>414958</v>
      </c>
      <c r="E16" s="306">
        <f>SUM(E7:E15)</f>
        <v>265491</v>
      </c>
      <c r="F16" s="306">
        <f>SUM(C16:E16)</f>
        <v>815246</v>
      </c>
      <c r="O16" s="305" t="s">
        <v>549</v>
      </c>
      <c r="P16" s="306">
        <f>SUM(P7:P15)</f>
        <v>169418</v>
      </c>
      <c r="Q16" s="306">
        <f>SUM(Q7:Q15)</f>
        <v>711150</v>
      </c>
      <c r="R16" s="306">
        <f>SUM(R7:R15)</f>
        <v>694537</v>
      </c>
      <c r="S16" s="306">
        <f>SUM(P16:R16)</f>
        <v>1575105</v>
      </c>
      <c r="CA16" t="s">
        <v>40</v>
      </c>
      <c r="CB16" t="s">
        <v>40</v>
      </c>
      <c r="CC16" t="s">
        <v>40</v>
      </c>
      <c r="CD16" t="s">
        <v>524</v>
      </c>
      <c r="CE16">
        <v>109668</v>
      </c>
      <c r="CI16" t="s">
        <v>40</v>
      </c>
      <c r="CJ16" t="s">
        <v>40</v>
      </c>
      <c r="CK16" t="s">
        <v>40</v>
      </c>
      <c r="CL16" t="s">
        <v>541</v>
      </c>
      <c r="CM16">
        <v>686004</v>
      </c>
      <c r="CQ16" t="s">
        <v>40</v>
      </c>
      <c r="CR16" t="s">
        <v>523</v>
      </c>
      <c r="CS16" t="s">
        <v>40</v>
      </c>
      <c r="CT16" t="s">
        <v>541</v>
      </c>
      <c r="CU16">
        <v>59339</v>
      </c>
    </row>
    <row r="17" spans="2:99">
      <c r="C17" s="122"/>
      <c r="D17" s="122"/>
      <c r="E17" s="122"/>
      <c r="CA17" t="s">
        <v>40</v>
      </c>
      <c r="CB17" t="s">
        <v>40</v>
      </c>
      <c r="CC17" t="s">
        <v>40</v>
      </c>
      <c r="CD17" t="s">
        <v>525</v>
      </c>
      <c r="CE17">
        <v>126107</v>
      </c>
      <c r="CI17" t="s">
        <v>40</v>
      </c>
      <c r="CJ17" t="s">
        <v>40</v>
      </c>
      <c r="CK17" t="s">
        <v>40</v>
      </c>
      <c r="CL17" t="s">
        <v>542</v>
      </c>
      <c r="CM17">
        <v>569166</v>
      </c>
      <c r="CQ17" t="s">
        <v>40</v>
      </c>
      <c r="CR17" t="s">
        <v>523</v>
      </c>
      <c r="CS17" t="s">
        <v>40</v>
      </c>
      <c r="CT17" t="s">
        <v>542</v>
      </c>
      <c r="CU17">
        <v>32118</v>
      </c>
    </row>
    <row r="18" spans="2:99" ht="21">
      <c r="B18" s="49" t="s">
        <v>552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B18" s="49" t="s">
        <v>569</v>
      </c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Y18" s="1118" t="s">
        <v>567</v>
      </c>
      <c r="AZ18" s="1118"/>
      <c r="BA18" s="1118"/>
      <c r="BB18" s="1118"/>
      <c r="BC18" s="1118"/>
      <c r="BD18" s="1118"/>
      <c r="BE18" s="1118"/>
      <c r="BF18" s="1118"/>
      <c r="BG18" s="1118"/>
      <c r="BH18" s="1118"/>
      <c r="BI18" s="1118"/>
      <c r="BJ18" s="1118"/>
      <c r="BL18" s="1118" t="s">
        <v>873</v>
      </c>
      <c r="BM18" s="1118"/>
      <c r="BN18" s="1118"/>
      <c r="BO18" s="1118"/>
      <c r="BP18" s="1118"/>
      <c r="BQ18" s="1118"/>
      <c r="BR18" s="1118"/>
      <c r="BS18" s="1118"/>
      <c r="BT18" s="1118"/>
      <c r="BU18" s="1118"/>
      <c r="BV18" s="1118"/>
      <c r="BW18" s="1118"/>
      <c r="BX18" s="1118"/>
      <c r="CA18" t="s">
        <v>40</v>
      </c>
      <c r="CB18" t="s">
        <v>40</v>
      </c>
      <c r="CC18" t="s">
        <v>40</v>
      </c>
      <c r="CD18" t="s">
        <v>526</v>
      </c>
      <c r="CE18">
        <v>116041</v>
      </c>
      <c r="CI18" t="s">
        <v>40</v>
      </c>
      <c r="CJ18" t="s">
        <v>40</v>
      </c>
      <c r="CK18" t="s">
        <v>40</v>
      </c>
      <c r="CL18" t="s">
        <v>137</v>
      </c>
      <c r="CM18">
        <v>146302</v>
      </c>
      <c r="CQ18" t="s">
        <v>40</v>
      </c>
      <c r="CR18" t="s">
        <v>523</v>
      </c>
      <c r="CS18" t="s">
        <v>40</v>
      </c>
      <c r="CT18" t="s">
        <v>137</v>
      </c>
      <c r="CU18">
        <v>13175</v>
      </c>
    </row>
    <row r="19" spans="2:99" ht="21">
      <c r="B19" s="1114" t="s">
        <v>559</v>
      </c>
      <c r="C19" s="1115"/>
      <c r="D19" s="1115"/>
      <c r="E19" s="1115"/>
      <c r="F19" s="1115"/>
      <c r="G19" s="1115"/>
      <c r="H19" s="1115"/>
      <c r="I19" s="1115"/>
      <c r="J19" s="1115"/>
      <c r="K19" s="1115"/>
      <c r="L19" s="1115"/>
      <c r="M19" s="1115"/>
      <c r="O19" s="1114" t="s">
        <v>560</v>
      </c>
      <c r="P19" s="1115"/>
      <c r="Q19" s="1115"/>
      <c r="R19" s="1115"/>
      <c r="S19" s="1115"/>
      <c r="T19" s="1115"/>
      <c r="U19" s="1115"/>
      <c r="V19" s="1115"/>
      <c r="W19" s="1115"/>
      <c r="X19" s="1115"/>
      <c r="Y19" s="1115"/>
      <c r="Z19" s="1115"/>
      <c r="AB19" s="1114" t="s">
        <v>561</v>
      </c>
      <c r="AC19" s="1115"/>
      <c r="AD19" s="1115"/>
      <c r="AE19" s="1115"/>
      <c r="AF19" s="1115"/>
      <c r="AG19" s="1115"/>
      <c r="AH19" s="1115"/>
      <c r="AI19" s="1115"/>
      <c r="AJ19" s="1115"/>
      <c r="AK19" s="1115"/>
      <c r="AL19" s="1115"/>
      <c r="AN19" s="1116" t="s">
        <v>562</v>
      </c>
      <c r="AO19" s="1117"/>
      <c r="AP19" s="1117"/>
      <c r="AQ19" s="1117"/>
      <c r="AR19" s="1117"/>
      <c r="AS19" s="1117"/>
      <c r="AT19" s="1117"/>
      <c r="AU19" s="1117"/>
      <c r="AV19" s="1117"/>
      <c r="AW19" s="1117"/>
      <c r="AY19" s="1113" t="s">
        <v>563</v>
      </c>
      <c r="AZ19" s="1113"/>
      <c r="BA19" s="1113"/>
      <c r="BB19" s="1113"/>
      <c r="BC19" s="1113"/>
      <c r="BD19" s="1113"/>
      <c r="BE19" s="1113"/>
      <c r="BF19" s="1113"/>
      <c r="BG19" s="1113"/>
      <c r="BH19" s="1113"/>
      <c r="BI19" s="1113"/>
      <c r="BJ19" s="1113"/>
      <c r="BL19" s="1113" t="s">
        <v>568</v>
      </c>
      <c r="BM19" s="1113"/>
      <c r="BN19" s="1113"/>
      <c r="BO19" s="1113"/>
      <c r="BP19" s="1113"/>
      <c r="BQ19" s="1113"/>
      <c r="BR19" s="1113"/>
      <c r="BS19" s="1113"/>
      <c r="BT19" s="1113"/>
      <c r="BU19" s="1113"/>
      <c r="BV19" s="1113"/>
      <c r="BW19" s="1113"/>
      <c r="BX19" s="1113"/>
      <c r="CA19" t="s">
        <v>40</v>
      </c>
      <c r="CB19" t="s">
        <v>40</v>
      </c>
      <c r="CC19" t="s">
        <v>40</v>
      </c>
      <c r="CD19" t="s">
        <v>527</v>
      </c>
      <c r="CE19">
        <v>213473</v>
      </c>
      <c r="CI19" t="s">
        <v>40</v>
      </c>
      <c r="CJ19" t="s">
        <v>40</v>
      </c>
      <c r="CK19" t="s">
        <v>40</v>
      </c>
      <c r="CL19" t="s">
        <v>554</v>
      </c>
      <c r="CM19">
        <v>86611</v>
      </c>
      <c r="CQ19" t="s">
        <v>40</v>
      </c>
      <c r="CR19" t="s">
        <v>523</v>
      </c>
      <c r="CS19" t="s">
        <v>40</v>
      </c>
      <c r="CT19" t="s">
        <v>554</v>
      </c>
      <c r="CU19">
        <v>10093</v>
      </c>
    </row>
    <row r="20" spans="2:99" ht="13" thickBot="1">
      <c r="B20" s="58" t="s">
        <v>552</v>
      </c>
      <c r="C20" s="122"/>
      <c r="D20" s="122"/>
      <c r="E20" s="122"/>
      <c r="CA20" t="s">
        <v>40</v>
      </c>
      <c r="CB20" t="s">
        <v>40</v>
      </c>
      <c r="CC20" t="s">
        <v>40</v>
      </c>
      <c r="CD20" t="s">
        <v>528</v>
      </c>
      <c r="CE20">
        <v>171044</v>
      </c>
      <c r="CI20" t="s">
        <v>40</v>
      </c>
      <c r="CJ20" t="s">
        <v>40</v>
      </c>
      <c r="CK20" t="s">
        <v>40</v>
      </c>
      <c r="CL20" t="s">
        <v>543</v>
      </c>
      <c r="CM20">
        <v>90029</v>
      </c>
      <c r="CQ20" t="s">
        <v>40</v>
      </c>
      <c r="CR20" t="s">
        <v>523</v>
      </c>
      <c r="CS20" t="s">
        <v>40</v>
      </c>
      <c r="CT20" t="s">
        <v>543</v>
      </c>
      <c r="CU20">
        <v>10892</v>
      </c>
    </row>
    <row r="21" spans="2:99">
      <c r="B21" s="323" t="s">
        <v>297</v>
      </c>
      <c r="C21" s="319" t="s">
        <v>540</v>
      </c>
      <c r="D21" s="319" t="s">
        <v>541</v>
      </c>
      <c r="E21" s="319" t="s">
        <v>542</v>
      </c>
      <c r="F21" s="319" t="s">
        <v>137</v>
      </c>
      <c r="G21" s="319" t="s">
        <v>554</v>
      </c>
      <c r="H21" s="319" t="s">
        <v>543</v>
      </c>
      <c r="I21" s="319" t="s">
        <v>544</v>
      </c>
      <c r="J21" s="319" t="s">
        <v>545</v>
      </c>
      <c r="K21" s="319" t="s">
        <v>546</v>
      </c>
      <c r="L21" s="319" t="s">
        <v>532</v>
      </c>
      <c r="M21" s="330" t="s">
        <v>553</v>
      </c>
      <c r="O21" s="323" t="s">
        <v>297</v>
      </c>
      <c r="P21" s="319" t="s">
        <v>540</v>
      </c>
      <c r="Q21" s="319" t="s">
        <v>541</v>
      </c>
      <c r="R21" s="319" t="s">
        <v>542</v>
      </c>
      <c r="S21" s="319" t="s">
        <v>137</v>
      </c>
      <c r="T21" s="319" t="s">
        <v>554</v>
      </c>
      <c r="U21" s="319" t="s">
        <v>543</v>
      </c>
      <c r="V21" s="319" t="s">
        <v>544</v>
      </c>
      <c r="W21" s="319" t="s">
        <v>545</v>
      </c>
      <c r="X21" s="319" t="s">
        <v>546</v>
      </c>
      <c r="Y21" s="319" t="s">
        <v>532</v>
      </c>
      <c r="Z21" s="324"/>
      <c r="AB21" s="323"/>
      <c r="AC21" s="319" t="s">
        <v>48</v>
      </c>
      <c r="AD21" s="319" t="s">
        <v>50</v>
      </c>
      <c r="AE21" s="319" t="s">
        <v>52</v>
      </c>
      <c r="AF21" s="319" t="s">
        <v>54</v>
      </c>
      <c r="AG21" s="319" t="s">
        <v>56</v>
      </c>
      <c r="AH21" s="319" t="s">
        <v>58</v>
      </c>
      <c r="AI21" s="319" t="s">
        <v>60</v>
      </c>
      <c r="AJ21" s="319" t="s">
        <v>62</v>
      </c>
      <c r="AK21" s="319" t="s">
        <v>64</v>
      </c>
      <c r="AL21" s="324"/>
      <c r="AN21" s="323" t="s">
        <v>297</v>
      </c>
      <c r="AO21" s="319" t="s">
        <v>48</v>
      </c>
      <c r="AP21" s="319" t="s">
        <v>50</v>
      </c>
      <c r="AQ21" s="319" t="s">
        <v>52</v>
      </c>
      <c r="AR21" s="319" t="s">
        <v>54</v>
      </c>
      <c r="AS21" s="319" t="s">
        <v>56</v>
      </c>
      <c r="AT21" s="319" t="s">
        <v>58</v>
      </c>
      <c r="AU21" s="319" t="s">
        <v>60</v>
      </c>
      <c r="AV21" s="319" t="s">
        <v>62</v>
      </c>
      <c r="AW21" s="324" t="s">
        <v>64</v>
      </c>
      <c r="AY21" s="323" t="s">
        <v>297</v>
      </c>
      <c r="AZ21" s="319" t="s">
        <v>48</v>
      </c>
      <c r="BA21" s="319" t="s">
        <v>50</v>
      </c>
      <c r="BB21" s="319" t="s">
        <v>52</v>
      </c>
      <c r="BC21" s="319" t="s">
        <v>54</v>
      </c>
      <c r="BD21" s="319" t="s">
        <v>56</v>
      </c>
      <c r="BE21" s="319" t="s">
        <v>58</v>
      </c>
      <c r="BF21" s="319" t="s">
        <v>60</v>
      </c>
      <c r="BG21" s="319" t="s">
        <v>62</v>
      </c>
      <c r="BH21" s="319" t="s">
        <v>64</v>
      </c>
      <c r="BI21" s="319"/>
      <c r="BJ21" s="324"/>
      <c r="BL21" s="323" t="s">
        <v>297</v>
      </c>
      <c r="BM21" s="319" t="s">
        <v>540</v>
      </c>
      <c r="BN21" s="319" t="s">
        <v>541</v>
      </c>
      <c r="BO21" s="319" t="s">
        <v>542</v>
      </c>
      <c r="BP21" s="319" t="s">
        <v>137</v>
      </c>
      <c r="BQ21" s="319" t="s">
        <v>554</v>
      </c>
      <c r="BR21" s="319" t="s">
        <v>543</v>
      </c>
      <c r="BS21" s="319" t="s">
        <v>544</v>
      </c>
      <c r="BT21" s="319" t="s">
        <v>545</v>
      </c>
      <c r="BU21" s="319" t="s">
        <v>546</v>
      </c>
      <c r="BV21" s="319" t="s">
        <v>532</v>
      </c>
      <c r="BW21" s="319" t="s">
        <v>573</v>
      </c>
      <c r="BX21" s="324"/>
      <c r="CA21" t="s">
        <v>40</v>
      </c>
      <c r="CB21" t="s">
        <v>40</v>
      </c>
      <c r="CC21" t="s">
        <v>40</v>
      </c>
      <c r="CD21" t="s">
        <v>529</v>
      </c>
      <c r="CE21">
        <v>240811</v>
      </c>
      <c r="CI21" t="s">
        <v>40</v>
      </c>
      <c r="CJ21" t="s">
        <v>40</v>
      </c>
      <c r="CK21" t="s">
        <v>40</v>
      </c>
      <c r="CL21" t="s">
        <v>544</v>
      </c>
      <c r="CM21">
        <v>9990</v>
      </c>
      <c r="CQ21" t="s">
        <v>40</v>
      </c>
      <c r="CR21" t="s">
        <v>523</v>
      </c>
      <c r="CS21" t="s">
        <v>40</v>
      </c>
      <c r="CT21" t="s">
        <v>544</v>
      </c>
      <c r="CU21">
        <v>830</v>
      </c>
    </row>
    <row r="22" spans="2:99" ht="13">
      <c r="B22" s="320" t="s">
        <v>508</v>
      </c>
      <c r="C22" s="122"/>
      <c r="D22" s="122">
        <f>SUMIFS(INDEX(Table5[],,MATCH(B21,Table5[#Headers],0)),Table5[MainSpaceHeatingFuel],"*Oil",Table5[Year_of_Construction (group)],B22)</f>
        <v>469</v>
      </c>
      <c r="E22" s="122">
        <f>SUMIFS(INDEX(Table5[],,MATCH(B21,Table5[#Headers],0)),Table5[MainSpaceHeatingFuel],"Mains Gas",Table5[Year_of_Construction (group)],B22)</f>
        <v>1700</v>
      </c>
      <c r="F22">
        <f>SUMIFS(INDEX(Table5[],,MATCH(B21,Table5[#Headers],0)),Table5[MainSpaceHeatingFuel],F21,Table5[Year_of_Construction (group)],B22)</f>
        <v>3428</v>
      </c>
      <c r="G22">
        <f>SUMIFS(INDEX(Table5[],,MATCH(B21,Table5[#Headers],0)),Table5[MainSpaceHeatingFuel],"*Coal",Table5[Year_of_Construction (group)],B22)</f>
        <v>41</v>
      </c>
      <c r="H22">
        <f>SUMIFS(INDEX(Table5[],,MATCH(B21,Table5[#Headers],0)),Table5[MainSpaceHeatingFuel],"*Peat*",Table5[Year_of_Construction (group)],B22)</f>
        <v>6</v>
      </c>
      <c r="I22">
        <f>SUMIFS(INDEX(Table5[],,MATCH(B21,Table5[#Headers],0)),Table5[MainSpaceHeatingFuel],"*LPG*",Table5[Year_of_Construction (group)],B22)</f>
        <v>31</v>
      </c>
      <c r="J22">
        <f>SUMIFS(INDEX(Table5[],,MATCH(B21,Table5[#Headers],0)),Table5[MainSpaceHeatingFuel],"*Wood*",Table5[Year_of_Construction (group)],B22)</f>
        <v>4</v>
      </c>
      <c r="K22">
        <f>SUMIFS(INDEX(Table5[],,MATCH(B21,Table5[#Headers],0)),Table5[MainSpaceHeatingFuel],"*Multi-Fuel*",Table5[Year_of_Construction (group)],B22)</f>
        <v>52</v>
      </c>
      <c r="L22" s="122">
        <f>SUMIFS(INDEX(Table5[],,MATCH(B21,Table5[#Headers],0)),Table5[MainSpaceHeatingFuel],"",Table5[Year_of_Construction (group)],B22)</f>
        <v>363</v>
      </c>
      <c r="M22" s="325">
        <f>SUM(C22:L22)</f>
        <v>6094</v>
      </c>
      <c r="O22" s="320" t="s">
        <v>508</v>
      </c>
      <c r="P22" s="122">
        <f>SUMIFS( CU14:CU96,CT14:CT96, P21, CS14:CS96, O21)</f>
        <v>941</v>
      </c>
      <c r="Q22" s="122">
        <f>SUMIFS( CU14:CU96,CT14:CT96, Q21, CS14:CS96, O21)</f>
        <v>1622</v>
      </c>
      <c r="R22" s="122">
        <f>SUMIFS( CU14:CU96,CT14:CT96, R21, CS14:CS96, O21)</f>
        <v>3653</v>
      </c>
      <c r="S22" s="122">
        <f>SUMIFS( CU14:CU96,CT14:CT96, S21, CS14:CS96, O21)</f>
        <v>6835</v>
      </c>
      <c r="T22" s="122">
        <f>SUMIFS( CU14:CU96,CT14:CT96, T21, CS14:CS96, O21)</f>
        <v>163</v>
      </c>
      <c r="U22" s="122">
        <f>SUMIFS( CU14:CU96,CT14:CT96, U21, CS14:CS96, O21)</f>
        <v>75</v>
      </c>
      <c r="V22" s="122">
        <f>SUMIFS( CU14:CU96,CT14:CT96, V21, CS14:CS96, O21)</f>
        <v>56</v>
      </c>
      <c r="W22" s="122">
        <f>SUMIFS( CU14:CU96,CT14:CT96, W21, CS14:CS96, O21)</f>
        <v>88</v>
      </c>
      <c r="X22" s="122">
        <f>SUMIFS( CU14:CU96,CT14:CT96, X21, CS14:CS96, O21)</f>
        <v>92</v>
      </c>
      <c r="Y22" s="122">
        <f>SUMIFS( CU14:CU96,CT14:CT96, Y21, CS14:CS96, O21)</f>
        <v>181</v>
      </c>
      <c r="Z22" s="325">
        <f>SUM(P22:Y22)</f>
        <v>13706</v>
      </c>
      <c r="AB22" s="320" t="s">
        <v>508</v>
      </c>
      <c r="AC22">
        <v>3</v>
      </c>
      <c r="AD22">
        <v>13</v>
      </c>
      <c r="AE22">
        <v>40</v>
      </c>
      <c r="AF22">
        <v>85</v>
      </c>
      <c r="AG22">
        <v>527</v>
      </c>
      <c r="AH22">
        <v>986</v>
      </c>
      <c r="AI22" s="122">
        <v>1151</v>
      </c>
      <c r="AJ22">
        <v>882</v>
      </c>
      <c r="AK22" s="122">
        <v>2407</v>
      </c>
      <c r="AL22" s="325">
        <f>SUM(AC22:AK22)</f>
        <v>6094</v>
      </c>
      <c r="AN22" s="320" t="s">
        <v>508</v>
      </c>
      <c r="AO22" s="332">
        <f t="shared" ref="AO22:AO30" si="5">AC22/AL22</f>
        <v>4.9228749589760423E-4</v>
      </c>
      <c r="AP22" s="332">
        <f t="shared" ref="AP22:AP30" si="6">AD22/AL22</f>
        <v>2.133245815556285E-3</v>
      </c>
      <c r="AQ22" s="332">
        <f t="shared" ref="AQ22:AQ30" si="7">AE22/AL22</f>
        <v>6.5638332786347228E-3</v>
      </c>
      <c r="AR22" s="332">
        <f t="shared" ref="AR22:AR30" si="8">AF22/AL22</f>
        <v>1.3948145717098785E-2</v>
      </c>
      <c r="AS22" s="332">
        <f t="shared" ref="AS22:AS30" si="9">AG22/AL22</f>
        <v>8.6478503446012475E-2</v>
      </c>
      <c r="AT22" s="332">
        <f t="shared" ref="AT22:AT30" si="10">AH22/AL22</f>
        <v>0.16179849031834592</v>
      </c>
      <c r="AU22" s="332">
        <f t="shared" ref="AU22:AU30" si="11">AI22/AL22</f>
        <v>0.18887430259271415</v>
      </c>
      <c r="AV22" s="332">
        <f t="shared" ref="AV22:AV30" si="12">AJ22/AL22</f>
        <v>0.14473252379389565</v>
      </c>
      <c r="AW22" s="333">
        <f t="shared" ref="AW22:AW30" si="13">AK22/AL22</f>
        <v>0.39497866754184446</v>
      </c>
      <c r="AY22" s="338"/>
      <c r="AZ22">
        <f>AO22*Z22</f>
        <v>6.7472924187725631</v>
      </c>
      <c r="BA22">
        <f t="shared" ref="BA22:BH22" si="14">AP22*$Z$22</f>
        <v>29.238267148014444</v>
      </c>
      <c r="BB22">
        <f t="shared" si="14"/>
        <v>89.963898916967509</v>
      </c>
      <c r="BC22">
        <f t="shared" si="14"/>
        <v>191.17328519855596</v>
      </c>
      <c r="BD22">
        <f t="shared" si="14"/>
        <v>1185.274368231047</v>
      </c>
      <c r="BE22">
        <f t="shared" si="14"/>
        <v>2217.610108303249</v>
      </c>
      <c r="BF22">
        <f t="shared" si="14"/>
        <v>2588.7111913357403</v>
      </c>
      <c r="BG22">
        <f t="shared" si="14"/>
        <v>1983.7039711191337</v>
      </c>
      <c r="BH22">
        <f t="shared" si="14"/>
        <v>5413.5776173285203</v>
      </c>
      <c r="BJ22" s="339"/>
      <c r="BL22" s="347" t="s">
        <v>48</v>
      </c>
      <c r="BM22" s="321">
        <f>(P22*AO22+P23*AO23+P24*AO24+P25*AO25+P26*AO26+P27*AO27+P28*AO28+P29*AO29+P30*AO30+P31/9)*BX31</f>
        <v>183.89796145812321</v>
      </c>
      <c r="BN22" s="321">
        <f>(Q22*AO22+Q23*AO23+Q24*AO24+Q25*AO25+Q26*AO26+Q27*AO27+Q28*AO28+Q29*AO29+Q30*AO30+Q31/9)*BX31</f>
        <v>369.358408791062</v>
      </c>
      <c r="BO22" s="321">
        <f>(R22*AO22+R23*AO23+R24*AO24+R25*AO25+R26*AO26+R27*AO27+R28*AO28+R29*AO29+R30*AO30+R31/9)*BX31</f>
        <v>3828.3050528959375</v>
      </c>
      <c r="BP22" s="321">
        <f>(S22*AO22+S23*AO23+S24*AO24+S25*AO25+S26*AO26+S27*AO27+S28*AO28+S29*AO29+S30*AO30+S31/9)*BX31</f>
        <v>3682.2435907229228</v>
      </c>
      <c r="BQ22" s="321">
        <f>(T22*AO22+T23*AO23+T24*AO24+T25*AO25+T26*AO26+T27*AO27+T28*AO28+T29*AO29+T30*AO30+T31/9)*BX31</f>
        <v>41.32770948581269</v>
      </c>
      <c r="BR22" s="321">
        <f>(U22*AO22+U23*AO23+U24*AO24+U25*AO25+U26*AO26+U27*AO27+U28*AO28+U29*AO29+U30*AO30+U31/9)*BX31</f>
        <v>22.36581195396133</v>
      </c>
      <c r="BS22" s="321">
        <f>(V22*AO22+V23*AO23+V24*AO24+V25*AO25+V26*AO26+V27*AO27+V28*AO28+V29*AO29+V30*AO30+V31/9)*BX31</f>
        <v>41.233455253880358</v>
      </c>
      <c r="BT22" s="321">
        <f>(W22*AO22+W23*AO23+W24*AO24+W25*AO25+W26*AO26+W27*AO27+W28*AO28+W29*AO29+W30*AO30+W31/9)*BX31</f>
        <v>33.528460612781927</v>
      </c>
      <c r="BU22" s="321">
        <f>(X22*AO22+X23*AO23+X24*AO24+X25*AO25+X26*AO26+X27*AO27+X28*AO28+X29*AO29+X30*AO30+X31/9)*BX31</f>
        <v>120.73024152491226</v>
      </c>
      <c r="BV22" s="321">
        <f>(Y22*AO22+Y23*AO23+Y24*AO24+Y25*AO25+Y26*AO26+Y27*AO27+Y28*AO28+Y29*AO29+Y30*AO30+Y31/9)*BX31</f>
        <v>1335.6949189130539</v>
      </c>
      <c r="BW22" s="352">
        <f>AVERAGE(BQ22,BR22,BT22)/3</f>
        <v>10.802442450283992</v>
      </c>
      <c r="BX22" s="339"/>
      <c r="CA22" t="s">
        <v>40</v>
      </c>
      <c r="CB22" t="s">
        <v>40</v>
      </c>
      <c r="CC22" t="s">
        <v>40</v>
      </c>
      <c r="CD22" t="s">
        <v>530</v>
      </c>
      <c r="CE22">
        <v>431763</v>
      </c>
      <c r="CI22" t="s">
        <v>40</v>
      </c>
      <c r="CJ22" t="s">
        <v>40</v>
      </c>
      <c r="CK22" t="s">
        <v>40</v>
      </c>
      <c r="CL22" t="s">
        <v>545</v>
      </c>
      <c r="CM22">
        <v>33976</v>
      </c>
      <c r="CQ22" t="s">
        <v>40</v>
      </c>
      <c r="CR22" t="s">
        <v>523</v>
      </c>
      <c r="CS22" t="s">
        <v>40</v>
      </c>
      <c r="CT22" t="s">
        <v>545</v>
      </c>
      <c r="CU22">
        <v>6539</v>
      </c>
    </row>
    <row r="23" spans="2:99" ht="13">
      <c r="B23" s="320" t="s">
        <v>509</v>
      </c>
      <c r="C23" s="122"/>
      <c r="D23" s="122">
        <f>SUMIFS(INDEX(Table5[],,MATCH(B21,Table5[#Headers],0)),Table5[MainSpaceHeatingFuel],"*Oil",Table5[Year_of_Construction (group)],B23)</f>
        <v>266</v>
      </c>
      <c r="E23" s="122">
        <f>SUMIFS(INDEX(Table5[],,MATCH(B21,Table5[#Headers],0)),Table5[MainSpaceHeatingFuel],"Mains Gas",Table5[Year_of_Construction (group)],B23)</f>
        <v>1447</v>
      </c>
      <c r="F23">
        <f>SUMIFS(INDEX(Table5[],,MATCH(B21,Table5[#Headers],0)),Table5[MainSpaceHeatingFuel],F21,Table5[Year_of_Construction (group)],B23)</f>
        <v>952</v>
      </c>
      <c r="G23">
        <f>SUMIFS(INDEX(Table5[],,MATCH(B21,Table5[#Headers],0)),Table5[MainSpaceHeatingFuel],"*Coal",Table5[Year_of_Construction (group)],B23)</f>
        <v>18</v>
      </c>
      <c r="H23">
        <f>SUMIFS(INDEX(Table5[],,MATCH(B21,Table5[#Headers],0)),Table5[MainSpaceHeatingFuel],"*Peat*",Table5[Year_of_Construction (group)],B23)</f>
        <v>1</v>
      </c>
      <c r="I23">
        <f>SUMIFS(INDEX(Table5[],,MATCH(B21,Table5[#Headers],0)),Table5[MainSpaceHeatingFuel],"*LPG*",Table5[Year_of_Construction (group)],B23)</f>
        <v>21</v>
      </c>
      <c r="J23">
        <f>SUMIFS(INDEX(Table5[],,MATCH(B21,Table5[#Headers],0)),Table5[MainSpaceHeatingFuel],"*Wood*",Table5[Year_of_Construction (group)],B23)</f>
        <v>0</v>
      </c>
      <c r="K23">
        <f>SUMIFS(INDEX(Table5[],,MATCH(B21,Table5[#Headers],0)),Table5[MainSpaceHeatingFuel],"*Multi-Fuel*",Table5[Year_of_Construction (group)],B23)</f>
        <v>36</v>
      </c>
      <c r="L23" s="122">
        <f>SUMIFS(INDEX(Table5[],,MATCH(B21,Table5[#Headers],0)),Table5[MainSpaceHeatingFuel],"",Table5[Year_of_Construction (group)],B23)</f>
        <v>59</v>
      </c>
      <c r="M23" s="325">
        <f t="shared" ref="M23:M30" si="15">SUM(C23:L23)</f>
        <v>2800</v>
      </c>
      <c r="O23" s="320" t="s">
        <v>509</v>
      </c>
      <c r="P23" s="122">
        <f>SUMIFS( CU110:CU181,CT110:CT181, P21, CS110:CS181, O21)</f>
        <v>234</v>
      </c>
      <c r="Q23" s="122">
        <f>SUMIFS( CU110:CU181,CT110:CT181, Q21, CS110:CS181, O21)</f>
        <v>575</v>
      </c>
      <c r="R23" s="122">
        <f>SUMIFS( CU110:CU181,CT110:CT181, R21, CS110:CS181, O21)</f>
        <v>2069</v>
      </c>
      <c r="S23" s="122">
        <f>SUMIFS( CU110:CU181,CT110:CT181, S21, CS110:CS181, O21)</f>
        <v>2235</v>
      </c>
      <c r="T23" s="122">
        <f>SUMIFS( CU110:CU181,CT110:CT181, T21, CS110:CS181, O21)</f>
        <v>99</v>
      </c>
      <c r="U23" s="122">
        <f>SUMIFS( CU110:CU181,CT110:CT181, U21, CS110:CS181, O21)</f>
        <v>43</v>
      </c>
      <c r="V23" s="122">
        <f>SUMIFS( CU110:CU181,CT110:CT181, V21, CS110:CS181, O21)</f>
        <v>11</v>
      </c>
      <c r="W23" s="122">
        <f>SUMIFS( CU110:CU181,CT110:CT181, W21, CS110:CS181, O21)</f>
        <v>29</v>
      </c>
      <c r="X23" s="122">
        <f>SUMIFS( CU110:CU181,CT110:CT181, X21, CS110:CS181, O21)</f>
        <v>39</v>
      </c>
      <c r="Y23" s="122">
        <f>SUMIFS( CU110:CU181,CT110:CT181, Y21, CS110:CS181, O21)</f>
        <v>59</v>
      </c>
      <c r="Z23" s="325">
        <f t="shared" ref="Z23:Z30" si="16">SUM(P23:Y23)</f>
        <v>5393</v>
      </c>
      <c r="AB23" s="320" t="s">
        <v>509</v>
      </c>
      <c r="AC23">
        <v>2</v>
      </c>
      <c r="AD23">
        <v>21</v>
      </c>
      <c r="AE23">
        <v>128</v>
      </c>
      <c r="AF23">
        <v>193</v>
      </c>
      <c r="AG23">
        <v>461</v>
      </c>
      <c r="AH23">
        <v>497</v>
      </c>
      <c r="AI23">
        <v>452</v>
      </c>
      <c r="AJ23">
        <v>308</v>
      </c>
      <c r="AK23">
        <v>738</v>
      </c>
      <c r="AL23" s="325">
        <f t="shared" ref="AL23:AL30" si="17">SUM(AC23:AK23)</f>
        <v>2800</v>
      </c>
      <c r="AN23" s="320" t="s">
        <v>509</v>
      </c>
      <c r="AO23" s="332">
        <f t="shared" si="5"/>
        <v>7.1428571428571429E-4</v>
      </c>
      <c r="AP23" s="332">
        <f t="shared" si="6"/>
        <v>7.4999999999999997E-3</v>
      </c>
      <c r="AQ23" s="332">
        <f t="shared" si="7"/>
        <v>4.5714285714285714E-2</v>
      </c>
      <c r="AR23" s="332">
        <f t="shared" si="8"/>
        <v>6.8928571428571422E-2</v>
      </c>
      <c r="AS23" s="332">
        <f t="shared" si="9"/>
        <v>0.16464285714285715</v>
      </c>
      <c r="AT23" s="332">
        <f t="shared" si="10"/>
        <v>0.17749999999999999</v>
      </c>
      <c r="AU23" s="332">
        <f t="shared" si="11"/>
        <v>0.16142857142857142</v>
      </c>
      <c r="AV23" s="332">
        <f t="shared" si="12"/>
        <v>0.11</v>
      </c>
      <c r="AW23" s="333">
        <f t="shared" si="13"/>
        <v>0.26357142857142857</v>
      </c>
      <c r="AY23" s="338"/>
      <c r="AZ23">
        <f>AO23*$Z23</f>
        <v>3.8521428571428573</v>
      </c>
      <c r="BA23">
        <f t="shared" ref="BA23:BH23" si="18">AP23*$Z$23</f>
        <v>40.447499999999998</v>
      </c>
      <c r="BB23">
        <f t="shared" si="18"/>
        <v>246.53714285714287</v>
      </c>
      <c r="BC23">
        <f t="shared" si="18"/>
        <v>371.73178571428571</v>
      </c>
      <c r="BD23">
        <f>AS23*$Z$23</f>
        <v>887.91892857142864</v>
      </c>
      <c r="BE23">
        <f t="shared" si="18"/>
        <v>957.25749999999994</v>
      </c>
      <c r="BF23">
        <f t="shared" si="18"/>
        <v>870.58428571428567</v>
      </c>
      <c r="BG23">
        <f t="shared" si="18"/>
        <v>593.23</v>
      </c>
      <c r="BH23">
        <f t="shared" si="18"/>
        <v>1421.4407142857142</v>
      </c>
      <c r="BJ23" s="339"/>
      <c r="BL23" s="348" t="s">
        <v>50</v>
      </c>
      <c r="BM23" s="322">
        <f>(P22*AP22+P23*AP23+P24*AP24+P25*AP25+P26*AP26+P27*AP27+P28*AP28+P29*AP29+P30*AP30+P31/9)*BX31</f>
        <v>166.32488992761515</v>
      </c>
      <c r="BN23" s="322">
        <f>(Q22*AP22+Q23*AP23+Q24*AP24+Q25*AP25+Q26*AP26+Q27*AP27+Q28*AP28+Q29*AP29+Q30*AP30+Q31/9)*BX31</f>
        <v>252.24610081719894</v>
      </c>
      <c r="BO23" s="322">
        <f>(R22*AP22+R23*AP23+R24*AP24+R25*AP25+R26*AP26+R27*AP27+R28*AP28+R29*AP29+R30*AP30+R31/9)*BX31</f>
        <v>2661.9094968662857</v>
      </c>
      <c r="BP23" s="322">
        <f>(S22*AP22+S23*AP23+S24*AP24+S25*AP25+S26*AP26+S27*AP27+S28*AP28+S29*AP29+S30*AP30+S31/9)*BX31</f>
        <v>3140.8766319012134</v>
      </c>
      <c r="BQ23" s="322">
        <f>(T22*AP22+T23*AP23+T24*AP24+T25*AP25+T26*AP26+T27*AP27+T28*AP28+T29*AP29+T30*AP30+T31/9)*BX31</f>
        <v>37.247990406026034</v>
      </c>
      <c r="BR23" s="322">
        <f>(U22*AP22+U23*AP23+U24*AP24+U25*AP25+U26*AP26+U27*AP27+U28*AP28+U29*AP29+U30*AP30+U31/9)*BX31</f>
        <v>13.343718557570481</v>
      </c>
      <c r="BS23" s="322">
        <f>(V22*AP22+V23*AP23+V24*AP24+V25*AP25+V26*AP26+V27*AP27+V28*AP28+V29*AP29+V30*AP30+V31/9)*BX31</f>
        <v>25.54665856837449</v>
      </c>
      <c r="BT23" s="322">
        <f>(W22*AP22+W23*AP23+W24*AP24+W25*AP25+W26*AP26+W27*AP27+W28*AP28+W29*AP29+W30*AP30+W31/9)*BX31</f>
        <v>14.535699745114504</v>
      </c>
      <c r="BU23" s="322">
        <f>(X22*AP22+X23*AP23+X24*AP24+X25*AP25+X26*AP26+X27*AP27+X28*AP28+X29*AP29+X30*AP30+X31/9)*BX31</f>
        <v>51.13592993358121</v>
      </c>
      <c r="BV23" s="322">
        <f>(Y22*AP22+Y23*AP23+Y24*AP24+Y25*AP25+Y26*AP26+Y27*AP27+Y28*AP28+Y29*AP29+Y30*AP30+Y31/9)*BX31</f>
        <v>1286.0232048842727</v>
      </c>
      <c r="BW23" s="353">
        <f>AVERAGE(BQ23,BR23,BT23)/3</f>
        <v>7.2363787454123347</v>
      </c>
      <c r="BX23" s="339"/>
      <c r="CA23" t="s">
        <v>40</v>
      </c>
      <c r="CB23" t="s">
        <v>40</v>
      </c>
      <c r="CC23" t="s">
        <v>40</v>
      </c>
      <c r="CD23" t="s">
        <v>531</v>
      </c>
      <c r="CE23">
        <v>33436</v>
      </c>
      <c r="CI23" t="s">
        <v>40</v>
      </c>
      <c r="CJ23" t="s">
        <v>40</v>
      </c>
      <c r="CK23" t="s">
        <v>40</v>
      </c>
      <c r="CL23" t="s">
        <v>546</v>
      </c>
      <c r="CM23">
        <v>11068</v>
      </c>
      <c r="CQ23" t="s">
        <v>40</v>
      </c>
      <c r="CR23" t="s">
        <v>523</v>
      </c>
      <c r="CS23" t="s">
        <v>40</v>
      </c>
      <c r="CT23" t="s">
        <v>546</v>
      </c>
      <c r="CU23">
        <v>744</v>
      </c>
    </row>
    <row r="24" spans="2:99" ht="13">
      <c r="B24" s="320" t="s">
        <v>510</v>
      </c>
      <c r="C24" s="122"/>
      <c r="D24" s="122">
        <f>SUMIFS(INDEX(Table5[],,MATCH(B21,Table5[#Headers],0)),Table5[MainSpaceHeatingFuel],"*Oil",Table5[Year_of_Construction (group)],B24)</f>
        <v>241</v>
      </c>
      <c r="E24" s="122">
        <f>SUMIFS(INDEX(Table5[],,MATCH(B21,Table5[#Headers],0)),Table5[MainSpaceHeatingFuel],"Mains Gas",Table5[Year_of_Construction (group)],B24)</f>
        <v>1283</v>
      </c>
      <c r="F24">
        <f>SUMIFS(INDEX(Table5[],,MATCH(B21,Table5[#Headers],0)),Table5[MainSpaceHeatingFuel],F21,Table5[Year_of_Construction (group)],B24)</f>
        <v>561</v>
      </c>
      <c r="G24">
        <f>SUMIFS(INDEX(Table5[],,MATCH(B21,Table5[#Headers],0)),Table5[MainSpaceHeatingFuel],"*Coal",Table5[Year_of_Construction (group)],B24)</f>
        <v>16</v>
      </c>
      <c r="H24">
        <f>SUMIFS(INDEX(Table5[],,MATCH(B21,Table5[#Headers],0)),Table5[MainSpaceHeatingFuel],"*Peat*",Table5[Year_of_Construction (group)],B24)</f>
        <v>1</v>
      </c>
      <c r="I24">
        <f>SUMIFS(INDEX(Table5[],,MATCH(B21,Table5[#Headers],0)),Table5[MainSpaceHeatingFuel],"*LPG*",Table5[Year_of_Construction (group)],B24)</f>
        <v>15</v>
      </c>
      <c r="J24">
        <f>SUMIFS(INDEX(Table5[],,MATCH(B21,Table5[#Headers],0)),Table5[MainSpaceHeatingFuel],"*Wood*",Table5[Year_of_Construction (group)],B24)</f>
        <v>3</v>
      </c>
      <c r="K24">
        <f>SUMIFS(INDEX(Table5[],,MATCH(B21,Table5[#Headers],0)),Table5[MainSpaceHeatingFuel],"*Multi-Fuel*",Table5[Year_of_Construction (group)],B24)</f>
        <v>24</v>
      </c>
      <c r="L24" s="122">
        <f>SUMIFS(INDEX(Table5[],,MATCH(B21,Table5[#Headers],0)),Table5[MainSpaceHeatingFuel],"",Table5[Year_of_Construction (group)],B24)</f>
        <v>43</v>
      </c>
      <c r="M24" s="325">
        <f t="shared" si="15"/>
        <v>2187</v>
      </c>
      <c r="O24" s="320" t="s">
        <v>510</v>
      </c>
      <c r="P24" s="122">
        <f>SUMIFS( CU195:CU266,CT195:CT266, P21, CS195:CS266, O21)</f>
        <v>212</v>
      </c>
      <c r="Q24" s="122">
        <f>SUMIFS( CU195:CU266,CT195:CT266, Q21, CS195:CS266, O21)</f>
        <v>505</v>
      </c>
      <c r="R24" s="122">
        <f>SUMIFS( CU195:CU266,CT195:CT266, R21, CS195:CS266, O21)</f>
        <v>2730</v>
      </c>
      <c r="S24" s="122">
        <f>SUMIFS( CU195:CU266,CT195:CT266, S21, CS195:CS266, O21)</f>
        <v>1710</v>
      </c>
      <c r="T24" s="122">
        <f>SUMIFS( CU195:CU266,CT195:CT266, T21, CS195:CS266, O21)</f>
        <v>98</v>
      </c>
      <c r="U24" s="122">
        <f>SUMIFS( CU195:CU266,CT195:CT266, U21, CS195:CS266, O21)</f>
        <v>37</v>
      </c>
      <c r="V24" s="122">
        <f>SUMIFS( CU195:CU266,CT195:CT266, V21, CS195:CS266, O21)</f>
        <v>12</v>
      </c>
      <c r="W24" s="122">
        <f>SUMIFS( CU195:CU266,CT195:CT266, W21, CS195:CS266, O21)</f>
        <v>19</v>
      </c>
      <c r="X24" s="122">
        <f>SUMIFS( CU195:CU266,CT195:CT266, X21, CS195:CS266, O21)</f>
        <v>30</v>
      </c>
      <c r="Y24" s="122">
        <f>SUMIFS( CU195:CU266,CT195:CT266, Y21, CS195:CS266, O21)</f>
        <v>36</v>
      </c>
      <c r="Z24" s="325">
        <f t="shared" si="16"/>
        <v>5389</v>
      </c>
      <c r="AB24" s="320" t="s">
        <v>510</v>
      </c>
      <c r="AC24">
        <v>15</v>
      </c>
      <c r="AD24">
        <v>32</v>
      </c>
      <c r="AE24">
        <v>95</v>
      </c>
      <c r="AF24">
        <v>121</v>
      </c>
      <c r="AG24">
        <v>352</v>
      </c>
      <c r="AH24">
        <v>456</v>
      </c>
      <c r="AI24">
        <v>403</v>
      </c>
      <c r="AJ24">
        <v>249</v>
      </c>
      <c r="AK24">
        <v>464</v>
      </c>
      <c r="AL24" s="325">
        <f t="shared" si="17"/>
        <v>2187</v>
      </c>
      <c r="AN24" s="320" t="s">
        <v>510</v>
      </c>
      <c r="AO24" s="332">
        <f t="shared" si="5"/>
        <v>6.8587105624142658E-3</v>
      </c>
      <c r="AP24" s="332">
        <f t="shared" si="6"/>
        <v>1.4631915866483767E-2</v>
      </c>
      <c r="AQ24" s="332">
        <f t="shared" si="7"/>
        <v>4.3438500228623687E-2</v>
      </c>
      <c r="AR24" s="332">
        <f>AF24/AL24</f>
        <v>5.5326931870141746E-2</v>
      </c>
      <c r="AS24" s="332">
        <f t="shared" si="9"/>
        <v>0.16095107453132146</v>
      </c>
      <c r="AT24" s="332">
        <f t="shared" si="10"/>
        <v>0.20850480109739369</v>
      </c>
      <c r="AU24" s="332">
        <f t="shared" si="11"/>
        <v>0.18427069044352995</v>
      </c>
      <c r="AV24" s="332">
        <f t="shared" si="12"/>
        <v>0.11385459533607682</v>
      </c>
      <c r="AW24" s="333">
        <f t="shared" si="13"/>
        <v>0.21216278006401462</v>
      </c>
      <c r="AY24" s="338"/>
      <c r="AZ24">
        <f>AO24*$Z$24</f>
        <v>36.96159122085048</v>
      </c>
      <c r="BA24">
        <f t="shared" ref="BA24:BH24" si="19">AP24*$Z$24</f>
        <v>78.851394604481015</v>
      </c>
      <c r="BB24">
        <f t="shared" si="19"/>
        <v>234.09007773205306</v>
      </c>
      <c r="BC24">
        <f t="shared" si="19"/>
        <v>298.15683584819385</v>
      </c>
      <c r="BD24">
        <f t="shared" si="19"/>
        <v>867.36534064929128</v>
      </c>
      <c r="BE24">
        <f t="shared" si="19"/>
        <v>1123.6323731138546</v>
      </c>
      <c r="BF24">
        <f t="shared" si="19"/>
        <v>993.03475080018291</v>
      </c>
      <c r="BG24">
        <f t="shared" si="19"/>
        <v>613.56241426611803</v>
      </c>
      <c r="BH24">
        <f t="shared" si="19"/>
        <v>1143.3452217649749</v>
      </c>
      <c r="BJ24" s="339"/>
      <c r="BL24" s="347" t="s">
        <v>52</v>
      </c>
      <c r="BM24" s="321">
        <f>(P22*AQ22+P23*AQ23+P24*AQ24+P25*AQ25+P26*AQ26+P27*AQ27+P28*AQ28+P29*AQ29+P30*AQ30+P31/9)*BX31</f>
        <v>278.21519496375947</v>
      </c>
      <c r="BN24" s="321">
        <f>(Q22*AQ22+Q23*AQ23+Q24*AQ24+Q25*AQ25+Q26*AQ26+Q27*AQ27+Q28*AQ28+Q29*AQ29+Q30*AQ30+Q31/9)*BX31</f>
        <v>484.56020907056848</v>
      </c>
      <c r="BO24" s="321">
        <f>(R22*AQ22+R23*AQ23+R24*AQ24+R25*AQ25+R26*AQ26+R27*AQ27+R28*AQ28+R29*AQ29+R30*AQ30+R31/9)*BX31</f>
        <v>6017.8273291457908</v>
      </c>
      <c r="BP24" s="321">
        <f>(S22*AQ22+S23*AQ23+S24*AQ24+S25*AQ25+S26*AQ26+S27*AQ27+S28*AQ28+S29*AQ29+S30*AQ30+S31/9)*BX31</f>
        <v>5996.2800504088536</v>
      </c>
      <c r="BQ24" s="321">
        <f>(T22*AQ22+T23*AQ23+T24*AQ24+T25*AQ25+T26*AQ26+T27*AQ27+T28*AQ28+T29*AQ29+T30*AQ30+T31/9)*BX31</f>
        <v>73.446015864297053</v>
      </c>
      <c r="BR24" s="321">
        <f>(U22*AQ22+U23*AQ23+U24*AQ24+U25*AQ25+U26*AQ26+U27*AQ27+U28*AQ28+U29*AQ29+U30*AQ30+U31/9)*BX31</f>
        <v>25.961706119554357</v>
      </c>
      <c r="BS24" s="321">
        <f>(V22*AQ22+V23*AQ23+V24*AQ24+V25*AQ25+V26*AQ26+V27*AQ27+V28*AQ28+V29*AQ29+V30*AQ30+V31/9)*BX31</f>
        <v>54.156588615112618</v>
      </c>
      <c r="BT24" s="321">
        <f>(W22*AQ22+W23*AQ23+W24*AQ24+W25*AQ25+W26*AQ26+W27*AQ27+W28*AQ28+W29*AQ29+W30*AQ30+W31/9)*BX31</f>
        <v>30.35722367161236</v>
      </c>
      <c r="BU24" s="321">
        <f>(X22*AQ22+X23*AQ23+X24*AQ24+X25*AQ25+X26*AQ26+X27*AQ27+X28*AQ28+X29*AQ29+X30*AQ30+X31/9)*BX31</f>
        <v>96.863308272194786</v>
      </c>
      <c r="BV24" s="321">
        <f>(Y22*AQ22+Y23*AQ23+Y24*AQ24+Y25*AQ25+Y26*AQ26+Y27*AQ27+Y28*AQ28+Y29*AQ29+Y30*AQ30+Y31/9)*BX31</f>
        <v>1341.6577897161283</v>
      </c>
      <c r="BW24" s="352">
        <f t="shared" ref="BW24:BW30" si="20">AVERAGE(BQ24,BR24,BT24)/3</f>
        <v>14.418327295051531</v>
      </c>
      <c r="BX24" s="339"/>
      <c r="CA24" t="s">
        <v>40</v>
      </c>
      <c r="CB24" t="s">
        <v>40</v>
      </c>
      <c r="CC24" t="s">
        <v>40</v>
      </c>
      <c r="CD24" t="s">
        <v>532</v>
      </c>
      <c r="CE24">
        <v>114122</v>
      </c>
      <c r="CI24" t="s">
        <v>40</v>
      </c>
      <c r="CJ24" t="s">
        <v>40</v>
      </c>
      <c r="CK24" t="s">
        <v>40</v>
      </c>
      <c r="CL24" t="s">
        <v>532</v>
      </c>
      <c r="CM24">
        <v>41345</v>
      </c>
      <c r="CQ24" t="s">
        <v>40</v>
      </c>
      <c r="CR24" t="s">
        <v>523</v>
      </c>
      <c r="CS24" t="s">
        <v>40</v>
      </c>
      <c r="CT24" t="s">
        <v>532</v>
      </c>
      <c r="CU24">
        <v>963</v>
      </c>
    </row>
    <row r="25" spans="2:99" ht="13">
      <c r="B25" s="320" t="s">
        <v>511</v>
      </c>
      <c r="C25" s="122"/>
      <c r="D25" s="122">
        <f>SUMIFS(INDEX(Table5[],,MATCH(B21,Table5[#Headers],0)),Table5[MainSpaceHeatingFuel],"*Oil",Table5[Year_of_Construction (group)],B25)</f>
        <v>219</v>
      </c>
      <c r="E25" s="122">
        <f>SUMIFS(INDEX(Table5[],,MATCH(B21,Table5[#Headers],0)),Table5[MainSpaceHeatingFuel],"Mains Gas",Table5[Year_of_Construction (group)],B25)</f>
        <v>1112</v>
      </c>
      <c r="F25">
        <f>SUMIFS(INDEX(Table5[],,MATCH(B21,Table5[#Headers],0)),Table5[MainSpaceHeatingFuel],F21,Table5[Year_of_Construction (group)],B25)</f>
        <v>735</v>
      </c>
      <c r="G25">
        <f>SUMIFS(INDEX(Table5[],,MATCH(B21,Table5[#Headers],0)),Table5[MainSpaceHeatingFuel],"*Coal",Table5[Year_of_Construction (group)],B25)</f>
        <v>17</v>
      </c>
      <c r="H25">
        <f>SUMIFS(INDEX(Table5[],,MATCH(B21,Table5[#Headers],0)),Table5[MainSpaceHeatingFuel],"*Peat*",Table5[Year_of_Construction (group)],B25)</f>
        <v>0</v>
      </c>
      <c r="I25">
        <f>SUMIFS(INDEX(Table5[],,MATCH(B21,Table5[#Headers],0)),Table5[MainSpaceHeatingFuel],"*LPG*",Table5[Year_of_Construction (group)],B25)</f>
        <v>7</v>
      </c>
      <c r="J25">
        <f>SUMIFS(INDEX(Table5[],,MATCH(B21,Table5[#Headers],0)),Table5[MainSpaceHeatingFuel],"*Wood*",Table5[Year_of_Construction (group)],B25)</f>
        <v>1</v>
      </c>
      <c r="K25">
        <f>SUMIFS(INDEX(Table5[],,MATCH(B21,Table5[#Headers],0)),Table5[MainSpaceHeatingFuel],"*Multi-Fuel*",Table5[Year_of_Construction (group)],B25)</f>
        <v>18</v>
      </c>
      <c r="L25" s="122">
        <f>SUMIFS(INDEX(Table5[],,MATCH(B21,Table5[#Headers],0)),Table5[MainSpaceHeatingFuel],"",Table5[Year_of_Construction (group)],B25)</f>
        <v>377</v>
      </c>
      <c r="M25" s="325">
        <f t="shared" si="15"/>
        <v>2486</v>
      </c>
      <c r="O25" s="320" t="s">
        <v>511</v>
      </c>
      <c r="P25" s="122">
        <f>SUMIFS( CU280:CU351,CT280:CT351, P21, CS280:CS351, O21)</f>
        <v>197</v>
      </c>
      <c r="Q25" s="122">
        <f>SUMIFS( CU280:CU351,CT280:CT351, Q21, CS280:CS351, O21)</f>
        <v>506</v>
      </c>
      <c r="R25" s="122">
        <f>SUMIFS( CU280:CU351,CT280:CT351, R21, CS280:CS351, O21)</f>
        <v>2560</v>
      </c>
      <c r="S25" s="122">
        <f>SUMIFS( CU280:CU351,CT280:CT351, S21, CS280:CS351, O21)</f>
        <v>1879</v>
      </c>
      <c r="T25" s="122">
        <f>SUMIFS( CU280:CU351,CT280:CT351, T21, CS280:CS351, O21)</f>
        <v>100</v>
      </c>
      <c r="U25" s="122">
        <f>SUMIFS( CU280:CU351,CT280:CT351, U21, CS280:CS351, O21)</f>
        <v>34</v>
      </c>
      <c r="V25" s="122">
        <f>SUMIFS( CU280:CU351,CT280:CT351, V21, CS280:CS351, O21)</f>
        <v>15</v>
      </c>
      <c r="W25" s="122">
        <f>SUMIFS( CU280:CU351,CT280:CT351, W21, CS280:CS351, O21)</f>
        <v>24</v>
      </c>
      <c r="X25" s="122">
        <f>SUMIFS( CU280:CU351,CT280:CT351, X21, CS280:CS351, O21)</f>
        <v>49</v>
      </c>
      <c r="Y25" s="122">
        <f>SUMIFS( CU280:CU351,CT280:CT351, Y21, CS280:CS351, O21)</f>
        <v>56</v>
      </c>
      <c r="Z25" s="325">
        <f t="shared" si="16"/>
        <v>5420</v>
      </c>
      <c r="AB25" s="320" t="s">
        <v>511</v>
      </c>
      <c r="AC25">
        <v>24</v>
      </c>
      <c r="AD25">
        <v>43</v>
      </c>
      <c r="AE25">
        <v>172</v>
      </c>
      <c r="AF25">
        <v>183</v>
      </c>
      <c r="AG25">
        <v>512</v>
      </c>
      <c r="AH25">
        <v>549</v>
      </c>
      <c r="AI25">
        <v>369</v>
      </c>
      <c r="AJ25">
        <v>238</v>
      </c>
      <c r="AK25">
        <v>396</v>
      </c>
      <c r="AL25" s="325">
        <f t="shared" si="17"/>
        <v>2486</v>
      </c>
      <c r="AN25" s="320" t="s">
        <v>511</v>
      </c>
      <c r="AO25" s="332">
        <f t="shared" si="5"/>
        <v>9.6540627514078835E-3</v>
      </c>
      <c r="AP25" s="332">
        <f t="shared" si="6"/>
        <v>1.7296862429605792E-2</v>
      </c>
      <c r="AQ25" s="332">
        <f t="shared" si="7"/>
        <v>6.9187449718423166E-2</v>
      </c>
      <c r="AR25" s="332">
        <f t="shared" si="8"/>
        <v>7.361222847948512E-2</v>
      </c>
      <c r="AS25" s="332">
        <f t="shared" si="9"/>
        <v>0.20595333869670152</v>
      </c>
      <c r="AT25" s="332">
        <f t="shared" si="10"/>
        <v>0.22083668543845536</v>
      </c>
      <c r="AU25" s="332">
        <f t="shared" si="11"/>
        <v>0.14843121480289623</v>
      </c>
      <c r="AV25" s="332">
        <f t="shared" si="12"/>
        <v>9.5736122284794847E-2</v>
      </c>
      <c r="AW25" s="333">
        <f t="shared" si="13"/>
        <v>0.15929203539823009</v>
      </c>
      <c r="AY25" s="338"/>
      <c r="AZ25">
        <f>AO25*$Z$25</f>
        <v>52.325020112630732</v>
      </c>
      <c r="BA25">
        <f t="shared" ref="BA25:BH25" si="21">AP25*$Z$25</f>
        <v>93.748994368463386</v>
      </c>
      <c r="BB25">
        <f t="shared" si="21"/>
        <v>374.99597747385354</v>
      </c>
      <c r="BC25">
        <f t="shared" si="21"/>
        <v>398.97827835880935</v>
      </c>
      <c r="BD25">
        <f t="shared" si="21"/>
        <v>1116.2670957361222</v>
      </c>
      <c r="BE25">
        <f t="shared" si="21"/>
        <v>1196.934835076428</v>
      </c>
      <c r="BF25">
        <f t="shared" si="21"/>
        <v>804.49718423169759</v>
      </c>
      <c r="BG25">
        <f t="shared" si="21"/>
        <v>518.88978278358809</v>
      </c>
      <c r="BH25">
        <f t="shared" si="21"/>
        <v>863.36283185840705</v>
      </c>
      <c r="BJ25" s="339"/>
      <c r="BL25" s="348" t="s">
        <v>54</v>
      </c>
      <c r="BM25" s="322">
        <f>(P22*AR22+P23*AR23+P24*AR24+P25*AR25+P26*AR26+P27*AR27+P28*AR28+P29*AR29+P30*AR30+P31/9)*BX31</f>
        <v>379.72921887041144</v>
      </c>
      <c r="BN25" s="322">
        <f>(Q22*AR22+Q23*AR23+Q24*AR24+Q25*AR25+Q26*AR26+Q27*AR27+Q28*AR28+Q29*AR29+Q30*AR30+Q31/9)*BX31</f>
        <v>674.8957904896024</v>
      </c>
      <c r="BO25" s="322">
        <f>(R22*AR22+R23*AR23+R24*AR24+R25*AR25+R26*AR26+R27*AR27+R28*AR28+R29*AR29+R30*AR30+R31/9)*BX31</f>
        <v>8886.4226706993322</v>
      </c>
      <c r="BP25" s="322">
        <f>(S22*AR22+S23*AR23+S24*AR24+S25*AR25+S26*AR26+S27*AR27+S28*AR28+S29*AR29+S30*AR30+S31/9)*BX31</f>
        <v>8702.3459170297883</v>
      </c>
      <c r="BQ25" s="322">
        <f>(T22*AR22+T23*AR23+T24*AR24+T25*AR25+T26*AR26+T27*AR27+T28*AR28+T29*AR29+T30*AR30+T31/9)*BX31</f>
        <v>105.28475835534502</v>
      </c>
      <c r="BR25" s="322">
        <f>(U22*AR22+U23*AR23+U24*AR24+U25*AR25+U26*AR26+U27*AR27+U28*AR28+U29*AR29+U30*AR30+U31/9)*BX31</f>
        <v>36.570563693156203</v>
      </c>
      <c r="BS25" s="322">
        <f>(V22*AR22+V23*AR23+V24*AR24+V25*AR25+V26*AR26+V27*AR27+V28*AR28+V29*AR29+V30*AR30+V31/9)*BX31</f>
        <v>79.903217030360707</v>
      </c>
      <c r="BT25" s="322">
        <f>(W22*AR22+W23*AR23+W24*AR24+W25*AR25+W26*AR26+W27*AR27+W28*AR28+W29*AR29+W30*AR30+W31/9)*BX31</f>
        <v>43.280916359443189</v>
      </c>
      <c r="BU25" s="322">
        <f>(X22*AR22+X23*AR23+X24*AR24+X25*AR25+X26*AR26+X27*AR27+X28*AR28+X29*AR29+X30*AR30+X31/9)*BX31</f>
        <v>134.1017383877232</v>
      </c>
      <c r="BV25" s="322">
        <f>(Y22*AR22+Y23*AR23+Y24*AR24+Y25*AR25+Y26*AR26+Y27*AR27+Y28*AR28+Y29*AR29+Y30*AR30+Y31/9)*BX31</f>
        <v>1389.1839102929966</v>
      </c>
      <c r="BW25" s="353">
        <f t="shared" si="20"/>
        <v>20.570693156438267</v>
      </c>
      <c r="BX25" s="339"/>
      <c r="CA25" t="s">
        <v>40</v>
      </c>
      <c r="CB25" t="s">
        <v>40</v>
      </c>
      <c r="CC25" t="s">
        <v>533</v>
      </c>
      <c r="CI25" t="s">
        <v>40</v>
      </c>
      <c r="CJ25" t="s">
        <v>40</v>
      </c>
      <c r="CK25" t="s">
        <v>533</v>
      </c>
      <c r="CQ25" t="s">
        <v>40</v>
      </c>
      <c r="CR25" t="s">
        <v>523</v>
      </c>
      <c r="CS25" t="s">
        <v>46</v>
      </c>
    </row>
    <row r="26" spans="2:99" ht="13">
      <c r="B26" s="320" t="s">
        <v>512</v>
      </c>
      <c r="C26" s="122"/>
      <c r="D26" s="122">
        <f>SUMIFS(INDEX(Table5[],,MATCH(B21,Table5[#Headers],0)),Table5[MainSpaceHeatingFuel],"*Oil",Table5[Year_of_Construction (group)],B26)</f>
        <v>497</v>
      </c>
      <c r="E26" s="122">
        <f>SUMIFS(INDEX(Table5[],,MATCH(B21,Table5[#Headers],0)),Table5[MainSpaceHeatingFuel],"Mains Gas",Table5[Year_of_Construction (group)],B26)</f>
        <v>1796</v>
      </c>
      <c r="F26">
        <f>SUMIFS(INDEX(Table5[],,MATCH(B21,Table5[#Headers],0)),Table5[MainSpaceHeatingFuel],F21,Table5[Year_of_Construction (group)],B26)</f>
        <v>994</v>
      </c>
      <c r="G26">
        <f>SUMIFS(INDEX(Table5[],,MATCH(B21,Table5[#Headers],0)),Table5[MainSpaceHeatingFuel],"*Coal",Table5[Year_of_Construction (group)],B26)</f>
        <v>25</v>
      </c>
      <c r="H26">
        <f>SUMIFS(INDEX(Table5[],,MATCH(B21,Table5[#Headers],0)),Table5[MainSpaceHeatingFuel],"*Peat*",Table5[Year_of_Construction (group)],B26)</f>
        <v>1</v>
      </c>
      <c r="I26">
        <f>SUMIFS(INDEX(Table5[],,MATCH(B21,Table5[#Headers],0)),Table5[MainSpaceHeatingFuel],"*LPG*",Table5[Year_of_Construction (group)],B26)</f>
        <v>34</v>
      </c>
      <c r="J26">
        <f>SUMIFS(INDEX(Table5[],,MATCH(B21,Table5[#Headers],0)),Table5[MainSpaceHeatingFuel],"*Wood*",Table5[Year_of_Construction (group)],B26)</f>
        <v>3</v>
      </c>
      <c r="K26">
        <f>SUMIFS(INDEX(Table5[],,MATCH(B21,Table5[#Headers],0)),Table5[MainSpaceHeatingFuel],"*Multi-Fuel*",Table5[Year_of_Construction (group)],B26)</f>
        <v>71</v>
      </c>
      <c r="L26" s="122">
        <f>SUMIFS(INDEX(Table5[],,MATCH(B21,Table5[#Headers],0)),Table5[MainSpaceHeatingFuel],"",Table5[Year_of_Construction (group)],B26)</f>
        <v>256</v>
      </c>
      <c r="M26" s="325">
        <f t="shared" si="15"/>
        <v>3677</v>
      </c>
      <c r="O26" s="320" t="s">
        <v>512</v>
      </c>
      <c r="P26" s="122">
        <f>SUMIFS( CU365:CU436,CT365:CT436, P21, CS365:CS436, O21)</f>
        <v>244</v>
      </c>
      <c r="Q26" s="122">
        <f>SUMIFS( CU365:CU436,CT365:CT436, Q21, CS365:CS436, O21)</f>
        <v>679</v>
      </c>
      <c r="R26" s="122">
        <f>SUMIFS( CU365:CU436,CT365:CT436, R21, CS365:CS436, O21)</f>
        <v>2911</v>
      </c>
      <c r="S26" s="122">
        <f>SUMIFS( CU365:CU436,CT365:CT436, S21, CS365:CS436, O21)</f>
        <v>2951</v>
      </c>
      <c r="T26" s="122">
        <f>SUMIFS( CU365:CU436,CT365:CT436, T21, CS365:CS436, O21)</f>
        <v>175</v>
      </c>
      <c r="U26" s="122">
        <f>SUMIFS( CU365:CU436,CT365:CT436, U21, CS365:CS436, O21)</f>
        <v>48</v>
      </c>
      <c r="V26" s="122">
        <f>SUMIFS( CU365:CU436,CT365:CT436, V21, CS365:CS436, O21)</f>
        <v>37</v>
      </c>
      <c r="W26" s="122">
        <f>SUMIFS( CU365:CU436,CT365:CT436, W21, CS365:CS436, O21)</f>
        <v>37</v>
      </c>
      <c r="X26" s="122">
        <f>SUMIFS( CU365:CU436,CT365:CT436, X21, CS365:CS436, O21)</f>
        <v>62</v>
      </c>
      <c r="Y26" s="122">
        <f>SUMIFS( CU365:CU436,CT365:CT436, Y21, CS365:CS436, O21)</f>
        <v>57</v>
      </c>
      <c r="Z26" s="325">
        <f t="shared" si="16"/>
        <v>7201</v>
      </c>
      <c r="AB26" s="320" t="s">
        <v>512</v>
      </c>
      <c r="AC26">
        <v>2</v>
      </c>
      <c r="AD26">
        <v>5</v>
      </c>
      <c r="AE26">
        <v>79</v>
      </c>
      <c r="AF26">
        <v>112</v>
      </c>
      <c r="AG26">
        <v>940</v>
      </c>
      <c r="AH26" s="122">
        <v>1033</v>
      </c>
      <c r="AI26">
        <v>747</v>
      </c>
      <c r="AJ26">
        <v>371</v>
      </c>
      <c r="AK26">
        <v>388</v>
      </c>
      <c r="AL26" s="325">
        <f t="shared" si="17"/>
        <v>3677</v>
      </c>
      <c r="AN26" s="320" t="s">
        <v>512</v>
      </c>
      <c r="AO26" s="332">
        <f>AC26/AL26</f>
        <v>5.4392167527875983E-4</v>
      </c>
      <c r="AP26" s="332">
        <f t="shared" si="6"/>
        <v>1.3598041881968997E-3</v>
      </c>
      <c r="AQ26" s="332">
        <f t="shared" si="7"/>
        <v>2.1484906173511016E-2</v>
      </c>
      <c r="AR26" s="332">
        <f t="shared" si="8"/>
        <v>3.0459613815610551E-2</v>
      </c>
      <c r="AS26" s="332">
        <f t="shared" si="9"/>
        <v>0.25564318738101716</v>
      </c>
      <c r="AT26" s="332">
        <f t="shared" si="10"/>
        <v>0.28093554528147946</v>
      </c>
      <c r="AU26" s="332">
        <f t="shared" si="11"/>
        <v>0.20315474571661682</v>
      </c>
      <c r="AV26" s="332">
        <f t="shared" si="12"/>
        <v>0.10089747076420995</v>
      </c>
      <c r="AW26" s="333">
        <f t="shared" si="13"/>
        <v>0.10552080500407941</v>
      </c>
      <c r="AY26" s="338"/>
      <c r="AZ26">
        <f>AO26*$Z$26</f>
        <v>3.9167799836823494</v>
      </c>
      <c r="BA26">
        <f t="shared" ref="BA26:BG26" si="22">AP26*$Z$26</f>
        <v>9.7919499592058745</v>
      </c>
      <c r="BB26">
        <f t="shared" si="22"/>
        <v>154.71280935545283</v>
      </c>
      <c r="BC26">
        <f t="shared" si="22"/>
        <v>219.33967908621159</v>
      </c>
      <c r="BD26">
        <f t="shared" si="22"/>
        <v>1840.8865923307046</v>
      </c>
      <c r="BE26">
        <f t="shared" si="22"/>
        <v>2023.0168615719335</v>
      </c>
      <c r="BF26">
        <f t="shared" si="22"/>
        <v>1462.9173239053578</v>
      </c>
      <c r="BG26">
        <f t="shared" si="22"/>
        <v>726.56268697307587</v>
      </c>
      <c r="BH26">
        <f>AW26*$Z$26</f>
        <v>759.8553168343758</v>
      </c>
      <c r="BJ26" s="339"/>
      <c r="BL26" s="347" t="s">
        <v>56</v>
      </c>
      <c r="BM26" s="321">
        <f>(P22*AS22+P23*AS23+P24*AS24+P25*AS25+P26*AS26+P27*AS27+P28*AS28+P29*AS29+P30*AS30+P31/9)*BX31</f>
        <v>1180.8689395693179</v>
      </c>
      <c r="BN26" s="321">
        <f>(Q22*AS22+Q23*AS23+Q24*AS24+Q25*AS25+Q26*AS26+Q27*AS27+Q28*AS28+Q29*AS29+Q30*AS30+Q31/9)*BX31</f>
        <v>2201.421860594814</v>
      </c>
      <c r="BO26" s="321">
        <f>(R22*AS22+R23*AS23+R24*AS24+R25*AS25+R26*AS26+R27*AS27+R28*AS28+R29*AS29+R30*AS30+R31/9)*BX31</f>
        <v>26520.607723519232</v>
      </c>
      <c r="BP26" s="321">
        <f>(S22*AS22+S23*AS23+S24*AS24+S25*AS25+S26*AS26+S27*AS27+S28*AS28+S29*AS29+S30*AS30+S31/9)*BX31</f>
        <v>27459.053749258812</v>
      </c>
      <c r="BQ26" s="321">
        <f>(T22*AS22+T23*AS23+T24*AS24+T25*AS25+T26*AS26+T27*AS27+T28*AS28+T29*AS29+T30*AS30+T31/9)*BX31</f>
        <v>395.84030960234634</v>
      </c>
      <c r="BR26" s="321">
        <f>(U22*AS22+U23*AS23+U24*AS24+U25*AS25+U26*AS26+U27*AS27+U28*AS28+U29*AS29+U30*AS30+U31/9)*BX31</f>
        <v>131.79056806132633</v>
      </c>
      <c r="BS26" s="321">
        <f>(V22*AS22+V23*AS23+V24*AS24+V25*AS25+V26*AS26+V27*AS27+V28*AS28+V29*AS29+V30*AS30+V31/9)*BX31</f>
        <v>250.02643928900713</v>
      </c>
      <c r="BT26" s="321">
        <f>(W22*AS22+W23*AS23+W24*AS24+W25*AS25+W26*AS26+W27*AS27+W28*AS28+W29*AS29+W30*AS30+W31/9)*BX31</f>
        <v>142.76200429196442</v>
      </c>
      <c r="BU26" s="321">
        <f>(X22*AS22+X23*AS23+X24*AS24+X25*AS25+X26*AS26+X27*AS27+X28*AS28+X29*AS29+X30*AS30+X31/9)*BX31</f>
        <v>403.32748943058903</v>
      </c>
      <c r="BV26" s="321">
        <f>(Y22*AS22+Y23*AS23+Y24*AS24+Y25*AS25+Y26*AS26+Y27*AS27+Y28*AS28+Y29*AS29+Y30*AS30+Y31/9)*BX31</f>
        <v>1718.7055135489661</v>
      </c>
      <c r="BW26" s="352">
        <f t="shared" si="20"/>
        <v>74.488097995070788</v>
      </c>
      <c r="BX26" s="339"/>
      <c r="CA26" t="s">
        <v>40</v>
      </c>
      <c r="CB26" t="s">
        <v>40</v>
      </c>
      <c r="CC26" t="s">
        <v>40</v>
      </c>
      <c r="CD26" t="s">
        <v>522</v>
      </c>
      <c r="CE26">
        <v>715133</v>
      </c>
      <c r="CI26" t="s">
        <v>40</v>
      </c>
      <c r="CJ26" t="s">
        <v>40</v>
      </c>
      <c r="CK26" t="s">
        <v>40</v>
      </c>
      <c r="CL26" t="s">
        <v>521</v>
      </c>
      <c r="CM26">
        <v>715133</v>
      </c>
      <c r="CN26">
        <f>SUM(CM26,CM38,CM51,CM63,CM75,CM87)</f>
        <v>1675795</v>
      </c>
      <c r="CQ26" t="s">
        <v>40</v>
      </c>
      <c r="CR26" t="s">
        <v>523</v>
      </c>
      <c r="CS26" t="s">
        <v>46</v>
      </c>
      <c r="CT26" t="s">
        <v>521</v>
      </c>
      <c r="CU26">
        <v>74125</v>
      </c>
    </row>
    <row r="27" spans="2:99" ht="13">
      <c r="B27" s="320" t="s">
        <v>513</v>
      </c>
      <c r="C27" s="122"/>
      <c r="D27" s="122">
        <f>SUMIFS(INDEX(Table5[],,MATCH(B21,Table5[#Headers],0)),Table5[MainSpaceHeatingFuel],"*Oil",Table5[Year_of_Construction (group)],B27)</f>
        <v>399</v>
      </c>
      <c r="E27" s="122">
        <f>SUMIFS(INDEX(Table5[],,MATCH(B21,Table5[#Headers],0)),Table5[MainSpaceHeatingFuel],"Mains Gas",Table5[Year_of_Construction (group)],B27)</f>
        <v>2009</v>
      </c>
      <c r="F27">
        <f>SUMIFS(INDEX(Table5[],,MATCH(B21,Table5[#Headers],0)),Table5[MainSpaceHeatingFuel],F21,Table5[Year_of_Construction (group)],B27)</f>
        <v>3503</v>
      </c>
      <c r="G27">
        <f>SUMIFS(INDEX(Table5[],,MATCH(B21,Table5[#Headers],0)),Table5[MainSpaceHeatingFuel],"*Coal",Table5[Year_of_Construction (group)],B27)</f>
        <v>85</v>
      </c>
      <c r="H27">
        <f>SUMIFS(INDEX(Table5[],,MATCH(B21,Table5[#Headers],0)),Table5[MainSpaceHeatingFuel],"*Peat*",Table5[Year_of_Construction (group)],B27)</f>
        <v>3</v>
      </c>
      <c r="I27">
        <f>SUMIFS(INDEX(Table5[],,MATCH(B21,Table5[#Headers],0)),Table5[MainSpaceHeatingFuel],"*LPG*",Table5[Year_of_Construction (group)],B27)</f>
        <v>79</v>
      </c>
      <c r="J27">
        <f>SUMIFS(INDEX(Table5[],,MATCH(B21,Table5[#Headers],0)),Table5[MainSpaceHeatingFuel],"*Wood*",Table5[Year_of_Construction (group)],B27)</f>
        <v>4</v>
      </c>
      <c r="K27">
        <f>SUMIFS(INDEX(Table5[],,MATCH(B21,Table5[#Headers],0)),Table5[MainSpaceHeatingFuel],"*Multi-Fuel*",Table5[Year_of_Construction (group)],B27)</f>
        <v>90</v>
      </c>
      <c r="L27" s="122">
        <f>SUMIFS(INDEX(Table5[],,MATCH(B21,Table5[#Headers],0)),Table5[MainSpaceHeatingFuel],"",Table5[Year_of_Construction (group)],B27)</f>
        <v>170</v>
      </c>
      <c r="M27" s="325">
        <f t="shared" si="15"/>
        <v>6342</v>
      </c>
      <c r="O27" s="320" t="s">
        <v>513</v>
      </c>
      <c r="P27" s="122">
        <f>SUMIFS( CU450:CU521,CT450:CT521, P21, CS450:CS521, O21)</f>
        <v>358</v>
      </c>
      <c r="Q27" s="122">
        <f>SUMIFS( CU450:CU521,CT450:CT521, Q21, CS450:CS521, O21)</f>
        <v>672</v>
      </c>
      <c r="R27" s="122">
        <f>SUMIFS( CU450:CU521,CT450:CT521, R21, CS450:CS521, O21)</f>
        <v>2926</v>
      </c>
      <c r="S27" s="122">
        <f>SUMIFS( CU450:CU521,CT450:CT521, S21, CS450:CS521, O21)</f>
        <v>5984</v>
      </c>
      <c r="T27" s="122">
        <f>SUMIFS( CU450:CU521,CT450:CT521, T21, CS450:CS521, O21)</f>
        <v>211</v>
      </c>
      <c r="U27" s="122">
        <f>SUMIFS( CU450:CU521,CT450:CT521, U21, CS450:CS521, O21)</f>
        <v>82</v>
      </c>
      <c r="V27" s="122">
        <f>SUMIFS( CU450:CU521,CT450:CT521, V21, CS450:CS521, O21)</f>
        <v>56</v>
      </c>
      <c r="W27" s="122">
        <f>SUMIFS( CU450:CU521,CT450:CT521, W21, CS450:CS521, O21)</f>
        <v>43</v>
      </c>
      <c r="X27" s="122">
        <f>SUMIFS( CU450:CU521,CT450:CT521, X21, CS450:CS521, O21)</f>
        <v>77</v>
      </c>
      <c r="Y27" s="122">
        <f>SUMIFS( CU450:CU521,CT450:CT521, Y21, CS450:CS521, O21)</f>
        <v>76</v>
      </c>
      <c r="Z27" s="325">
        <f t="shared" si="16"/>
        <v>10485</v>
      </c>
      <c r="AB27" s="320" t="s">
        <v>513</v>
      </c>
      <c r="AC27">
        <v>1</v>
      </c>
      <c r="AD27">
        <v>2</v>
      </c>
      <c r="AE27">
        <v>22</v>
      </c>
      <c r="AF27">
        <v>158</v>
      </c>
      <c r="AG27" s="122">
        <v>1445</v>
      </c>
      <c r="AH27" s="122">
        <v>2044</v>
      </c>
      <c r="AI27" s="122">
        <v>1642</v>
      </c>
      <c r="AJ27">
        <v>657</v>
      </c>
      <c r="AK27">
        <v>371</v>
      </c>
      <c r="AL27" s="325">
        <f t="shared" si="17"/>
        <v>6342</v>
      </c>
      <c r="AN27" s="320" t="s">
        <v>513</v>
      </c>
      <c r="AO27" s="332">
        <f t="shared" si="5"/>
        <v>1.5767896562598549E-4</v>
      </c>
      <c r="AP27" s="332">
        <f t="shared" si="6"/>
        <v>3.1535793125197099E-4</v>
      </c>
      <c r="AQ27" s="332">
        <f t="shared" si="7"/>
        <v>3.4689372437716809E-3</v>
      </c>
      <c r="AR27" s="332">
        <f t="shared" si="8"/>
        <v>2.4913276568905709E-2</v>
      </c>
      <c r="AS27" s="332">
        <f t="shared" si="9"/>
        <v>0.22784610532954905</v>
      </c>
      <c r="AT27" s="332">
        <f t="shared" si="10"/>
        <v>0.32229580573951433</v>
      </c>
      <c r="AU27" s="332">
        <f t="shared" si="11"/>
        <v>0.25890886155786819</v>
      </c>
      <c r="AV27" s="332">
        <f t="shared" si="12"/>
        <v>0.10359508041627247</v>
      </c>
      <c r="AW27" s="333">
        <f t="shared" si="13"/>
        <v>5.8498896247240618E-2</v>
      </c>
      <c r="AY27" s="338"/>
      <c r="AZ27">
        <f>AO27*$Z$27</f>
        <v>1.653263954588458</v>
      </c>
      <c r="BA27">
        <f t="shared" ref="BA27:BH27" si="23">AP27*$Z$27</f>
        <v>3.306527909176916</v>
      </c>
      <c r="BB27">
        <f>AQ27*$Z$27</f>
        <v>36.37180700094607</v>
      </c>
      <c r="BC27">
        <f t="shared" si="23"/>
        <v>261.21570482497634</v>
      </c>
      <c r="BD27">
        <f t="shared" si="23"/>
        <v>2388.9664143803216</v>
      </c>
      <c r="BE27">
        <f t="shared" si="23"/>
        <v>3379.2715231788079</v>
      </c>
      <c r="BF27">
        <f t="shared" si="23"/>
        <v>2714.6594134342481</v>
      </c>
      <c r="BG27">
        <f t="shared" si="23"/>
        <v>1086.1944181646168</v>
      </c>
      <c r="BH27">
        <f t="shared" si="23"/>
        <v>613.36092715231791</v>
      </c>
      <c r="BJ27" s="339"/>
      <c r="BL27" s="348" t="s">
        <v>58</v>
      </c>
      <c r="BM27" s="322">
        <f>(P22*AT22+P23*AT23+P24*AT24+P25*AT25+P26*AT26+P27*AT27+P28*AT28+P29*AT29+P30*AT30+P31/9)*BX31</f>
        <v>1116.8399954239494</v>
      </c>
      <c r="BN27" s="322">
        <f>(Q22*AT22+Q23*AT23+Q24*AT24+Q25*AT25+Q26*AT26+Q27*AT27+Q28*AT28+Q29*AT29+Q30*AT30+Q31/9)*BX31</f>
        <v>2038.699060026951</v>
      </c>
      <c r="BO27" s="322">
        <f>(R22*AT22+R23*AT23+R24*AT24+R25*AT25+R26*AT26+R27*AT27+R28*AT28+R29*AT29+R30*AT30+R31/9)*BX31</f>
        <v>17411.507636241469</v>
      </c>
      <c r="BP27" s="322">
        <f>(S22*AT22+S23*AT23+S24*AT24+S25*AT25+S26*AT26+S27*AT27+S28*AT28+S29*AT29+S30*AT30+S31/9)*BX31</f>
        <v>21560.33077204696</v>
      </c>
      <c r="BQ27" s="322">
        <f>(T22*AT22+T23*AT23+T24*AT24+T25*AT25+T26*AT26+T27*AT27+T28*AT28+T29*AT29+T30*AT30+T31/9)*BX31</f>
        <v>403.0170573031703</v>
      </c>
      <c r="BR27" s="322">
        <f>(U22*AT22+U23*AT23+U24*AT24+U25*AT25+U26*AT26+U27*AT27+U28*AT28+U29*AT29+U30*AT30+U31/9)*BX31</f>
        <v>133.95311639845579</v>
      </c>
      <c r="BS27" s="322">
        <f>(V22*AT22+V23*AT23+V24*AT24+V25*AT25+V26*AT26+V27*AT27+V28*AT28+V29*AT29+V30*AT30+V31/9)*BX31</f>
        <v>178.2045817491788</v>
      </c>
      <c r="BT27" s="322">
        <f>(W22*AT22+W23*AT23+W24*AT24+W25*AT25+W26*AT26+W27*AT27+W28*AT28+W29*AT29+W30*AT30+W31/9)*BX31</f>
        <v>119.61962721297705</v>
      </c>
      <c r="BU27" s="322">
        <f>(X22*AT22+X23*AT23+X24*AT24+X25*AT25+X26*AT26+X27*AT27+X28*AT28+X29*AT29+X30*AT30+X31/9)*BX31</f>
        <v>294.8481457097426</v>
      </c>
      <c r="BV27" s="322">
        <f>(Y22*AT22+Y23*AT23+Y24*AT24+Y25*AT25+Y26*AT26+Y27*AT27+Y28*AT28+Y29*AT29+Y30*AT30+Y31/9)*BX31</f>
        <v>1595.8398028855161</v>
      </c>
      <c r="BW27" s="353">
        <f t="shared" si="20"/>
        <v>72.954422323844796</v>
      </c>
      <c r="BX27" s="339"/>
      <c r="CA27" t="s">
        <v>40</v>
      </c>
      <c r="CB27" t="s">
        <v>40</v>
      </c>
      <c r="CC27" t="s">
        <v>40</v>
      </c>
      <c r="CD27" t="s">
        <v>523</v>
      </c>
      <c r="CE27">
        <v>74125</v>
      </c>
      <c r="CI27" t="s">
        <v>40</v>
      </c>
      <c r="CJ27" t="s">
        <v>40</v>
      </c>
      <c r="CK27" t="s">
        <v>40</v>
      </c>
      <c r="CL27" t="s">
        <v>540</v>
      </c>
      <c r="CM27">
        <v>8850</v>
      </c>
      <c r="CQ27" t="s">
        <v>40</v>
      </c>
      <c r="CR27" t="s">
        <v>523</v>
      </c>
      <c r="CS27" t="s">
        <v>46</v>
      </c>
      <c r="CT27" t="s">
        <v>540</v>
      </c>
      <c r="CU27">
        <v>3486</v>
      </c>
    </row>
    <row r="28" spans="2:99" ht="13">
      <c r="B28" s="320" t="s">
        <v>514</v>
      </c>
      <c r="C28" s="122"/>
      <c r="D28" s="122">
        <f>SUMIFS(INDEX(Table5[],,MATCH(B21,Table5[#Headers],0)),Table5[MainSpaceHeatingFuel],"*Oil",Table5[Year_of_Construction (group)],B28)</f>
        <v>685</v>
      </c>
      <c r="E28" s="122">
        <f>SUMIFS(INDEX(Table5[],,MATCH(B21,Table5[#Headers],0)),Table5[MainSpaceHeatingFuel],"Mains Gas",Table5[Year_of_Construction (group)],B28)</f>
        <v>4626</v>
      </c>
      <c r="F28">
        <f>SUMIFS(INDEX(Table5[],,MATCH(B21,Table5[#Headers],0)),Table5[MainSpaceHeatingFuel],F21,Table5[Year_of_Construction (group)],B28)</f>
        <v>19041</v>
      </c>
      <c r="G28">
        <f>SUMIFS(INDEX(Table5[],,MATCH(B21,Table5[#Headers],0)),Table5[MainSpaceHeatingFuel],"*Coal",Table5[Year_of_Construction (group)],B28)</f>
        <v>62</v>
      </c>
      <c r="H28">
        <f>SUMIFS(INDEX(Table5[],,MATCH(B21,Table5[#Headers],0)),Table5[MainSpaceHeatingFuel],"*Peat*",Table5[Year_of_Construction (group)],B28)</f>
        <v>1</v>
      </c>
      <c r="I28">
        <f>SUMIFS(INDEX(Table5[],,MATCH(B21,Table5[#Headers],0)),Table5[MainSpaceHeatingFuel],"*LPG*",Table5[Year_of_Construction (group)],B28)</f>
        <v>222</v>
      </c>
      <c r="J28">
        <f>SUMIFS(INDEX(Table5[],,MATCH(B21,Table5[#Headers],0)),Table5[MainSpaceHeatingFuel],"*Wood*",Table5[Year_of_Construction (group)],B28)</f>
        <v>1</v>
      </c>
      <c r="K28">
        <f>SUMIFS(INDEX(Table5[],,MATCH(B21,Table5[#Headers],0)),Table5[MainSpaceHeatingFuel],"*Multi-Fuel*",Table5[Year_of_Construction (group)],B28)</f>
        <v>88</v>
      </c>
      <c r="L28" s="122">
        <f>SUMIFS(INDEX(Table5[],,MATCH(B21,Table5[#Headers],0)),Table5[MainSpaceHeatingFuel],"",Table5[Year_of_Construction (group)],B28)</f>
        <v>626</v>
      </c>
      <c r="M28" s="325">
        <f t="shared" si="15"/>
        <v>25352</v>
      </c>
      <c r="O28" s="320" t="s">
        <v>514</v>
      </c>
      <c r="P28" s="122">
        <f>SUMIFS( CU535:CU606,CT535:CT606, P21, CS535:CS606, O21)</f>
        <v>760</v>
      </c>
      <c r="Q28" s="122">
        <f>SUMIFS( CU535:CU606,CT535:CT606, Q21, CS535:CS606, O21)</f>
        <v>1115</v>
      </c>
      <c r="R28" s="122">
        <f>SUMIFS( CU535:CU606,CT535:CT606, R21, CS535:CS606, O21)</f>
        <v>7962</v>
      </c>
      <c r="S28" s="122">
        <f>SUMIFS( CU535:CU606,CT535:CT606, S21, CS535:CS606, O21)</f>
        <v>18006</v>
      </c>
      <c r="T28" s="122">
        <f>SUMIFS( CU535:CU606,CT535:CT606, T21, CS535:CS606, O21)</f>
        <v>298</v>
      </c>
      <c r="U28" s="122">
        <f>SUMIFS( CU535:CU606,CT535:CT606, U21, CS535:CS606, O21)</f>
        <v>77</v>
      </c>
      <c r="V28" s="122">
        <f>SUMIFS( CU535:CU606,CT535:CT606, V21, CS535:CS606, O21)</f>
        <v>103</v>
      </c>
      <c r="W28" s="122">
        <f>SUMIFS( CU535:CU606,CT535:CT606, W21, CS535:CS606, O21)</f>
        <v>59</v>
      </c>
      <c r="X28" s="122">
        <f>SUMIFS( CU535:CU606,CT535:CT606, X21, CS535:CS606, O21)</f>
        <v>168</v>
      </c>
      <c r="Y28" s="122">
        <f>SUMIFS( CU535:CU606,CT535:CT606, Y21, CS535:CS606, O21)</f>
        <v>232</v>
      </c>
      <c r="Z28" s="325">
        <f t="shared" si="16"/>
        <v>28780</v>
      </c>
      <c r="AB28" s="320" t="s">
        <v>514</v>
      </c>
      <c r="AC28">
        <v>7</v>
      </c>
      <c r="AD28">
        <v>41</v>
      </c>
      <c r="AE28">
        <v>240</v>
      </c>
      <c r="AF28">
        <v>742</v>
      </c>
      <c r="AG28" s="122">
        <v>7737</v>
      </c>
      <c r="AH28" s="122">
        <v>9452</v>
      </c>
      <c r="AI28" s="122">
        <v>5245</v>
      </c>
      <c r="AJ28" s="122">
        <v>1385</v>
      </c>
      <c r="AK28">
        <v>505</v>
      </c>
      <c r="AL28" s="325">
        <f t="shared" si="17"/>
        <v>25354</v>
      </c>
      <c r="AN28" s="320" t="s">
        <v>514</v>
      </c>
      <c r="AO28" s="332">
        <f t="shared" si="5"/>
        <v>2.7609055770292659E-4</v>
      </c>
      <c r="AP28" s="332">
        <f t="shared" si="6"/>
        <v>1.6171018379742841E-3</v>
      </c>
      <c r="AQ28" s="332">
        <f t="shared" si="7"/>
        <v>9.4659619783860529E-3</v>
      </c>
      <c r="AR28" s="332">
        <f t="shared" si="8"/>
        <v>2.9265599116510214E-2</v>
      </c>
      <c r="AS28" s="332">
        <f t="shared" si="9"/>
        <v>0.3051589492782204</v>
      </c>
      <c r="AT28" s="332">
        <f t="shared" si="10"/>
        <v>0.3728011359154374</v>
      </c>
      <c r="AU28" s="332">
        <f t="shared" si="11"/>
        <v>0.20687071073597854</v>
      </c>
      <c r="AV28" s="332">
        <f t="shared" si="12"/>
        <v>5.4626488916936181E-2</v>
      </c>
      <c r="AW28" s="333">
        <f t="shared" si="13"/>
        <v>1.9917961662853988E-2</v>
      </c>
      <c r="AY28" s="338"/>
      <c r="AZ28">
        <f>AO28*$Z$28</f>
        <v>7.9458862506902275</v>
      </c>
      <c r="BA28">
        <f t="shared" ref="BA28:BH28" si="24">AP28*$Z$28</f>
        <v>46.540190896899894</v>
      </c>
      <c r="BB28">
        <f t="shared" si="24"/>
        <v>272.43038573795059</v>
      </c>
      <c r="BC28">
        <f t="shared" si="24"/>
        <v>842.26394257316394</v>
      </c>
      <c r="BD28">
        <f t="shared" si="24"/>
        <v>8782.4745602271832</v>
      </c>
      <c r="BE28">
        <f t="shared" si="24"/>
        <v>10729.216691646288</v>
      </c>
      <c r="BF28">
        <f t="shared" si="24"/>
        <v>5953.7390549814627</v>
      </c>
      <c r="BG28">
        <f t="shared" si="24"/>
        <v>1572.1503510294233</v>
      </c>
      <c r="BH28">
        <f t="shared" si="24"/>
        <v>573.23893665693777</v>
      </c>
      <c r="BJ28" s="339"/>
      <c r="BL28" s="347" t="s">
        <v>60</v>
      </c>
      <c r="BM28" s="321">
        <f>(P22*AU22+P23*AU23+P24*AU24+P25*AU25+P26*AU26+P27*AU27+P28*AU28+P29*AU29+P30*AU30+P31/9)*BX31</f>
        <v>798.15519037928811</v>
      </c>
      <c r="BN28" s="321">
        <f>(Q22*AU22+Q23*AU23+Q24*AU24+Q25*AU25+Q26*AU26+Q27*AU27+Q28*AU28+Q29*AU29+Q30*AU30+Q31/9)*BX31</f>
        <v>1443.2033226275655</v>
      </c>
      <c r="BO28" s="321">
        <f>(R22*AU22+R23*AU23+R24*AU24+R25*AU25+R26*AU26+R27*AU27+R28*AU28+R29*AU29+R30*AU30+R31/9)*BX31</f>
        <v>9222.6347866423348</v>
      </c>
      <c r="BP28" s="321">
        <f>(S22*AU22+S23*AU23+S24*AU24+S25*AU25+S26*AU26+S27*AU27+S28*AU28+S29*AU29+S30*AU30+S31/9)*BX31</f>
        <v>12782.809521239726</v>
      </c>
      <c r="BQ28" s="321">
        <f>(T22*AU22+T23*AU23+T24*AU24+T25*AU25+T26*AU26+T27*AU27+T28*AU28+T29*AU29+T30*AU30+T31/9)*BX31</f>
        <v>281.5070742687102</v>
      </c>
      <c r="BR28" s="321">
        <f>(U22*AU22+U23*AU23+U24*AU24+U25*AU25+U26*AU26+U27*AU27+U28*AU28+U29*AU29+U30*AU30+U31/9)*BX31</f>
        <v>96.774993943449786</v>
      </c>
      <c r="BS28" s="321">
        <f>(V22*AU22+V23*AU23+V24*AU24+V25*AU25+V26*AU26+V27*AU27+V28*AU28+V29*AU29+V30*AU30+V31/9)*BX31</f>
        <v>100.24445426354789</v>
      </c>
      <c r="BT28" s="321">
        <f>(W22*AU22+W23*AU23+W24*AU24+W25*AU25+W26*AU26+W27*AU27+W28*AU28+W29*AU29+W30*AU30+W31/9)*BX31</f>
        <v>79.23768876975538</v>
      </c>
      <c r="BU28" s="321">
        <f>(X22*AU22+X23*AU23+X24*AU24+X25*AU25+X26*AU26+X27*AU27+X28*AU28+X29*AU29+X30*AU30+X31/9)*BX31</f>
        <v>171.49773604110322</v>
      </c>
      <c r="BV28" s="321">
        <f>(Y22*AU22+Y23*AU23+Y24*AU24+Y25*AU25+Y26*AU26+Y27*AU27+Y28*AU28+Y29*AU29+Y30*AU30+Y31/9)*BX31</f>
        <v>1447.8114739402854</v>
      </c>
      <c r="BW28" s="352">
        <f t="shared" si="20"/>
        <v>50.835528553546148</v>
      </c>
      <c r="BX28" s="339"/>
      <c r="CA28" t="s">
        <v>40</v>
      </c>
      <c r="CB28" t="s">
        <v>40</v>
      </c>
      <c r="CC28" t="s">
        <v>40</v>
      </c>
      <c r="CD28" t="s">
        <v>524</v>
      </c>
      <c r="CE28">
        <v>46847</v>
      </c>
      <c r="CI28" t="s">
        <v>40</v>
      </c>
      <c r="CJ28" t="s">
        <v>40</v>
      </c>
      <c r="CK28" t="s">
        <v>40</v>
      </c>
      <c r="CL28" t="s">
        <v>541</v>
      </c>
      <c r="CM28">
        <v>445404</v>
      </c>
      <c r="CQ28" t="s">
        <v>40</v>
      </c>
      <c r="CR28" t="s">
        <v>523</v>
      </c>
      <c r="CS28" t="s">
        <v>46</v>
      </c>
      <c r="CT28" t="s">
        <v>541</v>
      </c>
      <c r="CU28">
        <v>42672</v>
      </c>
    </row>
    <row r="29" spans="2:99" ht="13">
      <c r="B29" s="320" t="s">
        <v>547</v>
      </c>
      <c r="C29" s="122"/>
      <c r="D29" s="122">
        <f>SUMIFS(INDEX(Table5[],,MATCH(B21,Table5[#Headers],0)),Table5[MainSpaceHeatingFuel],"*Oil",Table5[Year_of_Construction (group)],B29)</f>
        <v>1113</v>
      </c>
      <c r="E29" s="122">
        <f>SUMIFS(INDEX(Table5[],,MATCH(B21,Table5[#Headers],0)),Table5[MainSpaceHeatingFuel],"Mains Gas",Table5[Year_of_Construction (group)],B29)</f>
        <v>38133</v>
      </c>
      <c r="F29">
        <f>SUMIFS(INDEX(Table5[],,MATCH(B21,Table5[#Headers],0)),Table5[MainSpaceHeatingFuel],F21,Table5[Year_of_Construction (group)],B29)</f>
        <v>33830</v>
      </c>
      <c r="G29">
        <f>SUMIFS(INDEX(Table5[],,MATCH(B21,Table5[#Headers],0)),Table5[MainSpaceHeatingFuel],"*Coal",Table5[Year_of_Construction (group)],B29)</f>
        <v>27</v>
      </c>
      <c r="H29">
        <f>SUMIFS(INDEX(Table5[],,MATCH(B21,Table5[#Headers],0)),Table5[MainSpaceHeatingFuel],"*Peat*",Table5[Year_of_Construction (group)],B29)</f>
        <v>1</v>
      </c>
      <c r="I29">
        <f>SUMIFS(INDEX(Table5[],,MATCH(B21,Table5[#Headers],0)),Table5[MainSpaceHeatingFuel],"*LPG*",Table5[Year_of_Construction (group)],B29)</f>
        <v>1494</v>
      </c>
      <c r="J29">
        <f>SUMIFS(INDEX(Table5[],,MATCH(B21,Table5[#Headers],0)),Table5[MainSpaceHeatingFuel],"*Wood*",Table5[Year_of_Construction (group)],B29)</f>
        <v>171</v>
      </c>
      <c r="K29">
        <f>SUMIFS(INDEX(Table5[],,MATCH(B21,Table5[#Headers],0)),Table5[MainSpaceHeatingFuel],"*Multi-Fuel*",Table5[Year_of_Construction (group)],B29)</f>
        <v>59</v>
      </c>
      <c r="L29" s="122">
        <f>SUMIFS(INDEX(Table5[],,MATCH(B21,Table5[#Headers],0)),Table5[MainSpaceHeatingFuel],"",Table5[Year_of_Construction (group)],B29)</f>
        <v>3552</v>
      </c>
      <c r="M29" s="325">
        <f t="shared" si="15"/>
        <v>78380</v>
      </c>
      <c r="O29" s="320" t="s">
        <v>547</v>
      </c>
      <c r="P29" s="122">
        <f>SUMIFS( CU620:CU691,CT620:CT691, P21, CS620:CS691, O21)</f>
        <v>1068</v>
      </c>
      <c r="Q29" s="122">
        <f>SUMIFS( CU620:CU691,CT620:CT691, Q21, CS620:CS691, O21)</f>
        <v>2104</v>
      </c>
      <c r="R29" s="122">
        <f>SUMIFS( CU620:CU691,CT620:CT691, R21, CS620:CS691, O21)</f>
        <v>45069</v>
      </c>
      <c r="S29" s="122">
        <f>SUMIFS( CU620:CU691,CT620:CT691, S21, CS620:CS691, O21)</f>
        <v>36467</v>
      </c>
      <c r="T29" s="122">
        <f>SUMIFS( CU620:CU691,CT620:CT691, T21, CS620:CS691, O21)</f>
        <v>255</v>
      </c>
      <c r="U29" s="122">
        <f>SUMIFS( CU620:CU691,CT620:CT691, U21, CS620:CS691, O21)</f>
        <v>91</v>
      </c>
      <c r="V29" s="122">
        <f>SUMIFS( CU620:CU691,CT620:CT691, V21, CS620:CS691, O21)</f>
        <v>389</v>
      </c>
      <c r="W29" s="122">
        <f>SUMIFS( CU620:CU691,CT620:CT691, W21, CS620:CS691, O21)</f>
        <v>175</v>
      </c>
      <c r="X29" s="122">
        <f>SUMIFS( CU620:CU691,CT620:CT691, X21, CS620:CS691, O21)</f>
        <v>594</v>
      </c>
      <c r="Y29" s="122">
        <f>SUMIFS( CU620:CU691,CT620:CT691, Y21, CS620:CS691, O21)</f>
        <v>708</v>
      </c>
      <c r="Z29" s="325">
        <f t="shared" si="16"/>
        <v>86920</v>
      </c>
      <c r="AB29" s="320" t="s">
        <v>547</v>
      </c>
      <c r="AC29">
        <v>387</v>
      </c>
      <c r="AD29" s="122">
        <v>2426</v>
      </c>
      <c r="AE29" s="122">
        <v>7356</v>
      </c>
      <c r="AF29" s="122">
        <v>11792</v>
      </c>
      <c r="AG29" s="122">
        <v>33487</v>
      </c>
      <c r="AH29" s="122">
        <v>15933</v>
      </c>
      <c r="AI29" s="122">
        <v>5572</v>
      </c>
      <c r="AJ29" s="122">
        <v>1098</v>
      </c>
      <c r="AK29">
        <v>330</v>
      </c>
      <c r="AL29" s="325">
        <f t="shared" si="17"/>
        <v>78381</v>
      </c>
      <c r="AN29" s="320" t="s">
        <v>547</v>
      </c>
      <c r="AO29" s="332">
        <f t="shared" si="5"/>
        <v>4.9374210586749338E-3</v>
      </c>
      <c r="AP29" s="332">
        <f t="shared" si="6"/>
        <v>3.0951378522856305E-2</v>
      </c>
      <c r="AQ29" s="332">
        <f t="shared" si="7"/>
        <v>9.3849274696673937E-2</v>
      </c>
      <c r="AR29" s="332">
        <f t="shared" si="8"/>
        <v>0.15044462305915973</v>
      </c>
      <c r="AS29" s="332">
        <f t="shared" si="9"/>
        <v>0.42723364080580756</v>
      </c>
      <c r="AT29" s="332">
        <f t="shared" si="10"/>
        <v>0.20327630420637655</v>
      </c>
      <c r="AU29" s="332">
        <f t="shared" si="11"/>
        <v>7.1088656689759E-2</v>
      </c>
      <c r="AV29" s="332">
        <f t="shared" si="12"/>
        <v>1.4008496957170742E-2</v>
      </c>
      <c r="AW29" s="333">
        <f t="shared" si="13"/>
        <v>4.2102040035212618E-3</v>
      </c>
      <c r="AY29" s="338"/>
      <c r="AZ29">
        <f>AO29*$Z$29</f>
        <v>429.16063842002524</v>
      </c>
      <c r="BA29">
        <f t="shared" ref="BA29:BH29" si="25">AP29*$Z$29</f>
        <v>2690.2938212066701</v>
      </c>
      <c r="BB29">
        <f t="shared" si="25"/>
        <v>8157.3789566348987</v>
      </c>
      <c r="BC29">
        <f t="shared" si="25"/>
        <v>13076.646636302165</v>
      </c>
      <c r="BD29">
        <f t="shared" si="25"/>
        <v>37135.148058840794</v>
      </c>
      <c r="BE29">
        <f t="shared" si="25"/>
        <v>17668.776361618249</v>
      </c>
      <c r="BF29">
        <f t="shared" si="25"/>
        <v>6179.0260394738525</v>
      </c>
      <c r="BG29">
        <f t="shared" si="25"/>
        <v>1217.618555517281</v>
      </c>
      <c r="BH29">
        <f t="shared" si="25"/>
        <v>365.9509319860681</v>
      </c>
      <c r="BJ29" s="339"/>
      <c r="BL29" s="348" t="s">
        <v>62</v>
      </c>
      <c r="BM29" s="322">
        <f>(P22*AV22+P23*AV23+P24*AV24+P25*AV25+P26*AV26+P27*AV27+P28*AV28+P29*AV29+P30*AV30+P31/9)*BX31</f>
        <v>448.90541239707636</v>
      </c>
      <c r="BN29" s="322">
        <f>(Q22*AV22+Q23*AV23+Q24*AV24+Q25*AV25+Q26*AV26+Q27*AV27+Q28*AV28+Q29*AV29+Q30*AV30+Q31/9)*BX31</f>
        <v>791.4422810797505</v>
      </c>
      <c r="BO29" s="322">
        <f>(R22*AV22+R23*AV23+R24*AV24+R25*AV25+R26*AV26+R27*AV27+R28*AV28+R29*AV29+R30*AV30+R31/9)*BX31</f>
        <v>3886.9007762217461</v>
      </c>
      <c r="BP29" s="322">
        <f>(S22*AV22+S23*AV23+S24*AV24+S25*AV25+S26*AV26+S27*AV27+S28*AV28+S29*AV29+S30*AV30+S31/9)*BX31</f>
        <v>5829.9075042724553</v>
      </c>
      <c r="BQ29" s="322">
        <f>(T22*AV22+T23*AV23+T24*AV24+T25*AV25+T26*AV26+T27*AV27+T28*AV28+T29*AV29+T30*AV30+T31/9)*BX31</f>
        <v>141.1924101483269</v>
      </c>
      <c r="BR29" s="322">
        <f>(U22*AV22+U23*AV23+U24*AV24+U25*AV25+U26*AV26+U27*AV27+U28*AV28+U29*AV29+U30*AV30+U31/9)*BX31</f>
        <v>50.543395636337159</v>
      </c>
      <c r="BS29" s="322">
        <f>(V22*AV22+V23*AV23+V24*AV24+V25*AV25+V26*AV26+V27*AV27+V28*AV28+V29*AV29+V30*AV30+V31/9)*BX31</f>
        <v>43.015001582083208</v>
      </c>
      <c r="BT29" s="322">
        <f>(W22*AV22+W23*AV23+W24*AV24+W25*AV25+W26*AV26+W27*AV27+W28*AV28+W29*AV29+W30*AV30+W31/9)*BX31</f>
        <v>40.324136226209454</v>
      </c>
      <c r="BU29" s="322">
        <f>(X22*AV22+X23*AV23+X24*AV24+X25*AV25+X26*AV26+X27*AV27+X28*AV28+X29*AV29+X30*AV30+X31/9)*BX31</f>
        <v>79.341354309238028</v>
      </c>
      <c r="BV29" s="322">
        <f>(Y22*AV22+Y23*AV23+Y24*AV24+Y25*AV25+Y26*AV26+Y27*AV27+Y28*AV28+Y29*AV29+Y30*AV30+Y31/9)*BX31</f>
        <v>1333.5285229753836</v>
      </c>
      <c r="BW29" s="353">
        <f t="shared" si="20"/>
        <v>25.784438001208169</v>
      </c>
      <c r="BX29" s="339"/>
      <c r="CA29" t="s">
        <v>40</v>
      </c>
      <c r="CB29" t="s">
        <v>40</v>
      </c>
      <c r="CC29" t="s">
        <v>40</v>
      </c>
      <c r="CD29" t="s">
        <v>525</v>
      </c>
      <c r="CE29">
        <v>42427</v>
      </c>
      <c r="CI29" t="s">
        <v>40</v>
      </c>
      <c r="CJ29" t="s">
        <v>40</v>
      </c>
      <c r="CK29" t="s">
        <v>40</v>
      </c>
      <c r="CL29" t="s">
        <v>542</v>
      </c>
      <c r="CM29">
        <v>85670</v>
      </c>
      <c r="CQ29" t="s">
        <v>40</v>
      </c>
      <c r="CR29" t="s">
        <v>523</v>
      </c>
      <c r="CS29" t="s">
        <v>46</v>
      </c>
      <c r="CT29" t="s">
        <v>542</v>
      </c>
      <c r="CU29">
        <v>3088</v>
      </c>
    </row>
    <row r="30" spans="2:99" ht="13.5" thickBot="1">
      <c r="B30" s="320" t="s">
        <v>548</v>
      </c>
      <c r="C30" s="122"/>
      <c r="D30" s="122">
        <f>SUMIFS(INDEX(Table5[],,MATCH(B21,Table5[#Headers],0)),Table5[MainSpaceHeatingFuel],"*Oil",Table5[Year_of_Construction (group)],B30)</f>
        <v>34</v>
      </c>
      <c r="E30" s="122">
        <f>SUMIFS(INDEX(Table5[],,MATCH(B21,Table5[#Headers],0)),Table5[MainSpaceHeatingFuel],"Mains Gas",Table5[Year_of_Construction (group)],B30)</f>
        <v>2809</v>
      </c>
      <c r="F30">
        <f>SUMIFS(INDEX(Table5[],,MATCH(B21,Table5[#Headers],0)),Table5[MainSpaceHeatingFuel],F21,Table5[Year_of_Construction (group)],B30)</f>
        <v>1307</v>
      </c>
      <c r="G30">
        <f>SUMIFS(INDEX(Table5[],,MATCH(B21,Table5[#Headers],0)),Table5[MainSpaceHeatingFuel],"*Coal",Table5[Year_of_Construction (group)],B30)</f>
        <v>0</v>
      </c>
      <c r="H30">
        <f>SUMIFS(INDEX(Table5[],,MATCH(B21,Table5[#Headers],0)),Table5[MainSpaceHeatingFuel],"*Peat*",Table5[Year_of_Construction (group)],B30)</f>
        <v>0</v>
      </c>
      <c r="I30">
        <f>SUMIFS(INDEX(Table5[],,MATCH(B21,Table5[#Headers],0)),Table5[MainSpaceHeatingFuel],"*LPG*",Table5[Year_of_Construction (group)],B30)</f>
        <v>3</v>
      </c>
      <c r="J30">
        <f>SUMIFS(INDEX(Table5[],,MATCH(B21,Table5[#Headers],0)),Table5[MainSpaceHeatingFuel],"*Wood*",Table5[Year_of_Construction (group)],B30)</f>
        <v>0</v>
      </c>
      <c r="K30">
        <f>SUMIFS(INDEX(Table5[],,MATCH(B21,Table5[#Headers],0)),Table5[MainSpaceHeatingFuel],"*Multi-Fuel*",Table5[Year_of_Construction (group)],B30)</f>
        <v>0</v>
      </c>
      <c r="L30" s="122">
        <f>SUMIFS(INDEX(Table5[],,MATCH(B21,Table5[#Headers],0)),Table5[MainSpaceHeatingFuel],"",Table5[Year_of_Construction (group)],B30)</f>
        <v>3321</v>
      </c>
      <c r="M30" s="325">
        <f t="shared" si="15"/>
        <v>7474</v>
      </c>
      <c r="O30" s="320" t="s">
        <v>548</v>
      </c>
      <c r="P30" s="122">
        <f>SUMIFS( CU705:CU776,CT705:CT776, P21, CS705:CS776, O21)</f>
        <v>73</v>
      </c>
      <c r="Q30" s="122">
        <f>SUMIFS( CU705:CU776,CT705:CT776, Q21, CS705:CS776, O21)</f>
        <v>257</v>
      </c>
      <c r="R30" s="122">
        <f>SUMIFS( CU705:CU776,CT705:CT776, R21, CS705:CS776, O21)</f>
        <v>3310</v>
      </c>
      <c r="S30" s="122">
        <f>SUMIFS( CU705:CU776,CT705:CT776, S21, CS705:CS776, O21)</f>
        <v>2167</v>
      </c>
      <c r="T30" s="122">
        <f>SUMIFS( CU705:CU776,CT705:CT776, T21, CS705:CS776, O21)</f>
        <v>19</v>
      </c>
      <c r="U30" s="122">
        <f>SUMIFS( CU705:CU776,CT705:CT776, U21, CS705:CS776, O21)</f>
        <v>17</v>
      </c>
      <c r="V30" s="122">
        <f>SUMIFS( CU705:CU776,CT705:CT776, V21, CS705:CS776, O21)</f>
        <v>36</v>
      </c>
      <c r="W30" s="122">
        <f>SUMIFS( CU705:CU776,CT705:CT776, W21, CS705:CS776, O21)</f>
        <v>33</v>
      </c>
      <c r="X30" s="122">
        <f>SUMIFS( CU705:CU776,CT705:CT776, X21, CS705:CS776, O21)</f>
        <v>117</v>
      </c>
      <c r="Y30" s="122">
        <f>SUMIFS( CU705:CU776,CT705:CT776, Y21, CS705:CS776, O21)</f>
        <v>95</v>
      </c>
      <c r="Z30" s="325">
        <f t="shared" si="16"/>
        <v>6124</v>
      </c>
      <c r="AB30" s="320" t="s">
        <v>548</v>
      </c>
      <c r="AC30" s="122">
        <v>5978</v>
      </c>
      <c r="AD30">
        <v>626</v>
      </c>
      <c r="AE30">
        <v>533</v>
      </c>
      <c r="AF30">
        <v>184</v>
      </c>
      <c r="AG30">
        <v>105</v>
      </c>
      <c r="AH30">
        <v>29</v>
      </c>
      <c r="AI30">
        <v>14</v>
      </c>
      <c r="AJ30">
        <v>3</v>
      </c>
      <c r="AK30">
        <v>4</v>
      </c>
      <c r="AL30" s="325">
        <f t="shared" si="17"/>
        <v>7476</v>
      </c>
      <c r="AN30" s="331" t="s">
        <v>548</v>
      </c>
      <c r="AO30" s="334">
        <f t="shared" si="5"/>
        <v>0.79962546816479396</v>
      </c>
      <c r="AP30" s="334">
        <f t="shared" si="6"/>
        <v>8.3734617442482617E-2</v>
      </c>
      <c r="AQ30" s="334">
        <f t="shared" si="7"/>
        <v>7.1294810058855004E-2</v>
      </c>
      <c r="AR30" s="334">
        <f t="shared" si="8"/>
        <v>2.4612092027822365E-2</v>
      </c>
      <c r="AS30" s="334">
        <f t="shared" si="9"/>
        <v>1.4044943820224719E-2</v>
      </c>
      <c r="AT30" s="334">
        <f t="shared" si="10"/>
        <v>3.879079721776351E-3</v>
      </c>
      <c r="AU30" s="334">
        <f t="shared" si="11"/>
        <v>1.8726591760299626E-3</v>
      </c>
      <c r="AV30" s="334">
        <f t="shared" si="12"/>
        <v>4.0128410914927769E-4</v>
      </c>
      <c r="AW30" s="335">
        <f t="shared" si="13"/>
        <v>5.3504547886570354E-4</v>
      </c>
      <c r="AY30" s="338"/>
      <c r="AZ30">
        <f t="shared" ref="AZ30:BH30" si="26">AO30*$Z$30</f>
        <v>4896.9063670411979</v>
      </c>
      <c r="BA30">
        <f t="shared" si="26"/>
        <v>512.7907972177635</v>
      </c>
      <c r="BB30">
        <f t="shared" si="26"/>
        <v>436.60941680042805</v>
      </c>
      <c r="BC30">
        <f t="shared" si="26"/>
        <v>150.72445157838416</v>
      </c>
      <c r="BD30">
        <f t="shared" si="26"/>
        <v>86.011235955056179</v>
      </c>
      <c r="BE30">
        <f t="shared" si="26"/>
        <v>23.755484216158372</v>
      </c>
      <c r="BF30">
        <f t="shared" si="26"/>
        <v>11.468164794007491</v>
      </c>
      <c r="BG30">
        <f t="shared" si="26"/>
        <v>2.4574638844301764</v>
      </c>
      <c r="BH30">
        <f t="shared" si="26"/>
        <v>3.2766185125735685</v>
      </c>
      <c r="BJ30" s="339"/>
      <c r="BL30" s="347" t="s">
        <v>64</v>
      </c>
      <c r="BM30" s="321">
        <f>(P22*AW22+P23*AW23+P24*AW24+P25*AW25+P26*AW26+P27*AW27+P28*AW28+P29*AW29+P30*AW30+P31/9)*BX31</f>
        <v>711.64584901045885</v>
      </c>
      <c r="BN30" s="321">
        <f>(Q22*AW22+Q23*AW23+Q24*AW24+Q25*AW25+Q26*AW26+Q27*AW27+Q28*AW28+Q29*AW29+Q30*AW30+Q31/9)*BX31</f>
        <v>1299.9929775024873</v>
      </c>
      <c r="BO30" s="321">
        <f>(R22*AW22+R23*AW23+R24*AW24+R25*AW25+R26*AW26+R27*AW27+R28*AW28+R29*AW29+R30*AW30+R31/9)*BX31</f>
        <v>4745.9524917678737</v>
      </c>
      <c r="BP30" s="321">
        <f>(S22*AW22+S23*AW23+S24*AW24+S25*AW25+S26*AW26+S27*AW27+S28*AW28+S29*AW29+S30*AW30+S31/9)*BX31</f>
        <v>6975.6863231192656</v>
      </c>
      <c r="BQ30" s="321">
        <f>(T22*AW22+T23*AW23+T24*AW24+T25*AW25+T26*AW26+T27*AW27+T28*AW28+T29*AW29+T30*AW30+T31/9)*BX31</f>
        <v>193.58696456596547</v>
      </c>
      <c r="BR30" s="321">
        <f>(U22*AW22+U23*AW23+U24*AW24+U25*AW25+U26*AW26+U27*AW27+U28*AW28+U29*AW29+U30*AW30+U31/9)*BX31</f>
        <v>75.61191063618854</v>
      </c>
      <c r="BS30" s="321">
        <f>(V22*AW22+V23*AW23+V24*AW24+V25*AW25+V26*AW26+V27*AW27+V28*AW28+V29*AW29+V30*AW30+V31/9)*BX31</f>
        <v>51.429280648454743</v>
      </c>
      <c r="BT30" s="321">
        <f>(W22*AW22+W23*AW23+W24*AW24+W25*AW25+W26*AW26+W27*AW27+W28*AW28+W29*AW29+W30*AW30+W31/9)*BX31</f>
        <v>65.610615110141708</v>
      </c>
      <c r="BU30" s="321">
        <f>(X22*AW22+X23*AW23+X24*AW24+X25*AW25+X26*AW26+X27*AW27+X28*AW28+X29*AW29+X30*AW30+X31/9)*BX31</f>
        <v>100.38107839091556</v>
      </c>
      <c r="BV30" s="321">
        <f>(Y22*AW22+Y23*AW23+Y24*AW24+Y25*AW25+Y26*AW26+Y27*AW27+Y28*AW28+Y29*AW29+Y30*AW30+Y31/9)*BX31</f>
        <v>1378.5214348433972</v>
      </c>
      <c r="BW30" s="352">
        <f t="shared" si="20"/>
        <v>37.201054479143963</v>
      </c>
      <c r="BX30" s="341"/>
      <c r="CA30" t="s">
        <v>40</v>
      </c>
      <c r="CB30" t="s">
        <v>40</v>
      </c>
      <c r="CC30" t="s">
        <v>40</v>
      </c>
      <c r="CD30" t="s">
        <v>526</v>
      </c>
      <c r="CE30">
        <v>42221</v>
      </c>
      <c r="CI30" t="s">
        <v>40</v>
      </c>
      <c r="CJ30" t="s">
        <v>40</v>
      </c>
      <c r="CK30" t="s">
        <v>40</v>
      </c>
      <c r="CL30" t="s">
        <v>137</v>
      </c>
      <c r="CM30">
        <v>18348</v>
      </c>
      <c r="CQ30" t="s">
        <v>40</v>
      </c>
      <c r="CR30" t="s">
        <v>523</v>
      </c>
      <c r="CS30" t="s">
        <v>46</v>
      </c>
      <c r="CT30" t="s">
        <v>137</v>
      </c>
      <c r="CU30">
        <v>2096</v>
      </c>
    </row>
    <row r="31" spans="2:99" ht="13.5" thickBot="1">
      <c r="B31" s="326" t="s">
        <v>549</v>
      </c>
      <c r="C31" s="327">
        <f>SUM(C22:C30)</f>
        <v>0</v>
      </c>
      <c r="D31" s="327">
        <f t="shared" ref="D31:K31" si="27">SUM(D22:D30)</f>
        <v>3923</v>
      </c>
      <c r="E31" s="327">
        <f t="shared" si="27"/>
        <v>54915</v>
      </c>
      <c r="F31" s="327">
        <f t="shared" si="27"/>
        <v>64351</v>
      </c>
      <c r="G31" s="327">
        <f t="shared" si="27"/>
        <v>291</v>
      </c>
      <c r="H31" s="327">
        <f t="shared" si="27"/>
        <v>14</v>
      </c>
      <c r="I31" s="327">
        <f t="shared" si="27"/>
        <v>1906</v>
      </c>
      <c r="J31" s="327">
        <f t="shared" si="27"/>
        <v>187</v>
      </c>
      <c r="K31" s="327">
        <f t="shared" si="27"/>
        <v>438</v>
      </c>
      <c r="L31" s="327">
        <f>SUM(L22:L30)</f>
        <v>8767</v>
      </c>
      <c r="M31" s="328">
        <f>SUM(C31:L31)</f>
        <v>134792</v>
      </c>
      <c r="O31" s="320" t="s">
        <v>359</v>
      </c>
      <c r="P31" s="122">
        <f t="shared" ref="P31:Y31" si="28">SUMIFS( $CU$777:$CU$861,$CT$777:$CT$861, P21, $CS$777:$CS$861, $O$21)</f>
        <v>981</v>
      </c>
      <c r="Q31" s="122">
        <f t="shared" si="28"/>
        <v>1164</v>
      </c>
      <c r="R31" s="122">
        <f t="shared" si="28"/>
        <v>6886</v>
      </c>
      <c r="S31" s="122">
        <f t="shared" si="28"/>
        <v>14306</v>
      </c>
      <c r="T31" s="122">
        <f t="shared" si="28"/>
        <v>192</v>
      </c>
      <c r="U31" s="122">
        <f t="shared" si="28"/>
        <v>61</v>
      </c>
      <c r="V31" s="122">
        <f t="shared" si="28"/>
        <v>78</v>
      </c>
      <c r="W31" s="122">
        <f t="shared" si="28"/>
        <v>41</v>
      </c>
      <c r="X31" s="122">
        <f t="shared" si="28"/>
        <v>170</v>
      </c>
      <c r="Y31" s="122">
        <f t="shared" si="28"/>
        <v>10848</v>
      </c>
      <c r="Z31" s="325">
        <f>SUM(P31:Y31)</f>
        <v>34727</v>
      </c>
      <c r="AB31" s="326" t="s">
        <v>218</v>
      </c>
      <c r="AC31" s="327">
        <f t="shared" ref="AC31:AL31" si="29">SUM(AC22:AC30)</f>
        <v>6419</v>
      </c>
      <c r="AD31" s="327">
        <f t="shared" si="29"/>
        <v>3209</v>
      </c>
      <c r="AE31" s="327">
        <f t="shared" si="29"/>
        <v>8665</v>
      </c>
      <c r="AF31" s="327">
        <f t="shared" si="29"/>
        <v>13570</v>
      </c>
      <c r="AG31" s="327">
        <f t="shared" si="29"/>
        <v>45566</v>
      </c>
      <c r="AH31" s="327">
        <f t="shared" si="29"/>
        <v>30979</v>
      </c>
      <c r="AI31" s="327">
        <f t="shared" si="29"/>
        <v>15595</v>
      </c>
      <c r="AJ31" s="327">
        <f t="shared" si="29"/>
        <v>5191</v>
      </c>
      <c r="AK31" s="327">
        <f t="shared" si="29"/>
        <v>5603</v>
      </c>
      <c r="AL31" s="328">
        <f t="shared" si="29"/>
        <v>134797</v>
      </c>
      <c r="AY31" s="340"/>
      <c r="AZ31">
        <f>$Z$31/9</f>
        <v>3858.5555555555557</v>
      </c>
      <c r="BA31">
        <f t="shared" ref="BA31:BH31" si="30">$Z$31/9</f>
        <v>3858.5555555555557</v>
      </c>
      <c r="BB31">
        <f t="shared" si="30"/>
        <v>3858.5555555555557</v>
      </c>
      <c r="BC31">
        <f t="shared" si="30"/>
        <v>3858.5555555555557</v>
      </c>
      <c r="BD31">
        <f t="shared" si="30"/>
        <v>3858.5555555555557</v>
      </c>
      <c r="BE31">
        <f t="shared" si="30"/>
        <v>3858.5555555555557</v>
      </c>
      <c r="BF31">
        <f t="shared" si="30"/>
        <v>3858.5555555555557</v>
      </c>
      <c r="BG31">
        <f t="shared" si="30"/>
        <v>3858.5555555555557</v>
      </c>
      <c r="BH31">
        <f t="shared" si="30"/>
        <v>3858.5555555555557</v>
      </c>
      <c r="BJ31" s="341"/>
      <c r="BL31" s="344"/>
      <c r="BM31" s="349"/>
      <c r="BN31" s="349"/>
      <c r="BO31" s="349"/>
      <c r="BP31" s="349"/>
      <c r="BQ31" s="349"/>
      <c r="BR31" s="349"/>
      <c r="BS31" s="349"/>
      <c r="BT31" s="349"/>
      <c r="BU31" s="349"/>
      <c r="BV31" s="349"/>
      <c r="BW31" s="349"/>
      <c r="BX31" s="350">
        <v>1.038789</v>
      </c>
      <c r="CA31" t="s">
        <v>40</v>
      </c>
      <c r="CB31" t="s">
        <v>40</v>
      </c>
      <c r="CC31" t="s">
        <v>40</v>
      </c>
      <c r="CD31" t="s">
        <v>527</v>
      </c>
      <c r="CE31">
        <v>97698</v>
      </c>
      <c r="CI31" t="s">
        <v>40</v>
      </c>
      <c r="CJ31" t="s">
        <v>40</v>
      </c>
      <c r="CK31" t="s">
        <v>40</v>
      </c>
      <c r="CL31" t="s">
        <v>554</v>
      </c>
      <c r="CM31">
        <v>38120</v>
      </c>
      <c r="CQ31" t="s">
        <v>40</v>
      </c>
      <c r="CR31" t="s">
        <v>523</v>
      </c>
      <c r="CS31" t="s">
        <v>46</v>
      </c>
      <c r="CT31" t="s">
        <v>554</v>
      </c>
      <c r="CU31">
        <v>6482</v>
      </c>
    </row>
    <row r="32" spans="2:99" ht="13.5" thickBot="1">
      <c r="C32" s="122"/>
      <c r="D32" s="122"/>
      <c r="E32" s="122"/>
      <c r="O32" s="326" t="s">
        <v>549</v>
      </c>
      <c r="P32" s="327">
        <f>SUM(P22:P31)</f>
        <v>5068</v>
      </c>
      <c r="Q32" s="327">
        <f t="shared" ref="Q32:Y32" si="31">SUM(Q22:Q31)</f>
        <v>9199</v>
      </c>
      <c r="R32" s="327">
        <f t="shared" si="31"/>
        <v>80076</v>
      </c>
      <c r="S32" s="327">
        <f t="shared" si="31"/>
        <v>92540</v>
      </c>
      <c r="T32" s="327">
        <f t="shared" si="31"/>
        <v>1610</v>
      </c>
      <c r="U32" s="327">
        <f t="shared" si="31"/>
        <v>565</v>
      </c>
      <c r="V32" s="327">
        <f t="shared" si="31"/>
        <v>793</v>
      </c>
      <c r="W32" s="327">
        <f t="shared" si="31"/>
        <v>548</v>
      </c>
      <c r="X32" s="327">
        <f t="shared" si="31"/>
        <v>1398</v>
      </c>
      <c r="Y32" s="327">
        <f t="shared" si="31"/>
        <v>12348</v>
      </c>
      <c r="Z32" s="328">
        <f>SUM(P32:Y32)</f>
        <v>204145</v>
      </c>
      <c r="AO32" s="309"/>
      <c r="AP32" s="309"/>
      <c r="AQ32" s="309"/>
      <c r="AR32" s="309"/>
      <c r="AS32" s="309"/>
      <c r="AT32" s="309"/>
      <c r="AU32" s="309"/>
      <c r="AV32" s="309"/>
      <c r="AW32" s="309"/>
      <c r="AY32" s="342" t="s">
        <v>218</v>
      </c>
      <c r="AZ32" s="306">
        <f>SUM(AZ22:AZ31)</f>
        <v>9298.0245378151376</v>
      </c>
      <c r="BA32" s="306">
        <f t="shared" ref="BA32:BH32" si="32">SUM(BA22:BA31)</f>
        <v>7363.5649988662308</v>
      </c>
      <c r="BB32" s="306">
        <f t="shared" si="32"/>
        <v>13861.646028065246</v>
      </c>
      <c r="BC32" s="306">
        <f t="shared" si="32"/>
        <v>19668.786155040303</v>
      </c>
      <c r="BD32" s="306">
        <f t="shared" si="32"/>
        <v>58148.868150477501</v>
      </c>
      <c r="BE32" s="306">
        <f t="shared" si="32"/>
        <v>43178.027294280517</v>
      </c>
      <c r="BF32" s="306">
        <f t="shared" si="32"/>
        <v>25437.192964226393</v>
      </c>
      <c r="BG32" s="306">
        <f t="shared" si="32"/>
        <v>12172.925199293222</v>
      </c>
      <c r="BH32" s="306">
        <f t="shared" si="32"/>
        <v>15015.964671935446</v>
      </c>
      <c r="BI32" s="306">
        <f>SUM(AZ32:BH32)</f>
        <v>204144.99999999997</v>
      </c>
      <c r="BJ32" s="343">
        <v>1.0129999999999999</v>
      </c>
      <c r="BM32" s="122"/>
      <c r="BN32" s="122"/>
      <c r="BO32" s="122"/>
      <c r="CB32" t="s">
        <v>40</v>
      </c>
      <c r="CC32" t="s">
        <v>40</v>
      </c>
      <c r="CD32" t="s">
        <v>528</v>
      </c>
      <c r="CE32">
        <v>86491</v>
      </c>
      <c r="CI32" t="s">
        <v>40</v>
      </c>
      <c r="CJ32" t="s">
        <v>40</v>
      </c>
      <c r="CK32" t="s">
        <v>40</v>
      </c>
      <c r="CL32" t="s">
        <v>543</v>
      </c>
      <c r="CM32">
        <v>70819</v>
      </c>
      <c r="CQ32" t="s">
        <v>40</v>
      </c>
      <c r="CR32" t="s">
        <v>523</v>
      </c>
      <c r="CS32" t="s">
        <v>46</v>
      </c>
      <c r="CT32" t="s">
        <v>543</v>
      </c>
      <c r="CU32">
        <v>9242</v>
      </c>
    </row>
    <row r="33" spans="2:99" ht="13.5" thickBot="1">
      <c r="B33" s="329" t="s">
        <v>44</v>
      </c>
      <c r="C33" s="319" t="s">
        <v>540</v>
      </c>
      <c r="D33" s="319" t="s">
        <v>541</v>
      </c>
      <c r="E33" s="319" t="s">
        <v>542</v>
      </c>
      <c r="F33" s="319" t="s">
        <v>137</v>
      </c>
      <c r="G33" s="319" t="s">
        <v>554</v>
      </c>
      <c r="H33" s="319" t="s">
        <v>543</v>
      </c>
      <c r="I33" s="319" t="s">
        <v>544</v>
      </c>
      <c r="J33" s="319" t="s">
        <v>545</v>
      </c>
      <c r="K33" s="319" t="s">
        <v>546</v>
      </c>
      <c r="L33" s="319" t="s">
        <v>532</v>
      </c>
      <c r="M33" s="324"/>
      <c r="O33" s="329" t="s">
        <v>44</v>
      </c>
      <c r="P33" s="319" t="s">
        <v>540</v>
      </c>
      <c r="Q33" s="319" t="s">
        <v>541</v>
      </c>
      <c r="R33" s="319" t="s">
        <v>542</v>
      </c>
      <c r="S33" s="319" t="s">
        <v>137</v>
      </c>
      <c r="T33" s="319" t="s">
        <v>554</v>
      </c>
      <c r="U33" s="319" t="s">
        <v>543</v>
      </c>
      <c r="V33" s="319" t="s">
        <v>544</v>
      </c>
      <c r="W33" s="319" t="s">
        <v>545</v>
      </c>
      <c r="X33" s="319" t="s">
        <v>546</v>
      </c>
      <c r="Y33" s="319" t="s">
        <v>532</v>
      </c>
      <c r="Z33" s="324"/>
      <c r="AB33" s="329" t="s">
        <v>44</v>
      </c>
      <c r="AC33" s="319" t="s">
        <v>48</v>
      </c>
      <c r="AD33" s="319" t="s">
        <v>50</v>
      </c>
      <c r="AE33" s="319" t="s">
        <v>52</v>
      </c>
      <c r="AF33" s="319" t="s">
        <v>54</v>
      </c>
      <c r="AG33" s="319" t="s">
        <v>56</v>
      </c>
      <c r="AH33" s="319" t="s">
        <v>58</v>
      </c>
      <c r="AI33" s="319" t="s">
        <v>60</v>
      </c>
      <c r="AJ33" s="319" t="s">
        <v>62</v>
      </c>
      <c r="AK33" s="319" t="s">
        <v>64</v>
      </c>
      <c r="AL33" s="324"/>
      <c r="AN33" s="329" t="s">
        <v>44</v>
      </c>
      <c r="AO33" s="336" t="s">
        <v>48</v>
      </c>
      <c r="AP33" s="336" t="s">
        <v>50</v>
      </c>
      <c r="AQ33" s="336" t="s">
        <v>52</v>
      </c>
      <c r="AR33" s="336" t="s">
        <v>54</v>
      </c>
      <c r="AS33" s="336" t="s">
        <v>56</v>
      </c>
      <c r="AT33" s="336" t="s">
        <v>58</v>
      </c>
      <c r="AU33" s="336" t="s">
        <v>60</v>
      </c>
      <c r="AV33" s="336" t="s">
        <v>62</v>
      </c>
      <c r="AW33" s="337" t="s">
        <v>64</v>
      </c>
      <c r="AY33" s="344" t="s">
        <v>294</v>
      </c>
      <c r="AZ33" s="327">
        <f>AZ32*$BJ$32</f>
        <v>9418.8988568067343</v>
      </c>
      <c r="BA33" s="327">
        <f t="shared" ref="BA33:BH33" si="33">BA32*$BJ$32</f>
        <v>7459.2913438514906</v>
      </c>
      <c r="BB33" s="327">
        <f t="shared" si="33"/>
        <v>14041.847426430093</v>
      </c>
      <c r="BC33" s="327">
        <f t="shared" si="33"/>
        <v>19924.480375055824</v>
      </c>
      <c r="BD33" s="327">
        <f t="shared" si="33"/>
        <v>58904.8034364337</v>
      </c>
      <c r="BE33" s="327">
        <f t="shared" si="33"/>
        <v>43739.341649106158</v>
      </c>
      <c r="BF33" s="327">
        <f t="shared" si="33"/>
        <v>25767.876472761334</v>
      </c>
      <c r="BG33" s="327">
        <f t="shared" si="33"/>
        <v>12331.173226884033</v>
      </c>
      <c r="BH33" s="327">
        <f t="shared" si="33"/>
        <v>15211.172212670604</v>
      </c>
      <c r="BI33" s="345">
        <f>SUM(AZ33:BH33)</f>
        <v>206798.88499999998</v>
      </c>
      <c r="BJ33" s="346"/>
      <c r="BL33" s="329" t="s">
        <v>44</v>
      </c>
      <c r="BM33" s="319" t="s">
        <v>540</v>
      </c>
      <c r="BN33" s="319" t="s">
        <v>541</v>
      </c>
      <c r="BO33" s="319" t="s">
        <v>542</v>
      </c>
      <c r="BP33" s="319" t="s">
        <v>137</v>
      </c>
      <c r="BQ33" s="319" t="s">
        <v>554</v>
      </c>
      <c r="BR33" s="319" t="s">
        <v>543</v>
      </c>
      <c r="BS33" s="319" t="s">
        <v>544</v>
      </c>
      <c r="BT33" s="319" t="s">
        <v>545</v>
      </c>
      <c r="BU33" s="319" t="s">
        <v>546</v>
      </c>
      <c r="BV33" s="319" t="s">
        <v>532</v>
      </c>
      <c r="BW33" s="319" t="s">
        <v>573</v>
      </c>
      <c r="BX33" s="324"/>
      <c r="CC33" t="s">
        <v>40</v>
      </c>
      <c r="CD33" t="s">
        <v>529</v>
      </c>
      <c r="CE33">
        <v>111455</v>
      </c>
      <c r="CI33" t="s">
        <v>40</v>
      </c>
      <c r="CJ33" t="s">
        <v>40</v>
      </c>
      <c r="CK33" t="s">
        <v>40</v>
      </c>
      <c r="CL33" t="s">
        <v>544</v>
      </c>
      <c r="CM33">
        <v>6209</v>
      </c>
      <c r="CQ33" t="s">
        <v>40</v>
      </c>
      <c r="CR33" t="s">
        <v>523</v>
      </c>
      <c r="CS33" t="s">
        <v>46</v>
      </c>
      <c r="CT33" t="s">
        <v>544</v>
      </c>
      <c r="CU33">
        <v>574</v>
      </c>
    </row>
    <row r="34" spans="2:99" ht="13">
      <c r="B34" s="320" t="s">
        <v>508</v>
      </c>
      <c r="C34" s="122"/>
      <c r="D34" s="122">
        <f>SUMIFS(INDEX(Table5[],,MATCH(B33,Table5[#Headers],0)),Table5[MainSpaceHeatingFuel],"*Oil",Table5[Year_of_Construction (group)],B34)</f>
        <v>6480</v>
      </c>
      <c r="E34" s="122">
        <f>SUMIFS(INDEX(Table5[],,MATCH(B33,Table5[#Headers],0)),Table5[MainSpaceHeatingFuel],"Mains Gas",Table5[Year_of_Construction (group)],B34)</f>
        <v>11573</v>
      </c>
      <c r="F34">
        <f>SUMIFS(INDEX(Table5[],,MATCH(B33,Table5[#Headers],0)),Table5[MainSpaceHeatingFuel],F21,Table5[Year_of_Construction (group)],B34)</f>
        <v>2965</v>
      </c>
      <c r="G34">
        <f>SUMIFS(INDEX(Table5[],,MATCH(B33,Table5[#Headers],0)),Table5[MainSpaceHeatingFuel],"*Coal",Table5[Year_of_Construction (group)],B34)</f>
        <v>620</v>
      </c>
      <c r="H34">
        <f>SUMIFS(INDEX(Table5[],,MATCH(B33,Table5[#Headers],0)),Table5[MainSpaceHeatingFuel],"*Peat*",Table5[Year_of_Construction (group)],B34)</f>
        <v>34</v>
      </c>
      <c r="I34">
        <f>SUMIFS(INDEX(Table5[],,MATCH(B33,Table5[#Headers],0)),Table5[MainSpaceHeatingFuel],"*LPG*",Table5[Year_of_Construction (group)],B34)</f>
        <v>144</v>
      </c>
      <c r="J34">
        <f>SUMIFS(INDEX(Table5[],,MATCH(B33,Table5[#Headers],0)),Table5[MainSpaceHeatingFuel],"*Wood*",Table5[Year_of_Construction (group)],B34)</f>
        <v>48</v>
      </c>
      <c r="K34">
        <f>SUMIFS(INDEX(Table5[],,MATCH(B33,Table5[#Headers],0)),Table5[MainSpaceHeatingFuel],"*Multi-Fuel*",Table5[Year_of_Construction (group)],B34)</f>
        <v>964</v>
      </c>
      <c r="L34" s="122">
        <f>SUMIFS(INDEX(Table5[],,MATCH(B33,Table5[#Headers],0)),Table5[MainSpaceHeatingFuel],"",Table5[Year_of_Construction (group)],B34)</f>
        <v>55</v>
      </c>
      <c r="M34" s="325">
        <f>SUM(C34:L34)</f>
        <v>22883</v>
      </c>
      <c r="O34" s="320" t="s">
        <v>508</v>
      </c>
      <c r="P34" s="122">
        <f>SUMIFS( CU14:CU96,CT14:CT96, P33, CS14:CS96, O33)</f>
        <v>2042</v>
      </c>
      <c r="Q34" s="122">
        <f>SUMIFS( CU14:CU96,CT14:CT96, Q33, CS14:CS96, O33)</f>
        <v>14677</v>
      </c>
      <c r="R34" s="122">
        <f>SUMIFS( CU14:CU96,CT14:CT96, R33, CS14:CS96, O33)</f>
        <v>25267</v>
      </c>
      <c r="S34" s="122">
        <f>SUMIFS( CU14:CU96,CT14:CT96, S33, CS14:CS96, O33)</f>
        <v>4140</v>
      </c>
      <c r="T34" s="122">
        <f>SUMIFS( CU14:CU96,CT14:CT96, T33, CS14:CS96, O33)</f>
        <v>3344</v>
      </c>
      <c r="U34" s="122">
        <f>SUMIFS( CU14:CU96,CT14:CT96, U33, CS14:CS96, O33)</f>
        <v>1463</v>
      </c>
      <c r="V34" s="122">
        <f>SUMIFS( CU14:CU96,CT14:CT96, V33, CS14:CS96, O33)</f>
        <v>196</v>
      </c>
      <c r="W34" s="122">
        <f>SUMIFS( CU14:CU96,CT14:CT96, W33, CS14:CS96, O33)</f>
        <v>811</v>
      </c>
      <c r="X34" s="122">
        <f>SUMIFS( CU14:CU96,CT14:CT96, X33, CS14:CS96, O33)</f>
        <v>177</v>
      </c>
      <c r="Y34" s="122">
        <f>SUMIFS( CU14:CU96,CT14:CT96, Y33, CS14:CS96, O33)</f>
        <v>317</v>
      </c>
      <c r="Z34" s="325">
        <f>SUM(P34:Y34)</f>
        <v>52434</v>
      </c>
      <c r="AB34" s="320" t="s">
        <v>508</v>
      </c>
      <c r="AC34">
        <v>48</v>
      </c>
      <c r="AD34">
        <v>62</v>
      </c>
      <c r="AE34">
        <v>209</v>
      </c>
      <c r="AF34">
        <v>560</v>
      </c>
      <c r="AG34" s="122">
        <v>2835</v>
      </c>
      <c r="AH34" s="122">
        <v>4516</v>
      </c>
      <c r="AI34" s="122">
        <v>4826</v>
      </c>
      <c r="AJ34" s="122">
        <v>3336</v>
      </c>
      <c r="AK34" s="122">
        <v>6491</v>
      </c>
      <c r="AL34" s="325">
        <f>SUM(AC34:AK34)</f>
        <v>22883</v>
      </c>
      <c r="AN34" s="320" t="s">
        <v>508</v>
      </c>
      <c r="AO34" s="332">
        <f t="shared" ref="AO34:AO42" si="34">AC34/AL34</f>
        <v>2.0976270593890661E-3</v>
      </c>
      <c r="AP34" s="332">
        <f t="shared" ref="AP34:AP42" si="35">AD34/AL34</f>
        <v>2.7094349517108769E-3</v>
      </c>
      <c r="AQ34" s="332">
        <f t="shared" ref="AQ34:AQ42" si="36">AE34/AL34</f>
        <v>9.1334178210898918E-3</v>
      </c>
      <c r="AR34" s="332">
        <f t="shared" ref="AR34:AR42" si="37">AF34/AL34</f>
        <v>2.4472315692872438E-2</v>
      </c>
      <c r="AS34" s="332">
        <f t="shared" ref="AS34:AS42" si="38">AG34/AL34</f>
        <v>0.12389109819516672</v>
      </c>
      <c r="AT34" s="332">
        <f t="shared" ref="AT34:AT42" si="39">AH34/AL34</f>
        <v>0.1973517458375213</v>
      </c>
      <c r="AU34" s="332">
        <f t="shared" ref="AU34:AU42" si="40">AI34/AL34</f>
        <v>0.21089892059607568</v>
      </c>
      <c r="AV34" s="332">
        <f t="shared" ref="AV34:AV42" si="41">AJ34/AL34</f>
        <v>0.14578508062754009</v>
      </c>
      <c r="AW34" s="333">
        <f t="shared" ref="AW34:AW42" si="42">AK34/AL34</f>
        <v>0.28366035921863392</v>
      </c>
      <c r="AY34" s="329" t="s">
        <v>44</v>
      </c>
      <c r="AZ34" s="319" t="s">
        <v>48</v>
      </c>
      <c r="BA34" s="319" t="s">
        <v>50</v>
      </c>
      <c r="BB34" s="319" t="s">
        <v>52</v>
      </c>
      <c r="BC34" s="319" t="s">
        <v>54</v>
      </c>
      <c r="BD34" s="319" t="s">
        <v>56</v>
      </c>
      <c r="BE34" s="319" t="s">
        <v>58</v>
      </c>
      <c r="BF34" s="319" t="s">
        <v>60</v>
      </c>
      <c r="BG34" s="319" t="s">
        <v>62</v>
      </c>
      <c r="BH34" s="319" t="s">
        <v>64</v>
      </c>
      <c r="BI34" s="319"/>
      <c r="BJ34" s="324"/>
      <c r="BL34" s="347" t="s">
        <v>48</v>
      </c>
      <c r="BM34" s="321">
        <f>(P34*AO34+P35*AO35+P36*AO36+P37*AO37+P38*AO38+P39*AO39+P40*AO40+P41*AO41+P42*AO42+P43/9)*BX43</f>
        <v>110.44896573851797</v>
      </c>
      <c r="BN34" s="321">
        <f>(Q34*AO34+Q35*AO35+Q36*AO36+Q37*AO37+Q38*AO38+Q39*AO39+Q40*AO40+Q41*AO41+Q42*AO42+Q43/9)*BX43</f>
        <v>3305.7205754094662</v>
      </c>
      <c r="BO34" s="321">
        <f>(R34*AO34+R35*AO35+R36*AO36+R37*AO37+R38*AO38+R39*AO39+R40*AO40+R41*AO41+R42*AO42+R43/9)*BX43</f>
        <v>8596.9514581720832</v>
      </c>
      <c r="BP34" s="321">
        <f>(S34*AO34+S35*AO35+S36*AO36+S37*AO37+S38*AO38+S39*AO39+S40*AO40+S41*AO41+S42*AO42+S43/9)*BX43</f>
        <v>1356.5313331461596</v>
      </c>
      <c r="BQ34" s="321">
        <f>(T34*AO34+T35*AO35+T36*AO36+T37*AO37+T38*AO38+T39*AO39+T40*AO40+T41*AO41+T42*AO42+T43/9)*BX43</f>
        <v>546.50574804975054</v>
      </c>
      <c r="BR34" s="321">
        <f>(U34*AO34+U35*AO35+U36*AO36+U37*AO37+U38*AO38+U39*AO39+U40*AO40+U41*AO41+U42*AO42+U43/9)*BX43</f>
        <v>184.25304265620815</v>
      </c>
      <c r="BS34" s="321">
        <f>(V34*AO34+V35*AO35+V36*AO36+V37*AO37+V38*AO38+V39*AO39+V40*AO40+V41*AO41+V42*AO42+V43/9)*BX43</f>
        <v>77.700077111418821</v>
      </c>
      <c r="BT34" s="321">
        <f>(W34*AO34+W35*AO35+W36*AO36+W37*AO37+W38*AO38+W39*AO39+W40*AO40+W41*AO41+W42*AO42+W43/9)*BX43</f>
        <v>122.56379371916552</v>
      </c>
      <c r="BU34" s="321">
        <f>(X34*AO34+X35*AO35+X36*AO36+X37*AO37+X38*AO38+X39*AO39+X40*AO40+X41*AO41+X42*AO42+X43/9)*BX43</f>
        <v>198.25110579911538</v>
      </c>
      <c r="BV34" s="321">
        <f>(Y34*AO34+Y35*AO35+Y36*AO36+Y37*AO37+Y38*AO38+Y39*AO39+Y40*AO40+Y41*AO41+Y42*AO42+Y43/9)*BX43</f>
        <v>1160.0099559116481</v>
      </c>
      <c r="BW34" s="352">
        <f>AVERAGE(BQ34,BR34,BT34)/3</f>
        <v>94.813620491680467</v>
      </c>
      <c r="BX34" s="339"/>
      <c r="CC34" t="s">
        <v>40</v>
      </c>
      <c r="CD34" t="s">
        <v>530</v>
      </c>
      <c r="CE34">
        <v>175223</v>
      </c>
      <c r="CI34" t="s">
        <v>40</v>
      </c>
      <c r="CJ34" t="s">
        <v>40</v>
      </c>
      <c r="CK34" t="s">
        <v>40</v>
      </c>
      <c r="CL34" t="s">
        <v>545</v>
      </c>
      <c r="CM34">
        <v>26591</v>
      </c>
      <c r="CQ34" t="s">
        <v>40</v>
      </c>
      <c r="CR34" t="s">
        <v>523</v>
      </c>
      <c r="CS34" t="s">
        <v>46</v>
      </c>
      <c r="CT34" t="s">
        <v>545</v>
      </c>
      <c r="CU34">
        <v>5593</v>
      </c>
    </row>
    <row r="35" spans="2:99" ht="13">
      <c r="B35" s="320" t="s">
        <v>509</v>
      </c>
      <c r="C35" s="122"/>
      <c r="D35" s="122">
        <f>SUMIFS(INDEX(Table5[],,MATCH(B33,Table5[#Headers],0)),Table5[MainSpaceHeatingFuel],"*Oil",Table5[Year_of_Construction (group)],B35)</f>
        <v>7569</v>
      </c>
      <c r="E35" s="122">
        <f>SUMIFS(INDEX(Table5[],,MATCH(B33,Table5[#Headers],0)),Table5[MainSpaceHeatingFuel],"Mains Gas",Table5[Year_of_Construction (group)],B35)</f>
        <v>15245</v>
      </c>
      <c r="F35">
        <f>SUMIFS(INDEX(Table5[],,MATCH(B33,Table5[#Headers],0)),Table5[MainSpaceHeatingFuel],F21,Table5[Year_of_Construction (group)],B35)</f>
        <v>1854</v>
      </c>
      <c r="G35">
        <f>SUMIFS(INDEX(Table5[],,MATCH(B33,Table5[#Headers],0)),Table5[MainSpaceHeatingFuel],"*Coal",Table5[Year_of_Construction (group)],B35)</f>
        <v>757</v>
      </c>
      <c r="H35">
        <f>SUMIFS(INDEX(Table5[],,MATCH(B33,Table5[#Headers],0)),Table5[MainSpaceHeatingFuel],"*Peat*",Table5[Year_of_Construction (group)],B35)</f>
        <v>50</v>
      </c>
      <c r="I35">
        <f>SUMIFS(INDEX(Table5[],,MATCH(B33,Table5[#Headers],0)),Table5[MainSpaceHeatingFuel],"*LPG*",Table5[Year_of_Construction (group)],B35)</f>
        <v>95</v>
      </c>
      <c r="J35">
        <f>SUMIFS(INDEX(Table5[],,MATCH(B33,Table5[#Headers],0)),Table5[MainSpaceHeatingFuel],"*Wood*",Table5[Year_of_Construction (group)],B35)</f>
        <v>38</v>
      </c>
      <c r="K35">
        <f>SUMIFS(INDEX(Table5[],,MATCH(B33,Table5[#Headers],0)),Table5[MainSpaceHeatingFuel],"*Multi-Fuel*",Table5[Year_of_Construction (group)],B35)</f>
        <v>1204</v>
      </c>
      <c r="L35" s="122">
        <f>SUMIFS(INDEX(Table5[],,MATCH(B33,Table5[#Headers],0)),Table5[MainSpaceHeatingFuel],"",Table5[Year_of_Construction (group)],B35)</f>
        <v>32</v>
      </c>
      <c r="M35" s="325">
        <f t="shared" ref="M35:M42" si="43">SUM(C35:L35)</f>
        <v>26844</v>
      </c>
      <c r="O35" s="320" t="s">
        <v>509</v>
      </c>
      <c r="P35" s="122">
        <f>SUMIFS( CU110:CU181,CT110:CT181, P33, CS110:CS181, O33)</f>
        <v>1360</v>
      </c>
      <c r="Q35" s="122">
        <f>SUMIFS( CU110:CU181,CT110:CT181, Q33, CS110:CS181, O33)</f>
        <v>15246</v>
      </c>
      <c r="R35" s="122">
        <f>SUMIFS( CU110:CU181,CT110:CT181, R33, CS110:CS181, O33)</f>
        <v>29941</v>
      </c>
      <c r="S35" s="122">
        <f>SUMIFS( CU110:CU181,CT110:CT181, S33, CS110:CS181, O33)</f>
        <v>2681</v>
      </c>
      <c r="T35" s="122">
        <f>SUMIFS( CU110:CU181,CT110:CT181, T33, CS110:CS181, O33)</f>
        <v>4381</v>
      </c>
      <c r="U35" s="122">
        <f>SUMIFS( CU110:CU181,CT110:CT181, U33, CS110:CS181, O33)</f>
        <v>1942</v>
      </c>
      <c r="V35" s="122">
        <f>SUMIFS( CU110:CU181,CT110:CT181, V33, CS110:CS181, O33)</f>
        <v>122</v>
      </c>
      <c r="W35" s="122">
        <f>SUMIFS( CU110:CU181,CT110:CT181, W33, CS110:CS181, O33)</f>
        <v>623</v>
      </c>
      <c r="X35" s="122">
        <f>SUMIFS( CU110:CU181,CT110:CT181, X33, CS110:CS181, O33)</f>
        <v>161</v>
      </c>
      <c r="Y35" s="122">
        <f>SUMIFS( CU110:CU181,CT110:CT181, Y33, CS110:CS181, O33)</f>
        <v>286</v>
      </c>
      <c r="Z35" s="325">
        <f t="shared" ref="Z35:Z42" si="44">SUM(P35:Y35)</f>
        <v>56743</v>
      </c>
      <c r="AB35" s="320" t="s">
        <v>509</v>
      </c>
      <c r="AC35">
        <v>51</v>
      </c>
      <c r="AD35">
        <v>75</v>
      </c>
      <c r="AE35">
        <v>274</v>
      </c>
      <c r="AF35">
        <v>833</v>
      </c>
      <c r="AG35" s="122">
        <v>4926</v>
      </c>
      <c r="AH35" s="122">
        <v>6303</v>
      </c>
      <c r="AI35" s="122">
        <v>5491</v>
      </c>
      <c r="AJ35" s="122">
        <v>3596</v>
      </c>
      <c r="AK35" s="122">
        <v>5295</v>
      </c>
      <c r="AL35" s="325">
        <f t="shared" ref="AL35:AL42" si="45">SUM(AC35:AK35)</f>
        <v>26844</v>
      </c>
      <c r="AN35" s="320" t="s">
        <v>509</v>
      </c>
      <c r="AO35" s="332">
        <f t="shared" si="34"/>
        <v>1.899865891819401E-3</v>
      </c>
      <c r="AP35" s="332">
        <f t="shared" si="35"/>
        <v>2.7939204291461779E-3</v>
      </c>
      <c r="AQ35" s="332">
        <f t="shared" si="36"/>
        <v>1.0207122634480703E-2</v>
      </c>
      <c r="AR35" s="332">
        <f t="shared" si="37"/>
        <v>3.1031142899716882E-2</v>
      </c>
      <c r="AS35" s="332">
        <f t="shared" si="38"/>
        <v>0.18350469378632098</v>
      </c>
      <c r="AT35" s="332">
        <f t="shared" si="39"/>
        <v>0.2348010728654448</v>
      </c>
      <c r="AU35" s="332">
        <f t="shared" si="40"/>
        <v>0.20455222768588885</v>
      </c>
      <c r="AV35" s="332">
        <f t="shared" si="41"/>
        <v>0.13395917150946207</v>
      </c>
      <c r="AW35" s="333">
        <f t="shared" si="42"/>
        <v>0.19725078229772017</v>
      </c>
      <c r="AY35" s="338"/>
      <c r="AZ35">
        <f t="shared" ref="AZ35:BH35" si="46">AO34*$Z$34</f>
        <v>109.9869772320063</v>
      </c>
      <c r="BA35">
        <f t="shared" si="46"/>
        <v>142.06651225800812</v>
      </c>
      <c r="BB35">
        <f t="shared" si="46"/>
        <v>478.90163003102737</v>
      </c>
      <c r="BC35">
        <f t="shared" si="46"/>
        <v>1283.1814010400735</v>
      </c>
      <c r="BD35">
        <f t="shared" si="46"/>
        <v>6496.1058427653716</v>
      </c>
      <c r="BE35">
        <f t="shared" si="46"/>
        <v>10347.941441244591</v>
      </c>
      <c r="BF35">
        <f t="shared" si="46"/>
        <v>11058.274002534632</v>
      </c>
      <c r="BG35">
        <f t="shared" si="46"/>
        <v>7644.0949176244367</v>
      </c>
      <c r="BH35">
        <f t="shared" si="46"/>
        <v>14873.447275269851</v>
      </c>
      <c r="BJ35" s="339"/>
      <c r="BL35" s="348" t="s">
        <v>50</v>
      </c>
      <c r="BM35" s="322">
        <f>(P34*AP34+P35*AP35+P36*AP36+P37*AP37+P38*AP38+P39*AP39+P40*AP40+P41*AP41+P42*AP42+P43/9)*BX43</f>
        <v>94.240577542499125</v>
      </c>
      <c r="BN35" s="322">
        <f>(Q34*AP34+Q35*AP35+Q36*AP36+Q37*AP37+Q38*AP38+Q39*AP39+Q40*AP40+Q41*AP41+Q42*AP42+Q43/9)*BX43</f>
        <v>2546.6403589668239</v>
      </c>
      <c r="BO35" s="322">
        <f>(R34*AP34+R35*AP35+R36*AP36+R37*AP37+R38*AP38+R39*AP39+R40*AP40+R41*AP41+R42*AP42+R43/9)*BX43</f>
        <v>4511.4355839807604</v>
      </c>
      <c r="BP35" s="322">
        <f>(S34*AP34+S35*AP35+S36*AP36+S37*AP37+S38*AP38+S39*AP39+S40*AP40+S41*AP41+S42*AP42+S43/9)*BX43</f>
        <v>619.65854531138825</v>
      </c>
      <c r="BQ35" s="322">
        <f>(T34*AP34+T35*AP35+T36*AP36+T37*AP37+T38*AP38+T39*AP39+T40*AP40+T41*AP41+T42*AP42+T43/9)*BX43</f>
        <v>472.92969557069938</v>
      </c>
      <c r="BR35" s="322">
        <f>(U34*AP34+U35*AP35+U36*AP36+U37*AP37+U38*AP38+U39*AP39+U40*AP40+U41*AP41+U42*AP42+U43/9)*BX43</f>
        <v>156.66402839385253</v>
      </c>
      <c r="BS35" s="322">
        <f>(V34*AP34+V35*AP35+V36*AP36+V37*AP37+V38*AP38+V39*AP39+V40*AP40+V41*AP41+V42*AP42+V43/9)*BX43</f>
        <v>45.466881544552024</v>
      </c>
      <c r="BT35" s="322">
        <f>(W34*AP34+W35*AP35+W36*AP36+W37*AP37+W38*AP38+W39*AP39+W40*AP40+W41*AP41+W42*AP42+W43/9)*BX43</f>
        <v>65.862230847595157</v>
      </c>
      <c r="BU35" s="322">
        <f>(X34*AP34+X35*AP35+X36*AP36+X37*AP37+X38*AP38+X39*AP39+X40*AP40+X41*AP41+X42*AP42+X43/9)*BX43</f>
        <v>34.022772177401563</v>
      </c>
      <c r="BV35" s="322">
        <f>(Y34*AP34+Y35*AP35+Y36*AP36+Y37*AP37+Y38*AP38+Y39*AP39+Y40*AP40+Y41*AP41+Y42*AP42+Y43/9)*BX43</f>
        <v>1106.0492296661287</v>
      </c>
      <c r="BW35" s="353">
        <f>AVERAGE(BQ35,BR35,BT35)/3</f>
        <v>77.272883868016336</v>
      </c>
      <c r="BX35" s="339"/>
      <c r="CC35" t="s">
        <v>40</v>
      </c>
      <c r="CD35" t="s">
        <v>531</v>
      </c>
      <c r="CE35">
        <v>18050</v>
      </c>
      <c r="CI35" t="s">
        <v>40</v>
      </c>
      <c r="CJ35" t="s">
        <v>40</v>
      </c>
      <c r="CK35" t="s">
        <v>40</v>
      </c>
      <c r="CL35" t="s">
        <v>546</v>
      </c>
      <c r="CM35">
        <v>7587</v>
      </c>
      <c r="CQ35" t="s">
        <v>40</v>
      </c>
      <c r="CR35" t="s">
        <v>523</v>
      </c>
      <c r="CS35" t="s">
        <v>46</v>
      </c>
      <c r="CT35" t="s">
        <v>546</v>
      </c>
      <c r="CU35">
        <v>473</v>
      </c>
    </row>
    <row r="36" spans="2:99" ht="13">
      <c r="B36" s="320" t="s">
        <v>510</v>
      </c>
      <c r="C36" s="122"/>
      <c r="D36" s="122">
        <f>SUMIFS(INDEX(Table5[],,MATCH(B33,Table5[#Headers],0)),Table5[MainSpaceHeatingFuel],"*Oil",Table5[Year_of_Construction (group)],B36)</f>
        <v>9598</v>
      </c>
      <c r="E36" s="122">
        <f>SUMIFS(INDEX(Table5[],,MATCH(B33,Table5[#Headers],0)),Table5[MainSpaceHeatingFuel],"Mains Gas",Table5[Year_of_Construction (group)],B36)</f>
        <v>20485</v>
      </c>
      <c r="F36">
        <f>SUMIFS(INDEX(Table5[],,MATCH(B33,Table5[#Headers],0)),Table5[MainSpaceHeatingFuel],F21,Table5[Year_of_Construction (group)],B36)</f>
        <v>1666</v>
      </c>
      <c r="G36">
        <f>SUMIFS(INDEX(Table5[],,MATCH(B33,Table5[#Headers],0)),Table5[MainSpaceHeatingFuel],"*Coal",Table5[Year_of_Construction (group)],B36)</f>
        <v>585</v>
      </c>
      <c r="H36">
        <f>SUMIFS(INDEX(Table5[],,MATCH(B33,Table5[#Headers],0)),Table5[MainSpaceHeatingFuel],"*Peat*",Table5[Year_of_Construction (group)],B36)</f>
        <v>48</v>
      </c>
      <c r="I36">
        <f>SUMIFS(INDEX(Table5[],,MATCH(B33,Table5[#Headers],0)),Table5[MainSpaceHeatingFuel],"*LPG*",Table5[Year_of_Construction (group)],B36)</f>
        <v>83</v>
      </c>
      <c r="J36">
        <f>SUMIFS(INDEX(Table5[],,MATCH(B33,Table5[#Headers],0)),Table5[MainSpaceHeatingFuel],"*Wood*",Table5[Year_of_Construction (group)],B36)</f>
        <v>27</v>
      </c>
      <c r="K36">
        <f>SUMIFS(INDEX(Table5[],,MATCH(B33,Table5[#Headers],0)),Table5[MainSpaceHeatingFuel],"*Multi-Fuel*",Table5[Year_of_Construction (group)],B36)</f>
        <v>952</v>
      </c>
      <c r="L36" s="122">
        <f>SUMIFS(INDEX(Table5[],,MATCH(B33,Table5[#Headers],0)),Table5[MainSpaceHeatingFuel],"",Table5[Year_of_Construction (group)],B36)</f>
        <v>28</v>
      </c>
      <c r="M36" s="325">
        <f t="shared" si="43"/>
        <v>33472</v>
      </c>
      <c r="O36" s="320" t="s">
        <v>510</v>
      </c>
      <c r="P36" s="122">
        <f>SUMIFS( CU195:CU266,CT195:CT266, P33, CS195:CS266, O33)</f>
        <v>1286</v>
      </c>
      <c r="Q36" s="122">
        <f>SUMIFS( CU195:CU266,CT195:CT266, Q33, CS195:CS266, O33)</f>
        <v>20809</v>
      </c>
      <c r="R36" s="122">
        <f>SUMIFS( CU195:CU266,CT195:CT266, R33, CS195:CS266, O33)</f>
        <v>44437</v>
      </c>
      <c r="S36" s="122">
        <f>SUMIFS( CU195:CU266,CT195:CT266, S33, CS195:CS266, O33)</f>
        <v>2716</v>
      </c>
      <c r="T36" s="122">
        <f>SUMIFS( CU195:CU266,CT195:CT266, T33, CS195:CS266, O33)</f>
        <v>4719</v>
      </c>
      <c r="U36" s="122">
        <f>SUMIFS( CU195:CU266,CT195:CT266, U33, CS195:CS266, O33)</f>
        <v>2202</v>
      </c>
      <c r="V36" s="122">
        <f>SUMIFS( CU195:CU266,CT195:CT266, V33, CS195:CS266, O33)</f>
        <v>112</v>
      </c>
      <c r="W36" s="122">
        <f>SUMIFS( CU195:CU266,CT195:CT266, W33, CS195:CS266, O33)</f>
        <v>756</v>
      </c>
      <c r="X36" s="122">
        <f>SUMIFS( CU195:CU266,CT195:CT266, X33, CS195:CS266, O33)</f>
        <v>163</v>
      </c>
      <c r="Y36" s="122">
        <f>SUMIFS( CU195:CU266,CT195:CT266, Y33, CS195:CS266, O33)</f>
        <v>331</v>
      </c>
      <c r="Z36" s="325">
        <f t="shared" si="44"/>
        <v>77531</v>
      </c>
      <c r="AB36" s="320" t="s">
        <v>510</v>
      </c>
      <c r="AC36">
        <v>76</v>
      </c>
      <c r="AD36">
        <v>168</v>
      </c>
      <c r="AE36">
        <v>434</v>
      </c>
      <c r="AF36" s="122">
        <v>1022</v>
      </c>
      <c r="AG36" s="122">
        <v>6663</v>
      </c>
      <c r="AH36" s="122">
        <v>8654</v>
      </c>
      <c r="AI36" s="122">
        <v>7730</v>
      </c>
      <c r="AJ36" s="122">
        <v>4391</v>
      </c>
      <c r="AK36" s="122">
        <v>4335</v>
      </c>
      <c r="AL36" s="325">
        <f t="shared" si="45"/>
        <v>33473</v>
      </c>
      <c r="AN36" s="320" t="s">
        <v>510</v>
      </c>
      <c r="AO36" s="332">
        <f t="shared" si="34"/>
        <v>2.2704866608908672E-3</v>
      </c>
      <c r="AP36" s="332">
        <f t="shared" si="35"/>
        <v>5.0189705135482328E-3</v>
      </c>
      <c r="AQ36" s="332">
        <f t="shared" si="36"/>
        <v>1.2965673826666269E-2</v>
      </c>
      <c r="AR36" s="332">
        <f t="shared" si="37"/>
        <v>3.0532070624085084E-2</v>
      </c>
      <c r="AS36" s="332">
        <f t="shared" si="38"/>
        <v>0.19905595554626115</v>
      </c>
      <c r="AT36" s="332">
        <f t="shared" si="39"/>
        <v>0.25853673109670483</v>
      </c>
      <c r="AU36" s="332">
        <f>AI36/AL36</f>
        <v>0.23093239327218953</v>
      </c>
      <c r="AV36" s="332">
        <f t="shared" si="41"/>
        <v>0.13118035431541838</v>
      </c>
      <c r="AW36" s="333">
        <f t="shared" si="42"/>
        <v>0.12950736414423566</v>
      </c>
      <c r="AY36" s="338"/>
      <c r="AZ36">
        <f t="shared" ref="AZ36:BH36" si="47">AO35*$Z$35</f>
        <v>107.80409029950827</v>
      </c>
      <c r="BA36">
        <f t="shared" si="47"/>
        <v>158.53542691104158</v>
      </c>
      <c r="BB36">
        <f t="shared" si="47"/>
        <v>579.18275964833856</v>
      </c>
      <c r="BC36">
        <f t="shared" si="47"/>
        <v>1760.800141558635</v>
      </c>
      <c r="BD36">
        <f t="shared" si="47"/>
        <v>10412.606839517211</v>
      </c>
      <c r="BE36">
        <f t="shared" si="47"/>
        <v>13323.317277603934</v>
      </c>
      <c r="BF36">
        <f t="shared" si="47"/>
        <v>11606.90705558039</v>
      </c>
      <c r="BG36">
        <f t="shared" si="47"/>
        <v>7601.2452689614065</v>
      </c>
      <c r="BH36">
        <f t="shared" si="47"/>
        <v>11192.601139919536</v>
      </c>
      <c r="BJ36" s="339"/>
      <c r="BL36" s="347" t="s">
        <v>52</v>
      </c>
      <c r="BM36" s="321">
        <f>(P34*AQ34+P35*AQ35+P36*AQ36+P37*AQ37+P38*AQ38+P39*AQ39+P40*AQ40+P41*AQ41+P42*AQ42+P43/9)*BX43</f>
        <v>164.97553111415857</v>
      </c>
      <c r="BN36" s="321">
        <f>(Q34*AQ34+Q35*AQ35+Q36*AQ36+Q37*AQ37+Q38*AQ38+Q39*AQ39+Q40*AQ40+Q41*AQ41+Q42*AQ42+Q43/9)*BX43</f>
        <v>5047.0568933734157</v>
      </c>
      <c r="BO36" s="321">
        <f>(R34*AQ34+R35*AQ35+R36*AQ36+R37*AQ37+R38*AQ38+R39*AQ39+R40*AQ40+R41*AQ41+R42*AQ42+R43/9)*BX43</f>
        <v>8965.1077753968439</v>
      </c>
      <c r="BP36" s="321">
        <f>(S34*AQ34+S35*AQ35+S36*AQ36+S37*AQ37+S38*AQ38+S39*AQ39+S40*AQ40+S41*AQ41+S42*AQ42+S43/9)*BX43</f>
        <v>939.0089234404544</v>
      </c>
      <c r="BQ36" s="321">
        <f>(T34*AQ34+T35*AQ35+T36*AQ36+T37*AQ37+T38*AQ38+T39*AQ39+T40*AQ40+T41*AQ41+T42*AQ42+T43/9)*BX43</f>
        <v>900.36367689572558</v>
      </c>
      <c r="BR36" s="321">
        <f>(U34*AQ34+U35*AQ35+U36*AQ36+U37*AQ37+U38*AQ38+U39*AQ39+U40*AQ40+U41*AQ41+U42*AQ42+U43/9)*BX43</f>
        <v>323.44456847723291</v>
      </c>
      <c r="BS36" s="321">
        <f>(V34*AQ34+V35*AQ35+V36*AQ36+V37*AQ37+V38*AQ38+V39*AQ39+V40*AQ40+V41*AQ41+V42*AQ42+V43/9)*BX43</f>
        <v>96.164721786003781</v>
      </c>
      <c r="BT36" s="321">
        <f>(W34*AQ34+W35*AQ35+W36*AQ36+W37*AQ37+W38*AQ38+W39*AQ39+W40*AQ40+W41*AQ41+W42*AQ42+W43/9)*BX43</f>
        <v>130.76209586358399</v>
      </c>
      <c r="BU36" s="321">
        <f>(X34*AQ34+X35*AQ35+X36*AQ36+X37*AQ37+X38*AQ38+X39*AQ39+X40*AQ40+X41*AQ41+X42*AQ42+X43/9)*BX43</f>
        <v>50.486966261055613</v>
      </c>
      <c r="BV36" s="321">
        <f>(Y34*AQ34+Y35*AQ35+Y36*AQ36+Y37*AQ37+Y38*AQ38+Y39*AQ39+Y40*AQ40+Y41*AQ41+Y42*AQ42+Y43/9)*BX43</f>
        <v>1139.6207994692961</v>
      </c>
      <c r="BW36" s="352">
        <f t="shared" ref="BW36:BW42" si="48">AVERAGE(BQ36,BR36,BT36)/3</f>
        <v>150.50781569294915</v>
      </c>
      <c r="BX36" s="339"/>
      <c r="CC36" t="s">
        <v>40</v>
      </c>
      <c r="CD36" t="s">
        <v>532</v>
      </c>
      <c r="CE36">
        <v>20596</v>
      </c>
      <c r="CI36" t="s">
        <v>40</v>
      </c>
      <c r="CJ36" t="s">
        <v>40</v>
      </c>
      <c r="CK36" t="s">
        <v>40</v>
      </c>
      <c r="CL36" t="s">
        <v>532</v>
      </c>
      <c r="CM36">
        <v>7535</v>
      </c>
      <c r="CQ36" t="s">
        <v>40</v>
      </c>
      <c r="CR36" t="s">
        <v>523</v>
      </c>
      <c r="CS36" t="s">
        <v>46</v>
      </c>
      <c r="CT36" t="s">
        <v>532</v>
      </c>
      <c r="CU36">
        <v>419</v>
      </c>
    </row>
    <row r="37" spans="2:99" ht="13">
      <c r="B37" s="320" t="s">
        <v>511</v>
      </c>
      <c r="C37" s="122"/>
      <c r="D37" s="122">
        <f>SUMIFS(INDEX(Table5[],,MATCH(B33,Table5[#Headers],0)),Table5[MainSpaceHeatingFuel],"*Oil",Table5[Year_of_Construction (group)],B37)</f>
        <v>8634</v>
      </c>
      <c r="E37" s="122">
        <f>SUMIFS(INDEX(Table5[],,MATCH(B33,Table5[#Headers],0)),Table5[MainSpaceHeatingFuel],"Mains Gas",Table5[Year_of_Construction (group)],B37)</f>
        <v>14099</v>
      </c>
      <c r="F37">
        <f>SUMIFS(INDEX(Table5[],,MATCH(B33,Table5[#Headers],0)),Table5[MainSpaceHeatingFuel],F21,Table5[Year_of_Construction (group)],B37)</f>
        <v>823</v>
      </c>
      <c r="G37">
        <f>SUMIFS(INDEX(Table5[],,MATCH(B33,Table5[#Headers],0)),Table5[MainSpaceHeatingFuel],"*Coal",Table5[Year_of_Construction (group)],B37)</f>
        <v>373</v>
      </c>
      <c r="H37">
        <f>SUMIFS(INDEX(Table5[],,MATCH(B33,Table5[#Headers],0)),Table5[MainSpaceHeatingFuel],"*Peat*",Table5[Year_of_Construction (group)],B37)</f>
        <v>47</v>
      </c>
      <c r="I37">
        <f>SUMIFS(INDEX(Table5[],,MATCH(B33,Table5[#Headers],0)),Table5[MainSpaceHeatingFuel],"*LPG*",Table5[Year_of_Construction (group)],B37)</f>
        <v>61</v>
      </c>
      <c r="J37">
        <f>SUMIFS(INDEX(Table5[],,MATCH(B33,Table5[#Headers],0)),Table5[MainSpaceHeatingFuel],"*Wood*",Table5[Year_of_Construction (group)],B37)</f>
        <v>27</v>
      </c>
      <c r="K37">
        <f>SUMIFS(INDEX(Table5[],,MATCH(B33,Table5[#Headers],0)),Table5[MainSpaceHeatingFuel],"*Multi-Fuel*",Table5[Year_of_Construction (group)],B37)</f>
        <v>754</v>
      </c>
      <c r="L37" s="122">
        <f>SUMIFS(INDEX(Table5[],,MATCH(B33,Table5[#Headers],0)),Table5[MainSpaceHeatingFuel],"",Table5[Year_of_Construction (group)],B37)</f>
        <v>33</v>
      </c>
      <c r="M37" s="325">
        <f t="shared" si="43"/>
        <v>24851</v>
      </c>
      <c r="O37" s="320" t="s">
        <v>511</v>
      </c>
      <c r="P37" s="122">
        <f>SUMIFS( CU280:CU351,CT280:CT351, P33, CS280:CS351, O33)</f>
        <v>752</v>
      </c>
      <c r="Q37" s="122">
        <f>SUMIFS( CU280:CU351,CT280:CT351, Q33, CS280:CS351, O33)</f>
        <v>22343</v>
      </c>
      <c r="R37" s="122">
        <f>SUMIFS( CU280:CU351,CT280:CT351, R33, CS280:CS351, O33)</f>
        <v>36262</v>
      </c>
      <c r="S37" s="122">
        <f>SUMIFS( CU280:CU351,CT280:CT351, S33, CS280:CS351, O33)</f>
        <v>1955</v>
      </c>
      <c r="T37" s="122">
        <f>SUMIFS( CU280:CU351,CT280:CT351, T33, CS280:CS351, O33)</f>
        <v>3901</v>
      </c>
      <c r="U37" s="122">
        <f>SUMIFS( CU280:CU351,CT280:CT351, U33, CS280:CS351, O33)</f>
        <v>1479</v>
      </c>
      <c r="V37" s="122">
        <f>SUMIFS( CU280:CU351,CT280:CT351, V33, CS280:CS351, O33)</f>
        <v>129</v>
      </c>
      <c r="W37" s="122">
        <f>SUMIFS( CU280:CU351,CT280:CT351, W33, CS280:CS351, O33)</f>
        <v>513</v>
      </c>
      <c r="X37" s="122">
        <f>SUMIFS( CU280:CU351,CT280:CT351, X33, CS280:CS351, O33)</f>
        <v>119</v>
      </c>
      <c r="Y37" s="122">
        <f>SUMIFS( CU280:CU351,CT280:CT351, Y33, CS280:CS351, O33)</f>
        <v>281</v>
      </c>
      <c r="Z37" s="325">
        <f t="shared" si="44"/>
        <v>67734</v>
      </c>
      <c r="AB37" s="320" t="s">
        <v>511</v>
      </c>
      <c r="AC37">
        <v>79</v>
      </c>
      <c r="AD37">
        <v>57</v>
      </c>
      <c r="AE37">
        <v>248</v>
      </c>
      <c r="AF37">
        <v>903</v>
      </c>
      <c r="AG37" s="122">
        <v>6852</v>
      </c>
      <c r="AH37" s="122">
        <v>7789</v>
      </c>
      <c r="AI37" s="122">
        <v>5023</v>
      </c>
      <c r="AJ37" s="122">
        <v>2274</v>
      </c>
      <c r="AK37" s="122">
        <v>1626</v>
      </c>
      <c r="AL37" s="325">
        <f t="shared" si="45"/>
        <v>24851</v>
      </c>
      <c r="AN37" s="320" t="s">
        <v>511</v>
      </c>
      <c r="AO37" s="332">
        <f t="shared" si="34"/>
        <v>3.17894652126675E-3</v>
      </c>
      <c r="AP37" s="332">
        <f t="shared" si="35"/>
        <v>2.2936702748380345E-3</v>
      </c>
      <c r="AQ37" s="332">
        <f t="shared" si="36"/>
        <v>9.9794776870146071E-3</v>
      </c>
      <c r="AR37" s="332">
        <f t="shared" si="37"/>
        <v>3.6336565932960446E-2</v>
      </c>
      <c r="AS37" s="332">
        <f t="shared" si="38"/>
        <v>0.27572331093316166</v>
      </c>
      <c r="AT37" s="332">
        <f t="shared" si="39"/>
        <v>0.31342803106514827</v>
      </c>
      <c r="AU37" s="332">
        <f t="shared" si="40"/>
        <v>0.20212466299142892</v>
      </c>
      <c r="AV37" s="332">
        <f t="shared" si="41"/>
        <v>9.1505372017222641E-2</v>
      </c>
      <c r="AW37" s="333">
        <f t="shared" si="42"/>
        <v>6.542996257695867E-2</v>
      </c>
      <c r="AY37" s="338"/>
      <c r="AZ37">
        <f t="shared" ref="AZ37:BH37" si="49">AO36*$Z$36</f>
        <v>176.03310130552981</v>
      </c>
      <c r="BA37">
        <f t="shared" si="49"/>
        <v>389.12580288590806</v>
      </c>
      <c r="BB37">
        <f t="shared" si="49"/>
        <v>1005.2416574552625</v>
      </c>
      <c r="BC37">
        <f t="shared" si="49"/>
        <v>2367.1819675559404</v>
      </c>
      <c r="BD37">
        <f t="shared" si="49"/>
        <v>15433.007289457173</v>
      </c>
      <c r="BE37">
        <f t="shared" si="49"/>
        <v>20044.611298658623</v>
      </c>
      <c r="BF37">
        <f t="shared" si="49"/>
        <v>17904.419382786127</v>
      </c>
      <c r="BG37">
        <f t="shared" si="49"/>
        <v>10170.544050428703</v>
      </c>
      <c r="BH37">
        <f t="shared" si="49"/>
        <v>10040.835449466735</v>
      </c>
      <c r="BJ37" s="339"/>
      <c r="BL37" s="348" t="s">
        <v>54</v>
      </c>
      <c r="BM37" s="322">
        <f>(P34*AR34+P35*AR35+P36*AR36+P37*AR37+P38*AR38+P39*AR39+P40*AR40+P41*AR41+P42*AR42+P43/9)*BX43</f>
        <v>421.89990166785122</v>
      </c>
      <c r="BN37" s="322">
        <f>(Q34*AR34+Q35*AR35+Q36*AR36+Q37*AR37+Q38*AR38+Q39*AR39+Q40*AR40+Q41*AR41+Q42*AR42+Q43/9)*BX43</f>
        <v>15093.991899389155</v>
      </c>
      <c r="BO37" s="322">
        <f>(R34*AR34+R35*AR35+R36*AR36+R37*AR37+R38*AR38+R39*AR39+R40*AR40+R41*AR41+R42*AR42+R43/9)*BX43</f>
        <v>26823.931610923515</v>
      </c>
      <c r="BP37" s="322">
        <f>(S34*AR34+S35*AR35+S36*AR36+S37*AR37+S38*AR38+S39*AR39+S40*AR40+S41*AR41+S42*AR42+S43/9)*BX43</f>
        <v>2268.2506868778041</v>
      </c>
      <c r="BQ37" s="322">
        <f>(T34*AR34+T35*AR35+T36*AR36+T37*AR37+T38*AR38+T39*AR39+T40*AR40+T41*AR41+T42*AR42+T43/9)*BX43</f>
        <v>2680.3413515551656</v>
      </c>
      <c r="BR37" s="322">
        <f>(U34*AR34+U35*AR35+U36*AR36+U37*AR37+U38*AR38+U39*AR39+U40*AR40+U41*AR41+U42*AR42+U43/9)*BX43</f>
        <v>1002.6225622828692</v>
      </c>
      <c r="BS37" s="322">
        <f>(V34*AR34+V35*AR35+V36*AR36+V37*AR37+V38*AR38+V39*AR39+V40*AR40+V41*AR41+V42*AR42+V43/9)*BX43</f>
        <v>285.00923419088042</v>
      </c>
      <c r="BT37" s="322">
        <f>(W34*AR34+W35*AR35+W36*AR36+W37*AR37+W38*AR38+W39*AR39+W40*AR40+W41*AR41+W42*AR42+W43/9)*BX43</f>
        <v>389.07570584031856</v>
      </c>
      <c r="BU37" s="322">
        <f>(X34*AR34+X35*AR35+X36*AR36+X37*AR37+X38*AR38+X39*AR39+X40*AR40+X41*AR41+X42*AR42+X43/9)*BX43</f>
        <v>129.74090410862129</v>
      </c>
      <c r="BV37" s="322">
        <f>(Y34*AR34+Y35*AR35+Y36*AR36+Y37*AR37+Y38*AR38+Y39*AR39+Y40*AR40+Y41*AR41+Y42*AR42+Y43/9)*BX43</f>
        <v>1275.0638296831544</v>
      </c>
      <c r="BW37" s="353">
        <f t="shared" si="48"/>
        <v>452.44884663092813</v>
      </c>
      <c r="BX37" s="339"/>
      <c r="CC37" t="s">
        <v>534</v>
      </c>
      <c r="CI37" t="s">
        <v>40</v>
      </c>
      <c r="CJ37" t="s">
        <v>40</v>
      </c>
      <c r="CK37" t="s">
        <v>534</v>
      </c>
      <c r="CQ37" t="s">
        <v>40</v>
      </c>
      <c r="CR37" t="s">
        <v>523</v>
      </c>
      <c r="CS37" t="s">
        <v>44</v>
      </c>
    </row>
    <row r="38" spans="2:99" ht="13">
      <c r="B38" s="320" t="s">
        <v>512</v>
      </c>
      <c r="C38" s="122"/>
      <c r="D38" s="122">
        <f>SUMIFS(INDEX(Table5[],,MATCH(B33,Table5[#Headers],0)),Table5[MainSpaceHeatingFuel],"*Oil",Table5[Year_of_Construction (group)],B38)</f>
        <v>19285</v>
      </c>
      <c r="E38" s="122">
        <f>SUMIFS(INDEX(Table5[],,MATCH(B33,Table5[#Headers],0)),Table5[MainSpaceHeatingFuel],"Mains Gas",Table5[Year_of_Construction (group)],B38)</f>
        <v>26605</v>
      </c>
      <c r="F38">
        <f>SUMIFS(INDEX(Table5[],,MATCH(B33,Table5[#Headers],0)),Table5[MainSpaceHeatingFuel],F21,Table5[Year_of_Construction (group)],B38)</f>
        <v>1444</v>
      </c>
      <c r="G38">
        <f>SUMIFS(INDEX(Table5[],,MATCH(B33,Table5[#Headers],0)),Table5[MainSpaceHeatingFuel],"*Coal",Table5[Year_of_Construction (group)],B38)</f>
        <v>1164</v>
      </c>
      <c r="H38">
        <f>SUMIFS(INDEX(Table5[],,MATCH(B33,Table5[#Headers],0)),Table5[MainSpaceHeatingFuel],"*Peat*",Table5[Year_of_Construction (group)],B38)</f>
        <v>208</v>
      </c>
      <c r="I38">
        <f>SUMIFS(INDEX(Table5[],,MATCH(B33,Table5[#Headers],0)),Table5[MainSpaceHeatingFuel],"*LPG*",Table5[Year_of_Construction (group)],B38)</f>
        <v>119</v>
      </c>
      <c r="J38">
        <f>SUMIFS(INDEX(Table5[],,MATCH(B33,Table5[#Headers],0)),Table5[MainSpaceHeatingFuel],"*Wood*",Table5[Year_of_Construction (group)],B38)</f>
        <v>61</v>
      </c>
      <c r="K38">
        <f>SUMIFS(INDEX(Table5[],,MATCH(B33,Table5[#Headers],0)),Table5[MainSpaceHeatingFuel],"*Multi-Fuel*",Table5[Year_of_Construction (group)],B38)</f>
        <v>2773</v>
      </c>
      <c r="L38" s="122">
        <f>SUMIFS(INDEX(Table5[],,MATCH(B33,Table5[#Headers],0)),Table5[MainSpaceHeatingFuel],"",Table5[Year_of_Construction (group)],B38)</f>
        <v>36</v>
      </c>
      <c r="M38" s="325">
        <f t="shared" si="43"/>
        <v>51695</v>
      </c>
      <c r="O38" s="320" t="s">
        <v>512</v>
      </c>
      <c r="P38" s="122">
        <f>SUMIFS( CU365:CU436,CT365:CT436, P33, CS365:CS436, O33)</f>
        <v>1063</v>
      </c>
      <c r="Q38" s="122">
        <f>SUMIFS( CU365:CU436,CT365:CT436, Q33, CS365:CS436, O33)</f>
        <v>40052</v>
      </c>
      <c r="R38" s="122">
        <f>SUMIFS( CU365:CU436,CT365:CT436, R33, CS365:CS436, O33)</f>
        <v>51195</v>
      </c>
      <c r="S38" s="122">
        <f>SUMIFS( CU365:CU436,CT365:CT436, S33, CS365:CS436, O33)</f>
        <v>2600</v>
      </c>
      <c r="T38" s="122">
        <f>SUMIFS( CU365:CU436,CT365:CT436, T33, CS365:CS436, O33)</f>
        <v>7692</v>
      </c>
      <c r="U38" s="122">
        <f>SUMIFS( CU365:CU436,CT365:CT436, U33, CS365:CS436, O33)</f>
        <v>2980</v>
      </c>
      <c r="V38" s="122">
        <f>SUMIFS( CU365:CU436,CT365:CT436, V33, CS365:CS436, O33)</f>
        <v>208</v>
      </c>
      <c r="W38" s="122">
        <f>SUMIFS( CU365:CU436,CT365:CT436, W33, CS365:CS436, O33)</f>
        <v>994</v>
      </c>
      <c r="X38" s="122">
        <f>SUMIFS( CU365:CU436,CT365:CT436, X33, CS365:CS436, O33)</f>
        <v>220</v>
      </c>
      <c r="Y38" s="122">
        <f>SUMIFS( CU365:CU436,CT365:CT436, Y33, CS365:CS436, O33)</f>
        <v>449</v>
      </c>
      <c r="Z38" s="325">
        <f t="shared" si="44"/>
        <v>107453</v>
      </c>
      <c r="AB38" s="320" t="s">
        <v>512</v>
      </c>
      <c r="AC38">
        <v>114</v>
      </c>
      <c r="AD38">
        <v>126</v>
      </c>
      <c r="AE38">
        <v>355</v>
      </c>
      <c r="AF38" s="122">
        <v>1976</v>
      </c>
      <c r="AG38" s="122">
        <v>17845</v>
      </c>
      <c r="AH38" s="122">
        <v>17207</v>
      </c>
      <c r="AI38" s="122">
        <v>8983</v>
      </c>
      <c r="AJ38" s="122">
        <v>3200</v>
      </c>
      <c r="AK38" s="122">
        <v>1889</v>
      </c>
      <c r="AL38" s="325">
        <f t="shared" si="45"/>
        <v>51695</v>
      </c>
      <c r="AN38" s="320" t="s">
        <v>512</v>
      </c>
      <c r="AO38" s="332">
        <f t="shared" si="34"/>
        <v>2.2052422864880551E-3</v>
      </c>
      <c r="AP38" s="332">
        <f t="shared" si="35"/>
        <v>2.4373730534867975E-3</v>
      </c>
      <c r="AQ38" s="332">
        <f t="shared" si="36"/>
        <v>6.8672018570461362E-3</v>
      </c>
      <c r="AR38" s="332">
        <f t="shared" si="37"/>
        <v>3.822419963245962E-2</v>
      </c>
      <c r="AS38" s="332">
        <f t="shared" si="38"/>
        <v>0.34519779475771351</v>
      </c>
      <c r="AT38" s="332">
        <f t="shared" si="39"/>
        <v>0.33285617564561371</v>
      </c>
      <c r="AU38" s="332">
        <f t="shared" si="40"/>
        <v>0.17376922332914208</v>
      </c>
      <c r="AV38" s="332">
        <f t="shared" si="41"/>
        <v>6.1901537866331367E-2</v>
      </c>
      <c r="AW38" s="333">
        <f t="shared" si="42"/>
        <v>3.6541251571718732E-2</v>
      </c>
      <c r="AY38" s="338"/>
      <c r="AZ38">
        <f t="shared" ref="AZ38:BH38" si="50">AO37*$Z$37</f>
        <v>215.32276367148205</v>
      </c>
      <c r="BA38">
        <f t="shared" si="50"/>
        <v>155.35946239587943</v>
      </c>
      <c r="BB38">
        <f t="shared" si="50"/>
        <v>675.94994165224739</v>
      </c>
      <c r="BC38">
        <f t="shared" si="50"/>
        <v>2461.2209569031429</v>
      </c>
      <c r="BD38">
        <f t="shared" si="50"/>
        <v>18675.842742746772</v>
      </c>
      <c r="BE38">
        <f t="shared" si="50"/>
        <v>21229.734256166754</v>
      </c>
      <c r="BF38">
        <f t="shared" si="50"/>
        <v>13690.711923061446</v>
      </c>
      <c r="BG38">
        <f t="shared" si="50"/>
        <v>6198.0248682145584</v>
      </c>
      <c r="BH38">
        <f t="shared" si="50"/>
        <v>4431.8330851877181</v>
      </c>
      <c r="BJ38" s="339"/>
      <c r="BL38" s="347" t="s">
        <v>56</v>
      </c>
      <c r="BM38" s="321">
        <f>(P34*AS34+P35*AS35+P36*AS36+P37*AS37+P38*AS38+P39*AS39+P40*AS40+P41*AS41+P42*AS42+P43/9)*BX43</f>
        <v>2457.2252322827194</v>
      </c>
      <c r="BN38" s="321">
        <f>(Q34*AS34+Q35*AS35+Q36*AS36+Q37*AS37+Q38*AS38+Q39*AS39+Q40*AS40+Q41*AS41+Q42*AS42+Q43/9)*BX43</f>
        <v>87503.974827852478</v>
      </c>
      <c r="BO38" s="321">
        <f>(R34*AS34+R35*AS35+R36*AS36+R37*AS37+R38*AS38+R39*AS39+R40*AS40+R41*AS41+R42*AS42+R43/9)*BX43</f>
        <v>154216.98240300422</v>
      </c>
      <c r="BP38" s="321">
        <f>(S34*AS34+S35*AS35+S36*AS36+S37*AS37+S38*AS38+S39*AS39+S40*AS40+S41*AS41+S42*AS42+S43/9)*BX43</f>
        <v>11909.649032864803</v>
      </c>
      <c r="BQ38" s="321">
        <f>(T34*AS34+T35*AS35+T36*AS36+T37*AS37+T38*AS38+T39*AS39+T40*AS40+T41*AS41+T42*AS42+T43/9)*BX43</f>
        <v>16553.600891829512</v>
      </c>
      <c r="BR38" s="321">
        <f>(U34*AS34+U35*AS35+U36*AS36+U37*AS37+U38*AS38+U39*AS39+U40*AS40+U41*AS41+U42*AS42+U43/9)*BX43</f>
        <v>6286.0022053412995</v>
      </c>
      <c r="BS38" s="321">
        <f>(V34*AS34+V35*AS35+V36*AS36+V37*AS37+V38*AS38+V39*AS39+V40*AS40+V41*AS41+V42*AS42+V43/9)*BX43</f>
        <v>1394.600431646091</v>
      </c>
      <c r="BT38" s="321">
        <f>(W34*AS34+W35*AS35+W36*AS36+W37*AS37+W38*AS38+W39*AS39+W40*AS40+W41*AS41+W42*AS42+W43/9)*BX43</f>
        <v>2300.3427788426156</v>
      </c>
      <c r="BU38" s="321">
        <f>(X34*AS34+X35*AS35+X36*AS36+X37*AS37+X38*AS38+X39*AS39+X40*AS40+X41*AS41+X42*AS42+X43/9)*BX43</f>
        <v>689.81397464605288</v>
      </c>
      <c r="BV38" s="321">
        <f>(Y34*AS34+Y35*AS35+Y36*AS36+Y37*AS37+Y38*AS38+Y39*AS39+Y40*AS40+Y41*AS41+Y42*AS42+Y43/9)*BX43</f>
        <v>2246.9908283827135</v>
      </c>
      <c r="BW38" s="352">
        <f t="shared" si="48"/>
        <v>2793.3273195570473</v>
      </c>
      <c r="BX38" s="339"/>
      <c r="CC38" t="s">
        <v>40</v>
      </c>
      <c r="CD38" t="s">
        <v>522</v>
      </c>
      <c r="CE38">
        <v>471948</v>
      </c>
      <c r="CI38" t="s">
        <v>40</v>
      </c>
      <c r="CJ38" t="s">
        <v>40</v>
      </c>
      <c r="CK38" t="s">
        <v>40</v>
      </c>
      <c r="CL38" t="s">
        <v>521</v>
      </c>
      <c r="CM38">
        <v>471948</v>
      </c>
      <c r="CQ38" t="s">
        <v>40</v>
      </c>
      <c r="CR38" t="s">
        <v>523</v>
      </c>
      <c r="CS38" t="s">
        <v>44</v>
      </c>
      <c r="CT38" t="s">
        <v>521</v>
      </c>
      <c r="CU38">
        <v>15478</v>
      </c>
    </row>
    <row r="39" spans="2:99" ht="13">
      <c r="B39" s="320" t="s">
        <v>513</v>
      </c>
      <c r="C39" s="122"/>
      <c r="D39" s="122">
        <f>SUMIFS(INDEX(Table5[],,MATCH(B33,Table5[#Headers],0)),Table5[MainSpaceHeatingFuel],"*Oil",Table5[Year_of_Construction (group)],B39)</f>
        <v>14405</v>
      </c>
      <c r="E39" s="122">
        <f>SUMIFS(INDEX(Table5[],,MATCH(B33,Table5[#Headers],0)),Table5[MainSpaceHeatingFuel],"Mains Gas",Table5[Year_of_Construction (group)],B39)</f>
        <v>22617</v>
      </c>
      <c r="F39">
        <f>SUMIFS(INDEX(Table5[],,MATCH(B33,Table5[#Headers],0)),Table5[MainSpaceHeatingFuel],F21,Table5[Year_of_Construction (group)],B39)</f>
        <v>2023</v>
      </c>
      <c r="G39">
        <f>SUMIFS(INDEX(Table5[],,MATCH(B33,Table5[#Headers],0)),Table5[MainSpaceHeatingFuel],"*Coal",Table5[Year_of_Construction (group)],B39)</f>
        <v>1261</v>
      </c>
      <c r="H39">
        <f>SUMIFS(INDEX(Table5[],,MATCH(B33,Table5[#Headers],0)),Table5[MainSpaceHeatingFuel],"*Peat*",Table5[Year_of_Construction (group)],B39)</f>
        <v>108</v>
      </c>
      <c r="I39">
        <f>SUMIFS(INDEX(Table5[],,MATCH(B33,Table5[#Headers],0)),Table5[MainSpaceHeatingFuel],"*LPG*",Table5[Year_of_Construction (group)],B39)</f>
        <v>200</v>
      </c>
      <c r="J39">
        <f>SUMIFS(INDEX(Table5[],,MATCH(B33,Table5[#Headers],0)),Table5[MainSpaceHeatingFuel],"*Wood*",Table5[Year_of_Construction (group)],B39)</f>
        <v>50</v>
      </c>
      <c r="K39">
        <f>SUMIFS(INDEX(Table5[],,MATCH(B33,Table5[#Headers],0)),Table5[MainSpaceHeatingFuel],"*Multi-Fuel*",Table5[Year_of_Construction (group)],B39)</f>
        <v>2892</v>
      </c>
      <c r="L39" s="122">
        <f>SUMIFS(INDEX(Table5[],,MATCH(B33,Table5[#Headers],0)),Table5[MainSpaceHeatingFuel],"",Table5[Year_of_Construction (group)],B39)</f>
        <v>68</v>
      </c>
      <c r="M39" s="325">
        <f t="shared" si="43"/>
        <v>43624</v>
      </c>
      <c r="O39" s="320" t="s">
        <v>513</v>
      </c>
      <c r="P39" s="122">
        <f>SUMIFS( CU450:CU521,CT450:CT521, P33, CS450:CS521, O33)</f>
        <v>762</v>
      </c>
      <c r="Q39" s="122">
        <f>SUMIFS( CU450:CU521,CT450:CT521, Q33, CS450:CS521, O33)</f>
        <v>23385</v>
      </c>
      <c r="R39" s="122">
        <f>SUMIFS( CU450:CU521,CT450:CT521, R33, CS450:CS521, O33)</f>
        <v>35617</v>
      </c>
      <c r="S39" s="122">
        <f>SUMIFS( CU450:CU521,CT450:CT521, S33, CS450:CS521, O33)</f>
        <v>3376</v>
      </c>
      <c r="T39" s="122">
        <f>SUMIFS( CU450:CU521,CT450:CT521, T33, CS450:CS521, O33)</f>
        <v>6160</v>
      </c>
      <c r="U39" s="122">
        <f>SUMIFS( CU450:CU521,CT450:CT521, U33, CS450:CS521, O33)</f>
        <v>2354</v>
      </c>
      <c r="V39" s="122">
        <f>SUMIFS( CU450:CU521,CT450:CT521, V33, CS450:CS521, O33)</f>
        <v>196</v>
      </c>
      <c r="W39" s="122">
        <f>SUMIFS( CU450:CU521,CT450:CT521, W33, CS450:CS521, O33)</f>
        <v>746</v>
      </c>
      <c r="X39" s="122">
        <f>SUMIFS( CU450:CU521,CT450:CT521, X33, CS450:CS521, O33)</f>
        <v>193</v>
      </c>
      <c r="Y39" s="122">
        <f>SUMIFS( CU450:CU521,CT450:CT521, Y33, CS450:CS521, O33)</f>
        <v>290</v>
      </c>
      <c r="Z39" s="325">
        <f t="shared" si="44"/>
        <v>73079</v>
      </c>
      <c r="AB39" s="320" t="s">
        <v>513</v>
      </c>
      <c r="AC39">
        <v>45</v>
      </c>
      <c r="AD39">
        <v>43</v>
      </c>
      <c r="AE39">
        <v>300</v>
      </c>
      <c r="AF39" s="122">
        <v>1948</v>
      </c>
      <c r="AG39" s="122">
        <v>18599</v>
      </c>
      <c r="AH39" s="122">
        <v>15206</v>
      </c>
      <c r="AI39" s="122">
        <v>5228</v>
      </c>
      <c r="AJ39" s="122">
        <v>1424</v>
      </c>
      <c r="AK39">
        <v>831</v>
      </c>
      <c r="AL39" s="325">
        <f t="shared" si="45"/>
        <v>43624</v>
      </c>
      <c r="AN39" s="320" t="s">
        <v>513</v>
      </c>
      <c r="AO39" s="332">
        <f t="shared" si="34"/>
        <v>1.0315422703099212E-3</v>
      </c>
      <c r="AP39" s="332">
        <f t="shared" si="35"/>
        <v>9.8569594718503567E-4</v>
      </c>
      <c r="AQ39" s="332">
        <f t="shared" si="36"/>
        <v>6.8769484687328077E-3</v>
      </c>
      <c r="AR39" s="332">
        <f t="shared" si="37"/>
        <v>4.4654318723638363E-2</v>
      </c>
      <c r="AS39" s="332">
        <f t="shared" si="38"/>
        <v>0.42634788189987161</v>
      </c>
      <c r="AT39" s="332">
        <f t="shared" si="39"/>
        <v>0.34856959471850357</v>
      </c>
      <c r="AU39" s="332">
        <f t="shared" si="40"/>
        <v>0.1198422886484504</v>
      </c>
      <c r="AV39" s="332">
        <f t="shared" si="41"/>
        <v>3.2642582064918393E-2</v>
      </c>
      <c r="AW39" s="333">
        <f t="shared" si="42"/>
        <v>1.9049147258389878E-2</v>
      </c>
      <c r="AY39" s="338"/>
      <c r="AZ39">
        <f t="shared" ref="AZ39:BH39" si="51">AO38*$Z$38</f>
        <v>236.95989941000099</v>
      </c>
      <c r="BA39">
        <f t="shared" si="51"/>
        <v>261.90304671631685</v>
      </c>
      <c r="BB39">
        <f t="shared" si="51"/>
        <v>737.90144114517852</v>
      </c>
      <c r="BC39">
        <f t="shared" si="51"/>
        <v>4107.3049231066834</v>
      </c>
      <c r="BD39">
        <f t="shared" si="51"/>
        <v>37092.538640100589</v>
      </c>
      <c r="BE39">
        <f t="shared" si="51"/>
        <v>35766.394641648127</v>
      </c>
      <c r="BF39">
        <f t="shared" si="51"/>
        <v>18672.024354386303</v>
      </c>
      <c r="BG39">
        <f t="shared" si="51"/>
        <v>6651.505948350904</v>
      </c>
      <c r="BH39">
        <f t="shared" si="51"/>
        <v>3926.4671051358928</v>
      </c>
      <c r="BJ39" s="339"/>
      <c r="BL39" s="348" t="s">
        <v>58</v>
      </c>
      <c r="BM39" s="322">
        <f>(P34*AT34+P35*AT35+P36*AT36+P37*AT37+P38*AT38+P39*AT39+P40*AT40+P41*AT41+P42*AT42+P43/9)*BX43</f>
        <v>2291.1704917060065</v>
      </c>
      <c r="BN39" s="322">
        <f>(Q34*AT34+Q35*AT35+Q36*AT36+Q37*AT37+Q38*AT38+Q39*AT39+Q40*AT40+Q41*AT41+Q42*AT42+Q43/9)*BX43</f>
        <v>58227.47076690213</v>
      </c>
      <c r="BO39" s="322">
        <f>(R34*AT34+R35*AT35+R36*AT36+R37*AT37+R38*AT38+R39*AT39+R40*AT40+R41*AT41+R42*AT42+R43/9)*BX43</f>
        <v>99700.377762933043</v>
      </c>
      <c r="BP39" s="322">
        <f>(S34*AT34+S35*AT35+S36*AT36+S37*AT37+S38*AT38+S39*AT39+S40*AT40+S41*AT41+S42*AT42+S43/9)*BX43</f>
        <v>7986.415579415986</v>
      </c>
      <c r="BQ39" s="322">
        <f>(T34*AT34+T35*AT35+T36*AT36+T37*AT37+T38*AT38+T39*AT39+T40*AT40+T41*AT41+T42*AT42+T43/9)*BX43</f>
        <v>12311.357919682636</v>
      </c>
      <c r="BR39" s="322">
        <f>(U34*AT34+U35*AT35+U36*AT36+U37*AT37+U38*AT38+U39*AT39+U40*AT40+U41*AT41+U42*AT42+U43/9)*BX43</f>
        <v>4792.3876651058117</v>
      </c>
      <c r="BS39" s="322">
        <f>(V34*AT34+V35*AT35+V36*AT36+V37*AT37+V38*AT38+V39*AT39+V40*AT40+V41*AT41+V42*AT42+V43/9)*BX43</f>
        <v>587.86058669772672</v>
      </c>
      <c r="BT39" s="322">
        <f>(W34*AT34+W35*AT35+W36*AT36+W37*AT37+W38*AT38+W39*AT39+W40*AT40+W41*AT41+W42*AT42+W43/9)*BX43</f>
        <v>1683.1767289613485</v>
      </c>
      <c r="BU39" s="322">
        <f>(X34*AT34+X35*AT35+X36*AT36+X37*AT37+X38*AT38+X39*AT39+X40*AT40+X41*AT41+X42*AT42+X43/9)*BX43</f>
        <v>442.90798823661578</v>
      </c>
      <c r="BV39" s="322">
        <f>(Y34*AT34+Y35*AT35+Y36*AT36+Y37*AT37+Y38*AT38+Y39*AT39+Y40*AT40+Y41*AT41+Y42*AT42+Y43/9)*BX43</f>
        <v>1869.9423386615813</v>
      </c>
      <c r="BW39" s="353">
        <f t="shared" si="48"/>
        <v>2087.4358126388665</v>
      </c>
      <c r="BX39" s="339"/>
      <c r="CC39" t="s">
        <v>40</v>
      </c>
      <c r="CD39" t="s">
        <v>523</v>
      </c>
      <c r="CE39">
        <v>15478</v>
      </c>
      <c r="CI39" t="s">
        <v>40</v>
      </c>
      <c r="CJ39" t="s">
        <v>40</v>
      </c>
      <c r="CK39" t="s">
        <v>40</v>
      </c>
      <c r="CL39" t="s">
        <v>540</v>
      </c>
      <c r="CM39">
        <v>3625</v>
      </c>
      <c r="CQ39" t="s">
        <v>40</v>
      </c>
      <c r="CR39" t="s">
        <v>523</v>
      </c>
      <c r="CS39" t="s">
        <v>44</v>
      </c>
      <c r="CT39" t="s">
        <v>540</v>
      </c>
      <c r="CU39">
        <v>474</v>
      </c>
    </row>
    <row r="40" spans="2:99" ht="13">
      <c r="B40" s="320" t="s">
        <v>514</v>
      </c>
      <c r="C40" s="122"/>
      <c r="D40" s="122">
        <f>SUMIFS(INDEX(Table5[],,MATCH(B33,Table5[#Headers],0)),Table5[MainSpaceHeatingFuel],"*Oil",Table5[Year_of_Construction (group)],B40)</f>
        <v>19202</v>
      </c>
      <c r="E40" s="122">
        <f>SUMIFS(INDEX(Table5[],,MATCH(B33,Table5[#Headers],0)),Table5[MainSpaceHeatingFuel],"Mains Gas",Table5[Year_of_Construction (group)],B40)</f>
        <v>33425</v>
      </c>
      <c r="F40">
        <f>SUMIFS(INDEX(Table5[],,MATCH(B33,Table5[#Headers],0)),Table5[MainSpaceHeatingFuel],F21,Table5[Year_of_Construction (group)],B40)</f>
        <v>6012</v>
      </c>
      <c r="G40">
        <f>SUMIFS(INDEX(Table5[],,MATCH(B33,Table5[#Headers],0)),Table5[MainSpaceHeatingFuel],"*Coal",Table5[Year_of_Construction (group)],B40)</f>
        <v>1528</v>
      </c>
      <c r="H40">
        <f>SUMIFS(INDEX(Table5[],,MATCH(B33,Table5[#Headers],0)),Table5[MainSpaceHeatingFuel],"*Peat*",Table5[Year_of_Construction (group)],B40)</f>
        <v>68</v>
      </c>
      <c r="I40">
        <f>SUMIFS(INDEX(Table5[],,MATCH(B33,Table5[#Headers],0)),Table5[MainSpaceHeatingFuel],"*LPG*",Table5[Year_of_Construction (group)],B40)</f>
        <v>388</v>
      </c>
      <c r="J40">
        <f>SUMIFS(INDEX(Table5[],,MATCH(B33,Table5[#Headers],0)),Table5[MainSpaceHeatingFuel],"*Wood*",Table5[Year_of_Construction (group)],B40)</f>
        <v>41</v>
      </c>
      <c r="K40">
        <f>SUMIFS(INDEX(Table5[],,MATCH(B33,Table5[#Headers],0)),Table5[MainSpaceHeatingFuel],"*Multi-Fuel*",Table5[Year_of_Construction (group)],B40)</f>
        <v>3271</v>
      </c>
      <c r="L40" s="122">
        <f>SUMIFS(INDEX(Table5[],,MATCH(B33,Table5[#Headers],0)),Table5[MainSpaceHeatingFuel],"",Table5[Year_of_Construction (group)],B40)</f>
        <v>182</v>
      </c>
      <c r="M40" s="325">
        <f t="shared" si="43"/>
        <v>64117</v>
      </c>
      <c r="O40" s="320" t="s">
        <v>514</v>
      </c>
      <c r="P40" s="122">
        <f>SUMIFS( CU535:CU606,CT535:CT606, P33, CS535:CS606, O33)</f>
        <v>555</v>
      </c>
      <c r="Q40" s="122">
        <f>SUMIFS( CU535:CU606,CT535:CT606, Q33, CS535:CS606, O33)</f>
        <v>26660</v>
      </c>
      <c r="R40" s="122">
        <f>SUMIFS( CU535:CU606,CT535:CT606, R33, CS535:CS606, O33)</f>
        <v>57434</v>
      </c>
      <c r="S40" s="122">
        <f>SUMIFS( CU535:CU606,CT535:CT606, S33, CS535:CS606, O33)</f>
        <v>5219</v>
      </c>
      <c r="T40" s="122">
        <f>SUMIFS( CU535:CU606,CT535:CT606, T33, CS535:CS606, O33)</f>
        <v>6133</v>
      </c>
      <c r="U40" s="122">
        <f>SUMIFS( CU535:CU606,CT535:CT606, U33, CS535:CS606, O33)</f>
        <v>2066</v>
      </c>
      <c r="V40" s="122">
        <f>SUMIFS( CU535:CU606,CT535:CT606, V33, CS535:CS606, O33)</f>
        <v>305</v>
      </c>
      <c r="W40" s="122">
        <f>SUMIFS( CU535:CU606,CT535:CT606, W33, CS535:CS606, O33)</f>
        <v>645</v>
      </c>
      <c r="X40" s="122">
        <f>SUMIFS( CU535:CU606,CT535:CT606, X33, CS535:CS606, O33)</f>
        <v>205</v>
      </c>
      <c r="Y40" s="122">
        <f>SUMIFS( CU535:CU606,CT535:CT606, Y33, CS535:CS606, O33)</f>
        <v>376</v>
      </c>
      <c r="Z40" s="325">
        <f t="shared" si="44"/>
        <v>99598</v>
      </c>
      <c r="AB40" s="320" t="s">
        <v>514</v>
      </c>
      <c r="AC40">
        <v>69</v>
      </c>
      <c r="AD40">
        <v>274</v>
      </c>
      <c r="AE40">
        <v>536</v>
      </c>
      <c r="AF40" s="122">
        <v>3008</v>
      </c>
      <c r="AG40" s="122">
        <v>30986</v>
      </c>
      <c r="AH40" s="122">
        <v>21728</v>
      </c>
      <c r="AI40" s="122">
        <v>5353</v>
      </c>
      <c r="AJ40" s="122">
        <v>1606</v>
      </c>
      <c r="AK40">
        <v>558</v>
      </c>
      <c r="AL40" s="325">
        <f t="shared" si="45"/>
        <v>64118</v>
      </c>
      <c r="AN40" s="320" t="s">
        <v>514</v>
      </c>
      <c r="AO40" s="332">
        <f t="shared" si="34"/>
        <v>1.0761408652796406E-3</v>
      </c>
      <c r="AP40" s="332">
        <f t="shared" si="35"/>
        <v>4.2733709722698777E-3</v>
      </c>
      <c r="AQ40" s="332">
        <f t="shared" si="36"/>
        <v>8.3595870114476431E-3</v>
      </c>
      <c r="AR40" s="332">
        <f t="shared" si="37"/>
        <v>4.6913503228422596E-2</v>
      </c>
      <c r="AS40" s="332">
        <f t="shared" si="38"/>
        <v>0.48326522973268038</v>
      </c>
      <c r="AT40" s="332">
        <f>AH40/AL40</f>
        <v>0.33887519885211642</v>
      </c>
      <c r="AU40" s="332">
        <f t="shared" si="40"/>
        <v>8.3486696403506033E-2</v>
      </c>
      <c r="AV40" s="332">
        <f t="shared" si="41"/>
        <v>2.5047568545494246E-2</v>
      </c>
      <c r="AW40" s="333">
        <f t="shared" si="42"/>
        <v>8.7027043887831813E-3</v>
      </c>
      <c r="AY40" s="338"/>
      <c r="AZ40">
        <f t="shared" ref="AZ40:BH40" si="52">AO39*$Z$39</f>
        <v>75.384077571978736</v>
      </c>
      <c r="BA40">
        <f t="shared" si="52"/>
        <v>72.033674124335221</v>
      </c>
      <c r="BB40">
        <f t="shared" si="52"/>
        <v>502.56051714652483</v>
      </c>
      <c r="BC40">
        <f t="shared" si="52"/>
        <v>3263.292958004768</v>
      </c>
      <c r="BD40">
        <f t="shared" si="52"/>
        <v>31157.076861360718</v>
      </c>
      <c r="BE40">
        <f t="shared" si="52"/>
        <v>25473.117412433523</v>
      </c>
      <c r="BF40">
        <f t="shared" si="52"/>
        <v>8757.9546121401072</v>
      </c>
      <c r="BG40">
        <f t="shared" si="52"/>
        <v>2385.4872547221712</v>
      </c>
      <c r="BH40">
        <f t="shared" si="52"/>
        <v>1392.0926324958739</v>
      </c>
      <c r="BJ40" s="339"/>
      <c r="BL40" s="347" t="s">
        <v>60</v>
      </c>
      <c r="BM40" s="321">
        <f>(P34*AU34+P35*AU35+P36*AU36+P37*AU37+P38*AU38+P39*AU39+P40*AU40+P41*AU41+P42*AU42+P43/9)*BX43</f>
        <v>1597.2422542462191</v>
      </c>
      <c r="BN40" s="321">
        <f>(Q34*AU34+Q35*AU35+Q36*AU36+Q37*AU37+Q38*AU38+Q39*AU39+Q40*AU40+Q41*AU41+Q42*AU42+Q43/9)*BX43</f>
        <v>31052.310787345741</v>
      </c>
      <c r="BO40" s="321">
        <f>(R34*AU34+R35*AU35+R36*AU36+R37*AU37+R38*AU38+R39*AU39+R40*AU40+R41*AU41+R42*AU42+R43/9)*BX43</f>
        <v>53130.666130211437</v>
      </c>
      <c r="BP40" s="321">
        <f>(S34*AU34+S35*AU35+S36*AU36+S37*AU37+S38*AU38+S39*AU39+S40*AU40+S41*AU41+S42*AU42+S43/9)*BX43</f>
        <v>4452.503354735064</v>
      </c>
      <c r="BQ40" s="321">
        <f>(T34*AU34+T35*AU35+T36*AU36+T37*AU37+T38*AU38+T39*AU39+T40*AU40+T41*AU41+T42*AU42+T43/9)*BX43</f>
        <v>6690.3850613115665</v>
      </c>
      <c r="BR40" s="321">
        <f>(U34*AU34+U35*AU35+U36*AU36+U37*AU37+U38*AU38+U39*AU39+U40*AU40+U41*AU41+U42*AU42+U43/9)*BX43</f>
        <v>2700.9800731537343</v>
      </c>
      <c r="BS40" s="321">
        <f>(V34*AU34+V35*AU35+V36*AU36+V37*AU37+V38*AU38+V39*AU39+V40*AU40+V41*AU41+V42*AU42+V43/9)*BX43</f>
        <v>271.97705529229523</v>
      </c>
      <c r="BT40" s="321">
        <f>(W34*AU34+W35*AU35+W36*AU36+W37*AU37+W38*AU38+W39*AU39+W40*AU40+W41*AU41+W42*AU42+W43/9)*BX43</f>
        <v>981.55177461271262</v>
      </c>
      <c r="BU40" s="321">
        <f>(X34*AU34+X35*AU35+X36*AU36+X37*AU37+X38*AU38+X39*AU39+X40*AU40+X41*AU41+X42*AU42+X43/9)*BX43</f>
        <v>245.86984030363962</v>
      </c>
      <c r="BV40" s="321">
        <f>(Y34*AU34+Y35*AU35+Y36*AU36+Y37*AU37+Y38*AU38+Y39*AU39+Y40*AU40+Y41*AU41+Y42*AU42+Y43/9)*BX43</f>
        <v>1520.285583996224</v>
      </c>
      <c r="BW40" s="352">
        <f t="shared" si="48"/>
        <v>1152.5463232308905</v>
      </c>
      <c r="BX40" s="339"/>
      <c r="CC40" t="s">
        <v>40</v>
      </c>
      <c r="CD40" t="s">
        <v>524</v>
      </c>
      <c r="CE40">
        <v>25149</v>
      </c>
      <c r="CI40" t="s">
        <v>40</v>
      </c>
      <c r="CJ40" t="s">
        <v>40</v>
      </c>
      <c r="CK40" t="s">
        <v>40</v>
      </c>
      <c r="CL40" t="s">
        <v>541</v>
      </c>
      <c r="CM40">
        <v>165422</v>
      </c>
      <c r="CQ40" t="s">
        <v>40</v>
      </c>
      <c r="CR40" t="s">
        <v>523</v>
      </c>
      <c r="CS40" t="s">
        <v>44</v>
      </c>
      <c r="CT40" t="s">
        <v>541</v>
      </c>
      <c r="CU40">
        <v>6318</v>
      </c>
    </row>
    <row r="41" spans="2:99" ht="13">
      <c r="B41" s="320" t="s">
        <v>547</v>
      </c>
      <c r="C41" s="122"/>
      <c r="D41" s="122">
        <f>SUMIFS(INDEX(Table5[],,MATCH(B33,Table5[#Headers],0)),Table5[MainSpaceHeatingFuel],"*Oil",Table5[Year_of_Construction (group)],B41)</f>
        <v>38126</v>
      </c>
      <c r="E41" s="122">
        <f>SUMIFS(INDEX(Table5[],,MATCH(B33,Table5[#Headers],0)),Table5[MainSpaceHeatingFuel],"Mains Gas",Table5[Year_of_Construction (group)],B41)</f>
        <v>61716</v>
      </c>
      <c r="F41">
        <f>SUMIFS(INDEX(Table5[],,MATCH(B33,Table5[#Headers],0)),Table5[MainSpaceHeatingFuel],F21,Table5[Year_of_Construction (group)],B41)</f>
        <v>7057</v>
      </c>
      <c r="G41">
        <f>SUMIFS(INDEX(Table5[],,MATCH(B33,Table5[#Headers],0)),Table5[MainSpaceHeatingFuel],"*Coal",Table5[Year_of_Construction (group)],B41)</f>
        <v>586</v>
      </c>
      <c r="H41">
        <f>SUMIFS(INDEX(Table5[],,MATCH(B33,Table5[#Headers],0)),Table5[MainSpaceHeatingFuel],"*Peat*",Table5[Year_of_Construction (group)],B41)</f>
        <v>56</v>
      </c>
      <c r="I41">
        <f>SUMIFS(INDEX(Table5[],,MATCH(B33,Table5[#Headers],0)),Table5[MainSpaceHeatingFuel],"*LPG*",Table5[Year_of_Construction (group)],B41)</f>
        <v>3355</v>
      </c>
      <c r="J41">
        <f>SUMIFS(INDEX(Table5[],,MATCH(B33,Table5[#Headers],0)),Table5[MainSpaceHeatingFuel],"*Wood*",Table5[Year_of_Construction (group)],B41)</f>
        <v>181</v>
      </c>
      <c r="K41">
        <f>SUMIFS(INDEX(Table5[],,MATCH(B33,Table5[#Headers],0)),Table5[MainSpaceHeatingFuel],"*Multi-Fuel*",Table5[Year_of_Construction (group)],B41)</f>
        <v>4072</v>
      </c>
      <c r="L41" s="122">
        <f>SUMIFS(INDEX(Table5[],,MATCH(B33,Table5[#Headers],0)),Table5[MainSpaceHeatingFuel],"",Table5[Year_of_Construction (group)],B41)</f>
        <v>356</v>
      </c>
      <c r="M41" s="325">
        <f t="shared" si="43"/>
        <v>115505</v>
      </c>
      <c r="O41" s="320" t="s">
        <v>547</v>
      </c>
      <c r="P41" s="122">
        <f>SUMIFS( CU620:CU691,CT620:CT691, P33, CS620:CS691, O33)</f>
        <v>652</v>
      </c>
      <c r="Q41" s="122">
        <f>SUMIFS( CU620:CU691,CT620:CT691, Q33, CS620:CS691, O33)</f>
        <v>51402</v>
      </c>
      <c r="R41" s="122">
        <f>SUMIFS( CU620:CU691,CT620:CT691, R33, CS620:CS691, O33)</f>
        <v>95400</v>
      </c>
      <c r="S41" s="122">
        <f>SUMIFS( CU620:CU691,CT620:CT691, S33, CS620:CS691, O33)</f>
        <v>6741</v>
      </c>
      <c r="T41" s="122">
        <f>SUMIFS( CU620:CU691,CT620:CT691, T33, CS620:CS691, O33)</f>
        <v>6981</v>
      </c>
      <c r="U41" s="122">
        <f>SUMIFS( CU620:CU691,CT620:CT691, U33, CS620:CS691, O33)</f>
        <v>2601</v>
      </c>
      <c r="V41" s="122">
        <f>SUMIFS( CU620:CU691,CT620:CT691, V33, CS620:CS691, O33)</f>
        <v>1478</v>
      </c>
      <c r="W41" s="122">
        <f>SUMIFS( CU620:CU691,CT620:CT691, W33, CS620:CS691, O33)</f>
        <v>1160</v>
      </c>
      <c r="X41" s="122">
        <f>SUMIFS( CU620:CU691,CT620:CT691, X33, CS620:CS691, O33)</f>
        <v>446</v>
      </c>
      <c r="Y41" s="122">
        <f>SUMIFS( CU620:CU691,CT620:CT691, Y33, CS620:CS691, O33)</f>
        <v>690</v>
      </c>
      <c r="Z41" s="325">
        <f t="shared" si="44"/>
        <v>167551</v>
      </c>
      <c r="AB41" s="320" t="s">
        <v>547</v>
      </c>
      <c r="AC41">
        <v>521</v>
      </c>
      <c r="AD41" s="122">
        <v>1666</v>
      </c>
      <c r="AE41" s="122">
        <v>5056</v>
      </c>
      <c r="AF41" s="122">
        <v>16625</v>
      </c>
      <c r="AG41" s="122">
        <v>73117</v>
      </c>
      <c r="AH41" s="122">
        <v>13951</v>
      </c>
      <c r="AI41" s="122">
        <v>3496</v>
      </c>
      <c r="AJ41">
        <v>892</v>
      </c>
      <c r="AK41">
        <v>183</v>
      </c>
      <c r="AL41" s="325">
        <f t="shared" si="45"/>
        <v>115507</v>
      </c>
      <c r="AN41" s="320" t="s">
        <v>547</v>
      </c>
      <c r="AO41" s="332">
        <f t="shared" si="34"/>
        <v>4.51054914420771E-3</v>
      </c>
      <c r="AP41" s="332">
        <f t="shared" si="35"/>
        <v>1.442336828071026E-2</v>
      </c>
      <c r="AQ41" s="332">
        <f t="shared" si="36"/>
        <v>4.3772238911927414E-2</v>
      </c>
      <c r="AR41" s="332">
        <f t="shared" si="37"/>
        <v>0.14393067086843223</v>
      </c>
      <c r="AS41" s="332">
        <f t="shared" si="38"/>
        <v>0.63300925485035542</v>
      </c>
      <c r="AT41" s="332">
        <f t="shared" si="39"/>
        <v>0.1207805587540149</v>
      </c>
      <c r="AU41" s="332">
        <f t="shared" si="40"/>
        <v>3.0266563931190319E-2</v>
      </c>
      <c r="AV41" s="332">
        <f t="shared" si="41"/>
        <v>7.7224756941137764E-3</v>
      </c>
      <c r="AW41" s="333">
        <f t="shared" si="42"/>
        <v>1.5843195650480058E-3</v>
      </c>
      <c r="AY41" s="338"/>
      <c r="AZ41">
        <f t="shared" ref="AZ41:BH41" si="53">AO40*$Z$40</f>
        <v>107.18147790012165</v>
      </c>
      <c r="BA41">
        <f t="shared" si="53"/>
        <v>425.61920209613527</v>
      </c>
      <c r="BB41">
        <f t="shared" si="53"/>
        <v>832.59814716616233</v>
      </c>
      <c r="BC41">
        <f t="shared" si="53"/>
        <v>4672.4910945444335</v>
      </c>
      <c r="BD41">
        <f t="shared" si="53"/>
        <v>48132.250350915499</v>
      </c>
      <c r="BE41">
        <f t="shared" si="53"/>
        <v>33751.292055273094</v>
      </c>
      <c r="BF41">
        <f t="shared" si="53"/>
        <v>8315.1079883963939</v>
      </c>
      <c r="BG41">
        <f t="shared" si="53"/>
        <v>2494.6877319941359</v>
      </c>
      <c r="BH41">
        <f t="shared" si="53"/>
        <v>866.7719517140273</v>
      </c>
      <c r="BJ41" s="339"/>
      <c r="BL41" s="348" t="s">
        <v>62</v>
      </c>
      <c r="BM41" s="322">
        <f>(P34*AV34+P35*AV35+P36*AV36+P37*AV37+P38*AV38+P39*AV39+P40*AV40+P41*AV41+P42*AV42+P43/9)*BX43</f>
        <v>907.33249805582989</v>
      </c>
      <c r="BN41" s="322">
        <f>(Q34*AV34+Q35*AV35+Q36*AV36+Q37*AV37+Q38*AV38+Q39*AV39+Q40*AV40+Q41*AV41+Q42*AV42+Q43/9)*BX43</f>
        <v>14837.527853356503</v>
      </c>
      <c r="BO41" s="322">
        <f>(R34*AV34+R35*AV35+R36*AV36+R37*AV37+R38*AV38+R39*AV39+R40*AV40+R41*AV41+R42*AV42+R43/9)*BX43</f>
        <v>25918.290034759892</v>
      </c>
      <c r="BP41" s="322">
        <f>(S34*AV34+S35*AV35+S36*AV36+S37*AV37+S38*AV38+S39*AV39+S40*AV40+S41*AV41+S42*AV42+S43/9)*BX43</f>
        <v>2414.1365703481142</v>
      </c>
      <c r="BQ41" s="322">
        <f>(T34*AV34+T35*AV35+T36*AV36+T37*AV37+T38*AV38+T39*AV39+T40*AV40+T41*AV41+T42*AV42+T43/9)*BX43</f>
        <v>3263.3522083004204</v>
      </c>
      <c r="BR41" s="322">
        <f>(U34*AV34+U35*AV35+U36*AV36+U37*AV37+U38*AV38+U39*AV39+U40*AV40+U41*AV41+U42*AV42+U43/9)*BX43</f>
        <v>1333.7099855074393</v>
      </c>
      <c r="BS41" s="322">
        <f>(V34*AV34+V35*AV35+V36*AV36+V37*AV37+V38*AV38+V39*AV39+V40*AV40+V41*AV41+V42*AV42+V43/9)*BX43</f>
        <v>130.16782061672322</v>
      </c>
      <c r="BT41" s="322">
        <f>(W34*AV34+W35*AV35+W36*AV36+W37*AV37+W38*AV38+W39*AV39+W40*AV40+W41*AV41+W42*AV42+W43/9)*BX43</f>
        <v>500.67954982941126</v>
      </c>
      <c r="BU41" s="322">
        <f>(X34*AV34+X35*AV35+X36*AV36+X37*AV37+X38*AV38+X39*AV39+X40*AV40+X41*AV41+X42*AV42+X43/9)*BX43</f>
        <v>127.16487921035188</v>
      </c>
      <c r="BV41" s="322">
        <f>(Y34*AV34+Y35*AV35+Y36*AV36+Y37*AV37+Y38*AV38+Y39*AV39+Y40*AV40+Y41*AV41+Y42*AV42+Y43/9)*BX43</f>
        <v>1296.8095754713954</v>
      </c>
      <c r="BW41" s="353">
        <f t="shared" si="48"/>
        <v>566.41574929303022</v>
      </c>
      <c r="BX41" s="339"/>
      <c r="CR41" t="s">
        <v>523</v>
      </c>
      <c r="CS41" t="s">
        <v>44</v>
      </c>
      <c r="CT41" t="s">
        <v>542</v>
      </c>
      <c r="CU41">
        <v>5273</v>
      </c>
    </row>
    <row r="42" spans="2:99" ht="13.5" thickBot="1">
      <c r="B42" s="320" t="s">
        <v>548</v>
      </c>
      <c r="C42" s="122"/>
      <c r="D42" s="122">
        <f>SUMIFS(INDEX(Table5[],,MATCH(B33,Table5[#Headers],0)),Table5[MainSpaceHeatingFuel],"*Oil",Table5[Year_of_Construction (group)],B42)</f>
        <v>1018</v>
      </c>
      <c r="E42" s="122">
        <f>SUMIFS(INDEX(Table5[],,MATCH(B33,Table5[#Headers],0)),Table5[MainSpaceHeatingFuel],"Mains Gas",Table5[Year_of_Construction (group)],B42)</f>
        <v>19609</v>
      </c>
      <c r="F42">
        <f>SUMIFS(INDEX(Table5[],,MATCH(B33,Table5[#Headers],0)),Table5[MainSpaceHeatingFuel],F21,Table5[Year_of_Construction (group)],B42)</f>
        <v>10902</v>
      </c>
      <c r="G42">
        <f>SUMIFS(INDEX(Table5[],,MATCH(B33,Table5[#Headers],0)),Table5[MainSpaceHeatingFuel],"*Coal",Table5[Year_of_Construction (group)],B42)</f>
        <v>0</v>
      </c>
      <c r="H42">
        <f>SUMIFS(INDEX(Table5[],,MATCH(B33,Table5[#Headers],0)),Table5[MainSpaceHeatingFuel],"*Peat*",Table5[Year_of_Construction (group)],B42)</f>
        <v>0</v>
      </c>
      <c r="I42">
        <f>SUMIFS(INDEX(Table5[],,MATCH(B33,Table5[#Headers],0)),Table5[MainSpaceHeatingFuel],"*LPG*",Table5[Year_of_Construction (group)],B42)</f>
        <v>188</v>
      </c>
      <c r="J42">
        <f>SUMIFS(INDEX(Table5[],,MATCH(B33,Table5[#Headers],0)),Table5[MainSpaceHeatingFuel],"*Wood*",Table5[Year_of_Construction (group)],B42)</f>
        <v>10</v>
      </c>
      <c r="K42">
        <f>SUMIFS(INDEX(Table5[],,MATCH(B33,Table5[#Headers],0)),Table5[MainSpaceHeatingFuel],"*Multi-Fuel*",Table5[Year_of_Construction (group)],B42)</f>
        <v>9</v>
      </c>
      <c r="L42" s="122">
        <f>SUMIFS(INDEX(Table5[],,MATCH(B33,Table5[#Headers],0)),Table5[MainSpaceHeatingFuel],"",Table5[Year_of_Construction (group)],B42)</f>
        <v>227</v>
      </c>
      <c r="M42" s="325">
        <f t="shared" si="43"/>
        <v>31963</v>
      </c>
      <c r="O42" s="320" t="s">
        <v>548</v>
      </c>
      <c r="P42" s="122">
        <f>SUMIFS( CU705:CU776,CT705:CT776, P33, CS705:CS776, O33)</f>
        <v>33</v>
      </c>
      <c r="Q42" s="122">
        <f>SUMIFS( CU705:CU776,CT705:CT776, Q33, CS705:CS776, O33)</f>
        <v>1565</v>
      </c>
      <c r="R42" s="122">
        <f>SUMIFS( CU705:CU776,CT705:CT776, R33, CS705:CS776, O33)</f>
        <v>5862</v>
      </c>
      <c r="S42" s="122">
        <f>SUMIFS( CU705:CU776,CT705:CT776, S33, CS705:CS776, O33)</f>
        <v>907</v>
      </c>
      <c r="T42" s="122">
        <f>SUMIFS( CU705:CU776,CT705:CT776, T33, CS705:CS776, O33)</f>
        <v>198</v>
      </c>
      <c r="U42" s="122">
        <f>SUMIFS( CU705:CU776,CT705:CT776, U33, CS705:CS776, O33)</f>
        <v>75</v>
      </c>
      <c r="V42" s="122">
        <f>SUMIFS( CU705:CU776,CT705:CT776, V33, CS705:CS776, O33)</f>
        <v>53</v>
      </c>
      <c r="W42" s="122">
        <f>SUMIFS( CU705:CU776,CT705:CT776, W33, CS705:CS776, O33)</f>
        <v>80</v>
      </c>
      <c r="X42" s="122">
        <f>SUMIFS( CU705:CU776,CT705:CT776, X33, CS705:CS776, O33)</f>
        <v>185</v>
      </c>
      <c r="Y42" s="122">
        <f>SUMIFS( CU705:CU776,CT705:CT776, Y33, CS705:CS776, O33)</f>
        <v>69</v>
      </c>
      <c r="Z42" s="325">
        <f t="shared" si="44"/>
        <v>9027</v>
      </c>
      <c r="AB42" s="320" t="s">
        <v>548</v>
      </c>
      <c r="AC42" s="122">
        <v>29914</v>
      </c>
      <c r="AD42" s="122">
        <v>1251</v>
      </c>
      <c r="AE42">
        <v>470</v>
      </c>
      <c r="AF42">
        <v>206</v>
      </c>
      <c r="AG42">
        <v>103</v>
      </c>
      <c r="AH42">
        <v>18</v>
      </c>
      <c r="AJ42">
        <v>1</v>
      </c>
      <c r="AL42" s="325">
        <f t="shared" si="45"/>
        <v>31963</v>
      </c>
      <c r="AN42" s="331" t="s">
        <v>548</v>
      </c>
      <c r="AO42" s="334">
        <f t="shared" si="34"/>
        <v>0.93589462816381441</v>
      </c>
      <c r="AP42" s="334">
        <f t="shared" si="35"/>
        <v>3.9139004473922975E-2</v>
      </c>
      <c r="AQ42" s="334">
        <f t="shared" si="36"/>
        <v>1.4704502080530613E-2</v>
      </c>
      <c r="AR42" s="334">
        <f t="shared" si="37"/>
        <v>6.4449519757219286E-3</v>
      </c>
      <c r="AS42" s="334">
        <f t="shared" si="38"/>
        <v>3.2224759878609643E-3</v>
      </c>
      <c r="AT42" s="334">
        <f t="shared" si="39"/>
        <v>5.631511435096831E-4</v>
      </c>
      <c r="AU42" s="334">
        <f t="shared" si="40"/>
        <v>0</v>
      </c>
      <c r="AV42" s="334">
        <f t="shared" si="41"/>
        <v>3.128617463942684E-5</v>
      </c>
      <c r="AW42" s="335">
        <f t="shared" si="42"/>
        <v>0</v>
      </c>
      <c r="AY42" s="338"/>
      <c r="AZ42">
        <f t="shared" ref="AZ42:BH42" si="54">AO41*$Z$41</f>
        <v>755.74701966114606</v>
      </c>
      <c r="BA42">
        <f t="shared" si="54"/>
        <v>2416.6497788012848</v>
      </c>
      <c r="BB42">
        <f t="shared" si="54"/>
        <v>7334.08240193235</v>
      </c>
      <c r="BC42">
        <f t="shared" si="54"/>
        <v>24115.727834676687</v>
      </c>
      <c r="BD42">
        <f t="shared" si="54"/>
        <v>106061.3336594319</v>
      </c>
      <c r="BE42">
        <f t="shared" si="54"/>
        <v>20236.903399793951</v>
      </c>
      <c r="BF42">
        <f t="shared" si="54"/>
        <v>5071.1930532348688</v>
      </c>
      <c r="BG42">
        <f t="shared" si="54"/>
        <v>1293.9085250244573</v>
      </c>
      <c r="BH42">
        <f t="shared" si="54"/>
        <v>265.45432744335841</v>
      </c>
      <c r="BJ42" s="339"/>
      <c r="BL42" s="347" t="s">
        <v>64</v>
      </c>
      <c r="BM42" s="321">
        <f>(P34*AW34+P35*AW35+P36*AW36+P37*AW37+P38*AW38+P39*AW39+P40*AW40+P41*AW41+P42*AW42+P43/9)*BX43</f>
        <v>1210.2554764461979</v>
      </c>
      <c r="BN42" s="321">
        <f>(Q34*AW34+Q35*AW35+Q36*AW36+Q37*AW37+Q38*AW38+Q39*AW39+Q40*AW40+Q41*AW41+Q42*AW42+Q43/9)*BX43</f>
        <v>15130.943822204281</v>
      </c>
      <c r="BO42" s="321">
        <f>(R34*AW34+R35*AW35+R36*AW36+R37*AW37+R38*AW38+R39*AW39+R40*AW40+R41*AW41+R42*AW42+R43/9)*BX43</f>
        <v>26996.660257418189</v>
      </c>
      <c r="BP42" s="321">
        <f>(S34*AW34+S35*AW35+S36*AW36+S37*AW37+S38*AW38+S39*AW39+S40*AW40+S41*AW41+S42*AW42+S43/9)*BX43</f>
        <v>2871.8314322602259</v>
      </c>
      <c r="BQ42" s="321">
        <f>(T34*AW34+T35*AW35+T36*AW36+T37*AW37+T38*AW38+T39*AW39+T40*AW40+T41*AW41+T42*AW42+T43/9)*BX43</f>
        <v>3475.3849028045206</v>
      </c>
      <c r="BR42" s="321">
        <f>(U34*AW34+U35*AW35+U36*AW36+U37*AW37+U38*AW38+U39*AW39+U40*AW40+U41*AW41+U42*AW42+U43/9)*BX43</f>
        <v>1461.9315482815518</v>
      </c>
      <c r="BS42" s="321">
        <f>(V34*AW34+V35*AW35+V36*AW36+V37*AW37+V38*AW38+V39*AW39+V40*AW40+V41*AW41+V42*AW42+V43/9)*BX43</f>
        <v>139.59560871430867</v>
      </c>
      <c r="BT42" s="321">
        <f>(W34*AW34+W35*AW35+W36*AW36+W37*AW37+W38*AW38+W39*AW39+W40*AW40+W41*AW41+W42*AW42+W43/9)*BX43</f>
        <v>586.38097508324859</v>
      </c>
      <c r="BU42" s="321">
        <f>(X34*AW34+X35*AW35+X36*AW36+X37*AW37+X38*AW38+X39*AW39+X40*AW40+X41*AW41+X42*AW42+X43/9)*BX43</f>
        <v>144.513182057146</v>
      </c>
      <c r="BV42" s="321">
        <f>(Y34*AW34+Y35*AW35+Y36*AW36+Y37*AW37+Y38*AW38+Y39*AW39+Y40*AW40+Y41*AW41+Y42*AW42+Y43/9)*BX43</f>
        <v>1325.7364555578574</v>
      </c>
      <c r="BW42" s="352">
        <f t="shared" si="48"/>
        <v>613.74415846325792</v>
      </c>
      <c r="BX42" s="341"/>
      <c r="CC42" t="s">
        <v>40</v>
      </c>
      <c r="CD42" t="s">
        <v>525</v>
      </c>
      <c r="CE42">
        <v>39121</v>
      </c>
      <c r="CI42" t="s">
        <v>40</v>
      </c>
      <c r="CJ42" t="s">
        <v>40</v>
      </c>
      <c r="CK42" t="s">
        <v>40</v>
      </c>
      <c r="CL42" t="s">
        <v>542</v>
      </c>
      <c r="CM42">
        <v>235910</v>
      </c>
      <c r="CQ42" t="s">
        <v>40</v>
      </c>
      <c r="CR42" t="s">
        <v>523</v>
      </c>
      <c r="CS42" t="s">
        <v>44</v>
      </c>
      <c r="CT42" t="s">
        <v>137</v>
      </c>
      <c r="CU42">
        <v>836</v>
      </c>
    </row>
    <row r="43" spans="2:99" ht="13.5" thickBot="1">
      <c r="B43" s="326" t="s">
        <v>549</v>
      </c>
      <c r="C43" s="327">
        <f t="shared" ref="C43:L43" si="55">SUM(C34:C42)</f>
        <v>0</v>
      </c>
      <c r="D43" s="327">
        <f t="shared" si="55"/>
        <v>124317</v>
      </c>
      <c r="E43" s="327">
        <f t="shared" si="55"/>
        <v>225374</v>
      </c>
      <c r="F43" s="327">
        <f t="shared" si="55"/>
        <v>34746</v>
      </c>
      <c r="G43" s="327">
        <f t="shared" si="55"/>
        <v>6874</v>
      </c>
      <c r="H43" s="327">
        <f t="shared" si="55"/>
        <v>619</v>
      </c>
      <c r="I43" s="327">
        <f t="shared" si="55"/>
        <v>4633</v>
      </c>
      <c r="J43" s="327">
        <f t="shared" si="55"/>
        <v>483</v>
      </c>
      <c r="K43" s="327">
        <f t="shared" si="55"/>
        <v>16891</v>
      </c>
      <c r="L43" s="327">
        <f t="shared" si="55"/>
        <v>1017</v>
      </c>
      <c r="M43" s="328">
        <f>SUM(C43:L43)</f>
        <v>414954</v>
      </c>
      <c r="O43" s="320" t="s">
        <v>359</v>
      </c>
      <c r="P43" s="122">
        <f t="shared" ref="P43:Y43" si="56">SUMIFS( $CU$777:$CU$861,$CT$777:$CT$861, P33, $CS$777:$CS$861, $O$33)</f>
        <v>522</v>
      </c>
      <c r="Q43" s="122">
        <f t="shared" si="56"/>
        <v>10878</v>
      </c>
      <c r="R43" s="122">
        <f t="shared" si="56"/>
        <v>17382</v>
      </c>
      <c r="S43" s="122">
        <f t="shared" si="56"/>
        <v>3626</v>
      </c>
      <c r="T43" s="122">
        <f t="shared" si="56"/>
        <v>2231</v>
      </c>
      <c r="U43" s="122">
        <f t="shared" si="56"/>
        <v>631</v>
      </c>
      <c r="V43" s="122">
        <f t="shared" si="56"/>
        <v>155</v>
      </c>
      <c r="W43" s="122">
        <f t="shared" si="56"/>
        <v>266</v>
      </c>
      <c r="X43" s="122">
        <f t="shared" si="56"/>
        <v>143</v>
      </c>
      <c r="Y43" s="122">
        <f t="shared" si="56"/>
        <v>9533</v>
      </c>
      <c r="Z43" s="325">
        <f>SUM(P43:Y43)</f>
        <v>45367</v>
      </c>
      <c r="AB43" s="326" t="s">
        <v>218</v>
      </c>
      <c r="AC43" s="327">
        <f t="shared" ref="AC43:AL43" si="57">SUM(AC34:AC42)</f>
        <v>30917</v>
      </c>
      <c r="AD43" s="327">
        <f t="shared" si="57"/>
        <v>3722</v>
      </c>
      <c r="AE43" s="327">
        <f t="shared" si="57"/>
        <v>7882</v>
      </c>
      <c r="AF43" s="327">
        <f t="shared" si="57"/>
        <v>27081</v>
      </c>
      <c r="AG43" s="327">
        <f t="shared" si="57"/>
        <v>161926</v>
      </c>
      <c r="AH43" s="327">
        <f t="shared" si="57"/>
        <v>95372</v>
      </c>
      <c r="AI43" s="327">
        <f t="shared" si="57"/>
        <v>46130</v>
      </c>
      <c r="AJ43" s="327">
        <f t="shared" si="57"/>
        <v>20720</v>
      </c>
      <c r="AK43" s="327">
        <f t="shared" si="57"/>
        <v>21208</v>
      </c>
      <c r="AL43" s="328">
        <f t="shared" si="57"/>
        <v>414958</v>
      </c>
      <c r="AO43" s="309"/>
      <c r="AP43" s="309"/>
      <c r="AQ43" s="309"/>
      <c r="AR43" s="309"/>
      <c r="AS43" s="309"/>
      <c r="AT43" s="309"/>
      <c r="AU43" s="309"/>
      <c r="AV43" s="309"/>
      <c r="AW43" s="309"/>
      <c r="AY43" s="338"/>
      <c r="AZ43">
        <f t="shared" ref="AZ43:BH43" si="58">AO42*$Z$42</f>
        <v>8448.3208084347534</v>
      </c>
      <c r="BA43">
        <f t="shared" si="58"/>
        <v>353.30779338610267</v>
      </c>
      <c r="BB43">
        <f t="shared" si="58"/>
        <v>132.73754028094984</v>
      </c>
      <c r="BC43">
        <f t="shared" si="58"/>
        <v>58.17858148484185</v>
      </c>
      <c r="BD43">
        <f t="shared" si="58"/>
        <v>29.089290742420925</v>
      </c>
      <c r="BE43">
        <f t="shared" si="58"/>
        <v>5.0835653724619094</v>
      </c>
      <c r="BF43">
        <f t="shared" si="58"/>
        <v>0</v>
      </c>
      <c r="BG43">
        <f t="shared" si="58"/>
        <v>0.28242029847010608</v>
      </c>
      <c r="BH43">
        <f t="shared" si="58"/>
        <v>0</v>
      </c>
      <c r="BJ43" s="339"/>
      <c r="BL43" s="331"/>
      <c r="BM43" s="349"/>
      <c r="BN43" s="349"/>
      <c r="BO43" s="349"/>
      <c r="BP43" s="349"/>
      <c r="BQ43" s="349"/>
      <c r="BR43" s="349"/>
      <c r="BS43" s="349"/>
      <c r="BT43" s="349"/>
      <c r="BU43" s="349"/>
      <c r="BV43" s="349"/>
      <c r="BW43" s="349"/>
      <c r="BX43" s="350">
        <v>1.0252344</v>
      </c>
      <c r="CC43" t="s">
        <v>40</v>
      </c>
      <c r="CD43" t="s">
        <v>526</v>
      </c>
      <c r="CE43">
        <v>43364</v>
      </c>
      <c r="CI43" t="s">
        <v>40</v>
      </c>
      <c r="CJ43" t="s">
        <v>40</v>
      </c>
      <c r="CK43" t="s">
        <v>40</v>
      </c>
      <c r="CL43" t="s">
        <v>137</v>
      </c>
      <c r="CM43">
        <v>15517</v>
      </c>
      <c r="CQ43" t="s">
        <v>40</v>
      </c>
      <c r="CR43" t="s">
        <v>523</v>
      </c>
      <c r="CS43" t="s">
        <v>44</v>
      </c>
      <c r="CT43" t="s">
        <v>554</v>
      </c>
      <c r="CU43">
        <v>1077</v>
      </c>
    </row>
    <row r="44" spans="2:99" ht="13.5" thickBot="1">
      <c r="C44" s="122"/>
      <c r="D44" s="122"/>
      <c r="E44" s="122"/>
      <c r="O44" s="326" t="s">
        <v>549</v>
      </c>
      <c r="P44" s="327">
        <f t="shared" ref="P44:Y44" si="59">SUM(P34:P43)</f>
        <v>9027</v>
      </c>
      <c r="Q44" s="327">
        <f t="shared" si="59"/>
        <v>227017</v>
      </c>
      <c r="R44" s="327">
        <f t="shared" si="59"/>
        <v>398797</v>
      </c>
      <c r="S44" s="327">
        <f t="shared" si="59"/>
        <v>33961</v>
      </c>
      <c r="T44" s="327">
        <f t="shared" si="59"/>
        <v>45740</v>
      </c>
      <c r="U44" s="327">
        <f t="shared" si="59"/>
        <v>17793</v>
      </c>
      <c r="V44" s="327">
        <f t="shared" si="59"/>
        <v>2954</v>
      </c>
      <c r="W44" s="327">
        <f t="shared" si="59"/>
        <v>6594</v>
      </c>
      <c r="X44" s="327">
        <f t="shared" si="59"/>
        <v>2012</v>
      </c>
      <c r="Y44" s="327">
        <f t="shared" si="59"/>
        <v>12622</v>
      </c>
      <c r="Z44" s="328">
        <f>SUM(P44:Y44)</f>
        <v>756517</v>
      </c>
      <c r="AO44" s="309"/>
      <c r="AP44" s="309"/>
      <c r="AQ44" s="309"/>
      <c r="AR44" s="309"/>
      <c r="AS44" s="309"/>
      <c r="AT44" s="309"/>
      <c r="AU44" s="309"/>
      <c r="AV44" s="309"/>
      <c r="AW44" s="309"/>
      <c r="AY44" s="340"/>
      <c r="AZ44">
        <f>$Z$43/9</f>
        <v>5040.7777777777774</v>
      </c>
      <c r="BA44">
        <f t="shared" ref="BA44:BH44" si="60">$Z$43/9</f>
        <v>5040.7777777777774</v>
      </c>
      <c r="BB44">
        <f t="shared" si="60"/>
        <v>5040.7777777777774</v>
      </c>
      <c r="BC44">
        <f t="shared" si="60"/>
        <v>5040.7777777777774</v>
      </c>
      <c r="BD44">
        <f t="shared" si="60"/>
        <v>5040.7777777777774</v>
      </c>
      <c r="BE44">
        <f t="shared" si="60"/>
        <v>5040.7777777777774</v>
      </c>
      <c r="BF44">
        <f t="shared" si="60"/>
        <v>5040.7777777777774</v>
      </c>
      <c r="BG44">
        <f t="shared" si="60"/>
        <v>5040.7777777777774</v>
      </c>
      <c r="BH44">
        <f t="shared" si="60"/>
        <v>5040.7777777777774</v>
      </c>
      <c r="BJ44" s="339"/>
      <c r="BM44" s="122"/>
      <c r="BN44" s="122"/>
      <c r="BO44" s="122"/>
      <c r="CC44" t="s">
        <v>40</v>
      </c>
      <c r="CD44" t="s">
        <v>527</v>
      </c>
      <c r="CE44">
        <v>71056</v>
      </c>
      <c r="CI44" t="s">
        <v>40</v>
      </c>
      <c r="CJ44" t="s">
        <v>40</v>
      </c>
      <c r="CK44" t="s">
        <v>40</v>
      </c>
      <c r="CL44" t="s">
        <v>554</v>
      </c>
      <c r="CM44">
        <v>25563</v>
      </c>
      <c r="CQ44" t="s">
        <v>40</v>
      </c>
      <c r="CR44" t="s">
        <v>523</v>
      </c>
      <c r="CS44" t="s">
        <v>44</v>
      </c>
      <c r="CT44" t="s">
        <v>543</v>
      </c>
      <c r="CU44">
        <v>831</v>
      </c>
    </row>
    <row r="45" spans="2:99">
      <c r="B45" s="329" t="s">
        <v>46</v>
      </c>
      <c r="C45" s="319" t="s">
        <v>540</v>
      </c>
      <c r="D45" s="319" t="s">
        <v>541</v>
      </c>
      <c r="E45" s="319" t="s">
        <v>542</v>
      </c>
      <c r="F45" s="319" t="s">
        <v>137</v>
      </c>
      <c r="G45" s="319" t="s">
        <v>554</v>
      </c>
      <c r="H45" s="319" t="s">
        <v>543</v>
      </c>
      <c r="I45" s="319" t="s">
        <v>544</v>
      </c>
      <c r="J45" s="319" t="s">
        <v>545</v>
      </c>
      <c r="K45" s="319" t="s">
        <v>546</v>
      </c>
      <c r="L45" s="319" t="s">
        <v>532</v>
      </c>
      <c r="M45" s="324"/>
      <c r="O45" s="329" t="s">
        <v>46</v>
      </c>
      <c r="P45" s="319" t="s">
        <v>540</v>
      </c>
      <c r="Q45" s="319" t="s">
        <v>541</v>
      </c>
      <c r="R45" s="319" t="s">
        <v>542</v>
      </c>
      <c r="S45" s="319" t="s">
        <v>137</v>
      </c>
      <c r="T45" s="319" t="s">
        <v>554</v>
      </c>
      <c r="U45" s="319" t="s">
        <v>543</v>
      </c>
      <c r="V45" s="319" t="s">
        <v>544</v>
      </c>
      <c r="W45" s="319" t="s">
        <v>545</v>
      </c>
      <c r="X45" s="319" t="s">
        <v>546</v>
      </c>
      <c r="Y45" s="319" t="s">
        <v>532</v>
      </c>
      <c r="Z45" s="324"/>
      <c r="AB45" s="329" t="s">
        <v>46</v>
      </c>
      <c r="AC45" s="319" t="s">
        <v>48</v>
      </c>
      <c r="AD45" s="319" t="s">
        <v>50</v>
      </c>
      <c r="AE45" s="319" t="s">
        <v>52</v>
      </c>
      <c r="AF45" s="319" t="s">
        <v>54</v>
      </c>
      <c r="AG45" s="319" t="s">
        <v>56</v>
      </c>
      <c r="AH45" s="319" t="s">
        <v>58</v>
      </c>
      <c r="AI45" s="319" t="s">
        <v>60</v>
      </c>
      <c r="AJ45" s="319" t="s">
        <v>62</v>
      </c>
      <c r="AK45" s="319" t="s">
        <v>64</v>
      </c>
      <c r="AL45" s="324"/>
      <c r="AN45" s="329" t="s">
        <v>46</v>
      </c>
      <c r="AO45" s="336" t="s">
        <v>48</v>
      </c>
      <c r="AP45" s="336" t="s">
        <v>50</v>
      </c>
      <c r="AQ45" s="336" t="s">
        <v>52</v>
      </c>
      <c r="AR45" s="336" t="s">
        <v>54</v>
      </c>
      <c r="AS45" s="336" t="s">
        <v>56</v>
      </c>
      <c r="AT45" s="336" t="s">
        <v>58</v>
      </c>
      <c r="AU45" s="336" t="s">
        <v>60</v>
      </c>
      <c r="AV45" s="336" t="s">
        <v>62</v>
      </c>
      <c r="AW45" s="337" t="s">
        <v>64</v>
      </c>
      <c r="AY45" s="342" t="s">
        <v>218</v>
      </c>
      <c r="AZ45" s="306">
        <f t="shared" ref="AZ45:BH45" si="61">SUM(AZ35:AZ44)</f>
        <v>15273.517993264304</v>
      </c>
      <c r="BA45" s="306">
        <f t="shared" si="61"/>
        <v>9415.3784773527896</v>
      </c>
      <c r="BB45" s="306">
        <f t="shared" si="61"/>
        <v>17319.933814235817</v>
      </c>
      <c r="BC45" s="306">
        <f t="shared" si="61"/>
        <v>49130.157636652992</v>
      </c>
      <c r="BD45" s="306">
        <f t="shared" si="61"/>
        <v>278530.62929481542</v>
      </c>
      <c r="BE45" s="306">
        <f t="shared" si="61"/>
        <v>185219.17312597283</v>
      </c>
      <c r="BF45" s="306">
        <f t="shared" si="61"/>
        <v>100117.37014989805</v>
      </c>
      <c r="BG45" s="306">
        <f t="shared" si="61"/>
        <v>49480.558763397014</v>
      </c>
      <c r="BH45" s="306">
        <f t="shared" si="61"/>
        <v>52030.280744410775</v>
      </c>
      <c r="BI45" s="306">
        <f>SUM(AZ45:BH45)</f>
        <v>756517.00000000012</v>
      </c>
      <c r="BJ45" s="343">
        <v>1.0129999999999999</v>
      </c>
      <c r="BL45" s="329" t="s">
        <v>46</v>
      </c>
      <c r="BM45" s="319" t="s">
        <v>540</v>
      </c>
      <c r="BN45" s="319" t="s">
        <v>541</v>
      </c>
      <c r="BO45" s="319" t="s">
        <v>542</v>
      </c>
      <c r="BP45" s="319" t="s">
        <v>137</v>
      </c>
      <c r="BQ45" s="319" t="s">
        <v>554</v>
      </c>
      <c r="BR45" s="319" t="s">
        <v>543</v>
      </c>
      <c r="BS45" s="319" t="s">
        <v>544</v>
      </c>
      <c r="BT45" s="319" t="s">
        <v>545</v>
      </c>
      <c r="BU45" s="319" t="s">
        <v>546</v>
      </c>
      <c r="BV45" s="319" t="s">
        <v>532</v>
      </c>
      <c r="BW45" s="319" t="s">
        <v>573</v>
      </c>
      <c r="BX45" s="324"/>
      <c r="CC45" t="s">
        <v>40</v>
      </c>
      <c r="CD45" t="s">
        <v>528</v>
      </c>
      <c r="CE45">
        <v>49522</v>
      </c>
      <c r="CI45" t="s">
        <v>40</v>
      </c>
      <c r="CJ45" t="s">
        <v>40</v>
      </c>
      <c r="CK45" t="s">
        <v>40</v>
      </c>
      <c r="CL45" t="s">
        <v>543</v>
      </c>
      <c r="CM45">
        <v>12102</v>
      </c>
      <c r="CQ45" t="s">
        <v>40</v>
      </c>
      <c r="CR45" t="s">
        <v>523</v>
      </c>
      <c r="CS45" t="s">
        <v>44</v>
      </c>
      <c r="CT45" t="s">
        <v>544</v>
      </c>
      <c r="CU45">
        <v>85</v>
      </c>
    </row>
    <row r="46" spans="2:99" ht="13.5" thickBot="1">
      <c r="B46" s="320" t="s">
        <v>508</v>
      </c>
      <c r="C46" s="122"/>
      <c r="D46" s="122">
        <f>SUMIFS(INDEX(Table5[],,MATCH(B45,Table5[#Headers],0)),Table5[MainSpaceHeatingFuel],"*Oil",Table5[Year_of_Construction (group)],B46)</f>
        <v>14309</v>
      </c>
      <c r="E46" s="122">
        <f>SUMIFS(INDEX(Table5[],,MATCH(B45,Table5[#Headers],0)),Table5[MainSpaceHeatingFuel],"Mains Gas",Table5[Year_of_Construction (group)],B46)</f>
        <v>1169</v>
      </c>
      <c r="F46">
        <f>SUMIFS(INDEX(Table5[],,MATCH(B45,Table5[#Headers],0)),Table5[MainSpaceHeatingFuel],F21,Table5[Year_of_Construction (group)],B46)</f>
        <v>2184</v>
      </c>
      <c r="G46">
        <f>SUMIFS(INDEX(Table5[],,MATCH(B45,Table5[#Headers],0)),Table5[MainSpaceHeatingFuel],"*Coal",Table5[Year_of_Construction (group)],B46)</f>
        <v>307</v>
      </c>
      <c r="H46">
        <f>SUMIFS(INDEX(Table5[],,MATCH(B45,Table5[#Headers],0)),Table5[MainSpaceHeatingFuel],"*Peat*",Table5[Year_of_Construction (group)],B46)</f>
        <v>143</v>
      </c>
      <c r="I46">
        <f>SUMIFS(INDEX(Table5[],,MATCH(B45,Table5[#Headers],0)),Table5[MainSpaceHeatingFuel],"*LPG*",Table5[Year_of_Construction (group)],B46)</f>
        <v>416</v>
      </c>
      <c r="J46">
        <f>SUMIFS(INDEX(Table5[],,MATCH(B45,Table5[#Headers],0)),Table5[MainSpaceHeatingFuel],"*Wood*",Table5[Year_of_Construction (group)],B46)</f>
        <v>153</v>
      </c>
      <c r="K46">
        <f>SUMIFS(INDEX(Table5[],,MATCH(B45,Table5[#Headers],0)),Table5[MainSpaceHeatingFuel],"*Multi-Fuel*",Table5[Year_of_Construction (group)],B46)</f>
        <v>2455</v>
      </c>
      <c r="L46" s="122">
        <f>SUMIFS(INDEX(Table5[],,MATCH(B45,Table5[#Headers],0)),Table5[MainSpaceHeatingFuel],"",Table5[Year_of_Construction (group)],B46)</f>
        <v>23</v>
      </c>
      <c r="M46" s="325">
        <f>SUM(C46:L46)</f>
        <v>21159</v>
      </c>
      <c r="O46" s="320" t="s">
        <v>508</v>
      </c>
      <c r="P46" s="122">
        <f>SUMIFS( CU14:CU96,CT14:CT96, P45, CS14:CS96, O45)</f>
        <v>3486</v>
      </c>
      <c r="Q46" s="122">
        <f>SUMIFS( CU14:CU96,CT14:CT96, Q45, CS14:CS96, O45)</f>
        <v>42672</v>
      </c>
      <c r="R46" s="122">
        <f>SUMIFS( CU14:CU96,CT14:CT96, R45, CS14:CS96, O45)</f>
        <v>3088</v>
      </c>
      <c r="S46" s="122">
        <f>SUMIFS( CU14:CU96,CT14:CT96, S45, CS14:CS96, O45)</f>
        <v>2096</v>
      </c>
      <c r="T46" s="122">
        <f>SUMIFS( CU14:CU96,CT14:CT96, T45, CS14:CS96, O45)</f>
        <v>6482</v>
      </c>
      <c r="U46" s="122">
        <f>SUMIFS( CU14:CU96,CT14:CT96, U45, CS14:CS96, O45)</f>
        <v>9242</v>
      </c>
      <c r="V46" s="122">
        <f>SUMIFS( CU14:CU96,CT14:CT96, V45, CS14:CS96, O45)</f>
        <v>574</v>
      </c>
      <c r="W46" s="122">
        <f>SUMIFS( CU14:CU96,CT14:CT96, W45, CS14:CS96, O45)</f>
        <v>5593</v>
      </c>
      <c r="X46" s="122">
        <f>SUMIFS( CU14:CU96,CT14:CT96, X45, CS14:CS96, O45)</f>
        <v>473</v>
      </c>
      <c r="Y46" s="122">
        <f>SUMIFS( CU14:CU96,CT14:CT96, Y45, CS14:CS96, O45)</f>
        <v>419</v>
      </c>
      <c r="Z46" s="325">
        <f>SUM(P46:Y46)</f>
        <v>74125</v>
      </c>
      <c r="AB46" s="320" t="s">
        <v>508</v>
      </c>
      <c r="AC46">
        <v>73</v>
      </c>
      <c r="AD46">
        <v>77</v>
      </c>
      <c r="AE46">
        <v>165</v>
      </c>
      <c r="AF46">
        <v>337</v>
      </c>
      <c r="AG46" s="122">
        <v>1930</v>
      </c>
      <c r="AH46" s="122">
        <v>3323</v>
      </c>
      <c r="AI46" s="122">
        <v>3790</v>
      </c>
      <c r="AJ46" s="122">
        <v>3009</v>
      </c>
      <c r="AK46" s="122">
        <v>8455</v>
      </c>
      <c r="AL46" s="325">
        <f>SUM(AC46:AK46)</f>
        <v>21159</v>
      </c>
      <c r="AN46" s="320" t="s">
        <v>508</v>
      </c>
      <c r="AO46" s="332">
        <f t="shared" ref="AO46:AO54" si="62">AC46/AL46</f>
        <v>3.4500685287584478E-3</v>
      </c>
      <c r="AP46" s="332">
        <f t="shared" ref="AP46:AP54" si="63">AD46/AL46</f>
        <v>3.6391133796493218E-3</v>
      </c>
      <c r="AQ46" s="332">
        <f t="shared" ref="AQ46:AQ54" si="64">AE46/AL46</f>
        <v>7.7981000992485465E-3</v>
      </c>
      <c r="AR46" s="332">
        <f t="shared" ref="AR46:AR54" si="65">AF46/AL46</f>
        <v>1.5927028687556122E-2</v>
      </c>
      <c r="AS46" s="332">
        <f t="shared" ref="AS46:AS54" si="66">AG46/AL46</f>
        <v>9.121414055484664E-2</v>
      </c>
      <c r="AT46" s="332">
        <f t="shared" ref="AT46:AT54" si="67">AH46/AL46</f>
        <v>0.15704900987759346</v>
      </c>
      <c r="AU46" s="332">
        <f t="shared" ref="AU46:AU54" si="68">AI46/AL46</f>
        <v>0.17911999621910299</v>
      </c>
      <c r="AV46" s="332">
        <f t="shared" ref="AV46:AV54" si="69">AJ46/AL46</f>
        <v>0.14220898908265986</v>
      </c>
      <c r="AW46" s="333">
        <f t="shared" ref="AW46:AW54" si="70">AK46/AL46</f>
        <v>0.39959355357058463</v>
      </c>
      <c r="AY46" s="344" t="s">
        <v>294</v>
      </c>
      <c r="AZ46" s="327">
        <f t="shared" ref="AZ46:BH46" si="71">AZ45*$BJ$32</f>
        <v>15472.073727176739</v>
      </c>
      <c r="BA46" s="327">
        <f t="shared" si="71"/>
        <v>9537.7783975583752</v>
      </c>
      <c r="BB46" s="327">
        <f t="shared" si="71"/>
        <v>17545.09295382088</v>
      </c>
      <c r="BC46" s="327">
        <f t="shared" si="71"/>
        <v>49768.849685929476</v>
      </c>
      <c r="BD46" s="327">
        <f t="shared" si="71"/>
        <v>282151.52747564798</v>
      </c>
      <c r="BE46" s="327">
        <f t="shared" si="71"/>
        <v>187627.02237661046</v>
      </c>
      <c r="BF46" s="327">
        <f t="shared" si="71"/>
        <v>101418.89596184672</v>
      </c>
      <c r="BG46" s="327">
        <f t="shared" si="71"/>
        <v>50123.806027321167</v>
      </c>
      <c r="BH46" s="327">
        <f t="shared" si="71"/>
        <v>52706.674394088106</v>
      </c>
      <c r="BI46" s="345">
        <f>SUM(AZ46:BH46)</f>
        <v>766351.72099999979</v>
      </c>
      <c r="BJ46" s="346"/>
      <c r="BL46" s="347" t="s">
        <v>48</v>
      </c>
      <c r="BM46" s="321">
        <f>(P46*AO46+P47*AO47+P48*AO48+P49*AO49+P50*AO50+P51*AO51+P52*AO52+P53*AO53+P54*AO54+P55/9)*BX55</f>
        <v>187.96821195899579</v>
      </c>
      <c r="BN46" s="321">
        <f>(Q46*AO46+Q47*AO47+Q48*AO48+Q49*AO49+Q50*AO50+Q51*AO51+Q52*AO52+Q53*AO53+Q54*AO54+Q55/9)*BX55</f>
        <v>10715.078646106485</v>
      </c>
      <c r="BO46" s="321">
        <f>(R46*AO46+R47*AO47+R48*AO48+R49*AO49+R50*AO50+R51*AO51+R52*AO52+R53*AO53+R54*AO54+R55/9)*BX55</f>
        <v>2492.9354373262854</v>
      </c>
      <c r="BP46" s="321">
        <f>(S46*AO46+S47*AO47+S48*AO48+S49*AO49+S50*AO50+S51*AO51+S52*AO52+S53*AO53+S54*AO54+S55/9)*BX55</f>
        <v>2117.7741572503596</v>
      </c>
      <c r="BQ46" s="321">
        <f>(T46*AO46+T47*AO47+T48*AO48+T49*AO49+T50*AO50+T51*AO51+T52*AO52+T53*AO53+T54*AO54+T55/9)*BX55</f>
        <v>636.87817283620245</v>
      </c>
      <c r="BR46" s="321">
        <f>(U46*AO46+U47*AO47+U48*AO48+U49*AO49+U50*AO50+U51*AO51+U52*AO52+U53*AO53+U54*AO54+U55/9)*BX55</f>
        <v>1530.4366032257699</v>
      </c>
      <c r="BS46" s="321">
        <f>(V46*AO46+V47*AO47+V48*AO48+V49*AO49+V50*AO50+V51*AO51+V52*AO52+V53*AO53+V54*AO54+V55/9)*BX55</f>
        <v>165.04029682939117</v>
      </c>
      <c r="BT46" s="321">
        <f>(W46*AO46+W47*AO47+W48*AO48+W49*AO49+W50*AO50+W51*AO51+W52*AO52+W53*AO53+W54*AO54+W55/9)*BX55</f>
        <v>971.2204741518816</v>
      </c>
      <c r="BU46" s="321">
        <f>(X46*AO46+X47*AO47+X48*AO48+X49*AO49+X50*AO50+X51*AO51+X52*AO52+X53*AO53+X54*AO54+X55/9)*BX55</f>
        <v>1187.9160200295087</v>
      </c>
      <c r="BV46" s="321">
        <f>(Y46*AO46+Y47*AO47+Y48*AO48+Y49*AO49+Y50*AO50+Y51*AO51+Y52*AO52+Y53*AO53+Y54*AO54+Y55/9)*BX55</f>
        <v>628.80572114094321</v>
      </c>
      <c r="BW46" s="352">
        <f>AVERAGE(BQ46,BR46,BT46)/3</f>
        <v>348.72613891265041</v>
      </c>
      <c r="BX46" s="339"/>
      <c r="CC46" t="s">
        <v>40</v>
      </c>
      <c r="CD46" t="s">
        <v>529</v>
      </c>
      <c r="CE46">
        <v>80437</v>
      </c>
      <c r="CI46" t="s">
        <v>40</v>
      </c>
      <c r="CJ46" t="s">
        <v>40</v>
      </c>
      <c r="CK46" t="s">
        <v>40</v>
      </c>
      <c r="CL46" t="s">
        <v>544</v>
      </c>
      <c r="CM46">
        <v>1972</v>
      </c>
      <c r="CQ46" t="s">
        <v>40</v>
      </c>
      <c r="CR46" t="s">
        <v>523</v>
      </c>
      <c r="CS46" t="s">
        <v>44</v>
      </c>
      <c r="CT46" t="s">
        <v>545</v>
      </c>
      <c r="CU46">
        <v>420</v>
      </c>
    </row>
    <row r="47" spans="2:99" ht="13">
      <c r="B47" s="320" t="s">
        <v>509</v>
      </c>
      <c r="C47" s="122"/>
      <c r="D47" s="122">
        <f>SUMIFS(INDEX(Table5[],,MATCH(B45,Table5[#Headers],0)),Table5[MainSpaceHeatingFuel],"*Oil",Table5[Year_of_Construction (group)],B47)</f>
        <v>10518</v>
      </c>
      <c r="E47" s="122">
        <f>SUMIFS(INDEX(Table5[],,MATCH(B45,Table5[#Headers],0)),Table5[MainSpaceHeatingFuel],"Mains Gas",Table5[Year_of_Construction (group)],B47)</f>
        <v>1646</v>
      </c>
      <c r="F47">
        <f>SUMIFS(INDEX(Table5[],,MATCH(B45,Table5[#Headers],0)),Table5[MainSpaceHeatingFuel],F21,Table5[Year_of_Construction (group)],B47)</f>
        <v>1386</v>
      </c>
      <c r="G47">
        <f>SUMIFS(INDEX(Table5[],,MATCH(B45,Table5[#Headers],0)),Table5[MainSpaceHeatingFuel],"*Coal",Table5[Year_of_Construction (group)],B47)</f>
        <v>256</v>
      </c>
      <c r="H47">
        <f>SUMIFS(INDEX(Table5[],,MATCH(B45,Table5[#Headers],0)),Table5[MainSpaceHeatingFuel],"*Peat*",Table5[Year_of_Construction (group)],B47)</f>
        <v>121</v>
      </c>
      <c r="I47">
        <f>SUMIFS(INDEX(Table5[],,MATCH(B45,Table5[#Headers],0)),Table5[MainSpaceHeatingFuel],"*LPG*",Table5[Year_of_Construction (group)],B47)</f>
        <v>241</v>
      </c>
      <c r="J47">
        <f>SUMIFS(INDEX(Table5[],,MATCH(B45,Table5[#Headers],0)),Table5[MainSpaceHeatingFuel],"*Wood*",Table5[Year_of_Construction (group)],B47)</f>
        <v>90</v>
      </c>
      <c r="K47">
        <f>SUMIFS(INDEX(Table5[],,MATCH(B45,Table5[#Headers],0)),Table5[MainSpaceHeatingFuel],"*Multi-Fuel*",Table5[Year_of_Construction (group)],B47)</f>
        <v>1763</v>
      </c>
      <c r="L47" s="122">
        <f>SUMIFS(INDEX(Table5[],,MATCH(B45,Table5[#Headers],0)),Table5[MainSpaceHeatingFuel],"",Table5[Year_of_Construction (group)],B47)</f>
        <v>11</v>
      </c>
      <c r="M47" s="325">
        <f t="shared" ref="M47:M54" si="72">SUM(C47:L47)</f>
        <v>16032</v>
      </c>
      <c r="O47" s="320" t="s">
        <v>509</v>
      </c>
      <c r="P47" s="122">
        <f>SUMIFS( CU110:CU181,CT110:CT181, P45, CS110:CS181, O45)</f>
        <v>1343</v>
      </c>
      <c r="Q47" s="122">
        <f>SUMIFS( CU110:CU181,CT110:CT181, Q45, CS110:CS181, O45)</f>
        <v>25936</v>
      </c>
      <c r="R47" s="122">
        <f>SUMIFS( CU110:CU181,CT110:CT181, R45, CS110:CS181, O45)</f>
        <v>3575</v>
      </c>
      <c r="S47" s="122">
        <f>SUMIFS( CU110:CU181,CT110:CT181, S45, CS110:CS181, O45)</f>
        <v>1041</v>
      </c>
      <c r="T47" s="122">
        <f>SUMIFS( CU110:CU181,CT110:CT181, T45, CS110:CS181, O45)</f>
        <v>4238</v>
      </c>
      <c r="U47" s="122">
        <f>SUMIFS( CU110:CU181,CT110:CT181, U45, CS110:CS181, O45)</f>
        <v>7788</v>
      </c>
      <c r="V47" s="122">
        <f>SUMIFS( CU110:CU181,CT110:CT181, V45, CS110:CS181, O45)</f>
        <v>266</v>
      </c>
      <c r="W47" s="122">
        <f>SUMIFS( CU110:CU181,CT110:CT181, W45, CS110:CS181, O45)</f>
        <v>2251</v>
      </c>
      <c r="X47" s="122">
        <f>SUMIFS( CU110:CU181,CT110:CT181, X45, CS110:CS181, O45)</f>
        <v>191</v>
      </c>
      <c r="Y47" s="122">
        <f>SUMIFS( CU110:CU181,CT110:CT181, Y45, CS110:CS181, O45)</f>
        <v>218</v>
      </c>
      <c r="Z47" s="325">
        <f t="shared" ref="Z47:Z54" si="73">SUM(P47:Y47)</f>
        <v>46847</v>
      </c>
      <c r="AB47" s="320" t="s">
        <v>509</v>
      </c>
      <c r="AC47">
        <v>71</v>
      </c>
      <c r="AD47">
        <v>56</v>
      </c>
      <c r="AE47">
        <v>133</v>
      </c>
      <c r="AF47">
        <v>321</v>
      </c>
      <c r="AG47" s="122">
        <v>1698</v>
      </c>
      <c r="AH47" s="122">
        <v>2771</v>
      </c>
      <c r="AI47" s="122">
        <v>2825</v>
      </c>
      <c r="AJ47" s="122">
        <v>2170</v>
      </c>
      <c r="AK47" s="122">
        <v>5987</v>
      </c>
      <c r="AL47" s="325">
        <f t="shared" ref="AL47:AL54" si="74">SUM(AC47:AK47)</f>
        <v>16032</v>
      </c>
      <c r="AN47" s="320" t="s">
        <v>509</v>
      </c>
      <c r="AO47" s="332">
        <f t="shared" si="62"/>
        <v>4.4286427145708582E-3</v>
      </c>
      <c r="AP47" s="332">
        <f t="shared" si="63"/>
        <v>3.4930139720558881E-3</v>
      </c>
      <c r="AQ47" s="332">
        <f t="shared" si="64"/>
        <v>8.2959081836327352E-3</v>
      </c>
      <c r="AR47" s="332">
        <f t="shared" si="65"/>
        <v>2.0022455089820361E-2</v>
      </c>
      <c r="AS47" s="332">
        <f t="shared" si="66"/>
        <v>0.10591317365269461</v>
      </c>
      <c r="AT47" s="332">
        <f t="shared" si="67"/>
        <v>0.17284181636726548</v>
      </c>
      <c r="AU47" s="332">
        <f t="shared" si="68"/>
        <v>0.17621007984031936</v>
      </c>
      <c r="AV47" s="332">
        <f t="shared" si="69"/>
        <v>0.13535429141716568</v>
      </c>
      <c r="AW47" s="333">
        <f t="shared" si="70"/>
        <v>0.37344061876247503</v>
      </c>
      <c r="AY47" s="329" t="s">
        <v>46</v>
      </c>
      <c r="AZ47" s="319" t="s">
        <v>48</v>
      </c>
      <c r="BA47" s="319" t="s">
        <v>50</v>
      </c>
      <c r="BB47" s="319" t="s">
        <v>52</v>
      </c>
      <c r="BC47" s="319" t="s">
        <v>54</v>
      </c>
      <c r="BD47" s="319" t="s">
        <v>56</v>
      </c>
      <c r="BE47" s="319" t="s">
        <v>58</v>
      </c>
      <c r="BF47" s="319" t="s">
        <v>60</v>
      </c>
      <c r="BG47" s="319" t="s">
        <v>62</v>
      </c>
      <c r="BH47" s="319" t="s">
        <v>64</v>
      </c>
      <c r="BI47" s="336"/>
      <c r="BJ47" s="324"/>
      <c r="BL47" s="348" t="s">
        <v>50</v>
      </c>
      <c r="BM47" s="322">
        <f>(P46*AP46+P47*AP47+P48*AP48+P49*AP49+P50*AP50+P51*AP51+P52*AP52+P53*AP53+P54*AP54+P55/9)*BX55</f>
        <v>84.287931197693752</v>
      </c>
      <c r="BN47" s="322">
        <f>(Q46*AP46+Q47*AP47+Q48*AP48+Q49*AP49+Q50*AP50+Q51*AP51+Q52*AP52+Q53*AP53+Q54*AP54+Q55/9)*BX55</f>
        <v>5422.2427266334407</v>
      </c>
      <c r="BO47" s="322">
        <f>(R46*AP46+R47*AP47+R48*AP48+R49*AP49+R50*AP50+R51*AP51+R52*AP52+R53*AP53+R54*AP54+R55/9)*BX55</f>
        <v>1318.6039014587607</v>
      </c>
      <c r="BP47" s="322">
        <f>(S46*AP46+S47*AP47+S48*AP48+S49*AP49+S50*AP50+S51*AP51+S52*AP52+S53*AP53+S54*AP54+S55/9)*BX55</f>
        <v>490.82216961956362</v>
      </c>
      <c r="BQ47" s="322">
        <f>(T46*AP46+T47*AP47+T48*AP48+T49*AP49+T50*AP50+T51*AP51+T52*AP52+T53*AP53+T54*AP54+T55/9)*BX55</f>
        <v>377.08548439500998</v>
      </c>
      <c r="BR47" s="322">
        <f>(U46*AP46+U47*AP47+U48*AP48+U49*AP49+U50*AP50+U51*AP51+U52*AP52+U53*AP53+U54*AP54+U55/9)*BX55</f>
        <v>682.4235986448524</v>
      </c>
      <c r="BS47" s="322">
        <f>(V46*AP46+V47*AP47+V48*AP48+V49*AP49+V50*AP50+V51*AP51+V52*AP52+V53*AP53+V54*AP54+V55/9)*BX55</f>
        <v>75.438607478052077</v>
      </c>
      <c r="BT47" s="322">
        <f>(W46*AP46+W47*AP47+W48*AP48+W49*AP49+W50*AP50+W51*AP51+W52*AP52+W53*AP53+W54*AP54+W55/9)*BX55</f>
        <v>331.95269853978573</v>
      </c>
      <c r="BU47" s="322">
        <f>(X46*AP46+X47*AP47+X48*AP48+X49*AP49+X50*AP50+X51*AP51+X52*AP52+X53*AP53+X54*AP54+X55/9)*BX55</f>
        <v>229.23177246782097</v>
      </c>
      <c r="BV47" s="322">
        <f>(Y46*AP46+Y47*AP47+Y48*AP48+Y49*AP49+Y50*AP50+Y51*AP51+Y52*AP52+Y53*AP53+Y54*AP54+Y55/9)*BX55</f>
        <v>540.02011649348128</v>
      </c>
      <c r="BW47" s="353">
        <f>AVERAGE(BQ47,BR47,BT47)/3</f>
        <v>154.60686461996093</v>
      </c>
      <c r="BX47" s="339"/>
      <c r="CB47" t="s">
        <v>40</v>
      </c>
      <c r="CC47" t="s">
        <v>40</v>
      </c>
      <c r="CD47" t="s">
        <v>530</v>
      </c>
      <c r="CE47">
        <v>115869</v>
      </c>
      <c r="CI47" t="s">
        <v>40</v>
      </c>
      <c r="CJ47" t="s">
        <v>40</v>
      </c>
      <c r="CK47" t="s">
        <v>40</v>
      </c>
      <c r="CL47" t="s">
        <v>545</v>
      </c>
      <c r="CM47">
        <v>4276</v>
      </c>
      <c r="CQ47" t="s">
        <v>40</v>
      </c>
      <c r="CR47" t="s">
        <v>523</v>
      </c>
      <c r="CS47" t="s">
        <v>44</v>
      </c>
      <c r="CT47" t="s">
        <v>546</v>
      </c>
      <c r="CU47">
        <v>76</v>
      </c>
    </row>
    <row r="48" spans="2:99" ht="13">
      <c r="B48" s="320" t="s">
        <v>510</v>
      </c>
      <c r="C48" s="122"/>
      <c r="D48" s="122">
        <f>SUMIFS(INDEX(Table5[],,MATCH(B45,Table5[#Headers],0)),Table5[MainSpaceHeatingFuel],"*Oil",Table5[Year_of_Construction (group)],B48)</f>
        <v>9928</v>
      </c>
      <c r="E48" s="122">
        <f>SUMIFS(INDEX(Table5[],,MATCH(B45,Table5[#Headers],0)),Table5[MainSpaceHeatingFuel],"Mains Gas",Table5[Year_of_Construction (group)],B48)</f>
        <v>2121</v>
      </c>
      <c r="F48">
        <f>SUMIFS(INDEX(Table5[],,MATCH(B45,Table5[#Headers],0)),Table5[MainSpaceHeatingFuel],F21,Table5[Year_of_Construction (group)],B48)</f>
        <v>923</v>
      </c>
      <c r="G48">
        <f>SUMIFS(INDEX(Table5[],,MATCH(B45,Table5[#Headers],0)),Table5[MainSpaceHeatingFuel],"*Coal",Table5[Year_of_Construction (group)],B48)</f>
        <v>176</v>
      </c>
      <c r="H48">
        <f>SUMIFS(INDEX(Table5[],,MATCH(B45,Table5[#Headers],0)),Table5[MainSpaceHeatingFuel],"*Peat*",Table5[Year_of_Construction (group)],B48)</f>
        <v>96</v>
      </c>
      <c r="I48">
        <f>SUMIFS(INDEX(Table5[],,MATCH(B45,Table5[#Headers],0)),Table5[MainSpaceHeatingFuel],"*LPG*",Table5[Year_of_Construction (group)],B48)</f>
        <v>175</v>
      </c>
      <c r="J48">
        <f>SUMIFS(INDEX(Table5[],,MATCH(B45,Table5[#Headers],0)),Table5[MainSpaceHeatingFuel],"*Wood*",Table5[Year_of_Construction (group)],B48)</f>
        <v>52</v>
      </c>
      <c r="K48">
        <f>SUMIFS(INDEX(Table5[],,MATCH(B45,Table5[#Headers],0)),Table5[MainSpaceHeatingFuel],"*Multi-Fuel*",Table5[Year_of_Construction (group)],B48)</f>
        <v>1206</v>
      </c>
      <c r="L48" s="122">
        <f>SUMIFS(INDEX(Table5[],,MATCH(B45,Table5[#Headers],0)),Table5[MainSpaceHeatingFuel],"",Table5[Year_of_Construction (group)],B48)</f>
        <v>5</v>
      </c>
      <c r="M48" s="325">
        <f t="shared" si="72"/>
        <v>14682</v>
      </c>
      <c r="O48" s="320" t="s">
        <v>510</v>
      </c>
      <c r="P48" s="122">
        <f>SUMIFS( CU195:CU266,CT195:CT266, P45, CS195:CS266, O45)</f>
        <v>834</v>
      </c>
      <c r="Q48" s="122">
        <f>SUMIFS( CU195:CU266,CT195:CT266, Q45, CS195:CS266, O45)</f>
        <v>23868</v>
      </c>
      <c r="R48" s="122">
        <f>SUMIFS( CU195:CU266,CT195:CT266, R45, CS195:CS266, O45)</f>
        <v>4865</v>
      </c>
      <c r="S48" s="122">
        <f>SUMIFS( CU195:CU266,CT195:CT266, S45, CS195:CS266, O45)</f>
        <v>864</v>
      </c>
      <c r="T48" s="122">
        <f>SUMIFS( CU195:CU266,CT195:CT266, T45, CS195:CS266, O45)</f>
        <v>3293</v>
      </c>
      <c r="U48" s="122">
        <f>SUMIFS( CU195:CU266,CT195:CT266, U45, CS195:CS266, O45)</f>
        <v>6483</v>
      </c>
      <c r="V48" s="122">
        <f>SUMIFS( CU195:CU266,CT195:CT266, V45, CS195:CS266, O45)</f>
        <v>185</v>
      </c>
      <c r="W48" s="122">
        <f>SUMIFS( CU195:CU266,CT195:CT266, W45, CS195:CS266, O45)</f>
        <v>1648</v>
      </c>
      <c r="X48" s="122">
        <f>SUMIFS( CU195:CU266,CT195:CT266, X45, CS195:CS266, O45)</f>
        <v>192</v>
      </c>
      <c r="Y48" s="122">
        <f>SUMIFS( CU195:CU266,CT195:CT266, Y45, CS195:CS266, O45)</f>
        <v>195</v>
      </c>
      <c r="Z48" s="325">
        <f t="shared" si="73"/>
        <v>42427</v>
      </c>
      <c r="AB48" s="320" t="s">
        <v>510</v>
      </c>
      <c r="AC48">
        <v>81</v>
      </c>
      <c r="AD48">
        <v>78</v>
      </c>
      <c r="AE48">
        <v>186</v>
      </c>
      <c r="AF48">
        <v>316</v>
      </c>
      <c r="AG48" s="122">
        <v>1906</v>
      </c>
      <c r="AH48" s="122">
        <v>3214</v>
      </c>
      <c r="AI48" s="122">
        <v>2831</v>
      </c>
      <c r="AJ48" s="122">
        <v>1986</v>
      </c>
      <c r="AK48" s="122">
        <v>4084</v>
      </c>
      <c r="AL48" s="325">
        <f t="shared" si="74"/>
        <v>14682</v>
      </c>
      <c r="AN48" s="320" t="s">
        <v>510</v>
      </c>
      <c r="AO48" s="332">
        <f t="shared" si="62"/>
        <v>5.5169595422966894E-3</v>
      </c>
      <c r="AP48" s="332">
        <f t="shared" si="63"/>
        <v>5.3126277073968125E-3</v>
      </c>
      <c r="AQ48" s="332">
        <f t="shared" si="64"/>
        <v>1.2668573763792398E-2</v>
      </c>
      <c r="AR48" s="332">
        <f t="shared" si="65"/>
        <v>2.1522953276120419E-2</v>
      </c>
      <c r="AS48" s="332">
        <f t="shared" si="66"/>
        <v>0.12981882577305545</v>
      </c>
      <c r="AT48" s="332">
        <f t="shared" si="67"/>
        <v>0.21890750578940199</v>
      </c>
      <c r="AU48" s="332">
        <f t="shared" si="68"/>
        <v>0.19282114153385096</v>
      </c>
      <c r="AV48" s="332">
        <f t="shared" si="69"/>
        <v>0.13526767470371884</v>
      </c>
      <c r="AW48" s="333">
        <f t="shared" si="70"/>
        <v>0.27816373791036642</v>
      </c>
      <c r="AY48" s="338"/>
      <c r="AZ48">
        <f t="shared" ref="AZ48:BH48" si="75">AO46*$Z$46</f>
        <v>255.73632969421993</v>
      </c>
      <c r="BA48">
        <f t="shared" si="75"/>
        <v>269.74927926650599</v>
      </c>
      <c r="BB48">
        <f t="shared" si="75"/>
        <v>578.03416985679848</v>
      </c>
      <c r="BC48">
        <f t="shared" si="75"/>
        <v>1180.5910014650976</v>
      </c>
      <c r="BD48">
        <f t="shared" si="75"/>
        <v>6761.2481686280071</v>
      </c>
      <c r="BE48">
        <f t="shared" si="75"/>
        <v>11641.257857176615</v>
      </c>
      <c r="BF48">
        <f t="shared" si="75"/>
        <v>13277.269719741009</v>
      </c>
      <c r="BG48">
        <f t="shared" si="75"/>
        <v>10541.241315752162</v>
      </c>
      <c r="BH48">
        <f t="shared" si="75"/>
        <v>29619.872158419585</v>
      </c>
      <c r="BI48" s="309"/>
      <c r="BJ48" s="339"/>
      <c r="BL48" s="347" t="s">
        <v>52</v>
      </c>
      <c r="BM48" s="321">
        <f>(P46*AQ46+P47*AQ47+P48*AQ48+P49*AQ49+P50*AQ50+P51*AQ51+P52*AQ52+P53*AQ53+P54*AQ54+P55/9)*BX55</f>
        <v>151.9034629439617</v>
      </c>
      <c r="BN48" s="321">
        <f>(Q46*AQ46+Q47*AQ47+Q48*AQ48+Q49*AQ49+Q50*AQ50+Q51*AQ51+Q52*AQ52+Q53*AQ53+Q54*AQ54+Q55/9)*BX55</f>
        <v>12442.403534306701</v>
      </c>
      <c r="BO48" s="321">
        <f>(R46*AQ46+R47*AQ47+R48*AQ48+R49*AQ49+R50*AQ50+R51*AQ51+R52*AQ52+R53*AQ53+R54*AQ54+R55/9)*BX55</f>
        <v>2859.5616568527607</v>
      </c>
      <c r="BP48" s="321">
        <f>(S46*AQ46+S47*AQ47+S48*AQ48+S49*AQ49+S50*AQ50+S51*AQ51+S52*AQ52+S53*AQ53+S54*AQ54+S55/9)*BX55</f>
        <v>741.34485180970808</v>
      </c>
      <c r="BQ48" s="321">
        <f>(T46*AQ46+T47*AQ47+T48*AQ48+T49*AQ49+T50*AQ50+T51*AQ51+T52*AQ52+T53*AQ53+T54*AQ54+T55/9)*BX55</f>
        <v>806.99965397441827</v>
      </c>
      <c r="BR48" s="321">
        <f>(U46*AQ46+U47*AQ47+U48*AQ48+U49*AQ49+U50*AQ50+U51*AQ51+U52*AQ52+U53*AQ53+U54*AQ54+U55/9)*BX55</f>
        <v>1528.2238714663135</v>
      </c>
      <c r="BS48" s="321">
        <f>(V46*AQ46+V47*AQ47+V48*AQ48+V49*AQ49+V50*AQ50+V51*AQ51+V52*AQ52+V53*AQ53+V54*AQ54+V55/9)*BX55</f>
        <v>175.48984163633784</v>
      </c>
      <c r="BT48" s="321">
        <f>(W46*AQ46+W47*AQ47+W48*AQ48+W49*AQ49+W50*AQ50+W51*AQ51+W52*AQ52+W53*AQ53+W54*AQ54+W55/9)*BX55</f>
        <v>682.82030329601912</v>
      </c>
      <c r="BU48" s="321">
        <f>(X46*AQ46+X47*AQ47+X48*AQ48+X49*AQ49+X50*AQ50+X51*AQ51+X52*AQ52+X53*AQ53+X54*AQ54+X55/9)*BX55</f>
        <v>369.15024083317485</v>
      </c>
      <c r="BV48" s="321">
        <f>(Y46*AQ46+Y47*AQ47+Y48*AQ48+Y49*AQ49+Y50*AQ50+Y51*AQ51+Y52*AQ52+Y53*AQ53+Y54*AQ54+Y55/9)*BX55</f>
        <v>584.79355377248248</v>
      </c>
      <c r="BW48" s="352">
        <f t="shared" ref="BW48:BW54" si="76">AVERAGE(BQ48,BR48,BT48)/3</f>
        <v>335.33820319297234</v>
      </c>
      <c r="BX48" s="339"/>
      <c r="CA48" t="s">
        <v>40</v>
      </c>
      <c r="CB48" t="s">
        <v>40</v>
      </c>
      <c r="CC48" t="s">
        <v>40</v>
      </c>
      <c r="CD48" t="s">
        <v>531</v>
      </c>
      <c r="CE48">
        <v>5900</v>
      </c>
      <c r="CI48" t="s">
        <v>40</v>
      </c>
      <c r="CJ48" t="s">
        <v>40</v>
      </c>
      <c r="CK48" t="s">
        <v>40</v>
      </c>
      <c r="CL48" t="s">
        <v>546</v>
      </c>
      <c r="CM48">
        <v>1305</v>
      </c>
      <c r="CQ48" t="s">
        <v>40</v>
      </c>
      <c r="CR48" t="s">
        <v>523</v>
      </c>
      <c r="CS48" t="s">
        <v>44</v>
      </c>
      <c r="CT48" t="s">
        <v>532</v>
      </c>
      <c r="CU48">
        <v>88</v>
      </c>
    </row>
    <row r="49" spans="2:99" ht="13">
      <c r="B49" s="320" t="s">
        <v>511</v>
      </c>
      <c r="C49" s="122"/>
      <c r="D49" s="122">
        <f>SUMIFS(INDEX(Table5[],,MATCH(B45,Table5[#Headers],0)),Table5[MainSpaceHeatingFuel],"*Oil",Table5[Year_of_Construction (group)],B49)</f>
        <v>10387</v>
      </c>
      <c r="E49" s="122">
        <f>SUMIFS(INDEX(Table5[],,MATCH(B45,Table5[#Headers],0)),Table5[MainSpaceHeatingFuel],"Mains Gas",Table5[Year_of_Construction (group)],B49)</f>
        <v>2302</v>
      </c>
      <c r="F49">
        <f>SUMIFS(INDEX(Table5[],,MATCH(B45,Table5[#Headers],0)),Table5[MainSpaceHeatingFuel],F21,Table5[Year_of_Construction (group)],B49)</f>
        <v>647</v>
      </c>
      <c r="G49">
        <f>SUMIFS(INDEX(Table5[],,MATCH(B45,Table5[#Headers],0)),Table5[MainSpaceHeatingFuel],"*Coal",Table5[Year_of_Construction (group)],B49)</f>
        <v>109</v>
      </c>
      <c r="H49">
        <f>SUMIFS(INDEX(Table5[],,MATCH(B45,Table5[#Headers],0)),Table5[MainSpaceHeatingFuel],"*Peat*",Table5[Year_of_Construction (group)],B49)</f>
        <v>61</v>
      </c>
      <c r="I49">
        <f>SUMIFS(INDEX(Table5[],,MATCH(B45,Table5[#Headers],0)),Table5[MainSpaceHeatingFuel],"*LPG*",Table5[Year_of_Construction (group)],B49)</f>
        <v>195</v>
      </c>
      <c r="J49">
        <f>SUMIFS(INDEX(Table5[],,MATCH(B45,Table5[#Headers],0)),Table5[MainSpaceHeatingFuel],"*Wood*",Table5[Year_of_Construction (group)],B49)</f>
        <v>53</v>
      </c>
      <c r="K49">
        <f>SUMIFS(INDEX(Table5[],,MATCH(B45,Table5[#Headers],0)),Table5[MainSpaceHeatingFuel],"*Multi-Fuel*",Table5[Year_of_Construction (group)],B49)</f>
        <v>711</v>
      </c>
      <c r="L49" s="122">
        <f>SUMIFS(INDEX(Table5[],,MATCH(B45,Table5[#Headers],0)),Table5[MainSpaceHeatingFuel],"",Table5[Year_of_Construction (group)],B49)</f>
        <v>13</v>
      </c>
      <c r="M49" s="325">
        <f t="shared" si="72"/>
        <v>14478</v>
      </c>
      <c r="O49" s="320" t="s">
        <v>511</v>
      </c>
      <c r="P49" s="122">
        <f>SUMIFS( CU280:CU351,CT280:CT351, P45, CS280:CS351, O45)</f>
        <v>492</v>
      </c>
      <c r="Q49" s="122">
        <f>SUMIFS( CU280:CU351,CT280:CT351, Q45, CS280:CS351, O45)</f>
        <v>26248</v>
      </c>
      <c r="R49" s="122">
        <f>SUMIFS( CU280:CU351,CT280:CT351, R45, CS280:CS351, O45)</f>
        <v>6182</v>
      </c>
      <c r="S49" s="122">
        <f>SUMIFS( CU280:CU351,CT280:CT351, S45, CS280:CS351, O45)</f>
        <v>856</v>
      </c>
      <c r="T49" s="122">
        <f>SUMIFS( CU280:CU351,CT280:CT351, T45, CS280:CS351, O45)</f>
        <v>2338</v>
      </c>
      <c r="U49" s="122">
        <f>SUMIFS( CU280:CU351,CT280:CT351, U45, CS280:CS351, O45)</f>
        <v>4315</v>
      </c>
      <c r="V49" s="122">
        <f>SUMIFS( CU280:CU351,CT280:CT351, V45, CS280:CS351, O45)</f>
        <v>298</v>
      </c>
      <c r="W49" s="122">
        <f>SUMIFS( CU280:CU351,CT280:CT351, W45, CS280:CS351, O45)</f>
        <v>1142</v>
      </c>
      <c r="X49" s="122">
        <f>SUMIFS( CU280:CU351,CT280:CT351, X45, CS280:CS351, O45)</f>
        <v>160</v>
      </c>
      <c r="Y49" s="122">
        <f>SUMIFS( CU280:CU351,CT280:CT351, Y45, CS280:CS351, O45)</f>
        <v>190</v>
      </c>
      <c r="Z49" s="325">
        <f t="shared" si="73"/>
        <v>42221</v>
      </c>
      <c r="AB49" s="320" t="s">
        <v>511</v>
      </c>
      <c r="AC49">
        <v>88</v>
      </c>
      <c r="AD49">
        <v>67</v>
      </c>
      <c r="AE49">
        <v>171</v>
      </c>
      <c r="AF49">
        <v>331</v>
      </c>
      <c r="AG49" s="122">
        <v>2563</v>
      </c>
      <c r="AH49" s="122">
        <v>4213</v>
      </c>
      <c r="AI49" s="122">
        <v>3243</v>
      </c>
      <c r="AJ49" s="122">
        <v>1639</v>
      </c>
      <c r="AK49" s="122">
        <v>2163</v>
      </c>
      <c r="AL49" s="325">
        <f t="shared" si="74"/>
        <v>14478</v>
      </c>
      <c r="AN49" s="320" t="s">
        <v>511</v>
      </c>
      <c r="AO49" s="332">
        <f t="shared" si="62"/>
        <v>6.078187594971681E-3</v>
      </c>
      <c r="AP49" s="332">
        <f t="shared" si="63"/>
        <v>4.6277110098079848E-3</v>
      </c>
      <c r="AQ49" s="332">
        <f t="shared" si="64"/>
        <v>1.1811023622047244E-2</v>
      </c>
      <c r="AR49" s="332">
        <f t="shared" si="65"/>
        <v>2.2862273794723029E-2</v>
      </c>
      <c r="AS49" s="332">
        <f t="shared" si="66"/>
        <v>0.17702721370355021</v>
      </c>
      <c r="AT49" s="332">
        <f t="shared" si="67"/>
        <v>0.29099323110926922</v>
      </c>
      <c r="AU49" s="332">
        <f t="shared" si="68"/>
        <v>0.22399502693742229</v>
      </c>
      <c r="AV49" s="332">
        <f t="shared" si="69"/>
        <v>0.11320624395634757</v>
      </c>
      <c r="AW49" s="333">
        <f t="shared" si="70"/>
        <v>0.14939908827186074</v>
      </c>
      <c r="AY49" s="338"/>
      <c r="AZ49">
        <f t="shared" ref="AZ49:BH49" si="77">AO47*$Z$47</f>
        <v>207.468625249501</v>
      </c>
      <c r="BA49">
        <f t="shared" si="77"/>
        <v>163.63722554890219</v>
      </c>
      <c r="BB49">
        <f t="shared" si="77"/>
        <v>388.63841067864274</v>
      </c>
      <c r="BC49">
        <f t="shared" si="77"/>
        <v>937.99195359281441</v>
      </c>
      <c r="BD49">
        <f t="shared" si="77"/>
        <v>4961.7144461077842</v>
      </c>
      <c r="BE49">
        <f t="shared" si="77"/>
        <v>8097.1205713572854</v>
      </c>
      <c r="BF49">
        <f t="shared" si="77"/>
        <v>8254.9136102794419</v>
      </c>
      <c r="BG49">
        <f t="shared" si="77"/>
        <v>6340.9424900199601</v>
      </c>
      <c r="BH49">
        <f t="shared" si="77"/>
        <v>17494.572667165667</v>
      </c>
      <c r="BI49" s="309"/>
      <c r="BJ49" s="339"/>
      <c r="BL49" s="348" t="s">
        <v>54</v>
      </c>
      <c r="BM49" s="322">
        <f>(P46*AR46+P47*AR47+P48*AR48+P49*AR49+P50*AR50+P51*AR51+P52*AR52+P53*AR53+P54*AR54+P55/9)*BX55</f>
        <v>339.710193261553</v>
      </c>
      <c r="BN49" s="322">
        <f>(Q46*AR46+Q47*AR47+Q48*AR48+Q49*AR49+Q50*AR50+Q51*AR51+Q52*AR52+Q53*AR53+Q54*AR54+Q55/9)*BX55</f>
        <v>34329.606575483442</v>
      </c>
      <c r="BO49" s="322">
        <f>(R46*AR46+R47*AR47+R48*AR48+R49*AR49+R50*AR50+R51*AR51+R52*AR52+R53*AR53+R54*AR54+R55/9)*BX55</f>
        <v>7656.6680175161064</v>
      </c>
      <c r="BP49" s="322">
        <f>(S46*AR46+S47*AR47+S48*AR48+S49*AR49+S50*AR50+S51*AR51+S52*AR52+S53*AR53+S54*AR54+S55/9)*BX55</f>
        <v>1630.4603883451343</v>
      </c>
      <c r="BQ49" s="322">
        <f>(T46*AR46+T47*AR47+T48*AR48+T49*AR49+T50*AR50+T51*AR51+T52*AR52+T53*AR53+T54*AR54+T55/9)*BX55</f>
        <v>2133.3310703474585</v>
      </c>
      <c r="BR49" s="322">
        <f>(U46*AR46+U47*AR47+U48*AR48+U49*AR49+U50*AR50+U51*AR51+U52*AR52+U53*AR53+U54*AR54+U55/9)*BX55</f>
        <v>4182.3694569966874</v>
      </c>
      <c r="BS49" s="322">
        <f>(V46*AR46+V47*AR47+V48*AR48+V49*AR49+V50*AR50+V51*AR51+V52*AR52+V53*AR53+V54*AR54+V55/9)*BX55</f>
        <v>495.28416015539341</v>
      </c>
      <c r="BT49" s="322">
        <f>(W46*AR46+W47*AR47+W48*AR48+W49*AR49+W50*AR50+W51*AR51+W52*AR52+W53*AR53+W54*AR54+W55/9)*BX55</f>
        <v>1780.4048610260172</v>
      </c>
      <c r="BU49" s="322">
        <f>(X46*AR46+X47*AR47+X48*AR48+X49*AR49+X50*AR50+X51*AR51+X52*AR52+X53*AR53+X54*AR54+X55/9)*BX55</f>
        <v>860.52275967145385</v>
      </c>
      <c r="BV49" s="322">
        <f>(Y46*AR46+Y47*AR47+Y48*AR48+Y49*AR49+Y50*AR50+Y51*AR51+Y52*AR52+Y53*AR53+Y54*AR54+Y55/9)*BX55</f>
        <v>727.78997883712282</v>
      </c>
      <c r="BW49" s="353">
        <f t="shared" si="76"/>
        <v>899.56726537446264</v>
      </c>
      <c r="BX49" s="339"/>
      <c r="CA49" t="s">
        <v>40</v>
      </c>
      <c r="CB49" t="s">
        <v>40</v>
      </c>
      <c r="CC49" t="s">
        <v>40</v>
      </c>
      <c r="CD49" t="s">
        <v>532</v>
      </c>
      <c r="CE49">
        <v>26052</v>
      </c>
      <c r="CI49" t="s">
        <v>40</v>
      </c>
      <c r="CJ49" t="s">
        <v>40</v>
      </c>
      <c r="CK49" t="s">
        <v>40</v>
      </c>
      <c r="CL49" t="s">
        <v>532</v>
      </c>
      <c r="CM49">
        <v>6256</v>
      </c>
      <c r="CQ49" t="s">
        <v>40</v>
      </c>
      <c r="CR49" t="s">
        <v>523</v>
      </c>
      <c r="CS49" t="s">
        <v>44</v>
      </c>
    </row>
    <row r="50" spans="2:99" ht="13">
      <c r="B50" s="320" t="s">
        <v>512</v>
      </c>
      <c r="C50" s="122"/>
      <c r="D50" s="122">
        <f>SUMIFS(INDEX(Table5[],,MATCH(B45,Table5[#Headers],0)),Table5[MainSpaceHeatingFuel],"*Oil",Table5[Year_of_Construction (group)],B50)</f>
        <v>27683</v>
      </c>
      <c r="E50" s="122">
        <f>SUMIFS(INDEX(Table5[],,MATCH(B45,Table5[#Headers],0)),Table5[MainSpaceHeatingFuel],"Mains Gas",Table5[Year_of_Construction (group)],B50)</f>
        <v>4302</v>
      </c>
      <c r="F50">
        <f>SUMIFS(INDEX(Table5[],,MATCH(B45,Table5[#Headers],0)),Table5[MainSpaceHeatingFuel],F21,Table5[Year_of_Construction (group)],B50)</f>
        <v>902</v>
      </c>
      <c r="G50">
        <f>SUMIFS(INDEX(Table5[],,MATCH(B45,Table5[#Headers],0)),Table5[MainSpaceHeatingFuel],"*Coal",Table5[Year_of_Construction (group)],B50)</f>
        <v>218</v>
      </c>
      <c r="H50">
        <f>SUMIFS(INDEX(Table5[],,MATCH(B45,Table5[#Headers],0)),Table5[MainSpaceHeatingFuel],"*Peat*",Table5[Year_of_Construction (group)],B50)</f>
        <v>145</v>
      </c>
      <c r="I50">
        <f>SUMIFS(INDEX(Table5[],,MATCH(B45,Table5[#Headers],0)),Table5[MainSpaceHeatingFuel],"*LPG*",Table5[Year_of_Construction (group)],B50)</f>
        <v>604</v>
      </c>
      <c r="J50">
        <f>SUMIFS(INDEX(Table5[],,MATCH(B45,Table5[#Headers],0)),Table5[MainSpaceHeatingFuel],"*Wood*",Table5[Year_of_Construction (group)],B50)</f>
        <v>130</v>
      </c>
      <c r="K50">
        <f>SUMIFS(INDEX(Table5[],,MATCH(B45,Table5[#Headers],0)),Table5[MainSpaceHeatingFuel],"*Multi-Fuel*",Table5[Year_of_Construction (group)],B50)</f>
        <v>1581</v>
      </c>
      <c r="L50" s="122">
        <f>SUMIFS(INDEX(Table5[],,MATCH(B45,Table5[#Headers],0)),Table5[MainSpaceHeatingFuel],"",Table5[Year_of_Construction (group)],B50)</f>
        <v>14</v>
      </c>
      <c r="M50" s="325">
        <f t="shared" si="72"/>
        <v>35579</v>
      </c>
      <c r="O50" s="320" t="s">
        <v>512</v>
      </c>
      <c r="P50" s="122">
        <f>SUMIFS( CU365:CU436,CT365:CT436, P45, CS365:CS436, O45)</f>
        <v>743</v>
      </c>
      <c r="Q50" s="122">
        <f>SUMIFS( CU365:CU436,CT365:CT436, Q45, CS365:CS436, O45)</f>
        <v>66311</v>
      </c>
      <c r="R50" s="122">
        <f>SUMIFS( CU365:CU436,CT365:CT436, R45, CS365:CS436, O45)</f>
        <v>10132</v>
      </c>
      <c r="S50" s="122">
        <f>SUMIFS( CU365:CU436,CT365:CT436, S45, CS365:CS436, O45)</f>
        <v>1162</v>
      </c>
      <c r="T50" s="122">
        <f>SUMIFS( CU365:CU436,CT365:CT436, T45, CS365:CS436, O45)</f>
        <v>5117</v>
      </c>
      <c r="U50" s="122">
        <f>SUMIFS( CU365:CU436,CT365:CT436, U45, CS365:CS436, O45)</f>
        <v>9754</v>
      </c>
      <c r="V50" s="122">
        <f>SUMIFS( CU365:CU436,CT365:CT436, V45, CS365:CS436, O45)</f>
        <v>841</v>
      </c>
      <c r="W50" s="122">
        <f>SUMIFS( CU365:CU436,CT365:CT436, W45, CS365:CS436, O45)</f>
        <v>2881</v>
      </c>
      <c r="X50" s="122">
        <f>SUMIFS( CU365:CU436,CT365:CT436, X45, CS365:CS436, O45)</f>
        <v>346</v>
      </c>
      <c r="Y50" s="122">
        <f>SUMIFS( CU365:CU436,CT365:CT436, Y45, CS365:CS436, O45)</f>
        <v>411</v>
      </c>
      <c r="Z50" s="325">
        <f t="shared" si="73"/>
        <v>97698</v>
      </c>
      <c r="AB50" s="320" t="s">
        <v>512</v>
      </c>
      <c r="AC50">
        <v>121</v>
      </c>
      <c r="AD50">
        <v>96</v>
      </c>
      <c r="AE50">
        <v>319</v>
      </c>
      <c r="AF50">
        <v>960</v>
      </c>
      <c r="AG50" s="122">
        <v>9473</v>
      </c>
      <c r="AH50" s="122">
        <v>12760</v>
      </c>
      <c r="AI50" s="122">
        <v>6909</v>
      </c>
      <c r="AJ50" s="122">
        <v>2593</v>
      </c>
      <c r="AK50" s="122">
        <v>2348</v>
      </c>
      <c r="AL50" s="325">
        <f t="shared" si="74"/>
        <v>35579</v>
      </c>
      <c r="AN50" s="320" t="s">
        <v>512</v>
      </c>
      <c r="AO50" s="332">
        <f t="shared" si="62"/>
        <v>3.4008825430731611E-3</v>
      </c>
      <c r="AP50" s="332">
        <f t="shared" si="63"/>
        <v>2.6982208606200287E-3</v>
      </c>
      <c r="AQ50" s="332">
        <f t="shared" si="64"/>
        <v>8.9659630681019706E-3</v>
      </c>
      <c r="AR50" s="332">
        <f t="shared" si="65"/>
        <v>2.6982208606200285E-2</v>
      </c>
      <c r="AS50" s="332">
        <f t="shared" si="66"/>
        <v>0.26625256471514097</v>
      </c>
      <c r="AT50" s="332">
        <f t="shared" si="67"/>
        <v>0.35863852272407881</v>
      </c>
      <c r="AU50" s="332">
        <f t="shared" si="68"/>
        <v>0.19418758256274768</v>
      </c>
      <c r="AV50" s="332">
        <f t="shared" si="69"/>
        <v>7.2880069704038902E-2</v>
      </c>
      <c r="AW50" s="333">
        <f t="shared" si="70"/>
        <v>6.5993985215998197E-2</v>
      </c>
      <c r="AY50" s="338"/>
      <c r="AZ50">
        <f t="shared" ref="AZ50:BH50" si="78">AO48*$Z$48</f>
        <v>234.06804250102164</v>
      </c>
      <c r="BA50">
        <f t="shared" si="78"/>
        <v>225.39885574172456</v>
      </c>
      <c r="BB50">
        <f t="shared" si="78"/>
        <v>537.48957907642011</v>
      </c>
      <c r="BC50">
        <f t="shared" si="78"/>
        <v>913.15433864596105</v>
      </c>
      <c r="BD50">
        <f t="shared" si="78"/>
        <v>5507.8233210734234</v>
      </c>
      <c r="BE50">
        <f t="shared" si="78"/>
        <v>9287.5887481269583</v>
      </c>
      <c r="BF50">
        <f t="shared" si="78"/>
        <v>8180.8225718566946</v>
      </c>
      <c r="BG50">
        <f t="shared" si="78"/>
        <v>5739.001634654679</v>
      </c>
      <c r="BH50">
        <f t="shared" si="78"/>
        <v>11801.652908323116</v>
      </c>
      <c r="BI50" s="309"/>
      <c r="BJ50" s="339"/>
      <c r="BL50" s="347" t="s">
        <v>56</v>
      </c>
      <c r="BM50" s="321">
        <f>(P46*AS46+P47*AS47+P48*AS48+P49*AS49+P50*AS50+P51*AS51+P52*AS52+P53*AS53+P54*AS54+P55/9)*BX55</f>
        <v>1717.3043325018202</v>
      </c>
      <c r="BN50" s="321">
        <f>(Q46*AS46+Q47*AS47+Q48*AS48+Q49*AS49+Q50*AS50+Q51*AS51+Q52*AS52+Q53*AS53+Q54*AS54+Q55/9)*BX55</f>
        <v>163849.2594743463</v>
      </c>
      <c r="BO50" s="321">
        <f>(R46*AS46+R47*AS47+R48*AS48+R49*AS49+R50*AS50+R51*AS51+R52*AS52+R53*AS53+R54*AS54+R55/9)*BX55</f>
        <v>34460.956381660319</v>
      </c>
      <c r="BP50" s="321">
        <f>(S46*AS46+S47*AS47+S48*AS48+S49*AS49+S50*AS50+S51*AS51+S52*AS52+S53*AS53+S54*AS54+S55/9)*BX55</f>
        <v>6165.6039689902091</v>
      </c>
      <c r="BQ50" s="321">
        <f>(T46*AS46+T47*AS47+T48*AS48+T49*AS49+T50*AS50+T51*AS51+T52*AS52+T53*AS53+T54*AS54+T55/9)*BX55</f>
        <v>11165.449786910043</v>
      </c>
      <c r="BR50" s="321">
        <f>(U46*AS46+U47*AS47+U48*AS48+U49*AS49+U50*AS50+U51*AS51+U52*AS52+U53*AS53+U54*AS54+U55/9)*BX55</f>
        <v>21844.180894101482</v>
      </c>
      <c r="BS50" s="321">
        <f>(V46*AS46+V47*AS47+V48*AS48+V49*AS49+V50*AS50+V51*AS51+V52*AS52+V53*AS53+V54*AS54+V55/9)*BX55</f>
        <v>2381.5891297639673</v>
      </c>
      <c r="BT50" s="321">
        <f>(W46*AS46+W47*AS47+W48*AS48+W49*AS49+W50*AS50+W51*AS51+W52*AS52+W53*AS53+W54*AS54+W55/9)*BX55</f>
        <v>8282.3737471957593</v>
      </c>
      <c r="BU50" s="321">
        <f>(X46*AS46+X47*AS47+X48*AS48+X49*AS49+X50*AS50+X51*AS51+X52*AS52+X53*AS53+X54*AS54+X55/9)*BX55</f>
        <v>3026.8540899248737</v>
      </c>
      <c r="BV50" s="321">
        <f>(Y46*AS46+Y47*AS47+Y48*AS48+Y49*AS49+Y50*AS50+Y51*AS51+Y52*AS52+Y53*AS53+Y54*AS54+Y55/9)*BX55</f>
        <v>1574.4153368376396</v>
      </c>
      <c r="BW50" s="352">
        <f t="shared" si="76"/>
        <v>4588.0004920230322</v>
      </c>
      <c r="BX50" s="339"/>
      <c r="CA50" t="s">
        <v>40</v>
      </c>
      <c r="CB50" t="s">
        <v>40</v>
      </c>
      <c r="CC50" t="s">
        <v>535</v>
      </c>
      <c r="CI50" t="s">
        <v>40</v>
      </c>
      <c r="CJ50" t="s">
        <v>40</v>
      </c>
      <c r="CK50" t="s">
        <v>535</v>
      </c>
      <c r="CQ50" t="s">
        <v>40</v>
      </c>
      <c r="CR50" t="s">
        <v>523</v>
      </c>
      <c r="CS50" t="s">
        <v>44</v>
      </c>
      <c r="CT50" t="s">
        <v>521</v>
      </c>
      <c r="CU50">
        <v>36956</v>
      </c>
    </row>
    <row r="51" spans="2:99" ht="13">
      <c r="B51" s="320" t="s">
        <v>513</v>
      </c>
      <c r="C51" s="122"/>
      <c r="D51" s="122">
        <f>SUMIFS(INDEX(Table5[],,MATCH(B45,Table5[#Headers],0)),Table5[MainSpaceHeatingFuel],"*Oil",Table5[Year_of_Construction (group)],B51)</f>
        <v>25187</v>
      </c>
      <c r="E51" s="122">
        <f>SUMIFS(INDEX(Table5[],,MATCH(B45,Table5[#Headers],0)),Table5[MainSpaceHeatingFuel],"Mains Gas",Table5[Year_of_Construction (group)],B51)</f>
        <v>3952</v>
      </c>
      <c r="F51">
        <f>SUMIFS(INDEX(Table5[],,MATCH(B45,Table5[#Headers],0)),Table5[MainSpaceHeatingFuel],F21,Table5[Year_of_Construction (group)],B51)</f>
        <v>744</v>
      </c>
      <c r="G51">
        <f>SUMIFS(INDEX(Table5[],,MATCH(B45,Table5[#Headers],0)),Table5[MainSpaceHeatingFuel],"*Coal",Table5[Year_of_Construction (group)],B51)</f>
        <v>243</v>
      </c>
      <c r="H51">
        <f>SUMIFS(INDEX(Table5[],,MATCH(B45,Table5[#Headers],0)),Table5[MainSpaceHeatingFuel],"*Peat*",Table5[Year_of_Construction (group)],B51)</f>
        <v>128</v>
      </c>
      <c r="I51">
        <f>SUMIFS(INDEX(Table5[],,MATCH(B45,Table5[#Headers],0)),Table5[MainSpaceHeatingFuel],"*LPG*",Table5[Year_of_Construction (group)],B51)</f>
        <v>1048</v>
      </c>
      <c r="J51">
        <f>SUMIFS(INDEX(Table5[],,MATCH(B45,Table5[#Headers],0)),Table5[MainSpaceHeatingFuel],"*Wood*",Table5[Year_of_Construction (group)],B51)</f>
        <v>134</v>
      </c>
      <c r="K51">
        <f>SUMIFS(INDEX(Table5[],,MATCH(B45,Table5[#Headers],0)),Table5[MainSpaceHeatingFuel],"*Multi-Fuel*",Table5[Year_of_Construction (group)],B51)</f>
        <v>1737</v>
      </c>
      <c r="L51" s="122">
        <f>SUMIFS(INDEX(Table5[],,MATCH(B45,Table5[#Headers],0)),Table5[MainSpaceHeatingFuel],"",Table5[Year_of_Construction (group)],B51)</f>
        <v>17</v>
      </c>
      <c r="M51" s="325">
        <f t="shared" si="72"/>
        <v>33190</v>
      </c>
      <c r="O51" s="320" t="s">
        <v>513</v>
      </c>
      <c r="P51" s="122">
        <f>SUMIFS( CU450:CU521,CT450:CT521, P45, CS450:CS521, O45)</f>
        <v>474</v>
      </c>
      <c r="Q51" s="122">
        <f>SUMIFS( CU450:CU521,CT450:CT521, Q45, CS450:CS521, O45)</f>
        <v>54892</v>
      </c>
      <c r="R51" s="122">
        <f>SUMIFS( CU450:CU521,CT450:CT521, R45, CS450:CS521, O45)</f>
        <v>8821</v>
      </c>
      <c r="S51" s="122">
        <f>SUMIFS( CU450:CU521,CT450:CT521, S45, CS450:CS521, O45)</f>
        <v>1049</v>
      </c>
      <c r="T51" s="122">
        <f>SUMIFS( CU450:CU521,CT450:CT521, T45, CS450:CS521, O45)</f>
        <v>5425</v>
      </c>
      <c r="U51" s="122">
        <f>SUMIFS( CU450:CU521,CT450:CT521, U45, CS450:CS521, O45)</f>
        <v>11032</v>
      </c>
      <c r="V51" s="122">
        <f>SUMIFS( CU450:CU521,CT450:CT521, V45, CS450:CS521, O45)</f>
        <v>1160</v>
      </c>
      <c r="W51" s="122">
        <f>SUMIFS( CU450:CU521,CT450:CT521, W45, CS450:CS521, O45)</f>
        <v>2941</v>
      </c>
      <c r="X51" s="122">
        <f>SUMIFS( CU450:CU521,CT450:CT521, X45, CS450:CS521, O45)</f>
        <v>341</v>
      </c>
      <c r="Y51" s="122">
        <f>SUMIFS( CU450:CU521,CT450:CT521, Y45, CS450:CS521, O45)</f>
        <v>356</v>
      </c>
      <c r="Z51" s="325">
        <f t="shared" si="73"/>
        <v>86491</v>
      </c>
      <c r="AB51" s="320" t="s">
        <v>513</v>
      </c>
      <c r="AC51">
        <v>90</v>
      </c>
      <c r="AD51">
        <v>94</v>
      </c>
      <c r="AE51">
        <v>303</v>
      </c>
      <c r="AF51" s="122">
        <v>1399</v>
      </c>
      <c r="AG51" s="122">
        <v>12085</v>
      </c>
      <c r="AH51" s="122">
        <v>13010</v>
      </c>
      <c r="AI51" s="122">
        <v>4266</v>
      </c>
      <c r="AJ51" s="122">
        <v>1158</v>
      </c>
      <c r="AK51">
        <v>785</v>
      </c>
      <c r="AL51" s="325">
        <f t="shared" si="74"/>
        <v>33190</v>
      </c>
      <c r="AN51" s="320" t="s">
        <v>513</v>
      </c>
      <c r="AO51" s="332">
        <f t="shared" si="62"/>
        <v>2.7116601385959627E-3</v>
      </c>
      <c r="AP51" s="332">
        <f t="shared" si="63"/>
        <v>2.8321783669780056E-3</v>
      </c>
      <c r="AQ51" s="332">
        <f t="shared" si="64"/>
        <v>9.1292557999397405E-3</v>
      </c>
      <c r="AR51" s="332">
        <f t="shared" si="65"/>
        <v>4.2151250376619466E-2</v>
      </c>
      <c r="AS51" s="332">
        <f t="shared" si="66"/>
        <v>0.36411569749924677</v>
      </c>
      <c r="AT51" s="332">
        <f t="shared" si="67"/>
        <v>0.39198553781259415</v>
      </c>
      <c r="AU51" s="332">
        <f t="shared" si="68"/>
        <v>0.12853269056944863</v>
      </c>
      <c r="AV51" s="332">
        <f t="shared" si="69"/>
        <v>3.4890027116601385E-2</v>
      </c>
      <c r="AW51" s="333">
        <f t="shared" si="70"/>
        <v>2.3651702319975897E-2</v>
      </c>
      <c r="AY51" s="338"/>
      <c r="AZ51">
        <f t="shared" ref="AZ51:BH51" si="79">AO49*$Z$49</f>
        <v>256.62715844729934</v>
      </c>
      <c r="BA51">
        <f t="shared" si="79"/>
        <v>195.38658654510292</v>
      </c>
      <c r="BB51">
        <f t="shared" si="79"/>
        <v>498.67322834645671</v>
      </c>
      <c r="BC51">
        <f t="shared" si="79"/>
        <v>965.26806188700107</v>
      </c>
      <c r="BD51">
        <f t="shared" si="79"/>
        <v>7474.2659897775929</v>
      </c>
      <c r="BE51">
        <f t="shared" si="79"/>
        <v>12286.025210664457</v>
      </c>
      <c r="BF51">
        <f t="shared" si="79"/>
        <v>9457.2940323249059</v>
      </c>
      <c r="BG51">
        <f t="shared" si="79"/>
        <v>4779.6808260809503</v>
      </c>
      <c r="BH51">
        <f t="shared" si="79"/>
        <v>6307.7789059262323</v>
      </c>
      <c r="BI51" s="309"/>
      <c r="BJ51" s="339"/>
      <c r="BL51" s="348" t="s">
        <v>58</v>
      </c>
      <c r="BM51" s="322">
        <f>(P46*AT46+P47*AT47+P48*AT48+P49*AT49+P50*AT50+P51*AT51+P52*AT52+P53*AT53+P54*AT54+P55/9)*BX55</f>
        <v>1831.7627226618804</v>
      </c>
      <c r="BN51" s="322">
        <f>(Q46*AT46+Q47*AT47+Q48*AT48+Q49*AT49+Q50*AT50+Q51*AT51+Q52*AT52+Q53*AT53+Q54*AT54+Q55/9)*BX55</f>
        <v>107228.36613155821</v>
      </c>
      <c r="BO51" s="322">
        <f>(R46*AT46+R47*AT47+R48*AT48+R49*AT49+R50*AT50+R51*AT51+R52*AT52+R53*AT53+R54*AT54+R55/9)*BX55</f>
        <v>19875.019913364118</v>
      </c>
      <c r="BP51" s="322">
        <f>(S46*AT46+S47*AT47+S48*AT48+S49*AT49+S50*AT50+S51*AT51+S52*AT52+S53*AT53+S54*AT54+S55/9)*BX55</f>
        <v>3174.547749852743</v>
      </c>
      <c r="BQ51" s="322">
        <f>(T46*AT46+T47*AT47+T48*AT48+T49*AT49+T50*AT50+T51*AT51+T52*AT52+T53*AT53+T54*AT54+T55/9)*BX55</f>
        <v>9373.7860686616386</v>
      </c>
      <c r="BR51" s="322">
        <f>(U46*AT46+U47*AT47+U48*AT48+U49*AT49+U50*AT50+U51*AT51+U52*AT52+U53*AT53+U54*AT54+U55/9)*BX55</f>
        <v>17614.816874518059</v>
      </c>
      <c r="BS51" s="322">
        <f>(V46*AT46+V47*AT47+V48*AT48+V49*AT49+V50*AT50+V51*AT51+V52*AT52+V53*AT53+V54*AT54+V55/9)*BX55</f>
        <v>1536.9749476527602</v>
      </c>
      <c r="BT51" s="322">
        <f>(W46*AT46+W47*AT47+W48*AT48+W49*AT49+W50*AT50+W51*AT51+W52*AT52+W53*AT53+W54*AT54+W55/9)*BX55</f>
        <v>5836.3108876834813</v>
      </c>
      <c r="BU51" s="322">
        <f>(X46*AT46+X47*AT47+X48*AT48+X49*AT49+X50*AT50+X51*AT51+X52*AT52+X53*AT53+X54*AT54+X55/9)*BX55</f>
        <v>1064.2402579545919</v>
      </c>
      <c r="BV51" s="322">
        <f>(Y46*AT46+Y47*AT47+Y48*AT48+Y49*AT49+Y50*AT50+Y51*AT51+Y52*AT52+Y53*AT53+Y54*AT54+Y55/9)*BX55</f>
        <v>1220.3313834667658</v>
      </c>
      <c r="BW51" s="353">
        <f t="shared" si="76"/>
        <v>3647.2126478736868</v>
      </c>
      <c r="BX51" s="339"/>
      <c r="CA51" t="s">
        <v>40</v>
      </c>
      <c r="CB51" t="s">
        <v>40</v>
      </c>
      <c r="CC51" t="s">
        <v>40</v>
      </c>
      <c r="CD51" t="s">
        <v>522</v>
      </c>
      <c r="CE51">
        <v>284569</v>
      </c>
      <c r="CI51" t="s">
        <v>40</v>
      </c>
      <c r="CJ51" t="s">
        <v>40</v>
      </c>
      <c r="CK51" t="s">
        <v>40</v>
      </c>
      <c r="CL51" t="s">
        <v>521</v>
      </c>
      <c r="CM51">
        <v>284569</v>
      </c>
      <c r="CQ51" t="s">
        <v>40</v>
      </c>
      <c r="CR51" t="s">
        <v>523</v>
      </c>
      <c r="CS51" t="s">
        <v>44</v>
      </c>
      <c r="CT51" t="s">
        <v>540</v>
      </c>
      <c r="CU51">
        <v>1568</v>
      </c>
    </row>
    <row r="52" spans="2:99" ht="13">
      <c r="B52" s="320" t="s">
        <v>514</v>
      </c>
      <c r="C52" s="122"/>
      <c r="D52" s="122">
        <f>SUMIFS(INDEX(Table5[],,MATCH(B45,Table5[#Headers],0)),Table5[MainSpaceHeatingFuel],"*Oil",Table5[Year_of_Construction (group)],B52)</f>
        <v>36438</v>
      </c>
      <c r="E52" s="122">
        <f>SUMIFS(INDEX(Table5[],,MATCH(B45,Table5[#Headers],0)),Table5[MainSpaceHeatingFuel],"Mains Gas",Table5[Year_of_Construction (group)],B52)</f>
        <v>9175</v>
      </c>
      <c r="F52">
        <f>SUMIFS(INDEX(Table5[],,MATCH(B45,Table5[#Headers],0)),Table5[MainSpaceHeatingFuel],F21,Table5[Year_of_Construction (group)],B52)</f>
        <v>1914</v>
      </c>
      <c r="G52">
        <f>SUMIFS(INDEX(Table5[],,MATCH(B45,Table5[#Headers],0)),Table5[MainSpaceHeatingFuel],"*Coal",Table5[Year_of_Construction (group)],B52)</f>
        <v>149</v>
      </c>
      <c r="H52">
        <f>SUMIFS(INDEX(Table5[],,MATCH(B45,Table5[#Headers],0)),Table5[MainSpaceHeatingFuel],"*Peat*",Table5[Year_of_Construction (group)],B52)</f>
        <v>58</v>
      </c>
      <c r="I52">
        <f>SUMIFS(INDEX(Table5[],,MATCH(B45,Table5[#Headers],0)),Table5[MainSpaceHeatingFuel],"*LPG*",Table5[Year_of_Construction (group)],B52)</f>
        <v>1055</v>
      </c>
      <c r="J52">
        <f>SUMIFS(INDEX(Table5[],,MATCH(B45,Table5[#Headers],0)),Table5[MainSpaceHeatingFuel],"*Wood*",Table5[Year_of_Construction (group)],B52)</f>
        <v>134</v>
      </c>
      <c r="K52">
        <f>SUMIFS(INDEX(Table5[],,MATCH(B45,Table5[#Headers],0)),Table5[MainSpaceHeatingFuel],"*Multi-Fuel*",Table5[Year_of_Construction (group)],B52)</f>
        <v>1220</v>
      </c>
      <c r="L52" s="122">
        <f>SUMIFS(INDEX(Table5[],,MATCH(B45,Table5[#Headers],0)),Table5[MainSpaceHeatingFuel],"",Table5[Year_of_Construction (group)],B52)</f>
        <v>16</v>
      </c>
      <c r="M52" s="325">
        <f t="shared" si="72"/>
        <v>50159</v>
      </c>
      <c r="O52" s="320" t="s">
        <v>514</v>
      </c>
      <c r="P52" s="122">
        <f>SUMIFS( CU535:CU606,CT535:CT606, P45, CS535:CS606, O45)</f>
        <v>445</v>
      </c>
      <c r="Q52" s="122">
        <f>SUMIFS( CU535:CU606,CT535:CT606, Q45, CS535:CS606, O45)</f>
        <v>74134</v>
      </c>
      <c r="R52" s="122">
        <f>SUMIFS( CU535:CU606,CT535:CT606, R45, CS535:CS606, O45)</f>
        <v>17190</v>
      </c>
      <c r="S52" s="122">
        <f>SUMIFS( CU535:CU606,CT535:CT606, S45, CS535:CS606, O45)</f>
        <v>1747</v>
      </c>
      <c r="T52" s="122">
        <f>SUMIFS( CU535:CU606,CT535:CT606, T45, CS535:CS606, O45)</f>
        <v>4583</v>
      </c>
      <c r="U52" s="122">
        <f>SUMIFS( CU535:CU606,CT535:CT606, U45, CS535:CS606, O45)</f>
        <v>8635</v>
      </c>
      <c r="V52" s="122">
        <f>SUMIFS( CU535:CU606,CT535:CT606, V45, CS535:CS606, O45)</f>
        <v>969</v>
      </c>
      <c r="W52" s="122">
        <f>SUMIFS( CU535:CU606,CT535:CT606, W45, CS535:CS606, O45)</f>
        <v>2895</v>
      </c>
      <c r="X52" s="122">
        <f>SUMIFS( CU535:CU606,CT535:CT606, X45, CS535:CS606, O45)</f>
        <v>428</v>
      </c>
      <c r="Y52" s="122">
        <f>SUMIFS( CU535:CU606,CT535:CT606, Y45, CS535:CS606, O45)</f>
        <v>429</v>
      </c>
      <c r="Z52" s="325">
        <f t="shared" si="73"/>
        <v>111455</v>
      </c>
      <c r="AB52" s="320" t="s">
        <v>514</v>
      </c>
      <c r="AC52">
        <v>97</v>
      </c>
      <c r="AD52">
        <v>137</v>
      </c>
      <c r="AE52">
        <v>760</v>
      </c>
      <c r="AF52" s="122">
        <v>3782</v>
      </c>
      <c r="AG52" s="122">
        <v>26945</v>
      </c>
      <c r="AH52" s="122">
        <v>14603</v>
      </c>
      <c r="AI52" s="122">
        <v>2602</v>
      </c>
      <c r="AJ52">
        <v>820</v>
      </c>
      <c r="AK52">
        <v>413</v>
      </c>
      <c r="AL52" s="325">
        <f t="shared" si="74"/>
        <v>50159</v>
      </c>
      <c r="AN52" s="320" t="s">
        <v>514</v>
      </c>
      <c r="AO52" s="332">
        <f t="shared" si="62"/>
        <v>1.9338503558683387E-3</v>
      </c>
      <c r="AP52" s="332">
        <f t="shared" si="63"/>
        <v>2.7313144201439421E-3</v>
      </c>
      <c r="AQ52" s="332">
        <f t="shared" si="64"/>
        <v>1.5151817221236468E-2</v>
      </c>
      <c r="AR52" s="332">
        <f t="shared" si="65"/>
        <v>7.5400227277258314E-2</v>
      </c>
      <c r="AS52" s="332">
        <f t="shared" si="66"/>
        <v>0.53719173029765344</v>
      </c>
      <c r="AT52" s="332">
        <f t="shared" si="67"/>
        <v>0.29113419326541595</v>
      </c>
      <c r="AU52" s="332">
        <f t="shared" si="68"/>
        <v>5.187503738112801E-2</v>
      </c>
      <c r="AV52" s="332">
        <f t="shared" si="69"/>
        <v>1.6348013317649873E-2</v>
      </c>
      <c r="AW52" s="333">
        <f t="shared" si="70"/>
        <v>8.2338164636456077E-3</v>
      </c>
      <c r="AY52" s="338"/>
      <c r="AZ52">
        <f t="shared" ref="AZ52:BH52" si="80">AO50*$Z$50</f>
        <v>332.2594226931617</v>
      </c>
      <c r="BA52">
        <f t="shared" si="80"/>
        <v>263.61078164085558</v>
      </c>
      <c r="BB52">
        <f t="shared" si="80"/>
        <v>875.95665982742628</v>
      </c>
      <c r="BC52">
        <f t="shared" si="80"/>
        <v>2636.1078164085557</v>
      </c>
      <c r="BD52">
        <f t="shared" si="80"/>
        <v>26012.343067539841</v>
      </c>
      <c r="BE52">
        <f t="shared" si="80"/>
        <v>35038.266393097052</v>
      </c>
      <c r="BF52">
        <f t="shared" si="80"/>
        <v>18971.738441215322</v>
      </c>
      <c r="BG52">
        <f t="shared" si="80"/>
        <v>7120.2370499451927</v>
      </c>
      <c r="BH52">
        <f t="shared" si="80"/>
        <v>6447.4803676325919</v>
      </c>
      <c r="BI52" s="309"/>
      <c r="BJ52" s="339"/>
      <c r="BL52" s="347" t="s">
        <v>60</v>
      </c>
      <c r="BM52" s="321">
        <f>(P46*AU46+P47*AU47+P48*AU48+P49*AU49+P50*AU50+P51*AU51+P52*AU52+P53*AU53+P54*AU54+P55/9)*BX55</f>
        <v>1434.0866591059389</v>
      </c>
      <c r="BN52" s="321">
        <f>(Q46*AU46+Q47*AU47+Q48*AU48+Q49*AU49+Q50*AU50+Q51*AU51+Q52*AU52+Q53*AU53+Q54*AU54+Q55/9)*BX55</f>
        <v>50708.062237806495</v>
      </c>
      <c r="BO52" s="321">
        <f>(R46*AU46+R47*AU47+R48*AU48+R49*AU49+R50*AU50+R51*AU51+R52*AU52+R53*AU53+R54*AU54+R55/9)*BX55</f>
        <v>8524.8396225770775</v>
      </c>
      <c r="BP52" s="321">
        <f>(S46*AU46+S47*AU47+S48*AU48+S49*AU49+S50*AU50+S51*AU51+S52*AU52+S53*AU53+S54*AU54+S55/9)*BX55</f>
        <v>1630.6804634911505</v>
      </c>
      <c r="BQ52" s="321">
        <f>(T46*AU46+T47*AU47+T48*AU48+T49*AU49+T50*AU50+T51*AU51+T52*AU52+T53*AU53+T54*AU54+T55/9)*BX55</f>
        <v>5326.9003757247274</v>
      </c>
      <c r="BR52" s="321">
        <f>(U46*AU46+U47*AU47+U48*AU48+U49*AU49+U50*AU50+U51*AU51+U52*AU52+U53*AU53+U54*AU54+U55/9)*BX55</f>
        <v>9547.6157774056082</v>
      </c>
      <c r="BS52" s="321">
        <f>(V46*AU46+V47*AU47+V48*AU48+V49*AU49+V50*AU50+V51*AU51+V52*AU52+V53*AU53+V54*AU54+V55/9)*BX55</f>
        <v>671.14821463642295</v>
      </c>
      <c r="BT52" s="321">
        <f>(W46*AU46+W47*AU47+W48*AU48+W49*AU49+W50*AU50+W51*AU51+W52*AU52+W53*AU53+W54*AU54+W55/9)*BX55</f>
        <v>3290.2431310775041</v>
      </c>
      <c r="BU52" s="321">
        <f>(X46*AU46+X47*AU47+X48*AU48+X49*AU49+X50*AU50+X51*AU51+X52*AU52+X53*AU53+X54*AU54+X55/9)*BX55</f>
        <v>415.74437983152592</v>
      </c>
      <c r="BV52" s="321">
        <f>(Y46*AU46+Y47*AU47+Y48*AU48+Y49*AU49+Y50*AU50+Y51*AU51+Y52*AU52+Y53*AU53+Y54*AU54+Y55/9)*BX55</f>
        <v>867.28659244145547</v>
      </c>
      <c r="BW52" s="352">
        <f t="shared" si="76"/>
        <v>2018.3065871342042</v>
      </c>
      <c r="BX52" s="339"/>
      <c r="CA52" t="s">
        <v>40</v>
      </c>
      <c r="CB52" t="s">
        <v>40</v>
      </c>
      <c r="CC52" t="s">
        <v>40</v>
      </c>
      <c r="CD52" t="s">
        <v>523</v>
      </c>
      <c r="CE52">
        <v>36956</v>
      </c>
      <c r="CI52" t="s">
        <v>40</v>
      </c>
      <c r="CJ52" t="s">
        <v>40</v>
      </c>
      <c r="CK52" t="s">
        <v>40</v>
      </c>
      <c r="CL52" t="s">
        <v>540</v>
      </c>
      <c r="CM52">
        <v>5402</v>
      </c>
      <c r="CQ52" t="s">
        <v>40</v>
      </c>
      <c r="CR52" t="s">
        <v>523</v>
      </c>
      <c r="CS52" t="s">
        <v>44</v>
      </c>
      <c r="CT52" t="s">
        <v>541</v>
      </c>
      <c r="CU52">
        <v>8359</v>
      </c>
    </row>
    <row r="53" spans="2:99" ht="13">
      <c r="B53" s="320" t="s">
        <v>547</v>
      </c>
      <c r="C53" s="122"/>
      <c r="D53" s="122">
        <f>SUMIFS(INDEX(Table5[],,MATCH(B45,Table5[#Headers],0)),Table5[MainSpaceHeatingFuel],"*Oil",Table5[Year_of_Construction (group)],B53)</f>
        <v>47807</v>
      </c>
      <c r="E53" s="122">
        <f>SUMIFS(INDEX(Table5[],,MATCH(B45,Table5[#Headers],0)),Table5[MainSpaceHeatingFuel],"Mains Gas",Table5[Year_of_Construction (group)],B53)</f>
        <v>14262</v>
      </c>
      <c r="F53">
        <f>SUMIFS(INDEX(Table5[],,MATCH(B45,Table5[#Headers],0)),Table5[MainSpaceHeatingFuel],F21,Table5[Year_of_Construction (group)],B53)</f>
        <v>3795</v>
      </c>
      <c r="G53">
        <f>SUMIFS(INDEX(Table5[],,MATCH(B45,Table5[#Headers],0)),Table5[MainSpaceHeatingFuel],"*Coal",Table5[Year_of_Construction (group)],B53)</f>
        <v>131</v>
      </c>
      <c r="H53">
        <f>SUMIFS(INDEX(Table5[],,MATCH(B45,Table5[#Headers],0)),Table5[MainSpaceHeatingFuel],"*Peat*",Table5[Year_of_Construction (group)],B53)</f>
        <v>18</v>
      </c>
      <c r="I53">
        <f>SUMIFS(INDEX(Table5[],,MATCH(B45,Table5[#Headers],0)),Table5[MainSpaceHeatingFuel],"*LPG*",Table5[Year_of_Construction (group)],B53)</f>
        <v>1997</v>
      </c>
      <c r="J53">
        <f>SUMIFS(INDEX(Table5[],,MATCH(B45,Table5[#Headers],0)),Table5[MainSpaceHeatingFuel],"*Wood*",Table5[Year_of_Construction (group)],B53)</f>
        <v>520</v>
      </c>
      <c r="K53">
        <f>SUMIFS(INDEX(Table5[],,MATCH(B45,Table5[#Headers],0)),Table5[MainSpaceHeatingFuel],"*Multi-Fuel*",Table5[Year_of_Construction (group)],B53)</f>
        <v>927</v>
      </c>
      <c r="L53" s="122">
        <f>SUMIFS(INDEX(Table5[],,MATCH(B45,Table5[#Headers],0)),Table5[MainSpaceHeatingFuel],"",Table5[Year_of_Construction (group)],B53)</f>
        <v>48</v>
      </c>
      <c r="M53" s="325">
        <f t="shared" si="72"/>
        <v>69505</v>
      </c>
      <c r="O53" s="320" t="s">
        <v>547</v>
      </c>
      <c r="P53" s="122">
        <f>SUMIFS( CU620:CU691,CT620:CT691, P45, CS620:CS691, O45)</f>
        <v>644</v>
      </c>
      <c r="Q53" s="122">
        <f>SUMIFS( CU620:CU691,CT620:CT691, Q45, CS620:CS691, O45)</f>
        <v>113051</v>
      </c>
      <c r="R53" s="122">
        <f>SUMIFS( CU620:CU691,CT620:CT691, R45, CS620:CS691, O45)</f>
        <v>26564</v>
      </c>
      <c r="S53" s="122">
        <f>SUMIFS( CU620:CU691,CT620:CT691, S45, CS620:CS691, O45)</f>
        <v>6208</v>
      </c>
      <c r="T53" s="122">
        <f>SUMIFS( CU620:CU691,CT620:CT691, T45, CS620:CS691, O45)</f>
        <v>5234</v>
      </c>
      <c r="U53" s="122">
        <f>SUMIFS( CU620:CU691,CT620:CT691, U45, CS620:CS691, O45)</f>
        <v>11248</v>
      </c>
      <c r="V53" s="122">
        <f>SUMIFS( CU620:CU691,CT620:CT691, V45, CS620:CS691, O45)</f>
        <v>1668</v>
      </c>
      <c r="W53" s="122">
        <f>SUMIFS( CU620:CU691,CT620:CT691, W45, CS620:CS691, O45)</f>
        <v>5852</v>
      </c>
      <c r="X53" s="122">
        <f>SUMIFS( CU620:CU691,CT620:CT691, X45, CS620:CS691, O45)</f>
        <v>3988</v>
      </c>
      <c r="Y53" s="122">
        <f>SUMIFS( CU620:CU691,CT620:CT691, Y45, CS620:CS691, O45)</f>
        <v>766</v>
      </c>
      <c r="Z53" s="325">
        <f t="shared" si="73"/>
        <v>175223</v>
      </c>
      <c r="AB53" s="320" t="s">
        <v>547</v>
      </c>
      <c r="AC53">
        <v>562</v>
      </c>
      <c r="AD53" s="122">
        <v>1504</v>
      </c>
      <c r="AE53" s="122">
        <v>4471</v>
      </c>
      <c r="AF53" s="122">
        <v>12409</v>
      </c>
      <c r="AG53" s="122">
        <v>41033</v>
      </c>
      <c r="AH53" s="122">
        <v>7731</v>
      </c>
      <c r="AI53" s="122">
        <v>1198</v>
      </c>
      <c r="AJ53">
        <v>410</v>
      </c>
      <c r="AK53">
        <v>200</v>
      </c>
      <c r="AL53" s="325">
        <f t="shared" si="74"/>
        <v>69518</v>
      </c>
      <c r="AN53" s="320" t="s">
        <v>547</v>
      </c>
      <c r="AO53" s="332">
        <f t="shared" si="62"/>
        <v>8.0842371759831978E-3</v>
      </c>
      <c r="AP53" s="332">
        <f t="shared" si="63"/>
        <v>2.1634684542132972E-2</v>
      </c>
      <c r="AQ53" s="332">
        <f t="shared" si="64"/>
        <v>6.4314278316407264E-2</v>
      </c>
      <c r="AR53" s="332">
        <f t="shared" si="65"/>
        <v>0.17850053223625537</v>
      </c>
      <c r="AS53" s="332">
        <f t="shared" si="66"/>
        <v>0.59025000719238185</v>
      </c>
      <c r="AT53" s="332">
        <f t="shared" si="67"/>
        <v>0.11120860784257315</v>
      </c>
      <c r="AU53" s="332">
        <f t="shared" si="68"/>
        <v>1.7232946862683046E-2</v>
      </c>
      <c r="AV53" s="332">
        <f t="shared" si="69"/>
        <v>5.8977530999165684E-3</v>
      </c>
      <c r="AW53" s="333">
        <f t="shared" si="70"/>
        <v>2.8769527316666187E-3</v>
      </c>
      <c r="AY53" s="338"/>
      <c r="AZ53">
        <f t="shared" ref="AZ53:BH53" si="81">AO51*$Z$51</f>
        <v>234.53419704730342</v>
      </c>
      <c r="BA53">
        <f t="shared" si="81"/>
        <v>244.95793913829468</v>
      </c>
      <c r="BB53">
        <f t="shared" si="81"/>
        <v>789.59846339258809</v>
      </c>
      <c r="BC53">
        <f t="shared" si="81"/>
        <v>3645.7037963241942</v>
      </c>
      <c r="BD53">
        <f t="shared" si="81"/>
        <v>31492.730792407354</v>
      </c>
      <c r="BE53">
        <f t="shared" si="81"/>
        <v>33903.221150949081</v>
      </c>
      <c r="BF53">
        <f t="shared" si="81"/>
        <v>11116.920940042182</v>
      </c>
      <c r="BG53">
        <f t="shared" si="81"/>
        <v>3017.6733353419704</v>
      </c>
      <c r="BH53">
        <f t="shared" si="81"/>
        <v>2045.6593853570353</v>
      </c>
      <c r="BI53" s="309"/>
      <c r="BJ53" s="339"/>
      <c r="BL53" s="348" t="s">
        <v>62</v>
      </c>
      <c r="BM53" s="322">
        <f>(P46*AV46+P47*AV47+P48*AV48+P49*AV49+P50*AV50+P51*AV51+P52*AV52+P53*AV53+P54*AV54+P55/9)*BX55</f>
        <v>979.01102258318224</v>
      </c>
      <c r="BN53" s="322">
        <f>(Q46*AV46+Q47*AV47+Q48*AV48+Q49*AV49+Q50*AV50+Q51*AV51+Q52*AV52+Q53*AV53+Q54*AV54+Q55/9)*BX55</f>
        <v>26075.179869251067</v>
      </c>
      <c r="BO53" s="322">
        <f>(R46*AV46+R47*AV47+R48*AV48+R49*AV49+R50*AV50+R51*AV51+R52*AV52+R53*AV53+R54*AV54+R55/9)*BX55</f>
        <v>4225.276326032139</v>
      </c>
      <c r="BP53" s="322">
        <f>(S46*AV46+S47*AV47+S48*AV48+S49*AV49+S50*AV50+S51*AV51+S52*AV52+S53*AV53+S54*AV54+S55/9)*BX55</f>
        <v>978.25476954413898</v>
      </c>
      <c r="BQ53" s="322">
        <f>(T46*AV46+T47*AV47+T48*AV48+T49*AV49+T50*AV50+T51*AV51+T52*AV52+T53*AV53+T54*AV54+T55/9)*BX55</f>
        <v>3058.2290387389176</v>
      </c>
      <c r="BR53" s="322">
        <f>(U46*AV46+U47*AV47+U48*AV48+U49*AV49+U50*AV50+U51*AV51+U52*AV52+U53*AV53+U54*AV54+U55/9)*BX55</f>
        <v>5279.6430082449397</v>
      </c>
      <c r="BS53" s="322">
        <f>(V46*AV46+V47*AV47+V48*AV48+V49*AV49+V50*AV50+V51*AV51+V52*AV52+V53*AV53+V54*AV54+V55/9)*BX55</f>
        <v>322.72552952734486</v>
      </c>
      <c r="BT53" s="322">
        <f>(W46*AV46+W47*AV47+W48*AV48+W49*AV49+W50*AV50+W51*AV51+W52*AV52+W53*AV53+W54*AV54+W55/9)*BX55</f>
        <v>1942.6334572594192</v>
      </c>
      <c r="BU53" s="322">
        <f>(X46*AV46+X47*AV47+X48*AV48+X49*AV49+X50*AV50+X51*AV51+X52*AV52+X53*AV53+X54*AV54+X55/9)*BX55</f>
        <v>222.55130864377296</v>
      </c>
      <c r="BV53" s="322">
        <f>(Y46*AV46+Y47*AV47+Y48*AV48+Y49*AV49+Y50*AV50+Y51*AV51+Y52*AV52+Y53*AV53+Y54*AV54+Y55/9)*BX55</f>
        <v>699.31593082170093</v>
      </c>
      <c r="BW53" s="353">
        <f t="shared" si="76"/>
        <v>1142.2783893603639</v>
      </c>
      <c r="BX53" s="339"/>
      <c r="CA53" t="s">
        <v>40</v>
      </c>
      <c r="CB53" t="s">
        <v>40</v>
      </c>
      <c r="CC53" t="s">
        <v>40</v>
      </c>
      <c r="CD53" t="s">
        <v>524</v>
      </c>
      <c r="CE53">
        <v>31594</v>
      </c>
      <c r="CI53" t="s">
        <v>40</v>
      </c>
      <c r="CJ53" t="s">
        <v>40</v>
      </c>
      <c r="CK53" t="s">
        <v>40</v>
      </c>
      <c r="CL53" t="s">
        <v>541</v>
      </c>
      <c r="CM53">
        <v>61595</v>
      </c>
      <c r="CQ53" t="s">
        <v>40</v>
      </c>
      <c r="CR53" t="s">
        <v>523</v>
      </c>
      <c r="CS53" t="s">
        <v>44</v>
      </c>
      <c r="CT53" t="s">
        <v>542</v>
      </c>
      <c r="CU53">
        <v>19994</v>
      </c>
    </row>
    <row r="54" spans="2:99" ht="13.5" thickBot="1">
      <c r="B54" s="320" t="s">
        <v>548</v>
      </c>
      <c r="C54" s="122"/>
      <c r="D54" s="122">
        <f>SUMIFS(INDEX(Table5[],,MATCH(B45,Table5[#Headers],0)),Table5[MainSpaceHeatingFuel],"*Oil",Table5[Year_of_Construction (group)],B54)</f>
        <v>2311</v>
      </c>
      <c r="E54" s="122">
        <f>SUMIFS(INDEX(Table5[],,MATCH(B45,Table5[#Headers],0)),Table5[MainSpaceHeatingFuel],"Mains Gas",Table5[Year_of_Construction (group)],B54)</f>
        <v>2722</v>
      </c>
      <c r="F54">
        <f>SUMIFS(INDEX(Table5[],,MATCH(B45,Table5[#Headers],0)),Table5[MainSpaceHeatingFuel],F21,Table5[Year_of_Construction (group)],B54)</f>
        <v>5400</v>
      </c>
      <c r="G54">
        <f>SUMIFS(INDEX(Table5[],,MATCH(B45,Table5[#Headers],0)),Table5[MainSpaceHeatingFuel],"*Coal",Table5[Year_of_Construction (group)],B54)</f>
        <v>6</v>
      </c>
      <c r="H54">
        <f>SUMIFS(INDEX(Table5[],,MATCH(B45,Table5[#Headers],0)),Table5[MainSpaceHeatingFuel],"*Peat*",Table5[Year_of_Construction (group)],B54)</f>
        <v>1</v>
      </c>
      <c r="I54">
        <f>SUMIFS(INDEX(Table5[],,MATCH(B45,Table5[#Headers],0)),Table5[MainSpaceHeatingFuel],"*LPG*",Table5[Year_of_Construction (group)],B54)</f>
        <v>125</v>
      </c>
      <c r="J54">
        <f>SUMIFS(INDEX(Table5[],,MATCH(B45,Table5[#Headers],0)),Table5[MainSpaceHeatingFuel],"*Wood*",Table5[Year_of_Construction (group)],B54)</f>
        <v>51</v>
      </c>
      <c r="K54">
        <f>SUMIFS(INDEX(Table5[],,MATCH(B45,Table5[#Headers],0)),Table5[MainSpaceHeatingFuel],"*Multi-Fuel*",Table5[Year_of_Construction (group)],B54)</f>
        <v>35</v>
      </c>
      <c r="L54" s="122">
        <f>SUMIFS(INDEX(Table5[],,MATCH(B45,Table5[#Headers],0)),Table5[MainSpaceHeatingFuel],"",Table5[Year_of_Construction (group)],B54)</f>
        <v>43</v>
      </c>
      <c r="M54" s="325">
        <f t="shared" si="72"/>
        <v>10694</v>
      </c>
      <c r="O54" s="320" t="s">
        <v>548</v>
      </c>
      <c r="P54" s="122">
        <f>SUMIFS( CU705:CU776,CT705:CT776, P45, CS705:CS776, O45)</f>
        <v>149</v>
      </c>
      <c r="Q54" s="122">
        <f>SUMIFS( CU705:CU776,CT705:CT776, Q45, CS705:CS776, O45)</f>
        <v>9159</v>
      </c>
      <c r="R54" s="122">
        <f>SUMIFS( CU705:CU776,CT705:CT776, R45, CS705:CS776, O45)</f>
        <v>2065</v>
      </c>
      <c r="S54" s="122">
        <f>SUMIFS( CU705:CU776,CT705:CT776, S45, CS705:CS776, O45)</f>
        <v>2298</v>
      </c>
      <c r="T54" s="122">
        <f>SUMIFS( CU705:CU776,CT705:CT776, T45, CS705:CS776, O45)</f>
        <v>438</v>
      </c>
      <c r="U54" s="122">
        <f>SUMIFS( CU705:CU776,CT705:CT776, U45, CS705:CS776, O45)</f>
        <v>1332</v>
      </c>
      <c r="V54" s="122">
        <f>SUMIFS( CU705:CU776,CT705:CT776, V45, CS705:CS776, O45)</f>
        <v>151</v>
      </c>
      <c r="W54" s="122">
        <f>SUMIFS( CU705:CU776,CT705:CT776, W45, CS705:CS776, O45)</f>
        <v>964</v>
      </c>
      <c r="X54" s="122">
        <f>SUMIFS( CU705:CU776,CT705:CT776, X45, CS705:CS776, O45)</f>
        <v>1361</v>
      </c>
      <c r="Y54" s="122">
        <f>SUMIFS( CU705:CU776,CT705:CT776, Y45, CS705:CS776, O45)</f>
        <v>133</v>
      </c>
      <c r="Z54" s="325">
        <f t="shared" si="73"/>
        <v>18050</v>
      </c>
      <c r="AB54" s="320" t="s">
        <v>548</v>
      </c>
      <c r="AC54" s="122">
        <v>8695</v>
      </c>
      <c r="AD54">
        <v>928</v>
      </c>
      <c r="AE54">
        <v>544</v>
      </c>
      <c r="AF54">
        <v>315</v>
      </c>
      <c r="AG54">
        <v>176</v>
      </c>
      <c r="AH54">
        <v>31</v>
      </c>
      <c r="AI54">
        <v>2</v>
      </c>
      <c r="AJ54">
        <v>2</v>
      </c>
      <c r="AK54">
        <v>1</v>
      </c>
      <c r="AL54" s="325">
        <f t="shared" si="74"/>
        <v>10694</v>
      </c>
      <c r="AN54" s="331" t="s">
        <v>548</v>
      </c>
      <c r="AO54" s="334">
        <f t="shared" si="62"/>
        <v>0.81307275107536936</v>
      </c>
      <c r="AP54" s="334">
        <f t="shared" si="63"/>
        <v>8.6777632317187214E-2</v>
      </c>
      <c r="AQ54" s="334">
        <f t="shared" si="64"/>
        <v>5.0869646530764916E-2</v>
      </c>
      <c r="AR54" s="334">
        <f t="shared" si="65"/>
        <v>2.9455769590424539E-2</v>
      </c>
      <c r="AS54" s="334">
        <f t="shared" si="66"/>
        <v>1.6457826818776885E-2</v>
      </c>
      <c r="AT54" s="334">
        <f t="shared" si="67"/>
        <v>2.8988217692163831E-3</v>
      </c>
      <c r="AU54" s="334">
        <f t="shared" si="68"/>
        <v>1.8702075930428279E-4</v>
      </c>
      <c r="AV54" s="334">
        <f t="shared" si="69"/>
        <v>1.8702075930428279E-4</v>
      </c>
      <c r="AW54" s="335">
        <f t="shared" si="70"/>
        <v>9.3510379652141394E-5</v>
      </c>
      <c r="AY54" s="338"/>
      <c r="AZ54">
        <f t="shared" ref="AZ54:BH54" si="82">AO52*$Z$52</f>
        <v>215.5372914133057</v>
      </c>
      <c r="BA54">
        <f t="shared" si="82"/>
        <v>304.41864869714306</v>
      </c>
      <c r="BB54">
        <f t="shared" si="82"/>
        <v>1688.7457883929105</v>
      </c>
      <c r="BC54">
        <f t="shared" si="82"/>
        <v>8403.7323311868258</v>
      </c>
      <c r="BD54">
        <f t="shared" si="82"/>
        <v>59872.704300324964</v>
      </c>
      <c r="BE54">
        <f t="shared" si="82"/>
        <v>32448.361510396935</v>
      </c>
      <c r="BF54">
        <f t="shared" si="82"/>
        <v>5781.7322913136222</v>
      </c>
      <c r="BG54">
        <f t="shared" si="82"/>
        <v>1822.0678243186667</v>
      </c>
      <c r="BH54">
        <f t="shared" si="82"/>
        <v>917.70001395562122</v>
      </c>
      <c r="BI54" s="309"/>
      <c r="BJ54" s="339"/>
      <c r="BL54" s="347" t="s">
        <v>64</v>
      </c>
      <c r="BM54" s="321">
        <f>(P46*AW46+P47*AW47+P48*AW48+P49*AW49+P50*AW50+P51*AW51+P52*AW52+P53*AW53+P54*AW54+P55/9)*BX55</f>
        <v>2351.3485137849739</v>
      </c>
      <c r="BN54" s="321">
        <f>(Q46*AW46+Q47*AW47+Q48*AW48+Q49*AW49+Q50*AW50+Q51*AW51+Q52*AW52+Q53*AW53+Q54*AW54+Q55/9)*BX55</f>
        <v>46077.565776507807</v>
      </c>
      <c r="BO54" s="321">
        <f>(R46*AW46+R47*AW47+R48*AW48+R49*AW49+R50*AW50+R51*AW51+R52*AW52+R53*AW53+R54*AW54+R55/9)*BX55</f>
        <v>6457.2580532124321</v>
      </c>
      <c r="BP54" s="321">
        <f>(S46*AW46+S47*AW47+S48*AW48+S49*AW49+S50*AW50+S51*AW51+S52*AW52+S53*AW53+S54*AW54+S55/9)*BX55</f>
        <v>1889.9266450969924</v>
      </c>
      <c r="BQ54" s="321">
        <f>(T46*AW46+T47*AW47+T48*AW48+T49*AW49+T50*AW50+T51*AW51+T52*AW52+T53*AW53+T54*AW54+T55/9)*BX55</f>
        <v>6220.7575084115815</v>
      </c>
      <c r="BR54" s="321">
        <f>(U46*AW46+U47*AW47+U48*AW48+U49*AW49+U50*AW50+U51*AW51+U52*AW52+U53*AW53+U54*AW54+U55/9)*BX55</f>
        <v>10428.842482396285</v>
      </c>
      <c r="BS54" s="321">
        <f>(V46*AW46+V47*AW47+V48*AW48+V49*AW49+V50*AW50+V51*AW51+V52*AW52+V53*AW53+V54*AW54+V55/9)*BX55</f>
        <v>544.83710932033034</v>
      </c>
      <c r="BT54" s="321">
        <f>(W46*AW46+W47*AW47+W48*AW48+W49*AW49+W50*AW50+W51*AW51+W52*AW52+W53*AW53+W54*AW54+W55/9)*BX55</f>
        <v>4156.243002770133</v>
      </c>
      <c r="BU54" s="321">
        <f>(X46*AW46+X47*AW47+X48*AW48+X49*AW49+X50*AW50+X51*AW51+X52*AW52+X53*AW53+X54*AW54+X55/9)*BX55</f>
        <v>405.7219616432771</v>
      </c>
      <c r="BV54" s="321">
        <f>(Y46*AW46+Y47*AW47+Y48*AW48+Y49*AW49+Y50*AW50+Y51*AW51+Y52*AW52+Y53*AW53+Y54*AW54+Y55/9)*BX55</f>
        <v>885.83814118840837</v>
      </c>
      <c r="BW54" s="352">
        <f t="shared" si="76"/>
        <v>2311.7603326197777</v>
      </c>
      <c r="BX54" s="341"/>
      <c r="CA54" t="s">
        <v>40</v>
      </c>
      <c r="CB54" t="s">
        <v>40</v>
      </c>
      <c r="CC54" t="s">
        <v>40</v>
      </c>
      <c r="CD54" t="s">
        <v>525</v>
      </c>
      <c r="CE54">
        <v>38410</v>
      </c>
      <c r="CI54" t="s">
        <v>40</v>
      </c>
      <c r="CJ54" t="s">
        <v>40</v>
      </c>
      <c r="CK54" t="s">
        <v>40</v>
      </c>
      <c r="CL54" t="s">
        <v>542</v>
      </c>
      <c r="CM54">
        <v>162887</v>
      </c>
      <c r="CQ54" t="s">
        <v>40</v>
      </c>
      <c r="CR54" t="s">
        <v>523</v>
      </c>
      <c r="CS54" t="s">
        <v>44</v>
      </c>
      <c r="CT54" t="s">
        <v>137</v>
      </c>
      <c r="CU54">
        <v>3304</v>
      </c>
    </row>
    <row r="55" spans="2:99" ht="13.5" thickBot="1">
      <c r="B55" s="326" t="s">
        <v>549</v>
      </c>
      <c r="C55" s="327">
        <f t="shared" ref="C55:L55" si="83">SUM(C46:C54)</f>
        <v>0</v>
      </c>
      <c r="D55" s="327">
        <f t="shared" si="83"/>
        <v>184568</v>
      </c>
      <c r="E55" s="327">
        <f t="shared" si="83"/>
        <v>41651</v>
      </c>
      <c r="F55" s="327">
        <f t="shared" si="83"/>
        <v>17895</v>
      </c>
      <c r="G55" s="327">
        <f t="shared" si="83"/>
        <v>1595</v>
      </c>
      <c r="H55" s="327">
        <f t="shared" si="83"/>
        <v>771</v>
      </c>
      <c r="I55" s="327">
        <f t="shared" si="83"/>
        <v>5856</v>
      </c>
      <c r="J55" s="327">
        <f t="shared" si="83"/>
        <v>1317</v>
      </c>
      <c r="K55" s="327">
        <f t="shared" si="83"/>
        <v>11635</v>
      </c>
      <c r="L55" s="327">
        <f t="shared" si="83"/>
        <v>190</v>
      </c>
      <c r="M55" s="328">
        <f>SUM(C55:L55)</f>
        <v>265478</v>
      </c>
      <c r="O55" s="320" t="s">
        <v>359</v>
      </c>
      <c r="P55" s="122">
        <f t="shared" ref="P55:Y55" si="84">SUMIFS( $CU$777:$CU$861,$CT$777:$CT$861, P45, $CS$777:$CS$861, $O$45)</f>
        <v>240</v>
      </c>
      <c r="Q55" s="122">
        <f t="shared" si="84"/>
        <v>9133</v>
      </c>
      <c r="R55" s="122">
        <f t="shared" si="84"/>
        <v>3188</v>
      </c>
      <c r="S55" s="122">
        <f t="shared" si="84"/>
        <v>1027</v>
      </c>
      <c r="T55" s="122">
        <f t="shared" si="84"/>
        <v>972</v>
      </c>
      <c r="U55" s="122">
        <f t="shared" si="84"/>
        <v>990</v>
      </c>
      <c r="V55" s="122">
        <f t="shared" si="84"/>
        <v>97</v>
      </c>
      <c r="W55" s="122">
        <f t="shared" si="84"/>
        <v>424</v>
      </c>
      <c r="X55" s="122">
        <f t="shared" si="84"/>
        <v>107</v>
      </c>
      <c r="Y55" s="122">
        <f t="shared" si="84"/>
        <v>4418</v>
      </c>
      <c r="Z55" s="325">
        <f>SUM(P55:Y55)</f>
        <v>20596</v>
      </c>
      <c r="AB55" s="326" t="s">
        <v>218</v>
      </c>
      <c r="AC55" s="327">
        <f t="shared" ref="AC55:AL55" si="85">SUM(AC46:AC54)</f>
        <v>9878</v>
      </c>
      <c r="AD55" s="327">
        <f t="shared" si="85"/>
        <v>3037</v>
      </c>
      <c r="AE55" s="327">
        <f t="shared" si="85"/>
        <v>7052</v>
      </c>
      <c r="AF55" s="327">
        <f t="shared" si="85"/>
        <v>20170</v>
      </c>
      <c r="AG55" s="327">
        <f t="shared" si="85"/>
        <v>97809</v>
      </c>
      <c r="AH55" s="327">
        <f t="shared" si="85"/>
        <v>61656</v>
      </c>
      <c r="AI55" s="327">
        <f t="shared" si="85"/>
        <v>27666</v>
      </c>
      <c r="AJ55" s="327">
        <f t="shared" si="85"/>
        <v>13787</v>
      </c>
      <c r="AK55" s="327">
        <f t="shared" si="85"/>
        <v>24436</v>
      </c>
      <c r="AL55" s="328">
        <f t="shared" si="85"/>
        <v>265491</v>
      </c>
      <c r="AY55" s="338"/>
      <c r="AZ55">
        <f t="shared" ref="AZ55:BH55" si="86">AO53*$Z$53</f>
        <v>1416.5442906873038</v>
      </c>
      <c r="BA55">
        <f t="shared" si="86"/>
        <v>3790.8943295261656</v>
      </c>
      <c r="BB55">
        <f t="shared" si="86"/>
        <v>11269.34078943583</v>
      </c>
      <c r="BC55">
        <f t="shared" si="86"/>
        <v>31277.398760033375</v>
      </c>
      <c r="BD55">
        <f t="shared" si="86"/>
        <v>103425.37701027072</v>
      </c>
      <c r="BE55">
        <f t="shared" si="86"/>
        <v>19486.305891999196</v>
      </c>
      <c r="BF55">
        <f t="shared" si="86"/>
        <v>3019.6086481199113</v>
      </c>
      <c r="BG55">
        <f t="shared" si="86"/>
        <v>1033.421991426681</v>
      </c>
      <c r="BH55">
        <f t="shared" si="86"/>
        <v>504.10828850081992</v>
      </c>
      <c r="BI55" s="309"/>
      <c r="BJ55" s="339"/>
      <c r="BL55" s="331"/>
      <c r="BM55" s="349"/>
      <c r="BN55" s="349"/>
      <c r="BO55" s="349"/>
      <c r="BP55" s="349"/>
      <c r="BQ55" s="349"/>
      <c r="BR55" s="349"/>
      <c r="BS55" s="349"/>
      <c r="BT55" s="349"/>
      <c r="BU55" s="349"/>
      <c r="BV55" s="349"/>
      <c r="BW55" s="349"/>
      <c r="BX55" s="350">
        <v>1.025693</v>
      </c>
      <c r="CC55" t="s">
        <v>40</v>
      </c>
      <c r="CD55" t="s">
        <v>526</v>
      </c>
      <c r="CE55">
        <v>24370</v>
      </c>
      <c r="CI55" t="s">
        <v>40</v>
      </c>
      <c r="CJ55" t="s">
        <v>40</v>
      </c>
      <c r="CK55" t="s">
        <v>40</v>
      </c>
      <c r="CL55" t="s">
        <v>137</v>
      </c>
      <c r="CM55">
        <v>18444</v>
      </c>
      <c r="CQ55" t="s">
        <v>40</v>
      </c>
      <c r="CR55" t="s">
        <v>523</v>
      </c>
      <c r="CS55" t="s">
        <v>44</v>
      </c>
      <c r="CT55" t="s">
        <v>554</v>
      </c>
      <c r="CU55">
        <v>2267</v>
      </c>
    </row>
    <row r="56" spans="2:99" ht="13.5" thickBot="1">
      <c r="B56" s="58" t="s">
        <v>507</v>
      </c>
      <c r="C56" t="s">
        <v>393</v>
      </c>
      <c r="D56" t="s">
        <v>297</v>
      </c>
      <c r="E56" t="s">
        <v>44</v>
      </c>
      <c r="F56" t="s">
        <v>46</v>
      </c>
      <c r="O56" s="326" t="s">
        <v>549</v>
      </c>
      <c r="P56" s="327">
        <f t="shared" ref="P56:Y56" si="87">SUM(P46:P55)</f>
        <v>8850</v>
      </c>
      <c r="Q56" s="327">
        <f t="shared" si="87"/>
        <v>445404</v>
      </c>
      <c r="R56" s="327">
        <f t="shared" si="87"/>
        <v>85670</v>
      </c>
      <c r="S56" s="327">
        <f t="shared" si="87"/>
        <v>18348</v>
      </c>
      <c r="T56" s="327">
        <f t="shared" si="87"/>
        <v>38120</v>
      </c>
      <c r="U56" s="327">
        <f t="shared" si="87"/>
        <v>70819</v>
      </c>
      <c r="V56" s="327">
        <f t="shared" si="87"/>
        <v>6209</v>
      </c>
      <c r="W56" s="327">
        <f t="shared" si="87"/>
        <v>26591</v>
      </c>
      <c r="X56" s="327">
        <f t="shared" si="87"/>
        <v>7587</v>
      </c>
      <c r="Y56" s="327">
        <f t="shared" si="87"/>
        <v>7535</v>
      </c>
      <c r="Z56" s="328">
        <f>SUM(P56:Y56)</f>
        <v>715133</v>
      </c>
      <c r="AY56" s="338"/>
      <c r="AZ56">
        <f t="shared" ref="AZ56:BH56" si="88">AO54*$Z$54</f>
        <v>14675.963156910417</v>
      </c>
      <c r="BA56">
        <f t="shared" si="88"/>
        <v>1566.3362633252293</v>
      </c>
      <c r="BB56">
        <f t="shared" si="88"/>
        <v>918.19711988030667</v>
      </c>
      <c r="BC56">
        <f t="shared" si="88"/>
        <v>531.67664110716294</v>
      </c>
      <c r="BD56">
        <f t="shared" si="88"/>
        <v>297.06377407892279</v>
      </c>
      <c r="BE56">
        <f t="shared" si="88"/>
        <v>52.323732934355718</v>
      </c>
      <c r="BF56">
        <f t="shared" si="88"/>
        <v>3.3757247054423045</v>
      </c>
      <c r="BG56">
        <f t="shared" si="88"/>
        <v>3.3757247054423045</v>
      </c>
      <c r="BH56">
        <f t="shared" si="88"/>
        <v>1.6878623527211523</v>
      </c>
      <c r="BI56" s="309"/>
      <c r="BJ56" s="339"/>
      <c r="CA56" t="s">
        <v>40</v>
      </c>
      <c r="CB56" t="s">
        <v>40</v>
      </c>
      <c r="CC56" t="s">
        <v>40</v>
      </c>
      <c r="CD56" t="s">
        <v>527</v>
      </c>
      <c r="CE56">
        <v>36397</v>
      </c>
      <c r="CI56" t="s">
        <v>40</v>
      </c>
      <c r="CJ56" t="s">
        <v>40</v>
      </c>
      <c r="CK56" t="s">
        <v>40</v>
      </c>
      <c r="CL56" t="s">
        <v>554</v>
      </c>
      <c r="CM56">
        <v>20177</v>
      </c>
      <c r="CQ56" t="s">
        <v>40</v>
      </c>
      <c r="CR56" t="s">
        <v>523</v>
      </c>
      <c r="CS56" t="s">
        <v>44</v>
      </c>
      <c r="CT56" t="s">
        <v>543</v>
      </c>
      <c r="CU56">
        <v>632</v>
      </c>
    </row>
    <row r="57" spans="2:99">
      <c r="B57" t="s">
        <v>508</v>
      </c>
      <c r="D57">
        <v>363</v>
      </c>
      <c r="E57">
        <v>55</v>
      </c>
      <c r="F57">
        <v>23</v>
      </c>
      <c r="AY57" s="320"/>
      <c r="AZ57">
        <f>$Z$55/9</f>
        <v>2288.4444444444443</v>
      </c>
      <c r="BA57">
        <f t="shared" ref="BA57:BH57" si="89">$Z$55/9</f>
        <v>2288.4444444444443</v>
      </c>
      <c r="BB57">
        <f t="shared" si="89"/>
        <v>2288.4444444444443</v>
      </c>
      <c r="BC57">
        <f t="shared" si="89"/>
        <v>2288.4444444444443</v>
      </c>
      <c r="BD57">
        <f t="shared" si="89"/>
        <v>2288.4444444444443</v>
      </c>
      <c r="BE57">
        <f t="shared" si="89"/>
        <v>2288.4444444444443</v>
      </c>
      <c r="BF57">
        <f t="shared" si="89"/>
        <v>2288.4444444444443</v>
      </c>
      <c r="BG57">
        <f t="shared" si="89"/>
        <v>2288.4444444444443</v>
      </c>
      <c r="BH57">
        <f t="shared" si="89"/>
        <v>2288.4444444444443</v>
      </c>
      <c r="BJ57" s="339"/>
      <c r="CA57" t="s">
        <v>40</v>
      </c>
      <c r="CB57" t="s">
        <v>40</v>
      </c>
      <c r="CC57" t="s">
        <v>40</v>
      </c>
      <c r="CD57" t="s">
        <v>528</v>
      </c>
      <c r="CE57">
        <v>23557</v>
      </c>
      <c r="CI57" t="s">
        <v>40</v>
      </c>
      <c r="CJ57" t="s">
        <v>40</v>
      </c>
      <c r="CK57" t="s">
        <v>40</v>
      </c>
      <c r="CL57" t="s">
        <v>543</v>
      </c>
      <c r="CM57">
        <v>5691</v>
      </c>
      <c r="CQ57" t="s">
        <v>40</v>
      </c>
      <c r="CR57" t="s">
        <v>523</v>
      </c>
      <c r="CS57" t="s">
        <v>44</v>
      </c>
      <c r="CT57" t="s">
        <v>544</v>
      </c>
      <c r="CU57">
        <v>111</v>
      </c>
    </row>
    <row r="58" spans="2:99">
      <c r="B58" t="s">
        <v>508</v>
      </c>
      <c r="C58" s="308" t="s">
        <v>555</v>
      </c>
      <c r="D58">
        <v>2</v>
      </c>
      <c r="E58">
        <v>3</v>
      </c>
      <c r="F58">
        <v>8</v>
      </c>
      <c r="AY58" s="342" t="s">
        <v>218</v>
      </c>
      <c r="AZ58" s="306">
        <f t="shared" ref="AZ58:BH58" si="90">SUM(AZ48:AZ57)</f>
        <v>20117.182959087979</v>
      </c>
      <c r="BA58" s="306">
        <f t="shared" si="90"/>
        <v>9312.8343538743684</v>
      </c>
      <c r="BB58" s="306">
        <f t="shared" si="90"/>
        <v>19833.118653331825</v>
      </c>
      <c r="BC58" s="306">
        <f t="shared" si="90"/>
        <v>52780.069145095433</v>
      </c>
      <c r="BD58" s="306">
        <f t="shared" si="90"/>
        <v>248093.71531465303</v>
      </c>
      <c r="BE58" s="306">
        <f t="shared" si="90"/>
        <v>164528.91551114636</v>
      </c>
      <c r="BF58" s="306">
        <f t="shared" si="90"/>
        <v>80352.120424042965</v>
      </c>
      <c r="BG58" s="306">
        <f t="shared" si="90"/>
        <v>42686.086636690146</v>
      </c>
      <c r="BH58" s="306">
        <f t="shared" si="90"/>
        <v>77428.957002077819</v>
      </c>
      <c r="BI58" s="306">
        <f>SUM(AZ58:BH58)</f>
        <v>715133</v>
      </c>
      <c r="BJ58" s="343">
        <v>1.0129999999999999</v>
      </c>
      <c r="CA58" t="s">
        <v>40</v>
      </c>
      <c r="CB58" t="s">
        <v>40</v>
      </c>
      <c r="CC58" t="s">
        <v>40</v>
      </c>
      <c r="CD58" t="s">
        <v>529</v>
      </c>
      <c r="CE58">
        <v>19161</v>
      </c>
      <c r="CI58" t="s">
        <v>40</v>
      </c>
      <c r="CJ58" t="s">
        <v>40</v>
      </c>
      <c r="CK58" t="s">
        <v>40</v>
      </c>
      <c r="CL58" t="s">
        <v>544</v>
      </c>
      <c r="CM58">
        <v>982</v>
      </c>
      <c r="CQ58" t="s">
        <v>40</v>
      </c>
      <c r="CR58" t="s">
        <v>523</v>
      </c>
      <c r="CS58" t="s">
        <v>44</v>
      </c>
      <c r="CT58" t="s">
        <v>545</v>
      </c>
      <c r="CU58">
        <v>391</v>
      </c>
    </row>
    <row r="59" spans="2:99" ht="13.5" thickBot="1">
      <c r="B59" t="s">
        <v>508</v>
      </c>
      <c r="C59" t="s">
        <v>425</v>
      </c>
      <c r="D59">
        <v>7</v>
      </c>
      <c r="E59">
        <v>56</v>
      </c>
      <c r="F59">
        <v>62</v>
      </c>
      <c r="AY59" s="344" t="s">
        <v>294</v>
      </c>
      <c r="AZ59" s="327">
        <f t="shared" ref="AZ59:BH59" si="91">AZ58*$BJ$32</f>
        <v>20378.706337556119</v>
      </c>
      <c r="BA59" s="327">
        <f t="shared" si="91"/>
        <v>9433.9012004747347</v>
      </c>
      <c r="BB59" s="327">
        <f t="shared" si="91"/>
        <v>20090.949195825138</v>
      </c>
      <c r="BC59" s="327">
        <f t="shared" si="91"/>
        <v>53466.210043981671</v>
      </c>
      <c r="BD59" s="327">
        <f t="shared" si="91"/>
        <v>251318.93361374349</v>
      </c>
      <c r="BE59" s="327">
        <f t="shared" si="91"/>
        <v>166667.79141279124</v>
      </c>
      <c r="BF59" s="327">
        <f t="shared" si="91"/>
        <v>81396.697989555512</v>
      </c>
      <c r="BG59" s="327">
        <f t="shared" si="91"/>
        <v>43241.005762967114</v>
      </c>
      <c r="BH59" s="327">
        <f t="shared" si="91"/>
        <v>78435.533443104825</v>
      </c>
      <c r="BI59" s="345">
        <f>SUM(AZ59:BH59)</f>
        <v>724429.72899999993</v>
      </c>
      <c r="BJ59" s="346"/>
      <c r="CA59" t="s">
        <v>40</v>
      </c>
      <c r="CB59" t="s">
        <v>40</v>
      </c>
      <c r="CC59" t="s">
        <v>40</v>
      </c>
      <c r="CD59" t="s">
        <v>530</v>
      </c>
      <c r="CE59">
        <v>51682</v>
      </c>
      <c r="CI59" t="s">
        <v>40</v>
      </c>
      <c r="CJ59" t="s">
        <v>40</v>
      </c>
      <c r="CK59" t="s">
        <v>40</v>
      </c>
      <c r="CL59" t="s">
        <v>545</v>
      </c>
      <c r="CM59">
        <v>2318</v>
      </c>
      <c r="CQ59" t="s">
        <v>40</v>
      </c>
      <c r="CR59" t="s">
        <v>523</v>
      </c>
      <c r="CS59" t="s">
        <v>44</v>
      </c>
      <c r="CT59" t="s">
        <v>546</v>
      </c>
      <c r="CU59">
        <v>101</v>
      </c>
    </row>
    <row r="60" spans="2:99">
      <c r="B60" t="s">
        <v>508</v>
      </c>
      <c r="C60" t="s">
        <v>405</v>
      </c>
      <c r="D60">
        <v>24</v>
      </c>
      <c r="E60">
        <v>88</v>
      </c>
      <c r="F60">
        <v>354</v>
      </c>
      <c r="CA60" t="s">
        <v>40</v>
      </c>
      <c r="CB60" t="s">
        <v>40</v>
      </c>
      <c r="CC60" t="s">
        <v>40</v>
      </c>
      <c r="CD60" t="s">
        <v>531</v>
      </c>
      <c r="CE60">
        <v>3127</v>
      </c>
      <c r="CI60" t="s">
        <v>40</v>
      </c>
      <c r="CJ60" t="s">
        <v>40</v>
      </c>
      <c r="CK60" t="s">
        <v>40</v>
      </c>
      <c r="CL60" t="s">
        <v>546</v>
      </c>
      <c r="CM60">
        <v>707</v>
      </c>
      <c r="CQ60" t="s">
        <v>40</v>
      </c>
      <c r="CR60" t="s">
        <v>523</v>
      </c>
      <c r="CS60" t="s">
        <v>44</v>
      </c>
      <c r="CT60" t="s">
        <v>532</v>
      </c>
      <c r="CU60">
        <v>229</v>
      </c>
    </row>
    <row r="61" spans="2:99">
      <c r="B61" t="s">
        <v>508</v>
      </c>
      <c r="C61" t="s">
        <v>137</v>
      </c>
      <c r="D61" s="122">
        <v>3428</v>
      </c>
      <c r="E61" s="122">
        <v>2965</v>
      </c>
      <c r="F61" s="122">
        <v>2184</v>
      </c>
      <c r="CA61" t="s">
        <v>40</v>
      </c>
      <c r="CB61" t="s">
        <v>40</v>
      </c>
      <c r="CC61" t="s">
        <v>40</v>
      </c>
      <c r="CD61" t="s">
        <v>532</v>
      </c>
      <c r="CE61">
        <v>19315</v>
      </c>
      <c r="CI61" t="s">
        <v>40</v>
      </c>
      <c r="CJ61" t="s">
        <v>40</v>
      </c>
      <c r="CK61" t="s">
        <v>40</v>
      </c>
      <c r="CL61" t="s">
        <v>532</v>
      </c>
      <c r="CM61">
        <v>6366</v>
      </c>
      <c r="CQ61" t="s">
        <v>40</v>
      </c>
      <c r="CR61" t="s">
        <v>523</v>
      </c>
      <c r="CS61" t="s">
        <v>297</v>
      </c>
    </row>
    <row r="62" spans="2:99">
      <c r="B62" t="s">
        <v>508</v>
      </c>
      <c r="C62" t="s">
        <v>406</v>
      </c>
      <c r="D62">
        <v>469</v>
      </c>
      <c r="E62" s="122">
        <v>6480</v>
      </c>
      <c r="F62" s="122">
        <v>14309</v>
      </c>
      <c r="BJ62" s="122"/>
      <c r="CA62" t="s">
        <v>40</v>
      </c>
      <c r="CB62" t="s">
        <v>40</v>
      </c>
      <c r="CC62" t="s">
        <v>536</v>
      </c>
      <c r="CI62" t="s">
        <v>40</v>
      </c>
      <c r="CJ62" t="s">
        <v>40</v>
      </c>
      <c r="CK62" t="s">
        <v>536</v>
      </c>
      <c r="CQ62" t="s">
        <v>40</v>
      </c>
      <c r="CR62" t="s">
        <v>523</v>
      </c>
      <c r="CS62" t="s">
        <v>297</v>
      </c>
      <c r="CT62" t="s">
        <v>521</v>
      </c>
      <c r="CU62">
        <v>3159</v>
      </c>
    </row>
    <row r="63" spans="2:99">
      <c r="B63" t="s">
        <v>508</v>
      </c>
      <c r="C63" s="304" t="s">
        <v>427</v>
      </c>
      <c r="D63">
        <v>13</v>
      </c>
      <c r="E63">
        <v>149</v>
      </c>
      <c r="F63">
        <v>189</v>
      </c>
      <c r="CA63" t="s">
        <v>40</v>
      </c>
      <c r="CB63" t="s">
        <v>40</v>
      </c>
      <c r="CC63" t="s">
        <v>40</v>
      </c>
      <c r="CD63" t="s">
        <v>522</v>
      </c>
      <c r="CE63">
        <v>172096</v>
      </c>
      <c r="CI63" t="s">
        <v>40</v>
      </c>
      <c r="CJ63" t="s">
        <v>40</v>
      </c>
      <c r="CK63" t="s">
        <v>40</v>
      </c>
      <c r="CL63" t="s">
        <v>521</v>
      </c>
      <c r="CM63">
        <v>172096</v>
      </c>
      <c r="CQ63" t="s">
        <v>40</v>
      </c>
      <c r="CR63" t="s">
        <v>523</v>
      </c>
      <c r="CS63" t="s">
        <v>297</v>
      </c>
      <c r="CT63" t="s">
        <v>540</v>
      </c>
      <c r="CU63">
        <v>166</v>
      </c>
    </row>
    <row r="64" spans="2:99">
      <c r="B64" t="s">
        <v>508</v>
      </c>
      <c r="C64" t="s">
        <v>407</v>
      </c>
      <c r="D64" s="122">
        <v>1700</v>
      </c>
      <c r="E64" s="122">
        <v>11573</v>
      </c>
      <c r="F64" s="122">
        <v>1169</v>
      </c>
      <c r="CA64" t="s">
        <v>40</v>
      </c>
      <c r="CB64" t="s">
        <v>40</v>
      </c>
      <c r="CC64" t="s">
        <v>40</v>
      </c>
      <c r="CD64" t="s">
        <v>523</v>
      </c>
      <c r="CE64">
        <v>3159</v>
      </c>
      <c r="CI64" t="s">
        <v>40</v>
      </c>
      <c r="CJ64" t="s">
        <v>40</v>
      </c>
      <c r="CK64" t="s">
        <v>40</v>
      </c>
      <c r="CL64" t="s">
        <v>540</v>
      </c>
      <c r="CM64">
        <v>3289</v>
      </c>
      <c r="CQ64" t="s">
        <v>40</v>
      </c>
      <c r="CR64" t="s">
        <v>523</v>
      </c>
      <c r="CS64" t="s">
        <v>297</v>
      </c>
      <c r="CT64" t="s">
        <v>541</v>
      </c>
      <c r="CU64">
        <v>223</v>
      </c>
    </row>
    <row r="65" spans="2:99">
      <c r="B65" t="s">
        <v>508</v>
      </c>
      <c r="C65" s="308" t="s">
        <v>556</v>
      </c>
      <c r="D65">
        <v>26</v>
      </c>
      <c r="E65">
        <v>468</v>
      </c>
      <c r="F65">
        <v>110</v>
      </c>
      <c r="CA65" t="s">
        <v>40</v>
      </c>
      <c r="CB65" t="s">
        <v>40</v>
      </c>
      <c r="CC65" t="s">
        <v>40</v>
      </c>
      <c r="CD65" t="s">
        <v>524</v>
      </c>
      <c r="CE65">
        <v>2434</v>
      </c>
      <c r="CI65" t="s">
        <v>40</v>
      </c>
      <c r="CJ65" t="s">
        <v>40</v>
      </c>
      <c r="CK65" t="s">
        <v>40</v>
      </c>
      <c r="CL65" t="s">
        <v>541</v>
      </c>
      <c r="CM65">
        <v>4596</v>
      </c>
      <c r="CQ65" t="s">
        <v>40</v>
      </c>
      <c r="CR65" t="s">
        <v>523</v>
      </c>
      <c r="CS65" t="s">
        <v>297</v>
      </c>
      <c r="CT65" t="s">
        <v>542</v>
      </c>
      <c r="CU65">
        <v>1077</v>
      </c>
    </row>
    <row r="66" spans="2:99">
      <c r="B66" t="s">
        <v>508</v>
      </c>
      <c r="C66" t="s">
        <v>428</v>
      </c>
      <c r="D66">
        <v>5</v>
      </c>
      <c r="E66">
        <v>9</v>
      </c>
      <c r="F66">
        <v>19</v>
      </c>
      <c r="CA66" t="s">
        <v>40</v>
      </c>
      <c r="CB66" t="s">
        <v>40</v>
      </c>
      <c r="CC66" t="s">
        <v>40</v>
      </c>
      <c r="CD66" t="s">
        <v>525</v>
      </c>
      <c r="CE66">
        <v>3415</v>
      </c>
      <c r="CI66" t="s">
        <v>40</v>
      </c>
      <c r="CJ66" t="s">
        <v>40</v>
      </c>
      <c r="CK66" t="s">
        <v>40</v>
      </c>
      <c r="CL66" t="s">
        <v>542</v>
      </c>
      <c r="CM66">
        <v>73152</v>
      </c>
      <c r="CQ66" t="s">
        <v>40</v>
      </c>
      <c r="CR66" t="s">
        <v>523</v>
      </c>
      <c r="CS66" t="s">
        <v>297</v>
      </c>
      <c r="CT66" t="s">
        <v>137</v>
      </c>
      <c r="CU66">
        <v>1575</v>
      </c>
    </row>
    <row r="67" spans="2:99">
      <c r="B67" t="s">
        <v>508</v>
      </c>
      <c r="C67" t="s">
        <v>431</v>
      </c>
      <c r="D67">
        <v>1</v>
      </c>
      <c r="E67">
        <v>25</v>
      </c>
      <c r="F67">
        <v>124</v>
      </c>
      <c r="CA67" t="s">
        <v>40</v>
      </c>
      <c r="CB67" t="s">
        <v>40</v>
      </c>
      <c r="CC67" t="s">
        <v>40</v>
      </c>
      <c r="CD67" t="s">
        <v>526</v>
      </c>
      <c r="CE67">
        <v>4039</v>
      </c>
      <c r="CI67" t="s">
        <v>40</v>
      </c>
      <c r="CJ67" t="s">
        <v>40</v>
      </c>
      <c r="CK67" t="s">
        <v>40</v>
      </c>
      <c r="CL67" t="s">
        <v>137</v>
      </c>
      <c r="CM67">
        <v>78339</v>
      </c>
      <c r="CQ67" t="s">
        <v>40</v>
      </c>
      <c r="CR67" t="s">
        <v>523</v>
      </c>
      <c r="CS67" t="s">
        <v>297</v>
      </c>
      <c r="CT67" t="s">
        <v>554</v>
      </c>
      <c r="CU67">
        <v>40</v>
      </c>
    </row>
    <row r="68" spans="2:99">
      <c r="B68" t="s">
        <v>508</v>
      </c>
      <c r="C68" t="s">
        <v>426</v>
      </c>
      <c r="D68">
        <v>52</v>
      </c>
      <c r="E68">
        <v>964</v>
      </c>
      <c r="F68" s="122">
        <v>2455</v>
      </c>
      <c r="CA68" t="s">
        <v>40</v>
      </c>
      <c r="CB68" t="s">
        <v>40</v>
      </c>
      <c r="CC68" t="s">
        <v>40</v>
      </c>
      <c r="CD68" t="s">
        <v>527</v>
      </c>
      <c r="CE68">
        <v>5873</v>
      </c>
      <c r="CI68" t="s">
        <v>40</v>
      </c>
      <c r="CJ68" t="s">
        <v>40</v>
      </c>
      <c r="CK68" t="s">
        <v>40</v>
      </c>
      <c r="CL68" t="s">
        <v>554</v>
      </c>
      <c r="CM68">
        <v>1107</v>
      </c>
      <c r="CQ68" t="s">
        <v>40</v>
      </c>
      <c r="CR68" t="s">
        <v>523</v>
      </c>
      <c r="CS68" t="s">
        <v>297</v>
      </c>
      <c r="CT68" t="s">
        <v>543</v>
      </c>
      <c r="CU68">
        <v>8</v>
      </c>
    </row>
    <row r="69" spans="2:99">
      <c r="B69" t="s">
        <v>508</v>
      </c>
      <c r="C69" t="s">
        <v>481</v>
      </c>
      <c r="E69">
        <v>1</v>
      </c>
      <c r="F69">
        <v>4</v>
      </c>
      <c r="CA69" t="s">
        <v>40</v>
      </c>
      <c r="CB69" t="s">
        <v>40</v>
      </c>
      <c r="CC69" t="s">
        <v>40</v>
      </c>
      <c r="CD69" t="s">
        <v>528</v>
      </c>
      <c r="CE69">
        <v>9310</v>
      </c>
      <c r="CI69" t="s">
        <v>40</v>
      </c>
      <c r="CJ69" t="s">
        <v>40</v>
      </c>
      <c r="CK69" t="s">
        <v>40</v>
      </c>
      <c r="CL69" t="s">
        <v>543</v>
      </c>
      <c r="CM69">
        <v>317</v>
      </c>
      <c r="CQ69" t="s">
        <v>40</v>
      </c>
      <c r="CR69" t="s">
        <v>523</v>
      </c>
      <c r="CS69" t="s">
        <v>297</v>
      </c>
      <c r="CT69" t="s">
        <v>544</v>
      </c>
      <c r="CU69">
        <v>13</v>
      </c>
    </row>
    <row r="70" spans="2:99">
      <c r="B70" t="s">
        <v>508</v>
      </c>
      <c r="C70" t="s">
        <v>433</v>
      </c>
      <c r="D70">
        <v>2</v>
      </c>
      <c r="E70">
        <v>19</v>
      </c>
      <c r="F70">
        <v>78</v>
      </c>
      <c r="CA70" t="s">
        <v>40</v>
      </c>
      <c r="CB70" t="s">
        <v>40</v>
      </c>
      <c r="CC70" t="s">
        <v>40</v>
      </c>
      <c r="CD70" t="s">
        <v>529</v>
      </c>
      <c r="CE70">
        <v>27108</v>
      </c>
      <c r="CI70" t="s">
        <v>40</v>
      </c>
      <c r="CJ70" t="s">
        <v>40</v>
      </c>
      <c r="CK70" t="s">
        <v>40</v>
      </c>
      <c r="CL70" t="s">
        <v>544</v>
      </c>
      <c r="CM70">
        <v>648</v>
      </c>
      <c r="CQ70" t="s">
        <v>40</v>
      </c>
      <c r="CR70" t="s">
        <v>523</v>
      </c>
      <c r="CS70" t="s">
        <v>297</v>
      </c>
      <c r="CT70" t="s">
        <v>545</v>
      </c>
      <c r="CU70">
        <v>16</v>
      </c>
    </row>
    <row r="71" spans="2:99">
      <c r="B71" t="s">
        <v>508</v>
      </c>
      <c r="C71" t="s">
        <v>408</v>
      </c>
      <c r="D71">
        <v>2</v>
      </c>
      <c r="E71">
        <v>24</v>
      </c>
      <c r="F71">
        <v>64</v>
      </c>
      <c r="CA71" t="s">
        <v>40</v>
      </c>
      <c r="CB71" t="s">
        <v>40</v>
      </c>
      <c r="CC71" t="s">
        <v>40</v>
      </c>
      <c r="CD71" t="s">
        <v>530</v>
      </c>
      <c r="CE71">
        <v>84521</v>
      </c>
      <c r="CI71" t="s">
        <v>40</v>
      </c>
      <c r="CJ71" t="s">
        <v>40</v>
      </c>
      <c r="CK71" t="s">
        <v>40</v>
      </c>
      <c r="CL71" t="s">
        <v>545</v>
      </c>
      <c r="CM71">
        <v>350</v>
      </c>
      <c r="CQ71" t="s">
        <v>40</v>
      </c>
      <c r="CR71" t="s">
        <v>523</v>
      </c>
      <c r="CS71" t="s">
        <v>297</v>
      </c>
      <c r="CT71" t="s">
        <v>546</v>
      </c>
      <c r="CU71">
        <v>17</v>
      </c>
    </row>
    <row r="72" spans="2:99">
      <c r="B72" t="s">
        <v>508</v>
      </c>
      <c r="C72" t="s">
        <v>429</v>
      </c>
      <c r="E72">
        <v>4</v>
      </c>
      <c r="F72">
        <v>7</v>
      </c>
      <c r="CA72" t="s">
        <v>40</v>
      </c>
      <c r="CB72" t="s">
        <v>40</v>
      </c>
      <c r="CC72" t="s">
        <v>40</v>
      </c>
      <c r="CD72" t="s">
        <v>531</v>
      </c>
      <c r="CE72">
        <v>5717</v>
      </c>
      <c r="CI72" t="s">
        <v>40</v>
      </c>
      <c r="CJ72" t="s">
        <v>40</v>
      </c>
      <c r="CK72" t="s">
        <v>40</v>
      </c>
      <c r="CL72" t="s">
        <v>546</v>
      </c>
      <c r="CM72">
        <v>1146</v>
      </c>
      <c r="CQ72" t="s">
        <v>40</v>
      </c>
      <c r="CR72" t="s">
        <v>523</v>
      </c>
      <c r="CS72" t="s">
        <v>297</v>
      </c>
      <c r="CT72" t="s">
        <v>532</v>
      </c>
      <c r="CU72">
        <v>24</v>
      </c>
    </row>
    <row r="73" spans="2:99">
      <c r="B73" t="s">
        <v>509</v>
      </c>
      <c r="D73">
        <v>59</v>
      </c>
      <c r="E73">
        <v>32</v>
      </c>
      <c r="F73">
        <v>11</v>
      </c>
      <c r="CA73" t="s">
        <v>40</v>
      </c>
      <c r="CB73" t="s">
        <v>40</v>
      </c>
      <c r="CC73" t="s">
        <v>40</v>
      </c>
      <c r="CD73" t="s">
        <v>532</v>
      </c>
      <c r="CE73">
        <v>26520</v>
      </c>
      <c r="CI73" t="s">
        <v>40</v>
      </c>
      <c r="CJ73" t="s">
        <v>40</v>
      </c>
      <c r="CK73" t="s">
        <v>40</v>
      </c>
      <c r="CL73" t="s">
        <v>532</v>
      </c>
      <c r="CM73">
        <v>9152</v>
      </c>
      <c r="CQ73" t="s">
        <v>40</v>
      </c>
      <c r="CR73" t="s">
        <v>523</v>
      </c>
      <c r="CS73" t="s">
        <v>297</v>
      </c>
    </row>
    <row r="74" spans="2:99">
      <c r="B74" t="s">
        <v>509</v>
      </c>
      <c r="C74" t="s">
        <v>555</v>
      </c>
      <c r="E74">
        <v>1</v>
      </c>
      <c r="F74">
        <v>1</v>
      </c>
      <c r="CA74" t="s">
        <v>40</v>
      </c>
      <c r="CB74" t="s">
        <v>40</v>
      </c>
      <c r="CC74" t="s">
        <v>537</v>
      </c>
      <c r="CI74" t="s">
        <v>40</v>
      </c>
      <c r="CJ74" t="s">
        <v>40</v>
      </c>
      <c r="CK74" t="s">
        <v>537</v>
      </c>
      <c r="CQ74" t="s">
        <v>40</v>
      </c>
      <c r="CR74" t="s">
        <v>523</v>
      </c>
      <c r="CS74" t="s">
        <v>297</v>
      </c>
      <c r="CT74" t="s">
        <v>521</v>
      </c>
      <c r="CU74">
        <v>10547</v>
      </c>
    </row>
    <row r="75" spans="2:99">
      <c r="B75" t="s">
        <v>509</v>
      </c>
      <c r="C75" t="s">
        <v>425</v>
      </c>
      <c r="D75">
        <v>6</v>
      </c>
      <c r="E75">
        <v>29</v>
      </c>
      <c r="F75">
        <v>36</v>
      </c>
      <c r="CA75" t="s">
        <v>40</v>
      </c>
      <c r="CB75" t="s">
        <v>40</v>
      </c>
      <c r="CC75" t="s">
        <v>40</v>
      </c>
      <c r="CD75" t="s">
        <v>522</v>
      </c>
      <c r="CE75">
        <v>28783</v>
      </c>
      <c r="CI75" t="s">
        <v>40</v>
      </c>
      <c r="CJ75" t="s">
        <v>40</v>
      </c>
      <c r="CK75" t="s">
        <v>40</v>
      </c>
      <c r="CL75" t="s">
        <v>521</v>
      </c>
      <c r="CM75">
        <v>28783</v>
      </c>
      <c r="CQ75" t="s">
        <v>40</v>
      </c>
      <c r="CR75" t="s">
        <v>523</v>
      </c>
      <c r="CS75" t="s">
        <v>297</v>
      </c>
      <c r="CT75" t="s">
        <v>540</v>
      </c>
      <c r="CU75">
        <v>775</v>
      </c>
    </row>
    <row r="76" spans="2:99">
      <c r="B76" t="s">
        <v>509</v>
      </c>
      <c r="C76" t="s">
        <v>405</v>
      </c>
      <c r="D76">
        <v>15</v>
      </c>
      <c r="E76">
        <v>66</v>
      </c>
      <c r="F76">
        <v>205</v>
      </c>
      <c r="CA76" t="s">
        <v>40</v>
      </c>
      <c r="CB76" t="s">
        <v>40</v>
      </c>
      <c r="CC76" t="s">
        <v>40</v>
      </c>
      <c r="CD76" t="s">
        <v>523</v>
      </c>
      <c r="CE76">
        <v>9575</v>
      </c>
      <c r="CI76" t="s">
        <v>40</v>
      </c>
      <c r="CJ76" t="s">
        <v>40</v>
      </c>
      <c r="CK76" t="s">
        <v>40</v>
      </c>
      <c r="CL76" t="s">
        <v>540</v>
      </c>
      <c r="CM76">
        <v>1513</v>
      </c>
      <c r="CQ76" t="s">
        <v>40</v>
      </c>
      <c r="CR76" t="s">
        <v>523</v>
      </c>
      <c r="CS76" t="s">
        <v>297</v>
      </c>
      <c r="CT76" t="s">
        <v>541</v>
      </c>
      <c r="CU76">
        <v>1399</v>
      </c>
    </row>
    <row r="77" spans="2:99">
      <c r="B77" t="s">
        <v>509</v>
      </c>
      <c r="C77" t="s">
        <v>137</v>
      </c>
      <c r="D77">
        <v>952</v>
      </c>
      <c r="E77" s="122">
        <v>1854</v>
      </c>
      <c r="F77" s="122">
        <v>1386</v>
      </c>
      <c r="CA77" t="s">
        <v>40</v>
      </c>
      <c r="CB77" t="s">
        <v>40</v>
      </c>
      <c r="CC77" t="s">
        <v>40</v>
      </c>
      <c r="CD77" t="s">
        <v>524</v>
      </c>
      <c r="CE77">
        <v>2653</v>
      </c>
      <c r="CI77" t="s">
        <v>40</v>
      </c>
      <c r="CJ77" t="s">
        <v>40</v>
      </c>
      <c r="CK77" t="s">
        <v>40</v>
      </c>
      <c r="CL77" t="s">
        <v>541</v>
      </c>
      <c r="CM77">
        <v>4191</v>
      </c>
      <c r="CQ77" t="s">
        <v>40</v>
      </c>
      <c r="CR77" t="s">
        <v>523</v>
      </c>
      <c r="CS77" t="s">
        <v>297</v>
      </c>
      <c r="CT77" t="s">
        <v>542</v>
      </c>
      <c r="CU77">
        <v>2576</v>
      </c>
    </row>
    <row r="78" spans="2:99">
      <c r="B78" t="s">
        <v>509</v>
      </c>
      <c r="C78" t="s">
        <v>406</v>
      </c>
      <c r="D78">
        <v>266</v>
      </c>
      <c r="E78" s="122">
        <v>7569</v>
      </c>
      <c r="F78" s="122">
        <v>10518</v>
      </c>
      <c r="CA78" t="s">
        <v>40</v>
      </c>
      <c r="CB78" t="s">
        <v>40</v>
      </c>
      <c r="CC78" t="s">
        <v>40</v>
      </c>
      <c r="CD78" t="s">
        <v>525</v>
      </c>
      <c r="CE78">
        <v>1745</v>
      </c>
      <c r="CI78" t="s">
        <v>40</v>
      </c>
      <c r="CJ78" t="s">
        <v>40</v>
      </c>
      <c r="CK78" t="s">
        <v>40</v>
      </c>
      <c r="CL78" t="s">
        <v>542</v>
      </c>
      <c r="CM78">
        <v>6389</v>
      </c>
      <c r="CQ78" t="s">
        <v>40</v>
      </c>
      <c r="CR78" t="s">
        <v>523</v>
      </c>
      <c r="CS78" t="s">
        <v>297</v>
      </c>
      <c r="CT78" t="s">
        <v>137</v>
      </c>
      <c r="CU78">
        <v>5260</v>
      </c>
    </row>
    <row r="79" spans="2:99">
      <c r="B79" t="s">
        <v>509</v>
      </c>
      <c r="C79" t="s">
        <v>427</v>
      </c>
      <c r="D79">
        <v>6</v>
      </c>
      <c r="E79">
        <v>189</v>
      </c>
      <c r="F79">
        <v>163</v>
      </c>
      <c r="CA79" t="s">
        <v>40</v>
      </c>
      <c r="CB79" t="s">
        <v>40</v>
      </c>
      <c r="CC79" t="s">
        <v>40</v>
      </c>
      <c r="CD79" t="s">
        <v>526</v>
      </c>
      <c r="CE79">
        <v>1186</v>
      </c>
      <c r="CI79" t="s">
        <v>40</v>
      </c>
      <c r="CJ79" t="s">
        <v>40</v>
      </c>
      <c r="CK79" t="s">
        <v>40</v>
      </c>
      <c r="CL79" t="s">
        <v>137</v>
      </c>
      <c r="CM79">
        <v>12593</v>
      </c>
      <c r="CQ79" t="s">
        <v>40</v>
      </c>
      <c r="CR79" t="s">
        <v>523</v>
      </c>
      <c r="CS79" t="s">
        <v>297</v>
      </c>
      <c r="CT79" t="s">
        <v>554</v>
      </c>
      <c r="CU79">
        <v>123</v>
      </c>
    </row>
    <row r="80" spans="2:99">
      <c r="B80" t="s">
        <v>509</v>
      </c>
      <c r="C80" t="s">
        <v>407</v>
      </c>
      <c r="D80" s="122">
        <v>1447</v>
      </c>
      <c r="E80" s="122">
        <v>15245</v>
      </c>
      <c r="F80" s="122">
        <v>1646</v>
      </c>
      <c r="CA80" t="s">
        <v>40</v>
      </c>
      <c r="CB80" t="s">
        <v>40</v>
      </c>
      <c r="CC80" t="s">
        <v>40</v>
      </c>
      <c r="CD80" t="s">
        <v>527</v>
      </c>
      <c r="CE80">
        <v>1176</v>
      </c>
      <c r="CI80" t="s">
        <v>40</v>
      </c>
      <c r="CJ80" t="s">
        <v>40</v>
      </c>
      <c r="CK80" t="s">
        <v>40</v>
      </c>
      <c r="CL80" t="s">
        <v>554</v>
      </c>
      <c r="CM80">
        <v>469</v>
      </c>
      <c r="CQ80" t="s">
        <v>40</v>
      </c>
      <c r="CR80" t="s">
        <v>523</v>
      </c>
      <c r="CS80" t="s">
        <v>297</v>
      </c>
      <c r="CT80" t="s">
        <v>543</v>
      </c>
      <c r="CU80">
        <v>67</v>
      </c>
    </row>
    <row r="81" spans="2:99">
      <c r="B81" t="s">
        <v>509</v>
      </c>
      <c r="C81" t="s">
        <v>556</v>
      </c>
      <c r="D81">
        <v>12</v>
      </c>
      <c r="E81">
        <v>567</v>
      </c>
      <c r="F81">
        <v>92</v>
      </c>
      <c r="CA81" t="s">
        <v>40</v>
      </c>
      <c r="CB81" t="s">
        <v>40</v>
      </c>
      <c r="CC81" t="s">
        <v>40</v>
      </c>
      <c r="CD81" t="s">
        <v>528</v>
      </c>
      <c r="CE81">
        <v>1039</v>
      </c>
      <c r="CI81" t="s">
        <v>40</v>
      </c>
      <c r="CJ81" t="s">
        <v>40</v>
      </c>
      <c r="CK81" t="s">
        <v>40</v>
      </c>
      <c r="CL81" t="s">
        <v>543</v>
      </c>
      <c r="CM81">
        <v>217</v>
      </c>
      <c r="CQ81" t="s">
        <v>40</v>
      </c>
      <c r="CR81" t="s">
        <v>523</v>
      </c>
      <c r="CS81" t="s">
        <v>297</v>
      </c>
      <c r="CT81" t="s">
        <v>544</v>
      </c>
      <c r="CU81">
        <v>43</v>
      </c>
    </row>
    <row r="82" spans="2:99">
      <c r="B82" t="s">
        <v>509</v>
      </c>
      <c r="C82" t="s">
        <v>428</v>
      </c>
      <c r="E82">
        <v>19</v>
      </c>
      <c r="F82">
        <v>10</v>
      </c>
      <c r="CA82" t="s">
        <v>40</v>
      </c>
      <c r="CB82" t="s">
        <v>40</v>
      </c>
      <c r="CC82" t="s">
        <v>40</v>
      </c>
      <c r="CD82" t="s">
        <v>529</v>
      </c>
      <c r="CE82">
        <v>1530</v>
      </c>
      <c r="CI82" t="s">
        <v>40</v>
      </c>
      <c r="CJ82" t="s">
        <v>40</v>
      </c>
      <c r="CK82" t="s">
        <v>40</v>
      </c>
      <c r="CL82" t="s">
        <v>544</v>
      </c>
      <c r="CM82">
        <v>126</v>
      </c>
      <c r="CQ82" t="s">
        <v>40</v>
      </c>
      <c r="CR82" t="s">
        <v>523</v>
      </c>
      <c r="CS82" t="s">
        <v>297</v>
      </c>
      <c r="CT82" t="s">
        <v>545</v>
      </c>
      <c r="CU82">
        <v>72</v>
      </c>
    </row>
    <row r="83" spans="2:99">
      <c r="B83" t="s">
        <v>509</v>
      </c>
      <c r="C83" t="s">
        <v>431</v>
      </c>
      <c r="D83">
        <v>1</v>
      </c>
      <c r="E83">
        <v>31</v>
      </c>
      <c r="F83">
        <v>111</v>
      </c>
      <c r="CA83" t="s">
        <v>40</v>
      </c>
      <c r="CB83" t="s">
        <v>40</v>
      </c>
      <c r="CC83" t="s">
        <v>40</v>
      </c>
      <c r="CD83" t="s">
        <v>530</v>
      </c>
      <c r="CE83">
        <v>2247</v>
      </c>
      <c r="CI83" t="s">
        <v>40</v>
      </c>
      <c r="CJ83" t="s">
        <v>40</v>
      </c>
      <c r="CK83" t="s">
        <v>40</v>
      </c>
      <c r="CL83" t="s">
        <v>545</v>
      </c>
      <c r="CM83">
        <v>182</v>
      </c>
      <c r="CQ83" t="s">
        <v>40</v>
      </c>
      <c r="CR83" t="s">
        <v>523</v>
      </c>
      <c r="CS83" t="s">
        <v>297</v>
      </c>
      <c r="CT83" t="s">
        <v>546</v>
      </c>
      <c r="CU83">
        <v>75</v>
      </c>
    </row>
    <row r="84" spans="2:99">
      <c r="B84" t="s">
        <v>509</v>
      </c>
      <c r="C84" t="s">
        <v>426</v>
      </c>
      <c r="D84">
        <v>36</v>
      </c>
      <c r="E84" s="122">
        <v>1204</v>
      </c>
      <c r="F84" s="122">
        <v>1763</v>
      </c>
      <c r="CA84" t="s">
        <v>40</v>
      </c>
      <c r="CB84" t="s">
        <v>40</v>
      </c>
      <c r="CC84" t="s">
        <v>40</v>
      </c>
      <c r="CD84" t="s">
        <v>531</v>
      </c>
      <c r="CE84">
        <v>365</v>
      </c>
      <c r="CI84" t="s">
        <v>40</v>
      </c>
      <c r="CJ84" t="s">
        <v>40</v>
      </c>
      <c r="CK84" t="s">
        <v>40</v>
      </c>
      <c r="CL84" t="s">
        <v>546</v>
      </c>
      <c r="CM84">
        <v>203</v>
      </c>
      <c r="CQ84" t="s">
        <v>40</v>
      </c>
      <c r="CR84" t="s">
        <v>523</v>
      </c>
      <c r="CS84" t="s">
        <v>297</v>
      </c>
      <c r="CT84" t="s">
        <v>532</v>
      </c>
      <c r="CU84">
        <v>157</v>
      </c>
    </row>
    <row r="85" spans="2:99">
      <c r="B85" t="s">
        <v>509</v>
      </c>
      <c r="C85" t="s">
        <v>481</v>
      </c>
      <c r="E85">
        <v>2</v>
      </c>
      <c r="F85">
        <v>5</v>
      </c>
      <c r="CA85" t="s">
        <v>40</v>
      </c>
      <c r="CB85" t="s">
        <v>40</v>
      </c>
      <c r="CC85" t="s">
        <v>40</v>
      </c>
      <c r="CD85" t="s">
        <v>532</v>
      </c>
      <c r="CE85">
        <v>7267</v>
      </c>
      <c r="CI85" t="s">
        <v>40</v>
      </c>
      <c r="CJ85" t="s">
        <v>40</v>
      </c>
      <c r="CK85" t="s">
        <v>40</v>
      </c>
      <c r="CL85" t="s">
        <v>532</v>
      </c>
      <c r="CM85">
        <v>2900</v>
      </c>
      <c r="CQ85" t="s">
        <v>40</v>
      </c>
      <c r="CR85" t="s">
        <v>523</v>
      </c>
      <c r="CS85" t="s">
        <v>532</v>
      </c>
    </row>
    <row r="86" spans="2:99">
      <c r="B86" t="s">
        <v>509</v>
      </c>
      <c r="C86" t="s">
        <v>433</v>
      </c>
      <c r="E86">
        <v>18</v>
      </c>
      <c r="F86">
        <v>51</v>
      </c>
      <c r="CA86" t="s">
        <v>40</v>
      </c>
      <c r="CB86" t="s">
        <v>40</v>
      </c>
      <c r="CC86" t="s">
        <v>538</v>
      </c>
      <c r="CI86" t="s">
        <v>40</v>
      </c>
      <c r="CJ86" t="s">
        <v>40</v>
      </c>
      <c r="CK86" t="s">
        <v>538</v>
      </c>
      <c r="CQ86" t="s">
        <v>40</v>
      </c>
      <c r="CR86" t="s">
        <v>523</v>
      </c>
      <c r="CS86" t="s">
        <v>532</v>
      </c>
      <c r="CT86" t="s">
        <v>521</v>
      </c>
      <c r="CU86">
        <v>935</v>
      </c>
    </row>
    <row r="87" spans="2:99">
      <c r="B87" t="s">
        <v>509</v>
      </c>
      <c r="C87" t="s">
        <v>408</v>
      </c>
      <c r="E87">
        <v>15</v>
      </c>
      <c r="F87">
        <v>30</v>
      </c>
      <c r="CA87" t="s">
        <v>40</v>
      </c>
      <c r="CB87" t="s">
        <v>40</v>
      </c>
      <c r="CC87" t="s">
        <v>40</v>
      </c>
      <c r="CD87" t="s">
        <v>522</v>
      </c>
      <c r="CE87">
        <v>3266</v>
      </c>
      <c r="CI87" t="s">
        <v>40</v>
      </c>
      <c r="CJ87" t="s">
        <v>40</v>
      </c>
      <c r="CK87" t="s">
        <v>40</v>
      </c>
      <c r="CL87" t="s">
        <v>521</v>
      </c>
      <c r="CM87">
        <v>3266</v>
      </c>
      <c r="CQ87" t="s">
        <v>40</v>
      </c>
      <c r="CR87" t="s">
        <v>523</v>
      </c>
      <c r="CS87" t="s">
        <v>532</v>
      </c>
      <c r="CT87" t="s">
        <v>540</v>
      </c>
      <c r="CU87">
        <v>38</v>
      </c>
    </row>
    <row r="88" spans="2:99">
      <c r="B88" t="s">
        <v>509</v>
      </c>
      <c r="C88" t="s">
        <v>429</v>
      </c>
      <c r="E88">
        <v>3</v>
      </c>
      <c r="F88">
        <v>4</v>
      </c>
      <c r="CA88" t="s">
        <v>40</v>
      </c>
      <c r="CB88" t="s">
        <v>40</v>
      </c>
      <c r="CC88" t="s">
        <v>40</v>
      </c>
      <c r="CD88" t="s">
        <v>523</v>
      </c>
      <c r="CE88">
        <v>972</v>
      </c>
      <c r="CI88" t="s">
        <v>40</v>
      </c>
      <c r="CJ88" t="s">
        <v>40</v>
      </c>
      <c r="CK88" t="s">
        <v>40</v>
      </c>
      <c r="CL88" t="s">
        <v>540</v>
      </c>
      <c r="CM88">
        <v>266</v>
      </c>
      <c r="CQ88" t="s">
        <v>40</v>
      </c>
      <c r="CR88" t="s">
        <v>523</v>
      </c>
      <c r="CS88" t="s">
        <v>532</v>
      </c>
      <c r="CT88" t="s">
        <v>541</v>
      </c>
      <c r="CU88">
        <v>368</v>
      </c>
    </row>
    <row r="89" spans="2:99">
      <c r="B89" t="s">
        <v>510</v>
      </c>
      <c r="D89">
        <v>43</v>
      </c>
      <c r="E89">
        <v>28</v>
      </c>
      <c r="F89">
        <v>5</v>
      </c>
      <c r="CA89" t="s">
        <v>40</v>
      </c>
      <c r="CB89" t="s">
        <v>40</v>
      </c>
      <c r="CC89" t="s">
        <v>40</v>
      </c>
      <c r="CD89" t="s">
        <v>524</v>
      </c>
      <c r="CE89">
        <v>306</v>
      </c>
      <c r="CI89" t="s">
        <v>40</v>
      </c>
      <c r="CJ89" t="s">
        <v>40</v>
      </c>
      <c r="CK89" t="s">
        <v>40</v>
      </c>
      <c r="CL89" t="s">
        <v>541</v>
      </c>
      <c r="CM89">
        <v>412</v>
      </c>
      <c r="CQ89" t="s">
        <v>40</v>
      </c>
      <c r="CR89" t="s">
        <v>523</v>
      </c>
      <c r="CS89" t="s">
        <v>532</v>
      </c>
      <c r="CT89" t="s">
        <v>542</v>
      </c>
      <c r="CU89">
        <v>110</v>
      </c>
    </row>
    <row r="90" spans="2:99">
      <c r="B90" t="s">
        <v>510</v>
      </c>
      <c r="C90" t="s">
        <v>555</v>
      </c>
      <c r="E90">
        <v>2</v>
      </c>
      <c r="F90">
        <v>4</v>
      </c>
      <c r="CA90" t="s">
        <v>40</v>
      </c>
      <c r="CB90" t="s">
        <v>40</v>
      </c>
      <c r="CC90" t="s">
        <v>40</v>
      </c>
      <c r="CD90" t="s">
        <v>525</v>
      </c>
      <c r="CE90">
        <v>229</v>
      </c>
      <c r="CI90" t="s">
        <v>40</v>
      </c>
      <c r="CJ90" t="s">
        <v>40</v>
      </c>
      <c r="CK90" t="s">
        <v>40</v>
      </c>
      <c r="CL90" t="s">
        <v>542</v>
      </c>
      <c r="CM90">
        <v>535</v>
      </c>
      <c r="CQ90" t="s">
        <v>40</v>
      </c>
      <c r="CR90" t="s">
        <v>523</v>
      </c>
      <c r="CS90" t="s">
        <v>532</v>
      </c>
      <c r="CT90" t="s">
        <v>137</v>
      </c>
      <c r="CU90">
        <v>104</v>
      </c>
    </row>
    <row r="91" spans="2:99">
      <c r="B91" t="s">
        <v>510</v>
      </c>
      <c r="C91" t="s">
        <v>403</v>
      </c>
      <c r="E91">
        <v>1</v>
      </c>
      <c r="CA91" t="s">
        <v>40</v>
      </c>
      <c r="CB91" t="s">
        <v>40</v>
      </c>
      <c r="CC91" t="s">
        <v>40</v>
      </c>
      <c r="CD91" t="s">
        <v>526</v>
      </c>
      <c r="CE91">
        <v>195</v>
      </c>
      <c r="CI91" t="s">
        <v>40</v>
      </c>
      <c r="CJ91" t="s">
        <v>40</v>
      </c>
      <c r="CK91" t="s">
        <v>40</v>
      </c>
      <c r="CL91" t="s">
        <v>137</v>
      </c>
      <c r="CM91">
        <v>1608</v>
      </c>
      <c r="CQ91" t="s">
        <v>40</v>
      </c>
      <c r="CR91" t="s">
        <v>523</v>
      </c>
      <c r="CS91" t="s">
        <v>532</v>
      </c>
      <c r="CT91" t="s">
        <v>554</v>
      </c>
      <c r="CU91">
        <v>104</v>
      </c>
    </row>
    <row r="92" spans="2:99">
      <c r="B92" t="s">
        <v>510</v>
      </c>
      <c r="C92" t="s">
        <v>425</v>
      </c>
      <c r="D92">
        <v>4</v>
      </c>
      <c r="E92">
        <v>21</v>
      </c>
      <c r="F92">
        <v>29</v>
      </c>
      <c r="CA92" t="s">
        <v>40</v>
      </c>
      <c r="CB92" t="s">
        <v>40</v>
      </c>
      <c r="CC92" t="s">
        <v>40</v>
      </c>
      <c r="CD92" t="s">
        <v>527</v>
      </c>
      <c r="CE92">
        <v>152</v>
      </c>
      <c r="CI92" t="s">
        <v>40</v>
      </c>
      <c r="CJ92" t="s">
        <v>40</v>
      </c>
      <c r="CK92" t="s">
        <v>40</v>
      </c>
      <c r="CL92" t="s">
        <v>554</v>
      </c>
      <c r="CM92">
        <v>34</v>
      </c>
      <c r="CQ92" t="s">
        <v>40</v>
      </c>
      <c r="CR92" t="s">
        <v>523</v>
      </c>
      <c r="CS92" t="s">
        <v>532</v>
      </c>
      <c r="CT92" t="s">
        <v>543</v>
      </c>
      <c r="CU92">
        <v>112</v>
      </c>
    </row>
    <row r="93" spans="2:99">
      <c r="B93" t="s">
        <v>510</v>
      </c>
      <c r="C93" t="s">
        <v>405</v>
      </c>
      <c r="D93">
        <v>11</v>
      </c>
      <c r="E93">
        <v>62</v>
      </c>
      <c r="F93">
        <v>146</v>
      </c>
      <c r="CA93" t="s">
        <v>40</v>
      </c>
      <c r="CB93" t="s">
        <v>40</v>
      </c>
      <c r="CC93" t="s">
        <v>40</v>
      </c>
      <c r="CD93" t="s">
        <v>528</v>
      </c>
      <c r="CE93">
        <v>136</v>
      </c>
      <c r="CI93" t="s">
        <v>40</v>
      </c>
      <c r="CJ93" t="s">
        <v>40</v>
      </c>
      <c r="CK93" t="s">
        <v>40</v>
      </c>
      <c r="CL93" t="s">
        <v>543</v>
      </c>
      <c r="CM93">
        <v>31</v>
      </c>
      <c r="CQ93" t="s">
        <v>40</v>
      </c>
      <c r="CR93" t="s">
        <v>523</v>
      </c>
      <c r="CS93" t="s">
        <v>532</v>
      </c>
      <c r="CT93" t="s">
        <v>544</v>
      </c>
      <c r="CU93">
        <v>4</v>
      </c>
    </row>
    <row r="94" spans="2:99">
      <c r="B94" t="s">
        <v>510</v>
      </c>
      <c r="C94" t="s">
        <v>137</v>
      </c>
      <c r="D94">
        <v>561</v>
      </c>
      <c r="E94" s="122">
        <v>1666</v>
      </c>
      <c r="F94">
        <v>923</v>
      </c>
      <c r="CA94" t="s">
        <v>40</v>
      </c>
      <c r="CB94" t="s">
        <v>40</v>
      </c>
      <c r="CC94" t="s">
        <v>40</v>
      </c>
      <c r="CD94" t="s">
        <v>529</v>
      </c>
      <c r="CE94">
        <v>142</v>
      </c>
      <c r="CI94" t="s">
        <v>40</v>
      </c>
      <c r="CJ94" t="s">
        <v>40</v>
      </c>
      <c r="CK94" t="s">
        <v>40</v>
      </c>
      <c r="CL94" t="s">
        <v>544</v>
      </c>
      <c r="CM94">
        <v>19</v>
      </c>
      <c r="CQ94" t="s">
        <v>40</v>
      </c>
      <c r="CR94" t="s">
        <v>523</v>
      </c>
      <c r="CS94" t="s">
        <v>532</v>
      </c>
      <c r="CT94" t="s">
        <v>545</v>
      </c>
      <c r="CU94">
        <v>47</v>
      </c>
    </row>
    <row r="95" spans="2:99">
      <c r="B95" t="s">
        <v>510</v>
      </c>
      <c r="C95" t="s">
        <v>406</v>
      </c>
      <c r="D95">
        <v>241</v>
      </c>
      <c r="E95" s="122">
        <v>9598</v>
      </c>
      <c r="F95" s="122">
        <v>9928</v>
      </c>
      <c r="CA95" t="s">
        <v>40</v>
      </c>
      <c r="CB95" t="s">
        <v>40</v>
      </c>
      <c r="CC95" t="s">
        <v>40</v>
      </c>
      <c r="CD95" t="s">
        <v>530</v>
      </c>
      <c r="CE95">
        <v>152</v>
      </c>
      <c r="CI95" t="s">
        <v>40</v>
      </c>
      <c r="CJ95" t="s">
        <v>40</v>
      </c>
      <c r="CK95" t="s">
        <v>40</v>
      </c>
      <c r="CL95" t="s">
        <v>545</v>
      </c>
      <c r="CM95">
        <v>16</v>
      </c>
      <c r="CQ95" t="s">
        <v>40</v>
      </c>
      <c r="CR95" t="s">
        <v>523</v>
      </c>
      <c r="CS95" t="s">
        <v>532</v>
      </c>
      <c r="CT95" t="s">
        <v>546</v>
      </c>
      <c r="CU95">
        <v>2</v>
      </c>
    </row>
    <row r="96" spans="2:99">
      <c r="B96" t="s">
        <v>510</v>
      </c>
      <c r="C96" t="s">
        <v>427</v>
      </c>
      <c r="D96">
        <v>6</v>
      </c>
      <c r="E96">
        <v>136</v>
      </c>
      <c r="F96">
        <v>110</v>
      </c>
      <c r="CA96" t="s">
        <v>40</v>
      </c>
      <c r="CB96" t="s">
        <v>40</v>
      </c>
      <c r="CC96" t="s">
        <v>40</v>
      </c>
      <c r="CD96" t="s">
        <v>531</v>
      </c>
      <c r="CE96">
        <v>42</v>
      </c>
      <c r="CI96" t="s">
        <v>40</v>
      </c>
      <c r="CJ96" t="s">
        <v>40</v>
      </c>
      <c r="CK96" t="s">
        <v>40</v>
      </c>
      <c r="CL96" t="s">
        <v>546</v>
      </c>
      <c r="CM96">
        <v>49</v>
      </c>
      <c r="CQ96" t="s">
        <v>40</v>
      </c>
      <c r="CR96" t="s">
        <v>523</v>
      </c>
      <c r="CS96" t="s">
        <v>532</v>
      </c>
      <c r="CT96" t="s">
        <v>532</v>
      </c>
      <c r="CU96">
        <v>46</v>
      </c>
    </row>
    <row r="97" spans="2:99">
      <c r="B97" t="s">
        <v>510</v>
      </c>
      <c r="C97" t="s">
        <v>407</v>
      </c>
      <c r="D97" s="122">
        <v>1283</v>
      </c>
      <c r="E97" s="122">
        <v>20485</v>
      </c>
      <c r="F97" s="122">
        <v>2121</v>
      </c>
      <c r="CA97" t="s">
        <v>40</v>
      </c>
      <c r="CB97" t="s">
        <v>40</v>
      </c>
      <c r="CC97" t="s">
        <v>40</v>
      </c>
      <c r="CD97" t="s">
        <v>532</v>
      </c>
      <c r="CE97">
        <v>940</v>
      </c>
      <c r="CI97" t="s">
        <v>40</v>
      </c>
      <c r="CJ97" t="s">
        <v>40</v>
      </c>
      <c r="CK97" t="s">
        <v>40</v>
      </c>
      <c r="CL97" t="s">
        <v>532</v>
      </c>
      <c r="CM97">
        <v>296</v>
      </c>
      <c r="CQ97" t="s">
        <v>40</v>
      </c>
      <c r="CR97" t="s">
        <v>524</v>
      </c>
    </row>
    <row r="98" spans="2:99">
      <c r="B98" t="s">
        <v>510</v>
      </c>
      <c r="C98" t="s">
        <v>556</v>
      </c>
      <c r="D98">
        <v>10</v>
      </c>
      <c r="E98">
        <v>447</v>
      </c>
      <c r="F98">
        <v>62</v>
      </c>
      <c r="CA98" t="s">
        <v>40</v>
      </c>
      <c r="CB98" t="s">
        <v>40</v>
      </c>
      <c r="CC98" t="s">
        <v>532</v>
      </c>
      <c r="CI98" t="s">
        <v>40</v>
      </c>
      <c r="CJ98" t="s">
        <v>40</v>
      </c>
      <c r="CK98" t="s">
        <v>532</v>
      </c>
      <c r="CQ98" t="s">
        <v>40</v>
      </c>
      <c r="CR98" t="s">
        <v>557</v>
      </c>
      <c r="CS98" t="s">
        <v>521</v>
      </c>
    </row>
    <row r="99" spans="2:99">
      <c r="B99" t="s">
        <v>510</v>
      </c>
      <c r="C99" t="s">
        <v>428</v>
      </c>
      <c r="E99">
        <v>18</v>
      </c>
      <c r="F99">
        <v>15</v>
      </c>
      <c r="CA99" t="s">
        <v>40</v>
      </c>
      <c r="CB99" t="s">
        <v>40</v>
      </c>
      <c r="CC99" t="s">
        <v>40</v>
      </c>
      <c r="CD99" t="s">
        <v>522</v>
      </c>
      <c r="CE99">
        <v>21870</v>
      </c>
      <c r="CI99" t="s">
        <v>40</v>
      </c>
      <c r="CJ99" t="s">
        <v>40</v>
      </c>
      <c r="CK99" t="s">
        <v>40</v>
      </c>
      <c r="CL99" t="s">
        <v>521</v>
      </c>
      <c r="CM99">
        <v>21870</v>
      </c>
      <c r="CQ99" t="s">
        <v>40</v>
      </c>
      <c r="CR99" t="s">
        <v>557</v>
      </c>
      <c r="CS99" t="s">
        <v>40</v>
      </c>
      <c r="CT99" t="s">
        <v>521</v>
      </c>
      <c r="CU99">
        <v>109668</v>
      </c>
    </row>
    <row r="100" spans="2:99">
      <c r="B100" t="s">
        <v>510</v>
      </c>
      <c r="C100" t="s">
        <v>431</v>
      </c>
      <c r="D100">
        <v>1</v>
      </c>
      <c r="E100">
        <v>30</v>
      </c>
      <c r="F100">
        <v>81</v>
      </c>
      <c r="CA100" t="s">
        <v>40</v>
      </c>
      <c r="CB100" t="s">
        <v>40</v>
      </c>
      <c r="CC100" t="s">
        <v>40</v>
      </c>
      <c r="CD100" t="s">
        <v>523</v>
      </c>
      <c r="CE100">
        <v>935</v>
      </c>
      <c r="CI100" t="s">
        <v>40</v>
      </c>
      <c r="CJ100" t="s">
        <v>40</v>
      </c>
      <c r="CK100" t="s">
        <v>40</v>
      </c>
      <c r="CL100" t="s">
        <v>540</v>
      </c>
      <c r="CM100">
        <v>229</v>
      </c>
      <c r="CQ100" t="s">
        <v>40</v>
      </c>
      <c r="CR100" t="s">
        <v>557</v>
      </c>
      <c r="CS100" t="s">
        <v>40</v>
      </c>
      <c r="CT100" t="s">
        <v>540</v>
      </c>
      <c r="CU100">
        <v>2951</v>
      </c>
    </row>
    <row r="101" spans="2:99">
      <c r="B101" t="s">
        <v>510</v>
      </c>
      <c r="C101" t="s">
        <v>426</v>
      </c>
      <c r="D101">
        <v>24</v>
      </c>
      <c r="E101">
        <v>952</v>
      </c>
      <c r="F101" s="122">
        <v>1206</v>
      </c>
      <c r="CA101" t="s">
        <v>40</v>
      </c>
      <c r="CB101" t="s">
        <v>40</v>
      </c>
      <c r="CC101" t="s">
        <v>40</v>
      </c>
      <c r="CD101" t="s">
        <v>524</v>
      </c>
      <c r="CE101">
        <v>685</v>
      </c>
      <c r="CI101" t="s">
        <v>40</v>
      </c>
      <c r="CJ101" t="s">
        <v>40</v>
      </c>
      <c r="CK101" t="s">
        <v>40</v>
      </c>
      <c r="CL101" t="s">
        <v>541</v>
      </c>
      <c r="CM101">
        <v>4384</v>
      </c>
      <c r="CQ101" t="s">
        <v>40</v>
      </c>
      <c r="CR101" t="s">
        <v>557</v>
      </c>
      <c r="CS101" t="s">
        <v>40</v>
      </c>
      <c r="CT101" t="s">
        <v>541</v>
      </c>
      <c r="CU101">
        <v>42020</v>
      </c>
    </row>
    <row r="102" spans="2:99">
      <c r="B102" t="s">
        <v>510</v>
      </c>
      <c r="C102" t="s">
        <v>433</v>
      </c>
      <c r="D102">
        <v>1</v>
      </c>
      <c r="E102">
        <v>13</v>
      </c>
      <c r="F102">
        <v>29</v>
      </c>
      <c r="CA102" t="s">
        <v>40</v>
      </c>
      <c r="CB102" t="s">
        <v>40</v>
      </c>
      <c r="CC102" t="s">
        <v>40</v>
      </c>
      <c r="CD102" t="s">
        <v>525</v>
      </c>
      <c r="CE102">
        <v>760</v>
      </c>
      <c r="CI102" t="s">
        <v>40</v>
      </c>
      <c r="CJ102" t="s">
        <v>40</v>
      </c>
      <c r="CK102" t="s">
        <v>40</v>
      </c>
      <c r="CL102" t="s">
        <v>542</v>
      </c>
      <c r="CM102">
        <v>4623</v>
      </c>
      <c r="CQ102" t="s">
        <v>40</v>
      </c>
      <c r="CR102" t="s">
        <v>557</v>
      </c>
      <c r="CS102" t="s">
        <v>40</v>
      </c>
      <c r="CT102" t="s">
        <v>542</v>
      </c>
      <c r="CU102">
        <v>35749</v>
      </c>
    </row>
    <row r="103" spans="2:99">
      <c r="B103" t="s">
        <v>510</v>
      </c>
      <c r="C103" t="s">
        <v>408</v>
      </c>
      <c r="D103">
        <v>2</v>
      </c>
      <c r="E103">
        <v>11</v>
      </c>
      <c r="F103">
        <v>19</v>
      </c>
      <c r="CA103" t="s">
        <v>40</v>
      </c>
      <c r="CB103" t="s">
        <v>40</v>
      </c>
      <c r="CC103" t="s">
        <v>40</v>
      </c>
      <c r="CD103" t="s">
        <v>526</v>
      </c>
      <c r="CE103">
        <v>666</v>
      </c>
      <c r="CI103" t="s">
        <v>40</v>
      </c>
      <c r="CJ103" t="s">
        <v>40</v>
      </c>
      <c r="CK103" t="s">
        <v>40</v>
      </c>
      <c r="CL103" t="s">
        <v>137</v>
      </c>
      <c r="CM103">
        <v>1453</v>
      </c>
      <c r="CQ103" t="s">
        <v>40</v>
      </c>
      <c r="CR103" t="s">
        <v>557</v>
      </c>
      <c r="CS103" t="s">
        <v>40</v>
      </c>
      <c r="CT103" t="s">
        <v>137</v>
      </c>
      <c r="CU103">
        <v>5995</v>
      </c>
    </row>
    <row r="104" spans="2:99">
      <c r="B104" t="s">
        <v>510</v>
      </c>
      <c r="C104" t="s">
        <v>429</v>
      </c>
      <c r="E104">
        <v>3</v>
      </c>
      <c r="F104">
        <v>4</v>
      </c>
      <c r="CA104" t="s">
        <v>40</v>
      </c>
      <c r="CB104" t="s">
        <v>40</v>
      </c>
      <c r="CC104" t="s">
        <v>40</v>
      </c>
      <c r="CD104" t="s">
        <v>527</v>
      </c>
      <c r="CE104">
        <v>1121</v>
      </c>
      <c r="CI104" t="s">
        <v>40</v>
      </c>
      <c r="CJ104" t="s">
        <v>40</v>
      </c>
      <c r="CK104" t="s">
        <v>40</v>
      </c>
      <c r="CL104" t="s">
        <v>554</v>
      </c>
      <c r="CM104">
        <v>1141</v>
      </c>
      <c r="CQ104" t="s">
        <v>40</v>
      </c>
      <c r="CR104" t="s">
        <v>557</v>
      </c>
      <c r="CS104" t="s">
        <v>40</v>
      </c>
      <c r="CT104" t="s">
        <v>554</v>
      </c>
      <c r="CU104">
        <v>8805</v>
      </c>
    </row>
    <row r="105" spans="2:99">
      <c r="B105" t="s">
        <v>511</v>
      </c>
      <c r="D105">
        <v>377</v>
      </c>
      <c r="E105">
        <v>33</v>
      </c>
      <c r="F105">
        <v>13</v>
      </c>
      <c r="CA105" t="s">
        <v>40</v>
      </c>
      <c r="CB105" t="s">
        <v>40</v>
      </c>
      <c r="CC105" t="s">
        <v>40</v>
      </c>
      <c r="CD105" t="s">
        <v>528</v>
      </c>
      <c r="CE105">
        <v>989</v>
      </c>
      <c r="CI105" t="s">
        <v>40</v>
      </c>
      <c r="CJ105" t="s">
        <v>40</v>
      </c>
      <c r="CK105" t="s">
        <v>40</v>
      </c>
      <c r="CL105" t="s">
        <v>543</v>
      </c>
      <c r="CM105">
        <v>852</v>
      </c>
      <c r="CQ105" t="s">
        <v>40</v>
      </c>
      <c r="CR105" t="s">
        <v>557</v>
      </c>
      <c r="CS105" t="s">
        <v>40</v>
      </c>
      <c r="CT105" t="s">
        <v>543</v>
      </c>
      <c r="CU105">
        <v>9852</v>
      </c>
    </row>
    <row r="106" spans="2:99">
      <c r="B106" t="s">
        <v>511</v>
      </c>
      <c r="C106" t="s">
        <v>555</v>
      </c>
      <c r="E106">
        <v>1</v>
      </c>
      <c r="F106">
        <v>4</v>
      </c>
      <c r="CA106" t="s">
        <v>40</v>
      </c>
      <c r="CB106" t="s">
        <v>40</v>
      </c>
      <c r="CC106" t="s">
        <v>40</v>
      </c>
      <c r="CD106" t="s">
        <v>529</v>
      </c>
      <c r="CE106">
        <v>978</v>
      </c>
      <c r="CI106" t="s">
        <v>40</v>
      </c>
      <c r="CJ106" t="s">
        <v>40</v>
      </c>
      <c r="CK106" t="s">
        <v>40</v>
      </c>
      <c r="CL106" t="s">
        <v>544</v>
      </c>
      <c r="CM106">
        <v>34</v>
      </c>
      <c r="CQ106" t="s">
        <v>40</v>
      </c>
      <c r="CR106" t="s">
        <v>557</v>
      </c>
      <c r="CS106" t="s">
        <v>40</v>
      </c>
      <c r="CT106" t="s">
        <v>544</v>
      </c>
      <c r="CU106">
        <v>400</v>
      </c>
    </row>
    <row r="107" spans="2:99">
      <c r="B107" t="s">
        <v>511</v>
      </c>
      <c r="C107" t="s">
        <v>425</v>
      </c>
      <c r="D107">
        <v>4</v>
      </c>
      <c r="E107">
        <v>17</v>
      </c>
      <c r="F107">
        <v>22</v>
      </c>
      <c r="CA107" t="s">
        <v>40</v>
      </c>
      <c r="CB107" t="s">
        <v>40</v>
      </c>
      <c r="CC107" t="s">
        <v>40</v>
      </c>
      <c r="CD107" t="s">
        <v>530</v>
      </c>
      <c r="CE107">
        <v>2069</v>
      </c>
      <c r="CI107" t="s">
        <v>40</v>
      </c>
      <c r="CJ107" t="s">
        <v>40</v>
      </c>
      <c r="CK107" t="s">
        <v>40</v>
      </c>
      <c r="CL107" t="s">
        <v>545</v>
      </c>
      <c r="CM107">
        <v>243</v>
      </c>
      <c r="CQ107" t="s">
        <v>40</v>
      </c>
      <c r="CR107" t="s">
        <v>557</v>
      </c>
      <c r="CS107" t="s">
        <v>40</v>
      </c>
      <c r="CT107" t="s">
        <v>545</v>
      </c>
      <c r="CU107">
        <v>2925</v>
      </c>
    </row>
    <row r="108" spans="2:99">
      <c r="B108" t="s">
        <v>511</v>
      </c>
      <c r="C108" t="s">
        <v>405</v>
      </c>
      <c r="D108">
        <v>3</v>
      </c>
      <c r="E108">
        <v>44</v>
      </c>
      <c r="F108">
        <v>173</v>
      </c>
      <c r="CA108" t="s">
        <v>40</v>
      </c>
      <c r="CB108" t="s">
        <v>40</v>
      </c>
      <c r="CC108" t="s">
        <v>40</v>
      </c>
      <c r="CD108" t="s">
        <v>531</v>
      </c>
      <c r="CE108">
        <v>235</v>
      </c>
      <c r="CI108" t="s">
        <v>40</v>
      </c>
      <c r="CJ108" t="s">
        <v>40</v>
      </c>
      <c r="CK108" t="s">
        <v>40</v>
      </c>
      <c r="CL108" t="s">
        <v>546</v>
      </c>
      <c r="CM108">
        <v>71</v>
      </c>
      <c r="CQ108" t="s">
        <v>40</v>
      </c>
      <c r="CR108" t="s">
        <v>557</v>
      </c>
      <c r="CS108" t="s">
        <v>40</v>
      </c>
      <c r="CT108" t="s">
        <v>546</v>
      </c>
      <c r="CU108">
        <v>391</v>
      </c>
    </row>
    <row r="109" spans="2:99">
      <c r="B109" t="s">
        <v>511</v>
      </c>
      <c r="C109" t="s">
        <v>137</v>
      </c>
      <c r="D109">
        <v>735</v>
      </c>
      <c r="E109">
        <v>823</v>
      </c>
      <c r="F109">
        <v>647</v>
      </c>
      <c r="CA109" t="s">
        <v>40</v>
      </c>
      <c r="CB109" t="s">
        <v>40</v>
      </c>
      <c r="CC109" t="s">
        <v>40</v>
      </c>
      <c r="CD109" t="s">
        <v>532</v>
      </c>
      <c r="CE109">
        <v>13432</v>
      </c>
      <c r="CI109" t="s">
        <v>40</v>
      </c>
      <c r="CJ109" t="s">
        <v>40</v>
      </c>
      <c r="CK109" t="s">
        <v>40</v>
      </c>
      <c r="CL109" t="s">
        <v>532</v>
      </c>
      <c r="CM109">
        <v>8840</v>
      </c>
      <c r="CQ109" t="s">
        <v>40</v>
      </c>
      <c r="CR109" t="s">
        <v>557</v>
      </c>
      <c r="CS109" t="s">
        <v>40</v>
      </c>
      <c r="CT109" t="s">
        <v>532</v>
      </c>
      <c r="CU109">
        <v>580</v>
      </c>
    </row>
    <row r="110" spans="2:99">
      <c r="B110" t="s">
        <v>511</v>
      </c>
      <c r="C110" t="s">
        <v>406</v>
      </c>
      <c r="D110">
        <v>219</v>
      </c>
      <c r="E110" s="122">
        <v>8634</v>
      </c>
      <c r="F110" s="122">
        <v>10387</v>
      </c>
      <c r="CA110" t="s">
        <v>40</v>
      </c>
      <c r="CB110" t="s">
        <v>40</v>
      </c>
      <c r="CQ110" t="s">
        <v>40</v>
      </c>
      <c r="CR110" t="s">
        <v>557</v>
      </c>
      <c r="CS110" t="s">
        <v>46</v>
      </c>
    </row>
    <row r="111" spans="2:99">
      <c r="B111" t="s">
        <v>511</v>
      </c>
      <c r="C111" t="s">
        <v>427</v>
      </c>
      <c r="D111">
        <v>4</v>
      </c>
      <c r="E111">
        <v>106</v>
      </c>
      <c r="F111">
        <v>62</v>
      </c>
      <c r="CA111" t="s">
        <v>40</v>
      </c>
      <c r="CB111" t="s">
        <v>40</v>
      </c>
      <c r="CQ111" t="s">
        <v>40</v>
      </c>
      <c r="CR111" t="s">
        <v>557</v>
      </c>
      <c r="CS111" t="s">
        <v>46</v>
      </c>
      <c r="CT111" t="s">
        <v>521</v>
      </c>
      <c r="CU111">
        <v>46847</v>
      </c>
    </row>
    <row r="112" spans="2:99">
      <c r="B112" t="s">
        <v>511</v>
      </c>
      <c r="C112" t="s">
        <v>407</v>
      </c>
      <c r="D112" s="122">
        <v>1112</v>
      </c>
      <c r="E112" s="122">
        <v>14099</v>
      </c>
      <c r="F112" s="122">
        <v>2302</v>
      </c>
      <c r="CA112" t="s">
        <v>40</v>
      </c>
      <c r="CB112" t="s">
        <v>40</v>
      </c>
      <c r="CQ112" t="s">
        <v>40</v>
      </c>
      <c r="CR112" t="s">
        <v>557</v>
      </c>
      <c r="CS112" t="s">
        <v>46</v>
      </c>
      <c r="CT112" t="s">
        <v>540</v>
      </c>
      <c r="CU112">
        <v>1343</v>
      </c>
    </row>
    <row r="113" spans="2:99">
      <c r="B113" t="s">
        <v>511</v>
      </c>
      <c r="C113" t="s">
        <v>556</v>
      </c>
      <c r="D113">
        <v>13</v>
      </c>
      <c r="E113">
        <v>266</v>
      </c>
      <c r="F113">
        <v>43</v>
      </c>
      <c r="CA113" t="s">
        <v>40</v>
      </c>
      <c r="CB113" t="s">
        <v>40</v>
      </c>
      <c r="CQ113" t="s">
        <v>40</v>
      </c>
      <c r="CR113" t="s">
        <v>557</v>
      </c>
      <c r="CS113" t="s">
        <v>46</v>
      </c>
      <c r="CT113" t="s">
        <v>541</v>
      </c>
      <c r="CU113">
        <v>25936</v>
      </c>
    </row>
    <row r="114" spans="2:99">
      <c r="B114" t="s">
        <v>511</v>
      </c>
      <c r="C114" t="s">
        <v>428</v>
      </c>
      <c r="E114">
        <v>16</v>
      </c>
      <c r="F114">
        <v>12</v>
      </c>
      <c r="CA114" t="s">
        <v>40</v>
      </c>
      <c r="CB114" t="s">
        <v>40</v>
      </c>
      <c r="CQ114" t="s">
        <v>40</v>
      </c>
      <c r="CR114" t="s">
        <v>557</v>
      </c>
      <c r="CS114" t="s">
        <v>46</v>
      </c>
      <c r="CT114" t="s">
        <v>542</v>
      </c>
      <c r="CU114">
        <v>3575</v>
      </c>
    </row>
    <row r="115" spans="2:99">
      <c r="B115" t="s">
        <v>511</v>
      </c>
      <c r="C115" t="s">
        <v>431</v>
      </c>
      <c r="E115">
        <v>31</v>
      </c>
      <c r="F115">
        <v>49</v>
      </c>
      <c r="CA115" t="s">
        <v>40</v>
      </c>
      <c r="CB115" t="s">
        <v>40</v>
      </c>
      <c r="CQ115" t="s">
        <v>40</v>
      </c>
      <c r="CR115" t="s">
        <v>557</v>
      </c>
      <c r="CS115" t="s">
        <v>46</v>
      </c>
      <c r="CT115" t="s">
        <v>137</v>
      </c>
      <c r="CU115">
        <v>1041</v>
      </c>
    </row>
    <row r="116" spans="2:99">
      <c r="B116" t="s">
        <v>511</v>
      </c>
      <c r="C116" t="s">
        <v>426</v>
      </c>
      <c r="D116">
        <v>18</v>
      </c>
      <c r="E116">
        <v>754</v>
      </c>
      <c r="F116">
        <v>711</v>
      </c>
      <c r="CA116" t="s">
        <v>40</v>
      </c>
      <c r="CB116" t="s">
        <v>40</v>
      </c>
      <c r="CQ116" t="s">
        <v>40</v>
      </c>
      <c r="CR116" t="s">
        <v>557</v>
      </c>
      <c r="CS116" t="s">
        <v>46</v>
      </c>
      <c r="CT116" t="s">
        <v>554</v>
      </c>
      <c r="CU116">
        <v>4238</v>
      </c>
    </row>
    <row r="117" spans="2:99">
      <c r="B117" t="s">
        <v>511</v>
      </c>
      <c r="C117" t="s">
        <v>481</v>
      </c>
      <c r="E117">
        <v>4</v>
      </c>
      <c r="CA117" t="s">
        <v>40</v>
      </c>
      <c r="CB117" t="s">
        <v>40</v>
      </c>
      <c r="CQ117" t="s">
        <v>40</v>
      </c>
      <c r="CR117" t="s">
        <v>557</v>
      </c>
      <c r="CS117" t="s">
        <v>46</v>
      </c>
      <c r="CT117" t="s">
        <v>543</v>
      </c>
      <c r="CU117">
        <v>7788</v>
      </c>
    </row>
    <row r="118" spans="2:99">
      <c r="B118" t="s">
        <v>511</v>
      </c>
      <c r="C118" t="s">
        <v>433</v>
      </c>
      <c r="E118">
        <v>10</v>
      </c>
      <c r="F118">
        <v>19</v>
      </c>
      <c r="CA118" t="s">
        <v>40</v>
      </c>
      <c r="CB118" t="s">
        <v>40</v>
      </c>
      <c r="CQ118" t="s">
        <v>40</v>
      </c>
      <c r="CR118" t="s">
        <v>557</v>
      </c>
      <c r="CS118" t="s">
        <v>46</v>
      </c>
      <c r="CT118" t="s">
        <v>544</v>
      </c>
      <c r="CU118">
        <v>266</v>
      </c>
    </row>
    <row r="119" spans="2:99">
      <c r="B119" t="s">
        <v>511</v>
      </c>
      <c r="C119" t="s">
        <v>408</v>
      </c>
      <c r="D119">
        <v>1</v>
      </c>
      <c r="E119">
        <v>10</v>
      </c>
      <c r="F119">
        <v>28</v>
      </c>
      <c r="CA119" t="s">
        <v>40</v>
      </c>
      <c r="CB119" t="s">
        <v>40</v>
      </c>
      <c r="CQ119" t="s">
        <v>40</v>
      </c>
      <c r="CR119" t="s">
        <v>557</v>
      </c>
      <c r="CS119" t="s">
        <v>46</v>
      </c>
      <c r="CT119" t="s">
        <v>545</v>
      </c>
      <c r="CU119">
        <v>2251</v>
      </c>
    </row>
    <row r="120" spans="2:99">
      <c r="B120" t="s">
        <v>511</v>
      </c>
      <c r="C120" t="s">
        <v>429</v>
      </c>
      <c r="E120">
        <v>3</v>
      </c>
      <c r="F120">
        <v>6</v>
      </c>
      <c r="CA120" t="s">
        <v>40</v>
      </c>
      <c r="CB120" t="s">
        <v>40</v>
      </c>
      <c r="CQ120" t="s">
        <v>40</v>
      </c>
      <c r="CR120" t="s">
        <v>557</v>
      </c>
      <c r="CS120" t="s">
        <v>46</v>
      </c>
      <c r="CT120" t="s">
        <v>546</v>
      </c>
      <c r="CU120">
        <v>191</v>
      </c>
    </row>
    <row r="121" spans="2:99">
      <c r="B121" t="s">
        <v>512</v>
      </c>
      <c r="D121">
        <v>256</v>
      </c>
      <c r="E121">
        <v>36</v>
      </c>
      <c r="F121">
        <v>14</v>
      </c>
      <c r="CA121" t="s">
        <v>40</v>
      </c>
      <c r="CB121" t="s">
        <v>40</v>
      </c>
      <c r="CQ121" t="s">
        <v>40</v>
      </c>
      <c r="CR121" t="s">
        <v>557</v>
      </c>
      <c r="CS121" t="s">
        <v>46</v>
      </c>
      <c r="CT121" t="s">
        <v>532</v>
      </c>
      <c r="CU121">
        <v>218</v>
      </c>
    </row>
    <row r="122" spans="2:99">
      <c r="B122" t="s">
        <v>512</v>
      </c>
      <c r="C122" t="s">
        <v>555</v>
      </c>
      <c r="E122">
        <v>5</v>
      </c>
      <c r="F122">
        <v>4</v>
      </c>
      <c r="CA122" t="s">
        <v>40</v>
      </c>
      <c r="CB122" t="s">
        <v>40</v>
      </c>
      <c r="CQ122" t="s">
        <v>40</v>
      </c>
      <c r="CR122" t="s">
        <v>557</v>
      </c>
      <c r="CS122" t="s">
        <v>44</v>
      </c>
    </row>
    <row r="123" spans="2:99">
      <c r="B123" t="s">
        <v>512</v>
      </c>
      <c r="C123" t="s">
        <v>425</v>
      </c>
      <c r="D123">
        <v>3</v>
      </c>
      <c r="E123">
        <v>35</v>
      </c>
      <c r="F123">
        <v>53</v>
      </c>
      <c r="CA123" t="s">
        <v>40</v>
      </c>
      <c r="CB123" t="s">
        <v>40</v>
      </c>
      <c r="CQ123" t="s">
        <v>40</v>
      </c>
      <c r="CR123" t="s">
        <v>557</v>
      </c>
      <c r="CS123" t="s">
        <v>44</v>
      </c>
      <c r="CT123" t="s">
        <v>521</v>
      </c>
      <c r="CU123">
        <v>25149</v>
      </c>
    </row>
    <row r="124" spans="2:99">
      <c r="B124" t="s">
        <v>512</v>
      </c>
      <c r="C124" t="s">
        <v>405</v>
      </c>
      <c r="D124">
        <v>31</v>
      </c>
      <c r="E124">
        <v>84</v>
      </c>
      <c r="F124">
        <v>551</v>
      </c>
      <c r="CQ124" t="s">
        <v>40</v>
      </c>
      <c r="CR124" t="s">
        <v>557</v>
      </c>
      <c r="CS124" t="s">
        <v>44</v>
      </c>
      <c r="CT124" t="s">
        <v>540</v>
      </c>
      <c r="CU124">
        <v>466</v>
      </c>
    </row>
    <row r="125" spans="2:99">
      <c r="B125" t="s">
        <v>512</v>
      </c>
      <c r="C125" t="s">
        <v>137</v>
      </c>
      <c r="D125">
        <v>994</v>
      </c>
      <c r="E125" s="122">
        <v>1444</v>
      </c>
      <c r="F125">
        <v>902</v>
      </c>
      <c r="CQ125" t="s">
        <v>40</v>
      </c>
      <c r="CR125" t="s">
        <v>557</v>
      </c>
      <c r="CS125" t="s">
        <v>44</v>
      </c>
      <c r="CT125" t="s">
        <v>541</v>
      </c>
      <c r="CU125">
        <v>8157</v>
      </c>
    </row>
    <row r="126" spans="2:99">
      <c r="B126" t="s">
        <v>512</v>
      </c>
      <c r="C126" t="s">
        <v>406</v>
      </c>
      <c r="D126">
        <v>497</v>
      </c>
      <c r="E126" s="122">
        <v>19285</v>
      </c>
      <c r="F126" s="122">
        <v>27683</v>
      </c>
      <c r="CQ126" t="s">
        <v>40</v>
      </c>
      <c r="CR126" t="s">
        <v>557</v>
      </c>
      <c r="CS126" t="s">
        <v>44</v>
      </c>
      <c r="CT126" t="s">
        <v>542</v>
      </c>
      <c r="CU126">
        <v>12128</v>
      </c>
    </row>
    <row r="127" spans="2:99">
      <c r="B127" t="s">
        <v>512</v>
      </c>
      <c r="C127" t="s">
        <v>427</v>
      </c>
      <c r="D127">
        <v>9</v>
      </c>
      <c r="E127">
        <v>392</v>
      </c>
      <c r="F127">
        <v>124</v>
      </c>
      <c r="CQ127" t="s">
        <v>40</v>
      </c>
      <c r="CR127" t="s">
        <v>557</v>
      </c>
      <c r="CS127" t="s">
        <v>44</v>
      </c>
      <c r="CT127" t="s">
        <v>137</v>
      </c>
      <c r="CU127">
        <v>847</v>
      </c>
    </row>
    <row r="128" spans="2:99">
      <c r="B128" t="s">
        <v>512</v>
      </c>
      <c r="C128" t="s">
        <v>407</v>
      </c>
      <c r="D128" s="122">
        <v>1796</v>
      </c>
      <c r="E128" s="122">
        <v>26605</v>
      </c>
      <c r="F128" s="122">
        <v>4302</v>
      </c>
      <c r="CQ128" t="s">
        <v>40</v>
      </c>
      <c r="CR128" t="s">
        <v>557</v>
      </c>
      <c r="CS128" t="s">
        <v>44</v>
      </c>
      <c r="CT128" t="s">
        <v>554</v>
      </c>
      <c r="CU128">
        <v>1673</v>
      </c>
    </row>
    <row r="129" spans="2:99">
      <c r="B129" t="s">
        <v>512</v>
      </c>
      <c r="C129" t="s">
        <v>556</v>
      </c>
      <c r="D129">
        <v>16</v>
      </c>
      <c r="E129">
        <v>767</v>
      </c>
      <c r="F129">
        <v>90</v>
      </c>
      <c r="CQ129" t="s">
        <v>40</v>
      </c>
      <c r="CR129" t="s">
        <v>557</v>
      </c>
      <c r="CS129" t="s">
        <v>44</v>
      </c>
      <c r="CT129" t="s">
        <v>543</v>
      </c>
      <c r="CU129">
        <v>1258</v>
      </c>
    </row>
    <row r="130" spans="2:99">
      <c r="B130" t="s">
        <v>512</v>
      </c>
      <c r="C130" t="s">
        <v>428</v>
      </c>
      <c r="E130">
        <v>30</v>
      </c>
      <c r="F130">
        <v>20</v>
      </c>
      <c r="CQ130" t="s">
        <v>40</v>
      </c>
      <c r="CR130" t="s">
        <v>557</v>
      </c>
      <c r="CS130" t="s">
        <v>44</v>
      </c>
      <c r="CT130" t="s">
        <v>544</v>
      </c>
      <c r="CU130">
        <v>73</v>
      </c>
    </row>
    <row r="131" spans="2:99">
      <c r="B131" t="s">
        <v>512</v>
      </c>
      <c r="C131" t="s">
        <v>431</v>
      </c>
      <c r="D131">
        <v>1</v>
      </c>
      <c r="E131">
        <v>178</v>
      </c>
      <c r="F131">
        <v>125</v>
      </c>
      <c r="CQ131" t="s">
        <v>40</v>
      </c>
      <c r="CR131" t="s">
        <v>557</v>
      </c>
      <c r="CS131" t="s">
        <v>44</v>
      </c>
      <c r="CT131" t="s">
        <v>545</v>
      </c>
      <c r="CU131">
        <v>350</v>
      </c>
    </row>
    <row r="132" spans="2:99">
      <c r="B132" t="s">
        <v>512</v>
      </c>
      <c r="C132" t="s">
        <v>426</v>
      </c>
      <c r="D132">
        <v>71</v>
      </c>
      <c r="E132" s="122">
        <v>2773</v>
      </c>
      <c r="F132" s="122">
        <v>1581</v>
      </c>
      <c r="CQ132" t="s">
        <v>40</v>
      </c>
      <c r="CR132" t="s">
        <v>557</v>
      </c>
      <c r="CS132" t="s">
        <v>44</v>
      </c>
      <c r="CT132" t="s">
        <v>546</v>
      </c>
      <c r="CU132">
        <v>78</v>
      </c>
    </row>
    <row r="133" spans="2:99">
      <c r="B133" t="s">
        <v>512</v>
      </c>
      <c r="C133" t="s">
        <v>481</v>
      </c>
      <c r="E133">
        <v>2</v>
      </c>
      <c r="F133">
        <v>1</v>
      </c>
      <c r="CQ133" t="s">
        <v>40</v>
      </c>
      <c r="CR133" t="s">
        <v>557</v>
      </c>
      <c r="CS133" t="s">
        <v>44</v>
      </c>
      <c r="CT133" t="s">
        <v>532</v>
      </c>
      <c r="CU133">
        <v>119</v>
      </c>
    </row>
    <row r="134" spans="2:99">
      <c r="B134" t="s">
        <v>512</v>
      </c>
      <c r="C134" t="s">
        <v>433</v>
      </c>
      <c r="D134">
        <v>1</v>
      </c>
      <c r="E134">
        <v>38</v>
      </c>
      <c r="F134">
        <v>51</v>
      </c>
      <c r="CQ134" t="s">
        <v>40</v>
      </c>
      <c r="CR134" t="s">
        <v>557</v>
      </c>
      <c r="CS134" t="s">
        <v>44</v>
      </c>
    </row>
    <row r="135" spans="2:99">
      <c r="B135" t="s">
        <v>512</v>
      </c>
      <c r="C135" t="s">
        <v>408</v>
      </c>
      <c r="D135">
        <v>1</v>
      </c>
      <c r="E135">
        <v>15</v>
      </c>
      <c r="F135">
        <v>66</v>
      </c>
      <c r="CQ135" t="s">
        <v>40</v>
      </c>
      <c r="CR135" t="s">
        <v>557</v>
      </c>
      <c r="CS135" t="s">
        <v>44</v>
      </c>
      <c r="CT135" t="s">
        <v>521</v>
      </c>
      <c r="CU135">
        <v>31594</v>
      </c>
    </row>
    <row r="136" spans="2:99">
      <c r="B136" t="s">
        <v>512</v>
      </c>
      <c r="C136" t="s">
        <v>429</v>
      </c>
      <c r="D136">
        <v>1</v>
      </c>
      <c r="E136">
        <v>6</v>
      </c>
      <c r="F136">
        <v>12</v>
      </c>
      <c r="CQ136" t="s">
        <v>40</v>
      </c>
      <c r="CR136" t="s">
        <v>557</v>
      </c>
      <c r="CS136" t="s">
        <v>44</v>
      </c>
      <c r="CT136" t="s">
        <v>540</v>
      </c>
      <c r="CU136">
        <v>894</v>
      </c>
    </row>
    <row r="137" spans="2:99">
      <c r="B137" t="s">
        <v>513</v>
      </c>
      <c r="D137">
        <v>170</v>
      </c>
      <c r="E137">
        <v>68</v>
      </c>
      <c r="F137">
        <v>17</v>
      </c>
      <c r="CQ137" t="s">
        <v>40</v>
      </c>
      <c r="CR137" t="s">
        <v>557</v>
      </c>
      <c r="CS137" t="s">
        <v>44</v>
      </c>
      <c r="CT137" t="s">
        <v>541</v>
      </c>
      <c r="CU137">
        <v>7089</v>
      </c>
    </row>
    <row r="138" spans="2:99">
      <c r="B138" t="s">
        <v>513</v>
      </c>
      <c r="C138" t="s">
        <v>555</v>
      </c>
      <c r="E138">
        <v>7</v>
      </c>
      <c r="F138">
        <v>6</v>
      </c>
      <c r="CQ138" t="s">
        <v>40</v>
      </c>
      <c r="CR138" t="s">
        <v>557</v>
      </c>
      <c r="CS138" t="s">
        <v>44</v>
      </c>
      <c r="CT138" t="s">
        <v>542</v>
      </c>
      <c r="CU138">
        <v>17813</v>
      </c>
    </row>
    <row r="139" spans="2:99">
      <c r="B139" t="s">
        <v>513</v>
      </c>
      <c r="C139" t="s">
        <v>425</v>
      </c>
      <c r="D139">
        <v>6</v>
      </c>
      <c r="E139">
        <v>29</v>
      </c>
      <c r="F139">
        <v>101</v>
      </c>
      <c r="CQ139" t="s">
        <v>40</v>
      </c>
      <c r="CR139" t="s">
        <v>557</v>
      </c>
      <c r="CS139" t="s">
        <v>44</v>
      </c>
      <c r="CT139" t="s">
        <v>137</v>
      </c>
      <c r="CU139">
        <v>1834</v>
      </c>
    </row>
    <row r="140" spans="2:99">
      <c r="B140" t="s">
        <v>513</v>
      </c>
      <c r="C140" t="s">
        <v>405</v>
      </c>
      <c r="D140">
        <v>73</v>
      </c>
      <c r="E140">
        <v>171</v>
      </c>
      <c r="F140">
        <v>947</v>
      </c>
      <c r="CQ140" t="s">
        <v>40</v>
      </c>
      <c r="CR140" t="s">
        <v>557</v>
      </c>
      <c r="CS140" t="s">
        <v>44</v>
      </c>
      <c r="CT140" t="s">
        <v>554</v>
      </c>
      <c r="CU140">
        <v>2708</v>
      </c>
    </row>
    <row r="141" spans="2:99">
      <c r="B141" t="s">
        <v>513</v>
      </c>
      <c r="C141" t="s">
        <v>137</v>
      </c>
      <c r="D141" s="122">
        <v>3503</v>
      </c>
      <c r="E141" s="122">
        <v>2023</v>
      </c>
      <c r="F141">
        <v>744</v>
      </c>
      <c r="CQ141" t="s">
        <v>40</v>
      </c>
      <c r="CR141" t="s">
        <v>557</v>
      </c>
      <c r="CS141" t="s">
        <v>44</v>
      </c>
      <c r="CT141" t="s">
        <v>543</v>
      </c>
      <c r="CU141">
        <v>684</v>
      </c>
    </row>
    <row r="142" spans="2:99">
      <c r="B142" t="s">
        <v>513</v>
      </c>
      <c r="C142" t="s">
        <v>406</v>
      </c>
      <c r="D142">
        <v>399</v>
      </c>
      <c r="E142" s="122">
        <v>14405</v>
      </c>
      <c r="F142" s="122">
        <v>25187</v>
      </c>
      <c r="CQ142" t="s">
        <v>40</v>
      </c>
      <c r="CR142" t="s">
        <v>557</v>
      </c>
      <c r="CS142" t="s">
        <v>44</v>
      </c>
      <c r="CT142" t="s">
        <v>544</v>
      </c>
      <c r="CU142">
        <v>49</v>
      </c>
    </row>
    <row r="143" spans="2:99">
      <c r="B143" t="s">
        <v>513</v>
      </c>
      <c r="C143" t="s">
        <v>427</v>
      </c>
      <c r="D143">
        <v>19</v>
      </c>
      <c r="E143">
        <v>342</v>
      </c>
      <c r="F143">
        <v>136</v>
      </c>
      <c r="CQ143" t="s">
        <v>40</v>
      </c>
      <c r="CR143" t="s">
        <v>557</v>
      </c>
      <c r="CS143" t="s">
        <v>44</v>
      </c>
      <c r="CT143" t="s">
        <v>545</v>
      </c>
      <c r="CU143">
        <v>273</v>
      </c>
    </row>
    <row r="144" spans="2:99">
      <c r="B144" t="s">
        <v>513</v>
      </c>
      <c r="C144" t="s">
        <v>407</v>
      </c>
      <c r="D144" s="122">
        <v>2009</v>
      </c>
      <c r="E144" s="122">
        <v>22617</v>
      </c>
      <c r="F144" s="122">
        <v>3952</v>
      </c>
      <c r="CQ144" t="s">
        <v>40</v>
      </c>
      <c r="CR144" t="s">
        <v>557</v>
      </c>
      <c r="CS144" t="s">
        <v>44</v>
      </c>
      <c r="CT144" t="s">
        <v>546</v>
      </c>
      <c r="CU144">
        <v>83</v>
      </c>
    </row>
    <row r="145" spans="2:99">
      <c r="B145" t="s">
        <v>513</v>
      </c>
      <c r="C145" t="s">
        <v>556</v>
      </c>
      <c r="D145">
        <v>66</v>
      </c>
      <c r="E145">
        <v>912</v>
      </c>
      <c r="F145">
        <v>101</v>
      </c>
      <c r="CQ145" t="s">
        <v>40</v>
      </c>
      <c r="CR145" t="s">
        <v>557</v>
      </c>
      <c r="CS145" t="s">
        <v>44</v>
      </c>
      <c r="CT145" t="s">
        <v>532</v>
      </c>
      <c r="CU145">
        <v>167</v>
      </c>
    </row>
    <row r="146" spans="2:99">
      <c r="B146" t="s">
        <v>513</v>
      </c>
      <c r="C146" t="s">
        <v>428</v>
      </c>
      <c r="D146">
        <v>1</v>
      </c>
      <c r="E146">
        <v>29</v>
      </c>
      <c r="F146">
        <v>17</v>
      </c>
      <c r="CQ146" t="s">
        <v>40</v>
      </c>
      <c r="CR146" t="s">
        <v>557</v>
      </c>
      <c r="CS146" t="s">
        <v>297</v>
      </c>
    </row>
    <row r="147" spans="2:99">
      <c r="B147" t="s">
        <v>513</v>
      </c>
      <c r="C147" t="s">
        <v>431</v>
      </c>
      <c r="D147">
        <v>2</v>
      </c>
      <c r="E147">
        <v>79</v>
      </c>
      <c r="F147">
        <v>111</v>
      </c>
      <c r="CQ147" t="s">
        <v>40</v>
      </c>
      <c r="CR147" t="s">
        <v>557</v>
      </c>
      <c r="CS147" t="s">
        <v>297</v>
      </c>
      <c r="CT147" t="s">
        <v>521</v>
      </c>
      <c r="CU147">
        <v>2434</v>
      </c>
    </row>
    <row r="148" spans="2:99">
      <c r="B148" t="s">
        <v>513</v>
      </c>
      <c r="C148" t="s">
        <v>426</v>
      </c>
      <c r="D148">
        <v>90</v>
      </c>
      <c r="E148" s="122">
        <v>2892</v>
      </c>
      <c r="F148" s="122">
        <v>1737</v>
      </c>
      <c r="CQ148" t="s">
        <v>40</v>
      </c>
      <c r="CR148" t="s">
        <v>557</v>
      </c>
      <c r="CS148" t="s">
        <v>297</v>
      </c>
      <c r="CT148" t="s">
        <v>540</v>
      </c>
      <c r="CU148">
        <v>62</v>
      </c>
    </row>
    <row r="149" spans="2:99">
      <c r="B149" t="s">
        <v>513</v>
      </c>
      <c r="C149" t="s">
        <v>481</v>
      </c>
      <c r="F149">
        <v>4</v>
      </c>
      <c r="CQ149" t="s">
        <v>40</v>
      </c>
      <c r="CR149" t="s">
        <v>557</v>
      </c>
      <c r="CS149" t="s">
        <v>297</v>
      </c>
      <c r="CT149" t="s">
        <v>541</v>
      </c>
      <c r="CU149">
        <v>140</v>
      </c>
    </row>
    <row r="150" spans="2:99">
      <c r="B150" t="s">
        <v>513</v>
      </c>
      <c r="C150" t="s">
        <v>433</v>
      </c>
      <c r="D150">
        <v>3</v>
      </c>
      <c r="E150">
        <v>24</v>
      </c>
      <c r="F150">
        <v>45</v>
      </c>
      <c r="CQ150" t="s">
        <v>40</v>
      </c>
      <c r="CR150" t="s">
        <v>557</v>
      </c>
      <c r="CS150" t="s">
        <v>297</v>
      </c>
      <c r="CT150" t="s">
        <v>542</v>
      </c>
      <c r="CU150">
        <v>1393</v>
      </c>
    </row>
    <row r="151" spans="2:99">
      <c r="B151" t="s">
        <v>513</v>
      </c>
      <c r="C151" t="s">
        <v>408</v>
      </c>
      <c r="D151">
        <v>1</v>
      </c>
      <c r="E151">
        <v>22</v>
      </c>
      <c r="F151">
        <v>69</v>
      </c>
      <c r="CQ151" t="s">
        <v>40</v>
      </c>
      <c r="CR151" t="s">
        <v>557</v>
      </c>
      <c r="CS151" t="s">
        <v>297</v>
      </c>
      <c r="CT151" t="s">
        <v>137</v>
      </c>
      <c r="CU151">
        <v>715</v>
      </c>
    </row>
    <row r="152" spans="2:99">
      <c r="B152" t="s">
        <v>513</v>
      </c>
      <c r="C152" t="s">
        <v>429</v>
      </c>
      <c r="E152">
        <v>4</v>
      </c>
      <c r="F152">
        <v>16</v>
      </c>
      <c r="CQ152" t="s">
        <v>40</v>
      </c>
      <c r="CR152" t="s">
        <v>557</v>
      </c>
      <c r="CS152" t="s">
        <v>297</v>
      </c>
      <c r="CT152" t="s">
        <v>554</v>
      </c>
      <c r="CU152">
        <v>55</v>
      </c>
    </row>
    <row r="153" spans="2:99">
      <c r="B153" t="s">
        <v>514</v>
      </c>
      <c r="D153">
        <v>626</v>
      </c>
      <c r="E153">
        <v>182</v>
      </c>
      <c r="F153">
        <v>16</v>
      </c>
      <c r="CQ153" t="s">
        <v>40</v>
      </c>
      <c r="CR153" t="s">
        <v>557</v>
      </c>
      <c r="CS153" t="s">
        <v>297</v>
      </c>
      <c r="CT153" t="s">
        <v>543</v>
      </c>
      <c r="CU153">
        <v>19</v>
      </c>
    </row>
    <row r="154" spans="2:99">
      <c r="B154" t="s">
        <v>514</v>
      </c>
      <c r="C154" t="s">
        <v>555</v>
      </c>
      <c r="E154">
        <v>3</v>
      </c>
      <c r="F154">
        <v>1</v>
      </c>
      <c r="CQ154" t="s">
        <v>40</v>
      </c>
      <c r="CR154" t="s">
        <v>557</v>
      </c>
      <c r="CS154" t="s">
        <v>297</v>
      </c>
      <c r="CT154" t="s">
        <v>544</v>
      </c>
      <c r="CU154">
        <v>4</v>
      </c>
    </row>
    <row r="155" spans="2:99">
      <c r="B155" t="s">
        <v>514</v>
      </c>
      <c r="C155" t="s">
        <v>403</v>
      </c>
      <c r="D155">
        <v>1</v>
      </c>
      <c r="CQ155" t="s">
        <v>40</v>
      </c>
      <c r="CR155" t="s">
        <v>557</v>
      </c>
      <c r="CS155" t="s">
        <v>297</v>
      </c>
      <c r="CT155" t="s">
        <v>545</v>
      </c>
      <c r="CU155">
        <v>12</v>
      </c>
    </row>
    <row r="156" spans="2:99">
      <c r="B156" t="s">
        <v>514</v>
      </c>
      <c r="C156" t="s">
        <v>425</v>
      </c>
      <c r="D156">
        <v>14</v>
      </c>
      <c r="E156">
        <v>62</v>
      </c>
      <c r="F156">
        <v>93</v>
      </c>
      <c r="CQ156" t="s">
        <v>40</v>
      </c>
      <c r="CR156" t="s">
        <v>557</v>
      </c>
      <c r="CS156" t="s">
        <v>297</v>
      </c>
      <c r="CT156" t="s">
        <v>546</v>
      </c>
      <c r="CU156">
        <v>11</v>
      </c>
    </row>
    <row r="157" spans="2:99">
      <c r="B157" t="s">
        <v>514</v>
      </c>
      <c r="C157" t="s">
        <v>405</v>
      </c>
      <c r="D157">
        <v>208</v>
      </c>
      <c r="E157">
        <v>326</v>
      </c>
      <c r="F157">
        <v>962</v>
      </c>
      <c r="CQ157" t="s">
        <v>40</v>
      </c>
      <c r="CR157" t="s">
        <v>557</v>
      </c>
      <c r="CS157" t="s">
        <v>297</v>
      </c>
      <c r="CT157" t="s">
        <v>532</v>
      </c>
      <c r="CU157">
        <v>23</v>
      </c>
    </row>
    <row r="158" spans="2:99">
      <c r="B158" t="s">
        <v>514</v>
      </c>
      <c r="C158" t="s">
        <v>137</v>
      </c>
      <c r="D158" s="122">
        <v>19041</v>
      </c>
      <c r="E158" s="122">
        <v>6012</v>
      </c>
      <c r="F158" s="122">
        <v>1914</v>
      </c>
      <c r="CQ158" t="s">
        <v>40</v>
      </c>
      <c r="CR158" t="s">
        <v>557</v>
      </c>
      <c r="CS158" t="s">
        <v>297</v>
      </c>
    </row>
    <row r="159" spans="2:99">
      <c r="B159" t="s">
        <v>514</v>
      </c>
      <c r="C159" t="s">
        <v>430</v>
      </c>
      <c r="D159">
        <v>1</v>
      </c>
      <c r="E159">
        <v>1</v>
      </c>
      <c r="CQ159" t="s">
        <v>40</v>
      </c>
      <c r="CR159" t="s">
        <v>557</v>
      </c>
      <c r="CS159" t="s">
        <v>297</v>
      </c>
      <c r="CT159" t="s">
        <v>521</v>
      </c>
      <c r="CU159">
        <v>2959</v>
      </c>
    </row>
    <row r="160" spans="2:99">
      <c r="B160" t="s">
        <v>514</v>
      </c>
      <c r="C160" t="s">
        <v>406</v>
      </c>
      <c r="D160">
        <v>685</v>
      </c>
      <c r="E160" s="122">
        <v>19202</v>
      </c>
      <c r="F160" s="122">
        <v>36438</v>
      </c>
      <c r="CQ160" t="s">
        <v>40</v>
      </c>
      <c r="CR160" t="s">
        <v>557</v>
      </c>
      <c r="CS160" t="s">
        <v>297</v>
      </c>
      <c r="CT160" t="s">
        <v>540</v>
      </c>
      <c r="CU160">
        <v>172</v>
      </c>
    </row>
    <row r="161" spans="2:99">
      <c r="B161" t="s">
        <v>514</v>
      </c>
      <c r="C161" t="s">
        <v>427</v>
      </c>
      <c r="D161">
        <v>12</v>
      </c>
      <c r="E161">
        <v>551</v>
      </c>
      <c r="F161">
        <v>70</v>
      </c>
      <c r="CQ161" t="s">
        <v>40</v>
      </c>
      <c r="CR161" t="s">
        <v>557</v>
      </c>
      <c r="CS161" t="s">
        <v>297</v>
      </c>
      <c r="CT161" t="s">
        <v>541</v>
      </c>
      <c r="CU161">
        <v>435</v>
      </c>
    </row>
    <row r="162" spans="2:99">
      <c r="B162" t="s">
        <v>514</v>
      </c>
      <c r="C162" t="s">
        <v>407</v>
      </c>
      <c r="D162" s="122">
        <v>4626</v>
      </c>
      <c r="E162" s="122">
        <v>33425</v>
      </c>
      <c r="F162" s="122">
        <v>9175</v>
      </c>
      <c r="CQ162" t="s">
        <v>40</v>
      </c>
      <c r="CR162" t="s">
        <v>557</v>
      </c>
      <c r="CS162" t="s">
        <v>297</v>
      </c>
      <c r="CT162" t="s">
        <v>542</v>
      </c>
      <c r="CU162">
        <v>676</v>
      </c>
    </row>
    <row r="163" spans="2:99">
      <c r="B163" t="s">
        <v>514</v>
      </c>
      <c r="C163" t="s">
        <v>556</v>
      </c>
      <c r="D163">
        <v>50</v>
      </c>
      <c r="E163">
        <v>974</v>
      </c>
      <c r="F163">
        <v>78</v>
      </c>
      <c r="CQ163" t="s">
        <v>40</v>
      </c>
      <c r="CR163" t="s">
        <v>557</v>
      </c>
      <c r="CS163" t="s">
        <v>297</v>
      </c>
      <c r="CT163" t="s">
        <v>137</v>
      </c>
      <c r="CU163">
        <v>1520</v>
      </c>
    </row>
    <row r="164" spans="2:99">
      <c r="B164" t="s">
        <v>514</v>
      </c>
      <c r="C164" t="s">
        <v>428</v>
      </c>
      <c r="D164">
        <v>1</v>
      </c>
      <c r="E164">
        <v>22</v>
      </c>
      <c r="F164">
        <v>7</v>
      </c>
      <c r="CQ164" t="s">
        <v>40</v>
      </c>
      <c r="CR164" t="s">
        <v>557</v>
      </c>
      <c r="CS164" t="s">
        <v>297</v>
      </c>
      <c r="CT164" t="s">
        <v>554</v>
      </c>
      <c r="CU164">
        <v>44</v>
      </c>
    </row>
    <row r="165" spans="2:99">
      <c r="B165" t="s">
        <v>514</v>
      </c>
      <c r="C165" t="s">
        <v>431</v>
      </c>
      <c r="E165">
        <v>46</v>
      </c>
      <c r="F165">
        <v>51</v>
      </c>
      <c r="CQ165" t="s">
        <v>40</v>
      </c>
      <c r="CR165" t="s">
        <v>557</v>
      </c>
      <c r="CS165" t="s">
        <v>297</v>
      </c>
      <c r="CT165" t="s">
        <v>543</v>
      </c>
      <c r="CU165">
        <v>24</v>
      </c>
    </row>
    <row r="166" spans="2:99">
      <c r="B166" t="s">
        <v>514</v>
      </c>
      <c r="C166" t="s">
        <v>426</v>
      </c>
      <c r="D166">
        <v>88</v>
      </c>
      <c r="E166" s="122">
        <v>3271</v>
      </c>
      <c r="F166" s="122">
        <v>1220</v>
      </c>
      <c r="CQ166" t="s">
        <v>40</v>
      </c>
      <c r="CR166" t="s">
        <v>557</v>
      </c>
      <c r="CS166" t="s">
        <v>297</v>
      </c>
      <c r="CT166" t="s">
        <v>544</v>
      </c>
      <c r="CU166">
        <v>7</v>
      </c>
    </row>
    <row r="167" spans="2:99">
      <c r="B167" t="s">
        <v>514</v>
      </c>
      <c r="C167" t="s">
        <v>481</v>
      </c>
      <c r="E167">
        <v>2</v>
      </c>
      <c r="F167">
        <v>1</v>
      </c>
      <c r="CQ167" t="s">
        <v>40</v>
      </c>
      <c r="CR167" t="s">
        <v>557</v>
      </c>
      <c r="CS167" t="s">
        <v>297</v>
      </c>
      <c r="CT167" t="s">
        <v>545</v>
      </c>
      <c r="CU167">
        <v>17</v>
      </c>
    </row>
    <row r="168" spans="2:99">
      <c r="B168" t="s">
        <v>514</v>
      </c>
      <c r="C168" t="s">
        <v>433</v>
      </c>
      <c r="E168">
        <v>27</v>
      </c>
      <c r="F168">
        <v>34</v>
      </c>
      <c r="CQ168" t="s">
        <v>40</v>
      </c>
      <c r="CR168" t="s">
        <v>557</v>
      </c>
      <c r="CS168" t="s">
        <v>297</v>
      </c>
      <c r="CT168" t="s">
        <v>546</v>
      </c>
      <c r="CU168">
        <v>28</v>
      </c>
    </row>
    <row r="169" spans="2:99">
      <c r="B169" t="s">
        <v>514</v>
      </c>
      <c r="C169" t="s">
        <v>408</v>
      </c>
      <c r="D169">
        <v>1</v>
      </c>
      <c r="E169">
        <v>7</v>
      </c>
      <c r="F169">
        <v>90</v>
      </c>
      <c r="CQ169" t="s">
        <v>40</v>
      </c>
      <c r="CR169" t="s">
        <v>557</v>
      </c>
      <c r="CS169" t="s">
        <v>297</v>
      </c>
      <c r="CT169" t="s">
        <v>532</v>
      </c>
      <c r="CU169">
        <v>36</v>
      </c>
    </row>
    <row r="170" spans="2:99">
      <c r="B170" t="s">
        <v>514</v>
      </c>
      <c r="C170" t="s">
        <v>429</v>
      </c>
      <c r="E170">
        <v>5</v>
      </c>
      <c r="F170">
        <v>9</v>
      </c>
      <c r="CQ170" t="s">
        <v>40</v>
      </c>
      <c r="CR170" t="s">
        <v>557</v>
      </c>
      <c r="CS170" t="s">
        <v>532</v>
      </c>
    </row>
    <row r="171" spans="2:99">
      <c r="B171" t="s">
        <v>547</v>
      </c>
      <c r="D171" s="122">
        <v>3552</v>
      </c>
      <c r="E171">
        <v>356</v>
      </c>
      <c r="F171">
        <v>48</v>
      </c>
      <c r="CQ171" t="s">
        <v>40</v>
      </c>
      <c r="CR171" t="s">
        <v>557</v>
      </c>
      <c r="CS171" t="s">
        <v>532</v>
      </c>
      <c r="CT171" t="s">
        <v>521</v>
      </c>
      <c r="CU171">
        <v>685</v>
      </c>
    </row>
    <row r="172" spans="2:99">
      <c r="B172" t="s">
        <v>547</v>
      </c>
      <c r="C172" t="s">
        <v>403</v>
      </c>
      <c r="D172">
        <v>1</v>
      </c>
      <c r="CQ172" t="s">
        <v>40</v>
      </c>
      <c r="CR172" t="s">
        <v>557</v>
      </c>
      <c r="CS172" t="s">
        <v>532</v>
      </c>
      <c r="CT172" t="s">
        <v>540</v>
      </c>
      <c r="CU172">
        <v>14</v>
      </c>
    </row>
    <row r="173" spans="2:99">
      <c r="B173" t="s">
        <v>547</v>
      </c>
      <c r="C173" t="s">
        <v>425</v>
      </c>
      <c r="D173">
        <v>34</v>
      </c>
      <c r="E173">
        <v>70</v>
      </c>
      <c r="F173">
        <v>121</v>
      </c>
      <c r="CQ173" t="s">
        <v>40</v>
      </c>
      <c r="CR173" t="s">
        <v>557</v>
      </c>
      <c r="CS173" t="s">
        <v>532</v>
      </c>
      <c r="CT173" t="s">
        <v>541</v>
      </c>
      <c r="CU173">
        <v>263</v>
      </c>
    </row>
    <row r="174" spans="2:99">
      <c r="B174" t="s">
        <v>547</v>
      </c>
      <c r="C174" t="s">
        <v>405</v>
      </c>
      <c r="D174" s="122">
        <v>1460</v>
      </c>
      <c r="E174" s="122">
        <v>3285</v>
      </c>
      <c r="F174" s="122">
        <v>1876</v>
      </c>
      <c r="CQ174" t="s">
        <v>40</v>
      </c>
      <c r="CR174" t="s">
        <v>557</v>
      </c>
      <c r="CS174" t="s">
        <v>532</v>
      </c>
      <c r="CT174" t="s">
        <v>542</v>
      </c>
      <c r="CU174">
        <v>164</v>
      </c>
    </row>
    <row r="175" spans="2:99">
      <c r="B175" t="s">
        <v>547</v>
      </c>
      <c r="C175" t="s">
        <v>137</v>
      </c>
      <c r="D175" s="122">
        <v>33830</v>
      </c>
      <c r="E175" s="122">
        <v>7057</v>
      </c>
      <c r="F175" s="122">
        <v>3795</v>
      </c>
      <c r="CQ175" t="s">
        <v>40</v>
      </c>
      <c r="CR175" t="s">
        <v>557</v>
      </c>
      <c r="CS175" t="s">
        <v>532</v>
      </c>
      <c r="CT175" t="s">
        <v>137</v>
      </c>
      <c r="CU175">
        <v>38</v>
      </c>
    </row>
    <row r="176" spans="2:99">
      <c r="B176" t="s">
        <v>547</v>
      </c>
      <c r="C176" t="s">
        <v>483</v>
      </c>
      <c r="E176" s="122"/>
      <c r="F176" s="122">
        <v>6</v>
      </c>
      <c r="CQ176" t="s">
        <v>40</v>
      </c>
      <c r="CR176" t="s">
        <v>557</v>
      </c>
      <c r="CS176" t="s">
        <v>532</v>
      </c>
      <c r="CT176" t="s">
        <v>554</v>
      </c>
      <c r="CU176">
        <v>87</v>
      </c>
    </row>
    <row r="177" spans="2:99">
      <c r="B177" t="s">
        <v>547</v>
      </c>
      <c r="C177" t="s">
        <v>484</v>
      </c>
      <c r="F177">
        <v>1</v>
      </c>
      <c r="CQ177" t="s">
        <v>40</v>
      </c>
      <c r="CR177" t="s">
        <v>557</v>
      </c>
      <c r="CS177" t="s">
        <v>532</v>
      </c>
      <c r="CT177" t="s">
        <v>543</v>
      </c>
      <c r="CU177">
        <v>79</v>
      </c>
    </row>
    <row r="178" spans="2:99">
      <c r="B178" t="s">
        <v>547</v>
      </c>
      <c r="C178" t="s">
        <v>430</v>
      </c>
      <c r="D178" s="122"/>
      <c r="E178" s="122">
        <v>2</v>
      </c>
      <c r="F178" s="122">
        <v>6</v>
      </c>
      <c r="CQ178" t="s">
        <v>40</v>
      </c>
      <c r="CR178" t="s">
        <v>557</v>
      </c>
      <c r="CS178" t="s">
        <v>532</v>
      </c>
      <c r="CT178" t="s">
        <v>544</v>
      </c>
      <c r="CU178">
        <v>1</v>
      </c>
    </row>
    <row r="179" spans="2:99">
      <c r="B179" t="s">
        <v>547</v>
      </c>
      <c r="C179" t="s">
        <v>406</v>
      </c>
      <c r="D179" s="122">
        <v>1113</v>
      </c>
      <c r="E179" s="122">
        <v>38126</v>
      </c>
      <c r="F179" s="122">
        <v>47807</v>
      </c>
      <c r="CQ179" t="s">
        <v>40</v>
      </c>
      <c r="CR179" t="s">
        <v>557</v>
      </c>
      <c r="CS179" t="s">
        <v>532</v>
      </c>
      <c r="CT179" t="s">
        <v>545</v>
      </c>
      <c r="CU179">
        <v>22</v>
      </c>
    </row>
    <row r="180" spans="2:99">
      <c r="B180" t="s">
        <v>547</v>
      </c>
      <c r="C180" t="s">
        <v>427</v>
      </c>
      <c r="E180">
        <v>256</v>
      </c>
      <c r="F180">
        <v>62</v>
      </c>
      <c r="CQ180" t="s">
        <v>40</v>
      </c>
      <c r="CR180" t="s">
        <v>557</v>
      </c>
      <c r="CS180" t="s">
        <v>532</v>
      </c>
      <c r="CT180" t="s">
        <v>546</v>
      </c>
      <c r="CU180">
        <v>0</v>
      </c>
    </row>
    <row r="181" spans="2:99">
      <c r="B181" t="s">
        <v>547</v>
      </c>
      <c r="C181" t="s">
        <v>407</v>
      </c>
      <c r="D181" s="122">
        <v>38133</v>
      </c>
      <c r="E181" s="122">
        <v>61716</v>
      </c>
      <c r="F181" s="122">
        <v>14262</v>
      </c>
      <c r="CQ181" t="s">
        <v>40</v>
      </c>
      <c r="CR181" t="s">
        <v>557</v>
      </c>
      <c r="CS181" t="s">
        <v>532</v>
      </c>
      <c r="CT181" t="s">
        <v>532</v>
      </c>
      <c r="CU181">
        <v>17</v>
      </c>
    </row>
    <row r="182" spans="2:99">
      <c r="B182" t="s">
        <v>547</v>
      </c>
      <c r="C182" t="s">
        <v>556</v>
      </c>
      <c r="D182">
        <v>27</v>
      </c>
      <c r="E182" s="122">
        <v>330</v>
      </c>
      <c r="F182">
        <v>69</v>
      </c>
      <c r="CQ182" t="s">
        <v>40</v>
      </c>
      <c r="CR182" t="s">
        <v>525</v>
      </c>
    </row>
    <row r="183" spans="2:99">
      <c r="B183" t="s">
        <v>547</v>
      </c>
      <c r="C183" t="s">
        <v>428</v>
      </c>
      <c r="D183">
        <v>1</v>
      </c>
      <c r="E183">
        <v>4</v>
      </c>
      <c r="F183">
        <v>1</v>
      </c>
      <c r="CQ183" t="s">
        <v>40</v>
      </c>
      <c r="CR183" t="s">
        <v>525</v>
      </c>
      <c r="CS183" t="s">
        <v>521</v>
      </c>
    </row>
    <row r="184" spans="2:99">
      <c r="B184" t="s">
        <v>547</v>
      </c>
      <c r="C184" t="s">
        <v>431</v>
      </c>
      <c r="E184">
        <v>52</v>
      </c>
      <c r="F184">
        <v>17</v>
      </c>
      <c r="CQ184" t="s">
        <v>40</v>
      </c>
      <c r="CR184" t="s">
        <v>525</v>
      </c>
      <c r="CS184" t="s">
        <v>40</v>
      </c>
      <c r="CT184" t="s">
        <v>521</v>
      </c>
      <c r="CU184">
        <v>126107</v>
      </c>
    </row>
    <row r="185" spans="2:99">
      <c r="B185" t="s">
        <v>547</v>
      </c>
      <c r="C185" t="s">
        <v>426</v>
      </c>
      <c r="D185">
        <v>59</v>
      </c>
      <c r="E185" s="122">
        <v>4072</v>
      </c>
      <c r="F185">
        <v>927</v>
      </c>
      <c r="CQ185" t="s">
        <v>40</v>
      </c>
      <c r="CR185" t="s">
        <v>525</v>
      </c>
      <c r="CS185" t="s">
        <v>40</v>
      </c>
      <c r="CT185" t="s">
        <v>540</v>
      </c>
      <c r="CU185">
        <v>2346</v>
      </c>
    </row>
    <row r="186" spans="2:99">
      <c r="B186" t="s">
        <v>547</v>
      </c>
      <c r="C186" t="s">
        <v>481</v>
      </c>
      <c r="E186">
        <v>2</v>
      </c>
      <c r="F186">
        <v>8</v>
      </c>
      <c r="CQ186" t="s">
        <v>40</v>
      </c>
      <c r="CR186" t="s">
        <v>525</v>
      </c>
      <c r="CS186" t="s">
        <v>40</v>
      </c>
      <c r="CT186" t="s">
        <v>541</v>
      </c>
      <c r="CU186">
        <v>45409</v>
      </c>
    </row>
    <row r="187" spans="2:99">
      <c r="B187" t="s">
        <v>547</v>
      </c>
      <c r="C187" t="s">
        <v>433</v>
      </c>
      <c r="D187" s="122"/>
      <c r="E187">
        <v>16</v>
      </c>
      <c r="F187">
        <v>69</v>
      </c>
      <c r="CQ187" t="s">
        <v>40</v>
      </c>
      <c r="CR187" t="s">
        <v>525</v>
      </c>
      <c r="CS187" t="s">
        <v>40</v>
      </c>
      <c r="CT187" t="s">
        <v>542</v>
      </c>
      <c r="CU187">
        <v>52319</v>
      </c>
    </row>
    <row r="188" spans="2:99">
      <c r="B188" t="s">
        <v>547</v>
      </c>
      <c r="C188" t="s">
        <v>408</v>
      </c>
      <c r="D188">
        <v>171</v>
      </c>
      <c r="E188">
        <v>119</v>
      </c>
      <c r="F188">
        <v>426</v>
      </c>
      <c r="CQ188" t="s">
        <v>40</v>
      </c>
      <c r="CR188" t="s">
        <v>525</v>
      </c>
      <c r="CS188" t="s">
        <v>40</v>
      </c>
      <c r="CT188" t="s">
        <v>137</v>
      </c>
      <c r="CU188">
        <v>5334</v>
      </c>
    </row>
    <row r="189" spans="2:99">
      <c r="B189" t="s">
        <v>547</v>
      </c>
      <c r="C189" t="s">
        <v>429</v>
      </c>
      <c r="E189">
        <v>44</v>
      </c>
      <c r="F189">
        <v>17</v>
      </c>
      <c r="CQ189" t="s">
        <v>40</v>
      </c>
      <c r="CR189" t="s">
        <v>525</v>
      </c>
      <c r="CS189" t="s">
        <v>40</v>
      </c>
      <c r="CT189" t="s">
        <v>554</v>
      </c>
      <c r="CU189">
        <v>8187</v>
      </c>
    </row>
    <row r="190" spans="2:99">
      <c r="B190" t="s">
        <v>548</v>
      </c>
      <c r="D190" s="122">
        <v>3321</v>
      </c>
      <c r="E190">
        <v>227</v>
      </c>
      <c r="F190">
        <v>43</v>
      </c>
      <c r="CQ190" t="s">
        <v>40</v>
      </c>
      <c r="CR190" t="s">
        <v>525</v>
      </c>
      <c r="CS190" t="s">
        <v>40</v>
      </c>
      <c r="CT190" t="s">
        <v>543</v>
      </c>
      <c r="CU190">
        <v>8789</v>
      </c>
    </row>
    <row r="191" spans="2:99">
      <c r="B191" t="s">
        <v>548</v>
      </c>
      <c r="C191" t="s">
        <v>403</v>
      </c>
      <c r="D191">
        <v>1</v>
      </c>
      <c r="E191" s="122"/>
      <c r="CQ191" t="s">
        <v>40</v>
      </c>
      <c r="CR191" t="s">
        <v>525</v>
      </c>
      <c r="CS191" t="s">
        <v>40</v>
      </c>
      <c r="CT191" t="s">
        <v>544</v>
      </c>
      <c r="CU191">
        <v>310</v>
      </c>
    </row>
    <row r="192" spans="2:99">
      <c r="B192" t="s">
        <v>548</v>
      </c>
      <c r="C192" t="s">
        <v>404</v>
      </c>
      <c r="D192" s="122">
        <v>1</v>
      </c>
      <c r="E192" s="122"/>
      <c r="F192" s="122"/>
      <c r="CQ192" t="s">
        <v>40</v>
      </c>
      <c r="CR192" t="s">
        <v>525</v>
      </c>
      <c r="CS192" t="s">
        <v>40</v>
      </c>
      <c r="CT192" t="s">
        <v>545</v>
      </c>
      <c r="CU192">
        <v>2440</v>
      </c>
    </row>
    <row r="193" spans="2:99">
      <c r="B193" t="s">
        <v>548</v>
      </c>
      <c r="C193" t="s">
        <v>425</v>
      </c>
      <c r="E193">
        <v>1</v>
      </c>
      <c r="F193">
        <v>7</v>
      </c>
      <c r="CQ193" t="s">
        <v>40</v>
      </c>
      <c r="CR193" t="s">
        <v>525</v>
      </c>
      <c r="CS193" t="s">
        <v>40</v>
      </c>
      <c r="CT193" t="s">
        <v>546</v>
      </c>
      <c r="CU193">
        <v>386</v>
      </c>
    </row>
    <row r="194" spans="2:99">
      <c r="B194" t="s">
        <v>548</v>
      </c>
      <c r="C194" t="s">
        <v>405</v>
      </c>
      <c r="D194">
        <v>3</v>
      </c>
      <c r="E194">
        <v>187</v>
      </c>
      <c r="F194">
        <v>118</v>
      </c>
      <c r="CQ194" t="s">
        <v>40</v>
      </c>
      <c r="CR194" t="s">
        <v>525</v>
      </c>
      <c r="CS194" t="s">
        <v>40</v>
      </c>
      <c r="CT194" t="s">
        <v>532</v>
      </c>
      <c r="CU194">
        <v>587</v>
      </c>
    </row>
    <row r="195" spans="2:99">
      <c r="B195" t="s">
        <v>548</v>
      </c>
      <c r="C195" t="s">
        <v>137</v>
      </c>
      <c r="D195" s="122">
        <v>1307</v>
      </c>
      <c r="E195" s="122">
        <v>10902</v>
      </c>
      <c r="F195" s="122">
        <v>5400</v>
      </c>
      <c r="CQ195" t="s">
        <v>40</v>
      </c>
      <c r="CR195" t="s">
        <v>525</v>
      </c>
      <c r="CS195" t="s">
        <v>46</v>
      </c>
    </row>
    <row r="196" spans="2:99">
      <c r="B196" t="s">
        <v>548</v>
      </c>
      <c r="C196" t="s">
        <v>406</v>
      </c>
      <c r="D196">
        <v>34</v>
      </c>
      <c r="E196" s="122">
        <v>1018</v>
      </c>
      <c r="F196" s="122">
        <v>2311</v>
      </c>
      <c r="CQ196" t="s">
        <v>40</v>
      </c>
      <c r="CR196" t="s">
        <v>525</v>
      </c>
      <c r="CS196" t="s">
        <v>46</v>
      </c>
      <c r="CT196" t="s">
        <v>521</v>
      </c>
      <c r="CU196">
        <v>42427</v>
      </c>
    </row>
    <row r="197" spans="2:99">
      <c r="B197" t="s">
        <v>548</v>
      </c>
      <c r="C197" t="s">
        <v>427</v>
      </c>
      <c r="F197">
        <v>3</v>
      </c>
      <c r="CQ197" t="s">
        <v>40</v>
      </c>
      <c r="CR197" t="s">
        <v>525</v>
      </c>
      <c r="CS197" t="s">
        <v>46</v>
      </c>
      <c r="CT197" t="s">
        <v>540</v>
      </c>
      <c r="CU197">
        <v>834</v>
      </c>
    </row>
    <row r="198" spans="2:99">
      <c r="B198" t="s">
        <v>548</v>
      </c>
      <c r="C198" t="s">
        <v>407</v>
      </c>
      <c r="D198" s="122">
        <v>2809</v>
      </c>
      <c r="E198" s="122">
        <v>19609</v>
      </c>
      <c r="F198" s="122">
        <v>2722</v>
      </c>
      <c r="CQ198" t="s">
        <v>40</v>
      </c>
      <c r="CR198" t="s">
        <v>525</v>
      </c>
      <c r="CS198" t="s">
        <v>46</v>
      </c>
      <c r="CT198" t="s">
        <v>541</v>
      </c>
      <c r="CU198">
        <v>23868</v>
      </c>
    </row>
    <row r="199" spans="2:99">
      <c r="B199" t="s">
        <v>548</v>
      </c>
      <c r="C199" t="s">
        <v>556</v>
      </c>
      <c r="F199">
        <v>3</v>
      </c>
      <c r="CQ199" t="s">
        <v>40</v>
      </c>
      <c r="CR199" t="s">
        <v>525</v>
      </c>
      <c r="CS199" t="s">
        <v>46</v>
      </c>
      <c r="CT199" t="s">
        <v>542</v>
      </c>
      <c r="CU199">
        <v>4865</v>
      </c>
    </row>
    <row r="200" spans="2:99">
      <c r="B200" t="s">
        <v>548</v>
      </c>
      <c r="C200" t="s">
        <v>431</v>
      </c>
      <c r="F200">
        <v>1</v>
      </c>
      <c r="CQ200" t="s">
        <v>40</v>
      </c>
      <c r="CR200" t="s">
        <v>525</v>
      </c>
      <c r="CS200" t="s">
        <v>46</v>
      </c>
      <c r="CT200" t="s">
        <v>137</v>
      </c>
      <c r="CU200">
        <v>864</v>
      </c>
    </row>
    <row r="201" spans="2:99">
      <c r="B201" t="s">
        <v>548</v>
      </c>
      <c r="C201" t="s">
        <v>426</v>
      </c>
      <c r="E201">
        <v>9</v>
      </c>
      <c r="F201">
        <v>35</v>
      </c>
      <c r="CQ201" t="s">
        <v>40</v>
      </c>
      <c r="CR201" t="s">
        <v>525</v>
      </c>
      <c r="CS201" t="s">
        <v>46</v>
      </c>
      <c r="CT201" t="s">
        <v>554</v>
      </c>
      <c r="CU201">
        <v>3293</v>
      </c>
    </row>
    <row r="202" spans="2:99">
      <c r="B202" t="s">
        <v>548</v>
      </c>
      <c r="C202" t="s">
        <v>481</v>
      </c>
      <c r="F202">
        <v>1</v>
      </c>
      <c r="CQ202" t="s">
        <v>40</v>
      </c>
      <c r="CR202" t="s">
        <v>525</v>
      </c>
      <c r="CS202" t="s">
        <v>46</v>
      </c>
      <c r="CT202" t="s">
        <v>543</v>
      </c>
      <c r="CU202">
        <v>6483</v>
      </c>
    </row>
    <row r="203" spans="2:99">
      <c r="B203" t="s">
        <v>548</v>
      </c>
      <c r="C203" t="s">
        <v>433</v>
      </c>
      <c r="F203">
        <v>27</v>
      </c>
      <c r="CQ203" t="s">
        <v>40</v>
      </c>
      <c r="CR203" t="s">
        <v>525</v>
      </c>
      <c r="CS203" t="s">
        <v>46</v>
      </c>
      <c r="CT203" t="s">
        <v>544</v>
      </c>
      <c r="CU203">
        <v>185</v>
      </c>
    </row>
    <row r="204" spans="2:99">
      <c r="B204" t="s">
        <v>548</v>
      </c>
      <c r="C204" t="s">
        <v>408</v>
      </c>
      <c r="E204">
        <v>10</v>
      </c>
      <c r="F204">
        <v>22</v>
      </c>
      <c r="CQ204" t="s">
        <v>40</v>
      </c>
      <c r="CR204" t="s">
        <v>525</v>
      </c>
      <c r="CS204" t="s">
        <v>46</v>
      </c>
      <c r="CT204" t="s">
        <v>545</v>
      </c>
      <c r="CU204">
        <v>1648</v>
      </c>
    </row>
    <row r="205" spans="2:99">
      <c r="B205" t="s">
        <v>548</v>
      </c>
      <c r="C205" t="s">
        <v>429</v>
      </c>
      <c r="F205">
        <v>1</v>
      </c>
      <c r="CQ205" t="s">
        <v>40</v>
      </c>
      <c r="CR205" t="s">
        <v>525</v>
      </c>
      <c r="CS205" t="s">
        <v>46</v>
      </c>
      <c r="CT205" t="s">
        <v>546</v>
      </c>
      <c r="CU205">
        <v>192</v>
      </c>
    </row>
    <row r="206" spans="2:99">
      <c r="CQ206" t="s">
        <v>40</v>
      </c>
      <c r="CR206" t="s">
        <v>525</v>
      </c>
      <c r="CS206" t="s">
        <v>46</v>
      </c>
      <c r="CT206" t="s">
        <v>532</v>
      </c>
      <c r="CU206">
        <v>195</v>
      </c>
    </row>
    <row r="207" spans="2:99">
      <c r="CQ207" t="s">
        <v>40</v>
      </c>
      <c r="CR207" t="s">
        <v>525</v>
      </c>
      <c r="CS207" t="s">
        <v>44</v>
      </c>
    </row>
    <row r="208" spans="2:99">
      <c r="CQ208" t="s">
        <v>40</v>
      </c>
      <c r="CR208" t="s">
        <v>525</v>
      </c>
      <c r="CS208" t="s">
        <v>44</v>
      </c>
      <c r="CT208" t="s">
        <v>521</v>
      </c>
      <c r="CU208">
        <v>39121</v>
      </c>
    </row>
    <row r="209" spans="95:99">
      <c r="CQ209" t="s">
        <v>40</v>
      </c>
      <c r="CR209" t="s">
        <v>525</v>
      </c>
      <c r="CS209" t="s">
        <v>44</v>
      </c>
      <c r="CT209" t="s">
        <v>540</v>
      </c>
      <c r="CU209">
        <v>499</v>
      </c>
    </row>
    <row r="210" spans="95:99">
      <c r="CQ210" t="s">
        <v>40</v>
      </c>
      <c r="CR210" t="s">
        <v>525</v>
      </c>
      <c r="CS210" t="s">
        <v>44</v>
      </c>
      <c r="CT210" t="s">
        <v>541</v>
      </c>
      <c r="CU210">
        <v>11993</v>
      </c>
    </row>
    <row r="211" spans="95:99">
      <c r="CQ211" t="s">
        <v>40</v>
      </c>
      <c r="CR211" t="s">
        <v>525</v>
      </c>
      <c r="CS211" t="s">
        <v>44</v>
      </c>
      <c r="CT211" t="s">
        <v>542</v>
      </c>
      <c r="CU211">
        <v>21486</v>
      </c>
    </row>
    <row r="212" spans="95:99">
      <c r="CQ212" t="s">
        <v>40</v>
      </c>
      <c r="CR212" t="s">
        <v>525</v>
      </c>
      <c r="CS212" t="s">
        <v>44</v>
      </c>
      <c r="CT212" t="s">
        <v>137</v>
      </c>
      <c r="CU212">
        <v>1137</v>
      </c>
    </row>
    <row r="213" spans="95:99">
      <c r="CQ213" t="s">
        <v>40</v>
      </c>
      <c r="CR213" t="s">
        <v>525</v>
      </c>
      <c r="CS213" t="s">
        <v>44</v>
      </c>
      <c r="CT213" t="s">
        <v>554</v>
      </c>
      <c r="CU213">
        <v>1969</v>
      </c>
    </row>
    <row r="214" spans="95:99">
      <c r="CQ214" t="s">
        <v>40</v>
      </c>
      <c r="CR214" t="s">
        <v>525</v>
      </c>
      <c r="CS214" t="s">
        <v>44</v>
      </c>
      <c r="CT214" t="s">
        <v>543</v>
      </c>
      <c r="CU214">
        <v>1282</v>
      </c>
    </row>
    <row r="215" spans="95:99">
      <c r="CQ215" t="s">
        <v>40</v>
      </c>
      <c r="CR215" t="s">
        <v>525</v>
      </c>
      <c r="CS215" t="s">
        <v>44</v>
      </c>
      <c r="CT215" t="s">
        <v>544</v>
      </c>
      <c r="CU215">
        <v>64</v>
      </c>
    </row>
    <row r="216" spans="95:99">
      <c r="CQ216" t="s">
        <v>40</v>
      </c>
      <c r="CR216" t="s">
        <v>525</v>
      </c>
      <c r="CS216" t="s">
        <v>44</v>
      </c>
      <c r="CT216" t="s">
        <v>545</v>
      </c>
      <c r="CU216">
        <v>423</v>
      </c>
    </row>
    <row r="217" spans="95:99">
      <c r="CQ217" t="s">
        <v>40</v>
      </c>
      <c r="CR217" t="s">
        <v>525</v>
      </c>
      <c r="CS217" t="s">
        <v>44</v>
      </c>
      <c r="CT217" t="s">
        <v>546</v>
      </c>
      <c r="CU217">
        <v>91</v>
      </c>
    </row>
    <row r="218" spans="95:99">
      <c r="CQ218" t="s">
        <v>40</v>
      </c>
      <c r="CR218" t="s">
        <v>525</v>
      </c>
      <c r="CS218" t="s">
        <v>44</v>
      </c>
      <c r="CT218" t="s">
        <v>532</v>
      </c>
      <c r="CU218">
        <v>177</v>
      </c>
    </row>
    <row r="219" spans="95:99">
      <c r="CQ219" t="s">
        <v>40</v>
      </c>
      <c r="CR219" t="s">
        <v>525</v>
      </c>
      <c r="CS219" t="s">
        <v>44</v>
      </c>
    </row>
    <row r="220" spans="95:99">
      <c r="CQ220" t="s">
        <v>40</v>
      </c>
      <c r="CR220" t="s">
        <v>525</v>
      </c>
      <c r="CS220" t="s">
        <v>44</v>
      </c>
      <c r="CT220" t="s">
        <v>521</v>
      </c>
      <c r="CU220">
        <v>38410</v>
      </c>
    </row>
    <row r="221" spans="95:99">
      <c r="CQ221" t="s">
        <v>40</v>
      </c>
      <c r="CR221" t="s">
        <v>525</v>
      </c>
      <c r="CS221" t="s">
        <v>44</v>
      </c>
      <c r="CT221" t="s">
        <v>540</v>
      </c>
      <c r="CU221">
        <v>787</v>
      </c>
    </row>
    <row r="222" spans="95:99">
      <c r="CQ222" t="s">
        <v>40</v>
      </c>
      <c r="CR222" t="s">
        <v>525</v>
      </c>
      <c r="CS222" t="s">
        <v>44</v>
      </c>
      <c r="CT222" t="s">
        <v>541</v>
      </c>
      <c r="CU222">
        <v>8816</v>
      </c>
    </row>
    <row r="223" spans="95:99">
      <c r="CQ223" t="s">
        <v>40</v>
      </c>
      <c r="CR223" t="s">
        <v>525</v>
      </c>
      <c r="CS223" t="s">
        <v>44</v>
      </c>
      <c r="CT223" t="s">
        <v>542</v>
      </c>
      <c r="CU223">
        <v>22951</v>
      </c>
    </row>
    <row r="224" spans="95:99">
      <c r="CQ224" t="s">
        <v>40</v>
      </c>
      <c r="CR224" t="s">
        <v>525</v>
      </c>
      <c r="CS224" t="s">
        <v>44</v>
      </c>
      <c r="CT224" t="s">
        <v>137</v>
      </c>
      <c r="CU224">
        <v>1579</v>
      </c>
    </row>
    <row r="225" spans="95:99">
      <c r="CQ225" t="s">
        <v>40</v>
      </c>
      <c r="CR225" t="s">
        <v>525</v>
      </c>
      <c r="CS225" t="s">
        <v>44</v>
      </c>
      <c r="CT225" t="s">
        <v>554</v>
      </c>
      <c r="CU225">
        <v>2750</v>
      </c>
    </row>
    <row r="226" spans="95:99">
      <c r="CQ226" t="s">
        <v>40</v>
      </c>
      <c r="CR226" t="s">
        <v>525</v>
      </c>
      <c r="CS226" t="s">
        <v>44</v>
      </c>
      <c r="CT226" t="s">
        <v>543</v>
      </c>
      <c r="CU226">
        <v>920</v>
      </c>
    </row>
    <row r="227" spans="95:99">
      <c r="CQ227" t="s">
        <v>40</v>
      </c>
      <c r="CR227" t="s">
        <v>525</v>
      </c>
      <c r="CS227" t="s">
        <v>44</v>
      </c>
      <c r="CT227" t="s">
        <v>544</v>
      </c>
      <c r="CU227">
        <v>48</v>
      </c>
    </row>
    <row r="228" spans="95:99">
      <c r="CQ228" t="s">
        <v>40</v>
      </c>
      <c r="CR228" t="s">
        <v>525</v>
      </c>
      <c r="CS228" t="s">
        <v>44</v>
      </c>
      <c r="CT228" t="s">
        <v>545</v>
      </c>
      <c r="CU228">
        <v>333</v>
      </c>
    </row>
    <row r="229" spans="95:99">
      <c r="CQ229" t="s">
        <v>40</v>
      </c>
      <c r="CR229" t="s">
        <v>525</v>
      </c>
      <c r="CS229" t="s">
        <v>44</v>
      </c>
      <c r="CT229" t="s">
        <v>546</v>
      </c>
      <c r="CU229">
        <v>72</v>
      </c>
    </row>
    <row r="230" spans="95:99">
      <c r="CQ230" t="s">
        <v>40</v>
      </c>
      <c r="CR230" t="s">
        <v>525</v>
      </c>
      <c r="CS230" t="s">
        <v>44</v>
      </c>
      <c r="CT230" t="s">
        <v>532</v>
      </c>
      <c r="CU230">
        <v>154</v>
      </c>
    </row>
    <row r="231" spans="95:99">
      <c r="CQ231" t="s">
        <v>40</v>
      </c>
      <c r="CR231" t="s">
        <v>525</v>
      </c>
      <c r="CS231" t="s">
        <v>297</v>
      </c>
    </row>
    <row r="232" spans="95:99">
      <c r="CQ232" t="s">
        <v>40</v>
      </c>
      <c r="CR232" t="s">
        <v>525</v>
      </c>
      <c r="CS232" t="s">
        <v>297</v>
      </c>
      <c r="CT232" t="s">
        <v>521</v>
      </c>
      <c r="CU232">
        <v>3415</v>
      </c>
    </row>
    <row r="233" spans="95:99">
      <c r="CQ233" t="s">
        <v>40</v>
      </c>
      <c r="CR233" t="s">
        <v>525</v>
      </c>
      <c r="CS233" t="s">
        <v>297</v>
      </c>
      <c r="CT233" t="s">
        <v>540</v>
      </c>
      <c r="CU233">
        <v>78</v>
      </c>
    </row>
    <row r="234" spans="95:99">
      <c r="CQ234" t="s">
        <v>40</v>
      </c>
      <c r="CR234" t="s">
        <v>525</v>
      </c>
      <c r="CS234" t="s">
        <v>297</v>
      </c>
      <c r="CT234" t="s">
        <v>541</v>
      </c>
      <c r="CU234">
        <v>182</v>
      </c>
    </row>
    <row r="235" spans="95:99">
      <c r="CQ235" t="s">
        <v>40</v>
      </c>
      <c r="CR235" t="s">
        <v>525</v>
      </c>
      <c r="CS235" t="s">
        <v>297</v>
      </c>
      <c r="CT235" t="s">
        <v>542</v>
      </c>
      <c r="CU235">
        <v>2264</v>
      </c>
    </row>
    <row r="236" spans="95:99">
      <c r="CQ236" t="s">
        <v>40</v>
      </c>
      <c r="CR236" t="s">
        <v>525</v>
      </c>
      <c r="CS236" t="s">
        <v>297</v>
      </c>
      <c r="CT236" t="s">
        <v>137</v>
      </c>
      <c r="CU236">
        <v>764</v>
      </c>
    </row>
    <row r="237" spans="95:99">
      <c r="CQ237" t="s">
        <v>40</v>
      </c>
      <c r="CR237" t="s">
        <v>525</v>
      </c>
      <c r="CS237" t="s">
        <v>297</v>
      </c>
      <c r="CT237" t="s">
        <v>554</v>
      </c>
      <c r="CU237">
        <v>62</v>
      </c>
    </row>
    <row r="238" spans="95:99">
      <c r="CQ238" t="s">
        <v>40</v>
      </c>
      <c r="CR238" t="s">
        <v>525</v>
      </c>
      <c r="CS238" t="s">
        <v>297</v>
      </c>
      <c r="CT238" t="s">
        <v>543</v>
      </c>
      <c r="CU238">
        <v>15</v>
      </c>
    </row>
    <row r="239" spans="95:99">
      <c r="CQ239" t="s">
        <v>40</v>
      </c>
      <c r="CR239" t="s">
        <v>525</v>
      </c>
      <c r="CS239" t="s">
        <v>297</v>
      </c>
      <c r="CT239" t="s">
        <v>544</v>
      </c>
      <c r="CU239">
        <v>4</v>
      </c>
    </row>
    <row r="240" spans="95:99">
      <c r="CQ240" t="s">
        <v>40</v>
      </c>
      <c r="CR240" t="s">
        <v>525</v>
      </c>
      <c r="CS240" t="s">
        <v>297</v>
      </c>
      <c r="CT240" t="s">
        <v>545</v>
      </c>
      <c r="CU240">
        <v>10</v>
      </c>
    </row>
    <row r="241" spans="95:99">
      <c r="CQ241" t="s">
        <v>40</v>
      </c>
      <c r="CR241" t="s">
        <v>525</v>
      </c>
      <c r="CS241" t="s">
        <v>297</v>
      </c>
      <c r="CT241" t="s">
        <v>546</v>
      </c>
      <c r="CU241">
        <v>10</v>
      </c>
    </row>
    <row r="242" spans="95:99">
      <c r="CQ242" t="s">
        <v>40</v>
      </c>
      <c r="CR242" t="s">
        <v>525</v>
      </c>
      <c r="CS242" t="s">
        <v>297</v>
      </c>
      <c r="CT242" t="s">
        <v>532</v>
      </c>
      <c r="CU242">
        <v>26</v>
      </c>
    </row>
    <row r="243" spans="95:99">
      <c r="CQ243" t="s">
        <v>40</v>
      </c>
      <c r="CR243" t="s">
        <v>525</v>
      </c>
      <c r="CS243" t="s">
        <v>297</v>
      </c>
    </row>
    <row r="244" spans="95:99">
      <c r="CQ244" t="s">
        <v>40</v>
      </c>
      <c r="CR244" t="s">
        <v>525</v>
      </c>
      <c r="CS244" t="s">
        <v>297</v>
      </c>
      <c r="CT244" t="s">
        <v>521</v>
      </c>
      <c r="CU244">
        <v>1974</v>
      </c>
    </row>
    <row r="245" spans="95:99">
      <c r="CQ245" t="s">
        <v>40</v>
      </c>
      <c r="CR245" t="s">
        <v>525</v>
      </c>
      <c r="CS245" t="s">
        <v>297</v>
      </c>
      <c r="CT245" t="s">
        <v>540</v>
      </c>
      <c r="CU245">
        <v>134</v>
      </c>
    </row>
    <row r="246" spans="95:99">
      <c r="CQ246" t="s">
        <v>40</v>
      </c>
      <c r="CR246" t="s">
        <v>525</v>
      </c>
      <c r="CS246" t="s">
        <v>297</v>
      </c>
      <c r="CT246" t="s">
        <v>541</v>
      </c>
      <c r="CU246">
        <v>323</v>
      </c>
    </row>
    <row r="247" spans="95:99">
      <c r="CQ247" t="s">
        <v>40</v>
      </c>
      <c r="CR247" t="s">
        <v>525</v>
      </c>
      <c r="CS247" t="s">
        <v>297</v>
      </c>
      <c r="CT247" t="s">
        <v>542</v>
      </c>
      <c r="CU247">
        <v>466</v>
      </c>
    </row>
    <row r="248" spans="95:99">
      <c r="CQ248" t="s">
        <v>40</v>
      </c>
      <c r="CR248" t="s">
        <v>525</v>
      </c>
      <c r="CS248" t="s">
        <v>297</v>
      </c>
      <c r="CT248" t="s">
        <v>137</v>
      </c>
      <c r="CU248">
        <v>946</v>
      </c>
    </row>
    <row r="249" spans="95:99">
      <c r="CQ249" t="s">
        <v>40</v>
      </c>
      <c r="CR249" t="s">
        <v>525</v>
      </c>
      <c r="CS249" t="s">
        <v>297</v>
      </c>
      <c r="CT249" t="s">
        <v>554</v>
      </c>
      <c r="CU249">
        <v>36</v>
      </c>
    </row>
    <row r="250" spans="95:99">
      <c r="CQ250" t="s">
        <v>40</v>
      </c>
      <c r="CR250" t="s">
        <v>525</v>
      </c>
      <c r="CS250" t="s">
        <v>297</v>
      </c>
      <c r="CT250" t="s">
        <v>543</v>
      </c>
      <c r="CU250">
        <v>22</v>
      </c>
    </row>
    <row r="251" spans="95:99">
      <c r="CQ251" t="s">
        <v>40</v>
      </c>
      <c r="CR251" t="s">
        <v>525</v>
      </c>
      <c r="CS251" t="s">
        <v>297</v>
      </c>
      <c r="CT251" t="s">
        <v>544</v>
      </c>
      <c r="CU251">
        <v>8</v>
      </c>
    </row>
    <row r="252" spans="95:99">
      <c r="CQ252" t="s">
        <v>40</v>
      </c>
      <c r="CR252" t="s">
        <v>525</v>
      </c>
      <c r="CS252" t="s">
        <v>297</v>
      </c>
      <c r="CT252" t="s">
        <v>545</v>
      </c>
      <c r="CU252">
        <v>9</v>
      </c>
    </row>
    <row r="253" spans="95:99">
      <c r="CQ253" t="s">
        <v>40</v>
      </c>
      <c r="CR253" t="s">
        <v>525</v>
      </c>
      <c r="CS253" t="s">
        <v>297</v>
      </c>
      <c r="CT253" t="s">
        <v>546</v>
      </c>
      <c r="CU253">
        <v>20</v>
      </c>
    </row>
    <row r="254" spans="95:99">
      <c r="CQ254" t="s">
        <v>40</v>
      </c>
      <c r="CR254" t="s">
        <v>525</v>
      </c>
      <c r="CS254" t="s">
        <v>297</v>
      </c>
      <c r="CT254" t="s">
        <v>532</v>
      </c>
      <c r="CU254">
        <v>10</v>
      </c>
    </row>
    <row r="255" spans="95:99">
      <c r="CQ255" t="s">
        <v>40</v>
      </c>
      <c r="CR255" t="s">
        <v>525</v>
      </c>
      <c r="CS255" t="s">
        <v>532</v>
      </c>
    </row>
    <row r="256" spans="95:99">
      <c r="CQ256" t="s">
        <v>40</v>
      </c>
      <c r="CR256" t="s">
        <v>525</v>
      </c>
      <c r="CS256" t="s">
        <v>532</v>
      </c>
      <c r="CT256" t="s">
        <v>521</v>
      </c>
      <c r="CU256">
        <v>760</v>
      </c>
    </row>
    <row r="257" spans="95:99">
      <c r="CQ257" t="s">
        <v>40</v>
      </c>
      <c r="CR257" t="s">
        <v>525</v>
      </c>
      <c r="CS257" t="s">
        <v>532</v>
      </c>
      <c r="CT257" t="s">
        <v>540</v>
      </c>
      <c r="CU257">
        <v>14</v>
      </c>
    </row>
    <row r="258" spans="95:99">
      <c r="CQ258" t="s">
        <v>40</v>
      </c>
      <c r="CR258" t="s">
        <v>525</v>
      </c>
      <c r="CS258" t="s">
        <v>532</v>
      </c>
      <c r="CT258" t="s">
        <v>541</v>
      </c>
      <c r="CU258">
        <v>227</v>
      </c>
    </row>
    <row r="259" spans="95:99">
      <c r="CQ259" t="s">
        <v>40</v>
      </c>
      <c r="CR259" t="s">
        <v>525</v>
      </c>
      <c r="CS259" t="s">
        <v>532</v>
      </c>
      <c r="CT259" t="s">
        <v>542</v>
      </c>
      <c r="CU259">
        <v>287</v>
      </c>
    </row>
    <row r="260" spans="95:99">
      <c r="CQ260" t="s">
        <v>40</v>
      </c>
      <c r="CR260" t="s">
        <v>525</v>
      </c>
      <c r="CS260" t="s">
        <v>532</v>
      </c>
      <c r="CT260" t="s">
        <v>137</v>
      </c>
      <c r="CU260">
        <v>44</v>
      </c>
    </row>
    <row r="261" spans="95:99">
      <c r="CQ261" t="s">
        <v>40</v>
      </c>
      <c r="CR261" t="s">
        <v>525</v>
      </c>
      <c r="CS261" t="s">
        <v>532</v>
      </c>
      <c r="CT261" t="s">
        <v>554</v>
      </c>
      <c r="CU261">
        <v>77</v>
      </c>
    </row>
    <row r="262" spans="95:99">
      <c r="CQ262" t="s">
        <v>40</v>
      </c>
      <c r="CR262" t="s">
        <v>525</v>
      </c>
      <c r="CS262" t="s">
        <v>532</v>
      </c>
      <c r="CT262" t="s">
        <v>543</v>
      </c>
      <c r="CU262">
        <v>67</v>
      </c>
    </row>
    <row r="263" spans="95:99">
      <c r="CQ263" t="s">
        <v>40</v>
      </c>
      <c r="CR263" t="s">
        <v>525</v>
      </c>
      <c r="CS263" t="s">
        <v>532</v>
      </c>
      <c r="CT263" t="s">
        <v>544</v>
      </c>
      <c r="CU263">
        <v>1</v>
      </c>
    </row>
    <row r="264" spans="95:99">
      <c r="CQ264" t="s">
        <v>40</v>
      </c>
      <c r="CR264" t="s">
        <v>525</v>
      </c>
      <c r="CS264" t="s">
        <v>532</v>
      </c>
      <c r="CT264" t="s">
        <v>545</v>
      </c>
      <c r="CU264">
        <v>17</v>
      </c>
    </row>
    <row r="265" spans="95:99">
      <c r="CQ265" t="s">
        <v>40</v>
      </c>
      <c r="CR265" t="s">
        <v>525</v>
      </c>
      <c r="CS265" t="s">
        <v>532</v>
      </c>
      <c r="CT265" t="s">
        <v>546</v>
      </c>
      <c r="CU265">
        <v>1</v>
      </c>
    </row>
    <row r="266" spans="95:99">
      <c r="CQ266" t="s">
        <v>40</v>
      </c>
      <c r="CR266" t="s">
        <v>525</v>
      </c>
      <c r="CS266" t="s">
        <v>532</v>
      </c>
      <c r="CT266" t="s">
        <v>532</v>
      </c>
      <c r="CU266">
        <v>25</v>
      </c>
    </row>
    <row r="267" spans="95:99">
      <c r="CQ267" t="s">
        <v>40</v>
      </c>
      <c r="CR267" t="s">
        <v>526</v>
      </c>
    </row>
    <row r="268" spans="95:99">
      <c r="CQ268" t="s">
        <v>40</v>
      </c>
      <c r="CR268" t="s">
        <v>526</v>
      </c>
      <c r="CS268" t="s">
        <v>521</v>
      </c>
    </row>
    <row r="269" spans="95:99">
      <c r="CQ269" t="s">
        <v>40</v>
      </c>
      <c r="CR269" t="s">
        <v>526</v>
      </c>
      <c r="CS269" t="s">
        <v>40</v>
      </c>
      <c r="CT269" t="s">
        <v>521</v>
      </c>
      <c r="CU269">
        <v>116041</v>
      </c>
    </row>
    <row r="270" spans="95:99">
      <c r="CQ270" t="s">
        <v>40</v>
      </c>
      <c r="CR270" t="s">
        <v>526</v>
      </c>
      <c r="CS270" t="s">
        <v>40</v>
      </c>
      <c r="CT270" t="s">
        <v>540</v>
      </c>
      <c r="CU270">
        <v>1455</v>
      </c>
    </row>
    <row r="271" spans="95:99">
      <c r="CQ271" t="s">
        <v>40</v>
      </c>
      <c r="CR271" t="s">
        <v>526</v>
      </c>
      <c r="CS271" t="s">
        <v>40</v>
      </c>
      <c r="CT271" t="s">
        <v>541</v>
      </c>
      <c r="CU271">
        <v>49346</v>
      </c>
    </row>
    <row r="272" spans="95:99">
      <c r="CQ272" t="s">
        <v>40</v>
      </c>
      <c r="CR272" t="s">
        <v>526</v>
      </c>
      <c r="CS272" t="s">
        <v>40</v>
      </c>
      <c r="CT272" t="s">
        <v>542</v>
      </c>
      <c r="CU272">
        <v>45221</v>
      </c>
    </row>
    <row r="273" spans="95:99">
      <c r="CQ273" t="s">
        <v>40</v>
      </c>
      <c r="CR273" t="s">
        <v>526</v>
      </c>
      <c r="CS273" t="s">
        <v>40</v>
      </c>
      <c r="CT273" t="s">
        <v>137</v>
      </c>
      <c r="CU273">
        <v>4720</v>
      </c>
    </row>
    <row r="274" spans="95:99">
      <c r="CQ274" t="s">
        <v>40</v>
      </c>
      <c r="CR274" t="s">
        <v>526</v>
      </c>
      <c r="CS274" t="s">
        <v>40</v>
      </c>
      <c r="CT274" t="s">
        <v>554</v>
      </c>
      <c r="CU274">
        <v>6401</v>
      </c>
    </row>
    <row r="275" spans="95:99">
      <c r="CQ275" t="s">
        <v>40</v>
      </c>
      <c r="CR275" t="s">
        <v>526</v>
      </c>
      <c r="CS275" t="s">
        <v>40</v>
      </c>
      <c r="CT275" t="s">
        <v>543</v>
      </c>
      <c r="CU275">
        <v>5888</v>
      </c>
    </row>
    <row r="276" spans="95:99">
      <c r="CQ276" t="s">
        <v>40</v>
      </c>
      <c r="CR276" t="s">
        <v>526</v>
      </c>
      <c r="CS276" t="s">
        <v>40</v>
      </c>
      <c r="CT276" t="s">
        <v>544</v>
      </c>
      <c r="CU276">
        <v>443</v>
      </c>
    </row>
    <row r="277" spans="95:99">
      <c r="CQ277" t="s">
        <v>40</v>
      </c>
      <c r="CR277" t="s">
        <v>526</v>
      </c>
      <c r="CS277" t="s">
        <v>40</v>
      </c>
      <c r="CT277" t="s">
        <v>545</v>
      </c>
      <c r="CU277">
        <v>1688</v>
      </c>
    </row>
    <row r="278" spans="95:99">
      <c r="CQ278" t="s">
        <v>40</v>
      </c>
      <c r="CR278" t="s">
        <v>526</v>
      </c>
      <c r="CS278" t="s">
        <v>40</v>
      </c>
      <c r="CT278" t="s">
        <v>546</v>
      </c>
      <c r="CU278">
        <v>329</v>
      </c>
    </row>
    <row r="279" spans="95:99">
      <c r="CQ279" t="s">
        <v>40</v>
      </c>
      <c r="CR279" t="s">
        <v>526</v>
      </c>
      <c r="CS279" t="s">
        <v>40</v>
      </c>
      <c r="CT279" t="s">
        <v>532</v>
      </c>
      <c r="CU279">
        <v>550</v>
      </c>
    </row>
    <row r="280" spans="95:99">
      <c r="CQ280" t="s">
        <v>40</v>
      </c>
      <c r="CR280" t="s">
        <v>526</v>
      </c>
      <c r="CS280" t="s">
        <v>46</v>
      </c>
    </row>
    <row r="281" spans="95:99">
      <c r="CQ281" t="s">
        <v>40</v>
      </c>
      <c r="CR281" t="s">
        <v>526</v>
      </c>
      <c r="CS281" t="s">
        <v>46</v>
      </c>
      <c r="CT281" t="s">
        <v>521</v>
      </c>
      <c r="CU281">
        <v>42221</v>
      </c>
    </row>
    <row r="282" spans="95:99">
      <c r="CQ282" t="s">
        <v>40</v>
      </c>
      <c r="CR282" t="s">
        <v>526</v>
      </c>
      <c r="CS282" t="s">
        <v>46</v>
      </c>
      <c r="CT282" t="s">
        <v>540</v>
      </c>
      <c r="CU282">
        <v>492</v>
      </c>
    </row>
    <row r="283" spans="95:99">
      <c r="CQ283" t="s">
        <v>40</v>
      </c>
      <c r="CR283" t="s">
        <v>526</v>
      </c>
      <c r="CS283" t="s">
        <v>46</v>
      </c>
      <c r="CT283" t="s">
        <v>541</v>
      </c>
      <c r="CU283">
        <v>26248</v>
      </c>
    </row>
    <row r="284" spans="95:99">
      <c r="CQ284" t="s">
        <v>40</v>
      </c>
      <c r="CR284" t="s">
        <v>526</v>
      </c>
      <c r="CS284" t="s">
        <v>46</v>
      </c>
      <c r="CT284" t="s">
        <v>542</v>
      </c>
      <c r="CU284">
        <v>6182</v>
      </c>
    </row>
    <row r="285" spans="95:99">
      <c r="CQ285" t="s">
        <v>40</v>
      </c>
      <c r="CR285" t="s">
        <v>526</v>
      </c>
      <c r="CS285" t="s">
        <v>46</v>
      </c>
      <c r="CT285" t="s">
        <v>137</v>
      </c>
      <c r="CU285">
        <v>856</v>
      </c>
    </row>
    <row r="286" spans="95:99">
      <c r="CQ286" t="s">
        <v>40</v>
      </c>
      <c r="CR286" t="s">
        <v>526</v>
      </c>
      <c r="CS286" t="s">
        <v>46</v>
      </c>
      <c r="CT286" t="s">
        <v>554</v>
      </c>
      <c r="CU286">
        <v>2338</v>
      </c>
    </row>
    <row r="287" spans="95:99">
      <c r="CQ287" t="s">
        <v>40</v>
      </c>
      <c r="CR287" t="s">
        <v>526</v>
      </c>
      <c r="CS287" t="s">
        <v>46</v>
      </c>
      <c r="CT287" t="s">
        <v>543</v>
      </c>
      <c r="CU287">
        <v>4315</v>
      </c>
    </row>
    <row r="288" spans="95:99">
      <c r="CQ288" t="s">
        <v>40</v>
      </c>
      <c r="CR288" t="s">
        <v>526</v>
      </c>
      <c r="CS288" t="s">
        <v>46</v>
      </c>
      <c r="CT288" t="s">
        <v>544</v>
      </c>
      <c r="CU288">
        <v>298</v>
      </c>
    </row>
    <row r="289" spans="95:99">
      <c r="CQ289" t="s">
        <v>40</v>
      </c>
      <c r="CR289" t="s">
        <v>526</v>
      </c>
      <c r="CS289" t="s">
        <v>46</v>
      </c>
      <c r="CT289" t="s">
        <v>545</v>
      </c>
      <c r="CU289">
        <v>1142</v>
      </c>
    </row>
    <row r="290" spans="95:99">
      <c r="CQ290" t="s">
        <v>40</v>
      </c>
      <c r="CR290" t="s">
        <v>526</v>
      </c>
      <c r="CS290" t="s">
        <v>46</v>
      </c>
      <c r="CT290" t="s">
        <v>546</v>
      </c>
      <c r="CU290">
        <v>160</v>
      </c>
    </row>
    <row r="291" spans="95:99">
      <c r="CQ291" t="s">
        <v>40</v>
      </c>
      <c r="CR291" t="s">
        <v>526</v>
      </c>
      <c r="CS291" t="s">
        <v>46</v>
      </c>
      <c r="CT291" t="s">
        <v>532</v>
      </c>
      <c r="CU291">
        <v>190</v>
      </c>
    </row>
    <row r="292" spans="95:99">
      <c r="CQ292" t="s">
        <v>40</v>
      </c>
      <c r="CR292" t="s">
        <v>526</v>
      </c>
      <c r="CS292" t="s">
        <v>44</v>
      </c>
    </row>
    <row r="293" spans="95:99">
      <c r="CQ293" t="s">
        <v>40</v>
      </c>
      <c r="CR293" t="s">
        <v>526</v>
      </c>
      <c r="CS293" t="s">
        <v>44</v>
      </c>
      <c r="CT293" t="s">
        <v>521</v>
      </c>
      <c r="CU293">
        <v>43364</v>
      </c>
    </row>
    <row r="294" spans="95:99">
      <c r="CQ294" t="s">
        <v>40</v>
      </c>
      <c r="CR294" t="s">
        <v>526</v>
      </c>
      <c r="CS294" t="s">
        <v>44</v>
      </c>
      <c r="CT294" t="s">
        <v>540</v>
      </c>
      <c r="CU294">
        <v>342</v>
      </c>
    </row>
    <row r="295" spans="95:99">
      <c r="CQ295" t="s">
        <v>40</v>
      </c>
      <c r="CR295" t="s">
        <v>526</v>
      </c>
      <c r="CS295" t="s">
        <v>44</v>
      </c>
      <c r="CT295" t="s">
        <v>541</v>
      </c>
      <c r="CU295">
        <v>15757</v>
      </c>
    </row>
    <row r="296" spans="95:99">
      <c r="CQ296" t="s">
        <v>40</v>
      </c>
      <c r="CR296" t="s">
        <v>526</v>
      </c>
      <c r="CS296" t="s">
        <v>44</v>
      </c>
      <c r="CT296" t="s">
        <v>542</v>
      </c>
      <c r="CU296">
        <v>22945</v>
      </c>
    </row>
    <row r="297" spans="95:99">
      <c r="CQ297" t="s">
        <v>40</v>
      </c>
      <c r="CR297" t="s">
        <v>526</v>
      </c>
      <c r="CS297" t="s">
        <v>44</v>
      </c>
      <c r="CT297" t="s">
        <v>137</v>
      </c>
      <c r="CU297">
        <v>1051</v>
      </c>
    </row>
    <row r="298" spans="95:99">
      <c r="CQ298" t="s">
        <v>40</v>
      </c>
      <c r="CR298" t="s">
        <v>526</v>
      </c>
      <c r="CS298" t="s">
        <v>44</v>
      </c>
      <c r="CT298" t="s">
        <v>554</v>
      </c>
      <c r="CU298">
        <v>1779</v>
      </c>
    </row>
    <row r="299" spans="95:99">
      <c r="CQ299" t="s">
        <v>40</v>
      </c>
      <c r="CR299" t="s">
        <v>526</v>
      </c>
      <c r="CS299" t="s">
        <v>44</v>
      </c>
      <c r="CT299" t="s">
        <v>543</v>
      </c>
      <c r="CU299">
        <v>835</v>
      </c>
    </row>
    <row r="300" spans="95:99">
      <c r="CQ300" t="s">
        <v>40</v>
      </c>
      <c r="CR300" t="s">
        <v>526</v>
      </c>
      <c r="CS300" t="s">
        <v>44</v>
      </c>
      <c r="CT300" t="s">
        <v>544</v>
      </c>
      <c r="CU300">
        <v>99</v>
      </c>
    </row>
    <row r="301" spans="95:99">
      <c r="CQ301" t="s">
        <v>40</v>
      </c>
      <c r="CR301" t="s">
        <v>526</v>
      </c>
      <c r="CS301" t="s">
        <v>44</v>
      </c>
      <c r="CT301" t="s">
        <v>545</v>
      </c>
      <c r="CU301">
        <v>322</v>
      </c>
    </row>
    <row r="302" spans="95:99">
      <c r="CQ302" t="s">
        <v>40</v>
      </c>
      <c r="CR302" t="s">
        <v>526</v>
      </c>
      <c r="CS302" t="s">
        <v>44</v>
      </c>
      <c r="CT302" t="s">
        <v>546</v>
      </c>
      <c r="CU302">
        <v>76</v>
      </c>
    </row>
    <row r="303" spans="95:99">
      <c r="CQ303" t="s">
        <v>40</v>
      </c>
      <c r="CR303" t="s">
        <v>526</v>
      </c>
      <c r="CS303" t="s">
        <v>44</v>
      </c>
      <c r="CT303" t="s">
        <v>532</v>
      </c>
      <c r="CU303">
        <v>158</v>
      </c>
    </row>
    <row r="304" spans="95:99">
      <c r="CQ304" t="s">
        <v>40</v>
      </c>
      <c r="CR304" t="s">
        <v>526</v>
      </c>
      <c r="CS304" t="s">
        <v>44</v>
      </c>
    </row>
    <row r="305" spans="95:99">
      <c r="CQ305" t="s">
        <v>40</v>
      </c>
      <c r="CR305" t="s">
        <v>526</v>
      </c>
      <c r="CS305" t="s">
        <v>44</v>
      </c>
      <c r="CT305" t="s">
        <v>521</v>
      </c>
      <c r="CU305">
        <v>24370</v>
      </c>
    </row>
    <row r="306" spans="95:99">
      <c r="CQ306" t="s">
        <v>40</v>
      </c>
      <c r="CR306" t="s">
        <v>526</v>
      </c>
      <c r="CS306" t="s">
        <v>44</v>
      </c>
      <c r="CT306" t="s">
        <v>540</v>
      </c>
      <c r="CU306">
        <v>410</v>
      </c>
    </row>
    <row r="307" spans="95:99">
      <c r="CQ307" t="s">
        <v>40</v>
      </c>
      <c r="CR307" t="s">
        <v>526</v>
      </c>
      <c r="CS307" t="s">
        <v>44</v>
      </c>
      <c r="CT307" t="s">
        <v>541</v>
      </c>
      <c r="CU307">
        <v>6586</v>
      </c>
    </row>
    <row r="308" spans="95:99">
      <c r="CQ308" t="s">
        <v>40</v>
      </c>
      <c r="CR308" t="s">
        <v>526</v>
      </c>
      <c r="CS308" t="s">
        <v>44</v>
      </c>
      <c r="CT308" t="s">
        <v>542</v>
      </c>
      <c r="CU308">
        <v>13317</v>
      </c>
    </row>
    <row r="309" spans="95:99">
      <c r="CQ309" t="s">
        <v>40</v>
      </c>
      <c r="CR309" t="s">
        <v>526</v>
      </c>
      <c r="CS309" t="s">
        <v>44</v>
      </c>
      <c r="CT309" t="s">
        <v>137</v>
      </c>
      <c r="CU309">
        <v>904</v>
      </c>
    </row>
    <row r="310" spans="95:99">
      <c r="CQ310" t="s">
        <v>40</v>
      </c>
      <c r="CR310" t="s">
        <v>526</v>
      </c>
      <c r="CS310" t="s">
        <v>44</v>
      </c>
      <c r="CT310" t="s">
        <v>554</v>
      </c>
      <c r="CU310">
        <v>2122</v>
      </c>
    </row>
    <row r="311" spans="95:99">
      <c r="CQ311" t="s">
        <v>40</v>
      </c>
      <c r="CR311" t="s">
        <v>526</v>
      </c>
      <c r="CS311" t="s">
        <v>44</v>
      </c>
      <c r="CT311" t="s">
        <v>543</v>
      </c>
      <c r="CU311">
        <v>644</v>
      </c>
    </row>
    <row r="312" spans="95:99">
      <c r="CQ312" t="s">
        <v>40</v>
      </c>
      <c r="CR312" t="s">
        <v>526</v>
      </c>
      <c r="CS312" t="s">
        <v>44</v>
      </c>
      <c r="CT312" t="s">
        <v>544</v>
      </c>
      <c r="CU312">
        <v>30</v>
      </c>
    </row>
    <row r="313" spans="95:99">
      <c r="CQ313" t="s">
        <v>40</v>
      </c>
      <c r="CR313" t="s">
        <v>526</v>
      </c>
      <c r="CS313" t="s">
        <v>44</v>
      </c>
      <c r="CT313" t="s">
        <v>545</v>
      </c>
      <c r="CU313">
        <v>191</v>
      </c>
    </row>
    <row r="314" spans="95:99">
      <c r="CQ314" t="s">
        <v>40</v>
      </c>
      <c r="CR314" t="s">
        <v>526</v>
      </c>
      <c r="CS314" t="s">
        <v>44</v>
      </c>
      <c r="CT314" t="s">
        <v>546</v>
      </c>
      <c r="CU314">
        <v>43</v>
      </c>
    </row>
    <row r="315" spans="95:99">
      <c r="CQ315" t="s">
        <v>40</v>
      </c>
      <c r="CR315" t="s">
        <v>526</v>
      </c>
      <c r="CS315" t="s">
        <v>44</v>
      </c>
      <c r="CT315" t="s">
        <v>532</v>
      </c>
      <c r="CU315">
        <v>123</v>
      </c>
    </row>
    <row r="316" spans="95:99">
      <c r="CQ316" t="s">
        <v>40</v>
      </c>
      <c r="CR316" t="s">
        <v>526</v>
      </c>
      <c r="CS316" t="s">
        <v>297</v>
      </c>
    </row>
    <row r="317" spans="95:99">
      <c r="CQ317" t="s">
        <v>40</v>
      </c>
      <c r="CR317" t="s">
        <v>526</v>
      </c>
      <c r="CS317" t="s">
        <v>297</v>
      </c>
      <c r="CT317" t="s">
        <v>521</v>
      </c>
      <c r="CU317">
        <v>4039</v>
      </c>
    </row>
    <row r="318" spans="95:99">
      <c r="CQ318" t="s">
        <v>40</v>
      </c>
      <c r="CR318" t="s">
        <v>526</v>
      </c>
      <c r="CS318" t="s">
        <v>297</v>
      </c>
      <c r="CT318" t="s">
        <v>540</v>
      </c>
      <c r="CU318">
        <v>126</v>
      </c>
    </row>
    <row r="319" spans="95:99">
      <c r="CQ319" t="s">
        <v>40</v>
      </c>
      <c r="CR319" t="s">
        <v>526</v>
      </c>
      <c r="CS319" t="s">
        <v>297</v>
      </c>
      <c r="CT319" t="s">
        <v>541</v>
      </c>
      <c r="CU319">
        <v>242</v>
      </c>
    </row>
    <row r="320" spans="95:99">
      <c r="CQ320" t="s">
        <v>40</v>
      </c>
      <c r="CR320" t="s">
        <v>526</v>
      </c>
      <c r="CS320" t="s">
        <v>297</v>
      </c>
      <c r="CT320" t="s">
        <v>542</v>
      </c>
      <c r="CU320">
        <v>2214</v>
      </c>
    </row>
    <row r="321" spans="95:99">
      <c r="CQ321" t="s">
        <v>40</v>
      </c>
      <c r="CR321" t="s">
        <v>526</v>
      </c>
      <c r="CS321" t="s">
        <v>297</v>
      </c>
      <c r="CT321" t="s">
        <v>137</v>
      </c>
      <c r="CU321">
        <v>1251</v>
      </c>
    </row>
    <row r="322" spans="95:99">
      <c r="CQ322" t="s">
        <v>40</v>
      </c>
      <c r="CR322" t="s">
        <v>526</v>
      </c>
      <c r="CS322" t="s">
        <v>297</v>
      </c>
      <c r="CT322" t="s">
        <v>554</v>
      </c>
      <c r="CU322">
        <v>81</v>
      </c>
    </row>
    <row r="323" spans="95:99">
      <c r="CQ323" t="s">
        <v>40</v>
      </c>
      <c r="CR323" t="s">
        <v>526</v>
      </c>
      <c r="CS323" t="s">
        <v>297</v>
      </c>
      <c r="CT323" t="s">
        <v>543</v>
      </c>
      <c r="CU323">
        <v>20</v>
      </c>
    </row>
    <row r="324" spans="95:99">
      <c r="CQ324" t="s">
        <v>40</v>
      </c>
      <c r="CR324" t="s">
        <v>526</v>
      </c>
      <c r="CS324" t="s">
        <v>297</v>
      </c>
      <c r="CT324" t="s">
        <v>544</v>
      </c>
      <c r="CU324">
        <v>10</v>
      </c>
    </row>
    <row r="325" spans="95:99">
      <c r="CQ325" t="s">
        <v>40</v>
      </c>
      <c r="CR325" t="s">
        <v>526</v>
      </c>
      <c r="CS325" t="s">
        <v>297</v>
      </c>
      <c r="CT325" t="s">
        <v>545</v>
      </c>
      <c r="CU325">
        <v>16</v>
      </c>
    </row>
    <row r="326" spans="95:99">
      <c r="CQ326" t="s">
        <v>40</v>
      </c>
      <c r="CR326" t="s">
        <v>526</v>
      </c>
      <c r="CS326" t="s">
        <v>297</v>
      </c>
      <c r="CT326" t="s">
        <v>546</v>
      </c>
      <c r="CU326">
        <v>36</v>
      </c>
    </row>
    <row r="327" spans="95:99">
      <c r="CQ327" t="s">
        <v>40</v>
      </c>
      <c r="CR327" t="s">
        <v>526</v>
      </c>
      <c r="CS327" t="s">
        <v>297</v>
      </c>
      <c r="CT327" t="s">
        <v>532</v>
      </c>
      <c r="CU327">
        <v>43</v>
      </c>
    </row>
    <row r="328" spans="95:99">
      <c r="CQ328" t="s">
        <v>40</v>
      </c>
      <c r="CR328" t="s">
        <v>526</v>
      </c>
      <c r="CS328" t="s">
        <v>297</v>
      </c>
    </row>
    <row r="329" spans="95:99">
      <c r="CQ329" t="s">
        <v>40</v>
      </c>
      <c r="CR329" t="s">
        <v>526</v>
      </c>
      <c r="CS329" t="s">
        <v>297</v>
      </c>
      <c r="CT329" t="s">
        <v>521</v>
      </c>
      <c r="CU329">
        <v>1381</v>
      </c>
    </row>
    <row r="330" spans="95:99">
      <c r="CQ330" t="s">
        <v>40</v>
      </c>
      <c r="CR330" t="s">
        <v>526</v>
      </c>
      <c r="CS330" t="s">
        <v>297</v>
      </c>
      <c r="CT330" t="s">
        <v>540</v>
      </c>
      <c r="CU330">
        <v>71</v>
      </c>
    </row>
    <row r="331" spans="95:99">
      <c r="CQ331" t="s">
        <v>40</v>
      </c>
      <c r="CR331" t="s">
        <v>526</v>
      </c>
      <c r="CS331" t="s">
        <v>297</v>
      </c>
      <c r="CT331" t="s">
        <v>541</v>
      </c>
      <c r="CU331">
        <v>264</v>
      </c>
    </row>
    <row r="332" spans="95:99">
      <c r="CQ332" t="s">
        <v>40</v>
      </c>
      <c r="CR332" t="s">
        <v>526</v>
      </c>
      <c r="CS332" t="s">
        <v>297</v>
      </c>
      <c r="CT332" t="s">
        <v>542</v>
      </c>
      <c r="CU332">
        <v>346</v>
      </c>
    </row>
    <row r="333" spans="95:99">
      <c r="CQ333" t="s">
        <v>40</v>
      </c>
      <c r="CR333" t="s">
        <v>526</v>
      </c>
      <c r="CS333" t="s">
        <v>297</v>
      </c>
      <c r="CT333" t="s">
        <v>137</v>
      </c>
      <c r="CU333">
        <v>628</v>
      </c>
    </row>
    <row r="334" spans="95:99">
      <c r="CQ334" t="s">
        <v>40</v>
      </c>
      <c r="CR334" t="s">
        <v>526</v>
      </c>
      <c r="CS334" t="s">
        <v>297</v>
      </c>
      <c r="CT334" t="s">
        <v>554</v>
      </c>
      <c r="CU334">
        <v>19</v>
      </c>
    </row>
    <row r="335" spans="95:99">
      <c r="CQ335" t="s">
        <v>40</v>
      </c>
      <c r="CR335" t="s">
        <v>526</v>
      </c>
      <c r="CS335" t="s">
        <v>297</v>
      </c>
      <c r="CT335" t="s">
        <v>543</v>
      </c>
      <c r="CU335">
        <v>14</v>
      </c>
    </row>
    <row r="336" spans="95:99">
      <c r="CQ336" t="s">
        <v>40</v>
      </c>
      <c r="CR336" t="s">
        <v>526</v>
      </c>
      <c r="CS336" t="s">
        <v>297</v>
      </c>
      <c r="CT336" t="s">
        <v>544</v>
      </c>
      <c r="CU336">
        <v>5</v>
      </c>
    </row>
    <row r="337" spans="95:99">
      <c r="CQ337" t="s">
        <v>40</v>
      </c>
      <c r="CR337" t="s">
        <v>526</v>
      </c>
      <c r="CS337" t="s">
        <v>297</v>
      </c>
      <c r="CT337" t="s">
        <v>545</v>
      </c>
      <c r="CU337">
        <v>8</v>
      </c>
    </row>
    <row r="338" spans="95:99">
      <c r="CQ338" t="s">
        <v>40</v>
      </c>
      <c r="CR338" t="s">
        <v>526</v>
      </c>
      <c r="CS338" t="s">
        <v>297</v>
      </c>
      <c r="CT338" t="s">
        <v>546</v>
      </c>
      <c r="CU338">
        <v>13</v>
      </c>
    </row>
    <row r="339" spans="95:99">
      <c r="CQ339" t="s">
        <v>40</v>
      </c>
      <c r="CR339" t="s">
        <v>526</v>
      </c>
      <c r="CS339" t="s">
        <v>297</v>
      </c>
      <c r="CT339" t="s">
        <v>532</v>
      </c>
      <c r="CU339">
        <v>13</v>
      </c>
    </row>
    <row r="340" spans="95:99">
      <c r="CQ340" t="s">
        <v>40</v>
      </c>
      <c r="CR340" t="s">
        <v>526</v>
      </c>
      <c r="CS340" t="s">
        <v>532</v>
      </c>
    </row>
    <row r="341" spans="95:99">
      <c r="CQ341" t="s">
        <v>40</v>
      </c>
      <c r="CR341" t="s">
        <v>526</v>
      </c>
      <c r="CS341" t="s">
        <v>532</v>
      </c>
      <c r="CT341" t="s">
        <v>521</v>
      </c>
      <c r="CU341">
        <v>666</v>
      </c>
    </row>
    <row r="342" spans="95:99">
      <c r="CQ342" t="s">
        <v>40</v>
      </c>
      <c r="CR342" t="s">
        <v>526</v>
      </c>
      <c r="CS342" t="s">
        <v>532</v>
      </c>
      <c r="CT342" t="s">
        <v>540</v>
      </c>
      <c r="CU342">
        <v>14</v>
      </c>
    </row>
    <row r="343" spans="95:99">
      <c r="CQ343" t="s">
        <v>40</v>
      </c>
      <c r="CR343" t="s">
        <v>526</v>
      </c>
      <c r="CS343" t="s">
        <v>532</v>
      </c>
      <c r="CT343" t="s">
        <v>541</v>
      </c>
      <c r="CU343">
        <v>249</v>
      </c>
    </row>
    <row r="344" spans="95:99">
      <c r="CQ344" t="s">
        <v>40</v>
      </c>
      <c r="CR344" t="s">
        <v>526</v>
      </c>
      <c r="CS344" t="s">
        <v>532</v>
      </c>
      <c r="CT344" t="s">
        <v>542</v>
      </c>
      <c r="CU344">
        <v>217</v>
      </c>
    </row>
    <row r="345" spans="95:99">
      <c r="CQ345" t="s">
        <v>40</v>
      </c>
      <c r="CR345" t="s">
        <v>526</v>
      </c>
      <c r="CS345" t="s">
        <v>532</v>
      </c>
      <c r="CT345" t="s">
        <v>137</v>
      </c>
      <c r="CU345">
        <v>30</v>
      </c>
    </row>
    <row r="346" spans="95:99">
      <c r="CQ346" t="s">
        <v>40</v>
      </c>
      <c r="CR346" t="s">
        <v>526</v>
      </c>
      <c r="CS346" t="s">
        <v>532</v>
      </c>
      <c r="CT346" t="s">
        <v>554</v>
      </c>
      <c r="CU346">
        <v>62</v>
      </c>
    </row>
    <row r="347" spans="95:99">
      <c r="CQ347" t="s">
        <v>40</v>
      </c>
      <c r="CR347" t="s">
        <v>526</v>
      </c>
      <c r="CS347" t="s">
        <v>532</v>
      </c>
      <c r="CT347" t="s">
        <v>543</v>
      </c>
      <c r="CU347">
        <v>60</v>
      </c>
    </row>
    <row r="348" spans="95:99">
      <c r="CQ348" t="s">
        <v>40</v>
      </c>
      <c r="CR348" t="s">
        <v>526</v>
      </c>
      <c r="CS348" t="s">
        <v>532</v>
      </c>
      <c r="CT348" t="s">
        <v>544</v>
      </c>
      <c r="CU348">
        <v>1</v>
      </c>
    </row>
    <row r="349" spans="95:99">
      <c r="CQ349" t="s">
        <v>40</v>
      </c>
      <c r="CR349" t="s">
        <v>526</v>
      </c>
      <c r="CS349" t="s">
        <v>532</v>
      </c>
      <c r="CT349" t="s">
        <v>545</v>
      </c>
      <c r="CU349">
        <v>9</v>
      </c>
    </row>
    <row r="350" spans="95:99">
      <c r="CQ350" t="s">
        <v>40</v>
      </c>
      <c r="CR350" t="s">
        <v>526</v>
      </c>
      <c r="CS350" t="s">
        <v>532</v>
      </c>
      <c r="CT350" t="s">
        <v>546</v>
      </c>
      <c r="CU350">
        <v>1</v>
      </c>
    </row>
    <row r="351" spans="95:99">
      <c r="CQ351" t="s">
        <v>40</v>
      </c>
      <c r="CR351" t="s">
        <v>526</v>
      </c>
      <c r="CS351" t="s">
        <v>532</v>
      </c>
      <c r="CT351" t="s">
        <v>532</v>
      </c>
      <c r="CU351">
        <v>23</v>
      </c>
    </row>
    <row r="352" spans="95:99">
      <c r="CQ352" t="s">
        <v>40</v>
      </c>
      <c r="CR352" t="s">
        <v>527</v>
      </c>
    </row>
    <row r="353" spans="95:99">
      <c r="CQ353" t="s">
        <v>40</v>
      </c>
      <c r="CR353" t="s">
        <v>527</v>
      </c>
      <c r="CS353" t="s">
        <v>521</v>
      </c>
    </row>
    <row r="354" spans="95:99">
      <c r="CQ354" t="s">
        <v>40</v>
      </c>
      <c r="CR354" t="s">
        <v>527</v>
      </c>
      <c r="CS354" t="s">
        <v>40</v>
      </c>
      <c r="CT354" t="s">
        <v>521</v>
      </c>
      <c r="CU354">
        <v>213473</v>
      </c>
    </row>
    <row r="355" spans="95:99">
      <c r="CQ355" t="s">
        <v>40</v>
      </c>
      <c r="CR355" t="s">
        <v>527</v>
      </c>
      <c r="CS355" t="s">
        <v>40</v>
      </c>
      <c r="CT355" t="s">
        <v>540</v>
      </c>
      <c r="CU355">
        <v>2065</v>
      </c>
    </row>
    <row r="356" spans="95:99">
      <c r="CQ356" t="s">
        <v>40</v>
      </c>
      <c r="CR356" t="s">
        <v>527</v>
      </c>
      <c r="CS356" t="s">
        <v>40</v>
      </c>
      <c r="CT356" t="s">
        <v>541</v>
      </c>
      <c r="CU356">
        <v>107466</v>
      </c>
    </row>
    <row r="357" spans="95:99">
      <c r="CQ357" t="s">
        <v>40</v>
      </c>
      <c r="CR357" t="s">
        <v>527</v>
      </c>
      <c r="CS357" t="s">
        <v>40</v>
      </c>
      <c r="CT357" t="s">
        <v>542</v>
      </c>
      <c r="CU357">
        <v>64595</v>
      </c>
    </row>
    <row r="358" spans="95:99">
      <c r="CQ358" t="s">
        <v>40</v>
      </c>
      <c r="CR358" t="s">
        <v>527</v>
      </c>
      <c r="CS358" t="s">
        <v>40</v>
      </c>
      <c r="CT358" t="s">
        <v>137</v>
      </c>
      <c r="CU358">
        <v>6763</v>
      </c>
    </row>
    <row r="359" spans="95:99">
      <c r="CQ359" t="s">
        <v>40</v>
      </c>
      <c r="CR359" t="s">
        <v>527</v>
      </c>
      <c r="CS359" t="s">
        <v>40</v>
      </c>
      <c r="CT359" t="s">
        <v>554</v>
      </c>
      <c r="CU359">
        <v>13094</v>
      </c>
    </row>
    <row r="360" spans="95:99">
      <c r="CQ360" t="s">
        <v>40</v>
      </c>
      <c r="CR360" t="s">
        <v>527</v>
      </c>
      <c r="CS360" t="s">
        <v>40</v>
      </c>
      <c r="CT360" t="s">
        <v>543</v>
      </c>
      <c r="CU360">
        <v>12883</v>
      </c>
    </row>
    <row r="361" spans="95:99">
      <c r="CQ361" t="s">
        <v>40</v>
      </c>
      <c r="CR361" t="s">
        <v>527</v>
      </c>
      <c r="CS361" t="s">
        <v>40</v>
      </c>
      <c r="CT361" t="s">
        <v>544</v>
      </c>
      <c r="CU361">
        <v>1087</v>
      </c>
    </row>
    <row r="362" spans="95:99">
      <c r="CQ362" t="s">
        <v>40</v>
      </c>
      <c r="CR362" t="s">
        <v>527</v>
      </c>
      <c r="CS362" t="s">
        <v>40</v>
      </c>
      <c r="CT362" t="s">
        <v>545</v>
      </c>
      <c r="CU362">
        <v>3939</v>
      </c>
    </row>
    <row r="363" spans="95:99">
      <c r="CQ363" t="s">
        <v>40</v>
      </c>
      <c r="CR363" t="s">
        <v>527</v>
      </c>
      <c r="CS363" t="s">
        <v>40</v>
      </c>
      <c r="CT363" t="s">
        <v>546</v>
      </c>
      <c r="CU363">
        <v>636</v>
      </c>
    </row>
    <row r="364" spans="95:99">
      <c r="CQ364" t="s">
        <v>40</v>
      </c>
      <c r="CR364" t="s">
        <v>527</v>
      </c>
      <c r="CS364" t="s">
        <v>40</v>
      </c>
      <c r="CT364" t="s">
        <v>532</v>
      </c>
      <c r="CU364">
        <v>945</v>
      </c>
    </row>
    <row r="365" spans="95:99">
      <c r="CQ365" t="s">
        <v>40</v>
      </c>
      <c r="CR365" t="s">
        <v>527</v>
      </c>
      <c r="CS365" t="s">
        <v>46</v>
      </c>
    </row>
    <row r="366" spans="95:99">
      <c r="CQ366" t="s">
        <v>40</v>
      </c>
      <c r="CR366" t="s">
        <v>527</v>
      </c>
      <c r="CS366" t="s">
        <v>46</v>
      </c>
      <c r="CT366" t="s">
        <v>521</v>
      </c>
      <c r="CU366">
        <v>97698</v>
      </c>
    </row>
    <row r="367" spans="95:99">
      <c r="CQ367" t="s">
        <v>40</v>
      </c>
      <c r="CR367" t="s">
        <v>527</v>
      </c>
      <c r="CS367" t="s">
        <v>46</v>
      </c>
      <c r="CT367" t="s">
        <v>540</v>
      </c>
      <c r="CU367">
        <v>743</v>
      </c>
    </row>
    <row r="368" spans="95:99">
      <c r="CQ368" t="s">
        <v>40</v>
      </c>
      <c r="CR368" t="s">
        <v>527</v>
      </c>
      <c r="CS368" t="s">
        <v>46</v>
      </c>
      <c r="CT368" t="s">
        <v>541</v>
      </c>
      <c r="CU368">
        <v>66311</v>
      </c>
    </row>
    <row r="369" spans="95:99">
      <c r="CQ369" t="s">
        <v>40</v>
      </c>
      <c r="CR369" t="s">
        <v>527</v>
      </c>
      <c r="CS369" t="s">
        <v>46</v>
      </c>
      <c r="CT369" t="s">
        <v>542</v>
      </c>
      <c r="CU369">
        <v>10132</v>
      </c>
    </row>
    <row r="370" spans="95:99">
      <c r="CQ370" t="s">
        <v>40</v>
      </c>
      <c r="CR370" t="s">
        <v>527</v>
      </c>
      <c r="CS370" t="s">
        <v>46</v>
      </c>
      <c r="CT370" t="s">
        <v>137</v>
      </c>
      <c r="CU370">
        <v>1162</v>
      </c>
    </row>
    <row r="371" spans="95:99">
      <c r="CQ371" t="s">
        <v>40</v>
      </c>
      <c r="CR371" t="s">
        <v>527</v>
      </c>
      <c r="CS371" t="s">
        <v>46</v>
      </c>
      <c r="CT371" t="s">
        <v>554</v>
      </c>
      <c r="CU371">
        <v>5117</v>
      </c>
    </row>
    <row r="372" spans="95:99">
      <c r="CQ372" t="s">
        <v>40</v>
      </c>
      <c r="CR372" t="s">
        <v>527</v>
      </c>
      <c r="CS372" t="s">
        <v>46</v>
      </c>
      <c r="CT372" t="s">
        <v>543</v>
      </c>
      <c r="CU372">
        <v>9754</v>
      </c>
    </row>
    <row r="373" spans="95:99">
      <c r="CQ373" t="s">
        <v>40</v>
      </c>
      <c r="CR373" t="s">
        <v>527</v>
      </c>
      <c r="CS373" t="s">
        <v>46</v>
      </c>
      <c r="CT373" t="s">
        <v>544</v>
      </c>
      <c r="CU373">
        <v>841</v>
      </c>
    </row>
    <row r="374" spans="95:99">
      <c r="CQ374" t="s">
        <v>40</v>
      </c>
      <c r="CR374" t="s">
        <v>527</v>
      </c>
      <c r="CS374" t="s">
        <v>46</v>
      </c>
      <c r="CT374" t="s">
        <v>545</v>
      </c>
      <c r="CU374">
        <v>2881</v>
      </c>
    </row>
    <row r="375" spans="95:99">
      <c r="CQ375" t="s">
        <v>40</v>
      </c>
      <c r="CR375" t="s">
        <v>527</v>
      </c>
      <c r="CS375" t="s">
        <v>46</v>
      </c>
      <c r="CT375" t="s">
        <v>546</v>
      </c>
      <c r="CU375">
        <v>346</v>
      </c>
    </row>
    <row r="376" spans="95:99">
      <c r="CQ376" t="s">
        <v>40</v>
      </c>
      <c r="CR376" t="s">
        <v>527</v>
      </c>
      <c r="CS376" t="s">
        <v>46</v>
      </c>
      <c r="CT376" t="s">
        <v>532</v>
      </c>
      <c r="CU376">
        <v>411</v>
      </c>
    </row>
    <row r="377" spans="95:99">
      <c r="CQ377" t="s">
        <v>40</v>
      </c>
      <c r="CR377" t="s">
        <v>527</v>
      </c>
      <c r="CS377" t="s">
        <v>44</v>
      </c>
    </row>
    <row r="378" spans="95:99">
      <c r="CQ378" t="s">
        <v>40</v>
      </c>
      <c r="CR378" t="s">
        <v>527</v>
      </c>
      <c r="CS378" t="s">
        <v>44</v>
      </c>
      <c r="CT378" t="s">
        <v>521</v>
      </c>
      <c r="CU378">
        <v>71056</v>
      </c>
    </row>
    <row r="379" spans="95:99">
      <c r="CQ379" t="s">
        <v>40</v>
      </c>
      <c r="CR379" t="s">
        <v>527</v>
      </c>
      <c r="CS379" t="s">
        <v>44</v>
      </c>
      <c r="CT379" t="s">
        <v>540</v>
      </c>
      <c r="CU379">
        <v>476</v>
      </c>
    </row>
    <row r="380" spans="95:99">
      <c r="CQ380" t="s">
        <v>40</v>
      </c>
      <c r="CR380" t="s">
        <v>527</v>
      </c>
      <c r="CS380" t="s">
        <v>44</v>
      </c>
      <c r="CT380" t="s">
        <v>541</v>
      </c>
      <c r="CU380">
        <v>29781</v>
      </c>
    </row>
    <row r="381" spans="95:99">
      <c r="CQ381" t="s">
        <v>40</v>
      </c>
      <c r="CR381" t="s">
        <v>527</v>
      </c>
      <c r="CS381" t="s">
        <v>44</v>
      </c>
      <c r="CT381" t="s">
        <v>542</v>
      </c>
      <c r="CU381">
        <v>32465</v>
      </c>
    </row>
    <row r="382" spans="95:99">
      <c r="CQ382" t="s">
        <v>40</v>
      </c>
      <c r="CR382" t="s">
        <v>527</v>
      </c>
      <c r="CS382" t="s">
        <v>44</v>
      </c>
      <c r="CT382" t="s">
        <v>137</v>
      </c>
      <c r="CU382">
        <v>1405</v>
      </c>
    </row>
    <row r="383" spans="95:99">
      <c r="CQ383" t="s">
        <v>40</v>
      </c>
      <c r="CR383" t="s">
        <v>527</v>
      </c>
      <c r="CS383" t="s">
        <v>44</v>
      </c>
      <c r="CT383" t="s">
        <v>554</v>
      </c>
      <c r="CU383">
        <v>3866</v>
      </c>
    </row>
    <row r="384" spans="95:99">
      <c r="CQ384" t="s">
        <v>40</v>
      </c>
      <c r="CR384" t="s">
        <v>527</v>
      </c>
      <c r="CS384" t="s">
        <v>44</v>
      </c>
      <c r="CT384" t="s">
        <v>543</v>
      </c>
      <c r="CU384">
        <v>1862</v>
      </c>
    </row>
    <row r="385" spans="95:99">
      <c r="CQ385" t="s">
        <v>40</v>
      </c>
      <c r="CR385" t="s">
        <v>527</v>
      </c>
      <c r="CS385" t="s">
        <v>44</v>
      </c>
      <c r="CT385" t="s">
        <v>544</v>
      </c>
      <c r="CU385">
        <v>151</v>
      </c>
    </row>
    <row r="386" spans="95:99">
      <c r="CQ386" t="s">
        <v>40</v>
      </c>
      <c r="CR386" t="s">
        <v>527</v>
      </c>
      <c r="CS386" t="s">
        <v>44</v>
      </c>
      <c r="CT386" t="s">
        <v>545</v>
      </c>
      <c r="CU386">
        <v>632</v>
      </c>
    </row>
    <row r="387" spans="95:99">
      <c r="CQ387" t="s">
        <v>40</v>
      </c>
      <c r="CR387" t="s">
        <v>527</v>
      </c>
      <c r="CS387" t="s">
        <v>44</v>
      </c>
      <c r="CT387" t="s">
        <v>546</v>
      </c>
      <c r="CU387">
        <v>141</v>
      </c>
    </row>
    <row r="388" spans="95:99">
      <c r="CQ388" t="s">
        <v>40</v>
      </c>
      <c r="CR388" t="s">
        <v>527</v>
      </c>
      <c r="CS388" t="s">
        <v>44</v>
      </c>
      <c r="CT388" t="s">
        <v>532</v>
      </c>
      <c r="CU388">
        <v>277</v>
      </c>
    </row>
    <row r="389" spans="95:99">
      <c r="CQ389" t="s">
        <v>40</v>
      </c>
      <c r="CR389" t="s">
        <v>527</v>
      </c>
      <c r="CS389" t="s">
        <v>44</v>
      </c>
    </row>
    <row r="390" spans="95:99">
      <c r="CQ390" t="s">
        <v>40</v>
      </c>
      <c r="CR390" t="s">
        <v>527</v>
      </c>
      <c r="CS390" t="s">
        <v>44</v>
      </c>
      <c r="CT390" t="s">
        <v>521</v>
      </c>
      <c r="CU390">
        <v>36397</v>
      </c>
    </row>
    <row r="391" spans="95:99">
      <c r="CQ391" t="s">
        <v>40</v>
      </c>
      <c r="CR391" t="s">
        <v>527</v>
      </c>
      <c r="CS391" t="s">
        <v>44</v>
      </c>
      <c r="CT391" t="s">
        <v>540</v>
      </c>
      <c r="CU391">
        <v>587</v>
      </c>
    </row>
    <row r="392" spans="95:99">
      <c r="CQ392" t="s">
        <v>40</v>
      </c>
      <c r="CR392" t="s">
        <v>527</v>
      </c>
      <c r="CS392" t="s">
        <v>44</v>
      </c>
      <c r="CT392" t="s">
        <v>541</v>
      </c>
      <c r="CU392">
        <v>10271</v>
      </c>
    </row>
    <row r="393" spans="95:99">
      <c r="CQ393" t="s">
        <v>40</v>
      </c>
      <c r="CR393" t="s">
        <v>527</v>
      </c>
      <c r="CS393" t="s">
        <v>44</v>
      </c>
      <c r="CT393" t="s">
        <v>542</v>
      </c>
      <c r="CU393">
        <v>18730</v>
      </c>
    </row>
    <row r="394" spans="95:99">
      <c r="CQ394" t="s">
        <v>40</v>
      </c>
      <c r="CR394" t="s">
        <v>527</v>
      </c>
      <c r="CS394" t="s">
        <v>44</v>
      </c>
      <c r="CT394" t="s">
        <v>137</v>
      </c>
      <c r="CU394">
        <v>1195</v>
      </c>
    </row>
    <row r="395" spans="95:99">
      <c r="CQ395" t="s">
        <v>40</v>
      </c>
      <c r="CR395" t="s">
        <v>527</v>
      </c>
      <c r="CS395" t="s">
        <v>44</v>
      </c>
      <c r="CT395" t="s">
        <v>554</v>
      </c>
      <c r="CU395">
        <v>3826</v>
      </c>
    </row>
    <row r="396" spans="95:99">
      <c r="CQ396" t="s">
        <v>40</v>
      </c>
      <c r="CR396" t="s">
        <v>527</v>
      </c>
      <c r="CS396" t="s">
        <v>44</v>
      </c>
      <c r="CT396" t="s">
        <v>543</v>
      </c>
      <c r="CU396">
        <v>1118</v>
      </c>
    </row>
    <row r="397" spans="95:99">
      <c r="CQ397" t="s">
        <v>40</v>
      </c>
      <c r="CR397" t="s">
        <v>527</v>
      </c>
      <c r="CS397" t="s">
        <v>44</v>
      </c>
      <c r="CT397" t="s">
        <v>544</v>
      </c>
      <c r="CU397">
        <v>57</v>
      </c>
    </row>
    <row r="398" spans="95:99">
      <c r="CQ398" t="s">
        <v>40</v>
      </c>
      <c r="CR398" t="s">
        <v>527</v>
      </c>
      <c r="CS398" t="s">
        <v>44</v>
      </c>
      <c r="CT398" t="s">
        <v>545</v>
      </c>
      <c r="CU398">
        <v>362</v>
      </c>
    </row>
    <row r="399" spans="95:99">
      <c r="CQ399" t="s">
        <v>40</v>
      </c>
      <c r="CR399" t="s">
        <v>527</v>
      </c>
      <c r="CS399" t="s">
        <v>44</v>
      </c>
      <c r="CT399" t="s">
        <v>546</v>
      </c>
      <c r="CU399">
        <v>79</v>
      </c>
    </row>
    <row r="400" spans="95:99">
      <c r="CQ400" t="s">
        <v>40</v>
      </c>
      <c r="CR400" t="s">
        <v>527</v>
      </c>
      <c r="CS400" t="s">
        <v>44</v>
      </c>
      <c r="CT400" t="s">
        <v>532</v>
      </c>
      <c r="CU400">
        <v>172</v>
      </c>
    </row>
    <row r="401" spans="95:99">
      <c r="CQ401" t="s">
        <v>40</v>
      </c>
      <c r="CR401" t="s">
        <v>527</v>
      </c>
      <c r="CS401" t="s">
        <v>297</v>
      </c>
    </row>
    <row r="402" spans="95:99">
      <c r="CQ402" t="s">
        <v>40</v>
      </c>
      <c r="CR402" t="s">
        <v>527</v>
      </c>
      <c r="CS402" t="s">
        <v>297</v>
      </c>
      <c r="CT402" t="s">
        <v>521</v>
      </c>
      <c r="CU402">
        <v>5873</v>
      </c>
    </row>
    <row r="403" spans="95:99">
      <c r="CQ403" t="s">
        <v>40</v>
      </c>
      <c r="CR403" t="s">
        <v>527</v>
      </c>
      <c r="CS403" t="s">
        <v>297</v>
      </c>
      <c r="CT403" t="s">
        <v>540</v>
      </c>
      <c r="CU403">
        <v>165</v>
      </c>
    </row>
    <row r="404" spans="95:99">
      <c r="CQ404" t="s">
        <v>40</v>
      </c>
      <c r="CR404" t="s">
        <v>527</v>
      </c>
      <c r="CS404" t="s">
        <v>297</v>
      </c>
      <c r="CT404" t="s">
        <v>541</v>
      </c>
      <c r="CU404">
        <v>402</v>
      </c>
    </row>
    <row r="405" spans="95:99">
      <c r="CQ405" t="s">
        <v>40</v>
      </c>
      <c r="CR405" t="s">
        <v>527</v>
      </c>
      <c r="CS405" t="s">
        <v>297</v>
      </c>
      <c r="CT405" t="s">
        <v>542</v>
      </c>
      <c r="CU405">
        <v>2613</v>
      </c>
    </row>
    <row r="406" spans="95:99">
      <c r="CQ406" t="s">
        <v>40</v>
      </c>
      <c r="CR406" t="s">
        <v>527</v>
      </c>
      <c r="CS406" t="s">
        <v>297</v>
      </c>
      <c r="CT406" t="s">
        <v>137</v>
      </c>
      <c r="CU406">
        <v>2396</v>
      </c>
    </row>
    <row r="407" spans="95:99">
      <c r="CQ407" t="s">
        <v>40</v>
      </c>
      <c r="CR407" t="s">
        <v>527</v>
      </c>
      <c r="CS407" t="s">
        <v>297</v>
      </c>
      <c r="CT407" t="s">
        <v>554</v>
      </c>
      <c r="CU407">
        <v>127</v>
      </c>
    </row>
    <row r="408" spans="95:99">
      <c r="CQ408" t="s">
        <v>40</v>
      </c>
      <c r="CR408" t="s">
        <v>527</v>
      </c>
      <c r="CS408" t="s">
        <v>297</v>
      </c>
      <c r="CT408" t="s">
        <v>543</v>
      </c>
      <c r="CU408">
        <v>31</v>
      </c>
    </row>
    <row r="409" spans="95:99">
      <c r="CQ409" t="s">
        <v>40</v>
      </c>
      <c r="CR409" t="s">
        <v>527</v>
      </c>
      <c r="CS409" t="s">
        <v>297</v>
      </c>
      <c r="CT409" t="s">
        <v>544</v>
      </c>
      <c r="CU409">
        <v>26</v>
      </c>
    </row>
    <row r="410" spans="95:99">
      <c r="CQ410" t="s">
        <v>40</v>
      </c>
      <c r="CR410" t="s">
        <v>527</v>
      </c>
      <c r="CS410" t="s">
        <v>297</v>
      </c>
      <c r="CT410" t="s">
        <v>545</v>
      </c>
      <c r="CU410">
        <v>24</v>
      </c>
    </row>
    <row r="411" spans="95:99">
      <c r="CQ411" t="s">
        <v>40</v>
      </c>
      <c r="CR411" t="s">
        <v>527</v>
      </c>
      <c r="CS411" t="s">
        <v>297</v>
      </c>
      <c r="CT411" t="s">
        <v>546</v>
      </c>
      <c r="CU411">
        <v>46</v>
      </c>
    </row>
    <row r="412" spans="95:99">
      <c r="CQ412" t="s">
        <v>40</v>
      </c>
      <c r="CR412" t="s">
        <v>527</v>
      </c>
      <c r="CS412" t="s">
        <v>297</v>
      </c>
      <c r="CT412" t="s">
        <v>532</v>
      </c>
      <c r="CU412">
        <v>43</v>
      </c>
    </row>
    <row r="413" spans="95:99">
      <c r="CQ413" t="s">
        <v>40</v>
      </c>
      <c r="CR413" t="s">
        <v>527</v>
      </c>
      <c r="CS413" t="s">
        <v>297</v>
      </c>
    </row>
    <row r="414" spans="95:99">
      <c r="CQ414" t="s">
        <v>40</v>
      </c>
      <c r="CR414" t="s">
        <v>527</v>
      </c>
      <c r="CS414" t="s">
        <v>297</v>
      </c>
      <c r="CT414" t="s">
        <v>521</v>
      </c>
      <c r="CU414">
        <v>1328</v>
      </c>
    </row>
    <row r="415" spans="95:99">
      <c r="CQ415" t="s">
        <v>40</v>
      </c>
      <c r="CR415" t="s">
        <v>527</v>
      </c>
      <c r="CS415" t="s">
        <v>297</v>
      </c>
      <c r="CT415" t="s">
        <v>540</v>
      </c>
      <c r="CU415">
        <v>79</v>
      </c>
    </row>
    <row r="416" spans="95:99">
      <c r="CQ416" t="s">
        <v>40</v>
      </c>
      <c r="CR416" t="s">
        <v>527</v>
      </c>
      <c r="CS416" t="s">
        <v>297</v>
      </c>
      <c r="CT416" t="s">
        <v>541</v>
      </c>
      <c r="CU416">
        <v>277</v>
      </c>
    </row>
    <row r="417" spans="95:99">
      <c r="CQ417" t="s">
        <v>40</v>
      </c>
      <c r="CR417" t="s">
        <v>527</v>
      </c>
      <c r="CS417" t="s">
        <v>297</v>
      </c>
      <c r="CT417" t="s">
        <v>542</v>
      </c>
      <c r="CU417">
        <v>298</v>
      </c>
    </row>
    <row r="418" spans="95:99">
      <c r="CQ418" t="s">
        <v>40</v>
      </c>
      <c r="CR418" t="s">
        <v>527</v>
      </c>
      <c r="CS418" t="s">
        <v>297</v>
      </c>
      <c r="CT418" t="s">
        <v>137</v>
      </c>
      <c r="CU418">
        <v>555</v>
      </c>
    </row>
    <row r="419" spans="95:99">
      <c r="CQ419" t="s">
        <v>40</v>
      </c>
      <c r="CR419" t="s">
        <v>527</v>
      </c>
      <c r="CS419" t="s">
        <v>297</v>
      </c>
      <c r="CT419" t="s">
        <v>554</v>
      </c>
      <c r="CU419">
        <v>48</v>
      </c>
    </row>
    <row r="420" spans="95:99">
      <c r="CQ420" t="s">
        <v>40</v>
      </c>
      <c r="CR420" t="s">
        <v>527</v>
      </c>
      <c r="CS420" t="s">
        <v>297</v>
      </c>
      <c r="CT420" t="s">
        <v>543</v>
      </c>
      <c r="CU420">
        <v>17</v>
      </c>
    </row>
    <row r="421" spans="95:99">
      <c r="CQ421" t="s">
        <v>40</v>
      </c>
      <c r="CR421" t="s">
        <v>527</v>
      </c>
      <c r="CS421" t="s">
        <v>297</v>
      </c>
      <c r="CT421" t="s">
        <v>544</v>
      </c>
      <c r="CU421">
        <v>11</v>
      </c>
    </row>
    <row r="422" spans="95:99">
      <c r="CQ422" t="s">
        <v>40</v>
      </c>
      <c r="CR422" t="s">
        <v>527</v>
      </c>
      <c r="CS422" t="s">
        <v>297</v>
      </c>
      <c r="CT422" t="s">
        <v>545</v>
      </c>
      <c r="CU422">
        <v>13</v>
      </c>
    </row>
    <row r="423" spans="95:99">
      <c r="CQ423" t="s">
        <v>40</v>
      </c>
      <c r="CR423" t="s">
        <v>527</v>
      </c>
      <c r="CS423" t="s">
        <v>297</v>
      </c>
      <c r="CT423" t="s">
        <v>546</v>
      </c>
      <c r="CU423">
        <v>16</v>
      </c>
    </row>
    <row r="424" spans="95:99">
      <c r="CQ424" t="s">
        <v>40</v>
      </c>
      <c r="CR424" t="s">
        <v>527</v>
      </c>
      <c r="CS424" t="s">
        <v>297</v>
      </c>
      <c r="CT424" t="s">
        <v>532</v>
      </c>
      <c r="CU424">
        <v>14</v>
      </c>
    </row>
    <row r="425" spans="95:99">
      <c r="CQ425" t="s">
        <v>40</v>
      </c>
      <c r="CR425" t="s">
        <v>527</v>
      </c>
      <c r="CS425" t="s">
        <v>532</v>
      </c>
    </row>
    <row r="426" spans="95:99">
      <c r="CQ426" t="s">
        <v>40</v>
      </c>
      <c r="CR426" t="s">
        <v>527</v>
      </c>
      <c r="CS426" t="s">
        <v>532</v>
      </c>
      <c r="CT426" t="s">
        <v>521</v>
      </c>
      <c r="CU426">
        <v>1121</v>
      </c>
    </row>
    <row r="427" spans="95:99">
      <c r="CQ427" t="s">
        <v>40</v>
      </c>
      <c r="CR427" t="s">
        <v>527</v>
      </c>
      <c r="CS427" t="s">
        <v>532</v>
      </c>
      <c r="CT427" t="s">
        <v>540</v>
      </c>
      <c r="CU427">
        <v>15</v>
      </c>
    </row>
    <row r="428" spans="95:99">
      <c r="CQ428" t="s">
        <v>40</v>
      </c>
      <c r="CR428" t="s">
        <v>527</v>
      </c>
      <c r="CS428" t="s">
        <v>532</v>
      </c>
      <c r="CT428" t="s">
        <v>541</v>
      </c>
      <c r="CU428">
        <v>424</v>
      </c>
    </row>
    <row r="429" spans="95:99">
      <c r="CQ429" t="s">
        <v>40</v>
      </c>
      <c r="CR429" t="s">
        <v>527</v>
      </c>
      <c r="CS429" t="s">
        <v>532</v>
      </c>
      <c r="CT429" t="s">
        <v>542</v>
      </c>
      <c r="CU429">
        <v>357</v>
      </c>
    </row>
    <row r="430" spans="95:99">
      <c r="CQ430" t="s">
        <v>40</v>
      </c>
      <c r="CR430" t="s">
        <v>527</v>
      </c>
      <c r="CS430" t="s">
        <v>532</v>
      </c>
      <c r="CT430" t="s">
        <v>137</v>
      </c>
      <c r="CU430">
        <v>50</v>
      </c>
    </row>
    <row r="431" spans="95:99">
      <c r="CQ431" t="s">
        <v>40</v>
      </c>
      <c r="CR431" t="s">
        <v>527</v>
      </c>
      <c r="CS431" t="s">
        <v>532</v>
      </c>
      <c r="CT431" t="s">
        <v>554</v>
      </c>
      <c r="CU431">
        <v>110</v>
      </c>
    </row>
    <row r="432" spans="95:99">
      <c r="CQ432" t="s">
        <v>40</v>
      </c>
      <c r="CR432" t="s">
        <v>527</v>
      </c>
      <c r="CS432" t="s">
        <v>532</v>
      </c>
      <c r="CT432" t="s">
        <v>543</v>
      </c>
      <c r="CU432">
        <v>101</v>
      </c>
    </row>
    <row r="433" spans="95:99">
      <c r="CQ433" t="s">
        <v>40</v>
      </c>
      <c r="CR433" t="s">
        <v>527</v>
      </c>
      <c r="CS433" t="s">
        <v>532</v>
      </c>
      <c r="CT433" t="s">
        <v>544</v>
      </c>
      <c r="CU433">
        <v>1</v>
      </c>
    </row>
    <row r="434" spans="95:99">
      <c r="CQ434" t="s">
        <v>40</v>
      </c>
      <c r="CR434" t="s">
        <v>527</v>
      </c>
      <c r="CS434" t="s">
        <v>532</v>
      </c>
      <c r="CT434" t="s">
        <v>545</v>
      </c>
      <c r="CU434">
        <v>27</v>
      </c>
    </row>
    <row r="435" spans="95:99">
      <c r="CQ435" t="s">
        <v>40</v>
      </c>
      <c r="CR435" t="s">
        <v>527</v>
      </c>
      <c r="CS435" t="s">
        <v>532</v>
      </c>
      <c r="CT435" t="s">
        <v>546</v>
      </c>
      <c r="CU435">
        <v>8</v>
      </c>
    </row>
    <row r="436" spans="95:99">
      <c r="CQ436" t="s">
        <v>40</v>
      </c>
      <c r="CR436" t="s">
        <v>527</v>
      </c>
      <c r="CS436" t="s">
        <v>532</v>
      </c>
      <c r="CT436" t="s">
        <v>532</v>
      </c>
      <c r="CU436">
        <v>28</v>
      </c>
    </row>
    <row r="437" spans="95:99">
      <c r="CQ437" t="s">
        <v>40</v>
      </c>
      <c r="CR437" t="s">
        <v>528</v>
      </c>
    </row>
    <row r="438" spans="95:99">
      <c r="CQ438" t="s">
        <v>40</v>
      </c>
      <c r="CR438" t="s">
        <v>528</v>
      </c>
      <c r="CS438" t="s">
        <v>521</v>
      </c>
    </row>
    <row r="439" spans="95:99">
      <c r="CQ439" t="s">
        <v>40</v>
      </c>
      <c r="CR439" t="s">
        <v>528</v>
      </c>
      <c r="CS439" t="s">
        <v>40</v>
      </c>
      <c r="CT439" t="s">
        <v>521</v>
      </c>
      <c r="CU439">
        <v>171044</v>
      </c>
    </row>
    <row r="440" spans="95:99">
      <c r="CQ440" t="s">
        <v>40</v>
      </c>
      <c r="CR440" t="s">
        <v>528</v>
      </c>
      <c r="CS440" t="s">
        <v>40</v>
      </c>
      <c r="CT440" t="s">
        <v>540</v>
      </c>
      <c r="CU440">
        <v>1605</v>
      </c>
    </row>
    <row r="441" spans="95:99">
      <c r="CQ441" t="s">
        <v>40</v>
      </c>
      <c r="CR441" t="s">
        <v>528</v>
      </c>
      <c r="CS441" t="s">
        <v>40</v>
      </c>
      <c r="CT441" t="s">
        <v>541</v>
      </c>
      <c r="CU441">
        <v>79276</v>
      </c>
    </row>
    <row r="442" spans="95:99">
      <c r="CQ442" t="s">
        <v>40</v>
      </c>
      <c r="CR442" t="s">
        <v>528</v>
      </c>
      <c r="CS442" t="s">
        <v>40</v>
      </c>
      <c r="CT442" t="s">
        <v>542</v>
      </c>
      <c r="CU442">
        <v>47640</v>
      </c>
    </row>
    <row r="443" spans="95:99">
      <c r="CQ443" t="s">
        <v>40</v>
      </c>
      <c r="CR443" t="s">
        <v>528</v>
      </c>
      <c r="CS443" t="s">
        <v>40</v>
      </c>
      <c r="CT443" t="s">
        <v>137</v>
      </c>
      <c r="CU443">
        <v>10478</v>
      </c>
    </row>
    <row r="444" spans="95:99">
      <c r="CQ444" t="s">
        <v>40</v>
      </c>
      <c r="CR444" t="s">
        <v>528</v>
      </c>
      <c r="CS444" t="s">
        <v>40</v>
      </c>
      <c r="CT444" t="s">
        <v>554</v>
      </c>
      <c r="CU444">
        <v>11935</v>
      </c>
    </row>
    <row r="445" spans="95:99">
      <c r="CQ445" t="s">
        <v>40</v>
      </c>
      <c r="CR445" t="s">
        <v>528</v>
      </c>
      <c r="CS445" t="s">
        <v>40</v>
      </c>
      <c r="CT445" t="s">
        <v>543</v>
      </c>
      <c r="CU445">
        <v>13578</v>
      </c>
    </row>
    <row r="446" spans="95:99">
      <c r="CQ446" t="s">
        <v>40</v>
      </c>
      <c r="CR446" t="s">
        <v>528</v>
      </c>
      <c r="CS446" t="s">
        <v>40</v>
      </c>
      <c r="CT446" t="s">
        <v>544</v>
      </c>
      <c r="CU446">
        <v>1414</v>
      </c>
    </row>
    <row r="447" spans="95:99">
      <c r="CQ447" t="s">
        <v>40</v>
      </c>
      <c r="CR447" t="s">
        <v>528</v>
      </c>
      <c r="CS447" t="s">
        <v>40</v>
      </c>
      <c r="CT447" t="s">
        <v>545</v>
      </c>
      <c r="CU447">
        <v>3748</v>
      </c>
    </row>
    <row r="448" spans="95:99">
      <c r="CQ448" t="s">
        <v>40</v>
      </c>
      <c r="CR448" t="s">
        <v>528</v>
      </c>
      <c r="CS448" t="s">
        <v>40</v>
      </c>
      <c r="CT448" t="s">
        <v>546</v>
      </c>
      <c r="CU448">
        <v>617</v>
      </c>
    </row>
    <row r="449" spans="95:99">
      <c r="CQ449" t="s">
        <v>40</v>
      </c>
      <c r="CR449" t="s">
        <v>528</v>
      </c>
      <c r="CS449" t="s">
        <v>40</v>
      </c>
      <c r="CT449" t="s">
        <v>532</v>
      </c>
      <c r="CU449">
        <v>753</v>
      </c>
    </row>
    <row r="450" spans="95:99">
      <c r="CQ450" t="s">
        <v>40</v>
      </c>
      <c r="CR450" t="s">
        <v>528</v>
      </c>
      <c r="CS450" t="s">
        <v>46</v>
      </c>
    </row>
    <row r="451" spans="95:99">
      <c r="CQ451" t="s">
        <v>40</v>
      </c>
      <c r="CR451" t="s">
        <v>528</v>
      </c>
      <c r="CS451" t="s">
        <v>46</v>
      </c>
      <c r="CT451" t="s">
        <v>521</v>
      </c>
      <c r="CU451">
        <v>86491</v>
      </c>
    </row>
    <row r="452" spans="95:99">
      <c r="CQ452" t="s">
        <v>40</v>
      </c>
      <c r="CR452" t="s">
        <v>528</v>
      </c>
      <c r="CS452" t="s">
        <v>46</v>
      </c>
      <c r="CT452" t="s">
        <v>540</v>
      </c>
      <c r="CU452">
        <v>474</v>
      </c>
    </row>
    <row r="453" spans="95:99">
      <c r="CQ453" t="s">
        <v>40</v>
      </c>
      <c r="CR453" t="s">
        <v>528</v>
      </c>
      <c r="CS453" t="s">
        <v>46</v>
      </c>
      <c r="CT453" t="s">
        <v>541</v>
      </c>
      <c r="CU453">
        <v>54892</v>
      </c>
    </row>
    <row r="454" spans="95:99">
      <c r="CQ454" t="s">
        <v>40</v>
      </c>
      <c r="CR454" t="s">
        <v>528</v>
      </c>
      <c r="CS454" t="s">
        <v>46</v>
      </c>
      <c r="CT454" t="s">
        <v>542</v>
      </c>
      <c r="CU454">
        <v>8821</v>
      </c>
    </row>
    <row r="455" spans="95:99">
      <c r="CQ455" t="s">
        <v>40</v>
      </c>
      <c r="CR455" t="s">
        <v>528</v>
      </c>
      <c r="CS455" t="s">
        <v>46</v>
      </c>
      <c r="CT455" t="s">
        <v>137</v>
      </c>
      <c r="CU455">
        <v>1049</v>
      </c>
    </row>
    <row r="456" spans="95:99">
      <c r="CQ456" t="s">
        <v>40</v>
      </c>
      <c r="CR456" t="s">
        <v>528</v>
      </c>
      <c r="CS456" t="s">
        <v>46</v>
      </c>
      <c r="CT456" t="s">
        <v>554</v>
      </c>
      <c r="CU456">
        <v>5425</v>
      </c>
    </row>
    <row r="457" spans="95:99">
      <c r="CQ457" t="s">
        <v>40</v>
      </c>
      <c r="CR457" t="s">
        <v>528</v>
      </c>
      <c r="CS457" t="s">
        <v>46</v>
      </c>
      <c r="CT457" t="s">
        <v>543</v>
      </c>
      <c r="CU457">
        <v>11032</v>
      </c>
    </row>
    <row r="458" spans="95:99">
      <c r="CQ458" t="s">
        <v>40</v>
      </c>
      <c r="CR458" t="s">
        <v>528</v>
      </c>
      <c r="CS458" t="s">
        <v>46</v>
      </c>
      <c r="CT458" t="s">
        <v>544</v>
      </c>
      <c r="CU458">
        <v>1160</v>
      </c>
    </row>
    <row r="459" spans="95:99">
      <c r="CQ459" t="s">
        <v>40</v>
      </c>
      <c r="CR459" t="s">
        <v>528</v>
      </c>
      <c r="CS459" t="s">
        <v>46</v>
      </c>
      <c r="CT459" t="s">
        <v>545</v>
      </c>
      <c r="CU459">
        <v>2941</v>
      </c>
    </row>
    <row r="460" spans="95:99">
      <c r="CQ460" t="s">
        <v>40</v>
      </c>
      <c r="CR460" t="s">
        <v>528</v>
      </c>
      <c r="CS460" t="s">
        <v>46</v>
      </c>
      <c r="CT460" t="s">
        <v>546</v>
      </c>
      <c r="CU460">
        <v>341</v>
      </c>
    </row>
    <row r="461" spans="95:99">
      <c r="CQ461" t="s">
        <v>40</v>
      </c>
      <c r="CR461" t="s">
        <v>528</v>
      </c>
      <c r="CS461" t="s">
        <v>46</v>
      </c>
      <c r="CT461" t="s">
        <v>532</v>
      </c>
      <c r="CU461">
        <v>356</v>
      </c>
    </row>
    <row r="462" spans="95:99">
      <c r="CQ462" t="s">
        <v>40</v>
      </c>
      <c r="CR462" t="s">
        <v>528</v>
      </c>
      <c r="CS462" t="s">
        <v>44</v>
      </c>
    </row>
    <row r="463" spans="95:99">
      <c r="CQ463" t="s">
        <v>40</v>
      </c>
      <c r="CR463" t="s">
        <v>528</v>
      </c>
      <c r="CS463" t="s">
        <v>44</v>
      </c>
      <c r="CT463" t="s">
        <v>521</v>
      </c>
      <c r="CU463">
        <v>49522</v>
      </c>
    </row>
    <row r="464" spans="95:99">
      <c r="CQ464" t="s">
        <v>40</v>
      </c>
      <c r="CR464" t="s">
        <v>528</v>
      </c>
      <c r="CS464" t="s">
        <v>44</v>
      </c>
      <c r="CT464" t="s">
        <v>540</v>
      </c>
      <c r="CU464">
        <v>361</v>
      </c>
    </row>
    <row r="465" spans="95:99">
      <c r="CQ465" t="s">
        <v>40</v>
      </c>
      <c r="CR465" t="s">
        <v>528</v>
      </c>
      <c r="CS465" t="s">
        <v>44</v>
      </c>
      <c r="CT465" t="s">
        <v>541</v>
      </c>
      <c r="CU465">
        <v>18320</v>
      </c>
    </row>
    <row r="466" spans="95:99">
      <c r="CQ466" t="s">
        <v>40</v>
      </c>
      <c r="CR466" t="s">
        <v>528</v>
      </c>
      <c r="CS466" t="s">
        <v>44</v>
      </c>
      <c r="CT466" t="s">
        <v>542</v>
      </c>
      <c r="CU466">
        <v>22832</v>
      </c>
    </row>
    <row r="467" spans="95:99">
      <c r="CQ467" t="s">
        <v>40</v>
      </c>
      <c r="CR467" t="s">
        <v>528</v>
      </c>
      <c r="CS467" t="s">
        <v>44</v>
      </c>
      <c r="CT467" t="s">
        <v>137</v>
      </c>
      <c r="CU467">
        <v>1566</v>
      </c>
    </row>
    <row r="468" spans="95:99">
      <c r="CQ468" t="s">
        <v>40</v>
      </c>
      <c r="CR468" t="s">
        <v>528</v>
      </c>
      <c r="CS468" t="s">
        <v>44</v>
      </c>
      <c r="CT468" t="s">
        <v>554</v>
      </c>
      <c r="CU468">
        <v>3709</v>
      </c>
    </row>
    <row r="469" spans="95:99">
      <c r="CQ469" t="s">
        <v>40</v>
      </c>
      <c r="CR469" t="s">
        <v>528</v>
      </c>
      <c r="CS469" t="s">
        <v>44</v>
      </c>
      <c r="CT469" t="s">
        <v>543</v>
      </c>
      <c r="CU469">
        <v>1719</v>
      </c>
    </row>
    <row r="470" spans="95:99">
      <c r="CQ470" t="s">
        <v>40</v>
      </c>
      <c r="CR470" t="s">
        <v>528</v>
      </c>
      <c r="CS470" t="s">
        <v>44</v>
      </c>
      <c r="CT470" t="s">
        <v>544</v>
      </c>
      <c r="CU470">
        <v>159</v>
      </c>
    </row>
    <row r="471" spans="95:99">
      <c r="CQ471" t="s">
        <v>40</v>
      </c>
      <c r="CR471" t="s">
        <v>528</v>
      </c>
      <c r="CS471" t="s">
        <v>44</v>
      </c>
      <c r="CT471" t="s">
        <v>545</v>
      </c>
      <c r="CU471">
        <v>532</v>
      </c>
    </row>
    <row r="472" spans="95:99">
      <c r="CQ472" t="s">
        <v>40</v>
      </c>
      <c r="CR472" t="s">
        <v>528</v>
      </c>
      <c r="CS472" t="s">
        <v>44</v>
      </c>
      <c r="CT472" t="s">
        <v>546</v>
      </c>
      <c r="CU472">
        <v>141</v>
      </c>
    </row>
    <row r="473" spans="95:99">
      <c r="CQ473" t="s">
        <v>40</v>
      </c>
      <c r="CR473" t="s">
        <v>528</v>
      </c>
      <c r="CS473" t="s">
        <v>44</v>
      </c>
      <c r="CT473" t="s">
        <v>532</v>
      </c>
      <c r="CU473">
        <v>183</v>
      </c>
    </row>
    <row r="474" spans="95:99">
      <c r="CQ474" t="s">
        <v>40</v>
      </c>
      <c r="CR474" t="s">
        <v>528</v>
      </c>
      <c r="CS474" t="s">
        <v>44</v>
      </c>
    </row>
    <row r="475" spans="95:99">
      <c r="CQ475" t="s">
        <v>40</v>
      </c>
      <c r="CR475" t="s">
        <v>528</v>
      </c>
      <c r="CS475" t="s">
        <v>44</v>
      </c>
      <c r="CT475" t="s">
        <v>521</v>
      </c>
      <c r="CU475">
        <v>23557</v>
      </c>
    </row>
    <row r="476" spans="95:99">
      <c r="CQ476" t="s">
        <v>40</v>
      </c>
      <c r="CR476" t="s">
        <v>528</v>
      </c>
      <c r="CS476" t="s">
        <v>44</v>
      </c>
      <c r="CT476" t="s">
        <v>540</v>
      </c>
      <c r="CU476">
        <v>401</v>
      </c>
    </row>
    <row r="477" spans="95:99">
      <c r="CQ477" t="s">
        <v>40</v>
      </c>
      <c r="CR477" t="s">
        <v>528</v>
      </c>
      <c r="CS477" t="s">
        <v>44</v>
      </c>
      <c r="CT477" t="s">
        <v>541</v>
      </c>
      <c r="CU477">
        <v>5065</v>
      </c>
    </row>
    <row r="478" spans="95:99">
      <c r="CQ478" t="s">
        <v>40</v>
      </c>
      <c r="CR478" t="s">
        <v>528</v>
      </c>
      <c r="CS478" t="s">
        <v>44</v>
      </c>
      <c r="CT478" t="s">
        <v>542</v>
      </c>
      <c r="CU478">
        <v>12785</v>
      </c>
    </row>
    <row r="479" spans="95:99">
      <c r="CQ479" t="s">
        <v>40</v>
      </c>
      <c r="CR479" t="s">
        <v>528</v>
      </c>
      <c r="CS479" t="s">
        <v>44</v>
      </c>
      <c r="CT479" t="s">
        <v>137</v>
      </c>
      <c r="CU479">
        <v>1810</v>
      </c>
    </row>
    <row r="480" spans="95:99">
      <c r="CQ480" t="s">
        <v>40</v>
      </c>
      <c r="CR480" t="s">
        <v>528</v>
      </c>
      <c r="CS480" t="s">
        <v>44</v>
      </c>
      <c r="CT480" t="s">
        <v>554</v>
      </c>
      <c r="CU480">
        <v>2451</v>
      </c>
    </row>
    <row r="481" spans="95:99">
      <c r="CQ481" t="s">
        <v>40</v>
      </c>
      <c r="CR481" t="s">
        <v>528</v>
      </c>
      <c r="CS481" t="s">
        <v>44</v>
      </c>
      <c r="CT481" t="s">
        <v>543</v>
      </c>
      <c r="CU481">
        <v>635</v>
      </c>
    </row>
    <row r="482" spans="95:99">
      <c r="CQ482" t="s">
        <v>40</v>
      </c>
      <c r="CR482" t="s">
        <v>528</v>
      </c>
      <c r="CS482" t="s">
        <v>44</v>
      </c>
      <c r="CT482" t="s">
        <v>544</v>
      </c>
      <c r="CU482">
        <v>37</v>
      </c>
    </row>
    <row r="483" spans="95:99">
      <c r="CQ483" t="s">
        <v>40</v>
      </c>
      <c r="CR483" t="s">
        <v>528</v>
      </c>
      <c r="CS483" t="s">
        <v>44</v>
      </c>
      <c r="CT483" t="s">
        <v>545</v>
      </c>
      <c r="CU483">
        <v>214</v>
      </c>
    </row>
    <row r="484" spans="95:99">
      <c r="CQ484" t="s">
        <v>40</v>
      </c>
      <c r="CR484" t="s">
        <v>528</v>
      </c>
      <c r="CS484" t="s">
        <v>44</v>
      </c>
      <c r="CT484" t="s">
        <v>546</v>
      </c>
      <c r="CU484">
        <v>52</v>
      </c>
    </row>
    <row r="485" spans="95:99">
      <c r="CQ485" t="s">
        <v>40</v>
      </c>
      <c r="CR485" t="s">
        <v>528</v>
      </c>
      <c r="CS485" t="s">
        <v>44</v>
      </c>
      <c r="CT485" t="s">
        <v>532</v>
      </c>
      <c r="CU485">
        <v>107</v>
      </c>
    </row>
    <row r="486" spans="95:99">
      <c r="CQ486" t="s">
        <v>40</v>
      </c>
      <c r="CR486" t="s">
        <v>528</v>
      </c>
      <c r="CS486" t="s">
        <v>297</v>
      </c>
    </row>
    <row r="487" spans="95:99">
      <c r="CQ487" t="s">
        <v>40</v>
      </c>
      <c r="CR487" t="s">
        <v>528</v>
      </c>
      <c r="CS487" t="s">
        <v>297</v>
      </c>
      <c r="CT487" t="s">
        <v>521</v>
      </c>
      <c r="CU487">
        <v>9310</v>
      </c>
    </row>
    <row r="488" spans="95:99">
      <c r="CQ488" t="s">
        <v>40</v>
      </c>
      <c r="CR488" t="s">
        <v>528</v>
      </c>
      <c r="CS488" t="s">
        <v>297</v>
      </c>
      <c r="CT488" t="s">
        <v>540</v>
      </c>
      <c r="CU488">
        <v>301</v>
      </c>
    </row>
    <row r="489" spans="95:99">
      <c r="CQ489" t="s">
        <v>40</v>
      </c>
      <c r="CR489" t="s">
        <v>528</v>
      </c>
      <c r="CS489" t="s">
        <v>297</v>
      </c>
      <c r="CT489" t="s">
        <v>541</v>
      </c>
      <c r="CU489">
        <v>390</v>
      </c>
    </row>
    <row r="490" spans="95:99">
      <c r="CQ490" t="s">
        <v>40</v>
      </c>
      <c r="CR490" t="s">
        <v>528</v>
      </c>
      <c r="CS490" t="s">
        <v>297</v>
      </c>
      <c r="CT490" t="s">
        <v>542</v>
      </c>
      <c r="CU490">
        <v>2691</v>
      </c>
    </row>
    <row r="491" spans="95:99">
      <c r="CQ491" t="s">
        <v>40</v>
      </c>
      <c r="CR491" t="s">
        <v>528</v>
      </c>
      <c r="CS491" t="s">
        <v>297</v>
      </c>
      <c r="CT491" t="s">
        <v>137</v>
      </c>
      <c r="CU491">
        <v>5486</v>
      </c>
    </row>
    <row r="492" spans="95:99">
      <c r="CQ492" t="s">
        <v>40</v>
      </c>
      <c r="CR492" t="s">
        <v>528</v>
      </c>
      <c r="CS492" t="s">
        <v>297</v>
      </c>
      <c r="CT492" t="s">
        <v>554</v>
      </c>
      <c r="CU492">
        <v>166</v>
      </c>
    </row>
    <row r="493" spans="95:99">
      <c r="CQ493" t="s">
        <v>40</v>
      </c>
      <c r="CR493" t="s">
        <v>528</v>
      </c>
      <c r="CS493" t="s">
        <v>297</v>
      </c>
      <c r="CT493" t="s">
        <v>543</v>
      </c>
      <c r="CU493">
        <v>61</v>
      </c>
    </row>
    <row r="494" spans="95:99">
      <c r="CQ494" t="s">
        <v>40</v>
      </c>
      <c r="CR494" t="s">
        <v>528</v>
      </c>
      <c r="CS494" t="s">
        <v>297</v>
      </c>
      <c r="CT494" t="s">
        <v>544</v>
      </c>
      <c r="CU494">
        <v>48</v>
      </c>
    </row>
    <row r="495" spans="95:99">
      <c r="CQ495" t="s">
        <v>40</v>
      </c>
      <c r="CR495" t="s">
        <v>528</v>
      </c>
      <c r="CS495" t="s">
        <v>297</v>
      </c>
      <c r="CT495" t="s">
        <v>545</v>
      </c>
      <c r="CU495">
        <v>32</v>
      </c>
    </row>
    <row r="496" spans="95:99">
      <c r="CQ496" t="s">
        <v>40</v>
      </c>
      <c r="CR496" t="s">
        <v>528</v>
      </c>
      <c r="CS496" t="s">
        <v>297</v>
      </c>
      <c r="CT496" t="s">
        <v>546</v>
      </c>
      <c r="CU496">
        <v>67</v>
      </c>
    </row>
    <row r="497" spans="95:99">
      <c r="CQ497" t="s">
        <v>40</v>
      </c>
      <c r="CR497" t="s">
        <v>528</v>
      </c>
      <c r="CS497" t="s">
        <v>297</v>
      </c>
      <c r="CT497" t="s">
        <v>532</v>
      </c>
      <c r="CU497">
        <v>68</v>
      </c>
    </row>
    <row r="498" spans="95:99">
      <c r="CQ498" t="s">
        <v>40</v>
      </c>
      <c r="CR498" t="s">
        <v>528</v>
      </c>
      <c r="CS498" t="s">
        <v>297</v>
      </c>
    </row>
    <row r="499" spans="95:99">
      <c r="CQ499" t="s">
        <v>40</v>
      </c>
      <c r="CR499" t="s">
        <v>528</v>
      </c>
      <c r="CS499" t="s">
        <v>297</v>
      </c>
      <c r="CT499" t="s">
        <v>521</v>
      </c>
      <c r="CU499">
        <v>1175</v>
      </c>
    </row>
    <row r="500" spans="95:99">
      <c r="CQ500" t="s">
        <v>40</v>
      </c>
      <c r="CR500" t="s">
        <v>528</v>
      </c>
      <c r="CS500" t="s">
        <v>297</v>
      </c>
      <c r="CT500" t="s">
        <v>540</v>
      </c>
      <c r="CU500">
        <v>57</v>
      </c>
    </row>
    <row r="501" spans="95:99">
      <c r="CQ501" t="s">
        <v>40</v>
      </c>
      <c r="CR501" t="s">
        <v>528</v>
      </c>
      <c r="CS501" t="s">
        <v>297</v>
      </c>
      <c r="CT501" t="s">
        <v>541</v>
      </c>
      <c r="CU501">
        <v>282</v>
      </c>
    </row>
    <row r="502" spans="95:99">
      <c r="CQ502" t="s">
        <v>40</v>
      </c>
      <c r="CR502" t="s">
        <v>528</v>
      </c>
      <c r="CS502" t="s">
        <v>297</v>
      </c>
      <c r="CT502" t="s">
        <v>542</v>
      </c>
      <c r="CU502">
        <v>235</v>
      </c>
    </row>
    <row r="503" spans="95:99">
      <c r="CQ503" t="s">
        <v>40</v>
      </c>
      <c r="CR503" t="s">
        <v>528</v>
      </c>
      <c r="CS503" t="s">
        <v>297</v>
      </c>
      <c r="CT503" t="s">
        <v>137</v>
      </c>
      <c r="CU503">
        <v>498</v>
      </c>
    </row>
    <row r="504" spans="95:99">
      <c r="CQ504" t="s">
        <v>40</v>
      </c>
      <c r="CR504" t="s">
        <v>528</v>
      </c>
      <c r="CS504" t="s">
        <v>297</v>
      </c>
      <c r="CT504" t="s">
        <v>554</v>
      </c>
      <c r="CU504">
        <v>45</v>
      </c>
    </row>
    <row r="505" spans="95:99">
      <c r="CQ505" t="s">
        <v>40</v>
      </c>
      <c r="CR505" t="s">
        <v>528</v>
      </c>
      <c r="CS505" t="s">
        <v>297</v>
      </c>
      <c r="CT505" t="s">
        <v>543</v>
      </c>
      <c r="CU505">
        <v>21</v>
      </c>
    </row>
    <row r="506" spans="95:99">
      <c r="CQ506" t="s">
        <v>40</v>
      </c>
      <c r="CR506" t="s">
        <v>528</v>
      </c>
      <c r="CS506" t="s">
        <v>297</v>
      </c>
      <c r="CT506" t="s">
        <v>544</v>
      </c>
      <c r="CU506">
        <v>8</v>
      </c>
    </row>
    <row r="507" spans="95:99">
      <c r="CQ507" t="s">
        <v>40</v>
      </c>
      <c r="CR507" t="s">
        <v>528</v>
      </c>
      <c r="CS507" t="s">
        <v>297</v>
      </c>
      <c r="CT507" t="s">
        <v>545</v>
      </c>
      <c r="CU507">
        <v>11</v>
      </c>
    </row>
    <row r="508" spans="95:99">
      <c r="CQ508" t="s">
        <v>40</v>
      </c>
      <c r="CR508" t="s">
        <v>528</v>
      </c>
      <c r="CS508" t="s">
        <v>297</v>
      </c>
      <c r="CT508" t="s">
        <v>546</v>
      </c>
      <c r="CU508">
        <v>10</v>
      </c>
    </row>
    <row r="509" spans="95:99">
      <c r="CQ509" t="s">
        <v>40</v>
      </c>
      <c r="CR509" t="s">
        <v>528</v>
      </c>
      <c r="CS509" t="s">
        <v>297</v>
      </c>
      <c r="CT509" t="s">
        <v>532</v>
      </c>
      <c r="CU509">
        <v>8</v>
      </c>
    </row>
    <row r="510" spans="95:99">
      <c r="CQ510" t="s">
        <v>40</v>
      </c>
      <c r="CR510" t="s">
        <v>528</v>
      </c>
      <c r="CS510" t="s">
        <v>532</v>
      </c>
    </row>
    <row r="511" spans="95:99">
      <c r="CQ511" t="s">
        <v>40</v>
      </c>
      <c r="CR511" t="s">
        <v>528</v>
      </c>
      <c r="CS511" t="s">
        <v>532</v>
      </c>
      <c r="CT511" t="s">
        <v>521</v>
      </c>
      <c r="CU511">
        <v>989</v>
      </c>
    </row>
    <row r="512" spans="95:99">
      <c r="CQ512" t="s">
        <v>40</v>
      </c>
      <c r="CR512" t="s">
        <v>528</v>
      </c>
      <c r="CS512" t="s">
        <v>532</v>
      </c>
      <c r="CT512" t="s">
        <v>540</v>
      </c>
      <c r="CU512">
        <v>11</v>
      </c>
    </row>
    <row r="513" spans="95:99">
      <c r="CQ513" t="s">
        <v>40</v>
      </c>
      <c r="CR513" t="s">
        <v>528</v>
      </c>
      <c r="CS513" t="s">
        <v>532</v>
      </c>
      <c r="CT513" t="s">
        <v>541</v>
      </c>
      <c r="CU513">
        <v>327</v>
      </c>
    </row>
    <row r="514" spans="95:99">
      <c r="CQ514" t="s">
        <v>40</v>
      </c>
      <c r="CR514" t="s">
        <v>528</v>
      </c>
      <c r="CS514" t="s">
        <v>532</v>
      </c>
      <c r="CT514" t="s">
        <v>542</v>
      </c>
      <c r="CU514">
        <v>276</v>
      </c>
    </row>
    <row r="515" spans="95:99">
      <c r="CQ515" t="s">
        <v>40</v>
      </c>
      <c r="CR515" t="s">
        <v>528</v>
      </c>
      <c r="CS515" t="s">
        <v>532</v>
      </c>
      <c r="CT515" t="s">
        <v>137</v>
      </c>
      <c r="CU515">
        <v>69</v>
      </c>
    </row>
    <row r="516" spans="95:99">
      <c r="CQ516" t="s">
        <v>40</v>
      </c>
      <c r="CR516" t="s">
        <v>528</v>
      </c>
      <c r="CS516" t="s">
        <v>532</v>
      </c>
      <c r="CT516" t="s">
        <v>554</v>
      </c>
      <c r="CU516">
        <v>139</v>
      </c>
    </row>
    <row r="517" spans="95:99">
      <c r="CQ517" t="s">
        <v>40</v>
      </c>
      <c r="CR517" t="s">
        <v>528</v>
      </c>
      <c r="CS517" t="s">
        <v>532</v>
      </c>
      <c r="CT517" t="s">
        <v>543</v>
      </c>
      <c r="CU517">
        <v>110</v>
      </c>
    </row>
    <row r="518" spans="95:99">
      <c r="CQ518" t="s">
        <v>40</v>
      </c>
      <c r="CR518" t="s">
        <v>528</v>
      </c>
      <c r="CS518" t="s">
        <v>532</v>
      </c>
      <c r="CT518" t="s">
        <v>544</v>
      </c>
      <c r="CU518">
        <v>2</v>
      </c>
    </row>
    <row r="519" spans="95:99">
      <c r="CQ519" t="s">
        <v>40</v>
      </c>
      <c r="CR519" t="s">
        <v>528</v>
      </c>
      <c r="CS519" t="s">
        <v>532</v>
      </c>
      <c r="CT519" t="s">
        <v>545</v>
      </c>
      <c r="CU519">
        <v>18</v>
      </c>
    </row>
    <row r="520" spans="95:99">
      <c r="CQ520" t="s">
        <v>40</v>
      </c>
      <c r="CR520" t="s">
        <v>528</v>
      </c>
      <c r="CS520" t="s">
        <v>532</v>
      </c>
      <c r="CT520" t="s">
        <v>546</v>
      </c>
      <c r="CU520">
        <v>6</v>
      </c>
    </row>
    <row r="521" spans="95:99">
      <c r="CQ521" t="s">
        <v>40</v>
      </c>
      <c r="CR521" t="s">
        <v>528</v>
      </c>
      <c r="CS521" t="s">
        <v>532</v>
      </c>
      <c r="CT521" t="s">
        <v>532</v>
      </c>
      <c r="CU521">
        <v>31</v>
      </c>
    </row>
    <row r="522" spans="95:99">
      <c r="CQ522" t="s">
        <v>40</v>
      </c>
      <c r="CR522" t="s">
        <v>529</v>
      </c>
    </row>
    <row r="523" spans="95:99">
      <c r="CQ523" t="s">
        <v>40</v>
      </c>
      <c r="CR523" t="s">
        <v>529</v>
      </c>
      <c r="CS523" t="s">
        <v>521</v>
      </c>
    </row>
    <row r="524" spans="95:99">
      <c r="CQ524" t="s">
        <v>40</v>
      </c>
      <c r="CR524" t="s">
        <v>529</v>
      </c>
      <c r="CS524" t="s">
        <v>40</v>
      </c>
      <c r="CT524" t="s">
        <v>521</v>
      </c>
      <c r="CU524">
        <v>240811</v>
      </c>
    </row>
    <row r="525" spans="95:99">
      <c r="CQ525" t="s">
        <v>40</v>
      </c>
      <c r="CR525" t="s">
        <v>529</v>
      </c>
      <c r="CS525" t="s">
        <v>40</v>
      </c>
      <c r="CT525" t="s">
        <v>540</v>
      </c>
      <c r="CU525">
        <v>1766</v>
      </c>
    </row>
    <row r="526" spans="95:99">
      <c r="CQ526" t="s">
        <v>40</v>
      </c>
      <c r="CR526" t="s">
        <v>529</v>
      </c>
      <c r="CS526" t="s">
        <v>40</v>
      </c>
      <c r="CT526" t="s">
        <v>541</v>
      </c>
      <c r="CU526">
        <v>102250</v>
      </c>
    </row>
    <row r="527" spans="95:99">
      <c r="CQ527" t="s">
        <v>40</v>
      </c>
      <c r="CR527" t="s">
        <v>529</v>
      </c>
      <c r="CS527" t="s">
        <v>40</v>
      </c>
      <c r="CT527" t="s">
        <v>542</v>
      </c>
      <c r="CU527">
        <v>82895</v>
      </c>
    </row>
    <row r="528" spans="95:99">
      <c r="CQ528" t="s">
        <v>40</v>
      </c>
      <c r="CR528" t="s">
        <v>529</v>
      </c>
      <c r="CS528" t="s">
        <v>40</v>
      </c>
      <c r="CT528" t="s">
        <v>137</v>
      </c>
      <c r="CU528">
        <v>25053</v>
      </c>
    </row>
    <row r="529" spans="95:99">
      <c r="CQ529" t="s">
        <v>40</v>
      </c>
      <c r="CR529" t="s">
        <v>529</v>
      </c>
      <c r="CS529" t="s">
        <v>40</v>
      </c>
      <c r="CT529" t="s">
        <v>554</v>
      </c>
      <c r="CU529">
        <v>11120</v>
      </c>
    </row>
    <row r="530" spans="95:99">
      <c r="CQ530" t="s">
        <v>40</v>
      </c>
      <c r="CR530" t="s">
        <v>529</v>
      </c>
      <c r="CS530" t="s">
        <v>40</v>
      </c>
      <c r="CT530" t="s">
        <v>543</v>
      </c>
      <c r="CU530">
        <v>10850</v>
      </c>
    </row>
    <row r="531" spans="95:99">
      <c r="CQ531" t="s">
        <v>40</v>
      </c>
      <c r="CR531" t="s">
        <v>529</v>
      </c>
      <c r="CS531" t="s">
        <v>40</v>
      </c>
      <c r="CT531" t="s">
        <v>544</v>
      </c>
      <c r="CU531">
        <v>1378</v>
      </c>
    </row>
    <row r="532" spans="95:99">
      <c r="CQ532" t="s">
        <v>40</v>
      </c>
      <c r="CR532" t="s">
        <v>529</v>
      </c>
      <c r="CS532" t="s">
        <v>40</v>
      </c>
      <c r="CT532" t="s">
        <v>545</v>
      </c>
      <c r="CU532">
        <v>3613</v>
      </c>
    </row>
    <row r="533" spans="95:99">
      <c r="CQ533" t="s">
        <v>40</v>
      </c>
      <c r="CR533" t="s">
        <v>529</v>
      </c>
      <c r="CS533" t="s">
        <v>40</v>
      </c>
      <c r="CT533" t="s">
        <v>546</v>
      </c>
      <c r="CU533">
        <v>807</v>
      </c>
    </row>
    <row r="534" spans="95:99">
      <c r="CQ534" t="s">
        <v>40</v>
      </c>
      <c r="CR534" t="s">
        <v>529</v>
      </c>
      <c r="CS534" t="s">
        <v>40</v>
      </c>
      <c r="CT534" t="s">
        <v>532</v>
      </c>
      <c r="CU534">
        <v>1079</v>
      </c>
    </row>
    <row r="535" spans="95:99">
      <c r="CQ535" t="s">
        <v>40</v>
      </c>
      <c r="CR535" t="s">
        <v>529</v>
      </c>
      <c r="CS535" t="s">
        <v>46</v>
      </c>
    </row>
    <row r="536" spans="95:99">
      <c r="CQ536" t="s">
        <v>40</v>
      </c>
      <c r="CR536" t="s">
        <v>529</v>
      </c>
      <c r="CS536" t="s">
        <v>46</v>
      </c>
      <c r="CT536" t="s">
        <v>521</v>
      </c>
      <c r="CU536">
        <v>111455</v>
      </c>
    </row>
    <row r="537" spans="95:99">
      <c r="CQ537" t="s">
        <v>40</v>
      </c>
      <c r="CR537" t="s">
        <v>529</v>
      </c>
      <c r="CS537" t="s">
        <v>46</v>
      </c>
      <c r="CT537" t="s">
        <v>540</v>
      </c>
      <c r="CU537">
        <v>445</v>
      </c>
    </row>
    <row r="538" spans="95:99">
      <c r="CQ538" t="s">
        <v>40</v>
      </c>
      <c r="CR538" t="s">
        <v>529</v>
      </c>
      <c r="CS538" t="s">
        <v>46</v>
      </c>
      <c r="CT538" t="s">
        <v>541</v>
      </c>
      <c r="CU538">
        <v>74134</v>
      </c>
    </row>
    <row r="539" spans="95:99">
      <c r="CQ539" t="s">
        <v>40</v>
      </c>
      <c r="CR539" t="s">
        <v>529</v>
      </c>
      <c r="CS539" t="s">
        <v>46</v>
      </c>
      <c r="CT539" t="s">
        <v>542</v>
      </c>
      <c r="CU539">
        <v>17190</v>
      </c>
    </row>
    <row r="540" spans="95:99">
      <c r="CQ540" t="s">
        <v>40</v>
      </c>
      <c r="CR540" t="s">
        <v>529</v>
      </c>
      <c r="CS540" t="s">
        <v>46</v>
      </c>
      <c r="CT540" t="s">
        <v>137</v>
      </c>
      <c r="CU540">
        <v>1747</v>
      </c>
    </row>
    <row r="541" spans="95:99">
      <c r="CQ541" t="s">
        <v>40</v>
      </c>
      <c r="CR541" t="s">
        <v>529</v>
      </c>
      <c r="CS541" t="s">
        <v>46</v>
      </c>
      <c r="CT541" t="s">
        <v>554</v>
      </c>
      <c r="CU541">
        <v>4583</v>
      </c>
    </row>
    <row r="542" spans="95:99">
      <c r="CQ542" t="s">
        <v>40</v>
      </c>
      <c r="CR542" t="s">
        <v>529</v>
      </c>
      <c r="CS542" t="s">
        <v>46</v>
      </c>
      <c r="CT542" t="s">
        <v>543</v>
      </c>
      <c r="CU542">
        <v>8635</v>
      </c>
    </row>
    <row r="543" spans="95:99">
      <c r="CQ543" t="s">
        <v>40</v>
      </c>
      <c r="CR543" t="s">
        <v>529</v>
      </c>
      <c r="CS543" t="s">
        <v>46</v>
      </c>
      <c r="CT543" t="s">
        <v>544</v>
      </c>
      <c r="CU543">
        <v>969</v>
      </c>
    </row>
    <row r="544" spans="95:99">
      <c r="CQ544" t="s">
        <v>40</v>
      </c>
      <c r="CR544" t="s">
        <v>529</v>
      </c>
      <c r="CS544" t="s">
        <v>46</v>
      </c>
      <c r="CT544" t="s">
        <v>545</v>
      </c>
      <c r="CU544">
        <v>2895</v>
      </c>
    </row>
    <row r="545" spans="95:99">
      <c r="CQ545" t="s">
        <v>40</v>
      </c>
      <c r="CR545" t="s">
        <v>529</v>
      </c>
      <c r="CS545" t="s">
        <v>46</v>
      </c>
      <c r="CT545" t="s">
        <v>546</v>
      </c>
      <c r="CU545">
        <v>428</v>
      </c>
    </row>
    <row r="546" spans="95:99">
      <c r="CQ546" t="s">
        <v>40</v>
      </c>
      <c r="CR546" t="s">
        <v>529</v>
      </c>
      <c r="CS546" t="s">
        <v>46</v>
      </c>
      <c r="CT546" t="s">
        <v>532</v>
      </c>
      <c r="CU546">
        <v>429</v>
      </c>
    </row>
    <row r="547" spans="95:99">
      <c r="CQ547" t="s">
        <v>40</v>
      </c>
      <c r="CR547" t="s">
        <v>529</v>
      </c>
      <c r="CS547" t="s">
        <v>44</v>
      </c>
    </row>
    <row r="548" spans="95:99">
      <c r="CQ548" t="s">
        <v>40</v>
      </c>
      <c r="CR548" t="s">
        <v>529</v>
      </c>
      <c r="CS548" t="s">
        <v>44</v>
      </c>
      <c r="CT548" t="s">
        <v>521</v>
      </c>
      <c r="CU548">
        <v>80437</v>
      </c>
    </row>
    <row r="549" spans="95:99">
      <c r="CQ549" t="s">
        <v>40</v>
      </c>
      <c r="CR549" t="s">
        <v>529</v>
      </c>
      <c r="CS549" t="s">
        <v>44</v>
      </c>
      <c r="CT549" t="s">
        <v>540</v>
      </c>
      <c r="CU549">
        <v>339</v>
      </c>
    </row>
    <row r="550" spans="95:99">
      <c r="CQ550" t="s">
        <v>40</v>
      </c>
      <c r="CR550" t="s">
        <v>529</v>
      </c>
      <c r="CS550" t="s">
        <v>44</v>
      </c>
      <c r="CT550" t="s">
        <v>541</v>
      </c>
      <c r="CU550">
        <v>23596</v>
      </c>
    </row>
    <row r="551" spans="95:99">
      <c r="CQ551" t="s">
        <v>40</v>
      </c>
      <c r="CR551" t="s">
        <v>529</v>
      </c>
      <c r="CS551" t="s">
        <v>44</v>
      </c>
      <c r="CT551" t="s">
        <v>542</v>
      </c>
      <c r="CU551">
        <v>46106</v>
      </c>
    </row>
    <row r="552" spans="95:99">
      <c r="CQ552" t="s">
        <v>40</v>
      </c>
      <c r="CR552" t="s">
        <v>529</v>
      </c>
      <c r="CS552" t="s">
        <v>44</v>
      </c>
      <c r="CT552" t="s">
        <v>137</v>
      </c>
      <c r="CU552">
        <v>2841</v>
      </c>
    </row>
    <row r="553" spans="95:99">
      <c r="CQ553" t="s">
        <v>40</v>
      </c>
      <c r="CR553" t="s">
        <v>529</v>
      </c>
      <c r="CS553" t="s">
        <v>44</v>
      </c>
      <c r="CT553" t="s">
        <v>554</v>
      </c>
      <c r="CU553">
        <v>4671</v>
      </c>
    </row>
    <row r="554" spans="95:99">
      <c r="CQ554" t="s">
        <v>40</v>
      </c>
      <c r="CR554" t="s">
        <v>529</v>
      </c>
      <c r="CS554" t="s">
        <v>44</v>
      </c>
      <c r="CT554" t="s">
        <v>543</v>
      </c>
      <c r="CU554">
        <v>1692</v>
      </c>
    </row>
    <row r="555" spans="95:99">
      <c r="CQ555" t="s">
        <v>40</v>
      </c>
      <c r="CR555" t="s">
        <v>529</v>
      </c>
      <c r="CS555" t="s">
        <v>44</v>
      </c>
      <c r="CT555" t="s">
        <v>544</v>
      </c>
      <c r="CU555">
        <v>237</v>
      </c>
    </row>
    <row r="556" spans="95:99">
      <c r="CQ556" t="s">
        <v>40</v>
      </c>
      <c r="CR556" t="s">
        <v>529</v>
      </c>
      <c r="CS556" t="s">
        <v>44</v>
      </c>
      <c r="CT556" t="s">
        <v>545</v>
      </c>
      <c r="CU556">
        <v>506</v>
      </c>
    </row>
    <row r="557" spans="95:99">
      <c r="CQ557" t="s">
        <v>40</v>
      </c>
      <c r="CR557" t="s">
        <v>529</v>
      </c>
      <c r="CS557" t="s">
        <v>44</v>
      </c>
      <c r="CT557" t="s">
        <v>546</v>
      </c>
      <c r="CU557">
        <v>150</v>
      </c>
    </row>
    <row r="558" spans="95:99">
      <c r="CQ558" t="s">
        <v>40</v>
      </c>
      <c r="CR558" t="s">
        <v>529</v>
      </c>
      <c r="CS558" t="s">
        <v>44</v>
      </c>
      <c r="CT558" t="s">
        <v>532</v>
      </c>
      <c r="CU558">
        <v>299</v>
      </c>
    </row>
    <row r="559" spans="95:99">
      <c r="CQ559" t="s">
        <v>40</v>
      </c>
      <c r="CR559" t="s">
        <v>529</v>
      </c>
      <c r="CS559" t="s">
        <v>44</v>
      </c>
    </row>
    <row r="560" spans="95:99">
      <c r="CQ560" t="s">
        <v>40</v>
      </c>
      <c r="CR560" t="s">
        <v>529</v>
      </c>
      <c r="CS560" t="s">
        <v>44</v>
      </c>
      <c r="CT560" t="s">
        <v>521</v>
      </c>
      <c r="CU560">
        <v>19161</v>
      </c>
    </row>
    <row r="561" spans="95:99">
      <c r="CQ561" t="s">
        <v>40</v>
      </c>
      <c r="CR561" t="s">
        <v>529</v>
      </c>
      <c r="CS561" t="s">
        <v>44</v>
      </c>
      <c r="CT561" t="s">
        <v>540</v>
      </c>
      <c r="CU561">
        <v>216</v>
      </c>
    </row>
    <row r="562" spans="95:99">
      <c r="CQ562" t="s">
        <v>40</v>
      </c>
      <c r="CR562" t="s">
        <v>529</v>
      </c>
      <c r="CS562" t="s">
        <v>44</v>
      </c>
      <c r="CT562" t="s">
        <v>541</v>
      </c>
      <c r="CU562">
        <v>3064</v>
      </c>
    </row>
    <row r="563" spans="95:99">
      <c r="CQ563" t="s">
        <v>40</v>
      </c>
      <c r="CR563" t="s">
        <v>529</v>
      </c>
      <c r="CS563" t="s">
        <v>44</v>
      </c>
      <c r="CT563" t="s">
        <v>542</v>
      </c>
      <c r="CU563">
        <v>11328</v>
      </c>
    </row>
    <row r="564" spans="95:99">
      <c r="CQ564" t="s">
        <v>40</v>
      </c>
      <c r="CR564" t="s">
        <v>529</v>
      </c>
      <c r="CS564" t="s">
        <v>44</v>
      </c>
      <c r="CT564" t="s">
        <v>137</v>
      </c>
      <c r="CU564">
        <v>2378</v>
      </c>
    </row>
    <row r="565" spans="95:99">
      <c r="CQ565" t="s">
        <v>40</v>
      </c>
      <c r="CR565" t="s">
        <v>529</v>
      </c>
      <c r="CS565" t="s">
        <v>44</v>
      </c>
      <c r="CT565" t="s">
        <v>554</v>
      </c>
      <c r="CU565">
        <v>1462</v>
      </c>
    </row>
    <row r="566" spans="95:99">
      <c r="CQ566" t="s">
        <v>40</v>
      </c>
      <c r="CR566" t="s">
        <v>529</v>
      </c>
      <c r="CS566" t="s">
        <v>44</v>
      </c>
      <c r="CT566" t="s">
        <v>543</v>
      </c>
      <c r="CU566">
        <v>374</v>
      </c>
    </row>
    <row r="567" spans="95:99">
      <c r="CQ567" t="s">
        <v>40</v>
      </c>
      <c r="CR567" t="s">
        <v>529</v>
      </c>
      <c r="CS567" t="s">
        <v>44</v>
      </c>
      <c r="CT567" t="s">
        <v>544</v>
      </c>
      <c r="CU567">
        <v>68</v>
      </c>
    </row>
    <row r="568" spans="95:99">
      <c r="CQ568" t="s">
        <v>40</v>
      </c>
      <c r="CR568" t="s">
        <v>529</v>
      </c>
      <c r="CS568" t="s">
        <v>44</v>
      </c>
      <c r="CT568" t="s">
        <v>545</v>
      </c>
      <c r="CU568">
        <v>139</v>
      </c>
    </row>
    <row r="569" spans="95:99">
      <c r="CQ569" t="s">
        <v>40</v>
      </c>
      <c r="CR569" t="s">
        <v>529</v>
      </c>
      <c r="CS569" t="s">
        <v>44</v>
      </c>
      <c r="CT569" t="s">
        <v>546</v>
      </c>
      <c r="CU569">
        <v>55</v>
      </c>
    </row>
    <row r="570" spans="95:99">
      <c r="CQ570" t="s">
        <v>40</v>
      </c>
      <c r="CR570" t="s">
        <v>529</v>
      </c>
      <c r="CS570" t="s">
        <v>44</v>
      </c>
      <c r="CT570" t="s">
        <v>532</v>
      </c>
      <c r="CU570">
        <v>77</v>
      </c>
    </row>
    <row r="571" spans="95:99">
      <c r="CQ571" t="s">
        <v>40</v>
      </c>
      <c r="CR571" t="s">
        <v>529</v>
      </c>
      <c r="CS571" t="s">
        <v>297</v>
      </c>
    </row>
    <row r="572" spans="95:99">
      <c r="CQ572" t="s">
        <v>40</v>
      </c>
      <c r="CR572" t="s">
        <v>529</v>
      </c>
      <c r="CS572" t="s">
        <v>297</v>
      </c>
      <c r="CT572" t="s">
        <v>521</v>
      </c>
      <c r="CU572">
        <v>27108</v>
      </c>
    </row>
    <row r="573" spans="95:99">
      <c r="CQ573" t="s">
        <v>40</v>
      </c>
      <c r="CR573" t="s">
        <v>529</v>
      </c>
      <c r="CS573" t="s">
        <v>297</v>
      </c>
      <c r="CT573" t="s">
        <v>540</v>
      </c>
      <c r="CU573">
        <v>694</v>
      </c>
    </row>
    <row r="574" spans="95:99">
      <c r="CQ574" t="s">
        <v>40</v>
      </c>
      <c r="CR574" t="s">
        <v>529</v>
      </c>
      <c r="CS574" t="s">
        <v>297</v>
      </c>
      <c r="CT574" t="s">
        <v>541</v>
      </c>
      <c r="CU574">
        <v>753</v>
      </c>
    </row>
    <row r="575" spans="95:99">
      <c r="CQ575" t="s">
        <v>40</v>
      </c>
      <c r="CR575" t="s">
        <v>529</v>
      </c>
      <c r="CS575" t="s">
        <v>297</v>
      </c>
      <c r="CT575" t="s">
        <v>542</v>
      </c>
      <c r="CU575">
        <v>7608</v>
      </c>
    </row>
    <row r="576" spans="95:99">
      <c r="CQ576" t="s">
        <v>40</v>
      </c>
      <c r="CR576" t="s">
        <v>529</v>
      </c>
      <c r="CS576" t="s">
        <v>297</v>
      </c>
      <c r="CT576" t="s">
        <v>137</v>
      </c>
      <c r="CU576">
        <v>17250</v>
      </c>
    </row>
    <row r="577" spans="95:99">
      <c r="CQ577" t="s">
        <v>40</v>
      </c>
      <c r="CR577" t="s">
        <v>529</v>
      </c>
      <c r="CS577" t="s">
        <v>297</v>
      </c>
      <c r="CT577" t="s">
        <v>554</v>
      </c>
      <c r="CU577">
        <v>234</v>
      </c>
    </row>
    <row r="578" spans="95:99">
      <c r="CQ578" t="s">
        <v>40</v>
      </c>
      <c r="CR578" t="s">
        <v>529</v>
      </c>
      <c r="CS578" t="s">
        <v>297</v>
      </c>
      <c r="CT578" t="s">
        <v>543</v>
      </c>
      <c r="CU578">
        <v>56</v>
      </c>
    </row>
    <row r="579" spans="95:99">
      <c r="CQ579" t="s">
        <v>40</v>
      </c>
      <c r="CR579" t="s">
        <v>529</v>
      </c>
      <c r="CS579" t="s">
        <v>297</v>
      </c>
      <c r="CT579" t="s">
        <v>544</v>
      </c>
      <c r="CU579">
        <v>87</v>
      </c>
    </row>
    <row r="580" spans="95:99">
      <c r="CQ580" t="s">
        <v>40</v>
      </c>
      <c r="CR580" t="s">
        <v>529</v>
      </c>
      <c r="CS580" t="s">
        <v>297</v>
      </c>
      <c r="CT580" t="s">
        <v>545</v>
      </c>
      <c r="CU580">
        <v>45</v>
      </c>
    </row>
    <row r="581" spans="95:99">
      <c r="CQ581" t="s">
        <v>40</v>
      </c>
      <c r="CR581" t="s">
        <v>529</v>
      </c>
      <c r="CS581" t="s">
        <v>297</v>
      </c>
      <c r="CT581" t="s">
        <v>546</v>
      </c>
      <c r="CU581">
        <v>161</v>
      </c>
    </row>
    <row r="582" spans="95:99">
      <c r="CQ582" t="s">
        <v>40</v>
      </c>
      <c r="CR582" t="s">
        <v>529</v>
      </c>
      <c r="CS582" t="s">
        <v>297</v>
      </c>
      <c r="CT582" t="s">
        <v>532</v>
      </c>
      <c r="CU582">
        <v>220</v>
      </c>
    </row>
    <row r="583" spans="95:99">
      <c r="CQ583" t="s">
        <v>40</v>
      </c>
      <c r="CR583" t="s">
        <v>529</v>
      </c>
      <c r="CS583" t="s">
        <v>297</v>
      </c>
    </row>
    <row r="584" spans="95:99">
      <c r="CQ584" t="s">
        <v>40</v>
      </c>
      <c r="CR584" t="s">
        <v>529</v>
      </c>
      <c r="CS584" t="s">
        <v>297</v>
      </c>
      <c r="CT584" t="s">
        <v>521</v>
      </c>
      <c r="CU584">
        <v>1672</v>
      </c>
    </row>
    <row r="585" spans="95:99">
      <c r="CQ585" t="s">
        <v>40</v>
      </c>
      <c r="CR585" t="s">
        <v>529</v>
      </c>
      <c r="CS585" t="s">
        <v>297</v>
      </c>
      <c r="CT585" t="s">
        <v>540</v>
      </c>
      <c r="CU585">
        <v>66</v>
      </c>
    </row>
    <row r="586" spans="95:99">
      <c r="CQ586" t="s">
        <v>40</v>
      </c>
      <c r="CR586" t="s">
        <v>529</v>
      </c>
      <c r="CS586" t="s">
        <v>297</v>
      </c>
      <c r="CT586" t="s">
        <v>541</v>
      </c>
      <c r="CU586">
        <v>362</v>
      </c>
    </row>
    <row r="587" spans="95:99">
      <c r="CQ587" t="s">
        <v>40</v>
      </c>
      <c r="CR587" t="s">
        <v>529</v>
      </c>
      <c r="CS587" t="s">
        <v>297</v>
      </c>
      <c r="CT587" t="s">
        <v>542</v>
      </c>
      <c r="CU587">
        <v>354</v>
      </c>
    </row>
    <row r="588" spans="95:99">
      <c r="CQ588" t="s">
        <v>40</v>
      </c>
      <c r="CR588" t="s">
        <v>529</v>
      </c>
      <c r="CS588" t="s">
        <v>297</v>
      </c>
      <c r="CT588" t="s">
        <v>137</v>
      </c>
      <c r="CU588">
        <v>756</v>
      </c>
    </row>
    <row r="589" spans="95:99">
      <c r="CQ589" t="s">
        <v>40</v>
      </c>
      <c r="CR589" t="s">
        <v>529</v>
      </c>
      <c r="CS589" t="s">
        <v>297</v>
      </c>
      <c r="CT589" t="s">
        <v>554</v>
      </c>
      <c r="CU589">
        <v>64</v>
      </c>
    </row>
    <row r="590" spans="95:99">
      <c r="CQ590" t="s">
        <v>40</v>
      </c>
      <c r="CR590" t="s">
        <v>529</v>
      </c>
      <c r="CS590" t="s">
        <v>297</v>
      </c>
      <c r="CT590" t="s">
        <v>543</v>
      </c>
      <c r="CU590">
        <v>21</v>
      </c>
    </row>
    <row r="591" spans="95:99">
      <c r="CQ591" t="s">
        <v>40</v>
      </c>
      <c r="CR591" t="s">
        <v>529</v>
      </c>
      <c r="CS591" t="s">
        <v>297</v>
      </c>
      <c r="CT591" t="s">
        <v>544</v>
      </c>
      <c r="CU591">
        <v>16</v>
      </c>
    </row>
    <row r="592" spans="95:99">
      <c r="CQ592" t="s">
        <v>40</v>
      </c>
      <c r="CR592" t="s">
        <v>529</v>
      </c>
      <c r="CS592" t="s">
        <v>297</v>
      </c>
      <c r="CT592" t="s">
        <v>545</v>
      </c>
      <c r="CU592">
        <v>14</v>
      </c>
    </row>
    <row r="593" spans="95:99">
      <c r="CQ593" t="s">
        <v>40</v>
      </c>
      <c r="CR593" t="s">
        <v>529</v>
      </c>
      <c r="CS593" t="s">
        <v>297</v>
      </c>
      <c r="CT593" t="s">
        <v>546</v>
      </c>
      <c r="CU593">
        <v>7</v>
      </c>
    </row>
    <row r="594" spans="95:99">
      <c r="CQ594" t="s">
        <v>40</v>
      </c>
      <c r="CR594" t="s">
        <v>529</v>
      </c>
      <c r="CS594" t="s">
        <v>297</v>
      </c>
      <c r="CT594" t="s">
        <v>532</v>
      </c>
      <c r="CU594">
        <v>12</v>
      </c>
    </row>
    <row r="595" spans="95:99">
      <c r="CQ595" t="s">
        <v>40</v>
      </c>
      <c r="CR595" t="s">
        <v>529</v>
      </c>
      <c r="CS595" t="s">
        <v>532</v>
      </c>
    </row>
    <row r="596" spans="95:99">
      <c r="CQ596" t="s">
        <v>40</v>
      </c>
      <c r="CR596" t="s">
        <v>529</v>
      </c>
      <c r="CS596" t="s">
        <v>532</v>
      </c>
      <c r="CT596" t="s">
        <v>521</v>
      </c>
      <c r="CU596">
        <v>978</v>
      </c>
    </row>
    <row r="597" spans="95:99">
      <c r="CQ597" t="s">
        <v>40</v>
      </c>
      <c r="CR597" t="s">
        <v>529</v>
      </c>
      <c r="CS597" t="s">
        <v>532</v>
      </c>
      <c r="CT597" t="s">
        <v>540</v>
      </c>
      <c r="CU597">
        <v>6</v>
      </c>
    </row>
    <row r="598" spans="95:99">
      <c r="CQ598" t="s">
        <v>40</v>
      </c>
      <c r="CR598" t="s">
        <v>529</v>
      </c>
      <c r="CS598" t="s">
        <v>532</v>
      </c>
      <c r="CT598" t="s">
        <v>541</v>
      </c>
      <c r="CU598">
        <v>341</v>
      </c>
    </row>
    <row r="599" spans="95:99">
      <c r="CQ599" t="s">
        <v>40</v>
      </c>
      <c r="CR599" t="s">
        <v>529</v>
      </c>
      <c r="CS599" t="s">
        <v>532</v>
      </c>
      <c r="CT599" t="s">
        <v>542</v>
      </c>
      <c r="CU599">
        <v>309</v>
      </c>
    </row>
    <row r="600" spans="95:99">
      <c r="CQ600" t="s">
        <v>40</v>
      </c>
      <c r="CR600" t="s">
        <v>529</v>
      </c>
      <c r="CS600" t="s">
        <v>532</v>
      </c>
      <c r="CT600" t="s">
        <v>137</v>
      </c>
      <c r="CU600">
        <v>81</v>
      </c>
    </row>
    <row r="601" spans="95:99">
      <c r="CQ601" t="s">
        <v>40</v>
      </c>
      <c r="CR601" t="s">
        <v>529</v>
      </c>
      <c r="CS601" t="s">
        <v>532</v>
      </c>
      <c r="CT601" t="s">
        <v>554</v>
      </c>
      <c r="CU601">
        <v>106</v>
      </c>
    </row>
    <row r="602" spans="95:99">
      <c r="CQ602" t="s">
        <v>40</v>
      </c>
      <c r="CR602" t="s">
        <v>529</v>
      </c>
      <c r="CS602" t="s">
        <v>532</v>
      </c>
      <c r="CT602" t="s">
        <v>543</v>
      </c>
      <c r="CU602">
        <v>72</v>
      </c>
    </row>
    <row r="603" spans="95:99">
      <c r="CQ603" t="s">
        <v>40</v>
      </c>
      <c r="CR603" t="s">
        <v>529</v>
      </c>
      <c r="CS603" t="s">
        <v>532</v>
      </c>
      <c r="CT603" t="s">
        <v>544</v>
      </c>
      <c r="CU603">
        <v>1</v>
      </c>
    </row>
    <row r="604" spans="95:99">
      <c r="CQ604" t="s">
        <v>40</v>
      </c>
      <c r="CR604" t="s">
        <v>529</v>
      </c>
      <c r="CS604" t="s">
        <v>532</v>
      </c>
      <c r="CT604" t="s">
        <v>545</v>
      </c>
      <c r="CU604">
        <v>14</v>
      </c>
    </row>
    <row r="605" spans="95:99">
      <c r="CQ605" t="s">
        <v>40</v>
      </c>
      <c r="CR605" t="s">
        <v>529</v>
      </c>
      <c r="CS605" t="s">
        <v>532</v>
      </c>
      <c r="CT605" t="s">
        <v>546</v>
      </c>
      <c r="CU605">
        <v>6</v>
      </c>
    </row>
    <row r="606" spans="95:99">
      <c r="CQ606" t="s">
        <v>40</v>
      </c>
      <c r="CR606" t="s">
        <v>529</v>
      </c>
      <c r="CS606" t="s">
        <v>532</v>
      </c>
      <c r="CT606" t="s">
        <v>532</v>
      </c>
      <c r="CU606">
        <v>42</v>
      </c>
    </row>
    <row r="607" spans="95:99">
      <c r="CQ607" t="s">
        <v>40</v>
      </c>
      <c r="CR607" t="s">
        <v>530</v>
      </c>
    </row>
    <row r="608" spans="95:99">
      <c r="CQ608" t="s">
        <v>40</v>
      </c>
      <c r="CR608" t="s">
        <v>530</v>
      </c>
      <c r="CS608" t="s">
        <v>521</v>
      </c>
    </row>
    <row r="609" spans="95:99">
      <c r="CQ609" t="s">
        <v>40</v>
      </c>
      <c r="CR609" t="s">
        <v>530</v>
      </c>
      <c r="CS609" t="s">
        <v>40</v>
      </c>
      <c r="CT609" t="s">
        <v>521</v>
      </c>
      <c r="CU609">
        <v>431763</v>
      </c>
    </row>
    <row r="610" spans="95:99">
      <c r="CQ610" t="s">
        <v>40</v>
      </c>
      <c r="CR610" t="s">
        <v>530</v>
      </c>
      <c r="CS610" t="s">
        <v>40</v>
      </c>
      <c r="CT610" t="s">
        <v>540</v>
      </c>
      <c r="CU610">
        <v>2385</v>
      </c>
    </row>
    <row r="611" spans="95:99">
      <c r="CQ611" t="s">
        <v>40</v>
      </c>
      <c r="CR611" t="s">
        <v>530</v>
      </c>
      <c r="CS611" t="s">
        <v>40</v>
      </c>
      <c r="CT611" t="s">
        <v>541</v>
      </c>
      <c r="CU611">
        <v>167241</v>
      </c>
    </row>
    <row r="612" spans="95:99">
      <c r="CQ612" t="s">
        <v>40</v>
      </c>
      <c r="CR612" t="s">
        <v>530</v>
      </c>
      <c r="CS612" t="s">
        <v>40</v>
      </c>
      <c r="CT612" t="s">
        <v>542</v>
      </c>
      <c r="CU612">
        <v>167918</v>
      </c>
    </row>
    <row r="613" spans="95:99">
      <c r="CQ613" t="s">
        <v>40</v>
      </c>
      <c r="CR613" t="s">
        <v>530</v>
      </c>
      <c r="CS613" t="s">
        <v>40</v>
      </c>
      <c r="CT613" t="s">
        <v>137</v>
      </c>
      <c r="CU613">
        <v>49581</v>
      </c>
    </row>
    <row r="614" spans="95:99">
      <c r="CQ614" t="s">
        <v>40</v>
      </c>
      <c r="CR614" t="s">
        <v>530</v>
      </c>
      <c r="CS614" t="s">
        <v>40</v>
      </c>
      <c r="CT614" t="s">
        <v>554</v>
      </c>
      <c r="CU614">
        <v>12590</v>
      </c>
    </row>
    <row r="615" spans="95:99">
      <c r="CQ615" t="s">
        <v>40</v>
      </c>
      <c r="CR615" t="s">
        <v>530</v>
      </c>
      <c r="CS615" t="s">
        <v>40</v>
      </c>
      <c r="CT615" t="s">
        <v>543</v>
      </c>
      <c r="CU615">
        <v>14020</v>
      </c>
    </row>
    <row r="616" spans="95:99">
      <c r="CQ616" t="s">
        <v>40</v>
      </c>
      <c r="CR616" t="s">
        <v>530</v>
      </c>
      <c r="CS616" t="s">
        <v>40</v>
      </c>
      <c r="CT616" t="s">
        <v>544</v>
      </c>
      <c r="CU616">
        <v>3543</v>
      </c>
    </row>
    <row r="617" spans="95:99">
      <c r="CQ617" t="s">
        <v>40</v>
      </c>
      <c r="CR617" t="s">
        <v>530</v>
      </c>
      <c r="CS617" t="s">
        <v>40</v>
      </c>
      <c r="CT617" t="s">
        <v>545</v>
      </c>
      <c r="CU617">
        <v>7212</v>
      </c>
    </row>
    <row r="618" spans="95:99">
      <c r="CQ618" t="s">
        <v>40</v>
      </c>
      <c r="CR618" t="s">
        <v>530</v>
      </c>
      <c r="CS618" t="s">
        <v>40</v>
      </c>
      <c r="CT618" t="s">
        <v>546</v>
      </c>
      <c r="CU618">
        <v>5044</v>
      </c>
    </row>
    <row r="619" spans="95:99">
      <c r="CQ619" t="s">
        <v>40</v>
      </c>
      <c r="CR619" t="s">
        <v>530</v>
      </c>
      <c r="CS619" t="s">
        <v>40</v>
      </c>
      <c r="CT619" t="s">
        <v>532</v>
      </c>
      <c r="CU619">
        <v>2229</v>
      </c>
    </row>
    <row r="620" spans="95:99">
      <c r="CQ620" t="s">
        <v>40</v>
      </c>
      <c r="CR620" t="s">
        <v>530</v>
      </c>
      <c r="CS620" t="s">
        <v>46</v>
      </c>
    </row>
    <row r="621" spans="95:99">
      <c r="CQ621" t="s">
        <v>40</v>
      </c>
      <c r="CR621" t="s">
        <v>530</v>
      </c>
      <c r="CS621" t="s">
        <v>46</v>
      </c>
      <c r="CT621" t="s">
        <v>521</v>
      </c>
      <c r="CU621">
        <v>175223</v>
      </c>
    </row>
    <row r="622" spans="95:99">
      <c r="CQ622" t="s">
        <v>40</v>
      </c>
      <c r="CR622" t="s">
        <v>530</v>
      </c>
      <c r="CS622" t="s">
        <v>46</v>
      </c>
      <c r="CT622" t="s">
        <v>540</v>
      </c>
      <c r="CU622">
        <v>644</v>
      </c>
    </row>
    <row r="623" spans="95:99">
      <c r="CQ623" t="s">
        <v>40</v>
      </c>
      <c r="CR623" t="s">
        <v>530</v>
      </c>
      <c r="CS623" t="s">
        <v>46</v>
      </c>
      <c r="CT623" t="s">
        <v>541</v>
      </c>
      <c r="CU623">
        <v>113051</v>
      </c>
    </row>
    <row r="624" spans="95:99">
      <c r="CQ624" t="s">
        <v>40</v>
      </c>
      <c r="CR624" t="s">
        <v>530</v>
      </c>
      <c r="CS624" t="s">
        <v>46</v>
      </c>
      <c r="CT624" t="s">
        <v>542</v>
      </c>
      <c r="CU624">
        <v>26564</v>
      </c>
    </row>
    <row r="625" spans="95:99">
      <c r="CQ625" t="s">
        <v>40</v>
      </c>
      <c r="CR625" t="s">
        <v>530</v>
      </c>
      <c r="CS625" t="s">
        <v>46</v>
      </c>
      <c r="CT625" t="s">
        <v>137</v>
      </c>
      <c r="CU625">
        <v>6208</v>
      </c>
    </row>
    <row r="626" spans="95:99">
      <c r="CQ626" t="s">
        <v>40</v>
      </c>
      <c r="CR626" t="s">
        <v>530</v>
      </c>
      <c r="CS626" t="s">
        <v>46</v>
      </c>
      <c r="CT626" t="s">
        <v>554</v>
      </c>
      <c r="CU626">
        <v>5234</v>
      </c>
    </row>
    <row r="627" spans="95:99">
      <c r="CQ627" t="s">
        <v>40</v>
      </c>
      <c r="CR627" t="s">
        <v>530</v>
      </c>
      <c r="CS627" t="s">
        <v>46</v>
      </c>
      <c r="CT627" t="s">
        <v>543</v>
      </c>
      <c r="CU627">
        <v>11248</v>
      </c>
    </row>
    <row r="628" spans="95:99">
      <c r="CQ628" t="s">
        <v>40</v>
      </c>
      <c r="CR628" t="s">
        <v>530</v>
      </c>
      <c r="CS628" t="s">
        <v>46</v>
      </c>
      <c r="CT628" t="s">
        <v>544</v>
      </c>
      <c r="CU628">
        <v>1668</v>
      </c>
    </row>
    <row r="629" spans="95:99">
      <c r="CQ629" t="s">
        <v>40</v>
      </c>
      <c r="CR629" t="s">
        <v>530</v>
      </c>
      <c r="CS629" t="s">
        <v>46</v>
      </c>
      <c r="CT629" t="s">
        <v>545</v>
      </c>
      <c r="CU629">
        <v>5852</v>
      </c>
    </row>
    <row r="630" spans="95:99">
      <c r="CQ630" t="s">
        <v>40</v>
      </c>
      <c r="CR630" t="s">
        <v>530</v>
      </c>
      <c r="CS630" t="s">
        <v>46</v>
      </c>
      <c r="CT630" t="s">
        <v>546</v>
      </c>
      <c r="CU630">
        <v>3988</v>
      </c>
    </row>
    <row r="631" spans="95:99">
      <c r="CQ631" t="s">
        <v>40</v>
      </c>
      <c r="CR631" t="s">
        <v>530</v>
      </c>
      <c r="CS631" t="s">
        <v>46</v>
      </c>
      <c r="CT631" t="s">
        <v>532</v>
      </c>
      <c r="CU631">
        <v>766</v>
      </c>
    </row>
    <row r="632" spans="95:99">
      <c r="CQ632" t="s">
        <v>40</v>
      </c>
      <c r="CR632" t="s">
        <v>530</v>
      </c>
      <c r="CS632" t="s">
        <v>44</v>
      </c>
    </row>
    <row r="633" spans="95:99">
      <c r="CQ633" t="s">
        <v>40</v>
      </c>
      <c r="CR633" t="s">
        <v>530</v>
      </c>
      <c r="CS633" t="s">
        <v>44</v>
      </c>
      <c r="CT633" t="s">
        <v>521</v>
      </c>
      <c r="CU633">
        <v>115869</v>
      </c>
    </row>
    <row r="634" spans="95:99">
      <c r="CQ634" t="s">
        <v>40</v>
      </c>
      <c r="CR634" t="s">
        <v>530</v>
      </c>
      <c r="CS634" t="s">
        <v>44</v>
      </c>
      <c r="CT634" t="s">
        <v>540</v>
      </c>
      <c r="CU634">
        <v>424</v>
      </c>
    </row>
    <row r="635" spans="95:99">
      <c r="CQ635" t="s">
        <v>40</v>
      </c>
      <c r="CR635" t="s">
        <v>530</v>
      </c>
      <c r="CS635" t="s">
        <v>44</v>
      </c>
      <c r="CT635" t="s">
        <v>541</v>
      </c>
      <c r="CU635">
        <v>42508</v>
      </c>
    </row>
    <row r="636" spans="95:99">
      <c r="CQ636" t="s">
        <v>40</v>
      </c>
      <c r="CR636" t="s">
        <v>530</v>
      </c>
      <c r="CS636" t="s">
        <v>44</v>
      </c>
      <c r="CT636" t="s">
        <v>542</v>
      </c>
      <c r="CU636">
        <v>59123</v>
      </c>
    </row>
    <row r="637" spans="95:99">
      <c r="CQ637" t="s">
        <v>40</v>
      </c>
      <c r="CR637" t="s">
        <v>530</v>
      </c>
      <c r="CS637" t="s">
        <v>44</v>
      </c>
      <c r="CT637" t="s">
        <v>137</v>
      </c>
      <c r="CU637">
        <v>3539</v>
      </c>
    </row>
    <row r="638" spans="95:99">
      <c r="CQ638" t="s">
        <v>40</v>
      </c>
      <c r="CR638" t="s">
        <v>530</v>
      </c>
      <c r="CS638" t="s">
        <v>44</v>
      </c>
      <c r="CT638" t="s">
        <v>554</v>
      </c>
      <c r="CU638">
        <v>5439</v>
      </c>
    </row>
    <row r="639" spans="95:99">
      <c r="CQ639" t="s">
        <v>40</v>
      </c>
      <c r="CR639" t="s">
        <v>530</v>
      </c>
      <c r="CS639" t="s">
        <v>44</v>
      </c>
      <c r="CT639" t="s">
        <v>543</v>
      </c>
      <c r="CU639">
        <v>2160</v>
      </c>
    </row>
    <row r="640" spans="95:99">
      <c r="CQ640" t="s">
        <v>40</v>
      </c>
      <c r="CR640" t="s">
        <v>530</v>
      </c>
      <c r="CS640" t="s">
        <v>44</v>
      </c>
      <c r="CT640" t="s">
        <v>544</v>
      </c>
      <c r="CU640">
        <v>979</v>
      </c>
    </row>
    <row r="641" spans="95:99">
      <c r="CQ641" t="s">
        <v>40</v>
      </c>
      <c r="CR641" t="s">
        <v>530</v>
      </c>
      <c r="CS641" t="s">
        <v>44</v>
      </c>
      <c r="CT641" t="s">
        <v>545</v>
      </c>
      <c r="CU641">
        <v>903</v>
      </c>
    </row>
    <row r="642" spans="95:99">
      <c r="CQ642" t="s">
        <v>40</v>
      </c>
      <c r="CR642" t="s">
        <v>530</v>
      </c>
      <c r="CS642" t="s">
        <v>44</v>
      </c>
      <c r="CT642" t="s">
        <v>546</v>
      </c>
      <c r="CU642">
        <v>327</v>
      </c>
    </row>
    <row r="643" spans="95:99">
      <c r="CQ643" t="s">
        <v>40</v>
      </c>
      <c r="CR643" t="s">
        <v>530</v>
      </c>
      <c r="CS643" t="s">
        <v>44</v>
      </c>
      <c r="CT643" t="s">
        <v>532</v>
      </c>
      <c r="CU643">
        <v>467</v>
      </c>
    </row>
    <row r="644" spans="95:99">
      <c r="CQ644" t="s">
        <v>40</v>
      </c>
      <c r="CR644" t="s">
        <v>530</v>
      </c>
      <c r="CS644" t="s">
        <v>44</v>
      </c>
    </row>
    <row r="645" spans="95:99">
      <c r="CQ645" t="s">
        <v>40</v>
      </c>
      <c r="CR645" t="s">
        <v>530</v>
      </c>
      <c r="CS645" t="s">
        <v>44</v>
      </c>
      <c r="CT645" t="s">
        <v>521</v>
      </c>
      <c r="CU645">
        <v>51682</v>
      </c>
    </row>
    <row r="646" spans="95:99">
      <c r="CQ646" t="s">
        <v>40</v>
      </c>
      <c r="CR646" t="s">
        <v>530</v>
      </c>
      <c r="CS646" t="s">
        <v>44</v>
      </c>
      <c r="CT646" t="s">
        <v>540</v>
      </c>
      <c r="CU646">
        <v>228</v>
      </c>
    </row>
    <row r="647" spans="95:99">
      <c r="CQ647" t="s">
        <v>40</v>
      </c>
      <c r="CR647" t="s">
        <v>530</v>
      </c>
      <c r="CS647" t="s">
        <v>44</v>
      </c>
      <c r="CT647" t="s">
        <v>541</v>
      </c>
      <c r="CU647">
        <v>8894</v>
      </c>
    </row>
    <row r="648" spans="95:99">
      <c r="CQ648" t="s">
        <v>40</v>
      </c>
      <c r="CR648" t="s">
        <v>530</v>
      </c>
      <c r="CS648" t="s">
        <v>44</v>
      </c>
      <c r="CT648" t="s">
        <v>542</v>
      </c>
      <c r="CU648">
        <v>36277</v>
      </c>
    </row>
    <row r="649" spans="95:99">
      <c r="CQ649" t="s">
        <v>40</v>
      </c>
      <c r="CR649" t="s">
        <v>530</v>
      </c>
      <c r="CS649" t="s">
        <v>44</v>
      </c>
      <c r="CT649" t="s">
        <v>137</v>
      </c>
      <c r="CU649">
        <v>3202</v>
      </c>
    </row>
    <row r="650" spans="95:99">
      <c r="CQ650" t="s">
        <v>40</v>
      </c>
      <c r="CR650" t="s">
        <v>530</v>
      </c>
      <c r="CS650" t="s">
        <v>44</v>
      </c>
      <c r="CT650" t="s">
        <v>554</v>
      </c>
      <c r="CU650">
        <v>1542</v>
      </c>
    </row>
    <row r="651" spans="95:99">
      <c r="CQ651" t="s">
        <v>40</v>
      </c>
      <c r="CR651" t="s">
        <v>530</v>
      </c>
      <c r="CS651" t="s">
        <v>44</v>
      </c>
      <c r="CT651" t="s">
        <v>543</v>
      </c>
      <c r="CU651">
        <v>441</v>
      </c>
    </row>
    <row r="652" spans="95:99">
      <c r="CQ652" t="s">
        <v>40</v>
      </c>
      <c r="CR652" t="s">
        <v>530</v>
      </c>
      <c r="CS652" t="s">
        <v>44</v>
      </c>
      <c r="CT652" t="s">
        <v>544</v>
      </c>
      <c r="CU652">
        <v>499</v>
      </c>
    </row>
    <row r="653" spans="95:99">
      <c r="CQ653" t="s">
        <v>40</v>
      </c>
      <c r="CR653" t="s">
        <v>530</v>
      </c>
      <c r="CS653" t="s">
        <v>44</v>
      </c>
      <c r="CT653" t="s">
        <v>545</v>
      </c>
      <c r="CU653">
        <v>257</v>
      </c>
    </row>
    <row r="654" spans="95:99">
      <c r="CQ654" t="s">
        <v>40</v>
      </c>
      <c r="CR654" t="s">
        <v>530</v>
      </c>
      <c r="CS654" t="s">
        <v>44</v>
      </c>
      <c r="CT654" t="s">
        <v>546</v>
      </c>
      <c r="CU654">
        <v>119</v>
      </c>
    </row>
    <row r="655" spans="95:99">
      <c r="CQ655" t="s">
        <v>40</v>
      </c>
      <c r="CR655" t="s">
        <v>530</v>
      </c>
      <c r="CS655" t="s">
        <v>44</v>
      </c>
      <c r="CT655" t="s">
        <v>532</v>
      </c>
      <c r="CU655">
        <v>223</v>
      </c>
    </row>
    <row r="656" spans="95:99">
      <c r="CQ656" t="s">
        <v>40</v>
      </c>
      <c r="CR656" t="s">
        <v>530</v>
      </c>
      <c r="CS656" t="s">
        <v>297</v>
      </c>
    </row>
    <row r="657" spans="95:99">
      <c r="CQ657" t="s">
        <v>40</v>
      </c>
      <c r="CR657" t="s">
        <v>530</v>
      </c>
      <c r="CS657" t="s">
        <v>297</v>
      </c>
      <c r="CT657" t="s">
        <v>521</v>
      </c>
      <c r="CU657">
        <v>84521</v>
      </c>
    </row>
    <row r="658" spans="95:99">
      <c r="CQ658" t="s">
        <v>40</v>
      </c>
      <c r="CR658" t="s">
        <v>530</v>
      </c>
      <c r="CS658" t="s">
        <v>297</v>
      </c>
      <c r="CT658" t="s">
        <v>540</v>
      </c>
      <c r="CU658">
        <v>1015</v>
      </c>
    </row>
    <row r="659" spans="95:99">
      <c r="CQ659" t="s">
        <v>40</v>
      </c>
      <c r="CR659" t="s">
        <v>530</v>
      </c>
      <c r="CS659" t="s">
        <v>297</v>
      </c>
      <c r="CT659" t="s">
        <v>541</v>
      </c>
      <c r="CU659">
        <v>1604</v>
      </c>
    </row>
    <row r="660" spans="95:99">
      <c r="CQ660" t="s">
        <v>40</v>
      </c>
      <c r="CR660" t="s">
        <v>530</v>
      </c>
      <c r="CS660" t="s">
        <v>297</v>
      </c>
      <c r="CT660" t="s">
        <v>542</v>
      </c>
      <c r="CU660">
        <v>44313</v>
      </c>
    </row>
    <row r="661" spans="95:99">
      <c r="CQ661" t="s">
        <v>40</v>
      </c>
      <c r="CR661" t="s">
        <v>530</v>
      </c>
      <c r="CS661" t="s">
        <v>297</v>
      </c>
      <c r="CT661" t="s">
        <v>137</v>
      </c>
      <c r="CU661">
        <v>35537</v>
      </c>
    </row>
    <row r="662" spans="95:99">
      <c r="CQ662" t="s">
        <v>40</v>
      </c>
      <c r="CR662" t="s">
        <v>530</v>
      </c>
      <c r="CS662" t="s">
        <v>297</v>
      </c>
      <c r="CT662" t="s">
        <v>554</v>
      </c>
      <c r="CU662">
        <v>210</v>
      </c>
    </row>
    <row r="663" spans="95:99">
      <c r="CQ663" t="s">
        <v>40</v>
      </c>
      <c r="CR663" t="s">
        <v>530</v>
      </c>
      <c r="CS663" t="s">
        <v>297</v>
      </c>
      <c r="CT663" t="s">
        <v>543</v>
      </c>
      <c r="CU663">
        <v>65</v>
      </c>
    </row>
    <row r="664" spans="95:99">
      <c r="CQ664" t="s">
        <v>40</v>
      </c>
      <c r="CR664" t="s">
        <v>530</v>
      </c>
      <c r="CS664" t="s">
        <v>297</v>
      </c>
      <c r="CT664" t="s">
        <v>544</v>
      </c>
      <c r="CU664">
        <v>364</v>
      </c>
    </row>
    <row r="665" spans="95:99">
      <c r="CQ665" t="s">
        <v>40</v>
      </c>
      <c r="CR665" t="s">
        <v>530</v>
      </c>
      <c r="CS665" t="s">
        <v>297</v>
      </c>
      <c r="CT665" t="s">
        <v>545</v>
      </c>
      <c r="CU665">
        <v>147</v>
      </c>
    </row>
    <row r="666" spans="95:99">
      <c r="CQ666" t="s">
        <v>40</v>
      </c>
      <c r="CR666" t="s">
        <v>530</v>
      </c>
      <c r="CS666" t="s">
        <v>297</v>
      </c>
      <c r="CT666" t="s">
        <v>546</v>
      </c>
      <c r="CU666">
        <v>574</v>
      </c>
    </row>
    <row r="667" spans="95:99">
      <c r="CQ667" t="s">
        <v>40</v>
      </c>
      <c r="CR667" t="s">
        <v>530</v>
      </c>
      <c r="CS667" t="s">
        <v>297</v>
      </c>
      <c r="CT667" t="s">
        <v>532</v>
      </c>
      <c r="CU667">
        <v>692</v>
      </c>
    </row>
    <row r="668" spans="95:99">
      <c r="CQ668" t="s">
        <v>40</v>
      </c>
      <c r="CR668" t="s">
        <v>530</v>
      </c>
      <c r="CS668" t="s">
        <v>297</v>
      </c>
    </row>
    <row r="669" spans="95:99">
      <c r="CQ669" t="s">
        <v>40</v>
      </c>
      <c r="CR669" t="s">
        <v>530</v>
      </c>
      <c r="CS669" t="s">
        <v>297</v>
      </c>
      <c r="CT669" t="s">
        <v>521</v>
      </c>
      <c r="CU669">
        <v>2399</v>
      </c>
    </row>
    <row r="670" spans="95:99">
      <c r="CQ670" t="s">
        <v>40</v>
      </c>
      <c r="CR670" t="s">
        <v>530</v>
      </c>
      <c r="CS670" t="s">
        <v>297</v>
      </c>
      <c r="CT670" t="s">
        <v>540</v>
      </c>
      <c r="CU670">
        <v>53</v>
      </c>
    </row>
    <row r="671" spans="95:99">
      <c r="CQ671" t="s">
        <v>40</v>
      </c>
      <c r="CR671" t="s">
        <v>530</v>
      </c>
      <c r="CS671" t="s">
        <v>297</v>
      </c>
      <c r="CT671" t="s">
        <v>541</v>
      </c>
      <c r="CU671">
        <v>500</v>
      </c>
    </row>
    <row r="672" spans="95:99">
      <c r="CQ672" t="s">
        <v>40</v>
      </c>
      <c r="CR672" t="s">
        <v>530</v>
      </c>
      <c r="CS672" t="s">
        <v>297</v>
      </c>
      <c r="CT672" t="s">
        <v>542</v>
      </c>
      <c r="CU672">
        <v>756</v>
      </c>
    </row>
    <row r="673" spans="95:99">
      <c r="CQ673" t="s">
        <v>40</v>
      </c>
      <c r="CR673" t="s">
        <v>530</v>
      </c>
      <c r="CS673" t="s">
        <v>297</v>
      </c>
      <c r="CT673" t="s">
        <v>137</v>
      </c>
      <c r="CU673">
        <v>930</v>
      </c>
    </row>
    <row r="674" spans="95:99">
      <c r="CQ674" t="s">
        <v>40</v>
      </c>
      <c r="CR674" t="s">
        <v>530</v>
      </c>
      <c r="CS674" t="s">
        <v>297</v>
      </c>
      <c r="CT674" t="s">
        <v>554</v>
      </c>
      <c r="CU674">
        <v>45</v>
      </c>
    </row>
    <row r="675" spans="95:99">
      <c r="CQ675" t="s">
        <v>40</v>
      </c>
      <c r="CR675" t="s">
        <v>530</v>
      </c>
      <c r="CS675" t="s">
        <v>297</v>
      </c>
      <c r="CT675" t="s">
        <v>543</v>
      </c>
      <c r="CU675">
        <v>26</v>
      </c>
    </row>
    <row r="676" spans="95:99">
      <c r="CQ676" t="s">
        <v>40</v>
      </c>
      <c r="CR676" t="s">
        <v>530</v>
      </c>
      <c r="CS676" t="s">
        <v>297</v>
      </c>
      <c r="CT676" t="s">
        <v>544</v>
      </c>
      <c r="CU676">
        <v>25</v>
      </c>
    </row>
    <row r="677" spans="95:99">
      <c r="CQ677" t="s">
        <v>40</v>
      </c>
      <c r="CR677" t="s">
        <v>530</v>
      </c>
      <c r="CS677" t="s">
        <v>297</v>
      </c>
      <c r="CT677" t="s">
        <v>545</v>
      </c>
      <c r="CU677">
        <v>28</v>
      </c>
    </row>
    <row r="678" spans="95:99">
      <c r="CQ678" t="s">
        <v>40</v>
      </c>
      <c r="CR678" t="s">
        <v>530</v>
      </c>
      <c r="CS678" t="s">
        <v>297</v>
      </c>
      <c r="CT678" t="s">
        <v>546</v>
      </c>
      <c r="CU678">
        <v>20</v>
      </c>
    </row>
    <row r="679" spans="95:99">
      <c r="CQ679" t="s">
        <v>40</v>
      </c>
      <c r="CR679" t="s">
        <v>530</v>
      </c>
      <c r="CS679" t="s">
        <v>297</v>
      </c>
      <c r="CT679" t="s">
        <v>532</v>
      </c>
      <c r="CU679">
        <v>16</v>
      </c>
    </row>
    <row r="680" spans="95:99">
      <c r="CQ680" t="s">
        <v>40</v>
      </c>
      <c r="CR680" t="s">
        <v>530</v>
      </c>
      <c r="CS680" t="s">
        <v>532</v>
      </c>
    </row>
    <row r="681" spans="95:99">
      <c r="CQ681" t="s">
        <v>40</v>
      </c>
      <c r="CR681" t="s">
        <v>530</v>
      </c>
      <c r="CS681" t="s">
        <v>532</v>
      </c>
      <c r="CT681" t="s">
        <v>521</v>
      </c>
      <c r="CU681">
        <v>2069</v>
      </c>
    </row>
    <row r="682" spans="95:99">
      <c r="CQ682" t="s">
        <v>40</v>
      </c>
      <c r="CR682" t="s">
        <v>530</v>
      </c>
      <c r="CS682" t="s">
        <v>532</v>
      </c>
      <c r="CT682" t="s">
        <v>540</v>
      </c>
      <c r="CU682">
        <v>21</v>
      </c>
    </row>
    <row r="683" spans="95:99">
      <c r="CQ683" t="s">
        <v>40</v>
      </c>
      <c r="CR683" t="s">
        <v>530</v>
      </c>
      <c r="CS683" t="s">
        <v>532</v>
      </c>
      <c r="CT683" t="s">
        <v>541</v>
      </c>
      <c r="CU683">
        <v>684</v>
      </c>
    </row>
    <row r="684" spans="95:99">
      <c r="CQ684" t="s">
        <v>40</v>
      </c>
      <c r="CR684" t="s">
        <v>530</v>
      </c>
      <c r="CS684" t="s">
        <v>532</v>
      </c>
      <c r="CT684" t="s">
        <v>542</v>
      </c>
      <c r="CU684">
        <v>885</v>
      </c>
    </row>
    <row r="685" spans="95:99">
      <c r="CQ685" t="s">
        <v>40</v>
      </c>
      <c r="CR685" t="s">
        <v>530</v>
      </c>
      <c r="CS685" t="s">
        <v>532</v>
      </c>
      <c r="CT685" t="s">
        <v>137</v>
      </c>
      <c r="CU685">
        <v>165</v>
      </c>
    </row>
    <row r="686" spans="95:99">
      <c r="CQ686" t="s">
        <v>40</v>
      </c>
      <c r="CR686" t="s">
        <v>530</v>
      </c>
      <c r="CS686" t="s">
        <v>532</v>
      </c>
      <c r="CT686" t="s">
        <v>554</v>
      </c>
      <c r="CU686">
        <v>120</v>
      </c>
    </row>
    <row r="687" spans="95:99">
      <c r="CQ687" t="s">
        <v>40</v>
      </c>
      <c r="CR687" t="s">
        <v>530</v>
      </c>
      <c r="CS687" t="s">
        <v>532</v>
      </c>
      <c r="CT687" t="s">
        <v>543</v>
      </c>
      <c r="CU687">
        <v>80</v>
      </c>
    </row>
    <row r="688" spans="95:99">
      <c r="CQ688" t="s">
        <v>40</v>
      </c>
      <c r="CR688" t="s">
        <v>530</v>
      </c>
      <c r="CS688" t="s">
        <v>532</v>
      </c>
      <c r="CT688" t="s">
        <v>544</v>
      </c>
      <c r="CU688">
        <v>8</v>
      </c>
    </row>
    <row r="689" spans="95:99">
      <c r="CQ689" t="s">
        <v>40</v>
      </c>
      <c r="CR689" t="s">
        <v>530</v>
      </c>
      <c r="CS689" t="s">
        <v>532</v>
      </c>
      <c r="CT689" t="s">
        <v>545</v>
      </c>
      <c r="CU689">
        <v>25</v>
      </c>
    </row>
    <row r="690" spans="95:99">
      <c r="CQ690" t="s">
        <v>40</v>
      </c>
      <c r="CR690" t="s">
        <v>530</v>
      </c>
      <c r="CS690" t="s">
        <v>532</v>
      </c>
      <c r="CT690" t="s">
        <v>546</v>
      </c>
      <c r="CU690">
        <v>16</v>
      </c>
    </row>
    <row r="691" spans="95:99">
      <c r="CQ691" t="s">
        <v>40</v>
      </c>
      <c r="CR691" t="s">
        <v>530</v>
      </c>
      <c r="CS691" t="s">
        <v>532</v>
      </c>
      <c r="CT691" t="s">
        <v>532</v>
      </c>
      <c r="CU691">
        <v>65</v>
      </c>
    </row>
    <row r="692" spans="95:99">
      <c r="CQ692" t="s">
        <v>40</v>
      </c>
      <c r="CR692" t="s">
        <v>531</v>
      </c>
    </row>
    <row r="693" spans="95:99">
      <c r="CQ693" t="s">
        <v>40</v>
      </c>
      <c r="CR693" t="s">
        <v>531</v>
      </c>
      <c r="CS693" t="s">
        <v>521</v>
      </c>
    </row>
    <row r="694" spans="95:99">
      <c r="CQ694" t="s">
        <v>40</v>
      </c>
      <c r="CR694" t="s">
        <v>531</v>
      </c>
      <c r="CS694" t="s">
        <v>40</v>
      </c>
      <c r="CT694" t="s">
        <v>521</v>
      </c>
      <c r="CU694">
        <v>33436</v>
      </c>
    </row>
    <row r="695" spans="95:99">
      <c r="CQ695" t="s">
        <v>40</v>
      </c>
      <c r="CR695" t="s">
        <v>531</v>
      </c>
      <c r="CS695" t="s">
        <v>40</v>
      </c>
      <c r="CT695" t="s">
        <v>540</v>
      </c>
      <c r="CU695">
        <v>258</v>
      </c>
    </row>
    <row r="696" spans="95:99">
      <c r="CQ696" t="s">
        <v>40</v>
      </c>
      <c r="CR696" t="s">
        <v>531</v>
      </c>
      <c r="CS696" t="s">
        <v>40</v>
      </c>
      <c r="CT696" t="s">
        <v>541</v>
      </c>
      <c r="CU696">
        <v>11042</v>
      </c>
    </row>
    <row r="697" spans="95:99">
      <c r="CQ697" t="s">
        <v>40</v>
      </c>
      <c r="CR697" t="s">
        <v>531</v>
      </c>
      <c r="CS697" t="s">
        <v>40</v>
      </c>
      <c r="CT697" t="s">
        <v>542</v>
      </c>
      <c r="CU697">
        <v>11329</v>
      </c>
    </row>
    <row r="698" spans="95:99">
      <c r="CQ698" t="s">
        <v>40</v>
      </c>
      <c r="CR698" t="s">
        <v>531</v>
      </c>
      <c r="CS698" t="s">
        <v>40</v>
      </c>
      <c r="CT698" t="s">
        <v>137</v>
      </c>
      <c r="CU698">
        <v>5408</v>
      </c>
    </row>
    <row r="699" spans="95:99">
      <c r="CQ699" t="s">
        <v>40</v>
      </c>
      <c r="CR699" t="s">
        <v>531</v>
      </c>
      <c r="CS699" t="s">
        <v>40</v>
      </c>
      <c r="CT699" t="s">
        <v>554</v>
      </c>
      <c r="CU699">
        <v>659</v>
      </c>
    </row>
    <row r="700" spans="95:99">
      <c r="CQ700" t="s">
        <v>40</v>
      </c>
      <c r="CR700" t="s">
        <v>531</v>
      </c>
      <c r="CS700" t="s">
        <v>40</v>
      </c>
      <c r="CT700" t="s">
        <v>543</v>
      </c>
      <c r="CU700">
        <v>1431</v>
      </c>
    </row>
    <row r="701" spans="95:99">
      <c r="CQ701" t="s">
        <v>40</v>
      </c>
      <c r="CR701" t="s">
        <v>531</v>
      </c>
      <c r="CS701" t="s">
        <v>40</v>
      </c>
      <c r="CT701" t="s">
        <v>544</v>
      </c>
      <c r="CU701">
        <v>240</v>
      </c>
    </row>
    <row r="702" spans="95:99">
      <c r="CQ702" t="s">
        <v>40</v>
      </c>
      <c r="CR702" t="s">
        <v>531</v>
      </c>
      <c r="CS702" t="s">
        <v>40</v>
      </c>
      <c r="CT702" t="s">
        <v>545</v>
      </c>
      <c r="CU702">
        <v>1082</v>
      </c>
    </row>
    <row r="703" spans="95:99">
      <c r="CQ703" t="s">
        <v>40</v>
      </c>
      <c r="CR703" t="s">
        <v>531</v>
      </c>
      <c r="CS703" t="s">
        <v>40</v>
      </c>
      <c r="CT703" t="s">
        <v>546</v>
      </c>
      <c r="CU703">
        <v>1667</v>
      </c>
    </row>
    <row r="704" spans="95:99">
      <c r="CQ704" t="s">
        <v>40</v>
      </c>
      <c r="CR704" t="s">
        <v>531</v>
      </c>
      <c r="CS704" t="s">
        <v>40</v>
      </c>
      <c r="CT704" t="s">
        <v>532</v>
      </c>
      <c r="CU704">
        <v>320</v>
      </c>
    </row>
    <row r="705" spans="95:99">
      <c r="CQ705" t="s">
        <v>40</v>
      </c>
      <c r="CR705" t="s">
        <v>531</v>
      </c>
      <c r="CS705" t="s">
        <v>46</v>
      </c>
    </row>
    <row r="706" spans="95:99">
      <c r="CQ706" t="s">
        <v>40</v>
      </c>
      <c r="CR706" t="s">
        <v>531</v>
      </c>
      <c r="CS706" t="s">
        <v>46</v>
      </c>
      <c r="CT706" t="s">
        <v>521</v>
      </c>
      <c r="CU706">
        <v>18050</v>
      </c>
    </row>
    <row r="707" spans="95:99">
      <c r="CQ707" t="s">
        <v>40</v>
      </c>
      <c r="CR707" t="s">
        <v>531</v>
      </c>
      <c r="CS707" t="s">
        <v>46</v>
      </c>
      <c r="CT707" t="s">
        <v>540</v>
      </c>
      <c r="CU707">
        <v>149</v>
      </c>
    </row>
    <row r="708" spans="95:99">
      <c r="CQ708" t="s">
        <v>40</v>
      </c>
      <c r="CR708" t="s">
        <v>531</v>
      </c>
      <c r="CS708" t="s">
        <v>46</v>
      </c>
      <c r="CT708" t="s">
        <v>541</v>
      </c>
      <c r="CU708">
        <v>9159</v>
      </c>
    </row>
    <row r="709" spans="95:99">
      <c r="CQ709" t="s">
        <v>40</v>
      </c>
      <c r="CR709" t="s">
        <v>531</v>
      </c>
      <c r="CS709" t="s">
        <v>46</v>
      </c>
      <c r="CT709" t="s">
        <v>542</v>
      </c>
      <c r="CU709">
        <v>2065</v>
      </c>
    </row>
    <row r="710" spans="95:99">
      <c r="CQ710" t="s">
        <v>40</v>
      </c>
      <c r="CR710" t="s">
        <v>531</v>
      </c>
      <c r="CS710" t="s">
        <v>46</v>
      </c>
      <c r="CT710" t="s">
        <v>137</v>
      </c>
      <c r="CU710">
        <v>2298</v>
      </c>
    </row>
    <row r="711" spans="95:99">
      <c r="CQ711" t="s">
        <v>40</v>
      </c>
      <c r="CR711" t="s">
        <v>531</v>
      </c>
      <c r="CS711" t="s">
        <v>46</v>
      </c>
      <c r="CT711" t="s">
        <v>554</v>
      </c>
      <c r="CU711">
        <v>438</v>
      </c>
    </row>
    <row r="712" spans="95:99">
      <c r="CQ712" t="s">
        <v>40</v>
      </c>
      <c r="CR712" t="s">
        <v>531</v>
      </c>
      <c r="CS712" t="s">
        <v>46</v>
      </c>
      <c r="CT712" t="s">
        <v>543</v>
      </c>
      <c r="CU712">
        <v>1332</v>
      </c>
    </row>
    <row r="713" spans="95:99">
      <c r="CQ713" t="s">
        <v>40</v>
      </c>
      <c r="CR713" t="s">
        <v>531</v>
      </c>
      <c r="CS713" t="s">
        <v>46</v>
      </c>
      <c r="CT713" t="s">
        <v>544</v>
      </c>
      <c r="CU713">
        <v>151</v>
      </c>
    </row>
    <row r="714" spans="95:99">
      <c r="CQ714" t="s">
        <v>40</v>
      </c>
      <c r="CR714" t="s">
        <v>531</v>
      </c>
      <c r="CS714" t="s">
        <v>46</v>
      </c>
      <c r="CT714" t="s">
        <v>545</v>
      </c>
      <c r="CU714">
        <v>964</v>
      </c>
    </row>
    <row r="715" spans="95:99">
      <c r="CQ715" t="s">
        <v>40</v>
      </c>
      <c r="CR715" t="s">
        <v>531</v>
      </c>
      <c r="CS715" t="s">
        <v>46</v>
      </c>
      <c r="CT715" t="s">
        <v>546</v>
      </c>
      <c r="CU715">
        <v>1361</v>
      </c>
    </row>
    <row r="716" spans="95:99">
      <c r="CQ716" t="s">
        <v>40</v>
      </c>
      <c r="CR716" t="s">
        <v>531</v>
      </c>
      <c r="CS716" t="s">
        <v>46</v>
      </c>
      <c r="CT716" t="s">
        <v>532</v>
      </c>
      <c r="CU716">
        <v>133</v>
      </c>
    </row>
    <row r="717" spans="95:99">
      <c r="CQ717" t="s">
        <v>40</v>
      </c>
      <c r="CR717" t="s">
        <v>531</v>
      </c>
      <c r="CS717" t="s">
        <v>44</v>
      </c>
    </row>
    <row r="718" spans="95:99">
      <c r="CQ718" t="s">
        <v>40</v>
      </c>
      <c r="CR718" t="s">
        <v>531</v>
      </c>
      <c r="CS718" t="s">
        <v>44</v>
      </c>
      <c r="CT718" t="s">
        <v>521</v>
      </c>
      <c r="CU718">
        <v>5900</v>
      </c>
    </row>
    <row r="719" spans="95:99">
      <c r="CQ719" t="s">
        <v>40</v>
      </c>
      <c r="CR719" t="s">
        <v>531</v>
      </c>
      <c r="CS719" t="s">
        <v>44</v>
      </c>
      <c r="CT719" t="s">
        <v>540</v>
      </c>
      <c r="CU719">
        <v>20</v>
      </c>
    </row>
    <row r="720" spans="95:99">
      <c r="CQ720" t="s">
        <v>40</v>
      </c>
      <c r="CR720" t="s">
        <v>531</v>
      </c>
      <c r="CS720" t="s">
        <v>44</v>
      </c>
      <c r="CT720" t="s">
        <v>541</v>
      </c>
      <c r="CU720">
        <v>1202</v>
      </c>
    </row>
    <row r="721" spans="95:99">
      <c r="CQ721" t="s">
        <v>40</v>
      </c>
      <c r="CR721" t="s">
        <v>531</v>
      </c>
      <c r="CS721" t="s">
        <v>44</v>
      </c>
      <c r="CT721" t="s">
        <v>542</v>
      </c>
      <c r="CU721">
        <v>3582</v>
      </c>
    </row>
    <row r="722" spans="95:99">
      <c r="CQ722" t="s">
        <v>40</v>
      </c>
      <c r="CR722" t="s">
        <v>531</v>
      </c>
      <c r="CS722" t="s">
        <v>44</v>
      </c>
      <c r="CT722" t="s">
        <v>137</v>
      </c>
      <c r="CU722">
        <v>633</v>
      </c>
    </row>
    <row r="723" spans="95:99">
      <c r="CQ723" t="s">
        <v>40</v>
      </c>
      <c r="CR723" t="s">
        <v>531</v>
      </c>
      <c r="CS723" t="s">
        <v>44</v>
      </c>
      <c r="CT723" t="s">
        <v>554</v>
      </c>
      <c r="CU723">
        <v>148</v>
      </c>
    </row>
    <row r="724" spans="95:99">
      <c r="CQ724" t="s">
        <v>40</v>
      </c>
      <c r="CR724" t="s">
        <v>531</v>
      </c>
      <c r="CS724" t="s">
        <v>44</v>
      </c>
      <c r="CT724" t="s">
        <v>543</v>
      </c>
      <c r="CU724">
        <v>63</v>
      </c>
    </row>
    <row r="725" spans="95:99">
      <c r="CQ725" t="s">
        <v>40</v>
      </c>
      <c r="CR725" t="s">
        <v>531</v>
      </c>
      <c r="CS725" t="s">
        <v>44</v>
      </c>
      <c r="CT725" t="s">
        <v>544</v>
      </c>
      <c r="CU725">
        <v>28</v>
      </c>
    </row>
    <row r="726" spans="95:99">
      <c r="CQ726" t="s">
        <v>40</v>
      </c>
      <c r="CR726" t="s">
        <v>531</v>
      </c>
      <c r="CS726" t="s">
        <v>44</v>
      </c>
      <c r="CT726" t="s">
        <v>545</v>
      </c>
      <c r="CU726">
        <v>44</v>
      </c>
    </row>
    <row r="727" spans="95:99">
      <c r="CQ727" t="s">
        <v>40</v>
      </c>
      <c r="CR727" t="s">
        <v>531</v>
      </c>
      <c r="CS727" t="s">
        <v>44</v>
      </c>
      <c r="CT727" t="s">
        <v>546</v>
      </c>
      <c r="CU727">
        <v>134</v>
      </c>
    </row>
    <row r="728" spans="95:99">
      <c r="CQ728" t="s">
        <v>40</v>
      </c>
      <c r="CR728" t="s">
        <v>531</v>
      </c>
      <c r="CS728" t="s">
        <v>44</v>
      </c>
      <c r="CT728" t="s">
        <v>532</v>
      </c>
      <c r="CU728">
        <v>46</v>
      </c>
    </row>
    <row r="729" spans="95:99">
      <c r="CQ729" t="s">
        <v>40</v>
      </c>
      <c r="CR729" t="s">
        <v>531</v>
      </c>
      <c r="CS729" t="s">
        <v>44</v>
      </c>
    </row>
    <row r="730" spans="95:99">
      <c r="CQ730" t="s">
        <v>40</v>
      </c>
      <c r="CR730" t="s">
        <v>531</v>
      </c>
      <c r="CS730" t="s">
        <v>44</v>
      </c>
      <c r="CT730" t="s">
        <v>521</v>
      </c>
      <c r="CU730">
        <v>3127</v>
      </c>
    </row>
    <row r="731" spans="95:99">
      <c r="CQ731" t="s">
        <v>40</v>
      </c>
      <c r="CR731" t="s">
        <v>531</v>
      </c>
      <c r="CS731" t="s">
        <v>44</v>
      </c>
      <c r="CT731" t="s">
        <v>540</v>
      </c>
      <c r="CU731">
        <v>13</v>
      </c>
    </row>
    <row r="732" spans="95:99">
      <c r="CQ732" t="s">
        <v>40</v>
      </c>
      <c r="CR732" t="s">
        <v>531</v>
      </c>
      <c r="CS732" t="s">
        <v>44</v>
      </c>
      <c r="CT732" t="s">
        <v>541</v>
      </c>
      <c r="CU732">
        <v>363</v>
      </c>
    </row>
    <row r="733" spans="95:99">
      <c r="CQ733" t="s">
        <v>40</v>
      </c>
      <c r="CR733" t="s">
        <v>531</v>
      </c>
      <c r="CS733" t="s">
        <v>44</v>
      </c>
      <c r="CT733" t="s">
        <v>542</v>
      </c>
      <c r="CU733">
        <v>2280</v>
      </c>
    </row>
    <row r="734" spans="95:99">
      <c r="CQ734" t="s">
        <v>40</v>
      </c>
      <c r="CR734" t="s">
        <v>531</v>
      </c>
      <c r="CS734" t="s">
        <v>44</v>
      </c>
      <c r="CT734" t="s">
        <v>137</v>
      </c>
      <c r="CU734">
        <v>274</v>
      </c>
    </row>
    <row r="735" spans="95:99">
      <c r="CQ735" t="s">
        <v>40</v>
      </c>
      <c r="CR735" t="s">
        <v>531</v>
      </c>
      <c r="CS735" t="s">
        <v>44</v>
      </c>
      <c r="CT735" t="s">
        <v>554</v>
      </c>
      <c r="CU735">
        <v>50</v>
      </c>
    </row>
    <row r="736" spans="95:99">
      <c r="CQ736" t="s">
        <v>40</v>
      </c>
      <c r="CR736" t="s">
        <v>531</v>
      </c>
      <c r="CS736" t="s">
        <v>44</v>
      </c>
      <c r="CT736" t="s">
        <v>543</v>
      </c>
      <c r="CU736">
        <v>12</v>
      </c>
    </row>
    <row r="737" spans="95:99">
      <c r="CQ737" t="s">
        <v>40</v>
      </c>
      <c r="CR737" t="s">
        <v>531</v>
      </c>
      <c r="CS737" t="s">
        <v>44</v>
      </c>
      <c r="CT737" t="s">
        <v>544</v>
      </c>
      <c r="CU737">
        <v>25</v>
      </c>
    </row>
    <row r="738" spans="95:99">
      <c r="CQ738" t="s">
        <v>40</v>
      </c>
      <c r="CR738" t="s">
        <v>531</v>
      </c>
      <c r="CS738" t="s">
        <v>44</v>
      </c>
      <c r="CT738" t="s">
        <v>545</v>
      </c>
      <c r="CU738">
        <v>36</v>
      </c>
    </row>
    <row r="739" spans="95:99">
      <c r="CQ739" t="s">
        <v>40</v>
      </c>
      <c r="CR739" t="s">
        <v>531</v>
      </c>
      <c r="CS739" t="s">
        <v>44</v>
      </c>
      <c r="CT739" t="s">
        <v>546</v>
      </c>
      <c r="CU739">
        <v>51</v>
      </c>
    </row>
    <row r="740" spans="95:99">
      <c r="CQ740" t="s">
        <v>40</v>
      </c>
      <c r="CR740" t="s">
        <v>531</v>
      </c>
      <c r="CS740" t="s">
        <v>44</v>
      </c>
      <c r="CT740" t="s">
        <v>532</v>
      </c>
      <c r="CU740">
        <v>23</v>
      </c>
    </row>
    <row r="741" spans="95:99">
      <c r="CQ741" t="s">
        <v>40</v>
      </c>
      <c r="CR741" t="s">
        <v>531</v>
      </c>
      <c r="CS741" t="s">
        <v>297</v>
      </c>
    </row>
    <row r="742" spans="95:99">
      <c r="CQ742" t="s">
        <v>40</v>
      </c>
      <c r="CR742" t="s">
        <v>531</v>
      </c>
      <c r="CS742" t="s">
        <v>297</v>
      </c>
      <c r="CT742" t="s">
        <v>521</v>
      </c>
      <c r="CU742">
        <v>5717</v>
      </c>
    </row>
    <row r="743" spans="95:99">
      <c r="CQ743" t="s">
        <v>40</v>
      </c>
      <c r="CR743" t="s">
        <v>531</v>
      </c>
      <c r="CS743" t="s">
        <v>297</v>
      </c>
      <c r="CT743" t="s">
        <v>540</v>
      </c>
      <c r="CU743">
        <v>58</v>
      </c>
    </row>
    <row r="744" spans="95:99">
      <c r="CQ744" t="s">
        <v>40</v>
      </c>
      <c r="CR744" t="s">
        <v>531</v>
      </c>
      <c r="CS744" t="s">
        <v>297</v>
      </c>
      <c r="CT744" t="s">
        <v>541</v>
      </c>
      <c r="CU744">
        <v>171</v>
      </c>
    </row>
    <row r="745" spans="95:99">
      <c r="CQ745" t="s">
        <v>40</v>
      </c>
      <c r="CR745" t="s">
        <v>531</v>
      </c>
      <c r="CS745" t="s">
        <v>297</v>
      </c>
      <c r="CT745" t="s">
        <v>542</v>
      </c>
      <c r="CU745">
        <v>3201</v>
      </c>
    </row>
    <row r="746" spans="95:99">
      <c r="CQ746" t="s">
        <v>40</v>
      </c>
      <c r="CR746" t="s">
        <v>531</v>
      </c>
      <c r="CS746" t="s">
        <v>297</v>
      </c>
      <c r="CT746" t="s">
        <v>137</v>
      </c>
      <c r="CU746">
        <v>2005</v>
      </c>
    </row>
    <row r="747" spans="95:99">
      <c r="CQ747" t="s">
        <v>40</v>
      </c>
      <c r="CR747" t="s">
        <v>531</v>
      </c>
      <c r="CS747" t="s">
        <v>297</v>
      </c>
      <c r="CT747" t="s">
        <v>554</v>
      </c>
      <c r="CU747">
        <v>11</v>
      </c>
    </row>
    <row r="748" spans="95:99">
      <c r="CQ748" t="s">
        <v>40</v>
      </c>
      <c r="CR748" t="s">
        <v>531</v>
      </c>
      <c r="CS748" t="s">
        <v>297</v>
      </c>
      <c r="CT748" t="s">
        <v>543</v>
      </c>
      <c r="CU748">
        <v>9</v>
      </c>
    </row>
    <row r="749" spans="95:99">
      <c r="CQ749" t="s">
        <v>40</v>
      </c>
      <c r="CR749" t="s">
        <v>531</v>
      </c>
      <c r="CS749" t="s">
        <v>297</v>
      </c>
      <c r="CT749" t="s">
        <v>544</v>
      </c>
      <c r="CU749">
        <v>33</v>
      </c>
    </row>
    <row r="750" spans="95:99">
      <c r="CQ750" t="s">
        <v>40</v>
      </c>
      <c r="CR750" t="s">
        <v>531</v>
      </c>
      <c r="CS750" t="s">
        <v>297</v>
      </c>
      <c r="CT750" t="s">
        <v>545</v>
      </c>
      <c r="CU750">
        <v>26</v>
      </c>
    </row>
    <row r="751" spans="95:99">
      <c r="CQ751" t="s">
        <v>40</v>
      </c>
      <c r="CR751" t="s">
        <v>531</v>
      </c>
      <c r="CS751" t="s">
        <v>297</v>
      </c>
      <c r="CT751" t="s">
        <v>546</v>
      </c>
      <c r="CU751">
        <v>110</v>
      </c>
    </row>
    <row r="752" spans="95:99">
      <c r="CQ752" t="s">
        <v>40</v>
      </c>
      <c r="CR752" t="s">
        <v>531</v>
      </c>
      <c r="CS752" t="s">
        <v>297</v>
      </c>
      <c r="CT752" t="s">
        <v>532</v>
      </c>
      <c r="CU752">
        <v>93</v>
      </c>
    </row>
    <row r="753" spans="95:99">
      <c r="CQ753" t="s">
        <v>40</v>
      </c>
      <c r="CR753" t="s">
        <v>531</v>
      </c>
      <c r="CS753" t="s">
        <v>297</v>
      </c>
    </row>
    <row r="754" spans="95:99">
      <c r="CQ754" t="s">
        <v>40</v>
      </c>
      <c r="CR754" t="s">
        <v>531</v>
      </c>
      <c r="CS754" t="s">
        <v>297</v>
      </c>
      <c r="CT754" t="s">
        <v>521</v>
      </c>
      <c r="CU754">
        <v>407</v>
      </c>
    </row>
    <row r="755" spans="95:99">
      <c r="CQ755" t="s">
        <v>40</v>
      </c>
      <c r="CR755" t="s">
        <v>531</v>
      </c>
      <c r="CS755" t="s">
        <v>297</v>
      </c>
      <c r="CT755" t="s">
        <v>540</v>
      </c>
      <c r="CU755">
        <v>15</v>
      </c>
    </row>
    <row r="756" spans="95:99">
      <c r="CQ756" t="s">
        <v>40</v>
      </c>
      <c r="CR756" t="s">
        <v>531</v>
      </c>
      <c r="CS756" t="s">
        <v>297</v>
      </c>
      <c r="CT756" t="s">
        <v>541</v>
      </c>
      <c r="CU756">
        <v>86</v>
      </c>
    </row>
    <row r="757" spans="95:99">
      <c r="CQ757" t="s">
        <v>40</v>
      </c>
      <c r="CR757" t="s">
        <v>531</v>
      </c>
      <c r="CS757" t="s">
        <v>297</v>
      </c>
      <c r="CT757" t="s">
        <v>542</v>
      </c>
      <c r="CU757">
        <v>109</v>
      </c>
    </row>
    <row r="758" spans="95:99">
      <c r="CQ758" t="s">
        <v>40</v>
      </c>
      <c r="CR758" t="s">
        <v>531</v>
      </c>
      <c r="CS758" t="s">
        <v>297</v>
      </c>
      <c r="CT758" t="s">
        <v>137</v>
      </c>
      <c r="CU758">
        <v>162</v>
      </c>
    </row>
    <row r="759" spans="95:99">
      <c r="CQ759" t="s">
        <v>40</v>
      </c>
      <c r="CR759" t="s">
        <v>531</v>
      </c>
      <c r="CS759" t="s">
        <v>297</v>
      </c>
      <c r="CT759" t="s">
        <v>554</v>
      </c>
      <c r="CU759">
        <v>8</v>
      </c>
    </row>
    <row r="760" spans="95:99">
      <c r="CQ760" t="s">
        <v>40</v>
      </c>
      <c r="CR760" t="s">
        <v>531</v>
      </c>
      <c r="CS760" t="s">
        <v>297</v>
      </c>
      <c r="CT760" t="s">
        <v>543</v>
      </c>
      <c r="CU760">
        <v>8</v>
      </c>
    </row>
    <row r="761" spans="95:99">
      <c r="CQ761" t="s">
        <v>40</v>
      </c>
      <c r="CR761" t="s">
        <v>531</v>
      </c>
      <c r="CS761" t="s">
        <v>297</v>
      </c>
      <c r="CT761" t="s">
        <v>544</v>
      </c>
      <c r="CU761">
        <v>3</v>
      </c>
    </row>
    <row r="762" spans="95:99">
      <c r="CQ762" t="s">
        <v>40</v>
      </c>
      <c r="CR762" t="s">
        <v>531</v>
      </c>
      <c r="CS762" t="s">
        <v>297</v>
      </c>
      <c r="CT762" t="s">
        <v>545</v>
      </c>
      <c r="CU762">
        <v>7</v>
      </c>
    </row>
    <row r="763" spans="95:99">
      <c r="CQ763" t="s">
        <v>40</v>
      </c>
      <c r="CR763" t="s">
        <v>531</v>
      </c>
      <c r="CS763" t="s">
        <v>297</v>
      </c>
      <c r="CT763" t="s">
        <v>546</v>
      </c>
      <c r="CU763">
        <v>7</v>
      </c>
    </row>
    <row r="764" spans="95:99">
      <c r="CQ764" t="s">
        <v>40</v>
      </c>
      <c r="CR764" t="s">
        <v>531</v>
      </c>
      <c r="CS764" t="s">
        <v>297</v>
      </c>
      <c r="CT764" t="s">
        <v>532</v>
      </c>
      <c r="CU764">
        <v>2</v>
      </c>
    </row>
    <row r="765" spans="95:99">
      <c r="CQ765" t="s">
        <v>40</v>
      </c>
      <c r="CR765" t="s">
        <v>531</v>
      </c>
      <c r="CS765" t="s">
        <v>532</v>
      </c>
    </row>
    <row r="766" spans="95:99">
      <c r="CQ766" t="s">
        <v>40</v>
      </c>
      <c r="CR766" t="s">
        <v>531</v>
      </c>
      <c r="CS766" t="s">
        <v>532</v>
      </c>
      <c r="CT766" t="s">
        <v>521</v>
      </c>
      <c r="CU766">
        <v>235</v>
      </c>
    </row>
    <row r="767" spans="95:99">
      <c r="CQ767" t="s">
        <v>40</v>
      </c>
      <c r="CR767" t="s">
        <v>531</v>
      </c>
      <c r="CS767" t="s">
        <v>532</v>
      </c>
      <c r="CT767" t="s">
        <v>540</v>
      </c>
      <c r="CU767">
        <v>3</v>
      </c>
    </row>
    <row r="768" spans="95:99">
      <c r="CQ768" t="s">
        <v>40</v>
      </c>
      <c r="CR768" t="s">
        <v>531</v>
      </c>
      <c r="CS768" t="s">
        <v>532</v>
      </c>
      <c r="CT768" t="s">
        <v>541</v>
      </c>
      <c r="CU768">
        <v>61</v>
      </c>
    </row>
    <row r="769" spans="95:99">
      <c r="CQ769" t="s">
        <v>40</v>
      </c>
      <c r="CR769" t="s">
        <v>531</v>
      </c>
      <c r="CS769" t="s">
        <v>532</v>
      </c>
      <c r="CT769" t="s">
        <v>542</v>
      </c>
      <c r="CU769">
        <v>92</v>
      </c>
    </row>
    <row r="770" spans="95:99">
      <c r="CQ770" t="s">
        <v>40</v>
      </c>
      <c r="CR770" t="s">
        <v>531</v>
      </c>
      <c r="CS770" t="s">
        <v>532</v>
      </c>
      <c r="CT770" t="s">
        <v>137</v>
      </c>
      <c r="CU770">
        <v>36</v>
      </c>
    </row>
    <row r="771" spans="95:99">
      <c r="CQ771" t="s">
        <v>40</v>
      </c>
      <c r="CR771" t="s">
        <v>531</v>
      </c>
      <c r="CS771" t="s">
        <v>532</v>
      </c>
      <c r="CT771" t="s">
        <v>554</v>
      </c>
      <c r="CU771">
        <v>4</v>
      </c>
    </row>
    <row r="772" spans="95:99">
      <c r="CQ772" t="s">
        <v>40</v>
      </c>
      <c r="CR772" t="s">
        <v>531</v>
      </c>
      <c r="CS772" t="s">
        <v>532</v>
      </c>
      <c r="CT772" t="s">
        <v>543</v>
      </c>
      <c r="CU772">
        <v>7</v>
      </c>
    </row>
    <row r="773" spans="95:99">
      <c r="CQ773" t="s">
        <v>40</v>
      </c>
      <c r="CR773" t="s">
        <v>531</v>
      </c>
      <c r="CS773" t="s">
        <v>532</v>
      </c>
      <c r="CT773" t="s">
        <v>544</v>
      </c>
      <c r="CU773">
        <v>0</v>
      </c>
    </row>
    <row r="774" spans="95:99">
      <c r="CQ774" t="s">
        <v>40</v>
      </c>
      <c r="CR774" t="s">
        <v>531</v>
      </c>
      <c r="CS774" t="s">
        <v>532</v>
      </c>
      <c r="CT774" t="s">
        <v>545</v>
      </c>
      <c r="CU774">
        <v>5</v>
      </c>
    </row>
    <row r="775" spans="95:99">
      <c r="CQ775" t="s">
        <v>40</v>
      </c>
      <c r="CR775" t="s">
        <v>531</v>
      </c>
      <c r="CS775" t="s">
        <v>532</v>
      </c>
      <c r="CT775" t="s">
        <v>546</v>
      </c>
      <c r="CU775">
        <v>4</v>
      </c>
    </row>
    <row r="776" spans="95:99">
      <c r="CQ776" t="s">
        <v>40</v>
      </c>
      <c r="CR776" t="s">
        <v>531</v>
      </c>
      <c r="CS776" t="s">
        <v>532</v>
      </c>
      <c r="CT776" t="s">
        <v>532</v>
      </c>
      <c r="CU776">
        <v>23</v>
      </c>
    </row>
    <row r="777" spans="95:99">
      <c r="CQ777" t="s">
        <v>40</v>
      </c>
      <c r="CR777" t="s">
        <v>566</v>
      </c>
    </row>
    <row r="778" spans="95:99">
      <c r="CQ778" t="s">
        <v>40</v>
      </c>
      <c r="CR778" t="s">
        <v>566</v>
      </c>
      <c r="CS778" t="s">
        <v>521</v>
      </c>
    </row>
    <row r="779" spans="95:99">
      <c r="CQ779" t="s">
        <v>40</v>
      </c>
      <c r="CR779" t="s">
        <v>566</v>
      </c>
      <c r="CS779" t="s">
        <v>40</v>
      </c>
      <c r="CT779" t="s">
        <v>521</v>
      </c>
      <c r="CU779">
        <v>114122</v>
      </c>
    </row>
    <row r="780" spans="95:99">
      <c r="CQ780" t="s">
        <v>40</v>
      </c>
      <c r="CR780" t="s">
        <v>566</v>
      </c>
      <c r="CS780" t="s">
        <v>40</v>
      </c>
      <c r="CT780" t="s">
        <v>540</v>
      </c>
      <c r="CU780">
        <v>1836</v>
      </c>
    </row>
    <row r="781" spans="95:99">
      <c r="CQ781" t="s">
        <v>40</v>
      </c>
      <c r="CR781" t="s">
        <v>566</v>
      </c>
      <c r="CS781" t="s">
        <v>40</v>
      </c>
      <c r="CT781" t="s">
        <v>541</v>
      </c>
      <c r="CU781">
        <v>22615</v>
      </c>
    </row>
    <row r="782" spans="95:99">
      <c r="CQ782" t="s">
        <v>40</v>
      </c>
      <c r="CR782" t="s">
        <v>566</v>
      </c>
      <c r="CS782" t="s">
        <v>40</v>
      </c>
      <c r="CT782" t="s">
        <v>542</v>
      </c>
      <c r="CU782">
        <v>29382</v>
      </c>
    </row>
    <row r="783" spans="95:99">
      <c r="CQ783" t="s">
        <v>40</v>
      </c>
      <c r="CR783" t="s">
        <v>566</v>
      </c>
      <c r="CS783" t="s">
        <v>40</v>
      </c>
      <c r="CT783" t="s">
        <v>137</v>
      </c>
      <c r="CU783">
        <v>19795</v>
      </c>
    </row>
    <row r="784" spans="95:99">
      <c r="CQ784" t="s">
        <v>40</v>
      </c>
      <c r="CR784" t="s">
        <v>566</v>
      </c>
      <c r="CS784" t="s">
        <v>40</v>
      </c>
      <c r="CT784" t="s">
        <v>554</v>
      </c>
      <c r="CU784">
        <v>3727</v>
      </c>
    </row>
    <row r="785" spans="95:99">
      <c r="CQ785" t="s">
        <v>40</v>
      </c>
      <c r="CR785" t="s">
        <v>566</v>
      </c>
      <c r="CS785" t="s">
        <v>40</v>
      </c>
      <c r="CT785" t="s">
        <v>543</v>
      </c>
      <c r="CU785">
        <v>1846</v>
      </c>
    </row>
    <row r="786" spans="95:99">
      <c r="CQ786" t="s">
        <v>40</v>
      </c>
      <c r="CR786" t="s">
        <v>566</v>
      </c>
      <c r="CS786" t="s">
        <v>40</v>
      </c>
      <c r="CT786" t="s">
        <v>544</v>
      </c>
      <c r="CU786">
        <v>345</v>
      </c>
    </row>
    <row r="787" spans="95:99">
      <c r="CQ787" t="s">
        <v>40</v>
      </c>
      <c r="CR787" t="s">
        <v>566</v>
      </c>
      <c r="CS787" t="s">
        <v>40</v>
      </c>
      <c r="CT787" t="s">
        <v>545</v>
      </c>
      <c r="CU787">
        <v>790</v>
      </c>
    </row>
    <row r="788" spans="95:99">
      <c r="CQ788" t="s">
        <v>40</v>
      </c>
      <c r="CR788" t="s">
        <v>566</v>
      </c>
      <c r="CS788" t="s">
        <v>40</v>
      </c>
      <c r="CT788" t="s">
        <v>546</v>
      </c>
      <c r="CU788">
        <v>447</v>
      </c>
    </row>
    <row r="789" spans="95:99">
      <c r="CQ789" t="s">
        <v>40</v>
      </c>
      <c r="CR789" t="s">
        <v>566</v>
      </c>
      <c r="CS789" t="s">
        <v>40</v>
      </c>
      <c r="CT789" t="s">
        <v>532</v>
      </c>
      <c r="CU789">
        <v>33339</v>
      </c>
    </row>
    <row r="790" spans="95:99">
      <c r="CQ790" t="s">
        <v>40</v>
      </c>
      <c r="CR790" t="s">
        <v>566</v>
      </c>
      <c r="CS790" t="s">
        <v>46</v>
      </c>
    </row>
    <row r="791" spans="95:99">
      <c r="CQ791" t="s">
        <v>40</v>
      </c>
      <c r="CR791" t="s">
        <v>566</v>
      </c>
      <c r="CS791" t="s">
        <v>46</v>
      </c>
      <c r="CT791" t="s">
        <v>521</v>
      </c>
      <c r="CU791">
        <v>20596</v>
      </c>
    </row>
    <row r="792" spans="95:99">
      <c r="CQ792" t="s">
        <v>40</v>
      </c>
      <c r="CR792" t="s">
        <v>566</v>
      </c>
      <c r="CS792" t="s">
        <v>46</v>
      </c>
      <c r="CT792" t="s">
        <v>540</v>
      </c>
      <c r="CU792">
        <v>240</v>
      </c>
    </row>
    <row r="793" spans="95:99">
      <c r="CQ793" t="s">
        <v>40</v>
      </c>
      <c r="CR793" t="s">
        <v>566</v>
      </c>
      <c r="CS793" t="s">
        <v>46</v>
      </c>
      <c r="CT793" t="s">
        <v>541</v>
      </c>
      <c r="CU793">
        <v>9133</v>
      </c>
    </row>
    <row r="794" spans="95:99">
      <c r="CQ794" t="s">
        <v>40</v>
      </c>
      <c r="CR794" t="s">
        <v>566</v>
      </c>
      <c r="CS794" t="s">
        <v>46</v>
      </c>
      <c r="CT794" t="s">
        <v>542</v>
      </c>
      <c r="CU794">
        <v>3188</v>
      </c>
    </row>
    <row r="795" spans="95:99">
      <c r="CQ795" t="s">
        <v>40</v>
      </c>
      <c r="CR795" t="s">
        <v>566</v>
      </c>
      <c r="CS795" t="s">
        <v>46</v>
      </c>
      <c r="CT795" t="s">
        <v>137</v>
      </c>
      <c r="CU795">
        <v>1027</v>
      </c>
    </row>
    <row r="796" spans="95:99">
      <c r="CQ796" t="s">
        <v>40</v>
      </c>
      <c r="CR796" t="s">
        <v>566</v>
      </c>
      <c r="CS796" t="s">
        <v>46</v>
      </c>
      <c r="CT796" t="s">
        <v>554</v>
      </c>
      <c r="CU796">
        <v>972</v>
      </c>
    </row>
    <row r="797" spans="95:99">
      <c r="CQ797" t="s">
        <v>40</v>
      </c>
      <c r="CR797" t="s">
        <v>566</v>
      </c>
      <c r="CS797" t="s">
        <v>46</v>
      </c>
      <c r="CT797" t="s">
        <v>543</v>
      </c>
      <c r="CU797">
        <v>990</v>
      </c>
    </row>
    <row r="798" spans="95:99">
      <c r="CQ798" t="s">
        <v>40</v>
      </c>
      <c r="CR798" t="s">
        <v>566</v>
      </c>
      <c r="CS798" t="s">
        <v>46</v>
      </c>
      <c r="CT798" t="s">
        <v>544</v>
      </c>
      <c r="CU798">
        <v>97</v>
      </c>
    </row>
    <row r="799" spans="95:99">
      <c r="CQ799" t="s">
        <v>40</v>
      </c>
      <c r="CR799" t="s">
        <v>566</v>
      </c>
      <c r="CS799" t="s">
        <v>46</v>
      </c>
      <c r="CT799" t="s">
        <v>545</v>
      </c>
      <c r="CU799">
        <v>424</v>
      </c>
    </row>
    <row r="800" spans="95:99">
      <c r="CQ800" t="s">
        <v>40</v>
      </c>
      <c r="CR800" t="s">
        <v>566</v>
      </c>
      <c r="CS800" t="s">
        <v>46</v>
      </c>
      <c r="CT800" t="s">
        <v>546</v>
      </c>
      <c r="CU800">
        <v>107</v>
      </c>
    </row>
    <row r="801" spans="95:99">
      <c r="CQ801" t="s">
        <v>40</v>
      </c>
      <c r="CR801" t="s">
        <v>566</v>
      </c>
      <c r="CS801" t="s">
        <v>46</v>
      </c>
      <c r="CT801" t="s">
        <v>532</v>
      </c>
      <c r="CU801">
        <v>4418</v>
      </c>
    </row>
    <row r="802" spans="95:99">
      <c r="CQ802" t="s">
        <v>40</v>
      </c>
      <c r="CR802" t="s">
        <v>566</v>
      </c>
      <c r="CS802" t="s">
        <v>44</v>
      </c>
    </row>
    <row r="803" spans="95:99">
      <c r="CQ803" t="s">
        <v>40</v>
      </c>
      <c r="CR803" t="s">
        <v>566</v>
      </c>
      <c r="CS803" t="s">
        <v>44</v>
      </c>
      <c r="CT803" t="s">
        <v>521</v>
      </c>
      <c r="CU803">
        <v>26052</v>
      </c>
    </row>
    <row r="804" spans="95:99">
      <c r="CQ804" t="s">
        <v>40</v>
      </c>
      <c r="CR804" t="s">
        <v>566</v>
      </c>
      <c r="CS804" t="s">
        <v>44</v>
      </c>
      <c r="CT804" t="s">
        <v>540</v>
      </c>
      <c r="CU804">
        <v>224</v>
      </c>
    </row>
    <row r="805" spans="95:99">
      <c r="CQ805" t="s">
        <v>40</v>
      </c>
      <c r="CR805" t="s">
        <v>566</v>
      </c>
      <c r="CS805" t="s">
        <v>44</v>
      </c>
      <c r="CT805" t="s">
        <v>541</v>
      </c>
      <c r="CU805">
        <v>7790</v>
      </c>
    </row>
    <row r="806" spans="95:99">
      <c r="CQ806" t="s">
        <v>40</v>
      </c>
      <c r="CR806" t="s">
        <v>566</v>
      </c>
      <c r="CS806" t="s">
        <v>44</v>
      </c>
      <c r="CT806" t="s">
        <v>542</v>
      </c>
      <c r="CU806">
        <v>9970</v>
      </c>
    </row>
    <row r="807" spans="95:99">
      <c r="CQ807" t="s">
        <v>40</v>
      </c>
      <c r="CR807" t="s">
        <v>566</v>
      </c>
      <c r="CS807" t="s">
        <v>44</v>
      </c>
      <c r="CT807" t="s">
        <v>137</v>
      </c>
      <c r="CU807">
        <v>1662</v>
      </c>
    </row>
    <row r="808" spans="95:99">
      <c r="CQ808" t="s">
        <v>40</v>
      </c>
      <c r="CR808" t="s">
        <v>566</v>
      </c>
      <c r="CS808" t="s">
        <v>44</v>
      </c>
      <c r="CT808" t="s">
        <v>554</v>
      </c>
      <c r="CU808">
        <v>1232</v>
      </c>
    </row>
    <row r="809" spans="95:99">
      <c r="CQ809" t="s">
        <v>40</v>
      </c>
      <c r="CR809" t="s">
        <v>566</v>
      </c>
      <c r="CS809" t="s">
        <v>44</v>
      </c>
      <c r="CT809" t="s">
        <v>543</v>
      </c>
      <c r="CU809">
        <v>400</v>
      </c>
    </row>
    <row r="810" spans="95:99">
      <c r="CQ810" t="s">
        <v>40</v>
      </c>
      <c r="CR810" t="s">
        <v>566</v>
      </c>
      <c r="CS810" t="s">
        <v>44</v>
      </c>
      <c r="CT810" t="s">
        <v>544</v>
      </c>
      <c r="CU810">
        <v>97</v>
      </c>
    </row>
    <row r="811" spans="95:99">
      <c r="CQ811" t="s">
        <v>40</v>
      </c>
      <c r="CR811" t="s">
        <v>566</v>
      </c>
      <c r="CS811" t="s">
        <v>44</v>
      </c>
      <c r="CT811" t="s">
        <v>545</v>
      </c>
      <c r="CU811">
        <v>144</v>
      </c>
    </row>
    <row r="812" spans="95:99">
      <c r="CQ812" t="s">
        <v>40</v>
      </c>
      <c r="CR812" t="s">
        <v>566</v>
      </c>
      <c r="CS812" t="s">
        <v>44</v>
      </c>
      <c r="CT812" t="s">
        <v>546</v>
      </c>
      <c r="CU812">
        <v>91</v>
      </c>
    </row>
    <row r="813" spans="95:99">
      <c r="CQ813" t="s">
        <v>40</v>
      </c>
      <c r="CR813" t="s">
        <v>566</v>
      </c>
      <c r="CS813" t="s">
        <v>44</v>
      </c>
      <c r="CT813" t="s">
        <v>532</v>
      </c>
      <c r="CU813">
        <v>4442</v>
      </c>
    </row>
    <row r="814" spans="95:99">
      <c r="CQ814" t="s">
        <v>40</v>
      </c>
      <c r="CR814" t="s">
        <v>566</v>
      </c>
      <c r="CS814" t="s">
        <v>44</v>
      </c>
    </row>
    <row r="815" spans="95:99">
      <c r="CQ815" t="s">
        <v>40</v>
      </c>
      <c r="CR815" t="s">
        <v>566</v>
      </c>
      <c r="CS815" t="s">
        <v>44</v>
      </c>
      <c r="CT815" t="s">
        <v>521</v>
      </c>
      <c r="CU815">
        <v>19315</v>
      </c>
    </row>
    <row r="816" spans="95:99">
      <c r="CQ816" t="s">
        <v>40</v>
      </c>
      <c r="CR816" t="s">
        <v>566</v>
      </c>
      <c r="CS816" t="s">
        <v>44</v>
      </c>
      <c r="CT816" t="s">
        <v>540</v>
      </c>
      <c r="CU816">
        <v>298</v>
      </c>
    </row>
    <row r="817" spans="95:99">
      <c r="CQ817" t="s">
        <v>40</v>
      </c>
      <c r="CR817" t="s">
        <v>566</v>
      </c>
      <c r="CS817" t="s">
        <v>44</v>
      </c>
      <c r="CT817" t="s">
        <v>541</v>
      </c>
      <c r="CU817">
        <v>3088</v>
      </c>
    </row>
    <row r="818" spans="95:99">
      <c r="CQ818" t="s">
        <v>40</v>
      </c>
      <c r="CR818" t="s">
        <v>566</v>
      </c>
      <c r="CS818" t="s">
        <v>44</v>
      </c>
      <c r="CT818" t="s">
        <v>542</v>
      </c>
      <c r="CU818">
        <v>7412</v>
      </c>
    </row>
    <row r="819" spans="95:99">
      <c r="CQ819" t="s">
        <v>40</v>
      </c>
      <c r="CR819" t="s">
        <v>566</v>
      </c>
      <c r="CS819" t="s">
        <v>44</v>
      </c>
      <c r="CT819" t="s">
        <v>137</v>
      </c>
      <c r="CU819">
        <v>1964</v>
      </c>
    </row>
    <row r="820" spans="95:99">
      <c r="CQ820" t="s">
        <v>40</v>
      </c>
      <c r="CR820" t="s">
        <v>566</v>
      </c>
      <c r="CS820" t="s">
        <v>44</v>
      </c>
      <c r="CT820" t="s">
        <v>554</v>
      </c>
      <c r="CU820">
        <v>999</v>
      </c>
    </row>
    <row r="821" spans="95:99">
      <c r="CQ821" t="s">
        <v>40</v>
      </c>
      <c r="CR821" t="s">
        <v>566</v>
      </c>
      <c r="CS821" t="s">
        <v>44</v>
      </c>
      <c r="CT821" t="s">
        <v>543</v>
      </c>
      <c r="CU821">
        <v>231</v>
      </c>
    </row>
    <row r="822" spans="95:99">
      <c r="CQ822" t="s">
        <v>40</v>
      </c>
      <c r="CR822" t="s">
        <v>566</v>
      </c>
      <c r="CS822" t="s">
        <v>44</v>
      </c>
      <c r="CT822" t="s">
        <v>544</v>
      </c>
      <c r="CU822">
        <v>58</v>
      </c>
    </row>
    <row r="823" spans="95:99">
      <c r="CQ823" t="s">
        <v>40</v>
      </c>
      <c r="CR823" t="s">
        <v>566</v>
      </c>
      <c r="CS823" t="s">
        <v>44</v>
      </c>
      <c r="CT823" t="s">
        <v>545</v>
      </c>
      <c r="CU823">
        <v>122</v>
      </c>
    </row>
    <row r="824" spans="95:99">
      <c r="CQ824" t="s">
        <v>40</v>
      </c>
      <c r="CR824" t="s">
        <v>566</v>
      </c>
      <c r="CS824" t="s">
        <v>44</v>
      </c>
      <c r="CT824" t="s">
        <v>546</v>
      </c>
      <c r="CU824">
        <v>52</v>
      </c>
    </row>
    <row r="825" spans="95:99">
      <c r="CQ825" t="s">
        <v>40</v>
      </c>
      <c r="CR825" t="s">
        <v>566</v>
      </c>
      <c r="CS825" t="s">
        <v>44</v>
      </c>
      <c r="CT825" t="s">
        <v>532</v>
      </c>
      <c r="CU825">
        <v>5091</v>
      </c>
    </row>
    <row r="826" spans="95:99">
      <c r="CQ826" t="s">
        <v>40</v>
      </c>
      <c r="CR826" t="s">
        <v>566</v>
      </c>
      <c r="CS826" t="s">
        <v>297</v>
      </c>
    </row>
    <row r="827" spans="95:99">
      <c r="CQ827" t="s">
        <v>40</v>
      </c>
      <c r="CR827" t="s">
        <v>566</v>
      </c>
      <c r="CS827" t="s">
        <v>297</v>
      </c>
      <c r="CT827" t="s">
        <v>521</v>
      </c>
      <c r="CU827">
        <v>26520</v>
      </c>
    </row>
    <row r="828" spans="95:99">
      <c r="CQ828" t="s">
        <v>40</v>
      </c>
      <c r="CR828" t="s">
        <v>566</v>
      </c>
      <c r="CS828" t="s">
        <v>297</v>
      </c>
      <c r="CT828" t="s">
        <v>540</v>
      </c>
      <c r="CU828">
        <v>624</v>
      </c>
    </row>
    <row r="829" spans="95:99">
      <c r="CQ829" t="s">
        <v>40</v>
      </c>
      <c r="CR829" t="s">
        <v>566</v>
      </c>
      <c r="CS829" t="s">
        <v>297</v>
      </c>
      <c r="CT829" t="s">
        <v>541</v>
      </c>
      <c r="CU829">
        <v>489</v>
      </c>
    </row>
    <row r="830" spans="95:99">
      <c r="CQ830" t="s">
        <v>40</v>
      </c>
      <c r="CR830" t="s">
        <v>566</v>
      </c>
      <c r="CS830" t="s">
        <v>297</v>
      </c>
      <c r="CT830" t="s">
        <v>542</v>
      </c>
      <c r="CU830">
        <v>5778</v>
      </c>
    </row>
    <row r="831" spans="95:99">
      <c r="CQ831" t="s">
        <v>40</v>
      </c>
      <c r="CR831" t="s">
        <v>566</v>
      </c>
      <c r="CS831" t="s">
        <v>297</v>
      </c>
      <c r="CT831" t="s">
        <v>137</v>
      </c>
      <c r="CU831">
        <v>11360</v>
      </c>
    </row>
    <row r="832" spans="95:99">
      <c r="CQ832" t="s">
        <v>40</v>
      </c>
      <c r="CR832" t="s">
        <v>566</v>
      </c>
      <c r="CS832" t="s">
        <v>297</v>
      </c>
      <c r="CT832" t="s">
        <v>554</v>
      </c>
      <c r="CU832">
        <v>121</v>
      </c>
    </row>
    <row r="833" spans="95:99">
      <c r="CQ833" t="s">
        <v>40</v>
      </c>
      <c r="CR833" t="s">
        <v>566</v>
      </c>
      <c r="CS833" t="s">
        <v>297</v>
      </c>
      <c r="CT833" t="s">
        <v>543</v>
      </c>
      <c r="CU833">
        <v>33</v>
      </c>
    </row>
    <row r="834" spans="95:99">
      <c r="CQ834" t="s">
        <v>40</v>
      </c>
      <c r="CR834" t="s">
        <v>566</v>
      </c>
      <c r="CS834" t="s">
        <v>297</v>
      </c>
      <c r="CT834" t="s">
        <v>544</v>
      </c>
      <c r="CU834">
        <v>59</v>
      </c>
    </row>
    <row r="835" spans="95:99">
      <c r="CQ835" t="s">
        <v>40</v>
      </c>
      <c r="CR835" t="s">
        <v>566</v>
      </c>
      <c r="CS835" t="s">
        <v>297</v>
      </c>
      <c r="CT835" t="s">
        <v>545</v>
      </c>
      <c r="CU835">
        <v>22</v>
      </c>
    </row>
    <row r="836" spans="95:99">
      <c r="CQ836" t="s">
        <v>40</v>
      </c>
      <c r="CR836" t="s">
        <v>566</v>
      </c>
      <c r="CS836" t="s">
        <v>297</v>
      </c>
      <c r="CT836" t="s">
        <v>546</v>
      </c>
      <c r="CU836">
        <v>114</v>
      </c>
    </row>
    <row r="837" spans="95:99">
      <c r="CQ837" t="s">
        <v>40</v>
      </c>
      <c r="CR837" t="s">
        <v>566</v>
      </c>
      <c r="CS837" t="s">
        <v>297</v>
      </c>
      <c r="CT837" t="s">
        <v>532</v>
      </c>
      <c r="CU837">
        <v>7920</v>
      </c>
    </row>
    <row r="838" spans="95:99">
      <c r="CQ838" t="s">
        <v>40</v>
      </c>
      <c r="CR838" t="s">
        <v>566</v>
      </c>
      <c r="CS838" t="s">
        <v>297</v>
      </c>
    </row>
    <row r="839" spans="95:99">
      <c r="CQ839" t="s">
        <v>40</v>
      </c>
      <c r="CR839" t="s">
        <v>566</v>
      </c>
      <c r="CS839" t="s">
        <v>297</v>
      </c>
      <c r="CT839" t="s">
        <v>521</v>
      </c>
      <c r="CU839">
        <v>8207</v>
      </c>
    </row>
    <row r="840" spans="95:99">
      <c r="CQ840" t="s">
        <v>40</v>
      </c>
      <c r="CR840" t="s">
        <v>566</v>
      </c>
      <c r="CS840" t="s">
        <v>297</v>
      </c>
      <c r="CT840" t="s">
        <v>540</v>
      </c>
      <c r="CU840">
        <v>357</v>
      </c>
    </row>
    <row r="841" spans="95:99">
      <c r="CQ841" t="s">
        <v>40</v>
      </c>
      <c r="CR841" t="s">
        <v>566</v>
      </c>
      <c r="CS841" t="s">
        <v>297</v>
      </c>
      <c r="CT841" t="s">
        <v>541</v>
      </c>
      <c r="CU841">
        <v>675</v>
      </c>
    </row>
    <row r="842" spans="95:99">
      <c r="CQ842" t="s">
        <v>40</v>
      </c>
      <c r="CR842" t="s">
        <v>566</v>
      </c>
      <c r="CS842" t="s">
        <v>297</v>
      </c>
      <c r="CT842" t="s">
        <v>542</v>
      </c>
      <c r="CU842">
        <v>1108</v>
      </c>
    </row>
    <row r="843" spans="95:99">
      <c r="CQ843" t="s">
        <v>40</v>
      </c>
      <c r="CR843" t="s">
        <v>566</v>
      </c>
      <c r="CS843" t="s">
        <v>297</v>
      </c>
      <c r="CT843" t="s">
        <v>137</v>
      </c>
      <c r="CU843">
        <v>2946</v>
      </c>
    </row>
    <row r="844" spans="95:99">
      <c r="CQ844" t="s">
        <v>40</v>
      </c>
      <c r="CR844" t="s">
        <v>566</v>
      </c>
      <c r="CS844" t="s">
        <v>297</v>
      </c>
      <c r="CT844" t="s">
        <v>554</v>
      </c>
      <c r="CU844">
        <v>71</v>
      </c>
    </row>
    <row r="845" spans="95:99">
      <c r="CQ845" t="s">
        <v>40</v>
      </c>
      <c r="CR845" t="s">
        <v>566</v>
      </c>
      <c r="CS845" t="s">
        <v>297</v>
      </c>
      <c r="CT845" t="s">
        <v>543</v>
      </c>
      <c r="CU845">
        <v>28</v>
      </c>
    </row>
    <row r="846" spans="95:99">
      <c r="CQ846" t="s">
        <v>40</v>
      </c>
      <c r="CR846" t="s">
        <v>566</v>
      </c>
      <c r="CS846" t="s">
        <v>297</v>
      </c>
      <c r="CT846" t="s">
        <v>544</v>
      </c>
      <c r="CU846">
        <v>19</v>
      </c>
    </row>
    <row r="847" spans="95:99">
      <c r="CQ847" t="s">
        <v>40</v>
      </c>
      <c r="CR847" t="s">
        <v>566</v>
      </c>
      <c r="CS847" t="s">
        <v>297</v>
      </c>
      <c r="CT847" t="s">
        <v>545</v>
      </c>
      <c r="CU847">
        <v>19</v>
      </c>
    </row>
    <row r="848" spans="95:99">
      <c r="CQ848" t="s">
        <v>40</v>
      </c>
      <c r="CR848" t="s">
        <v>566</v>
      </c>
      <c r="CS848" t="s">
        <v>297</v>
      </c>
      <c r="CT848" t="s">
        <v>546</v>
      </c>
      <c r="CU848">
        <v>56</v>
      </c>
    </row>
    <row r="849" spans="95:99">
      <c r="CQ849" t="s">
        <v>40</v>
      </c>
      <c r="CR849" t="s">
        <v>566</v>
      </c>
      <c r="CS849" t="s">
        <v>297</v>
      </c>
      <c r="CT849" t="s">
        <v>532</v>
      </c>
      <c r="CU849">
        <v>2928</v>
      </c>
    </row>
    <row r="850" spans="95:99">
      <c r="CQ850" t="s">
        <v>40</v>
      </c>
      <c r="CR850" t="s">
        <v>566</v>
      </c>
      <c r="CS850" t="s">
        <v>532</v>
      </c>
    </row>
    <row r="851" spans="95:99">
      <c r="CQ851" t="s">
        <v>40</v>
      </c>
      <c r="CR851" t="s">
        <v>566</v>
      </c>
      <c r="CS851" t="s">
        <v>532</v>
      </c>
      <c r="CT851" t="s">
        <v>521</v>
      </c>
      <c r="CU851">
        <v>13432</v>
      </c>
    </row>
    <row r="852" spans="95:99">
      <c r="CQ852" t="s">
        <v>40</v>
      </c>
      <c r="CR852" t="s">
        <v>566</v>
      </c>
      <c r="CS852" t="s">
        <v>532</v>
      </c>
      <c r="CT852" t="s">
        <v>540</v>
      </c>
      <c r="CU852">
        <v>93</v>
      </c>
    </row>
    <row r="853" spans="95:99">
      <c r="CQ853" t="s">
        <v>40</v>
      </c>
      <c r="CR853" t="s">
        <v>566</v>
      </c>
      <c r="CS853" t="s">
        <v>532</v>
      </c>
      <c r="CT853" t="s">
        <v>541</v>
      </c>
      <c r="CU853">
        <v>1440</v>
      </c>
    </row>
    <row r="854" spans="95:99">
      <c r="CQ854" t="s">
        <v>40</v>
      </c>
      <c r="CR854" t="s">
        <v>566</v>
      </c>
      <c r="CS854" t="s">
        <v>532</v>
      </c>
      <c r="CT854" t="s">
        <v>542</v>
      </c>
      <c r="CU854">
        <v>1926</v>
      </c>
    </row>
    <row r="855" spans="95:99">
      <c r="CQ855" t="s">
        <v>40</v>
      </c>
      <c r="CR855" t="s">
        <v>566</v>
      </c>
      <c r="CS855" t="s">
        <v>532</v>
      </c>
      <c r="CT855" t="s">
        <v>137</v>
      </c>
      <c r="CU855">
        <v>836</v>
      </c>
    </row>
    <row r="856" spans="95:99">
      <c r="CQ856" t="s">
        <v>40</v>
      </c>
      <c r="CR856" t="s">
        <v>566</v>
      </c>
      <c r="CS856" t="s">
        <v>532</v>
      </c>
      <c r="CT856" t="s">
        <v>554</v>
      </c>
      <c r="CU856">
        <v>332</v>
      </c>
    </row>
    <row r="857" spans="95:99">
      <c r="CQ857" t="s">
        <v>40</v>
      </c>
      <c r="CR857" t="s">
        <v>566</v>
      </c>
      <c r="CS857" t="s">
        <v>532</v>
      </c>
      <c r="CT857" t="s">
        <v>543</v>
      </c>
      <c r="CU857">
        <v>164</v>
      </c>
    </row>
    <row r="858" spans="95:99">
      <c r="CQ858" t="s">
        <v>40</v>
      </c>
      <c r="CR858" t="s">
        <v>566</v>
      </c>
      <c r="CS858" t="s">
        <v>532</v>
      </c>
      <c r="CT858" t="s">
        <v>544</v>
      </c>
      <c r="CU858">
        <v>15</v>
      </c>
    </row>
    <row r="859" spans="95:99">
      <c r="CQ859" t="s">
        <v>40</v>
      </c>
      <c r="CR859" t="s">
        <v>566</v>
      </c>
      <c r="CS859" t="s">
        <v>532</v>
      </c>
      <c r="CT859" t="s">
        <v>545</v>
      </c>
      <c r="CU859">
        <v>59</v>
      </c>
    </row>
    <row r="860" spans="95:99">
      <c r="CQ860" t="s">
        <v>40</v>
      </c>
      <c r="CR860" t="s">
        <v>566</v>
      </c>
      <c r="CS860" t="s">
        <v>532</v>
      </c>
      <c r="CT860" t="s">
        <v>546</v>
      </c>
      <c r="CU860">
        <v>27</v>
      </c>
    </row>
    <row r="861" spans="95:99">
      <c r="CQ861" t="s">
        <v>40</v>
      </c>
      <c r="CR861" t="s">
        <v>566</v>
      </c>
      <c r="CS861" t="s">
        <v>532</v>
      </c>
      <c r="CT861" t="s">
        <v>532</v>
      </c>
      <c r="CU861">
        <v>8540</v>
      </c>
    </row>
    <row r="862" spans="95:99">
      <c r="CQ862" t="s">
        <v>40</v>
      </c>
    </row>
    <row r="863" spans="95:99">
      <c r="CQ863" t="s">
        <v>40</v>
      </c>
    </row>
    <row r="864" spans="95:99">
      <c r="CQ864" t="s">
        <v>40</v>
      </c>
    </row>
    <row r="865" spans="95:95">
      <c r="CQ865" t="s">
        <v>40</v>
      </c>
    </row>
    <row r="866" spans="95:95">
      <c r="CQ866" t="s">
        <v>40</v>
      </c>
    </row>
    <row r="867" spans="95:95">
      <c r="CQ867" t="s">
        <v>40</v>
      </c>
    </row>
    <row r="868" spans="95:95">
      <c r="CQ868" t="s">
        <v>40</v>
      </c>
    </row>
    <row r="869" spans="95:95">
      <c r="CQ869" t="s">
        <v>40</v>
      </c>
    </row>
    <row r="870" spans="95:95">
      <c r="CQ870" t="s">
        <v>40</v>
      </c>
    </row>
    <row r="871" spans="95:95">
      <c r="CQ871" t="s">
        <v>40</v>
      </c>
    </row>
    <row r="872" spans="95:95">
      <c r="CQ872" t="s">
        <v>40</v>
      </c>
    </row>
    <row r="873" spans="95:95">
      <c r="CQ873" t="s">
        <v>40</v>
      </c>
    </row>
    <row r="874" spans="95:95">
      <c r="CQ874" t="s">
        <v>40</v>
      </c>
    </row>
    <row r="875" spans="95:95">
      <c r="CQ875" t="s">
        <v>40</v>
      </c>
    </row>
    <row r="876" spans="95:95">
      <c r="CQ876" t="s">
        <v>40</v>
      </c>
    </row>
    <row r="877" spans="95:95">
      <c r="CQ877" t="s">
        <v>40</v>
      </c>
    </row>
    <row r="878" spans="95:95">
      <c r="CQ878" t="s">
        <v>40</v>
      </c>
    </row>
    <row r="879" spans="95:95">
      <c r="CQ879" t="s">
        <v>40</v>
      </c>
    </row>
    <row r="880" spans="95:95">
      <c r="CQ880" t="s">
        <v>40</v>
      </c>
    </row>
    <row r="881" spans="95:95">
      <c r="CQ881" t="s">
        <v>40</v>
      </c>
    </row>
    <row r="882" spans="95:95">
      <c r="CQ882" t="s">
        <v>40</v>
      </c>
    </row>
    <row r="883" spans="95:95">
      <c r="CQ883" t="s">
        <v>40</v>
      </c>
    </row>
    <row r="884" spans="95:95">
      <c r="CQ884" t="s">
        <v>40</v>
      </c>
    </row>
    <row r="885" spans="95:95">
      <c r="CQ885" t="s">
        <v>40</v>
      </c>
    </row>
    <row r="886" spans="95:95">
      <c r="CQ886" t="s">
        <v>40</v>
      </c>
    </row>
    <row r="887" spans="95:95">
      <c r="CQ887" t="s">
        <v>40</v>
      </c>
    </row>
    <row r="888" spans="95:95">
      <c r="CQ888" t="s">
        <v>40</v>
      </c>
    </row>
    <row r="889" spans="95:95">
      <c r="CQ889" t="s">
        <v>40</v>
      </c>
    </row>
    <row r="890" spans="95:95">
      <c r="CQ890" t="s">
        <v>40</v>
      </c>
    </row>
    <row r="891" spans="95:95">
      <c r="CQ891" t="s">
        <v>40</v>
      </c>
    </row>
    <row r="892" spans="95:95">
      <c r="CQ892" t="s">
        <v>40</v>
      </c>
    </row>
    <row r="893" spans="95:95">
      <c r="CQ893" t="s">
        <v>40</v>
      </c>
    </row>
    <row r="894" spans="95:95">
      <c r="CQ894" t="s">
        <v>40</v>
      </c>
    </row>
    <row r="895" spans="95:95">
      <c r="CQ895" t="s">
        <v>40</v>
      </c>
    </row>
    <row r="896" spans="95:95">
      <c r="CQ896" t="s">
        <v>40</v>
      </c>
    </row>
    <row r="897" spans="95:95">
      <c r="CQ897" t="s">
        <v>40</v>
      </c>
    </row>
    <row r="898" spans="95:95">
      <c r="CQ898" t="s">
        <v>40</v>
      </c>
    </row>
    <row r="899" spans="95:95">
      <c r="CQ899" t="s">
        <v>40</v>
      </c>
    </row>
    <row r="900" spans="95:95">
      <c r="CQ900" t="s">
        <v>40</v>
      </c>
    </row>
    <row r="901" spans="95:95">
      <c r="CQ901" t="s">
        <v>40</v>
      </c>
    </row>
    <row r="902" spans="95:95">
      <c r="CQ902" t="s">
        <v>40</v>
      </c>
    </row>
    <row r="903" spans="95:95">
      <c r="CQ903" t="s">
        <v>40</v>
      </c>
    </row>
    <row r="904" spans="95:95">
      <c r="CQ904" t="s">
        <v>40</v>
      </c>
    </row>
    <row r="905" spans="95:95">
      <c r="CQ905" t="s">
        <v>40</v>
      </c>
    </row>
    <row r="906" spans="95:95">
      <c r="CQ906" t="s">
        <v>40</v>
      </c>
    </row>
    <row r="907" spans="95:95">
      <c r="CQ907" t="s">
        <v>40</v>
      </c>
    </row>
    <row r="908" spans="95:95">
      <c r="CQ908" t="s">
        <v>40</v>
      </c>
    </row>
    <row r="909" spans="95:95">
      <c r="CQ909" t="s">
        <v>40</v>
      </c>
    </row>
    <row r="910" spans="95:95">
      <c r="CQ910" t="s">
        <v>40</v>
      </c>
    </row>
    <row r="911" spans="95:95">
      <c r="CQ911" t="s">
        <v>40</v>
      </c>
    </row>
    <row r="912" spans="95:95">
      <c r="CQ912" t="s">
        <v>40</v>
      </c>
    </row>
    <row r="913" spans="95:95">
      <c r="CQ913" t="s">
        <v>40</v>
      </c>
    </row>
    <row r="914" spans="95:95">
      <c r="CQ914" t="s">
        <v>40</v>
      </c>
    </row>
    <row r="915" spans="95:95">
      <c r="CQ915" t="s">
        <v>40</v>
      </c>
    </row>
    <row r="916" spans="95:95">
      <c r="CQ916" t="s">
        <v>40</v>
      </c>
    </row>
    <row r="917" spans="95:95">
      <c r="CQ917" t="s">
        <v>40</v>
      </c>
    </row>
    <row r="918" spans="95:95">
      <c r="CQ918" t="s">
        <v>40</v>
      </c>
    </row>
    <row r="919" spans="95:95">
      <c r="CQ919" t="s">
        <v>40</v>
      </c>
    </row>
    <row r="920" spans="95:95">
      <c r="CQ920" t="s">
        <v>40</v>
      </c>
    </row>
    <row r="921" spans="95:95">
      <c r="CQ921" t="s">
        <v>40</v>
      </c>
    </row>
    <row r="922" spans="95:95">
      <c r="CQ922" t="s">
        <v>40</v>
      </c>
    </row>
    <row r="923" spans="95:95">
      <c r="CQ923" t="s">
        <v>40</v>
      </c>
    </row>
    <row r="924" spans="95:95">
      <c r="CQ924" t="s">
        <v>40</v>
      </c>
    </row>
    <row r="925" spans="95:95">
      <c r="CQ925" t="s">
        <v>40</v>
      </c>
    </row>
    <row r="926" spans="95:95">
      <c r="CQ926" t="s">
        <v>40</v>
      </c>
    </row>
    <row r="927" spans="95:95">
      <c r="CQ927" t="s">
        <v>40</v>
      </c>
    </row>
    <row r="928" spans="95:95">
      <c r="CQ928" t="s">
        <v>40</v>
      </c>
    </row>
    <row r="929" spans="95:95">
      <c r="CQ929" t="s">
        <v>40</v>
      </c>
    </row>
    <row r="930" spans="95:95">
      <c r="CQ930" t="s">
        <v>40</v>
      </c>
    </row>
    <row r="931" spans="95:95">
      <c r="CQ931" t="s">
        <v>40</v>
      </c>
    </row>
    <row r="932" spans="95:95">
      <c r="CQ932" t="s">
        <v>40</v>
      </c>
    </row>
    <row r="933" spans="95:95">
      <c r="CQ933" t="s">
        <v>40</v>
      </c>
    </row>
    <row r="934" spans="95:95">
      <c r="CQ934" t="s">
        <v>40</v>
      </c>
    </row>
    <row r="935" spans="95:95">
      <c r="CQ935" t="s">
        <v>40</v>
      </c>
    </row>
    <row r="936" spans="95:95">
      <c r="CQ936" t="s">
        <v>40</v>
      </c>
    </row>
    <row r="937" spans="95:95">
      <c r="CQ937" t="s">
        <v>40</v>
      </c>
    </row>
    <row r="938" spans="95:95">
      <c r="CQ938" t="s">
        <v>40</v>
      </c>
    </row>
    <row r="939" spans="95:95">
      <c r="CQ939" t="s">
        <v>40</v>
      </c>
    </row>
    <row r="940" spans="95:95">
      <c r="CQ940" t="s">
        <v>40</v>
      </c>
    </row>
    <row r="941" spans="95:95">
      <c r="CQ941" t="s">
        <v>40</v>
      </c>
    </row>
    <row r="942" spans="95:95">
      <c r="CQ942" t="s">
        <v>40</v>
      </c>
    </row>
    <row r="943" spans="95:95">
      <c r="CQ943" t="s">
        <v>40</v>
      </c>
    </row>
    <row r="944" spans="95:95">
      <c r="CQ944" t="s">
        <v>40</v>
      </c>
    </row>
    <row r="945" spans="95:95">
      <c r="CQ945" t="s">
        <v>40</v>
      </c>
    </row>
    <row r="946" spans="95:95">
      <c r="CQ946" t="s">
        <v>40</v>
      </c>
    </row>
    <row r="947" spans="95:95">
      <c r="CQ947" t="s">
        <v>40</v>
      </c>
    </row>
  </sheetData>
  <mergeCells count="10">
    <mergeCell ref="BL19:BX19"/>
    <mergeCell ref="AB19:AL19"/>
    <mergeCell ref="AN19:AW19"/>
    <mergeCell ref="B4:L4"/>
    <mergeCell ref="O19:Z19"/>
    <mergeCell ref="AY18:BJ18"/>
    <mergeCell ref="AY19:BJ19"/>
    <mergeCell ref="BL18:BX18"/>
    <mergeCell ref="B19:M19"/>
    <mergeCell ref="O4:Y4"/>
  </mergeCells>
  <phoneticPr fontId="20" type="noConversion"/>
  <conditionalFormatting sqref="AC22:AK30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34:AK42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46:AK54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22:AW30 AY22:AY30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">
      <colorScale>
        <cfvo type="min"/>
        <cfvo type="max"/>
        <color rgb="FF63BE7B"/>
        <color rgb="FFFFEF9C"/>
      </colorScale>
    </cfRule>
  </conditionalFormatting>
  <conditionalFormatting sqref="AO34:AW4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">
      <colorScale>
        <cfvo type="min"/>
        <cfvo type="max"/>
        <color rgb="FF63BE7B"/>
        <color rgb="FFFFEF9C"/>
      </colorScale>
    </cfRule>
  </conditionalFormatting>
  <conditionalFormatting sqref="AO46:AW54 AY48:AY5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max"/>
        <color rgb="FF63BE7B"/>
        <color rgb="FFFFEF9C"/>
      </colorScale>
    </cfRule>
  </conditionalFormatting>
  <conditionalFormatting sqref="AY35:AY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63BE7B"/>
        <color rgb="FFFFEF9C"/>
      </colorScale>
    </cfRule>
  </conditionalFormatting>
  <conditionalFormatting sqref="BI48:BI56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7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4"/>
  <dimension ref="A2:U38"/>
  <sheetViews>
    <sheetView workbookViewId="0">
      <selection activeCell="H28" sqref="H28"/>
    </sheetView>
  </sheetViews>
  <sheetFormatPr defaultColWidth="9.1796875" defaultRowHeight="13"/>
  <cols>
    <col min="1" max="2" width="4.7265625" style="25" customWidth="1"/>
    <col min="3" max="3" width="6.81640625" style="25" customWidth="1"/>
    <col min="4" max="4" width="9.7265625" style="25" bestFit="1" customWidth="1"/>
    <col min="5" max="5" width="15.453125" style="25" bestFit="1" customWidth="1"/>
    <col min="6" max="6" width="37.54296875" style="25" bestFit="1" customWidth="1"/>
    <col min="7" max="7" width="4.81640625" style="25" bestFit="1" customWidth="1"/>
    <col min="8" max="8" width="10.81640625" style="25" bestFit="1" customWidth="1"/>
    <col min="9" max="9" width="8.7265625" style="25" bestFit="1" customWidth="1"/>
    <col min="10" max="11" width="9.1796875" style="25"/>
    <col min="12" max="12" width="4.453125" style="25" customWidth="1"/>
    <col min="13" max="13" width="7.81640625" style="25" customWidth="1"/>
    <col min="14" max="14" width="9.7265625" style="25" bestFit="1" customWidth="1"/>
    <col min="15" max="15" width="14.1796875" style="25" customWidth="1"/>
    <col min="16" max="16" width="30.81640625" style="25" bestFit="1" customWidth="1"/>
    <col min="17" max="17" width="11.54296875" style="25" bestFit="1" customWidth="1"/>
    <col min="18" max="18" width="10.26953125" style="25" bestFit="1" customWidth="1"/>
    <col min="19" max="19" width="8.7265625" style="25" bestFit="1" customWidth="1"/>
    <col min="20" max="20" width="9.1796875" style="25"/>
    <col min="21" max="21" width="8.26953125" style="25" bestFit="1" customWidth="1"/>
    <col min="22" max="22" width="4.26953125" style="25" bestFit="1" customWidth="1"/>
    <col min="23" max="23" width="10" style="25" bestFit="1" customWidth="1"/>
    <col min="24" max="16384" width="9.1796875" style="25"/>
  </cols>
  <sheetData>
    <row r="2" spans="1:21" ht="21">
      <c r="C2" s="510" t="s">
        <v>230</v>
      </c>
      <c r="D2" s="510"/>
      <c r="M2" s="510" t="s">
        <v>230</v>
      </c>
      <c r="N2" s="511"/>
    </row>
    <row r="3" spans="1:21" ht="14.5">
      <c r="C3" s="19" t="s">
        <v>763</v>
      </c>
      <c r="D3" s="19"/>
      <c r="E3" s="513"/>
      <c r="F3" s="513"/>
      <c r="G3" s="513"/>
      <c r="H3" s="513"/>
      <c r="I3" s="513"/>
      <c r="J3" s="513"/>
      <c r="K3" s="512"/>
      <c r="M3" s="19" t="s">
        <v>763</v>
      </c>
      <c r="N3" s="19"/>
      <c r="O3" s="19"/>
      <c r="P3" s="19"/>
      <c r="Q3" s="19"/>
      <c r="R3" s="19"/>
      <c r="S3" s="19"/>
      <c r="T3" s="19"/>
      <c r="U3" s="512"/>
    </row>
    <row r="4" spans="1:21" ht="15" thickBot="1">
      <c r="C4" s="20" t="s">
        <v>231</v>
      </c>
      <c r="D4" s="20" t="s">
        <v>764</v>
      </c>
      <c r="E4" s="20" t="s">
        <v>232</v>
      </c>
      <c r="F4" s="20" t="s">
        <v>233</v>
      </c>
      <c r="G4" s="20" t="s">
        <v>234</v>
      </c>
      <c r="H4" s="20" t="s">
        <v>235</v>
      </c>
      <c r="I4" s="20" t="s">
        <v>236</v>
      </c>
      <c r="J4" s="20" t="s">
        <v>237</v>
      </c>
      <c r="K4" s="20" t="s">
        <v>238</v>
      </c>
      <c r="M4" s="20" t="s">
        <v>231</v>
      </c>
      <c r="N4" s="20" t="s">
        <v>764</v>
      </c>
      <c r="O4" s="20" t="s">
        <v>232</v>
      </c>
      <c r="P4" s="20" t="s">
        <v>233</v>
      </c>
      <c r="Q4" s="20" t="s">
        <v>234</v>
      </c>
      <c r="R4" s="20" t="s">
        <v>235</v>
      </c>
      <c r="S4" s="20" t="s">
        <v>236</v>
      </c>
      <c r="T4" s="20" t="s">
        <v>237</v>
      </c>
      <c r="U4" s="20" t="s">
        <v>238</v>
      </c>
    </row>
    <row r="5" spans="1:21" ht="36.75" customHeight="1" thickBot="1">
      <c r="C5" s="257" t="s">
        <v>239</v>
      </c>
      <c r="D5" s="257" t="s">
        <v>765</v>
      </c>
      <c r="E5" s="257" t="s">
        <v>240</v>
      </c>
      <c r="F5" s="257" t="s">
        <v>241</v>
      </c>
      <c r="G5" s="258" t="s">
        <v>234</v>
      </c>
      <c r="H5" s="258" t="s">
        <v>242</v>
      </c>
      <c r="I5" s="258" t="s">
        <v>243</v>
      </c>
      <c r="J5" s="258" t="s">
        <v>244</v>
      </c>
      <c r="K5" s="258" t="s">
        <v>245</v>
      </c>
      <c r="M5" s="257" t="s">
        <v>239</v>
      </c>
      <c r="N5" s="257" t="s">
        <v>765</v>
      </c>
      <c r="O5" s="257" t="s">
        <v>240</v>
      </c>
      <c r="P5" s="257" t="s">
        <v>241</v>
      </c>
      <c r="Q5" s="257" t="s">
        <v>234</v>
      </c>
      <c r="R5" s="257" t="s">
        <v>242</v>
      </c>
      <c r="S5" s="257" t="s">
        <v>243</v>
      </c>
      <c r="T5" s="257" t="s">
        <v>244</v>
      </c>
      <c r="U5" s="257" t="s">
        <v>245</v>
      </c>
    </row>
    <row r="6" spans="1:21">
      <c r="A6" s="25" t="str">
        <f>TRIM(SETUP!A8)</f>
        <v/>
      </c>
      <c r="C6" s="25" t="str">
        <f>A6&amp;"NRG"</f>
        <v>NRG</v>
      </c>
      <c r="D6" s="238" t="str">
        <f>_xlfn.TEXTJOIN(",",TRUE,IF(LEFT(Regions!$C$3,1)&lt;&gt;"*",Regions!$C$3,""),IF(LEFT(Regions!$D$3,1)&lt;&gt;"*",Regions!$D$3,""))</f>
        <v>IE,National</v>
      </c>
      <c r="E6" s="25" t="str">
        <f>SETUP!B8</f>
        <v>RSDCOA</v>
      </c>
      <c r="F6" s="25" t="str">
        <f>SETUP!C8</f>
        <v>Coal to Residential</v>
      </c>
      <c r="G6" s="46" t="s">
        <v>13</v>
      </c>
      <c r="H6" s="25" t="s">
        <v>823</v>
      </c>
      <c r="J6" s="25" t="s">
        <v>246</v>
      </c>
      <c r="K6" s="25" t="s">
        <v>246</v>
      </c>
      <c r="M6" s="238" t="s">
        <v>247</v>
      </c>
      <c r="N6" s="238" t="str">
        <f>_xlfn.TEXTJOIN(",",TRUE,IF(LEFT(Regions!$C$3,1)&lt;&gt;"*",Regions!$C$3,""),IF(LEFT(Regions!$D$3,1)&lt;&gt;"*",Regions!$D$3,""))</f>
        <v>IE,National</v>
      </c>
      <c r="O6" s="238" t="str">
        <f>_xlfn.TEXTJOIN("",TRUE,SETUP!B$3,"_",SETUP!B36)</f>
        <v>RSD_Apt</v>
      </c>
      <c r="P6" s="238" t="str">
        <f>_xlfn.TEXTJOIN(" ",TRUE,SETUP!C$3,SETUP!C36, "Demand")</f>
        <v>Residential Apartment Demand</v>
      </c>
      <c r="Q6" s="238" t="s">
        <v>248</v>
      </c>
      <c r="R6" s="238" t="s">
        <v>823</v>
      </c>
      <c r="S6" s="238"/>
      <c r="T6" s="238"/>
      <c r="U6" s="238"/>
    </row>
    <row r="7" spans="1:21">
      <c r="A7" s="25" t="str">
        <f>TRIM(SETUP!A9)</f>
        <v/>
      </c>
      <c r="C7" s="25" t="str">
        <f t="shared" ref="C7:C25" si="0">A7&amp;"NRG"</f>
        <v>NRG</v>
      </c>
      <c r="D7" s="25" t="str">
        <f>_xlfn.TEXTJOIN(",",TRUE,IF(LEFT(Regions!$C$3,1)&lt;&gt;"*",Regions!$C$3,""),IF(LEFT(Regions!$D$3,1)&lt;&gt;"*",Regions!$D$3,""))</f>
        <v>IE,National</v>
      </c>
      <c r="E7" s="25" t="str">
        <f>SETUP!B9</f>
        <v>RSDPEA</v>
      </c>
      <c r="F7" s="25" t="str">
        <f>SETUP!C9</f>
        <v>Peat to Residential</v>
      </c>
      <c r="G7" s="46" t="s">
        <v>13</v>
      </c>
      <c r="H7" s="25" t="s">
        <v>823</v>
      </c>
      <c r="M7" s="25" t="s">
        <v>247</v>
      </c>
      <c r="N7" s="25" t="str">
        <f>_xlfn.TEXTJOIN(",",TRUE,IF(LEFT(Regions!$C$3,1)&lt;&gt;"*",Regions!$C$3,""),IF(LEFT(Regions!$D$3,1)&lt;&gt;"*",Regions!$D$3,""))</f>
        <v>IE,National</v>
      </c>
      <c r="O7" s="25" t="str">
        <f>_xlfn.TEXTJOIN("",TRUE,SETUP!B$3,"_",SETUP!B37)</f>
        <v>RSD_Att</v>
      </c>
      <c r="P7" s="25" t="str">
        <f>_xlfn.TEXTJOIN(" ",TRUE,SETUP!C$3,SETUP!C37, "Demand")</f>
        <v>Residential Attached Demand</v>
      </c>
      <c r="Q7" s="25" t="s">
        <v>248</v>
      </c>
      <c r="R7" s="25" t="s">
        <v>823</v>
      </c>
    </row>
    <row r="8" spans="1:21" ht="13.5" thickBot="1">
      <c r="A8" s="25" t="str">
        <f>TRIM(SETUP!A10)</f>
        <v/>
      </c>
      <c r="C8" s="25" t="str">
        <f t="shared" si="0"/>
        <v>NRG</v>
      </c>
      <c r="D8" s="25" t="str">
        <f>_xlfn.TEXTJOIN(",",TRUE,IF(LEFT(Regions!$C$3,1)&lt;&gt;"*",Regions!$C$3,""),IF(LEFT(Regions!$D$3,1)&lt;&gt;"*",Regions!$D$3,""))</f>
        <v>IE,National</v>
      </c>
      <c r="E8" s="25" t="str">
        <f>SETUP!B10</f>
        <v>RSDLPG</v>
      </c>
      <c r="F8" s="25" t="str">
        <f>SETUP!C10</f>
        <v>LPG to Residential</v>
      </c>
      <c r="G8" s="46" t="s">
        <v>13</v>
      </c>
      <c r="H8" s="25" t="s">
        <v>823</v>
      </c>
      <c r="M8" s="239" t="s">
        <v>247</v>
      </c>
      <c r="N8" s="239" t="str">
        <f>_xlfn.TEXTJOIN(",",TRUE,IF(LEFT(Regions!$C$3,1)&lt;&gt;"*",Regions!$C$3,""),IF(LEFT(Regions!$D$3,1)&lt;&gt;"*",Regions!$D$3,""))</f>
        <v>IE,National</v>
      </c>
      <c r="O8" s="239" t="str">
        <f>_xlfn.TEXTJOIN("",TRUE,SETUP!B$3,"_",SETUP!B38)</f>
        <v>RSD_Det</v>
      </c>
      <c r="P8" s="239" t="str">
        <f>_xlfn.TEXTJOIN(" ",TRUE,SETUP!C$3,SETUP!C38, "Demand")</f>
        <v>Residential Detached Demand</v>
      </c>
      <c r="Q8" s="239" t="s">
        <v>248</v>
      </c>
      <c r="R8" s="239" t="s">
        <v>823</v>
      </c>
      <c r="S8" s="239"/>
      <c r="T8" s="239"/>
      <c r="U8" s="239"/>
    </row>
    <row r="9" spans="1:21">
      <c r="A9" s="25" t="str">
        <f>TRIM(SETUP!A11)</f>
        <v>*</v>
      </c>
      <c r="C9" s="25" t="str">
        <f t="shared" si="0"/>
        <v>*NRG</v>
      </c>
      <c r="D9" s="25" t="str">
        <f>_xlfn.TEXTJOIN(",",TRUE,IF(LEFT(Regions!$C$3,1)&lt;&gt;"*",Regions!$C$3,""),IF(LEFT(Regions!$D$3,1)&lt;&gt;"*",Regions!$D$3,""))</f>
        <v>IE,National</v>
      </c>
      <c r="E9" s="25" t="str">
        <f>SETUP!B11</f>
        <v>RSDGSL</v>
      </c>
      <c r="F9" s="25" t="str">
        <f>SETUP!C11</f>
        <v>Gasoline to Residential</v>
      </c>
      <c r="G9" s="46" t="s">
        <v>13</v>
      </c>
      <c r="H9" s="25" t="s">
        <v>823</v>
      </c>
      <c r="M9" s="25" t="s">
        <v>250</v>
      </c>
      <c r="N9" s="25" t="str">
        <f>_xlfn.TEXTJOIN(",",TRUE,IF(LEFT(Regions!$C$3,1)&lt;&gt;"*",Regions!$C$3,""),IF(LEFT(Regions!$D$3,1)&lt;&gt;"*",Regions!$D$3,""))</f>
        <v>IE,National</v>
      </c>
      <c r="O9" s="25" t="str">
        <f>_xlfn.TEXTJOIN("",TRUE,SETUP!B$3,SETUP!B$50,"_",SETUP!B$36,"-AB")</f>
        <v>RSDSH_Apt-AB</v>
      </c>
      <c r="P9" s="25" t="str">
        <f>_xlfn.TEXTJOIN(" ",TRUE,SETUP!C$3,SETUP!C$50,SETUP!C$36)</f>
        <v>Residential Space Heating Apartment</v>
      </c>
      <c r="Q9" s="25" t="s">
        <v>13</v>
      </c>
    </row>
    <row r="10" spans="1:21">
      <c r="A10" s="25" t="str">
        <f>TRIM(SETUP!A12)</f>
        <v/>
      </c>
      <c r="C10" s="25" t="str">
        <f t="shared" si="0"/>
        <v>NRG</v>
      </c>
      <c r="D10" s="25" t="str">
        <f>_xlfn.TEXTJOIN(",",TRUE,IF(LEFT(Regions!$C$3,1)&lt;&gt;"*",Regions!$C$3,""),IF(LEFT(Regions!$D$3,1)&lt;&gt;"*",Regions!$D$3,""))</f>
        <v>IE,National</v>
      </c>
      <c r="E10" s="25" t="str">
        <f>SETUP!B12</f>
        <v>RSDKER</v>
      </c>
      <c r="F10" s="25" t="str">
        <f>SETUP!C12</f>
        <v>Kerosene to Residential</v>
      </c>
      <c r="G10" s="46" t="s">
        <v>13</v>
      </c>
      <c r="H10" s="25" t="s">
        <v>823</v>
      </c>
      <c r="M10" s="25" t="s">
        <v>250</v>
      </c>
      <c r="N10" s="25" t="str">
        <f>_xlfn.TEXTJOIN(",",TRUE,IF(LEFT(Regions!$C$3,1)&lt;&gt;"*",Regions!$C$3,""),IF(LEFT(Regions!$D$3,1)&lt;&gt;"*",Regions!$D$3,""))</f>
        <v>IE,National</v>
      </c>
      <c r="O10" s="25" t="str">
        <f>_xlfn.TEXTJOIN("",TRUE,SETUP!B$3,SETUP!B$50,"_",SETUP!B$37,"-AB")</f>
        <v>RSDSH_Att-AB</v>
      </c>
      <c r="P10" s="25" t="str">
        <f>_xlfn.TEXTJOIN(" ",TRUE,SETUP!C$3,SETUP!C$50,SETUP!C$37)</f>
        <v>Residential Space Heating Attached</v>
      </c>
      <c r="Q10" s="25" t="s">
        <v>13</v>
      </c>
    </row>
    <row r="11" spans="1:21" ht="13.5" thickBot="1">
      <c r="A11" s="25" t="s">
        <v>254</v>
      </c>
      <c r="C11" s="25" t="str">
        <f t="shared" si="0"/>
        <v>*NRG</v>
      </c>
      <c r="D11" s="25" t="str">
        <f>_xlfn.TEXTJOIN(",",TRUE,IF(LEFT(Regions!$C$3,1)&lt;&gt;"*",Regions!$C$3,""),IF(LEFT(Regions!$D$3,1)&lt;&gt;"*",Regions!$D$3,""))</f>
        <v>IE,National</v>
      </c>
      <c r="E11" s="25" t="str">
        <f>SETUP!B13</f>
        <v>RSDDST</v>
      </c>
      <c r="F11" s="25" t="str">
        <f>SETUP!C13</f>
        <v>Gasoil / Diesel /DERV to Residential</v>
      </c>
      <c r="G11" s="46" t="s">
        <v>13</v>
      </c>
      <c r="H11" s="25" t="s">
        <v>823</v>
      </c>
      <c r="M11" s="239" t="s">
        <v>250</v>
      </c>
      <c r="N11" s="239" t="str">
        <f>_xlfn.TEXTJOIN(",",TRUE,IF(LEFT(Regions!$C$3,1)&lt;&gt;"*",Regions!$C$3,""),IF(LEFT(Regions!$D$3,1)&lt;&gt;"*",Regions!$D$3,""))</f>
        <v>IE,National</v>
      </c>
      <c r="O11" s="239" t="str">
        <f>_xlfn.TEXTJOIN("",TRUE,SETUP!B$3,SETUP!B$50,"_",SETUP!B$38,"-AB")</f>
        <v>RSDSH_Det-AB</v>
      </c>
      <c r="P11" s="239" t="str">
        <f>_xlfn.TEXTJOIN(" ",TRUE,SETUP!C$3,SETUP!C$50,SETUP!C$38)</f>
        <v>Residential Space Heating Detached</v>
      </c>
      <c r="Q11" s="239" t="s">
        <v>13</v>
      </c>
      <c r="R11" s="239"/>
      <c r="S11" s="239"/>
      <c r="T11" s="239"/>
      <c r="U11" s="239"/>
    </row>
    <row r="12" spans="1:21">
      <c r="A12" s="25" t="s">
        <v>254</v>
      </c>
      <c r="C12" s="25" t="str">
        <f t="shared" si="0"/>
        <v>*NRG</v>
      </c>
      <c r="D12" s="25" t="str">
        <f>_xlfn.TEXTJOIN(",",TRUE,IF(LEFT(Regions!$C$3,1)&lt;&gt;"*",Regions!$C$3,""),IF(LEFT(Regions!$D$3,1)&lt;&gt;"*",Regions!$D$3,""))</f>
        <v>IE,National</v>
      </c>
      <c r="E12" s="25" t="str">
        <f>SETUP!B14</f>
        <v>RSDHFO</v>
      </c>
      <c r="F12" s="25" t="str">
        <f>SETUP!C14</f>
        <v>Fueloil to Residential</v>
      </c>
      <c r="G12" s="46" t="s">
        <v>13</v>
      </c>
      <c r="H12" s="25" t="s">
        <v>823</v>
      </c>
      <c r="M12" s="25" t="s">
        <v>250</v>
      </c>
      <c r="N12" s="25" t="str">
        <f>_xlfn.TEXTJOIN(",",TRUE,IF(LEFT(Regions!$C$3,1)&lt;&gt;"*",Regions!$C$3,""),IF(LEFT(Regions!$D$3,1)&lt;&gt;"*",Regions!$D$3,""))</f>
        <v>IE,National</v>
      </c>
      <c r="O12" s="25" t="str">
        <f>_xlfn.TEXTJOIN("",TRUE,SETUP!B$3,SETUP!B$50,"_",SETUP!B$36,"-C")</f>
        <v>RSDSH_Apt-C</v>
      </c>
      <c r="P12" s="25" t="str">
        <f>_xlfn.TEXTJOIN(" ",TRUE,SETUP!C$3,SETUP!C$50,SETUP!C$36)</f>
        <v>Residential Space Heating Apartment</v>
      </c>
      <c r="Q12" s="25" t="s">
        <v>13</v>
      </c>
    </row>
    <row r="13" spans="1:21">
      <c r="A13" s="25" t="s">
        <v>254</v>
      </c>
      <c r="C13" s="25" t="str">
        <f t="shared" si="0"/>
        <v>*NRG</v>
      </c>
      <c r="D13" s="25" t="str">
        <f>_xlfn.TEXTJOIN(",",TRUE,IF(LEFT(Regions!$C$3,1)&lt;&gt;"*",Regions!$C$3,""),IF(LEFT(Regions!$D$3,1)&lt;&gt;"*",Regions!$D$3,""))</f>
        <v>IE,National</v>
      </c>
      <c r="E13" s="25" t="str">
        <f>SETUP!B15</f>
        <v>RSDCOK</v>
      </c>
      <c r="F13" s="25" t="str">
        <f>SETUP!C15</f>
        <v>Petroleum Coke to Residential</v>
      </c>
      <c r="G13" s="46" t="s">
        <v>13</v>
      </c>
      <c r="H13" s="25" t="s">
        <v>823</v>
      </c>
      <c r="M13" s="25" t="s">
        <v>250</v>
      </c>
      <c r="N13" s="25" t="str">
        <f>_xlfn.TEXTJOIN(",",TRUE,IF(LEFT(Regions!$C$3,1)&lt;&gt;"*",Regions!$C$3,""),IF(LEFT(Regions!$D$3,1)&lt;&gt;"*",Regions!$D$3,""))</f>
        <v>IE,National</v>
      </c>
      <c r="O13" s="25" t="str">
        <f>_xlfn.TEXTJOIN("",TRUE,SETUP!B$3,SETUP!B$50,"_",SETUP!B$37,"-C")</f>
        <v>RSDSH_Att-C</v>
      </c>
      <c r="P13" s="25" t="str">
        <f>_xlfn.TEXTJOIN(" ",TRUE,SETUP!C$3,SETUP!C$50,SETUP!C$37)</f>
        <v>Residential Space Heating Attached</v>
      </c>
      <c r="Q13" s="25" t="s">
        <v>13</v>
      </c>
    </row>
    <row r="14" spans="1:21" ht="13.5" thickBot="1">
      <c r="A14" s="25" t="str">
        <f>TRIM(SETUP!A16)</f>
        <v/>
      </c>
      <c r="C14" s="25" t="str">
        <f t="shared" si="0"/>
        <v>NRG</v>
      </c>
      <c r="D14" s="25" t="str">
        <f>_xlfn.TEXTJOIN(",",TRUE,IF(LEFT(Regions!$C$3,1)&lt;&gt;"*",Regions!$C$3,""),IF(LEFT(Regions!$D$3,1)&lt;&gt;"*",Regions!$D$3,""))</f>
        <v>IE,National</v>
      </c>
      <c r="E14" s="25" t="str">
        <f>SETUP!B16</f>
        <v>RSDGAS</v>
      </c>
      <c r="F14" s="25" t="str">
        <f>SETUP!C16</f>
        <v>Natural Gas to Residential</v>
      </c>
      <c r="G14" s="46" t="s">
        <v>13</v>
      </c>
      <c r="H14" s="25" t="s">
        <v>823</v>
      </c>
      <c r="M14" s="239" t="s">
        <v>250</v>
      </c>
      <c r="N14" s="239" t="str">
        <f>_xlfn.TEXTJOIN(",",TRUE,IF(LEFT(Regions!$C$3,1)&lt;&gt;"*",Regions!$C$3,""),IF(LEFT(Regions!$D$3,1)&lt;&gt;"*",Regions!$D$3,""))</f>
        <v>IE,National</v>
      </c>
      <c r="O14" s="239" t="str">
        <f>_xlfn.TEXTJOIN("",TRUE,SETUP!B$3,SETUP!B$50,"_",SETUP!B$38,"-C")</f>
        <v>RSDSH_Det-C</v>
      </c>
      <c r="P14" s="239" t="str">
        <f>_xlfn.TEXTJOIN(" ",TRUE,SETUP!C$3,SETUP!C$50,SETUP!C$38)</f>
        <v>Residential Space Heating Detached</v>
      </c>
      <c r="Q14" s="239" t="s">
        <v>13</v>
      </c>
      <c r="R14" s="239"/>
      <c r="S14" s="239"/>
      <c r="T14" s="239"/>
      <c r="U14" s="239"/>
    </row>
    <row r="15" spans="1:21">
      <c r="C15" s="25" t="str">
        <f t="shared" si="0"/>
        <v>NRG</v>
      </c>
      <c r="D15" s="25" t="str">
        <f>_xlfn.TEXTJOIN(",",TRUE,IF(LEFT(Regions!$C$3,1)&lt;&gt;"*",Regions!$C$3,""),IF(LEFT(Regions!$D$3,1)&lt;&gt;"*",Regions!$D$3,""))</f>
        <v>IE,National</v>
      </c>
      <c r="E15" s="25" t="str">
        <f>SETUP!B17</f>
        <v>RSDSOL</v>
      </c>
      <c r="F15" s="25" t="str">
        <f>SETUP!C17</f>
        <v>Solar Thermal to Residential</v>
      </c>
      <c r="G15" s="46" t="s">
        <v>13</v>
      </c>
      <c r="H15" s="25" t="s">
        <v>823</v>
      </c>
      <c r="M15" s="25" t="s">
        <v>250</v>
      </c>
      <c r="N15" s="25" t="str">
        <f>_xlfn.TEXTJOIN(",",TRUE,IF(LEFT(Regions!$C$3,1)&lt;&gt;"*",Regions!$C$3,""),IF(LEFT(Regions!$D$3,1)&lt;&gt;"*",Regions!$D$3,""))</f>
        <v>IE,National</v>
      </c>
      <c r="O15" s="25" t="str">
        <f>_xlfn.TEXTJOIN("",TRUE,SETUP!B$3,SETUP!B$50,"_",SETUP!B$36,"-D")</f>
        <v>RSDSH_Apt-D</v>
      </c>
      <c r="P15" s="25" t="str">
        <f>_xlfn.TEXTJOIN(" ",TRUE,SETUP!C$3,SETUP!C$50,SETUP!C$36)</f>
        <v>Residential Space Heating Apartment</v>
      </c>
      <c r="Q15" s="25" t="s">
        <v>13</v>
      </c>
    </row>
    <row r="16" spans="1:21">
      <c r="A16" s="25" t="str">
        <f>TRIM(SETUP!A18)</f>
        <v/>
      </c>
      <c r="C16" s="25" t="str">
        <f t="shared" si="0"/>
        <v>NRG</v>
      </c>
      <c r="D16" s="25" t="str">
        <f>_xlfn.TEXTJOIN(",",TRUE,IF(LEFT(Regions!$C$3,1)&lt;&gt;"*",Regions!$C$3,""),IF(LEFT(Regions!$D$3,1)&lt;&gt;"*",Regions!$D$3,""))</f>
        <v>IE,National</v>
      </c>
      <c r="E16" s="25" t="str">
        <f>SETUP!B18</f>
        <v>RSDWOO</v>
      </c>
      <c r="F16" s="25" t="str">
        <f>SETUP!C18</f>
        <v>Biomass to Residential</v>
      </c>
      <c r="G16" s="46" t="s">
        <v>13</v>
      </c>
      <c r="H16" s="25" t="s">
        <v>823</v>
      </c>
      <c r="M16" s="25" t="s">
        <v>250</v>
      </c>
      <c r="N16" s="25" t="str">
        <f>_xlfn.TEXTJOIN(",",TRUE,IF(LEFT(Regions!$C$3,1)&lt;&gt;"*",Regions!$C$3,""),IF(LEFT(Regions!$D$3,1)&lt;&gt;"*",Regions!$D$3,""))</f>
        <v>IE,National</v>
      </c>
      <c r="O16" s="25" t="str">
        <f>_xlfn.TEXTJOIN("",TRUE,SETUP!B$3,SETUP!B$50,"_",SETUP!B$37,"-D")</f>
        <v>RSDSH_Att-D</v>
      </c>
      <c r="P16" s="25" t="str">
        <f>_xlfn.TEXTJOIN(" ",TRUE,SETUP!C$3,SETUP!C$50,SETUP!C$37)</f>
        <v>Residential Space Heating Attached</v>
      </c>
      <c r="Q16" s="25" t="s">
        <v>13</v>
      </c>
    </row>
    <row r="17" spans="1:21" ht="13.5" thickBot="1">
      <c r="C17" s="25" t="str">
        <f t="shared" si="0"/>
        <v>NRG</v>
      </c>
      <c r="D17" s="25" t="str">
        <f>_xlfn.TEXTJOIN(",",TRUE,IF(LEFT(Regions!$C$3,1)&lt;&gt;"*",Regions!$C$3,""),IF(LEFT(Regions!$D$3,1)&lt;&gt;"*",Regions!$D$3,""))</f>
        <v>IE,National</v>
      </c>
      <c r="E17" s="25" t="str">
        <f>SETUP!B19</f>
        <v>RSDBGS</v>
      </c>
      <c r="F17" s="25" t="str">
        <f>SETUP!C19</f>
        <v>Biogas to Residential</v>
      </c>
      <c r="G17" s="46" t="s">
        <v>13</v>
      </c>
      <c r="H17" s="25" t="s">
        <v>823</v>
      </c>
      <c r="M17" s="239" t="s">
        <v>250</v>
      </c>
      <c r="N17" s="239" t="str">
        <f>_xlfn.TEXTJOIN(",",TRUE,IF(LEFT(Regions!$C$3,1)&lt;&gt;"*",Regions!$C$3,""),IF(LEFT(Regions!$D$3,1)&lt;&gt;"*",Regions!$D$3,""))</f>
        <v>IE,National</v>
      </c>
      <c r="O17" s="239" t="str">
        <f>_xlfn.TEXTJOIN("",TRUE,SETUP!B$3,SETUP!B$50,"_",SETUP!B$38,"-D")</f>
        <v>RSDSH_Det-D</v>
      </c>
      <c r="P17" s="239" t="str">
        <f>_xlfn.TEXTJOIN(" ",TRUE,SETUP!C$3,SETUP!C$50,SETUP!C$38)</f>
        <v>Residential Space Heating Detached</v>
      </c>
      <c r="Q17" s="239" t="s">
        <v>13</v>
      </c>
      <c r="R17" s="239"/>
      <c r="S17" s="239"/>
      <c r="T17" s="239"/>
      <c r="U17" s="239"/>
    </row>
    <row r="18" spans="1:21">
      <c r="A18" s="25" t="s">
        <v>254</v>
      </c>
      <c r="C18" s="25" t="str">
        <f t="shared" si="0"/>
        <v>*NRG</v>
      </c>
      <c r="D18" s="25" t="str">
        <f>_xlfn.TEXTJOIN(",",TRUE,IF(LEFT(Regions!$C$3,1)&lt;&gt;"*",Regions!$C$3,""),IF(LEFT(Regions!$D$3,1)&lt;&gt;"*",Regions!$D$3,""))</f>
        <v>IE,National</v>
      </c>
      <c r="E18" s="25" t="str">
        <f>SETUP!B20</f>
        <v>RSDBIOMUN</v>
      </c>
      <c r="F18" s="25" t="str">
        <f>SETUP!C20</f>
        <v>Landfill Gas to Residential</v>
      </c>
      <c r="G18" s="46" t="s">
        <v>13</v>
      </c>
      <c r="H18" s="25" t="s">
        <v>823</v>
      </c>
      <c r="M18" s="25" t="s">
        <v>250</v>
      </c>
      <c r="N18" s="25" t="str">
        <f>_xlfn.TEXTJOIN(",",TRUE,IF(LEFT(Regions!$C$3,1)&lt;&gt;"*",Regions!$C$3,""),IF(LEFT(Regions!$D$3,1)&lt;&gt;"*",Regions!$D$3,""))</f>
        <v>IE,National</v>
      </c>
      <c r="O18" s="25" t="str">
        <f>_xlfn.TEXTJOIN("",TRUE,SETUP!B$3,SETUP!B$50,"_",SETUP!B$36,"-E")</f>
        <v>RSDSH_Apt-E</v>
      </c>
      <c r="P18" s="25" t="str">
        <f>_xlfn.TEXTJOIN(" ",TRUE,SETUP!C$3,SETUP!C$50,SETUP!C$36)</f>
        <v>Residential Space Heating Apartment</v>
      </c>
      <c r="Q18" s="25" t="s">
        <v>13</v>
      </c>
    </row>
    <row r="19" spans="1:21">
      <c r="C19" s="25" t="str">
        <f t="shared" si="0"/>
        <v>NRG</v>
      </c>
      <c r="D19" s="25" t="str">
        <f>_xlfn.TEXTJOIN(",",TRUE,IF(LEFT(Regions!$C$3,1)&lt;&gt;"*",Regions!$C$3,""),IF(LEFT(Regions!$D$3,1)&lt;&gt;"*",Regions!$D$3,""))</f>
        <v>IE,National</v>
      </c>
      <c r="E19" s="25" t="str">
        <f>SETUP!B21</f>
        <v>RSDAHT</v>
      </c>
      <c r="F19" s="25" t="str">
        <f>SETUP!C21</f>
        <v>Ambient Heat to Residential</v>
      </c>
      <c r="G19" s="46" t="s">
        <v>13</v>
      </c>
      <c r="H19" s="25" t="s">
        <v>823</v>
      </c>
      <c r="M19" s="25" t="s">
        <v>250</v>
      </c>
      <c r="N19" s="25" t="str">
        <f>_xlfn.TEXTJOIN(",",TRUE,IF(LEFT(Regions!$C$3,1)&lt;&gt;"*",Regions!$C$3,""),IF(LEFT(Regions!$D$3,1)&lt;&gt;"*",Regions!$D$3,""))</f>
        <v>IE,National</v>
      </c>
      <c r="O19" s="25" t="str">
        <f>_xlfn.TEXTJOIN("",TRUE,SETUP!B$3,SETUP!B$50,"_",SETUP!B$37,"-E")</f>
        <v>RSDSH_Att-E</v>
      </c>
      <c r="P19" s="25" t="str">
        <f>_xlfn.TEXTJOIN(" ",TRUE,SETUP!C$3,SETUP!C$50,SETUP!C$37)</f>
        <v>Residential Space Heating Attached</v>
      </c>
      <c r="Q19" s="25" t="s">
        <v>13</v>
      </c>
    </row>
    <row r="20" spans="1:21" ht="13.5" thickBot="1">
      <c r="A20" s="25" t="str">
        <f>TRIM(SETUP!A22)</f>
        <v/>
      </c>
      <c r="C20" s="25" t="str">
        <f t="shared" si="0"/>
        <v>NRG</v>
      </c>
      <c r="D20" s="25" t="str">
        <f>_xlfn.TEXTJOIN(",",TRUE,IF(LEFT(Regions!$C$3,1)&lt;&gt;"*",Regions!$C$3,""),IF(LEFT(Regions!$D$3,1)&lt;&gt;"*",Regions!$D$3,""))</f>
        <v>IE,National</v>
      </c>
      <c r="E20" s="25" t="str">
        <f>SETUP!B22</f>
        <v>RSDETH</v>
      </c>
      <c r="F20" s="25" t="str">
        <f>SETUP!C22</f>
        <v>Ethanol to Residential</v>
      </c>
      <c r="G20" s="46" t="s">
        <v>13</v>
      </c>
      <c r="H20" s="25" t="s">
        <v>823</v>
      </c>
      <c r="M20" s="239" t="s">
        <v>250</v>
      </c>
      <c r="N20" s="239" t="str">
        <f>_xlfn.TEXTJOIN(",",TRUE,IF(LEFT(Regions!$C$3,1)&lt;&gt;"*",Regions!$C$3,""),IF(LEFT(Regions!$D$3,1)&lt;&gt;"*",Regions!$D$3,""))</f>
        <v>IE,National</v>
      </c>
      <c r="O20" s="239" t="str">
        <f>_xlfn.TEXTJOIN("",TRUE,SETUP!B$3,SETUP!B$50,"_",SETUP!B$38,"-E")</f>
        <v>RSDSH_Det-E</v>
      </c>
      <c r="P20" s="239" t="str">
        <f>_xlfn.TEXTJOIN(" ",TRUE,SETUP!C$3,SETUP!C$50,SETUP!C$38)</f>
        <v>Residential Space Heating Detached</v>
      </c>
      <c r="Q20" s="239" t="s">
        <v>13</v>
      </c>
      <c r="R20" s="239"/>
      <c r="S20" s="239"/>
      <c r="T20" s="239"/>
      <c r="U20" s="239"/>
    </row>
    <row r="21" spans="1:21">
      <c r="A21" s="25" t="str">
        <f>TRIM(SETUP!A23)</f>
        <v/>
      </c>
      <c r="C21" s="25" t="str">
        <f t="shared" si="0"/>
        <v>NRG</v>
      </c>
      <c r="D21" s="25" t="str">
        <f>_xlfn.TEXTJOIN(",",TRUE,IF(LEFT(Regions!$C$3,1)&lt;&gt;"*",Regions!$C$3,""),IF(LEFT(Regions!$D$3,1)&lt;&gt;"*",Regions!$D$3,""))</f>
        <v>IE,National</v>
      </c>
      <c r="E21" s="25" t="str">
        <f>SETUP!B23</f>
        <v>RSDBDL</v>
      </c>
      <c r="F21" s="25" t="str">
        <f>SETUP!C23</f>
        <v>Biodiesel to Residential</v>
      </c>
      <c r="G21" s="46" t="s">
        <v>13</v>
      </c>
      <c r="H21" s="25" t="s">
        <v>823</v>
      </c>
      <c r="M21" s="25" t="s">
        <v>250</v>
      </c>
      <c r="N21" s="25" t="str">
        <f>_xlfn.TEXTJOIN(",",TRUE,IF(LEFT(Regions!$C$3,1)&lt;&gt;"*",Regions!$C$3,""),IF(LEFT(Regions!$D$3,1)&lt;&gt;"*",Regions!$D$3,""))</f>
        <v>IE,National</v>
      </c>
      <c r="O21" s="25" t="str">
        <f>_xlfn.TEXTJOIN("",TRUE,SETUP!B$3,SETUP!B$50,"_",SETUP!B$36,"-F")</f>
        <v>RSDSH_Apt-F</v>
      </c>
      <c r="P21" s="25" t="str">
        <f>_xlfn.TEXTJOIN(" ",TRUE,SETUP!C$3,SETUP!C$50,SETUP!C$36)</f>
        <v>Residential Space Heating Apartment</v>
      </c>
      <c r="Q21" s="25" t="s">
        <v>13</v>
      </c>
    </row>
    <row r="22" spans="1:21">
      <c r="A22" s="25" t="s">
        <v>254</v>
      </c>
      <c r="C22" s="25" t="str">
        <f t="shared" si="0"/>
        <v>*NRG</v>
      </c>
      <c r="D22" s="25" t="str">
        <f>_xlfn.TEXTJOIN(",",TRUE,IF(LEFT(Regions!$C$3,1)&lt;&gt;"*",Regions!$C$3,""),IF(LEFT(Regions!$D$3,1)&lt;&gt;"*",Regions!$D$3,""))</f>
        <v>IE,National</v>
      </c>
      <c r="E22" s="25" t="str">
        <f>SETUP!B24</f>
        <v>RSDBIOSLU</v>
      </c>
      <c r="F22" s="25" t="str">
        <f>SETUP!C24</f>
        <v>Non-Renewable Waste to Residential</v>
      </c>
      <c r="G22" s="46" t="s">
        <v>13</v>
      </c>
      <c r="H22" s="25" t="s">
        <v>823</v>
      </c>
      <c r="M22" s="25" t="s">
        <v>250</v>
      </c>
      <c r="N22" s="25" t="str">
        <f>_xlfn.TEXTJOIN(",",TRUE,IF(LEFT(Regions!$C$3,1)&lt;&gt;"*",Regions!$C$3,""),IF(LEFT(Regions!$D$3,1)&lt;&gt;"*",Regions!$D$3,""))</f>
        <v>IE,National</v>
      </c>
      <c r="O22" s="25" t="str">
        <f>_xlfn.TEXTJOIN("",TRUE,SETUP!B$3,SETUP!B$50,"_",SETUP!B$37,"-F")</f>
        <v>RSDSH_Att-F</v>
      </c>
      <c r="P22" s="25" t="str">
        <f>_xlfn.TEXTJOIN(" ",TRUE,SETUP!C$3,SETUP!C$50,SETUP!C$37)</f>
        <v>Residential Space Heating Attached</v>
      </c>
      <c r="Q22" s="25" t="s">
        <v>13</v>
      </c>
    </row>
    <row r="23" spans="1:21" ht="13.5" thickBot="1">
      <c r="C23" s="25" t="s">
        <v>250</v>
      </c>
      <c r="D23" s="25" t="str">
        <f>_xlfn.TEXTJOIN(",",TRUE,IF(LEFT(Regions!$C$3,1)&lt;&gt;"*",Regions!$C$3,""),IF(LEFT(Regions!$D$3,1)&lt;&gt;"*",Regions!$D$3,""))</f>
        <v>IE,National</v>
      </c>
      <c r="E23" s="25" t="str">
        <f>SETUP!B25</f>
        <v>RSDSMF</v>
      </c>
      <c r="F23" s="25" t="str">
        <f>SETUP!C25</f>
        <v>Solid Multi-Fuel</v>
      </c>
      <c r="G23" s="46" t="s">
        <v>13</v>
      </c>
      <c r="H23" s="25" t="s">
        <v>823</v>
      </c>
      <c r="M23" s="239" t="s">
        <v>250</v>
      </c>
      <c r="N23" s="239" t="str">
        <f>_xlfn.TEXTJOIN(",",TRUE,IF(LEFT(Regions!$C$3,1)&lt;&gt;"*",Regions!$C$3,""),IF(LEFT(Regions!$D$3,1)&lt;&gt;"*",Regions!$D$3,""))</f>
        <v>IE,National</v>
      </c>
      <c r="O23" s="239" t="str">
        <f>_xlfn.TEXTJOIN("",TRUE,SETUP!B$3,SETUP!B$50,"_",SETUP!B$38,"-F")</f>
        <v>RSDSH_Det-F</v>
      </c>
      <c r="P23" s="239" t="str">
        <f>_xlfn.TEXTJOIN(" ",TRUE,SETUP!C$3,SETUP!C$50,SETUP!C$38)</f>
        <v>Residential Space Heating Detached</v>
      </c>
      <c r="Q23" s="239" t="s">
        <v>13</v>
      </c>
      <c r="R23" s="239"/>
      <c r="S23" s="239"/>
      <c r="T23" s="239"/>
      <c r="U23" s="239"/>
    </row>
    <row r="24" spans="1:21">
      <c r="A24" s="25" t="str">
        <f>TRIM(SETUP!A26)</f>
        <v/>
      </c>
      <c r="C24" s="25" t="str">
        <f t="shared" si="0"/>
        <v>NRG</v>
      </c>
      <c r="D24" s="25" t="str">
        <f>_xlfn.TEXTJOIN(",",TRUE,IF(LEFT(Regions!$C$3,1)&lt;&gt;"*",Regions!$C$3,""),IF(LEFT(Regions!$D$3,1)&lt;&gt;"*",Regions!$D$3,""))</f>
        <v>IE,National</v>
      </c>
      <c r="E24" s="25" t="str">
        <f>SETUP!B26</f>
        <v>RSDELC</v>
      </c>
      <c r="F24" s="25" t="str">
        <f>SETUP!C26</f>
        <v>Electricity to Residential</v>
      </c>
      <c r="G24" s="46" t="s">
        <v>13</v>
      </c>
      <c r="H24" s="25" t="s">
        <v>823</v>
      </c>
      <c r="I24" s="25" t="s">
        <v>249</v>
      </c>
      <c r="K24" s="25" t="s">
        <v>613</v>
      </c>
      <c r="M24" s="238" t="s">
        <v>250</v>
      </c>
      <c r="N24" s="25" t="str">
        <f>_xlfn.TEXTJOIN(",",TRUE,IF(LEFT(Regions!$C$3,1)&lt;&gt;"*",Regions!$C$3,""),IF(LEFT(Regions!$D$3,1)&lt;&gt;"*",Regions!$D$3,""))</f>
        <v>IE,National</v>
      </c>
      <c r="O24" s="25" t="str">
        <f>_xlfn.TEXTJOIN("",TRUE,SETUP!B$3,SETUP!B$50,"_",SETUP!B$36,"-G")</f>
        <v>RSDSH_Apt-G</v>
      </c>
      <c r="P24" s="25" t="str">
        <f>_xlfn.TEXTJOIN(" ",TRUE,SETUP!C$3,SETUP!C$50,SETUP!C$36)</f>
        <v>Residential Space Heating Apartment</v>
      </c>
      <c r="Q24" s="238" t="s">
        <v>13</v>
      </c>
      <c r="R24" s="238"/>
      <c r="S24" s="238"/>
    </row>
    <row r="25" spans="1:21">
      <c r="A25" s="25" t="str">
        <f>TRIM(SETUP!A27)</f>
        <v/>
      </c>
      <c r="C25" s="25" t="str">
        <f t="shared" si="0"/>
        <v>NRG</v>
      </c>
      <c r="D25" s="25" t="str">
        <f>_xlfn.TEXTJOIN(",",TRUE,IF(LEFT(Regions!$C$3,1)&lt;&gt;"*",Regions!$C$3,""),IF(LEFT(Regions!$D$3,1)&lt;&gt;"*",Regions!$D$3,""))</f>
        <v>IE,National</v>
      </c>
      <c r="E25" s="25" t="str">
        <f>SETUP!B27</f>
        <v>RSDHET</v>
      </c>
      <c r="F25" s="25" t="str">
        <f>SETUP!C27</f>
        <v>Heat to Residential</v>
      </c>
      <c r="G25" s="46" t="s">
        <v>13</v>
      </c>
      <c r="H25" s="25" t="s">
        <v>823</v>
      </c>
      <c r="I25" s="25" t="s">
        <v>249</v>
      </c>
      <c r="K25" s="25" t="s">
        <v>824</v>
      </c>
      <c r="M25" s="25" t="s">
        <v>250</v>
      </c>
      <c r="N25" s="25" t="str">
        <f>_xlfn.TEXTJOIN(",",TRUE,IF(LEFT(Regions!$C$3,1)&lt;&gt;"*",Regions!$C$3,""),IF(LEFT(Regions!$D$3,1)&lt;&gt;"*",Regions!$D$3,""))</f>
        <v>IE,National</v>
      </c>
      <c r="O25" s="25" t="str">
        <f>_xlfn.TEXTJOIN("",TRUE,SETUP!B$3,SETUP!B$50,"_",SETUP!B$37,"-G")</f>
        <v>RSDSH_Att-G</v>
      </c>
      <c r="P25" s="25" t="str">
        <f>_xlfn.TEXTJOIN(" ",TRUE,SETUP!C$3,SETUP!C$50,SETUP!C$37)</f>
        <v>Residential Space Heating Attached</v>
      </c>
      <c r="Q25" s="25" t="s">
        <v>13</v>
      </c>
    </row>
    <row r="26" spans="1:21" ht="13.5" thickBot="1">
      <c r="C26" s="25" t="str">
        <f t="shared" ref="C26:C31" si="1">A26&amp;"ENV"</f>
        <v>ENV</v>
      </c>
      <c r="D26" s="25" t="str">
        <f>_xlfn.TEXTJOIN(",",TRUE,IF(LEFT(Regions!$C$3,1)&lt;&gt;"*",Regions!$C$3,""),IF(LEFT(Regions!$D$3,1)&lt;&gt;"*",Regions!$D$3,""))</f>
        <v>IE,National</v>
      </c>
      <c r="E26" s="25" t="str">
        <f>A26&amp;SETUP!B29</f>
        <v>RSDCO2</v>
      </c>
      <c r="F26" s="25" t="str">
        <f>A26&amp;SETUP!C29</f>
        <v>Carbon Dioxide - Combustion (RSD)</v>
      </c>
      <c r="G26" s="46" t="s">
        <v>251</v>
      </c>
      <c r="M26" s="239" t="s">
        <v>250</v>
      </c>
      <c r="N26" s="239" t="str">
        <f>_xlfn.TEXTJOIN(",",TRUE,IF(LEFT(Regions!$C$3,1)&lt;&gt;"*",Regions!$C$3,""),IF(LEFT(Regions!$D$3,1)&lt;&gt;"*",Regions!$D$3,""))</f>
        <v>IE,National</v>
      </c>
      <c r="O26" s="239" t="str">
        <f>_xlfn.TEXTJOIN("",TRUE,SETUP!B$3,SETUP!B$50,"_",SETUP!B$38,"-G")</f>
        <v>RSDSH_Det-G</v>
      </c>
      <c r="P26" s="239" t="str">
        <f>_xlfn.TEXTJOIN(" ",TRUE,SETUP!C$3,SETUP!C$50,SETUP!C$38)</f>
        <v>Residential Space Heating Detached</v>
      </c>
      <c r="Q26" s="239" t="s">
        <v>13</v>
      </c>
      <c r="R26" s="239"/>
      <c r="S26" s="239"/>
      <c r="T26" s="239"/>
      <c r="U26" s="239"/>
    </row>
    <row r="27" spans="1:21">
      <c r="C27" s="25" t="str">
        <f t="shared" si="1"/>
        <v>ENV</v>
      </c>
      <c r="D27" s="25" t="str">
        <f>_xlfn.TEXTJOIN(",",TRUE,IF(LEFT(Regions!$C$3,1)&lt;&gt;"*",Regions!$C$3,""),IF(LEFT(Regions!$D$3,1)&lt;&gt;"*",Regions!$D$3,""))</f>
        <v>IE,National</v>
      </c>
      <c r="E27" s="25" t="str">
        <f>A27&amp;SETUP!B30</f>
        <v>RSDCH4</v>
      </c>
      <c r="F27" s="25" t="str">
        <f>A27&amp;SETUP!C30</f>
        <v>Methane (RSD)</v>
      </c>
      <c r="G27" s="46" t="s">
        <v>251</v>
      </c>
      <c r="M27" s="25" t="s">
        <v>250</v>
      </c>
      <c r="N27" s="25" t="str">
        <f>_xlfn.TEXTJOIN(",",TRUE,IF(LEFT(Regions!$C$3,1)&lt;&gt;"*",Regions!$C$3,""),IF(LEFT(Regions!$D$3,1)&lt;&gt;"*",Regions!$D$3,""))</f>
        <v>IE,National</v>
      </c>
      <c r="O27" s="25" t="str">
        <f>_xlfn.TEXTJOIN("",TRUE,SETUP!B$3,SETUP!B$51,"_",SETUP!B$36)</f>
        <v>RSDSC_Apt</v>
      </c>
      <c r="P27" s="25" t="str">
        <f>_xlfn.TEXTJOIN(" ",TRUE,SETUP!C$3,SETUP!C$51,SETUP!C$36)</f>
        <v>Residential Space Cooling Apartment</v>
      </c>
      <c r="Q27" s="25" t="s">
        <v>13</v>
      </c>
    </row>
    <row r="28" spans="1:21">
      <c r="C28" s="25" t="str">
        <f t="shared" si="1"/>
        <v>ENV</v>
      </c>
      <c r="D28" s="25" t="str">
        <f>_xlfn.TEXTJOIN(",",TRUE,IF(LEFT(Regions!$C$3,1)&lt;&gt;"*",Regions!$C$3,""),IF(LEFT(Regions!$D$3,1)&lt;&gt;"*",Regions!$D$3,""))</f>
        <v>IE,National</v>
      </c>
      <c r="E28" s="25" t="str">
        <f>A28&amp;SETUP!B31</f>
        <v>RSDN2O</v>
      </c>
      <c r="F28" s="25" t="str">
        <f>A28&amp;SETUP!C31</f>
        <v>Nitrogen Oxide (RSD)</v>
      </c>
      <c r="G28" s="46" t="s">
        <v>251</v>
      </c>
      <c r="M28" s="25" t="s">
        <v>250</v>
      </c>
      <c r="N28" s="25" t="str">
        <f>_xlfn.TEXTJOIN(",",TRUE,IF(LEFT(Regions!$C$3,1)&lt;&gt;"*",Regions!$C$3,""),IF(LEFT(Regions!$D$3,1)&lt;&gt;"*",Regions!$D$3,""))</f>
        <v>IE,National</v>
      </c>
      <c r="O28" s="25" t="str">
        <f>_xlfn.TEXTJOIN("",TRUE,SETUP!B$3,SETUP!B$51,"_",SETUP!B$37)</f>
        <v>RSDSC_Att</v>
      </c>
      <c r="P28" s="25" t="str">
        <f>_xlfn.TEXTJOIN(" ",TRUE,SETUP!C$3,SETUP!C$51,SETUP!C$37)</f>
        <v>Residential Space Cooling Attached</v>
      </c>
      <c r="Q28" s="25" t="s">
        <v>13</v>
      </c>
    </row>
    <row r="29" spans="1:21" ht="13.5" thickBot="1">
      <c r="C29" s="25" t="str">
        <f t="shared" si="1"/>
        <v>ENV</v>
      </c>
      <c r="D29" s="25" t="str">
        <f>_xlfn.TEXTJOIN(",",TRUE,IF(LEFT(Regions!$C$3,1)&lt;&gt;"*",Regions!$C$3,""),IF(LEFT(Regions!$D$3,1)&lt;&gt;"*",Regions!$D$3,""))</f>
        <v>IE,National</v>
      </c>
      <c r="E29" s="25" t="str">
        <f>A29&amp;SETUP!B32</f>
        <v>RSDSO2N</v>
      </c>
      <c r="F29" s="25" t="str">
        <f>A29&amp;SETUP!C32</f>
        <v>Sulphur Oxides (RSD)</v>
      </c>
      <c r="G29" s="46" t="s">
        <v>251</v>
      </c>
      <c r="M29" s="239" t="s">
        <v>250</v>
      </c>
      <c r="N29" s="239" t="str">
        <f>_xlfn.TEXTJOIN(",",TRUE,IF(LEFT(Regions!$C$3,1)&lt;&gt;"*",Regions!$C$3,""),IF(LEFT(Regions!$D$3,1)&lt;&gt;"*",Regions!$D$3,""))</f>
        <v>IE,National</v>
      </c>
      <c r="O29" s="239" t="str">
        <f>_xlfn.TEXTJOIN("",TRUE,SETUP!B$3,SETUP!B$51,"_",SETUP!B$38)</f>
        <v>RSDSC_Det</v>
      </c>
      <c r="P29" s="239" t="str">
        <f>_xlfn.TEXTJOIN(" ",TRUE,SETUP!C$3,SETUP!C$51,SETUP!C$38)</f>
        <v>Residential Space Cooling Detached</v>
      </c>
      <c r="Q29" s="239" t="s">
        <v>13</v>
      </c>
      <c r="R29" s="239"/>
      <c r="S29" s="239"/>
      <c r="T29" s="239"/>
      <c r="U29" s="239"/>
    </row>
    <row r="30" spans="1:21">
      <c r="C30" s="25" t="str">
        <f t="shared" si="1"/>
        <v>ENV</v>
      </c>
      <c r="D30" s="25" t="str">
        <f>_xlfn.TEXTJOIN(",",TRUE,IF(LEFT(Regions!$C$3,1)&lt;&gt;"*",Regions!$C$3,""),IF(LEFT(Regions!$D$3,1)&lt;&gt;"*",Regions!$D$3,""))</f>
        <v>IE,National</v>
      </c>
      <c r="E30" s="25" t="str">
        <f>A30&amp;SETUP!B33</f>
        <v>RSDPM10</v>
      </c>
      <c r="F30" s="25" t="str">
        <f>A30&amp;SETUP!C33</f>
        <v>Particulate Matter &lt;10 µm (RSD)</v>
      </c>
      <c r="G30" s="46" t="s">
        <v>251</v>
      </c>
      <c r="M30" s="25" t="s">
        <v>250</v>
      </c>
      <c r="N30" s="25" t="str">
        <f>_xlfn.TEXTJOIN(",",TRUE,IF(LEFT(Regions!$C$3,1)&lt;&gt;"*",Regions!$C$3,""),IF(LEFT(Regions!$D$3,1)&lt;&gt;"*",Regions!$D$3,""))</f>
        <v>IE,National</v>
      </c>
      <c r="O30" s="25" t="str">
        <f>_xlfn.TEXTJOIN("",TRUE,SETUP!B$3,SETUP!B$52,"_",SETUP!B$36)</f>
        <v>RSDWH_Apt</v>
      </c>
      <c r="P30" s="25" t="str">
        <f>_xlfn.TEXTJOIN(" ",TRUE,SETUP!C$3,SETUP!C$52,SETUP!C$36)</f>
        <v>Residential Water Heating Apartment</v>
      </c>
      <c r="Q30" s="25" t="s">
        <v>13</v>
      </c>
    </row>
    <row r="31" spans="1:21" ht="13.5" thickBot="1">
      <c r="C31" s="239" t="str">
        <f t="shared" si="1"/>
        <v>ENV</v>
      </c>
      <c r="D31" s="239" t="str">
        <f>_xlfn.TEXTJOIN(",",TRUE,IF(LEFT(Regions!$C$3,1)&lt;&gt;"*",Regions!$C$3,""),IF(LEFT(Regions!$D$3,1)&lt;&gt;"*",Regions!$D$3,""))</f>
        <v>IE,National</v>
      </c>
      <c r="E31" s="239" t="str">
        <f>A31&amp;SETUP!B34</f>
        <v>RSDPM25</v>
      </c>
      <c r="F31" s="239" t="str">
        <f>A31&amp;SETUP!C34</f>
        <v>Particulate Matter &lt;2.5 µm (RSD)</v>
      </c>
      <c r="G31" s="240" t="s">
        <v>251</v>
      </c>
      <c r="H31" s="239"/>
      <c r="I31" s="239"/>
      <c r="J31" s="239"/>
      <c r="K31" s="239"/>
      <c r="M31" s="25" t="s">
        <v>250</v>
      </c>
      <c r="N31" s="25" t="str">
        <f>_xlfn.TEXTJOIN(",",TRUE,IF(LEFT(Regions!$C$3,1)&lt;&gt;"*",Regions!$C$3,""),IF(LEFT(Regions!$D$3,1)&lt;&gt;"*",Regions!$D$3,""))</f>
        <v>IE,National</v>
      </c>
      <c r="O31" s="25" t="str">
        <f>_xlfn.TEXTJOIN("",TRUE,SETUP!B$3,SETUP!B$52,"_",SETUP!B$37)</f>
        <v>RSDWH_Att</v>
      </c>
      <c r="P31" s="25" t="str">
        <f>_xlfn.TEXTJOIN(" ",TRUE,SETUP!C$3,SETUP!C$52,SETUP!C$37)</f>
        <v>Residential Water Heating Attached</v>
      </c>
      <c r="Q31" s="25" t="s">
        <v>13</v>
      </c>
    </row>
    <row r="32" spans="1:21" ht="13.5" thickBot="1">
      <c r="C32" s="25" t="s">
        <v>247</v>
      </c>
      <c r="D32" s="25" t="str">
        <f>_xlfn.TEXTJOIN(",",TRUE,IF(LEFT(Regions!$C$3,1)&lt;&gt;"*",Regions!$C$3,""),IF(LEFT(Regions!$D$3,1)&lt;&gt;"*",Regions!$D$3,""))</f>
        <v>IE,National</v>
      </c>
      <c r="E32" s="25" t="str">
        <f>_xlfn.TEXTJOIN("",TRUE,SETUP!B$3,SETUP!B55)</f>
        <v>RSDRF</v>
      </c>
      <c r="F32" s="25" t="str">
        <f>_xlfn.TEXTJOIN(" ",TRUE,SETUP!C$3,SETUP!C55,"Demand")</f>
        <v>Residential Refrigeration Demand</v>
      </c>
      <c r="G32" s="25" t="s">
        <v>13</v>
      </c>
      <c r="M32" s="239" t="s">
        <v>250</v>
      </c>
      <c r="N32" s="239" t="str">
        <f>_xlfn.TEXTJOIN(",",TRUE,IF(LEFT(Regions!$C$3,1)&lt;&gt;"*",Regions!$C$3,""),IF(LEFT(Regions!$D$3,1)&lt;&gt;"*",Regions!$D$3,""))</f>
        <v>IE,National</v>
      </c>
      <c r="O32" s="239" t="str">
        <f>_xlfn.TEXTJOIN("",TRUE,SETUP!B$3,SETUP!B$52,"_",SETUP!B$38)</f>
        <v>RSDWH_Det</v>
      </c>
      <c r="P32" s="239" t="str">
        <f>_xlfn.TEXTJOIN(" ",TRUE,SETUP!C$3,SETUP!C$52,SETUP!C$38)</f>
        <v>Residential Water Heating Detached</v>
      </c>
      <c r="Q32" s="239" t="s">
        <v>13</v>
      </c>
      <c r="R32" s="239"/>
      <c r="S32" s="239"/>
      <c r="T32" s="239"/>
      <c r="U32" s="239"/>
    </row>
    <row r="33" spans="3:21">
      <c r="C33" s="25" t="str">
        <f t="shared" ref="C33:C38" si="2">A33&amp;"DEM"</f>
        <v>DEM</v>
      </c>
      <c r="D33" s="25" t="str">
        <f>_xlfn.TEXTJOIN(",",TRUE,IF(LEFT(Regions!$C$3,1)&lt;&gt;"*",Regions!$C$3,""),IF(LEFT(Regions!$D$3,1)&lt;&gt;"*",Regions!$D$3,""))</f>
        <v>IE,National</v>
      </c>
      <c r="E33" s="25" t="str">
        <f>_xlfn.TEXTJOIN("",TRUE,SETUP!B$3,SETUP!B56)</f>
        <v>RSDCK</v>
      </c>
      <c r="F33" s="25" t="str">
        <f>_xlfn.TEXTJOIN(" ",TRUE,SETUP!C$3,SETUP!C56,"Demand")</f>
        <v>Residential Cooking Demand</v>
      </c>
      <c r="G33" s="25" t="s">
        <v>13</v>
      </c>
      <c r="M33" s="25" t="s">
        <v>250</v>
      </c>
      <c r="N33" s="25" t="str">
        <f>_xlfn.TEXTJOIN(",",TRUE,IF(LEFT(Regions!$C$3,1)&lt;&gt;"*",Regions!$C$3,""),IF(LEFT(Regions!$D$3,1)&lt;&gt;"*",Regions!$D$3,""))</f>
        <v>IE,National</v>
      </c>
      <c r="O33" s="25" t="str">
        <f>_xlfn.TEXTJOIN("",TRUE,SETUP!B$3,SETUP!B$53,"_",SETUP!B$36)</f>
        <v>RSDLT_Apt</v>
      </c>
      <c r="P33" s="25" t="str">
        <f>_xlfn.TEXTJOIN(" ",TRUE,SETUP!C$3,SETUP!C$53,SETUP!C$36)</f>
        <v>Residential Lighting Apartment</v>
      </c>
      <c r="Q33" s="25" t="s">
        <v>13</v>
      </c>
    </row>
    <row r="34" spans="3:21">
      <c r="C34" s="25" t="str">
        <f t="shared" si="2"/>
        <v>DEM</v>
      </c>
      <c r="D34" s="25" t="str">
        <f>_xlfn.TEXTJOIN(",",TRUE,IF(LEFT(Regions!$C$3,1)&lt;&gt;"*",Regions!$C$3,""),IF(LEFT(Regions!$D$3,1)&lt;&gt;"*",Regions!$D$3,""))</f>
        <v>IE,National</v>
      </c>
      <c r="E34" s="25" t="str">
        <f>_xlfn.TEXTJOIN("",TRUE,SETUP!B$3,SETUP!B57)</f>
        <v>RSDCW</v>
      </c>
      <c r="F34" s="25" t="str">
        <f>_xlfn.TEXTJOIN(" ",TRUE,SETUP!C$3,SETUP!C57,"Demand")</f>
        <v>Residential Cloth Washing Demand</v>
      </c>
      <c r="G34" s="25" t="s">
        <v>13</v>
      </c>
      <c r="M34" s="25" t="s">
        <v>250</v>
      </c>
      <c r="N34" s="25" t="str">
        <f>_xlfn.TEXTJOIN(",",TRUE,IF(LEFT(Regions!$C$3,1)&lt;&gt;"*",Regions!$C$3,""),IF(LEFT(Regions!$D$3,1)&lt;&gt;"*",Regions!$D$3,""))</f>
        <v>IE,National</v>
      </c>
      <c r="O34" s="25" t="str">
        <f>_xlfn.TEXTJOIN("",TRUE,SETUP!B$3,SETUP!B$53,"_",SETUP!B$37)</f>
        <v>RSDLT_Att</v>
      </c>
      <c r="P34" s="25" t="str">
        <f>_xlfn.TEXTJOIN(" ",TRUE,SETUP!C$3,SETUP!C$53,SETUP!C$37)</f>
        <v>Residential Lighting Attached</v>
      </c>
      <c r="Q34" s="25" t="s">
        <v>13</v>
      </c>
    </row>
    <row r="35" spans="3:21" ht="13.5" thickBot="1">
      <c r="C35" s="25" t="str">
        <f t="shared" si="2"/>
        <v>DEM</v>
      </c>
      <c r="D35" s="25" t="str">
        <f>_xlfn.TEXTJOIN(",",TRUE,IF(LEFT(Regions!$C$3,1)&lt;&gt;"*",Regions!$C$3,""),IF(LEFT(Regions!$D$3,1)&lt;&gt;"*",Regions!$D$3,""))</f>
        <v>IE,National</v>
      </c>
      <c r="E35" s="25" t="str">
        <f>_xlfn.TEXTJOIN("",TRUE,SETUP!B$3,SETUP!B58)</f>
        <v>RSDCD</v>
      </c>
      <c r="F35" s="25" t="str">
        <f>_xlfn.TEXTJOIN(" ",TRUE,SETUP!C$3,SETUP!C58,"Demand")</f>
        <v>Residential Cloth Drying Demand</v>
      </c>
      <c r="G35" s="25" t="s">
        <v>13</v>
      </c>
      <c r="M35" s="239" t="s">
        <v>250</v>
      </c>
      <c r="N35" s="239" t="str">
        <f>_xlfn.TEXTJOIN(",",TRUE,IF(LEFT(Regions!$C$3,1)&lt;&gt;"*",Regions!$C$3,""),IF(LEFT(Regions!$D$3,1)&lt;&gt;"*",Regions!$D$3,""))</f>
        <v>IE,National</v>
      </c>
      <c r="O35" s="239" t="str">
        <f>_xlfn.TEXTJOIN("",TRUE,SETUP!B$3,SETUP!B$53,"_",SETUP!B$38)</f>
        <v>RSDLT_Det</v>
      </c>
      <c r="P35" s="239" t="str">
        <f>_xlfn.TEXTJOIN(" ",TRUE,SETUP!C$3,SETUP!C$53,SETUP!C$38)</f>
        <v>Residential Lighting Detached</v>
      </c>
      <c r="Q35" s="239" t="s">
        <v>13</v>
      </c>
      <c r="R35" s="239"/>
      <c r="S35" s="239"/>
      <c r="T35" s="239"/>
      <c r="U35" s="239"/>
    </row>
    <row r="36" spans="3:21">
      <c r="C36" s="25" t="str">
        <f t="shared" si="2"/>
        <v>DEM</v>
      </c>
      <c r="D36" s="25" t="str">
        <f>_xlfn.TEXTJOIN(",",TRUE,IF(LEFT(Regions!$C$3,1)&lt;&gt;"*",Regions!$C$3,""),IF(LEFT(Regions!$D$3,1)&lt;&gt;"*",Regions!$D$3,""))</f>
        <v>IE,National</v>
      </c>
      <c r="E36" s="25" t="str">
        <f>_xlfn.TEXTJOIN("",TRUE,SETUP!B$3,SETUP!B59)</f>
        <v>RSDDW</v>
      </c>
      <c r="F36" s="25" t="str">
        <f>_xlfn.TEXTJOIN(" ",TRUE,SETUP!C$3,SETUP!C59,"Demand")</f>
        <v>Residential Dish Washing Demand</v>
      </c>
      <c r="G36" s="25" t="s">
        <v>13</v>
      </c>
      <c r="M36" s="25" t="s">
        <v>250</v>
      </c>
      <c r="N36" s="25" t="str">
        <f>_xlfn.TEXTJOIN(",",TRUE,IF(LEFT(Regions!$C$3,1)&lt;&gt;"*",Regions!$C$3,""),IF(LEFT(Regions!$D$3,1)&lt;&gt;"*",Regions!$D$3,""))</f>
        <v>IE,National</v>
      </c>
      <c r="O36" s="25" t="str">
        <f>_xlfn.TEXTJOIN("",TRUE,SETUP!B$3,SETUP!B$54,"_",SETUP!B$36)</f>
        <v>RSDPF_Apt</v>
      </c>
      <c r="P36" s="25" t="str">
        <f>_xlfn.TEXTJOIN(" ",TRUE,SETUP!C$3,SETUP!C$54,SETUP!C$36)</f>
        <v>Residential Pumps &amp; Fans Apartment</v>
      </c>
      <c r="Q36" s="25" t="s">
        <v>13</v>
      </c>
    </row>
    <row r="37" spans="3:21">
      <c r="C37" s="25" t="str">
        <f t="shared" si="2"/>
        <v>DEM</v>
      </c>
      <c r="D37" s="25" t="str">
        <f>_xlfn.TEXTJOIN(",",TRUE,IF(LEFT(Regions!$C$3,1)&lt;&gt;"*",Regions!$C$3,""),IF(LEFT(Regions!$D$3,1)&lt;&gt;"*",Regions!$D$3,""))</f>
        <v>IE,National</v>
      </c>
      <c r="E37" s="25" t="str">
        <f>_xlfn.TEXTJOIN("",TRUE,SETUP!B$3,SETUP!B60)</f>
        <v>RSDOE</v>
      </c>
      <c r="F37" s="25" t="str">
        <f>_xlfn.TEXTJOIN(" ",TRUE,SETUP!C$3,SETUP!C60,"Demand")</f>
        <v>Residential ELC Appliances Demand</v>
      </c>
      <c r="G37" s="25" t="s">
        <v>13</v>
      </c>
      <c r="M37" s="25" t="s">
        <v>250</v>
      </c>
      <c r="N37" s="25" t="str">
        <f>_xlfn.TEXTJOIN(",",TRUE,IF(LEFT(Regions!$C$3,1)&lt;&gt;"*",Regions!$C$3,""),IF(LEFT(Regions!$D$3,1)&lt;&gt;"*",Regions!$D$3,""))</f>
        <v>IE,National</v>
      </c>
      <c r="O37" s="25" t="str">
        <f>_xlfn.TEXTJOIN("",TRUE,SETUP!B$3,SETUP!B$54,"_",SETUP!B$37)</f>
        <v>RSDPF_Att</v>
      </c>
      <c r="P37" s="25" t="str">
        <f>_xlfn.TEXTJOIN(" ",TRUE,SETUP!C$3,SETUP!C$54,SETUP!C$37)</f>
        <v>Residential Pumps &amp; Fans Attached</v>
      </c>
      <c r="Q37" s="25" t="s">
        <v>13</v>
      </c>
    </row>
    <row r="38" spans="3:21" ht="13.5" thickBot="1">
      <c r="C38" s="239" t="str">
        <f t="shared" si="2"/>
        <v>DEM</v>
      </c>
      <c r="D38" s="239" t="str">
        <f>_xlfn.TEXTJOIN(",",TRUE,IF(LEFT(Regions!$C$3,1)&lt;&gt;"*",Regions!$C$3,""),IF(LEFT(Regions!$D$3,1)&lt;&gt;"*",Regions!$D$3,""))</f>
        <v>IE,National</v>
      </c>
      <c r="E38" s="239" t="str">
        <f>_xlfn.TEXTJOIN("",TRUE,SETUP!B$3,SETUP!B61)</f>
        <v>RSDOA</v>
      </c>
      <c r="F38" s="239" t="str">
        <f>_xlfn.TEXTJOIN(" ",TRUE,SETUP!C$3,SETUP!C61,"Demand")</f>
        <v>Residential Other Applications Demand</v>
      </c>
      <c r="G38" s="239" t="s">
        <v>13</v>
      </c>
      <c r="H38" s="239"/>
      <c r="I38" s="239"/>
      <c r="J38" s="239"/>
      <c r="K38" s="239"/>
      <c r="M38" s="239" t="s">
        <v>250</v>
      </c>
      <c r="N38" s="239" t="str">
        <f>_xlfn.TEXTJOIN(",",TRUE,IF(LEFT(Regions!$C$3,1)&lt;&gt;"*",Regions!$C$3,""),IF(LEFT(Regions!$D$3,1)&lt;&gt;"*",Regions!$D$3,""))</f>
        <v>IE,National</v>
      </c>
      <c r="O38" s="239" t="str">
        <f>_xlfn.TEXTJOIN("",TRUE,SETUP!B$3,SETUP!B$54,"_",SETUP!B$38)</f>
        <v>RSDPF_Det</v>
      </c>
      <c r="P38" s="239" t="str">
        <f>_xlfn.TEXTJOIN(" ",TRUE,SETUP!C$3,SETUP!C$54,SETUP!C$38)</f>
        <v>Residential Pumps &amp; Fans Detached</v>
      </c>
      <c r="Q38" s="239" t="s">
        <v>13</v>
      </c>
      <c r="R38" s="239"/>
      <c r="S38" s="239"/>
      <c r="T38" s="239"/>
      <c r="U38" s="23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2"/>
  <dimension ref="B1:S16"/>
  <sheetViews>
    <sheetView zoomScale="70" zoomScaleNormal="70" workbookViewId="0">
      <selection activeCell="I8" sqref="I8"/>
    </sheetView>
  </sheetViews>
  <sheetFormatPr defaultColWidth="9.1796875" defaultRowHeight="13"/>
  <cols>
    <col min="1" max="1" width="9.1796875" style="25"/>
    <col min="2" max="2" width="11" style="25" customWidth="1"/>
    <col min="3" max="3" width="15.7265625" style="25" bestFit="1" customWidth="1"/>
    <col min="4" max="4" width="11" style="25" customWidth="1"/>
    <col min="5" max="5" width="10.26953125" style="25" customWidth="1"/>
    <col min="6" max="6" width="10.54296875" style="25" bestFit="1" customWidth="1"/>
    <col min="7" max="7" width="11" style="25" bestFit="1" customWidth="1"/>
    <col min="8" max="8" width="12" style="25" bestFit="1" customWidth="1"/>
    <col min="9" max="9" width="12.26953125" style="25" bestFit="1" customWidth="1"/>
    <col min="10" max="10" width="12" style="25" customWidth="1"/>
    <col min="11" max="11" width="10.81640625" style="25" bestFit="1" customWidth="1"/>
    <col min="12" max="12" width="11.453125" style="25" customWidth="1"/>
    <col min="13" max="13" width="14.453125" style="25" customWidth="1"/>
    <col min="14" max="14" width="11.453125" style="25" customWidth="1"/>
    <col min="15" max="16" width="11.81640625" style="25" customWidth="1"/>
    <col min="17" max="17" width="13.1796875" style="25" customWidth="1"/>
    <col min="18" max="18" width="11.1796875" style="25" customWidth="1"/>
    <col min="19" max="19" width="12.81640625" style="25" customWidth="1"/>
    <col min="20" max="20" width="12.1796875" style="25" customWidth="1"/>
    <col min="21" max="21" width="11.26953125" style="25" customWidth="1"/>
    <col min="22" max="22" width="12.453125" style="25" customWidth="1"/>
    <col min="23" max="23" width="12.1796875" style="25" customWidth="1"/>
    <col min="24" max="25" width="9.1796875" style="25"/>
    <col min="26" max="26" width="15.81640625" style="25" customWidth="1"/>
    <col min="27" max="16384" width="9.1796875" style="25"/>
  </cols>
  <sheetData>
    <row r="1" spans="2:19">
      <c r="S1" s="25" t="s">
        <v>40</v>
      </c>
    </row>
    <row r="3" spans="2:19" ht="28.5">
      <c r="B3" s="55" t="s">
        <v>253</v>
      </c>
      <c r="C3" s="55"/>
      <c r="D3" s="55"/>
      <c r="E3" s="55"/>
      <c r="F3" s="55"/>
      <c r="G3" s="55"/>
      <c r="H3" s="55"/>
      <c r="I3" s="55"/>
      <c r="J3" s="55"/>
      <c r="K3" s="55"/>
    </row>
    <row r="4" spans="2:19" ht="15" thickBot="1">
      <c r="C4" s="56" t="s">
        <v>766</v>
      </c>
      <c r="D4" s="57"/>
    </row>
    <row r="5" spans="2:19" ht="15" thickBot="1">
      <c r="B5" s="282" t="s">
        <v>764</v>
      </c>
      <c r="C5" s="282" t="s">
        <v>232</v>
      </c>
      <c r="D5" s="450" t="str">
        <f>COMM!E6</f>
        <v>RSDCOA</v>
      </c>
      <c r="E5" s="356" t="str">
        <f>COMM!E7</f>
        <v>RSDPEA</v>
      </c>
      <c r="F5" s="356" t="str">
        <f>COMM!E8</f>
        <v>RSDLPG</v>
      </c>
      <c r="G5" s="356" t="str">
        <f>COMM!E10</f>
        <v>RSDKER</v>
      </c>
      <c r="H5" s="356" t="str">
        <f>COMM!E14</f>
        <v>RSDGAS</v>
      </c>
      <c r="I5" s="356" t="str">
        <f>COMM!E16</f>
        <v>RSDWOO</v>
      </c>
      <c r="J5" s="356" t="str">
        <f>COMM!E20</f>
        <v>RSDETH</v>
      </c>
      <c r="K5" s="356" t="str">
        <f>COMM!E21</f>
        <v>RSDBDL</v>
      </c>
      <c r="M5"/>
      <c r="N5"/>
      <c r="O5"/>
    </row>
    <row r="6" spans="2:19" ht="13.5" thickBot="1">
      <c r="B6" s="355"/>
      <c r="C6" s="355" t="s">
        <v>254</v>
      </c>
      <c r="D6" s="675" t="s">
        <v>252</v>
      </c>
      <c r="E6" s="675" t="s">
        <v>252</v>
      </c>
      <c r="F6" s="675" t="s">
        <v>252</v>
      </c>
      <c r="G6" s="675" t="s">
        <v>252</v>
      </c>
      <c r="H6" s="675" t="s">
        <v>252</v>
      </c>
      <c r="I6" s="675" t="s">
        <v>252</v>
      </c>
      <c r="J6" s="675" t="s">
        <v>252</v>
      </c>
      <c r="K6" s="675" t="s">
        <v>252</v>
      </c>
      <c r="M6"/>
      <c r="N6"/>
      <c r="O6"/>
    </row>
    <row r="7" spans="2:19">
      <c r="B7" s="357" t="str">
        <f>_xlfn.TEXTJOIN(",",TRUE,IF(LEFT(Regions!$C$3,1)&lt;&gt;"*",Regions!$C$3,""),IF(LEFT(Regions!$D$3,1)&lt;&gt;"*",Regions!$D$3,""))</f>
        <v>IE,National</v>
      </c>
      <c r="C7" s="670" t="str">
        <f>COMM!E26</f>
        <v>RSDCO2</v>
      </c>
      <c r="D7" s="286">
        <v>97.115822433347077</v>
      </c>
      <c r="E7" s="287">
        <v>104</v>
      </c>
      <c r="F7" s="288">
        <v>63.7</v>
      </c>
      <c r="G7" s="288">
        <v>71.400000000000006</v>
      </c>
      <c r="H7" s="287">
        <v>55.74</v>
      </c>
      <c r="I7" s="287">
        <v>0</v>
      </c>
      <c r="J7" s="287">
        <v>0</v>
      </c>
      <c r="K7" s="676">
        <v>0</v>
      </c>
      <c r="M7"/>
      <c r="N7"/>
      <c r="O7"/>
    </row>
    <row r="8" spans="2:19">
      <c r="B8" s="284" t="str">
        <f>_xlfn.TEXTJOIN(",",TRUE,IF(LEFT(Regions!$C$3,1)&lt;&gt;"*",Regions!$C$3,""),IF(LEFT(Regions!$D$3,1)&lt;&gt;"*",Regions!$D$3,""))</f>
        <v>IE,National</v>
      </c>
      <c r="C8" s="671" t="str">
        <f>COMM!E27</f>
        <v>RSDCH4</v>
      </c>
      <c r="D8" s="289">
        <v>0.29999999999999993</v>
      </c>
      <c r="E8" s="281">
        <v>0.3</v>
      </c>
      <c r="F8" s="280">
        <v>5.0000000000000001E-3</v>
      </c>
      <c r="G8" s="280">
        <v>0.01</v>
      </c>
      <c r="H8" s="280">
        <v>5.0000000000000001E-3</v>
      </c>
      <c r="I8" s="281">
        <v>0.29770000000000002</v>
      </c>
      <c r="J8" s="281">
        <v>0.01</v>
      </c>
      <c r="K8" s="677">
        <v>0.01</v>
      </c>
      <c r="M8"/>
      <c r="N8"/>
      <c r="O8"/>
    </row>
    <row r="9" spans="2:19" ht="13.5" thickBot="1">
      <c r="B9" s="283" t="str">
        <f>_xlfn.TEXTJOIN(",",TRUE,IF(LEFT(Regions!$C$3,1)&lt;&gt;"*",Regions!$C$3,""),IF(LEFT(Regions!$D$3,1)&lt;&gt;"*",Regions!$D$3,""))</f>
        <v>IE,National</v>
      </c>
      <c r="C9" s="672" t="str">
        <f>COMM!E28</f>
        <v>RSDN2O</v>
      </c>
      <c r="D9" s="678">
        <v>0</v>
      </c>
      <c r="E9" s="679"/>
      <c r="F9" s="680"/>
      <c r="G9" s="680"/>
      <c r="H9" s="679"/>
      <c r="I9" s="679"/>
      <c r="J9" s="679"/>
      <c r="K9" s="681"/>
      <c r="M9"/>
      <c r="N9"/>
      <c r="O9"/>
    </row>
    <row r="10" spans="2:19">
      <c r="B10" s="358" t="str">
        <f>_xlfn.TEXTJOIN(",",TRUE,IF(LEFT(Regions!$C$3,1)&lt;&gt;"*",Regions!$C$3,""),IF(LEFT(Regions!$D$3,1)&lt;&gt;"*",Regions!$D$3,""))</f>
        <v>IE,National</v>
      </c>
      <c r="C10" s="673" t="str">
        <f>COMM!E29</f>
        <v>RSDSO2N</v>
      </c>
      <c r="D10" s="682">
        <v>1.4999999999999998E-3</v>
      </c>
      <c r="E10" s="359">
        <v>1.4E-3</v>
      </c>
      <c r="F10" s="360">
        <v>1E-4</v>
      </c>
      <c r="G10" s="360">
        <v>5.9999999999999995E-4</v>
      </c>
      <c r="H10" s="360">
        <v>1E-4</v>
      </c>
      <c r="I10" s="359">
        <v>3.8999999999999998E-3</v>
      </c>
      <c r="J10" s="359">
        <v>5.9999999999999995E-4</v>
      </c>
      <c r="K10" s="683">
        <v>5.9999999999999995E-4</v>
      </c>
      <c r="M10"/>
      <c r="N10"/>
      <c r="O10"/>
    </row>
    <row r="11" spans="2:19">
      <c r="B11" s="283" t="str">
        <f>_xlfn.TEXTJOIN(",",TRUE,IF(LEFT(Regions!$C$3,1)&lt;&gt;"*",Regions!$C$3,""),IF(LEFT(Regions!$D$3,1)&lt;&gt;"*",Regions!$D$3,""))</f>
        <v>IE,National</v>
      </c>
      <c r="C11" s="672" t="str">
        <f>COMM!E30</f>
        <v>RSDPM10</v>
      </c>
      <c r="D11" s="290">
        <v>0.31384830276066084</v>
      </c>
      <c r="E11" s="279"/>
      <c r="F11" s="278">
        <v>3.609253890302349E-3</v>
      </c>
      <c r="G11" s="278">
        <v>3.1602980079786249E-3</v>
      </c>
      <c r="H11" s="279">
        <v>5.6935265820658805E-4</v>
      </c>
      <c r="I11" s="279">
        <v>0.62378182960067274</v>
      </c>
      <c r="J11" s="279"/>
      <c r="K11" s="684"/>
      <c r="M11"/>
      <c r="N11"/>
      <c r="O11"/>
    </row>
    <row r="12" spans="2:19" ht="13.5" thickBot="1">
      <c r="B12" s="285" t="str">
        <f>_xlfn.TEXTJOIN(",",TRUE,IF(LEFT(Regions!$C$3,1)&lt;&gt;"*",Regions!$C$3,""),IF(LEFT(Regions!$D$3,1)&lt;&gt;"*",Regions!$D$3,""))</f>
        <v>IE,National</v>
      </c>
      <c r="C12" s="674" t="str">
        <f>COMM!E31</f>
        <v>RSDPM25</v>
      </c>
      <c r="D12" s="685">
        <v>0.30918718935332451</v>
      </c>
      <c r="E12" s="291"/>
      <c r="F12" s="292">
        <v>3.609253890302349E-3</v>
      </c>
      <c r="G12" s="292">
        <v>3.1602980079786249E-3</v>
      </c>
      <c r="H12" s="292">
        <v>5.6935265820658805E-4</v>
      </c>
      <c r="I12" s="291">
        <v>0.5825145977400924</v>
      </c>
      <c r="J12" s="291"/>
      <c r="K12" s="686"/>
      <c r="M12"/>
      <c r="N12"/>
      <c r="O12"/>
    </row>
    <row r="13" spans="2:19">
      <c r="G13" s="54"/>
      <c r="M13"/>
      <c r="N13"/>
      <c r="O13"/>
    </row>
    <row r="14" spans="2:19">
      <c r="C14" s="54"/>
      <c r="D14" s="54"/>
      <c r="E14" s="54"/>
      <c r="F14" s="54"/>
      <c r="G14" s="54"/>
      <c r="H14" s="54"/>
      <c r="I14" s="54"/>
      <c r="J14" s="54"/>
      <c r="K14" s="54"/>
      <c r="L14" s="54"/>
    </row>
    <row r="15" spans="2:19"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</row>
    <row r="16" spans="2:19">
      <c r="C16" s="54"/>
      <c r="D16" s="54"/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12B9C-2E3A-45CA-A9EA-E9B17125268B}">
  <sheetPr codeName="Sheet13"/>
  <dimension ref="A2:U29"/>
  <sheetViews>
    <sheetView tabSelected="1" workbookViewId="0">
      <selection activeCell="H18" sqref="H18"/>
    </sheetView>
  </sheetViews>
  <sheetFormatPr defaultColWidth="8.81640625" defaultRowHeight="12.5"/>
  <cols>
    <col min="1" max="1" width="3.26953125" customWidth="1"/>
    <col min="2" max="2" width="11.26953125" customWidth="1"/>
    <col min="3" max="3" width="15.81640625" bestFit="1" customWidth="1"/>
    <col min="4" max="4" width="24" bestFit="1" customWidth="1"/>
    <col min="5" max="5" width="12.81640625" bestFit="1" customWidth="1"/>
    <col min="6" max="6" width="7.81640625" bestFit="1" customWidth="1"/>
    <col min="7" max="7" width="13.26953125" bestFit="1" customWidth="1"/>
    <col min="8" max="11" width="13.26953125" customWidth="1"/>
    <col min="12" max="12" width="3.7265625" customWidth="1"/>
    <col min="13" max="13" width="9.81640625" customWidth="1"/>
    <col min="14" max="14" width="10" bestFit="1" customWidth="1"/>
    <col min="15" max="15" width="15.7265625" bestFit="1" customWidth="1"/>
    <col min="16" max="16" width="44.81640625" bestFit="1" customWidth="1"/>
    <col min="17" max="17" width="6.1796875" bestFit="1" customWidth="1"/>
    <col min="18" max="18" width="7" bestFit="1" customWidth="1"/>
    <col min="19" max="19" width="12.81640625" customWidth="1"/>
    <col min="20" max="20" width="13.26953125" customWidth="1"/>
    <col min="21" max="21" width="8" bestFit="1" customWidth="1"/>
  </cols>
  <sheetData>
    <row r="2" spans="1:21" ht="13">
      <c r="E2" s="421" t="s">
        <v>768</v>
      </c>
      <c r="F2" s="421"/>
      <c r="M2" s="422" t="s">
        <v>767</v>
      </c>
      <c r="N2" s="422"/>
      <c r="O2" s="423"/>
      <c r="P2" s="423"/>
      <c r="Q2" s="423"/>
      <c r="R2" s="423"/>
      <c r="S2" s="423"/>
      <c r="T2" s="423"/>
      <c r="U2" s="423"/>
    </row>
    <row r="3" spans="1:21" ht="13">
      <c r="B3" s="424" t="s">
        <v>764</v>
      </c>
      <c r="C3" s="424" t="s">
        <v>255</v>
      </c>
      <c r="D3" s="425" t="s">
        <v>257</v>
      </c>
      <c r="E3" s="424" t="s">
        <v>258</v>
      </c>
      <c r="F3" s="424" t="s">
        <v>259</v>
      </c>
      <c r="G3" s="426" t="s">
        <v>973</v>
      </c>
      <c r="H3" s="1072" t="s">
        <v>971</v>
      </c>
      <c r="I3" s="1072" t="s">
        <v>972</v>
      </c>
      <c r="J3" s="1072" t="s">
        <v>269</v>
      </c>
      <c r="K3" s="1072" t="s">
        <v>638</v>
      </c>
      <c r="M3" s="427" t="s">
        <v>261</v>
      </c>
      <c r="N3" s="427" t="s">
        <v>764</v>
      </c>
      <c r="O3" s="427" t="s">
        <v>255</v>
      </c>
      <c r="P3" s="427" t="s">
        <v>256</v>
      </c>
      <c r="Q3" s="427" t="s">
        <v>262</v>
      </c>
      <c r="R3" s="427" t="s">
        <v>263</v>
      </c>
      <c r="S3" s="427" t="s">
        <v>264</v>
      </c>
      <c r="T3" s="427" t="s">
        <v>265</v>
      </c>
      <c r="U3" s="427" t="s">
        <v>695</v>
      </c>
    </row>
    <row r="4" spans="1:21" ht="21" thickBot="1">
      <c r="B4" s="428" t="s">
        <v>765</v>
      </c>
      <c r="C4" s="428" t="s">
        <v>271</v>
      </c>
      <c r="D4" s="428" t="s">
        <v>273</v>
      </c>
      <c r="E4" s="428" t="s">
        <v>274</v>
      </c>
      <c r="F4" s="428" t="s">
        <v>696</v>
      </c>
      <c r="G4" s="428"/>
      <c r="H4" s="1073"/>
      <c r="I4" s="1073"/>
      <c r="J4" s="1073"/>
      <c r="K4" s="1073"/>
      <c r="M4" s="429" t="s">
        <v>697</v>
      </c>
      <c r="N4" s="429" t="s">
        <v>765</v>
      </c>
      <c r="O4" s="429" t="s">
        <v>698</v>
      </c>
      <c r="P4" s="429" t="s">
        <v>272</v>
      </c>
      <c r="Q4" s="429" t="s">
        <v>699</v>
      </c>
      <c r="R4" s="429" t="s">
        <v>700</v>
      </c>
      <c r="S4" s="429" t="s">
        <v>701</v>
      </c>
      <c r="T4" s="429" t="s">
        <v>702</v>
      </c>
      <c r="U4" s="429" t="s">
        <v>703</v>
      </c>
    </row>
    <row r="5" spans="1:21" ht="13" thickBot="1">
      <c r="B5" s="428"/>
      <c r="C5" s="428" t="s">
        <v>493</v>
      </c>
      <c r="D5" s="430"/>
      <c r="E5" s="430"/>
      <c r="F5" s="430"/>
      <c r="G5" s="430"/>
      <c r="H5" s="1074"/>
      <c r="I5" s="1074"/>
      <c r="J5" s="1074"/>
      <c r="K5" s="1074"/>
      <c r="M5" s="429" t="s">
        <v>254</v>
      </c>
      <c r="N5" s="429"/>
      <c r="O5" s="431"/>
      <c r="P5" s="431"/>
      <c r="Q5" s="431"/>
      <c r="R5" s="431"/>
      <c r="S5" s="431"/>
      <c r="T5" s="431"/>
      <c r="U5" s="431"/>
    </row>
    <row r="6" spans="1:21" s="433" customFormat="1">
      <c r="A6" s="433" t="str">
        <f>COMM!A6</f>
        <v/>
      </c>
      <c r="B6" s="432" t="str">
        <f>_xlfn.TEXTJOIN(",",TRUE,IF(LEFT(Regions!$C$3,1)&lt;&gt;"*",Regions!$C$3,""),IF(LEFT(Regions!$D$3,1)&lt;&gt;"*",Regions!$D$3,""))</f>
        <v>IE,National</v>
      </c>
      <c r="C6" s="432" t="str">
        <f>_xlfn.TEXTJOIN("-",TRUE,SETUP!$B$4,COMM!E6)</f>
        <v>FT-RSDCOA</v>
      </c>
      <c r="D6" s="58" t="s">
        <v>705</v>
      </c>
      <c r="E6" s="432" t="str">
        <f>COMM!E6</f>
        <v>RSDCOA</v>
      </c>
      <c r="F6" s="433">
        <v>1</v>
      </c>
      <c r="G6" s="514"/>
      <c r="H6" s="514"/>
      <c r="I6" s="514"/>
      <c r="J6" s="514"/>
      <c r="K6" s="514"/>
      <c r="M6" s="432" t="s">
        <v>266</v>
      </c>
      <c r="N6" s="432" t="str">
        <f>_xlfn.TEXTJOIN(",",TRUE,IF(LEFT(Regions!$C$3,1)&lt;&gt;"*",Regions!$C$3,""),IF(LEFT(Regions!$D$3,1)&lt;&gt;"*",Regions!$D$3,""))</f>
        <v>IE,National</v>
      </c>
      <c r="O6" s="434" t="str">
        <f t="shared" ref="O6:O17" si="0">C6</f>
        <v>FT-RSDCOA</v>
      </c>
      <c r="P6" s="435" t="str">
        <f>_xlfn.TEXTJOIN(" ",TRUE,SETUP!$B$3,COMM!F6)</f>
        <v>RSD Coal to Residential</v>
      </c>
      <c r="Q6" s="434" t="s">
        <v>13</v>
      </c>
      <c r="R6" s="434" t="s">
        <v>694</v>
      </c>
      <c r="S6" s="434"/>
      <c r="T6" s="434"/>
      <c r="U6" s="434"/>
    </row>
    <row r="7" spans="1:21" s="433" customFormat="1">
      <c r="A7" s="433" t="str">
        <f>COMM!A7</f>
        <v/>
      </c>
      <c r="B7" s="432" t="str">
        <f>_xlfn.TEXTJOIN(",",TRUE,IF(LEFT(Regions!$C$3,1)&lt;&gt;"*",Regions!$C$3,""),IF(LEFT(Regions!$D$3,1)&lt;&gt;"*",Regions!$D$3,""))</f>
        <v>IE,National</v>
      </c>
      <c r="C7" s="432" t="str">
        <f>_xlfn.TEXTJOIN("-",TRUE,SETUP!$B$4,COMM!E7)</f>
        <v>FT-RSDPEA</v>
      </c>
      <c r="D7" s="58" t="s">
        <v>200</v>
      </c>
      <c r="E7" s="432" t="str">
        <f>COMM!E7</f>
        <v>RSDPEA</v>
      </c>
      <c r="F7" s="433">
        <v>1</v>
      </c>
      <c r="M7" s="432"/>
      <c r="N7" s="432" t="str">
        <f>_xlfn.TEXTJOIN(",",TRUE,IF(LEFT(Regions!$C$3,1)&lt;&gt;"*",Regions!$C$3,""),IF(LEFT(Regions!$D$3,1)&lt;&gt;"*",Regions!$D$3,""))</f>
        <v>IE,National</v>
      </c>
      <c r="O7" s="434" t="str">
        <f t="shared" si="0"/>
        <v>FT-RSDPEA</v>
      </c>
      <c r="P7" s="435" t="str">
        <f>_xlfn.TEXTJOIN(" ",TRUE,SETUP!$B$3,COMM!F7)</f>
        <v>RSD Peat to Residential</v>
      </c>
      <c r="Q7" s="434" t="s">
        <v>13</v>
      </c>
      <c r="R7" s="434" t="s">
        <v>694</v>
      </c>
    </row>
    <row r="8" spans="1:21" s="433" customFormat="1">
      <c r="A8" s="433" t="str">
        <f>COMM!A8</f>
        <v/>
      </c>
      <c r="B8" s="432" t="str">
        <f>_xlfn.TEXTJOIN(",",TRUE,IF(LEFT(Regions!$C$3,1)&lt;&gt;"*",Regions!$C$3,""),IF(LEFT(Regions!$D$3,1)&lt;&gt;"*",Regions!$D$3,""))</f>
        <v>IE,National</v>
      </c>
      <c r="C8" s="432" t="str">
        <f>_xlfn.TEXTJOIN("-",TRUE,SETUP!$B$4,COMM!E8)</f>
        <v>FT-RSDLPG</v>
      </c>
      <c r="D8" s="58" t="s">
        <v>201</v>
      </c>
      <c r="E8" s="432" t="str">
        <f>COMM!E8</f>
        <v>RSDLPG</v>
      </c>
      <c r="F8" s="433">
        <v>1</v>
      </c>
      <c r="M8" s="432"/>
      <c r="N8" s="432" t="str">
        <f>_xlfn.TEXTJOIN(",",TRUE,IF(LEFT(Regions!$C$3,1)&lt;&gt;"*",Regions!$C$3,""),IF(LEFT(Regions!$D$3,1)&lt;&gt;"*",Regions!$D$3,""))</f>
        <v>IE,National</v>
      </c>
      <c r="O8" s="434" t="str">
        <f t="shared" si="0"/>
        <v>FT-RSDLPG</v>
      </c>
      <c r="P8" s="435" t="str">
        <f>_xlfn.TEXTJOIN(" ",TRUE,SETUP!$B$3,COMM!F8)</f>
        <v>RSD LPG to Residential</v>
      </c>
      <c r="Q8" s="434" t="s">
        <v>13</v>
      </c>
      <c r="R8" s="434" t="s">
        <v>694</v>
      </c>
    </row>
    <row r="9" spans="1:21" s="433" customFormat="1">
      <c r="A9" s="433" t="str">
        <f>COMM!A10</f>
        <v/>
      </c>
      <c r="B9" s="432" t="str">
        <f>_xlfn.TEXTJOIN(",",TRUE,IF(LEFT(Regions!$C$3,1)&lt;&gt;"*",Regions!$C$3,""),IF(LEFT(Regions!$D$3,1)&lt;&gt;"*",Regions!$D$3,""))</f>
        <v>IE,National</v>
      </c>
      <c r="C9" s="432" t="str">
        <f>_xlfn.TEXTJOIN("-",TRUE,SETUP!$B$4,COMM!E10)</f>
        <v>FT-RSDKER</v>
      </c>
      <c r="D9" s="58" t="s">
        <v>203</v>
      </c>
      <c r="E9" s="432" t="str">
        <f>COMM!E10</f>
        <v>RSDKER</v>
      </c>
      <c r="F9" s="433">
        <v>1</v>
      </c>
      <c r="M9" s="432"/>
      <c r="N9" s="432" t="str">
        <f>_xlfn.TEXTJOIN(",",TRUE,IF(LEFT(Regions!$C$3,1)&lt;&gt;"*",Regions!$C$3,""),IF(LEFT(Regions!$D$3,1)&lt;&gt;"*",Regions!$D$3,""))</f>
        <v>IE,National</v>
      </c>
      <c r="O9" s="434" t="str">
        <f t="shared" si="0"/>
        <v>FT-RSDKER</v>
      </c>
      <c r="P9" s="435" t="str">
        <f>_xlfn.TEXTJOIN(" ",TRUE,SETUP!$B$3,COMM!F10)</f>
        <v>RSD Kerosene to Residential</v>
      </c>
      <c r="Q9" s="434" t="s">
        <v>13</v>
      </c>
      <c r="R9" s="434" t="s">
        <v>694</v>
      </c>
    </row>
    <row r="10" spans="1:21" s="433" customFormat="1">
      <c r="A10" s="433" t="str">
        <f>COMM!A14</f>
        <v/>
      </c>
      <c r="B10" s="432" t="str">
        <f>_xlfn.TEXTJOIN(",",TRUE,IF(LEFT(Regions!$C$3,1)&lt;&gt;"*",Regions!$C$3,""),IF(LEFT(Regions!$D$3,1)&lt;&gt;"*",Regions!$D$3,""))</f>
        <v>IE,National</v>
      </c>
      <c r="C10" s="432" t="str">
        <f>_xlfn.TEXTJOIN("-",TRUE,SETUP!$B$4,COMM!E14)</f>
        <v>FT-RSDGAS</v>
      </c>
      <c r="D10" s="58" t="s">
        <v>207</v>
      </c>
      <c r="E10" s="432" t="str">
        <f>COMM!E14</f>
        <v>RSDGAS</v>
      </c>
      <c r="F10" s="433">
        <v>1</v>
      </c>
      <c r="G10" s="433">
        <v>31.536000000000001</v>
      </c>
      <c r="H10" s="433">
        <v>50</v>
      </c>
      <c r="I10" s="433">
        <f>+H10*0.05</f>
        <v>2.5</v>
      </c>
      <c r="J10" s="433">
        <v>30</v>
      </c>
      <c r="K10" s="433">
        <v>0.25</v>
      </c>
      <c r="M10" s="432"/>
      <c r="N10" s="432" t="str">
        <f>_xlfn.TEXTJOIN(",",TRUE,IF(LEFT(Regions!$C$3,1)&lt;&gt;"*",Regions!$C$3,""),IF(LEFT(Regions!$D$3,1)&lt;&gt;"*",Regions!$D$3,""))</f>
        <v>IE,National</v>
      </c>
      <c r="O10" s="434" t="str">
        <f t="shared" si="0"/>
        <v>FT-RSDGAS</v>
      </c>
      <c r="P10" s="435" t="str">
        <f>_xlfn.TEXTJOIN(" ",TRUE,SETUP!$B$3,COMM!F14)</f>
        <v>RSD Natural Gas to Residential</v>
      </c>
      <c r="Q10" s="434" t="s">
        <v>13</v>
      </c>
      <c r="R10" s="434" t="s">
        <v>694</v>
      </c>
    </row>
    <row r="11" spans="1:21" s="433" customFormat="1">
      <c r="B11" s="432" t="str">
        <f>_xlfn.TEXTJOIN(",",TRUE,IF(LEFT(Regions!$C$3,1)&lt;&gt;"*",Regions!$C$3,""),IF(LEFT(Regions!$D$3,1)&lt;&gt;"*",Regions!$D$3,""))</f>
        <v>IE,National</v>
      </c>
      <c r="C11" s="432" t="str">
        <f>_xlfn.TEXTJOIN("-",TRUE,SETUP!$B$4,COMM!E15)</f>
        <v>FT-RSDSOL</v>
      </c>
      <c r="D11" s="58" t="s">
        <v>208</v>
      </c>
      <c r="E11" s="432" t="str">
        <f>COMM!E15</f>
        <v>RSDSOL</v>
      </c>
      <c r="F11" s="433">
        <v>1</v>
      </c>
      <c r="M11" s="432"/>
      <c r="N11" s="432" t="str">
        <f>_xlfn.TEXTJOIN(",",TRUE,IF(LEFT(Regions!$C$3,1)&lt;&gt;"*",Regions!$C$3,""),IF(LEFT(Regions!$D$3,1)&lt;&gt;"*",Regions!$D$3,""))</f>
        <v>IE,National</v>
      </c>
      <c r="O11" s="434" t="str">
        <f t="shared" ref="O11" si="1">C11</f>
        <v>FT-RSDSOL</v>
      </c>
      <c r="P11" s="435" t="str">
        <f>_xlfn.TEXTJOIN(" ",TRUE,SETUP!$B$3,COMM!F15)</f>
        <v>RSD Solar Thermal to Residential</v>
      </c>
      <c r="Q11" s="434" t="s">
        <v>13</v>
      </c>
      <c r="R11" s="434" t="s">
        <v>694</v>
      </c>
    </row>
    <row r="12" spans="1:21" s="433" customFormat="1">
      <c r="A12" s="433" t="str">
        <f>COMM!A16</f>
        <v/>
      </c>
      <c r="B12" s="432" t="str">
        <f>_xlfn.TEXTJOIN(",",TRUE,IF(LEFT(Regions!$C$3,1)&lt;&gt;"*",Regions!$C$3,""),IF(LEFT(Regions!$D$3,1)&lt;&gt;"*",Regions!$D$3,""))</f>
        <v>IE,National</v>
      </c>
      <c r="C12" s="432" t="str">
        <f>_xlfn.TEXTJOIN("-",TRUE,SETUP!$B$4,COMM!E16)</f>
        <v>FT-RSDWOO</v>
      </c>
      <c r="D12" s="58" t="s">
        <v>819</v>
      </c>
      <c r="E12" s="432" t="str">
        <f>COMM!E16</f>
        <v>RSDWOO</v>
      </c>
      <c r="F12" s="433">
        <v>1</v>
      </c>
      <c r="N12" s="432" t="str">
        <f>_xlfn.TEXTJOIN(",",TRUE,IF(LEFT(Regions!$C$3,1)&lt;&gt;"*",Regions!$C$3,""),IF(LEFT(Regions!$D$3,1)&lt;&gt;"*",Regions!$D$3,""))</f>
        <v>IE,National</v>
      </c>
      <c r="O12" s="434" t="str">
        <f t="shared" si="0"/>
        <v>FT-RSDWOO</v>
      </c>
      <c r="P12" s="435" t="str">
        <f>_xlfn.TEXTJOIN(" ",TRUE,SETUP!$B$3,COMM!F16)</f>
        <v>RSD Biomass to Residential</v>
      </c>
      <c r="Q12" s="434" t="s">
        <v>13</v>
      </c>
      <c r="R12" s="434" t="s">
        <v>694</v>
      </c>
    </row>
    <row r="13" spans="1:21" s="433" customFormat="1">
      <c r="B13" s="432" t="str">
        <f>_xlfn.TEXTJOIN(",",TRUE,IF(LEFT(Regions!$C$3,1)&lt;&gt;"*",Regions!$C$3,""),IF(LEFT(Regions!$D$3,1)&lt;&gt;"*",Regions!$D$3,""))</f>
        <v>IE,National</v>
      </c>
      <c r="C13" s="432" t="str">
        <f>_xlfn.TEXTJOIN("-",TRUE,SETUP!$B$4,COMM!E19)</f>
        <v>FT-RSDAHT</v>
      </c>
      <c r="D13" s="58" t="s">
        <v>832</v>
      </c>
      <c r="E13" s="432" t="str">
        <f>COMM!E19</f>
        <v>RSDAHT</v>
      </c>
      <c r="F13" s="433">
        <v>1</v>
      </c>
      <c r="N13" s="432" t="str">
        <f>_xlfn.TEXTJOIN(",",TRUE,IF(LEFT(Regions!$C$3,1)&lt;&gt;"*",Regions!$C$3,""),IF(LEFT(Regions!$D$3,1)&lt;&gt;"*",Regions!$D$3,""))</f>
        <v>IE,National</v>
      </c>
      <c r="O13" s="434" t="str">
        <f t="shared" ref="O13" si="2">C13</f>
        <v>FT-RSDAHT</v>
      </c>
      <c r="P13" s="435" t="str">
        <f>_xlfn.TEXTJOIN(" ",TRUE,SETUP!$B$3,COMM!F19)</f>
        <v>RSD Ambient Heat to Residential</v>
      </c>
      <c r="Q13" s="434" t="s">
        <v>13</v>
      </c>
      <c r="R13" s="434" t="s">
        <v>694</v>
      </c>
    </row>
    <row r="14" spans="1:21">
      <c r="A14" s="433" t="str">
        <f>COMM!A20</f>
        <v/>
      </c>
      <c r="B14" s="432" t="str">
        <f>_xlfn.TEXTJOIN(",",TRUE,IF(LEFT(Regions!$C$3,1)&lt;&gt;"*",Regions!$C$3,""),IF(LEFT(Regions!$D$3,1)&lt;&gt;"*",Regions!$D$3,""))</f>
        <v>IE,National</v>
      </c>
      <c r="C14" s="432" t="str">
        <f>_xlfn.TEXTJOIN("-",TRUE,SETUP!$B$4,COMM!E20)</f>
        <v>FT-RSDETH</v>
      </c>
      <c r="D14" s="58" t="s">
        <v>706</v>
      </c>
      <c r="E14" s="432" t="str">
        <f>COMM!E20</f>
        <v>RSDETH</v>
      </c>
      <c r="F14" s="433">
        <v>1</v>
      </c>
      <c r="G14" s="433"/>
      <c r="H14" s="433"/>
      <c r="I14" s="433"/>
      <c r="J14" s="433"/>
      <c r="K14" s="433"/>
      <c r="N14" s="432" t="str">
        <f>_xlfn.TEXTJOIN(",",TRUE,IF(LEFT(Regions!$C$3,1)&lt;&gt;"*",Regions!$C$3,""),IF(LEFT(Regions!$D$3,1)&lt;&gt;"*",Regions!$D$3,""))</f>
        <v>IE,National</v>
      </c>
      <c r="O14" s="434" t="str">
        <f t="shared" si="0"/>
        <v>FT-RSDETH</v>
      </c>
      <c r="P14" s="435" t="str">
        <f>_xlfn.TEXTJOIN(" ",TRUE,SETUP!$B$3,COMM!F20)</f>
        <v>RSD Ethanol to Residential</v>
      </c>
      <c r="Q14" s="434" t="s">
        <v>13</v>
      </c>
      <c r="R14" s="434" t="s">
        <v>694</v>
      </c>
    </row>
    <row r="15" spans="1:21">
      <c r="A15" s="433" t="str">
        <f>COMM!A21</f>
        <v/>
      </c>
      <c r="B15" s="432" t="str">
        <f>_xlfn.TEXTJOIN(",",TRUE,IF(LEFT(Regions!$C$3,1)&lt;&gt;"*",Regions!$C$3,""),IF(LEFT(Regions!$D$3,1)&lt;&gt;"*",Regions!$D$3,""))</f>
        <v>IE,National</v>
      </c>
      <c r="C15" s="432" t="str">
        <f>_xlfn.TEXTJOIN("-",TRUE,SETUP!$B$4,COMM!E21)</f>
        <v>FT-RSDBDL</v>
      </c>
      <c r="D15" s="58" t="s">
        <v>707</v>
      </c>
      <c r="E15" s="432" t="str">
        <f>COMM!E21</f>
        <v>RSDBDL</v>
      </c>
      <c r="F15" s="433">
        <v>1</v>
      </c>
      <c r="G15" s="433"/>
      <c r="H15" s="433"/>
      <c r="I15" s="433"/>
      <c r="J15" s="433"/>
      <c r="K15" s="433"/>
      <c r="N15" s="432" t="str">
        <f>_xlfn.TEXTJOIN(",",TRUE,IF(LEFT(Regions!$C$3,1)&lt;&gt;"*",Regions!$C$3,""),IF(LEFT(Regions!$D$3,1)&lt;&gt;"*",Regions!$D$3,""))</f>
        <v>IE,National</v>
      </c>
      <c r="O15" s="434" t="str">
        <f t="shared" si="0"/>
        <v>FT-RSDBDL</v>
      </c>
      <c r="P15" s="435" t="str">
        <f>_xlfn.TEXTJOIN(" ",TRUE,SETUP!$B$3,COMM!F21)</f>
        <v>RSD Biodiesel to Residential</v>
      </c>
      <c r="Q15" s="434" t="s">
        <v>13</v>
      </c>
      <c r="R15" s="434" t="s">
        <v>694</v>
      </c>
    </row>
    <row r="16" spans="1:21">
      <c r="A16" s="433"/>
      <c r="B16" s="432" t="str">
        <f>_xlfn.TEXTJOIN(",",TRUE,IF(LEFT(Regions!$C$3,1)&lt;&gt;"*",Regions!$C$3,""),IF(LEFT(Regions!$D$3,1)&lt;&gt;"*",Regions!$D$3,""))</f>
        <v>IE,National</v>
      </c>
      <c r="C16" s="432" t="str">
        <f>_xlfn.TEXTJOIN("-",TRUE,SETUP!$B$4,COMM!E24)</f>
        <v>FT-RSDELC</v>
      </c>
      <c r="D16" s="58" t="s">
        <v>818</v>
      </c>
      <c r="E16" s="432" t="str">
        <f>COMM!E24</f>
        <v>RSDELC</v>
      </c>
      <c r="F16" s="433">
        <v>1</v>
      </c>
      <c r="G16" s="433">
        <v>31.536000000000001</v>
      </c>
      <c r="H16" s="433">
        <v>200</v>
      </c>
      <c r="I16" s="433">
        <f>+H16*0.05</f>
        <v>10</v>
      </c>
      <c r="J16" s="433">
        <v>50</v>
      </c>
      <c r="K16" s="433">
        <v>0.25</v>
      </c>
      <c r="N16" s="432" t="str">
        <f>_xlfn.TEXTJOIN(",",TRUE,IF(LEFT(Regions!$C$3,1)&lt;&gt;"*",Regions!$C$3,""),IF(LEFT(Regions!$D$3,1)&lt;&gt;"*",Regions!$D$3,""))</f>
        <v>IE,National</v>
      </c>
      <c r="O16" s="434" t="str">
        <f t="shared" si="0"/>
        <v>FT-RSDELC</v>
      </c>
      <c r="P16" s="435" t="str">
        <f>_xlfn.TEXTJOIN(" ",TRUE,SETUP!$B$3,COMM!F24)</f>
        <v>RSD Electricity to Residential</v>
      </c>
      <c r="Q16" s="434" t="s">
        <v>13</v>
      </c>
      <c r="R16" s="434" t="s">
        <v>694</v>
      </c>
      <c r="S16" t="s">
        <v>858</v>
      </c>
    </row>
    <row r="17" spans="1:19">
      <c r="A17" s="433"/>
      <c r="B17" s="432" t="str">
        <f>_xlfn.TEXTJOIN(",",TRUE,IF(LEFT(Regions!$C$3,1)&lt;&gt;"*",Regions!$C$3,""),IF(LEFT(Regions!$D$3,1)&lt;&gt;"*",Regions!$D$3,""))</f>
        <v>IE,National</v>
      </c>
      <c r="C17" s="432" t="str">
        <f>_xlfn.TEXTJOIN("-",TRUE,SETUP!$B$4,COMM!E25)</f>
        <v>FT-RSDHET</v>
      </c>
      <c r="D17" s="58" t="s">
        <v>820</v>
      </c>
      <c r="E17" s="432" t="str">
        <f>COMM!E25</f>
        <v>RSDHET</v>
      </c>
      <c r="F17" s="433">
        <v>1</v>
      </c>
      <c r="G17" s="433">
        <v>31.536000000000001</v>
      </c>
      <c r="H17" s="433">
        <v>50</v>
      </c>
      <c r="I17" s="433">
        <f>+H17*0.05</f>
        <v>2.5</v>
      </c>
      <c r="J17" s="433">
        <v>30</v>
      </c>
      <c r="K17" s="433">
        <v>0.25</v>
      </c>
      <c r="N17" s="432" t="str">
        <f>_xlfn.TEXTJOIN(",",TRUE,IF(LEFT(Regions!$C$3,1)&lt;&gt;"*",Regions!$C$3,""),IF(LEFT(Regions!$D$3,1)&lt;&gt;"*",Regions!$D$3,""))</f>
        <v>IE,National</v>
      </c>
      <c r="O17" s="434" t="str">
        <f t="shared" si="0"/>
        <v>FT-RSDHET</v>
      </c>
      <c r="P17" s="435" t="str">
        <f>_xlfn.TEXTJOIN(" ",TRUE,SETUP!$B$3,COMM!F25)</f>
        <v>RSD Heat to Residential</v>
      </c>
      <c r="Q17" s="434" t="s">
        <v>13</v>
      </c>
      <c r="R17" s="434" t="s">
        <v>694</v>
      </c>
      <c r="S17" t="s">
        <v>858</v>
      </c>
    </row>
    <row r="18" spans="1:19">
      <c r="A18" s="433"/>
      <c r="B18" s="432" t="str">
        <f>_xlfn.TEXTJOIN(",",TRUE,IF(LEFT(Regions!$C$3,1)&lt;&gt;"*",Regions!$C$3,""),IF(LEFT(Regions!$D$3,1)&lt;&gt;"*",Regions!$D$3,""))</f>
        <v>IE,National</v>
      </c>
      <c r="C18" s="432" t="str">
        <f>_xlfn.TEXTJOIN("-",TRUE,SETUP!$B$4,COMM!E17)</f>
        <v>FT-RSDBGS</v>
      </c>
      <c r="D18" s="58" t="s">
        <v>893</v>
      </c>
      <c r="E18" t="s">
        <v>892</v>
      </c>
      <c r="F18" s="433">
        <v>1</v>
      </c>
      <c r="N18" s="432" t="str">
        <f>_xlfn.TEXTJOIN(",",TRUE,IF(LEFT(Regions!$C$3,1)&lt;&gt;"*",Regions!$C$3,""),IF(LEFT(Regions!$D$3,1)&lt;&gt;"*",Regions!$D$3,""))</f>
        <v>IE,National</v>
      </c>
      <c r="O18" s="434" t="str">
        <f t="shared" ref="O18" si="3">C18</f>
        <v>FT-RSDBGS</v>
      </c>
      <c r="P18" s="435" t="str">
        <f>_xlfn.TEXTJOIN(" ",TRUE,SETUP!$B$3,COMM!F17)</f>
        <v>RSD Biogas to Residential</v>
      </c>
      <c r="Q18" s="434" t="s">
        <v>13</v>
      </c>
      <c r="R18" s="434" t="s">
        <v>694</v>
      </c>
    </row>
    <row r="19" spans="1:19">
      <c r="A19" s="433"/>
      <c r="B19" s="433"/>
      <c r="C19" s="432"/>
    </row>
    <row r="20" spans="1:19">
      <c r="A20" s="433"/>
      <c r="B20" s="433"/>
      <c r="C20" s="432"/>
    </row>
    <row r="21" spans="1:19">
      <c r="A21" s="433"/>
      <c r="B21" s="433"/>
      <c r="C21" s="432"/>
    </row>
    <row r="22" spans="1:19">
      <c r="A22" s="433"/>
      <c r="B22" s="433"/>
      <c r="C22" s="432"/>
    </row>
    <row r="23" spans="1:19">
      <c r="A23" s="433"/>
      <c r="B23" s="433"/>
      <c r="C23" s="432"/>
    </row>
    <row r="24" spans="1:19">
      <c r="A24" s="433"/>
      <c r="B24" s="433" t="s">
        <v>913</v>
      </c>
      <c r="C24" s="432"/>
    </row>
    <row r="25" spans="1:19">
      <c r="A25" s="433"/>
      <c r="B25" s="433"/>
      <c r="C25" s="432"/>
    </row>
    <row r="26" spans="1:19" ht="15" thickBot="1">
      <c r="A26" s="433"/>
      <c r="B26" s="750" t="s">
        <v>764</v>
      </c>
      <c r="C26" s="750" t="s">
        <v>255</v>
      </c>
      <c r="D26" s="750" t="s">
        <v>257</v>
      </c>
      <c r="E26" s="750" t="s">
        <v>258</v>
      </c>
      <c r="F26" s="750" t="s">
        <v>259</v>
      </c>
      <c r="G26" s="750" t="s">
        <v>907</v>
      </c>
      <c r="H26" s="750" t="s">
        <v>908</v>
      </c>
      <c r="I26" s="750"/>
      <c r="J26" s="750"/>
      <c r="K26" s="750"/>
    </row>
    <row r="27" spans="1:19" ht="26">
      <c r="B27" s="751" t="s">
        <v>909</v>
      </c>
      <c r="C27" s="751" t="s">
        <v>909</v>
      </c>
      <c r="D27" s="751" t="s">
        <v>910</v>
      </c>
      <c r="E27" s="751" t="s">
        <v>911</v>
      </c>
      <c r="F27" s="752" t="s">
        <v>696</v>
      </c>
      <c r="G27" s="752" t="s">
        <v>912</v>
      </c>
      <c r="H27" s="752" t="s">
        <v>710</v>
      </c>
      <c r="I27" s="752"/>
      <c r="J27" s="752"/>
      <c r="K27" s="752"/>
    </row>
    <row r="28" spans="1:19">
      <c r="B28" s="432" t="str">
        <f>_xlfn.TEXTJOIN(",",TRUE,IF(LEFT(Regions!$C$3,1)&lt;&gt;"*",Regions!$C$3,""),IF(LEFT(Regions!$D$3,1)&lt;&gt;"*",Regions!$D$3,""))</f>
        <v>IE,National</v>
      </c>
      <c r="C28" s="432" t="str">
        <f>_xlfn.TEXTJOIN("-",TRUE,SETUP!$B$4,COMM!E14)</f>
        <v>FT-RSDGAS</v>
      </c>
      <c r="D28" s="58" t="s">
        <v>207</v>
      </c>
      <c r="E28" s="432" t="str">
        <f>COMM!E14</f>
        <v>RSDGAS</v>
      </c>
      <c r="F28" s="433">
        <v>1</v>
      </c>
      <c r="G28" s="754">
        <v>0.8</v>
      </c>
      <c r="H28">
        <v>5</v>
      </c>
      <c r="I28" s="754"/>
      <c r="J28" s="754"/>
      <c r="K28" s="754"/>
    </row>
    <row r="29" spans="1:19">
      <c r="B29" s="432" t="str">
        <f>_xlfn.TEXTJOIN(",",TRUE,IF(LEFT(Regions!$C$3,1)&lt;&gt;"*",Regions!$C$3,""),IF(LEFT(Regions!$D$3,1)&lt;&gt;"*",Regions!$D$3,""))</f>
        <v>IE,National</v>
      </c>
      <c r="C29" s="432"/>
      <c r="D29" s="58" t="s">
        <v>893</v>
      </c>
      <c r="F29" s="433">
        <v>1</v>
      </c>
      <c r="G29" s="753">
        <v>0.2</v>
      </c>
      <c r="H29">
        <v>5</v>
      </c>
      <c r="I29" s="753"/>
      <c r="J29" s="753"/>
      <c r="K29" s="753"/>
    </row>
  </sheetData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4F94-06C3-40E6-BCB6-0ED19D2B0093}">
  <dimension ref="B1:CJ170"/>
  <sheetViews>
    <sheetView topLeftCell="X63" zoomScaleNormal="100" workbookViewId="0">
      <selection activeCell="AA74" sqref="AA74"/>
    </sheetView>
  </sheetViews>
  <sheetFormatPr defaultRowHeight="12.5"/>
  <cols>
    <col min="2" max="2" width="11" customWidth="1"/>
    <col min="3" max="3" width="15" bestFit="1" customWidth="1"/>
    <col min="4" max="4" width="32.54296875" bestFit="1" customWidth="1"/>
    <col min="5" max="5" width="17.1796875" bestFit="1" customWidth="1"/>
    <col min="6" max="6" width="14.81640625" bestFit="1" customWidth="1"/>
    <col min="7" max="7" width="14.54296875" bestFit="1" customWidth="1"/>
    <col min="8" max="8" width="15" bestFit="1" customWidth="1"/>
    <col min="9" max="9" width="8.7265625" bestFit="1" customWidth="1"/>
    <col min="10" max="10" width="6.7265625" bestFit="1" customWidth="1"/>
    <col min="11" max="11" width="12.54296875" customWidth="1"/>
    <col min="12" max="12" width="11.26953125" bestFit="1" customWidth="1"/>
    <col min="13" max="13" width="11.26953125" customWidth="1"/>
    <col min="14" max="21" width="10.7265625" customWidth="1"/>
    <col min="22" max="22" width="12.453125" customWidth="1"/>
    <col min="23" max="23" width="10.453125" bestFit="1" customWidth="1"/>
    <col min="24" max="24" width="29.26953125" bestFit="1" customWidth="1"/>
    <col min="25" max="25" width="14.81640625" customWidth="1"/>
    <col min="26" max="26" width="32.1796875" customWidth="1"/>
    <col min="27" max="27" width="8.26953125" customWidth="1"/>
    <col min="28" max="28" width="11" customWidth="1"/>
    <col min="29" max="31" width="10.453125" customWidth="1"/>
    <col min="32" max="32" width="17.7265625" customWidth="1"/>
    <col min="33" max="33" width="10.453125" customWidth="1"/>
    <col min="34" max="34" width="9" customWidth="1"/>
    <col min="35" max="35" width="10.453125" customWidth="1"/>
    <col min="36" max="36" width="13.81640625" customWidth="1"/>
    <col min="37" max="38" width="10.453125" customWidth="1"/>
    <col min="39" max="39" width="16" customWidth="1"/>
    <col min="40" max="40" width="39.7265625" customWidth="1"/>
    <col min="41" max="41" width="13" customWidth="1"/>
    <col min="42" max="42" width="15.453125" customWidth="1"/>
    <col min="44" max="44" width="15" customWidth="1"/>
    <col min="45" max="45" width="12.453125" customWidth="1"/>
    <col min="46" max="46" width="11.453125" customWidth="1"/>
    <col min="55" max="55" width="3.1796875" customWidth="1"/>
    <col min="56" max="56" width="5.7265625" customWidth="1"/>
    <col min="72" max="72" width="13.1796875" customWidth="1"/>
  </cols>
  <sheetData>
    <row r="1" spans="2:88" ht="21">
      <c r="B1" s="49" t="s">
        <v>769</v>
      </c>
      <c r="C1" s="49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R1" s="58"/>
      <c r="AX1" s="58"/>
      <c r="AY1" s="58"/>
      <c r="AZ1" s="58"/>
      <c r="BA1" s="58"/>
      <c r="BB1" s="58"/>
      <c r="BC1" s="58"/>
    </row>
    <row r="2" spans="2:88" ht="12" customHeight="1" thickBot="1"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</row>
    <row r="3" spans="2:88" ht="21.5" thickBot="1">
      <c r="B3" s="49" t="s">
        <v>661</v>
      </c>
      <c r="C3" s="49"/>
      <c r="D3" s="49"/>
      <c r="E3" s="49"/>
      <c r="F3" s="729" t="s">
        <v>768</v>
      </c>
      <c r="G3" s="729"/>
      <c r="H3" s="729"/>
      <c r="I3" s="729"/>
      <c r="J3" s="729"/>
      <c r="K3" s="729"/>
      <c r="L3" s="729"/>
      <c r="N3" s="1130" t="s">
        <v>962</v>
      </c>
      <c r="O3" s="1131"/>
      <c r="P3" s="1130" t="s">
        <v>963</v>
      </c>
      <c r="Q3" s="1131"/>
      <c r="R3" s="1130" t="s">
        <v>964</v>
      </c>
      <c r="S3" s="1131"/>
      <c r="T3" s="1130" t="s">
        <v>965</v>
      </c>
      <c r="U3" s="1132"/>
      <c r="W3" s="19" t="s">
        <v>767</v>
      </c>
      <c r="X3" s="19"/>
      <c r="Y3" s="19"/>
      <c r="Z3" s="19"/>
      <c r="AA3" s="19"/>
      <c r="AB3" s="19"/>
      <c r="AC3" s="19"/>
      <c r="AD3" s="19"/>
      <c r="AE3" s="730"/>
      <c r="AF3" s="730"/>
      <c r="AG3" s="730"/>
      <c r="AH3" s="730"/>
      <c r="AI3" s="730"/>
      <c r="AJ3" s="730"/>
      <c r="AK3" s="730"/>
      <c r="AL3" s="730"/>
      <c r="AM3" s="730"/>
      <c r="AN3" s="730"/>
      <c r="AO3" s="730"/>
      <c r="AP3" s="730"/>
      <c r="AQ3" s="730"/>
      <c r="AR3" s="730"/>
      <c r="AS3" s="730"/>
      <c r="AT3" s="730"/>
      <c r="AU3" s="730"/>
      <c r="AV3" s="730"/>
      <c r="AW3" s="730"/>
      <c r="AX3" s="730"/>
      <c r="AY3" s="730"/>
      <c r="AZ3" s="730"/>
      <c r="BA3" s="730"/>
      <c r="BB3" s="730"/>
      <c r="BC3" s="730"/>
      <c r="BD3" s="730"/>
      <c r="BE3" s="730"/>
      <c r="BF3" s="730"/>
      <c r="BG3" s="730"/>
      <c r="BH3" s="730"/>
      <c r="BI3" s="730"/>
      <c r="BJ3" s="730"/>
      <c r="BK3" s="730"/>
      <c r="BL3" s="730"/>
      <c r="BM3" s="730"/>
      <c r="BN3" s="730"/>
      <c r="BO3" s="730"/>
      <c r="BP3" s="730"/>
      <c r="BQ3" s="730"/>
      <c r="BR3" s="730"/>
      <c r="BS3" s="730"/>
      <c r="BT3" s="730"/>
      <c r="BU3" s="730"/>
      <c r="BV3" s="730"/>
      <c r="BW3" s="730"/>
      <c r="BX3" s="730"/>
      <c r="BY3" s="730"/>
      <c r="BZ3" s="730"/>
      <c r="CA3" s="730"/>
      <c r="CB3" s="730"/>
      <c r="CC3" s="730"/>
      <c r="CD3" s="730"/>
      <c r="CE3" s="730"/>
      <c r="CF3" s="730"/>
      <c r="CG3" s="730"/>
      <c r="CH3" s="730"/>
      <c r="CI3" s="730"/>
      <c r="CJ3" s="730"/>
    </row>
    <row r="4" spans="2:88" ht="12" customHeight="1" thickBot="1">
      <c r="B4" s="21" t="s">
        <v>764</v>
      </c>
      <c r="C4" s="21" t="s">
        <v>255</v>
      </c>
      <c r="D4" s="21" t="s">
        <v>267</v>
      </c>
      <c r="E4" s="21" t="s">
        <v>257</v>
      </c>
      <c r="F4" s="21" t="s">
        <v>258</v>
      </c>
      <c r="G4" s="27" t="s">
        <v>968</v>
      </c>
      <c r="H4" s="27" t="s">
        <v>772</v>
      </c>
      <c r="I4" s="27" t="s">
        <v>821</v>
      </c>
      <c r="J4" s="27" t="s">
        <v>269</v>
      </c>
      <c r="K4" s="27" t="s">
        <v>270</v>
      </c>
      <c r="L4" s="27" t="s">
        <v>712</v>
      </c>
      <c r="N4" s="818"/>
      <c r="O4" s="819"/>
      <c r="P4" s="820"/>
      <c r="Q4" s="820"/>
      <c r="R4" s="820"/>
      <c r="S4" s="820"/>
      <c r="T4" s="820"/>
      <c r="U4" s="821"/>
      <c r="W4" s="21" t="s">
        <v>261</v>
      </c>
      <c r="X4" s="21" t="s">
        <v>764</v>
      </c>
      <c r="Y4" s="21" t="s">
        <v>255</v>
      </c>
      <c r="Z4" s="21" t="s">
        <v>256</v>
      </c>
      <c r="AA4" s="21" t="s">
        <v>262</v>
      </c>
      <c r="AB4" s="21" t="s">
        <v>263</v>
      </c>
      <c r="AC4" s="21" t="s">
        <v>264</v>
      </c>
      <c r="AD4" s="21" t="s">
        <v>265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</row>
    <row r="5" spans="2:88" ht="26.5" thickBot="1">
      <c r="B5" s="618" t="s">
        <v>771</v>
      </c>
      <c r="C5" s="618" t="s">
        <v>271</v>
      </c>
      <c r="D5" s="618" t="s">
        <v>272</v>
      </c>
      <c r="E5" s="618" t="s">
        <v>273</v>
      </c>
      <c r="F5" s="618" t="s">
        <v>274</v>
      </c>
      <c r="G5" s="619" t="s">
        <v>275</v>
      </c>
      <c r="H5" s="619" t="s">
        <v>275</v>
      </c>
      <c r="I5" s="619"/>
      <c r="J5" s="620"/>
      <c r="K5" s="620"/>
      <c r="L5" s="620" t="s">
        <v>713</v>
      </c>
      <c r="N5" s="822" t="s">
        <v>956</v>
      </c>
      <c r="O5" s="823" t="s">
        <v>218</v>
      </c>
      <c r="P5" s="822" t="s">
        <v>956</v>
      </c>
      <c r="Q5" s="824" t="s">
        <v>218</v>
      </c>
      <c r="R5" s="823" t="s">
        <v>956</v>
      </c>
      <c r="S5" s="824" t="s">
        <v>218</v>
      </c>
      <c r="T5" s="823" t="s">
        <v>956</v>
      </c>
      <c r="U5" s="824" t="s">
        <v>218</v>
      </c>
      <c r="W5" s="23" t="s">
        <v>254</v>
      </c>
      <c r="X5" s="23"/>
      <c r="Y5" s="23"/>
      <c r="Z5" s="22"/>
      <c r="AA5" s="23"/>
      <c r="AB5" s="23"/>
      <c r="AC5" s="23"/>
      <c r="AD5" s="23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</row>
    <row r="6" spans="2:88" ht="15" customHeight="1" thickBot="1">
      <c r="B6" s="621" t="str">
        <f>_xlfn.TEXTJOIN(",",TRUE,IF(LEFT(Regions!$C$3,1)&lt;&gt;"*",Regions!$C$3,""),IF(LEFT(Regions!$D$3,1)&lt;&gt;"*",Regions!$D$3,""))</f>
        <v>IE,National</v>
      </c>
      <c r="C6" s="622" t="str">
        <f>Y6</f>
        <v>R-BLD_Att_A</v>
      </c>
      <c r="D6" s="623" t="str">
        <f>Z6</f>
        <v>Residential Building Attached _ A</v>
      </c>
      <c r="E6" s="623" t="str">
        <f>COMM!$O$10</f>
        <v>RSDSH_Att-AB</v>
      </c>
      <c r="F6" s="623" t="str">
        <f>COMM!$O$7</f>
        <v>RSD_Att</v>
      </c>
      <c r="G6" s="625">
        <f>AH8/1000</f>
        <v>37.185073727176743</v>
      </c>
      <c r="H6" s="625">
        <f>G6*$AH$26</f>
        <v>30.986321936856381</v>
      </c>
      <c r="I6" s="625">
        <v>1</v>
      </c>
      <c r="J6" s="623">
        <v>100</v>
      </c>
      <c r="K6" s="623">
        <v>1</v>
      </c>
      <c r="L6" s="731">
        <f>N6</f>
        <v>1.638635162947696E-3</v>
      </c>
      <c r="N6" s="825">
        <f>AR48*DwellingStocks!P18*(1+O53)</f>
        <v>1.638635162947696E-3</v>
      </c>
      <c r="O6" s="826">
        <f>N6*G6</f>
        <v>6.0932769346154353E-2</v>
      </c>
      <c r="P6" s="827"/>
      <c r="Q6" s="828"/>
      <c r="R6" s="827"/>
      <c r="S6" s="828"/>
      <c r="T6" s="826"/>
      <c r="U6" s="828"/>
      <c r="W6" s="379" t="s">
        <v>276</v>
      </c>
      <c r="X6" s="379" t="str">
        <f>_xlfn.TEXTJOIN(",",TRUE,IF(LEFT(Regions!$C$3,1)&lt;&gt;"*",Regions!$C$3,""),IF(LEFT(Regions!$D$3,1)&lt;&gt;"*",Regions!$D$3,""))</f>
        <v>IE,National</v>
      </c>
      <c r="Y6" s="379" t="str">
        <f>_xlfn.TEXTJOIN("",TRUE,LEFT(SETUP!B$3,1),"-",SETUP!B$85,"_",SETUP!B$37,"_",SETUP!B40)</f>
        <v>R-BLD_Att_A</v>
      </c>
      <c r="Z6" s="379" t="str">
        <f>_xlfn.TEXTJOIN(" ",TRUE,SETUP!C$3,SETUP!C$85,SETUP!C$37,"_",SETUP!B40)</f>
        <v>Residential Building Attached _ A</v>
      </c>
      <c r="AA6" s="379" t="s">
        <v>275</v>
      </c>
      <c r="AB6" s="732" t="s">
        <v>275</v>
      </c>
      <c r="AC6" s="379"/>
      <c r="AD6" s="379"/>
      <c r="AE6" s="25"/>
      <c r="AF6" s="799" t="s">
        <v>572</v>
      </c>
      <c r="AG6" s="799"/>
      <c r="AH6" s="799"/>
      <c r="AI6" s="799"/>
      <c r="AJ6" s="799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</row>
    <row r="7" spans="2:88" ht="12" customHeight="1" thickBot="1">
      <c r="B7" s="626" t="str">
        <f>_xlfn.TEXTJOIN(",",TRUE,IF(LEFT(Regions!$C$3,1)&lt;&gt;"*",Regions!$C$3,""),IF(LEFT(Regions!$D$3,1)&lt;&gt;"*",Regions!$D$3,""))</f>
        <v>IE,National</v>
      </c>
      <c r="C7" s="449"/>
      <c r="D7" s="448"/>
      <c r="E7" s="448" t="str">
        <f>COMM!$O$28</f>
        <v>RSDSC_Att</v>
      </c>
      <c r="F7" s="448"/>
      <c r="G7" s="733"/>
      <c r="H7" s="733"/>
      <c r="I7" s="733"/>
      <c r="J7" s="448"/>
      <c r="K7" s="448"/>
      <c r="L7" s="734"/>
      <c r="N7" s="807"/>
      <c r="O7" s="800"/>
      <c r="P7" s="811"/>
      <c r="Q7" s="808"/>
      <c r="R7" s="811"/>
      <c r="S7" s="808"/>
      <c r="T7" s="800"/>
      <c r="U7" s="808"/>
      <c r="W7" s="735" t="s">
        <v>276</v>
      </c>
      <c r="X7" s="735" t="str">
        <f>_xlfn.TEXTJOIN(",",TRUE,IF(LEFT(Regions!$C$3,1)&lt;&gt;"*",Regions!$C$3,""),IF(LEFT(Regions!$D$3,1)&lt;&gt;"*",Regions!$D$3,""))</f>
        <v>IE,National</v>
      </c>
      <c r="Y7" s="735" t="str">
        <f>_xlfn.TEXTJOIN("",TRUE,LEFT(SETUP!B$3,1),"-",SETUP!B$85,"_",SETUP!B$37,"_",SETUP!B41)</f>
        <v>R-BLD_Att_B1</v>
      </c>
      <c r="Z7" s="735" t="str">
        <f>_xlfn.TEXTJOIN(" ",TRUE,SETUP!C$3,SETUP!C$85,SETUP!C$37,"_",SETUP!B41)</f>
        <v>Residential Building Attached _ B1</v>
      </c>
      <c r="AA7" s="736" t="s">
        <v>275</v>
      </c>
      <c r="AB7" s="735" t="s">
        <v>275</v>
      </c>
      <c r="AC7" s="736"/>
      <c r="AD7" s="735"/>
      <c r="AE7" s="25"/>
      <c r="AF7" s="223" t="s">
        <v>287</v>
      </c>
      <c r="AG7" s="224" t="s">
        <v>42</v>
      </c>
      <c r="AH7" s="224" t="s">
        <v>44</v>
      </c>
      <c r="AI7" s="224" t="s">
        <v>46</v>
      </c>
      <c r="AJ7" s="225" t="s">
        <v>285</v>
      </c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</row>
    <row r="8" spans="2:88" ht="12" customHeight="1">
      <c r="B8" s="627" t="str">
        <f>_xlfn.TEXTJOIN(",",TRUE,IF(LEFT(Regions!$C$3,1)&lt;&gt;"*",Regions!$C$3,""),IF(LEFT(Regions!$D$3,1)&lt;&gt;"*",Regions!$D$3,""))</f>
        <v>IE,National</v>
      </c>
      <c r="C8" s="293"/>
      <c r="D8" s="293"/>
      <c r="E8" s="293" t="str">
        <f>COMM!$O$31</f>
        <v>RSDWH_Att</v>
      </c>
      <c r="F8" s="293"/>
      <c r="G8" s="737"/>
      <c r="H8" s="737"/>
      <c r="I8" s="737"/>
      <c r="J8" s="293"/>
      <c r="K8" s="293"/>
      <c r="L8" s="738">
        <f>P8</f>
        <v>5.6727378666555717E-3</v>
      </c>
      <c r="N8" s="807"/>
      <c r="O8" s="800"/>
      <c r="P8" s="811">
        <f>AS48*(1+Q53)</f>
        <v>5.6727378666555717E-3</v>
      </c>
      <c r="Q8" s="808">
        <f>P8*G6</f>
        <v>0.21094117580653474</v>
      </c>
      <c r="R8" s="811"/>
      <c r="S8" s="808"/>
      <c r="T8" s="800"/>
      <c r="U8" s="808"/>
      <c r="W8" s="379" t="s">
        <v>276</v>
      </c>
      <c r="X8" s="379" t="str">
        <f>_xlfn.TEXTJOIN(",",TRUE,IF(LEFT(Regions!$C$3,1)&lt;&gt;"*",Regions!$C$3,""),IF(LEFT(Regions!$D$3,1)&lt;&gt;"*",Regions!$D$3,""))</f>
        <v>IE,National</v>
      </c>
      <c r="Y8" s="379" t="str">
        <f>_xlfn.TEXTJOIN("",TRUE,LEFT(SETUP!B$3,1),"-",SETUP!B$85,"_",SETUP!B$37,"_",SETUP!B42)</f>
        <v>R-BLD_Att_B2</v>
      </c>
      <c r="Z8" s="379" t="str">
        <f>_xlfn.TEXTJOIN(" ",TRUE,SETUP!C$3,SETUP!C$85,SETUP!C$37,"_",SETUP!B42)</f>
        <v>Residential Building Attached _ B2</v>
      </c>
      <c r="AA8" s="379" t="s">
        <v>275</v>
      </c>
      <c r="AB8" s="732" t="s">
        <v>275</v>
      </c>
      <c r="AC8" s="379"/>
      <c r="AD8" s="379"/>
      <c r="AE8" s="25"/>
      <c r="AF8" s="213" t="s">
        <v>48</v>
      </c>
      <c r="AG8" s="310">
        <v>14439.898856806734</v>
      </c>
      <c r="AH8" s="310">
        <v>37185.073727176743</v>
      </c>
      <c r="AI8" s="793">
        <v>31355.706337556119</v>
      </c>
      <c r="AJ8" s="798">
        <f>SUM(AG8:AI8)</f>
        <v>82980.678921539598</v>
      </c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</row>
    <row r="9" spans="2:88" ht="12" customHeight="1">
      <c r="B9" s="626" t="str">
        <f>_xlfn.TEXTJOIN(",",TRUE,IF(LEFT(Regions!$C$3,1)&lt;&gt;"*",Regions!$C$3,""),IF(LEFT(Regions!$D$3,1)&lt;&gt;"*",Regions!$D$3,""))</f>
        <v>IE,National</v>
      </c>
      <c r="C9" s="449"/>
      <c r="D9" s="448"/>
      <c r="E9" s="448" t="str">
        <f>COMM!$O$34</f>
        <v>RSDLT_Att</v>
      </c>
      <c r="F9" s="448"/>
      <c r="G9" s="733"/>
      <c r="H9" s="733"/>
      <c r="I9" s="733"/>
      <c r="J9" s="448"/>
      <c r="K9" s="448"/>
      <c r="L9" s="734">
        <f>R9</f>
        <v>7.4241698715176612E-4</v>
      </c>
      <c r="N9" s="807"/>
      <c r="O9" s="800"/>
      <c r="P9" s="811"/>
      <c r="Q9" s="808"/>
      <c r="R9" s="811">
        <f>AT48*(1+S53)</f>
        <v>7.4241698715176612E-4</v>
      </c>
      <c r="S9" s="808">
        <f>R9*G6</f>
        <v>2.7606830403546851E-2</v>
      </c>
      <c r="T9" s="832"/>
      <c r="U9" s="808"/>
      <c r="W9" s="735" t="s">
        <v>276</v>
      </c>
      <c r="X9" s="735" t="str">
        <f>_xlfn.TEXTJOIN(",",TRUE,IF(LEFT(Regions!$C$3,1)&lt;&gt;"*",Regions!$C$3,""),IF(LEFT(Regions!$D$3,1)&lt;&gt;"*",Regions!$D$3,""))</f>
        <v>IE,National</v>
      </c>
      <c r="Y9" s="735" t="str">
        <f>_xlfn.TEXTJOIN("",TRUE,LEFT(SETUP!B$3,1),"-",SETUP!B$85,"_",SETUP!B$37,"_",SETUP!B43)</f>
        <v>R-BLD_Att_B3</v>
      </c>
      <c r="Z9" s="735" t="str">
        <f>_xlfn.TEXTJOIN(" ",TRUE,SETUP!C$3,SETUP!C$85,SETUP!C$37,"_",SETUP!B43)</f>
        <v>Residential Building Attached _ B3</v>
      </c>
      <c r="AA9" s="736" t="s">
        <v>275</v>
      </c>
      <c r="AB9" s="735" t="s">
        <v>275</v>
      </c>
      <c r="AC9" s="736"/>
      <c r="AD9" s="735"/>
      <c r="AE9" s="25"/>
      <c r="AF9" s="210" t="s">
        <v>50</v>
      </c>
      <c r="AG9" s="312">
        <v>7459.2913438514906</v>
      </c>
      <c r="AH9" s="312">
        <v>9537.7783975583752</v>
      </c>
      <c r="AI9" s="794">
        <v>9433.9012004747347</v>
      </c>
      <c r="AJ9" s="798">
        <f t="shared" ref="AJ9:AJ16" si="0">SUM(AG9:AI9)</f>
        <v>26430.9709418846</v>
      </c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</row>
    <row r="10" spans="2:88" ht="12" customHeight="1" thickBot="1">
      <c r="B10" s="628" t="str">
        <f>_xlfn.TEXTJOIN(",",TRUE,IF(LEFT(Regions!$C$3,1)&lt;&gt;"*",Regions!$C$3,""),IF(LEFT(Regions!$D$3,1)&lt;&gt;"*",Regions!$D$3,""))</f>
        <v>IE,National</v>
      </c>
      <c r="C10" s="629"/>
      <c r="D10" s="629"/>
      <c r="E10" s="629" t="str">
        <f>COMM!$O$37</f>
        <v>RSDPF_Att</v>
      </c>
      <c r="F10" s="629"/>
      <c r="G10" s="630"/>
      <c r="H10" s="630"/>
      <c r="I10" s="630"/>
      <c r="J10" s="629"/>
      <c r="K10" s="629"/>
      <c r="L10" s="741">
        <f>T10</f>
        <v>6.9732301417353216E-4</v>
      </c>
      <c r="N10" s="829"/>
      <c r="O10" s="809"/>
      <c r="P10" s="830"/>
      <c r="Q10" s="810"/>
      <c r="R10" s="830"/>
      <c r="S10" s="810"/>
      <c r="T10" s="831">
        <f>AU48*(1+$U$53)</f>
        <v>6.9732301417353216E-4</v>
      </c>
      <c r="U10" s="810">
        <f>T10*G6</f>
        <v>2.5930007693699905E-2</v>
      </c>
      <c r="W10" s="379" t="s">
        <v>276</v>
      </c>
      <c r="X10" s="379" t="str">
        <f>_xlfn.TEXTJOIN(",",TRUE,IF(LEFT(Regions!$C$3,1)&lt;&gt;"*",Regions!$C$3,""),IF(LEFT(Regions!$D$3,1)&lt;&gt;"*",Regions!$D$3,""))</f>
        <v>IE,National</v>
      </c>
      <c r="Y10" s="379" t="str">
        <f>_xlfn.TEXTJOIN("",TRUE,LEFT(SETUP!B$3,1),"-",SETUP!B$85,"_",SETUP!B$37,"_",SETUP!B44)</f>
        <v>R-BLD_Att_C</v>
      </c>
      <c r="Z10" s="379" t="str">
        <f>_xlfn.TEXTJOIN(" ",TRUE,SETUP!C$3,SETUP!C$85,SETUP!C$37,"_",SETUP!B44)</f>
        <v>Residential Building Attached _ C</v>
      </c>
      <c r="AA10" s="379" t="s">
        <v>275</v>
      </c>
      <c r="AB10" s="732" t="s">
        <v>275</v>
      </c>
      <c r="AC10" s="379"/>
      <c r="AD10" s="379"/>
      <c r="AE10" s="25"/>
      <c r="AF10" s="214" t="s">
        <v>52</v>
      </c>
      <c r="AG10" s="314">
        <v>14041.847426430093</v>
      </c>
      <c r="AH10" s="314">
        <v>17545.09295382088</v>
      </c>
      <c r="AI10" s="795">
        <v>20090.949195825138</v>
      </c>
      <c r="AJ10" s="798">
        <f t="shared" si="0"/>
        <v>51677.889576076108</v>
      </c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</row>
    <row r="11" spans="2:88" ht="12" customHeight="1">
      <c r="B11" s="621" t="str">
        <f>_xlfn.TEXTJOIN(",",TRUE,IF(LEFT(Regions!$C$3,1)&lt;&gt;"*",Regions!$C$3,""),IF(LEFT(Regions!$D$3,1)&lt;&gt;"*",Regions!$D$3,""))</f>
        <v>IE,National</v>
      </c>
      <c r="C11" s="622" t="str">
        <f>Y7</f>
        <v>R-BLD_Att_B1</v>
      </c>
      <c r="D11" s="623" t="str">
        <f>Z7</f>
        <v>Residential Building Attached _ B1</v>
      </c>
      <c r="E11" s="623" t="str">
        <f>COMM!$O$10</f>
        <v>RSDSH_Att-AB</v>
      </c>
      <c r="F11" s="623" t="str">
        <f>COMM!$O$7</f>
        <v>RSD_Att</v>
      </c>
      <c r="G11" s="625">
        <f>AH9/1000</f>
        <v>9.537778397558375</v>
      </c>
      <c r="H11" s="625">
        <f>G11*$AH$26</f>
        <v>7.9478307386853944</v>
      </c>
      <c r="I11" s="625">
        <v>1</v>
      </c>
      <c r="J11" s="623">
        <v>100</v>
      </c>
      <c r="K11" s="623">
        <v>1</v>
      </c>
      <c r="L11" s="731">
        <f>N11</f>
        <v>1.2834435545833994E-2</v>
      </c>
      <c r="N11" s="807">
        <f>AR49*DwellingStocks!P19*(1+O53)</f>
        <v>1.2834435545833994E-2</v>
      </c>
      <c r="O11" s="800">
        <f>N11*G11</f>
        <v>0.1224120020939108</v>
      </c>
      <c r="P11" s="811"/>
      <c r="Q11" s="808"/>
      <c r="R11" s="800"/>
      <c r="S11" s="808"/>
      <c r="T11" s="832"/>
      <c r="U11" s="808"/>
      <c r="W11" s="735" t="s">
        <v>276</v>
      </c>
      <c r="X11" s="735" t="str">
        <f>_xlfn.TEXTJOIN(",",TRUE,IF(LEFT(Regions!$C$3,1)&lt;&gt;"*",Regions!$C$3,""),IF(LEFT(Regions!$D$3,1)&lt;&gt;"*",Regions!$D$3,""))</f>
        <v>IE,National</v>
      </c>
      <c r="Y11" s="735" t="str">
        <f>_xlfn.TEXTJOIN("",TRUE,LEFT(SETUP!B$3,1),"-",SETUP!B$85,"_",SETUP!B$37,"_",SETUP!B45)</f>
        <v>R-BLD_Att_D</v>
      </c>
      <c r="Z11" s="735" t="str">
        <f>_xlfn.TEXTJOIN(" ",TRUE,SETUP!C$3,SETUP!C$85,SETUP!C$37,"_",SETUP!B45)</f>
        <v>Residential Building Attached _ D</v>
      </c>
      <c r="AA11" s="736" t="s">
        <v>275</v>
      </c>
      <c r="AB11" s="735" t="s">
        <v>275</v>
      </c>
      <c r="AC11" s="736"/>
      <c r="AD11" s="735"/>
      <c r="AE11" s="25"/>
      <c r="AF11" s="210" t="s">
        <v>54</v>
      </c>
      <c r="AG11" s="312">
        <v>19924.480375055824</v>
      </c>
      <c r="AH11" s="312">
        <v>49768.849685929476</v>
      </c>
      <c r="AI11" s="794">
        <v>53466.210043981671</v>
      </c>
      <c r="AJ11" s="798">
        <f t="shared" si="0"/>
        <v>123159.54010496697</v>
      </c>
      <c r="AK11" s="25"/>
      <c r="AL11" s="25"/>
      <c r="AM11" s="25"/>
      <c r="AN11" s="25"/>
      <c r="AO11" s="25"/>
      <c r="AP11" s="599"/>
      <c r="AQ11" s="599"/>
      <c r="AR11" s="599"/>
      <c r="AS11" s="599"/>
      <c r="AT11" s="599"/>
      <c r="AU11" s="599"/>
      <c r="AV11" s="599"/>
      <c r="AW11" s="599"/>
      <c r="AX11" s="599"/>
      <c r="AY11" s="599"/>
      <c r="AZ11" s="599"/>
      <c r="BA11" s="599"/>
      <c r="BB11" s="599"/>
      <c r="BC11" s="599"/>
      <c r="BD11" s="599"/>
      <c r="BE11" s="599"/>
      <c r="BF11" s="599"/>
      <c r="BG11" s="599"/>
      <c r="BH11" s="599"/>
      <c r="BI11" s="599"/>
      <c r="BJ11" s="599"/>
      <c r="BK11" s="599"/>
      <c r="BL11" s="599"/>
      <c r="BM11" s="599"/>
      <c r="BN11" s="599"/>
      <c r="BO11" s="599"/>
      <c r="BP11" s="599"/>
      <c r="BQ11" s="599"/>
      <c r="BR11" s="599"/>
      <c r="BS11" s="599"/>
      <c r="BT11" s="599"/>
      <c r="BU11" s="599"/>
      <c r="BV11" s="599"/>
      <c r="BW11" s="599"/>
      <c r="BX11" s="599"/>
      <c r="BY11" s="599"/>
      <c r="BZ11" s="599"/>
      <c r="CA11" s="599"/>
      <c r="CB11" s="599"/>
      <c r="CC11" s="599"/>
      <c r="CD11" s="599"/>
      <c r="CE11" s="599"/>
      <c r="CF11" s="599"/>
      <c r="CG11" s="599"/>
      <c r="CH11" s="599"/>
      <c r="CI11" s="599"/>
      <c r="CJ11" s="599"/>
    </row>
    <row r="12" spans="2:88" ht="12" customHeight="1">
      <c r="B12" s="626" t="str">
        <f>_xlfn.TEXTJOIN(",",TRUE,IF(LEFT(Regions!$C$3,1)&lt;&gt;"*",Regions!$C$3,""),IF(LEFT(Regions!$D$3,1)&lt;&gt;"*",Regions!$D$3,""))</f>
        <v>IE,National</v>
      </c>
      <c r="C12" s="449"/>
      <c r="D12" s="448"/>
      <c r="E12" s="448" t="str">
        <f>COMM!$O$28</f>
        <v>RSDSC_Att</v>
      </c>
      <c r="F12" s="448"/>
      <c r="G12" s="733"/>
      <c r="H12" s="733"/>
      <c r="I12" s="733"/>
      <c r="J12" s="448"/>
      <c r="K12" s="448"/>
      <c r="L12" s="734"/>
      <c r="N12" s="807"/>
      <c r="O12" s="800"/>
      <c r="P12" s="811"/>
      <c r="Q12" s="808"/>
      <c r="R12" s="800"/>
      <c r="S12" s="808"/>
      <c r="T12" s="832"/>
      <c r="U12" s="808"/>
      <c r="W12" s="379" t="s">
        <v>276</v>
      </c>
      <c r="X12" s="379" t="str">
        <f>_xlfn.TEXTJOIN(",",TRUE,IF(LEFT(Regions!$C$3,1)&lt;&gt;"*",Regions!$C$3,""),IF(LEFT(Regions!$D$3,1)&lt;&gt;"*",Regions!$D$3,""))</f>
        <v>IE,National</v>
      </c>
      <c r="Y12" s="379" t="str">
        <f>_xlfn.TEXTJOIN("",TRUE,LEFT(SETUP!B$3,1),"-",SETUP!B$85,"_",SETUP!B$37,"_",SETUP!B46)</f>
        <v>R-BLD_Att_E</v>
      </c>
      <c r="Z12" s="379" t="str">
        <f>_xlfn.TEXTJOIN(" ",TRUE,SETUP!C$3,SETUP!C$85,SETUP!C$37,"_",SETUP!B46)</f>
        <v>Residential Building Attached _ E</v>
      </c>
      <c r="AA12" s="379" t="s">
        <v>275</v>
      </c>
      <c r="AB12" s="732" t="s">
        <v>275</v>
      </c>
      <c r="AC12" s="379"/>
      <c r="AD12" s="379"/>
      <c r="AE12" s="25"/>
      <c r="AF12" s="214" t="s">
        <v>56</v>
      </c>
      <c r="AG12" s="314">
        <v>58904.8034364337</v>
      </c>
      <c r="AH12" s="314">
        <v>282151.52747564798</v>
      </c>
      <c r="AI12" s="795">
        <v>251318.93361374349</v>
      </c>
      <c r="AJ12" s="798">
        <f t="shared" si="0"/>
        <v>592375.26452582516</v>
      </c>
      <c r="AK12" s="25"/>
      <c r="AL12" s="25"/>
      <c r="AM12" s="25"/>
      <c r="AN12" s="25"/>
      <c r="AO12" s="25"/>
      <c r="AP12" s="599"/>
      <c r="AQ12" s="599"/>
      <c r="AR12" s="599"/>
      <c r="AS12" s="599"/>
      <c r="AT12" s="599"/>
      <c r="AU12" s="599"/>
      <c r="AV12" s="599"/>
      <c r="AW12" s="599"/>
      <c r="AX12" s="599"/>
      <c r="AY12" s="599"/>
      <c r="AZ12" s="599"/>
      <c r="BA12" s="599"/>
      <c r="BB12" s="599"/>
      <c r="BC12" s="599"/>
      <c r="BD12" s="599"/>
      <c r="BE12" s="599"/>
      <c r="BF12" s="599"/>
      <c r="BG12" s="599"/>
      <c r="BH12" s="599"/>
      <c r="BI12" s="599"/>
      <c r="BJ12" s="599"/>
      <c r="BK12" s="599"/>
      <c r="BL12" s="599"/>
      <c r="BM12" s="599"/>
      <c r="BN12" s="599"/>
      <c r="BO12" s="599"/>
      <c r="BP12" s="599"/>
      <c r="BQ12" s="599"/>
      <c r="BR12" s="599"/>
      <c r="BS12" s="599"/>
      <c r="BT12" s="599"/>
      <c r="BU12" s="599"/>
      <c r="BV12" s="599"/>
      <c r="BW12" s="599"/>
      <c r="BX12" s="599"/>
      <c r="BY12" s="599"/>
      <c r="BZ12" s="599"/>
      <c r="CA12" s="599"/>
      <c r="CB12" s="599"/>
      <c r="CC12" s="599"/>
      <c r="CD12" s="599"/>
      <c r="CE12" s="599"/>
      <c r="CF12" s="599"/>
      <c r="CG12" s="599"/>
      <c r="CH12" s="599"/>
      <c r="CI12" s="599"/>
      <c r="CJ12" s="599"/>
    </row>
    <row r="13" spans="2:88" ht="12" customHeight="1">
      <c r="B13" s="627" t="str">
        <f>_xlfn.TEXTJOIN(",",TRUE,IF(LEFT(Regions!$C$3,1)&lt;&gt;"*",Regions!$C$3,""),IF(LEFT(Regions!$D$3,1)&lt;&gt;"*",Regions!$D$3,""))</f>
        <v>IE,National</v>
      </c>
      <c r="C13" s="293"/>
      <c r="D13" s="293"/>
      <c r="E13" s="293" t="str">
        <f>COMM!$O$31</f>
        <v>RSDWH_Att</v>
      </c>
      <c r="F13" s="293"/>
      <c r="G13" s="737"/>
      <c r="H13" s="737"/>
      <c r="I13" s="737"/>
      <c r="J13" s="293"/>
      <c r="K13" s="293"/>
      <c r="L13" s="738">
        <f>P13</f>
        <v>5.2959994722577555E-3</v>
      </c>
      <c r="N13" s="807"/>
      <c r="O13" s="800"/>
      <c r="P13" s="811">
        <f>AS49*(1+Q53)</f>
        <v>5.2959994722577555E-3</v>
      </c>
      <c r="Q13" s="808">
        <f>P13*G11</f>
        <v>5.0512069359980573E-2</v>
      </c>
      <c r="R13" s="800"/>
      <c r="S13" s="808"/>
      <c r="T13" s="832"/>
      <c r="U13" s="808"/>
      <c r="W13" s="735" t="s">
        <v>276</v>
      </c>
      <c r="X13" s="735" t="str">
        <f>_xlfn.TEXTJOIN(",",TRUE,IF(LEFT(Regions!$C$3,1)&lt;&gt;"*",Regions!$C$3,""),IF(LEFT(Regions!$D$3,1)&lt;&gt;"*",Regions!$D$3,""))</f>
        <v>IE,National</v>
      </c>
      <c r="Y13" s="735" t="str">
        <f>_xlfn.TEXTJOIN("",TRUE,LEFT(SETUP!B$3,1),"-",SETUP!B$85,"_",SETUP!B$37,"_",SETUP!B47)</f>
        <v>R-BLD_Att_F</v>
      </c>
      <c r="Z13" s="735" t="str">
        <f>_xlfn.TEXTJOIN(" ",TRUE,SETUP!C$3,SETUP!C$85,SETUP!C$37,"_",SETUP!B47)</f>
        <v>Residential Building Attached _ F</v>
      </c>
      <c r="AA13" s="736" t="s">
        <v>275</v>
      </c>
      <c r="AB13" s="735" t="s">
        <v>275</v>
      </c>
      <c r="AC13" s="736"/>
      <c r="AD13" s="735"/>
      <c r="AF13" s="210" t="s">
        <v>58</v>
      </c>
      <c r="AG13" s="312">
        <v>43739.341649106158</v>
      </c>
      <c r="AH13" s="312">
        <v>187627.02237661046</v>
      </c>
      <c r="AI13" s="794">
        <v>166667.79141279124</v>
      </c>
      <c r="AJ13" s="798">
        <f t="shared" si="0"/>
        <v>398034.15543850785</v>
      </c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</row>
    <row r="14" spans="2:88" ht="12" customHeight="1" thickBot="1">
      <c r="B14" s="626" t="str">
        <f>_xlfn.TEXTJOIN(",",TRUE,IF(LEFT(Regions!$C$3,1)&lt;&gt;"*",Regions!$C$3,""),IF(LEFT(Regions!$D$3,1)&lt;&gt;"*",Regions!$D$3,""))</f>
        <v>IE,National</v>
      </c>
      <c r="C14" s="449"/>
      <c r="D14" s="448"/>
      <c r="E14" s="448" t="str">
        <f>COMM!$O$34</f>
        <v>RSDLT_Att</v>
      </c>
      <c r="F14" s="448"/>
      <c r="G14" s="733"/>
      <c r="H14" s="733"/>
      <c r="I14" s="733"/>
      <c r="J14" s="448"/>
      <c r="K14" s="448"/>
      <c r="L14" s="734">
        <f>R14</f>
        <v>7.7940560081568968E-4</v>
      </c>
      <c r="N14" s="807"/>
      <c r="O14" s="800"/>
      <c r="P14" s="811"/>
      <c r="Q14" s="808"/>
      <c r="R14" s="800">
        <f>AT49*(1+S53)</f>
        <v>7.7940560081568968E-4</v>
      </c>
      <c r="S14" s="808">
        <f>R14*G11</f>
        <v>7.4337979023958913E-3</v>
      </c>
      <c r="T14" s="832"/>
      <c r="U14" s="808"/>
      <c r="W14" s="743" t="s">
        <v>276</v>
      </c>
      <c r="X14" s="743" t="str">
        <f>_xlfn.TEXTJOIN(",",TRUE,IF(LEFT(Regions!$C$3,1)&lt;&gt;"*",Regions!$C$3,""),IF(LEFT(Regions!$D$3,1)&lt;&gt;"*",Regions!$D$3,""))</f>
        <v>IE,National</v>
      </c>
      <c r="Y14" s="743" t="str">
        <f>_xlfn.TEXTJOIN("",TRUE,LEFT(SETUP!B$3,1),"-",SETUP!B$85,"_",SETUP!B$37,"_",SETUP!B48)</f>
        <v>R-BLD_Att_G</v>
      </c>
      <c r="Z14" s="743" t="str">
        <f>_xlfn.TEXTJOIN(" ",TRUE,SETUP!C$3,SETUP!C$85,SETUP!C$37,"_",SETUP!B48)</f>
        <v>Residential Building Attached _ G</v>
      </c>
      <c r="AA14" s="743" t="s">
        <v>275</v>
      </c>
      <c r="AB14" s="744" t="s">
        <v>275</v>
      </c>
      <c r="AC14" s="743"/>
      <c r="AD14" s="743"/>
      <c r="AE14" s="25"/>
      <c r="AF14" s="214" t="s">
        <v>60</v>
      </c>
      <c r="AG14" s="314">
        <v>25767.876472761334</v>
      </c>
      <c r="AH14" s="314">
        <v>101418.89596184672</v>
      </c>
      <c r="AI14" s="795">
        <v>81396.697989555512</v>
      </c>
      <c r="AJ14" s="798">
        <f t="shared" si="0"/>
        <v>208583.47042416356</v>
      </c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</row>
    <row r="15" spans="2:88" ht="12" customHeight="1" thickBot="1">
      <c r="B15" s="628" t="str">
        <f>_xlfn.TEXTJOIN(",",TRUE,IF(LEFT(Regions!$C$3,1)&lt;&gt;"*",Regions!$C$3,""),IF(LEFT(Regions!$D$3,1)&lt;&gt;"*",Regions!$D$3,""))</f>
        <v>IE,National</v>
      </c>
      <c r="C15" s="629"/>
      <c r="D15" s="629"/>
      <c r="E15" s="629" t="str">
        <f>COMM!$O$37</f>
        <v>RSDPF_Att</v>
      </c>
      <c r="F15" s="629"/>
      <c r="G15" s="630"/>
      <c r="H15" s="630"/>
      <c r="I15" s="630"/>
      <c r="J15" s="629"/>
      <c r="K15" s="629"/>
      <c r="L15" s="741">
        <f>T15</f>
        <v>4.2616393393932905E-4</v>
      </c>
      <c r="N15" s="807"/>
      <c r="O15" s="800"/>
      <c r="P15" s="811"/>
      <c r="Q15" s="808"/>
      <c r="R15" s="800"/>
      <c r="S15" s="808"/>
      <c r="T15" s="832">
        <f>AU49*(1+$U$53)</f>
        <v>4.2616393393932905E-4</v>
      </c>
      <c r="U15" s="808">
        <f>T15*G11</f>
        <v>4.0646571629450274E-3</v>
      </c>
      <c r="W15" s="735" t="s">
        <v>276</v>
      </c>
      <c r="X15" s="735" t="str">
        <f>_xlfn.TEXTJOIN(",",TRUE,IF(LEFT(Regions!$C$3,1)&lt;&gt;"*",Regions!$C$3,""),IF(LEFT(Regions!$D$3,1)&lt;&gt;"*",Regions!$D$3,""))</f>
        <v>IE,National</v>
      </c>
      <c r="Y15" s="735" t="str">
        <f>_xlfn.TEXTJOIN("",TRUE,LEFT(SETUP!B$3,1),"-",SETUP!B$85,"_",SETUP!B$36,"_",SETUP!B40)</f>
        <v>R-BLD_Apt_A</v>
      </c>
      <c r="Z15" s="735" t="str">
        <f>_xlfn.TEXTJOIN(" ",TRUE,SETUP!C$3,SETUP!C$85,SETUP!C$36,"_",SETUP!B40)</f>
        <v>Residential Building Apartment _ A</v>
      </c>
      <c r="AA15" s="736" t="s">
        <v>275</v>
      </c>
      <c r="AB15" s="735" t="s">
        <v>275</v>
      </c>
      <c r="AC15" s="736"/>
      <c r="AD15" s="735"/>
      <c r="AE15" s="25"/>
      <c r="AF15" s="210" t="s">
        <v>62</v>
      </c>
      <c r="AG15" s="312">
        <v>12331.173226884033</v>
      </c>
      <c r="AH15" s="312">
        <v>50123.806027321167</v>
      </c>
      <c r="AI15" s="794">
        <v>43241.005762967114</v>
      </c>
      <c r="AJ15" s="798">
        <f t="shared" si="0"/>
        <v>105695.98501717232</v>
      </c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</row>
    <row r="16" spans="2:88" ht="12" customHeight="1" thickBot="1">
      <c r="B16" s="621" t="str">
        <f>_xlfn.TEXTJOIN(",",TRUE,IF(LEFT(Regions!$C$3,1)&lt;&gt;"*",Regions!$C$3,""),IF(LEFT(Regions!$D$3,1)&lt;&gt;"*",Regions!$D$3,""))</f>
        <v>IE,National</v>
      </c>
      <c r="C16" s="622" t="str">
        <f>Y8</f>
        <v>R-BLD_Att_B2</v>
      </c>
      <c r="D16" s="623" t="str">
        <f>Z8</f>
        <v>Residential Building Attached _ B2</v>
      </c>
      <c r="E16" s="623" t="str">
        <f>COMM!$O$10</f>
        <v>RSDSH_Att-AB</v>
      </c>
      <c r="F16" s="623" t="str">
        <f>COMM!$O$7</f>
        <v>RSD_Att</v>
      </c>
      <c r="G16" s="625">
        <f>AH10/1000</f>
        <v>17.54509295382088</v>
      </c>
      <c r="H16" s="625">
        <f>G16*$AH$26</f>
        <v>14.62032595841894</v>
      </c>
      <c r="I16" s="625">
        <v>1</v>
      </c>
      <c r="J16" s="623">
        <v>100</v>
      </c>
      <c r="K16" s="623">
        <v>1</v>
      </c>
      <c r="L16" s="731">
        <f>N16</f>
        <v>2.0328430457162861E-2</v>
      </c>
      <c r="N16" s="825">
        <f>AR50*DwellingStocks!P20*(1+O53)</f>
        <v>2.0328430457162861E-2</v>
      </c>
      <c r="O16" s="826">
        <f>N16*G16</f>
        <v>0.35666420197620591</v>
      </c>
      <c r="P16" s="827"/>
      <c r="Q16" s="828"/>
      <c r="R16" s="826"/>
      <c r="S16" s="828"/>
      <c r="T16" s="833"/>
      <c r="U16" s="828"/>
      <c r="W16" s="379" t="s">
        <v>276</v>
      </c>
      <c r="X16" s="379" t="str">
        <f>_xlfn.TEXTJOIN(",",TRUE,IF(LEFT(Regions!$C$3,1)&lt;&gt;"*",Regions!$C$3,""),IF(LEFT(Regions!$D$3,1)&lt;&gt;"*",Regions!$D$3,""))</f>
        <v>IE,National</v>
      </c>
      <c r="Y16" s="379" t="str">
        <f>_xlfn.TEXTJOIN("",TRUE,LEFT(SETUP!B$3,1),"-",SETUP!B$85,"_",SETUP!B$36,"_",SETUP!B41)</f>
        <v>R-BLD_Apt_B1</v>
      </c>
      <c r="Z16" s="379" t="str">
        <f>_xlfn.TEXTJOIN(" ",TRUE,SETUP!C$3,SETUP!C$85,SETUP!C$36,"_",SETUP!B41)</f>
        <v>Residential Building Apartment _ B1</v>
      </c>
      <c r="AA16" s="379" t="s">
        <v>275</v>
      </c>
      <c r="AB16" s="732" t="s">
        <v>275</v>
      </c>
      <c r="AC16" s="379"/>
      <c r="AD16" s="379"/>
      <c r="AE16" s="25"/>
      <c r="AF16" s="226" t="s">
        <v>64</v>
      </c>
      <c r="AG16" s="316">
        <v>15211.172212670604</v>
      </c>
      <c r="AH16" s="316">
        <v>52706.674394088106</v>
      </c>
      <c r="AI16" s="796">
        <v>78435.533443104825</v>
      </c>
      <c r="AJ16" s="798">
        <f t="shared" si="0"/>
        <v>146353.38004986354</v>
      </c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</row>
    <row r="17" spans="2:88" ht="12" customHeight="1" thickBot="1">
      <c r="B17" s="626" t="str">
        <f>_xlfn.TEXTJOIN(",",TRUE,IF(LEFT(Regions!$C$3,1)&lt;&gt;"*",Regions!$C$3,""),IF(LEFT(Regions!$D$3,1)&lt;&gt;"*",Regions!$D$3,""))</f>
        <v>IE,National</v>
      </c>
      <c r="C17" s="449"/>
      <c r="D17" s="448"/>
      <c r="E17" s="448" t="str">
        <f>COMM!$O$28</f>
        <v>RSDSC_Att</v>
      </c>
      <c r="F17" s="448"/>
      <c r="G17" s="733"/>
      <c r="H17" s="733"/>
      <c r="I17" s="733"/>
      <c r="J17" s="448"/>
      <c r="K17" s="448"/>
      <c r="L17" s="734"/>
      <c r="N17" s="807"/>
      <c r="O17" s="800"/>
      <c r="P17" s="811"/>
      <c r="Q17" s="808"/>
      <c r="R17" s="800"/>
      <c r="S17" s="808"/>
      <c r="T17" s="832"/>
      <c r="U17" s="808"/>
      <c r="W17" s="735" t="s">
        <v>276</v>
      </c>
      <c r="X17" s="735" t="str">
        <f>_xlfn.TEXTJOIN(",",TRUE,IF(LEFT(Regions!$C$3,1)&lt;&gt;"*",Regions!$C$3,""),IF(LEFT(Regions!$D$3,1)&lt;&gt;"*",Regions!$D$3,""))</f>
        <v>IE,National</v>
      </c>
      <c r="Y17" s="735" t="str">
        <f>_xlfn.TEXTJOIN("",TRUE,LEFT(SETUP!B$3,1),"-",SETUP!B$85,"_",SETUP!B$36,"_",SETUP!B42)</f>
        <v>R-BLD_Apt_B2</v>
      </c>
      <c r="Z17" s="735" t="str">
        <f>_xlfn.TEXTJOIN(" ",TRUE,SETUP!C$3,SETUP!C$85,SETUP!C$36,"_",SETUP!B42)</f>
        <v>Residential Building Apartment _ B2</v>
      </c>
      <c r="AA17" s="736" t="s">
        <v>275</v>
      </c>
      <c r="AB17" s="735" t="s">
        <v>275</v>
      </c>
      <c r="AC17" s="736"/>
      <c r="AD17" s="735"/>
      <c r="AE17" s="25"/>
      <c r="AF17" s="227" t="s">
        <v>218</v>
      </c>
      <c r="AG17" s="317">
        <f>SUM(AG8:AG16)</f>
        <v>211819.88499999998</v>
      </c>
      <c r="AH17" s="317">
        <f t="shared" ref="AH17:AI17" si="1">SUM(AH8:AH16)</f>
        <v>788064.72099999979</v>
      </c>
      <c r="AI17" s="317">
        <f t="shared" si="1"/>
        <v>735406.72899999993</v>
      </c>
      <c r="AJ17" s="797">
        <f>SUM(AG17:AI17)</f>
        <v>1735291.3349999997</v>
      </c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</row>
    <row r="18" spans="2:88" ht="12" customHeight="1" thickBot="1">
      <c r="B18" s="627" t="str">
        <f>_xlfn.TEXTJOIN(",",TRUE,IF(LEFT(Regions!$C$3,1)&lt;&gt;"*",Regions!$C$3,""),IF(LEFT(Regions!$D$3,1)&lt;&gt;"*",Regions!$D$3,""))</f>
        <v>IE,National</v>
      </c>
      <c r="C18" s="293"/>
      <c r="D18" s="293"/>
      <c r="E18" s="293" t="str">
        <f>COMM!$O$31</f>
        <v>RSDWH_Att</v>
      </c>
      <c r="F18" s="293"/>
      <c r="G18" s="737"/>
      <c r="H18" s="737"/>
      <c r="I18" s="737"/>
      <c r="J18" s="293"/>
      <c r="K18" s="293"/>
      <c r="L18" s="738">
        <f>P18</f>
        <v>7.8456317634966466E-3</v>
      </c>
      <c r="N18" s="807"/>
      <c r="O18" s="800"/>
      <c r="P18" s="811">
        <f>AS50*(1+Q53)</f>
        <v>7.8456317634966466E-3</v>
      </c>
      <c r="Q18" s="808">
        <f>P18*G16</f>
        <v>0.1376523385719983</v>
      </c>
      <c r="R18" s="800"/>
      <c r="S18" s="808"/>
      <c r="T18" s="832"/>
      <c r="U18" s="808"/>
      <c r="W18" s="379" t="s">
        <v>276</v>
      </c>
      <c r="X18" s="379" t="str">
        <f>_xlfn.TEXTJOIN(",",TRUE,IF(LEFT(Regions!$C$3,1)&lt;&gt;"*",Regions!$C$3,""),IF(LEFT(Regions!$D$3,1)&lt;&gt;"*",Regions!$D$3,""))</f>
        <v>IE,National</v>
      </c>
      <c r="Y18" s="379" t="str">
        <f>_xlfn.TEXTJOIN("",TRUE,LEFT(SETUP!B$3,1),"-",SETUP!B$85,"_",SETUP!B$36,"_",SETUP!B43)</f>
        <v>R-BLD_Apt_B3</v>
      </c>
      <c r="Z18" s="379" t="str">
        <f>_xlfn.TEXTJOIN(" ",TRUE,SETUP!C$3,SETUP!C$85,SETUP!C$36,"_",SETUP!B43)</f>
        <v>Residential Building Apartment _ B3</v>
      </c>
      <c r="AA18" s="379" t="s">
        <v>275</v>
      </c>
      <c r="AB18" s="732" t="s">
        <v>275</v>
      </c>
      <c r="AC18" s="379"/>
      <c r="AD18" s="379"/>
      <c r="AE18" s="25"/>
      <c r="AF18" s="747" t="s">
        <v>894</v>
      </c>
      <c r="AG18" s="378">
        <v>0.74286208971025169</v>
      </c>
      <c r="AH18" s="378">
        <v>0.69963472197389465</v>
      </c>
      <c r="AI18" s="378">
        <v>0.71303848954914961</v>
      </c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</row>
    <row r="19" spans="2:88" ht="12" customHeight="1">
      <c r="B19" s="626" t="str">
        <f>_xlfn.TEXTJOIN(",",TRUE,IF(LEFT(Regions!$C$3,1)&lt;&gt;"*",Regions!$C$3,""),IF(LEFT(Regions!$D$3,1)&lt;&gt;"*",Regions!$D$3,""))</f>
        <v>IE,National</v>
      </c>
      <c r="C19" s="449"/>
      <c r="D19" s="448"/>
      <c r="E19" s="448" t="str">
        <f>COMM!$O$34</f>
        <v>RSDLT_Att</v>
      </c>
      <c r="F19" s="448"/>
      <c r="G19" s="733"/>
      <c r="H19" s="733"/>
      <c r="I19" s="733"/>
      <c r="J19" s="448"/>
      <c r="K19" s="448"/>
      <c r="L19" s="734">
        <f>R19</f>
        <v>9.3488148228942762E-4</v>
      </c>
      <c r="N19" s="807"/>
      <c r="O19" s="800"/>
      <c r="P19" s="811"/>
      <c r="Q19" s="808"/>
      <c r="R19" s="800">
        <f>AT50*(1+S53)</f>
        <v>9.3488148228942762E-4</v>
      </c>
      <c r="S19" s="808">
        <f>R19*G16</f>
        <v>1.6402582507573857E-2</v>
      </c>
      <c r="T19" s="832"/>
      <c r="U19" s="808"/>
      <c r="W19" s="735" t="s">
        <v>276</v>
      </c>
      <c r="X19" s="735" t="str">
        <f>_xlfn.TEXTJOIN(",",TRUE,IF(LEFT(Regions!$C$3,1)&lt;&gt;"*",Regions!$C$3,""),IF(LEFT(Regions!$D$3,1)&lt;&gt;"*",Regions!$D$3,""))</f>
        <v>IE,National</v>
      </c>
      <c r="Y19" s="735" t="str">
        <f>_xlfn.TEXTJOIN("",TRUE,LEFT(SETUP!B$3,1),"-",SETUP!B$85,"_",SETUP!B$36,"_",SETUP!B44)</f>
        <v>R-BLD_Apt_C</v>
      </c>
      <c r="Z19" s="735" t="str">
        <f>_xlfn.TEXTJOIN(" ",TRUE,SETUP!C$3,SETUP!C$85,SETUP!C$36,"_",SETUP!B44)</f>
        <v>Residential Building Apartment _ C</v>
      </c>
      <c r="AA19" s="736" t="s">
        <v>275</v>
      </c>
      <c r="AB19" s="735" t="s">
        <v>275</v>
      </c>
      <c r="AC19" s="736"/>
      <c r="AD19" s="735"/>
      <c r="AE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</row>
    <row r="20" spans="2:88" ht="12" customHeight="1" thickBot="1">
      <c r="B20" s="628" t="str">
        <f>_xlfn.TEXTJOIN(",",TRUE,IF(LEFT(Regions!$C$3,1)&lt;&gt;"*",Regions!$C$3,""),IF(LEFT(Regions!$D$3,1)&lt;&gt;"*",Regions!$D$3,""))</f>
        <v>IE,National</v>
      </c>
      <c r="C20" s="629"/>
      <c r="D20" s="629"/>
      <c r="E20" s="629" t="str">
        <f>COMM!$O$37</f>
        <v>RSDPF_Att</v>
      </c>
      <c r="F20" s="629"/>
      <c r="G20" s="630"/>
      <c r="H20" s="630"/>
      <c r="I20" s="630"/>
      <c r="J20" s="629"/>
      <c r="K20" s="629"/>
      <c r="L20" s="741">
        <f>T20</f>
        <v>4.0670311858187171E-4</v>
      </c>
      <c r="N20" s="829"/>
      <c r="O20" s="809"/>
      <c r="P20" s="830"/>
      <c r="Q20" s="810"/>
      <c r="R20" s="809"/>
      <c r="S20" s="810"/>
      <c r="T20" s="831">
        <f>AU50*(1+$U$53)</f>
        <v>4.0670311858187171E-4</v>
      </c>
      <c r="U20" s="810">
        <f>T20*G16</f>
        <v>7.1356440201277753E-3</v>
      </c>
      <c r="W20" s="379" t="s">
        <v>276</v>
      </c>
      <c r="X20" s="379" t="str">
        <f>_xlfn.TEXTJOIN(",",TRUE,IF(LEFT(Regions!$C$3,1)&lt;&gt;"*",Regions!$C$3,""),IF(LEFT(Regions!$D$3,1)&lt;&gt;"*",Regions!$D$3,""))</f>
        <v>IE,National</v>
      </c>
      <c r="Y20" s="379" t="str">
        <f>_xlfn.TEXTJOIN("",TRUE,LEFT(SETUP!B$3,1),"-",SETUP!B$85,"_",SETUP!B$36,"_",SETUP!B45)</f>
        <v>R-BLD_Apt_D</v>
      </c>
      <c r="Z20" s="379" t="str">
        <f>_xlfn.TEXTJOIN(" ",TRUE,SETUP!C$3,SETUP!C$85,SETUP!C$36,"_",SETUP!B45)</f>
        <v>Residential Building Apartment _ D</v>
      </c>
      <c r="AA20" s="379" t="s">
        <v>275</v>
      </c>
      <c r="AB20" s="732" t="s">
        <v>275</v>
      </c>
      <c r="AC20" s="379"/>
      <c r="AD20" s="379"/>
      <c r="AE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</row>
    <row r="21" spans="2:88" ht="12" customHeight="1">
      <c r="B21" s="621" t="str">
        <f>_xlfn.TEXTJOIN(",",TRUE,IF(LEFT(Regions!$C$3,1)&lt;&gt;"*",Regions!$C$3,""),IF(LEFT(Regions!$D$3,1)&lt;&gt;"*",Regions!$D$3,""))</f>
        <v>IE,National</v>
      </c>
      <c r="C21" s="622" t="str">
        <f>Y9</f>
        <v>R-BLD_Att_B3</v>
      </c>
      <c r="D21" s="623" t="str">
        <f>Z9</f>
        <v>Residential Building Attached _ B3</v>
      </c>
      <c r="E21" s="623" t="str">
        <f>COMM!$O$10</f>
        <v>RSDSH_Att-AB</v>
      </c>
      <c r="F21" s="623" t="str">
        <f>COMM!$O$7</f>
        <v>RSD_Att</v>
      </c>
      <c r="G21" s="625">
        <f>AH11/1000</f>
        <v>49.768849685929474</v>
      </c>
      <c r="H21" s="625">
        <f>G21*$AH$26</f>
        <v>41.472382443285035</v>
      </c>
      <c r="I21" s="625">
        <v>1</v>
      </c>
      <c r="J21" s="623">
        <v>100</v>
      </c>
      <c r="K21" s="623">
        <v>1</v>
      </c>
      <c r="L21" s="731">
        <f>N21</f>
        <v>2.4317446066434045E-2</v>
      </c>
      <c r="N21" s="807">
        <f>AR51*DwellingStocks!P21*(1+O53)</f>
        <v>2.4317446066434045E-2</v>
      </c>
      <c r="O21" s="800">
        <f>N21*G21</f>
        <v>1.210251318026053</v>
      </c>
      <c r="P21" s="811"/>
      <c r="Q21" s="808"/>
      <c r="R21" s="800"/>
      <c r="S21" s="808"/>
      <c r="T21" s="832"/>
      <c r="U21" s="808"/>
      <c r="W21" s="735" t="s">
        <v>276</v>
      </c>
      <c r="X21" s="735" t="str">
        <f>_xlfn.TEXTJOIN(",",TRUE,IF(LEFT(Regions!$C$3,1)&lt;&gt;"*",Regions!$C$3,""),IF(LEFT(Regions!$D$3,1)&lt;&gt;"*",Regions!$D$3,""))</f>
        <v>IE,National</v>
      </c>
      <c r="Y21" s="735" t="str">
        <f>_xlfn.TEXTJOIN("",TRUE,LEFT(SETUP!B$3,1),"-",SETUP!B$85,"_",SETUP!B$36,"_",SETUP!B46)</f>
        <v>R-BLD_Apt_E</v>
      </c>
      <c r="Z21" s="735" t="str">
        <f>_xlfn.TEXTJOIN(" ",TRUE,SETUP!C$3,SETUP!C$85,SETUP!C$36,"_",SETUP!B46)</f>
        <v>Residential Building Apartment _ E</v>
      </c>
      <c r="AA21" s="736" t="s">
        <v>275</v>
      </c>
      <c r="AB21" s="735" t="s">
        <v>275</v>
      </c>
      <c r="AC21" s="736"/>
      <c r="AD21" s="735"/>
      <c r="AE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</row>
    <row r="22" spans="2:88" ht="12" customHeight="1">
      <c r="B22" s="626" t="str">
        <f>_xlfn.TEXTJOIN(",",TRUE,IF(LEFT(Regions!$C$3,1)&lt;&gt;"*",Regions!$C$3,""),IF(LEFT(Regions!$D$3,1)&lt;&gt;"*",Regions!$D$3,""))</f>
        <v>IE,National</v>
      </c>
      <c r="C22" s="449"/>
      <c r="D22" s="448"/>
      <c r="E22" s="448" t="str">
        <f>COMM!$O$28</f>
        <v>RSDSC_Att</v>
      </c>
      <c r="F22" s="448"/>
      <c r="G22" s="733"/>
      <c r="H22" s="733"/>
      <c r="I22" s="733"/>
      <c r="J22" s="448"/>
      <c r="K22" s="448"/>
      <c r="L22" s="734"/>
      <c r="N22" s="807"/>
      <c r="O22" s="800"/>
      <c r="P22" s="811"/>
      <c r="Q22" s="808"/>
      <c r="R22" s="800"/>
      <c r="S22" s="808"/>
      <c r="T22" s="832"/>
      <c r="U22" s="808"/>
      <c r="W22" s="379" t="s">
        <v>276</v>
      </c>
      <c r="X22" s="379" t="str">
        <f>_xlfn.TEXTJOIN(",",TRUE,IF(LEFT(Regions!$C$3,1)&lt;&gt;"*",Regions!$C$3,""),IF(LEFT(Regions!$D$3,1)&lt;&gt;"*",Regions!$D$3,""))</f>
        <v>IE,National</v>
      </c>
      <c r="Y22" s="379" t="str">
        <f>_xlfn.TEXTJOIN("",TRUE,LEFT(SETUP!B$3,1),"-",SETUP!B$85,"_",SETUP!B$36,"_",SETUP!B47)</f>
        <v>R-BLD_Apt_F</v>
      </c>
      <c r="Z22" s="379" t="str">
        <f>_xlfn.TEXTJOIN(" ",TRUE,SETUP!C$3,SETUP!C$85,SETUP!C$36,"_",SETUP!B47)</f>
        <v>Residential Building Apartment _ F</v>
      </c>
      <c r="AA22" s="379" t="s">
        <v>275</v>
      </c>
      <c r="AB22" s="732" t="s">
        <v>275</v>
      </c>
      <c r="AC22" s="379"/>
      <c r="AD22" s="379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</row>
    <row r="23" spans="2:88" ht="12" customHeight="1" thickBot="1">
      <c r="B23" s="627" t="str">
        <f>_xlfn.TEXTJOIN(",",TRUE,IF(LEFT(Regions!$C$3,1)&lt;&gt;"*",Regions!$C$3,""),IF(LEFT(Regions!$D$3,1)&lt;&gt;"*",Regions!$D$3,""))</f>
        <v>IE,National</v>
      </c>
      <c r="C23" s="293"/>
      <c r="D23" s="293"/>
      <c r="E23" s="293" t="str">
        <f>COMM!$O$31</f>
        <v>RSDWH_Att</v>
      </c>
      <c r="F23" s="293"/>
      <c r="G23" s="737"/>
      <c r="H23" s="737"/>
      <c r="I23" s="737"/>
      <c r="J23" s="293"/>
      <c r="K23" s="293"/>
      <c r="L23" s="738">
        <f>P23</f>
        <v>8.7381919789022919E-3</v>
      </c>
      <c r="N23" s="807"/>
      <c r="O23" s="800"/>
      <c r="P23" s="811">
        <f>AS51*(1+Q53)</f>
        <v>8.7381919789022919E-3</v>
      </c>
      <c r="Q23" s="808">
        <f>P23*G21</f>
        <v>0.43488976312478278</v>
      </c>
      <c r="R23" s="800"/>
      <c r="S23" s="808"/>
      <c r="T23" s="832"/>
      <c r="U23" s="808"/>
      <c r="W23" s="748" t="s">
        <v>276</v>
      </c>
      <c r="X23" s="748" t="str">
        <f>_xlfn.TEXTJOIN(",",TRUE,IF(LEFT(Regions!$C$3,1)&lt;&gt;"*",Regions!$C$3,""),IF(LEFT(Regions!$D$3,1)&lt;&gt;"*",Regions!$D$3,""))</f>
        <v>IE,National</v>
      </c>
      <c r="Y23" s="748" t="str">
        <f>_xlfn.TEXTJOIN("",TRUE,LEFT(SETUP!B$3,1),"-",SETUP!B$85,"_",SETUP!B$36,"_",SETUP!B48)</f>
        <v>R-BLD_Apt_G</v>
      </c>
      <c r="Z23" s="748" t="str">
        <f>_xlfn.TEXTJOIN(" ",TRUE,SETUP!C$3,SETUP!C$85,SETUP!C$36,"_",SETUP!B48)</f>
        <v>Residential Building Apartment _ G</v>
      </c>
      <c r="AA23" s="749" t="s">
        <v>275</v>
      </c>
      <c r="AB23" s="748" t="s">
        <v>275</v>
      </c>
      <c r="AC23" s="749"/>
      <c r="AD23" s="748"/>
      <c r="AE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</row>
    <row r="24" spans="2:88" ht="17.25" customHeight="1" thickBot="1">
      <c r="B24" s="626" t="str">
        <f>_xlfn.TEXTJOIN(",",TRUE,IF(LEFT(Regions!$C$3,1)&lt;&gt;"*",Regions!$C$3,""),IF(LEFT(Regions!$D$3,1)&lt;&gt;"*",Regions!$D$3,""))</f>
        <v>IE,National</v>
      </c>
      <c r="C24" s="449"/>
      <c r="D24" s="448"/>
      <c r="E24" s="448" t="str">
        <f>COMM!$O$34</f>
        <v>RSDLT_Att</v>
      </c>
      <c r="F24" s="448"/>
      <c r="G24" s="733"/>
      <c r="H24" s="733"/>
      <c r="I24" s="733"/>
      <c r="J24" s="448"/>
      <c r="K24" s="448"/>
      <c r="L24" s="734">
        <f>R24</f>
        <v>9.5937840089950586E-4</v>
      </c>
      <c r="N24" s="807"/>
      <c r="O24" s="800"/>
      <c r="P24" s="811"/>
      <c r="Q24" s="808"/>
      <c r="R24" s="800">
        <f>AT51*(1+S53)</f>
        <v>9.5937840089950586E-4</v>
      </c>
      <c r="S24" s="808">
        <f>R24*G21</f>
        <v>4.7747159426294893E-2</v>
      </c>
      <c r="T24" s="832"/>
      <c r="U24" s="808"/>
      <c r="W24" s="379" t="s">
        <v>276</v>
      </c>
      <c r="X24" s="379" t="str">
        <f>_xlfn.TEXTJOIN(",",TRUE,IF(LEFT(Regions!$C$3,1)&lt;&gt;"*",Regions!$C$3,""),IF(LEFT(Regions!$D$3,1)&lt;&gt;"*",Regions!$D$3,""))</f>
        <v>IE,National</v>
      </c>
      <c r="Y24" s="379" t="str">
        <f>_xlfn.TEXTJOIN("",TRUE,LEFT(SETUP!B$3,1),"-",SETUP!B$85,"_",SETUP!B$38,"_",SETUP!B40)</f>
        <v>R-BLD_Det_A</v>
      </c>
      <c r="Z24" s="379" t="str">
        <f>_xlfn.TEXTJOIN(" ",TRUE,SETUP!C$3,SETUP!C$85,SETUP!C$38,"_",SETUP!B40)</f>
        <v>Residential Building Detached _ A</v>
      </c>
      <c r="AA24" s="379" t="s">
        <v>275</v>
      </c>
      <c r="AB24" s="732" t="s">
        <v>275</v>
      </c>
      <c r="AC24" s="379"/>
      <c r="AD24" s="379"/>
      <c r="AE24" s="25"/>
      <c r="AF24" s="1120" t="s">
        <v>895</v>
      </c>
      <c r="AG24" s="1121"/>
      <c r="AH24" s="1121"/>
      <c r="AI24" s="1121"/>
      <c r="AJ24" s="1122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</row>
    <row r="25" spans="2:88" ht="15" thickBot="1">
      <c r="B25" s="628" t="str">
        <f>_xlfn.TEXTJOIN(",",TRUE,IF(LEFT(Regions!$C$3,1)&lt;&gt;"*",Regions!$C$3,""),IF(LEFT(Regions!$D$3,1)&lt;&gt;"*",Regions!$D$3,""))</f>
        <v>IE,National</v>
      </c>
      <c r="C25" s="629"/>
      <c r="D25" s="629"/>
      <c r="E25" s="629" t="str">
        <f>COMM!$O$37</f>
        <v>RSDPF_Att</v>
      </c>
      <c r="F25" s="629"/>
      <c r="G25" s="630"/>
      <c r="H25" s="630"/>
      <c r="I25" s="630"/>
      <c r="J25" s="629"/>
      <c r="K25" s="629"/>
      <c r="L25" s="741">
        <f>T25</f>
        <v>3.9745734872240234E-4</v>
      </c>
      <c r="N25" s="807"/>
      <c r="O25" s="800"/>
      <c r="P25" s="811"/>
      <c r="Q25" s="808"/>
      <c r="R25" s="800"/>
      <c r="S25" s="808"/>
      <c r="T25" s="832">
        <f>AU51*(1+$U$53)</f>
        <v>3.9745734872240234E-4</v>
      </c>
      <c r="U25" s="808">
        <f>T25*G21</f>
        <v>1.9780995045133296E-2</v>
      </c>
      <c r="W25" s="735" t="s">
        <v>276</v>
      </c>
      <c r="X25" s="735" t="str">
        <f>_xlfn.TEXTJOIN(",",TRUE,IF(LEFT(Regions!$C$3,1)&lt;&gt;"*",Regions!$C$3,""),IF(LEFT(Regions!$D$3,1)&lt;&gt;"*",Regions!$D$3,""))</f>
        <v>IE,National</v>
      </c>
      <c r="Y25" s="735" t="str">
        <f>_xlfn.TEXTJOIN("",TRUE,LEFT(SETUP!B$3,1),"-",SETUP!B$85,"_",SETUP!B$38,"_",SETUP!B41)</f>
        <v>R-BLD_Det_B1</v>
      </c>
      <c r="Z25" s="735" t="str">
        <f>_xlfn.TEXTJOIN(" ",TRUE,SETUP!C$3,SETUP!C$85,SETUP!C$38,"_",SETUP!B41)</f>
        <v>Residential Building Detached _ B1</v>
      </c>
      <c r="AA25" s="736" t="s">
        <v>275</v>
      </c>
      <c r="AB25" s="735" t="s">
        <v>275</v>
      </c>
      <c r="AC25" s="736"/>
      <c r="AD25" s="735"/>
      <c r="AE25" s="25"/>
      <c r="AF25" s="1123" t="s">
        <v>896</v>
      </c>
      <c r="AG25" s="1124"/>
      <c r="AH25" s="1123" t="s">
        <v>897</v>
      </c>
      <c r="AI25" s="1124"/>
      <c r="AJ25" s="11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</row>
    <row r="26" spans="2:88" ht="13" thickBot="1">
      <c r="B26" s="621" t="str">
        <f>_xlfn.TEXTJOIN(",",TRUE,IF(LEFT(Regions!$C$3,1)&lt;&gt;"*",Regions!$C$3,""),IF(LEFT(Regions!$D$3,1)&lt;&gt;"*",Regions!$D$3,""))</f>
        <v>IE,National</v>
      </c>
      <c r="C26" s="622" t="str">
        <f>Y10</f>
        <v>R-BLD_Att_C</v>
      </c>
      <c r="D26" s="623" t="str">
        <f>Z10</f>
        <v>Residential Building Attached _ C</v>
      </c>
      <c r="E26" s="623" t="str">
        <f>COMM!$O$13</f>
        <v>RSDSH_Att-C</v>
      </c>
      <c r="F26" s="623" t="str">
        <f>COMM!$O$7</f>
        <v>RSD_Att</v>
      </c>
      <c r="G26" s="625">
        <f>AH12/1000</f>
        <v>282.15152747564798</v>
      </c>
      <c r="H26" s="625">
        <f>G26*$AH$26</f>
        <v>235.11686784545748</v>
      </c>
      <c r="I26" s="625">
        <v>1</v>
      </c>
      <c r="J26" s="623">
        <v>100</v>
      </c>
      <c r="K26" s="623">
        <v>1</v>
      </c>
      <c r="L26" s="731">
        <f>N26</f>
        <v>2.0696518720334969E-2</v>
      </c>
      <c r="N26" s="825">
        <f>AR52*DwellingStocks!P22*(1+O53)</f>
        <v>2.0696518720334969E-2</v>
      </c>
      <c r="O26" s="826">
        <f>N26*G26</f>
        <v>5.8395543703708546</v>
      </c>
      <c r="P26" s="827"/>
      <c r="Q26" s="828"/>
      <c r="R26" s="826"/>
      <c r="S26" s="828"/>
      <c r="T26" s="833"/>
      <c r="U26" s="828"/>
      <c r="W26" s="379" t="s">
        <v>276</v>
      </c>
      <c r="X26" s="379" t="str">
        <f>_xlfn.TEXTJOIN(",",TRUE,IF(LEFT(Regions!$C$3,1)&lt;&gt;"*",Regions!$C$3,""),IF(LEFT(Regions!$D$3,1)&lt;&gt;"*",Regions!$D$3,""))</f>
        <v>IE,National</v>
      </c>
      <c r="Y26" s="379" t="str">
        <f>_xlfn.TEXTJOIN("",TRUE,LEFT(SETUP!B$3,1),"-",SETUP!B$85,"_",SETUP!B$38,"_",SETUP!B42)</f>
        <v>R-BLD_Det_B2</v>
      </c>
      <c r="Z26" s="379" t="str">
        <f>_xlfn.TEXTJOIN(" ",TRUE,SETUP!C$3,SETUP!C$85,SETUP!C$38,"_",SETUP!B42)</f>
        <v>Residential Building Detached _ B2</v>
      </c>
      <c r="AA26" s="379" t="s">
        <v>275</v>
      </c>
      <c r="AB26" s="732" t="s">
        <v>275</v>
      </c>
      <c r="AC26" s="379"/>
      <c r="AD26" s="379"/>
      <c r="AF26" s="1126">
        <v>3.5000000000000001E-3</v>
      </c>
      <c r="AG26" s="1127"/>
      <c r="AH26" s="1126">
        <v>0.83330000000000004</v>
      </c>
      <c r="AI26" s="1128"/>
      <c r="AJ26" s="1129"/>
    </row>
    <row r="27" spans="2:88">
      <c r="B27" s="626" t="str">
        <f>_xlfn.TEXTJOIN(",",TRUE,IF(LEFT(Regions!$C$3,1)&lt;&gt;"*",Regions!$C$3,""),IF(LEFT(Regions!$D$3,1)&lt;&gt;"*",Regions!$D$3,""))</f>
        <v>IE,National</v>
      </c>
      <c r="C27" s="449"/>
      <c r="D27" s="448"/>
      <c r="E27" s="448" t="str">
        <f>COMM!$O$28</f>
        <v>RSDSC_Att</v>
      </c>
      <c r="F27" s="448"/>
      <c r="G27" s="733"/>
      <c r="H27" s="733"/>
      <c r="I27" s="733"/>
      <c r="J27" s="448"/>
      <c r="K27" s="448"/>
      <c r="L27" s="734"/>
      <c r="N27" s="807"/>
      <c r="O27" s="800"/>
      <c r="P27" s="811"/>
      <c r="Q27" s="808"/>
      <c r="R27" s="800"/>
      <c r="S27" s="808"/>
      <c r="T27" s="832"/>
      <c r="U27" s="808"/>
      <c r="W27" s="735" t="s">
        <v>276</v>
      </c>
      <c r="X27" s="735" t="str">
        <f>_xlfn.TEXTJOIN(",",TRUE,IF(LEFT(Regions!$C$3,1)&lt;&gt;"*",Regions!$C$3,""),IF(LEFT(Regions!$D$3,1)&lt;&gt;"*",Regions!$D$3,""))</f>
        <v>IE,National</v>
      </c>
      <c r="Y27" s="735" t="str">
        <f>_xlfn.TEXTJOIN("",TRUE,LEFT(SETUP!B$3,1),"-",SETUP!B$85,"_",SETUP!B$38,"_",SETUP!B43)</f>
        <v>R-BLD_Det_B3</v>
      </c>
      <c r="Z27" s="735" t="str">
        <f>_xlfn.TEXTJOIN(" ",TRUE,SETUP!C$3,SETUP!C$85,SETUP!C$38,"_",SETUP!B43)</f>
        <v>Residential Building Detached _ B3</v>
      </c>
      <c r="AA27" s="736" t="s">
        <v>275</v>
      </c>
      <c r="AB27" s="735" t="s">
        <v>275</v>
      </c>
      <c r="AC27" s="736"/>
      <c r="AD27" s="735"/>
    </row>
    <row r="28" spans="2:88">
      <c r="B28" s="627" t="str">
        <f>_xlfn.TEXTJOIN(",",TRUE,IF(LEFT(Regions!$C$3,1)&lt;&gt;"*",Regions!$C$3,""),IF(LEFT(Regions!$D$3,1)&lt;&gt;"*",Regions!$D$3,""))</f>
        <v>IE,National</v>
      </c>
      <c r="C28" s="293"/>
      <c r="D28" s="293"/>
      <c r="E28" s="293" t="str">
        <f>COMM!$O$31</f>
        <v>RSDWH_Att</v>
      </c>
      <c r="F28" s="293"/>
      <c r="G28" s="737"/>
      <c r="H28" s="737"/>
      <c r="I28" s="737"/>
      <c r="J28" s="293"/>
      <c r="K28" s="293"/>
      <c r="L28" s="738">
        <f>P28</f>
        <v>9.8139877211277943E-3</v>
      </c>
      <c r="N28" s="807"/>
      <c r="O28" s="800"/>
      <c r="P28" s="811">
        <f>AS52*(1+Q53)</f>
        <v>9.8139877211277943E-3</v>
      </c>
      <c r="Q28" s="808">
        <f>P28*G26</f>
        <v>2.7690316261434607</v>
      </c>
      <c r="R28" s="800"/>
      <c r="S28" s="808"/>
      <c r="T28" s="832"/>
      <c r="U28" s="808"/>
      <c r="W28" s="379" t="s">
        <v>276</v>
      </c>
      <c r="X28" s="379" t="str">
        <f>_xlfn.TEXTJOIN(",",TRUE,IF(LEFT(Regions!$C$3,1)&lt;&gt;"*",Regions!$C$3,""),IF(LEFT(Regions!$D$3,1)&lt;&gt;"*",Regions!$D$3,""))</f>
        <v>IE,National</v>
      </c>
      <c r="Y28" s="379" t="str">
        <f>_xlfn.TEXTJOIN("",TRUE,LEFT(SETUP!B$3,1),"-",SETUP!B$85,"_",SETUP!B$38,"_",SETUP!B44)</f>
        <v>R-BLD_Det_C</v>
      </c>
      <c r="Z28" s="379" t="str">
        <f>_xlfn.TEXTJOIN(" ",TRUE,SETUP!C$3,SETUP!C$85,SETUP!C$38,"_",SETUP!B44)</f>
        <v>Residential Building Detached _ C</v>
      </c>
      <c r="AA28" s="379" t="s">
        <v>275</v>
      </c>
      <c r="AB28" s="732" t="s">
        <v>275</v>
      </c>
      <c r="AC28" s="379"/>
      <c r="AD28" s="379"/>
    </row>
    <row r="29" spans="2:88">
      <c r="B29" s="626" t="str">
        <f>_xlfn.TEXTJOIN(",",TRUE,IF(LEFT(Regions!$C$3,1)&lt;&gt;"*",Regions!$C$3,""),IF(LEFT(Regions!$D$3,1)&lt;&gt;"*",Regions!$D$3,""))</f>
        <v>IE,National</v>
      </c>
      <c r="C29" s="449"/>
      <c r="D29" s="448"/>
      <c r="E29" s="448" t="str">
        <f>COMM!$O$34</f>
        <v>RSDLT_Att</v>
      </c>
      <c r="F29" s="448"/>
      <c r="G29" s="733"/>
      <c r="H29" s="733"/>
      <c r="I29" s="733"/>
      <c r="J29" s="448"/>
      <c r="K29" s="448"/>
      <c r="L29" s="734">
        <f>R29</f>
        <v>9.4983104774723146E-4</v>
      </c>
      <c r="N29" s="807"/>
      <c r="O29" s="800"/>
      <c r="P29" s="811"/>
      <c r="Q29" s="808"/>
      <c r="R29" s="800">
        <f>AT52*(1+S53)</f>
        <v>9.4983104774723146E-4</v>
      </c>
      <c r="S29" s="808">
        <f>R29*G26</f>
        <v>0.26799628096567646</v>
      </c>
      <c r="T29" s="832"/>
      <c r="U29" s="808"/>
      <c r="W29" s="735" t="s">
        <v>276</v>
      </c>
      <c r="X29" s="735" t="str">
        <f>_xlfn.TEXTJOIN(",",TRUE,IF(LEFT(Regions!$C$3,1)&lt;&gt;"*",Regions!$C$3,""),IF(LEFT(Regions!$D$3,1)&lt;&gt;"*",Regions!$D$3,""))</f>
        <v>IE,National</v>
      </c>
      <c r="Y29" s="735" t="str">
        <f>_xlfn.TEXTJOIN("",TRUE,LEFT(SETUP!B$3,1),"-",SETUP!B$85,"_",SETUP!B$38,"_",SETUP!B45)</f>
        <v>R-BLD_Det_D</v>
      </c>
      <c r="Z29" s="735" t="str">
        <f>_xlfn.TEXTJOIN(" ",TRUE,SETUP!C$3,SETUP!C$85,SETUP!C$38,"_",SETUP!B45)</f>
        <v>Residential Building Detached _ D</v>
      </c>
      <c r="AA29" s="736" t="s">
        <v>275</v>
      </c>
      <c r="AB29" s="735" t="s">
        <v>275</v>
      </c>
      <c r="AC29" s="736"/>
      <c r="AD29" s="735"/>
    </row>
    <row r="30" spans="2:88" ht="13" thickBot="1">
      <c r="B30" s="628" t="str">
        <f>_xlfn.TEXTJOIN(",",TRUE,IF(LEFT(Regions!$C$3,1)&lt;&gt;"*",Regions!$C$3,""),IF(LEFT(Regions!$D$3,1)&lt;&gt;"*",Regions!$D$3,""))</f>
        <v>IE,National</v>
      </c>
      <c r="C30" s="629"/>
      <c r="D30" s="629"/>
      <c r="E30" s="629" t="str">
        <f>COMM!$O$37</f>
        <v>RSDPF_Att</v>
      </c>
      <c r="F30" s="629"/>
      <c r="G30" s="630"/>
      <c r="H30" s="630"/>
      <c r="I30" s="630"/>
      <c r="J30" s="629"/>
      <c r="K30" s="629"/>
      <c r="L30" s="741">
        <f>T30</f>
        <v>3.9487301870630437E-4</v>
      </c>
      <c r="N30" s="829"/>
      <c r="O30" s="809"/>
      <c r="P30" s="830"/>
      <c r="Q30" s="810"/>
      <c r="R30" s="809"/>
      <c r="S30" s="810"/>
      <c r="T30" s="831">
        <f>AU52*(1+$U$53)</f>
        <v>3.9487301870630437E-4</v>
      </c>
      <c r="U30" s="810">
        <f>T30*G26</f>
        <v>0.1114140253869039</v>
      </c>
      <c r="W30" s="379" t="s">
        <v>276</v>
      </c>
      <c r="X30" s="379" t="str">
        <f>_xlfn.TEXTJOIN(",",TRUE,IF(LEFT(Regions!$C$3,1)&lt;&gt;"*",Regions!$C$3,""),IF(LEFT(Regions!$D$3,1)&lt;&gt;"*",Regions!$D$3,""))</f>
        <v>IE,National</v>
      </c>
      <c r="Y30" s="379" t="str">
        <f>_xlfn.TEXTJOIN("",TRUE,LEFT(SETUP!B$3,1),"-",SETUP!B$85,"_",SETUP!B$38,"_",SETUP!B46)</f>
        <v>R-BLD_Det_E</v>
      </c>
      <c r="Z30" s="379" t="str">
        <f>_xlfn.TEXTJOIN(" ",TRUE,SETUP!C$3,SETUP!C$85,SETUP!C$38,"_",SETUP!B46)</f>
        <v>Residential Building Detached _ E</v>
      </c>
      <c r="AA30" s="379" t="s">
        <v>275</v>
      </c>
      <c r="AB30" s="732" t="s">
        <v>275</v>
      </c>
      <c r="AC30" s="379"/>
      <c r="AD30" s="379"/>
    </row>
    <row r="31" spans="2:88" ht="13">
      <c r="B31" s="621" t="str">
        <f>_xlfn.TEXTJOIN(",",TRUE,IF(LEFT(Regions!$C$3,1)&lt;&gt;"*",Regions!$C$3,""),IF(LEFT(Regions!$D$3,1)&lt;&gt;"*",Regions!$D$3,""))</f>
        <v>IE,National</v>
      </c>
      <c r="C31" s="622" t="str">
        <f>Y11</f>
        <v>R-BLD_Att_D</v>
      </c>
      <c r="D31" s="623" t="str">
        <f>Z11</f>
        <v>Residential Building Attached _ D</v>
      </c>
      <c r="E31" s="623" t="str">
        <f>COMM!$O$16</f>
        <v>RSDSH_Att-D</v>
      </c>
      <c r="F31" s="623" t="str">
        <f>COMM!$O$7</f>
        <v>RSD_Att</v>
      </c>
      <c r="G31" s="625">
        <f>AH13/1000</f>
        <v>187.62702237661046</v>
      </c>
      <c r="H31" s="625">
        <f>G31*$AH$26</f>
        <v>156.34959774642951</v>
      </c>
      <c r="I31" s="625">
        <v>1</v>
      </c>
      <c r="J31" s="623">
        <v>100</v>
      </c>
      <c r="K31" s="623">
        <v>1</v>
      </c>
      <c r="L31" s="731">
        <f>N31</f>
        <v>2.9521518119855227E-2</v>
      </c>
      <c r="N31" s="807">
        <f>AR53*DwellingStocks!P23*(1+O53)</f>
        <v>2.9521518119855227E-2</v>
      </c>
      <c r="O31" s="800">
        <f>N31*G31</f>
        <v>5.5390345408655879</v>
      </c>
      <c r="P31" s="811"/>
      <c r="Q31" s="808"/>
      <c r="R31" s="800"/>
      <c r="S31" s="808"/>
      <c r="T31" s="832"/>
      <c r="U31" s="808"/>
      <c r="W31" s="735" t="s">
        <v>276</v>
      </c>
      <c r="X31" s="735" t="str">
        <f>_xlfn.TEXTJOIN(",",TRUE,IF(LEFT(Regions!$C$3,1)&lt;&gt;"*",Regions!$C$3,""),IF(LEFT(Regions!$D$3,1)&lt;&gt;"*",Regions!$D$3,""))</f>
        <v>IE,National</v>
      </c>
      <c r="Y31" s="735" t="str">
        <f>_xlfn.TEXTJOIN("",TRUE,LEFT(SETUP!B$3,1),"-",SETUP!B$85,"_",SETUP!B$38,"_",SETUP!B47)</f>
        <v>R-BLD_Det_F</v>
      </c>
      <c r="Z31" s="735" t="str">
        <f>_xlfn.TEXTJOIN(" ",TRUE,SETUP!C$3,SETUP!C$85,SETUP!C$38,"_",SETUP!B47)</f>
        <v>Residential Building Detached _ F</v>
      </c>
      <c r="AA31" s="736" t="s">
        <v>275</v>
      </c>
      <c r="AB31" s="735" t="s">
        <v>275</v>
      </c>
      <c r="AC31" s="736"/>
      <c r="AD31" s="735"/>
      <c r="AE31" s="25"/>
      <c r="AG31" t="s">
        <v>297</v>
      </c>
      <c r="AH31" t="s">
        <v>297</v>
      </c>
      <c r="AI31" t="s">
        <v>297</v>
      </c>
      <c r="AJ31" t="s">
        <v>297</v>
      </c>
      <c r="AK31" t="s">
        <v>297</v>
      </c>
      <c r="AL31" t="s">
        <v>297</v>
      </c>
      <c r="AM31" t="s">
        <v>297</v>
      </c>
      <c r="AN31" t="s">
        <v>297</v>
      </c>
      <c r="AO31" t="s">
        <v>297</v>
      </c>
      <c r="AP31" t="s">
        <v>297</v>
      </c>
      <c r="AR31" t="s">
        <v>219</v>
      </c>
      <c r="AS31" s="58" t="s">
        <v>898</v>
      </c>
      <c r="AT31" s="58" t="s">
        <v>221</v>
      </c>
      <c r="AU31" t="s">
        <v>899</v>
      </c>
      <c r="AV31" t="s">
        <v>900</v>
      </c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</row>
    <row r="32" spans="2:88" ht="13.5" thickBot="1">
      <c r="B32" s="626" t="str">
        <f>_xlfn.TEXTJOIN(",",TRUE,IF(LEFT(Regions!$C$3,1)&lt;&gt;"*",Regions!$C$3,""),IF(LEFT(Regions!$D$3,1)&lt;&gt;"*",Regions!$D$3,""))</f>
        <v>IE,National</v>
      </c>
      <c r="C32" s="449"/>
      <c r="D32" s="448"/>
      <c r="E32" s="448" t="str">
        <f>COMM!$O$28</f>
        <v>RSDSC_Att</v>
      </c>
      <c r="F32" s="448"/>
      <c r="G32" s="733"/>
      <c r="H32" s="733"/>
      <c r="I32" s="733"/>
      <c r="J32" s="448"/>
      <c r="K32" s="448"/>
      <c r="L32" s="734"/>
      <c r="N32" s="807"/>
      <c r="O32" s="800"/>
      <c r="P32" s="811"/>
      <c r="Q32" s="808"/>
      <c r="R32" s="800"/>
      <c r="S32" s="808"/>
      <c r="T32" s="832"/>
      <c r="U32" s="808"/>
      <c r="W32" s="379" t="s">
        <v>276</v>
      </c>
      <c r="X32" s="379" t="str">
        <f>_xlfn.TEXTJOIN(",",TRUE,IF(LEFT(Regions!$C$3,1)&lt;&gt;"*",Regions!$C$3,""),IF(LEFT(Regions!$D$3,1)&lt;&gt;"*",Regions!$D$3,""))</f>
        <v>IE,National</v>
      </c>
      <c r="Y32" s="379" t="str">
        <f>_xlfn.TEXTJOIN("",TRUE,LEFT(SETUP!B$3,1),"-",SETUP!B$85,"_",SETUP!B$38,"_",SETUP!B48)</f>
        <v>R-BLD_Det_G</v>
      </c>
      <c r="Z32" s="379" t="str">
        <f>_xlfn.TEXTJOIN(" ",TRUE,SETUP!C$3,SETUP!C$85,SETUP!C$38,"_",SETUP!B48)</f>
        <v>Residential Building Detached _ G</v>
      </c>
      <c r="AA32" s="379" t="s">
        <v>275</v>
      </c>
      <c r="AB32" s="732" t="s">
        <v>275</v>
      </c>
      <c r="AC32" s="379"/>
      <c r="AD32" s="379"/>
      <c r="AE32" s="25"/>
      <c r="AF32" t="s">
        <v>288</v>
      </c>
      <c r="AG32" t="s">
        <v>398</v>
      </c>
      <c r="AH32" t="s">
        <v>399</v>
      </c>
      <c r="AI32" t="s">
        <v>901</v>
      </c>
      <c r="AJ32" t="s">
        <v>902</v>
      </c>
      <c r="AK32" t="s">
        <v>903</v>
      </c>
      <c r="AL32" s="58" t="s">
        <v>417</v>
      </c>
      <c r="AM32" s="58" t="s">
        <v>899</v>
      </c>
      <c r="AN32" t="s">
        <v>904</v>
      </c>
      <c r="AO32" t="s">
        <v>905</v>
      </c>
      <c r="AP32" t="s">
        <v>218</v>
      </c>
      <c r="AR32" t="s">
        <v>906</v>
      </c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</row>
    <row r="33" spans="2:88" ht="14.5">
      <c r="B33" s="627" t="str">
        <f>_xlfn.TEXTJOIN(",",TRUE,IF(LEFT(Regions!$C$3,1)&lt;&gt;"*",Regions!$C$3,""),IF(LEFT(Regions!$D$3,1)&lt;&gt;"*",Regions!$D$3,""))</f>
        <v>IE,National</v>
      </c>
      <c r="C33" s="293"/>
      <c r="D33" s="293"/>
      <c r="E33" s="293" t="str">
        <f>COMM!$O$31</f>
        <v>RSDWH_Att</v>
      </c>
      <c r="F33" s="293"/>
      <c r="G33" s="737"/>
      <c r="H33" s="737"/>
      <c r="I33" s="737"/>
      <c r="J33" s="293"/>
      <c r="K33" s="293"/>
      <c r="L33" s="738">
        <f>P33</f>
        <v>1.0415362640149816E-2</v>
      </c>
      <c r="N33" s="807"/>
      <c r="O33" s="800"/>
      <c r="P33" s="811">
        <f>AS53*(1+Q53)</f>
        <v>1.0415362640149816E-2</v>
      </c>
      <c r="Q33" s="808">
        <f>P33*G31</f>
        <v>1.954203479143902</v>
      </c>
      <c r="R33" s="800"/>
      <c r="S33" s="808"/>
      <c r="T33" s="832"/>
      <c r="U33" s="808"/>
      <c r="W33" s="25"/>
      <c r="X33" s="25"/>
      <c r="Y33" s="25"/>
      <c r="Z33" s="25"/>
      <c r="AA33" s="25"/>
      <c r="AB33" s="25"/>
      <c r="AC33" s="25"/>
      <c r="AD33" s="25"/>
      <c r="AE33" s="25"/>
      <c r="AF33" t="s">
        <v>48</v>
      </c>
      <c r="AG33" s="122">
        <v>6419</v>
      </c>
      <c r="AH33" s="122">
        <v>535137</v>
      </c>
      <c r="AI33">
        <v>52</v>
      </c>
      <c r="AJ33" s="122">
        <v>-505747</v>
      </c>
      <c r="AK33" s="122">
        <v>11249</v>
      </c>
      <c r="AL33" s="122">
        <v>2509515</v>
      </c>
      <c r="AM33" s="122">
        <v>1893006</v>
      </c>
      <c r="AN33" s="122">
        <v>5793778</v>
      </c>
      <c r="AO33" s="122">
        <v>31852</v>
      </c>
      <c r="AP33" s="122">
        <v>9733652</v>
      </c>
      <c r="AQ33" s="739">
        <f t="shared" ref="AQ33:AQ41" si="2">AG8</f>
        <v>14439.898856806734</v>
      </c>
      <c r="AR33">
        <f t="shared" ref="AR33:AR41" si="3">((AQ33/AG33)*$AG$18*(AJ33+AK33)*0.0000000036)/(AQ33/1000)</f>
        <v>-2.0601927769047269E-4</v>
      </c>
      <c r="AS33">
        <f>((AQ33/AG33)*(AN33+AO33)*0.0000000036)/(AQ33/1000)</f>
        <v>3.2672173235706497E-3</v>
      </c>
      <c r="AT33">
        <f>((AQ33/AG33)*(AL33)*0.0000000036)/(AQ33/1000)</f>
        <v>1.4074238978033962E-3</v>
      </c>
      <c r="AU33">
        <f>((AQ33/AG33)*(AM33)*0.0000000036)/(AQ33/1000)</f>
        <v>1.0616640598224022E-3</v>
      </c>
      <c r="AV33">
        <f>ABS(((AQ33/AG33)*$AC$12*(AJ33+AK33)*0.0000000036)/1000)</f>
        <v>0</v>
      </c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</row>
    <row r="34" spans="2:88" ht="14.5">
      <c r="B34" s="626" t="str">
        <f>_xlfn.TEXTJOIN(",",TRUE,IF(LEFT(Regions!$C$3,1)&lt;&gt;"*",Regions!$C$3,""),IF(LEFT(Regions!$D$3,1)&lt;&gt;"*",Regions!$D$3,""))</f>
        <v>IE,National</v>
      </c>
      <c r="C34" s="449"/>
      <c r="D34" s="448"/>
      <c r="E34" s="448" t="str">
        <f>COMM!$O$34</f>
        <v>RSDLT_Att</v>
      </c>
      <c r="F34" s="448"/>
      <c r="G34" s="733"/>
      <c r="H34" s="733"/>
      <c r="I34" s="733"/>
      <c r="J34" s="448"/>
      <c r="K34" s="448"/>
      <c r="L34" s="734">
        <f>R34</f>
        <v>9.2710745268607129E-4</v>
      </c>
      <c r="N34" s="807"/>
      <c r="O34" s="800"/>
      <c r="P34" s="811"/>
      <c r="Q34" s="808"/>
      <c r="R34" s="800">
        <f>AT53*(1+S53)</f>
        <v>9.2710745268607129E-4</v>
      </c>
      <c r="S34" s="808">
        <f>R34*G31</f>
        <v>0.17395041077065182</v>
      </c>
      <c r="T34" s="832"/>
      <c r="U34" s="808"/>
      <c r="AD34" s="25"/>
      <c r="AE34" s="25"/>
      <c r="AF34" t="s">
        <v>50</v>
      </c>
      <c r="AG34" s="122">
        <v>3209</v>
      </c>
      <c r="AH34" s="122">
        <v>264012</v>
      </c>
      <c r="AI34">
        <v>91</v>
      </c>
      <c r="AJ34" s="122">
        <v>5149071</v>
      </c>
      <c r="AK34" s="122">
        <v>157450</v>
      </c>
      <c r="AL34" s="122">
        <v>1694468</v>
      </c>
      <c r="AM34" s="122">
        <v>638663</v>
      </c>
      <c r="AN34" s="122">
        <v>6968385</v>
      </c>
      <c r="AO34" s="122">
        <v>83330</v>
      </c>
      <c r="AP34" s="122">
        <v>14691367</v>
      </c>
      <c r="AQ34" s="740">
        <f t="shared" si="2"/>
        <v>7459.2913438514906</v>
      </c>
      <c r="AR34">
        <f t="shared" si="3"/>
        <v>4.4223271439528837E-3</v>
      </c>
      <c r="AS34">
        <f t="shared" ref="AS34:AS41" si="4">((AQ34/AG34)*(AN34+AO34)*0.0000000036)/(AQ34/1000)</f>
        <v>7.9109298846992832E-3</v>
      </c>
      <c r="AT34">
        <f t="shared" ref="AT34:AT41" si="5">((AQ34/AG34)*(AL34)*0.0000000036)/(AQ34/1000)</f>
        <v>1.90093013399813E-3</v>
      </c>
      <c r="AU34">
        <f t="shared" ref="AU34:AU41" si="6">((AQ34/AG34)*(AM34)*0.0000000036)/(AQ34/1000)</f>
        <v>7.1648077282642571E-4</v>
      </c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</row>
    <row r="35" spans="2:88" ht="15" thickBot="1">
      <c r="B35" s="628" t="str">
        <f>_xlfn.TEXTJOIN(",",TRUE,IF(LEFT(Regions!$C$3,1)&lt;&gt;"*",Regions!$C$3,""),IF(LEFT(Regions!$D$3,1)&lt;&gt;"*",Regions!$D$3,""))</f>
        <v>IE,National</v>
      </c>
      <c r="C35" s="629"/>
      <c r="D35" s="629"/>
      <c r="E35" s="629" t="str">
        <f>COMM!$O$37</f>
        <v>RSDPF_Att</v>
      </c>
      <c r="F35" s="629"/>
      <c r="G35" s="630"/>
      <c r="H35" s="630"/>
      <c r="I35" s="630"/>
      <c r="J35" s="629"/>
      <c r="K35" s="629"/>
      <c r="L35" s="741">
        <f>T35</f>
        <v>3.68293949598222E-4</v>
      </c>
      <c r="N35" s="807"/>
      <c r="O35" s="800"/>
      <c r="P35" s="811"/>
      <c r="Q35" s="808"/>
      <c r="R35" s="800"/>
      <c r="S35" s="808"/>
      <c r="T35" s="832">
        <f>AU53*(1+$U$53)</f>
        <v>3.68293949598222E-4</v>
      </c>
      <c r="U35" s="808">
        <f>T35*G31</f>
        <v>6.9101897122435849E-2</v>
      </c>
      <c r="AD35" s="25"/>
      <c r="AE35" s="25"/>
      <c r="AF35" t="s">
        <v>52</v>
      </c>
      <c r="AG35" s="122">
        <v>8665</v>
      </c>
      <c r="AH35" s="122">
        <v>712223</v>
      </c>
      <c r="AI35">
        <v>114</v>
      </c>
      <c r="AJ35" s="122">
        <v>24443713</v>
      </c>
      <c r="AK35" s="122">
        <v>1103093</v>
      </c>
      <c r="AL35" s="122">
        <v>5068146</v>
      </c>
      <c r="AM35" s="122">
        <v>1589124</v>
      </c>
      <c r="AN35" s="122">
        <v>23824149</v>
      </c>
      <c r="AO35" s="122">
        <v>271620</v>
      </c>
      <c r="AP35" s="122">
        <v>56299844</v>
      </c>
      <c r="AQ35" s="742">
        <f t="shared" si="2"/>
        <v>14041.847426430093</v>
      </c>
      <c r="AR35">
        <f t="shared" si="3"/>
        <v>7.8845831836233844E-3</v>
      </c>
      <c r="AS35">
        <f t="shared" si="4"/>
        <v>1.00109369186382E-2</v>
      </c>
      <c r="AT35">
        <f t="shared" si="5"/>
        <v>2.1056348066935951E-3</v>
      </c>
      <c r="AU35">
        <f t="shared" si="6"/>
        <v>6.6022462781304097E-4</v>
      </c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</row>
    <row r="36" spans="2:88" ht="14.5">
      <c r="B36" s="621" t="str">
        <f>_xlfn.TEXTJOIN(",",TRUE,IF(LEFT(Regions!$C$3,1)&lt;&gt;"*",Regions!$C$3,""),IF(LEFT(Regions!$D$3,1)&lt;&gt;"*",Regions!$D$3,""))</f>
        <v>IE,National</v>
      </c>
      <c r="C36" s="622" t="str">
        <f>Y12</f>
        <v>R-BLD_Att_E</v>
      </c>
      <c r="D36" s="623" t="str">
        <f>Z12</f>
        <v>Residential Building Attached _ E</v>
      </c>
      <c r="E36" s="623" t="str">
        <f>COMM!$O$19</f>
        <v>RSDSH_Att-E</v>
      </c>
      <c r="F36" s="623" t="str">
        <f>COMM!$O$7</f>
        <v>RSD_Att</v>
      </c>
      <c r="G36" s="625">
        <f>AH14/1000</f>
        <v>101.41889596184672</v>
      </c>
      <c r="H36" s="625">
        <f>G36*$AH$26</f>
        <v>84.512366005006868</v>
      </c>
      <c r="I36" s="625">
        <v>1</v>
      </c>
      <c r="J36" s="623">
        <v>100</v>
      </c>
      <c r="K36" s="623">
        <v>1</v>
      </c>
      <c r="L36" s="731">
        <f>N36</f>
        <v>4.0253356197756204E-2</v>
      </c>
      <c r="N36" s="825">
        <f>AR54*DwellingStocks!P24*(1+O53)</f>
        <v>4.0253356197756204E-2</v>
      </c>
      <c r="O36" s="826">
        <f>N36*G36</f>
        <v>4.0824509443353945</v>
      </c>
      <c r="P36" s="827"/>
      <c r="Q36" s="828"/>
      <c r="R36" s="826"/>
      <c r="S36" s="828"/>
      <c r="T36" s="833"/>
      <c r="U36" s="828"/>
      <c r="AD36" s="25"/>
      <c r="AE36" s="25"/>
      <c r="AF36" t="s">
        <v>54</v>
      </c>
      <c r="AG36" s="122">
        <v>13570</v>
      </c>
      <c r="AH36" s="122">
        <v>1073828</v>
      </c>
      <c r="AI36">
        <v>138</v>
      </c>
      <c r="AJ36" s="122">
        <v>50858810</v>
      </c>
      <c r="AK36" s="122">
        <v>3129098</v>
      </c>
      <c r="AL36" s="122">
        <v>7944420</v>
      </c>
      <c r="AM36" s="122">
        <v>2305495</v>
      </c>
      <c r="AN36" s="122">
        <v>41205233</v>
      </c>
      <c r="AO36" s="122">
        <v>896605</v>
      </c>
      <c r="AP36" s="122">
        <v>106339660</v>
      </c>
      <c r="AQ36" s="740">
        <f t="shared" si="2"/>
        <v>19924.480375055824</v>
      </c>
      <c r="AR36">
        <f>((AQ36/AG36)*$AG$18*(AJ36+AK36)*0.0000000036)/(AQ36/1000)</f>
        <v>1.0639650151914025E-2</v>
      </c>
      <c r="AS36">
        <f t="shared" si="4"/>
        <v>1.1169242210759026E-2</v>
      </c>
      <c r="AT36">
        <f t="shared" si="5"/>
        <v>2.1075837877671333E-3</v>
      </c>
      <c r="AU36">
        <f t="shared" si="6"/>
        <v>6.1162726602800291E-4</v>
      </c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</row>
    <row r="37" spans="2:88" ht="14.5">
      <c r="B37" s="626" t="str">
        <f>_xlfn.TEXTJOIN(",",TRUE,IF(LEFT(Regions!$C$3,1)&lt;&gt;"*",Regions!$C$3,""),IF(LEFT(Regions!$D$3,1)&lt;&gt;"*",Regions!$D$3,""))</f>
        <v>IE,National</v>
      </c>
      <c r="C37" s="449"/>
      <c r="D37" s="448"/>
      <c r="E37" s="448" t="str">
        <f>COMM!$O$28</f>
        <v>RSDSC_Att</v>
      </c>
      <c r="F37" s="448"/>
      <c r="G37" s="733"/>
      <c r="H37" s="733"/>
      <c r="I37" s="733"/>
      <c r="J37" s="448"/>
      <c r="K37" s="448"/>
      <c r="L37" s="734"/>
      <c r="N37" s="807"/>
      <c r="O37" s="800"/>
      <c r="P37" s="811"/>
      <c r="Q37" s="808"/>
      <c r="R37" s="800"/>
      <c r="S37" s="808"/>
      <c r="T37" s="832"/>
      <c r="U37" s="808"/>
      <c r="AD37" s="25"/>
      <c r="AE37" s="25"/>
      <c r="AF37" t="s">
        <v>56</v>
      </c>
      <c r="AG37" s="122">
        <v>45566</v>
      </c>
      <c r="AH37" s="122">
        <v>3308771</v>
      </c>
      <c r="AI37">
        <v>187</v>
      </c>
      <c r="AJ37" s="122">
        <v>191371995</v>
      </c>
      <c r="AK37" s="122">
        <v>20181333</v>
      </c>
      <c r="AL37" s="122">
        <v>24809831</v>
      </c>
      <c r="AM37" s="122">
        <v>5185837</v>
      </c>
      <c r="AN37" s="122">
        <v>135290780</v>
      </c>
      <c r="AO37" s="122">
        <v>5131131</v>
      </c>
      <c r="AP37" s="122">
        <v>381970906</v>
      </c>
      <c r="AQ37" s="742">
        <f t="shared" si="2"/>
        <v>58904.8034364337</v>
      </c>
      <c r="AR37">
        <f t="shared" si="3"/>
        <v>1.2416227238810909E-2</v>
      </c>
      <c r="AS37">
        <f t="shared" si="4"/>
        <v>1.1094212342536101E-2</v>
      </c>
      <c r="AT37">
        <f t="shared" si="5"/>
        <v>1.9601323706272223E-3</v>
      </c>
      <c r="AU37">
        <f t="shared" si="6"/>
        <v>4.097136724750911E-4</v>
      </c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</row>
    <row r="38" spans="2:88" ht="15" thickBot="1">
      <c r="B38" s="627" t="str">
        <f>_xlfn.TEXTJOIN(",",TRUE,IF(LEFT(Regions!$C$3,1)&lt;&gt;"*",Regions!$C$3,""),IF(LEFT(Regions!$D$3,1)&lt;&gt;"*",Regions!$D$3,""))</f>
        <v>IE,National</v>
      </c>
      <c r="C38" s="293"/>
      <c r="D38" s="293"/>
      <c r="E38" s="293" t="str">
        <f>COMM!$O$31</f>
        <v>RSDWH_Att</v>
      </c>
      <c r="F38" s="293"/>
      <c r="G38" s="737"/>
      <c r="H38" s="737"/>
      <c r="I38" s="737"/>
      <c r="J38" s="293"/>
      <c r="K38" s="293"/>
      <c r="L38" s="738">
        <f>P38</f>
        <v>1.0862420705216563E-2</v>
      </c>
      <c r="N38" s="807"/>
      <c r="O38" s="800"/>
      <c r="P38" s="811">
        <f>AS54*(1+Q53)</f>
        <v>1.0862420705216563E-2</v>
      </c>
      <c r="Q38" s="808">
        <f>P38*G36</f>
        <v>1.1016547153961682</v>
      </c>
      <c r="R38" s="800"/>
      <c r="S38" s="808"/>
      <c r="T38" s="832"/>
      <c r="U38" s="808"/>
      <c r="AD38" s="25"/>
      <c r="AE38" s="25"/>
      <c r="AF38" t="s">
        <v>58</v>
      </c>
      <c r="AG38" s="122">
        <v>30979</v>
      </c>
      <c r="AH38" s="122">
        <v>2017902</v>
      </c>
      <c r="AI38">
        <v>261</v>
      </c>
      <c r="AJ38" s="122">
        <v>133224360</v>
      </c>
      <c r="AK38" s="122">
        <v>19396995</v>
      </c>
      <c r="AL38" s="122">
        <v>15123200</v>
      </c>
      <c r="AM38" s="122">
        <v>1533922</v>
      </c>
      <c r="AN38" s="122">
        <v>78676858</v>
      </c>
      <c r="AO38" s="122">
        <v>2505229</v>
      </c>
      <c r="AP38" s="122">
        <v>250460563</v>
      </c>
      <c r="AQ38" s="740">
        <f t="shared" si="2"/>
        <v>43739.341649106158</v>
      </c>
      <c r="AR38">
        <f t="shared" si="3"/>
        <v>1.3175242175504588E-2</v>
      </c>
      <c r="AS38">
        <f t="shared" si="4"/>
        <v>9.4339879660415103E-3</v>
      </c>
      <c r="AT38">
        <f t="shared" si="5"/>
        <v>1.7574330998418282E-3</v>
      </c>
      <c r="AU38">
        <f t="shared" si="6"/>
        <v>1.7825362987830464E-4</v>
      </c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</row>
    <row r="39" spans="2:88" ht="16" thickBot="1">
      <c r="B39" s="626" t="str">
        <f>_xlfn.TEXTJOIN(",",TRUE,IF(LEFT(Regions!$C$3,1)&lt;&gt;"*",Regions!$C$3,""),IF(LEFT(Regions!$D$3,1)&lt;&gt;"*",Regions!$D$3,""))</f>
        <v>IE,National</v>
      </c>
      <c r="C39" s="449"/>
      <c r="D39" s="448"/>
      <c r="E39" s="448" t="str">
        <f>COMM!$O$34</f>
        <v>RSDLT_Att</v>
      </c>
      <c r="F39" s="448"/>
      <c r="G39" s="733"/>
      <c r="H39" s="733"/>
      <c r="I39" s="733"/>
      <c r="J39" s="448"/>
      <c r="K39" s="448"/>
      <c r="L39" s="734">
        <f>R39</f>
        <v>8.9871332337915612E-4</v>
      </c>
      <c r="N39" s="807"/>
      <c r="O39" s="800"/>
      <c r="P39" s="811"/>
      <c r="Q39" s="808"/>
      <c r="R39" s="800">
        <f>AT54*(1+S53)</f>
        <v>8.9871332337915612E-4</v>
      </c>
      <c r="S39" s="808">
        <f>R39*G36</f>
        <v>9.1146513043316141E-2</v>
      </c>
      <c r="T39" s="832"/>
      <c r="U39" s="808"/>
      <c r="X39" s="1133" t="s">
        <v>607</v>
      </c>
      <c r="Y39" s="1134"/>
      <c r="Z39" s="1134"/>
      <c r="AA39" s="1134"/>
      <c r="AB39" s="1135"/>
      <c r="AC39" s="25"/>
      <c r="AE39" s="25"/>
      <c r="AF39" t="s">
        <v>60</v>
      </c>
      <c r="AG39" s="122">
        <v>15595</v>
      </c>
      <c r="AH39" s="122">
        <v>931541</v>
      </c>
      <c r="AI39">
        <v>337</v>
      </c>
      <c r="AJ39" s="122">
        <v>83766308</v>
      </c>
      <c r="AK39" s="122">
        <v>16239436</v>
      </c>
      <c r="AL39" s="122">
        <v>7086953</v>
      </c>
      <c r="AM39" s="122">
        <v>575189</v>
      </c>
      <c r="AN39" s="122">
        <v>37375430</v>
      </c>
      <c r="AO39" s="122">
        <v>1099500</v>
      </c>
      <c r="AP39" s="122">
        <v>146142817</v>
      </c>
      <c r="AQ39" s="742">
        <f t="shared" si="2"/>
        <v>25767.876472761334</v>
      </c>
      <c r="AR39">
        <f t="shared" si="3"/>
        <v>1.7149452612704487E-2</v>
      </c>
      <c r="AS39">
        <f t="shared" si="4"/>
        <v>8.8816766912471947E-3</v>
      </c>
      <c r="AT39">
        <f t="shared" si="5"/>
        <v>1.6359750432831035E-3</v>
      </c>
      <c r="AU39">
        <f t="shared" si="6"/>
        <v>1.3277848028214173E-4</v>
      </c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</row>
    <row r="40" spans="2:88" ht="15" thickBot="1">
      <c r="B40" s="628" t="str">
        <f>_xlfn.TEXTJOIN(",",TRUE,IF(LEFT(Regions!$C$3,1)&lt;&gt;"*",Regions!$C$3,""),IF(LEFT(Regions!$D$3,1)&lt;&gt;"*",Regions!$D$3,""))</f>
        <v>IE,National</v>
      </c>
      <c r="C40" s="629"/>
      <c r="D40" s="629"/>
      <c r="E40" s="629" t="str">
        <f>COMM!$O$37</f>
        <v>RSDPF_Att</v>
      </c>
      <c r="F40" s="629"/>
      <c r="G40" s="630"/>
      <c r="H40" s="630"/>
      <c r="I40" s="630"/>
      <c r="J40" s="629"/>
      <c r="K40" s="629"/>
      <c r="L40" s="741">
        <f>T40</f>
        <v>3.3519631170326824E-4</v>
      </c>
      <c r="N40" s="829"/>
      <c r="O40" s="809"/>
      <c r="P40" s="830"/>
      <c r="Q40" s="810"/>
      <c r="R40" s="809"/>
      <c r="S40" s="810"/>
      <c r="T40" s="831">
        <f>AU54*(1+$U$53)</f>
        <v>3.3519631170326824E-4</v>
      </c>
      <c r="U40" s="810">
        <f>T40*G36</f>
        <v>3.3995239863428506E-2</v>
      </c>
      <c r="X40" s="600"/>
      <c r="Y40" s="601" t="s">
        <v>836</v>
      </c>
      <c r="Z40" s="601" t="s">
        <v>835</v>
      </c>
      <c r="AA40" s="602" t="s">
        <v>837</v>
      </c>
      <c r="AB40" s="600" t="s">
        <v>838</v>
      </c>
      <c r="AC40" s="25"/>
      <c r="AD40" s="25"/>
      <c r="AE40" s="25"/>
      <c r="AF40" t="s">
        <v>62</v>
      </c>
      <c r="AG40" s="122">
        <v>5191</v>
      </c>
      <c r="AH40" s="122">
        <v>290189</v>
      </c>
      <c r="AI40">
        <v>413</v>
      </c>
      <c r="AJ40" s="122">
        <v>36993288</v>
      </c>
      <c r="AK40" s="122">
        <v>7041768</v>
      </c>
      <c r="AL40" s="122">
        <v>2218849</v>
      </c>
      <c r="AM40" s="122">
        <v>235069</v>
      </c>
      <c r="AN40" s="122">
        <v>12463794</v>
      </c>
      <c r="AO40" s="122">
        <v>507628</v>
      </c>
      <c r="AP40" s="122">
        <v>59460396</v>
      </c>
      <c r="AQ40" s="740">
        <f t="shared" si="2"/>
        <v>12331.173226884033</v>
      </c>
      <c r="AR40">
        <f>((AQ40/AG40)*$AG$18*(AJ40+AK40)*0.0000000036)/(AQ40/1000)</f>
        <v>2.2686015294626209E-2</v>
      </c>
      <c r="AS40">
        <f t="shared" si="4"/>
        <v>8.995784858408783E-3</v>
      </c>
      <c r="AT40">
        <f t="shared" si="5"/>
        <v>1.5387895203236371E-3</v>
      </c>
      <c r="AU40">
        <f t="shared" si="6"/>
        <v>1.6302223078404931E-4</v>
      </c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</row>
    <row r="41" spans="2:88" ht="15" thickBot="1">
      <c r="B41" s="621" t="str">
        <f>_xlfn.TEXTJOIN(",",TRUE,IF(LEFT(Regions!$C$3,1)&lt;&gt;"*",Regions!$C$3,""),IF(LEFT(Regions!$D$3,1)&lt;&gt;"*",Regions!$D$3,""))</f>
        <v>IE,National</v>
      </c>
      <c r="C41" s="622" t="str">
        <f>Y13</f>
        <v>R-BLD_Att_F</v>
      </c>
      <c r="D41" s="623" t="str">
        <f>Z13</f>
        <v>Residential Building Attached _ F</v>
      </c>
      <c r="E41" s="623" t="str">
        <f>COMM!$O$22</f>
        <v>RSDSH_Att-F</v>
      </c>
      <c r="F41" s="623" t="str">
        <f>COMM!$O$7</f>
        <v>RSD_Att</v>
      </c>
      <c r="G41" s="625">
        <f>AH15/1000</f>
        <v>50.123806027321166</v>
      </c>
      <c r="H41" s="625">
        <f>G41*$AH$26</f>
        <v>41.768167562566731</v>
      </c>
      <c r="I41" s="625">
        <v>1</v>
      </c>
      <c r="J41" s="623">
        <v>100</v>
      </c>
      <c r="K41" s="623">
        <v>1</v>
      </c>
      <c r="L41" s="731">
        <f>N41</f>
        <v>5.141803678796826E-2</v>
      </c>
      <c r="N41" s="807">
        <f>AR55*DwellingStocks!P25*(1+O53)</f>
        <v>5.141803678796826E-2</v>
      </c>
      <c r="O41" s="800">
        <f>N41*G41</f>
        <v>2.5772677022657851</v>
      </c>
      <c r="P41" s="811"/>
      <c r="Q41" s="808"/>
      <c r="R41" s="800"/>
      <c r="S41" s="808"/>
      <c r="T41" s="832"/>
      <c r="U41" s="808"/>
      <c r="X41" s="603" t="s">
        <v>42</v>
      </c>
      <c r="Y41" s="612">
        <f>'SHWLP-Apt'!E25</f>
        <v>37772</v>
      </c>
      <c r="Z41" s="604">
        <f>Y41/SUM(Y41+AA41)</f>
        <v>0.58696834548025667</v>
      </c>
      <c r="AA41" s="612">
        <f>'SHWLP-Apt'!E12</f>
        <v>26579</v>
      </c>
      <c r="AB41" s="605">
        <f>AA41/SUM(Y41+AA41)</f>
        <v>0.41303165451974327</v>
      </c>
      <c r="AC41" s="25"/>
      <c r="AD41" s="25"/>
      <c r="AE41" s="25"/>
      <c r="AF41" t="s">
        <v>64</v>
      </c>
      <c r="AG41" s="122">
        <v>5603</v>
      </c>
      <c r="AH41" s="122">
        <v>294590</v>
      </c>
      <c r="AI41">
        <v>602</v>
      </c>
      <c r="AJ41" s="122">
        <v>59600854</v>
      </c>
      <c r="AK41" s="122">
        <v>9624009</v>
      </c>
      <c r="AL41" s="122">
        <v>2310613</v>
      </c>
      <c r="AM41" s="122">
        <v>213528</v>
      </c>
      <c r="AN41" s="122">
        <v>12820227</v>
      </c>
      <c r="AO41" s="122">
        <v>550098</v>
      </c>
      <c r="AP41" s="122">
        <v>85119330</v>
      </c>
      <c r="AQ41" s="745">
        <f t="shared" si="2"/>
        <v>15211.172212670604</v>
      </c>
      <c r="AR41">
        <f t="shared" si="3"/>
        <v>3.304092361183459E-2</v>
      </c>
      <c r="AS41">
        <f t="shared" si="4"/>
        <v>8.5906068177761911E-3</v>
      </c>
      <c r="AT41">
        <f t="shared" si="5"/>
        <v>1.4845987506692845E-3</v>
      </c>
      <c r="AU41">
        <f t="shared" si="6"/>
        <v>1.3719450294485098E-4</v>
      </c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</row>
    <row r="42" spans="2:88" ht="15" thickBot="1">
      <c r="B42" s="626" t="str">
        <f>_xlfn.TEXTJOIN(",",TRUE,IF(LEFT(Regions!$C$3,1)&lt;&gt;"*",Regions!$C$3,""),IF(LEFT(Regions!$D$3,1)&lt;&gt;"*",Regions!$D$3,""))</f>
        <v>IE,National</v>
      </c>
      <c r="C42" s="449"/>
      <c r="D42" s="448"/>
      <c r="E42" s="448" t="str">
        <f>COMM!$O$28</f>
        <v>RSDSC_Att</v>
      </c>
      <c r="F42" s="448"/>
      <c r="G42" s="733"/>
      <c r="H42" s="733"/>
      <c r="I42" s="733"/>
      <c r="J42" s="448"/>
      <c r="K42" s="448"/>
      <c r="L42" s="734"/>
      <c r="N42" s="807"/>
      <c r="O42" s="800"/>
      <c r="P42" s="811"/>
      <c r="Q42" s="808"/>
      <c r="R42" s="800"/>
      <c r="S42" s="808"/>
      <c r="T42" s="832"/>
      <c r="U42" s="808"/>
      <c r="X42" s="606" t="s">
        <v>44</v>
      </c>
      <c r="Y42" s="613">
        <f>'SHWLP-Att'!E25</f>
        <v>12745</v>
      </c>
      <c r="Z42" s="607">
        <f t="shared" ref="Z42:Z43" si="7">Y42/SUM(Y42+AA42)</f>
        <v>0.36680481206469812</v>
      </c>
      <c r="AA42" s="613">
        <f>'SHWLP-Att'!E12</f>
        <v>22001</v>
      </c>
      <c r="AB42" s="608">
        <f t="shared" ref="AB42:AB43" si="8">AA42/SUM(Y42+AA42)</f>
        <v>0.63319518793530194</v>
      </c>
      <c r="AC42" s="25"/>
      <c r="AD42" s="25"/>
      <c r="AE42" s="25"/>
      <c r="AQ42" s="746">
        <f>SUM(AQ33:AQ41)</f>
        <v>211819.88499999998</v>
      </c>
      <c r="AR42" s="122">
        <f>AVERAGE(AR33:AR41)</f>
        <v>1.3467600237253401E-2</v>
      </c>
      <c r="AS42">
        <f t="shared" ref="AS42:AV42" si="9">AVERAGE(AS33:AS41)</f>
        <v>8.8171772237418834E-3</v>
      </c>
      <c r="AT42">
        <f>AVERAGE(AT33:AT41)</f>
        <v>1.7665001567785923E-3</v>
      </c>
      <c r="AU42">
        <f t="shared" si="9"/>
        <v>4.5232880476158994E-4</v>
      </c>
      <c r="AV42">
        <f t="shared" si="9"/>
        <v>0</v>
      </c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</row>
    <row r="43" spans="2:88" ht="13">
      <c r="B43" s="627" t="str">
        <f>_xlfn.TEXTJOIN(",",TRUE,IF(LEFT(Regions!$C$3,1)&lt;&gt;"*",Regions!$C$3,""),IF(LEFT(Regions!$D$3,1)&lt;&gt;"*",Regions!$D$3,""))</f>
        <v>IE,National</v>
      </c>
      <c r="C43" s="293"/>
      <c r="D43" s="293"/>
      <c r="E43" s="293" t="str">
        <f>COMM!$O$31</f>
        <v>RSDWH_Att</v>
      </c>
      <c r="F43" s="293"/>
      <c r="G43" s="737"/>
      <c r="H43" s="737"/>
      <c r="I43" s="737"/>
      <c r="J43" s="293"/>
      <c r="K43" s="293"/>
      <c r="L43" s="738">
        <f>P43</f>
        <v>1.1276981488473822E-2</v>
      </c>
      <c r="N43" s="807"/>
      <c r="O43" s="800"/>
      <c r="P43" s="811">
        <f>AS55*(1+Q53)</f>
        <v>1.1276981488473822E-2</v>
      </c>
      <c r="Q43" s="808">
        <f>P43*G41</f>
        <v>0.56524523270195337</v>
      </c>
      <c r="R43" s="800"/>
      <c r="S43" s="808"/>
      <c r="T43" s="832"/>
      <c r="U43" s="808"/>
      <c r="X43" s="609" t="s">
        <v>46</v>
      </c>
      <c r="Y43" s="614">
        <f>'SHWLP-Det'!E25</f>
        <v>6299</v>
      </c>
      <c r="Z43" s="610">
        <f t="shared" si="7"/>
        <v>0.35199776473875383</v>
      </c>
      <c r="AA43" s="614">
        <f>'SHWLP-Det'!E12</f>
        <v>11596</v>
      </c>
      <c r="AB43" s="611">
        <f t="shared" si="8"/>
        <v>0.64800223526124612</v>
      </c>
      <c r="AC43" s="25"/>
      <c r="AD43" s="25"/>
      <c r="AE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</row>
    <row r="44" spans="2:88" ht="13">
      <c r="B44" s="626" t="str">
        <f>_xlfn.TEXTJOIN(",",TRUE,IF(LEFT(Regions!$C$3,1)&lt;&gt;"*",Regions!$C$3,""),IF(LEFT(Regions!$D$3,1)&lt;&gt;"*",Regions!$D$3,""))</f>
        <v>IE,National</v>
      </c>
      <c r="C44" s="449"/>
      <c r="D44" s="448"/>
      <c r="E44" s="448" t="str">
        <f>COMM!$O$34</f>
        <v>RSDLT_Att</v>
      </c>
      <c r="F44" s="448"/>
      <c r="G44" s="733"/>
      <c r="H44" s="733"/>
      <c r="I44" s="733"/>
      <c r="J44" s="448"/>
      <c r="K44" s="448"/>
      <c r="L44" s="734">
        <f>R44</f>
        <v>8.9917332740457607E-4</v>
      </c>
      <c r="N44" s="807"/>
      <c r="O44" s="800"/>
      <c r="P44" s="811"/>
      <c r="Q44" s="808"/>
      <c r="R44" s="800">
        <f>AT55*(1+S53)</f>
        <v>8.9917332740457607E-4</v>
      </c>
      <c r="S44" s="808">
        <f>R44*G41</f>
        <v>4.5069989447767918E-2</v>
      </c>
      <c r="T44" s="832"/>
      <c r="U44" s="808"/>
      <c r="X44" s="25"/>
      <c r="Y44" s="25"/>
      <c r="Z44" s="25"/>
      <c r="AA44" s="25"/>
      <c r="AB44" s="25"/>
      <c r="AC44" s="25"/>
      <c r="AD44" s="25"/>
      <c r="AE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</row>
    <row r="45" spans="2:88" ht="13.5" thickBot="1">
      <c r="B45" s="628" t="str">
        <f>_xlfn.TEXTJOIN(",",TRUE,IF(LEFT(Regions!$C$3,1)&lt;&gt;"*",Regions!$C$3,""),IF(LEFT(Regions!$D$3,1)&lt;&gt;"*",Regions!$D$3,""))</f>
        <v>IE,National</v>
      </c>
      <c r="C45" s="629"/>
      <c r="D45" s="629"/>
      <c r="E45" s="629" t="str">
        <f>COMM!$O$37</f>
        <v>RSDPF_Att</v>
      </c>
      <c r="F45" s="629"/>
      <c r="G45" s="630"/>
      <c r="H45" s="630"/>
      <c r="I45" s="630"/>
      <c r="J45" s="629"/>
      <c r="K45" s="629"/>
      <c r="L45" s="741">
        <f>T45</f>
        <v>3.3086537242422515E-4</v>
      </c>
      <c r="N45" s="807"/>
      <c r="O45" s="800"/>
      <c r="P45" s="811"/>
      <c r="Q45" s="808"/>
      <c r="R45" s="800"/>
      <c r="S45" s="808"/>
      <c r="T45" s="832">
        <f>AU55*(1+$U$53)</f>
        <v>3.3086537242422515E-4</v>
      </c>
      <c r="U45" s="808">
        <f>T45*G41</f>
        <v>1.6584231748549238E-2</v>
      </c>
      <c r="X45" s="25"/>
      <c r="Y45" s="25"/>
      <c r="Z45" s="25"/>
      <c r="AA45" s="25"/>
      <c r="AB45" s="25"/>
      <c r="AC45" s="25"/>
      <c r="AD45" s="25"/>
      <c r="AE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</row>
    <row r="46" spans="2:88" ht="13">
      <c r="B46" s="621" t="str">
        <f>_xlfn.TEXTJOIN(",",TRUE,IF(LEFT(Regions!$C$3,1)&lt;&gt;"*",Regions!$C$3,""),IF(LEFT(Regions!$D$3,1)&lt;&gt;"*",Regions!$D$3,""))</f>
        <v>IE,National</v>
      </c>
      <c r="C46" s="622" t="str">
        <f>Y14</f>
        <v>R-BLD_Att_G</v>
      </c>
      <c r="D46" s="623" t="str">
        <f>Z14</f>
        <v>Residential Building Attached _ G</v>
      </c>
      <c r="E46" s="623" t="str">
        <f>COMM!$O$25</f>
        <v>RSDSH_Att-G</v>
      </c>
      <c r="F46" s="623" t="str">
        <f>COMM!$O$7</f>
        <v>RSD_Att</v>
      </c>
      <c r="G46" s="625">
        <f>AH16/1000</f>
        <v>52.706674394088104</v>
      </c>
      <c r="H46" s="625">
        <f>G46*$AH$26</f>
        <v>43.920471772593622</v>
      </c>
      <c r="I46" s="625">
        <v>1</v>
      </c>
      <c r="J46" s="623">
        <v>100</v>
      </c>
      <c r="K46" s="623">
        <v>1</v>
      </c>
      <c r="L46" s="731">
        <f>N46</f>
        <v>5.3151836936342553E-2</v>
      </c>
      <c r="N46" s="825">
        <f>AR56*DwellingStocks!P26*(1+O53)</f>
        <v>5.3151836936342553E-2</v>
      </c>
      <c r="O46" s="826">
        <f>N46*G46</f>
        <v>2.8014565628514725</v>
      </c>
      <c r="P46" s="827"/>
      <c r="Q46" s="828"/>
      <c r="R46" s="826"/>
      <c r="S46" s="828"/>
      <c r="T46" s="833"/>
      <c r="U46" s="828"/>
      <c r="X46" s="25"/>
      <c r="Y46" s="25"/>
      <c r="Z46" s="25"/>
      <c r="AA46" s="25"/>
      <c r="AB46" s="25"/>
      <c r="AC46" s="25"/>
      <c r="AD46" s="25"/>
      <c r="AE46" s="25"/>
      <c r="AG46" t="s">
        <v>44</v>
      </c>
      <c r="AH46" t="s">
        <v>44</v>
      </c>
      <c r="AI46" t="s">
        <v>44</v>
      </c>
      <c r="AJ46" t="s">
        <v>44</v>
      </c>
      <c r="AK46" t="s">
        <v>44</v>
      </c>
      <c r="AL46" t="s">
        <v>44</v>
      </c>
      <c r="AM46" t="s">
        <v>44</v>
      </c>
      <c r="AN46" t="s">
        <v>44</v>
      </c>
      <c r="AO46" t="s">
        <v>44</v>
      </c>
      <c r="AP46" t="s">
        <v>44</v>
      </c>
      <c r="AR46" t="s">
        <v>219</v>
      </c>
      <c r="AS46" s="58" t="s">
        <v>898</v>
      </c>
      <c r="AT46" s="58" t="s">
        <v>221</v>
      </c>
      <c r="AU46" t="s">
        <v>899</v>
      </c>
      <c r="AV46" t="s">
        <v>900</v>
      </c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</row>
    <row r="47" spans="2:88" ht="13.5" thickBot="1">
      <c r="B47" s="626" t="str">
        <f>_xlfn.TEXTJOIN(",",TRUE,IF(LEFT(Regions!$C$3,1)&lt;&gt;"*",Regions!$C$3,""),IF(LEFT(Regions!$D$3,1)&lt;&gt;"*",Regions!$D$3,""))</f>
        <v>IE,National</v>
      </c>
      <c r="C47" s="449"/>
      <c r="D47" s="448"/>
      <c r="E47" s="448" t="str">
        <f>COMM!$O$28</f>
        <v>RSDSC_Att</v>
      </c>
      <c r="F47" s="448"/>
      <c r="G47" s="733"/>
      <c r="H47" s="733"/>
      <c r="I47" s="733"/>
      <c r="J47" s="448"/>
      <c r="K47" s="448"/>
      <c r="L47" s="734"/>
      <c r="N47" s="320"/>
      <c r="P47" s="320"/>
      <c r="Q47" s="339"/>
      <c r="R47" s="800"/>
      <c r="S47" s="808"/>
      <c r="T47" s="832"/>
      <c r="U47" s="339"/>
      <c r="W47" s="25"/>
      <c r="X47" s="25"/>
      <c r="Y47" s="25"/>
      <c r="Z47" s="25"/>
      <c r="AA47" s="25"/>
      <c r="AB47" s="25"/>
      <c r="AC47" s="25"/>
      <c r="AD47" s="25"/>
      <c r="AE47" s="25"/>
      <c r="AF47" t="s">
        <v>288</v>
      </c>
      <c r="AG47" t="s">
        <v>398</v>
      </c>
      <c r="AH47" t="s">
        <v>399</v>
      </c>
      <c r="AI47" t="s">
        <v>901</v>
      </c>
      <c r="AJ47" t="s">
        <v>902</v>
      </c>
      <c r="AK47" t="s">
        <v>903</v>
      </c>
      <c r="AL47" s="58" t="s">
        <v>417</v>
      </c>
      <c r="AM47" s="58" t="s">
        <v>899</v>
      </c>
      <c r="AN47" t="s">
        <v>904</v>
      </c>
      <c r="AO47" t="s">
        <v>905</v>
      </c>
      <c r="AP47" t="s">
        <v>218</v>
      </c>
      <c r="AR47" t="s">
        <v>906</v>
      </c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</row>
    <row r="48" spans="2:88" ht="15" thickBot="1">
      <c r="B48" s="627" t="str">
        <f>_xlfn.TEXTJOIN(",",TRUE,IF(LEFT(Regions!$C$3,1)&lt;&gt;"*",Regions!$C$3,""),IF(LEFT(Regions!$D$3,1)&lt;&gt;"*",Regions!$D$3,""))</f>
        <v>IE,National</v>
      </c>
      <c r="C48" s="293"/>
      <c r="D48" s="293"/>
      <c r="E48" s="293" t="str">
        <f>COMM!$O$31</f>
        <v>RSDWH_Att</v>
      </c>
      <c r="F48" s="293"/>
      <c r="G48" s="737"/>
      <c r="H48" s="737"/>
      <c r="I48" s="737"/>
      <c r="J48" s="293"/>
      <c r="K48" s="293"/>
      <c r="L48" s="738">
        <f>P48</f>
        <v>1.0244752299870721E-2</v>
      </c>
      <c r="N48" s="320"/>
      <c r="P48" s="811">
        <f>AS56*(1+Q53)</f>
        <v>1.0244752299870721E-2</v>
      </c>
      <c r="Q48" s="808">
        <f>P48*G46</f>
        <v>0.53996682371737137</v>
      </c>
      <c r="R48" s="800"/>
      <c r="S48" s="808"/>
      <c r="T48" s="832"/>
      <c r="U48" s="339"/>
      <c r="W48" s="25"/>
      <c r="X48" s="25" t="s">
        <v>839</v>
      </c>
      <c r="Z48" s="25"/>
      <c r="AA48" s="25"/>
      <c r="AB48" s="25"/>
      <c r="AC48" s="25"/>
      <c r="AD48" s="25"/>
      <c r="AE48" s="25"/>
      <c r="AF48" t="s">
        <v>48</v>
      </c>
      <c r="AG48" s="122">
        <v>30917</v>
      </c>
      <c r="AH48" s="122">
        <v>3791316</v>
      </c>
      <c r="AI48">
        <v>54</v>
      </c>
      <c r="AJ48" s="122">
        <v>10485360</v>
      </c>
      <c r="AK48" s="122">
        <v>1188542</v>
      </c>
      <c r="AL48" s="122">
        <v>17730384</v>
      </c>
      <c r="AM48" s="122">
        <v>10718118</v>
      </c>
      <c r="AN48" s="122">
        <v>77836062</v>
      </c>
      <c r="AO48" s="122">
        <v>4686</v>
      </c>
      <c r="AP48" s="122">
        <v>117963152</v>
      </c>
      <c r="AQ48" s="739">
        <f t="shared" ref="AQ48:AQ56" si="10">AH8</f>
        <v>37185.073727176743</v>
      </c>
      <c r="AR48">
        <f>((AQ48/AG48)*$AH$18*(AJ48+AK48)*0.0000000036)/(AQ48/1000)</f>
        <v>9.510263559994105E-4</v>
      </c>
      <c r="AS48">
        <f>((AQ48/AG48)*(AN48+AO48)*0.0000000036)/(AQ48/1000)</f>
        <v>9.0638384319306521E-3</v>
      </c>
      <c r="AT48">
        <f>((AQ48/AG48)*(AL48)*0.0000000036)/(AQ48/1000)</f>
        <v>2.0645399747711616E-3</v>
      </c>
      <c r="AU48">
        <f>((AQ48/AG48)*(AM48)*0.0000000036)/(AQ48/1000)</f>
        <v>1.2480261603648479E-3</v>
      </c>
    </row>
    <row r="49" spans="2:48" ht="15" thickBot="1">
      <c r="B49" s="626" t="str">
        <f>_xlfn.TEXTJOIN(",",TRUE,IF(LEFT(Regions!$C$3,1)&lt;&gt;"*",Regions!$C$3,""),IF(LEFT(Regions!$D$3,1)&lt;&gt;"*",Regions!$D$3,""))</f>
        <v>IE,National</v>
      </c>
      <c r="C49" s="449"/>
      <c r="D49" s="448"/>
      <c r="E49" s="448" t="str">
        <f>COMM!$O$34</f>
        <v>RSDLT_Att</v>
      </c>
      <c r="F49" s="448"/>
      <c r="G49" s="733"/>
      <c r="H49" s="733"/>
      <c r="I49" s="733"/>
      <c r="J49" s="448"/>
      <c r="K49" s="448"/>
      <c r="L49" s="734">
        <f>R49</f>
        <v>8.7038647541608054E-4</v>
      </c>
      <c r="N49" s="320"/>
      <c r="P49" s="812"/>
      <c r="Q49" s="813"/>
      <c r="R49" s="800">
        <f>AT56*(1+S53)</f>
        <v>8.7038647541608054E-4</v>
      </c>
      <c r="S49" s="808">
        <f>R49*G46</f>
        <v>4.5875176556773326E-2</v>
      </c>
      <c r="T49" s="832"/>
      <c r="U49" s="339"/>
      <c r="W49" s="25"/>
      <c r="X49" s="25"/>
      <c r="Y49" s="601" t="s">
        <v>835</v>
      </c>
      <c r="Z49" s="601" t="s">
        <v>838</v>
      </c>
      <c r="AA49" s="25"/>
      <c r="AB49" s="25"/>
      <c r="AC49" s="25"/>
      <c r="AD49" s="25"/>
      <c r="AE49" s="25"/>
      <c r="AF49" t="s">
        <v>50</v>
      </c>
      <c r="AG49" s="122">
        <v>3722</v>
      </c>
      <c r="AH49" s="122">
        <v>417890</v>
      </c>
      <c r="AI49">
        <v>90</v>
      </c>
      <c r="AJ49" s="122">
        <v>13034192</v>
      </c>
      <c r="AK49" s="122">
        <v>2101151</v>
      </c>
      <c r="AL49" s="122">
        <v>2240850</v>
      </c>
      <c r="AM49" s="122">
        <v>788570</v>
      </c>
      <c r="AN49" s="122">
        <v>8717545</v>
      </c>
      <c r="AO49" s="122">
        <v>31109</v>
      </c>
      <c r="AP49" s="122">
        <v>26913417</v>
      </c>
      <c r="AQ49" s="740">
        <f t="shared" si="10"/>
        <v>9537.7783975583752</v>
      </c>
      <c r="AR49">
        <f t="shared" ref="AR49:AR56" si="11">((AQ49/AG49)*$AH$18*(AJ49+AK49)*0.0000000036)/(AQ49/1000)</f>
        <v>1.0242117509517548E-2</v>
      </c>
      <c r="AS49">
        <f t="shared" ref="AS49:AS56" si="12">((AQ49/AG49)*(AN49+AO49)*0.0000000036)/(AQ49/1000)</f>
        <v>8.461889951638905E-3</v>
      </c>
      <c r="AT49">
        <f t="shared" ref="AT49:AT56" si="13">((AQ49/AG49)*(AL49)*0.0000000036)/(AQ49/1000)</f>
        <v>2.1673992477162815E-3</v>
      </c>
      <c r="AU49">
        <f t="shared" ref="AU49:AU56" si="14">((AQ49/AG49)*(AM49)*0.0000000036)/(AQ49/1000)</f>
        <v>7.6272219236969371E-4</v>
      </c>
    </row>
    <row r="50" spans="2:48" ht="15" thickBot="1">
      <c r="B50" s="628" t="str">
        <f>_xlfn.TEXTJOIN(",",TRUE,IF(LEFT(Regions!$C$3,1)&lt;&gt;"*",Regions!$C$3,""),IF(LEFT(Regions!$D$3,1)&lt;&gt;"*",Regions!$D$3,""))</f>
        <v>IE,National</v>
      </c>
      <c r="C50" s="629"/>
      <c r="D50" s="629"/>
      <c r="E50" s="629" t="str">
        <f>COMM!$O$37</f>
        <v>RSDPF_Att</v>
      </c>
      <c r="F50" s="629"/>
      <c r="G50" s="630"/>
      <c r="H50" s="630"/>
      <c r="I50" s="630"/>
      <c r="J50" s="629"/>
      <c r="K50" s="629"/>
      <c r="L50" s="741">
        <f>T50</f>
        <v>2.3534708508606342E-4</v>
      </c>
      <c r="N50" s="331"/>
      <c r="O50" s="801"/>
      <c r="P50" s="814"/>
      <c r="Q50" s="815"/>
      <c r="R50" s="809"/>
      <c r="S50" s="810"/>
      <c r="T50" s="831">
        <f>AU56*(1+$U$53)</f>
        <v>2.3534708508606342E-4</v>
      </c>
      <c r="U50" s="810">
        <f>T50*G46</f>
        <v>1.2404362183228893E-2</v>
      </c>
      <c r="W50" s="25"/>
      <c r="X50" s="603" t="s">
        <v>42</v>
      </c>
      <c r="Y50" s="604">
        <f>1-Z50</f>
        <v>0.67999999999999994</v>
      </c>
      <c r="Z50" s="604">
        <v>0.32</v>
      </c>
      <c r="AA50" s="25"/>
      <c r="AB50" s="25"/>
      <c r="AC50" s="25"/>
      <c r="AD50" s="25"/>
      <c r="AE50" s="25"/>
      <c r="AF50" t="s">
        <v>52</v>
      </c>
      <c r="AG50" s="122">
        <v>7882</v>
      </c>
      <c r="AH50" s="122">
        <v>923821</v>
      </c>
      <c r="AI50">
        <v>116</v>
      </c>
      <c r="AJ50" s="122">
        <v>43515430</v>
      </c>
      <c r="AK50" s="122">
        <v>7251325</v>
      </c>
      <c r="AL50" s="122">
        <v>5692013</v>
      </c>
      <c r="AM50" s="122">
        <v>1593680</v>
      </c>
      <c r="AN50" s="122">
        <v>27323207</v>
      </c>
      <c r="AO50" s="122">
        <v>122934</v>
      </c>
      <c r="AP50" s="122">
        <v>85498588</v>
      </c>
      <c r="AQ50" s="742">
        <f t="shared" si="10"/>
        <v>17545.09295382088</v>
      </c>
      <c r="AR50">
        <f t="shared" si="11"/>
        <v>1.6222464383632396E-2</v>
      </c>
      <c r="AS50">
        <f t="shared" si="12"/>
        <v>1.2535664501395583E-2</v>
      </c>
      <c r="AT50">
        <f t="shared" si="13"/>
        <v>2.5997521948743973E-3</v>
      </c>
      <c r="AU50">
        <f t="shared" si="14"/>
        <v>7.2789241309312357E-4</v>
      </c>
    </row>
    <row r="51" spans="2:48" ht="15" thickBot="1">
      <c r="B51" s="379" t="s">
        <v>254</v>
      </c>
      <c r="C51" s="293"/>
      <c r="D51" s="293"/>
      <c r="E51" s="293"/>
      <c r="F51" s="293"/>
      <c r="G51" s="737"/>
      <c r="H51" s="737"/>
      <c r="I51" s="737"/>
      <c r="J51" s="293"/>
      <c r="K51" s="293"/>
      <c r="L51" s="738"/>
      <c r="N51" s="329" t="s">
        <v>957</v>
      </c>
      <c r="O51" s="319">
        <f>'SHWLP-Att'!AB27</f>
        <v>22.590024412131413</v>
      </c>
      <c r="P51" s="323"/>
      <c r="Q51" s="324">
        <f>'SHWLP-Att'!AB54</f>
        <v>7.7640972239661528</v>
      </c>
      <c r="R51" s="323"/>
      <c r="S51" s="324">
        <f>'SHWLP-Att'!AB59</f>
        <v>0.72322874102399715</v>
      </c>
      <c r="T51" s="323"/>
      <c r="U51" s="324">
        <f>'SHWLP-Att'!AB60</f>
        <v>0.30041106022645236</v>
      </c>
      <c r="W51" s="25"/>
      <c r="X51" s="606" t="s">
        <v>44</v>
      </c>
      <c r="Y51" s="607">
        <f t="shared" ref="Y51:Y52" si="15">1-Z51</f>
        <v>0.65</v>
      </c>
      <c r="Z51" s="607">
        <v>0.35</v>
      </c>
      <c r="AA51" s="25"/>
      <c r="AB51" s="25"/>
      <c r="AC51" s="25"/>
      <c r="AD51" s="25"/>
      <c r="AE51" s="25"/>
      <c r="AF51" t="s">
        <v>54</v>
      </c>
      <c r="AG51" s="122">
        <v>27081</v>
      </c>
      <c r="AH51" s="122">
        <v>2951365</v>
      </c>
      <c r="AI51">
        <v>140</v>
      </c>
      <c r="AJ51" s="122">
        <v>174012862</v>
      </c>
      <c r="AK51" s="122">
        <v>34638769</v>
      </c>
      <c r="AL51" s="122">
        <v>20069083</v>
      </c>
      <c r="AM51" s="122">
        <v>5351092</v>
      </c>
      <c r="AN51" s="122">
        <v>103542140</v>
      </c>
      <c r="AO51" s="122">
        <v>1485406</v>
      </c>
      <c r="AP51" s="122">
        <v>339099353</v>
      </c>
      <c r="AQ51" s="740">
        <f t="shared" si="10"/>
        <v>49768.849685929476</v>
      </c>
      <c r="AR51">
        <f t="shared" si="11"/>
        <v>1.9405772794162134E-2</v>
      </c>
      <c r="AS51">
        <f t="shared" si="12"/>
        <v>1.3961787437686939E-2</v>
      </c>
      <c r="AT51">
        <f t="shared" si="13"/>
        <v>2.6678741110003324E-3</v>
      </c>
      <c r="AU51">
        <f t="shared" si="14"/>
        <v>7.1134489863742103E-4</v>
      </c>
    </row>
    <row r="52" spans="2:48" ht="14.5">
      <c r="B52" s="379" t="s">
        <v>254</v>
      </c>
      <c r="C52" s="293"/>
      <c r="D52" s="293"/>
      <c r="E52" s="293"/>
      <c r="F52" s="293"/>
      <c r="G52" s="737"/>
      <c r="H52" s="737"/>
      <c r="I52" s="737"/>
      <c r="J52" s="293"/>
      <c r="K52" s="293"/>
      <c r="L52" s="738"/>
      <c r="N52" s="802" t="s">
        <v>958</v>
      </c>
      <c r="O52">
        <v>18.027258288505074</v>
      </c>
      <c r="P52" s="320"/>
      <c r="Q52" s="339">
        <v>12.405389507151586</v>
      </c>
      <c r="R52" s="320"/>
      <c r="S52">
        <v>2.0111806068389879</v>
      </c>
      <c r="T52" s="320"/>
      <c r="U52" s="339">
        <v>0.53765737600086083</v>
      </c>
      <c r="W52" s="25"/>
      <c r="X52" s="609" t="s">
        <v>46</v>
      </c>
      <c r="Y52" s="604">
        <f t="shared" si="15"/>
        <v>0.7</v>
      </c>
      <c r="Z52" s="610">
        <v>0.3</v>
      </c>
      <c r="AE52" s="25"/>
      <c r="AF52" t="s">
        <v>56</v>
      </c>
      <c r="AG52" s="122">
        <v>161926</v>
      </c>
      <c r="AH52" s="122">
        <v>16330846</v>
      </c>
      <c r="AI52">
        <v>189</v>
      </c>
      <c r="AJ52" s="122">
        <v>1338047187</v>
      </c>
      <c r="AK52" s="122">
        <v>324841172</v>
      </c>
      <c r="AL52" s="122">
        <v>118805308</v>
      </c>
      <c r="AM52" s="122">
        <v>31787856</v>
      </c>
      <c r="AN52" s="122">
        <v>660359371</v>
      </c>
      <c r="AO52" s="122">
        <v>44948998</v>
      </c>
      <c r="AP52" s="122">
        <v>2518789892</v>
      </c>
      <c r="AQ52" s="742">
        <f t="shared" si="10"/>
        <v>282151.52747564798</v>
      </c>
      <c r="AR52">
        <f t="shared" si="11"/>
        <v>2.5865469195813687E-2</v>
      </c>
      <c r="AS52">
        <f t="shared" si="12"/>
        <v>1.568068209181972E-2</v>
      </c>
      <c r="AT52">
        <f t="shared" si="13"/>
        <v>2.6413244864938305E-3</v>
      </c>
      <c r="AU52">
        <f t="shared" si="14"/>
        <v>7.0671962254363109E-4</v>
      </c>
    </row>
    <row r="53" spans="2:48" ht="14.5">
      <c r="B53" s="379" t="s">
        <v>254</v>
      </c>
      <c r="C53" s="293"/>
      <c r="D53" s="293"/>
      <c r="E53" s="293"/>
      <c r="F53" s="293"/>
      <c r="G53" s="737"/>
      <c r="H53" s="737"/>
      <c r="I53" s="737"/>
      <c r="J53" s="293"/>
      <c r="K53" s="293"/>
      <c r="L53" s="738"/>
      <c r="N53" s="803" t="s">
        <v>959</v>
      </c>
      <c r="O53" s="804">
        <f>((O51-O52)/O52)</f>
        <v>0.25310371941227178</v>
      </c>
      <c r="P53" s="320"/>
      <c r="Q53" s="816">
        <f>((Q51-Q52)/Q52)</f>
        <v>-0.37413515154117277</v>
      </c>
      <c r="R53" s="320"/>
      <c r="S53" s="816">
        <f>((S51-S52)/S52)</f>
        <v>-0.64039592537603574</v>
      </c>
      <c r="T53" s="320"/>
      <c r="U53" s="816">
        <f t="shared" ref="U53" si="16">((U51-U52)/U52)</f>
        <v>-0.44125929702493027</v>
      </c>
      <c r="W53" s="25"/>
      <c r="X53" s="25"/>
      <c r="AE53" s="25"/>
      <c r="AF53" t="s">
        <v>58</v>
      </c>
      <c r="AG53" s="122">
        <v>95372</v>
      </c>
      <c r="AH53" s="122">
        <v>9015651</v>
      </c>
      <c r="AI53">
        <v>260</v>
      </c>
      <c r="AJ53" s="122">
        <v>1084292370</v>
      </c>
      <c r="AK53" s="122">
        <v>253316321</v>
      </c>
      <c r="AL53" s="122">
        <v>68300496</v>
      </c>
      <c r="AM53" s="122">
        <v>17462349</v>
      </c>
      <c r="AN53" s="122">
        <v>395641968</v>
      </c>
      <c r="AO53" s="122">
        <v>45229735</v>
      </c>
      <c r="AP53" s="122">
        <v>1864243238</v>
      </c>
      <c r="AQ53" s="740">
        <f t="shared" si="10"/>
        <v>187627.02237661046</v>
      </c>
      <c r="AR53">
        <f t="shared" si="11"/>
        <v>3.532498998338654E-2</v>
      </c>
      <c r="AS53">
        <f t="shared" si="12"/>
        <v>1.6641552350794783E-2</v>
      </c>
      <c r="AT53">
        <f t="shared" si="13"/>
        <v>2.578133892547079E-3</v>
      </c>
      <c r="AU53">
        <f t="shared" si="14"/>
        <v>6.5915002726167019E-4</v>
      </c>
    </row>
    <row r="54" spans="2:48" ht="14.5">
      <c r="B54" s="379" t="s">
        <v>254</v>
      </c>
      <c r="C54" s="293"/>
      <c r="D54" s="293"/>
      <c r="E54" s="293"/>
      <c r="F54" s="293"/>
      <c r="G54" s="737"/>
      <c r="H54" s="737"/>
      <c r="I54" s="737"/>
      <c r="J54" s="293"/>
      <c r="K54" s="293"/>
      <c r="L54" s="738"/>
      <c r="N54" s="802" t="s">
        <v>960</v>
      </c>
      <c r="O54" s="800">
        <f>SUM(O6:O46)</f>
        <v>22.59002441213142</v>
      </c>
      <c r="P54" s="320"/>
      <c r="Q54" s="808">
        <f>SUM(Q6:Q50)</f>
        <v>7.7640972239661519</v>
      </c>
      <c r="R54" s="320"/>
      <c r="S54" s="808">
        <f>SUM(S6:S50)</f>
        <v>0.72322874102399715</v>
      </c>
      <c r="T54" s="320"/>
      <c r="U54" s="808">
        <f>SUM(U6:U50)</f>
        <v>0.30041106022645236</v>
      </c>
      <c r="V54" s="800">
        <f>SUM(O54:U54)</f>
        <v>31.377761437348024</v>
      </c>
      <c r="W54" s="25"/>
      <c r="X54" s="25"/>
      <c r="AE54" s="25"/>
      <c r="AF54" t="s">
        <v>60</v>
      </c>
      <c r="AG54" s="122">
        <v>46130</v>
      </c>
      <c r="AH54" s="122">
        <v>4172403</v>
      </c>
      <c r="AI54">
        <v>338</v>
      </c>
      <c r="AJ54" s="122">
        <v>710540728</v>
      </c>
      <c r="AK54" s="122">
        <v>151669826</v>
      </c>
      <c r="AL54" s="122">
        <v>32024144</v>
      </c>
      <c r="AM54" s="122">
        <v>7687230</v>
      </c>
      <c r="AN54" s="122">
        <v>197368280</v>
      </c>
      <c r="AO54" s="122">
        <v>25027741</v>
      </c>
      <c r="AP54" s="122">
        <v>1124317950</v>
      </c>
      <c r="AQ54" s="742">
        <f t="shared" si="10"/>
        <v>101418.89596184672</v>
      </c>
      <c r="AR54">
        <f t="shared" si="11"/>
        <v>4.7076453250177584E-2</v>
      </c>
      <c r="AS54">
        <f t="shared" si="12"/>
        <v>1.7355856830695859E-2</v>
      </c>
      <c r="AT54">
        <f t="shared" si="13"/>
        <v>2.4991744721439405E-3</v>
      </c>
      <c r="AU54">
        <f t="shared" si="14"/>
        <v>5.9991389551268157E-4</v>
      </c>
    </row>
    <row r="55" spans="2:48" ht="15" thickBot="1">
      <c r="B55" s="379" t="s">
        <v>254</v>
      </c>
      <c r="C55" s="293"/>
      <c r="D55" s="293"/>
      <c r="E55" s="293"/>
      <c r="F55" s="293"/>
      <c r="G55" s="737"/>
      <c r="H55" s="737"/>
      <c r="I55" s="737"/>
      <c r="J55" s="293"/>
      <c r="K55" s="293"/>
      <c r="L55" s="738"/>
      <c r="N55" s="805" t="s">
        <v>961</v>
      </c>
      <c r="O55" s="806">
        <f>((O51-O54)/O54)</f>
        <v>-3.1453827707176828E-16</v>
      </c>
      <c r="P55" s="331"/>
      <c r="Q55" s="817">
        <f t="shared" ref="Q55" si="17">((Q51-Q54)/Q54)</f>
        <v>1.1439558187892126E-16</v>
      </c>
      <c r="R55" s="331"/>
      <c r="S55" s="817">
        <f t="shared" ref="S55" si="18">((S51-S54)/S54)</f>
        <v>0</v>
      </c>
      <c r="T55" s="331"/>
      <c r="U55" s="817">
        <f t="shared" ref="U55" si="19">((U51-U54)/U54)</f>
        <v>0</v>
      </c>
      <c r="W55" s="25"/>
      <c r="X55" s="25"/>
      <c r="Y55" s="25"/>
      <c r="AF55" t="s">
        <v>62</v>
      </c>
      <c r="AG55" s="122">
        <v>20720</v>
      </c>
      <c r="AH55" s="122">
        <v>1831493</v>
      </c>
      <c r="AI55">
        <v>413</v>
      </c>
      <c r="AJ55" s="122">
        <v>402775920</v>
      </c>
      <c r="AK55" s="122">
        <v>83851393</v>
      </c>
      <c r="AL55" s="122">
        <v>14391500</v>
      </c>
      <c r="AM55" s="122">
        <v>3408225</v>
      </c>
      <c r="AN55" s="122">
        <v>91534744</v>
      </c>
      <c r="AO55" s="122">
        <v>12170223</v>
      </c>
      <c r="AP55" s="122">
        <v>608132005</v>
      </c>
      <c r="AQ55" s="740">
        <f t="shared" si="10"/>
        <v>50123.806027321167</v>
      </c>
      <c r="AR55">
        <f t="shared" si="11"/>
        <v>5.9153518986890453E-2</v>
      </c>
      <c r="AS55">
        <f t="shared" si="12"/>
        <v>1.8018237509652507E-2</v>
      </c>
      <c r="AT55">
        <f t="shared" si="13"/>
        <v>2.5004536679536682E-3</v>
      </c>
      <c r="AU55">
        <f t="shared" si="14"/>
        <v>5.9216264478764474E-4</v>
      </c>
    </row>
    <row r="56" spans="2:48" ht="16" thickBot="1">
      <c r="B56" s="621" t="str">
        <f>_xlfn.TEXTJOIN(",",TRUE,IF(LEFT(Regions!$C$3,1)&lt;&gt;"*",Regions!$C$3,""),IF(LEFT(Regions!$D$3,1)&lt;&gt;"*",Regions!$D$3,""))</f>
        <v>IE,National</v>
      </c>
      <c r="C56" s="622" t="str">
        <f>Y15</f>
        <v>R-BLD_Apt_A</v>
      </c>
      <c r="D56" s="623" t="str">
        <f>Z15</f>
        <v>Residential Building Apartment _ A</v>
      </c>
      <c r="E56" s="624" t="str">
        <f>COMM!$O$9</f>
        <v>RSDSH_Apt-AB</v>
      </c>
      <c r="F56" s="623" t="str">
        <f>COMM!$O$6</f>
        <v>RSD_Apt</v>
      </c>
      <c r="G56" s="625">
        <f>AG8/1000</f>
        <v>14.439898856806733</v>
      </c>
      <c r="H56" s="625">
        <f>G56*$AH$26</f>
        <v>12.032767717377052</v>
      </c>
      <c r="I56" s="625">
        <v>1</v>
      </c>
      <c r="J56" s="623">
        <v>100</v>
      </c>
      <c r="K56" s="623">
        <v>1</v>
      </c>
      <c r="L56" s="731">
        <f>N56</f>
        <v>3.9543947865259952E-4</v>
      </c>
      <c r="N56" s="825">
        <f>ABS(AR33*DwellingStocks!O18*(1+O103))</f>
        <v>3.9543947865259952E-4</v>
      </c>
      <c r="O56" s="826">
        <f>N56*G56</f>
        <v>5.7101060757319229E-3</v>
      </c>
      <c r="P56" s="827"/>
      <c r="Q56" s="828"/>
      <c r="R56" s="827"/>
      <c r="S56" s="828"/>
      <c r="T56" s="826"/>
      <c r="U56" s="828"/>
      <c r="W56" s="25"/>
      <c r="X56" s="1133" t="s">
        <v>834</v>
      </c>
      <c r="Y56" s="1134"/>
      <c r="Z56" s="1134"/>
      <c r="AA56" s="1134"/>
      <c r="AB56" s="1135"/>
      <c r="AF56" t="s">
        <v>64</v>
      </c>
      <c r="AG56" s="122">
        <v>21208</v>
      </c>
      <c r="AH56" s="122">
        <v>1754836</v>
      </c>
      <c r="AI56">
        <v>604</v>
      </c>
      <c r="AJ56" s="122">
        <v>548461962</v>
      </c>
      <c r="AK56" s="122">
        <v>105828500</v>
      </c>
      <c r="AL56" s="122">
        <v>14258858</v>
      </c>
      <c r="AM56" s="122">
        <v>2481394</v>
      </c>
      <c r="AN56" s="122">
        <v>86745130</v>
      </c>
      <c r="AO56" s="122">
        <v>9686191</v>
      </c>
      <c r="AP56" s="122">
        <v>767462035</v>
      </c>
      <c r="AQ56" s="745">
        <f t="shared" si="10"/>
        <v>52706.674394088106</v>
      </c>
      <c r="AR56">
        <f t="shared" si="11"/>
        <v>7.7704242347111846E-2</v>
      </c>
      <c r="AS56">
        <f t="shared" si="12"/>
        <v>1.6368953017729157E-2</v>
      </c>
      <c r="AT56">
        <f t="shared" si="13"/>
        <v>2.4204021501320256E-3</v>
      </c>
      <c r="AU56">
        <f t="shared" si="14"/>
        <v>4.2120984534138063E-4</v>
      </c>
    </row>
    <row r="57" spans="2:48" ht="15" thickBot="1">
      <c r="B57" s="626" t="str">
        <f>_xlfn.TEXTJOIN(",",TRUE,IF(LEFT(Regions!$C$3,1)&lt;&gt;"*",Regions!$C$3,""),IF(LEFT(Regions!$D$3,1)&lt;&gt;"*",Regions!$D$3,""))</f>
        <v>IE,National</v>
      </c>
      <c r="C57" s="449"/>
      <c r="D57" s="448"/>
      <c r="E57" s="448" t="str">
        <f>COMM!$O$27</f>
        <v>RSDSC_Apt</v>
      </c>
      <c r="F57" s="448"/>
      <c r="G57" s="733"/>
      <c r="H57" s="733"/>
      <c r="I57" s="733"/>
      <c r="J57" s="448"/>
      <c r="K57" s="448"/>
      <c r="L57" s="734"/>
      <c r="N57" s="807"/>
      <c r="O57" s="800"/>
      <c r="P57" s="811"/>
      <c r="Q57" s="808"/>
      <c r="R57" s="811"/>
      <c r="S57" s="808"/>
      <c r="T57" s="800"/>
      <c r="U57" s="808"/>
      <c r="W57" s="25"/>
      <c r="X57" s="600"/>
      <c r="Y57" s="601" t="s">
        <v>836</v>
      </c>
      <c r="Z57" s="601" t="s">
        <v>835</v>
      </c>
      <c r="AA57" s="602" t="s">
        <v>837</v>
      </c>
      <c r="AB57" s="600" t="s">
        <v>838</v>
      </c>
      <c r="AC57" s="25"/>
      <c r="AD57" s="25"/>
      <c r="AQ57" s="746">
        <f>SUM(AQ48:AQ56)</f>
        <v>788064.72099999979</v>
      </c>
      <c r="AR57">
        <f>AVERAGE(AR48:AR56)</f>
        <v>3.2438450534076839E-2</v>
      </c>
      <c r="AS57">
        <f t="shared" ref="AS57:AU57" si="20">AVERAGE(AS48:AS56)</f>
        <v>1.4232051347038236E-2</v>
      </c>
      <c r="AT57">
        <f t="shared" si="20"/>
        <v>2.4598949108480799E-3</v>
      </c>
      <c r="AU57">
        <f t="shared" si="20"/>
        <v>7.1434907776801054E-4</v>
      </c>
    </row>
    <row r="58" spans="2:48" ht="13.5" thickBot="1">
      <c r="B58" s="627" t="str">
        <f>_xlfn.TEXTJOIN(",",TRUE,IF(LEFT(Regions!$C$3,1)&lt;&gt;"*",Regions!$C$3,""),IF(LEFT(Regions!$D$3,1)&lt;&gt;"*",Regions!$D$3,""))</f>
        <v>IE,National</v>
      </c>
      <c r="C58" s="293"/>
      <c r="D58" s="293"/>
      <c r="E58" s="293" t="str">
        <f>COMM!$O$30</f>
        <v>RSDWH_Apt</v>
      </c>
      <c r="F58" s="293"/>
      <c r="G58" s="737"/>
      <c r="H58" s="737"/>
      <c r="I58" s="737"/>
      <c r="J58" s="293"/>
      <c r="K58" s="293"/>
      <c r="L58" s="738">
        <f>P58</f>
        <v>3.8470258473177572E-3</v>
      </c>
      <c r="N58" s="807"/>
      <c r="O58" s="800"/>
      <c r="P58" s="811">
        <f>AS33*(1+Q103)</f>
        <v>3.8470258473177572E-3</v>
      </c>
      <c r="Q58" s="808">
        <f>P58*G56</f>
        <v>5.5550664134789637E-2</v>
      </c>
      <c r="R58" s="811"/>
      <c r="S58" s="808"/>
      <c r="T58" s="800"/>
      <c r="U58" s="808"/>
      <c r="W58" s="25"/>
      <c r="X58" s="603" t="s">
        <v>42</v>
      </c>
      <c r="Y58" s="612">
        <f>'SHWLP-Apt'!S11*1000</f>
        <v>68762.860658712409</v>
      </c>
      <c r="Z58" s="604">
        <v>0.7</v>
      </c>
      <c r="AA58" s="612">
        <f>'SHWLP-Apt'!S12*1000</f>
        <v>32358.993251158787</v>
      </c>
      <c r="AB58" s="605">
        <v>0.3</v>
      </c>
      <c r="AC58" s="25"/>
      <c r="AD58" s="25"/>
    </row>
    <row r="59" spans="2:48" ht="13.5" thickBot="1">
      <c r="B59" s="626" t="str">
        <f>_xlfn.TEXTJOIN(",",TRUE,IF(LEFT(Regions!$C$3,1)&lt;&gt;"*",Regions!$C$3,""),IF(LEFT(Regions!$D$3,1)&lt;&gt;"*",Regions!$D$3,""))</f>
        <v>IE,National</v>
      </c>
      <c r="C59" s="449"/>
      <c r="D59" s="448"/>
      <c r="E59" s="448" t="str">
        <f>COMM!$O$33</f>
        <v>RSDLT_Apt</v>
      </c>
      <c r="F59" s="448"/>
      <c r="G59" s="733"/>
      <c r="H59" s="733"/>
      <c r="I59" s="733"/>
      <c r="J59" s="448"/>
      <c r="K59" s="448"/>
      <c r="L59" s="734">
        <f>R59</f>
        <v>5.0614283922448679E-4</v>
      </c>
      <c r="N59" s="807"/>
      <c r="O59" s="800"/>
      <c r="P59" s="811"/>
      <c r="Q59" s="808"/>
      <c r="R59" s="811">
        <f>AT33*(1+S103)</f>
        <v>5.0614283922448679E-4</v>
      </c>
      <c r="S59" s="808">
        <f>R59*G56</f>
        <v>7.3086514054985811E-3</v>
      </c>
      <c r="T59" s="800"/>
      <c r="U59" s="808"/>
      <c r="W59" s="25"/>
      <c r="X59" s="606" t="s">
        <v>44</v>
      </c>
      <c r="Y59" s="613">
        <f>'SHWLP-Att'!S11*1000</f>
        <v>42892.272456803505</v>
      </c>
      <c r="Z59" s="604">
        <f>Y59/SUM(Y59+AA59)</f>
        <v>0.65</v>
      </c>
      <c r="AA59" s="613">
        <f>'SHWLP-Att'!S12*1000</f>
        <v>23095.83901520188</v>
      </c>
      <c r="AB59" s="605">
        <f>AA59/SUM(Y59+AA59)</f>
        <v>0.34999999999999992</v>
      </c>
      <c r="AC59" s="25"/>
      <c r="AD59" s="25"/>
    </row>
    <row r="60" spans="2:48" ht="13.5" thickBot="1">
      <c r="B60" s="628" t="str">
        <f>_xlfn.TEXTJOIN(",",TRUE,IF(LEFT(Regions!$C$3,1)&lt;&gt;"*",Regions!$C$3,""),IF(LEFT(Regions!$D$3,1)&lt;&gt;"*",Regions!$D$3,""))</f>
        <v>IE,National</v>
      </c>
      <c r="C60" s="629"/>
      <c r="D60" s="629"/>
      <c r="E60" s="629" t="str">
        <f>COMM!$O$36</f>
        <v>RSDPF_Apt</v>
      </c>
      <c r="F60" s="629"/>
      <c r="G60" s="630"/>
      <c r="H60" s="630"/>
      <c r="I60" s="630"/>
      <c r="J60" s="629"/>
      <c r="K60" s="629"/>
      <c r="L60" s="741">
        <f>T60</f>
        <v>5.5272693120035036E-4</v>
      </c>
      <c r="N60" s="829"/>
      <c r="O60" s="809"/>
      <c r="P60" s="830"/>
      <c r="Q60" s="810"/>
      <c r="R60" s="830"/>
      <c r="S60" s="810"/>
      <c r="T60" s="831">
        <f>AU33*(1+U103)</f>
        <v>5.5272693120035036E-4</v>
      </c>
      <c r="U60" s="810">
        <f>T60*G56</f>
        <v>7.9813209819662324E-3</v>
      </c>
      <c r="W60" s="25"/>
      <c r="X60" s="609" t="s">
        <v>46</v>
      </c>
      <c r="Y60" s="614">
        <f>'SHWLP-Det'!S11*1000</f>
        <v>34699.946476990561</v>
      </c>
      <c r="Z60" s="604">
        <f>Y60/SUM(Y60+AA60)</f>
        <v>0.7</v>
      </c>
      <c r="AA60" s="614">
        <f>'SHWLP-Det'!S12*1000</f>
        <v>14871.405632995953</v>
      </c>
      <c r="AB60" s="605">
        <f>AA60/SUM(Y60+AA60)</f>
        <v>0.29999999999999993</v>
      </c>
      <c r="AC60" s="25"/>
      <c r="AD60" s="25"/>
      <c r="AG60" t="s">
        <v>46</v>
      </c>
      <c r="AH60" t="s">
        <v>46</v>
      </c>
      <c r="AI60" t="s">
        <v>46</v>
      </c>
      <c r="AJ60" t="s">
        <v>46</v>
      </c>
      <c r="AK60" t="s">
        <v>46</v>
      </c>
      <c r="AL60" t="s">
        <v>46</v>
      </c>
      <c r="AM60" t="s">
        <v>46</v>
      </c>
      <c r="AN60" t="s">
        <v>46</v>
      </c>
      <c r="AO60" t="s">
        <v>46</v>
      </c>
      <c r="AP60" t="s">
        <v>46</v>
      </c>
      <c r="AR60" t="s">
        <v>219</v>
      </c>
      <c r="AS60" s="58" t="s">
        <v>898</v>
      </c>
      <c r="AT60" s="58" t="s">
        <v>221</v>
      </c>
      <c r="AU60" t="s">
        <v>899</v>
      </c>
      <c r="AV60" t="s">
        <v>900</v>
      </c>
    </row>
    <row r="61" spans="2:48" ht="13.5" thickBot="1">
      <c r="B61" s="621" t="str">
        <f>_xlfn.TEXTJOIN(",",TRUE,IF(LEFT(Regions!$C$3,1)&lt;&gt;"*",Regions!$C$3,""),IF(LEFT(Regions!$D$3,1)&lt;&gt;"*",Regions!$D$3,""))</f>
        <v>IE,National</v>
      </c>
      <c r="C61" s="622" t="str">
        <f>Y16</f>
        <v>R-BLD_Apt_B1</v>
      </c>
      <c r="D61" s="623" t="str">
        <f>Z16</f>
        <v>Residential Building Apartment _ B1</v>
      </c>
      <c r="E61" s="622" t="str">
        <f>COMM!$O$9</f>
        <v>RSDSH_Apt-AB</v>
      </c>
      <c r="F61" s="623" t="str">
        <f>COMM!$O$6</f>
        <v>RSD_Apt</v>
      </c>
      <c r="G61" s="625">
        <f>AG9/1000</f>
        <v>7.4592913438514907</v>
      </c>
      <c r="H61" s="625">
        <f>G61*$AH$26</f>
        <v>6.2158274768314472</v>
      </c>
      <c r="I61" s="625">
        <v>1</v>
      </c>
      <c r="J61" s="623">
        <v>100</v>
      </c>
      <c r="K61" s="623">
        <v>1</v>
      </c>
      <c r="L61" s="731">
        <f>N61</f>
        <v>5.9418416173866E-3</v>
      </c>
      <c r="N61" s="825">
        <f>ABS(AR34*DwellingStocks!O19*(1+$O$103))</f>
        <v>5.9418416173866E-3</v>
      </c>
      <c r="O61" s="826">
        <f>N61*G61</f>
        <v>4.4321927743108405E-2</v>
      </c>
      <c r="P61" s="811"/>
      <c r="Q61" s="808"/>
      <c r="R61" s="800"/>
      <c r="S61" s="808"/>
      <c r="T61" s="832"/>
      <c r="U61" s="808"/>
      <c r="W61" s="25"/>
      <c r="X61" s="25"/>
      <c r="Y61" s="25"/>
      <c r="Z61" s="25"/>
      <c r="AA61" s="25"/>
      <c r="AB61" s="25"/>
      <c r="AC61" s="25"/>
      <c r="AD61" s="25"/>
      <c r="AF61" t="s">
        <v>288</v>
      </c>
      <c r="AG61" t="s">
        <v>398</v>
      </c>
      <c r="AH61" t="s">
        <v>399</v>
      </c>
      <c r="AI61" t="s">
        <v>901</v>
      </c>
      <c r="AJ61" t="s">
        <v>902</v>
      </c>
      <c r="AK61" t="s">
        <v>903</v>
      </c>
      <c r="AL61" s="58" t="s">
        <v>417</v>
      </c>
      <c r="AM61" s="58" t="s">
        <v>899</v>
      </c>
      <c r="AN61" t="s">
        <v>904</v>
      </c>
      <c r="AO61" t="s">
        <v>905</v>
      </c>
      <c r="AP61" t="s">
        <v>218</v>
      </c>
      <c r="AR61" t="s">
        <v>906</v>
      </c>
    </row>
    <row r="62" spans="2:48" ht="14.5">
      <c r="B62" s="626" t="str">
        <f>_xlfn.TEXTJOIN(",",TRUE,IF(LEFT(Regions!$C$3,1)&lt;&gt;"*",Regions!$C$3,""),IF(LEFT(Regions!$D$3,1)&lt;&gt;"*",Regions!$D$3,""))</f>
        <v>IE,National</v>
      </c>
      <c r="C62" s="449"/>
      <c r="D62" s="448"/>
      <c r="E62" s="448" t="str">
        <f>COMM!$O$27</f>
        <v>RSDSC_Apt</v>
      </c>
      <c r="F62" s="448"/>
      <c r="G62" s="733"/>
      <c r="H62" s="733"/>
      <c r="I62" s="733"/>
      <c r="J62" s="448"/>
      <c r="K62" s="448"/>
      <c r="L62" s="734"/>
      <c r="N62" s="807"/>
      <c r="O62" s="800"/>
      <c r="P62" s="811"/>
      <c r="Q62" s="808"/>
      <c r="R62" s="800"/>
      <c r="S62" s="808"/>
      <c r="T62" s="832"/>
      <c r="U62" s="808"/>
      <c r="AC62" s="25"/>
      <c r="AD62" s="25"/>
      <c r="AF62" t="s">
        <v>48</v>
      </c>
      <c r="AG62" s="122">
        <v>9878</v>
      </c>
      <c r="AH62" s="122">
        <v>1991423</v>
      </c>
      <c r="AI62">
        <v>56</v>
      </c>
      <c r="AJ62" s="122">
        <v>13716437</v>
      </c>
      <c r="AK62" s="122">
        <v>3262341</v>
      </c>
      <c r="AL62" s="122">
        <v>9675611</v>
      </c>
      <c r="AM62" s="122">
        <v>5049453</v>
      </c>
      <c r="AN62" s="122">
        <v>24601800</v>
      </c>
      <c r="AO62" s="122">
        <v>27044</v>
      </c>
      <c r="AP62" s="122">
        <v>56332686</v>
      </c>
      <c r="AQ62" s="739">
        <f t="shared" ref="AQ62:AQ70" si="21">AI8</f>
        <v>31355.706337556119</v>
      </c>
      <c r="AR62">
        <f>((AQ62/AG62)*$AI$18*(AJ62+AK62)*0.0000000036)/(AQ62/1000)</f>
        <v>4.4121765529699531E-3</v>
      </c>
      <c r="AS62">
        <f>((AQ62/AG62)*(AN62+AO62)*0.0000000036)/(AQ62/1000)</f>
        <v>8.9758896942700953E-3</v>
      </c>
      <c r="AT62">
        <f>((AQ62/AG62)*(AL62)*0.0000000036)/(AQ62/1000)</f>
        <v>3.5262400890868598E-3</v>
      </c>
      <c r="AU62">
        <f>((AQ62/AG62)*(AM62)*0.0000000036)/(AQ62/1000)</f>
        <v>1.8402541810083012E-3</v>
      </c>
    </row>
    <row r="63" spans="2:48" ht="14.5">
      <c r="B63" s="627" t="str">
        <f>_xlfn.TEXTJOIN(",",TRUE,IF(LEFT(Regions!$C$3,1)&lt;&gt;"*",Regions!$C$3,""),IF(LEFT(Regions!$D$3,1)&lt;&gt;"*",Regions!$D$3,""))</f>
        <v>IE,National</v>
      </c>
      <c r="C63" s="293"/>
      <c r="D63" s="293"/>
      <c r="E63" s="293" t="str">
        <f>COMM!$O$30</f>
        <v>RSDWH_Apt</v>
      </c>
      <c r="F63" s="293"/>
      <c r="G63" s="737"/>
      <c r="H63" s="737"/>
      <c r="I63" s="737"/>
      <c r="J63" s="293"/>
      <c r="K63" s="293"/>
      <c r="L63" s="738">
        <f>P63</f>
        <v>9.3148232054232182E-3</v>
      </c>
      <c r="N63" s="807"/>
      <c r="O63" s="800"/>
      <c r="P63" s="811">
        <f>AS34*(1+Q103)</f>
        <v>9.3148232054232182E-3</v>
      </c>
      <c r="Q63" s="808">
        <f>P63*G61</f>
        <v>6.9481980105720403E-2</v>
      </c>
      <c r="R63" s="800"/>
      <c r="S63" s="808"/>
      <c r="T63" s="832"/>
      <c r="U63" s="808"/>
      <c r="AC63" s="25"/>
      <c r="AD63" s="25"/>
      <c r="AF63" t="s">
        <v>50</v>
      </c>
      <c r="AG63" s="122">
        <v>3037</v>
      </c>
      <c r="AH63" s="122">
        <v>692326</v>
      </c>
      <c r="AI63">
        <v>90</v>
      </c>
      <c r="AJ63" s="122">
        <v>22749646</v>
      </c>
      <c r="AK63" s="122">
        <v>5977566</v>
      </c>
      <c r="AL63" s="122">
        <v>3970604</v>
      </c>
      <c r="AM63" s="122">
        <v>1113600</v>
      </c>
      <c r="AN63" s="122">
        <v>10038678</v>
      </c>
      <c r="AO63" s="122">
        <v>61317</v>
      </c>
      <c r="AP63" s="122">
        <v>43911412</v>
      </c>
      <c r="AQ63" s="740">
        <f t="shared" si="21"/>
        <v>9433.9012004747347</v>
      </c>
      <c r="AR63">
        <f t="shared" ref="AR63:AR70" si="22">((AQ63/AG63)*$AI$18*(AJ63+AK63)*0.0000000036)/(AQ63/1000)</f>
        <v>2.4280865417312326E-2</v>
      </c>
      <c r="AS63">
        <f t="shared" ref="AS63:AS70" si="23">((AQ63/AG63)*(AN63+AO63)*0.0000000036)/(AQ63/1000)</f>
        <v>1.1972335199209748E-2</v>
      </c>
      <c r="AT63">
        <f>((AQ63/AG63)*(AL63)*0.0000000036)/(AQ63/1000)</f>
        <v>4.7066757984853477E-3</v>
      </c>
      <c r="AU63">
        <f t="shared" ref="AU63:AU70" si="24">((AQ63/AG63)*(AM63)*0.0000000036)/(AQ63/1000)</f>
        <v>1.3200395126769838E-3</v>
      </c>
    </row>
    <row r="64" spans="2:48" ht="14.5">
      <c r="B64" s="626" t="str">
        <f>_xlfn.TEXTJOIN(",",TRUE,IF(LEFT(Regions!$C$3,1)&lt;&gt;"*",Regions!$C$3,""),IF(LEFT(Regions!$D$3,1)&lt;&gt;"*",Regions!$D$3,""))</f>
        <v>IE,National</v>
      </c>
      <c r="C64" s="449"/>
      <c r="D64" s="448"/>
      <c r="E64" s="448" t="str">
        <f>COMM!$O$33</f>
        <v>RSDLT_Apt</v>
      </c>
      <c r="F64" s="448"/>
      <c r="G64" s="733"/>
      <c r="H64" s="733"/>
      <c r="I64" s="733"/>
      <c r="J64" s="448"/>
      <c r="K64" s="448"/>
      <c r="L64" s="734">
        <f>R64</f>
        <v>6.8361932513071467E-4</v>
      </c>
      <c r="N64" s="807"/>
      <c r="O64" s="800"/>
      <c r="P64" s="811"/>
      <c r="Q64" s="808"/>
      <c r="R64" s="800">
        <f>AT34*(1+S103)</f>
        <v>6.8361932513071467E-4</v>
      </c>
      <c r="S64" s="808">
        <f>R64*G61</f>
        <v>5.099315714437138E-3</v>
      </c>
      <c r="T64" s="832"/>
      <c r="U64" s="808"/>
      <c r="AC64" s="25"/>
      <c r="AD64" s="25"/>
      <c r="AF64" t="s">
        <v>52</v>
      </c>
      <c r="AG64" s="122">
        <v>7052</v>
      </c>
      <c r="AH64" s="122">
        <v>1571662</v>
      </c>
      <c r="AI64">
        <v>116</v>
      </c>
      <c r="AJ64" s="122">
        <v>86989542</v>
      </c>
      <c r="AK64" s="122">
        <v>19534310</v>
      </c>
      <c r="AL64" s="122">
        <v>10452701</v>
      </c>
      <c r="AM64" s="122">
        <v>2036694</v>
      </c>
      <c r="AN64" s="122">
        <v>30584513</v>
      </c>
      <c r="AO64" s="122">
        <v>335555</v>
      </c>
      <c r="AP64" s="122">
        <v>149933315</v>
      </c>
      <c r="AQ64" s="742">
        <f t="shared" si="21"/>
        <v>20090.949195825138</v>
      </c>
      <c r="AR64">
        <f t="shared" si="22"/>
        <v>3.8774841677784139E-2</v>
      </c>
      <c r="AS64">
        <f t="shared" si="23"/>
        <v>1.5784493023255811E-2</v>
      </c>
      <c r="AT64">
        <f t="shared" ref="AT64:AT70" si="25">((AQ64/AG64)*(AL64)*0.0000000036)/(AQ64/1000)</f>
        <v>5.3360356778218935E-3</v>
      </c>
      <c r="AU64">
        <f t="shared" si="24"/>
        <v>1.0397190017016448E-3</v>
      </c>
    </row>
    <row r="65" spans="2:47" ht="19" thickBot="1">
      <c r="B65" s="628" t="str">
        <f>_xlfn.TEXTJOIN(",",TRUE,IF(LEFT(Regions!$C$3,1)&lt;&gt;"*",Regions!$C$3,""),IF(LEFT(Regions!$D$3,1)&lt;&gt;"*",Regions!$D$3,""))</f>
        <v>IE,National</v>
      </c>
      <c r="C65" s="629"/>
      <c r="D65" s="629"/>
      <c r="E65" s="629" t="str">
        <f>COMM!$O$36</f>
        <v>RSDPF_Apt</v>
      </c>
      <c r="F65" s="629"/>
      <c r="G65" s="630"/>
      <c r="H65" s="630"/>
      <c r="I65" s="630"/>
      <c r="J65" s="629"/>
      <c r="K65" s="629"/>
      <c r="L65" s="741">
        <f>T65</f>
        <v>3.7301650664773618E-4</v>
      </c>
      <c r="N65" s="807"/>
      <c r="O65" s="800"/>
      <c r="P65" s="811"/>
      <c r="Q65" s="808"/>
      <c r="R65" s="800"/>
      <c r="S65" s="808"/>
      <c r="T65" s="832">
        <f>AU34*(1+U103)</f>
        <v>3.7301650664773618E-4</v>
      </c>
      <c r="U65" s="808">
        <f>T65*G61</f>
        <v>2.7824387991511805E-3</v>
      </c>
      <c r="X65" s="1119" t="s">
        <v>619</v>
      </c>
      <c r="Y65" s="1119"/>
      <c r="Z65" s="1119"/>
      <c r="AA65" s="1119"/>
      <c r="AB65" s="1119"/>
      <c r="AC65" s="1119"/>
      <c r="AD65" s="25"/>
      <c r="AF65" t="s">
        <v>54</v>
      </c>
      <c r="AG65" s="122">
        <v>20170</v>
      </c>
      <c r="AH65" s="122">
        <v>4035093</v>
      </c>
      <c r="AI65">
        <v>140</v>
      </c>
      <c r="AJ65" s="122">
        <v>290547340</v>
      </c>
      <c r="AK65" s="122">
        <v>61564028</v>
      </c>
      <c r="AL65" s="122">
        <v>29255723</v>
      </c>
      <c r="AM65" s="122">
        <v>5060356</v>
      </c>
      <c r="AN65" s="122">
        <v>97781386</v>
      </c>
      <c r="AO65" s="122">
        <v>2214559</v>
      </c>
      <c r="AP65" s="122">
        <v>486423392</v>
      </c>
      <c r="AQ65" s="740">
        <f t="shared" si="21"/>
        <v>53466.210043981671</v>
      </c>
      <c r="AR65">
        <f t="shared" si="22"/>
        <v>4.4811514564724694E-2</v>
      </c>
      <c r="AS65">
        <f t="shared" si="23"/>
        <v>1.7847565790778386E-2</v>
      </c>
      <c r="AT65">
        <f t="shared" si="25"/>
        <v>5.2216461477441745E-3</v>
      </c>
      <c r="AU65">
        <f t="shared" si="24"/>
        <v>9.0318699058006952E-4</v>
      </c>
    </row>
    <row r="66" spans="2:47" ht="14.5">
      <c r="B66" s="621" t="str">
        <f>_xlfn.TEXTJOIN(",",TRUE,IF(LEFT(Regions!$C$3,1)&lt;&gt;"*",Regions!$C$3,""),IF(LEFT(Regions!$D$3,1)&lt;&gt;"*",Regions!$D$3,""))</f>
        <v>IE,National</v>
      </c>
      <c r="C66" s="622" t="str">
        <f>Y17</f>
        <v>R-BLD_Apt_B2</v>
      </c>
      <c r="D66" s="623" t="str">
        <f>Z17</f>
        <v>Residential Building Apartment _ B2</v>
      </c>
      <c r="E66" s="622" t="str">
        <f>COMM!$O$9</f>
        <v>RSDSH_Apt-AB</v>
      </c>
      <c r="F66" s="623" t="str">
        <f>COMM!$O$6</f>
        <v>RSD_Apt</v>
      </c>
      <c r="G66" s="625">
        <f>AG10/1000</f>
        <v>14.041847426430094</v>
      </c>
      <c r="H66" s="625">
        <f>G66*$AH$26</f>
        <v>11.701071460444197</v>
      </c>
      <c r="I66" s="625">
        <v>1</v>
      </c>
      <c r="J66" s="623">
        <v>100</v>
      </c>
      <c r="K66" s="623">
        <v>1</v>
      </c>
      <c r="L66" s="731">
        <f>N66</f>
        <v>1.0593731076693745E-2</v>
      </c>
      <c r="N66" s="825">
        <f>ABS(AR35*DwellingStocks!O20*(1+$O$103))</f>
        <v>1.0593731076693745E-2</v>
      </c>
      <c r="O66" s="826">
        <f>N66*G66</f>
        <v>0.14875555545556457</v>
      </c>
      <c r="P66" s="827"/>
      <c r="Q66" s="828"/>
      <c r="R66" s="826"/>
      <c r="S66" s="828"/>
      <c r="T66" s="833"/>
      <c r="U66" s="828"/>
      <c r="AD66" s="25"/>
      <c r="AF66" t="s">
        <v>56</v>
      </c>
      <c r="AG66" s="122">
        <v>97809</v>
      </c>
      <c r="AH66" s="122">
        <v>15963699</v>
      </c>
      <c r="AI66">
        <v>190</v>
      </c>
      <c r="AJ66" s="122">
        <v>1583953290</v>
      </c>
      <c r="AK66" s="122">
        <v>349776746</v>
      </c>
      <c r="AL66" s="122">
        <v>123191330</v>
      </c>
      <c r="AM66" s="122">
        <v>22728444</v>
      </c>
      <c r="AN66" s="122">
        <v>482729805</v>
      </c>
      <c r="AO66" s="122">
        <v>34494676</v>
      </c>
      <c r="AP66" s="122">
        <v>2596874291</v>
      </c>
      <c r="AQ66" s="742">
        <f t="shared" si="21"/>
        <v>251318.93361374349</v>
      </c>
      <c r="AR66">
        <f t="shared" si="22"/>
        <v>5.0749585402518643E-2</v>
      </c>
      <c r="AS66">
        <f t="shared" si="23"/>
        <v>1.9037186062632272E-2</v>
      </c>
      <c r="AT66">
        <f t="shared" si="25"/>
        <v>4.5342329233506121E-3</v>
      </c>
      <c r="AU66">
        <f t="shared" si="24"/>
        <v>8.3655285709904003E-4</v>
      </c>
    </row>
    <row r="67" spans="2:47" ht="21">
      <c r="B67" s="626" t="str">
        <f>_xlfn.TEXTJOIN(",",TRUE,IF(LEFT(Regions!$C$3,1)&lt;&gt;"*",Regions!$C$3,""),IF(LEFT(Regions!$D$3,1)&lt;&gt;"*",Regions!$D$3,""))</f>
        <v>IE,National</v>
      </c>
      <c r="C67" s="449"/>
      <c r="D67" s="448"/>
      <c r="E67" s="448" t="str">
        <f>COMM!$O$27</f>
        <v>RSDSC_Apt</v>
      </c>
      <c r="F67" s="448"/>
      <c r="G67" s="733"/>
      <c r="H67" s="733"/>
      <c r="I67" s="733"/>
      <c r="J67" s="448"/>
      <c r="K67" s="448"/>
      <c r="L67" s="734"/>
      <c r="N67" s="807"/>
      <c r="O67" s="800"/>
      <c r="P67" s="811"/>
      <c r="Q67" s="808"/>
      <c r="R67" s="800"/>
      <c r="S67" s="808"/>
      <c r="T67" s="832"/>
      <c r="U67" s="808"/>
      <c r="X67" s="49" t="s">
        <v>277</v>
      </c>
      <c r="Y67" s="49"/>
      <c r="Z67" s="49"/>
      <c r="AA67" s="19" t="s">
        <v>768</v>
      </c>
      <c r="AB67" s="19"/>
      <c r="AC67" s="19"/>
      <c r="AD67" s="25"/>
      <c r="AF67" t="s">
        <v>58</v>
      </c>
      <c r="AG67" s="122">
        <v>61656</v>
      </c>
      <c r="AH67" s="122">
        <v>8178706</v>
      </c>
      <c r="AI67">
        <v>261</v>
      </c>
      <c r="AJ67" s="122">
        <v>1135038941</v>
      </c>
      <c r="AK67" s="122">
        <v>241598273</v>
      </c>
      <c r="AL67" s="122">
        <v>63509736</v>
      </c>
      <c r="AM67" s="122">
        <v>13917755</v>
      </c>
      <c r="AN67" s="122">
        <v>295162090</v>
      </c>
      <c r="AO67" s="122">
        <v>34670143</v>
      </c>
      <c r="AP67" s="122">
        <v>1783896938</v>
      </c>
      <c r="AQ67" s="740">
        <f t="shared" si="21"/>
        <v>166667.79141279124</v>
      </c>
      <c r="AR67">
        <f t="shared" si="22"/>
        <v>5.7313856737701993E-2</v>
      </c>
      <c r="AS67">
        <f t="shared" si="23"/>
        <v>1.9258402082522379E-2</v>
      </c>
      <c r="AT67">
        <f t="shared" si="25"/>
        <v>3.7082368236667968E-3</v>
      </c>
      <c r="AU67">
        <f t="shared" si="24"/>
        <v>8.126365317244063E-4</v>
      </c>
    </row>
    <row r="68" spans="2:47" ht="14.5">
      <c r="B68" s="627" t="str">
        <f>_xlfn.TEXTJOIN(",",TRUE,IF(LEFT(Regions!$C$3,1)&lt;&gt;"*",Regions!$C$3,""),IF(LEFT(Regions!$D$3,1)&lt;&gt;"*",Regions!$D$3,""))</f>
        <v>IE,National</v>
      </c>
      <c r="C68" s="293"/>
      <c r="D68" s="293"/>
      <c r="E68" s="293" t="str">
        <f>COMM!$O$30</f>
        <v>RSDWH_Apt</v>
      </c>
      <c r="F68" s="293"/>
      <c r="G68" s="737"/>
      <c r="H68" s="737"/>
      <c r="I68" s="737"/>
      <c r="J68" s="293"/>
      <c r="K68" s="293"/>
      <c r="L68" s="738">
        <f>P68</f>
        <v>1.1787502717994804E-2</v>
      </c>
      <c r="N68" s="807"/>
      <c r="O68" s="800"/>
      <c r="P68" s="811">
        <f>AS35*(1+Q103)</f>
        <v>1.1787502717994804E-2</v>
      </c>
      <c r="Q68" s="808">
        <f>P68*G66</f>
        <v>0.16551831470471307</v>
      </c>
      <c r="R68" s="800"/>
      <c r="S68" s="808"/>
      <c r="T68" s="832"/>
      <c r="U68" s="808"/>
      <c r="X68" s="259" t="s">
        <v>764</v>
      </c>
      <c r="Y68" s="259" t="s">
        <v>232</v>
      </c>
      <c r="Z68" s="259" t="s">
        <v>278</v>
      </c>
      <c r="AA68" s="259" t="s">
        <v>279</v>
      </c>
      <c r="AB68" s="362">
        <v>2018</v>
      </c>
      <c r="AC68" s="259" t="s">
        <v>280</v>
      </c>
      <c r="AD68" s="25"/>
      <c r="AF68" t="s">
        <v>60</v>
      </c>
      <c r="AG68" s="122">
        <v>27666</v>
      </c>
      <c r="AH68" s="122">
        <v>3361294</v>
      </c>
      <c r="AI68">
        <v>338</v>
      </c>
      <c r="AJ68" s="122">
        <v>635462499</v>
      </c>
      <c r="AK68" s="122">
        <v>126446130</v>
      </c>
      <c r="AL68" s="122">
        <v>26318437</v>
      </c>
      <c r="AM68" s="122">
        <v>5835533</v>
      </c>
      <c r="AN68" s="122">
        <v>131872106</v>
      </c>
      <c r="AO68" s="122">
        <v>16624373</v>
      </c>
      <c r="AP68" s="122">
        <v>942559078</v>
      </c>
      <c r="AQ68" s="742">
        <f t="shared" si="21"/>
        <v>81396.697989555512</v>
      </c>
      <c r="AR68">
        <f t="shared" si="22"/>
        <v>7.0692280806327057E-2</v>
      </c>
      <c r="AS68">
        <f t="shared" si="23"/>
        <v>1.9322899024072873E-2</v>
      </c>
      <c r="AT68">
        <f t="shared" si="25"/>
        <v>3.4246502277163315E-3</v>
      </c>
      <c r="AU68">
        <f t="shared" si="24"/>
        <v>7.5934066363044894E-4</v>
      </c>
    </row>
    <row r="69" spans="2:47" ht="14.5">
      <c r="B69" s="626" t="str">
        <f>_xlfn.TEXTJOIN(",",TRUE,IF(LEFT(Regions!$C$3,1)&lt;&gt;"*",Regions!$C$3,""),IF(LEFT(Regions!$D$3,1)&lt;&gt;"*",Regions!$D$3,""))</f>
        <v>IE,National</v>
      </c>
      <c r="C69" s="449"/>
      <c r="D69" s="448"/>
      <c r="E69" s="448" t="str">
        <f>COMM!$O$33</f>
        <v>RSDLT_Apt</v>
      </c>
      <c r="F69" s="448"/>
      <c r="G69" s="733"/>
      <c r="H69" s="733"/>
      <c r="I69" s="733"/>
      <c r="J69" s="448"/>
      <c r="K69" s="448"/>
      <c r="L69" s="734">
        <f>R69</f>
        <v>7.572359550616889E-4</v>
      </c>
      <c r="N69" s="807"/>
      <c r="O69" s="800"/>
      <c r="P69" s="811"/>
      <c r="Q69" s="808"/>
      <c r="R69" s="800">
        <f>AT35*(1+S103)</f>
        <v>7.572359550616889E-4</v>
      </c>
      <c r="S69" s="808">
        <f>R69*G66</f>
        <v>1.063299174678331E-2</v>
      </c>
      <c r="T69" s="832"/>
      <c r="U69" s="808"/>
      <c r="X69" s="363" t="str">
        <f>_xlfn.TEXTJOIN(",",TRUE,IF(LEFT(Regions!$C$3,1)&lt;&gt;"*",Regions!$C$3,""),IF(LEFT(Regions!$D$3,1)&lt;&gt;"*",Regions!$D$3,""))</f>
        <v>IE,National</v>
      </c>
      <c r="Y69" s="363" t="str">
        <f>COMM!O6</f>
        <v>RSD_Apt</v>
      </c>
      <c r="Z69" s="363" t="str">
        <f>COMM!P6</f>
        <v>Residential Apartment Demand</v>
      </c>
      <c r="AA69" s="363" t="s">
        <v>282</v>
      </c>
      <c r="AB69" s="522">
        <f>AG17/1000</f>
        <v>211.81988499999997</v>
      </c>
      <c r="AC69" s="363" t="s">
        <v>248</v>
      </c>
      <c r="AD69" s="25"/>
      <c r="AF69" t="s">
        <v>62</v>
      </c>
      <c r="AG69" s="122">
        <v>13787</v>
      </c>
      <c r="AH69" s="122">
        <v>1578087</v>
      </c>
      <c r="AI69">
        <v>415</v>
      </c>
      <c r="AJ69" s="122">
        <v>382255989</v>
      </c>
      <c r="AK69" s="122">
        <v>74341761</v>
      </c>
      <c r="AL69" s="122">
        <v>12486922</v>
      </c>
      <c r="AM69" s="122">
        <v>2769697</v>
      </c>
      <c r="AN69" s="122">
        <v>65705835</v>
      </c>
      <c r="AO69" s="122">
        <v>8706537</v>
      </c>
      <c r="AP69" s="122">
        <v>546266742</v>
      </c>
      <c r="AQ69" s="740">
        <f t="shared" si="21"/>
        <v>43241.005762967114</v>
      </c>
      <c r="AR69">
        <f t="shared" si="22"/>
        <v>8.501184971128925E-2</v>
      </c>
      <c r="AS69">
        <f t="shared" si="23"/>
        <v>1.943022696743309E-2</v>
      </c>
      <c r="AT69">
        <f t="shared" si="25"/>
        <v>3.2605294262711255E-3</v>
      </c>
      <c r="AU69">
        <f t="shared" si="24"/>
        <v>7.2321093783999431E-4</v>
      </c>
    </row>
    <row r="70" spans="2:47" ht="15" thickBot="1">
      <c r="B70" s="628" t="str">
        <f>_xlfn.TEXTJOIN(",",TRUE,IF(LEFT(Regions!$C$3,1)&lt;&gt;"*",Regions!$C$3,""),IF(LEFT(Regions!$D$3,1)&lt;&gt;"*",Regions!$D$3,""))</f>
        <v>IE,National</v>
      </c>
      <c r="C70" s="629"/>
      <c r="D70" s="629"/>
      <c r="E70" s="629" t="str">
        <f>COMM!$O$36</f>
        <v>RSDPF_Apt</v>
      </c>
      <c r="F70" s="629"/>
      <c r="G70" s="630"/>
      <c r="H70" s="630"/>
      <c r="I70" s="630"/>
      <c r="J70" s="629"/>
      <c r="K70" s="629"/>
      <c r="L70" s="741">
        <f>T70</f>
        <v>3.4372825288541932E-4</v>
      </c>
      <c r="N70" s="829"/>
      <c r="O70" s="809"/>
      <c r="P70" s="830"/>
      <c r="Q70" s="810"/>
      <c r="R70" s="809"/>
      <c r="S70" s="810"/>
      <c r="T70" s="831">
        <f>AU35*(1+U103)</f>
        <v>3.4372825288541932E-4</v>
      </c>
      <c r="U70" s="810">
        <f>T70*G66</f>
        <v>4.8265796831704379E-3</v>
      </c>
      <c r="X70" s="361" t="str">
        <f>_xlfn.TEXTJOIN(",",TRUE,IF(LEFT(Regions!$C$3,1)&lt;&gt;"*",Regions!$C$3,""),IF(LEFT(Regions!$D$3,1)&lt;&gt;"*",Regions!$D$3,""))</f>
        <v>IE,National</v>
      </c>
      <c r="Y70" s="361" t="str">
        <f>COMM!O7</f>
        <v>RSD_Att</v>
      </c>
      <c r="Z70" s="361" t="str">
        <f>COMM!P7</f>
        <v>Residential Attached Demand</v>
      </c>
      <c r="AA70" s="361" t="s">
        <v>282</v>
      </c>
      <c r="AB70" s="523">
        <f>AH17/1000</f>
        <v>788.06472099999974</v>
      </c>
      <c r="AC70" s="361" t="s">
        <v>248</v>
      </c>
      <c r="AD70" s="25"/>
      <c r="AF70" t="s">
        <v>64</v>
      </c>
      <c r="AG70" s="122">
        <v>24436</v>
      </c>
      <c r="AH70" s="122">
        <v>2381791</v>
      </c>
      <c r="AI70">
        <v>673</v>
      </c>
      <c r="AJ70" s="122">
        <v>889411987</v>
      </c>
      <c r="AK70" s="122">
        <v>178556613</v>
      </c>
      <c r="AL70" s="122">
        <v>19539039</v>
      </c>
      <c r="AM70" s="122">
        <v>3598598</v>
      </c>
      <c r="AN70" s="122">
        <v>107615125</v>
      </c>
      <c r="AO70" s="122">
        <v>12476668</v>
      </c>
      <c r="AP70" s="122">
        <v>1211198029</v>
      </c>
      <c r="AQ70" s="745">
        <f t="shared" si="21"/>
        <v>78435.533443104825</v>
      </c>
      <c r="AR70">
        <f t="shared" si="22"/>
        <v>0.11218733764722996</v>
      </c>
      <c r="AS70">
        <f t="shared" si="23"/>
        <v>1.769235778359797E-2</v>
      </c>
      <c r="AT70">
        <f t="shared" si="25"/>
        <v>2.8785619741365197E-3</v>
      </c>
      <c r="AU70">
        <f t="shared" si="24"/>
        <v>5.3015848747749216E-4</v>
      </c>
    </row>
    <row r="71" spans="2:47" ht="15" thickBot="1">
      <c r="B71" s="621" t="str">
        <f>_xlfn.TEXTJOIN(",",TRUE,IF(LEFT(Regions!$C$3,1)&lt;&gt;"*",Regions!$C$3,""),IF(LEFT(Regions!$D$3,1)&lt;&gt;"*",Regions!$D$3,""))</f>
        <v>IE,National</v>
      </c>
      <c r="C71" s="622" t="str">
        <f>Y18</f>
        <v>R-BLD_Apt_B3</v>
      </c>
      <c r="D71" s="623" t="str">
        <f>Z18</f>
        <v>Residential Building Apartment _ B3</v>
      </c>
      <c r="E71" s="622" t="str">
        <f>COMM!$O$9</f>
        <v>RSDSH_Apt-AB</v>
      </c>
      <c r="F71" s="623" t="str">
        <f>COMM!$O$6</f>
        <v>RSD_Apt</v>
      </c>
      <c r="G71" s="625">
        <f>AG11/1000</f>
        <v>19.924480375055825</v>
      </c>
      <c r="H71" s="625">
        <f>G71*$AH$26</f>
        <v>16.603069496534019</v>
      </c>
      <c r="I71" s="625">
        <v>1</v>
      </c>
      <c r="J71" s="623">
        <v>100</v>
      </c>
      <c r="K71" s="623">
        <v>1</v>
      </c>
      <c r="L71" s="731">
        <f>N71</f>
        <v>1.4295440841259926E-2</v>
      </c>
      <c r="N71" s="825">
        <f>ABS(AR36*DwellingStocks!O21*(1+$O$103))</f>
        <v>1.4295440841259926E-2</v>
      </c>
      <c r="O71" s="826">
        <f>N71*G71</f>
        <v>0.28482923049445491</v>
      </c>
      <c r="P71" s="811"/>
      <c r="Q71" s="808"/>
      <c r="R71" s="800"/>
      <c r="S71" s="808"/>
      <c r="T71" s="832"/>
      <c r="U71" s="808"/>
      <c r="X71" s="363" t="str">
        <f>_xlfn.TEXTJOIN(",",TRUE,IF(LEFT(Regions!$C$3,1)&lt;&gt;"*",Regions!$C$3,""),IF(LEFT(Regions!$D$3,1)&lt;&gt;"*",Regions!$D$3,""))</f>
        <v>IE,National</v>
      </c>
      <c r="Y71" s="363" t="str">
        <f>COMM!O8</f>
        <v>RSD_Det</v>
      </c>
      <c r="Z71" s="363" t="str">
        <f>COMM!P8</f>
        <v>Residential Detached Demand</v>
      </c>
      <c r="AA71" s="363" t="s">
        <v>282</v>
      </c>
      <c r="AB71" s="522">
        <f>AI17/1000</f>
        <v>735.40672899999993</v>
      </c>
      <c r="AC71" s="363" t="s">
        <v>248</v>
      </c>
      <c r="AD71" s="25"/>
      <c r="AQ71" s="746">
        <f>SUM(AQ62:AQ70)</f>
        <v>735406.72899999993</v>
      </c>
      <c r="AR71">
        <f>AVERAGE(AR62:AR70)</f>
        <v>5.4248256501984234E-2</v>
      </c>
      <c r="AS71">
        <f t="shared" ref="AS71:AU71" si="26">AVERAGE(AS62:AS70)</f>
        <v>1.6591261736419179E-2</v>
      </c>
      <c r="AT71">
        <f t="shared" si="26"/>
        <v>4.0663121209199632E-3</v>
      </c>
      <c r="AU71">
        <f t="shared" si="26"/>
        <v>9.7389990708204226E-4</v>
      </c>
    </row>
    <row r="72" spans="2:47" ht="14.5">
      <c r="B72" s="626" t="str">
        <f>_xlfn.TEXTJOIN(",",TRUE,IF(LEFT(Regions!$C$3,1)&lt;&gt;"*",Regions!$C$3,""),IF(LEFT(Regions!$D$3,1)&lt;&gt;"*",Regions!$D$3,""))</f>
        <v>IE,National</v>
      </c>
      <c r="C72" s="449"/>
      <c r="D72" s="448"/>
      <c r="E72" s="448" t="str">
        <f>COMM!$O$27</f>
        <v>RSDSC_Apt</v>
      </c>
      <c r="F72" s="448"/>
      <c r="G72" s="733"/>
      <c r="H72" s="733"/>
      <c r="I72" s="733"/>
      <c r="J72" s="448"/>
      <c r="K72" s="448"/>
      <c r="L72" s="734"/>
      <c r="N72" s="807"/>
      <c r="O72" s="800"/>
      <c r="P72" s="811"/>
      <c r="Q72" s="808"/>
      <c r="R72" s="800"/>
      <c r="S72" s="808"/>
      <c r="T72" s="832"/>
      <c r="U72" s="808"/>
      <c r="X72" s="21" t="s">
        <v>281</v>
      </c>
      <c r="Y72" s="21" t="s">
        <v>615</v>
      </c>
      <c r="Z72" s="21"/>
      <c r="AA72" s="21"/>
      <c r="AB72" s="21"/>
      <c r="AC72" s="21"/>
      <c r="AD72" s="25"/>
    </row>
    <row r="73" spans="2:47" ht="13">
      <c r="B73" s="627" t="str">
        <f>_xlfn.TEXTJOIN(",",TRUE,IF(LEFT(Regions!$C$3,1)&lt;&gt;"*",Regions!$C$3,""),IF(LEFT(Regions!$D$3,1)&lt;&gt;"*",Regions!$D$3,""))</f>
        <v>IE,National</v>
      </c>
      <c r="C73" s="293"/>
      <c r="D73" s="293"/>
      <c r="E73" s="293" t="str">
        <f>COMM!$O$30</f>
        <v>RSDWH_Apt</v>
      </c>
      <c r="F73" s="293"/>
      <c r="G73" s="737"/>
      <c r="H73" s="737"/>
      <c r="I73" s="737"/>
      <c r="J73" s="293"/>
      <c r="K73" s="293"/>
      <c r="L73" s="738">
        <f>P73</f>
        <v>1.3151363752192521E-2</v>
      </c>
      <c r="N73" s="807"/>
      <c r="O73" s="800"/>
      <c r="P73" s="811">
        <f>AS36*(1+Q103)</f>
        <v>1.3151363752192521E-2</v>
      </c>
      <c r="Q73" s="808">
        <f>P73*G71</f>
        <v>0.26203408898578046</v>
      </c>
      <c r="R73" s="800"/>
      <c r="S73" s="808"/>
      <c r="T73" s="832"/>
      <c r="U73" s="808"/>
      <c r="X73" s="365" t="s">
        <v>614</v>
      </c>
      <c r="Y73" s="365" t="s">
        <v>254</v>
      </c>
      <c r="Z73" s="365" t="s">
        <v>254</v>
      </c>
      <c r="AA73" s="365" t="s">
        <v>254</v>
      </c>
      <c r="AB73" s="524">
        <f>SUM(AB69:AB71)</f>
        <v>1735.2913349999997</v>
      </c>
      <c r="AC73" s="365"/>
      <c r="AD73" s="25"/>
    </row>
    <row r="74" spans="2:47" ht="13">
      <c r="B74" s="626" t="str">
        <f>_xlfn.TEXTJOIN(",",TRUE,IF(LEFT(Regions!$C$3,1)&lt;&gt;"*",Regions!$C$3,""),IF(LEFT(Regions!$D$3,1)&lt;&gt;"*",Regions!$D$3,""))</f>
        <v>IE,National</v>
      </c>
      <c r="C74" s="449"/>
      <c r="D74" s="448"/>
      <c r="E74" s="448" t="str">
        <f>COMM!$O$33</f>
        <v>RSDLT_Apt</v>
      </c>
      <c r="F74" s="448"/>
      <c r="G74" s="733"/>
      <c r="H74" s="733"/>
      <c r="I74" s="733"/>
      <c r="J74" s="448"/>
      <c r="K74" s="448"/>
      <c r="L74" s="734">
        <f>R74</f>
        <v>7.5793685463835169E-4</v>
      </c>
      <c r="N74" s="807"/>
      <c r="O74" s="800"/>
      <c r="P74" s="811"/>
      <c r="Q74" s="808"/>
      <c r="R74" s="800">
        <f>AT36*(1+S103)</f>
        <v>7.5793685463835169E-4</v>
      </c>
      <c r="S74" s="808">
        <f>R74*G71</f>
        <v>1.5101497985773378E-2</v>
      </c>
      <c r="T74" s="832"/>
      <c r="U74" s="808"/>
      <c r="AC74" s="25"/>
      <c r="AD74" s="25"/>
    </row>
    <row r="75" spans="2:47" ht="13.5" thickBot="1">
      <c r="B75" s="628" t="str">
        <f>_xlfn.TEXTJOIN(",",TRUE,IF(LEFT(Regions!$C$3,1)&lt;&gt;"*",Regions!$C$3,""),IF(LEFT(Regions!$D$3,1)&lt;&gt;"*",Regions!$D$3,""))</f>
        <v>IE,National</v>
      </c>
      <c r="C75" s="629"/>
      <c r="D75" s="629"/>
      <c r="E75" s="629" t="str">
        <f>COMM!$O$36</f>
        <v>RSDPF_Apt</v>
      </c>
      <c r="F75" s="629"/>
      <c r="G75" s="630"/>
      <c r="H75" s="630"/>
      <c r="I75" s="630"/>
      <c r="J75" s="629"/>
      <c r="K75" s="629"/>
      <c r="L75" s="741">
        <f>T75</f>
        <v>3.1842733929099036E-4</v>
      </c>
      <c r="N75" s="807"/>
      <c r="O75" s="800"/>
      <c r="P75" s="811"/>
      <c r="Q75" s="808"/>
      <c r="R75" s="800"/>
      <c r="S75" s="808"/>
      <c r="T75" s="832">
        <f>AU36*(1+U103)</f>
        <v>3.1842733929099036E-4</v>
      </c>
      <c r="U75" s="808">
        <f>T75*G71</f>
        <v>6.3444992725845799E-3</v>
      </c>
      <c r="AC75" s="25"/>
      <c r="AD75" s="25"/>
    </row>
    <row r="76" spans="2:47" ht="13">
      <c r="B76" s="621" t="str">
        <f>_xlfn.TEXTJOIN(",",TRUE,IF(LEFT(Regions!$C$3,1)&lt;&gt;"*",Regions!$C$3,""),IF(LEFT(Regions!$D$3,1)&lt;&gt;"*",Regions!$D$3,""))</f>
        <v>IE,National</v>
      </c>
      <c r="C76" s="622" t="str">
        <f>Y19</f>
        <v>R-BLD_Apt_C</v>
      </c>
      <c r="D76" s="623" t="str">
        <f>Z19</f>
        <v>Residential Building Apartment _ C</v>
      </c>
      <c r="E76" s="622" t="str">
        <f>COMM!$O$12</f>
        <v>RSDSH_Apt-C</v>
      </c>
      <c r="F76" s="623" t="str">
        <f>COMM!$O$6</f>
        <v>RSD_Apt</v>
      </c>
      <c r="G76" s="625">
        <f>AG12/1000</f>
        <v>58.904803436433703</v>
      </c>
      <c r="H76" s="625">
        <f>G76*$AH$26</f>
        <v>49.085372703580205</v>
      </c>
      <c r="I76" s="625">
        <v>1</v>
      </c>
      <c r="J76" s="623">
        <v>100</v>
      </c>
      <c r="K76" s="623">
        <v>1</v>
      </c>
      <c r="L76" s="731">
        <f>N76</f>
        <v>1.0401607873771696E-2</v>
      </c>
      <c r="N76" s="825">
        <f>ABS(AR37*DwellingStocks!O22*(1+$O$103))</f>
        <v>1.0401607873771696E-2</v>
      </c>
      <c r="O76" s="826">
        <f>N76*G76</f>
        <v>0.61270466722738282</v>
      </c>
      <c r="P76" s="827"/>
      <c r="Q76" s="828"/>
      <c r="R76" s="826"/>
      <c r="S76" s="828"/>
      <c r="T76" s="833"/>
      <c r="U76" s="828"/>
      <c r="AC76" s="25"/>
      <c r="AD76" s="25"/>
    </row>
    <row r="77" spans="2:47" ht="13">
      <c r="B77" s="626" t="str">
        <f>_xlfn.TEXTJOIN(",",TRUE,IF(LEFT(Regions!$C$3,1)&lt;&gt;"*",Regions!$C$3,""),IF(LEFT(Regions!$D$3,1)&lt;&gt;"*",Regions!$D$3,""))</f>
        <v>IE,National</v>
      </c>
      <c r="C77" s="449"/>
      <c r="D77" s="448"/>
      <c r="E77" s="448" t="str">
        <f>COMM!$O$27</f>
        <v>RSDSC_Apt</v>
      </c>
      <c r="F77" s="448"/>
      <c r="G77" s="733"/>
      <c r="H77" s="733"/>
      <c r="I77" s="733"/>
      <c r="J77" s="448"/>
      <c r="K77" s="448"/>
      <c r="L77" s="734"/>
      <c r="N77" s="807"/>
      <c r="O77" s="800"/>
      <c r="P77" s="811"/>
      <c r="Q77" s="808"/>
      <c r="R77" s="800"/>
      <c r="S77" s="808"/>
      <c r="T77" s="832"/>
      <c r="U77" s="808"/>
      <c r="AC77" s="25"/>
      <c r="AD77" s="25"/>
    </row>
    <row r="78" spans="2:47" ht="13">
      <c r="B78" s="627" t="str">
        <f>_xlfn.TEXTJOIN(",",TRUE,IF(LEFT(Regions!$C$3,1)&lt;&gt;"*",Regions!$C$3,""),IF(LEFT(Regions!$D$3,1)&lt;&gt;"*",Regions!$D$3,""))</f>
        <v>IE,National</v>
      </c>
      <c r="C78" s="293"/>
      <c r="D78" s="293"/>
      <c r="E78" s="293" t="str">
        <f>COMM!$O$30</f>
        <v>RSDWH_Apt</v>
      </c>
      <c r="F78" s="293"/>
      <c r="G78" s="737"/>
      <c r="H78" s="737"/>
      <c r="I78" s="737"/>
      <c r="J78" s="293"/>
      <c r="K78" s="293"/>
      <c r="L78" s="738">
        <f>P78</f>
        <v>1.3063018896681352E-2</v>
      </c>
      <c r="N78" s="807"/>
      <c r="O78" s="800"/>
      <c r="P78" s="811">
        <f>AS37*(1+Q103)</f>
        <v>1.3063018896681352E-2</v>
      </c>
      <c r="Q78" s="808">
        <f>P78*G76</f>
        <v>0.76947456039543405</v>
      </c>
      <c r="R78" s="800"/>
      <c r="S78" s="808"/>
      <c r="T78" s="832"/>
      <c r="U78" s="808"/>
      <c r="AC78" s="25"/>
      <c r="AD78" s="25"/>
    </row>
    <row r="79" spans="2:47" ht="13">
      <c r="B79" s="626" t="str">
        <f>_xlfn.TEXTJOIN(",",TRUE,IF(LEFT(Regions!$C$3,1)&lt;&gt;"*",Regions!$C$3,""),IF(LEFT(Regions!$D$3,1)&lt;&gt;"*",Regions!$D$3,""))</f>
        <v>IE,National</v>
      </c>
      <c r="C79" s="449"/>
      <c r="D79" s="448"/>
      <c r="E79" s="448" t="str">
        <f>COMM!$O$33</f>
        <v>RSDLT_Apt</v>
      </c>
      <c r="F79" s="448"/>
      <c r="G79" s="733"/>
      <c r="H79" s="733"/>
      <c r="I79" s="733"/>
      <c r="J79" s="448"/>
      <c r="K79" s="448"/>
      <c r="L79" s="734">
        <f>R79</f>
        <v>7.0490984619025869E-4</v>
      </c>
      <c r="N79" s="807"/>
      <c r="O79" s="800"/>
      <c r="P79" s="811"/>
      <c r="Q79" s="808"/>
      <c r="R79" s="800">
        <f>AT37*(1+S103)</f>
        <v>7.0490984619025869E-4</v>
      </c>
      <c r="S79" s="808">
        <f>R79*G76</f>
        <v>4.1522575930243902E-2</v>
      </c>
      <c r="T79" s="832"/>
      <c r="U79" s="808"/>
      <c r="AC79" s="25"/>
      <c r="AD79" s="25"/>
    </row>
    <row r="80" spans="2:47" ht="13.5" thickBot="1">
      <c r="B80" s="628" t="str">
        <f>_xlfn.TEXTJOIN(",",TRUE,IF(LEFT(Regions!$C$3,1)&lt;&gt;"*",Regions!$C$3,""),IF(LEFT(Regions!$D$3,1)&lt;&gt;"*",Regions!$D$3,""))</f>
        <v>IE,National</v>
      </c>
      <c r="C80" s="629"/>
      <c r="D80" s="629"/>
      <c r="E80" s="629" t="str">
        <f>COMM!$O$36</f>
        <v>RSDPF_Apt</v>
      </c>
      <c r="F80" s="629"/>
      <c r="G80" s="630"/>
      <c r="H80" s="630"/>
      <c r="I80" s="630"/>
      <c r="J80" s="629"/>
      <c r="K80" s="629"/>
      <c r="L80" s="741">
        <f>T80</f>
        <v>2.1330643979402045E-4</v>
      </c>
      <c r="N80" s="829"/>
      <c r="O80" s="809"/>
      <c r="P80" s="830"/>
      <c r="Q80" s="810"/>
      <c r="R80" s="809"/>
      <c r="S80" s="810"/>
      <c r="T80" s="831">
        <f>AU37*(1+U103)</f>
        <v>2.1330643979402045E-4</v>
      </c>
      <c r="U80" s="810">
        <f>T80*G76</f>
        <v>1.2564773907792254E-2</v>
      </c>
      <c r="AC80" s="25"/>
      <c r="AD80" s="25"/>
    </row>
    <row r="81" spans="2:21">
      <c r="B81" s="621" t="str">
        <f>_xlfn.TEXTJOIN(",",TRUE,IF(LEFT(Regions!$C$3,1)&lt;&gt;"*",Regions!$C$3,""),IF(LEFT(Regions!$D$3,1)&lt;&gt;"*",Regions!$D$3,""))</f>
        <v>IE,National</v>
      </c>
      <c r="C81" s="622" t="str">
        <f>Y20</f>
        <v>R-BLD_Apt_D</v>
      </c>
      <c r="D81" s="623" t="str">
        <f>Z20</f>
        <v>Residential Building Apartment _ D</v>
      </c>
      <c r="E81" s="622" t="str">
        <f>COMM!$O$15</f>
        <v>RSDSH_Apt-D</v>
      </c>
      <c r="F81" s="623" t="str">
        <f>COMM!$O$6</f>
        <v>RSD_Apt</v>
      </c>
      <c r="G81" s="625">
        <f>AG13/1000</f>
        <v>43.739341649106159</v>
      </c>
      <c r="H81" s="625">
        <f>G81*$AH$26</f>
        <v>36.447993396200161</v>
      </c>
      <c r="I81" s="625">
        <v>1</v>
      </c>
      <c r="J81" s="623">
        <v>100</v>
      </c>
      <c r="K81" s="623">
        <v>1</v>
      </c>
      <c r="L81" s="731">
        <f>N81</f>
        <v>1.1378212682464769E-2</v>
      </c>
      <c r="N81" s="825">
        <f>ABS(AR38*DwellingStocks!O23*(1+$O$103))</f>
        <v>1.1378212682464769E-2</v>
      </c>
      <c r="O81" s="826">
        <f>N81*G81</f>
        <v>0.49767553187451918</v>
      </c>
      <c r="P81" s="811"/>
      <c r="Q81" s="808"/>
      <c r="R81" s="800"/>
      <c r="S81" s="808"/>
      <c r="T81" s="832"/>
      <c r="U81" s="808"/>
    </row>
    <row r="82" spans="2:21">
      <c r="B82" s="626" t="str">
        <f>_xlfn.TEXTJOIN(",",TRUE,IF(LEFT(Regions!$C$3,1)&lt;&gt;"*",Regions!$C$3,""),IF(LEFT(Regions!$D$3,1)&lt;&gt;"*",Regions!$D$3,""))</f>
        <v>IE,National</v>
      </c>
      <c r="C82" s="449"/>
      <c r="D82" s="448"/>
      <c r="E82" s="448" t="str">
        <f>COMM!$O$27</f>
        <v>RSDSC_Apt</v>
      </c>
      <c r="F82" s="448"/>
      <c r="G82" s="733"/>
      <c r="H82" s="733"/>
      <c r="I82" s="733"/>
      <c r="J82" s="448"/>
      <c r="K82" s="448"/>
      <c r="L82" s="734"/>
      <c r="N82" s="807"/>
      <c r="O82" s="800"/>
      <c r="P82" s="811"/>
      <c r="Q82" s="808"/>
      <c r="R82" s="800"/>
      <c r="S82" s="808"/>
      <c r="T82" s="832"/>
      <c r="U82" s="808"/>
    </row>
    <row r="83" spans="2:21">
      <c r="B83" s="627" t="str">
        <f>_xlfn.TEXTJOIN(",",TRUE,IF(LEFT(Regions!$C$3,1)&lt;&gt;"*",Regions!$C$3,""),IF(LEFT(Regions!$D$3,1)&lt;&gt;"*",Regions!$D$3,""))</f>
        <v>IE,National</v>
      </c>
      <c r="C83" s="293"/>
      <c r="D83" s="293"/>
      <c r="E83" s="293" t="str">
        <f>COMM!$O$30</f>
        <v>RSDWH_Apt</v>
      </c>
      <c r="F83" s="293"/>
      <c r="G83" s="737"/>
      <c r="H83" s="737"/>
      <c r="I83" s="737"/>
      <c r="J83" s="293"/>
      <c r="K83" s="293"/>
      <c r="L83" s="738">
        <f>P83</f>
        <v>1.1108166967290377E-2</v>
      </c>
      <c r="N83" s="807"/>
      <c r="O83" s="800"/>
      <c r="P83" s="811">
        <f>AS38*(1+Q103)</f>
        <v>1.1108166967290377E-2</v>
      </c>
      <c r="Q83" s="808">
        <f>P83*G81</f>
        <v>0.48586391007762925</v>
      </c>
      <c r="R83" s="800"/>
      <c r="S83" s="808"/>
      <c r="T83" s="832"/>
      <c r="U83" s="808"/>
    </row>
    <row r="84" spans="2:21">
      <c r="B84" s="626" t="str">
        <f>_xlfn.TEXTJOIN(",",TRUE,IF(LEFT(Regions!$C$3,1)&lt;&gt;"*",Regions!$C$3,""),IF(LEFT(Regions!$D$3,1)&lt;&gt;"*",Regions!$D$3,""))</f>
        <v>IE,National</v>
      </c>
      <c r="C84" s="449"/>
      <c r="D84" s="448"/>
      <c r="E84" s="448" t="str">
        <f>COMM!$O$33</f>
        <v>RSDLT_Apt</v>
      </c>
      <c r="F84" s="448"/>
      <c r="G84" s="733"/>
      <c r="H84" s="733"/>
      <c r="I84" s="733"/>
      <c r="J84" s="448"/>
      <c r="K84" s="448"/>
      <c r="L84" s="734">
        <f>R84</f>
        <v>6.3201440609991007E-4</v>
      </c>
      <c r="N84" s="807"/>
      <c r="O84" s="800"/>
      <c r="P84" s="811"/>
      <c r="Q84" s="808"/>
      <c r="R84" s="800">
        <f>AT38*(1+S103)</f>
        <v>6.3201440609991007E-4</v>
      </c>
      <c r="S84" s="808">
        <f>R84*G81</f>
        <v>2.764389403556089E-2</v>
      </c>
      <c r="T84" s="832"/>
      <c r="U84" s="808"/>
    </row>
    <row r="85" spans="2:21" ht="13" thickBot="1">
      <c r="B85" s="628" t="str">
        <f>_xlfn.TEXTJOIN(",",TRUE,IF(LEFT(Regions!$C$3,1)&lt;&gt;"*",Regions!$C$3,""),IF(LEFT(Regions!$D$3,1)&lt;&gt;"*",Regions!$D$3,""))</f>
        <v>IE,National</v>
      </c>
      <c r="C85" s="629"/>
      <c r="D85" s="629"/>
      <c r="E85" s="629" t="str">
        <f>COMM!$O$36</f>
        <v>RSDPF_Apt</v>
      </c>
      <c r="F85" s="629"/>
      <c r="G85" s="630"/>
      <c r="H85" s="630"/>
      <c r="I85" s="630"/>
      <c r="J85" s="629"/>
      <c r="K85" s="629"/>
      <c r="L85" s="741">
        <f>T85</f>
        <v>9.2802973696255687E-5</v>
      </c>
      <c r="N85" s="807"/>
      <c r="O85" s="800"/>
      <c r="P85" s="811"/>
      <c r="Q85" s="808"/>
      <c r="R85" s="800"/>
      <c r="S85" s="808"/>
      <c r="T85" s="832">
        <f>AU38*(1+U103)</f>
        <v>9.2802973696255687E-5</v>
      </c>
      <c r="U85" s="808">
        <f>T85*G81</f>
        <v>4.0591409725535396E-3</v>
      </c>
    </row>
    <row r="86" spans="2:21">
      <c r="B86" s="621" t="str">
        <f>_xlfn.TEXTJOIN(",",TRUE,IF(LEFT(Regions!$C$3,1)&lt;&gt;"*",Regions!$C$3,""),IF(LEFT(Regions!$D$3,1)&lt;&gt;"*",Regions!$D$3,""))</f>
        <v>IE,National</v>
      </c>
      <c r="C86" s="622" t="str">
        <f>Y21</f>
        <v>R-BLD_Apt_E</v>
      </c>
      <c r="D86" s="623" t="str">
        <f>Z21</f>
        <v>Residential Building Apartment _ E</v>
      </c>
      <c r="E86" s="622" t="str">
        <f>COMM!$O$18</f>
        <v>RSDSH_Apt-E</v>
      </c>
      <c r="F86" s="623" t="str">
        <f>COMM!$O$6</f>
        <v>RSD_Apt</v>
      </c>
      <c r="G86" s="625">
        <f>AG14/1000</f>
        <v>25.767876472761333</v>
      </c>
      <c r="H86" s="625">
        <f>G86*$AH$26</f>
        <v>21.472371464752019</v>
      </c>
      <c r="I86" s="625">
        <v>1</v>
      </c>
      <c r="J86" s="623">
        <v>100</v>
      </c>
      <c r="K86" s="623">
        <v>1</v>
      </c>
      <c r="L86" s="731">
        <f>N86</f>
        <v>1.5195699309000117E-2</v>
      </c>
      <c r="N86" s="825">
        <f>ABS(AR39*DwellingStocks!O24*(1+$O$103))</f>
        <v>1.5195699309000117E-2</v>
      </c>
      <c r="O86" s="826">
        <f>N86*G86</f>
        <v>0.39156090271153976</v>
      </c>
      <c r="P86" s="827"/>
      <c r="Q86" s="828"/>
      <c r="R86" s="826"/>
      <c r="S86" s="828"/>
      <c r="T86" s="833"/>
      <c r="U86" s="828"/>
    </row>
    <row r="87" spans="2:21">
      <c r="B87" s="626" t="str">
        <f>_xlfn.TEXTJOIN(",",TRUE,IF(LEFT(Regions!$C$3,1)&lt;&gt;"*",Regions!$C$3,""),IF(LEFT(Regions!$D$3,1)&lt;&gt;"*",Regions!$D$3,""))</f>
        <v>IE,National</v>
      </c>
      <c r="C87" s="449"/>
      <c r="D87" s="448"/>
      <c r="E87" s="448" t="str">
        <f>COMM!$O$27</f>
        <v>RSDSC_Apt</v>
      </c>
      <c r="F87" s="448"/>
      <c r="G87" s="733"/>
      <c r="H87" s="733"/>
      <c r="I87" s="733"/>
      <c r="J87" s="448"/>
      <c r="K87" s="448"/>
      <c r="L87" s="734"/>
      <c r="N87" s="807"/>
      <c r="O87" s="800"/>
      <c r="P87" s="811"/>
      <c r="Q87" s="808"/>
      <c r="R87" s="800"/>
      <c r="S87" s="808"/>
      <c r="T87" s="832"/>
      <c r="U87" s="808"/>
    </row>
    <row r="88" spans="2:21">
      <c r="B88" s="627" t="str">
        <f>_xlfn.TEXTJOIN(",",TRUE,IF(LEFT(Regions!$C$3,1)&lt;&gt;"*",Regions!$C$3,""),IF(LEFT(Regions!$D$3,1)&lt;&gt;"*",Regions!$D$3,""))</f>
        <v>IE,National</v>
      </c>
      <c r="C88" s="293"/>
      <c r="D88" s="293"/>
      <c r="E88" s="293" t="str">
        <f>COMM!$O$30</f>
        <v>RSDWH_Apt</v>
      </c>
      <c r="F88" s="293"/>
      <c r="G88" s="737"/>
      <c r="H88" s="737"/>
      <c r="I88" s="737"/>
      <c r="J88" s="293"/>
      <c r="K88" s="293"/>
      <c r="L88" s="738">
        <f>P88</f>
        <v>1.0457841158055054E-2</v>
      </c>
      <c r="N88" s="807"/>
      <c r="O88" s="800"/>
      <c r="P88" s="811">
        <f>AS39*(1+Q103)</f>
        <v>1.0457841158055054E-2</v>
      </c>
      <c r="Q88" s="808">
        <f>P88*G86</f>
        <v>0.26947635913252199</v>
      </c>
      <c r="R88" s="800"/>
      <c r="S88" s="808"/>
      <c r="T88" s="832"/>
      <c r="U88" s="808"/>
    </row>
    <row r="89" spans="2:21">
      <c r="B89" s="626" t="str">
        <f>_xlfn.TEXTJOIN(",",TRUE,IF(LEFT(Regions!$C$3,1)&lt;&gt;"*",Regions!$C$3,""),IF(LEFT(Regions!$D$3,1)&lt;&gt;"*",Regions!$D$3,""))</f>
        <v>IE,National</v>
      </c>
      <c r="C89" s="449"/>
      <c r="D89" s="448"/>
      <c r="E89" s="448" t="str">
        <f>COMM!$O$33</f>
        <v>RSDLT_Apt</v>
      </c>
      <c r="F89" s="448"/>
      <c r="G89" s="733"/>
      <c r="H89" s="733"/>
      <c r="I89" s="733"/>
      <c r="J89" s="448"/>
      <c r="K89" s="448"/>
      <c r="L89" s="734">
        <f>R89</f>
        <v>5.8833522338227453E-4</v>
      </c>
      <c r="N89" s="807"/>
      <c r="O89" s="800"/>
      <c r="P89" s="811"/>
      <c r="Q89" s="808"/>
      <c r="R89" s="800">
        <f>AT39*(1+S103)</f>
        <v>5.8833522338227453E-4</v>
      </c>
      <c r="S89" s="808">
        <f>R89*G86</f>
        <v>1.5160149360688895E-2</v>
      </c>
      <c r="T89" s="832"/>
      <c r="U89" s="808"/>
    </row>
    <row r="90" spans="2:21" ht="13" thickBot="1">
      <c r="B90" s="628" t="str">
        <f>_xlfn.TEXTJOIN(",",TRUE,IF(LEFT(Regions!$C$3,1)&lt;&gt;"*",Regions!$C$3,""),IF(LEFT(Regions!$D$3,1)&lt;&gt;"*",Regions!$D$3,""))</f>
        <v>IE,National</v>
      </c>
      <c r="C90" s="629"/>
      <c r="D90" s="629"/>
      <c r="E90" s="629" t="str">
        <f>COMM!$O$36</f>
        <v>RSDPF_Apt</v>
      </c>
      <c r="F90" s="629"/>
      <c r="G90" s="630"/>
      <c r="H90" s="630"/>
      <c r="I90" s="630"/>
      <c r="J90" s="629"/>
      <c r="K90" s="629"/>
      <c r="L90" s="741">
        <f>T90</f>
        <v>6.912755617635896E-5</v>
      </c>
      <c r="N90" s="829"/>
      <c r="O90" s="809"/>
      <c r="P90" s="830"/>
      <c r="Q90" s="810"/>
      <c r="R90" s="809"/>
      <c r="S90" s="810"/>
      <c r="T90" s="831">
        <f>AU39*(1+U103)</f>
        <v>6.912755617635896E-5</v>
      </c>
      <c r="U90" s="810">
        <f>T90*G86</f>
        <v>1.7812703284162874E-3</v>
      </c>
    </row>
    <row r="91" spans="2:21">
      <c r="B91" s="621" t="str">
        <f>_xlfn.TEXTJOIN(",",TRUE,IF(LEFT(Regions!$C$3,1)&lt;&gt;"*",Regions!$C$3,""),IF(LEFT(Regions!$D$3,1)&lt;&gt;"*",Regions!$D$3,""))</f>
        <v>IE,National</v>
      </c>
      <c r="C91" s="622" t="str">
        <f>Y22</f>
        <v>R-BLD_Apt_F</v>
      </c>
      <c r="D91" s="623" t="str">
        <f>Z22</f>
        <v>Residential Building Apartment _ F</v>
      </c>
      <c r="E91" s="622" t="str">
        <f>COMM!$O$21</f>
        <v>RSDSH_Apt-F</v>
      </c>
      <c r="F91" s="623" t="str">
        <f>COMM!$O$6</f>
        <v>RSD_Apt</v>
      </c>
      <c r="G91" s="625">
        <f>AG15/1000</f>
        <v>12.331173226884033</v>
      </c>
      <c r="H91" s="625">
        <f>G91*$AH$26</f>
        <v>10.275566649962466</v>
      </c>
      <c r="I91" s="625">
        <v>1</v>
      </c>
      <c r="J91" s="623">
        <v>100</v>
      </c>
      <c r="K91" s="623">
        <v>1</v>
      </c>
      <c r="L91" s="731">
        <f>N91</f>
        <v>2.0654175596908388E-2</v>
      </c>
      <c r="N91" s="825">
        <f>ABS(AR40*DwellingStocks!O25*(1+$O$103))</f>
        <v>2.0654175596908388E-2</v>
      </c>
      <c r="O91" s="826">
        <f>N91*G91</f>
        <v>0.25469021714395823</v>
      </c>
      <c r="P91" s="811"/>
      <c r="Q91" s="808"/>
      <c r="R91" s="800"/>
      <c r="S91" s="808"/>
      <c r="T91" s="832"/>
      <c r="U91" s="808"/>
    </row>
    <row r="92" spans="2:21">
      <c r="B92" s="626" t="str">
        <f>_xlfn.TEXTJOIN(",",TRUE,IF(LEFT(Regions!$C$3,1)&lt;&gt;"*",Regions!$C$3,""),IF(LEFT(Regions!$D$3,1)&lt;&gt;"*",Regions!$D$3,""))</f>
        <v>IE,National</v>
      </c>
      <c r="C92" s="449"/>
      <c r="D92" s="448"/>
      <c r="E92" s="448" t="str">
        <f>COMM!$O$27</f>
        <v>RSDSC_Apt</v>
      </c>
      <c r="F92" s="448"/>
      <c r="G92" s="733"/>
      <c r="H92" s="733"/>
      <c r="I92" s="733"/>
      <c r="J92" s="448"/>
      <c r="K92" s="448"/>
      <c r="L92" s="734"/>
      <c r="N92" s="807"/>
      <c r="O92" s="800"/>
      <c r="P92" s="811"/>
      <c r="Q92" s="808"/>
      <c r="R92" s="800"/>
      <c r="S92" s="808"/>
      <c r="T92" s="832"/>
      <c r="U92" s="808"/>
    </row>
    <row r="93" spans="2:21">
      <c r="B93" s="627" t="str">
        <f>_xlfn.TEXTJOIN(",",TRUE,IF(LEFT(Regions!$C$3,1)&lt;&gt;"*",Regions!$C$3,""),IF(LEFT(Regions!$D$3,1)&lt;&gt;"*",Regions!$D$3,""))</f>
        <v>IE,National</v>
      </c>
      <c r="C93" s="293"/>
      <c r="D93" s="293"/>
      <c r="E93" s="293" t="str">
        <f>COMM!$O$30</f>
        <v>RSDWH_Apt</v>
      </c>
      <c r="F93" s="293"/>
      <c r="G93" s="737"/>
      <c r="H93" s="737"/>
      <c r="I93" s="737"/>
      <c r="J93" s="293"/>
      <c r="K93" s="293"/>
      <c r="L93" s="738">
        <f>P93</f>
        <v>1.0592199244765043E-2</v>
      </c>
      <c r="N93" s="807"/>
      <c r="O93" s="800"/>
      <c r="P93" s="811">
        <f>AS40*(1+Q103)</f>
        <v>1.0592199244765043E-2</v>
      </c>
      <c r="Q93" s="808">
        <f>P93*G91</f>
        <v>0.13061424374086797</v>
      </c>
      <c r="R93" s="800"/>
      <c r="S93" s="808"/>
      <c r="T93" s="832"/>
      <c r="U93" s="808"/>
    </row>
    <row r="94" spans="2:21">
      <c r="B94" s="626" t="str">
        <f>_xlfn.TEXTJOIN(",",TRUE,IF(LEFT(Regions!$C$3,1)&lt;&gt;"*",Regions!$C$3,""),IF(LEFT(Regions!$D$3,1)&lt;&gt;"*",Regions!$D$3,""))</f>
        <v>IE,National</v>
      </c>
      <c r="C94" s="449"/>
      <c r="D94" s="448"/>
      <c r="E94" s="448" t="str">
        <f>COMM!$O$33</f>
        <v>RSDLT_Apt</v>
      </c>
      <c r="F94" s="448"/>
      <c r="G94" s="733"/>
      <c r="H94" s="733"/>
      <c r="I94" s="733"/>
      <c r="J94" s="448"/>
      <c r="K94" s="448"/>
      <c r="L94" s="734">
        <f>R94</f>
        <v>5.5338501641265248E-4</v>
      </c>
      <c r="N94" s="807"/>
      <c r="O94" s="800"/>
      <c r="P94" s="811"/>
      <c r="Q94" s="808"/>
      <c r="R94" s="800">
        <f>AT40*(1+S103)</f>
        <v>5.5338501641265248E-4</v>
      </c>
      <c r="S94" s="808">
        <f>R94*G91</f>
        <v>6.8238864985464814E-3</v>
      </c>
      <c r="T94" s="832"/>
      <c r="U94" s="808"/>
    </row>
    <row r="95" spans="2:21" ht="13" thickBot="1">
      <c r="B95" s="628" t="str">
        <f>_xlfn.TEXTJOIN(",",TRUE,IF(LEFT(Regions!$C$3,1)&lt;&gt;"*",Regions!$C$3,""),IF(LEFT(Regions!$D$3,1)&lt;&gt;"*",Regions!$D$3,""))</f>
        <v>IE,National</v>
      </c>
      <c r="C95" s="629"/>
      <c r="D95" s="629"/>
      <c r="E95" s="629" t="str">
        <f>COMM!$O$36</f>
        <v>RSDPF_Apt</v>
      </c>
      <c r="F95" s="629"/>
      <c r="G95" s="630"/>
      <c r="H95" s="630"/>
      <c r="I95" s="630"/>
      <c r="J95" s="629"/>
      <c r="K95" s="629"/>
      <c r="L95" s="741">
        <f>T95</f>
        <v>8.4873154087721639E-5</v>
      </c>
      <c r="N95" s="807"/>
      <c r="O95" s="800"/>
      <c r="P95" s="811"/>
      <c r="Q95" s="808"/>
      <c r="R95" s="800"/>
      <c r="S95" s="808"/>
      <c r="T95" s="832">
        <f>AU40*(1+U103)</f>
        <v>8.4873154087721639E-5</v>
      </c>
      <c r="U95" s="808">
        <f>T95*G91</f>
        <v>1.0465855653677162E-3</v>
      </c>
    </row>
    <row r="96" spans="2:21">
      <c r="B96" s="621" t="str">
        <f>_xlfn.TEXTJOIN(",",TRUE,IF(LEFT(Regions!$C$3,1)&lt;&gt;"*",Regions!$C$3,""),IF(LEFT(Regions!$D$3,1)&lt;&gt;"*",Regions!$D$3,""))</f>
        <v>IE,National</v>
      </c>
      <c r="C96" s="622" t="str">
        <f>Y23</f>
        <v>R-BLD_Apt_G</v>
      </c>
      <c r="D96" s="623" t="str">
        <f>Z23</f>
        <v>Residential Building Apartment _ G</v>
      </c>
      <c r="E96" s="622" t="str">
        <f>COMM!$O$24</f>
        <v>RSDSH_Apt-G</v>
      </c>
      <c r="F96" s="623" t="str">
        <f>COMM!$O$6</f>
        <v>RSD_Apt</v>
      </c>
      <c r="G96" s="625">
        <f>AG16/1000</f>
        <v>15.211172212670604</v>
      </c>
      <c r="H96" s="625">
        <f>G96*$AH$26</f>
        <v>12.675469804818414</v>
      </c>
      <c r="I96" s="625">
        <v>1</v>
      </c>
      <c r="J96" s="623">
        <v>100</v>
      </c>
      <c r="K96" s="623">
        <v>1</v>
      </c>
      <c r="L96" s="731">
        <f>N96</f>
        <v>2.4957951986448179E-2</v>
      </c>
      <c r="N96" s="825">
        <f>ABS(AR41*DwellingStocks!O26*(1+$O$103))</f>
        <v>2.4957951986448179E-2</v>
      </c>
      <c r="O96" s="826">
        <f>N96*G96</f>
        <v>0.37963970574142764</v>
      </c>
      <c r="P96" s="827"/>
      <c r="Q96" s="828"/>
      <c r="R96" s="826"/>
      <c r="S96" s="828"/>
      <c r="T96" s="833"/>
      <c r="U96" s="828"/>
    </row>
    <row r="97" spans="2:22">
      <c r="B97" s="626" t="str">
        <f>_xlfn.TEXTJOIN(",",TRUE,IF(LEFT(Regions!$C$3,1)&lt;&gt;"*",Regions!$C$3,""),IF(LEFT(Regions!$D$3,1)&lt;&gt;"*",Regions!$D$3,""))</f>
        <v>IE,National</v>
      </c>
      <c r="C97" s="449"/>
      <c r="D97" s="448"/>
      <c r="E97" s="448" t="str">
        <f>COMM!$O$27</f>
        <v>RSDSC_Apt</v>
      </c>
      <c r="F97" s="448"/>
      <c r="G97" s="733"/>
      <c r="H97" s="733"/>
      <c r="I97" s="733"/>
      <c r="J97" s="448"/>
      <c r="K97" s="448"/>
      <c r="L97" s="734"/>
      <c r="N97" s="320"/>
      <c r="P97" s="320"/>
      <c r="Q97" s="339"/>
      <c r="R97" s="800"/>
      <c r="S97" s="808"/>
      <c r="T97" s="832"/>
      <c r="U97" s="339"/>
    </row>
    <row r="98" spans="2:22">
      <c r="B98" s="627" t="str">
        <f>_xlfn.TEXTJOIN(",",TRUE,IF(LEFT(Regions!$C$3,1)&lt;&gt;"*",Regions!$C$3,""),IF(LEFT(Regions!$D$3,1)&lt;&gt;"*",Regions!$D$3,""))</f>
        <v>IE,National</v>
      </c>
      <c r="C98" s="293"/>
      <c r="D98" s="293"/>
      <c r="E98" s="293" t="str">
        <f>COMM!$O$30</f>
        <v>RSDWH_Apt</v>
      </c>
      <c r="F98" s="293"/>
      <c r="G98" s="737"/>
      <c r="H98" s="737"/>
      <c r="I98" s="737"/>
      <c r="J98" s="293"/>
      <c r="K98" s="293"/>
      <c r="L98" s="738">
        <f>P98</f>
        <v>1.0115117299883687E-2</v>
      </c>
      <c r="N98" s="320"/>
      <c r="P98" s="811">
        <f>AS41*(1+Q103)</f>
        <v>1.0115117299883687E-2</v>
      </c>
      <c r="Q98" s="808">
        <f>P98*G96</f>
        <v>0.15386279119989446</v>
      </c>
      <c r="R98" s="800"/>
      <c r="S98" s="808"/>
      <c r="T98" s="832"/>
      <c r="U98" s="339"/>
    </row>
    <row r="99" spans="2:22" ht="13">
      <c r="B99" s="626" t="str">
        <f>_xlfn.TEXTJOIN(",",TRUE,IF(LEFT(Regions!$C$3,1)&lt;&gt;"*",Regions!$C$3,""),IF(LEFT(Regions!$D$3,1)&lt;&gt;"*",Regions!$D$3,""))</f>
        <v>IE,National</v>
      </c>
      <c r="C99" s="449"/>
      <c r="D99" s="448"/>
      <c r="E99" s="448" t="str">
        <f>COMM!$O$33</f>
        <v>RSDLT_Apt</v>
      </c>
      <c r="F99" s="448"/>
      <c r="G99" s="733"/>
      <c r="H99" s="733"/>
      <c r="I99" s="733"/>
      <c r="J99" s="448"/>
      <c r="K99" s="448"/>
      <c r="L99" s="734">
        <f>R99</f>
        <v>5.3389673711355711E-4</v>
      </c>
      <c r="N99" s="320"/>
      <c r="P99" s="812"/>
      <c r="Q99" s="813"/>
      <c r="R99" s="800">
        <f>AT41*(1+S103)</f>
        <v>5.3389673711355711E-4</v>
      </c>
      <c r="S99" s="808">
        <f>R99*G96</f>
        <v>8.1211952120172418E-3</v>
      </c>
      <c r="T99" s="832"/>
      <c r="U99" s="339"/>
    </row>
    <row r="100" spans="2:22" ht="13.5" thickBot="1">
      <c r="B100" s="628" t="str">
        <f>_xlfn.TEXTJOIN(",",TRUE,IF(LEFT(Regions!$C$3,1)&lt;&gt;"*",Regions!$C$3,""),IF(LEFT(Regions!$D$3,1)&lt;&gt;"*",Regions!$D$3,""))</f>
        <v>IE,National</v>
      </c>
      <c r="C100" s="629"/>
      <c r="D100" s="629"/>
      <c r="E100" s="629" t="str">
        <f>COMM!$O$36</f>
        <v>RSDPF_Apt</v>
      </c>
      <c r="F100" s="629"/>
      <c r="G100" s="630"/>
      <c r="H100" s="630"/>
      <c r="I100" s="630"/>
      <c r="J100" s="629"/>
      <c r="K100" s="629"/>
      <c r="L100" s="741">
        <f>T100</f>
        <v>7.1426639989065964E-5</v>
      </c>
      <c r="N100" s="331"/>
      <c r="O100" s="801"/>
      <c r="P100" s="814"/>
      <c r="Q100" s="815"/>
      <c r="R100" s="809"/>
      <c r="S100" s="810"/>
      <c r="T100" s="831">
        <f>AU41*(1+U103)</f>
        <v>7.1426639989065964E-5</v>
      </c>
      <c r="U100" s="810">
        <f>T100*G96</f>
        <v>1.0864829214461071E-3</v>
      </c>
    </row>
    <row r="101" spans="2:22">
      <c r="B101" s="379" t="s">
        <v>254</v>
      </c>
      <c r="C101" s="293"/>
      <c r="D101" s="293"/>
      <c r="E101" s="379"/>
      <c r="F101" s="293"/>
      <c r="G101" s="737"/>
      <c r="H101" s="737"/>
      <c r="I101" s="737"/>
      <c r="J101" s="293"/>
      <c r="K101" s="293"/>
      <c r="L101" s="738"/>
      <c r="N101" s="329" t="s">
        <v>966</v>
      </c>
      <c r="O101" s="319">
        <f>'SHWLP-Apt'!AB27</f>
        <v>2.6198878444676876</v>
      </c>
      <c r="P101" s="323"/>
      <c r="Q101" s="324">
        <f>'SHWLP-Apt'!AB54</f>
        <v>2.3618769124773515</v>
      </c>
      <c r="R101" s="323"/>
      <c r="S101" s="324">
        <f>'SHWLP-Apt'!AB59</f>
        <v>0.1374141578895498</v>
      </c>
      <c r="T101" s="323"/>
      <c r="U101" s="324">
        <f>'SHWLP-Apt'!AB60</f>
        <v>4.2473092432448331E-2</v>
      </c>
    </row>
    <row r="102" spans="2:22">
      <c r="B102" s="379" t="s">
        <v>254</v>
      </c>
      <c r="C102" s="293"/>
      <c r="D102" s="293"/>
      <c r="E102" s="379"/>
      <c r="F102" s="293"/>
      <c r="G102" s="737"/>
      <c r="H102" s="737"/>
      <c r="I102" s="737"/>
      <c r="J102" s="293"/>
      <c r="K102" s="293"/>
      <c r="L102" s="738"/>
      <c r="N102" s="802" t="s">
        <v>958</v>
      </c>
      <c r="O102">
        <v>1.9499006999445294</v>
      </c>
      <c r="P102" s="320"/>
      <c r="Q102" s="339">
        <v>2.0059041635937755</v>
      </c>
      <c r="R102" s="320"/>
      <c r="S102">
        <v>0.38210551394268344</v>
      </c>
      <c r="T102" s="320"/>
      <c r="U102" s="339">
        <v>8.1581253236782142E-2</v>
      </c>
    </row>
    <row r="103" spans="2:22" ht="13">
      <c r="B103" s="379" t="s">
        <v>254</v>
      </c>
      <c r="C103" s="293"/>
      <c r="D103" s="293"/>
      <c r="E103" s="379"/>
      <c r="F103" s="293"/>
      <c r="G103" s="737"/>
      <c r="H103" s="737"/>
      <c r="I103" s="737"/>
      <c r="J103" s="293"/>
      <c r="K103" s="293"/>
      <c r="L103" s="738"/>
      <c r="N103" s="803" t="s">
        <v>959</v>
      </c>
      <c r="O103" s="804">
        <f>((O101-O102)/O102)</f>
        <v>0.3436006482495329</v>
      </c>
      <c r="P103" s="320"/>
      <c r="Q103" s="804">
        <f>((Q101-Q102)/Q102)</f>
        <v>0.17746249065349942</v>
      </c>
      <c r="R103" s="320"/>
      <c r="S103" s="804">
        <f>((S101-S102)/S102)</f>
        <v>-0.64037640684200592</v>
      </c>
      <c r="T103" s="320"/>
      <c r="U103" s="816">
        <f>((U101-U102)/U102)</f>
        <v>-0.47937680842957808</v>
      </c>
    </row>
    <row r="104" spans="2:22">
      <c r="B104" s="379" t="s">
        <v>254</v>
      </c>
      <c r="C104" s="293"/>
      <c r="D104" s="293"/>
      <c r="E104" s="379"/>
      <c r="F104" s="293"/>
      <c r="G104" s="737"/>
      <c r="H104" s="737"/>
      <c r="I104" s="737"/>
      <c r="J104" s="293"/>
      <c r="K104" s="293"/>
      <c r="L104" s="738"/>
      <c r="N104" s="802" t="s">
        <v>960</v>
      </c>
      <c r="O104" s="800">
        <f>SUM(O56:O96)</f>
        <v>2.6198878444676876</v>
      </c>
      <c r="P104" s="320"/>
      <c r="Q104" s="808">
        <f>SUM(Q56:Q100)</f>
        <v>2.3618769124773515</v>
      </c>
      <c r="R104" s="320"/>
      <c r="S104" s="808">
        <f>SUM(S56:S100)</f>
        <v>0.1374141578895498</v>
      </c>
      <c r="T104" s="320"/>
      <c r="U104" s="808">
        <f>SUM(U56:U100)</f>
        <v>4.2473092432448331E-2</v>
      </c>
      <c r="V104" s="800">
        <f>SUM(O104:U104)</f>
        <v>5.1616520072670378</v>
      </c>
    </row>
    <row r="105" spans="2:22" ht="13.5" thickBot="1">
      <c r="B105" s="379" t="s">
        <v>254</v>
      </c>
      <c r="C105" s="293"/>
      <c r="D105" s="293"/>
      <c r="E105" s="379"/>
      <c r="F105" s="293"/>
      <c r="G105" s="737"/>
      <c r="H105" s="737"/>
      <c r="I105" s="737"/>
      <c r="J105" s="293"/>
      <c r="K105" s="293"/>
      <c r="L105" s="738"/>
      <c r="N105" s="805" t="s">
        <v>961</v>
      </c>
      <c r="O105" s="806">
        <f>((O101-O104)/O104)</f>
        <v>0</v>
      </c>
      <c r="P105" s="331"/>
      <c r="Q105" s="817">
        <f t="shared" ref="Q105" si="27">((Q101-Q104)/Q104)</f>
        <v>0</v>
      </c>
      <c r="R105" s="331"/>
      <c r="S105" s="817">
        <f t="shared" ref="S105" si="28">((S101-S104)/S104)</f>
        <v>0</v>
      </c>
      <c r="T105" s="331"/>
      <c r="U105" s="817">
        <f>((U101-U104)/U104)</f>
        <v>0</v>
      </c>
    </row>
    <row r="106" spans="2:22">
      <c r="B106" s="621" t="str">
        <f>_xlfn.TEXTJOIN(",",TRUE,IF(LEFT(Regions!$C$3,1)&lt;&gt;"*",Regions!$C$3,""),IF(LEFT(Regions!$D$3,1)&lt;&gt;"*",Regions!$D$3,""))</f>
        <v>IE,National</v>
      </c>
      <c r="C106" s="622" t="str">
        <f>Y24</f>
        <v>R-BLD_Det_A</v>
      </c>
      <c r="D106" s="623" t="str">
        <f>Z24</f>
        <v>Residential Building Detached _ A</v>
      </c>
      <c r="E106" s="622" t="str">
        <f>COMM!$O$11</f>
        <v>RSDSH_Det-AB</v>
      </c>
      <c r="F106" s="623" t="str">
        <f>COMM!$O$8</f>
        <v>RSD_Det</v>
      </c>
      <c r="G106" s="625">
        <f>AI8/1000</f>
        <v>31.355706337556118</v>
      </c>
      <c r="H106" s="625">
        <f>G106*$AH$26</f>
        <v>26.128710091085516</v>
      </c>
      <c r="I106" s="625">
        <v>1</v>
      </c>
      <c r="J106" s="623">
        <v>100</v>
      </c>
      <c r="K106" s="623">
        <v>1</v>
      </c>
      <c r="L106" s="731">
        <f>ABS(AR62)*0.853224702081462*0.63908</f>
        <v>2.4058665241777602E-3</v>
      </c>
      <c r="N106" s="825">
        <f>ABS(AR62*DwellingStocks!Q18*(1+O153))</f>
        <v>8.0055424669821934E-3</v>
      </c>
      <c r="O106" s="826">
        <f>N106*G106</f>
        <v>0.25101943866752818</v>
      </c>
      <c r="P106" s="827"/>
      <c r="Q106" s="828"/>
      <c r="R106" s="827"/>
      <c r="S106" s="828"/>
      <c r="T106" s="826"/>
      <c r="U106" s="828"/>
    </row>
    <row r="107" spans="2:22">
      <c r="B107" s="626" t="str">
        <f>_xlfn.TEXTJOIN(",",TRUE,IF(LEFT(Regions!$C$3,1)&lt;&gt;"*",Regions!$C$3,""),IF(LEFT(Regions!$D$3,1)&lt;&gt;"*",Regions!$D$3,""))</f>
        <v>IE,National</v>
      </c>
      <c r="C107" s="449"/>
      <c r="D107" s="448"/>
      <c r="E107" s="448" t="str">
        <f>COMM!$O$29</f>
        <v>RSDSC_Det</v>
      </c>
      <c r="F107" s="448"/>
      <c r="G107" s="733"/>
      <c r="H107" s="733"/>
      <c r="I107" s="733"/>
      <c r="J107" s="448"/>
      <c r="K107" s="448"/>
      <c r="L107" s="734"/>
      <c r="N107" s="807"/>
      <c r="O107" s="800"/>
      <c r="P107" s="811"/>
      <c r="Q107" s="808"/>
      <c r="R107" s="811"/>
      <c r="S107" s="808"/>
      <c r="T107" s="800"/>
      <c r="U107" s="808"/>
    </row>
    <row r="108" spans="2:22">
      <c r="B108" s="627" t="str">
        <f>_xlfn.TEXTJOIN(",",TRUE,IF(LEFT(Regions!$C$3,1)&lt;&gt;"*",Regions!$C$3,""),IF(LEFT(Regions!$D$3,1)&lt;&gt;"*",Regions!$D$3,""))</f>
        <v>IE,National</v>
      </c>
      <c r="C108" s="293"/>
      <c r="D108" s="293"/>
      <c r="E108" s="293" t="str">
        <f>COMM!$O$32</f>
        <v>RSDWH_Det</v>
      </c>
      <c r="F108" s="293"/>
      <c r="G108" s="737"/>
      <c r="H108" s="737"/>
      <c r="I108" s="737"/>
      <c r="J108" s="293"/>
      <c r="K108" s="293"/>
      <c r="L108" s="738">
        <f>AS62*0.742731884673138*0.63908</f>
        <v>4.2605415152040874E-3</v>
      </c>
      <c r="N108" s="807"/>
      <c r="O108" s="800"/>
      <c r="P108" s="811">
        <f>AS62*(1+Q153)</f>
        <v>5.8362343985197407E-3</v>
      </c>
      <c r="Q108" s="808">
        <f>P108*G106</f>
        <v>0.18299925191712846</v>
      </c>
      <c r="R108" s="811"/>
      <c r="S108" s="808"/>
      <c r="T108" s="800"/>
      <c r="U108" s="808"/>
    </row>
    <row r="109" spans="2:22">
      <c r="B109" s="626" t="str">
        <f>_xlfn.TEXTJOIN(",",TRUE,IF(LEFT(Regions!$C$3,1)&lt;&gt;"*",Regions!$C$3,""),IF(LEFT(Regions!$D$3,1)&lt;&gt;"*",Regions!$D$3,""))</f>
        <v>IE,National</v>
      </c>
      <c r="C109" s="449"/>
      <c r="D109" s="448"/>
      <c r="E109" s="448" t="str">
        <f>COMM!$O$35</f>
        <v>RSDLT_Det</v>
      </c>
      <c r="F109" s="448"/>
      <c r="G109" s="733"/>
      <c r="H109" s="733"/>
      <c r="I109" s="733"/>
      <c r="J109" s="448"/>
      <c r="K109" s="448"/>
      <c r="L109" s="734">
        <f>AT62*0.375703674683678*0.63908</f>
        <v>8.4666683429302934E-4</v>
      </c>
      <c r="N109" s="807"/>
      <c r="O109" s="800"/>
      <c r="P109" s="811"/>
      <c r="Q109" s="808"/>
      <c r="R109" s="811">
        <f>AT62*(1+S153)</f>
        <v>1.3286819680963047E-3</v>
      </c>
      <c r="S109" s="808">
        <f>R109*G106</f>
        <v>4.1661761607633838E-2</v>
      </c>
      <c r="T109" s="800"/>
      <c r="U109" s="808"/>
    </row>
    <row r="110" spans="2:22" ht="13" thickBot="1">
      <c r="B110" s="628" t="str">
        <f>_xlfn.TEXTJOIN(",",TRUE,IF(LEFT(Regions!$C$3,1)&lt;&gt;"*",Regions!$C$3,""),IF(LEFT(Regions!$D$3,1)&lt;&gt;"*",Regions!$D$3,""))</f>
        <v>IE,National</v>
      </c>
      <c r="C110" s="629"/>
      <c r="D110" s="629"/>
      <c r="E110" s="629" t="str">
        <f>COMM!$O$38</f>
        <v>RSDPF_Det</v>
      </c>
      <c r="F110" s="629"/>
      <c r="G110" s="630"/>
      <c r="H110" s="630"/>
      <c r="I110" s="630"/>
      <c r="J110" s="629"/>
      <c r="K110" s="629"/>
      <c r="L110" s="741">
        <f>AU62*0.568571740836304*0.63908</f>
        <v>6.6867996369597798E-4</v>
      </c>
      <c r="N110" s="829"/>
      <c r="O110" s="809"/>
      <c r="P110" s="830"/>
      <c r="Q110" s="810"/>
      <c r="R110" s="830"/>
      <c r="S110" s="810"/>
      <c r="T110" s="831">
        <f>AU62*(1+U153)</f>
        <v>9.5319378001130356E-4</v>
      </c>
      <c r="U110" s="810">
        <f>T110*G106</f>
        <v>2.9888064248819502E-2</v>
      </c>
    </row>
    <row r="111" spans="2:22">
      <c r="B111" s="621" t="str">
        <f>_xlfn.TEXTJOIN(",",TRUE,IF(LEFT(Regions!$C$3,1)&lt;&gt;"*",Regions!$C$3,""),IF(LEFT(Regions!$D$3,1)&lt;&gt;"*",Regions!$D$3,""))</f>
        <v>IE,National</v>
      </c>
      <c r="C111" s="622" t="str">
        <f>Y25</f>
        <v>R-BLD_Det_B1</v>
      </c>
      <c r="D111" s="623" t="str">
        <f>Z25</f>
        <v>Residential Building Detached _ B1</v>
      </c>
      <c r="E111" s="622" t="str">
        <f>COMM!$O$11</f>
        <v>RSDSH_Det-AB</v>
      </c>
      <c r="F111" s="623" t="str">
        <f>COMM!$O$8</f>
        <v>RSD_Det</v>
      </c>
      <c r="G111" s="625">
        <f>AI9/1000</f>
        <v>9.4339012004747342</v>
      </c>
      <c r="H111" s="625">
        <f>G111*$AH$26</f>
        <v>7.8612698703555965</v>
      </c>
      <c r="I111" s="625">
        <v>1</v>
      </c>
      <c r="J111" s="623">
        <v>100</v>
      </c>
      <c r="K111" s="623">
        <v>1</v>
      </c>
      <c r="L111" s="731">
        <f>ABS(AR63)*0.853224702081462</f>
        <v>2.071703416196638E-2</v>
      </c>
      <c r="N111" s="825">
        <f>ABS(AR63*DwellingStocks!Q19*(1+O153))</f>
        <v>3.2684947780093329E-2</v>
      </c>
      <c r="O111" s="826">
        <f>N111*G111</f>
        <v>0.30834656810007643</v>
      </c>
      <c r="P111" s="827"/>
      <c r="Q111" s="828"/>
      <c r="R111" s="827"/>
      <c r="S111" s="828"/>
      <c r="T111" s="826"/>
      <c r="U111" s="828"/>
    </row>
    <row r="112" spans="2:22">
      <c r="B112" s="626" t="str">
        <f>_xlfn.TEXTJOIN(",",TRUE,IF(LEFT(Regions!$C$3,1)&lt;&gt;"*",Regions!$C$3,""),IF(LEFT(Regions!$D$3,1)&lt;&gt;"*",Regions!$D$3,""))</f>
        <v>IE,National</v>
      </c>
      <c r="C112" s="449"/>
      <c r="D112" s="448"/>
      <c r="E112" s="448" t="str">
        <f>COMM!$O$29</f>
        <v>RSDSC_Det</v>
      </c>
      <c r="F112" s="448"/>
      <c r="G112" s="733"/>
      <c r="H112" s="733"/>
      <c r="I112" s="733"/>
      <c r="J112" s="448"/>
      <c r="K112" s="448"/>
      <c r="L112" s="734"/>
      <c r="N112" s="807"/>
      <c r="O112" s="800"/>
      <c r="P112" s="811"/>
      <c r="Q112" s="808"/>
      <c r="R112" s="811"/>
      <c r="S112" s="808"/>
      <c r="T112" s="800"/>
      <c r="U112" s="808"/>
    </row>
    <row r="113" spans="2:21">
      <c r="B113" s="627" t="str">
        <f>_xlfn.TEXTJOIN(",",TRUE,IF(LEFT(Regions!$C$3,1)&lt;&gt;"*",Regions!$C$3,""),IF(LEFT(Regions!$D$3,1)&lt;&gt;"*",Regions!$D$3,""))</f>
        <v>IE,National</v>
      </c>
      <c r="C113" s="293"/>
      <c r="D113" s="293"/>
      <c r="E113" s="293" t="str">
        <f>COMM!$O$32</f>
        <v>RSDWH_Det</v>
      </c>
      <c r="F113" s="293"/>
      <c r="G113" s="737"/>
      <c r="H113" s="737"/>
      <c r="I113" s="737"/>
      <c r="J113" s="293"/>
      <c r="K113" s="293"/>
      <c r="L113" s="738">
        <f>AS63*0.742731884673138</f>
        <v>8.8922350864476061E-3</v>
      </c>
      <c r="N113" s="807"/>
      <c r="O113" s="800"/>
      <c r="P113" s="811">
        <f>AS63*(1+Q153)</f>
        <v>7.7845602943228476E-3</v>
      </c>
      <c r="Q113" s="808">
        <f t="shared" ref="Q113" si="29">P113*G111</f>
        <v>7.3438772705780267E-2</v>
      </c>
      <c r="R113" s="811"/>
      <c r="S113" s="808"/>
      <c r="T113" s="800"/>
      <c r="U113" s="808"/>
    </row>
    <row r="114" spans="2:21">
      <c r="B114" s="626" t="str">
        <f>_xlfn.TEXTJOIN(",",TRUE,IF(LEFT(Regions!$C$3,1)&lt;&gt;"*",Regions!$C$3,""),IF(LEFT(Regions!$D$3,1)&lt;&gt;"*",Regions!$D$3,""))</f>
        <v>IE,National</v>
      </c>
      <c r="C114" s="449"/>
      <c r="D114" s="448"/>
      <c r="E114" s="448" t="str">
        <f>COMM!$O$35</f>
        <v>RSDLT_Det</v>
      </c>
      <c r="F114" s="448"/>
      <c r="G114" s="733"/>
      <c r="H114" s="733"/>
      <c r="I114" s="733"/>
      <c r="J114" s="448"/>
      <c r="K114" s="448"/>
      <c r="L114" s="734">
        <f>AT63*0.375703674683678</f>
        <v>1.7683153930356794E-3</v>
      </c>
      <c r="N114" s="807"/>
      <c r="O114" s="800"/>
      <c r="P114" s="811"/>
      <c r="Q114" s="808"/>
      <c r="R114" s="811">
        <f>AT63*(1+S153)</f>
        <v>1.7734683700287078E-3</v>
      </c>
      <c r="S114" s="808">
        <f t="shared" ref="S114" si="30">R114*G111</f>
        <v>1.6730725385017797E-2</v>
      </c>
      <c r="T114" s="800"/>
      <c r="U114" s="808"/>
    </row>
    <row r="115" spans="2:21" ht="13" thickBot="1">
      <c r="B115" s="628" t="str">
        <f>_xlfn.TEXTJOIN(",",TRUE,IF(LEFT(Regions!$C$3,1)&lt;&gt;"*",Regions!$C$3,""),IF(LEFT(Regions!$D$3,1)&lt;&gt;"*",Regions!$D$3,""))</f>
        <v>IE,National</v>
      </c>
      <c r="C115" s="629"/>
      <c r="D115" s="629"/>
      <c r="E115" s="629" t="str">
        <f>COMM!$O$38</f>
        <v>RSDPF_Det</v>
      </c>
      <c r="F115" s="629"/>
      <c r="G115" s="630"/>
      <c r="H115" s="630"/>
      <c r="I115" s="630"/>
      <c r="J115" s="629"/>
      <c r="K115" s="629"/>
      <c r="L115" s="741">
        <f>AU63*0.568571740836304</f>
        <v>7.5053716369545911E-4</v>
      </c>
      <c r="N115" s="829"/>
      <c r="O115" s="809"/>
      <c r="P115" s="830"/>
      <c r="Q115" s="810"/>
      <c r="R115" s="830"/>
      <c r="S115" s="810"/>
      <c r="T115" s="831">
        <f>AU63*(1+U153)</f>
        <v>6.8373894532517158E-4</v>
      </c>
      <c r="U115" s="810">
        <f t="shared" ref="U115" si="31">T115*G111</f>
        <v>6.4503256571144651E-3</v>
      </c>
    </row>
    <row r="116" spans="2:21">
      <c r="B116" s="621" t="str">
        <f>_xlfn.TEXTJOIN(",",TRUE,IF(LEFT(Regions!$C$3,1)&lt;&gt;"*",Regions!$C$3,""),IF(LEFT(Regions!$D$3,1)&lt;&gt;"*",Regions!$D$3,""))</f>
        <v>IE,National</v>
      </c>
      <c r="C116" s="622" t="str">
        <f>Y26</f>
        <v>R-BLD_Det_B2</v>
      </c>
      <c r="D116" s="623" t="str">
        <f>Z26</f>
        <v>Residential Building Detached _ B2</v>
      </c>
      <c r="E116" s="622" t="str">
        <f>COMM!$O$11</f>
        <v>RSDSH_Det-AB</v>
      </c>
      <c r="F116" s="623" t="str">
        <f>COMM!$O$8</f>
        <v>RSD_Det</v>
      </c>
      <c r="G116" s="625">
        <f>AI10/1000</f>
        <v>20.090949195825139</v>
      </c>
      <c r="H116" s="625">
        <f>G116*$AH$26</f>
        <v>16.741787964881091</v>
      </c>
      <c r="I116" s="625">
        <v>1</v>
      </c>
      <c r="J116" s="623">
        <v>100</v>
      </c>
      <c r="K116" s="623">
        <v>1</v>
      </c>
      <c r="L116" s="731">
        <f>ABS(AR64)*0.853224702081462</f>
        <v>3.3083652738783227E-2</v>
      </c>
      <c r="N116" s="825">
        <f>ABS(AR64*DwellingStocks!Q20*(1+O153))</f>
        <v>5.2195572671645152E-2</v>
      </c>
      <c r="O116" s="826">
        <f>N116*G116</f>
        <v>1.0486585987930217</v>
      </c>
      <c r="P116" s="827"/>
      <c r="Q116" s="828"/>
      <c r="R116" s="827"/>
      <c r="S116" s="828"/>
      <c r="T116" s="826"/>
      <c r="U116" s="828"/>
    </row>
    <row r="117" spans="2:21">
      <c r="B117" s="626" t="str">
        <f>_xlfn.TEXTJOIN(",",TRUE,IF(LEFT(Regions!$C$3,1)&lt;&gt;"*",Regions!$C$3,""),IF(LEFT(Regions!$D$3,1)&lt;&gt;"*",Regions!$D$3,""))</f>
        <v>IE,National</v>
      </c>
      <c r="C117" s="449"/>
      <c r="D117" s="448"/>
      <c r="E117" s="448" t="str">
        <f>COMM!$O$29</f>
        <v>RSDSC_Det</v>
      </c>
      <c r="F117" s="448"/>
      <c r="G117" s="733"/>
      <c r="H117" s="733"/>
      <c r="I117" s="733"/>
      <c r="J117" s="448"/>
      <c r="K117" s="448"/>
      <c r="L117" s="734"/>
      <c r="N117" s="807"/>
      <c r="O117" s="800"/>
      <c r="P117" s="811"/>
      <c r="Q117" s="808"/>
      <c r="R117" s="811"/>
      <c r="S117" s="808"/>
      <c r="T117" s="800"/>
      <c r="U117" s="808"/>
    </row>
    <row r="118" spans="2:21">
      <c r="B118" s="627" t="str">
        <f>_xlfn.TEXTJOIN(",",TRUE,IF(LEFT(Regions!$C$3,1)&lt;&gt;"*",Regions!$C$3,""),IF(LEFT(Regions!$D$3,1)&lt;&gt;"*",Regions!$D$3,""))</f>
        <v>IE,National</v>
      </c>
      <c r="C118" s="293"/>
      <c r="D118" s="293"/>
      <c r="E118" s="293" t="str">
        <f>COMM!$O$32</f>
        <v>RSDWH_Det</v>
      </c>
      <c r="F118" s="293"/>
      <c r="G118" s="737"/>
      <c r="H118" s="737"/>
      <c r="I118" s="737"/>
      <c r="J118" s="293"/>
      <c r="K118" s="293"/>
      <c r="L118" s="738">
        <f>AS64*0.742731884673138</f>
        <v>1.1723646251772786E-2</v>
      </c>
      <c r="N118" s="807"/>
      <c r="O118" s="800"/>
      <c r="P118" s="811">
        <f>AS64*(1+Q153)</f>
        <v>1.0263272420151062E-2</v>
      </c>
      <c r="Q118" s="808">
        <f t="shared" ref="Q118" si="32">P118*G116</f>
        <v>0.2061988847761683</v>
      </c>
      <c r="R118" s="811"/>
      <c r="S118" s="808"/>
      <c r="T118" s="800"/>
      <c r="U118" s="808"/>
    </row>
    <row r="119" spans="2:21">
      <c r="B119" s="626" t="str">
        <f>_xlfn.TEXTJOIN(",",TRUE,IF(LEFT(Regions!$C$3,1)&lt;&gt;"*",Regions!$C$3,""),IF(LEFT(Regions!$D$3,1)&lt;&gt;"*",Regions!$D$3,""))</f>
        <v>IE,National</v>
      </c>
      <c r="C119" s="449"/>
      <c r="D119" s="448"/>
      <c r="E119" s="448" t="str">
        <f>COMM!$O$35</f>
        <v>RSDLT_Det</v>
      </c>
      <c r="F119" s="448"/>
      <c r="G119" s="733"/>
      <c r="H119" s="733"/>
      <c r="I119" s="733"/>
      <c r="J119" s="448"/>
      <c r="K119" s="448"/>
      <c r="L119" s="734">
        <f>AT64*0.375703674683678</f>
        <v>2.004768212400896E-3</v>
      </c>
      <c r="N119" s="807"/>
      <c r="O119" s="800"/>
      <c r="P119" s="811"/>
      <c r="Q119" s="808"/>
      <c r="R119" s="811">
        <f>AT64*(1+S153)</f>
        <v>2.0106102270751685E-3</v>
      </c>
      <c r="S119" s="808">
        <f t="shared" ref="S119" si="33">R119*G116</f>
        <v>4.039506792477366E-2</v>
      </c>
      <c r="T119" s="800"/>
      <c r="U119" s="808"/>
    </row>
    <row r="120" spans="2:21" ht="13" thickBot="1">
      <c r="B120" s="628" t="str">
        <f>_xlfn.TEXTJOIN(",",TRUE,IF(LEFT(Regions!$C$3,1)&lt;&gt;"*",Regions!$C$3,""),IF(LEFT(Regions!$D$3,1)&lt;&gt;"*",Regions!$D$3,""))</f>
        <v>IE,National</v>
      </c>
      <c r="C120" s="629"/>
      <c r="D120" s="629"/>
      <c r="E120" s="629" t="str">
        <f>COMM!$O$38</f>
        <v>RSDPF_Det</v>
      </c>
      <c r="F120" s="629"/>
      <c r="G120" s="630"/>
      <c r="H120" s="630"/>
      <c r="I120" s="630"/>
      <c r="J120" s="629"/>
      <c r="K120" s="629"/>
      <c r="L120" s="741">
        <f>AU64*0.568571740836304</f>
        <v>5.911548427780883E-4</v>
      </c>
      <c r="N120" s="829"/>
      <c r="O120" s="809"/>
      <c r="P120" s="830"/>
      <c r="Q120" s="810"/>
      <c r="R120" s="830"/>
      <c r="S120" s="810"/>
      <c r="T120" s="831">
        <f>AU64*(1+U153)</f>
        <v>5.3854173820627185E-4</v>
      </c>
      <c r="U120" s="810">
        <f t="shared" ref="U120" si="34">T120*G116</f>
        <v>1.0819814702133571E-2</v>
      </c>
    </row>
    <row r="121" spans="2:21">
      <c r="B121" s="621" t="str">
        <f>_xlfn.TEXTJOIN(",",TRUE,IF(LEFT(Regions!$C$3,1)&lt;&gt;"*",Regions!$C$3,""),IF(LEFT(Regions!$D$3,1)&lt;&gt;"*",Regions!$D$3,""))</f>
        <v>IE,National</v>
      </c>
      <c r="C121" s="622" t="str">
        <f>Y27</f>
        <v>R-BLD_Det_B3</v>
      </c>
      <c r="D121" s="623" t="str">
        <f>Z27</f>
        <v>Residential Building Detached _ B3</v>
      </c>
      <c r="E121" s="622" t="str">
        <f>COMM!$O$11</f>
        <v>RSDSH_Det-AB</v>
      </c>
      <c r="F121" s="623" t="str">
        <f>COMM!$O$8</f>
        <v>RSD_Det</v>
      </c>
      <c r="G121" s="625">
        <f>AI11/1000</f>
        <v>53.466210043981668</v>
      </c>
      <c r="H121" s="625">
        <f>G121*$AH$26</f>
        <v>44.55339282964993</v>
      </c>
      <c r="I121" s="625">
        <v>1</v>
      </c>
      <c r="J121" s="623">
        <v>100</v>
      </c>
      <c r="K121" s="623">
        <v>1</v>
      </c>
      <c r="L121" s="731">
        <f>ABS(AR65)*0.853224702081462</f>
        <v>3.8234291164306322E-2</v>
      </c>
      <c r="N121" s="825">
        <f>ABS(AR65*DwellingStocks!Q21*(1+O153))</f>
        <v>6.0321656099234844E-2</v>
      </c>
      <c r="O121" s="826">
        <f>N121*G121</f>
        <v>3.2251703352025181</v>
      </c>
      <c r="P121" s="827"/>
      <c r="Q121" s="828"/>
      <c r="R121" s="827"/>
      <c r="S121" s="828"/>
      <c r="T121" s="826"/>
      <c r="U121" s="828"/>
    </row>
    <row r="122" spans="2:21">
      <c r="B122" s="626" t="str">
        <f>_xlfn.TEXTJOIN(",",TRUE,IF(LEFT(Regions!$C$3,1)&lt;&gt;"*",Regions!$C$3,""),IF(LEFT(Regions!$D$3,1)&lt;&gt;"*",Regions!$D$3,""))</f>
        <v>IE,National</v>
      </c>
      <c r="C122" s="449"/>
      <c r="D122" s="448"/>
      <c r="E122" s="448" t="str">
        <f>COMM!$O$29</f>
        <v>RSDSC_Det</v>
      </c>
      <c r="F122" s="448"/>
      <c r="G122" s="733"/>
      <c r="H122" s="733"/>
      <c r="I122" s="733"/>
      <c r="J122" s="448"/>
      <c r="K122" s="448"/>
      <c r="L122" s="734"/>
      <c r="N122" s="807"/>
      <c r="O122" s="800"/>
      <c r="P122" s="811"/>
      <c r="Q122" s="808"/>
      <c r="R122" s="811"/>
      <c r="S122" s="808"/>
      <c r="T122" s="800"/>
      <c r="U122" s="808"/>
    </row>
    <row r="123" spans="2:21">
      <c r="B123" s="627" t="str">
        <f>_xlfn.TEXTJOIN(",",TRUE,IF(LEFT(Regions!$C$3,1)&lt;&gt;"*",Regions!$C$3,""),IF(LEFT(Regions!$D$3,1)&lt;&gt;"*",Regions!$D$3,""))</f>
        <v>IE,National</v>
      </c>
      <c r="C123" s="293"/>
      <c r="D123" s="293"/>
      <c r="E123" s="293" t="str">
        <f>COMM!$O$32</f>
        <v>RSDWH_Det</v>
      </c>
      <c r="F123" s="293"/>
      <c r="G123" s="737"/>
      <c r="H123" s="737"/>
      <c r="I123" s="737"/>
      <c r="J123" s="293"/>
      <c r="K123" s="293"/>
      <c r="L123" s="738">
        <f>AS65*0.742731884673138</f>
        <v>1.3255956176612656E-2</v>
      </c>
      <c r="N123" s="807"/>
      <c r="O123" s="800"/>
      <c r="P123" s="811">
        <f>AS65*(1+Q153)</f>
        <v>1.1604707827958144E-2</v>
      </c>
      <c r="Q123" s="808">
        <f t="shared" ref="Q123" si="35">P123*G121</f>
        <v>0.62045974622864841</v>
      </c>
      <c r="R123" s="811"/>
      <c r="S123" s="808"/>
      <c r="T123" s="800"/>
      <c r="U123" s="808"/>
    </row>
    <row r="124" spans="2:21">
      <c r="B124" s="626" t="str">
        <f>_xlfn.TEXTJOIN(",",TRUE,IF(LEFT(Regions!$C$3,1)&lt;&gt;"*",Regions!$C$3,""),IF(LEFT(Regions!$D$3,1)&lt;&gt;"*",Regions!$D$3,""))</f>
        <v>IE,National</v>
      </c>
      <c r="C124" s="449"/>
      <c r="D124" s="448"/>
      <c r="E124" s="448" t="str">
        <f>COMM!$O$35</f>
        <v>RSDLT_Det</v>
      </c>
      <c r="F124" s="448"/>
      <c r="G124" s="733"/>
      <c r="H124" s="733"/>
      <c r="I124" s="733"/>
      <c r="J124" s="448"/>
      <c r="K124" s="448"/>
      <c r="L124" s="734">
        <f>AT65*0.375703674683678</f>
        <v>1.9617916456053579E-3</v>
      </c>
      <c r="N124" s="807"/>
      <c r="O124" s="800"/>
      <c r="P124" s="811"/>
      <c r="Q124" s="808"/>
      <c r="R124" s="811">
        <f>AT65*(1+S153)</f>
        <v>1.9675084239893117E-3</v>
      </c>
      <c r="S124" s="808">
        <f t="shared" ref="S124" si="36">R124*G121</f>
        <v>0.10519521866031588</v>
      </c>
      <c r="T124" s="800"/>
      <c r="U124" s="808"/>
    </row>
    <row r="125" spans="2:21" ht="13" thickBot="1">
      <c r="B125" s="628" t="str">
        <f>_xlfn.TEXTJOIN(",",TRUE,IF(LEFT(Regions!$C$3,1)&lt;&gt;"*",Regions!$C$3,""),IF(LEFT(Regions!$D$3,1)&lt;&gt;"*",Regions!$D$3,""))</f>
        <v>IE,National</v>
      </c>
      <c r="C125" s="629"/>
      <c r="D125" s="629"/>
      <c r="E125" s="629" t="str">
        <f>COMM!$O$38</f>
        <v>RSDPF_Det</v>
      </c>
      <c r="F125" s="629"/>
      <c r="G125" s="630"/>
      <c r="H125" s="630"/>
      <c r="I125" s="630"/>
      <c r="J125" s="629"/>
      <c r="K125" s="629"/>
      <c r="L125" s="741">
        <f>AU65*0.568571740836304</f>
        <v>5.1352659953481268E-4</v>
      </c>
      <c r="N125" s="829"/>
      <c r="O125" s="809"/>
      <c r="P125" s="830"/>
      <c r="Q125" s="810"/>
      <c r="R125" s="830"/>
      <c r="S125" s="810"/>
      <c r="T125" s="831">
        <f>AU64*(1+U153)</f>
        <v>5.3854173820627185E-4</v>
      </c>
      <c r="U125" s="810">
        <f t="shared" ref="U125" si="37">T125*G121</f>
        <v>2.8793785692387518E-2</v>
      </c>
    </row>
    <row r="126" spans="2:21">
      <c r="B126" s="621" t="str">
        <f>_xlfn.TEXTJOIN(",",TRUE,IF(LEFT(Regions!$C$3,1)&lt;&gt;"*",Regions!$C$3,""),IF(LEFT(Regions!$D$3,1)&lt;&gt;"*",Regions!$D$3,""))</f>
        <v>IE,National</v>
      </c>
      <c r="C126" s="622" t="str">
        <f>Y28</f>
        <v>R-BLD_Det_C</v>
      </c>
      <c r="D126" s="623" t="str">
        <f>Z28</f>
        <v>Residential Building Detached _ C</v>
      </c>
      <c r="E126" s="622" t="str">
        <f>COMM!$O$14</f>
        <v>RSDSH_Det-C</v>
      </c>
      <c r="F126" s="623" t="str">
        <f>COMM!$O$8</f>
        <v>RSD_Det</v>
      </c>
      <c r="G126" s="625">
        <f>AI12/1000</f>
        <v>251.3189336137435</v>
      </c>
      <c r="H126" s="625">
        <f>G126*$AH$26</f>
        <v>209.42406738033247</v>
      </c>
      <c r="I126" s="625">
        <v>1</v>
      </c>
      <c r="J126" s="623">
        <v>100</v>
      </c>
      <c r="K126" s="623">
        <v>1</v>
      </c>
      <c r="L126" s="731">
        <f>ABS(AR66)*0.853224702081462</f>
        <v>4.3300799885821681E-2</v>
      </c>
      <c r="N126" s="825">
        <f>ABS(AR66*DwellingStocks!Q22*(1+O153))</f>
        <v>4.4480288662774217E-2</v>
      </c>
      <c r="O126" s="826">
        <f>N126*G126</f>
        <v>11.1787387135599</v>
      </c>
      <c r="P126" s="827"/>
      <c r="Q126" s="828"/>
      <c r="R126" s="827"/>
      <c r="S126" s="828"/>
      <c r="T126" s="826"/>
      <c r="U126" s="828"/>
    </row>
    <row r="127" spans="2:21">
      <c r="B127" s="626" t="str">
        <f>_xlfn.TEXTJOIN(",",TRUE,IF(LEFT(Regions!$C$3,1)&lt;&gt;"*",Regions!$C$3,""),IF(LEFT(Regions!$D$3,1)&lt;&gt;"*",Regions!$D$3,""))</f>
        <v>IE,National</v>
      </c>
      <c r="C127" s="449"/>
      <c r="D127" s="448"/>
      <c r="E127" s="448" t="str">
        <f>COMM!$O$29</f>
        <v>RSDSC_Det</v>
      </c>
      <c r="F127" s="448"/>
      <c r="G127" s="733"/>
      <c r="H127" s="733"/>
      <c r="I127" s="733"/>
      <c r="J127" s="448"/>
      <c r="K127" s="448"/>
      <c r="L127" s="734"/>
      <c r="N127" s="807"/>
      <c r="O127" s="800"/>
      <c r="P127" s="811"/>
      <c r="Q127" s="808"/>
      <c r="R127" s="811"/>
      <c r="S127" s="808"/>
      <c r="T127" s="800"/>
      <c r="U127" s="808"/>
    </row>
    <row r="128" spans="2:21">
      <c r="B128" s="627" t="str">
        <f>_xlfn.TEXTJOIN(",",TRUE,IF(LEFT(Regions!$C$3,1)&lt;&gt;"*",Regions!$C$3,""),IF(LEFT(Regions!$D$3,1)&lt;&gt;"*",Regions!$D$3,""))</f>
        <v>IE,National</v>
      </c>
      <c r="C128" s="293"/>
      <c r="D128" s="293"/>
      <c r="E128" s="293" t="str">
        <f>COMM!$O$32</f>
        <v>RSDWH_Det</v>
      </c>
      <c r="F128" s="293"/>
      <c r="G128" s="737"/>
      <c r="H128" s="737"/>
      <c r="I128" s="737"/>
      <c r="J128" s="293"/>
      <c r="K128" s="293"/>
      <c r="L128" s="738">
        <f>AS66*0.742731884673138</f>
        <v>1.4139525083172063E-2</v>
      </c>
      <c r="N128" s="807"/>
      <c r="O128" s="800"/>
      <c r="P128" s="811">
        <f>AS66*(1+Q153)</f>
        <v>1.2378213629416707E-2</v>
      </c>
      <c r="Q128" s="808">
        <f t="shared" ref="Q128" si="38">P128*G126</f>
        <v>3.1108794493881122</v>
      </c>
      <c r="R128" s="811"/>
      <c r="S128" s="808"/>
      <c r="T128" s="800"/>
      <c r="U128" s="808"/>
    </row>
    <row r="129" spans="2:21">
      <c r="B129" s="626" t="str">
        <f>_xlfn.TEXTJOIN(",",TRUE,IF(LEFT(Regions!$C$3,1)&lt;&gt;"*",Regions!$C$3,""),IF(LEFT(Regions!$D$3,1)&lt;&gt;"*",Regions!$D$3,""))</f>
        <v>IE,National</v>
      </c>
      <c r="C129" s="449"/>
      <c r="D129" s="448"/>
      <c r="E129" s="448" t="str">
        <f>COMM!$O$35</f>
        <v>RSDLT_Det</v>
      </c>
      <c r="F129" s="448"/>
      <c r="G129" s="733"/>
      <c r="H129" s="733"/>
      <c r="I129" s="733"/>
      <c r="J129" s="448"/>
      <c r="K129" s="448"/>
      <c r="L129" s="734">
        <f>AT66*0.375703674683678</f>
        <v>1.7035279711745406E-3</v>
      </c>
      <c r="N129" s="807"/>
      <c r="O129" s="800"/>
      <c r="P129" s="811"/>
      <c r="Q129" s="808"/>
      <c r="R129" s="811">
        <f>AT66*(1+S153)</f>
        <v>1.7084921537389264E-3</v>
      </c>
      <c r="S129" s="808">
        <f t="shared" ref="S129" si="39">R129*G126</f>
        <v>0.4293764261651149</v>
      </c>
      <c r="T129" s="800"/>
      <c r="U129" s="808"/>
    </row>
    <row r="130" spans="2:21" ht="13" thickBot="1">
      <c r="B130" s="628" t="str">
        <f>_xlfn.TEXTJOIN(",",TRUE,IF(LEFT(Regions!$C$3,1)&lt;&gt;"*",Regions!$C$3,""),IF(LEFT(Regions!$D$3,1)&lt;&gt;"*",Regions!$D$3,""))</f>
        <v>IE,National</v>
      </c>
      <c r="C130" s="629"/>
      <c r="D130" s="629"/>
      <c r="E130" s="629" t="str">
        <f>COMM!$O$38</f>
        <v>RSDPF_Det</v>
      </c>
      <c r="F130" s="629"/>
      <c r="G130" s="630"/>
      <c r="H130" s="630"/>
      <c r="I130" s="630"/>
      <c r="J130" s="629"/>
      <c r="K130" s="629"/>
      <c r="L130" s="741">
        <f>AU66*0.568571740836304</f>
        <v>4.7564031426238504E-4</v>
      </c>
      <c r="N130" s="829"/>
      <c r="O130" s="809"/>
      <c r="P130" s="830"/>
      <c r="Q130" s="810"/>
      <c r="R130" s="830"/>
      <c r="S130" s="810"/>
      <c r="T130" s="831">
        <f>AU65*(1+U153)</f>
        <v>4.6782245110093661E-4</v>
      </c>
      <c r="U130" s="810">
        <f t="shared" ref="U130" si="40">T130*G126</f>
        <v>0.11757263953125505</v>
      </c>
    </row>
    <row r="131" spans="2:21">
      <c r="B131" s="621" t="str">
        <f>_xlfn.TEXTJOIN(",",TRUE,IF(LEFT(Regions!$C$3,1)&lt;&gt;"*",Regions!$C$3,""),IF(LEFT(Regions!$D$3,1)&lt;&gt;"*",Regions!$D$3,""))</f>
        <v>IE,National</v>
      </c>
      <c r="C131" s="622" t="str">
        <f>Y29</f>
        <v>R-BLD_Det_D</v>
      </c>
      <c r="D131" s="623" t="str">
        <f>Z29</f>
        <v>Residential Building Detached _ D</v>
      </c>
      <c r="E131" s="622" t="str">
        <f>COMM!$O$17</f>
        <v>RSDSH_Det-D</v>
      </c>
      <c r="F131" s="623" t="str">
        <f>COMM!$O$8</f>
        <v>RSD_Det</v>
      </c>
      <c r="G131" s="625">
        <f>AI13/1000</f>
        <v>166.66779141279125</v>
      </c>
      <c r="H131" s="625">
        <f>G131*$AH$26</f>
        <v>138.88427058427897</v>
      </c>
      <c r="I131" s="625">
        <v>1</v>
      </c>
      <c r="J131" s="623">
        <v>100</v>
      </c>
      <c r="K131" s="623">
        <v>1</v>
      </c>
      <c r="L131" s="731">
        <f>ABS(AR67)*0.853224702081462</f>
        <v>4.8901598340165373E-2</v>
      </c>
      <c r="N131" s="825">
        <f>ABS(AR67*DwellingStocks!Q23*(1+O153))</f>
        <v>5.2110283790749869E-2</v>
      </c>
      <c r="O131" s="826">
        <f>N131*G131</f>
        <v>8.6851059092980556</v>
      </c>
      <c r="P131" s="827"/>
      <c r="Q131" s="828"/>
      <c r="R131" s="827"/>
      <c r="S131" s="828"/>
      <c r="T131" s="826"/>
      <c r="U131" s="828"/>
    </row>
    <row r="132" spans="2:21">
      <c r="B132" s="626" t="str">
        <f>_xlfn.TEXTJOIN(",",TRUE,IF(LEFT(Regions!$C$3,1)&lt;&gt;"*",Regions!$C$3,""),IF(LEFT(Regions!$D$3,1)&lt;&gt;"*",Regions!$D$3,""))</f>
        <v>IE,National</v>
      </c>
      <c r="C132" s="449"/>
      <c r="D132" s="448"/>
      <c r="E132" s="448" t="str">
        <f>COMM!$O$29</f>
        <v>RSDSC_Det</v>
      </c>
      <c r="F132" s="448"/>
      <c r="G132" s="733"/>
      <c r="H132" s="733"/>
      <c r="I132" s="733"/>
      <c r="J132" s="448"/>
      <c r="K132" s="448"/>
      <c r="L132" s="734"/>
      <c r="N132" s="807"/>
      <c r="O132" s="800"/>
      <c r="P132" s="811"/>
      <c r="Q132" s="808"/>
      <c r="R132" s="811"/>
      <c r="S132" s="808"/>
      <c r="T132" s="800"/>
      <c r="U132" s="808"/>
    </row>
    <row r="133" spans="2:21">
      <c r="B133" s="627" t="str">
        <f>_xlfn.TEXTJOIN(",",TRUE,IF(LEFT(Regions!$C$3,1)&lt;&gt;"*",Regions!$C$3,""),IF(LEFT(Regions!$D$3,1)&lt;&gt;"*",Regions!$D$3,""))</f>
        <v>IE,National</v>
      </c>
      <c r="C133" s="293"/>
      <c r="D133" s="293"/>
      <c r="E133" s="293" t="str">
        <f>COMM!$O$32</f>
        <v>RSDWH_Det</v>
      </c>
      <c r="F133" s="293"/>
      <c r="G133" s="737"/>
      <c r="H133" s="737"/>
      <c r="I133" s="737"/>
      <c r="J133" s="293"/>
      <c r="K133" s="293"/>
      <c r="L133" s="738">
        <f>AS67*0.742731884673138</f>
        <v>1.4303829274544932E-2</v>
      </c>
      <c r="N133" s="807"/>
      <c r="O133" s="800"/>
      <c r="P133" s="811">
        <f>AS67*(1+Q153)</f>
        <v>1.2522051019220021E-2</v>
      </c>
      <c r="Q133" s="808">
        <f t="shared" ref="Q133" si="41">P133*G131</f>
        <v>2.0870225873316923</v>
      </c>
      <c r="R133" s="811"/>
      <c r="S133" s="808"/>
      <c r="T133" s="800"/>
      <c r="U133" s="808"/>
    </row>
    <row r="134" spans="2:21">
      <c r="B134" s="626" t="str">
        <f>_xlfn.TEXTJOIN(",",TRUE,IF(LEFT(Regions!$C$3,1)&lt;&gt;"*",Regions!$C$3,""),IF(LEFT(Regions!$D$3,1)&lt;&gt;"*",Regions!$D$3,""))</f>
        <v>IE,National</v>
      </c>
      <c r="C134" s="449"/>
      <c r="D134" s="448"/>
      <c r="E134" s="448" t="str">
        <f>COMM!$O$35</f>
        <v>RSDLT_Det</v>
      </c>
      <c r="F134" s="448"/>
      <c r="G134" s="733"/>
      <c r="H134" s="733"/>
      <c r="I134" s="733"/>
      <c r="J134" s="448"/>
      <c r="K134" s="448"/>
      <c r="L134" s="734">
        <f>AT67*0.375703674683678</f>
        <v>1.3931982012489457E-3</v>
      </c>
      <c r="N134" s="807"/>
      <c r="O134" s="800"/>
      <c r="P134" s="811"/>
      <c r="Q134" s="808"/>
      <c r="R134" s="811">
        <f>AT67*(1+S153)</f>
        <v>1.3972580642722719E-3</v>
      </c>
      <c r="S134" s="808">
        <f t="shared" ref="S134" si="42">R134*G131</f>
        <v>0.23287791560597149</v>
      </c>
      <c r="T134" s="800"/>
      <c r="U134" s="808"/>
    </row>
    <row r="135" spans="2:21" ht="13" thickBot="1">
      <c r="B135" s="628" t="str">
        <f>_xlfn.TEXTJOIN(",",TRUE,IF(LEFT(Regions!$C$3,1)&lt;&gt;"*",Regions!$C$3,""),IF(LEFT(Regions!$D$3,1)&lt;&gt;"*",Regions!$D$3,""))</f>
        <v>IE,National</v>
      </c>
      <c r="C135" s="629"/>
      <c r="D135" s="629"/>
      <c r="E135" s="629" t="str">
        <f>COMM!$O$38</f>
        <v>RSDPF_Det</v>
      </c>
      <c r="F135" s="629"/>
      <c r="G135" s="630"/>
      <c r="H135" s="630"/>
      <c r="I135" s="630"/>
      <c r="J135" s="629"/>
      <c r="K135" s="629"/>
      <c r="L135" s="741">
        <f>AU67*0.568571740836304</f>
        <v>4.620421675097221E-4</v>
      </c>
      <c r="N135" s="829"/>
      <c r="O135" s="809"/>
      <c r="P135" s="830"/>
      <c r="Q135" s="810"/>
      <c r="R135" s="830"/>
      <c r="S135" s="810"/>
      <c r="T135" s="831">
        <f>AU66*(1+U153)</f>
        <v>4.3330806595455462E-4</v>
      </c>
      <c r="U135" s="810">
        <f t="shared" ref="U135" si="43">T135*G131</f>
        <v>7.2218498353993701E-2</v>
      </c>
    </row>
    <row r="136" spans="2:21">
      <c r="B136" s="621" t="str">
        <f>_xlfn.TEXTJOIN(",",TRUE,IF(LEFT(Regions!$C$3,1)&lt;&gt;"*",Regions!$C$3,""),IF(LEFT(Regions!$D$3,1)&lt;&gt;"*",Regions!$D$3,""))</f>
        <v>IE,National</v>
      </c>
      <c r="C136" s="622" t="str">
        <f>Y30</f>
        <v>R-BLD_Det_E</v>
      </c>
      <c r="D136" s="623" t="str">
        <f>Z30</f>
        <v>Residential Building Detached _ E</v>
      </c>
      <c r="E136" s="622" t="str">
        <f>COMM!$O$20</f>
        <v>RSDSH_Det-E</v>
      </c>
      <c r="F136" s="623" t="str">
        <f>COMM!$O$8</f>
        <v>RSD_Det</v>
      </c>
      <c r="G136" s="625">
        <f>AI14/1000</f>
        <v>81.396697989555506</v>
      </c>
      <c r="H136" s="625">
        <f>G136*$AH$26</f>
        <v>67.827868434696612</v>
      </c>
      <c r="I136" s="625">
        <v>1</v>
      </c>
      <c r="J136" s="623">
        <v>100</v>
      </c>
      <c r="K136" s="623">
        <v>1</v>
      </c>
      <c r="L136" s="731">
        <f>ABS(AR68)*0.853224702081462</f>
        <v>6.0316400230437453E-2</v>
      </c>
      <c r="N136" s="825">
        <f>ABS(AR68*DwellingStocks!Q24*(1+O153))</f>
        <v>6.5458725449663108E-2</v>
      </c>
      <c r="O136" s="826">
        <f>N136*G136</f>
        <v>5.3281241062074587</v>
      </c>
      <c r="P136" s="827"/>
      <c r="Q136" s="828"/>
      <c r="R136" s="827"/>
      <c r="S136" s="828"/>
      <c r="T136" s="826"/>
      <c r="U136" s="828"/>
    </row>
    <row r="137" spans="2:21">
      <c r="B137" s="626" t="str">
        <f>_xlfn.TEXTJOIN(",",TRUE,IF(LEFT(Regions!$C$3,1)&lt;&gt;"*",Regions!$C$3,""),IF(LEFT(Regions!$D$3,1)&lt;&gt;"*",Regions!$D$3,""))</f>
        <v>IE,National</v>
      </c>
      <c r="C137" s="449"/>
      <c r="D137" s="448"/>
      <c r="E137" s="448" t="str">
        <f>COMM!$O$29</f>
        <v>RSDSC_Det</v>
      </c>
      <c r="F137" s="448"/>
      <c r="G137" s="733"/>
      <c r="H137" s="733"/>
      <c r="I137" s="733"/>
      <c r="J137" s="448"/>
      <c r="K137" s="448"/>
      <c r="L137" s="734"/>
      <c r="N137" s="807"/>
      <c r="O137" s="800"/>
      <c r="P137" s="811"/>
      <c r="Q137" s="808"/>
      <c r="R137" s="811"/>
      <c r="S137" s="808"/>
      <c r="T137" s="800"/>
      <c r="U137" s="808"/>
    </row>
    <row r="138" spans="2:21">
      <c r="B138" s="627" t="str">
        <f>_xlfn.TEXTJOIN(",",TRUE,IF(LEFT(Regions!$C$3,1)&lt;&gt;"*",Regions!$C$3,""),IF(LEFT(Regions!$D$3,1)&lt;&gt;"*",Regions!$D$3,""))</f>
        <v>IE,National</v>
      </c>
      <c r="C138" s="293"/>
      <c r="D138" s="293"/>
      <c r="E138" s="293" t="str">
        <f>COMM!$O$32</f>
        <v>RSDWH_Det</v>
      </c>
      <c r="F138" s="293"/>
      <c r="G138" s="737"/>
      <c r="H138" s="737"/>
      <c r="I138" s="737"/>
      <c r="J138" s="293"/>
      <c r="K138" s="293"/>
      <c r="L138" s="738">
        <f>AS68*0.742731884673138</f>
        <v>1.4351733209498384E-2</v>
      </c>
      <c r="N138" s="807"/>
      <c r="O138" s="800"/>
      <c r="P138" s="811">
        <f>AS68*(1+Q153)</f>
        <v>1.25639877276353E-2</v>
      </c>
      <c r="Q138" s="808">
        <f t="shared" ref="Q138" si="44">P138*G136</f>
        <v>1.0226671146108122</v>
      </c>
      <c r="R138" s="811"/>
      <c r="S138" s="808"/>
      <c r="T138" s="800"/>
      <c r="U138" s="808"/>
    </row>
    <row r="139" spans="2:21">
      <c r="B139" s="626" t="str">
        <f>_xlfn.TEXTJOIN(",",TRUE,IF(LEFT(Regions!$C$3,1)&lt;&gt;"*",Regions!$C$3,""),IF(LEFT(Regions!$D$3,1)&lt;&gt;"*",Regions!$D$3,""))</f>
        <v>IE,National</v>
      </c>
      <c r="C139" s="449"/>
      <c r="D139" s="448"/>
      <c r="E139" s="448" t="str">
        <f>COMM!$O$35</f>
        <v>RSDLT_Det</v>
      </c>
      <c r="F139" s="448"/>
      <c r="G139" s="733"/>
      <c r="H139" s="733"/>
      <c r="I139" s="733"/>
      <c r="J139" s="448"/>
      <c r="K139" s="448"/>
      <c r="L139" s="734">
        <f>AT68*0.375703674683678</f>
        <v>1.2866536750593203E-3</v>
      </c>
      <c r="N139" s="807"/>
      <c r="O139" s="800"/>
      <c r="P139" s="811"/>
      <c r="Q139" s="808"/>
      <c r="R139" s="811">
        <f>AT68*(1+S153)</f>
        <v>1.2904030609503711E-3</v>
      </c>
      <c r="S139" s="808">
        <f t="shared" ref="S139" si="45">R139*G136</f>
        <v>0.10503454823697535</v>
      </c>
      <c r="T139" s="800"/>
      <c r="U139" s="808"/>
    </row>
    <row r="140" spans="2:21" ht="13" thickBot="1">
      <c r="B140" s="628" t="str">
        <f>_xlfn.TEXTJOIN(",",TRUE,IF(LEFT(Regions!$C$3,1)&lt;&gt;"*",Regions!$C$3,""),IF(LEFT(Regions!$D$3,1)&lt;&gt;"*",Regions!$D$3,""))</f>
        <v>IE,National</v>
      </c>
      <c r="C140" s="629"/>
      <c r="D140" s="629"/>
      <c r="E140" s="629" t="str">
        <f>COMM!$O$38</f>
        <v>RSDPF_Det</v>
      </c>
      <c r="F140" s="629"/>
      <c r="G140" s="630"/>
      <c r="H140" s="630"/>
      <c r="I140" s="630"/>
      <c r="J140" s="629"/>
      <c r="K140" s="629"/>
      <c r="L140" s="741">
        <f>AU68*0.568571740836304</f>
        <v>4.317396430081587E-4</v>
      </c>
      <c r="N140" s="829"/>
      <c r="O140" s="809"/>
      <c r="P140" s="830"/>
      <c r="Q140" s="810"/>
      <c r="R140" s="830"/>
      <c r="S140" s="810"/>
      <c r="T140" s="831">
        <f>AU67*(1+U153)</f>
        <v>4.2092016170573141E-4</v>
      </c>
      <c r="U140" s="810">
        <f t="shared" ref="U140" si="46">T140*G136</f>
        <v>3.4261511280076283E-2</v>
      </c>
    </row>
    <row r="141" spans="2:21">
      <c r="B141" s="621" t="str">
        <f>_xlfn.TEXTJOIN(",",TRUE,IF(LEFT(Regions!$C$3,1)&lt;&gt;"*",Regions!$C$3,""),IF(LEFT(Regions!$D$3,1)&lt;&gt;"*",Regions!$D$3,""))</f>
        <v>IE,National</v>
      </c>
      <c r="C141" s="622" t="str">
        <f>Y31</f>
        <v>R-BLD_Det_F</v>
      </c>
      <c r="D141" s="623" t="str">
        <f>Z31</f>
        <v>Residential Building Detached _ F</v>
      </c>
      <c r="E141" s="622" t="str">
        <f>COMM!$O$23</f>
        <v>RSDSH_Det-F</v>
      </c>
      <c r="F141" s="623" t="str">
        <f>COMM!$O$8</f>
        <v>RSD_Det</v>
      </c>
      <c r="G141" s="625">
        <f>AI15/1000</f>
        <v>43.241005762967113</v>
      </c>
      <c r="H141" s="625">
        <f>G141*$AH$26</f>
        <v>36.032730102280496</v>
      </c>
      <c r="I141" s="625">
        <v>1</v>
      </c>
      <c r="J141" s="623">
        <v>100</v>
      </c>
      <c r="K141" s="623">
        <v>1</v>
      </c>
      <c r="L141" s="731">
        <f>ABS(AR69)*0.853224702081462</f>
        <v>7.2534210143308783E-2</v>
      </c>
      <c r="N141" s="825">
        <f>ABS(AR69*DwellingStocks!Q25*(1+O153))</f>
        <v>7.9985226511711388E-2</v>
      </c>
      <c r="O141" s="826">
        <f>N141*G141</f>
        <v>3.4586416405451419</v>
      </c>
      <c r="P141" s="827"/>
      <c r="Q141" s="828"/>
      <c r="R141" s="827"/>
      <c r="S141" s="828"/>
      <c r="T141" s="826"/>
      <c r="U141" s="828"/>
    </row>
    <row r="142" spans="2:21">
      <c r="B142" s="626" t="str">
        <f>_xlfn.TEXTJOIN(",",TRUE,IF(LEFT(Regions!$C$3,1)&lt;&gt;"*",Regions!$C$3,""),IF(LEFT(Regions!$D$3,1)&lt;&gt;"*",Regions!$D$3,""))</f>
        <v>IE,National</v>
      </c>
      <c r="C142" s="449"/>
      <c r="D142" s="448"/>
      <c r="E142" s="448" t="str">
        <f>COMM!$O$29</f>
        <v>RSDSC_Det</v>
      </c>
      <c r="F142" s="448"/>
      <c r="G142" s="733"/>
      <c r="H142" s="733"/>
      <c r="I142" s="733"/>
      <c r="J142" s="448"/>
      <c r="K142" s="448"/>
      <c r="L142" s="734"/>
      <c r="N142" s="807"/>
      <c r="O142" s="800"/>
      <c r="P142" s="811"/>
      <c r="Q142" s="808"/>
      <c r="R142" s="811"/>
      <c r="S142" s="808"/>
      <c r="T142" s="800"/>
      <c r="U142" s="808"/>
    </row>
    <row r="143" spans="2:21">
      <c r="B143" s="627" t="str">
        <f>_xlfn.TEXTJOIN(",",TRUE,IF(LEFT(Regions!$C$3,1)&lt;&gt;"*",Regions!$C$3,""),IF(LEFT(Regions!$D$3,1)&lt;&gt;"*",Regions!$D$3,""))</f>
        <v>IE,National</v>
      </c>
      <c r="C143" s="293"/>
      <c r="D143" s="293"/>
      <c r="E143" s="293" t="str">
        <f>COMM!$O$32</f>
        <v>RSDWH_Det</v>
      </c>
      <c r="F143" s="293"/>
      <c r="G143" s="737"/>
      <c r="H143" s="737"/>
      <c r="I143" s="737"/>
      <c r="J143" s="293"/>
      <c r="K143" s="293"/>
      <c r="L143" s="738">
        <f>AS69*0.742731884673138</f>
        <v>1.4431449095148411E-2</v>
      </c>
      <c r="N143" s="807"/>
      <c r="O143" s="800"/>
      <c r="P143" s="811">
        <f>AS69*(1+Q153)</f>
        <v>1.2633773682710164E-2</v>
      </c>
      <c r="Q143" s="808">
        <f t="shared" ref="Q143" si="47">P143*G141</f>
        <v>0.54629708062209248</v>
      </c>
      <c r="R143" s="811"/>
      <c r="S143" s="808"/>
      <c r="T143" s="800"/>
      <c r="U143" s="808"/>
    </row>
    <row r="144" spans="2:21">
      <c r="B144" s="626" t="str">
        <f>_xlfn.TEXTJOIN(",",TRUE,IF(LEFT(Regions!$C$3,1)&lt;&gt;"*",Regions!$C$3,""),IF(LEFT(Regions!$D$3,1)&lt;&gt;"*",Regions!$D$3,""))</f>
        <v>IE,National</v>
      </c>
      <c r="C144" s="449"/>
      <c r="D144" s="448"/>
      <c r="E144" s="448" t="str">
        <f>COMM!$O$35</f>
        <v>RSDLT_Det</v>
      </c>
      <c r="F144" s="448"/>
      <c r="G144" s="733"/>
      <c r="H144" s="733"/>
      <c r="I144" s="733"/>
      <c r="J144" s="448"/>
      <c r="K144" s="448"/>
      <c r="L144" s="734">
        <f>AT69*0.375703674683678</f>
        <v>1.2249928868643262E-3</v>
      </c>
      <c r="N144" s="807"/>
      <c r="O144" s="800"/>
      <c r="P144" s="811"/>
      <c r="Q144" s="808"/>
      <c r="R144" s="811">
        <f>AT69*(1+S153)</f>
        <v>1.2285625895245506E-3</v>
      </c>
      <c r="S144" s="808">
        <f t="shared" ref="S144" si="48">R144*G141</f>
        <v>5.3124282013796889E-2</v>
      </c>
      <c r="T144" s="800"/>
      <c r="U144" s="808"/>
    </row>
    <row r="145" spans="2:22" ht="13" thickBot="1">
      <c r="B145" s="628" t="str">
        <f>_xlfn.TEXTJOIN(",",TRUE,IF(LEFT(Regions!$C$3,1)&lt;&gt;"*",Regions!$C$3,""),IF(LEFT(Regions!$D$3,1)&lt;&gt;"*",Regions!$D$3,""))</f>
        <v>IE,National</v>
      </c>
      <c r="C145" s="629"/>
      <c r="D145" s="629"/>
      <c r="E145" s="629" t="str">
        <f>COMM!$O$38</f>
        <v>RSDPF_Det</v>
      </c>
      <c r="F145" s="629"/>
      <c r="G145" s="630"/>
      <c r="H145" s="630"/>
      <c r="I145" s="630"/>
      <c r="J145" s="629"/>
      <c r="K145" s="629"/>
      <c r="L145" s="741">
        <f>AU69*0.568571740836304</f>
        <v>4.1119730191954164E-4</v>
      </c>
      <c r="N145" s="829"/>
      <c r="O145" s="809"/>
      <c r="P145" s="830"/>
      <c r="Q145" s="810"/>
      <c r="R145" s="830"/>
      <c r="S145" s="810"/>
      <c r="T145" s="831">
        <f>AU68*(1+U153)</f>
        <v>3.9331457847068706E-4</v>
      </c>
      <c r="U145" s="810">
        <f t="shared" ref="U145" si="49">T145*G141</f>
        <v>1.7007317954309958E-2</v>
      </c>
    </row>
    <row r="146" spans="2:22">
      <c r="B146" s="621" t="str">
        <f>_xlfn.TEXTJOIN(",",TRUE,IF(LEFT(Regions!$C$3,1)&lt;&gt;"*",Regions!$C$3,""),IF(LEFT(Regions!$D$3,1)&lt;&gt;"*",Regions!$D$3,""))</f>
        <v>IE,National</v>
      </c>
      <c r="C146" s="622" t="str">
        <f>Y32</f>
        <v>R-BLD_Det_G</v>
      </c>
      <c r="D146" s="623" t="str">
        <f>Z32</f>
        <v>Residential Building Detached _ G</v>
      </c>
      <c r="E146" s="622" t="str">
        <f>COMM!$O$26</f>
        <v>RSDSH_Det-G</v>
      </c>
      <c r="F146" s="623" t="str">
        <f>COMM!$O$8</f>
        <v>RSD_Det</v>
      </c>
      <c r="G146" s="625">
        <f>AI16/1000</f>
        <v>78.435533443104831</v>
      </c>
      <c r="H146" s="625">
        <f>G146*$AH$26</f>
        <v>65.360330018139265</v>
      </c>
      <c r="I146" s="625">
        <v>1</v>
      </c>
      <c r="J146" s="623">
        <v>100</v>
      </c>
      <c r="K146" s="623">
        <v>1</v>
      </c>
      <c r="L146" s="731">
        <f>ABS(AR70)*0.853224702081462</f>
        <v>9.572100774137017E-2</v>
      </c>
      <c r="N146" s="825">
        <f>ABS(AR70*DwellingStocks!Q26*(1+O153))</f>
        <v>8.4071393597896699E-2</v>
      </c>
      <c r="O146" s="826">
        <f>N146*G146</f>
        <v>6.594184604156256</v>
      </c>
      <c r="P146" s="827"/>
      <c r="Q146" s="828"/>
      <c r="R146" s="827"/>
      <c r="S146" s="828"/>
      <c r="T146" s="826"/>
      <c r="U146" s="828"/>
    </row>
    <row r="147" spans="2:22">
      <c r="B147" s="626" t="str">
        <f>_xlfn.TEXTJOIN(",",TRUE,IF(LEFT(Regions!$C$3,1)&lt;&gt;"*",Regions!$C$3,""),IF(LEFT(Regions!$D$3,1)&lt;&gt;"*",Regions!$D$3,""))</f>
        <v>IE,National</v>
      </c>
      <c r="C147" s="449"/>
      <c r="D147" s="448"/>
      <c r="E147" s="448" t="str">
        <f>COMM!$O$29</f>
        <v>RSDSC_Det</v>
      </c>
      <c r="F147" s="448"/>
      <c r="G147" s="733"/>
      <c r="H147" s="733"/>
      <c r="I147" s="733"/>
      <c r="J147" s="448"/>
      <c r="K147" s="448"/>
      <c r="L147" s="734"/>
      <c r="N147" s="807"/>
      <c r="O147" s="800"/>
      <c r="P147" s="811"/>
      <c r="Q147" s="808"/>
      <c r="R147" s="811"/>
      <c r="S147" s="808"/>
      <c r="T147" s="800"/>
      <c r="U147" s="808"/>
    </row>
    <row r="148" spans="2:22">
      <c r="B148" s="627" t="str">
        <f>_xlfn.TEXTJOIN(",",TRUE,IF(LEFT(Regions!$C$3,1)&lt;&gt;"*",Regions!$C$3,""),IF(LEFT(Regions!$D$3,1)&lt;&gt;"*",Regions!$D$3,""))</f>
        <v>IE,National</v>
      </c>
      <c r="C148" s="293"/>
      <c r="D148" s="293"/>
      <c r="E148" s="293" t="str">
        <f>COMM!$O$32</f>
        <v>RSDWH_Det</v>
      </c>
      <c r="F148" s="293"/>
      <c r="G148" s="737"/>
      <c r="H148" s="737"/>
      <c r="I148" s="737"/>
      <c r="J148" s="293"/>
      <c r="K148" s="293"/>
      <c r="L148" s="738">
        <f>AS70*0.742731884673138</f>
        <v>1.3140678240923184E-2</v>
      </c>
      <c r="N148" s="807"/>
      <c r="O148" s="800"/>
      <c r="P148" s="811">
        <f>AS70*(1+Q153)</f>
        <v>1.1503789663710838E-2</v>
      </c>
      <c r="Q148" s="808">
        <f t="shared" ref="Q148" si="50">P148*G146</f>
        <v>0.90230587889043512</v>
      </c>
      <c r="R148" s="811"/>
      <c r="S148" s="808"/>
      <c r="T148" s="800"/>
      <c r="U148" s="808"/>
    </row>
    <row r="149" spans="2:22">
      <c r="B149" s="626" t="str">
        <f>_xlfn.TEXTJOIN(",",TRUE,IF(LEFT(Regions!$C$3,1)&lt;&gt;"*",Regions!$C$3,""),IF(LEFT(Regions!$D$3,1)&lt;&gt;"*",Regions!$D$3,""))</f>
        <v>IE,National</v>
      </c>
      <c r="C149" s="449"/>
      <c r="D149" s="448"/>
      <c r="E149" s="448" t="str">
        <f>COMM!$O$35</f>
        <v>RSDLT_Det</v>
      </c>
      <c r="F149" s="448"/>
      <c r="G149" s="733"/>
      <c r="H149" s="733"/>
      <c r="I149" s="733"/>
      <c r="J149" s="448"/>
      <c r="K149" s="448"/>
      <c r="L149" s="734">
        <f>AT70*0.375703674683678</f>
        <v>1.0814863114877928E-3</v>
      </c>
      <c r="N149" s="807"/>
      <c r="O149" s="800"/>
      <c r="P149" s="811"/>
      <c r="Q149" s="808"/>
      <c r="R149" s="811">
        <f>AT70*(1+S153)</f>
        <v>1.0846378273900578E-3</v>
      </c>
      <c r="S149" s="808">
        <f t="shared" ref="S149" si="51">R149*G146</f>
        <v>8.5074146583909438E-2</v>
      </c>
      <c r="T149" s="800"/>
      <c r="U149" s="808"/>
    </row>
    <row r="150" spans="2:22" ht="13" thickBot="1">
      <c r="B150" s="628" t="str">
        <f>_xlfn.TEXTJOIN(",",TRUE,IF(LEFT(Regions!$C$3,1)&lt;&gt;"*",Regions!$C$3,""),IF(LEFT(Regions!$D$3,1)&lt;&gt;"*",Regions!$D$3,""))</f>
        <v>IE,National</v>
      </c>
      <c r="C150" s="629"/>
      <c r="D150" s="629"/>
      <c r="E150" s="629" t="str">
        <f>COMM!$O$38</f>
        <v>RSDPF_Det</v>
      </c>
      <c r="F150" s="629"/>
      <c r="G150" s="630"/>
      <c r="H150" s="630"/>
      <c r="I150" s="630"/>
      <c r="J150" s="629"/>
      <c r="K150" s="629"/>
      <c r="L150" s="741">
        <f>AU70*0.568571740836304</f>
        <v>3.0143313414421959E-4</v>
      </c>
      <c r="N150" s="829"/>
      <c r="O150" s="809"/>
      <c r="P150" s="830"/>
      <c r="Q150" s="810"/>
      <c r="R150" s="830"/>
      <c r="S150" s="810"/>
      <c r="T150" s="831">
        <f>AU69*(1+U153)</f>
        <v>3.7460051698266701E-4</v>
      </c>
      <c r="U150" s="810">
        <f t="shared" ref="U150" si="52">T150*G146</f>
        <v>2.9381991377598338E-2</v>
      </c>
    </row>
    <row r="151" spans="2:22">
      <c r="N151" s="329" t="s">
        <v>967</v>
      </c>
      <c r="O151" s="319">
        <f>'SHWLP-Det'!AB27</f>
        <v>40.077989914529958</v>
      </c>
      <c r="P151" s="323"/>
      <c r="Q151" s="324">
        <f>'SHWLP-Det'!AB54</f>
        <v>8.752268766470868</v>
      </c>
      <c r="R151" s="323"/>
      <c r="S151" s="324">
        <f>'SHWLP-Det'!AB59</f>
        <v>1.1094700921835092</v>
      </c>
      <c r="T151" s="323"/>
      <c r="U151" s="324">
        <f>'SHWLP-Det'!AB60</f>
        <v>0.34639394879768842</v>
      </c>
    </row>
    <row r="152" spans="2:22">
      <c r="N152" s="802" t="s">
        <v>958</v>
      </c>
      <c r="O152">
        <v>29.772979472336299</v>
      </c>
      <c r="P152" s="320"/>
      <c r="Q152" s="339">
        <v>13.460631232078878</v>
      </c>
      <c r="R152" s="320"/>
      <c r="S152">
        <v>2.9444652750919382</v>
      </c>
      <c r="T152" s="320"/>
      <c r="U152" s="339">
        <v>0.66875479668296012</v>
      </c>
    </row>
    <row r="153" spans="2:22" ht="13">
      <c r="N153" s="803" t="s">
        <v>959</v>
      </c>
      <c r="O153" s="804">
        <f>((O151-O152)/O152)</f>
        <v>0.3461195562160182</v>
      </c>
      <c r="P153" s="320"/>
      <c r="Q153" s="804">
        <f>((Q151-Q152)/Q152)</f>
        <v>-0.34978764252802758</v>
      </c>
      <c r="R153" s="320"/>
      <c r="S153" s="804">
        <f>((S151-S152)/S152)</f>
        <v>-0.62320150230032278</v>
      </c>
      <c r="T153" s="320"/>
      <c r="U153" s="804">
        <f>((U151-U152)/U152)</f>
        <v>-0.48203145530198699</v>
      </c>
    </row>
    <row r="154" spans="2:22">
      <c r="N154" s="802" t="s">
        <v>960</v>
      </c>
      <c r="O154" s="800">
        <f>SUM(O106:O146)</f>
        <v>40.077989914529951</v>
      </c>
      <c r="P154" s="320"/>
      <c r="Q154" s="808">
        <f>SUM(Q106:Q150)</f>
        <v>8.752268766470868</v>
      </c>
      <c r="R154" s="320"/>
      <c r="S154" s="808">
        <f t="shared" ref="S154" si="53">SUM(S106:S150)</f>
        <v>1.1094700921835092</v>
      </c>
      <c r="T154" s="320"/>
      <c r="U154" s="808">
        <f>SUM(U106:U150)</f>
        <v>0.34639394879768837</v>
      </c>
      <c r="V154" s="800">
        <f>SUM(O154:U154)</f>
        <v>50.286122721982018</v>
      </c>
    </row>
    <row r="155" spans="2:22" ht="13.5" thickBot="1">
      <c r="N155" s="805" t="s">
        <v>961</v>
      </c>
      <c r="O155" s="806">
        <f>((O151-O154)/O154)</f>
        <v>1.7729001311577722E-16</v>
      </c>
      <c r="P155" s="331"/>
      <c r="Q155" s="817">
        <f t="shared" ref="Q155" si="54">((Q151-Q154)/Q154)</f>
        <v>0</v>
      </c>
      <c r="R155" s="331"/>
      <c r="S155" s="817">
        <f t="shared" ref="S155" si="55">((S151-S154)/S154)</f>
        <v>0</v>
      </c>
      <c r="T155" s="331"/>
      <c r="U155" s="817">
        <f>((U151-U154)/U154)</f>
        <v>1.602543907707786E-16</v>
      </c>
    </row>
    <row r="157" spans="2:22">
      <c r="V157">
        <f>SUM(V3:V156)</f>
        <v>86.82553616659709</v>
      </c>
    </row>
    <row r="160" spans="2:22">
      <c r="Q160" s="800"/>
    </row>
    <row r="167" spans="27:27" ht="15.5">
      <c r="AA167" s="364"/>
    </row>
    <row r="168" spans="27:27" ht="15.5">
      <c r="AA168" s="364"/>
    </row>
    <row r="169" spans="27:27" ht="15.5">
      <c r="AA169" s="364"/>
    </row>
    <row r="170" spans="27:27" ht="15.5">
      <c r="AA170" s="364"/>
    </row>
  </sheetData>
  <mergeCells count="12">
    <mergeCell ref="N3:O3"/>
    <mergeCell ref="P3:Q3"/>
    <mergeCell ref="T3:U3"/>
    <mergeCell ref="X39:AB39"/>
    <mergeCell ref="X56:AB56"/>
    <mergeCell ref="R3:S3"/>
    <mergeCell ref="X65:AC65"/>
    <mergeCell ref="AF24:AJ24"/>
    <mergeCell ref="AF25:AG25"/>
    <mergeCell ref="AH25:AJ25"/>
    <mergeCell ref="AF26:AG26"/>
    <mergeCell ref="AH26:AJ26"/>
  </mergeCells>
  <phoneticPr fontId="20" type="noConversion"/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669CD-4521-4F10-AF9A-34965DF14F84}">
  <sheetPr codeName="Sheet12">
    <tabColor theme="1"/>
  </sheetPr>
  <dimension ref="B2:W113"/>
  <sheetViews>
    <sheetView topLeftCell="C1" workbookViewId="0">
      <selection activeCell="P16" sqref="P16"/>
    </sheetView>
  </sheetViews>
  <sheetFormatPr defaultRowHeight="12.5"/>
  <cols>
    <col min="2" max="2" width="10.81640625" customWidth="1"/>
    <col min="3" max="3" width="16.81640625" customWidth="1"/>
    <col min="4" max="4" width="44.54296875" bestFit="1" customWidth="1"/>
    <col min="5" max="5" width="14.54296875" bestFit="1" customWidth="1"/>
    <col min="6" max="6" width="11.26953125" bestFit="1" customWidth="1"/>
    <col min="7" max="7" width="10.1796875" bestFit="1" customWidth="1"/>
    <col min="8" max="8" width="7.1796875" bestFit="1" customWidth="1"/>
    <col min="9" max="9" width="9.81640625" customWidth="1"/>
    <col min="10" max="10" width="11.453125" customWidth="1"/>
    <col min="11" max="11" width="9.1796875" customWidth="1"/>
    <col min="12" max="12" width="20" customWidth="1"/>
    <col min="13" max="14" width="24" customWidth="1"/>
    <col min="15" max="15" width="9.26953125" bestFit="1" customWidth="1"/>
    <col min="16" max="17" width="22.81640625" bestFit="1" customWidth="1"/>
    <col min="18" max="18" width="21.1796875" customWidth="1"/>
    <col min="19" max="19" width="45.81640625" customWidth="1"/>
    <col min="20" max="20" width="10" bestFit="1" customWidth="1"/>
    <col min="21" max="21" width="18.7265625" customWidth="1"/>
    <col min="22" max="22" width="44.54296875" bestFit="1" customWidth="1"/>
    <col min="23" max="23" width="4.54296875" bestFit="1" customWidth="1"/>
    <col min="24" max="25" width="5" bestFit="1" customWidth="1"/>
    <col min="26" max="26" width="10.453125" bestFit="1" customWidth="1"/>
  </cols>
  <sheetData>
    <row r="2" spans="2:23" ht="21">
      <c r="B2" s="49" t="s">
        <v>654</v>
      </c>
      <c r="C2" s="49"/>
      <c r="D2" s="49"/>
      <c r="E2" s="49"/>
      <c r="F2" s="53" t="s">
        <v>768</v>
      </c>
      <c r="G2" s="507"/>
      <c r="H2" s="507"/>
      <c r="I2" s="507"/>
      <c r="J2" s="507"/>
      <c r="K2" s="507"/>
      <c r="L2" s="507"/>
      <c r="M2" s="507"/>
      <c r="N2" s="507"/>
      <c r="O2" s="30"/>
      <c r="P2" s="19" t="s">
        <v>767</v>
      </c>
      <c r="Q2" s="19"/>
      <c r="R2" s="19"/>
      <c r="S2" s="19"/>
      <c r="T2" s="19"/>
      <c r="U2" s="19"/>
      <c r="V2" s="19"/>
      <c r="W2" s="19"/>
    </row>
    <row r="3" spans="2:23" ht="14.5">
      <c r="B3" s="21" t="s">
        <v>764</v>
      </c>
      <c r="C3" s="21" t="s">
        <v>255</v>
      </c>
      <c r="D3" s="21" t="s">
        <v>267</v>
      </c>
      <c r="E3" s="21" t="s">
        <v>257</v>
      </c>
      <c r="F3" s="21" t="s">
        <v>258</v>
      </c>
      <c r="G3" s="27" t="s">
        <v>268</v>
      </c>
      <c r="H3" s="21" t="s">
        <v>259</v>
      </c>
      <c r="I3" s="21" t="s">
        <v>638</v>
      </c>
      <c r="J3" s="27" t="s">
        <v>269</v>
      </c>
      <c r="K3" s="27" t="s">
        <v>270</v>
      </c>
      <c r="L3" s="27" t="s">
        <v>637</v>
      </c>
      <c r="M3" s="31" t="s">
        <v>636</v>
      </c>
      <c r="N3" s="31" t="s">
        <v>829</v>
      </c>
      <c r="P3" s="21" t="s">
        <v>261</v>
      </c>
      <c r="Q3" s="21" t="s">
        <v>764</v>
      </c>
      <c r="R3" s="21" t="s">
        <v>255</v>
      </c>
      <c r="S3" s="21" t="s">
        <v>256</v>
      </c>
      <c r="T3" s="21" t="s">
        <v>262</v>
      </c>
      <c r="U3" s="21" t="s">
        <v>263</v>
      </c>
      <c r="V3" s="21" t="s">
        <v>264</v>
      </c>
      <c r="W3" s="21" t="s">
        <v>265</v>
      </c>
    </row>
    <row r="4" spans="2:23" ht="26.5" thickBot="1">
      <c r="B4" s="22" t="s">
        <v>771</v>
      </c>
      <c r="C4" s="22" t="s">
        <v>271</v>
      </c>
      <c r="D4" s="22" t="s">
        <v>272</v>
      </c>
      <c r="E4" s="22" t="s">
        <v>273</v>
      </c>
      <c r="F4" s="22" t="s">
        <v>274</v>
      </c>
      <c r="G4" s="29" t="s">
        <v>275</v>
      </c>
      <c r="H4" s="22" t="s">
        <v>391</v>
      </c>
      <c r="I4" s="22"/>
      <c r="J4" s="28"/>
      <c r="K4" s="28"/>
      <c r="L4" s="28" t="s">
        <v>13</v>
      </c>
      <c r="M4" s="212" t="s">
        <v>13</v>
      </c>
      <c r="N4" s="212" t="s">
        <v>830</v>
      </c>
      <c r="P4" s="23" t="s">
        <v>254</v>
      </c>
      <c r="Q4" s="23"/>
      <c r="R4" s="23"/>
      <c r="S4" s="22"/>
      <c r="T4" s="23"/>
      <c r="U4" s="23"/>
      <c r="V4" s="23"/>
      <c r="W4" s="23"/>
    </row>
    <row r="5" spans="2:23" ht="14.5">
      <c r="B5" s="584" t="str">
        <f>_xlfn.TEXTJOIN(",",TRUE,IF(LEFT(Regions!$C$3,1)&lt;&gt;"*",Regions!$C$3,""),IF(LEFT(Regions!$D$3,1)&lt;&gt;"*",Regions!$D$3,""))</f>
        <v>IE,National</v>
      </c>
      <c r="C5" s="582" t="str">
        <f>R5</f>
        <v>R-RSDRF_X0</v>
      </c>
      <c r="D5" s="582" t="str">
        <f>S5</f>
        <v>Residential Refrigeration Demand Technology</v>
      </c>
      <c r="E5" s="582" t="str">
        <f>COMM!$E$24</f>
        <v>RSDELC</v>
      </c>
      <c r="F5" s="582" t="str">
        <f>COMM!E32</f>
        <v>RSDRF</v>
      </c>
      <c r="G5" s="583">
        <f>DwellingStocks!$L$28/1000*RSD_Balance!U38</f>
        <v>1735.2913349999997</v>
      </c>
      <c r="H5" s="582">
        <v>0.8</v>
      </c>
      <c r="I5" s="585">
        <f>L5/G5/K5</f>
        <v>0.11719939117199393</v>
      </c>
      <c r="J5" s="586">
        <v>10</v>
      </c>
      <c r="K5" s="391">
        <f>31.536*(N5/1000)</f>
        <v>5.6764799999999994E-3</v>
      </c>
      <c r="L5" s="583">
        <f>M5*H5</f>
        <v>1.1544546193487999</v>
      </c>
      <c r="M5" s="587">
        <f>RSD_Balance!S29</f>
        <v>1.4430682741859997</v>
      </c>
      <c r="N5" s="391">
        <v>0.18</v>
      </c>
      <c r="P5" s="294" t="s">
        <v>266</v>
      </c>
      <c r="Q5" s="294" t="str">
        <f>_xlfn.TEXTJOIN(",",TRUE,IF(LEFT(Regions!$C$3,1)&lt;&gt;"*",Regions!$C$3,""),IF(LEFT(Regions!$D$3,1)&lt;&gt;"*",Regions!$D$3,""))</f>
        <v>IE,National</v>
      </c>
      <c r="R5" s="294" t="str">
        <f>_xlfn.TEXTJOIN("",TRUE,,LEFT(SETUP!B$3,1),"-",COMM!E32,"_",SETUP!$B$64)</f>
        <v>R-RSDRF_X0</v>
      </c>
      <c r="S5" s="294" t="str">
        <f>_xlfn.TEXTJOIN(" ",TRUE,COMM!F32,"Technology")</f>
        <v>Residential Refrigeration Demand Technology</v>
      </c>
      <c r="T5" s="294" t="s">
        <v>13</v>
      </c>
      <c r="U5" s="294" t="s">
        <v>275</v>
      </c>
      <c r="V5" s="294"/>
      <c r="W5" s="294"/>
    </row>
    <row r="6" spans="2:23" ht="14.5">
      <c r="B6" s="588" t="str">
        <f>_xlfn.TEXTJOIN(",",TRUE,IF(LEFT(Regions!$C$3,1)&lt;&gt;"*",Regions!$C$3,""),IF(LEFT(Regions!$D$3,1)&lt;&gt;"*",Regions!$D$3,""))</f>
        <v>IE,National</v>
      </c>
      <c r="C6" s="589" t="str">
        <f>R6</f>
        <v>R-RSDCK_ELC_X0</v>
      </c>
      <c r="D6" s="590" t="str">
        <f>S6</f>
        <v>Residential Cooking Demand Electrical Technology</v>
      </c>
      <c r="E6" s="590" t="str">
        <f>COMM!E24</f>
        <v>RSDELC</v>
      </c>
      <c r="F6" s="589" t="str">
        <f>COMM!$E$33</f>
        <v>RSDCK</v>
      </c>
      <c r="G6" s="591">
        <f>DwellingStocks!$L$28/1000*R20</f>
        <v>1316.8778883047999</v>
      </c>
      <c r="H6" s="590">
        <v>0.74</v>
      </c>
      <c r="I6" s="592">
        <f>(SUM(L6))/G6/K6</f>
        <v>1.2186512303720202E-2</v>
      </c>
      <c r="J6" s="590">
        <v>15</v>
      </c>
      <c r="K6" s="589">
        <f t="shared" ref="K6:K13" si="0">31.536*(N6/1000)</f>
        <v>9.4608000000000012E-2</v>
      </c>
      <c r="L6" s="589">
        <f>M6*H6</f>
        <v>1.5182832416441119</v>
      </c>
      <c r="M6" s="593">
        <f>RSD_Balance!R26</f>
        <v>2.051734110329881</v>
      </c>
      <c r="N6" s="580">
        <v>3</v>
      </c>
      <c r="P6" s="395" t="s">
        <v>266</v>
      </c>
      <c r="Q6" s="395" t="str">
        <f>_xlfn.TEXTJOIN(",",TRUE,IF(LEFT(Regions!$C$3,1)&lt;&gt;"*",Regions!$C$3,""),IF(LEFT(Regions!$D$3,1)&lt;&gt;"*",Regions!$D$3,""))</f>
        <v>IE,National</v>
      </c>
      <c r="R6" s="395" t="str">
        <f>_xlfn.TEXTJOIN("",TRUE,,LEFT(SETUP!B$3,1),"-",COMM!E33,"_",RSD_Balance!A26,"_",SETUP!$B$64)</f>
        <v>R-RSDCK_ELC_X0</v>
      </c>
      <c r="S6" s="395" t="str">
        <f>_xlfn.TEXTJOIN(" ",TRUE,COMM!F33,"Electrical Technology")</f>
        <v>Residential Cooking Demand Electrical Technology</v>
      </c>
      <c r="T6" s="575" t="s">
        <v>13</v>
      </c>
      <c r="U6" s="395" t="s">
        <v>275</v>
      </c>
      <c r="V6" s="575"/>
      <c r="W6" s="395"/>
    </row>
    <row r="7" spans="2:23" ht="14.5">
      <c r="B7" s="584" t="str">
        <f>_xlfn.TEXTJOIN(",",TRUE,IF(LEFT(Regions!$C$3,1)&lt;&gt;"*",Regions!$C$3,""),IF(LEFT(Regions!$D$3,1)&lt;&gt;"*",Regions!$D$3,""))</f>
        <v>IE,National</v>
      </c>
      <c r="C7" s="582" t="str">
        <f t="shared" ref="C7:C8" si="1">R7</f>
        <v>R-RSDCK_GAS_X0</v>
      </c>
      <c r="D7" s="582" t="str">
        <f t="shared" ref="D7:D8" si="2">S7</f>
        <v>Residential Cooking Demand Gas Technology</v>
      </c>
      <c r="E7" s="582" t="str">
        <f>COMM!E14</f>
        <v>RSDGAS</v>
      </c>
      <c r="F7" s="582" t="str">
        <f>COMM!$E$33</f>
        <v>RSDCK</v>
      </c>
      <c r="G7" s="583">
        <f>DwellingStocks!$L$28/1000*R21</f>
        <v>395.12063110549497</v>
      </c>
      <c r="H7" s="582">
        <v>0.68</v>
      </c>
      <c r="I7" s="585">
        <f>(SUM(L7))/G7/K7</f>
        <v>1.0445597574610582E-2</v>
      </c>
      <c r="J7" s="586">
        <v>15</v>
      </c>
      <c r="K7" s="595">
        <f t="shared" si="0"/>
        <v>0.110376</v>
      </c>
      <c r="L7" s="583">
        <f>M7*H7</f>
        <v>0.45555167559079646</v>
      </c>
      <c r="M7" s="587">
        <f>RSD_Balance!R17</f>
        <v>0.66992893469234771</v>
      </c>
      <c r="N7" s="581">
        <v>3.5</v>
      </c>
      <c r="P7" s="294" t="s">
        <v>266</v>
      </c>
      <c r="Q7" s="294" t="str">
        <f>_xlfn.TEXTJOIN(",",TRUE,IF(LEFT(Regions!$C$3,1)&lt;&gt;"*",Regions!$C$3,""),IF(LEFT(Regions!$D$3,1)&lt;&gt;"*",Regions!$D$3,""))</f>
        <v>IE,National</v>
      </c>
      <c r="R7" s="294" t="str">
        <f>_xlfn.TEXTJOIN("",TRUE,,LEFT(SETUP!B$3,1),"-",COMM!E33,"_",RSD_Balance!A17,"_",SETUP!$B$64)</f>
        <v>R-RSDCK_GAS_X0</v>
      </c>
      <c r="S7" s="294" t="str">
        <f>_xlfn.TEXTJOIN(" ",TRUE,COMM!F33,"Gas Technology")</f>
        <v>Residential Cooking Demand Gas Technology</v>
      </c>
      <c r="T7" s="294" t="s">
        <v>13</v>
      </c>
      <c r="U7" s="294" t="s">
        <v>275</v>
      </c>
      <c r="V7" s="294"/>
      <c r="W7" s="294"/>
    </row>
    <row r="8" spans="2:23" ht="14.5">
      <c r="B8" s="588" t="str">
        <f>_xlfn.TEXTJOIN(",",TRUE,IF(LEFT(Regions!$C$3,1)&lt;&gt;"*",Regions!$C$3,""),IF(LEFT(Regions!$D$3,1)&lt;&gt;"*",Regions!$D$3,""))</f>
        <v>IE,National</v>
      </c>
      <c r="C8" s="589" t="str">
        <f t="shared" si="1"/>
        <v>R-RSDCK_LPG_X0</v>
      </c>
      <c r="D8" s="590" t="str">
        <f t="shared" si="2"/>
        <v>Residential Cooking Demand LPG Technology</v>
      </c>
      <c r="E8" s="590" t="str">
        <f>COMM!E8</f>
        <v>RSDLPG</v>
      </c>
      <c r="F8" s="589" t="str">
        <f>COMM!$E$33</f>
        <v>RSDCK</v>
      </c>
      <c r="G8" s="591">
        <f>DwellingStocks!$L$28/1000*R22</f>
        <v>23.292449443233309</v>
      </c>
      <c r="H8" s="590">
        <v>0.68</v>
      </c>
      <c r="I8" s="592">
        <f t="shared" ref="I8" si="3">(SUM(L8))/G8/K8</f>
        <v>1.0445583301088163E-2</v>
      </c>
      <c r="J8" s="590">
        <v>15</v>
      </c>
      <c r="K8" s="589">
        <f t="shared" si="0"/>
        <v>0.110376</v>
      </c>
      <c r="L8" s="589">
        <f>M8*H8</f>
        <v>2.6854836315100172E-2</v>
      </c>
      <c r="M8" s="593">
        <f>RSD_Balance!R11</f>
        <v>3.9492406345735545E-2</v>
      </c>
      <c r="N8" s="580">
        <v>3.5</v>
      </c>
      <c r="P8" s="395" t="s">
        <v>266</v>
      </c>
      <c r="Q8" s="395" t="str">
        <f>_xlfn.TEXTJOIN(",",TRUE,IF(LEFT(Regions!$C$3,1)&lt;&gt;"*",Regions!$C$3,""),IF(LEFT(Regions!$D$3,1)&lt;&gt;"*",Regions!$D$3,""))</f>
        <v>IE,National</v>
      </c>
      <c r="R8" s="395" t="str">
        <f>_xlfn.TEXTJOIN("",TRUE,,LEFT(SETUP!B$3,1),"-",COMM!E33,"_",RSD_Balance!A11,"_",SETUP!$B$64)</f>
        <v>R-RSDCK_LPG_X0</v>
      </c>
      <c r="S8" s="395" t="str">
        <f>_xlfn.TEXTJOIN(" ",TRUE,COMM!F33,"LPG Technology")</f>
        <v>Residential Cooking Demand LPG Technology</v>
      </c>
      <c r="T8" s="575" t="s">
        <v>13</v>
      </c>
      <c r="U8" s="395" t="s">
        <v>275</v>
      </c>
      <c r="V8" s="575"/>
      <c r="W8" s="395"/>
    </row>
    <row r="9" spans="2:23" ht="14.5">
      <c r="B9" s="584" t="str">
        <f>_xlfn.TEXTJOIN(",",TRUE,IF(LEFT(Regions!$C$3,1)&lt;&gt;"*",Regions!$C$3,""),IF(LEFT(Regions!$D$3,1)&lt;&gt;"*",Regions!$D$3,""))</f>
        <v>IE,National</v>
      </c>
      <c r="C9" s="582" t="str">
        <f t="shared" ref="C9:D13" si="4">R9</f>
        <v>R-RSDCW_X0</v>
      </c>
      <c r="D9" s="582" t="str">
        <f t="shared" si="4"/>
        <v>Residential Cloth Washing Demand Technology</v>
      </c>
      <c r="E9" s="582" t="str">
        <f>COMM!$E$24</f>
        <v>RSDELC</v>
      </c>
      <c r="F9" s="582" t="str">
        <f>COMM!E34</f>
        <v>RSDCW</v>
      </c>
      <c r="G9" s="583">
        <f>DwellingStocks!$L$28/1000*RSD_Balance!U36</f>
        <v>1691.9090516249996</v>
      </c>
      <c r="H9" s="582">
        <v>0.7</v>
      </c>
      <c r="I9" s="585">
        <f>L9/G9/K9</f>
        <v>6.7195931921959313E-3</v>
      </c>
      <c r="J9" s="586">
        <v>10</v>
      </c>
      <c r="K9" s="595">
        <f t="shared" si="0"/>
        <v>6.9379200000000002E-2</v>
      </c>
      <c r="L9" s="583">
        <f t="shared" ref="L9:L13" si="5">M9*H9</f>
        <v>0.78876799986757473</v>
      </c>
      <c r="M9" s="587">
        <f>RSD_Balance!T29</f>
        <v>1.1268114283822497</v>
      </c>
      <c r="N9" s="581">
        <v>2.2000000000000002</v>
      </c>
      <c r="P9" s="294" t="s">
        <v>266</v>
      </c>
      <c r="Q9" s="294" t="str">
        <f>_xlfn.TEXTJOIN(",",TRUE,IF(LEFT(Regions!$C$3,1)&lt;&gt;"*",Regions!$C$3,""),IF(LEFT(Regions!$D$3,1)&lt;&gt;"*",Regions!$D$3,""))</f>
        <v>IE,National</v>
      </c>
      <c r="R9" s="294" t="str">
        <f>_xlfn.TEXTJOIN("",TRUE,,LEFT(SETUP!B$3,1),"-",COMM!E34,"_",SETUP!$B$64)</f>
        <v>R-RSDCW_X0</v>
      </c>
      <c r="S9" s="294" t="str">
        <f>_xlfn.TEXTJOIN(" ",TRUE,COMM!F34,"Technology")</f>
        <v>Residential Cloth Washing Demand Technology</v>
      </c>
      <c r="T9" s="294" t="s">
        <v>13</v>
      </c>
      <c r="U9" s="294" t="s">
        <v>275</v>
      </c>
      <c r="V9" s="294"/>
      <c r="W9" s="294"/>
    </row>
    <row r="10" spans="2:23" ht="14.5">
      <c r="B10" s="588" t="str">
        <f>_xlfn.TEXTJOIN(",",TRUE,IF(LEFT(Regions!$C$3,1)&lt;&gt;"*",Regions!$C$3,""),IF(LEFT(Regions!$D$3,1)&lt;&gt;"*",Regions!$D$3,""))</f>
        <v>IE,National</v>
      </c>
      <c r="C10" s="589" t="str">
        <f t="shared" si="4"/>
        <v>R-RSDCD_X0</v>
      </c>
      <c r="D10" s="590" t="str">
        <f t="shared" si="4"/>
        <v>Residential Cloth Drying Demand Technology</v>
      </c>
      <c r="E10" s="590" t="str">
        <f>COMM!$E$24</f>
        <v>RSDELC</v>
      </c>
      <c r="F10" s="589" t="str">
        <f>COMM!E35</f>
        <v>RSDCD</v>
      </c>
      <c r="G10" s="591">
        <f>DwellingStocks!$L$28/1000*RSD_Balance!U37</f>
        <v>1124.4687850799999</v>
      </c>
      <c r="H10" s="589">
        <v>0.6</v>
      </c>
      <c r="I10" s="592">
        <f>L10/G10/K10</f>
        <v>1.1863013698630135E-2</v>
      </c>
      <c r="J10" s="590">
        <v>10</v>
      </c>
      <c r="K10" s="589">
        <f t="shared" si="0"/>
        <v>7.8840000000000007E-2</v>
      </c>
      <c r="L10" s="589">
        <f t="shared" si="5"/>
        <v>1.0516931653096222</v>
      </c>
      <c r="M10" s="593">
        <f>RSD_Balance!U26</f>
        <v>1.7528219421827038</v>
      </c>
      <c r="N10" s="580">
        <v>2.5</v>
      </c>
      <c r="P10" s="395" t="s">
        <v>266</v>
      </c>
      <c r="Q10" s="395" t="str">
        <f>_xlfn.TEXTJOIN(",",TRUE,IF(LEFT(Regions!$C$3,1)&lt;&gt;"*",Regions!$C$3,""),IF(LEFT(Regions!$D$3,1)&lt;&gt;"*",Regions!$D$3,""))</f>
        <v>IE,National</v>
      </c>
      <c r="R10" s="395" t="str">
        <f>_xlfn.TEXTJOIN("",TRUE,,LEFT(SETUP!B$3,1),"-",COMM!E35,"_",SETUP!$B$64)</f>
        <v>R-RSDCD_X0</v>
      </c>
      <c r="S10" s="395" t="str">
        <f>_xlfn.TEXTJOIN(" ",TRUE,COMM!F35,"Technology")</f>
        <v>Residential Cloth Drying Demand Technology</v>
      </c>
      <c r="T10" s="575" t="s">
        <v>13</v>
      </c>
      <c r="U10" s="395" t="s">
        <v>275</v>
      </c>
      <c r="V10" s="575"/>
      <c r="W10" s="395"/>
    </row>
    <row r="11" spans="2:23" ht="14.5">
      <c r="B11" s="584" t="str">
        <f>_xlfn.TEXTJOIN(",",TRUE,IF(LEFT(Regions!$C$3,1)&lt;&gt;"*",Regions!$C$3,""),IF(LEFT(Regions!$D$3,1)&lt;&gt;"*",Regions!$D$3,""))</f>
        <v>IE,National</v>
      </c>
      <c r="C11" s="582" t="str">
        <f t="shared" si="4"/>
        <v>R-RSDDW_X0</v>
      </c>
      <c r="D11" s="582" t="str">
        <f t="shared" si="4"/>
        <v>Residential Dish Washing Demand Technology</v>
      </c>
      <c r="E11" s="582" t="str">
        <f>COMM!$E$24</f>
        <v>RSDELC</v>
      </c>
      <c r="F11" s="582" t="str">
        <f>COMM!E36</f>
        <v>RSDDW</v>
      </c>
      <c r="G11" s="583">
        <f>DwellingStocks!$L$28/1000*RSD_Balance!U39</f>
        <v>1122.7334937449998</v>
      </c>
      <c r="H11" s="582">
        <v>0.7</v>
      </c>
      <c r="I11" s="585">
        <f>L11/G11/K11</f>
        <v>1.0896637608966376E-2</v>
      </c>
      <c r="J11" s="586">
        <v>10</v>
      </c>
      <c r="K11" s="595">
        <f t="shared" si="0"/>
        <v>6.9379200000000002E-2</v>
      </c>
      <c r="L11" s="583">
        <f t="shared" si="5"/>
        <v>0.8487865212712199</v>
      </c>
      <c r="M11" s="587">
        <f>RSD_Balance!V29</f>
        <v>1.2125521732445999</v>
      </c>
      <c r="N11" s="581">
        <v>2.2000000000000002</v>
      </c>
      <c r="P11" s="294" t="s">
        <v>266</v>
      </c>
      <c r="Q11" s="294" t="str">
        <f>_xlfn.TEXTJOIN(",",TRUE,IF(LEFT(Regions!$C$3,1)&lt;&gt;"*",Regions!$C$3,""),IF(LEFT(Regions!$D$3,1)&lt;&gt;"*",Regions!$D$3,""))</f>
        <v>IE,National</v>
      </c>
      <c r="R11" s="294" t="str">
        <f>_xlfn.TEXTJOIN("",TRUE,,LEFT(SETUP!B$3,1),"-",COMM!E36,"_",SETUP!$B$64)</f>
        <v>R-RSDDW_X0</v>
      </c>
      <c r="S11" s="294" t="str">
        <f>_xlfn.TEXTJOIN(" ",TRUE,COMM!F36,"Technology")</f>
        <v>Residential Dish Washing Demand Technology</v>
      </c>
      <c r="T11" s="294" t="s">
        <v>13</v>
      </c>
      <c r="U11" s="294" t="s">
        <v>275</v>
      </c>
      <c r="V11" s="294"/>
      <c r="W11" s="294"/>
    </row>
    <row r="12" spans="2:23" ht="14.5">
      <c r="B12" s="588" t="str">
        <f>_xlfn.TEXTJOIN(",",TRUE,IF(LEFT(Regions!$C$3,1)&lt;&gt;"*",Regions!$C$3,""),IF(LEFT(Regions!$D$3,1)&lt;&gt;"*",Regions!$D$3,""))</f>
        <v>IE,National</v>
      </c>
      <c r="C12" s="589" t="str">
        <f t="shared" si="4"/>
        <v>R-RSDOE_X0</v>
      </c>
      <c r="D12" s="590" t="str">
        <f t="shared" si="4"/>
        <v>Residential ELC Appliances Demand Technology</v>
      </c>
      <c r="E12" s="590" t="str">
        <f>COMM!$E$24</f>
        <v>RSDELC</v>
      </c>
      <c r="F12" s="589" t="str">
        <f>COMM!E37</f>
        <v>RSDOE</v>
      </c>
      <c r="G12" s="591">
        <f>DwellingStocks!$L$28/1000*1</f>
        <v>1735.2913349999997</v>
      </c>
      <c r="H12" s="589">
        <v>0.85</v>
      </c>
      <c r="I12" s="592">
        <f>L12/G12/K12</f>
        <v>0.93569571451266109</v>
      </c>
      <c r="J12" s="590">
        <v>10</v>
      </c>
      <c r="K12" s="589">
        <f t="shared" si="0"/>
        <v>5.6764799999999994E-3</v>
      </c>
      <c r="L12" s="589">
        <f t="shared" si="5"/>
        <v>9.2169270601309012</v>
      </c>
      <c r="M12" s="593">
        <f>RSD_Balance!W26</f>
        <v>10.843443600154002</v>
      </c>
      <c r="N12" s="580">
        <v>0.18</v>
      </c>
      <c r="P12" s="395" t="s">
        <v>266</v>
      </c>
      <c r="Q12" s="395" t="str">
        <f>_xlfn.TEXTJOIN(",",TRUE,IF(LEFT(Regions!$C$3,1)&lt;&gt;"*",Regions!$C$3,""),IF(LEFT(Regions!$D$3,1)&lt;&gt;"*",Regions!$D$3,""))</f>
        <v>IE,National</v>
      </c>
      <c r="R12" s="395" t="str">
        <f>_xlfn.TEXTJOIN("",TRUE,,LEFT(SETUP!B$3,1),"-",COMM!E37,"_",SETUP!$B$64)</f>
        <v>R-RSDOE_X0</v>
      </c>
      <c r="S12" s="395" t="str">
        <f>_xlfn.TEXTJOIN(" ",TRUE,COMM!F37,"Technology")</f>
        <v>Residential ELC Appliances Demand Technology</v>
      </c>
      <c r="T12" s="575" t="s">
        <v>13</v>
      </c>
      <c r="U12" s="395" t="s">
        <v>275</v>
      </c>
      <c r="V12" s="575"/>
      <c r="W12" s="395"/>
    </row>
    <row r="13" spans="2:23" ht="14.5">
      <c r="B13" s="584" t="str">
        <f>_xlfn.TEXTJOIN(",",TRUE,IF(LEFT(Regions!$C$3,1)&lt;&gt;"*",Regions!$C$3,""),IF(LEFT(Regions!$D$3,1)&lt;&gt;"*",Regions!$D$3,""))</f>
        <v>IE,National</v>
      </c>
      <c r="C13" s="582" t="str">
        <f t="shared" si="4"/>
        <v>R-RSDOA_X0</v>
      </c>
      <c r="D13" s="582" t="str">
        <f t="shared" si="4"/>
        <v>Residential Other Applications Demand Technology</v>
      </c>
      <c r="E13" s="582" t="str">
        <f>COMM!$E$24</f>
        <v>RSDELC</v>
      </c>
      <c r="F13" s="582" t="str">
        <f>COMM!E38</f>
        <v>RSDOA</v>
      </c>
      <c r="G13" s="583">
        <f>DwellingStocks!$L$28/1000*1</f>
        <v>1735.2913349999997</v>
      </c>
      <c r="H13" s="582">
        <v>0.85</v>
      </c>
      <c r="I13" s="585">
        <f>L13/G13/K13</f>
        <v>0</v>
      </c>
      <c r="J13" s="586">
        <v>10</v>
      </c>
      <c r="K13" s="595">
        <f t="shared" si="0"/>
        <v>5.6764799999999994E-3</v>
      </c>
      <c r="L13" s="583">
        <f t="shared" si="5"/>
        <v>0</v>
      </c>
      <c r="M13" s="587">
        <v>0</v>
      </c>
      <c r="N13" s="581">
        <v>0.18</v>
      </c>
      <c r="P13" s="294" t="s">
        <v>266</v>
      </c>
      <c r="Q13" s="294" t="str">
        <f>_xlfn.TEXTJOIN(",",TRUE,IF(LEFT(Regions!$C$3,1)&lt;&gt;"*",Regions!$C$3,""),IF(LEFT(Regions!$D$3,1)&lt;&gt;"*",Regions!$D$3,""))</f>
        <v>IE,National</v>
      </c>
      <c r="R13" s="294" t="str">
        <f>_xlfn.TEXTJOIN("",TRUE,,LEFT(SETUP!B$3,1),"-",COMM!E38,"_",SETUP!$B$64)</f>
        <v>R-RSDOA_X0</v>
      </c>
      <c r="S13" s="294" t="str">
        <f>_xlfn.TEXTJOIN(" ",TRUE,COMM!F38,"Technology")</f>
        <v>Residential Other Applications Demand Technology</v>
      </c>
      <c r="T13" s="294" t="s">
        <v>13</v>
      </c>
      <c r="U13" s="294" t="s">
        <v>275</v>
      </c>
      <c r="V13" s="294"/>
      <c r="W13" s="294"/>
    </row>
    <row r="14" spans="2:23" ht="15.5">
      <c r="C14" s="364"/>
      <c r="D14" s="364"/>
      <c r="E14" s="364"/>
      <c r="F14" s="364"/>
      <c r="G14" s="364"/>
      <c r="H14" s="364"/>
      <c r="I14" s="364"/>
      <c r="J14" s="364"/>
      <c r="K14" s="364"/>
      <c r="L14" s="364"/>
      <c r="M14" s="364"/>
      <c r="N14" s="364"/>
      <c r="O14" s="364"/>
      <c r="P14" s="594"/>
      <c r="Q14" s="594"/>
      <c r="R14" s="594"/>
      <c r="S14" s="26"/>
      <c r="T14" s="26"/>
      <c r="U14" s="26"/>
      <c r="V14" s="26"/>
      <c r="W14" s="26"/>
    </row>
    <row r="15" spans="2:23" ht="15.5">
      <c r="O15" s="364"/>
      <c r="P15" s="364"/>
      <c r="Q15" s="364"/>
      <c r="R15" s="364"/>
      <c r="S15" s="364"/>
      <c r="T15" s="364"/>
    </row>
    <row r="16" spans="2:23" ht="15.5">
      <c r="M16" s="58"/>
      <c r="N16" s="58"/>
      <c r="O16" s="364"/>
      <c r="P16" s="364"/>
      <c r="Q16" s="364"/>
      <c r="R16" s="364"/>
    </row>
    <row r="17" spans="2:18" ht="18.5">
      <c r="B17" s="1119" t="s">
        <v>618</v>
      </c>
      <c r="C17" s="1119"/>
      <c r="D17" s="1119"/>
      <c r="E17" s="1119"/>
      <c r="F17" s="1119"/>
      <c r="G17" s="1119"/>
      <c r="O17" s="364"/>
      <c r="P17" s="364"/>
      <c r="Q17" s="364"/>
    </row>
    <row r="18" spans="2:18" ht="16" thickBot="1">
      <c r="O18" s="364"/>
      <c r="P18" s="364"/>
      <c r="Q18" s="364"/>
    </row>
    <row r="19" spans="2:18" ht="21.5" thickBot="1">
      <c r="B19" s="49" t="s">
        <v>277</v>
      </c>
      <c r="C19" s="49"/>
      <c r="D19" s="49"/>
      <c r="E19" s="19" t="s">
        <v>768</v>
      </c>
      <c r="F19" s="19"/>
      <c r="G19" s="19"/>
      <c r="O19" s="364"/>
      <c r="P19" s="364"/>
      <c r="Q19" s="1136" t="s">
        <v>822</v>
      </c>
      <c r="R19" s="1137"/>
    </row>
    <row r="20" spans="2:18" ht="15.5">
      <c r="B20" s="259" t="s">
        <v>764</v>
      </c>
      <c r="C20" s="259" t="s">
        <v>232</v>
      </c>
      <c r="D20" s="259" t="s">
        <v>278</v>
      </c>
      <c r="E20" s="259" t="s">
        <v>279</v>
      </c>
      <c r="F20" s="362">
        <v>2018</v>
      </c>
      <c r="G20" s="259" t="s">
        <v>280</v>
      </c>
      <c r="O20" s="364"/>
      <c r="P20" s="364"/>
      <c r="Q20" s="687" t="s">
        <v>861</v>
      </c>
      <c r="R20" s="691">
        <v>0.75888</v>
      </c>
    </row>
    <row r="21" spans="2:18" ht="15.5">
      <c r="B21" s="363" t="str">
        <f>_xlfn.TEXTJOIN(",",TRUE,IF(LEFT(Regions!$C$3,1)&lt;&gt;"*",Regions!$C$3,""),IF(LEFT(Regions!$D$3,1)&lt;&gt;"*",Regions!$D$3,""))</f>
        <v>IE,National</v>
      </c>
      <c r="C21" s="363" t="str">
        <f>COMM!E32</f>
        <v>RSDRF</v>
      </c>
      <c r="D21" s="363" t="str">
        <f>COMM!F32</f>
        <v>Residential Refrigeration Demand</v>
      </c>
      <c r="E21" s="363" t="s">
        <v>282</v>
      </c>
      <c r="F21" s="366">
        <f>L5</f>
        <v>1.1544546193487999</v>
      </c>
      <c r="G21" s="363" t="s">
        <v>275</v>
      </c>
      <c r="O21" s="364"/>
      <c r="P21" s="364"/>
      <c r="Q21" s="688" t="s">
        <v>848</v>
      </c>
      <c r="R21" s="690">
        <v>0.22769700000000001</v>
      </c>
    </row>
    <row r="22" spans="2:18" ht="16" thickBot="1">
      <c r="B22" s="361" t="str">
        <f>_xlfn.TEXTJOIN(",",TRUE,IF(LEFT(Regions!$C$3,1)&lt;&gt;"*",Regions!$C$3,""),IF(LEFT(Regions!$D$3,1)&lt;&gt;"*",Regions!$D$3,""))</f>
        <v>IE,National</v>
      </c>
      <c r="C22" s="361" t="str">
        <f>COMM!E33</f>
        <v>RSDCK</v>
      </c>
      <c r="D22" s="361" t="str">
        <f>COMM!F33</f>
        <v>Residential Cooking Demand</v>
      </c>
      <c r="E22" s="361" t="s">
        <v>282</v>
      </c>
      <c r="F22" s="367">
        <f>SUM(L6:L8)</f>
        <v>2.0006897535500086</v>
      </c>
      <c r="G22" s="361" t="s">
        <v>275</v>
      </c>
      <c r="O22" s="364"/>
      <c r="P22" s="364"/>
      <c r="Q22" s="689" t="s">
        <v>774</v>
      </c>
      <c r="R22" s="692">
        <v>1.3422788999999999E-2</v>
      </c>
    </row>
    <row r="23" spans="2:18" ht="15.5">
      <c r="B23" s="363" t="str">
        <f>_xlfn.TEXTJOIN(",",TRUE,IF(LEFT(Regions!$C$3,1)&lt;&gt;"*",Regions!$C$3,""),IF(LEFT(Regions!$D$3,1)&lt;&gt;"*",Regions!$D$3,""))</f>
        <v>IE,National</v>
      </c>
      <c r="C23" s="363" t="str">
        <f>COMM!E34</f>
        <v>RSDCW</v>
      </c>
      <c r="D23" s="363" t="str">
        <f>COMM!F34</f>
        <v>Residential Cloth Washing Demand</v>
      </c>
      <c r="E23" s="363" t="s">
        <v>282</v>
      </c>
      <c r="F23" s="366">
        <f>L9</f>
        <v>0.78876799986757473</v>
      </c>
      <c r="G23" s="363" t="s">
        <v>275</v>
      </c>
      <c r="O23" s="364"/>
      <c r="P23" s="364"/>
      <c r="Q23" s="364"/>
    </row>
    <row r="24" spans="2:18" ht="15.5">
      <c r="B24" s="361" t="str">
        <f>_xlfn.TEXTJOIN(",",TRUE,IF(LEFT(Regions!$C$3,1)&lt;&gt;"*",Regions!$C$3,""),IF(LEFT(Regions!$D$3,1)&lt;&gt;"*",Regions!$D$3,""))</f>
        <v>IE,National</v>
      </c>
      <c r="C24" s="361" t="str">
        <f>COMM!E35</f>
        <v>RSDCD</v>
      </c>
      <c r="D24" s="361" t="str">
        <f>COMM!F35</f>
        <v>Residential Cloth Drying Demand</v>
      </c>
      <c r="E24" s="361" t="s">
        <v>282</v>
      </c>
      <c r="F24" s="367">
        <f>L10</f>
        <v>1.0516931653096222</v>
      </c>
      <c r="G24" s="361" t="s">
        <v>275</v>
      </c>
      <c r="O24" s="364"/>
      <c r="P24" s="364"/>
      <c r="Q24" s="364"/>
    </row>
    <row r="25" spans="2:18" ht="15.5">
      <c r="B25" s="363" t="str">
        <f>_xlfn.TEXTJOIN(",",TRUE,IF(LEFT(Regions!$C$3,1)&lt;&gt;"*",Regions!$C$3,""),IF(LEFT(Regions!$D$3,1)&lt;&gt;"*",Regions!$D$3,""))</f>
        <v>IE,National</v>
      </c>
      <c r="C25" s="363" t="str">
        <f>COMM!E36</f>
        <v>RSDDW</v>
      </c>
      <c r="D25" s="363" t="str">
        <f>COMM!F36</f>
        <v>Residential Dish Washing Demand</v>
      </c>
      <c r="E25" s="363" t="s">
        <v>282</v>
      </c>
      <c r="F25" s="366">
        <f>L11</f>
        <v>0.8487865212712199</v>
      </c>
      <c r="G25" s="363" t="s">
        <v>275</v>
      </c>
      <c r="O25" s="364"/>
      <c r="P25" s="364"/>
      <c r="Q25" s="364"/>
    </row>
    <row r="26" spans="2:18" ht="15.5">
      <c r="B26" s="361" t="str">
        <f>_xlfn.TEXTJOIN(",",TRUE,IF(LEFT(Regions!$C$3,1)&lt;&gt;"*",Regions!$C$3,""),IF(LEFT(Regions!$D$3,1)&lt;&gt;"*",Regions!$D$3,""))</f>
        <v>IE,National</v>
      </c>
      <c r="C26" s="361" t="str">
        <f>COMM!E37</f>
        <v>RSDOE</v>
      </c>
      <c r="D26" s="361" t="str">
        <f>COMM!F37</f>
        <v>Residential ELC Appliances Demand</v>
      </c>
      <c r="E26" s="361" t="s">
        <v>282</v>
      </c>
      <c r="F26" s="367">
        <f>L12</f>
        <v>9.2169270601309012</v>
      </c>
      <c r="G26" s="361" t="s">
        <v>275</v>
      </c>
      <c r="O26" s="364"/>
      <c r="P26" s="364"/>
      <c r="Q26" s="364"/>
    </row>
    <row r="27" spans="2:18" ht="15.5">
      <c r="B27" s="363" t="str">
        <f>_xlfn.TEXTJOIN(",",TRUE,IF(LEFT(Regions!$C$3,1)&lt;&gt;"*",Regions!$C$3,""),IF(LEFT(Regions!$D$3,1)&lt;&gt;"*",Regions!$D$3,""))</f>
        <v>IE,National</v>
      </c>
      <c r="C27" s="363" t="str">
        <f>COMM!E38</f>
        <v>RSDOA</v>
      </c>
      <c r="D27" s="363" t="str">
        <f>COMM!F38</f>
        <v>Residential Other Applications Demand</v>
      </c>
      <c r="E27" s="363" t="s">
        <v>282</v>
      </c>
      <c r="F27" s="366">
        <f>L13</f>
        <v>0</v>
      </c>
      <c r="G27" s="363" t="s">
        <v>275</v>
      </c>
      <c r="O27" s="364"/>
      <c r="P27" s="364"/>
      <c r="Q27" s="364"/>
    </row>
    <row r="28" spans="2:18" ht="15.5">
      <c r="O28" s="364"/>
      <c r="P28" s="364"/>
      <c r="Q28" s="364"/>
    </row>
    <row r="29" spans="2:18" ht="15.5">
      <c r="C29" s="364"/>
      <c r="D29" s="364"/>
      <c r="E29" s="364"/>
      <c r="F29" s="364"/>
      <c r="G29" s="364"/>
      <c r="H29" s="364"/>
      <c r="I29" s="364"/>
      <c r="J29" s="364"/>
      <c r="K29" s="364"/>
      <c r="L29" s="364"/>
      <c r="M29" s="364"/>
      <c r="N29" s="364"/>
      <c r="O29" s="364"/>
      <c r="P29" s="364"/>
      <c r="Q29" s="364"/>
      <c r="R29" s="364"/>
    </row>
    <row r="30" spans="2:18" ht="15.5">
      <c r="C30" s="364"/>
      <c r="D30" s="364"/>
      <c r="E30" s="364"/>
      <c r="F30" s="364"/>
      <c r="G30" s="364"/>
      <c r="H30" s="364"/>
      <c r="I30" s="364"/>
      <c r="J30" s="364"/>
      <c r="K30" s="364"/>
      <c r="L30" s="364"/>
      <c r="M30" s="364"/>
      <c r="N30" s="364"/>
      <c r="O30" s="364"/>
      <c r="P30" s="364"/>
      <c r="Q30" s="364"/>
      <c r="R30" s="364"/>
    </row>
    <row r="31" spans="2:18" ht="15.5">
      <c r="C31" s="364"/>
      <c r="D31" s="364"/>
      <c r="E31" s="364"/>
      <c r="F31" s="364"/>
      <c r="G31" s="364"/>
      <c r="H31" s="364"/>
      <c r="I31" s="364"/>
      <c r="J31" s="364"/>
      <c r="K31" s="364"/>
      <c r="L31" s="364"/>
      <c r="M31" s="364"/>
      <c r="N31" s="364"/>
      <c r="O31" s="364"/>
      <c r="P31" s="364"/>
      <c r="Q31" s="364"/>
      <c r="R31" s="364"/>
    </row>
    <row r="32" spans="2:18" ht="15.5">
      <c r="C32" s="364"/>
      <c r="D32" s="364"/>
      <c r="E32" s="364"/>
      <c r="F32" s="364"/>
      <c r="G32" s="364"/>
      <c r="H32" s="364"/>
      <c r="I32" s="364"/>
      <c r="J32" s="364"/>
      <c r="K32" s="364"/>
      <c r="L32" s="364"/>
      <c r="M32" s="364"/>
      <c r="N32" s="364"/>
      <c r="O32" s="364"/>
      <c r="P32" s="364"/>
      <c r="Q32" s="364"/>
      <c r="R32" s="364"/>
    </row>
    <row r="33" spans="3:18" ht="15.5">
      <c r="C33" s="364"/>
      <c r="D33" s="364"/>
      <c r="E33" s="364"/>
      <c r="F33" s="364"/>
      <c r="G33" s="364"/>
      <c r="H33" s="364"/>
      <c r="I33" s="364"/>
      <c r="J33" s="364"/>
      <c r="K33" s="364"/>
      <c r="L33" s="364"/>
      <c r="M33" s="364"/>
      <c r="N33" s="364"/>
      <c r="O33" s="364"/>
      <c r="P33" s="364"/>
      <c r="Q33" s="364"/>
      <c r="R33" s="364"/>
    </row>
    <row r="34" spans="3:18" ht="15.5">
      <c r="C34" s="364"/>
      <c r="D34" s="364"/>
      <c r="E34" s="364"/>
      <c r="F34" s="364"/>
      <c r="G34" s="364"/>
      <c r="H34" s="364"/>
      <c r="I34" s="364"/>
      <c r="J34" s="364"/>
      <c r="K34" s="364"/>
      <c r="L34" s="364"/>
      <c r="M34" s="364"/>
      <c r="N34" s="364"/>
      <c r="O34" s="364"/>
      <c r="P34" s="364"/>
      <c r="Q34" s="364"/>
      <c r="R34" s="364"/>
    </row>
    <row r="35" spans="3:18" ht="15.5">
      <c r="C35" s="364"/>
      <c r="D35" s="364"/>
      <c r="E35" s="364"/>
      <c r="F35" s="364"/>
      <c r="G35" s="364"/>
      <c r="H35" s="364"/>
      <c r="I35" s="364"/>
      <c r="J35" s="364"/>
      <c r="K35" s="364"/>
      <c r="L35" s="364"/>
      <c r="M35" s="364"/>
      <c r="N35" s="364"/>
      <c r="O35" s="364"/>
      <c r="P35" s="364"/>
      <c r="Q35" s="364"/>
      <c r="R35" s="364"/>
    </row>
    <row r="36" spans="3:18" ht="15.5">
      <c r="C36" s="364"/>
      <c r="D36" s="364"/>
      <c r="E36" s="364"/>
      <c r="F36" s="364"/>
      <c r="G36" s="364"/>
      <c r="H36" s="364"/>
      <c r="I36" s="364"/>
      <c r="J36" s="364"/>
      <c r="K36" s="364"/>
      <c r="L36" s="364"/>
      <c r="M36" s="364"/>
      <c r="N36" s="364"/>
      <c r="O36" s="364"/>
      <c r="P36" s="364"/>
      <c r="Q36" s="364"/>
      <c r="R36" s="364"/>
    </row>
    <row r="37" spans="3:18" ht="15.5">
      <c r="C37" s="364"/>
      <c r="D37" s="364"/>
      <c r="E37" s="364"/>
      <c r="F37" s="364"/>
      <c r="G37" s="364"/>
      <c r="H37" s="364"/>
      <c r="I37" s="364"/>
      <c r="J37" s="364"/>
      <c r="K37" s="364"/>
      <c r="L37" s="364"/>
      <c r="M37" s="364"/>
      <c r="N37" s="364"/>
      <c r="O37" s="364"/>
      <c r="P37" s="364"/>
      <c r="Q37" s="364"/>
      <c r="R37" s="364"/>
    </row>
    <row r="38" spans="3:18" ht="15.5">
      <c r="C38" s="364"/>
      <c r="D38" s="364"/>
      <c r="E38" s="364"/>
      <c r="F38" s="364"/>
      <c r="G38" s="364"/>
      <c r="H38" s="364"/>
      <c r="I38" s="364"/>
      <c r="J38" s="364"/>
      <c r="K38" s="364"/>
      <c r="L38" s="364"/>
      <c r="M38" s="364"/>
      <c r="N38" s="364"/>
      <c r="O38" s="364"/>
      <c r="P38" s="364"/>
      <c r="Q38" s="364"/>
      <c r="R38" s="364"/>
    </row>
    <row r="39" spans="3:18" ht="15.5">
      <c r="C39" s="364"/>
      <c r="D39" s="364"/>
      <c r="E39" s="364"/>
      <c r="F39" s="364"/>
      <c r="G39" s="364"/>
      <c r="H39" s="364"/>
      <c r="I39" s="364"/>
      <c r="J39" s="364"/>
      <c r="K39" s="364"/>
      <c r="L39" s="364"/>
      <c r="M39" s="364"/>
      <c r="N39" s="364"/>
      <c r="O39" s="364"/>
      <c r="P39" s="364"/>
      <c r="Q39" s="364"/>
      <c r="R39" s="364"/>
    </row>
    <row r="40" spans="3:18" ht="15.5">
      <c r="C40" s="364"/>
      <c r="D40" s="364"/>
      <c r="E40" s="364"/>
      <c r="F40" s="364"/>
      <c r="G40" s="364"/>
      <c r="H40" s="364"/>
      <c r="I40" s="364"/>
      <c r="J40" s="364"/>
      <c r="K40" s="364"/>
      <c r="L40" s="364"/>
      <c r="M40" s="364"/>
      <c r="N40" s="364"/>
      <c r="O40" s="364"/>
      <c r="P40" s="364"/>
      <c r="Q40" s="364"/>
      <c r="R40" s="364"/>
    </row>
    <row r="41" spans="3:18" ht="15.5">
      <c r="C41" s="364"/>
      <c r="D41" s="364"/>
      <c r="E41" s="364"/>
      <c r="F41" s="364"/>
      <c r="G41" s="364"/>
      <c r="H41" s="364"/>
      <c r="I41" s="364"/>
      <c r="J41" s="364"/>
      <c r="K41" s="364"/>
      <c r="L41" s="364"/>
      <c r="M41" s="364"/>
      <c r="N41" s="364"/>
      <c r="O41" s="364"/>
      <c r="P41" s="364"/>
      <c r="Q41" s="364"/>
      <c r="R41" s="364"/>
    </row>
    <row r="42" spans="3:18" ht="15.5">
      <c r="C42" s="364"/>
      <c r="D42" s="364"/>
      <c r="E42" s="364"/>
      <c r="F42" s="364"/>
      <c r="G42" s="364"/>
      <c r="H42" s="364"/>
      <c r="I42" s="364"/>
      <c r="J42" s="364"/>
      <c r="K42" s="364"/>
      <c r="L42" s="364"/>
      <c r="M42" s="364"/>
      <c r="N42" s="364"/>
      <c r="O42" s="364"/>
      <c r="P42" s="364"/>
      <c r="Q42" s="364"/>
      <c r="R42" s="364"/>
    </row>
    <row r="43" spans="3:18" ht="15.5">
      <c r="C43" s="364"/>
      <c r="D43" s="364"/>
      <c r="E43" s="364"/>
      <c r="F43" s="364"/>
      <c r="G43" s="364"/>
      <c r="H43" s="364"/>
      <c r="I43" s="364"/>
      <c r="J43" s="364"/>
      <c r="K43" s="364"/>
      <c r="L43" s="364"/>
      <c r="M43" s="364"/>
      <c r="N43" s="364"/>
      <c r="O43" s="364"/>
      <c r="P43" s="364"/>
      <c r="Q43" s="364"/>
      <c r="R43" s="364"/>
    </row>
    <row r="44" spans="3:18" ht="15.5">
      <c r="C44" s="364"/>
      <c r="D44" s="364"/>
      <c r="E44" s="364"/>
      <c r="F44" s="364"/>
      <c r="G44" s="364"/>
      <c r="H44" s="364"/>
      <c r="I44" s="364"/>
      <c r="J44" s="364"/>
      <c r="K44" s="364"/>
      <c r="L44" s="364"/>
      <c r="M44" s="364"/>
      <c r="N44" s="364"/>
      <c r="O44" s="364"/>
      <c r="P44" s="364"/>
      <c r="Q44" s="364"/>
      <c r="R44" s="364"/>
    </row>
    <row r="45" spans="3:18" ht="15.5">
      <c r="C45" s="364"/>
      <c r="D45" s="364"/>
      <c r="E45" s="364"/>
      <c r="F45" s="364"/>
      <c r="G45" s="364"/>
      <c r="H45" s="364"/>
      <c r="I45" s="364"/>
      <c r="J45" s="364"/>
      <c r="K45" s="364"/>
      <c r="L45" s="364"/>
      <c r="M45" s="364"/>
      <c r="N45" s="364"/>
      <c r="O45" s="364"/>
      <c r="P45" s="364"/>
      <c r="Q45" s="364"/>
      <c r="R45" s="364"/>
    </row>
    <row r="46" spans="3:18" ht="15.5">
      <c r="C46" s="364"/>
      <c r="D46" s="364"/>
      <c r="E46" s="364"/>
      <c r="F46" s="364"/>
      <c r="G46" s="364"/>
      <c r="H46" s="364"/>
      <c r="I46" s="364"/>
      <c r="J46" s="364"/>
      <c r="K46" s="364"/>
      <c r="L46" s="364"/>
      <c r="M46" s="364"/>
      <c r="N46" s="364"/>
      <c r="O46" s="364"/>
      <c r="P46" s="364"/>
      <c r="Q46" s="364"/>
      <c r="R46" s="364"/>
    </row>
    <row r="47" spans="3:18" ht="15.5">
      <c r="C47" s="364"/>
      <c r="D47" s="364"/>
      <c r="E47" s="364"/>
      <c r="F47" s="364"/>
      <c r="G47" s="364"/>
      <c r="H47" s="364"/>
      <c r="I47" s="364"/>
      <c r="J47" s="364"/>
      <c r="K47" s="364"/>
      <c r="L47" s="364"/>
      <c r="M47" s="364"/>
      <c r="N47" s="364"/>
      <c r="O47" s="364"/>
      <c r="P47" s="364"/>
      <c r="Q47" s="364"/>
      <c r="R47" s="364"/>
    </row>
    <row r="48" spans="3:18" ht="15.5">
      <c r="C48" s="364"/>
      <c r="D48" s="364"/>
      <c r="E48" s="364"/>
      <c r="F48" s="364"/>
      <c r="G48" s="364"/>
      <c r="H48" s="364"/>
      <c r="I48" s="364"/>
      <c r="J48" s="364"/>
      <c r="K48" s="364"/>
      <c r="L48" s="364"/>
      <c r="M48" s="364"/>
      <c r="N48" s="364"/>
      <c r="O48" s="364"/>
      <c r="P48" s="364"/>
      <c r="Q48" s="364"/>
      <c r="R48" s="364"/>
    </row>
    <row r="49" spans="3:18" ht="15.5">
      <c r="C49" s="364"/>
      <c r="D49" s="364"/>
      <c r="E49" s="364"/>
      <c r="F49" s="364"/>
      <c r="G49" s="364"/>
      <c r="H49" s="364"/>
      <c r="I49" s="364"/>
      <c r="J49" s="364"/>
      <c r="K49" s="364"/>
      <c r="L49" s="364"/>
      <c r="M49" s="364"/>
      <c r="N49" s="364"/>
      <c r="O49" s="364"/>
      <c r="P49" s="364"/>
      <c r="Q49" s="364"/>
      <c r="R49" s="364"/>
    </row>
    <row r="50" spans="3:18" ht="15.5">
      <c r="C50" s="364"/>
      <c r="E50" s="364"/>
      <c r="F50" s="364"/>
      <c r="G50" s="364"/>
      <c r="H50" s="364"/>
      <c r="I50" s="364"/>
      <c r="J50" s="364"/>
      <c r="K50" s="364"/>
      <c r="L50" s="364"/>
      <c r="M50" s="364"/>
      <c r="N50" s="364"/>
      <c r="O50" s="364"/>
      <c r="P50" s="364"/>
      <c r="Q50" s="364"/>
      <c r="R50" s="364"/>
    </row>
    <row r="51" spans="3:18" ht="15.5">
      <c r="C51" s="364"/>
      <c r="D51" s="364"/>
      <c r="E51" s="364"/>
      <c r="F51" s="364"/>
      <c r="G51" s="364"/>
      <c r="H51" s="364"/>
      <c r="I51" s="364"/>
      <c r="J51" s="364"/>
      <c r="K51" s="364"/>
      <c r="L51" s="364"/>
      <c r="M51" s="364"/>
      <c r="N51" s="364"/>
      <c r="O51" s="364"/>
      <c r="P51" s="364"/>
      <c r="Q51" s="364"/>
      <c r="R51" s="364"/>
    </row>
    <row r="52" spans="3:18" ht="15.5">
      <c r="C52" s="364"/>
      <c r="D52" s="364"/>
      <c r="E52" s="364"/>
      <c r="F52" s="364"/>
      <c r="G52" s="364"/>
      <c r="H52" s="364"/>
      <c r="I52" s="364"/>
      <c r="J52" s="364"/>
      <c r="K52" s="364"/>
      <c r="L52" s="364"/>
      <c r="M52" s="364"/>
      <c r="N52" s="364"/>
      <c r="O52" s="364"/>
      <c r="P52" s="364"/>
      <c r="Q52" s="364"/>
      <c r="R52" s="364"/>
    </row>
    <row r="53" spans="3:18" ht="15.5">
      <c r="C53" s="364"/>
      <c r="D53" s="364"/>
      <c r="E53" s="364"/>
      <c r="F53" s="364"/>
      <c r="G53" s="364"/>
      <c r="H53" s="364"/>
      <c r="I53" s="364"/>
      <c r="J53" s="364"/>
      <c r="K53" s="364"/>
      <c r="L53" s="364"/>
      <c r="M53" s="364"/>
      <c r="N53" s="364"/>
      <c r="O53" s="364"/>
      <c r="P53" s="364"/>
      <c r="Q53" s="364"/>
      <c r="R53" s="364"/>
    </row>
    <row r="54" spans="3:18" ht="15.5">
      <c r="C54" s="364"/>
      <c r="D54" s="364"/>
      <c r="E54" s="364"/>
      <c r="F54" s="364"/>
      <c r="G54" s="364"/>
      <c r="H54" s="364"/>
      <c r="I54" s="364"/>
      <c r="J54" s="364"/>
      <c r="K54" s="364"/>
      <c r="L54" s="364"/>
      <c r="M54" s="364"/>
      <c r="N54" s="364"/>
      <c r="O54" s="364"/>
      <c r="P54" s="364"/>
      <c r="Q54" s="364"/>
      <c r="R54" s="364"/>
    </row>
    <row r="55" spans="3:18" ht="15.5">
      <c r="C55" s="364"/>
      <c r="D55" s="364"/>
      <c r="E55" s="364"/>
      <c r="F55" s="364"/>
      <c r="G55" s="364"/>
      <c r="H55" s="364"/>
      <c r="I55" s="364"/>
      <c r="J55" s="364"/>
      <c r="K55" s="364"/>
      <c r="L55" s="364"/>
      <c r="M55" s="364"/>
      <c r="N55" s="364"/>
      <c r="O55" s="364"/>
      <c r="P55" s="364"/>
      <c r="Q55" s="364"/>
      <c r="R55" s="364"/>
    </row>
    <row r="56" spans="3:18" ht="15.5">
      <c r="C56" s="364"/>
      <c r="D56" s="364"/>
      <c r="E56" s="364"/>
      <c r="F56" s="364"/>
      <c r="G56" s="364"/>
      <c r="H56" s="364"/>
      <c r="I56" s="364"/>
      <c r="J56" s="364"/>
      <c r="K56" s="364"/>
      <c r="L56" s="364"/>
      <c r="M56" s="364"/>
      <c r="N56" s="364"/>
      <c r="O56" s="364"/>
      <c r="P56" s="364"/>
      <c r="Q56" s="364"/>
      <c r="R56" s="364"/>
    </row>
    <row r="57" spans="3:18" ht="15.5">
      <c r="C57" s="364"/>
      <c r="D57" s="364"/>
      <c r="E57" s="364"/>
      <c r="F57" s="364"/>
      <c r="G57" s="364"/>
      <c r="H57" s="364"/>
      <c r="I57" s="364"/>
      <c r="J57" s="364"/>
      <c r="K57" s="364"/>
      <c r="L57" s="364"/>
      <c r="M57" s="364"/>
      <c r="N57" s="364"/>
      <c r="O57" s="364"/>
      <c r="P57" s="364"/>
      <c r="Q57" s="364"/>
      <c r="R57" s="364"/>
    </row>
    <row r="58" spans="3:18" ht="15.5">
      <c r="C58" s="364"/>
      <c r="D58" s="364"/>
      <c r="E58" s="364"/>
      <c r="F58" s="364"/>
      <c r="G58" s="364"/>
      <c r="H58" s="364"/>
      <c r="I58" s="364"/>
      <c r="J58" s="364"/>
      <c r="K58" s="364"/>
      <c r="L58" s="364"/>
      <c r="M58" s="364"/>
      <c r="N58" s="364"/>
      <c r="O58" s="364"/>
      <c r="P58" s="364"/>
      <c r="Q58" s="364"/>
      <c r="R58" s="364"/>
    </row>
    <row r="59" spans="3:18" ht="15.5">
      <c r="C59" s="364"/>
      <c r="D59" s="364"/>
      <c r="E59" s="364"/>
      <c r="F59" s="364"/>
      <c r="G59" s="364"/>
      <c r="H59" s="364"/>
      <c r="I59" s="364"/>
      <c r="J59" s="364"/>
      <c r="K59" s="364"/>
      <c r="L59" s="364"/>
      <c r="M59" s="364"/>
      <c r="N59" s="364"/>
      <c r="O59" s="364"/>
      <c r="P59" s="364"/>
      <c r="Q59" s="364"/>
      <c r="R59" s="364"/>
    </row>
    <row r="60" spans="3:18" ht="15.5">
      <c r="C60" s="364"/>
      <c r="D60" s="364"/>
      <c r="E60" s="364"/>
      <c r="F60" s="364"/>
      <c r="G60" s="364"/>
      <c r="H60" s="364"/>
      <c r="I60" s="364"/>
      <c r="J60" s="364"/>
      <c r="K60" s="364"/>
      <c r="L60" s="364"/>
      <c r="M60" s="364"/>
      <c r="N60" s="364"/>
      <c r="O60" s="364"/>
      <c r="P60" s="364"/>
      <c r="Q60" s="364"/>
      <c r="R60" s="364"/>
    </row>
    <row r="61" spans="3:18" ht="15.5">
      <c r="C61" s="364"/>
      <c r="D61" s="364"/>
      <c r="E61" s="364"/>
      <c r="F61" s="364"/>
      <c r="G61" s="364"/>
      <c r="H61" s="364"/>
      <c r="I61" s="364"/>
      <c r="J61" s="364"/>
      <c r="K61" s="364"/>
      <c r="L61" s="364"/>
      <c r="M61" s="364"/>
      <c r="N61" s="364"/>
      <c r="O61" s="364"/>
      <c r="P61" s="364"/>
      <c r="Q61" s="364"/>
      <c r="R61" s="364"/>
    </row>
    <row r="62" spans="3:18" ht="15.5">
      <c r="C62" s="364"/>
      <c r="D62" s="364"/>
      <c r="E62" s="364"/>
      <c r="F62" s="364"/>
      <c r="G62" s="364"/>
      <c r="H62" s="364"/>
      <c r="I62" s="364"/>
      <c r="J62" s="364"/>
      <c r="K62" s="364"/>
      <c r="L62" s="364"/>
      <c r="M62" s="364"/>
      <c r="N62" s="364"/>
      <c r="O62" s="364"/>
      <c r="P62" s="364"/>
      <c r="Q62" s="364"/>
      <c r="R62" s="364"/>
    </row>
    <row r="63" spans="3:18" ht="15.5">
      <c r="C63" s="364"/>
      <c r="D63" s="364"/>
      <c r="E63" s="364"/>
      <c r="F63" s="364"/>
      <c r="G63" s="364"/>
      <c r="H63" s="364"/>
      <c r="I63" s="364"/>
      <c r="J63" s="364"/>
      <c r="K63" s="364"/>
      <c r="L63" s="364"/>
      <c r="M63" s="364"/>
      <c r="N63" s="364"/>
      <c r="O63" s="364"/>
      <c r="P63" s="364"/>
      <c r="Q63" s="364"/>
      <c r="R63" s="364"/>
    </row>
    <row r="64" spans="3:18" ht="15.5">
      <c r="C64" s="364"/>
      <c r="D64" s="364"/>
      <c r="E64" s="364"/>
      <c r="F64" s="364"/>
      <c r="G64" s="364"/>
      <c r="H64" s="364"/>
      <c r="I64" s="364"/>
      <c r="J64" s="364"/>
      <c r="K64" s="364"/>
      <c r="L64" s="364"/>
      <c r="M64" s="364"/>
      <c r="N64" s="364"/>
      <c r="O64" s="364"/>
      <c r="P64" s="364"/>
      <c r="Q64" s="364"/>
      <c r="R64" s="364"/>
    </row>
    <row r="65" spans="3:18" ht="15.5">
      <c r="C65" s="364"/>
      <c r="D65" s="364"/>
      <c r="E65" s="364"/>
      <c r="F65" s="364"/>
      <c r="G65" s="364"/>
      <c r="H65" s="364"/>
      <c r="I65" s="364"/>
      <c r="J65" s="364"/>
      <c r="K65" s="364"/>
      <c r="L65" s="364"/>
      <c r="M65" s="364"/>
      <c r="N65" s="364"/>
      <c r="O65" s="364"/>
      <c r="P65" s="364"/>
      <c r="Q65" s="364"/>
      <c r="R65" s="364"/>
    </row>
    <row r="66" spans="3:18" ht="15.5"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4"/>
      <c r="Q66" s="364"/>
      <c r="R66" s="364"/>
    </row>
    <row r="67" spans="3:18" ht="15.5">
      <c r="C67" s="364"/>
      <c r="D67" s="364"/>
      <c r="E67" s="364"/>
      <c r="F67" s="364"/>
      <c r="G67" s="364"/>
      <c r="H67" s="364"/>
      <c r="I67" s="364"/>
      <c r="J67" s="364"/>
      <c r="K67" s="364"/>
      <c r="L67" s="364"/>
      <c r="M67" s="364"/>
      <c r="N67" s="364"/>
      <c r="O67" s="364"/>
      <c r="P67" s="364"/>
      <c r="Q67" s="364"/>
      <c r="R67" s="364"/>
    </row>
    <row r="68" spans="3:18" ht="15.5"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4"/>
      <c r="Q68" s="364"/>
      <c r="R68" s="364"/>
    </row>
    <row r="69" spans="3:18" ht="15.5">
      <c r="C69" s="364"/>
      <c r="D69" s="364"/>
      <c r="E69" s="364"/>
      <c r="F69" s="364"/>
      <c r="G69" s="364"/>
      <c r="H69" s="364"/>
      <c r="I69" s="364"/>
      <c r="J69" s="364"/>
      <c r="K69" s="364"/>
      <c r="L69" s="364"/>
      <c r="M69" s="364"/>
      <c r="N69" s="364"/>
      <c r="O69" s="364"/>
      <c r="P69" s="364"/>
      <c r="Q69" s="364"/>
      <c r="R69" s="364"/>
    </row>
    <row r="70" spans="3:18" ht="15.5">
      <c r="C70" s="364"/>
      <c r="D70" s="364"/>
      <c r="E70" s="364"/>
      <c r="F70" s="364"/>
      <c r="G70" s="364"/>
      <c r="H70" s="364"/>
      <c r="I70" s="364"/>
      <c r="J70" s="364"/>
      <c r="K70" s="364"/>
      <c r="L70" s="364"/>
      <c r="M70" s="364"/>
      <c r="N70" s="364"/>
      <c r="O70" s="364"/>
      <c r="P70" s="364"/>
      <c r="Q70" s="364"/>
      <c r="R70" s="364"/>
    </row>
    <row r="71" spans="3:18" ht="15.5">
      <c r="C71" s="364"/>
      <c r="D71" s="364"/>
      <c r="E71" s="364"/>
      <c r="F71" s="364"/>
      <c r="G71" s="364"/>
      <c r="H71" s="364"/>
      <c r="I71" s="364"/>
      <c r="J71" s="364"/>
      <c r="K71" s="364"/>
      <c r="L71" s="364"/>
      <c r="M71" s="364"/>
      <c r="N71" s="364"/>
      <c r="O71" s="364"/>
      <c r="P71" s="364"/>
      <c r="Q71" s="364"/>
      <c r="R71" s="364"/>
    </row>
    <row r="72" spans="3:18" ht="15.5">
      <c r="C72" s="364"/>
      <c r="D72" s="364"/>
      <c r="E72" s="364"/>
      <c r="F72" s="364"/>
      <c r="G72" s="364"/>
      <c r="H72" s="364"/>
      <c r="I72" s="364"/>
      <c r="J72" s="364"/>
      <c r="K72" s="364"/>
      <c r="L72" s="364"/>
      <c r="M72" s="364"/>
      <c r="N72" s="364"/>
      <c r="O72" s="364"/>
      <c r="P72" s="364"/>
      <c r="Q72" s="364"/>
      <c r="R72" s="364"/>
    </row>
    <row r="73" spans="3:18" ht="15.5">
      <c r="C73" s="364"/>
      <c r="D73" s="364"/>
      <c r="E73" s="364"/>
      <c r="F73" s="364"/>
      <c r="G73" s="364"/>
      <c r="H73" s="364"/>
      <c r="I73" s="364"/>
      <c r="J73" s="364"/>
      <c r="K73" s="364"/>
      <c r="L73" s="364"/>
      <c r="M73" s="364"/>
      <c r="N73" s="364"/>
      <c r="O73" s="364"/>
      <c r="P73" s="364"/>
      <c r="Q73" s="364"/>
      <c r="R73" s="364"/>
    </row>
    <row r="74" spans="3:18" ht="15.5">
      <c r="C74" s="364"/>
      <c r="D74" s="364"/>
      <c r="E74" s="364"/>
      <c r="F74" s="364"/>
      <c r="G74" s="364"/>
      <c r="H74" s="364"/>
      <c r="I74" s="364"/>
      <c r="J74" s="364"/>
      <c r="K74" s="364"/>
      <c r="L74" s="364"/>
      <c r="M74" s="364"/>
      <c r="N74" s="364"/>
      <c r="O74" s="364"/>
      <c r="P74" s="364"/>
      <c r="Q74" s="364"/>
      <c r="R74" s="364"/>
    </row>
    <row r="75" spans="3:18" ht="15.5">
      <c r="C75" s="364"/>
      <c r="D75" s="364"/>
      <c r="E75" s="364"/>
      <c r="F75" s="364"/>
      <c r="G75" s="364"/>
      <c r="H75" s="364"/>
      <c r="I75" s="364"/>
      <c r="J75" s="364"/>
      <c r="K75" s="364"/>
      <c r="L75" s="364"/>
      <c r="M75" s="364"/>
      <c r="N75" s="364"/>
      <c r="O75" s="364"/>
      <c r="P75" s="364"/>
      <c r="Q75" s="364"/>
      <c r="R75" s="364"/>
    </row>
    <row r="76" spans="3:18" ht="15.5">
      <c r="C76" s="364"/>
      <c r="D76" s="364"/>
      <c r="E76" s="364"/>
      <c r="F76" s="364"/>
      <c r="G76" s="364"/>
      <c r="H76" s="364"/>
      <c r="I76" s="364"/>
      <c r="J76" s="364"/>
      <c r="K76" s="364"/>
      <c r="L76" s="364"/>
      <c r="M76" s="364"/>
      <c r="N76" s="364"/>
      <c r="O76" s="364"/>
      <c r="P76" s="364"/>
      <c r="Q76" s="364"/>
      <c r="R76" s="364"/>
    </row>
    <row r="77" spans="3:18" ht="15.5">
      <c r="C77" s="364"/>
      <c r="D77" s="364"/>
      <c r="E77" s="364"/>
      <c r="F77" s="364"/>
      <c r="G77" s="364"/>
      <c r="H77" s="364"/>
      <c r="I77" s="364"/>
      <c r="J77" s="364"/>
      <c r="K77" s="364"/>
      <c r="L77" s="364"/>
      <c r="M77" s="364"/>
      <c r="N77" s="364"/>
      <c r="O77" s="364"/>
      <c r="P77" s="364"/>
      <c r="Q77" s="364"/>
      <c r="R77" s="364"/>
    </row>
    <row r="78" spans="3:18" ht="15.5">
      <c r="C78" s="364"/>
      <c r="D78" s="364"/>
      <c r="E78" s="364"/>
      <c r="F78" s="364"/>
      <c r="G78" s="364"/>
      <c r="H78" s="364"/>
      <c r="I78" s="364"/>
      <c r="J78" s="364"/>
      <c r="K78" s="364"/>
      <c r="L78" s="364"/>
      <c r="M78" s="364"/>
      <c r="N78" s="364"/>
      <c r="O78" s="364"/>
      <c r="P78" s="364"/>
      <c r="Q78" s="364"/>
      <c r="R78" s="364"/>
    </row>
    <row r="79" spans="3:18" ht="15.5">
      <c r="C79" s="364"/>
      <c r="D79" s="364"/>
      <c r="E79" s="364"/>
      <c r="F79" s="364"/>
      <c r="G79" s="364"/>
      <c r="H79" s="364"/>
      <c r="I79" s="364"/>
      <c r="J79" s="364"/>
      <c r="K79" s="364"/>
      <c r="L79" s="364"/>
      <c r="M79" s="364"/>
      <c r="N79" s="364"/>
      <c r="O79" s="364"/>
      <c r="P79" s="364"/>
      <c r="Q79" s="364"/>
      <c r="R79" s="364"/>
    </row>
    <row r="80" spans="3:18" ht="15.5">
      <c r="C80" s="364"/>
      <c r="D80" s="364"/>
      <c r="E80" s="364"/>
      <c r="F80" s="364"/>
      <c r="G80" s="364"/>
      <c r="H80" s="364"/>
      <c r="I80" s="364"/>
      <c r="J80" s="364"/>
      <c r="K80" s="364"/>
      <c r="L80" s="364"/>
      <c r="M80" s="364"/>
      <c r="N80" s="364"/>
      <c r="O80" s="364"/>
      <c r="P80" s="364"/>
      <c r="Q80" s="364"/>
      <c r="R80" s="364"/>
    </row>
    <row r="81" spans="3:18" ht="15.5">
      <c r="C81" s="364"/>
      <c r="D81" s="364"/>
      <c r="E81" s="364"/>
      <c r="F81" s="364"/>
      <c r="G81" s="364"/>
      <c r="H81" s="364"/>
      <c r="I81" s="364"/>
      <c r="J81" s="364"/>
      <c r="K81" s="364"/>
      <c r="L81" s="364"/>
      <c r="M81" s="364"/>
      <c r="N81" s="364"/>
      <c r="O81" s="364"/>
      <c r="P81" s="364"/>
      <c r="Q81" s="364"/>
      <c r="R81" s="364"/>
    </row>
    <row r="82" spans="3:18" ht="15.5">
      <c r="C82" s="364"/>
      <c r="D82" s="364"/>
      <c r="E82" s="364"/>
      <c r="F82" s="364"/>
      <c r="G82" s="364"/>
      <c r="H82" s="364"/>
      <c r="I82" s="364"/>
      <c r="J82" s="364"/>
      <c r="K82" s="364"/>
      <c r="L82" s="364"/>
      <c r="M82" s="364"/>
      <c r="N82" s="364"/>
      <c r="O82" s="364"/>
      <c r="P82" s="364"/>
      <c r="Q82" s="364"/>
      <c r="R82" s="364"/>
    </row>
    <row r="83" spans="3:18" ht="15.5">
      <c r="C83" s="364"/>
      <c r="D83" s="364"/>
      <c r="E83" s="364"/>
      <c r="F83" s="364"/>
      <c r="G83" s="364"/>
      <c r="H83" s="364"/>
      <c r="I83" s="364"/>
      <c r="J83" s="364"/>
      <c r="K83" s="364"/>
      <c r="L83" s="364"/>
      <c r="M83" s="364"/>
      <c r="N83" s="364"/>
      <c r="O83" s="364"/>
      <c r="P83" s="364"/>
      <c r="Q83" s="364"/>
      <c r="R83" s="364"/>
    </row>
    <row r="84" spans="3:18" ht="15.5">
      <c r="C84" s="364"/>
      <c r="D84" s="364"/>
      <c r="E84" s="364"/>
      <c r="F84" s="364"/>
      <c r="G84" s="364"/>
      <c r="H84" s="364"/>
      <c r="I84" s="364"/>
      <c r="J84" s="364"/>
      <c r="K84" s="364"/>
      <c r="L84" s="364"/>
      <c r="M84" s="364"/>
      <c r="N84" s="364"/>
      <c r="O84" s="364"/>
      <c r="P84" s="364"/>
      <c r="Q84" s="364"/>
      <c r="R84" s="364"/>
    </row>
    <row r="85" spans="3:18" ht="15.5">
      <c r="C85" s="364"/>
      <c r="D85" s="364"/>
      <c r="E85" s="364"/>
      <c r="F85" s="364"/>
      <c r="G85" s="364"/>
      <c r="H85" s="364"/>
      <c r="I85" s="364"/>
      <c r="J85" s="364"/>
      <c r="K85" s="364"/>
      <c r="L85" s="364"/>
      <c r="M85" s="364"/>
      <c r="N85" s="364"/>
      <c r="O85" s="364"/>
      <c r="P85" s="364"/>
      <c r="Q85" s="364"/>
      <c r="R85" s="364"/>
    </row>
    <row r="86" spans="3:18" ht="15.5">
      <c r="C86" s="364"/>
      <c r="D86" s="364"/>
      <c r="E86" s="364"/>
      <c r="F86" s="364"/>
      <c r="G86" s="364"/>
      <c r="H86" s="364"/>
      <c r="I86" s="364"/>
      <c r="J86" s="364"/>
      <c r="K86" s="364"/>
      <c r="L86" s="364"/>
      <c r="M86" s="364"/>
      <c r="N86" s="364"/>
      <c r="O86" s="364"/>
      <c r="P86" s="364"/>
      <c r="Q86" s="364"/>
      <c r="R86" s="364"/>
    </row>
    <row r="87" spans="3:18" ht="15.5">
      <c r="C87" s="364"/>
      <c r="D87" s="364"/>
      <c r="E87" s="364"/>
      <c r="F87" s="364"/>
      <c r="G87" s="364"/>
      <c r="H87" s="364"/>
      <c r="I87" s="364"/>
      <c r="J87" s="364"/>
      <c r="K87" s="364"/>
      <c r="L87" s="364"/>
      <c r="M87" s="364"/>
      <c r="N87" s="364"/>
      <c r="O87" s="364"/>
      <c r="P87" s="364"/>
      <c r="Q87" s="364"/>
      <c r="R87" s="364"/>
    </row>
    <row r="88" spans="3:18" ht="15.5">
      <c r="C88" s="364"/>
      <c r="D88" s="364"/>
      <c r="E88" s="364"/>
      <c r="F88" s="364"/>
      <c r="G88" s="364"/>
      <c r="H88" s="364"/>
      <c r="I88" s="364"/>
      <c r="J88" s="364"/>
      <c r="K88" s="364"/>
      <c r="L88" s="364"/>
      <c r="M88" s="364"/>
      <c r="N88" s="364"/>
      <c r="O88" s="364"/>
      <c r="P88" s="364"/>
      <c r="Q88" s="364"/>
      <c r="R88" s="364"/>
    </row>
    <row r="89" spans="3:18" ht="15.5">
      <c r="C89" s="364"/>
      <c r="D89" s="364"/>
      <c r="E89" s="364"/>
      <c r="F89" s="364"/>
      <c r="G89" s="364"/>
      <c r="H89" s="364"/>
      <c r="I89" s="364"/>
      <c r="J89" s="364"/>
      <c r="K89" s="364"/>
      <c r="L89" s="364"/>
      <c r="M89" s="364"/>
      <c r="N89" s="364"/>
      <c r="O89" s="364"/>
      <c r="P89" s="364"/>
      <c r="Q89" s="364"/>
      <c r="R89" s="364"/>
    </row>
    <row r="90" spans="3:18" ht="15.5">
      <c r="C90" s="364"/>
      <c r="D90" s="364"/>
      <c r="E90" s="364"/>
      <c r="F90" s="364"/>
      <c r="G90" s="364"/>
      <c r="H90" s="364"/>
      <c r="I90" s="364"/>
      <c r="J90" s="364"/>
      <c r="K90" s="364"/>
      <c r="L90" s="364"/>
      <c r="M90" s="364"/>
      <c r="N90" s="364"/>
      <c r="O90" s="364"/>
      <c r="P90" s="364"/>
      <c r="Q90" s="364"/>
      <c r="R90" s="364"/>
    </row>
    <row r="91" spans="3:18" ht="15.5">
      <c r="C91" s="364"/>
      <c r="D91" s="364"/>
      <c r="E91" s="364"/>
      <c r="F91" s="364"/>
      <c r="G91" s="364"/>
      <c r="H91" s="364"/>
      <c r="I91" s="364"/>
      <c r="J91" s="364"/>
      <c r="K91" s="364"/>
      <c r="L91" s="364"/>
      <c r="M91" s="364"/>
      <c r="N91" s="364"/>
      <c r="O91" s="364"/>
      <c r="P91" s="364"/>
      <c r="Q91" s="364"/>
      <c r="R91" s="364"/>
    </row>
    <row r="92" spans="3:18" ht="15.5">
      <c r="C92" s="364"/>
      <c r="D92" s="364"/>
      <c r="E92" s="364"/>
      <c r="F92" s="364"/>
      <c r="G92" s="364"/>
      <c r="H92" s="364"/>
      <c r="I92" s="364"/>
      <c r="J92" s="364"/>
      <c r="K92" s="364"/>
      <c r="L92" s="364"/>
      <c r="M92" s="364"/>
      <c r="N92" s="364"/>
      <c r="O92" s="364"/>
      <c r="P92" s="364"/>
      <c r="Q92" s="364"/>
      <c r="R92" s="364"/>
    </row>
    <row r="93" spans="3:18" ht="15.5">
      <c r="C93" s="364"/>
      <c r="D93" s="364"/>
      <c r="E93" s="364"/>
      <c r="F93" s="364"/>
      <c r="G93" s="364"/>
      <c r="H93" s="364"/>
      <c r="I93" s="364"/>
      <c r="J93" s="364"/>
      <c r="K93" s="364"/>
      <c r="L93" s="364"/>
      <c r="M93" s="364"/>
      <c r="N93" s="364"/>
      <c r="O93" s="364"/>
      <c r="P93" s="364"/>
      <c r="Q93" s="364"/>
      <c r="R93" s="364"/>
    </row>
    <row r="94" spans="3:18" ht="15.5">
      <c r="C94" s="364"/>
      <c r="D94" s="364"/>
      <c r="E94" s="364"/>
      <c r="F94" s="364"/>
      <c r="G94" s="364"/>
      <c r="H94" s="364"/>
      <c r="I94" s="364"/>
      <c r="J94" s="364"/>
      <c r="K94" s="364"/>
      <c r="L94" s="364"/>
      <c r="M94" s="364"/>
      <c r="N94" s="364"/>
      <c r="O94" s="364"/>
      <c r="P94" s="364"/>
      <c r="Q94" s="364"/>
      <c r="R94" s="364"/>
    </row>
    <row r="95" spans="3:18" ht="15.5">
      <c r="C95" s="364"/>
      <c r="D95" s="364"/>
      <c r="E95" s="364"/>
      <c r="F95" s="364"/>
      <c r="G95" s="364"/>
      <c r="H95" s="364"/>
      <c r="I95" s="364"/>
      <c r="J95" s="364"/>
      <c r="K95" s="364"/>
      <c r="L95" s="364"/>
      <c r="M95" s="364"/>
      <c r="N95" s="364"/>
      <c r="O95" s="364"/>
      <c r="P95" s="364"/>
      <c r="Q95" s="364"/>
      <c r="R95" s="364"/>
    </row>
    <row r="96" spans="3:18" ht="15.5">
      <c r="C96" s="364"/>
      <c r="D96" s="364"/>
      <c r="E96" s="364"/>
      <c r="F96" s="364"/>
      <c r="G96" s="364"/>
      <c r="H96" s="364"/>
      <c r="I96" s="364"/>
      <c r="J96" s="364"/>
      <c r="K96" s="364"/>
      <c r="L96" s="364"/>
      <c r="M96" s="364"/>
      <c r="N96" s="364"/>
      <c r="O96" s="364"/>
      <c r="P96" s="364"/>
      <c r="Q96" s="364"/>
      <c r="R96" s="364"/>
    </row>
    <row r="97" spans="3:18" ht="15.5">
      <c r="C97" s="364"/>
      <c r="D97" s="364"/>
      <c r="E97" s="364"/>
      <c r="F97" s="364"/>
      <c r="G97" s="364"/>
      <c r="H97" s="364"/>
      <c r="I97" s="364"/>
      <c r="J97" s="364"/>
      <c r="K97" s="364"/>
      <c r="L97" s="364"/>
      <c r="M97" s="364"/>
      <c r="N97" s="364"/>
      <c r="O97" s="364"/>
      <c r="P97" s="364"/>
      <c r="Q97" s="364"/>
      <c r="R97" s="364"/>
    </row>
    <row r="98" spans="3:18" ht="15.5">
      <c r="C98" s="364"/>
      <c r="D98" s="364"/>
      <c r="E98" s="364"/>
      <c r="F98" s="364"/>
      <c r="G98" s="364"/>
      <c r="H98" s="364"/>
      <c r="I98" s="364"/>
      <c r="J98" s="364"/>
      <c r="K98" s="364"/>
      <c r="L98" s="364"/>
      <c r="M98" s="364"/>
      <c r="N98" s="364"/>
      <c r="O98" s="364"/>
      <c r="P98" s="364"/>
      <c r="Q98" s="364"/>
      <c r="R98" s="364"/>
    </row>
    <row r="99" spans="3:18" ht="15.5">
      <c r="C99" s="364"/>
      <c r="D99" s="364"/>
      <c r="E99" s="364"/>
      <c r="F99" s="364"/>
      <c r="G99" s="364"/>
      <c r="H99" s="364"/>
      <c r="I99" s="364"/>
      <c r="J99" s="364"/>
      <c r="K99" s="364"/>
      <c r="L99" s="364"/>
      <c r="M99" s="364"/>
      <c r="N99" s="364"/>
      <c r="O99" s="364"/>
      <c r="P99" s="364"/>
      <c r="Q99" s="364"/>
      <c r="R99" s="364"/>
    </row>
    <row r="100" spans="3:18" ht="15.5">
      <c r="C100" s="364"/>
      <c r="D100" s="364"/>
      <c r="E100" s="364"/>
      <c r="F100" s="364"/>
      <c r="G100" s="364"/>
      <c r="H100" s="364"/>
      <c r="I100" s="364"/>
      <c r="J100" s="364"/>
      <c r="K100" s="364"/>
      <c r="L100" s="364"/>
      <c r="M100" s="364"/>
      <c r="N100" s="364"/>
      <c r="O100" s="364"/>
      <c r="P100" s="364"/>
      <c r="Q100" s="364"/>
      <c r="R100" s="364"/>
    </row>
    <row r="101" spans="3:18" ht="15.5">
      <c r="C101" s="364"/>
      <c r="D101" s="364"/>
      <c r="E101" s="364"/>
      <c r="F101" s="364"/>
      <c r="G101" s="364"/>
      <c r="H101" s="364"/>
      <c r="I101" s="364"/>
      <c r="J101" s="364"/>
      <c r="K101" s="364"/>
      <c r="L101" s="364"/>
      <c r="M101" s="364"/>
      <c r="N101" s="364"/>
      <c r="O101" s="364"/>
      <c r="P101" s="364"/>
      <c r="Q101" s="364"/>
      <c r="R101" s="364"/>
    </row>
    <row r="102" spans="3:18" ht="15.5">
      <c r="C102" s="364"/>
      <c r="D102" s="364"/>
      <c r="E102" s="364"/>
      <c r="F102" s="364"/>
      <c r="G102" s="364"/>
      <c r="H102" s="364"/>
      <c r="I102" s="364"/>
      <c r="J102" s="364"/>
      <c r="K102" s="364"/>
      <c r="L102" s="364"/>
      <c r="M102" s="364"/>
      <c r="N102" s="364"/>
      <c r="O102" s="364"/>
      <c r="P102" s="364"/>
      <c r="Q102" s="364"/>
      <c r="R102" s="364"/>
    </row>
    <row r="103" spans="3:18" ht="15.5">
      <c r="C103" s="364"/>
      <c r="D103" s="364"/>
      <c r="E103" s="364"/>
      <c r="F103" s="364"/>
      <c r="G103" s="364"/>
      <c r="H103" s="364"/>
      <c r="I103" s="364"/>
      <c r="J103" s="364"/>
      <c r="K103" s="364"/>
      <c r="L103" s="364"/>
      <c r="M103" s="364"/>
      <c r="N103" s="364"/>
      <c r="O103" s="364"/>
      <c r="P103" s="364"/>
      <c r="Q103" s="364"/>
      <c r="R103" s="364"/>
    </row>
    <row r="104" spans="3:18" ht="15.5">
      <c r="C104" s="364"/>
      <c r="D104" s="364"/>
      <c r="E104" s="364"/>
      <c r="F104" s="364"/>
      <c r="G104" s="364"/>
      <c r="H104" s="364"/>
      <c r="I104" s="364"/>
      <c r="J104" s="364"/>
      <c r="K104" s="364"/>
      <c r="L104" s="364"/>
      <c r="M104" s="364"/>
      <c r="N104" s="364"/>
      <c r="O104" s="364"/>
      <c r="P104" s="364"/>
      <c r="Q104" s="364"/>
      <c r="R104" s="364"/>
    </row>
    <row r="105" spans="3:18" ht="15.5">
      <c r="C105" s="364"/>
      <c r="D105" s="364"/>
      <c r="E105" s="364"/>
      <c r="F105" s="364"/>
      <c r="G105" s="364"/>
      <c r="H105" s="364"/>
      <c r="I105" s="364"/>
      <c r="J105" s="364"/>
      <c r="K105" s="364"/>
      <c r="L105" s="364"/>
      <c r="M105" s="364"/>
      <c r="N105" s="364"/>
      <c r="O105" s="364"/>
      <c r="P105" s="364"/>
      <c r="Q105" s="364"/>
      <c r="R105" s="364"/>
    </row>
    <row r="106" spans="3:18" ht="15.5"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4"/>
      <c r="P106" s="364"/>
      <c r="Q106" s="364"/>
      <c r="R106" s="364"/>
    </row>
    <row r="107" spans="3:18" ht="15.5">
      <c r="C107" s="364"/>
      <c r="D107" s="364"/>
      <c r="E107" s="364"/>
      <c r="F107" s="364"/>
      <c r="G107" s="364"/>
      <c r="H107" s="364"/>
      <c r="I107" s="364"/>
      <c r="J107" s="364"/>
      <c r="K107" s="364"/>
      <c r="L107" s="364"/>
      <c r="M107" s="364"/>
      <c r="N107" s="364"/>
      <c r="O107" s="364"/>
      <c r="P107" s="364"/>
      <c r="Q107" s="364"/>
      <c r="R107" s="364"/>
    </row>
    <row r="108" spans="3:18" ht="15.5">
      <c r="C108" s="364"/>
      <c r="D108" s="364"/>
      <c r="E108" s="364"/>
      <c r="F108" s="364"/>
      <c r="G108" s="364"/>
      <c r="H108" s="364"/>
      <c r="I108" s="364"/>
      <c r="J108" s="364"/>
      <c r="K108" s="364"/>
      <c r="L108" s="364"/>
      <c r="M108" s="364"/>
      <c r="N108" s="364"/>
      <c r="O108" s="364"/>
      <c r="P108" s="364"/>
      <c r="Q108" s="364"/>
      <c r="R108" s="364"/>
    </row>
    <row r="109" spans="3:18" ht="15.5">
      <c r="C109" s="364"/>
      <c r="D109" s="364"/>
      <c r="E109" s="364"/>
      <c r="F109" s="364"/>
      <c r="G109" s="364"/>
      <c r="H109" s="364"/>
      <c r="I109" s="364"/>
      <c r="J109" s="364"/>
      <c r="K109" s="364"/>
      <c r="L109" s="364"/>
      <c r="M109" s="364"/>
      <c r="N109" s="364"/>
      <c r="O109" s="364"/>
      <c r="P109" s="364"/>
      <c r="Q109" s="364"/>
      <c r="R109" s="364"/>
    </row>
    <row r="110" spans="3:18" ht="15.5">
      <c r="C110" s="364"/>
      <c r="D110" s="364"/>
      <c r="E110" s="364"/>
      <c r="F110" s="364"/>
      <c r="G110" s="364"/>
      <c r="H110" s="364"/>
      <c r="I110" s="364"/>
      <c r="J110" s="364"/>
      <c r="K110" s="364"/>
      <c r="L110" s="364"/>
      <c r="M110" s="364"/>
      <c r="N110" s="364"/>
      <c r="O110" s="364"/>
      <c r="P110" s="364"/>
      <c r="Q110" s="364"/>
      <c r="R110" s="364"/>
    </row>
    <row r="111" spans="3:18" ht="15.5">
      <c r="C111" s="364"/>
      <c r="D111" s="364"/>
      <c r="E111" s="364"/>
      <c r="F111" s="364"/>
      <c r="G111" s="364"/>
      <c r="H111" s="364"/>
      <c r="I111" s="364"/>
      <c r="J111" s="364"/>
      <c r="K111" s="364"/>
      <c r="L111" s="364"/>
      <c r="M111" s="364"/>
      <c r="N111" s="364"/>
      <c r="O111" s="364"/>
      <c r="P111" s="364"/>
      <c r="Q111" s="364"/>
      <c r="R111" s="364"/>
    </row>
    <row r="112" spans="3:18" ht="15.5">
      <c r="C112" s="364"/>
      <c r="D112" s="364"/>
      <c r="E112" s="364"/>
      <c r="F112" s="364"/>
      <c r="G112" s="364"/>
      <c r="H112" s="364"/>
      <c r="I112" s="364"/>
      <c r="J112" s="364"/>
      <c r="K112" s="364"/>
      <c r="L112" s="364"/>
      <c r="M112" s="364"/>
      <c r="N112" s="364"/>
    </row>
    <row r="113" spans="3:14" ht="15.5">
      <c r="C113" s="364"/>
      <c r="D113" s="364"/>
      <c r="E113" s="364"/>
      <c r="F113" s="364"/>
      <c r="G113" s="364"/>
      <c r="H113" s="364"/>
      <c r="I113" s="364"/>
      <c r="J113" s="364"/>
      <c r="K113" s="364"/>
      <c r="L113" s="364"/>
      <c r="M113" s="364"/>
      <c r="N113" s="364"/>
    </row>
  </sheetData>
  <mergeCells count="2">
    <mergeCell ref="B17:G17"/>
    <mergeCell ref="Q19:R19"/>
  </mergeCell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tabColor rgb="FF92D050"/>
  </sheetPr>
  <dimension ref="A1:CH128"/>
  <sheetViews>
    <sheetView topLeftCell="A14" zoomScale="60" zoomScaleNormal="60" workbookViewId="0">
      <selection activeCell="I27" sqref="I27"/>
    </sheetView>
  </sheetViews>
  <sheetFormatPr defaultColWidth="9.1796875" defaultRowHeight="12.5"/>
  <cols>
    <col min="1" max="39" width="15.7265625" customWidth="1"/>
    <col min="40" max="40" width="27.1796875" customWidth="1"/>
    <col min="41" max="41" width="23.26953125" customWidth="1"/>
    <col min="42" max="42" width="25" customWidth="1"/>
    <col min="43" max="43" width="16.1796875" customWidth="1"/>
    <col min="44" max="86" width="15.7265625" customWidth="1"/>
    <col min="87" max="87" width="10.81640625" customWidth="1"/>
  </cols>
  <sheetData>
    <row r="1" spans="1:26" ht="21.5" thickBot="1">
      <c r="A1" s="50" t="s">
        <v>283</v>
      </c>
      <c r="B1" s="33"/>
      <c r="C1" s="33"/>
      <c r="D1" s="33"/>
      <c r="E1" s="33"/>
      <c r="F1" s="33"/>
      <c r="G1" s="33"/>
      <c r="H1" s="33"/>
      <c r="I1" s="33"/>
      <c r="J1" s="33"/>
      <c r="K1" s="33"/>
      <c r="W1" s="767" t="s">
        <v>288</v>
      </c>
      <c r="X1" s="767" t="s">
        <v>361</v>
      </c>
      <c r="Y1" s="767" t="s">
        <v>916</v>
      </c>
      <c r="Z1" s="767" t="s">
        <v>917</v>
      </c>
    </row>
    <row r="2" spans="1:26" ht="13" thickBot="1">
      <c r="W2" s="768" t="s">
        <v>48</v>
      </c>
      <c r="X2" s="768" t="s">
        <v>297</v>
      </c>
      <c r="Y2" s="768">
        <v>542.8910000000003</v>
      </c>
      <c r="Z2" s="768">
        <v>224</v>
      </c>
    </row>
    <row r="3" spans="1:26" ht="15" thickBot="1">
      <c r="B3" s="193" t="s">
        <v>284</v>
      </c>
      <c r="C3" s="194" t="s">
        <v>42</v>
      </c>
      <c r="D3" s="194" t="s">
        <v>44</v>
      </c>
      <c r="E3" s="194" t="s">
        <v>46</v>
      </c>
      <c r="F3" s="195" t="s">
        <v>285</v>
      </c>
      <c r="W3" s="769"/>
      <c r="X3" s="769" t="s">
        <v>44</v>
      </c>
      <c r="Y3" s="769">
        <v>28916.856000000025</v>
      </c>
      <c r="Z3" s="769">
        <v>6467</v>
      </c>
    </row>
    <row r="4" spans="1:26" ht="14.5">
      <c r="B4" s="206" t="s">
        <v>48</v>
      </c>
      <c r="C4" s="122">
        <v>9653</v>
      </c>
      <c r="D4" s="262">
        <v>42710</v>
      </c>
      <c r="E4" s="122">
        <v>14320</v>
      </c>
      <c r="F4" s="207">
        <f>SUM(Table14[[#This Row],[Apartment]:[Detached]])</f>
        <v>66683</v>
      </c>
      <c r="W4" s="768"/>
      <c r="X4" s="768" t="s">
        <v>46</v>
      </c>
      <c r="Y4" s="768">
        <v>12185.145000000006</v>
      </c>
      <c r="Z4" s="768">
        <v>2470</v>
      </c>
    </row>
    <row r="5" spans="1:26" ht="14.5">
      <c r="B5" s="208" t="s">
        <v>50</v>
      </c>
      <c r="C5" s="122">
        <v>3864</v>
      </c>
      <c r="D5" s="262">
        <v>4354</v>
      </c>
      <c r="E5" s="122">
        <v>4186</v>
      </c>
      <c r="F5" s="209">
        <f>SUM(Table14[[#This Row],[Apartment]:[Detached]])</f>
        <v>12404</v>
      </c>
      <c r="W5" s="769" t="s">
        <v>50</v>
      </c>
      <c r="X5" s="769" t="s">
        <v>297</v>
      </c>
      <c r="Y5" s="769">
        <v>640.02699999999982</v>
      </c>
      <c r="Z5" s="769">
        <v>297</v>
      </c>
    </row>
    <row r="6" spans="1:26" ht="14.5">
      <c r="B6" s="208" t="s">
        <v>52</v>
      </c>
      <c r="C6" s="122">
        <v>10156</v>
      </c>
      <c r="D6" s="262">
        <v>9145</v>
      </c>
      <c r="E6" s="122">
        <v>8345</v>
      </c>
      <c r="F6" s="209">
        <f>SUM(Table14[[#This Row],[Apartment]:[Detached]])</f>
        <v>27646</v>
      </c>
      <c r="W6" s="768"/>
      <c r="X6" s="768" t="s">
        <v>44</v>
      </c>
      <c r="Y6" s="768">
        <v>8343.1630000000023</v>
      </c>
      <c r="Z6" s="768">
        <v>2181</v>
      </c>
    </row>
    <row r="7" spans="1:26" ht="14.5">
      <c r="B7" s="208" t="s">
        <v>54</v>
      </c>
      <c r="C7" s="122">
        <v>15567</v>
      </c>
      <c r="D7" s="262">
        <v>29841</v>
      </c>
      <c r="E7" s="122">
        <v>21964</v>
      </c>
      <c r="F7" s="209">
        <f>SUM(Table14[[#This Row],[Apartment]:[Detached]])</f>
        <v>67372</v>
      </c>
      <c r="W7" s="769"/>
      <c r="X7" s="769" t="s">
        <v>46</v>
      </c>
      <c r="Y7" s="769">
        <v>7908.4610000000011</v>
      </c>
      <c r="Z7" s="769">
        <v>1724</v>
      </c>
    </row>
    <row r="8" spans="1:26" ht="14.5">
      <c r="B8" s="208" t="s">
        <v>56</v>
      </c>
      <c r="C8" s="122">
        <v>52934</v>
      </c>
      <c r="D8" s="262">
        <v>171938</v>
      </c>
      <c r="E8" s="122">
        <v>102168</v>
      </c>
      <c r="F8" s="209">
        <f>SUM(Table14[[#This Row],[Apartment]:[Detached]])</f>
        <v>327040</v>
      </c>
      <c r="W8" s="768" t="s">
        <v>52</v>
      </c>
      <c r="X8" s="768" t="s">
        <v>297</v>
      </c>
      <c r="Y8" s="768">
        <v>563.12200000000007</v>
      </c>
      <c r="Z8" s="768">
        <v>228</v>
      </c>
    </row>
    <row r="9" spans="1:26" ht="14.5">
      <c r="B9" s="208" t="s">
        <v>58</v>
      </c>
      <c r="C9" s="122">
        <v>37122</v>
      </c>
      <c r="D9" s="262">
        <v>101025</v>
      </c>
      <c r="E9" s="122">
        <v>63942</v>
      </c>
      <c r="F9" s="209">
        <f>SUM(Table14[[#This Row],[Apartment]:[Detached]])</f>
        <v>202089</v>
      </c>
      <c r="W9" s="769"/>
      <c r="X9" s="769" t="s">
        <v>44</v>
      </c>
      <c r="Y9" s="769">
        <v>4943.5540000000019</v>
      </c>
      <c r="Z9" s="769">
        <v>1354</v>
      </c>
    </row>
    <row r="10" spans="1:26" ht="14.5">
      <c r="B10" s="208" t="s">
        <v>60</v>
      </c>
      <c r="C10" s="122">
        <v>19084</v>
      </c>
      <c r="D10" s="262">
        <v>49573</v>
      </c>
      <c r="E10" s="122">
        <v>28805</v>
      </c>
      <c r="F10" s="209">
        <f>SUM(Table14[[#This Row],[Apartment]:[Detached]])</f>
        <v>97462</v>
      </c>
      <c r="W10" s="768"/>
      <c r="X10" s="768" t="s">
        <v>46</v>
      </c>
      <c r="Y10" s="768">
        <v>11986.291000000001</v>
      </c>
      <c r="Z10" s="768">
        <v>2549</v>
      </c>
    </row>
    <row r="11" spans="1:26" ht="14.5">
      <c r="B11" s="208" t="s">
        <v>62</v>
      </c>
      <c r="C11" s="122">
        <v>6931</v>
      </c>
      <c r="D11" s="122">
        <v>22580</v>
      </c>
      <c r="E11" s="122">
        <v>14352</v>
      </c>
      <c r="F11" s="209">
        <f>SUM(Table14[[#This Row],[Apartment]:[Detached]])</f>
        <v>43863</v>
      </c>
      <c r="W11" s="769" t="s">
        <v>54</v>
      </c>
      <c r="X11" s="769" t="s">
        <v>297</v>
      </c>
      <c r="Y11" s="769">
        <v>414.33799999999997</v>
      </c>
      <c r="Z11" s="769">
        <v>118</v>
      </c>
    </row>
    <row r="12" spans="1:26" ht="15" thickBot="1">
      <c r="B12" s="208" t="s">
        <v>64</v>
      </c>
      <c r="C12" s="122">
        <v>10519</v>
      </c>
      <c r="D12" s="122">
        <v>24771</v>
      </c>
      <c r="E12" s="122">
        <v>26199</v>
      </c>
      <c r="F12" s="209">
        <f>SUM(Table14[[#This Row],[Apartment]:[Detached]])</f>
        <v>61489</v>
      </c>
      <c r="W12" s="768"/>
      <c r="X12" s="768" t="s">
        <v>44</v>
      </c>
      <c r="Y12" s="768">
        <v>5456.0730000000049</v>
      </c>
      <c r="Z12" s="768">
        <v>1457</v>
      </c>
    </row>
    <row r="13" spans="1:26" ht="15" thickBot="1">
      <c r="B13" s="220" t="s">
        <v>218</v>
      </c>
      <c r="C13" s="221">
        <f>SUM(C4:C12)</f>
        <v>165830</v>
      </c>
      <c r="D13" s="222">
        <f>SUM(D4:D12)</f>
        <v>455937</v>
      </c>
      <c r="E13" s="222">
        <f>SUM(E4:E12)</f>
        <v>284281</v>
      </c>
      <c r="F13" s="219">
        <f>SUM(C13:E13)</f>
        <v>906048</v>
      </c>
      <c r="W13" s="769"/>
      <c r="X13" s="769" t="s">
        <v>46</v>
      </c>
      <c r="Y13" s="769">
        <v>17784.11</v>
      </c>
      <c r="Z13" s="769">
        <v>3768</v>
      </c>
    </row>
    <row r="14" spans="1:26">
      <c r="W14" s="768" t="s">
        <v>56</v>
      </c>
      <c r="X14" s="768" t="s">
        <v>297</v>
      </c>
      <c r="Y14" s="768">
        <v>567.74099999999999</v>
      </c>
      <c r="Z14" s="768">
        <v>137</v>
      </c>
    </row>
    <row r="15" spans="1:26" ht="14.5">
      <c r="E15" s="261" t="s">
        <v>286</v>
      </c>
      <c r="W15" s="769"/>
      <c r="X15" s="769" t="s">
        <v>44</v>
      </c>
      <c r="Y15" s="769">
        <v>12032.288000000002</v>
      </c>
      <c r="Z15" s="769">
        <v>3046</v>
      </c>
    </row>
    <row r="16" spans="1:26" ht="21.5" thickBot="1">
      <c r="O16" s="1138" t="s">
        <v>641</v>
      </c>
      <c r="P16" s="1138"/>
      <c r="Q16" s="1138"/>
      <c r="R16" s="1138" t="s">
        <v>642</v>
      </c>
      <c r="S16" s="1138"/>
      <c r="T16" s="1138"/>
      <c r="W16" s="768"/>
      <c r="X16" s="768" t="s">
        <v>46</v>
      </c>
      <c r="Y16" s="768">
        <v>32485.54299999994</v>
      </c>
      <c r="Z16" s="768">
        <v>7025</v>
      </c>
    </row>
    <row r="17" spans="2:86" ht="21.5" thickBot="1">
      <c r="H17" s="1138" t="s">
        <v>572</v>
      </c>
      <c r="I17" s="1138"/>
      <c r="J17" s="1138"/>
      <c r="K17" s="1138"/>
      <c r="L17" s="1138"/>
      <c r="O17" s="224" t="s">
        <v>42</v>
      </c>
      <c r="P17" s="224" t="s">
        <v>44</v>
      </c>
      <c r="Q17" s="224" t="s">
        <v>46</v>
      </c>
      <c r="R17" s="224" t="s">
        <v>42</v>
      </c>
      <c r="S17" s="224" t="s">
        <v>44</v>
      </c>
      <c r="T17" s="224" t="s">
        <v>46</v>
      </c>
      <c r="W17" s="769" t="s">
        <v>58</v>
      </c>
      <c r="X17" s="769" t="s">
        <v>297</v>
      </c>
      <c r="Y17" s="769">
        <v>217.03099999999998</v>
      </c>
      <c r="Z17" s="769">
        <v>59</v>
      </c>
    </row>
    <row r="18" spans="2:86" ht="15" thickBot="1">
      <c r="B18" s="186" t="s">
        <v>284</v>
      </c>
      <c r="C18" s="187" t="s">
        <v>42</v>
      </c>
      <c r="D18" s="187" t="s">
        <v>44</v>
      </c>
      <c r="E18" s="188" t="s">
        <v>46</v>
      </c>
      <c r="F18" s="189" t="s">
        <v>285</v>
      </c>
      <c r="H18" s="223" t="s">
        <v>287</v>
      </c>
      <c r="I18" s="224" t="s">
        <v>42</v>
      </c>
      <c r="J18" s="224" t="s">
        <v>44</v>
      </c>
      <c r="K18" s="224" t="s">
        <v>46</v>
      </c>
      <c r="L18" s="225" t="s">
        <v>285</v>
      </c>
      <c r="N18" s="213" t="s">
        <v>48</v>
      </c>
      <c r="O18" s="368">
        <v>1.4285714285714286</v>
      </c>
      <c r="P18" s="368">
        <v>1.375</v>
      </c>
      <c r="Q18" s="368">
        <v>1.3478893740902476</v>
      </c>
      <c r="R18" s="310">
        <f t="shared" ref="R18:R26" si="0">O18*I19</f>
        <v>20628.426938295335</v>
      </c>
      <c r="S18" s="310">
        <f t="shared" ref="S18:S26" si="1">P18*J19</f>
        <v>51129.47637486802</v>
      </c>
      <c r="T18" s="371">
        <f t="shared" ref="T18:T26" si="2">Q18*K19</f>
        <v>42264.023389486123</v>
      </c>
      <c r="W18" s="768"/>
      <c r="X18" s="768" t="s">
        <v>44</v>
      </c>
      <c r="Y18" s="768">
        <v>4728.6260000000038</v>
      </c>
      <c r="Z18" s="768">
        <v>1179</v>
      </c>
    </row>
    <row r="19" spans="2:86" ht="14.5">
      <c r="B19" s="197" t="s">
        <v>48</v>
      </c>
      <c r="C19" s="263" cm="1">
        <f t="array" ref="C19">SUMPRODUCT((Table8[A])*(Table8[Archetype]="Apartments"))</f>
        <v>6419</v>
      </c>
      <c r="D19" s="263" cm="1">
        <f t="array" ref="D19">SUMPRODUCT((Table8[A])*(Table8[Archetype]="Attached"))</f>
        <v>30917</v>
      </c>
      <c r="E19" s="263" cm="1">
        <f t="array" ref="E19">SUMPRODUCT((Table8[A])*(Table8[Archetype]="Detached"))</f>
        <v>9878</v>
      </c>
      <c r="F19" s="198">
        <f t="shared" ref="F19:F28" si="3">SUM(C19:E19)</f>
        <v>47214</v>
      </c>
      <c r="H19" s="213" t="s">
        <v>48</v>
      </c>
      <c r="I19" s="310">
        <f>'Fuel-Age_Adj'!AZ33+SUM(Table10[Apartment])</f>
        <v>14439.898856806734</v>
      </c>
      <c r="J19" s="310">
        <f>'Fuel-Age_Adj'!AZ46+SUM(Table10[Scheme/Attached])</f>
        <v>37185.073727176743</v>
      </c>
      <c r="K19" s="310">
        <f>'Fuel-Age_Adj'!AZ59+SUM(Table10[Single/Detached])</f>
        <v>31355.706337556119</v>
      </c>
      <c r="L19" s="311">
        <f t="shared" ref="L19:L27" si="4">SUM(I19:K19)</f>
        <v>82980.678921539598</v>
      </c>
      <c r="N19" s="210" t="s">
        <v>50</v>
      </c>
      <c r="O19" s="369">
        <v>1</v>
      </c>
      <c r="P19" s="369">
        <v>1</v>
      </c>
      <c r="Q19" s="369">
        <v>1</v>
      </c>
      <c r="R19" s="312">
        <f t="shared" si="0"/>
        <v>7459.2913438514906</v>
      </c>
      <c r="S19" s="312">
        <f t="shared" si="1"/>
        <v>9537.7783975583752</v>
      </c>
      <c r="T19" s="372">
        <f t="shared" si="2"/>
        <v>9433.9012004747347</v>
      </c>
      <c r="W19" s="769"/>
      <c r="X19" s="769" t="s">
        <v>46</v>
      </c>
      <c r="Y19" s="769">
        <v>11250.568000000007</v>
      </c>
      <c r="Z19" s="769">
        <v>2572</v>
      </c>
    </row>
    <row r="20" spans="2:86" ht="14.5">
      <c r="B20" s="199" t="s">
        <v>50</v>
      </c>
      <c r="C20" s="264" cm="1">
        <f t="array" ref="C20">SUMPRODUCT((Table8[B1])*(Table8[Archetype]="Apartments"))</f>
        <v>3209</v>
      </c>
      <c r="D20" s="264" cm="1">
        <f t="array" ref="D20">SUMPRODUCT((Table8[B1])*(Table8[Archetype]="Attached"))</f>
        <v>3722</v>
      </c>
      <c r="E20" s="264" cm="1">
        <f t="array" ref="E20">SUMPRODUCT((Table8[B1])*(Table8[Archetype]="Detached"))</f>
        <v>3037</v>
      </c>
      <c r="F20" s="200">
        <f t="shared" si="3"/>
        <v>9968</v>
      </c>
      <c r="H20" s="210" t="s">
        <v>50</v>
      </c>
      <c r="I20" s="312">
        <f>'Fuel-Age_Adj'!BA33</f>
        <v>7459.2913438514906</v>
      </c>
      <c r="J20" s="312">
        <f>'Fuel-Age_Adj'!BA46</f>
        <v>9537.7783975583752</v>
      </c>
      <c r="K20" s="312">
        <f>'Fuel-Age_Adj'!BA59</f>
        <v>9433.9012004747347</v>
      </c>
      <c r="L20" s="313">
        <f t="shared" si="4"/>
        <v>26430.9709418846</v>
      </c>
      <c r="N20" s="214" t="s">
        <v>52</v>
      </c>
      <c r="O20" s="370">
        <v>1</v>
      </c>
      <c r="P20" s="370">
        <v>1</v>
      </c>
      <c r="Q20" s="370">
        <v>1</v>
      </c>
      <c r="R20" s="314">
        <f t="shared" si="0"/>
        <v>14041.847426430093</v>
      </c>
      <c r="S20" s="314">
        <f t="shared" si="1"/>
        <v>17545.09295382088</v>
      </c>
      <c r="T20" s="373">
        <f t="shared" si="2"/>
        <v>20090.949195825138</v>
      </c>
      <c r="W20" s="768" t="s">
        <v>60</v>
      </c>
      <c r="X20" s="768" t="s">
        <v>297</v>
      </c>
      <c r="Y20" s="768">
        <v>93.331999999999994</v>
      </c>
      <c r="Z20" s="768">
        <v>43</v>
      </c>
    </row>
    <row r="21" spans="2:86" ht="14.5">
      <c r="B21" s="201" t="s">
        <v>52</v>
      </c>
      <c r="C21" s="265" cm="1">
        <f t="array" ref="C21">SUMPRODUCT((Table8[B2])*(Table8[Archetype]="Apartments"))</f>
        <v>8665</v>
      </c>
      <c r="D21" s="265" cm="1">
        <f t="array" ref="D21">SUMPRODUCT((Table8[B2])*(Table8[Archetype]="Attached"))</f>
        <v>7882</v>
      </c>
      <c r="E21" s="265" cm="1">
        <f t="array" ref="E21">SUMPRODUCT((Table8[B2])*(Table8[Archetype]="Detached"))</f>
        <v>7052</v>
      </c>
      <c r="F21" s="202">
        <f t="shared" si="3"/>
        <v>23599</v>
      </c>
      <c r="H21" s="214" t="s">
        <v>52</v>
      </c>
      <c r="I21" s="314">
        <f>'Fuel-Age_Adj'!BB33</f>
        <v>14041.847426430093</v>
      </c>
      <c r="J21" s="314">
        <f>'Fuel-Age_Adj'!BB46</f>
        <v>17545.09295382088</v>
      </c>
      <c r="K21" s="314">
        <f>'Fuel-Age_Adj'!BB59</f>
        <v>20090.949195825138</v>
      </c>
      <c r="L21" s="315">
        <f t="shared" si="4"/>
        <v>51677.889576076108</v>
      </c>
      <c r="N21" s="210" t="s">
        <v>54</v>
      </c>
      <c r="O21" s="369">
        <v>1</v>
      </c>
      <c r="P21" s="369">
        <v>1</v>
      </c>
      <c r="Q21" s="369">
        <v>1</v>
      </c>
      <c r="R21" s="312">
        <f t="shared" si="0"/>
        <v>19924.480375055824</v>
      </c>
      <c r="S21" s="312">
        <f t="shared" si="1"/>
        <v>49768.849685929476</v>
      </c>
      <c r="T21" s="372">
        <f t="shared" si="2"/>
        <v>53466.210043981671</v>
      </c>
      <c r="W21" s="769"/>
      <c r="X21" s="769" t="s">
        <v>44</v>
      </c>
      <c r="Y21" s="769">
        <v>1512.0119999999995</v>
      </c>
      <c r="Z21" s="769">
        <v>390</v>
      </c>
    </row>
    <row r="22" spans="2:86" ht="14.5">
      <c r="B22" s="199" t="s">
        <v>54</v>
      </c>
      <c r="C22" s="264" cm="1">
        <f t="array" ref="C22">SUMPRODUCT((Table8[B3])*(Table8[Archetype]="Apartments"))</f>
        <v>13570</v>
      </c>
      <c r="D22" s="264" cm="1">
        <f t="array" ref="D22">SUMPRODUCT((Table8[B3])*(Table8[Archetype]="Attached"))</f>
        <v>27081</v>
      </c>
      <c r="E22" s="264" cm="1">
        <f t="array" ref="E22">SUMPRODUCT((Table8[B3])*(Table8[Archetype]="Detached"))</f>
        <v>20170</v>
      </c>
      <c r="F22" s="200">
        <f t="shared" si="3"/>
        <v>60821</v>
      </c>
      <c r="H22" s="210" t="s">
        <v>54</v>
      </c>
      <c r="I22" s="312">
        <f>'Fuel-Age_Adj'!BC33</f>
        <v>19924.480375055824</v>
      </c>
      <c r="J22" s="312">
        <f>'Fuel-Age_Adj'!BC46</f>
        <v>49768.849685929476</v>
      </c>
      <c r="K22" s="312">
        <f>'Fuel-Age_Adj'!BC59</f>
        <v>53466.210043981671</v>
      </c>
      <c r="L22" s="313">
        <f t="shared" si="4"/>
        <v>123159.54010496697</v>
      </c>
      <c r="N22" s="214" t="s">
        <v>56</v>
      </c>
      <c r="O22" s="370">
        <v>0.62350597609561753</v>
      </c>
      <c r="P22" s="370">
        <v>0.63854266538830295</v>
      </c>
      <c r="Q22" s="370">
        <v>0.65110565110565111</v>
      </c>
      <c r="R22" s="314">
        <f t="shared" si="0"/>
        <v>36727.496963354082</v>
      </c>
      <c r="S22" s="314">
        <f t="shared" si="1"/>
        <v>180165.78839768126</v>
      </c>
      <c r="T22" s="373">
        <f t="shared" si="2"/>
        <v>163635.17790575436</v>
      </c>
      <c r="W22" s="768"/>
      <c r="X22" s="768" t="s">
        <v>46</v>
      </c>
      <c r="Y22" s="768">
        <v>3675.9540000000006</v>
      </c>
      <c r="Z22" s="768">
        <v>891</v>
      </c>
    </row>
    <row r="23" spans="2:86" ht="14.5">
      <c r="B23" s="201" t="s">
        <v>56</v>
      </c>
      <c r="C23" s="265" cm="1">
        <f t="array" ref="C23">SUMPRODUCT((Table8[C])*(Table8[Archetype]="Apartments"))</f>
        <v>45566</v>
      </c>
      <c r="D23" s="265" cm="1">
        <f t="array" ref="D23">SUMPRODUCT((Table8[C])*(Table8[Archetype]="Attached"))</f>
        <v>161926</v>
      </c>
      <c r="E23" s="265" cm="1">
        <f t="array" ref="E23">SUMPRODUCT((Table8[C])*(Table8[Archetype]="Detached"))</f>
        <v>97809</v>
      </c>
      <c r="F23" s="202">
        <f t="shared" si="3"/>
        <v>305301</v>
      </c>
      <c r="H23" s="214" t="s">
        <v>56</v>
      </c>
      <c r="I23" s="314">
        <f>'Fuel-Age_Adj'!BD33</f>
        <v>58904.8034364337</v>
      </c>
      <c r="J23" s="314">
        <f>'Fuel-Age_Adj'!BD46</f>
        <v>282151.52747564798</v>
      </c>
      <c r="K23" s="314">
        <f>'Fuel-Age_Adj'!BD59</f>
        <v>251318.93361374349</v>
      </c>
      <c r="L23" s="315">
        <f t="shared" si="4"/>
        <v>592375.26452582516</v>
      </c>
      <c r="N23" s="210" t="s">
        <v>58</v>
      </c>
      <c r="O23" s="369">
        <v>0.64275466284074612</v>
      </c>
      <c r="P23" s="369">
        <v>0.6669136717302705</v>
      </c>
      <c r="Q23" s="369">
        <v>0.67542972699696668</v>
      </c>
      <c r="R23" s="312">
        <f t="shared" si="0"/>
        <v>28113.665794547433</v>
      </c>
      <c r="S23" s="312">
        <f t="shared" si="1"/>
        <v>125131.02640900291</v>
      </c>
      <c r="T23" s="372">
        <f t="shared" si="2"/>
        <v>112572.38085312897</v>
      </c>
      <c r="W23" s="769" t="s">
        <v>62</v>
      </c>
      <c r="X23" s="769" t="s">
        <v>297</v>
      </c>
      <c r="Y23" s="769">
        <v>27.580000000000005</v>
      </c>
      <c r="Z23" s="769">
        <v>6</v>
      </c>
    </row>
    <row r="24" spans="2:86" ht="14.5">
      <c r="B24" s="199" t="s">
        <v>58</v>
      </c>
      <c r="C24" s="264" cm="1">
        <f t="array" ref="C24">SUMPRODUCT((Table8[D])*(Table8[Archetype]="Apartments"))</f>
        <v>30979</v>
      </c>
      <c r="D24" s="264" cm="1">
        <f t="array" ref="D24">SUMPRODUCT((Table8[D])*(Table8[Archetype]="Attached"))</f>
        <v>95372</v>
      </c>
      <c r="E24" s="264" cm="1">
        <f t="array" ref="E24">SUMPRODUCT((Table8[D])*(Table8[Archetype]="Detached"))</f>
        <v>61656</v>
      </c>
      <c r="F24" s="200">
        <f t="shared" si="3"/>
        <v>188007</v>
      </c>
      <c r="H24" s="210" t="s">
        <v>58</v>
      </c>
      <c r="I24" s="312">
        <f>'Fuel-Age_Adj'!BE33</f>
        <v>43739.341649106158</v>
      </c>
      <c r="J24" s="312">
        <f>'Fuel-Age_Adj'!BE46</f>
        <v>187627.02237661046</v>
      </c>
      <c r="K24" s="312">
        <f>'Fuel-Age_Adj'!BE59</f>
        <v>166667.79141279124</v>
      </c>
      <c r="L24" s="313">
        <f t="shared" si="4"/>
        <v>398034.15543850785</v>
      </c>
      <c r="N24" s="214" t="s">
        <v>60</v>
      </c>
      <c r="O24" s="370">
        <v>0.65947786606129399</v>
      </c>
      <c r="P24" s="370">
        <v>0.68235651381718798</v>
      </c>
      <c r="Q24" s="370">
        <v>0.68787878787878787</v>
      </c>
      <c r="R24" s="314">
        <f t="shared" si="0"/>
        <v>16993.344189187668</v>
      </c>
      <c r="S24" s="314">
        <f t="shared" si="1"/>
        <v>69203.844283713814</v>
      </c>
      <c r="T24" s="373">
        <f t="shared" si="2"/>
        <v>55991.061950391217</v>
      </c>
      <c r="W24" s="768"/>
      <c r="X24" s="768" t="s">
        <v>44</v>
      </c>
      <c r="Y24" s="768">
        <v>314.67699999999996</v>
      </c>
      <c r="Z24" s="768">
        <v>86</v>
      </c>
    </row>
    <row r="25" spans="2:86" ht="14.5">
      <c r="B25" s="215" t="s">
        <v>60</v>
      </c>
      <c r="C25" s="266" cm="1">
        <f t="array" ref="C25">SUMPRODUCT((Table8[E])*(Table8[Archetype]="Apartments"))</f>
        <v>15595</v>
      </c>
      <c r="D25" s="266" cm="1">
        <f t="array" ref="D25">SUMPRODUCT((Table8[E])*(Table8[Archetype]="Attached"))</f>
        <v>46130</v>
      </c>
      <c r="E25" s="266" cm="1">
        <f t="array" ref="E25">SUMPRODUCT((Table8[E])*(Table8[Archetype]="Detached"))</f>
        <v>27666</v>
      </c>
      <c r="F25" s="216">
        <f t="shared" si="3"/>
        <v>89391</v>
      </c>
      <c r="H25" s="214" t="s">
        <v>60</v>
      </c>
      <c r="I25" s="314">
        <f>'Fuel-Age_Adj'!BF33</f>
        <v>25767.876472761334</v>
      </c>
      <c r="J25" s="314">
        <f>'Fuel-Age_Adj'!BF46</f>
        <v>101418.89596184672</v>
      </c>
      <c r="K25" s="314">
        <f>'Fuel-Age_Adj'!BF59</f>
        <v>81396.697989555512</v>
      </c>
      <c r="L25" s="315">
        <f t="shared" si="4"/>
        <v>208583.47042416356</v>
      </c>
      <c r="N25" s="210" t="s">
        <v>62</v>
      </c>
      <c r="O25" s="369">
        <v>0.67760942760942755</v>
      </c>
      <c r="P25" s="369">
        <v>0.69366197183098599</v>
      </c>
      <c r="Q25" s="369">
        <v>0.69895091794679653</v>
      </c>
      <c r="R25" s="312">
        <f t="shared" si="0"/>
        <v>8355.7192320215872</v>
      </c>
      <c r="S25" s="312">
        <f t="shared" si="1"/>
        <v>34768.978124585461</v>
      </c>
      <c r="T25" s="372">
        <f t="shared" si="2"/>
        <v>30223.340670968584</v>
      </c>
      <c r="W25" s="769"/>
      <c r="X25" s="769" t="s">
        <v>46</v>
      </c>
      <c r="Y25" s="769">
        <v>1180.5279999999998</v>
      </c>
      <c r="Z25" s="769">
        <v>307</v>
      </c>
    </row>
    <row r="26" spans="2:86" ht="15" thickBot="1">
      <c r="B26" s="199" t="s">
        <v>62</v>
      </c>
      <c r="C26" s="264" cm="1">
        <f t="array" ref="C26">SUMPRODUCT((Table8[F])*(Table8[Archetype]="Apartments"))</f>
        <v>5191</v>
      </c>
      <c r="D26" s="264" cm="1">
        <f t="array" ref="D26">SUMPRODUCT((Table8[F])*(Table8[Archetype]="Attached"))</f>
        <v>20720</v>
      </c>
      <c r="E26" s="264" cm="1">
        <f t="array" ref="E26">SUMPRODUCT((Table8[F])*(Table8[Archetype]="Detached"))</f>
        <v>13787</v>
      </c>
      <c r="F26" s="200">
        <f t="shared" si="3"/>
        <v>39698</v>
      </c>
      <c r="H26" s="210" t="s">
        <v>62</v>
      </c>
      <c r="I26" s="312">
        <f>'Fuel-Age_Adj'!BG33</f>
        <v>12331.173226884033</v>
      </c>
      <c r="J26" s="312">
        <f>'Fuel-Age_Adj'!BG46</f>
        <v>50123.806027321167</v>
      </c>
      <c r="K26" s="312">
        <f>'Fuel-Age_Adj'!BG59</f>
        <v>43241.005762967114</v>
      </c>
      <c r="L26" s="313">
        <f t="shared" si="4"/>
        <v>105695.98501717232</v>
      </c>
      <c r="N26" s="374" t="s">
        <v>64</v>
      </c>
      <c r="O26" s="375">
        <v>0.56219445953286251</v>
      </c>
      <c r="P26" s="375">
        <v>0.54586660910856888</v>
      </c>
      <c r="Q26" s="375">
        <v>0.55669942286694751</v>
      </c>
      <c r="R26" s="376">
        <f t="shared" si="0"/>
        <v>8551.6367409636478</v>
      </c>
      <c r="S26" s="376">
        <f t="shared" si="1"/>
        <v>28770.813628890308</v>
      </c>
      <c r="T26" s="377">
        <f t="shared" si="2"/>
        <v>43665.016200037615</v>
      </c>
      <c r="W26" s="768" t="s">
        <v>64</v>
      </c>
      <c r="X26" s="768" t="s">
        <v>44</v>
      </c>
      <c r="Y26" s="768">
        <v>105.64699999999998</v>
      </c>
      <c r="Z26" s="768">
        <v>30</v>
      </c>
    </row>
    <row r="27" spans="2:86" ht="15" thickBot="1">
      <c r="B27" s="217" t="s">
        <v>64</v>
      </c>
      <c r="C27" s="267" cm="1">
        <f t="array" ref="C27">SUMPRODUCT((Table8[G])*(Table8[Archetype]="Apartments"))</f>
        <v>5603</v>
      </c>
      <c r="D27" s="267" cm="1">
        <f t="array" ref="D27">SUMPRODUCT((Table8[G])*(Table8[Archetype]="Attached"))</f>
        <v>21208</v>
      </c>
      <c r="E27" s="267" cm="1">
        <f t="array" ref="E27">SUMPRODUCT((Table8[G])*(Table8[Archetype]="Detached"))</f>
        <v>24436</v>
      </c>
      <c r="F27" s="218">
        <f t="shared" si="3"/>
        <v>51247</v>
      </c>
      <c r="H27" s="226" t="s">
        <v>64</v>
      </c>
      <c r="I27" s="316">
        <f>'Fuel-Age_Adj'!BH33</f>
        <v>15211.172212670604</v>
      </c>
      <c r="J27" s="316">
        <f>'Fuel-Age_Adj'!BH46</f>
        <v>52706.674394088106</v>
      </c>
      <c r="K27" s="316">
        <f>'Fuel-Age_Adj'!BH59</f>
        <v>78435.533443104825</v>
      </c>
      <c r="L27" s="315">
        <f t="shared" si="4"/>
        <v>146353.38004986354</v>
      </c>
      <c r="R27" s="378">
        <f>SUM(R18:R26)/I28</f>
        <v>0.75911621330408707</v>
      </c>
      <c r="S27" s="378">
        <f>SUM(S18:S26)/J28</f>
        <v>0.71824259248378497</v>
      </c>
      <c r="T27" s="378">
        <f>SUM(T18:T26)/K28</f>
        <v>0.72251454937400827</v>
      </c>
      <c r="W27" s="769"/>
      <c r="X27" s="769" t="s">
        <v>46</v>
      </c>
      <c r="Y27" s="769">
        <v>912.80199999999991</v>
      </c>
      <c r="Z27" s="769">
        <v>244</v>
      </c>
    </row>
    <row r="28" spans="2:86" ht="15" thickBot="1">
      <c r="B28" s="203" t="s">
        <v>218</v>
      </c>
      <c r="C28" s="204">
        <f>SUM(C19:C27)</f>
        <v>134797</v>
      </c>
      <c r="D28" s="204">
        <f>SUM(D19:D27)</f>
        <v>414958</v>
      </c>
      <c r="E28" s="204">
        <f>SUM(E19:E27)</f>
        <v>265491</v>
      </c>
      <c r="F28" s="205">
        <f t="shared" si="3"/>
        <v>815246</v>
      </c>
      <c r="H28" s="227" t="s">
        <v>218</v>
      </c>
      <c r="I28" s="317">
        <f>SUM(I19:I27)</f>
        <v>211819.88499999998</v>
      </c>
      <c r="J28" s="317">
        <f>SUM(J19:J27)</f>
        <v>788064.72099999979</v>
      </c>
      <c r="K28" s="317">
        <f>SUM(K19:K27)</f>
        <v>735406.72899999993</v>
      </c>
      <c r="L28" s="318">
        <f>SUM(I28:K28)</f>
        <v>1735291.3349999997</v>
      </c>
      <c r="Y28" s="365">
        <f>SUM(Y2:Y27)</f>
        <v>168788.3599999999</v>
      </c>
      <c r="Z28" s="365">
        <f>SUM(Z2:Z27)</f>
        <v>38852</v>
      </c>
      <c r="AB28">
        <v>0.56000000000000005</v>
      </c>
    </row>
    <row r="29" spans="2:86" ht="14.5">
      <c r="C29" s="261"/>
      <c r="Y29" s="771">
        <f>AB29/Y28</f>
        <v>921.62753403137572</v>
      </c>
      <c r="Z29" s="771">
        <f>AB29/Z28</f>
        <v>4003.9122825079789</v>
      </c>
      <c r="AB29" s="770">
        <v>155560000</v>
      </c>
      <c r="AC29" s="58" t="s">
        <v>918</v>
      </c>
    </row>
    <row r="30" spans="2:86" ht="14.5">
      <c r="C30" s="261"/>
      <c r="K30" s="351" t="s">
        <v>570</v>
      </c>
      <c r="X30" s="58" t="s">
        <v>919</v>
      </c>
      <c r="Y30">
        <v>25</v>
      </c>
      <c r="Z30" s="58" t="s">
        <v>13</v>
      </c>
    </row>
    <row r="31" spans="2:86" ht="15" thickBot="1">
      <c r="C31" s="261"/>
    </row>
    <row r="32" spans="2:86" ht="15" thickBot="1">
      <c r="C32" s="261"/>
      <c r="I32" s="223" t="s">
        <v>296</v>
      </c>
      <c r="J32" s="779" t="s">
        <v>296</v>
      </c>
      <c r="K32" s="781" t="s">
        <v>296</v>
      </c>
      <c r="L32" s="223" t="s">
        <v>338</v>
      </c>
      <c r="M32" s="779" t="s">
        <v>338</v>
      </c>
      <c r="N32" s="781" t="s">
        <v>338</v>
      </c>
      <c r="O32" s="223" t="s">
        <v>327</v>
      </c>
      <c r="P32" s="779" t="s">
        <v>327</v>
      </c>
      <c r="Q32" s="781" t="s">
        <v>327</v>
      </c>
      <c r="R32" s="223" t="s">
        <v>328</v>
      </c>
      <c r="S32" s="779" t="s">
        <v>328</v>
      </c>
      <c r="T32" s="781" t="s">
        <v>328</v>
      </c>
      <c r="U32" s="223" t="s">
        <v>329</v>
      </c>
      <c r="V32" s="779" t="s">
        <v>329</v>
      </c>
      <c r="W32" s="781" t="s">
        <v>329</v>
      </c>
      <c r="X32" s="223" t="s">
        <v>331</v>
      </c>
      <c r="Y32" s="779" t="s">
        <v>331</v>
      </c>
      <c r="Z32" s="781" t="s">
        <v>331</v>
      </c>
      <c r="AA32" s="223" t="s">
        <v>332</v>
      </c>
      <c r="AB32" s="779" t="s">
        <v>332</v>
      </c>
      <c r="AC32" s="781" t="s">
        <v>332</v>
      </c>
      <c r="AD32" s="223" t="s">
        <v>333</v>
      </c>
      <c r="AE32" s="779" t="s">
        <v>333</v>
      </c>
      <c r="AF32" s="781" t="s">
        <v>333</v>
      </c>
      <c r="AG32" s="223" t="s">
        <v>335</v>
      </c>
      <c r="AH32" s="779" t="s">
        <v>335</v>
      </c>
      <c r="AI32" s="781" t="s">
        <v>335</v>
      </c>
      <c r="AJ32" s="223" t="s">
        <v>336</v>
      </c>
      <c r="AK32" s="779" t="s">
        <v>336</v>
      </c>
      <c r="AL32" s="781" t="s">
        <v>336</v>
      </c>
      <c r="AM32" s="223" t="s">
        <v>337</v>
      </c>
      <c r="AN32" s="779" t="s">
        <v>337</v>
      </c>
      <c r="AO32" s="781" t="s">
        <v>337</v>
      </c>
      <c r="AP32" s="223" t="s">
        <v>339</v>
      </c>
      <c r="AQ32" s="779" t="s">
        <v>339</v>
      </c>
      <c r="AR32" s="781" t="s">
        <v>339</v>
      </c>
      <c r="AS32" s="223" t="s">
        <v>326</v>
      </c>
      <c r="AT32" s="779" t="s">
        <v>326</v>
      </c>
      <c r="AU32" s="781" t="s">
        <v>326</v>
      </c>
      <c r="AV32" s="223" t="s">
        <v>330</v>
      </c>
      <c r="AW32" s="779" t="s">
        <v>330</v>
      </c>
      <c r="AX32" s="781" t="s">
        <v>330</v>
      </c>
      <c r="AY32" s="223" t="s">
        <v>341</v>
      </c>
      <c r="AZ32" s="779" t="s">
        <v>341</v>
      </c>
      <c r="BA32" s="781" t="s">
        <v>341</v>
      </c>
      <c r="BB32" s="223" t="s">
        <v>342</v>
      </c>
      <c r="BC32" s="779" t="s">
        <v>342</v>
      </c>
      <c r="BD32" s="781" t="s">
        <v>342</v>
      </c>
      <c r="BE32" s="223" t="s">
        <v>343</v>
      </c>
      <c r="BF32" s="779" t="s">
        <v>343</v>
      </c>
      <c r="BG32" s="781" t="s">
        <v>343</v>
      </c>
      <c r="BH32" s="223" t="s">
        <v>344</v>
      </c>
      <c r="BI32" s="779" t="s">
        <v>344</v>
      </c>
      <c r="BJ32" s="781" t="s">
        <v>344</v>
      </c>
      <c r="BK32" s="223" t="s">
        <v>340</v>
      </c>
      <c r="BL32" s="779" t="s">
        <v>340</v>
      </c>
      <c r="BM32" s="781" t="s">
        <v>340</v>
      </c>
      <c r="BN32" s="223" t="s">
        <v>345</v>
      </c>
      <c r="BO32" s="779" t="s">
        <v>345</v>
      </c>
      <c r="BP32" s="781" t="s">
        <v>345</v>
      </c>
      <c r="BQ32" s="223" t="s">
        <v>346</v>
      </c>
      <c r="BR32" s="779" t="s">
        <v>346</v>
      </c>
      <c r="BS32" s="781" t="s">
        <v>346</v>
      </c>
      <c r="BT32" s="223" t="s">
        <v>347</v>
      </c>
      <c r="BU32" s="779" t="s">
        <v>347</v>
      </c>
      <c r="BV32" s="781" t="s">
        <v>347</v>
      </c>
      <c r="BW32" s="223" t="s">
        <v>348</v>
      </c>
      <c r="BX32" s="779" t="s">
        <v>348</v>
      </c>
      <c r="BY32" s="781" t="s">
        <v>348</v>
      </c>
      <c r="BZ32" s="223" t="s">
        <v>308</v>
      </c>
      <c r="CA32" s="779" t="s">
        <v>308</v>
      </c>
      <c r="CB32" s="781" t="s">
        <v>308</v>
      </c>
      <c r="CC32" s="223" t="s">
        <v>334</v>
      </c>
      <c r="CD32" s="779" t="s">
        <v>334</v>
      </c>
      <c r="CE32" s="781" t="s">
        <v>334</v>
      </c>
      <c r="CF32" s="223" t="s">
        <v>349</v>
      </c>
      <c r="CG32" s="779" t="s">
        <v>349</v>
      </c>
      <c r="CH32" s="781" t="s">
        <v>349</v>
      </c>
    </row>
    <row r="33" spans="2:86" ht="15" thickBot="1">
      <c r="C33" s="261"/>
      <c r="F33" s="58"/>
      <c r="H33" s="223" t="s">
        <v>287</v>
      </c>
      <c r="I33" s="782" t="s">
        <v>297</v>
      </c>
      <c r="J33" s="772" t="s">
        <v>44</v>
      </c>
      <c r="K33" s="783" t="s">
        <v>46</v>
      </c>
      <c r="L33" s="782" t="s">
        <v>297</v>
      </c>
      <c r="M33" s="772" t="s">
        <v>44</v>
      </c>
      <c r="N33" s="783" t="s">
        <v>46</v>
      </c>
      <c r="O33" s="782" t="s">
        <v>297</v>
      </c>
      <c r="P33" s="772" t="s">
        <v>44</v>
      </c>
      <c r="Q33" s="783" t="s">
        <v>46</v>
      </c>
      <c r="R33" s="782" t="s">
        <v>297</v>
      </c>
      <c r="S33" s="772" t="s">
        <v>44</v>
      </c>
      <c r="T33" s="783" t="s">
        <v>46</v>
      </c>
      <c r="U33" s="782" t="s">
        <v>297</v>
      </c>
      <c r="V33" s="772" t="s">
        <v>44</v>
      </c>
      <c r="W33" s="783" t="s">
        <v>46</v>
      </c>
      <c r="X33" s="782" t="s">
        <v>297</v>
      </c>
      <c r="Y33" s="772" t="s">
        <v>44</v>
      </c>
      <c r="Z33" s="783" t="s">
        <v>46</v>
      </c>
      <c r="AA33" s="782" t="s">
        <v>297</v>
      </c>
      <c r="AB33" s="772" t="s">
        <v>44</v>
      </c>
      <c r="AC33" s="783" t="s">
        <v>46</v>
      </c>
      <c r="AD33" s="782" t="s">
        <v>297</v>
      </c>
      <c r="AE33" s="772" t="s">
        <v>44</v>
      </c>
      <c r="AF33" s="783" t="s">
        <v>46</v>
      </c>
      <c r="AG33" s="782" t="s">
        <v>297</v>
      </c>
      <c r="AH33" s="772" t="s">
        <v>44</v>
      </c>
      <c r="AI33" s="783" t="s">
        <v>46</v>
      </c>
      <c r="AJ33" s="782" t="s">
        <v>297</v>
      </c>
      <c r="AK33" s="772" t="s">
        <v>44</v>
      </c>
      <c r="AL33" s="783" t="s">
        <v>46</v>
      </c>
      <c r="AM33" s="782" t="s">
        <v>297</v>
      </c>
      <c r="AN33" s="772" t="s">
        <v>44</v>
      </c>
      <c r="AO33" s="783" t="s">
        <v>46</v>
      </c>
      <c r="AP33" s="782" t="s">
        <v>297</v>
      </c>
      <c r="AQ33" s="772" t="s">
        <v>44</v>
      </c>
      <c r="AR33" s="783" t="s">
        <v>46</v>
      </c>
      <c r="AS33" s="782" t="s">
        <v>297</v>
      </c>
      <c r="AT33" s="772" t="s">
        <v>44</v>
      </c>
      <c r="AU33" s="783" t="s">
        <v>46</v>
      </c>
      <c r="AV33" s="782" t="s">
        <v>297</v>
      </c>
      <c r="AW33" s="772" t="s">
        <v>44</v>
      </c>
      <c r="AX33" s="783" t="s">
        <v>46</v>
      </c>
      <c r="AY33" s="782" t="s">
        <v>297</v>
      </c>
      <c r="AZ33" s="772" t="s">
        <v>44</v>
      </c>
      <c r="BA33" s="783" t="s">
        <v>46</v>
      </c>
      <c r="BB33" s="782" t="s">
        <v>297</v>
      </c>
      <c r="BC33" s="772" t="s">
        <v>44</v>
      </c>
      <c r="BD33" s="783" t="s">
        <v>46</v>
      </c>
      <c r="BE33" s="782" t="s">
        <v>297</v>
      </c>
      <c r="BF33" s="772" t="s">
        <v>44</v>
      </c>
      <c r="BG33" s="783" t="s">
        <v>46</v>
      </c>
      <c r="BH33" s="782" t="s">
        <v>297</v>
      </c>
      <c r="BI33" s="772" t="s">
        <v>44</v>
      </c>
      <c r="BJ33" s="783" t="s">
        <v>46</v>
      </c>
      <c r="BK33" s="782" t="s">
        <v>297</v>
      </c>
      <c r="BL33" s="772" t="s">
        <v>44</v>
      </c>
      <c r="BM33" s="783" t="s">
        <v>46</v>
      </c>
      <c r="BN33" s="782" t="s">
        <v>297</v>
      </c>
      <c r="BO33" s="772" t="s">
        <v>44</v>
      </c>
      <c r="BP33" s="783" t="s">
        <v>46</v>
      </c>
      <c r="BQ33" s="782" t="s">
        <v>297</v>
      </c>
      <c r="BR33" s="772" t="s">
        <v>44</v>
      </c>
      <c r="BS33" s="783" t="s">
        <v>46</v>
      </c>
      <c r="BT33" s="782" t="s">
        <v>297</v>
      </c>
      <c r="BU33" s="772" t="s">
        <v>44</v>
      </c>
      <c r="BV33" s="783" t="s">
        <v>46</v>
      </c>
      <c r="BW33" s="782" t="s">
        <v>297</v>
      </c>
      <c r="BX33" s="772" t="s">
        <v>44</v>
      </c>
      <c r="BY33" s="783" t="s">
        <v>46</v>
      </c>
      <c r="BZ33" s="782" t="s">
        <v>297</v>
      </c>
      <c r="CA33" s="772" t="s">
        <v>44</v>
      </c>
      <c r="CB33" s="783" t="s">
        <v>46</v>
      </c>
      <c r="CC33" s="782" t="s">
        <v>297</v>
      </c>
      <c r="CD33" s="772" t="s">
        <v>44</v>
      </c>
      <c r="CE33" s="783" t="s">
        <v>46</v>
      </c>
      <c r="CF33" s="782" t="s">
        <v>297</v>
      </c>
      <c r="CG33" s="772" t="s">
        <v>44</v>
      </c>
      <c r="CH33" s="783" t="s">
        <v>46</v>
      </c>
    </row>
    <row r="34" spans="2:86" ht="14.5">
      <c r="C34" s="261"/>
      <c r="H34" s="774" t="s">
        <v>48</v>
      </c>
      <c r="I34" s="788" cm="1">
        <f t="array" ref="I34">SUMPRODUCT((Table8[A])*(Table8[Adjusted Total]/Table8[BER Total])*(Table8[Archetype]=I33)*(Table8[County]=I32))+SUM(Table10[Alias]=I33)+SUMPRODUCT((Table10[Apartment])*(Table10[Alias]=I32))</f>
        <v>10.977084614250678</v>
      </c>
      <c r="J34" s="310" cm="1">
        <f t="array" ref="J34">SUMPRODUCT((Table8[A])*(Table8[Adjusted Total]/Table8[BER Total])*(Table8[Archetype]=J33)*(Table8[County]=J32))+SUMPRODUCT((Table10[Scheme/Attached])*(Table10[Alias]=I32))</f>
        <v>629.39079271278581</v>
      </c>
      <c r="K34" s="371" cm="1">
        <f t="array" ref="K34">SUMPRODUCT((Table8[A])*(Table8[Adjusted Total]/Table8[BER Total])*(Table8[Archetype]=K33)*(Table8[County]=K32))+SUMPRODUCT((Table10[Single/Detached])*(Table10[Alias]=I32))</f>
        <v>467.49294443943541</v>
      </c>
      <c r="L34" s="788" cm="1">
        <f t="array" ref="L34">SUMPRODUCT((Table8[A])*(Table8[Adjusted Total]/Table8[BER Total])*(Table8[Archetype]=L33)*(Table8[County]=L32))</f>
        <v>9317.2305952282823</v>
      </c>
      <c r="M34" s="310" cm="1">
        <f t="array" ref="M34">SUMPRODUCT((Table8[A])*(Table8[Adjusted Total]/Table8[BER Total])*(Table8[Archetype]=M33)*(Table8[County]=M32))</f>
        <v>30190.149545010125</v>
      </c>
      <c r="N34" s="371" cm="1">
        <f t="array" ref="N34">SUMPRODUCT((Table8[A])*(Table8[Adjusted Total]/Table8[BER Total])*(Table8[Archetype]=N33)*(Table8[County]=N32))</f>
        <v>4984.0158084525256</v>
      </c>
      <c r="O34" s="788" cm="1">
        <f t="array" ref="O34">SUMPRODUCT((Table8[A])*(Table8[Adjusted Total]/Table8[BER Total])*(Table8[Archetype]=O33)*(Table8[County]=O32))+SUM(Table10[Alias]=O33)+SUMPRODUCT((Table10[Apartment])*(Table10[Alias]=O32))</f>
        <v>381.11078467402081</v>
      </c>
      <c r="P34" s="310" cm="1">
        <f t="array" ref="P34">SUMPRODUCT((Table8[A])*(Table8[Adjusted Total]/Table8[BER Total])*(Table8[Archetype]=P33)*(Table8[County]=P32))+SUMPRODUCT((Table10[Scheme/Attached])*(Table10[Alias]=O32))</f>
        <v>8491.6250547331547</v>
      </c>
      <c r="Q34" s="371" cm="1">
        <f t="array" ref="Q34">SUMPRODUCT((Table8[A])*(Table8[Adjusted Total]/Table8[BER Total])*(Table8[Archetype]=Q33)*(Table8[County]=Q32))+SUMPRODUCT((Table10[Single/Detached])*(Table10[Alias]=O32))</f>
        <v>2501.9451434121074</v>
      </c>
      <c r="R34" s="788" cm="1">
        <f t="array" ref="R34">SUMPRODUCT((Table8[A])*(Table8[Adjusted Total]/Table8[BER Total])*(Table8[Archetype]=R33)*(Table8[County]=R32))+SUM(Table10[Alias]=R33)+SUMPRODUCT((Table10[Apartment])*(Table10[Alias]=R32))</f>
        <v>76.16876439747324</v>
      </c>
      <c r="S34" s="310" cm="1">
        <f t="array" ref="S34">SUMPRODUCT((Table8[A])*(Table8[Adjusted Total]/Table8[BER Total])*(Table8[Archetype]=S33)*(Table8[County]=S32))+SUMPRODUCT((Table10[Scheme/Attached])*(Table10[Alias]=R32))</f>
        <v>409.17285393349761</v>
      </c>
      <c r="T34" s="371" cm="1">
        <f t="array" ref="T34">SUMPRODUCT((Table8[A])*(Table8[Adjusted Total]/Table8[BER Total])*(Table8[Archetype]=T33)*(Table8[County]=T32))+SUMPRODUCT((Table10[Single/Detached])*(Table10[Alias]=R32))</f>
        <v>1075.3594871171822</v>
      </c>
      <c r="U34" s="788" cm="1">
        <f t="array" ref="U34">SUMPRODUCT((Table8[A])*(Table8[Adjusted Total]/Table8[BER Total])*(Table8[Archetype]=U33)*(Table8[County]=U32))+SUM(Table10[Alias]=U33)+SUMPRODUCT((Table10[Apartment])*(Table10[Alias]=U32))</f>
        <v>18.635524481144206</v>
      </c>
      <c r="V34" s="310" cm="1">
        <f t="array" ref="V34">SUMPRODUCT((Table8[A])*(Table8[Adjusted Total]/Table8[BER Total])*(Table8[Archetype]=V33)*(Table8[County]=V32))+SUMPRODUCT((Table10[Scheme/Attached])*(Table10[Alias]=U32))</f>
        <v>282.19639747548911</v>
      </c>
      <c r="W34" s="371" cm="1">
        <f t="array" ref="W34">SUMPRODUCT((Table8[A])*(Table8[Adjusted Total]/Table8[BER Total])*(Table8[Archetype]=W33)*(Table8[County]=W32))+SUMPRODUCT((Table10[Single/Detached])*(Table10[Alias]=U32))</f>
        <v>580.13586730971042</v>
      </c>
      <c r="X34" s="788" cm="1">
        <f t="array" ref="X34">SUMPRODUCT((Table8[A])*(Table8[Adjusted Total]/Table8[BER Total])*(Table8[Archetype]=X33)*(Table8[County]=X32))+SUM(Table10[Alias]=X33)+SUMPRODUCT((Table10[Apartment])*(Table10[Alias]=X32))</f>
        <v>24.560877536437445</v>
      </c>
      <c r="Y34" s="310" cm="1">
        <f t="array" ref="Y34">SUMPRODUCT((Table8[A])*(Table8[Adjusted Total]/Table8[BER Total])*(Table8[Archetype]=Y33)*(Table8[County]=Y32))+SUMPRODUCT((Table10[Scheme/Attached])*(Table10[Alias]=X32))</f>
        <v>63.559193964054174</v>
      </c>
      <c r="Z34" s="371" cm="1">
        <f t="array" ref="Z34">SUMPRODUCT((Table8[A])*(Table8[Adjusted Total]/Table8[BER Total])*(Table8[Archetype]=Z33)*(Table8[County]=Z32))+SUMPRODUCT((Table10[Single/Detached])*(Table10[Alias]=X32))</f>
        <v>192.7775924290504</v>
      </c>
      <c r="AA34" s="788" cm="1">
        <f t="array" ref="AA34">SUMPRODUCT((Table8[A])*(Table8[Adjusted Total]/Table8[BER Total])*(Table8[Archetype]=AA33)*(Table8[County]=AA32))+SUM(Table10[Alias]=AA33)+SUMPRODUCT((Table10[Apartment])*(Table10[Alias]=AA32))</f>
        <v>138.53042258541853</v>
      </c>
      <c r="AB34" s="310" cm="1">
        <f t="array" ref="AB34">SUMPRODUCT((Table8[A])*(Table8[Adjusted Total]/Table8[BER Total])*(Table8[Archetype]=AB33)*(Table8[County]=AB32))+SUMPRODUCT((Table10[Scheme/Attached])*(Table10[Alias]=AA32))</f>
        <v>2476.3318075408588</v>
      </c>
      <c r="AC34" s="371" cm="1">
        <f t="array" ref="AC34">SUMPRODUCT((Table8[A])*(Table8[Adjusted Total]/Table8[BER Total])*(Table8[Archetype]=AC33)*(Table8[County]=AC32))+SUMPRODUCT((Table10[Single/Detached])*(Table10[Alias]=AA32))</f>
        <v>1253.5593006061713</v>
      </c>
      <c r="AD34" s="788" cm="1">
        <f t="array" ref="AD34">SUMPRODUCT((Table8[A])*(Table8[Adjusted Total]/Table8[BER Total])*(Table8[Archetype]=AD33)*(Table8[County]=AD32))+SUM(Table10[Alias]=AD33)+SUMPRODUCT((Table10[Apartment])*(Table10[Alias]=AD32))</f>
        <v>162.69659248084406</v>
      </c>
      <c r="AE34" s="310" cm="1">
        <f t="array" ref="AE34">SUMPRODUCT((Table8[A])*(Table8[Adjusted Total]/Table8[BER Total])*(Table8[Archetype]=AE33)*(Table8[County]=AE32))+SUMPRODUCT((Table10[Scheme/Attached])*(Table10[Alias]=AD32))</f>
        <v>7243.6468767042816</v>
      </c>
      <c r="AF34" s="371" cm="1">
        <f t="array" ref="AF34">SUMPRODUCT((Table8[A])*(Table8[Adjusted Total]/Table8[BER Total])*(Table8[Archetype]=AF33)*(Table8[County]=AF32))+SUMPRODUCT((Table10[Single/Detached])*(Table10[Alias]=AD32))</f>
        <v>3085.1721089169396</v>
      </c>
      <c r="AG34" s="788" cm="1">
        <f t="array" ref="AG34">SUMPRODUCT((Table8[A])*(Table8[Adjusted Total]/Table8[BER Total])*(Table8[Archetype]=AG33)*(Table8[County]=AG32))+SUM(Table10[Alias]=AG33)+SUMPRODUCT((Table10[Apartment])*(Table10[Alias]=AG32))</f>
        <v>13</v>
      </c>
      <c r="AH34" s="310" cm="1">
        <f t="array" ref="AH34">SUMPRODUCT((Table8[A])*(Table8[Adjusted Total]/Table8[BER Total])*(Table8[Archetype]=AH33)*(Table8[County]=AH32))+SUMPRODUCT((Table10[Scheme/Attached])*(Table10[Alias]=AG32))</f>
        <v>219.3055789636681</v>
      </c>
      <c r="AI34" s="371" cm="1">
        <f t="array" ref="AI34">SUMPRODUCT((Table8[A])*(Table8[Adjusted Total]/Table8[BER Total])*(Table8[Archetype]=AI33)*(Table8[County]=AI32))+SUMPRODUCT((Table10[Single/Detached])*(Table10[Alias]=AG32))</f>
        <v>525.51358690336701</v>
      </c>
      <c r="AJ34" s="788" cm="1">
        <f t="array" ref="AJ34">SUMPRODUCT((Table8[A])*(Table8[Adjusted Total]/Table8[BER Total])*(Table8[Archetype]=AJ33)*(Table8[County]=AJ32))+SUM(Table10[Alias]=AJ33)+SUMPRODUCT((Table10[Apartment])*(Table10[Alias]=AJ32))</f>
        <v>19.986531797620653</v>
      </c>
      <c r="AK34" s="310" cm="1">
        <f t="array" ref="AK34">SUMPRODUCT((Table8[A])*(Table8[Adjusted Total]/Table8[BER Total])*(Table8[Archetype]=AK33)*(Table8[County]=AK32))+SUMPRODUCT((Table10[Scheme/Attached])*(Table10[Alias]=AJ32))</f>
        <v>190.96389842424327</v>
      </c>
      <c r="AL34" s="371" cm="1">
        <f t="array" ref="AL34">SUMPRODUCT((Table8[A])*(Table8[Adjusted Total]/Table8[BER Total])*(Table8[Archetype]=AL33)*(Table8[County]=AL32))+SUMPRODUCT((Table10[Single/Detached])*(Table10[Alias]=AJ32))</f>
        <v>577.93831185709905</v>
      </c>
      <c r="AM34" s="788" cm="1">
        <f t="array" ref="AM34">SUMPRODUCT((Table8[A])*(Table8[Adjusted Total]/Table8[BER Total])*(Table8[Archetype]=AM33)*(Table8[County]=AM32))+SUM(Table10[Alias]=AM33)+SUMPRODUCT((Table10[Apartment])*(Table10[Alias]=AM32))</f>
        <v>26.840370017248787</v>
      </c>
      <c r="AN34" s="310" cm="1">
        <f t="array" ref="AN34">SUMPRODUCT((Table8[A])*(Table8[Adjusted Total]/Table8[BER Total])*(Table8[Archetype]=AN33)*(Table8[County]=AN32))+SUMPRODUCT((Table10[Scheme/Attached])*(Table10[Alias]=AM32))</f>
        <v>1309.4827930403271</v>
      </c>
      <c r="AO34" s="371" cm="1">
        <f t="array" ref="AO34">SUMPRODUCT((Table8[A])*(Table8[Adjusted Total]/Table8[BER Total])*(Table8[Archetype]=AO33)*(Table8[County]=AO32))+SUMPRODUCT((Table10[Single/Detached])*(Table10[Alias]=AM32))</f>
        <v>1538.3444077400852</v>
      </c>
      <c r="AP34" s="788" cm="1">
        <f t="array" ref="AP34">SUMPRODUCT((Table8[A])*(Table8[Adjusted Total]/Table8[BER Total])*(Table8[Archetype]=AP33)*(Table8[County]=AP32))+SUM(Table10[Alias]=AP33)+SUMPRODUCT((Table10[Apartment])*(Table10[Alias]=AP32))</f>
        <v>236.78136971547895</v>
      </c>
      <c r="AQ34" s="310" cm="1">
        <f t="array" ref="AQ34">SUMPRODUCT((Table8[A])*(Table8[Adjusted Total]/Table8[BER Total])*(Table8[Archetype]=AQ33)*(Table8[County]=AQ32))+SUMPRODUCT((Table10[Scheme/Attached])*(Table10[Alias]=AP32))</f>
        <v>3859.9472270267615</v>
      </c>
      <c r="AR34" s="371" cm="1">
        <f t="array" ref="AR34">SUMPRODUCT((Table8[A])*(Table8[Adjusted Total]/Table8[BER Total])*(Table8[Archetype]=AR33)*(Table8[County]=AR32))+SUMPRODUCT((Table10[Single/Detached])*(Table10[Alias]=AP32))</f>
        <v>1602.622231629269</v>
      </c>
      <c r="AS34" s="788" cm="1">
        <f t="array" ref="AS34">SUMPRODUCT((Table8[A])*(Table8[Adjusted Total]/Table8[BER Total])*(Table8[Archetype]=AS33)*(Table8[County]=AS32))+SUM(Table10[Alias]=AS33)+SUMPRODUCT((Table10[Apartment])*(Table10[Alias]=AS32))</f>
        <v>40.430778237842588</v>
      </c>
      <c r="AT34" s="310" cm="1">
        <f t="array" ref="AT34">SUMPRODUCT((Table8[A])*(Table8[Adjusted Total]/Table8[BER Total])*(Table8[Archetype]=AT33)*(Table8[County]=AT32))+SUMPRODUCT((Table10[Scheme/Attached])*(Table10[Alias]=AS32))</f>
        <v>593.69114083414024</v>
      </c>
      <c r="AU34" s="371" cm="1">
        <f t="array" ref="AU34">SUMPRODUCT((Table8[A])*(Table8[Adjusted Total]/Table8[BER Total])*(Table8[Archetype]=AU33)*(Table8[County]=AU32))+SUMPRODUCT((Table10[Single/Detached])*(Table10[Alias]=AS32))</f>
        <v>811.16295791941479</v>
      </c>
      <c r="AV34" s="788" cm="1">
        <f t="array" ref="AV34">SUMPRODUCT((Table8[A])*(Table8[Adjusted Total]/Table8[BER Total])*(Table8[Archetype]=AV33)*(Table8[County]=AV32))+SUM(Table10[Alias]=AV33)+SUMPRODUCT((Table10[Apartment])*(Table10[Alias]=AV32))</f>
        <v>462.29041477688145</v>
      </c>
      <c r="AW34" s="310" cm="1">
        <f t="array" ref="AW34">SUMPRODUCT((Table8[A])*(Table8[Adjusted Total]/Table8[BER Total])*(Table8[Archetype]=AW33)*(Table8[County]=AW32))+SUMPRODUCT((Table10[Scheme/Attached])*(Table10[Alias]=AV32))</f>
        <v>6618.2713025334415</v>
      </c>
      <c r="AX34" s="371" cm="1">
        <f t="array" ref="AX34">SUMPRODUCT((Table8[A])*(Table8[Adjusted Total]/Table8[BER Total])*(Table8[Archetype]=AX33)*(Table8[County]=AX32))+SUMPRODUCT((Table10[Single/Detached])*(Table10[Alias]=AV32))</f>
        <v>5364.330878345294</v>
      </c>
      <c r="AY34" s="788" cm="1">
        <f t="array" ref="AY34">SUMPRODUCT((Table8[A])*(Table8[Adjusted Total]/Table8[BER Total])*(Table8[Archetype]=AY33)*(Table8[County]=AY32))+SUM(Table10[Alias]=AY33)+SUMPRODUCT((Table10[Apartment])*(Table10[Alias]=AY32))</f>
        <v>77.809037903225317</v>
      </c>
      <c r="AZ34" s="310" cm="1">
        <f t="array" ref="AZ34">SUMPRODUCT((Table8[A])*(Table8[Adjusted Total]/Table8[BER Total])*(Table8[Archetype]=AZ33)*(Table8[County]=AZ32))+SUMPRODUCT((Table10[Scheme/Attached])*(Table10[Alias]=AY32))</f>
        <v>628.57871848192963</v>
      </c>
      <c r="BA34" s="371" cm="1">
        <f t="array" ref="BA34">SUMPRODUCT((Table8[A])*(Table8[Adjusted Total]/Table8[BER Total])*(Table8[Archetype]=BA33)*(Table8[County]=BA32))+SUMPRODUCT((Table10[Single/Detached])*(Table10[Alias]=AY32))</f>
        <v>1355.416331673154</v>
      </c>
      <c r="BB34" s="788" cm="1">
        <f t="array" ref="BB34">SUMPRODUCT((Table8[A])*(Table8[Adjusted Total]/Table8[BER Total])*(Table8[Archetype]=BB33)*(Table8[County]=BB32))+SUM(Table10[Alias]=BB33)+SUMPRODUCT((Table10[Apartment])*(Table10[Alias]=BB32))</f>
        <v>79.968170445857652</v>
      </c>
      <c r="BC34" s="310" cm="1">
        <f t="array" ref="BC34">SUMPRODUCT((Table8[A])*(Table8[Adjusted Total]/Table8[BER Total])*(Table8[Archetype]=BC33)*(Table8[County]=BC32))+SUMPRODUCT((Table10[Scheme/Attached])*(Table10[Alias]=BB32))</f>
        <v>1863.4350472929546</v>
      </c>
      <c r="BD34" s="371" cm="1">
        <f t="array" ref="BD34">SUMPRODUCT((Table8[A])*(Table8[Adjusted Total]/Table8[BER Total])*(Table8[Archetype]=BD33)*(Table8[County]=BD32))+SUMPRODUCT((Table10[Single/Detached])*(Table10[Alias]=BB32))</f>
        <v>1172.9935073658803</v>
      </c>
      <c r="BE34" s="788" cm="1">
        <f t="array" ref="BE34">SUMPRODUCT((Table8[A])*(Table8[Adjusted Total]/Table8[BER Total])*(Table8[Archetype]=BE33)*(Table8[County]=BE32))+SUM(Table10[Alias]=BE33)+SUMPRODUCT((Table10[Apartment])*(Table10[Alias]=BE32))</f>
        <v>35.745393028063198</v>
      </c>
      <c r="BF34" s="310" cm="1">
        <f t="array" ref="BF34">SUMPRODUCT((Table8[A])*(Table8[Adjusted Total]/Table8[BER Total])*(Table8[Archetype]=BF33)*(Table8[County]=BF32))+SUMPRODUCT((Table10[Scheme/Attached])*(Table10[Alias]=BE32))</f>
        <v>253.51081690194533</v>
      </c>
      <c r="BG34" s="371" cm="1">
        <f t="array" ref="BG34">SUMPRODUCT((Table8[A])*(Table8[Adjusted Total]/Table8[BER Total])*(Table8[Archetype]=BG33)*(Table8[County]=BG32))+SUMPRODUCT((Table10[Single/Detached])*(Table10[Alias]=BE32))</f>
        <v>1004.4898081821195</v>
      </c>
      <c r="BH34" s="788" cm="1">
        <f t="array" ref="BH34">SUMPRODUCT((Table8[A])*(Table8[Adjusted Total]/Table8[BER Total])*(Table8[Archetype]=BH33)*(Table8[County]=BH32))+SUM(Table10[Alias]=BH33)+SUMPRODUCT((Table10[Apartment])*(Table10[Alias]=BH32))</f>
        <v>154.68678455337934</v>
      </c>
      <c r="BI34" s="310" cm="1">
        <f t="array" ref="BI34">SUMPRODUCT((Table8[A])*(Table8[Adjusted Total]/Table8[BER Total])*(Table8[Archetype]=BI33)*(Table8[County]=BI32))+SUMPRODUCT((Table10[Scheme/Attached])*(Table10[Alias]=BH32))</f>
        <v>1689.2604692613722</v>
      </c>
      <c r="BJ34" s="371" cm="1">
        <f t="array" ref="BJ34">SUMPRODUCT((Table8[A])*(Table8[Adjusted Total]/Table8[BER Total])*(Table8[Archetype]=BJ33)*(Table8[County]=BJ32))+SUMPRODUCT((Table10[Single/Detached])*(Table10[Alias]=BH32))</f>
        <v>1019.5610081359704</v>
      </c>
      <c r="BK34" s="788" cm="1">
        <f t="array" ref="BK34">SUMPRODUCT((Table8[A])*(Table8[Adjusted Total]/Table8[BER Total])*(Table8[Archetype]=BK33)*(Table8[County]=BK32))+SUM(Table10[Alias]=BK33)+SUMPRODUCT((Table10[Apartment])*(Table10[Alias]=BK32))</f>
        <v>208.02835889673207</v>
      </c>
      <c r="BL34" s="310" cm="1">
        <f t="array" ref="BL34">SUMPRODUCT((Table8[A])*(Table8[Adjusted Total]/Table8[BER Total])*(Table8[Archetype]=BL33)*(Table8[County]=BL32))+SUMPRODUCT((Table10[Scheme/Attached])*(Table10[Alias]=BK32))</f>
        <v>1482.676432335513</v>
      </c>
      <c r="BM34" s="371" cm="1">
        <f t="array" ref="BM34">SUMPRODUCT((Table8[A])*(Table8[Adjusted Total]/Table8[BER Total])*(Table8[Archetype]=BM33)*(Table8[County]=BM32))+SUMPRODUCT((Table10[Single/Detached])*(Table10[Alias]=BK32))</f>
        <v>2617.2747273644482</v>
      </c>
      <c r="BN34" s="788" cm="1">
        <f t="array" ref="BN34">SUMPRODUCT((Table8[A])*(Table8[Adjusted Total]/Table8[BER Total])*(Table8[Archetype]=BN33)*(Table8[County]=BN32))+SUM(Table10[Alias]=BN33)+SUMPRODUCT((Table10[Apartment])*(Table10[Alias]=BN32))</f>
        <v>0</v>
      </c>
      <c r="BO34" s="310" cm="1">
        <f t="array" ref="BO34">SUMPRODUCT((Table8[A])*(Table8[Adjusted Total]/Table8[BER Total])*(Table8[Archetype]=BO33)*(Table8[County]=BO32))+SUMPRODUCT((Table10[Scheme/Attached])*(Table10[Alias]=BN32))</f>
        <v>18.251862083734874</v>
      </c>
      <c r="BP34" s="371" cm="1">
        <f t="array" ref="BP34">SUMPRODUCT((Table8[A])*(Table8[Adjusted Total]/Table8[BER Total])*(Table8[Archetype]=BP33)*(Table8[County]=BP32))+SUMPRODUCT((Table10[Single/Detached])*(Table10[Alias]=BN32))</f>
        <v>32.548855887212127</v>
      </c>
      <c r="BQ34" s="788" cm="1">
        <f t="array" ref="BQ34">SUMPRODUCT((Table8[A])*(Table8[Adjusted Total]/Table8[BER Total])*(Table8[Archetype]=BQ33)*(Table8[County]=BQ32))+SUM(Table10[Alias]=BQ33)+SUMPRODUCT((Table10[Apartment])*(Table10[Alias]=BQ32))</f>
        <v>33.146875959603221</v>
      </c>
      <c r="BR34" s="310" cm="1">
        <f t="array" ref="BR34">SUMPRODUCT((Table8[A])*(Table8[Adjusted Total]/Table8[BER Total])*(Table8[Archetype]=BR33)*(Table8[County]=BR32))+SUMPRODUCT((Table10[Scheme/Attached])*(Table10[Alias]=BQ32))</f>
        <v>477.82606916581523</v>
      </c>
      <c r="BS34" s="371" cm="1">
        <f t="array" ref="BS34">SUMPRODUCT((Table8[A])*(Table8[Adjusted Total]/Table8[BER Total])*(Table8[Archetype]=BS33)*(Table8[County]=BS32))+SUMPRODUCT((Table10[Single/Detached])*(Table10[Alias]=BQ32))</f>
        <v>1335.2338722249208</v>
      </c>
      <c r="BT34" s="788" cm="1">
        <f t="array" ref="BT34">SUMPRODUCT((Table8[A])*(Table8[Adjusted Total]/Table8[BER Total])*(Table8[Archetype]=BT33)*(Table8[County]=BT32))+SUM(Table10[Alias]=BT33)+SUMPRODUCT((Table10[Apartment])*(Table10[Alias]=BT32))</f>
        <v>20</v>
      </c>
      <c r="BU34" s="310" cm="1">
        <f t="array" ref="BU34">SUMPRODUCT((Table8[A])*(Table8[Adjusted Total]/Table8[BER Total])*(Table8[Archetype]=BU33)*(Table8[County]=BU32))+SUMPRODUCT((Table10[Scheme/Attached])*(Table10[Alias]=BT32))</f>
        <v>144.11965010180887</v>
      </c>
      <c r="BV34" s="371" cm="1">
        <f t="array" ref="BV34">SUMPRODUCT((Table8[A])*(Table8[Adjusted Total]/Table8[BER Total])*(Table8[Archetype]=BV33)*(Table8[County]=BV32))+SUMPRODUCT((Table10[Single/Detached])*(Table10[Alias]=BT32))</f>
        <v>414.11948867046902</v>
      </c>
      <c r="BW34" s="788" cm="1">
        <f t="array" ref="BW34">SUMPRODUCT((Table8[A])*(Table8[Adjusted Total]/Table8[BER Total])*(Table8[Archetype]=BW33)*(Table8[County]=BW32))+SUM(Table10[Alias]=BW33)+SUMPRODUCT((Table10[Apartment])*(Table10[Alias]=BW32))</f>
        <v>38.900664672481597</v>
      </c>
      <c r="BX34" s="310" cm="1">
        <f t="array" ref="BX34">SUMPRODUCT((Table8[A])*(Table8[Adjusted Total]/Table8[BER Total])*(Table8[Archetype]=BX33)*(Table8[County]=BX32))+SUMPRODUCT((Table10[Scheme/Attached])*(Table10[Alias]=BW32))</f>
        <v>234.27944702287357</v>
      </c>
      <c r="BY34" s="371" cm="1">
        <f t="array" ref="BY34">SUMPRODUCT((Table8[A])*(Table8[Adjusted Total]/Table8[BER Total])*(Table8[Archetype]=BY33)*(Table8[County]=BY32))+SUMPRODUCT((Table10[Single/Detached])*(Table10[Alias]=BW32))</f>
        <v>572.88829107204083</v>
      </c>
      <c r="BZ34" s="788" cm="1">
        <f t="array" ref="BZ34">SUMPRODUCT((Table8[A])*(Table8[Adjusted Total]/Table8[BER Total])*(Table8[Archetype]=BZ33)*(Table8[County]=BZ32))+SUM(Table10[Alias]=BZ33)+SUMPRODUCT((Table10[Apartment])*(Table10[Alias]=BZ32))</f>
        <v>39.228229989771698</v>
      </c>
      <c r="CA34" s="310" cm="1">
        <f t="array" ref="CA34">SUMPRODUCT((Table8[A])*(Table8[Adjusted Total]/Table8[BER Total])*(Table8[Archetype]=CA33)*(Table8[County]=CA32))+SUMPRODUCT((Table10[Scheme/Attached])*(Table10[Alias]=BZ32))</f>
        <v>201.57549947154664</v>
      </c>
      <c r="CB34" s="371" cm="1">
        <f t="array" ref="CB34">SUMPRODUCT((Table8[A])*(Table8[Adjusted Total]/Table8[BER Total])*(Table8[Archetype]=CB33)*(Table8[County]=CB32))+SUMPRODUCT((Table10[Single/Detached])*(Table10[Alias]=BZ32))</f>
        <v>552.80668901212778</v>
      </c>
      <c r="CC34" s="788" cm="1">
        <f t="array" ref="CC34">SUMPRODUCT((Table8[A])*(Table8[Adjusted Total]/Table8[BER Total])*(Table8[Archetype]=CC33)*(Table8[County]=CC32))+SUM(Table10[Alias]=CC33)+SUMPRODUCT((Table10[Apartment])*(Table10[Alias]=CC32))</f>
        <v>38.853388562053361</v>
      </c>
      <c r="CD34" s="310" cm="1">
        <f t="array" ref="CD34">SUMPRODUCT((Table8[A])*(Table8[Adjusted Total]/Table8[BER Total])*(Table8[Archetype]=CD33)*(Table8[County]=CD32))+SUMPRODUCT((Table10[Scheme/Attached])*(Table10[Alias]=CC32))</f>
        <v>477.21507281766719</v>
      </c>
      <c r="CE34" s="371" cm="1">
        <f t="array" ref="CE34">SUMPRODUCT((Table8[A])*(Table8[Adjusted Total]/Table8[BER Total])*(Table8[Archetype]=CE33)*(Table8[County]=CE32))+SUMPRODUCT((Table10[Single/Detached])*(Table10[Alias]=CC32))</f>
        <v>1438.5044916382624</v>
      </c>
      <c r="CF34" s="788" cm="1">
        <f t="array" ref="CF34">SUMPRODUCT((Table8[A])*(Table8[Adjusted Total]/Table8[BER Total])*(Table8[Archetype]=CF33)*(Table8[County]=CF32))+SUM(Table10[Alias]=CF33)+SUMPRODUCT((Table10[Apartment])*(Table10[Alias]=CF32))</f>
        <v>21.409281621601231</v>
      </c>
      <c r="CG34" s="310" cm="1">
        <f t="array" ref="CG34">SUMPRODUCT((Table8[A])*(Table8[Adjusted Total]/Table8[BER Total])*(Table8[Archetype]=CG33)*(Table8[County]=CG32))+SUMPRODUCT((Table10[Scheme/Attached])*(Table10[Alias]=CF32))</f>
        <v>364.44479777211399</v>
      </c>
      <c r="CH34" s="371" cm="1">
        <f t="array" ref="CH34">SUMPRODUCT((Table8[A])*(Table8[Adjusted Total]/Table8[BER Total])*(Table8[Archetype]=CH33)*(Table8[County]=CH32))+SUMPRODUCT((Table10[Single/Detached])*(Table10[Alias]=CF32))</f>
        <v>583.87374508255459</v>
      </c>
    </row>
    <row r="35" spans="2:86" ht="14.5">
      <c r="C35" s="261"/>
      <c r="H35" s="775" t="s">
        <v>50</v>
      </c>
      <c r="I35" s="789" cm="1">
        <f t="array" ref="I35">SUMPRODUCT((Table8[B1])*(Table8[Adjusted Total]/Table8[BER Total])*(Table8[Archetype]=I33)*(Table8[County]=I32))</f>
        <v>9.2798640999182496</v>
      </c>
      <c r="J35" s="312" cm="1">
        <f t="array" ref="J35">SUMPRODUCT((Table8[B1])*(Table8[Adjusted Total]/Table8[BER Total])*(Table8[Archetype]=J33)*(Table8[County]=J32))</f>
        <v>56.252224325744479</v>
      </c>
      <c r="K35" s="372" cm="1">
        <f t="array" ref="K35">SUMPRODUCT((Table8[B1])*(Table8[Adjusted Total]/Table8[BER Total])*(Table8[Archetype]=K33)*(Table8[County]=K32))</f>
        <v>122.12331509566668</v>
      </c>
      <c r="L35" s="789" cm="1">
        <f t="array" ref="L35">SUMPRODUCT((Table8[B1])*(Table8[Adjusted Total]/Table8[BER Total])*(Table8[Archetype]=L33)*(Table8[County]=L32))</f>
        <v>3879.5577189656774</v>
      </c>
      <c r="M35" s="312" cm="1">
        <f t="array" ref="M35">SUMPRODUCT((Table8[B1])*(Table8[Adjusted Total]/Table8[BER Total])*(Table8[Archetype]=M33)*(Table8[County]=M32))</f>
        <v>2042.305945386244</v>
      </c>
      <c r="N35" s="372" cm="1">
        <f t="array" ref="N35">SUMPRODUCT((Table8[B1])*(Table8[Adjusted Total]/Table8[BER Total])*(Table8[Archetype]=N33)*(Table8[County]=N32))</f>
        <v>846.66737684329325</v>
      </c>
      <c r="O35" s="789" cm="1">
        <f t="array" ref="O35">SUMPRODUCT((Table8[B1])*(Table8[Adjusted Total]/Table8[BER Total])*(Table8[Archetype]=O33)*(Table8[County]=O32))</f>
        <v>19.211992602239075</v>
      </c>
      <c r="P35" s="312" cm="1">
        <f t="array" ref="P35">SUMPRODUCT((Table8[B1])*(Table8[Adjusted Total]/Table8[BER Total])*(Table8[Archetype]=P33)*(Table8[County]=P32))</f>
        <v>389.22779303523942</v>
      </c>
      <c r="Q35" s="372" cm="1">
        <f t="array" ref="Q35">SUMPRODUCT((Table8[B1])*(Table8[Adjusted Total]/Table8[BER Total])*(Table8[Archetype]=Q33)*(Table8[County]=Q32))</f>
        <v>367.48320159114041</v>
      </c>
      <c r="R35" s="789" cm="1">
        <f t="array" ref="R35">SUMPRODUCT((Table8[B1])*(Table8[Adjusted Total]/Table8[BER Total])*(Table8[Archetype]=R33)*(Table8[County]=R32))</f>
        <v>14.912875269250542</v>
      </c>
      <c r="S35" s="312" cm="1">
        <f t="array" ref="S35">SUMPRODUCT((Table8[B1])*(Table8[Adjusted Total]/Table8[BER Total])*(Table8[Archetype]=S33)*(Table8[County]=S32))</f>
        <v>126.47997242746837</v>
      </c>
      <c r="T35" s="372" cm="1">
        <f t="array" ref="T35">SUMPRODUCT((Table8[B1])*(Table8[Adjusted Total]/Table8[BER Total])*(Table8[Archetype]=T33)*(Table8[County]=T32))</f>
        <v>212.85039161267719</v>
      </c>
      <c r="U35" s="789" cm="1">
        <f t="array" ref="U35">SUMPRODUCT((Table8[B1])*(Table8[Adjusted Total]/Table8[BER Total])*(Table8[Archetype]=U33)*(Table8[County]=U32))</f>
        <v>8.1776224057210225</v>
      </c>
      <c r="V35" s="312" cm="1">
        <f t="array" ref="V35">SUMPRODUCT((Table8[B1])*(Table8[Adjusted Total]/Table8[BER Total])*(Table8[Archetype]=V33)*(Table8[County]=V32))</f>
        <v>148.56626238081995</v>
      </c>
      <c r="W35" s="372" cm="1">
        <f t="array" ref="W35">SUMPRODUCT((Table8[B1])*(Table8[Adjusted Total]/Table8[BER Total])*(Table8[Archetype]=W33)*(Table8[County]=W32))</f>
        <v>128.66823477069238</v>
      </c>
      <c r="X35" s="789" cm="1">
        <f t="array" ref="X35">SUMPRODUCT((Table8[B1])*(Table8[Adjusted Total]/Table8[BER Total])*(Table8[Archetype]=X33)*(Table8[County]=X32))</f>
        <v>3.585329076164042</v>
      </c>
      <c r="Y35" s="312" cm="1">
        <f t="array" ref="Y35">SUMPRODUCT((Table8[B1])*(Table8[Adjusted Total]/Table8[BER Total])*(Table8[Archetype]=Y33)*(Table8[County]=Y32))</f>
        <v>157.69521416157164</v>
      </c>
      <c r="Z35" s="372" cm="1">
        <f t="array" ref="Z35">SUMPRODUCT((Table8[B1])*(Table8[Adjusted Total]/Table8[BER Total])*(Table8[Archetype]=Z33)*(Table8[County]=Z32))</f>
        <v>109.49576034253809</v>
      </c>
      <c r="AA35" s="789" cm="1">
        <f t="array" ref="AA35">SUMPRODUCT((Table8[B1])*(Table8[Adjusted Total]/Table8[BER Total])*(Table8[Archetype]=AA33)*(Table8[County]=AA32))</f>
        <v>53.27890269897496</v>
      </c>
      <c r="AB35" s="312" cm="1">
        <f t="array" ref="AB35">SUMPRODUCT((Table8[B1])*(Table8[Adjusted Total]/Table8[BER Total])*(Table8[Archetype]=AB33)*(Table8[County]=AB32))</f>
        <v>475.15203337345048</v>
      </c>
      <c r="AC35" s="372" cm="1">
        <f t="array" ref="AC35">SUMPRODUCT((Table8[B1])*(Table8[Adjusted Total]/Table8[BER Total])*(Table8[Archetype]=AC33)*(Table8[County]=AC32))</f>
        <v>289.73384612615905</v>
      </c>
      <c r="AD35" s="789" cm="1">
        <f t="array" ref="AD35">SUMPRODUCT((Table8[B1])*(Table8[Adjusted Total]/Table8[BER Total])*(Table8[Archetype]=AD33)*(Table8[County]=AD32))</f>
        <v>78.704653993169501</v>
      </c>
      <c r="AE35" s="312" cm="1">
        <f t="array" ref="AE35">SUMPRODUCT((Table8[B1])*(Table8[Adjusted Total]/Table8[BER Total])*(Table8[Archetype]=AE33)*(Table8[County]=AE32))</f>
        <v>279.25560206332625</v>
      </c>
      <c r="AF35" s="372" cm="1">
        <f t="array" ref="AF35">SUMPRODUCT((Table8[B1])*(Table8[Adjusted Total]/Table8[BER Total])*(Table8[Archetype]=AF33)*(Table8[County]=AF32))</f>
        <v>355.66139766064578</v>
      </c>
      <c r="AG35" s="789" cm="1">
        <f t="array" ref="AG35">SUMPRODUCT((Table8[B1])*(Table8[Adjusted Total]/Table8[BER Total])*(Table8[Archetype]=AG33)*(Table8[County]=AG32))</f>
        <v>0</v>
      </c>
      <c r="AH35" s="312" cm="1">
        <f t="array" ref="AH35">SUMPRODUCT((Table8[B1])*(Table8[Adjusted Total]/Table8[BER Total])*(Table8[Archetype]=AH33)*(Table8[County]=AH32))</f>
        <v>35.94092958182668</v>
      </c>
      <c r="AI35" s="372" cm="1">
        <f t="array" ref="AI35">SUMPRODUCT((Table8[B1])*(Table8[Adjusted Total]/Table8[BER Total])*(Table8[Archetype]=AI33)*(Table8[County]=AI32))</f>
        <v>148.5951624816982</v>
      </c>
      <c r="AJ35" s="789" cm="1">
        <f t="array" ref="AJ35">SUMPRODUCT((Table8[B1])*(Table8[Adjusted Total]/Table8[BER Total])*(Table8[Archetype]=AJ33)*(Table8[County]=AJ32))</f>
        <v>38.53647404366631</v>
      </c>
      <c r="AK35" s="312" cm="1">
        <f t="array" ref="AK35">SUMPRODUCT((Table8[B1])*(Table8[Adjusted Total]/Table8[BER Total])*(Table8[Archetype]=AK33)*(Table8[County]=AK32))</f>
        <v>29.544404203263625</v>
      </c>
      <c r="AL35" s="372" cm="1">
        <f t="array" ref="AL35">SUMPRODUCT((Table8[B1])*(Table8[Adjusted Total]/Table8[BER Total])*(Table8[Archetype]=AL33)*(Table8[County]=AL32))</f>
        <v>139.25904889812827</v>
      </c>
      <c r="AM35" s="789" cm="1">
        <f t="array" ref="AM35">SUMPRODUCT((Table8[B1])*(Table8[Adjusted Total]/Table8[BER Total])*(Table8[Archetype]=AM33)*(Table8[County]=AM32))</f>
        <v>25.830971295278061</v>
      </c>
      <c r="AN35" s="312" cm="1">
        <f t="array" ref="AN35">SUMPRODUCT((Table8[B1])*(Table8[Adjusted Total]/Table8[BER Total])*(Table8[Archetype]=AN33)*(Table8[County]=AN32))</f>
        <v>143.10442140608447</v>
      </c>
      <c r="AO35" s="372" cm="1">
        <f t="array" ref="AO35">SUMPRODUCT((Table8[B1])*(Table8[Adjusted Total]/Table8[BER Total])*(Table8[Archetype]=AO33)*(Table8[County]=AO32))</f>
        <v>287.10307092951456</v>
      </c>
      <c r="AP35" s="789" cm="1">
        <f t="array" ref="AP35">SUMPRODUCT((Table8[B1])*(Table8[Adjusted Total]/Table8[BER Total])*(Table8[Archetype]=AP33)*(Table8[County]=AP32))</f>
        <v>109.36635397320441</v>
      </c>
      <c r="AQ35" s="312" cm="1">
        <f t="array" ref="AQ35">SUMPRODUCT((Table8[B1])*(Table8[Adjusted Total]/Table8[BER Total])*(Table8[Archetype]=AQ33)*(Table8[County]=AQ32))</f>
        <v>188.1879388180264</v>
      </c>
      <c r="AR35" s="372" cm="1">
        <f t="array" ref="AR35">SUMPRODUCT((Table8[B1])*(Table8[Adjusted Total]/Table8[BER Total])*(Table8[Archetype]=AR33)*(Table8[County]=AR32))</f>
        <v>233.19134962091178</v>
      </c>
      <c r="AS35" s="789" cm="1">
        <f t="array" ref="AS35">SUMPRODUCT((Table8[B1])*(Table8[Adjusted Total]/Table8[BER Total])*(Table8[Archetype]=AS33)*(Table8[County]=AS32))</f>
        <v>1.2858304335706623</v>
      </c>
      <c r="AT35" s="312" cm="1">
        <f t="array" ref="AT35">SUMPRODUCT((Table8[B1])*(Table8[Adjusted Total]/Table8[BER Total])*(Table8[Archetype]=AT33)*(Table8[County]=AT32))</f>
        <v>84.771663699014425</v>
      </c>
      <c r="AU35" s="372" cm="1">
        <f t="array" ref="AU35">SUMPRODUCT((Table8[B1])*(Table8[Adjusted Total]/Table8[BER Total])*(Table8[Archetype]=AU33)*(Table8[County]=AU32))</f>
        <v>192.72717299827923</v>
      </c>
      <c r="AV35" s="789" cm="1">
        <f t="array" ref="AV35">SUMPRODUCT((Table8[B1])*(Table8[Adjusted Total]/Table8[BER Total])*(Table8[Archetype]=AV33)*(Table8[County]=AV32))</f>
        <v>661.16165910752591</v>
      </c>
      <c r="AW35" s="312" cm="1">
        <f t="array" ref="AW35">SUMPRODUCT((Table8[B1])*(Table8[Adjusted Total]/Table8[BER Total])*(Table8[Archetype]=AW33)*(Table8[County]=AW32))</f>
        <v>1019.6405613550453</v>
      </c>
      <c r="AX35" s="372" cm="1">
        <f t="array" ref="AX35">SUMPRODUCT((Table8[B1])*(Table8[Adjusted Total]/Table8[BER Total])*(Table8[Archetype]=AX33)*(Table8[County]=AX32))</f>
        <v>1244.8498339622822</v>
      </c>
      <c r="AY35" s="789" cm="1">
        <f t="array" ref="AY35">SUMPRODUCT((Table8[B1])*(Table8[Adjusted Total]/Table8[BER Total])*(Table8[Archetype]=AY33)*(Table8[County]=AY32))</f>
        <v>42.605646774192664</v>
      </c>
      <c r="AZ35" s="312" cm="1">
        <f t="array" ref="AZ35">SUMPRODUCT((Table8[B1])*(Table8[Adjusted Total]/Table8[BER Total])*(Table8[Archetype]=AZ33)*(Table8[County]=AZ32))</f>
        <v>176.74208196569424</v>
      </c>
      <c r="BA35" s="372" cm="1">
        <f t="array" ref="BA35">SUMPRODUCT((Table8[B1])*(Table8[Adjusted Total]/Table8[BER Total])*(Table8[Archetype]=BA33)*(Table8[County]=BA32))</f>
        <v>633.90151287867172</v>
      </c>
      <c r="BB35" s="789" cm="1">
        <f t="array" ref="BB35">SUMPRODUCT((Table8[B1])*(Table8[Adjusted Total]/Table8[BER Total])*(Table8[Archetype]=BB33)*(Table8[County]=BB32))</f>
        <v>69.194421278598924</v>
      </c>
      <c r="BC35" s="312" cm="1">
        <f t="array" ref="BC35">SUMPRODUCT((Table8[B1])*(Table8[Adjusted Total]/Table8[BER Total])*(Table8[Archetype]=BC33)*(Table8[County]=BC32))</f>
        <v>235.05700105517636</v>
      </c>
      <c r="BD35" s="372" cm="1">
        <f t="array" ref="BD35">SUMPRODUCT((Table8[B1])*(Table8[Adjusted Total]/Table8[BER Total])*(Table8[Archetype]=BD33)*(Table8[County]=BD32))</f>
        <v>270.55002609827488</v>
      </c>
      <c r="BE35" s="789" cm="1">
        <f t="array" ref="BE35">SUMPRODUCT((Table8[B1])*(Table8[Adjusted Total]/Table8[BER Total])*(Table8[Archetype]=BE33)*(Table8[County]=BE32))</f>
        <v>16.854268626284391</v>
      </c>
      <c r="BF35" s="312" cm="1">
        <f t="array" ref="BF35">SUMPRODUCT((Table8[B1])*(Table8[Adjusted Total]/Table8[BER Total])*(Table8[Archetype]=BF33)*(Table8[County]=BF32))</f>
        <v>205.88599718364441</v>
      </c>
      <c r="BG35" s="372" cm="1">
        <f t="array" ref="BG35">SUMPRODUCT((Table8[B1])*(Table8[Adjusted Total]/Table8[BER Total])*(Table8[Archetype]=BG33)*(Table8[County]=BG32))</f>
        <v>381.42936725340383</v>
      </c>
      <c r="BH35" s="789" cm="1">
        <f t="array" ref="BH35">SUMPRODUCT((Table8[B1])*(Table8[Adjusted Total]/Table8[BER Total])*(Table8[Archetype]=BH33)*(Table8[County]=BH32))</f>
        <v>18.706514038054259</v>
      </c>
      <c r="BI35" s="312" cm="1">
        <f t="array" ref="BI35">SUMPRODUCT((Table8[B1])*(Table8[Adjusted Total]/Table8[BER Total])*(Table8[Archetype]=BI33)*(Table8[County]=BI32))</f>
        <v>263.46556892252573</v>
      </c>
      <c r="BJ35" s="372" cm="1">
        <f t="array" ref="BJ35">SUMPRODUCT((Table8[B1])*(Table8[Adjusted Total]/Table8[BER Total])*(Table8[Archetype]=BJ33)*(Table8[County]=BJ32))</f>
        <v>266.43764216236093</v>
      </c>
      <c r="BK35" s="789" cm="1">
        <f t="array" ref="BK35">SUMPRODUCT((Table8[B1])*(Table8[Adjusted Total]/Table8[BER Total])*(Table8[Archetype]=BK33)*(Table8[County]=BK32))</f>
        <v>70.812631399005028</v>
      </c>
      <c r="BL35" s="312" cm="1">
        <f t="array" ref="BL35">SUMPRODUCT((Table8[B1])*(Table8[Adjusted Total]/Table8[BER Total])*(Table8[Archetype]=BL33)*(Table8[County]=BL32))</f>
        <v>160.81239443278591</v>
      </c>
      <c r="BM35" s="372" cm="1">
        <f t="array" ref="BM35">SUMPRODUCT((Table8[B1])*(Table8[Adjusted Total]/Table8[BER Total])*(Table8[Archetype]=BM33)*(Table8[County]=BM32))</f>
        <v>599.40483730921778</v>
      </c>
      <c r="BN35" s="789" cm="1">
        <f t="array" ref="BN35">SUMPRODUCT((Table8[B1])*(Table8[Adjusted Total]/Table8[BER Total])*(Table8[Archetype]=BN33)*(Table8[County]=BN32))</f>
        <v>1.0207219784121402</v>
      </c>
      <c r="BO35" s="312" cm="1">
        <f t="array" ref="BO35">SUMPRODUCT((Table8[B1])*(Table8[Adjusted Total]/Table8[BER Total])*(Table8[Archetype]=BO33)*(Table8[County]=BO32))</f>
        <v>0</v>
      </c>
      <c r="BP35" s="372" cm="1">
        <f t="array" ref="BP35">SUMPRODUCT((Table8[B1])*(Table8[Adjusted Total]/Table8[BER Total])*(Table8[Archetype]=BP33)*(Table8[County]=BP32))</f>
        <v>75.112744355104894</v>
      </c>
      <c r="BQ35" s="789" cm="1">
        <f t="array" ref="BQ35">SUMPRODUCT((Table8[B1])*(Table8[Adjusted Total]/Table8[BER Total])*(Table8[Archetype]=BQ33)*(Table8[County]=BQ32))</f>
        <v>11.015909788802345</v>
      </c>
      <c r="BR35" s="312" cm="1">
        <f t="array" ref="BR35">SUMPRODUCT((Table8[B1])*(Table8[Adjusted Total]/Table8[BER Total])*(Table8[Archetype]=BR33)*(Table8[County]=BR32))</f>
        <v>139.83273659454599</v>
      </c>
      <c r="BS35" s="372" cm="1">
        <f t="array" ref="BS35">SUMPRODUCT((Table8[B1])*(Table8[Adjusted Total]/Table8[BER Total])*(Table8[Archetype]=BS33)*(Table8[County]=BS32))</f>
        <v>299.94430492002152</v>
      </c>
      <c r="BT35" s="789" cm="1">
        <f t="array" ref="BT35">SUMPRODUCT((Table8[B1])*(Table8[Adjusted Total]/Table8[BER Total])*(Table8[Archetype]=BT33)*(Table8[County]=BT32))</f>
        <v>11.5166974613897</v>
      </c>
      <c r="BU35" s="312" cm="1">
        <f t="array" ref="BU35">SUMPRODUCT((Table8[B1])*(Table8[Adjusted Total]/Table8[BER Total])*(Table8[Archetype]=BU33)*(Table8[County]=BU32))</f>
        <v>17.317051217140424</v>
      </c>
      <c r="BV35" s="372" cm="1">
        <f t="array" ref="BV35">SUMPRODUCT((Table8[B1])*(Table8[Adjusted Total]/Table8[BER Total])*(Table8[Archetype]=BV33)*(Table8[County]=BV32))</f>
        <v>81.804609103641766</v>
      </c>
      <c r="BW35" s="789" cm="1">
        <f t="array" ref="BW35">SUMPRODUCT((Table8[B1])*(Table8[Adjusted Total]/Table8[BER Total])*(Table8[Archetype]=BW33)*(Table8[County]=BW32))</f>
        <v>7.0228130422058666</v>
      </c>
      <c r="BX35" s="312" cm="1">
        <f t="array" ref="BX35">SUMPRODUCT((Table8[B1])*(Table8[Adjusted Total]/Table8[BER Total])*(Table8[Archetype]=BX33)*(Table8[County]=BX32))</f>
        <v>115.74451614501439</v>
      </c>
      <c r="BY35" s="372" cm="1">
        <f t="array" ref="BY35">SUMPRODUCT((Table8[B1])*(Table8[Adjusted Total]/Table8[BER Total])*(Table8[Archetype]=BY33)*(Table8[County]=BY32))</f>
        <v>179.78583084080256</v>
      </c>
      <c r="BZ35" s="789" cm="1">
        <f t="array" ref="BZ35">SUMPRODUCT((Table8[B1])*(Table8[Adjusted Total]/Table8[BER Total])*(Table8[Archetype]=BZ33)*(Table8[County]=BZ32))</f>
        <v>2.8188199931811315</v>
      </c>
      <c r="CA35" s="312" cm="1">
        <f t="array" ref="CA35">SUMPRODUCT((Table8[B1])*(Table8[Adjusted Total]/Table8[BER Total])*(Table8[Archetype]=CA33)*(Table8[County]=CA32))</f>
        <v>63.670071147187166</v>
      </c>
      <c r="CB35" s="372" cm="1">
        <f t="array" ref="CB35">SUMPRODUCT((Table8[B1])*(Table8[Adjusted Total]/Table8[BER Total])*(Table8[Archetype]=CB33)*(Table8[County]=CB32))</f>
        <v>157.47913172361709</v>
      </c>
      <c r="CC35" s="789" cm="1">
        <f t="array" ref="CC35">SUMPRODUCT((Table8[B1])*(Table8[Adjusted Total]/Table8[BER Total])*(Table8[Archetype]=CC33)*(Table8[County]=CC32))</f>
        <v>37.693637091293482</v>
      </c>
      <c r="CD35" s="312" cm="1">
        <f t="array" ref="CD35">SUMPRODUCT((Table8[B1])*(Table8[Adjusted Total]/Table8[BER Total])*(Table8[Archetype]=CD33)*(Table8[County]=CD32))</f>
        <v>71.81133822797355</v>
      </c>
      <c r="CE35" s="372" cm="1">
        <f t="array" ref="CE35">SUMPRODUCT((Table8[B1])*(Table8[Adjusted Total]/Table8[BER Total])*(Table8[Archetype]=CE33)*(Table8[County]=CE32))</f>
        <v>353.46991530883668</v>
      </c>
      <c r="CF35" s="789" cm="1">
        <f t="array" ref="CF35">SUMPRODUCT((Table8[B1])*(Table8[Adjusted Total]/Table8[BER Total])*(Table8[Archetype]=CF33)*(Table8[County]=CF32))</f>
        <v>5.4092816216012301</v>
      </c>
      <c r="CG35" s="312" cm="1">
        <f t="array" ref="CG35">SUMPRODUCT((Table8[B1])*(Table8[Adjusted Total]/Table8[BER Total])*(Table8[Archetype]=CG33)*(Table8[County]=CG32))</f>
        <v>99.481599257371329</v>
      </c>
      <c r="CH35" s="372" cm="1">
        <f t="array" ref="CH35">SUMPRODUCT((Table8[B1])*(Table8[Adjusted Total]/Table8[BER Total])*(Table8[Archetype]=CH33)*(Table8[County]=CH32))</f>
        <v>207.42901387031404</v>
      </c>
    </row>
    <row r="36" spans="2:86" ht="14.5">
      <c r="C36" s="261"/>
      <c r="H36" s="776" t="s">
        <v>52</v>
      </c>
      <c r="I36" s="790" cm="1">
        <f t="array" ref="I36">SUMPRODUCT((Table8[B2])*(Table8[Adjusted Total]/Table8[BER Total])*(Table8[Archetype]=I33)*(Table8[County]=I32))</f>
        <v>10.605558971335142</v>
      </c>
      <c r="J36" s="314" cm="1">
        <f t="array" ref="J36">SUMPRODUCT((Table8[B2])*(Table8[Adjusted Total]/Table8[BER Total])*(Table8[Archetype]=J33)*(Table8[County]=J32))</f>
        <v>205.32061878896735</v>
      </c>
      <c r="K36" s="373" cm="1">
        <f t="array" ref="K36">SUMPRODUCT((Table8[B2])*(Table8[Adjusted Total]/Table8[BER Total])*(Table8[Archetype]=K33)*(Table8[County]=K32))</f>
        <v>231.78506742646942</v>
      </c>
      <c r="L36" s="790" cm="1">
        <f t="array" ref="L36">SUMPRODUCT((Table8[B2])*(Table8[Adjusted Total]/Table8[BER Total])*(Table8[Archetype]=L33)*(Table8[County]=L32))</f>
        <v>9792.4474391647527</v>
      </c>
      <c r="M36" s="314" cm="1">
        <f t="array" ref="M36">SUMPRODUCT((Table8[B2])*(Table8[Adjusted Total]/Table8[BER Total])*(Table8[Archetype]=M33)*(Table8[County]=M32))</f>
        <v>5891.9997429588639</v>
      </c>
      <c r="N36" s="373" cm="1">
        <f t="array" ref="N36">SUMPRODUCT((Table8[B2])*(Table8[Adjusted Total]/Table8[BER Total])*(Table8[Archetype]=N33)*(Table8[County]=N32))</f>
        <v>1801.6294181665426</v>
      </c>
      <c r="O36" s="790" cm="1">
        <f t="array" ref="O36">SUMPRODUCT((Table8[B2])*(Table8[Adjusted Total]/Table8[BER Total])*(Table8[Archetype]=O33)*(Table8[County]=O32))</f>
        <v>235.78354557293412</v>
      </c>
      <c r="P36" s="314" cm="1">
        <f t="array" ref="P36">SUMPRODUCT((Table8[B2])*(Table8[Adjusted Total]/Table8[BER Total])*(Table8[Archetype]=P33)*(Table8[County]=P32))</f>
        <v>551.86288026592626</v>
      </c>
      <c r="Q36" s="373" cm="1">
        <f t="array" ref="Q36">SUMPRODUCT((Table8[B2])*(Table8[Adjusted Total]/Table8[BER Total])*(Table8[Archetype]=Q33)*(Table8[County]=Q32))</f>
        <v>943.38971154740523</v>
      </c>
      <c r="R36" s="790" cm="1">
        <f t="array" ref="R36">SUMPRODUCT((Table8[B2])*(Table8[Adjusted Total]/Table8[BER Total])*(Table8[Archetype]=R33)*(Table8[County]=R32))</f>
        <v>69.593417923169199</v>
      </c>
      <c r="S36" s="314" cm="1">
        <f t="array" ref="S36">SUMPRODUCT((Table8[B2])*(Table8[Adjusted Total]/Table8[BER Total])*(Table8[Archetype]=S33)*(Table8[County]=S32))</f>
        <v>266.58086496251025</v>
      </c>
      <c r="T36" s="373" cm="1">
        <f t="array" ref="T36">SUMPRODUCT((Table8[B2])*(Table8[Adjusted Total]/Table8[BER Total])*(Table8[Archetype]=T33)*(Table8[County]=T32))</f>
        <v>439.65818595405455</v>
      </c>
      <c r="U36" s="790" cm="1">
        <f t="array" ref="U36">SUMPRODUCT((Table8[B2])*(Table8[Adjusted Total]/Table8[BER Total])*(Table8[Archetype]=U33)*(Table8[County]=U32))</f>
        <v>112.85118919895011</v>
      </c>
      <c r="V36" s="314" cm="1">
        <f t="array" ref="V36">SUMPRODUCT((Table8[B2])*(Table8[Adjusted Total]/Table8[BER Total])*(Table8[Archetype]=V33)*(Table8[County]=V32))</f>
        <v>214.79459621323369</v>
      </c>
      <c r="W36" s="373" cm="1">
        <f t="array" ref="W36">SUMPRODUCT((Table8[B2])*(Table8[Adjusted Total]/Table8[BER Total])*(Table8[Archetype]=W33)*(Table8[County]=W32))</f>
        <v>380.02013525297519</v>
      </c>
      <c r="X36" s="790" cm="1">
        <f t="array" ref="X36">SUMPRODUCT((Table8[B2])*(Table8[Adjusted Total]/Table8[BER Total])*(Table8[Archetype]=X33)*(Table8[County]=X32))</f>
        <v>7.1706581523280839</v>
      </c>
      <c r="Y36" s="314" cm="1">
        <f t="array" ref="Y36">SUMPRODUCT((Table8[B2])*(Table8[Adjusted Total]/Table8[BER Total])*(Table8[Archetype]=Y33)*(Table8[County]=Y32))</f>
        <v>101.25692698795652</v>
      </c>
      <c r="Z36" s="373" cm="1">
        <f t="array" ref="Z36">SUMPRODUCT((Table8[B2])*(Table8[Adjusted Total]/Table8[BER Total])*(Table8[Archetype]=Z33)*(Table8[County]=Z32))</f>
        <v>227.00340558818871</v>
      </c>
      <c r="AA36" s="790" cm="1">
        <f t="array" ref="AA36">SUMPRODUCT((Table8[B2])*(Table8[Adjusted Total]/Table8[BER Total])*(Table8[Archetype]=AA33)*(Table8[County]=AA32))</f>
        <v>218.58011363682036</v>
      </c>
      <c r="AB36" s="314" cm="1">
        <f t="array" ref="AB36">SUMPRODUCT((Table8[B2])*(Table8[Adjusted Total]/Table8[BER Total])*(Table8[Archetype]=AB33)*(Table8[County]=AB32))</f>
        <v>540.01920516504788</v>
      </c>
      <c r="AC36" s="373" cm="1">
        <f t="array" ref="AC36">SUMPRODUCT((Table8[B2])*(Table8[Adjusted Total]/Table8[BER Total])*(Table8[Archetype]=AC33)*(Table8[County]=AC32))</f>
        <v>669.02179014585806</v>
      </c>
      <c r="AD36" s="790" cm="1">
        <f t="array" ref="AD36">SUMPRODUCT((Table8[B2])*(Table8[Adjusted Total]/Table8[BER Total])*(Table8[Archetype]=AD33)*(Table8[County]=AD32))</f>
        <v>369.037377612417</v>
      </c>
      <c r="AE36" s="314" cm="1">
        <f t="array" ref="AE36">SUMPRODUCT((Table8[B2])*(Table8[Adjusted Total]/Table8[BER Total])*(Table8[Archetype]=AE33)*(Table8[County]=AE32))</f>
        <v>544.54842402348618</v>
      </c>
      <c r="AF36" s="373" cm="1">
        <f t="array" ref="AF36">SUMPRODUCT((Table8[B2])*(Table8[Adjusted Total]/Table8[BER Total])*(Table8[Archetype]=AF33)*(Table8[County]=AF32))</f>
        <v>912.86425399565746</v>
      </c>
      <c r="AG36" s="790" cm="1">
        <f t="array" ref="AG36">SUMPRODUCT((Table8[B2])*(Table8[Adjusted Total]/Table8[BER Total])*(Table8[Archetype]=AG33)*(Table8[County]=AG32))</f>
        <v>20.501788054471191</v>
      </c>
      <c r="AH36" s="314" cm="1">
        <f t="array" ref="AH36">SUMPRODUCT((Table8[B2])*(Table8[Adjusted Total]/Table8[BER Total])*(Table8[Archetype]=AH33)*(Table8[County]=AH32))</f>
        <v>139.98046258185127</v>
      </c>
      <c r="AI36" s="373" cm="1">
        <f t="array" ref="AI36">SUMPRODUCT((Table8[B2])*(Table8[Adjusted Total]/Table8[BER Total])*(Table8[Archetype]=AI33)*(Table8[County]=AI32))</f>
        <v>293.88821024158085</v>
      </c>
      <c r="AJ36" s="790" cm="1">
        <f t="array" ref="AJ36">SUMPRODUCT((Table8[B2])*(Table8[Adjusted Total]/Table8[BER Total])*(Table8[Archetype]=AJ33)*(Table8[County]=AJ32))</f>
        <v>167.43433550006739</v>
      </c>
      <c r="AK36" s="314" cm="1">
        <f t="array" ref="AK36">SUMPRODUCT((Table8[B2])*(Table8[Adjusted Total]/Table8[BER Total])*(Table8[Archetype]=AK33)*(Table8[County]=AK32))</f>
        <v>217.23826620046782</v>
      </c>
      <c r="AL36" s="373" cm="1">
        <f t="array" ref="AL36">SUMPRODUCT((Table8[B2])*(Table8[Adjusted Total]/Table8[BER Total])*(Table8[Archetype]=AL33)*(Table8[County]=AL32))</f>
        <v>343.88459013619428</v>
      </c>
      <c r="AM36" s="790" cm="1">
        <f t="array" ref="AM36">SUMPRODUCT((Table8[B2])*(Table8[Adjusted Total]/Table8[BER Total])*(Table8[Archetype]=AM33)*(Table8[County]=AM32))</f>
        <v>50.431896338400023</v>
      </c>
      <c r="AN36" s="314" cm="1">
        <f t="array" ref="AN36">SUMPRODUCT((Table8[B2])*(Table8[Adjusted Total]/Table8[BER Total])*(Table8[Archetype]=AN33)*(Table8[County]=AN32))</f>
        <v>154.7524557065797</v>
      </c>
      <c r="AO36" s="373" cm="1">
        <f t="array" ref="AO36">SUMPRODUCT((Table8[B2])*(Table8[Adjusted Total]/Table8[BER Total])*(Table8[Archetype]=AO33)*(Table8[County]=AO32))</f>
        <v>809.95744400440287</v>
      </c>
      <c r="AP36" s="790" cm="1">
        <f t="array" ref="AP36">SUMPRODUCT((Table8[B2])*(Table8[Adjusted Total]/Table8[BER Total])*(Table8[Archetype]=AP33)*(Table8[County]=AP32))</f>
        <v>285.46472054022848</v>
      </c>
      <c r="AQ36" s="314" cm="1">
        <f t="array" ref="AQ36">SUMPRODUCT((Table8[B2])*(Table8[Adjusted Total]/Table8[BER Total])*(Table8[Archetype]=AQ33)*(Table8[County]=AQ32))</f>
        <v>307.31608357439171</v>
      </c>
      <c r="AR36" s="373" cm="1">
        <f t="array" ref="AR36">SUMPRODUCT((Table8[B2])*(Table8[Adjusted Total]/Table8[BER Total])*(Table8[Archetype]=AR33)*(Table8[County]=AR32))</f>
        <v>613.10984057632982</v>
      </c>
      <c r="AS36" s="790" cm="1">
        <f t="array" ref="AS36">SUMPRODUCT((Table8[B2])*(Table8[Adjusted Total]/Table8[BER Total])*(Table8[Archetype]=AS33)*(Table8[County]=AS32))</f>
        <v>43.718234741402519</v>
      </c>
      <c r="AT36" s="314" cm="1">
        <f t="array" ref="AT36">SUMPRODUCT((Table8[B2])*(Table8[Adjusted Total]/Table8[BER Total])*(Table8[Archetype]=AT33)*(Table8[County]=AT32))</f>
        <v>182.58512181326185</v>
      </c>
      <c r="AU36" s="373" cm="1">
        <f t="array" ref="AU36">SUMPRODUCT((Table8[B2])*(Table8[Adjusted Total]/Table8[BER Total])*(Table8[Archetype]=AU33)*(Table8[County]=AU32))</f>
        <v>595.47754734083708</v>
      </c>
      <c r="AV36" s="790" cm="1">
        <f t="array" ref="AV36">SUMPRODUCT((Table8[B2])*(Table8[Adjusted Total]/Table8[BER Total])*(Table8[Archetype]=AV33)*(Table8[County]=AV32))</f>
        <v>1664.2476076064438</v>
      </c>
      <c r="AW36" s="314" cm="1">
        <f t="array" ref="AW36">SUMPRODUCT((Table8[B2])*(Table8[Adjusted Total]/Table8[BER Total])*(Table8[Archetype]=AW33)*(Table8[County]=AW32))</f>
        <v>2523.6103893537374</v>
      </c>
      <c r="AX36" s="373" cm="1">
        <f t="array" ref="AX36">SUMPRODUCT((Table8[B2])*(Table8[Adjusted Total]/Table8[BER Total])*(Table8[Archetype]=AX33)*(Table8[County]=AX32))</f>
        <v>3053.5594395442417</v>
      </c>
      <c r="AY36" s="790" cm="1">
        <f t="array" ref="AY36">SUMPRODUCT((Table8[B2])*(Table8[Adjusted Total]/Table8[BER Total])*(Table8[Archetype]=AY33)*(Table8[County]=AY32))</f>
        <v>60.149148387095529</v>
      </c>
      <c r="AZ36" s="314" cm="1">
        <f t="array" ref="AZ36">SUMPRODUCT((Table8[B2])*(Table8[Adjusted Total]/Table8[BER Total])*(Table8[Archetype]=AZ33)*(Table8[County]=AZ32))</f>
        <v>259.01856839800018</v>
      </c>
      <c r="BA36" s="373" cm="1">
        <f t="array" ref="BA36">SUMPRODUCT((Table8[B2])*(Table8[Adjusted Total]/Table8[BER Total])*(Table8[Archetype]=BA33)*(Table8[County]=BA32))</f>
        <v>1250.1244975097309</v>
      </c>
      <c r="BB36" s="790" cm="1">
        <f t="array" ref="BB36">SUMPRODUCT((Table8[B2])*(Table8[Adjusted Total]/Table8[BER Total])*(Table8[Archetype]=BB33)*(Table8[County]=BB32))</f>
        <v>210.09942460956401</v>
      </c>
      <c r="BC36" s="314" cm="1">
        <f t="array" ref="BC36">SUMPRODUCT((Table8[B2])*(Table8[Adjusted Total]/Table8[BER Total])*(Table8[Archetype]=BC33)*(Table8[County]=BC32))</f>
        <v>483.26404412742551</v>
      </c>
      <c r="BD36" s="373" cm="1">
        <f t="array" ref="BD36">SUMPRODUCT((Table8[B2])*(Table8[Adjusted Total]/Table8[BER Total])*(Table8[Archetype]=BD33)*(Table8[County]=BD32))</f>
        <v>623.0849085899664</v>
      </c>
      <c r="BE36" s="790" cm="1">
        <f t="array" ref="BE36">SUMPRODUCT((Table8[B2])*(Table8[Adjusted Total]/Table8[BER Total])*(Table8[Archetype]=BE33)*(Table8[County]=BE32))</f>
        <v>18.72696514031599</v>
      </c>
      <c r="BF36" s="314" cm="1">
        <f t="array" ref="BF36">SUMPRODUCT((Table8[B2])*(Table8[Adjusted Total]/Table8[BER Total])*(Table8[Archetype]=BF33)*(Table8[County]=BF32))</f>
        <v>290.26550422612166</v>
      </c>
      <c r="BG36" s="373" cm="1">
        <f t="array" ref="BG36">SUMPRODUCT((Table8[B2])*(Table8[Adjusted Total]/Table8[BER Total])*(Table8[Archetype]=BG33)*(Table8[County]=BG32))</f>
        <v>728.18333748377086</v>
      </c>
      <c r="BH36" s="790" cm="1">
        <f t="array" ref="BH36">SUMPRODUCT((Table8[B2])*(Table8[Adjusted Total]/Table8[BER Total])*(Table8[Archetype]=BH33)*(Table8[County]=BH32))</f>
        <v>44.427970840378862</v>
      </c>
      <c r="BI36" s="314" cm="1">
        <f t="array" ref="BI36">SUMPRODUCT((Table8[B2])*(Table8[Adjusted Total]/Table8[BER Total])*(Table8[Archetype]=BI33)*(Table8[County]=BI32))</f>
        <v>387.24133955726938</v>
      </c>
      <c r="BJ36" s="373" cm="1">
        <f t="array" ref="BJ36">SUMPRODUCT((Table8[B2])*(Table8[Adjusted Total]/Table8[BER Total])*(Table8[Archetype]=BJ33)*(Table8[County]=BJ32))</f>
        <v>511.34496980655132</v>
      </c>
      <c r="BK36" s="790" cm="1">
        <f t="array" ref="BK36">SUMPRODUCT((Table8[B2])*(Table8[Adjusted Total]/Table8[BER Total])*(Table8[Archetype]=BK33)*(Table8[County]=BK32))</f>
        <v>274.91962778437244</v>
      </c>
      <c r="BL36" s="314" cm="1">
        <f t="array" ref="BL36">SUMPRODUCT((Table8[B2])*(Table8[Adjusted Total]/Table8[BER Total])*(Table8[Archetype]=BL33)*(Table8[County]=BL32))</f>
        <v>443.02238074130236</v>
      </c>
      <c r="BM36" s="373" cm="1">
        <f t="array" ref="BM36">SUMPRODUCT((Table8[B2])*(Table8[Adjusted Total]/Table8[BER Total])*(Table8[Archetype]=BM33)*(Table8[County]=BM32))</f>
        <v>1439.5962331956425</v>
      </c>
      <c r="BN36" s="790" cm="1">
        <f t="array" ref="BN36">SUMPRODUCT((Table8[B2])*(Table8[Adjusted Total]/Table8[BER Total])*(Table8[Archetype]=BN33)*(Table8[County]=BN32))</f>
        <v>8.1657758272971215</v>
      </c>
      <c r="BO36" s="314" cm="1">
        <f t="array" ref="BO36">SUMPRODUCT((Table8[B2])*(Table8[Adjusted Total]/Table8[BER Total])*(Table8[Archetype]=BO33)*(Table8[County]=BO32))</f>
        <v>36.503724167469748</v>
      </c>
      <c r="BP36" s="373" cm="1">
        <f t="array" ref="BP36">SUMPRODUCT((Table8[B2])*(Table8[Adjusted Total]/Table8[BER Total])*(Table8[Archetype]=BP33)*(Table8[County]=BP32))</f>
        <v>222.83447492014454</v>
      </c>
      <c r="BQ36" s="790" cm="1">
        <f t="array" ref="BQ36">SUMPRODUCT((Table8[B2])*(Table8[Adjusted Total]/Table8[BER Total])*(Table8[Archetype]=BQ33)*(Table8[County]=BQ32))</f>
        <v>49.571594049610553</v>
      </c>
      <c r="BR36" s="314" cm="1">
        <f t="array" ref="BR36">SUMPRODUCT((Table8[B2])*(Table8[Adjusted Total]/Table8[BER Total])*(Table8[Archetype]=BR33)*(Table8[County]=BR32))</f>
        <v>234.13853569319326</v>
      </c>
      <c r="BS36" s="373" cm="1">
        <f t="array" ref="BS36">SUMPRODUCT((Table8[B2])*(Table8[Adjusted Total]/Table8[BER Total])*(Table8[Archetype]=BS33)*(Table8[County]=BS32))</f>
        <v>613.39961456617016</v>
      </c>
      <c r="BT36" s="790" cm="1">
        <f t="array" ref="BT36">SUMPRODUCT((Table8[B2])*(Table8[Adjusted Total]/Table8[BER Total])*(Table8[Archetype]=BT33)*(Table8[County]=BT32))</f>
        <v>11.5166974613897</v>
      </c>
      <c r="BU36" s="314" cm="1">
        <f t="array" ref="BU36">SUMPRODUCT((Table8[B2])*(Table8[Adjusted Total]/Table8[BER Total])*(Table8[Archetype]=BU33)*(Table8[County]=BU32))</f>
        <v>18.891328600516825</v>
      </c>
      <c r="BV36" s="373" cm="1">
        <f t="array" ref="BV36">SUMPRODUCT((Table8[B2])*(Table8[Adjusted Total]/Table8[BER Total])*(Table8[Archetype]=BV33)*(Table8[County]=BV32))</f>
        <v>283.39453868047326</v>
      </c>
      <c r="BW36" s="790" cm="1">
        <f t="array" ref="BW36">SUMPRODUCT((Table8[B2])*(Table8[Adjusted Total]/Table8[BER Total])*(Table8[Archetype]=BW33)*(Table8[County]=BW32))</f>
        <v>38.625471732132269</v>
      </c>
      <c r="BX36" s="314" cm="1">
        <f t="array" ref="BX36">SUMPRODUCT((Table8[B2])*(Table8[Adjusted Total]/Table8[BER Total])*(Table8[Archetype]=BX33)*(Table8[County]=BX32))</f>
        <v>121.75721828241772</v>
      </c>
      <c r="BY36" s="373" cm="1">
        <f t="array" ref="BY36">SUMPRODUCT((Table8[B2])*(Table8[Adjusted Total]/Table8[BER Total])*(Table8[Archetype]=BY33)*(Table8[County]=BY32))</f>
        <v>300.53750827119234</v>
      </c>
      <c r="BZ36" s="790" cm="1">
        <f t="array" ref="BZ36">SUMPRODUCT((Table8[B2])*(Table8[Adjusted Total]/Table8[BER Total])*(Table8[Archetype]=BZ33)*(Table8[County]=BZ32))</f>
        <v>42.282299897716975</v>
      </c>
      <c r="CA36" s="314" cm="1">
        <f t="array" ref="CA36">SUMPRODUCT((Table8[B2])*(Table8[Adjusted Total]/Table8[BER Total])*(Table8[Archetype]=CA33)*(Table8[County]=CA32))</f>
        <v>177.03385636047165</v>
      </c>
      <c r="CB36" s="373" cm="1">
        <f t="array" ref="CB36">SUMPRODUCT((Table8[B2])*(Table8[Adjusted Total]/Table8[BER Total])*(Table8[Archetype]=CB33)*(Table8[County]=CB32))</f>
        <v>494.15865471893636</v>
      </c>
      <c r="CC36" s="790" cm="1">
        <f t="array" ref="CC36">SUMPRODUCT((Table8[B2])*(Table8[Adjusted Total]/Table8[BER Total])*(Table8[Archetype]=CC33)*(Table8[County]=CC32))</f>
        <v>127.92991982499606</v>
      </c>
      <c r="CD36" s="314" cm="1">
        <f t="array" ref="CD36">SUMPRODUCT((Table8[B2])*(Table8[Adjusted Total]/Table8[BER Total])*(Table8[Archetype]=CD33)*(Table8[County]=CD32))</f>
        <v>150.30280094227021</v>
      </c>
      <c r="CE36" s="373" cm="1">
        <f t="array" ref="CE36">SUMPRODUCT((Table8[B2])*(Table8[Adjusted Total]/Table8[BER Total])*(Table8[Archetype]=CE33)*(Table8[County]=CE32))</f>
        <v>824.76313572061883</v>
      </c>
      <c r="CF36" s="790" cm="1">
        <f t="array" ref="CF36">SUMPRODUCT((Table8[B2])*(Table8[Adjusted Total]/Table8[BER Total])*(Table8[Archetype]=CF33)*(Table8[County]=CF32))</f>
        <v>45.077346846676917</v>
      </c>
      <c r="CG36" s="314" cm="1">
        <f t="array" ref="CG36">SUMPRODUCT((Table8[B2])*(Table8[Adjusted Total]/Table8[BER Total])*(Table8[Archetype]=CG33)*(Table8[County]=CG32))</f>
        <v>135.65672626005181</v>
      </c>
      <c r="CH36" s="373" cm="1">
        <f t="array" ref="CH36">SUMPRODUCT((Table8[B2])*(Table8[Adjusted Total]/Table8[BER Total])*(Table8[Archetype]=CH33)*(Table8[County]=CH32))</f>
        <v>364.9214132903673</v>
      </c>
    </row>
    <row r="37" spans="2:86" ht="14.5">
      <c r="C37" s="261"/>
      <c r="H37" s="775" t="s">
        <v>54</v>
      </c>
      <c r="I37" s="789" cm="1">
        <f t="array" ref="I37">SUMPRODUCT((Table8[B3])*(Table8[Adjusted Total]/Table8[BER Total])*(Table8[Archetype]=I33)*(Table8[County]=I32))</f>
        <v>74.238912799345997</v>
      </c>
      <c r="J37" s="312" cm="1">
        <f t="array" ref="J37">SUMPRODUCT((Table8[B3])*(Table8[Adjusted Total]/Table8[BER Total])*(Table8[Archetype]=J33)*(Table8[County]=J32))</f>
        <v>572.36638251445015</v>
      </c>
      <c r="K37" s="372" cm="1">
        <f t="array" ref="K37">SUMPRODUCT((Table8[B3])*(Table8[Adjusted Total]/Table8[BER Total])*(Table8[Archetype]=K33)*(Table8[County]=K32))</f>
        <v>725.26295291508177</v>
      </c>
      <c r="L37" s="789" cm="1">
        <f t="array" ref="L37">SUMPRODUCT((Table8[B3])*(Table8[Adjusted Total]/Table8[BER Total])*(Table8[Archetype]=L33)*(Table8[County]=L32))</f>
        <v>14102.515190964863</v>
      </c>
      <c r="M37" s="312" cm="1">
        <f t="array" ref="M37">SUMPRODUCT((Table8[B3])*(Table8[Adjusted Total]/Table8[BER Total])*(Table8[Archetype]=M33)*(Table8[County]=M32))</f>
        <v>16753.257889821252</v>
      </c>
      <c r="N37" s="372" cm="1">
        <f t="array" ref="N37">SUMPRODUCT((Table8[B3])*(Table8[Adjusted Total]/Table8[BER Total])*(Table8[Archetype]=N33)*(Table8[County]=N32))</f>
        <v>3901.0691636529646</v>
      </c>
      <c r="O37" s="789" cm="1">
        <f t="array" ref="O37">SUMPRODUCT((Table8[B3])*(Table8[Adjusted Total]/Table8[BER Total])*(Table8[Archetype]=O33)*(Table8[County]=O32))</f>
        <v>661.94047238623727</v>
      </c>
      <c r="P37" s="312" cm="1">
        <f t="array" ref="P37">SUMPRODUCT((Table8[B3])*(Table8[Adjusted Total]/Table8[BER Total])*(Table8[Archetype]=P33)*(Table8[County]=P32))</f>
        <v>2057.6079575477916</v>
      </c>
      <c r="Q37" s="372" cm="1">
        <f t="array" ref="Q37">SUMPRODUCT((Table8[B3])*(Table8[Adjusted Total]/Table8[BER Total])*(Table8[Archetype]=Q33)*(Table8[County]=Q32))</f>
        <v>2835.6539585465612</v>
      </c>
      <c r="R37" s="789" cm="1">
        <f t="array" ref="R37">SUMPRODUCT((Table8[B3])*(Table8[Adjusted Total]/Table8[BER Total])*(Table8[Archetype]=R33)*(Table8[County]=R32))</f>
        <v>159.07066953867243</v>
      </c>
      <c r="S37" s="312" cm="1">
        <f t="array" ref="S37">SUMPRODUCT((Table8[B3])*(Table8[Adjusted Total]/Table8[BER Total])*(Table8[Archetype]=S33)*(Table8[County]=S32))</f>
        <v>982.65209347494658</v>
      </c>
      <c r="T37" s="372" cm="1">
        <f t="array" ref="T37">SUMPRODUCT((Table8[B3])*(Table8[Adjusted Total]/Table8[BER Total])*(Table8[Archetype]=T33)*(Table8[County]=T32))</f>
        <v>1277.1023496760631</v>
      </c>
      <c r="U37" s="789" cm="1">
        <f t="array" ref="U37">SUMPRODUCT((Table8[B3])*(Table8[Adjusted Total]/Table8[BER Total])*(Table8[Archetype]=U33)*(Table8[County]=U32))</f>
        <v>153.73930122755522</v>
      </c>
      <c r="V37" s="312" cm="1">
        <f t="array" ref="V37">SUMPRODUCT((Table8[B3])*(Table8[Adjusted Total]/Table8[BER Total])*(Table8[Archetype]=V33)*(Table8[County]=V32))</f>
        <v>1063.2332512555067</v>
      </c>
      <c r="W37" s="372" cm="1">
        <f t="array" ref="W37">SUMPRODUCT((Table8[B3])*(Table8[Adjusted Total]/Table8[BER Total])*(Table8[Archetype]=W33)*(Table8[County]=W32))</f>
        <v>1199.9060963499453</v>
      </c>
      <c r="X37" s="789" cm="1">
        <f t="array" ref="X37">SUMPRODUCT((Table8[B3])*(Table8[Adjusted Total]/Table8[BER Total])*(Table8[Archetype]=X33)*(Table8[County]=X32))</f>
        <v>14.341316304656168</v>
      </c>
      <c r="Y37" s="312" cm="1">
        <f t="array" ref="Y37">SUMPRODUCT((Table8[B3])*(Table8[Adjusted Total]/Table8[BER Total])*(Table8[Archetype]=Y33)*(Table8[County]=Y32))</f>
        <v>353.56926964647113</v>
      </c>
      <c r="Z37" s="372" cm="1">
        <f t="array" ref="Z37">SUMPRODUCT((Table8[B3])*(Table8[Adjusted Total]/Table8[BER Total])*(Table8[Archetype]=Z33)*(Table8[County]=Z32))</f>
        <v>691.69272996871621</v>
      </c>
      <c r="AA37" s="789" cm="1">
        <f t="array" ref="AA37">SUMPRODUCT((Table8[B3])*(Table8[Adjusted Total]/Table8[BER Total])*(Table8[Archetype]=AA33)*(Table8[County]=AA32))</f>
        <v>366.12169034167408</v>
      </c>
      <c r="AB37" s="312" cm="1">
        <f t="array" ref="AB37">SUMPRODUCT((Table8[B3])*(Table8[Adjusted Total]/Table8[BER Total])*(Table8[Archetype]=AB33)*(Table8[County]=AB32))</f>
        <v>2100.0746867529638</v>
      </c>
      <c r="AC37" s="372" cm="1">
        <f t="array" ref="AC37">SUMPRODUCT((Table8[B3])*(Table8[Adjusted Total]/Table8[BER Total])*(Table8[Archetype]=AC33)*(Table8[County]=AC32))</f>
        <v>1609.3398180280287</v>
      </c>
      <c r="AD37" s="789" cm="1">
        <f t="array" ref="AD37">SUMPRODUCT((Table8[B3])*(Table8[Adjusted Total]/Table8[BER Total])*(Table8[Archetype]=AD33)*(Table8[County]=AD32))</f>
        <v>647.12715505494918</v>
      </c>
      <c r="AE37" s="312" cm="1">
        <f t="array" ref="AE37">SUMPRODUCT((Table8[B3])*(Table8[Adjusted Total]/Table8[BER Total])*(Table8[Archetype]=AE33)*(Table8[County]=AE32))</f>
        <v>2055.6315151883741</v>
      </c>
      <c r="AF37" s="372" cm="1">
        <f t="array" ref="AF37">SUMPRODUCT((Table8[B3])*(Table8[Adjusted Total]/Table8[BER Total])*(Table8[Archetype]=AF33)*(Table8[County]=AF32))</f>
        <v>2726.7373820649509</v>
      </c>
      <c r="AG37" s="789" cm="1">
        <f t="array" ref="AG37">SUMPRODUCT((Table8[B3])*(Table8[Adjusted Total]/Table8[BER Total])*(Table8[Archetype]=AG33)*(Table8[County]=AG32))</f>
        <v>64.659485402562993</v>
      </c>
      <c r="AH37" s="312" cm="1">
        <f t="array" ref="AH37">SUMPRODUCT((Table8[B3])*(Table8[Adjusted Total]/Table8[BER Total])*(Table8[Archetype]=AH33)*(Table8[County]=AH32))</f>
        <v>393.45859752736573</v>
      </c>
      <c r="AI37" s="372" cm="1">
        <f t="array" ref="AI37">SUMPRODUCT((Table8[B3])*(Table8[Adjusted Total]/Table8[BER Total])*(Table8[Archetype]=AI33)*(Table8[County]=AI32))</f>
        <v>894.87308961200461</v>
      </c>
      <c r="AJ37" s="789" cm="1">
        <f t="array" ref="AJ37">SUMPRODUCT((Table8[B3])*(Table8[Adjusted Total]/Table8[BER Total])*(Table8[Archetype]=AJ33)*(Table8[County]=AJ32))</f>
        <v>237.86306392469893</v>
      </c>
      <c r="AK37" s="312" cm="1">
        <f t="array" ref="AK37">SUMPRODUCT((Table8[B3])*(Table8[Adjusted Total]/Table8[BER Total])*(Table8[Archetype]=AK33)*(Table8[County]=AK32))</f>
        <v>962.79999580047343</v>
      </c>
      <c r="AL37" s="372" cm="1">
        <f t="array" ref="AL37">SUMPRODUCT((Table8[B3])*(Table8[Adjusted Total]/Table8[BER Total])*(Table8[Archetype]=AL33)*(Table8[County]=AL32))</f>
        <v>1128.2824982154473</v>
      </c>
      <c r="AM37" s="789" cm="1">
        <f t="array" ref="AM37">SUMPRODUCT((Table8[B3])*(Table8[Adjusted Total]/Table8[BER Total])*(Table8[Archetype]=AM33)*(Table8[County]=AM32))</f>
        <v>136.53513398932691</v>
      </c>
      <c r="AN37" s="312" cm="1">
        <f t="array" ref="AN37">SUMPRODUCT((Table8[B3])*(Table8[Adjusted Total]/Table8[BER Total])*(Table8[Archetype]=AN33)*(Table8[County]=AN32))</f>
        <v>585.72972482490388</v>
      </c>
      <c r="AO37" s="372" cm="1">
        <f t="array" ref="AO37">SUMPRODUCT((Table8[B3])*(Table8[Adjusted Total]/Table8[BER Total])*(Table8[Archetype]=AO33)*(Table8[County]=AO32))</f>
        <v>2208.1260577180551</v>
      </c>
      <c r="AP37" s="789" cm="1">
        <f t="array" ref="AP37">SUMPRODUCT((Table8[B3])*(Table8[Adjusted Total]/Table8[BER Total])*(Table8[Archetype]=AP33)*(Table8[County]=AP32))</f>
        <v>539.41710180004213</v>
      </c>
      <c r="AQ37" s="312" cm="1">
        <f t="array" ref="AQ37">SUMPRODUCT((Table8[B3])*(Table8[Adjusted Total]/Table8[BER Total])*(Table8[Archetype]=AQ33)*(Table8[County]=AQ32))</f>
        <v>1249.9822725160652</v>
      </c>
      <c r="AR37" s="372" cm="1">
        <f t="array" ref="AR37">SUMPRODUCT((Table8[B3])*(Table8[Adjusted Total]/Table8[BER Total])*(Table8[Archetype]=AR33)*(Table8[County]=AR32))</f>
        <v>1629.7193198225518</v>
      </c>
      <c r="AS37" s="789" cm="1">
        <f t="array" ref="AS37">SUMPRODUCT((Table8[B3])*(Table8[Adjusted Total]/Table8[BER Total])*(Table8[Archetype]=AS33)*(Table8[County]=AS32))</f>
        <v>180.01626069989271</v>
      </c>
      <c r="AT37" s="312" cm="1">
        <f t="array" ref="AT37">SUMPRODUCT((Table8[B3])*(Table8[Adjusted Total]/Table8[BER Total])*(Table8[Archetype]=AT33)*(Table8[County]=AT32))</f>
        <v>759.68452468732164</v>
      </c>
      <c r="AU37" s="372" cm="1">
        <f t="array" ref="AU37">SUMPRODUCT((Table8[B3])*(Table8[Adjusted Total]/Table8[BER Total])*(Table8[Archetype]=AU33)*(Table8[County]=AU32))</f>
        <v>1749.369724138227</v>
      </c>
      <c r="AV37" s="789" cm="1">
        <f t="array" ref="AV37">SUMPRODUCT((Table8[B3])*(Table8[Adjusted Total]/Table8[BER Total])*(Table8[Archetype]=AV33)*(Table8[County]=AV32))</f>
        <v>2390.2290372147077</v>
      </c>
      <c r="AW37" s="312" cm="1">
        <f t="array" ref="AW37">SUMPRODUCT((Table8[B3])*(Table8[Adjusted Total]/Table8[BER Total])*(Table8[Archetype]=AW33)*(Table8[County]=AW32))</f>
        <v>9499.0443010522704</v>
      </c>
      <c r="AX37" s="372" cm="1">
        <f t="array" ref="AX37">SUMPRODUCT((Table8[B3])*(Table8[Adjusted Total]/Table8[BER Total])*(Table8[Archetype]=AX33)*(Table8[County]=AX32))</f>
        <v>9133.4387161390205</v>
      </c>
      <c r="AY37" s="789" cm="1">
        <f t="array" ref="AY37">SUMPRODUCT((Table8[B3])*(Table8[Adjusted Total]/Table8[BER Total])*(Table8[Archetype]=AY33)*(Table8[County]=AY32))</f>
        <v>167.91637258064168</v>
      </c>
      <c r="AZ37" s="312" cm="1">
        <f t="array" ref="AZ37">SUMPRODUCT((Table8[B3])*(Table8[Adjusted Total]/Table8[BER Total])*(Table8[Archetype]=AZ33)*(Table8[County]=AZ32))</f>
        <v>1078.7361554457891</v>
      </c>
      <c r="BA37" s="372" cm="1">
        <f t="array" ref="BA37">SUMPRODUCT((Table8[B3])*(Table8[Adjusted Total]/Table8[BER Total])*(Table8[Archetype]=BA33)*(Table8[County]=BA32))</f>
        <v>2871.4980882193213</v>
      </c>
      <c r="BB37" s="789" cm="1">
        <f t="array" ref="BB37">SUMPRODUCT((Table8[B3])*(Table8[Adjusted Total]/Table8[BER Total])*(Table8[Archetype]=BB33)*(Table8[County]=BB32))</f>
        <v>481.84478817642525</v>
      </c>
      <c r="BC37" s="312" cm="1">
        <f t="array" ref="BC37">SUMPRODUCT((Table8[B3])*(Table8[Adjusted Total]/Table8[BER Total])*(Table8[Archetype]=BC33)*(Table8[County]=BC32))</f>
        <v>1638.823986377698</v>
      </c>
      <c r="BD37" s="372" cm="1">
        <f t="array" ref="BD37">SUMPRODUCT((Table8[B3])*(Table8[Adjusted Total]/Table8[BER Total])*(Table8[Archetype]=BD33)*(Table8[County]=BD32))</f>
        <v>2137.0719233217269</v>
      </c>
      <c r="BE37" s="789" cm="1">
        <f t="array" ref="BE37">SUMPRODUCT((Table8[B3])*(Table8[Adjusted Total]/Table8[BER Total])*(Table8[Archetype]=BE33)*(Table8[County]=BE32))</f>
        <v>73.035164047232357</v>
      </c>
      <c r="BF37" s="312" cm="1">
        <f t="array" ref="BF37">SUMPRODUCT((Table8[B3])*(Table8[Adjusted Total]/Table8[BER Total])*(Table8[Archetype]=BF33)*(Table8[County]=BF32))</f>
        <v>1076.6825098620093</v>
      </c>
      <c r="BG37" s="372" cm="1">
        <f t="array" ref="BG37">SUMPRODUCT((Table8[B3])*(Table8[Adjusted Total]/Table8[BER Total])*(Table8[Archetype]=BG33)*(Table8[County]=BG32))</f>
        <v>2069.8544684520375</v>
      </c>
      <c r="BH37" s="789" cm="1">
        <f t="array" ref="BH37">SUMPRODUCT((Table8[B3])*(Table8[Adjusted Total]/Table8[BER Total])*(Table8[Archetype]=BH33)*(Table8[County]=BH32))</f>
        <v>140.29885528540694</v>
      </c>
      <c r="BI37" s="312" cm="1">
        <f t="array" ref="BI37">SUMPRODUCT((Table8[B3])*(Table8[Adjusted Total]/Table8[BER Total])*(Table8[Archetype]=BI33)*(Table8[County]=BI32))</f>
        <v>1211.2343269257055</v>
      </c>
      <c r="BJ37" s="372" cm="1">
        <f t="array" ref="BJ37">SUMPRODUCT((Table8[B3])*(Table8[Adjusted Total]/Table8[BER Total])*(Table8[Archetype]=BJ33)*(Table8[County]=BJ32))</f>
        <v>1501.7394376423981</v>
      </c>
      <c r="BK37" s="789" cm="1">
        <f t="array" ref="BK37">SUMPRODUCT((Table8[B3])*(Table8[Adjusted Total]/Table8[BER Total])*(Table8[Archetype]=BK33)*(Table8[County]=BK32))</f>
        <v>574.83194900368778</v>
      </c>
      <c r="BL37" s="312" cm="1">
        <f t="array" ref="BL37">SUMPRODUCT((Table8[B3])*(Table8[Adjusted Total]/Table8[BER Total])*(Table8[Archetype]=BL33)*(Table8[County]=BL32))</f>
        <v>1354.2926158604225</v>
      </c>
      <c r="BM37" s="372" cm="1">
        <f t="array" ref="BM37">SUMPRODUCT((Table8[B3])*(Table8[Adjusted Total]/Table8[BER Total])*(Table8[Archetype]=BM33)*(Table8[County]=BM32))</f>
        <v>4503.2209572205329</v>
      </c>
      <c r="BN37" s="789" cm="1">
        <f t="array" ref="BN37">SUMPRODUCT((Table8[B3])*(Table8[Adjusted Total]/Table8[BER Total])*(Table8[Archetype]=BN33)*(Table8[County]=BN32))</f>
        <v>13.269385719357823</v>
      </c>
      <c r="BO37" s="312" cm="1">
        <f t="array" ref="BO37">SUMPRODUCT((Table8[B3])*(Table8[Adjusted Total]/Table8[BER Total])*(Table8[Archetype]=BO33)*(Table8[County]=BO32))</f>
        <v>216.41493613571353</v>
      </c>
      <c r="BP37" s="372" cm="1">
        <f t="array" ref="BP37">SUMPRODUCT((Table8[B3])*(Table8[Adjusted Total]/Table8[BER Total])*(Table8[Archetype]=BP33)*(Table8[County]=BP32))</f>
        <v>583.37564782464801</v>
      </c>
      <c r="BQ37" s="789" cm="1">
        <f t="array" ref="BQ37">SUMPRODUCT((Table8[B3])*(Table8[Adjusted Total]/Table8[BER Total])*(Table8[Archetype]=BQ33)*(Table8[County]=BQ32))</f>
        <v>92.258244481219634</v>
      </c>
      <c r="BR37" s="312" cm="1">
        <f t="array" ref="BR37">SUMPRODUCT((Table8[B3])*(Table8[Adjusted Total]/Table8[BER Total])*(Table8[Archetype]=BR33)*(Table8[County]=BR32))</f>
        <v>526.81170530968484</v>
      </c>
      <c r="BS37" s="372" cm="1">
        <f t="array" ref="BS37">SUMPRODUCT((Table8[B3])*(Table8[Adjusted Total]/Table8[BER Total])*(Table8[Archetype]=BS33)*(Table8[County]=BS32))</f>
        <v>1888.8384607125681</v>
      </c>
      <c r="BT37" s="789" cm="1">
        <f t="array" ref="BT37">SUMPRODUCT((Table8[B3])*(Table8[Adjusted Total]/Table8[BER Total])*(Table8[Archetype]=BT33)*(Table8[County]=BT32))</f>
        <v>23.033394922779401</v>
      </c>
      <c r="BU37" s="312" cm="1">
        <f t="array" ref="BU37">SUMPRODUCT((Table8[B3])*(Table8[Adjusted Total]/Table8[BER Total])*(Table8[Archetype]=BU33)*(Table8[County]=BU32))</f>
        <v>168.44768002127503</v>
      </c>
      <c r="BV37" s="372" cm="1">
        <f t="array" ref="BV37">SUMPRODUCT((Table8[B3])*(Table8[Adjusted Total]/Table8[BER Total])*(Table8[Archetype]=BV33)*(Table8[County]=BV32))</f>
        <v>1110.2054092637097</v>
      </c>
      <c r="BW37" s="789" cm="1">
        <f t="array" ref="BW37">SUMPRODUCT((Table8[B3])*(Table8[Adjusted Total]/Table8[BER Total])*(Table8[Archetype]=BW33)*(Table8[County]=BW32))</f>
        <v>101.83078911198507</v>
      </c>
      <c r="BX37" s="312" cm="1">
        <f t="array" ref="BX37">SUMPRODUCT((Table8[B3])*(Table8[Adjusted Total]/Table8[BER Total])*(Table8[Archetype]=BX33)*(Table8[County]=BX32))</f>
        <v>616.30196908384278</v>
      </c>
      <c r="BY37" s="372" cm="1">
        <f t="array" ref="BY37">SUMPRODUCT((Table8[B3])*(Table8[Adjusted Total]/Table8[BER Total])*(Table8[Archetype]=BY33)*(Table8[County]=BY32))</f>
        <v>1011.63071980571</v>
      </c>
      <c r="BZ37" s="789" cm="1">
        <f t="array" ref="BZ37">SUMPRODUCT((Table8[B3])*(Table8[Adjusted Total]/Table8[BER Total])*(Table8[Archetype]=BZ33)*(Table8[County]=BZ32))</f>
        <v>88.79282978520564</v>
      </c>
      <c r="CA37" s="312" cm="1">
        <f t="array" ref="CA37">SUMPRODUCT((Table8[B3])*(Table8[Adjusted Total]/Table8[BER Total])*(Table8[Archetype]=CA33)*(Table8[County]=CA32))</f>
        <v>781.12306797646693</v>
      </c>
      <c r="CB37" s="372" cm="1">
        <f t="array" ref="CB37">SUMPRODUCT((Table8[B3])*(Table8[Adjusted Total]/Table8[BER Total])*(Table8[Archetype]=CB33)*(Table8[County]=CB32))</f>
        <v>1531.3487981400006</v>
      </c>
      <c r="CC37" s="789" cm="1">
        <f t="array" ref="CC37">SUMPRODUCT((Table8[B3])*(Table8[Adjusted Total]/Table8[BER Total])*(Table8[Archetype]=CC33)*(Table8[County]=CC32))</f>
        <v>154.2012426462006</v>
      </c>
      <c r="CD37" s="312" cm="1">
        <f t="array" ref="CD37">SUMPRODUCT((Table8[B3])*(Table8[Adjusted Total]/Table8[BER Total])*(Table8[Archetype]=CD33)*(Table8[County]=CD32))</f>
        <v>804.95500060193604</v>
      </c>
      <c r="CE37" s="372" cm="1">
        <f t="array" ref="CE37">SUMPRODUCT((Table8[B3])*(Table8[Adjusted Total]/Table8[BER Total])*(Table8[Archetype]=CE33)*(Table8[County]=CE32))</f>
        <v>2521.4187292030347</v>
      </c>
      <c r="CF37" s="789" cm="1">
        <f t="array" ref="CF37">SUMPRODUCT((Table8[B3])*(Table8[Adjusted Total]/Table8[BER Total])*(Table8[Archetype]=CF33)*(Table8[County]=CF32))</f>
        <v>70.320661080815995</v>
      </c>
      <c r="CG37" s="312" cm="1">
        <f t="array" ref="CG37">SUMPRODUCT((Table8[B3])*(Table8[Adjusted Total]/Table8[BER Total])*(Table8[Archetype]=CG33)*(Table8[County]=CG32))</f>
        <v>542.62690504020725</v>
      </c>
      <c r="CH37" s="372" cm="1">
        <f t="array" ref="CH37">SUMPRODUCT((Table8[B3])*(Table8[Adjusted Total]/Table8[BER Total])*(Table8[Archetype]=CH33)*(Table8[County]=CH32))</f>
        <v>1098.6055179057373</v>
      </c>
    </row>
    <row r="38" spans="2:86" ht="14.5">
      <c r="C38" s="261"/>
      <c r="H38" s="776" t="s">
        <v>56</v>
      </c>
      <c r="I38" s="790" cm="1">
        <f t="array" ref="I38">SUMPRODUCT((Table8[C])*(Table8[Adjusted Total]/Table8[BER Total])*(Table8[Archetype]=I33)*(Table8[County]=I32))</f>
        <v>487.85571268141655</v>
      </c>
      <c r="J38" s="314" cm="1">
        <f t="array" ref="J38">SUMPRODUCT((Table8[C])*(Table8[Adjusted Total]/Table8[BER Total])*(Table8[Archetype]=J33)*(Table8[County]=J32))</f>
        <v>3870.1530336112205</v>
      </c>
      <c r="K38" s="373" cm="1">
        <f t="array" ref="K38">SUMPRODUCT((Table8[C])*(Table8[Adjusted Total]/Table8[BER Total])*(Table8[Archetype]=K33)*(Table8[County]=K32))</f>
        <v>3798.2843307305311</v>
      </c>
      <c r="L38" s="790" cm="1">
        <f t="array" ref="L38">SUMPRODUCT((Table8[C])*(Table8[Adjusted Total]/Table8[BER Total])*(Table8[Archetype]=L33)*(Table8[County]=L32))</f>
        <v>41002.769011842538</v>
      </c>
      <c r="M38" s="314" cm="1">
        <f t="array" ref="M38">SUMPRODUCT((Table8[C])*(Table8[Adjusted Total]/Table8[BER Total])*(Table8[Archetype]=M33)*(Table8[County]=M32))</f>
        <v>99526.965485677618</v>
      </c>
      <c r="N38" s="373" cm="1">
        <f t="array" ref="N38">SUMPRODUCT((Table8[C])*(Table8[Adjusted Total]/Table8[BER Total])*(Table8[Archetype]=N33)*(Table8[County]=N32))</f>
        <v>17917.844486683647</v>
      </c>
      <c r="O38" s="790" cm="1">
        <f t="array" ref="O38">SUMPRODUCT((Table8[C])*(Table8[Adjusted Total]/Table8[BER Total])*(Table8[Archetype]=O33)*(Table8[County]=O32))</f>
        <v>2941.1814129246004</v>
      </c>
      <c r="P38" s="314" cm="1">
        <f t="array" ref="P38">SUMPRODUCT((Table8[C])*(Table8[Adjusted Total]/Table8[BER Total])*(Table8[Archetype]=P33)*(Table8[County]=P32))</f>
        <v>14284.477268340219</v>
      </c>
      <c r="Q38" s="373" cm="1">
        <f t="array" ref="Q38">SUMPRODUCT((Table8[C])*(Table8[Adjusted Total]/Table8[BER Total])*(Table8[Archetype]=Q33)*(Table8[County]=Q32))</f>
        <v>12209.218011072815</v>
      </c>
      <c r="R38" s="790" cm="1">
        <f t="array" ref="R38">SUMPRODUCT((Table8[C])*(Table8[Adjusted Total]/Table8[BER Total])*(Table8[Archetype]=R33)*(Table8[County]=R32))</f>
        <v>722.44595748813731</v>
      </c>
      <c r="S38" s="314" cm="1">
        <f t="array" ref="S38">SUMPRODUCT((Table8[C])*(Table8[Adjusted Total]/Table8[BER Total])*(Table8[Archetype]=S33)*(Table8[County]=S32))</f>
        <v>5082.5490458545755</v>
      </c>
      <c r="T38" s="373" cm="1">
        <f t="array" ref="T38">SUMPRODUCT((Table8[C])*(Table8[Adjusted Total]/Table8[BER Total])*(Table8[Archetype]=T33)*(Table8[County]=T32))</f>
        <v>7320.657731203225</v>
      </c>
      <c r="U38" s="790" cm="1">
        <f t="array" ref="U38">SUMPRODUCT((Table8[C])*(Table8[Adjusted Total]/Table8[BER Total])*(Table8[Archetype]=U33)*(Table8[County]=U32))</f>
        <v>466.12447712609827</v>
      </c>
      <c r="V38" s="314" cm="1">
        <f t="array" ref="V38">SUMPRODUCT((Table8[C])*(Table8[Adjusted Total]/Table8[BER Total])*(Table8[Archetype]=V33)*(Table8[County]=V32))</f>
        <v>5056.6227858532093</v>
      </c>
      <c r="W38" s="373" cm="1">
        <f t="array" ref="W38">SUMPRODUCT((Table8[C])*(Table8[Adjusted Total]/Table8[BER Total])*(Table8[Archetype]=W33)*(Table8[County]=W32))</f>
        <v>6229.936390525153</v>
      </c>
      <c r="X38" s="790" cm="1">
        <f t="array" ref="X38">SUMPRODUCT((Table8[C])*(Table8[Adjusted Total]/Table8[BER Total])*(Table8[Archetype]=X33)*(Table8[County]=X32))</f>
        <v>190.02244103669423</v>
      </c>
      <c r="Y38" s="314" cm="1">
        <f t="array" ref="Y38">SUMPRODUCT((Table8[C])*(Table8[Adjusted Total]/Table8[BER Total])*(Table8[Archetype]=Y33)*(Table8[County]=Y32))</f>
        <v>1937.1612097532011</v>
      </c>
      <c r="Z38" s="373" cm="1">
        <f t="array" ref="Z38">SUMPRODUCT((Table8[C])*(Table8[Adjusted Total]/Table8[BER Total])*(Table8[Archetype]=Z33)*(Table8[County]=Z32))</f>
        <v>3343.6266328989677</v>
      </c>
      <c r="AA38" s="790" cm="1">
        <f t="array" ref="AA38">SUMPRODUCT((Table8[C])*(Table8[Adjusted Total]/Table8[BER Total])*(Table8[Archetype]=AA33)*(Table8[County]=AA32))</f>
        <v>1203.5567507127421</v>
      </c>
      <c r="AB38" s="314" cm="1">
        <f t="array" ref="AB38">SUMPRODUCT((Table8[C])*(Table8[Adjusted Total]/Table8[BER Total])*(Table8[Archetype]=AB33)*(Table8[County]=AB32))</f>
        <v>10782.545631058267</v>
      </c>
      <c r="AC38" s="373" cm="1">
        <f t="array" ref="AC38">SUMPRODUCT((Table8[C])*(Table8[Adjusted Total]/Table8[BER Total])*(Table8[Archetype]=AC33)*(Table8[County]=AC32))</f>
        <v>7274.9534818222837</v>
      </c>
      <c r="AD38" s="790" cm="1">
        <f t="array" ref="AD38">SUMPRODUCT((Table8[C])*(Table8[Adjusted Total]/Table8[BER Total])*(Table8[Archetype]=AD33)*(Table8[County]=AD32))</f>
        <v>2294.6779119786306</v>
      </c>
      <c r="AE38" s="314" cm="1">
        <f t="array" ref="AE38">SUMPRODUCT((Table8[C])*(Table8[Adjusted Total]/Table8[BER Total])*(Table8[Archetype]=AE33)*(Table8[County]=AE32))</f>
        <v>11294.337683450085</v>
      </c>
      <c r="AF38" s="373" cm="1">
        <f t="array" ref="AF38">SUMPRODUCT((Table8[C])*(Table8[Adjusted Total]/Table8[BER Total])*(Table8[Archetype]=AF33)*(Table8[County]=AF32))</f>
        <v>13295.808582547141</v>
      </c>
      <c r="AG38" s="790" cm="1">
        <f t="array" ref="AG38">SUMPRODUCT((Table8[C])*(Table8[Adjusted Total]/Table8[BER Total])*(Table8[Archetype]=AG33)*(Table8[County]=AG32))</f>
        <v>321.72036639324023</v>
      </c>
      <c r="AH38" s="314" cm="1">
        <f t="array" ref="AH38">SUMPRODUCT((Table8[C])*(Table8[Adjusted Total]/Table8[BER Total])*(Table8[Archetype]=AH33)*(Table8[County]=AH32))</f>
        <v>3698.1324911826923</v>
      </c>
      <c r="AI38" s="373" cm="1">
        <f t="array" ref="AI38">SUMPRODUCT((Table8[C])*(Table8[Adjusted Total]/Table8[BER Total])*(Table8[Archetype]=AI33)*(Table8[County]=AI32))</f>
        <v>5640.0119448609003</v>
      </c>
      <c r="AJ38" s="790" cm="1">
        <f t="array" ref="AJ38">SUMPRODUCT((Table8[C])*(Table8[Adjusted Total]/Table8[BER Total])*(Table8[Archetype]=AJ33)*(Table8[County]=AJ32))</f>
        <v>875.70815154400327</v>
      </c>
      <c r="AK38" s="314" cm="1">
        <f t="array" ref="AK38">SUMPRODUCT((Table8[C])*(Table8[Adjusted Total]/Table8[BER Total])*(Table8[Archetype]=AK33)*(Table8[County]=AK32))</f>
        <v>5092.0649597389656</v>
      </c>
      <c r="AL38" s="373" cm="1">
        <f t="array" ref="AL38">SUMPRODUCT((Table8[C])*(Table8[Adjusted Total]/Table8[BER Total])*(Table8[Archetype]=AL33)*(Table8[County]=AL32))</f>
        <v>5945.5087815282513</v>
      </c>
      <c r="AM38" s="790" cm="1">
        <f t="array" ref="AM38">SUMPRODUCT((Table8[C])*(Table8[Adjusted Total]/Table8[BER Total])*(Table8[Archetype]=AM33)*(Table8[County]=AM32))</f>
        <v>735.56765878934675</v>
      </c>
      <c r="AN38" s="314" cm="1">
        <f t="array" ref="AN38">SUMPRODUCT((Table8[C])*(Table8[Adjusted Total]/Table8[BER Total])*(Table8[Archetype]=AN33)*(Table8[County]=AN32))</f>
        <v>6973.8445361965114</v>
      </c>
      <c r="AO38" s="373" cm="1">
        <f t="array" ref="AO38">SUMPRODUCT((Table8[C])*(Table8[Adjusted Total]/Table8[BER Total])*(Table8[Archetype]=AO33)*(Table8[County]=AO32))</f>
        <v>13500.846847612294</v>
      </c>
      <c r="AP38" s="790" cm="1">
        <f t="array" ref="AP38">SUMPRODUCT((Table8[C])*(Table8[Adjusted Total]/Table8[BER Total])*(Table8[Archetype]=AP33)*(Table8[County]=AP32))</f>
        <v>1551.5192928063066</v>
      </c>
      <c r="AQ38" s="314" cm="1">
        <f t="array" ref="AQ38">SUMPRODUCT((Table8[C])*(Table8[Adjusted Total]/Table8[BER Total])*(Table8[Archetype]=AQ33)*(Table8[County]=AQ32))</f>
        <v>7934.9703376848565</v>
      </c>
      <c r="AR38" s="373" cm="1">
        <f t="array" ref="AR38">SUMPRODUCT((Table8[C])*(Table8[Adjusted Total]/Table8[BER Total])*(Table8[Archetype]=AR33)*(Table8[County]=AR32))</f>
        <v>7600.9899466321913</v>
      </c>
      <c r="AS38" s="790" cm="1">
        <f t="array" ref="AS38">SUMPRODUCT((Table8[C])*(Table8[Adjusted Total]/Table8[BER Total])*(Table8[Archetype]=AS33)*(Table8[County]=AS32))</f>
        <v>766.35493840811478</v>
      </c>
      <c r="AT38" s="314" cm="1">
        <f t="array" ref="AT38">SUMPRODUCT((Table8[C])*(Table8[Adjusted Total]/Table8[BER Total])*(Table8[Archetype]=AT33)*(Table8[County]=AT32))</f>
        <v>5717.1966267777616</v>
      </c>
      <c r="AU38" s="373" cm="1">
        <f t="array" ref="AU38">SUMPRODUCT((Table8[C])*(Table8[Adjusted Total]/Table8[BER Total])*(Table8[Archetype]=AU33)*(Table8[County]=AU32))</f>
        <v>9997.1043839876638</v>
      </c>
      <c r="AV38" s="790" cm="1">
        <f t="array" ref="AV38">SUMPRODUCT((Table8[C])*(Table8[Adjusted Total]/Table8[BER Total])*(Table8[Archetype]=AV33)*(Table8[County]=AV32))</f>
        <v>5822.435885228776</v>
      </c>
      <c r="AW38" s="314" cm="1">
        <f t="array" ref="AW38">SUMPRODUCT((Table8[C])*(Table8[Adjusted Total]/Table8[BER Total])*(Table8[Archetype]=AW33)*(Table8[County]=AW32))</f>
        <v>37779.503584921134</v>
      </c>
      <c r="AX38" s="373" cm="1">
        <f t="array" ref="AX38">SUMPRODUCT((Table8[C])*(Table8[Adjusted Total]/Table8[BER Total])*(Table8[Archetype]=AX33)*(Table8[County]=AX32))</f>
        <v>32856.408527906016</v>
      </c>
      <c r="AY38" s="790" cm="1">
        <f t="array" ref="AY38">SUMPRODUCT((Table8[C])*(Table8[Adjusted Total]/Table8[BER Total])*(Table8[Archetype]=AY33)*(Table8[County]=AY32))</f>
        <v>976.17055403223787</v>
      </c>
      <c r="AZ38" s="314" cm="1">
        <f t="array" ref="AZ38">SUMPRODUCT((Table8[C])*(Table8[Adjusted Total]/Table8[BER Total])*(Table8[Archetype]=AZ33)*(Table8[County]=AZ32))</f>
        <v>5806.5868480281106</v>
      </c>
      <c r="BA38" s="373" cm="1">
        <f t="array" ref="BA38">SUMPRODUCT((Table8[C])*(Table8[Adjusted Total]/Table8[BER Total])*(Table8[Archetype]=BA33)*(Table8[County]=BA32))</f>
        <v>12839.662515837317</v>
      </c>
      <c r="BB38" s="790" cm="1">
        <f t="array" ref="BB38">SUMPRODUCT((Table8[C])*(Table8[Adjusted Total]/Table8[BER Total])*(Table8[Archetype]=BB33)*(Table8[County]=BB32))</f>
        <v>3282.3317293793561</v>
      </c>
      <c r="BC38" s="314" cm="1">
        <f t="array" ref="BC38">SUMPRODUCT((Table8[C])*(Table8[Adjusted Total]/Table8[BER Total])*(Table8[Archetype]=BC33)*(Table8[County]=BC32))</f>
        <v>13074.429275474635</v>
      </c>
      <c r="BD38" s="373" cm="1">
        <f t="array" ref="BD38">SUMPRODUCT((Table8[C])*(Table8[Adjusted Total]/Table8[BER Total])*(Table8[Archetype]=BD33)*(Table8[County]=BD32))</f>
        <v>11450.551609613854</v>
      </c>
      <c r="BE38" s="790" cm="1">
        <f t="array" ref="BE38">SUMPRODUCT((Table8[C])*(Table8[Adjusted Total]/Table8[BER Total])*(Table8[Archetype]=BE33)*(Table8[County]=BE32))</f>
        <v>471.91952153596293</v>
      </c>
      <c r="BF38" s="314" cm="1">
        <f t="array" ref="BF38">SUMPRODUCT((Table8[C])*(Table8[Adjusted Total]/Table8[BER Total])*(Table8[Archetype]=BF33)*(Table8[County]=BF32))</f>
        <v>8277.629640867015</v>
      </c>
      <c r="BG38" s="373" cm="1">
        <f t="array" ref="BG38">SUMPRODUCT((Table8[C])*(Table8[Adjusted Total]/Table8[BER Total])*(Table8[Archetype]=BG33)*(Table8[County]=BG32))</f>
        <v>11709.614840856242</v>
      </c>
      <c r="BH38" s="790" cm="1">
        <f t="array" ref="BH38">SUMPRODUCT((Table8[C])*(Table8[Adjusted Total]/Table8[BER Total])*(Table8[Archetype]=BH33)*(Table8[County]=BH32))</f>
        <v>977.41535848833507</v>
      </c>
      <c r="BI38" s="314" cm="1">
        <f t="array" ref="BI38">SUMPRODUCT((Table8[C])*(Table8[Adjusted Total]/Table8[BER Total])*(Table8[Archetype]=BI33)*(Table8[County]=BI32))</f>
        <v>8588.2702567564265</v>
      </c>
      <c r="BJ38" s="373" cm="1">
        <f t="array" ref="BJ38">SUMPRODUCT((Table8[C])*(Table8[Adjusted Total]/Table8[BER Total])*(Table8[Archetype]=BJ33)*(Table8[County]=BJ32))</f>
        <v>7495.2407416381338</v>
      </c>
      <c r="BK38" s="790" cm="1">
        <f t="array" ref="BK38">SUMPRODUCT((Table8[C])*(Table8[Adjusted Total]/Table8[BER Total])*(Table8[Archetype]=BK33)*(Table8[County]=BK32))</f>
        <v>3049.1085990630399</v>
      </c>
      <c r="BL38" s="314" cm="1">
        <f t="array" ref="BL38">SUMPRODUCT((Table8[C])*(Table8[Adjusted Total]/Table8[BER Total])*(Table8[Archetype]=BL33)*(Table8[County]=BL32))</f>
        <v>12037.28070092471</v>
      </c>
      <c r="BM38" s="373" cm="1">
        <f t="array" ref="BM38">SUMPRODUCT((Table8[C])*(Table8[Adjusted Total]/Table8[BER Total])*(Table8[Archetype]=BM33)*(Table8[County]=BM32))</f>
        <v>20653.851295830013</v>
      </c>
      <c r="BN38" s="790" cm="1">
        <f t="array" ref="BN38">SUMPRODUCT((Table8[C])*(Table8[Adjusted Total]/Table8[BER Total])*(Table8[Archetype]=BN33)*(Table8[County]=BN32))</f>
        <v>199.04078579036732</v>
      </c>
      <c r="BO38" s="314" cm="1">
        <f t="array" ref="BO38">SUMPRODUCT((Table8[C])*(Table8[Adjusted Total]/Table8[BER Total])*(Table8[Archetype]=BO33)*(Table8[County]=BO32))</f>
        <v>1276.3266414268887</v>
      </c>
      <c r="BP38" s="373" cm="1">
        <f t="array" ref="BP38">SUMPRODUCT((Table8[C])*(Table8[Adjusted Total]/Table8[BER Total])*(Table8[Archetype]=BP33)*(Table8[County]=BP32))</f>
        <v>3292.441960898765</v>
      </c>
      <c r="BQ38" s="790" cm="1">
        <f t="array" ref="BQ38">SUMPRODUCT((Table8[C])*(Table8[Adjusted Total]/Table8[BER Total])*(Table8[Archetype]=BQ33)*(Table8[County]=BQ32))</f>
        <v>636.16879030333541</v>
      </c>
      <c r="BR38" s="314" cm="1">
        <f t="array" ref="BR38">SUMPRODUCT((Table8[C])*(Table8[Adjusted Total]/Table8[BER Total])*(Table8[Archetype]=BR33)*(Table8[County]=BR32))</f>
        <v>5233.9718499749242</v>
      </c>
      <c r="BS38" s="373" cm="1">
        <f t="array" ref="BS38">SUMPRODUCT((Table8[C])*(Table8[Adjusted Total]/Table8[BER Total])*(Table8[Archetype]=BS33)*(Table8[County]=BS32))</f>
        <v>11892.386359937071</v>
      </c>
      <c r="BT38" s="790" cm="1">
        <f t="array" ref="BT38">SUMPRODUCT((Table8[C])*(Table8[Adjusted Total]/Table8[BER Total])*(Table8[Archetype]=BT33)*(Table8[County]=BT32))</f>
        <v>212.41908651007671</v>
      </c>
      <c r="BU38" s="314" cm="1">
        <f t="array" ref="BU38">SUMPRODUCT((Table8[C])*(Table8[Adjusted Total]/Table8[BER Total])*(Table8[Archetype]=BU33)*(Table8[County]=BU32))</f>
        <v>2761.2825304422095</v>
      </c>
      <c r="BV38" s="373" cm="1">
        <f t="array" ref="BV38">SUMPRODUCT((Table8[C])*(Table8[Adjusted Total]/Table8[BER Total])*(Table8[Archetype]=BV33)*(Table8[County]=BV32))</f>
        <v>6409.9754419067876</v>
      </c>
      <c r="BW38" s="790" cm="1">
        <f t="array" ref="BW38">SUMPRODUCT((Table8[C])*(Table8[Adjusted Total]/Table8[BER Total])*(Table8[Archetype]=BW33)*(Table8[County]=BW32))</f>
        <v>434.53655698648799</v>
      </c>
      <c r="BX38" s="314" cm="1">
        <f t="array" ref="BX38">SUMPRODUCT((Table8[C])*(Table8[Adjusted Total]/Table8[BER Total])*(Table8[Archetype]=BX33)*(Table8[County]=BX32))</f>
        <v>3482.8577130908875</v>
      </c>
      <c r="BY38" s="373" cm="1">
        <f t="array" ref="BY38">SUMPRODUCT((Table8[C])*(Table8[Adjusted Total]/Table8[BER Total])*(Table8[Archetype]=BY33)*(Table8[County]=BY32))</f>
        <v>4693.2151961278159</v>
      </c>
      <c r="BZ38" s="790" cm="1">
        <f t="array" ref="BZ38">SUMPRODUCT((Table8[C])*(Table8[Adjusted Total]/Table8[BER Total])*(Table8[Archetype]=BZ33)*(Table8[County]=BZ32))</f>
        <v>367.85600911013768</v>
      </c>
      <c r="CA38" s="314" cm="1">
        <f t="array" ref="CA38">SUMPRODUCT((Table8[C])*(Table8[Adjusted Total]/Table8[BER Total])*(Table8[Archetype]=CA33)*(Table8[County]=CA32))</f>
        <v>3778.2751975879605</v>
      </c>
      <c r="CB38" s="373" cm="1">
        <f t="array" ref="CB38">SUMPRODUCT((Table8[C])*(Table8[Adjusted Total]/Table8[BER Total])*(Table8[Archetype]=CB33)*(Table8[County]=CB32))</f>
        <v>7070.2699829017047</v>
      </c>
      <c r="CC38" s="790" cm="1">
        <f t="array" ref="CC38">SUMPRODUCT((Table8[C])*(Table8[Adjusted Total]/Table8[BER Total])*(Table8[Archetype]=CC33)*(Table8[County]=CC32))</f>
        <v>897.79390162899017</v>
      </c>
      <c r="CD38" s="314" cm="1">
        <f t="array" ref="CD38">SUMPRODUCT((Table8[C])*(Table8[Adjusted Total]/Table8[BER Total])*(Table8[Archetype]=CD33)*(Table8[County]=CD32))</f>
        <v>7705.5235949737198</v>
      </c>
      <c r="CE38" s="373" cm="1">
        <f t="array" ref="CE38">SUMPRODUCT((Table8[C])*(Table8[Adjusted Total]/Table8[BER Total])*(Table8[Archetype]=CE33)*(Table8[County]=CE32))</f>
        <v>15493.76462103734</v>
      </c>
      <c r="CF38" s="790" cm="1">
        <f t="array" ref="CF38">SUMPRODUCT((Table8[C])*(Table8[Adjusted Total]/Table8[BER Total])*(Table8[Archetype]=CF33)*(Table8[County]=CF32))</f>
        <v>277.67645657552981</v>
      </c>
      <c r="CG38" s="314" cm="1">
        <f t="array" ref="CG38">SUMPRODUCT((Table8[C])*(Table8[Adjusted Total]/Table8[BER Total])*(Table8[Archetype]=CG33)*(Table8[County]=CG32))</f>
        <v>2515.9800830364279</v>
      </c>
      <c r="CH38" s="373" cm="1">
        <f t="array" ref="CH38">SUMPRODUCT((Table8[C])*(Table8[Adjusted Total]/Table8[BER Total])*(Table8[Archetype]=CH33)*(Table8[County]=CH32))</f>
        <v>4782.3911531211288</v>
      </c>
    </row>
    <row r="39" spans="2:86" ht="14.5">
      <c r="C39" s="261"/>
      <c r="H39" s="775" t="s">
        <v>58</v>
      </c>
      <c r="I39" s="789" cm="1">
        <f t="array" ref="I39">SUMPRODUCT((Table8[D])*(Table8[Adjusted Total]/Table8[BER Total])*(Table8[Archetype]=I33)*(Table8[County]=I32))</f>
        <v>346.00636143980904</v>
      </c>
      <c r="J39" s="312" cm="1">
        <f t="array" ref="J39">SUMPRODUCT((Table8[D])*(Table8[Adjusted Total]/Table8[BER Total])*(Table8[Archetype]=J33)*(Table8[County]=J32))</f>
        <v>2030.7052981593758</v>
      </c>
      <c r="K39" s="372" cm="1">
        <f t="array" ref="K39">SUMPRODUCT((Table8[D])*(Table8[Adjusted Total]/Table8[BER Total])*(Table8[Archetype]=K33)*(Table8[County]=K32))</f>
        <v>2577.0511797738641</v>
      </c>
      <c r="L39" s="789" cm="1">
        <f t="array" ref="L39">SUMPRODUCT((Table8[D])*(Table8[Adjusted Total]/Table8[BER Total])*(Table8[Archetype]=L33)*(Table8[County]=L32))</f>
        <v>25054.028103145396</v>
      </c>
      <c r="M39" s="312" cm="1">
        <f t="array" ref="M39">SUMPRODUCT((Table8[D])*(Table8[Adjusted Total]/Table8[BER Total])*(Table8[Archetype]=M33)*(Table8[County]=M32))</f>
        <v>72928.311473642054</v>
      </c>
      <c r="N39" s="372" cm="1">
        <f t="array" ref="N39">SUMPRODUCT((Table8[D])*(Table8[Adjusted Total]/Table8[BER Total])*(Table8[Archetype]=N33)*(Table8[County]=N32))</f>
        <v>12702.471895023944</v>
      </c>
      <c r="O39" s="789" cm="1">
        <f t="array" ref="O39">SUMPRODUCT((Table8[D])*(Table8[Adjusted Total]/Table8[BER Total])*(Table8[Archetype]=O33)*(Table8[County]=O32))</f>
        <v>1652.2313637925604</v>
      </c>
      <c r="P39" s="312" cm="1">
        <f t="array" ref="P39">SUMPRODUCT((Table8[D])*(Table8[Adjusted Total]/Table8[BER Total])*(Table8[Archetype]=P33)*(Table8[County]=P32))</f>
        <v>8027.5948112854776</v>
      </c>
      <c r="Q39" s="372" cm="1">
        <f t="array" ref="Q39">SUMPRODUCT((Table8[D])*(Table8[Adjusted Total]/Table8[BER Total])*(Table8[Archetype]=Q33)*(Table8[County]=Q32))</f>
        <v>6310.2899019493589</v>
      </c>
      <c r="R39" s="789" cm="1">
        <f t="array" ref="R39">SUMPRODUCT((Table8[D])*(Table8[Adjusted Total]/Table8[BER Total])*(Table8[Archetype]=R33)*(Table8[County]=R32))</f>
        <v>359.56599260304085</v>
      </c>
      <c r="S39" s="312" cm="1">
        <f t="array" ref="S39">SUMPRODUCT((Table8[D])*(Table8[Adjusted Total]/Table8[BER Total])*(Table8[Archetype]=S33)*(Table8[County]=S32))</f>
        <v>2961.5772005324134</v>
      </c>
      <c r="T39" s="372" cm="1">
        <f t="array" ref="T39">SUMPRODUCT((Table8[D])*(Table8[Adjusted Total]/Table8[BER Total])*(Table8[Archetype]=T33)*(Table8[County]=T32))</f>
        <v>5097.941346657728</v>
      </c>
      <c r="U39" s="789" cm="1">
        <f t="array" ref="U39">SUMPRODUCT((Table8[D])*(Table8[Adjusted Total]/Table8[BER Total])*(Table8[Archetype]=U33)*(Table8[County]=U32))</f>
        <v>390.89035099346489</v>
      </c>
      <c r="V39" s="312" cm="1">
        <f t="array" ref="V39">SUMPRODUCT((Table8[D])*(Table8[Adjusted Total]/Table8[BER Total])*(Table8[Archetype]=V33)*(Table8[County]=V32))</f>
        <v>1874.0828519604638</v>
      </c>
      <c r="W39" s="372" cm="1">
        <f t="array" ref="W39">SUMPRODUCT((Table8[D])*(Table8[Adjusted Total]/Table8[BER Total])*(Table8[Archetype]=W33)*(Table8[County]=W32))</f>
        <v>3686.4945404068148</v>
      </c>
      <c r="X39" s="789" cm="1">
        <f t="array" ref="X39">SUMPRODUCT((Table8[D])*(Table8[Adjusted Total]/Table8[BER Total])*(Table8[Archetype]=X33)*(Table8[County]=X32))</f>
        <v>266.50946132819377</v>
      </c>
      <c r="Y39" s="312" cm="1">
        <f t="array" ref="Y39">SUMPRODUCT((Table8[D])*(Table8[Adjusted Total]/Table8[BER Total])*(Table8[Archetype]=Y33)*(Table8[County]=Y32))</f>
        <v>1196.8236780051911</v>
      </c>
      <c r="Z39" s="372" cm="1">
        <f t="array" ref="Z39">SUMPRODUCT((Table8[D])*(Table8[Adjusted Total]/Table8[BER Total])*(Table8[Archetype]=Z33)*(Table8[County]=Z32))</f>
        <v>2141.8438974320866</v>
      </c>
      <c r="AA39" s="789" cm="1">
        <f t="array" ref="AA39">SUMPRODUCT((Table8[D])*(Table8[Adjusted Total]/Table8[BER Total])*(Table8[Archetype]=AA33)*(Table8[County]=AA32))</f>
        <v>517.76164417721816</v>
      </c>
      <c r="AB39" s="312" cm="1">
        <f t="array" ref="AB39">SUMPRODUCT((Table8[D])*(Table8[Adjusted Total]/Table8[BER Total])*(Table8[Archetype]=AB33)*(Table8[County]=AB32))</f>
        <v>4279.6116589506346</v>
      </c>
      <c r="AC39" s="372" cm="1">
        <f t="array" ref="AC39">SUMPRODUCT((Table8[D])*(Table8[Adjusted Total]/Table8[BER Total])*(Table8[Archetype]=AC33)*(Table8[County]=AC32))</f>
        <v>3911.4069227031468</v>
      </c>
      <c r="AD39" s="789" cm="1">
        <f t="array" ref="AD39">SUMPRODUCT((Table8[D])*(Table8[Adjusted Total]/Table8[BER Total])*(Table8[Archetype]=AD33)*(Table8[County]=AD32))</f>
        <v>1131.5980251906815</v>
      </c>
      <c r="AE39" s="312" cm="1">
        <f t="array" ref="AE39">SUMPRODUCT((Table8[D])*(Table8[Adjusted Total]/Table8[BER Total])*(Table8[Archetype]=AE33)*(Table8[County]=AE32))</f>
        <v>3375.889944943322</v>
      </c>
      <c r="AF39" s="372" cm="1">
        <f t="array" ref="AF39">SUMPRODUCT((Table8[D])*(Table8[Adjusted Total]/Table8[BER Total])*(Table8[Archetype]=AF33)*(Table8[County]=AF32))</f>
        <v>7222.8902174916138</v>
      </c>
      <c r="AG39" s="789" cm="1">
        <f t="array" ref="AG39">SUMPRODUCT((Table8[D])*(Table8[Adjusted Total]/Table8[BER Total])*(Table8[Archetype]=AG33)*(Table8[County]=AG32))</f>
        <v>365.87806374133203</v>
      </c>
      <c r="AH39" s="312" cm="1">
        <f t="array" ref="AH39">SUMPRODUCT((Table8[D])*(Table8[Adjusted Total]/Table8[BER Total])*(Table8[Archetype]=AH33)*(Table8[County]=AH32))</f>
        <v>1744.0808986549578</v>
      </c>
      <c r="AI39" s="372" cm="1">
        <f t="array" ref="AI39">SUMPRODUCT((Table8[D])*(Table8[Adjusted Total]/Table8[BER Total])*(Table8[Archetype]=AI33)*(Table8[County]=AI32))</f>
        <v>3922.9122895168321</v>
      </c>
      <c r="AJ39" s="789" cm="1">
        <f t="array" ref="AJ39">SUMPRODUCT((Table8[D])*(Table8[Adjusted Total]/Table8[BER Total])*(Table8[Archetype]=AJ33)*(Table8[County]=AJ32))</f>
        <v>877.03699547654355</v>
      </c>
      <c r="AK39" s="312" cm="1">
        <f t="array" ref="AK39">SUMPRODUCT((Table8[D])*(Table8[Adjusted Total]/Table8[BER Total])*(Table8[Archetype]=AK33)*(Table8[County]=AK32))</f>
        <v>2844.9523341613267</v>
      </c>
      <c r="AL39" s="372" cm="1">
        <f t="array" ref="AL39">SUMPRODUCT((Table8[D])*(Table8[Adjusted Total]/Table8[BER Total])*(Table8[Archetype]=AL33)*(Table8[County]=AL32))</f>
        <v>3862.3070908684958</v>
      </c>
      <c r="AM39" s="789" cm="1">
        <f t="array" ref="AM39">SUMPRODUCT((Table8[D])*(Table8[Adjusted Total]/Table8[BER Total])*(Table8[Archetype]=AM33)*(Table8[County]=AM32))</f>
        <v>804.45024891008825</v>
      </c>
      <c r="AN39" s="312" cm="1">
        <f t="array" ref="AN39">SUMPRODUCT((Table8[D])*(Table8[Adjusted Total]/Table8[BER Total])*(Table8[Archetype]=AN33)*(Table8[County]=AN32))</f>
        <v>5043.5988521144418</v>
      </c>
      <c r="AO39" s="372" cm="1">
        <f t="array" ref="AO39">SUMPRODUCT((Table8[D])*(Table8[Adjusted Total]/Table8[BER Total])*(Table8[Archetype]=AO33)*(Table8[County]=AO32))</f>
        <v>8398.348367515393</v>
      </c>
      <c r="AP39" s="789" cm="1">
        <f t="array" ref="AP39">SUMPRODUCT((Table8[D])*(Table8[Adjusted Total]/Table8[BER Total])*(Table8[Archetype]=AP33)*(Table8[County]=AP32))</f>
        <v>954.63851349491983</v>
      </c>
      <c r="AQ39" s="312" cm="1">
        <f t="array" ref="AQ39">SUMPRODUCT((Table8[D])*(Table8[Adjusted Total]/Table8[BER Total])*(Table8[Archetype]=AQ33)*(Table8[County]=AQ32))</f>
        <v>4835.912079167816</v>
      </c>
      <c r="AR39" s="372" cm="1">
        <f t="array" ref="AR39">SUMPRODUCT((Table8[D])*(Table8[Adjusted Total]/Table8[BER Total])*(Table8[Archetype]=AR33)*(Table8[County]=AR32))</f>
        <v>5261.216067851582</v>
      </c>
      <c r="AS39" s="789" cm="1">
        <f t="array" ref="AS39">SUMPRODUCT((Table8[D])*(Table8[Adjusted Total]/Table8[BER Total])*(Table8[Archetype]=AS33)*(Table8[County]=AS32))</f>
        <v>694.34843412815769</v>
      </c>
      <c r="AT39" s="312" cm="1">
        <f t="array" ref="AT39">SUMPRODUCT((Table8[D])*(Table8[Adjusted Total]/Table8[BER Total])*(Table8[Archetype]=AT33)*(Table8[County]=AT32))</f>
        <v>4448.8821198963533</v>
      </c>
      <c r="AU39" s="372" cm="1">
        <f t="array" ref="AU39">SUMPRODUCT((Table8[D])*(Table8[Adjusted Total]/Table8[BER Total])*(Table8[Archetype]=AU33)*(Table8[County]=AU32))</f>
        <v>5969.6006405620847</v>
      </c>
      <c r="AV39" s="789" cm="1">
        <f t="array" ref="AV39">SUMPRODUCT((Table8[D])*(Table8[Adjusted Total]/Table8[BER Total])*(Table8[Archetype]=AV33)*(Table8[County]=AV32))</f>
        <v>3406.2789398137729</v>
      </c>
      <c r="AW39" s="312" cm="1">
        <f t="array" ref="AW39">SUMPRODUCT((Table8[D])*(Table8[Adjusted Total]/Table8[BER Total])*(Table8[Archetype]=AW33)*(Table8[County]=AW32))</f>
        <v>17241.029420483792</v>
      </c>
      <c r="AX39" s="372" cm="1">
        <f t="array" ref="AX39">SUMPRODUCT((Table8[D])*(Table8[Adjusted Total]/Table8[BER Total])*(Table8[Archetype]=AX33)*(Table8[County]=AX32))</f>
        <v>18236.913869534965</v>
      </c>
      <c r="AY39" s="789" cm="1">
        <f t="array" ref="AY39">SUMPRODUCT((Table8[D])*(Table8[Adjusted Total]/Table8[BER Total])*(Table8[Archetype]=AY33)*(Table8[County]=AY32))</f>
        <v>858.37847177417575</v>
      </c>
      <c r="AZ39" s="312" cm="1">
        <f t="array" ref="AZ39">SUMPRODUCT((Table8[D])*(Table8[Adjusted Total]/Table8[BER Total])*(Table8[Archetype]=AZ33)*(Table8[County]=AZ32))</f>
        <v>4019.358726081909</v>
      </c>
      <c r="BA39" s="372" cm="1">
        <f t="array" ref="BA39">SUMPRODUCT((Table8[D])*(Table8[Adjusted Total]/Table8[BER Total])*(Table8[Archetype]=BA33)*(Table8[County]=BA32))</f>
        <v>8574.0862000919933</v>
      </c>
      <c r="BB39" s="789" cm="1">
        <f t="array" ref="BB39">SUMPRODUCT((Table8[D])*(Table8[Adjusted Total]/Table8[BER Total])*(Table8[Archetype]=BB33)*(Table8[County]=BB32))</f>
        <v>1948.7665192827224</v>
      </c>
      <c r="BC39" s="312" cm="1">
        <f t="array" ref="BC39">SUMPRODUCT((Table8[D])*(Table8[Adjusted Total]/Table8[BER Total])*(Table8[Archetype]=BC33)*(Table8[County]=BC32))</f>
        <v>8102.069637768981</v>
      </c>
      <c r="BD39" s="372" cm="1">
        <f t="array" ref="BD39">SUMPRODUCT((Table8[D])*(Table8[Adjusted Total]/Table8[BER Total])*(Table8[Archetype]=BD33)*(Table8[County]=BD32))</f>
        <v>8507.2952650901989</v>
      </c>
      <c r="BE39" s="789" cm="1">
        <f t="array" ref="BE39">SUMPRODUCT((Table8[D])*(Table8[Adjusted Total]/Table8[BER Total])*(Table8[Archetype]=BE33)*(Table8[County]=BE32))</f>
        <v>809.0048940616507</v>
      </c>
      <c r="BF39" s="312" cm="1">
        <f t="array" ref="BF39">SUMPRODUCT((Table8[D])*(Table8[Adjusted Total]/Table8[BER Total])*(Table8[Archetype]=BF33)*(Table8[County]=BF32))</f>
        <v>5454.2913352257274</v>
      </c>
      <c r="BG39" s="372" cm="1">
        <f t="array" ref="BG39">SUMPRODUCT((Table8[D])*(Table8[Adjusted Total]/Table8[BER Total])*(Table8[Archetype]=BG33)*(Table8[County]=BG32))</f>
        <v>8554.1537117599019</v>
      </c>
      <c r="BH39" s="789" cm="1">
        <f t="array" ref="BH39">SUMPRODUCT((Table8[D])*(Table8[Adjusted Total]/Table8[BER Total])*(Table8[Archetype]=BH33)*(Table8[County]=BH32))</f>
        <v>1005.4751295454164</v>
      </c>
      <c r="BI39" s="312" cm="1">
        <f t="array" ref="BI39">SUMPRODUCT((Table8[D])*(Table8[Adjusted Total]/Table8[BER Total])*(Table8[Archetype]=BI33)*(Table8[County]=BI32))</f>
        <v>5564.6050026791181</v>
      </c>
      <c r="BJ39" s="372" cm="1">
        <f t="array" ref="BJ39">SUMPRODUCT((Table8[D])*(Table8[Adjusted Total]/Table8[BER Total])*(Table8[Archetype]=BJ33)*(Table8[County]=BJ32))</f>
        <v>4777.0385337190974</v>
      </c>
      <c r="BK39" s="789" cm="1">
        <f t="array" ref="BK39">SUMPRODUCT((Table8[D])*(Table8[Adjusted Total]/Table8[BER Total])*(Table8[Archetype]=BK33)*(Table8[County]=BK32))</f>
        <v>3156.0217876458514</v>
      </c>
      <c r="BL39" s="312" cm="1">
        <f t="array" ref="BL39">SUMPRODUCT((Table8[D])*(Table8[Adjusted Total]/Table8[BER Total])*(Table8[Archetype]=BL33)*(Table8[County]=BL32))</f>
        <v>6732.0482767450567</v>
      </c>
      <c r="BM39" s="372" cm="1">
        <f t="array" ref="BM39">SUMPRODUCT((Table8[D])*(Table8[Adjusted Total]/Table8[BER Total])*(Table8[Archetype]=BM33)*(Table8[County]=BM32))</f>
        <v>12382.576852789567</v>
      </c>
      <c r="BN39" s="789" cm="1">
        <f t="array" ref="BN39">SUMPRODUCT((Table8[D])*(Table8[Adjusted Total]/Table8[BER Total])*(Table8[Archetype]=BN33)*(Table8[County]=BN32))</f>
        <v>204.14439568242804</v>
      </c>
      <c r="BO39" s="312" cm="1">
        <f t="array" ref="BO39">SUMPRODUCT((Table8[D])*(Table8[Adjusted Total]/Table8[BER Total])*(Table8[Archetype]=BO33)*(Table8[County]=BO32))</f>
        <v>469.33359643889679</v>
      </c>
      <c r="BP39" s="372" cm="1">
        <f t="array" ref="BP39">SUMPRODUCT((Table8[D])*(Table8[Adjusted Total]/Table8[BER Total])*(Table8[Archetype]=BP33)*(Table8[County]=BP32))</f>
        <v>1885.329883313133</v>
      </c>
      <c r="BQ39" s="789" cm="1">
        <f t="array" ref="BQ39">SUMPRODUCT((Table8[D])*(Table8[Adjusted Total]/Table8[BER Total])*(Table8[Archetype]=BQ33)*(Table8[County]=BQ32))</f>
        <v>754.58982053296063</v>
      </c>
      <c r="BR39" s="312" cm="1">
        <f t="array" ref="BR39">SUMPRODUCT((Table8[D])*(Table8[Adjusted Total]/Table8[BER Total])*(Table8[Archetype]=BR33)*(Table8[County]=BR32))</f>
        <v>3151.1144595375595</v>
      </c>
      <c r="BS39" s="372" cm="1">
        <f t="array" ref="BS39">SUMPRODUCT((Table8[D])*(Table8[Adjusted Total]/Table8[BER Total])*(Table8[Archetype]=BS33)*(Table8[County]=BS32))</f>
        <v>8579.4880010907054</v>
      </c>
      <c r="BT39" s="789" cm="1">
        <f t="array" ref="BT39">SUMPRODUCT((Table8[D])*(Table8[Adjusted Total]/Table8[BER Total])*(Table8[Archetype]=BT33)*(Table8[County]=BT32))</f>
        <v>198.34312294615594</v>
      </c>
      <c r="BU39" s="312" cm="1">
        <f t="array" ref="BU39">SUMPRODUCT((Table8[D])*(Table8[Adjusted Total]/Table8[BER Total])*(Table8[Archetype]=BU33)*(Table8[County]=BU32))</f>
        <v>931.97221095883003</v>
      </c>
      <c r="BV39" s="372" cm="1">
        <f t="array" ref="BV39">SUMPRODUCT((Table8[D])*(Table8[Adjusted Total]/Table8[BER Total])*(Table8[Archetype]=BV33)*(Table8[County]=BV32))</f>
        <v>3985.0531006202636</v>
      </c>
      <c r="BW39" s="789" cm="1">
        <f t="array" ref="BW39">SUMPRODUCT((Table8[D])*(Table8[Adjusted Total]/Table8[BER Total])*(Table8[Archetype]=BW33)*(Table8[County]=BW32))</f>
        <v>567.97000478839948</v>
      </c>
      <c r="BX39" s="312" cm="1">
        <f t="array" ref="BX39">SUMPRODUCT((Table8[D])*(Table8[Adjusted Total]/Table8[BER Total])*(Table8[Archetype]=BX33)*(Table8[County]=BX32))</f>
        <v>2116.4711523659771</v>
      </c>
      <c r="BY39" s="372" cm="1">
        <f t="array" ref="BY39">SUMPRODUCT((Table8[D])*(Table8[Adjusted Total]/Table8[BER Total])*(Table8[Archetype]=BY33)*(Table8[County]=BY32))</f>
        <v>3370.3134856126571</v>
      </c>
      <c r="BZ39" s="789" cm="1">
        <f t="array" ref="BZ39">SUMPRODUCT((Table8[D])*(Table8[Adjusted Total]/Table8[BER Total])*(Table8[Archetype]=BZ33)*(Table8[County]=BZ32))</f>
        <v>383.35951907263387</v>
      </c>
      <c r="CA39" s="312" cm="1">
        <f t="array" ref="CA39">SUMPRODUCT((Table8[D])*(Table8[Adjusted Total]/Table8[BER Total])*(Table8[Archetype]=CA33)*(Table8[County]=CA32))</f>
        <v>1295.1424228476608</v>
      </c>
      <c r="CB39" s="372" cm="1">
        <f t="array" ref="CB39">SUMPRODUCT((Table8[D])*(Table8[Adjusted Total]/Table8[BER Total])*(Table8[Archetype]=CB33)*(Table8[County]=CB32))</f>
        <v>3746.9172720446822</v>
      </c>
      <c r="CC39" s="789" cm="1">
        <f t="array" ref="CC39">SUMPRODUCT((Table8[D])*(Table8[Adjusted Total]/Table8[BER Total])*(Table8[Archetype]=CC33)*(Table8[County]=CC32))</f>
        <v>556.2667049533311</v>
      </c>
      <c r="CD39" s="312" cm="1">
        <f t="array" ref="CD39">SUMPRODUCT((Table8[D])*(Table8[Adjusted Total]/Table8[BER Total])*(Table8[Archetype]=CD33)*(Table8[County]=CD32))</f>
        <v>3508.7353864412189</v>
      </c>
      <c r="CE39" s="372" cm="1">
        <f t="array" ref="CE39">SUMPRODUCT((Table8[D])*(Table8[Adjusted Total]/Table8[BER Total])*(Table8[Archetype]=CE33)*(Table8[County]=CE32))</f>
        <v>9705.694757855139</v>
      </c>
      <c r="CF39" s="789" cm="1">
        <f t="array" ref="CF39">SUMPRODUCT((Table8[D])*(Table8[Adjusted Total]/Table8[BER Total])*(Table8[Archetype]=CF33)*(Table8[County]=CF32))</f>
        <v>225.3867342333846</v>
      </c>
      <c r="CG39" s="312" cm="1">
        <f t="array" ref="CG39">SUMPRODUCT((Table8[D])*(Table8[Adjusted Total]/Table8[BER Total])*(Table8[Archetype]=CG33)*(Table8[County]=CG32))</f>
        <v>1687.5696746750446</v>
      </c>
      <c r="CH39" s="372" cm="1">
        <f t="array" ref="CH39">SUMPRODUCT((Table8[D])*(Table8[Adjusted Total]/Table8[BER Total])*(Table8[Archetype]=CH33)*(Table8[County]=CH32))</f>
        <v>3580.0711282802349</v>
      </c>
    </row>
    <row r="40" spans="2:86" ht="14.5">
      <c r="C40" s="261"/>
      <c r="H40" s="776" t="s">
        <v>60</v>
      </c>
      <c r="I40" s="790" cm="1">
        <f t="array" ref="I40">SUMPRODUCT((Table8[E])*(Table8[Adjusted Total]/Table8[BER Total])*(Table8[Archetype]=I33)*(Table8[County]=I32))</f>
        <v>178.96880764128053</v>
      </c>
      <c r="J40" s="314" cm="1">
        <f t="array" ref="J40">SUMPRODUCT((Table8[E])*(Table8[Adjusted Total]/Table8[BER Total])*(Table8[Archetype]=J33)*(Table8[County]=J32))</f>
        <v>720.02847136952937</v>
      </c>
      <c r="K40" s="373" cm="1">
        <f t="array" ref="K40">SUMPRODUCT((Table8[E])*(Table8[Adjusted Total]/Table8[BER Total])*(Table8[Archetype]=K33)*(Table8[County]=K32))</f>
        <v>1081.6636479901906</v>
      </c>
      <c r="L40" s="790" cm="1">
        <f t="array" ref="L40">SUMPRODUCT((Table8[E])*(Table8[Adjusted Total]/Table8[BER Total])*(Table8[Archetype]=L33)*(Table8[County]=L32))</f>
        <v>12052.625111545525</v>
      </c>
      <c r="M40" s="314" cm="1">
        <f t="array" ref="M40">SUMPRODUCT((Table8[E])*(Table8[Adjusted Total]/Table8[BER Total])*(Table8[Archetype]=M33)*(Table8[County]=M32))</f>
        <v>37887.420760937348</v>
      </c>
      <c r="N40" s="373" cm="1">
        <f t="array" ref="N40">SUMPRODUCT((Table8[E])*(Table8[Adjusted Total]/Table8[BER Total])*(Table8[Archetype]=N33)*(Table8[County]=N32))</f>
        <v>6532.1372620409893</v>
      </c>
      <c r="O40" s="790" cm="1">
        <f t="array" ref="O40">SUMPRODUCT((Table8[E])*(Table8[Adjusted Total]/Table8[BER Total])*(Table8[Archetype]=O33)*(Table8[County]=O32))</f>
        <v>916.9360105614104</v>
      </c>
      <c r="P40" s="314" cm="1">
        <f t="array" ref="P40">SUMPRODUCT((Table8[E])*(Table8[Adjusted Total]/Table8[BER Total])*(Table8[Archetype]=P33)*(Table8[County]=P32))</f>
        <v>2503.483927034169</v>
      </c>
      <c r="Q40" s="373" cm="1">
        <f t="array" ref="Q40">SUMPRODUCT((Table8[E])*(Table8[Adjusted Total]/Table8[BER Total])*(Table8[Archetype]=Q33)*(Table8[County]=Q32))</f>
        <v>2388.6408103424128</v>
      </c>
      <c r="R40" s="790" cm="1">
        <f t="array" ref="R40">SUMPRODUCT((Table8[E])*(Table8[Adjusted Total]/Table8[BER Total])*(Table8[Archetype]=R33)*(Table8[County]=R32))</f>
        <v>167.35560024381164</v>
      </c>
      <c r="S40" s="314" cm="1">
        <f t="array" ref="S40">SUMPRODUCT((Table8[E])*(Table8[Adjusted Total]/Table8[BER Total])*(Table8[Archetype]=S33)*(Table8[County]=S32))</f>
        <v>1383.4963137835387</v>
      </c>
      <c r="T40" s="373" cm="1">
        <f t="array" ref="T40">SUMPRODUCT((Table8[E])*(Table8[Adjusted Total]/Table8[BER Total])*(Table8[Archetype]=T33)*(Table8[County]=T32))</f>
        <v>2243.6524886385482</v>
      </c>
      <c r="U40" s="790" cm="1">
        <f t="array" ref="U40">SUMPRODUCT((Table8[E])*(Table8[Adjusted Total]/Table8[BER Total])*(Table8[Archetype]=U33)*(Table8[County]=U32))</f>
        <v>152.103776746411</v>
      </c>
      <c r="V40" s="314" cm="1">
        <f t="array" ref="V40">SUMPRODUCT((Table8[E])*(Table8[Adjusted Total]/Table8[BER Total])*(Table8[Archetype]=V33)*(Table8[County]=V32))</f>
        <v>1469.553029092207</v>
      </c>
      <c r="W40" s="373" cm="1">
        <f t="array" ref="W40">SUMPRODUCT((Table8[E])*(Table8[Adjusted Total]/Table8[BER Total])*(Table8[Archetype]=W33)*(Table8[County]=W32))</f>
        <v>1532.0496791301048</v>
      </c>
      <c r="X40" s="790" cm="1">
        <f t="array" ref="X40">SUMPRODUCT((Table8[E])*(Table8[Adjusted Total]/Table8[BER Total])*(Table8[Archetype]=X33)*(Table8[County]=X32))</f>
        <v>114.73053043724934</v>
      </c>
      <c r="Y40" s="314" cm="1">
        <f t="array" ref="Y40">SUMPRODUCT((Table8[E])*(Table8[Adjusted Total]/Table8[BER Total])*(Table8[Archetype]=Y33)*(Table8[County]=Y32))</f>
        <v>491.34508833500217</v>
      </c>
      <c r="Z40" s="373" cm="1">
        <f t="array" ref="Z40">SUMPRODUCT((Table8[E])*(Table8[Adjusted Total]/Table8[BER Total])*(Table8[Archetype]=Z33)*(Table8[County]=Z32))</f>
        <v>1070.9219487160433</v>
      </c>
      <c r="AA40" s="790" cm="1">
        <f t="array" ref="AA40">SUMPRODUCT((Table8[E])*(Table8[Adjusted Total]/Table8[BER Total])*(Table8[Archetype]=AA33)*(Table8[County]=AA32))</f>
        <v>297.81540483016772</v>
      </c>
      <c r="AB40" s="314" cm="1">
        <f t="array" ref="AB40">SUMPRODUCT((Table8[E])*(Table8[Adjusted Total]/Table8[BER Total])*(Table8[Archetype]=AB33)*(Table8[County]=AB32))</f>
        <v>1720.6017317721194</v>
      </c>
      <c r="AC40" s="373" cm="1">
        <f t="array" ref="AC40">SUMPRODUCT((Table8[E])*(Table8[Adjusted Total]/Table8[BER Total])*(Table8[Archetype]=AC33)*(Table8[County]=AC32))</f>
        <v>1722.5994124228</v>
      </c>
      <c r="AD40" s="790" cm="1">
        <f t="array" ref="AD40">SUMPRODUCT((Table8[E])*(Table8[Adjusted Total]/Table8[BER Total])*(Table8[Archetype]=AD33)*(Table8[County]=AD32))</f>
        <v>472.22792395901701</v>
      </c>
      <c r="AE40" s="314" cm="1">
        <f t="array" ref="AE40">SUMPRODUCT((Table8[E])*(Table8[Adjusted Total]/Table8[BER Total])*(Table8[Archetype]=AE33)*(Table8[County]=AE32))</f>
        <v>1182.1820487347479</v>
      </c>
      <c r="AF40" s="373" cm="1">
        <f t="array" ref="AF40">SUMPRODUCT((Table8[E])*(Table8[Adjusted Total]/Table8[BER Total])*(Table8[Archetype]=AF33)*(Table8[County]=AF32))</f>
        <v>2842.3273363046605</v>
      </c>
      <c r="AG40" s="790" cm="1">
        <f t="array" ref="AG40">SUMPRODUCT((Table8[E])*(Table8[Adjusted Total]/Table8[BER Total])*(Table8[Archetype]=AG33)*(Table8[County]=AG32))</f>
        <v>201.8637593055625</v>
      </c>
      <c r="AH40" s="314" cm="1">
        <f t="array" ref="AH40">SUMPRODUCT((Table8[E])*(Table8[Adjusted Total]/Table8[BER Total])*(Table8[Archetype]=AH33)*(Table8[County]=AH32))</f>
        <v>2056.1994976550313</v>
      </c>
      <c r="AI40" s="373" cm="1">
        <f t="array" ref="AI40">SUMPRODUCT((Table8[E])*(Table8[Adjusted Total]/Table8[BER Total])*(Table8[Archetype]=AI33)*(Table8[County]=AI32))</f>
        <v>1743.5165731185921</v>
      </c>
      <c r="AJ40" s="790" cm="1">
        <f t="array" ref="AJ40">SUMPRODUCT((Table8[E])*(Table8[Adjusted Total]/Table8[BER Total])*(Table8[Archetype]=AJ33)*(Table8[County]=AJ32))</f>
        <v>399.98202369460546</v>
      </c>
      <c r="AK40" s="314" cm="1">
        <f t="array" ref="AK40">SUMPRODUCT((Table8[E])*(Table8[Adjusted Total]/Table8[BER Total])*(Table8[Archetype]=AK33)*(Table8[County]=AK32))</f>
        <v>1404.228152719824</v>
      </c>
      <c r="AL40" s="373" cm="1">
        <f t="array" ref="AL40">SUMPRODUCT((Table8[E])*(Table8[Adjusted Total]/Table8[BER Total])*(Table8[Archetype]=AL33)*(Table8[County]=AL32))</f>
        <v>1776.2633788026562</v>
      </c>
      <c r="AM40" s="790" cm="1">
        <f t="array" ref="AM40">SUMPRODUCT((Table8[E])*(Table8[Adjusted Total]/Table8[BER Total])*(Table8[Archetype]=AM33)*(Table8[County]=AM32))</f>
        <v>535.07011968790266</v>
      </c>
      <c r="AN40" s="314" cm="1">
        <f t="array" ref="AN40">SUMPRODUCT((Table8[E])*(Table8[Adjusted Total]/Table8[BER Total])*(Table8[Archetype]=AN33)*(Table8[County]=AN32))</f>
        <v>2206.470497493814</v>
      </c>
      <c r="AO40" s="373" cm="1">
        <f t="array" ref="AO40">SUMPRODUCT((Table8[E])*(Table8[Adjusted Total]/Table8[BER Total])*(Table8[Archetype]=AO33)*(Table8[County]=AO32))</f>
        <v>3312.1890865770824</v>
      </c>
      <c r="AP40" s="790" cm="1">
        <f t="array" ref="AP40">SUMPRODUCT((Table8[E])*(Table8[Adjusted Total]/Table8[BER Total])*(Table8[Archetype]=AP33)*(Table8[County]=AP32))</f>
        <v>422.63607976085774</v>
      </c>
      <c r="AQ40" s="314" cm="1">
        <f t="array" ref="AQ40">SUMPRODUCT((Table8[E])*(Table8[Adjusted Total]/Table8[BER Total])*(Table8[Archetype]=AQ33)*(Table8[County]=AQ32))</f>
        <v>2600.1012464215391</v>
      </c>
      <c r="AR40" s="373" cm="1">
        <f t="array" ref="AR40">SUMPRODUCT((Table8[E])*(Table8[Adjusted Total]/Table8[BER Total])*(Table8[Archetype]=AR33)*(Table8[County]=AR32))</f>
        <v>2345.0141338282701</v>
      </c>
      <c r="AS40" s="790" cm="1">
        <f t="array" ref="AS40">SUMPRODUCT((Table8[E])*(Table8[Adjusted Total]/Table8[BER Total])*(Table8[Archetype]=AS33)*(Table8[County]=AS32))</f>
        <v>456.46980391758512</v>
      </c>
      <c r="AT40" s="314" cm="1">
        <f t="array" ref="AT40">SUMPRODUCT((Table8[E])*(Table8[Adjusted Total]/Table8[BER Total])*(Table8[Archetype]=AT33)*(Table8[County]=AT32))</f>
        <v>1915.5135547373452</v>
      </c>
      <c r="AU40" s="373" cm="1">
        <f t="array" ref="AU40">SUMPRODUCT((Table8[E])*(Table8[Adjusted Total]/Table8[BER Total])*(Table8[Archetype]=AU33)*(Table8[County]=AU32))</f>
        <v>2900.7910397433311</v>
      </c>
      <c r="AV40" s="790" cm="1">
        <f t="array" ref="AV40">SUMPRODUCT((Table8[E])*(Table8[Adjusted Total]/Table8[BER Total])*(Table8[Archetype]=AV33)*(Table8[County]=AV32))</f>
        <v>1944.593115022135</v>
      </c>
      <c r="AW40" s="314" cm="1">
        <f t="array" ref="AW40">SUMPRODUCT((Table8[E])*(Table8[Adjusted Total]/Table8[BER Total])*(Table8[Archetype]=AW33)*(Table8[County]=AW32))</f>
        <v>8521.2818341814509</v>
      </c>
      <c r="AX40" s="373" cm="1">
        <f t="array" ref="AX40">SUMPRODUCT((Table8[E])*(Table8[Adjusted Total]/Table8[BER Total])*(Table8[Archetype]=AX33)*(Table8[County]=AX32))</f>
        <v>7801.4221541968845</v>
      </c>
      <c r="AY40" s="790" cm="1">
        <f t="array" ref="AY40">SUMPRODUCT((Table8[E])*(Table8[Adjusted Total]/Table8[BER Total])*(Table8[Archetype]=AY33)*(Table8[County]=AY32))</f>
        <v>408.51296612902382</v>
      </c>
      <c r="AZ40" s="314" cm="1">
        <f t="array" ref="AZ40">SUMPRODUCT((Table8[E])*(Table8[Adjusted Total]/Table8[BER Total])*(Table8[Archetype]=AZ33)*(Table8[County]=AZ32))</f>
        <v>2050.8176062571074</v>
      </c>
      <c r="BA40" s="373" cm="1">
        <f t="array" ref="BA40">SUMPRODUCT((Table8[E])*(Table8[Adjusted Total]/Table8[BER Total])*(Table8[Archetype]=BA33)*(Table8[County]=BA32))</f>
        <v>3952.4138153590484</v>
      </c>
      <c r="BB40" s="790" cm="1">
        <f t="array" ref="BB40">SUMPRODUCT((Table8[E])*(Table8[Adjusted Total]/Table8[BER Total])*(Table8[Archetype]=BB33)*(Table8[County]=BB32))</f>
        <v>800.13912605798032</v>
      </c>
      <c r="BC40" s="314" cm="1">
        <f t="array" ref="BC40">SUMPRODUCT((Table8[E])*(Table8[Adjusted Total]/Table8[BER Total])*(Table8[Archetype]=BC33)*(Table8[County]=BC32))</f>
        <v>3399.2858614133197</v>
      </c>
      <c r="BD40" s="373" cm="1">
        <f t="array" ref="BD40">SUMPRODUCT((Table8[E])*(Table8[Adjusted Total]/Table8[BER Total])*(Table8[Archetype]=BD33)*(Table8[County]=BD32))</f>
        <v>3457.0281112557345</v>
      </c>
      <c r="BE40" s="790" cm="1">
        <f t="array" ref="BE40">SUMPRODUCT((Table8[E])*(Table8[Adjusted Total]/Table8[BER Total])*(Table8[Archetype]=BE33)*(Table8[County]=BE32))</f>
        <v>456.93794942371017</v>
      </c>
      <c r="BF40" s="314" cm="1">
        <f t="array" ref="BF40">SUMPRODUCT((Table8[E])*(Table8[Adjusted Total]/Table8[BER Total])*(Table8[Archetype]=BF33)*(Table8[County]=BF32))</f>
        <v>3069.7264662053212</v>
      </c>
      <c r="BG40" s="373" cm="1">
        <f t="array" ref="BG40">SUMPRODUCT((Table8[E])*(Table8[Adjusted Total]/Table8[BER Total])*(Table8[Archetype]=BG33)*(Table8[County]=BG32))</f>
        <v>4203.7250544850658</v>
      </c>
      <c r="BH40" s="790" cm="1">
        <f t="array" ref="BH40">SUMPRODUCT((Table8[E])*(Table8[Adjusted Total]/Table8[BER Total])*(Table8[Archetype]=BH33)*(Table8[County]=BH32))</f>
        <v>535.47396433930317</v>
      </c>
      <c r="BI40" s="314" cm="1">
        <f t="array" ref="BI40">SUMPRODUCT((Table8[E])*(Table8[Adjusted Total]/Table8[BER Total])*(Table8[Archetype]=BI33)*(Table8[County]=BI32))</f>
        <v>2093.5787490219495</v>
      </c>
      <c r="BJ40" s="373" cm="1">
        <f t="array" ref="BJ40">SUMPRODUCT((Table8[E])*(Table8[Adjusted Total]/Table8[BER Total])*(Table8[Archetype]=BJ33)*(Table8[County]=BJ32))</f>
        <v>1582.4781170855376</v>
      </c>
      <c r="BK40" s="790" cm="1">
        <f t="array" ref="BK40">SUMPRODUCT((Table8[E])*(Table8[Adjusted Total]/Table8[BER Total])*(Table8[Archetype]=BK33)*(Table8[County]=BK32))</f>
        <v>1730.0497788854952</v>
      </c>
      <c r="BL40" s="314" cm="1">
        <f t="array" ref="BL40">SUMPRODUCT((Table8[E])*(Table8[Adjusted Total]/Table8[BER Total])*(Table8[Archetype]=BL33)*(Table8[County]=BL32))</f>
        <v>2848.901928823962</v>
      </c>
      <c r="BM40" s="373" cm="1">
        <f t="array" ref="BM40">SUMPRODUCT((Table8[E])*(Table8[Adjusted Total]/Table8[BER Total])*(Table8[Archetype]=BM33)*(Table8[County]=BM32))</f>
        <v>5581.637352550365</v>
      </c>
      <c r="BN40" s="790" cm="1">
        <f t="array" ref="BN40">SUMPRODUCT((Table8[E])*(Table8[Adjusted Total]/Table8[BER Total])*(Table8[Archetype]=BN33)*(Table8[County]=BN32))</f>
        <v>67.367650575201253</v>
      </c>
      <c r="BO40" s="314" cm="1">
        <f t="array" ref="BO40">SUMPRODUCT((Table8[E])*(Table8[Adjusted Total]/Table8[BER Total])*(Table8[Archetype]=BO33)*(Table8[County]=BO32))</f>
        <v>294.63720220886296</v>
      </c>
      <c r="BP40" s="373" cm="1">
        <f t="array" ref="BP40">SUMPRODUCT((Table8[E])*(Table8[Adjusted Total]/Table8[BER Total])*(Table8[Archetype]=BP33)*(Table8[County]=BP32))</f>
        <v>1089.1347931490211</v>
      </c>
      <c r="BQ40" s="790" cm="1">
        <f t="array" ref="BQ40">SUMPRODUCT((Table8[E])*(Table8[Adjusted Total]/Table8[BER Total])*(Table8[Archetype]=BQ33)*(Table8[County]=BQ32))</f>
        <v>312.57644025726654</v>
      </c>
      <c r="BR40" s="314" cm="1">
        <f t="array" ref="BR40">SUMPRODUCT((Table8[E])*(Table8[Adjusted Total]/Table8[BER Total])*(Table8[Archetype]=BR33)*(Table8[County]=BR32))</f>
        <v>1208.0898056947403</v>
      </c>
      <c r="BS40" s="373" cm="1">
        <f t="array" ref="BS40">SUMPRODUCT((Table8[E])*(Table8[Adjusted Total]/Table8[BER Total])*(Table8[Archetype]=BS33)*(Table8[County]=BS32))</f>
        <v>4047.897015947678</v>
      </c>
      <c r="BT40" s="790" cm="1">
        <f t="array" ref="BT40">SUMPRODUCT((Table8[E])*(Table8[Adjusted Total]/Table8[BER Total])*(Table8[Archetype]=BT33)*(Table8[County]=BT32))</f>
        <v>110.04844240883492</v>
      </c>
      <c r="BU40" s="314" cm="1">
        <f t="array" ref="BU40">SUMPRODUCT((Table8[E])*(Table8[Adjusted Total]/Table8[BER Total])*(Table8[Archetype]=BU33)*(Table8[County]=BU32))</f>
        <v>651.75083671783045</v>
      </c>
      <c r="BV40" s="373" cm="1">
        <f t="array" ref="BV40">SUMPRODUCT((Table8[E])*(Table8[Adjusted Total]/Table8[BER Total])*(Table8[Archetype]=BV33)*(Table8[County]=BV32))</f>
        <v>2018.8208889505879</v>
      </c>
      <c r="BW40" s="790" cm="1">
        <f t="array" ref="BW40">SUMPRODUCT((Table8[E])*(Table8[Adjusted Total]/Table8[BER Total])*(Table8[Archetype]=BW33)*(Table8[County]=BW32))</f>
        <v>378.35405264884105</v>
      </c>
      <c r="BX40" s="314" cm="1">
        <f t="array" ref="BX40">SUMPRODUCT((Table8[E])*(Table8[Adjusted Total]/Table8[BER Total])*(Table8[Archetype]=BX33)*(Table8[County]=BX32))</f>
        <v>1143.9165816409864</v>
      </c>
      <c r="BY40" s="373" cm="1">
        <f t="array" ref="BY40">SUMPRODUCT((Table8[E])*(Table8[Adjusted Total]/Table8[BER Total])*(Table8[Archetype]=BY33)*(Table8[County]=BY32))</f>
        <v>1663.6897779298147</v>
      </c>
      <c r="BZ40" s="790" cm="1">
        <f t="array" ref="BZ40">SUMPRODUCT((Table8[E])*(Table8[Adjusted Total]/Table8[BER Total])*(Table8[Archetype]=BZ33)*(Table8[County]=BZ32))</f>
        <v>191.67975953631694</v>
      </c>
      <c r="CA40" s="314" cm="1">
        <f t="array" ref="CA40">SUMPRODUCT((Table8[E])*(Table8[Adjusted Total]/Table8[BER Total])*(Table8[Archetype]=CA33)*(Table8[County]=CA32))</f>
        <v>684.84149697340342</v>
      </c>
      <c r="CB40" s="373" cm="1">
        <f t="array" ref="CB40">SUMPRODUCT((Table8[E])*(Table8[Adjusted Total]/Table8[BER Total])*(Table8[Archetype]=CB33)*(Table8[County]=CB32))</f>
        <v>1813.7251722651072</v>
      </c>
      <c r="CC40" s="790" cm="1">
        <f t="array" ref="CC40">SUMPRODUCT((Table8[E])*(Table8[Adjusted Total]/Table8[BER Total])*(Table8[Archetype]=CC33)*(Table8[County]=CC32))</f>
        <v>330.10488240557015</v>
      </c>
      <c r="CD40" s="314" cm="1">
        <f t="array" ref="CD40">SUMPRODUCT((Table8[E])*(Table8[Adjusted Total]/Table8[BER Total])*(Table8[Archetype]=CD33)*(Table8[County]=CD32))</f>
        <v>1564.819160921191</v>
      </c>
      <c r="CE40" s="373" cm="1">
        <f t="array" ref="CE40">SUMPRODUCT((Table8[E])*(Table8[Adjusted Total]/Table8[BER Total])*(Table8[Archetype]=CE33)*(Table8[County]=CE32))</f>
        <v>4486.1223417946521</v>
      </c>
      <c r="CF40" s="790" cm="1">
        <f t="array" ref="CF40">SUMPRODUCT((Table8[E])*(Table8[Adjusted Total]/Table8[BER Total])*(Table8[Archetype]=CF33)*(Table8[County]=CF32))</f>
        <v>155.06607315256861</v>
      </c>
      <c r="CG40" s="314" cm="1">
        <f t="array" ref="CG40">SUMPRODUCT((Table8[E])*(Table8[Adjusted Total]/Table8[BER Total])*(Table8[Archetype]=CG33)*(Table8[County]=CG32))</f>
        <v>663.81358049918686</v>
      </c>
      <c r="CH40" s="373" cm="1">
        <f t="array" ref="CH40">SUMPRODUCT((Table8[E])*(Table8[Adjusted Total]/Table8[BER Total])*(Table8[Archetype]=CH33)*(Table8[County]=CH32))</f>
        <v>1632.5431647200642</v>
      </c>
    </row>
    <row r="41" spans="2:86" ht="14.5">
      <c r="C41" s="261"/>
      <c r="H41" s="775" t="s">
        <v>62</v>
      </c>
      <c r="I41" s="789" cm="1">
        <f t="array" ref="I41">SUMPRODUCT((Table8[F])*(Table8[Adjusted Total]/Table8[BER Total])*(Table8[Archetype]=I33)*(Table8[County]=I32))</f>
        <v>68.936133313678425</v>
      </c>
      <c r="J41" s="312" cm="1">
        <f t="array" ref="J41">SUMPRODUCT((Table8[F])*(Table8[Adjusted Total]/Table8[BER Total])*(Table8[Archetype]=J33)*(Table8[County]=J32))</f>
        <v>362.82684690105191</v>
      </c>
      <c r="K41" s="372" cm="1">
        <f t="array" ref="K41">SUMPRODUCT((Table8[F])*(Table8[Adjusted Total]/Table8[BER Total])*(Table8[Archetype]=K33)*(Table8[County]=K32))</f>
        <v>580.70882484265996</v>
      </c>
      <c r="L41" s="789" cm="1">
        <f t="array" ref="L41">SUMPRODUCT((Table8[F])*(Table8[Adjusted Total]/Table8[BER Total])*(Table8[Archetype]=L33)*(Table8[County]=L32))</f>
        <v>4134.5521230291488</v>
      </c>
      <c r="M41" s="312" cm="1">
        <f t="array" ref="M41">SUMPRODUCT((Table8[F])*(Table8[Adjusted Total]/Table8[BER Total])*(Table8[Archetype]=M33)*(Table8[County]=M32))</f>
        <v>17538.434579705496</v>
      </c>
      <c r="N41" s="372" cm="1">
        <f t="array" ref="N41">SUMPRODUCT((Table8[F])*(Table8[Adjusted Total]/Table8[BER Total])*(Table8[Archetype]=N33)*(Table8[County]=N32))</f>
        <v>3182.386390285983</v>
      </c>
      <c r="O41" s="789" cm="1">
        <f t="array" ref="O41">SUMPRODUCT((Table8[F])*(Table8[Adjusted Total]/Table8[BER Total])*(Table8[Archetype]=O33)*(Table8[County]=O32))</f>
        <v>300.40570250773828</v>
      </c>
      <c r="P41" s="312" cm="1">
        <f t="array" ref="P41">SUMPRODUCT((Table8[F])*(Table8[Adjusted Total]/Table8[BER Total])*(Table8[Archetype]=P33)*(Table8[County]=P32))</f>
        <v>884.44249685002762</v>
      </c>
      <c r="Q41" s="372" cm="1">
        <f t="array" ref="Q41">SUMPRODUCT((Table8[F])*(Table8[Adjusted Total]/Table8[BER Total])*(Table8[Archetype]=Q33)*(Table8[County]=Q32))</f>
        <v>995.49553863868641</v>
      </c>
      <c r="R41" s="789" cm="1">
        <f t="array" ref="R41">SUMPRODUCT((Table8[F])*(Table8[Adjusted Total]/Table8[BER Total])*(Table8[Archetype]=R33)*(Table8[County]=R32))</f>
        <v>71.250404064197028</v>
      </c>
      <c r="S41" s="312" cm="1">
        <f t="array" ref="S41">SUMPRODUCT((Table8[F])*(Table8[Adjusted Total]/Table8[BER Total])*(Table8[Archetype]=S33)*(Table8[County]=S32))</f>
        <v>630.45401640768853</v>
      </c>
      <c r="T41" s="372" cm="1">
        <f t="array" ref="T41">SUMPRODUCT((Table8[F])*(Table8[Adjusted Total]/Table8[BER Total])*(Table8[Archetype]=T33)*(Table8[County]=T32))</f>
        <v>1067.7413087455609</v>
      </c>
      <c r="U41" s="789" cm="1">
        <f t="array" ref="U41">SUMPRODUCT((Table8[F])*(Table8[Adjusted Total]/Table8[BER Total])*(Table8[Archetype]=U33)*(Table8[County]=U32))</f>
        <v>52.336783396614543</v>
      </c>
      <c r="V41" s="312" cm="1">
        <f t="array" ref="V41">SUMPRODUCT((Table8[F])*(Table8[Adjusted Total]/Table8[BER Total])*(Table8[Archetype]=V33)*(Table8[County]=V32))</f>
        <v>662.28333832413716</v>
      </c>
      <c r="W41" s="372" cm="1">
        <f t="array" ref="W41">SUMPRODUCT((Table8[F])*(Table8[Adjusted Total]/Table8[BER Total])*(Table8[Archetype]=W33)*(Table8[County]=W32))</f>
        <v>921.62363510170371</v>
      </c>
      <c r="X41" s="789" cm="1">
        <f t="array" ref="X41">SUMPRODUCT((Table8[F])*(Table8[Adjusted Total]/Table8[BER Total])*(Table8[Archetype]=X33)*(Table8[County]=X32))</f>
        <v>29.877742301367014</v>
      </c>
      <c r="Y41" s="312" cm="1">
        <f t="array" ref="Y41">SUMPRODUCT((Table8[F])*(Table8[Adjusted Total]/Table8[BER Total])*(Table8[Archetype]=Y33)*(Table8[County]=Y32))</f>
        <v>232.39294718547399</v>
      </c>
      <c r="Z41" s="372" cm="1">
        <f t="array" ref="Z41">SUMPRODUCT((Table8[F])*(Table8[Adjusted Total]/Table8[BER Total])*(Table8[Archetype]=Z33)*(Table8[County]=Z32))</f>
        <v>750.44655259154149</v>
      </c>
      <c r="AA41" s="789" cm="1">
        <f t="array" ref="AA41">SUMPRODUCT((Table8[F])*(Table8[Adjusted Total]/Table8[BER Total])*(Table8[Archetype]=AA33)*(Table8[County]=AA32))</f>
        <v>113.38843394910056</v>
      </c>
      <c r="AB41" s="312" cm="1">
        <f t="array" ref="AB41">SUMPRODUCT((Table8[F])*(Table8[Adjusted Total]/Table8[BER Total])*(Table8[Archetype]=AB33)*(Table8[County]=AB32))</f>
        <v>775.16270290958823</v>
      </c>
      <c r="AC41" s="372" cm="1">
        <f t="array" ref="AC41">SUMPRODUCT((Table8[F])*(Table8[Adjusted Total]/Table8[BER Total])*(Table8[Archetype]=AC33)*(Table8[County]=AC32))</f>
        <v>771.74560831785993</v>
      </c>
      <c r="AD41" s="789" cm="1">
        <f t="array" ref="AD41">SUMPRODUCT((Table8[F])*(Table8[Adjusted Total]/Table8[BER Total])*(Table8[Archetype]=AD33)*(Table8[County]=AD32))</f>
        <v>122.42946176715255</v>
      </c>
      <c r="AE41" s="312" cm="1">
        <f t="array" ref="AE41">SUMPRODUCT((Table8[F])*(Table8[Adjusted Total]/Table8[BER Total])*(Table8[Archetype]=AE33)*(Table8[County]=AE32))</f>
        <v>580.23108428713351</v>
      </c>
      <c r="AF41" s="372" cm="1">
        <f t="array" ref="AF41">SUMPRODUCT((Table8[F])*(Table8[Adjusted Total]/Table8[BER Total])*(Table8[Archetype]=AF33)*(Table8[County]=AF32))</f>
        <v>1401.8986757790453</v>
      </c>
      <c r="AG41" s="789" cm="1">
        <f t="array" ref="AG41">SUMPRODUCT((Table8[F])*(Table8[Adjusted Total]/Table8[BER Total])*(Table8[Archetype]=AG33)*(Table8[County]=AG32))</f>
        <v>93.046576554907716</v>
      </c>
      <c r="AH41" s="312" cm="1">
        <f t="array" ref="AH41">SUMPRODUCT((Table8[F])*(Table8[Adjusted Total]/Table8[BER Total])*(Table8[Archetype]=AH33)*(Table8[County]=AH32))</f>
        <v>993.10463318205291</v>
      </c>
      <c r="AI41" s="372" cm="1">
        <f t="array" ref="AI41">SUMPRODUCT((Table8[F])*(Table8[Adjusted Total]/Table8[BER Total])*(Table8[Archetype]=AI33)*(Table8[County]=AI32))</f>
        <v>1043.4682520937029</v>
      </c>
      <c r="AJ41" s="789" cm="1">
        <f t="array" ref="AJ41">SUMPRODUCT((Table8[F])*(Table8[Adjusted Total]/Table8[BER Total])*(Table8[Archetype]=AJ33)*(Table8[County]=AJ32))</f>
        <v>152.81705224212502</v>
      </c>
      <c r="AK41" s="312" cm="1">
        <f t="array" ref="AK41">SUMPRODUCT((Table8[F])*(Table8[Adjusted Total]/Table8[BER Total])*(Table8[Archetype]=AK33)*(Table8[County]=AK32))</f>
        <v>634.33573730536602</v>
      </c>
      <c r="AL41" s="372" cm="1">
        <f t="array" ref="AL41">SUMPRODUCT((Table8[F])*(Table8[Adjusted Total]/Table8[BER Total])*(Table8[Archetype]=AL33)*(Table8[County]=AL32))</f>
        <v>1006.0755777538245</v>
      </c>
      <c r="AM41" s="789" cm="1">
        <f t="array" ref="AM41">SUMPRODUCT((Table8[F])*(Table8[Adjusted Total]/Table8[BER Total])*(Table8[Archetype]=AM33)*(Table8[County]=AM32))</f>
        <v>162.36610528460497</v>
      </c>
      <c r="AN41" s="312" cm="1">
        <f t="array" ref="AN41">SUMPRODUCT((Table8[F])*(Table8[Adjusted Total]/Table8[BER Total])*(Table8[Archetype]=AN33)*(Table8[County]=AN32))</f>
        <v>900.2266509382755</v>
      </c>
      <c r="AO41" s="372" cm="1">
        <f t="array" ref="AO41">SUMPRODUCT((Table8[F])*(Table8[Adjusted Total]/Table8[BER Total])*(Table8[Archetype]=AO33)*(Table8[County]=AO32))</f>
        <v>1451.854553806163</v>
      </c>
      <c r="AP41" s="789" cm="1">
        <f t="array" ref="AP41">SUMPRODUCT((Table8[F])*(Table8[Adjusted Total]/Table8[BER Total])*(Table8[Archetype]=AP33)*(Table8[County]=AP32))</f>
        <v>152.00069535258919</v>
      </c>
      <c r="AQ41" s="312" cm="1">
        <f t="array" ref="AQ41">SUMPRODUCT((Table8[F])*(Table8[Adjusted Total]/Table8[BER Total])*(Table8[Archetype]=AQ33)*(Table8[County]=AQ32))</f>
        <v>1046.2558800341651</v>
      </c>
      <c r="AR41" s="372" cm="1">
        <f t="array" ref="AR41">SUMPRODUCT((Table8[F])*(Table8[Adjusted Total]/Table8[BER Total])*(Table8[Archetype]=AR33)*(Table8[County]=AR32))</f>
        <v>1249.8008288671338</v>
      </c>
      <c r="AS41" s="789" cm="1">
        <f t="array" ref="AS41">SUMPRODUCT((Table8[F])*(Table8[Adjusted Total]/Table8[BER Total])*(Table8[Archetype]=AS33)*(Table8[County]=AS32))</f>
        <v>122.15389118921291</v>
      </c>
      <c r="AT41" s="312" cm="1">
        <f t="array" ref="AT41">SUMPRODUCT((Table8[F])*(Table8[Adjusted Total]/Table8[BER Total])*(Table8[Archetype]=AT33)*(Table8[County]=AT32))</f>
        <v>714.03824423400613</v>
      </c>
      <c r="AU41" s="372" cm="1">
        <f t="array" ref="AU41">SUMPRODUCT((Table8[F])*(Table8[Adjusted Total]/Table8[BER Total])*(Table8[Archetype]=AU33)*(Table8[County]=AU32))</f>
        <v>1302.1438483345275</v>
      </c>
      <c r="AV41" s="789" cm="1">
        <f t="array" ref="AV41">SUMPRODUCT((Table8[F])*(Table8[Adjusted Total]/Table8[BER Total])*(Table8[Archetype]=AV33)*(Table8[County]=AV32))</f>
        <v>742.1863722334482</v>
      </c>
      <c r="AW41" s="312" cm="1">
        <f t="array" ref="AW41">SUMPRODUCT((Table8[F])*(Table8[Adjusted Total]/Table8[BER Total])*(Table8[Archetype]=AW33)*(Table8[County]=AW32))</f>
        <v>3752.6414231299082</v>
      </c>
      <c r="AX41" s="372" cm="1">
        <f t="array" ref="AX41">SUMPRODUCT((Table8[F])*(Table8[Adjusted Total]/Table8[BER Total])*(Table8[Archetype]=AX33)*(Table8[County]=AX32))</f>
        <v>3641.9348534082524</v>
      </c>
      <c r="AY41" s="789" cm="1">
        <f t="array" ref="AY41">SUMPRODUCT((Table8[F])*(Table8[Adjusted Total]/Table8[BER Total])*(Table8[Archetype]=AY33)*(Table8[County]=AY32))</f>
        <v>124.05761854838453</v>
      </c>
      <c r="AZ41" s="312" cm="1">
        <f t="array" ref="AZ41">SUMPRODUCT((Table8[F])*(Table8[Adjusted Total]/Table8[BER Total])*(Table8[Archetype]=AZ33)*(Table8[County]=AZ32))</f>
        <v>786.19753701981233</v>
      </c>
      <c r="BA41" s="372" cm="1">
        <f t="array" ref="BA41">SUMPRODUCT((Table8[F])*(Table8[Adjusted Total]/Table8[BER Total])*(Table8[Archetype]=BA33)*(Table8[County]=BA32))</f>
        <v>1727.4447601952647</v>
      </c>
      <c r="BB41" s="789" cm="1">
        <f t="array" ref="BB41">SUMPRODUCT((Table8[F])*(Table8[Adjusted Total]/Table8[BER Total])*(Table8[Archetype]=BB33)*(Table8[County]=BB32))</f>
        <v>269.22920279309398</v>
      </c>
      <c r="BC41" s="312" cm="1">
        <f t="array" ref="BC41">SUMPRODUCT((Table8[F])*(Table8[Adjusted Total]/Table8[BER Total])*(Table8[Archetype]=BC33)*(Table8[County]=BC32))</f>
        <v>1402.1232300703875</v>
      </c>
      <c r="BD41" s="372" cm="1">
        <f t="array" ref="BD41">SUMPRODUCT((Table8[F])*(Table8[Adjusted Total]/Table8[BER Total])*(Table8[Archetype]=BD33)*(Table8[County]=BD32))</f>
        <v>1825.5294690267435</v>
      </c>
      <c r="BE41" s="789" cm="1">
        <f t="array" ref="BE41">SUMPRODUCT((Table8[F])*(Table8[Adjusted Total]/Table8[BER Total])*(Table8[Archetype]=BE33)*(Table8[County]=BE32))</f>
        <v>189.1423479171915</v>
      </c>
      <c r="BF41" s="312" cm="1">
        <f t="array" ref="BF41">SUMPRODUCT((Table8[F])*(Table8[Adjusted Total]/Table8[BER Total])*(Table8[Archetype]=BF33)*(Table8[County]=BF32))</f>
        <v>1481.7041436658999</v>
      </c>
      <c r="BG41" s="372" cm="1">
        <f t="array" ref="BG41">SUMPRODUCT((Table8[F])*(Table8[Adjusted Total]/Table8[BER Total])*(Table8[Archetype]=BG33)*(Table8[County]=BG32))</f>
        <v>2317.9169240783767</v>
      </c>
      <c r="BH41" s="789" cm="1">
        <f t="array" ref="BH41">SUMPRODUCT((Table8[F])*(Table8[Adjusted Total]/Table8[BER Total])*(Table8[Archetype]=BH33)*(Table8[County]=BH32))</f>
        <v>146.14464092229889</v>
      </c>
      <c r="BI41" s="312" cm="1">
        <f t="array" ref="BI41">SUMPRODUCT((Table8[F])*(Table8[Adjusted Total]/Table8[BER Total])*(Table8[Archetype]=BI33)*(Table8[County]=BI32))</f>
        <v>924.78182917101321</v>
      </c>
      <c r="BJ41" s="372" cm="1">
        <f t="array" ref="BJ41">SUMPRODUCT((Table8[F])*(Table8[Adjusted Total]/Table8[BER Total])*(Table8[Archetype]=BJ33)*(Table8[County]=BJ32))</f>
        <v>855.83000209728061</v>
      </c>
      <c r="BK41" s="789" cm="1">
        <f t="array" ref="BK41">SUMPRODUCT((Table8[F])*(Table8[Adjusted Total]/Table8[BER Total])*(Table8[Archetype]=BK33)*(Table8[County]=BK32))</f>
        <v>472.08420932670015</v>
      </c>
      <c r="BL41" s="312" cm="1">
        <f t="array" ref="BL41">SUMPRODUCT((Table8[F])*(Table8[Adjusted Total]/Table8[BER Total])*(Table8[Archetype]=BL33)*(Table8[County]=BL32))</f>
        <v>1288.0757475645694</v>
      </c>
      <c r="BM41" s="372" cm="1">
        <f t="array" ref="BM41">SUMPRODUCT((Table8[F])*(Table8[Adjusted Total]/Table8[BER Total])*(Table8[Archetype]=BM33)*(Table8[County]=BM32))</f>
        <v>2625.5981121450777</v>
      </c>
      <c r="BN41" s="789" cm="1">
        <f t="array" ref="BN41">SUMPRODUCT((Table8[F])*(Table8[Adjusted Total]/Table8[BER Total])*(Table8[Archetype]=BN33)*(Table8[County]=BN32))</f>
        <v>25.518049460303505</v>
      </c>
      <c r="BO41" s="312" cm="1">
        <f t="array" ref="BO41">SUMPRODUCT((Table8[F])*(Table8[Adjusted Total]/Table8[BER Total])*(Table8[Archetype]=BO33)*(Table8[County]=BO32))</f>
        <v>219.0223450048185</v>
      </c>
      <c r="BP41" s="372" cm="1">
        <f t="array" ref="BP41">SUMPRODUCT((Table8[F])*(Table8[Adjusted Total]/Table8[BER Total])*(Table8[Archetype]=BP33)*(Table8[County]=BP32))</f>
        <v>593.39068040532868</v>
      </c>
      <c r="BQ41" s="789" cm="1">
        <f t="array" ref="BQ41">SUMPRODUCT((Table8[F])*(Table8[Adjusted Total]/Table8[BER Total])*(Table8[Archetype]=BQ33)*(Table8[County]=BQ32))</f>
        <v>119.79801895322551</v>
      </c>
      <c r="BR41" s="312" cm="1">
        <f t="array" ref="BR41">SUMPRODUCT((Table8[F])*(Table8[Adjusted Total]/Table8[BER Total])*(Table8[Archetype]=BR33)*(Table8[County]=BR32))</f>
        <v>639.00308699600669</v>
      </c>
      <c r="BS41" s="372" cm="1">
        <f t="array" ref="BS41">SUMPRODUCT((Table8[F])*(Table8[Adjusted Total]/Table8[BER Total])*(Table8[Archetype]=BS33)*(Table8[County]=BS32))</f>
        <v>2072.5881249878967</v>
      </c>
      <c r="BT41" s="789" cm="1">
        <f t="array" ref="BT41">SUMPRODUCT((Table8[F])*(Table8[Adjusted Total]/Table8[BER Total])*(Table8[Archetype]=BT33)*(Table8[County]=BT32))</f>
        <v>33.270459332903577</v>
      </c>
      <c r="BU41" s="312" cm="1">
        <f t="array" ref="BU41">SUMPRODUCT((Table8[F])*(Table8[Adjusted Total]/Table8[BER Total])*(Table8[Archetype]=BU33)*(Table8[County]=BU32))</f>
        <v>344.76674695943206</v>
      </c>
      <c r="BV41" s="372" cm="1">
        <f t="array" ref="BV41">SUMPRODUCT((Table8[F])*(Table8[Adjusted Total]/Table8[BER Total])*(Table8[Archetype]=BV33)*(Table8[County]=BV32))</f>
        <v>1165.7156797268954</v>
      </c>
      <c r="BW41" s="789" cm="1">
        <f t="array" ref="BW41">SUMPRODUCT((Table8[F])*(Table8[Adjusted Total]/Table8[BER Total])*(Table8[Archetype]=BW33)*(Table8[County]=BW32))</f>
        <v>64.961020640404271</v>
      </c>
      <c r="BX41" s="312" cm="1">
        <f t="array" ref="BX41">SUMPRODUCT((Table8[F])*(Table8[Adjusted Total]/Table8[BER Total])*(Table8[Archetype]=BX33)*(Table8[County]=BX32))</f>
        <v>478.00981992356589</v>
      </c>
      <c r="BY41" s="372" cm="1">
        <f t="array" ref="BY41">SUMPRODUCT((Table8[F])*(Table8[Adjusted Total]/Table8[BER Total])*(Table8[Archetype]=BY33)*(Table8[County]=BY32))</f>
        <v>1019.6808316344026</v>
      </c>
      <c r="BZ41" s="789" cm="1">
        <f t="array" ref="BZ41">SUMPRODUCT((Table8[F])*(Table8[Adjusted Total]/Table8[BER Total])*(Table8[Archetype]=BZ33)*(Table8[County]=BZ32))</f>
        <v>70.470499829528293</v>
      </c>
      <c r="CA41" s="312" cm="1">
        <f t="array" ref="CA41">SUMPRODUCT((Table8[F])*(Table8[Adjusted Total]/Table8[BER Total])*(Table8[Archetype]=CA33)*(Table8[County]=CA32))</f>
        <v>307.47985578397703</v>
      </c>
      <c r="CB41" s="372" cm="1">
        <f t="array" ref="CB41">SUMPRODUCT((Table8[F])*(Table8[Adjusted Total]/Table8[BER Total])*(Table8[Archetype]=CB33)*(Table8[County]=CB32))</f>
        <v>923.15353079361739</v>
      </c>
      <c r="CC41" s="789" cm="1">
        <f t="array" ref="CC41">SUMPRODUCT((Table8[F])*(Table8[Adjusted Total]/Table8[BER Total])*(Table8[Archetype]=CC33)*(Table8[County]=CC32))</f>
        <v>113.08091127388045</v>
      </c>
      <c r="CD41" s="312" cm="1">
        <f t="array" ref="CD41">SUMPRODUCT((Table8[F])*(Table8[Adjusted Total]/Table8[BER Total])*(Table8[Archetype]=CD33)*(Table8[County]=CD32))</f>
        <v>706.42316442867002</v>
      </c>
      <c r="CE41" s="372" cm="1">
        <f t="array" ref="CE41">SUMPRODUCT((Table8[F])*(Table8[Adjusted Total]/Table8[BER Total])*(Table8[Archetype]=CE33)*(Table8[County]=CE32))</f>
        <v>2156.1664833839036</v>
      </c>
      <c r="CF41" s="789" cm="1">
        <f t="array" ref="CF41">SUMPRODUCT((Table8[F])*(Table8[Adjusted Total]/Table8[BER Total])*(Table8[Archetype]=CF33)*(Table8[County]=CF32))</f>
        <v>64.911379459214757</v>
      </c>
      <c r="CG41" s="312" cm="1">
        <f t="array" ref="CG41">SUMPRODUCT((Table8[F])*(Table8[Adjusted Total]/Table8[BER Total])*(Table8[Archetype]=CG33)*(Table8[County]=CG32))</f>
        <v>294.82728507184595</v>
      </c>
      <c r="CH41" s="372" cm="1">
        <f t="array" ref="CH41">SUMPRODUCT((Table8[F])*(Table8[Adjusted Total]/Table8[BER Total])*(Table8[Archetype]=CH33)*(Table8[County]=CH32))</f>
        <v>710.63643640755731</v>
      </c>
    </row>
    <row r="42" spans="2:86" ht="15" thickBot="1">
      <c r="C42" s="261"/>
      <c r="H42" s="777" t="s">
        <v>64</v>
      </c>
      <c r="I42" s="791" cm="1">
        <f t="array" ref="I42">SUMPRODUCT((Table8[G])*(Table8[Adjusted Total]/Table8[BER Total])*(Table8[Archetype]=I33)*(Table8[County]=I32))</f>
        <v>78.215997413596682</v>
      </c>
      <c r="J42" s="376" cm="1">
        <f t="array" ref="J42">SUMPRODUCT((Table8[G])*(Table8[Adjusted Total]/Table8[BER Total])*(Table8[Archetype]=J33)*(Table8[County]=J32))</f>
        <v>340.32595717075412</v>
      </c>
      <c r="K42" s="377" cm="1">
        <f t="array" ref="K42">SUMPRODUCT((Table8[G])*(Table8[Adjusted Total]/Table8[BER Total])*(Table8[Archetype]=K33)*(Table8[County]=K32))</f>
        <v>1091.6328982020818</v>
      </c>
      <c r="L42" s="791" cm="1">
        <f t="array" ref="L42">SUMPRODUCT((Table8[G])*(Table8[Adjusted Total]/Table8[BER Total])*(Table8[Archetype]=L33)*(Table8[County]=L32))</f>
        <v>3920.9529144305266</v>
      </c>
      <c r="M42" s="376" cm="1">
        <f t="array" ref="M42">SUMPRODUCT((Table8[G])*(Table8[Adjusted Total]/Table8[BER Total])*(Table8[Archetype]=M33)*(Table8[County]=M32))</f>
        <v>14876.02952344032</v>
      </c>
      <c r="N42" s="377" cm="1">
        <f t="array" ref="N42">SUMPRODUCT((Table8[G])*(Table8[Adjusted Total]/Table8[BER Total])*(Table8[Archetype]=N33)*(Table8[County]=N32))</f>
        <v>3590.952624460363</v>
      </c>
      <c r="O42" s="791" cm="1">
        <f t="array" ref="O42">SUMPRODUCT((Table8[G])*(Table8[Adjusted Total]/Table8[BER Total])*(Table8[Archetype]=O33)*(Table8[County]=O32))</f>
        <v>254.99553817517318</v>
      </c>
      <c r="P42" s="376" cm="1">
        <f t="array" ref="P42">SUMPRODUCT((Table8[G])*(Table8[Adjusted Total]/Table8[BER Total])*(Table8[Archetype]=P33)*(Table8[County]=P32))</f>
        <v>953.88219701593891</v>
      </c>
      <c r="Q42" s="377" cm="1">
        <f t="array" ref="Q42">SUMPRODUCT((Table8[G])*(Table8[Adjusted Total]/Table8[BER Total])*(Table8[Archetype]=Q33)*(Table8[County]=Q32))</f>
        <v>1752.4012374383487</v>
      </c>
      <c r="R42" s="791" cm="1">
        <f t="array" ref="R42">SUMPRODUCT((Table8[G])*(Table8[Adjusted Total]/Table8[BER Total])*(Table8[Archetype]=R33)*(Table8[County]=R32))</f>
        <v>111.01807144886514</v>
      </c>
      <c r="S42" s="376" cm="1">
        <f t="array" ref="S42">SUMPRODUCT((Table8[G])*(Table8[Adjusted Total]/Table8[BER Total])*(Table8[Archetype]=S33)*(Table8[County]=S32))</f>
        <v>665.47923954144892</v>
      </c>
      <c r="T42" s="377" cm="1">
        <f t="array" ref="T42">SUMPRODUCT((Table8[G])*(Table8[Adjusted Total]/Table8[BER Total])*(Table8[Archetype]=T33)*(Table8[County]=T32))</f>
        <v>2156.4187215841721</v>
      </c>
      <c r="U42" s="791" cm="1">
        <f t="array" ref="U42">SUMPRODUCT((Table8[G])*(Table8[Adjusted Total]/Table8[BER Total])*(Table8[Archetype]=U33)*(Table8[County]=U32))</f>
        <v>80.140699576066012</v>
      </c>
      <c r="V42" s="376" cm="1">
        <f t="array" ref="V42">SUMPRODUCT((Table8[G])*(Table8[Adjusted Total]/Table8[BER Total])*(Table8[Archetype]=V33)*(Table8[County]=V32))</f>
        <v>739.25140196721259</v>
      </c>
      <c r="W42" s="377" cm="1">
        <f t="array" ref="W42">SUMPRODUCT((Table8[G])*(Table8[Adjusted Total]/Table8[BER Total])*(Table8[Archetype]=W33)*(Table8[County]=W32))</f>
        <v>1636.7796376643894</v>
      </c>
      <c r="X42" s="791" cm="1">
        <f t="array" ref="X42">SUMPRODUCT((Table8[G])*(Table8[Adjusted Total]/Table8[BER Total])*(Table8[Archetype]=X33)*(Table8[County]=X32))</f>
        <v>40.633729529859139</v>
      </c>
      <c r="Y42" s="376" cm="1">
        <f t="array" ref="Y42">SUMPRODUCT((Table8[G])*(Table8[Adjusted Total]/Table8[BER Total])*(Table8[Archetype]=Y33)*(Table8[County]=Y32))</f>
        <v>212.47355171243336</v>
      </c>
      <c r="Z42" s="377" cm="1">
        <f t="array" ref="Z42">SUMPRODUCT((Table8[G])*(Table8[Adjusted Total]/Table8[BER Total])*(Table8[Archetype]=Z33)*(Table8[County]=Z32))</f>
        <v>1191.1002222627314</v>
      </c>
      <c r="AA42" s="791" cm="1">
        <f t="array" ref="AA42">SUMPRODUCT((Table8[G])*(Table8[Adjusted Total]/Table8[BER Total])*(Table8[Archetype]=AA33)*(Table8[County]=AA32))</f>
        <v>129.7819424718621</v>
      </c>
      <c r="AB42" s="376" cm="1">
        <f t="array" ref="AB42">SUMPRODUCT((Table8[G])*(Table8[Adjusted Total]/Table8[BER Total])*(Table8[Archetype]=AB33)*(Table8[County]=AB32))</f>
        <v>1140.0405442373233</v>
      </c>
      <c r="AC42" s="377" cm="1">
        <f t="array" ref="AC42">SUMPRODUCT((Table8[G])*(Table8[Adjusted Total]/Table8[BER Total])*(Table8[Archetype]=AC33)*(Table8[County]=AC32))</f>
        <v>1364.3830208486397</v>
      </c>
      <c r="AD42" s="791" cm="1">
        <f t="array" ref="AD42">SUMPRODUCT((Table8[G])*(Table8[Adjusted Total]/Table8[BER Total])*(Table8[Archetype]=AD33)*(Table8[County]=AD32))</f>
        <v>132.92341563290847</v>
      </c>
      <c r="AE42" s="376" cm="1">
        <f t="array" ref="AE42">SUMPRODUCT((Table8[G])*(Table8[Adjusted Total]/Table8[BER Total])*(Table8[Archetype]=AE33)*(Table8[County]=AE32))</f>
        <v>547.65126404641205</v>
      </c>
      <c r="AF42" s="377" cm="1">
        <f t="array" ref="AF42">SUMPRODUCT((Table8[G])*(Table8[Adjusted Total]/Table8[BER Total])*(Table8[Archetype]=AF33)*(Table8[County]=AF32))</f>
        <v>2480.7382486830043</v>
      </c>
      <c r="AG42" s="791" cm="1">
        <f t="array" ref="AG42">SUMPRODUCT((Table8[G])*(Table8[Adjusted Total]/Table8[BER Total])*(Table8[Archetype]=AG33)*(Table8[County]=AG32))</f>
        <v>94.623637174482425</v>
      </c>
      <c r="AH42" s="376" cm="1">
        <f t="array" ref="AH42">SUMPRODUCT((Table8[G])*(Table8[Adjusted Total]/Table8[BER Total])*(Table8[Archetype]=AH33)*(Table8[County]=AH32))</f>
        <v>959.05533147295398</v>
      </c>
      <c r="AI42" s="377" cm="1">
        <f t="array" ref="AI42">SUMPRODUCT((Table8[G])*(Table8[Adjusted Total]/Table8[BER Total])*(Table8[Archetype]=AI33)*(Table8[County]=AI32))</f>
        <v>1753.4229172840387</v>
      </c>
      <c r="AJ42" s="791" cm="1">
        <f t="array" ref="AJ42">SUMPRODUCT((Table8[G])*(Table8[Adjusted Total]/Table8[BER Total])*(Table8[Archetype]=AJ33)*(Table8[County]=AJ32))</f>
        <v>119.59595392861958</v>
      </c>
      <c r="AK42" s="376" cm="1">
        <f t="array" ref="AK42">SUMPRODUCT((Table8[G])*(Table8[Adjusted Total]/Table8[BER Total])*(Table8[Archetype]=AK33)*(Table8[County]=AK32))</f>
        <v>888.07003222751246</v>
      </c>
      <c r="AL42" s="377" cm="1">
        <f t="array" ref="AL42">SUMPRODUCT((Table8[G])*(Table8[Adjusted Total]/Table8[BER Total])*(Table8[Archetype]=AL33)*(Table8[County]=AL32))</f>
        <v>2043.4133909745758</v>
      </c>
      <c r="AM42" s="791" cm="1">
        <f t="array" ref="AM42">SUMPRODUCT((Table8[G])*(Table8[Adjusted Total]/Table8[BER Total])*(Table8[Archetype]=AM33)*(Table8[County]=AM32))</f>
        <v>191.88721533635132</v>
      </c>
      <c r="AN42" s="376" cm="1">
        <f t="array" ref="AN42">SUMPRODUCT((Table8[G])*(Table8[Adjusted Total]/Table8[BER Total])*(Table8[Archetype]=AN33)*(Table8[County]=AN32))</f>
        <v>1068.2911458454212</v>
      </c>
      <c r="AO42" s="377" cm="1">
        <f t="array" ref="AO42">SUMPRODUCT((Table8[G])*(Table8[Adjusted Total]/Table8[BER Total])*(Table8[Archetype]=AO33)*(Table8[County]=AO32))</f>
        <v>2371.5180493039575</v>
      </c>
      <c r="AP42" s="791" cm="1">
        <f t="array" ref="AP42">SUMPRODUCT((Table8[G])*(Table8[Adjusted Total]/Table8[BER Total])*(Table8[Archetype]=AP33)*(Table8[County]=AP32))</f>
        <v>261.36704932579357</v>
      </c>
      <c r="AQ42" s="376" cm="1">
        <f t="array" ref="AQ42">SUMPRODUCT((Table8[G])*(Table8[Adjusted Total]/Table8[BER Total])*(Table8[Archetype]=AQ33)*(Table8[County]=AQ32))</f>
        <v>1144.6660865720321</v>
      </c>
      <c r="AR42" s="377" cm="1">
        <f t="array" ref="AR42">SUMPRODUCT((Table8[G])*(Table8[Adjusted Total]/Table8[BER Total])*(Table8[Archetype]=AR33)*(Table8[County]=AR32))</f>
        <v>1993.9170456349871</v>
      </c>
      <c r="AS42" s="791" cm="1">
        <f t="array" ref="AS42">SUMPRODUCT((Table8[G])*(Table8[Adjusted Total]/Table8[BER Total])*(Table8[Archetype]=AS33)*(Table8[County]=AS32))</f>
        <v>186.44541286774603</v>
      </c>
      <c r="AT42" s="376" cm="1">
        <f t="array" ref="AT42">SUMPRODUCT((Table8[G])*(Table8[Adjusted Total]/Table8[BER Total])*(Table8[Archetype]=AT33)*(Table8[County]=AT32))</f>
        <v>702.62667412067731</v>
      </c>
      <c r="AU42" s="377" cm="1">
        <f t="array" ref="AU42">SUMPRODUCT((Table8[G])*(Table8[Adjusted Total]/Table8[BER Total])*(Table8[Archetype]=AU33)*(Table8[County]=AU32))</f>
        <v>2703.1221443604804</v>
      </c>
      <c r="AV42" s="791" cm="1">
        <f t="array" ref="AV42">SUMPRODUCT((Table8[G])*(Table8[Adjusted Total]/Table8[BER Total])*(Table8[Archetype]=AV33)*(Table8[County]=AV32))</f>
        <v>1071.1467075246926</v>
      </c>
      <c r="AW42" s="376" cm="1">
        <f t="array" ref="AW42">SUMPRODUCT((Table8[G])*(Table8[Adjusted Total]/Table8[BER Total])*(Table8[Archetype]=AW33)*(Table8[County]=AW32))</f>
        <v>4491.8808301123163</v>
      </c>
      <c r="AX42" s="377" cm="1">
        <f t="array" ref="AX42">SUMPRODUCT((Table8[G])*(Table8[Adjusted Total]/Table8[BER Total])*(Table8[Archetype]=AX33)*(Table8[County]=AX32))</f>
        <v>7373.7603950457287</v>
      </c>
      <c r="AY42" s="791" cm="1">
        <f t="array" ref="AY42">SUMPRODUCT((Table8[G])*(Table8[Adjusted Total]/Table8[BER Total])*(Table8[Archetype]=AY33)*(Table8[County]=AY32))</f>
        <v>190.47230322580251</v>
      </c>
      <c r="AZ42" s="376" cm="1">
        <f t="array" ref="AZ42">SUMPRODUCT((Table8[G])*(Table8[Adjusted Total]/Table8[BER Total])*(Table8[Archetype]=AZ33)*(Table8[County]=AZ32))</f>
        <v>880.66313255320063</v>
      </c>
      <c r="BA42" s="377" cm="1">
        <f t="array" ref="BA42">SUMPRODUCT((Table8[G])*(Table8[Adjusted Total]/Table8[BER Total])*(Table8[Archetype]=BA33)*(Table8[County]=BA32))</f>
        <v>3172.0330684287314</v>
      </c>
      <c r="BB42" s="791" cm="1">
        <f t="array" ref="BB42">SUMPRODUCT((Table8[G])*(Table8[Adjusted Total]/Table8[BER Total])*(Table8[Archetype]=BB33)*(Table8[County]=BB32))</f>
        <v>319.55241826843866</v>
      </c>
      <c r="BC42" s="376" cm="1">
        <f t="array" ref="BC42">SUMPRODUCT((Table8[G])*(Table8[Adjusted Total]/Table8[BER Total])*(Table8[Archetype]=BC33)*(Table8[County]=BC32))</f>
        <v>1497.4610346941654</v>
      </c>
      <c r="BD42" s="377" cm="1">
        <f t="array" ref="BD42">SUMPRODUCT((Table8[G])*(Table8[Adjusted Total]/Table8[BER Total])*(Table8[Archetype]=BD33)*(Table8[County]=BD32))</f>
        <v>3306.7225412011371</v>
      </c>
      <c r="BE42" s="791" cm="1">
        <f t="array" ref="BE42">SUMPRODUCT((Table8[G])*(Table8[Adjusted Total]/Table8[BER Total])*(Table8[Archetype]=BE33)*(Table8[County]=BE32))</f>
        <v>310.86762132924542</v>
      </c>
      <c r="BF42" s="376" cm="1">
        <f t="array" ref="BF42">SUMPRODUCT((Table8[G])*(Table8[Adjusted Total]/Table8[BER Total])*(Table8[Archetype]=BF33)*(Table8[County]=BF32))</f>
        <v>1844.5360239485519</v>
      </c>
      <c r="BG42" s="377" cm="1">
        <f t="array" ref="BG42">SUMPRODUCT((Table8[G])*(Table8[Adjusted Total]/Table8[BER Total])*(Table8[Archetype]=BG33)*(Table8[County]=BG32))</f>
        <v>3995.6726723468455</v>
      </c>
      <c r="BH42" s="791" cm="1">
        <f t="array" ref="BH42">SUMPRODUCT((Table8[G])*(Table8[Adjusted Total]/Table8[BER Total])*(Table8[Archetype]=BH33)*(Table8[County]=BH32))</f>
        <v>176.54272623413706</v>
      </c>
      <c r="BI42" s="376" cm="1">
        <f t="array" ref="BI42">SUMPRODUCT((Table8[G])*(Table8[Adjusted Total]/Table8[BER Total])*(Table8[Archetype]=BI33)*(Table8[County]=BI32))</f>
        <v>1046.7893745109748</v>
      </c>
      <c r="BJ42" s="377" cm="1">
        <f t="array" ref="BJ42">SUMPRODUCT((Table8[G])*(Table8[Adjusted Total]/Table8[BER Total])*(Table8[Archetype]=BJ33)*(Table8[County]=BJ32))</f>
        <v>1133.0328015187267</v>
      </c>
      <c r="BK42" s="791" cm="1">
        <f t="array" ref="BK42">SUMPRODUCT((Table8[G])*(Table8[Adjusted Total]/Table8[BER Total])*(Table8[Archetype]=BK33)*(Table8[County]=BK32))</f>
        <v>345.73225918337744</v>
      </c>
      <c r="BL42" s="376" cm="1">
        <f t="array" ref="BL42">SUMPRODUCT((Table8[G])*(Table8[Adjusted Total]/Table8[BER Total])*(Table8[Archetype]=BL33)*(Table8[County]=BL32))</f>
        <v>1242.3545765983852</v>
      </c>
      <c r="BM42" s="377" cm="1">
        <f t="array" ref="BM42">SUMPRODUCT((Table8[G])*(Table8[Adjusted Total]/Table8[BER Total])*(Table8[Archetype]=BM33)*(Table8[County]=BM32))</f>
        <v>4969.4247195721473</v>
      </c>
      <c r="BN42" s="791" cm="1">
        <f t="array" ref="BN42">SUMPRODUCT((Table8[G])*(Table8[Adjusted Total]/Table8[BER Total])*(Table8[Archetype]=BN33)*(Table8[County]=BN32))</f>
        <v>24.497327481891364</v>
      </c>
      <c r="BO42" s="376" cm="1">
        <f t="array" ref="BO42">SUMPRODUCT((Table8[G])*(Table8[Adjusted Total]/Table8[BER Total])*(Table8[Archetype]=BO33)*(Table8[County]=BO32))</f>
        <v>207.28900509384607</v>
      </c>
      <c r="BP42" s="377" cm="1">
        <f t="array" ref="BP42">SUMPRODUCT((Table8[G])*(Table8[Adjusted Total]/Table8[BER Total])*(Table8[Archetype]=BP33)*(Table8[County]=BP32))</f>
        <v>1326.9918169401865</v>
      </c>
      <c r="BQ42" s="791" cm="1">
        <f t="array" ref="BQ42">SUMPRODUCT((Table8[G])*(Table8[Adjusted Total]/Table8[BER Total])*(Table8[Archetype]=BQ33)*(Table8[County]=BQ32))</f>
        <v>132.19091746562813</v>
      </c>
      <c r="BR42" s="376" cm="1">
        <f t="array" ref="BR42">SUMPRODUCT((Table8[G])*(Table8[Adjusted Total]/Table8[BER Total])*(Table8[Archetype]=BR33)*(Table8[County]=BR32))</f>
        <v>908.91278786454882</v>
      </c>
      <c r="BS42" s="377" cm="1">
        <f t="array" ref="BS42">SUMPRODUCT((Table8[G])*(Table8[Adjusted Total]/Table8[BER Total])*(Table8[Archetype]=BS33)*(Table8[County]=BS32))</f>
        <v>3969.5331885361406</v>
      </c>
      <c r="BT42" s="791" cm="1">
        <f t="array" ref="BT42">SUMPRODUCT((Table8[G])*(Table8[Adjusted Total]/Table8[BER Total])*(Table8[Archetype]=BT33)*(Table8[County]=BT32))</f>
        <v>56.303854255682978</v>
      </c>
      <c r="BU42" s="376" cm="1">
        <f t="array" ref="BU42">SUMPRODUCT((Table8[G])*(Table8[Adjusted Total]/Table8[BER Total])*(Table8[Archetype]=BU33)*(Table8[County]=BU32))</f>
        <v>333.74680527579727</v>
      </c>
      <c r="BV42" s="377" cm="1">
        <f t="array" ref="BV42">SUMPRODUCT((Table8[G])*(Table8[Adjusted Total]/Table8[BER Total])*(Table8[Archetype]=BV33)*(Table8[County]=BV32))</f>
        <v>2611.904304951991</v>
      </c>
      <c r="BW42" s="791" cm="1">
        <f t="array" ref="BW42">SUMPRODUCT((Table8[G])*(Table8[Adjusted Total]/Table8[BER Total])*(Table8[Archetype]=BW33)*(Table8[County]=BW32))</f>
        <v>43.892581513786666</v>
      </c>
      <c r="BX42" s="376" cm="1">
        <f t="array" ref="BX42">SUMPRODUCT((Table8[G])*(Table8[Adjusted Total]/Table8[BER Total])*(Table8[Archetype]=BX33)*(Table8[County]=BX32))</f>
        <v>580.22575625942272</v>
      </c>
      <c r="BY42" s="377" cm="1">
        <f t="array" ref="BY42">SUMPRODUCT((Table8[G])*(Table8[Adjusted Total]/Table8[BER Total])*(Table8[Archetype]=BY33)*(Table8[County]=BY32))</f>
        <v>1682.4733721967643</v>
      </c>
      <c r="BZ42" s="791" cm="1">
        <f t="array" ref="BZ42">SUMPRODUCT((Table8[G])*(Table8[Adjusted Total]/Table8[BER Total])*(Table8[Archetype]=BZ33)*(Table8[County]=BZ32))</f>
        <v>84.564599795433949</v>
      </c>
      <c r="CA42" s="376" cm="1">
        <f t="array" ref="CA42">SUMPRODUCT((Table8[G])*(Table8[Adjusted Total]/Table8[BER Total])*(Table8[Archetype]=CA33)*(Table8[County]=CA32))</f>
        <v>417.73778386813041</v>
      </c>
      <c r="CB42" s="377" cm="1">
        <f t="array" ref="CB42">SUMPRODUCT((Table8[G])*(Table8[Adjusted Total]/Table8[BER Total])*(Table8[Archetype]=CB33)*(Table8[County]=CB32))</f>
        <v>1830.016116926171</v>
      </c>
      <c r="CC42" s="791" cm="1">
        <f t="array" ref="CC42">SUMPRODUCT((Table8[G])*(Table8[Adjusted Total]/Table8[BER Total])*(Table8[Archetype]=CC33)*(Table8[County]=CC32))</f>
        <v>137.06777124106719</v>
      </c>
      <c r="CD42" s="376" cm="1">
        <f t="array" ref="CD42">SUMPRODUCT((Table8[G])*(Table8[Adjusted Total]/Table8[BER Total])*(Table8[Archetype]=CD33)*(Table8[County]=CD32))</f>
        <v>891.79661892413662</v>
      </c>
      <c r="CE42" s="377" cm="1">
        <f t="array" ref="CE42">SUMPRODUCT((Table8[G])*(Table8[Adjusted Total]/Table8[BER Total])*(Table8[Archetype]=CE33)*(Table8[County]=CE32))</f>
        <v>3758.563432783963</v>
      </c>
      <c r="CF42" s="791" cm="1">
        <f t="array" ref="CF42">SUMPRODUCT((Table8[G])*(Table8[Adjusted Total]/Table8[BER Total])*(Table8[Archetype]=CF33)*(Table8[County]=CF32))</f>
        <v>162.27844864803691</v>
      </c>
      <c r="CG42" s="376" cm="1">
        <f t="array" ref="CG42">SUMPRODUCT((Table8[G])*(Table8[Adjusted Total]/Table8[BER Total])*(Table8[Archetype]=CG33)*(Table8[County]=CG32))</f>
        <v>314.72360492332024</v>
      </c>
      <c r="CH42" s="377" cm="1">
        <f t="array" ref="CH42">SUMPRODUCT((Table8[G])*(Table8[Adjusted Total]/Table8[BER Total])*(Table8[Archetype]=CH33)*(Table8[County]=CH32))</f>
        <v>1194.6374687716234</v>
      </c>
    </row>
    <row r="43" spans="2:86" ht="15" thickBot="1">
      <c r="C43" s="261"/>
      <c r="H43" s="778" t="s">
        <v>218</v>
      </c>
      <c r="I43" s="784">
        <f t="shared" ref="I43:AN43" si="5">SUM(I34:I42)</f>
        <v>1265.0844329746315</v>
      </c>
      <c r="J43" s="785">
        <f t="shared" si="5"/>
        <v>8787.3696255538798</v>
      </c>
      <c r="K43" s="786">
        <f t="shared" si="5"/>
        <v>10676.005161415982</v>
      </c>
      <c r="L43" s="780">
        <f t="shared" si="5"/>
        <v>123256.67820831671</v>
      </c>
      <c r="M43" s="317">
        <f t="shared" si="5"/>
        <v>297634.87494657928</v>
      </c>
      <c r="N43" s="787">
        <f t="shared" si="5"/>
        <v>55459.174425610254</v>
      </c>
      <c r="O43" s="780">
        <f t="shared" si="5"/>
        <v>7363.7968231969135</v>
      </c>
      <c r="P43" s="317">
        <f t="shared" si="5"/>
        <v>38144.204386107944</v>
      </c>
      <c r="Q43" s="787">
        <f t="shared" si="5"/>
        <v>30304.517514538838</v>
      </c>
      <c r="R43" s="780">
        <f t="shared" si="5"/>
        <v>1751.3817529766175</v>
      </c>
      <c r="S43" s="317">
        <f t="shared" si="5"/>
        <v>12508.441600918088</v>
      </c>
      <c r="T43" s="787">
        <f t="shared" si="5"/>
        <v>20891.382011189213</v>
      </c>
      <c r="U43" s="780">
        <f t="shared" si="5"/>
        <v>1434.9997251520253</v>
      </c>
      <c r="V43" s="317">
        <f t="shared" si="5"/>
        <v>11510.58391452228</v>
      </c>
      <c r="W43" s="787">
        <f t="shared" si="5"/>
        <v>16295.614216511489</v>
      </c>
      <c r="X43" s="780">
        <f t="shared" si="5"/>
        <v>691.43208570294928</v>
      </c>
      <c r="Y43" s="317">
        <f t="shared" si="5"/>
        <v>4746.2770797513549</v>
      </c>
      <c r="Z43" s="787">
        <f t="shared" si="5"/>
        <v>9718.9087422298653</v>
      </c>
      <c r="AA43" s="780">
        <f t="shared" si="5"/>
        <v>3038.8153054039785</v>
      </c>
      <c r="AB43" s="317">
        <f t="shared" si="5"/>
        <v>24289.540001760251</v>
      </c>
      <c r="AC43" s="787">
        <f t="shared" si="5"/>
        <v>18866.743201020949</v>
      </c>
      <c r="AD43" s="780">
        <f t="shared" si="5"/>
        <v>5411.4225176697691</v>
      </c>
      <c r="AE43" s="317">
        <f t="shared" si="5"/>
        <v>27103.374443441171</v>
      </c>
      <c r="AF43" s="787">
        <f t="shared" si="5"/>
        <v>34324.09820344366</v>
      </c>
      <c r="AG43" s="780">
        <f t="shared" si="5"/>
        <v>1175.2936766265591</v>
      </c>
      <c r="AH43" s="317">
        <f t="shared" si="5"/>
        <v>10239.258420802398</v>
      </c>
      <c r="AI43" s="787">
        <f t="shared" si="5"/>
        <v>15966.202026112715</v>
      </c>
      <c r="AJ43" s="780">
        <f t="shared" si="5"/>
        <v>2888.9605821519499</v>
      </c>
      <c r="AK43" s="317">
        <f t="shared" si="5"/>
        <v>12264.197780781444</v>
      </c>
      <c r="AL43" s="787">
        <f t="shared" si="5"/>
        <v>16822.932669034672</v>
      </c>
      <c r="AM43" s="780">
        <f t="shared" si="5"/>
        <v>2668.9797196485479</v>
      </c>
      <c r="AN43" s="317">
        <f t="shared" si="5"/>
        <v>18385.501077566361</v>
      </c>
      <c r="AO43" s="787">
        <f t="shared" ref="AO43:BT43" si="6">SUM(AO34:AO42)</f>
        <v>33878.287885206948</v>
      </c>
      <c r="AP43" s="780">
        <f t="shared" si="6"/>
        <v>4513.1911767694201</v>
      </c>
      <c r="AQ43" s="317">
        <f t="shared" si="6"/>
        <v>23167.339151815657</v>
      </c>
      <c r="AR43" s="787">
        <f t="shared" si="6"/>
        <v>22529.580764463226</v>
      </c>
      <c r="AS43" s="780">
        <f t="shared" si="6"/>
        <v>2491.2235846235253</v>
      </c>
      <c r="AT43" s="317">
        <f t="shared" si="6"/>
        <v>15118.989670799881</v>
      </c>
      <c r="AU43" s="787">
        <f t="shared" si="6"/>
        <v>26221.499459384846</v>
      </c>
      <c r="AV43" s="780">
        <f t="shared" si="6"/>
        <v>18164.569738528382</v>
      </c>
      <c r="AW43" s="317">
        <f t="shared" si="6"/>
        <v>91446.903647123108</v>
      </c>
      <c r="AX43" s="787">
        <f t="shared" si="6"/>
        <v>88706.618668082694</v>
      </c>
      <c r="AY43" s="780">
        <f t="shared" si="6"/>
        <v>2906.0721193547802</v>
      </c>
      <c r="AZ43" s="317">
        <f t="shared" si="6"/>
        <v>15686.699374231552</v>
      </c>
      <c r="BA43" s="787">
        <f t="shared" si="6"/>
        <v>36376.580790193235</v>
      </c>
      <c r="BB43" s="780">
        <f t="shared" si="6"/>
        <v>7461.1258002920376</v>
      </c>
      <c r="BC43" s="317">
        <f t="shared" si="6"/>
        <v>31695.949118274744</v>
      </c>
      <c r="BD43" s="787">
        <f t="shared" si="6"/>
        <v>32750.827361563519</v>
      </c>
      <c r="BE43" s="780">
        <f t="shared" si="6"/>
        <v>2382.2341251096568</v>
      </c>
      <c r="BF43" s="317">
        <f t="shared" si="6"/>
        <v>21954.232438086234</v>
      </c>
      <c r="BG43" s="787">
        <f t="shared" si="6"/>
        <v>34965.040184897764</v>
      </c>
      <c r="BH43" s="780">
        <f t="shared" si="6"/>
        <v>3199.1719442467102</v>
      </c>
      <c r="BI43" s="317">
        <f t="shared" si="6"/>
        <v>21769.226916806354</v>
      </c>
      <c r="BJ43" s="787">
        <f t="shared" si="6"/>
        <v>19142.703253806059</v>
      </c>
      <c r="BK43" s="780">
        <f t="shared" si="6"/>
        <v>9881.5892011882625</v>
      </c>
      <c r="BL43" s="317">
        <f t="shared" si="6"/>
        <v>27589.465054026703</v>
      </c>
      <c r="BM43" s="787">
        <f t="shared" si="6"/>
        <v>55372.585087977008</v>
      </c>
      <c r="BN43" s="780">
        <f t="shared" si="6"/>
        <v>543.02409251525864</v>
      </c>
      <c r="BO43" s="317">
        <f t="shared" si="6"/>
        <v>2737.7793125602311</v>
      </c>
      <c r="BP43" s="787">
        <f t="shared" si="6"/>
        <v>9101.1608576935432</v>
      </c>
      <c r="BQ43" s="780">
        <f t="shared" si="6"/>
        <v>2141.3166117916521</v>
      </c>
      <c r="BR43" s="317">
        <f t="shared" si="6"/>
        <v>12519.701036831018</v>
      </c>
      <c r="BS43" s="787">
        <f t="shared" si="6"/>
        <v>34699.30894292317</v>
      </c>
      <c r="BT43" s="780">
        <f t="shared" si="6"/>
        <v>676.45175529921289</v>
      </c>
      <c r="BU43" s="317">
        <f t="shared" ref="BU43:CH43" si="7">SUM(BU34:BU42)</f>
        <v>5372.2948402948405</v>
      </c>
      <c r="BV43" s="787">
        <f t="shared" si="7"/>
        <v>18080.993461874819</v>
      </c>
      <c r="BW43" s="780">
        <f t="shared" si="7"/>
        <v>1676.0939551367242</v>
      </c>
      <c r="BX43" s="317">
        <f t="shared" si="7"/>
        <v>8889.5641738149861</v>
      </c>
      <c r="BY43" s="787">
        <f t="shared" si="7"/>
        <v>14494.215013491199</v>
      </c>
      <c r="BZ43" s="780">
        <f t="shared" si="7"/>
        <v>1271.052567009926</v>
      </c>
      <c r="CA43" s="317">
        <f t="shared" si="7"/>
        <v>7706.8792520168045</v>
      </c>
      <c r="CB43" s="787">
        <f t="shared" si="7"/>
        <v>18119.875348525962</v>
      </c>
      <c r="CC43" s="780">
        <f t="shared" si="7"/>
        <v>2392.9923596273825</v>
      </c>
      <c r="CD43" s="317">
        <f t="shared" si="7"/>
        <v>15881.582138278784</v>
      </c>
      <c r="CE43" s="787">
        <f t="shared" si="7"/>
        <v>40738.467908725754</v>
      </c>
      <c r="CF43" s="780">
        <f t="shared" si="7"/>
        <v>1027.5356632394301</v>
      </c>
      <c r="CG43" s="317">
        <f t="shared" si="7"/>
        <v>6619.1242565355706</v>
      </c>
      <c r="CH43" s="787">
        <f t="shared" si="7"/>
        <v>14155.109041449583</v>
      </c>
    </row>
    <row r="44" spans="2:86" ht="14.5">
      <c r="C44" s="261"/>
    </row>
    <row r="45" spans="2:86" ht="14.5">
      <c r="K45" s="351" t="s">
        <v>571</v>
      </c>
    </row>
    <row r="46" spans="2:86">
      <c r="L46" s="228"/>
      <c r="M46" s="228"/>
      <c r="N46" s="228"/>
      <c r="O46" s="228"/>
      <c r="P46" s="228"/>
      <c r="Q46" s="228"/>
      <c r="R46" s="228"/>
      <c r="S46" s="228"/>
      <c r="T46" s="228"/>
      <c r="U46" s="228"/>
      <c r="V46" s="228"/>
      <c r="W46" s="228"/>
      <c r="X46" s="228"/>
      <c r="Y46" s="228"/>
      <c r="Z46" s="228"/>
      <c r="AA46" s="228"/>
      <c r="AB46" s="228"/>
      <c r="AC46" s="228"/>
      <c r="AD46" s="228"/>
      <c r="AE46" s="228"/>
      <c r="AF46" s="228"/>
      <c r="AG46" s="228"/>
      <c r="AH46" s="228"/>
      <c r="AI46" s="228"/>
      <c r="AJ46" s="228"/>
      <c r="AK46" s="228"/>
      <c r="AL46" s="228"/>
      <c r="AM46" s="228"/>
    </row>
    <row r="47" spans="2:86" ht="13" thickBot="1">
      <c r="C47" s="122"/>
      <c r="D47" s="122"/>
      <c r="E47" s="122"/>
    </row>
    <row r="48" spans="2:86" ht="15" thickBot="1">
      <c r="B48" s="1144" t="s">
        <v>288</v>
      </c>
      <c r="C48" s="1145"/>
      <c r="D48" s="1145"/>
      <c r="E48" s="1145"/>
      <c r="F48" s="1145"/>
      <c r="G48" s="1145"/>
      <c r="H48" s="1145"/>
      <c r="I48" s="1145"/>
      <c r="J48" s="1145"/>
      <c r="K48" s="1145"/>
      <c r="L48" s="1146"/>
      <c r="M48" s="1141" t="s">
        <v>289</v>
      </c>
      <c r="N48" s="1142"/>
      <c r="O48" s="1143"/>
    </row>
    <row r="49" spans="1:44" ht="13" thickBot="1">
      <c r="A49" s="123" t="s">
        <v>290</v>
      </c>
      <c r="B49" s="123" t="s">
        <v>87</v>
      </c>
      <c r="C49" s="179" t="s">
        <v>48</v>
      </c>
      <c r="D49" s="180" t="s">
        <v>50</v>
      </c>
      <c r="E49" s="180" t="s">
        <v>52</v>
      </c>
      <c r="F49" s="180" t="s">
        <v>54</v>
      </c>
      <c r="G49" s="180" t="s">
        <v>56</v>
      </c>
      <c r="H49" s="180" t="s">
        <v>58</v>
      </c>
      <c r="I49" s="180" t="s">
        <v>60</v>
      </c>
      <c r="J49" s="180" t="s">
        <v>62</v>
      </c>
      <c r="K49" s="180" t="s">
        <v>64</v>
      </c>
      <c r="L49" s="181" t="s">
        <v>291</v>
      </c>
      <c r="M49" s="196" t="s">
        <v>292</v>
      </c>
      <c r="N49" s="192" t="s">
        <v>293</v>
      </c>
      <c r="O49" s="192" t="s">
        <v>294</v>
      </c>
      <c r="AM49" s="58" t="s">
        <v>951</v>
      </c>
    </row>
    <row r="50" spans="1:44" ht="21.5" thickBot="1">
      <c r="A50" s="124" t="s">
        <v>296</v>
      </c>
      <c r="B50" s="124" t="s">
        <v>297</v>
      </c>
      <c r="C50">
        <v>3</v>
      </c>
      <c r="D50">
        <v>7</v>
      </c>
      <c r="E50">
        <v>8</v>
      </c>
      <c r="F50">
        <v>56</v>
      </c>
      <c r="G50">
        <v>368</v>
      </c>
      <c r="H50">
        <v>261</v>
      </c>
      <c r="I50">
        <v>135</v>
      </c>
      <c r="J50">
        <v>52</v>
      </c>
      <c r="K50">
        <v>59</v>
      </c>
      <c r="L50" s="177">
        <f>SUM(Table8[[#This Row],[A]:[G]])</f>
        <v>949</v>
      </c>
      <c r="M50" s="174">
        <f>VLOOKUP(A50,Table2[],MATCH(B50,Table2[#Headers],0), 0 )</f>
        <v>1239</v>
      </c>
      <c r="N50" s="170">
        <f>VLOOKUP(A50,Table2[], 8, 0 )+SUM(Table8[[#This Row],[Residence Total]]/Table8[[#This Row],[BER Total]])</f>
        <v>1.3256948714168928</v>
      </c>
      <c r="O50" s="171">
        <f>L50*N50</f>
        <v>1258.0844329746312</v>
      </c>
      <c r="R50" s="268" t="s">
        <v>295</v>
      </c>
      <c r="AM50" s="1138" t="s">
        <v>952</v>
      </c>
      <c r="AN50" s="1138"/>
      <c r="AO50" s="1138"/>
      <c r="AP50" s="1138"/>
      <c r="AQ50" s="1138"/>
      <c r="AR50" s="1138"/>
    </row>
    <row r="51" spans="1:44" ht="15" customHeight="1" thickBot="1">
      <c r="A51" s="124" t="s">
        <v>296</v>
      </c>
      <c r="B51" s="124" t="s">
        <v>44</v>
      </c>
      <c r="C51">
        <v>284</v>
      </c>
      <c r="D51">
        <v>40</v>
      </c>
      <c r="E51">
        <v>146</v>
      </c>
      <c r="F51">
        <v>407</v>
      </c>
      <c r="G51" s="122">
        <v>2752</v>
      </c>
      <c r="H51" s="122">
        <v>1444</v>
      </c>
      <c r="I51">
        <v>512</v>
      </c>
      <c r="J51">
        <v>258</v>
      </c>
      <c r="K51">
        <v>242</v>
      </c>
      <c r="L51" s="177">
        <f>SUM(Table8[[#This Row],[A]:[G]])</f>
        <v>6085</v>
      </c>
      <c r="M51" s="174">
        <f>VLOOKUP(A51,Table2[],MATCH(B51,Table2[#Headers],0), 0 )</f>
        <v>8435</v>
      </c>
      <c r="N51" s="170">
        <f>VLOOKUP(A51,Table2[], 8, 0 )+SUM(Table8[[#This Row],[Residence Total]]/Table8[[#This Row],[BER Total]])</f>
        <v>1.4063056081436121</v>
      </c>
      <c r="O51" s="171">
        <f>L51*N51</f>
        <v>8557.3696255538798</v>
      </c>
      <c r="R51" s="269"/>
      <c r="S51" s="126" t="s">
        <v>298</v>
      </c>
      <c r="T51" s="127"/>
      <c r="U51" s="127"/>
      <c r="V51" s="127"/>
      <c r="W51" s="127"/>
      <c r="X51" s="127"/>
      <c r="Y51" s="127"/>
      <c r="Z51" s="128"/>
      <c r="AA51" s="129" t="s">
        <v>299</v>
      </c>
      <c r="AB51" s="130"/>
      <c r="AC51" s="130"/>
      <c r="AD51" s="130"/>
      <c r="AE51" s="130"/>
      <c r="AF51" s="131"/>
      <c r="AG51" s="96" t="s">
        <v>300</v>
      </c>
      <c r="AH51" s="97"/>
      <c r="AM51" s="792" t="s">
        <v>954</v>
      </c>
      <c r="AN51" s="773" t="s">
        <v>953</v>
      </c>
      <c r="AO51" s="773" t="s">
        <v>914</v>
      </c>
      <c r="AP51" s="773" t="s">
        <v>915</v>
      </c>
      <c r="AQ51" s="773" t="s">
        <v>42</v>
      </c>
      <c r="AR51" s="773" t="s">
        <v>218</v>
      </c>
    </row>
    <row r="52" spans="1:44" ht="14.25" customHeight="1" thickBot="1">
      <c r="A52" s="124" t="s">
        <v>296</v>
      </c>
      <c r="B52" s="124" t="s">
        <v>46</v>
      </c>
      <c r="C52">
        <v>131</v>
      </c>
      <c r="D52">
        <v>49</v>
      </c>
      <c r="E52">
        <v>93</v>
      </c>
      <c r="F52">
        <v>291</v>
      </c>
      <c r="G52" s="122">
        <v>1524</v>
      </c>
      <c r="H52" s="122">
        <v>1034</v>
      </c>
      <c r="I52">
        <v>434</v>
      </c>
      <c r="J52">
        <v>233</v>
      </c>
      <c r="K52">
        <v>438</v>
      </c>
      <c r="L52" s="177">
        <f>SUM(Table8[[#This Row],[A]:[G]])</f>
        <v>4227</v>
      </c>
      <c r="M52" s="169">
        <f>VLOOKUP(A52,Table2[],MATCH(B52,Table2[#Headers],0), 0 )</f>
        <v>10450</v>
      </c>
      <c r="N52" s="170">
        <f>VLOOKUP(A52,Table2[], 8, 0 )+SUM(Table8[[#This Row],[Residence Total]]/Table8[[#This Row],[BER Total]])</f>
        <v>2.4923125529727894</v>
      </c>
      <c r="O52" s="171">
        <f t="shared" ref="O52:O81" si="8">L52*N52</f>
        <v>10535.00516141598</v>
      </c>
      <c r="R52" s="270"/>
      <c r="S52" s="63" t="s">
        <v>301</v>
      </c>
      <c r="T52" s="63"/>
      <c r="U52" s="62" t="s">
        <v>302</v>
      </c>
      <c r="V52" s="62"/>
      <c r="W52" s="62"/>
      <c r="X52" s="62"/>
      <c r="Y52" s="67" t="s">
        <v>303</v>
      </c>
      <c r="Z52" s="95" t="s">
        <v>304</v>
      </c>
      <c r="AA52" s="132" t="s">
        <v>305</v>
      </c>
      <c r="AB52" s="62"/>
      <c r="AC52" s="62" t="s">
        <v>306</v>
      </c>
      <c r="AD52" s="62"/>
      <c r="AE52" s="133"/>
      <c r="AF52" s="95" t="s">
        <v>304</v>
      </c>
      <c r="AG52" s="134" t="s">
        <v>307</v>
      </c>
      <c r="AH52" s="135"/>
      <c r="AM52" s="58" t="s">
        <v>330</v>
      </c>
      <c r="AN52" s="155" t="s">
        <v>920</v>
      </c>
      <c r="AO52">
        <v>145</v>
      </c>
      <c r="AP52">
        <v>859</v>
      </c>
      <c r="AQ52">
        <v>155</v>
      </c>
      <c r="AR52">
        <f>SUM(AO52:AQ52)</f>
        <v>1159</v>
      </c>
    </row>
    <row r="53" spans="1:44" ht="15" thickBot="1">
      <c r="A53" s="124" t="s">
        <v>308</v>
      </c>
      <c r="B53" s="124" t="s">
        <v>297</v>
      </c>
      <c r="C53">
        <v>3</v>
      </c>
      <c r="D53">
        <v>2</v>
      </c>
      <c r="E53">
        <v>30</v>
      </c>
      <c r="F53">
        <v>63</v>
      </c>
      <c r="G53">
        <v>261</v>
      </c>
      <c r="H53">
        <v>272</v>
      </c>
      <c r="I53">
        <v>136</v>
      </c>
      <c r="J53">
        <v>50</v>
      </c>
      <c r="K53">
        <v>60</v>
      </c>
      <c r="L53" s="177">
        <f>SUM(Table8[[#This Row],[A]:[G]])</f>
        <v>877</v>
      </c>
      <c r="M53" s="169">
        <f>VLOOKUP(A53,Table2[],MATCH(B53,Table2[#Headers],0), 0 )</f>
        <v>1225</v>
      </c>
      <c r="N53" s="170">
        <f>VLOOKUP(A53,Table2[], 8, 0 )+SUM(Table8[[#This Row],[Residence Total]]/Table8[[#This Row],[BER Total]])</f>
        <v>1.4094099965905658</v>
      </c>
      <c r="O53" s="171">
        <f t="shared" si="8"/>
        <v>1236.0525670099262</v>
      </c>
      <c r="R53" s="70" t="s">
        <v>309</v>
      </c>
      <c r="S53" s="69" t="s">
        <v>310</v>
      </c>
      <c r="T53" s="64" t="s">
        <v>311</v>
      </c>
      <c r="U53" s="64" t="s">
        <v>312</v>
      </c>
      <c r="V53" s="64" t="s">
        <v>313</v>
      </c>
      <c r="W53" s="64" t="s">
        <v>314</v>
      </c>
      <c r="X53" s="64" t="s">
        <v>315</v>
      </c>
      <c r="Y53" s="73" t="s">
        <v>316</v>
      </c>
      <c r="Z53" s="68" t="s">
        <v>317</v>
      </c>
      <c r="AA53" s="65" t="s">
        <v>318</v>
      </c>
      <c r="AB53" s="64" t="s">
        <v>319</v>
      </c>
      <c r="AC53" s="64" t="s">
        <v>320</v>
      </c>
      <c r="AD53" s="64" t="s">
        <v>321</v>
      </c>
      <c r="AE53" s="74" t="s">
        <v>322</v>
      </c>
      <c r="AF53" s="75" t="s">
        <v>323</v>
      </c>
      <c r="AG53" s="78" t="s">
        <v>304</v>
      </c>
      <c r="AH53" s="98" t="s">
        <v>324</v>
      </c>
      <c r="AM53" s="58" t="s">
        <v>326</v>
      </c>
      <c r="AN53" s="156" t="s">
        <v>921</v>
      </c>
      <c r="AO53">
        <v>401</v>
      </c>
      <c r="AP53">
        <v>222</v>
      </c>
      <c r="AQ53">
        <v>16</v>
      </c>
      <c r="AR53">
        <f t="shared" ref="AR53:AR82" si="9">SUM(AO53:AQ53)</f>
        <v>639</v>
      </c>
    </row>
    <row r="54" spans="1:44" ht="13">
      <c r="A54" s="124" t="s">
        <v>308</v>
      </c>
      <c r="B54" s="124" t="s">
        <v>44</v>
      </c>
      <c r="C54">
        <v>77</v>
      </c>
      <c r="D54">
        <v>41</v>
      </c>
      <c r="E54">
        <v>114</v>
      </c>
      <c r="F54">
        <v>503</v>
      </c>
      <c r="G54" s="122">
        <v>2433</v>
      </c>
      <c r="H54">
        <v>834</v>
      </c>
      <c r="I54">
        <v>441</v>
      </c>
      <c r="J54">
        <v>198</v>
      </c>
      <c r="K54">
        <v>269</v>
      </c>
      <c r="L54" s="177">
        <f>SUM(Table8[[#This Row],[A]:[G]])</f>
        <v>4910</v>
      </c>
      <c r="M54" s="169">
        <f>VLOOKUP(A54,Table2[],MATCH(B54,Table2[#Headers],0), 0 )</f>
        <v>7563.0000000000009</v>
      </c>
      <c r="N54" s="170">
        <f>VLOOKUP(A54,Table2[], 8, 0 )+SUM(Table8[[#This Row],[Residence Total]]/Table8[[#This Row],[BER Total]])</f>
        <v>1.5529285645655406</v>
      </c>
      <c r="O54" s="171">
        <f t="shared" si="8"/>
        <v>7624.8792520168045</v>
      </c>
      <c r="R54" s="71" t="s">
        <v>296</v>
      </c>
      <c r="S54" s="80">
        <v>6232</v>
      </c>
      <c r="T54" s="81">
        <v>7591</v>
      </c>
      <c r="U54" s="81">
        <v>3130</v>
      </c>
      <c r="V54" s="81">
        <v>2115</v>
      </c>
      <c r="W54" s="81">
        <v>294</v>
      </c>
      <c r="X54" s="81">
        <v>368</v>
      </c>
      <c r="Y54" s="82">
        <v>735</v>
      </c>
      <c r="Z54" s="83">
        <v>20465</v>
      </c>
      <c r="AA54" s="84">
        <v>119</v>
      </c>
      <c r="AB54" s="85">
        <v>528</v>
      </c>
      <c r="AC54" s="85">
        <v>1441</v>
      </c>
      <c r="AD54" s="85">
        <v>423</v>
      </c>
      <c r="AE54" s="86">
        <v>298</v>
      </c>
      <c r="AF54" s="87">
        <f>SUM(Z54:AE54)</f>
        <v>23274</v>
      </c>
      <c r="AG54" s="99">
        <v>1350000000</v>
      </c>
      <c r="AH54" s="100">
        <f>Table4[[#This Row],[TOTAL]]/Table4[[#This Row],[Total Residence]]</f>
        <v>65966.283899340342</v>
      </c>
      <c r="AM54" s="58" t="s">
        <v>308</v>
      </c>
      <c r="AN54" s="155" t="s">
        <v>922</v>
      </c>
      <c r="AO54">
        <v>265</v>
      </c>
      <c r="AP54">
        <v>82</v>
      </c>
      <c r="AQ54">
        <v>35</v>
      </c>
      <c r="AR54">
        <f t="shared" si="9"/>
        <v>382</v>
      </c>
    </row>
    <row r="55" spans="1:44" ht="13">
      <c r="A55" s="124" t="s">
        <v>308</v>
      </c>
      <c r="B55" s="124" t="s">
        <v>46</v>
      </c>
      <c r="C55">
        <v>106</v>
      </c>
      <c r="D55">
        <v>58</v>
      </c>
      <c r="E55">
        <v>182</v>
      </c>
      <c r="F55">
        <v>564</v>
      </c>
      <c r="G55" s="122">
        <v>2604</v>
      </c>
      <c r="H55" s="122">
        <v>1380</v>
      </c>
      <c r="I55">
        <v>668</v>
      </c>
      <c r="J55">
        <v>340</v>
      </c>
      <c r="K55">
        <v>674</v>
      </c>
      <c r="L55" s="177">
        <f>SUM(Table8[[#This Row],[A]:[G]])</f>
        <v>6576</v>
      </c>
      <c r="M55" s="169">
        <f>VLOOKUP(A55,Table2[],MATCH(B55,Table2[#Headers],0), 0 )</f>
        <v>17772</v>
      </c>
      <c r="N55" s="170">
        <f>VLOOKUP(A55,Table2[], 8, 0 )+SUM(Table8[[#This Row],[Residence Total]]/Table8[[#This Row],[BER Total]])</f>
        <v>2.7151574435106398</v>
      </c>
      <c r="O55" s="171">
        <f t="shared" si="8"/>
        <v>17854.875348525966</v>
      </c>
      <c r="R55" s="72" t="s">
        <v>325</v>
      </c>
      <c r="S55" s="88">
        <v>146918</v>
      </c>
      <c r="T55" s="89">
        <v>140851</v>
      </c>
      <c r="U55" s="89">
        <v>114462</v>
      </c>
      <c r="V55" s="89">
        <v>44684</v>
      </c>
      <c r="W55" s="89">
        <v>5990</v>
      </c>
      <c r="X55" s="89">
        <v>5341</v>
      </c>
      <c r="Y55" s="90">
        <v>20913</v>
      </c>
      <c r="Z55" s="91">
        <v>479159</v>
      </c>
      <c r="AA55" s="92">
        <v>2609</v>
      </c>
      <c r="AB55" s="89">
        <v>15988</v>
      </c>
      <c r="AC55" s="89">
        <v>15305</v>
      </c>
      <c r="AD55" s="89">
        <v>16154</v>
      </c>
      <c r="AE55" s="90">
        <v>1538</v>
      </c>
      <c r="AF55" s="91">
        <v>530753</v>
      </c>
      <c r="AG55" s="99">
        <v>29964000000</v>
      </c>
      <c r="AH55" s="100">
        <f>Table4[[#This Row],[TOTAL]]/Table4[[#This Row],[Total Residence]]</f>
        <v>62534.565770443631</v>
      </c>
      <c r="AM55" s="58" t="s">
        <v>330</v>
      </c>
      <c r="AN55" s="156" t="s">
        <v>923</v>
      </c>
      <c r="AO55">
        <v>1305</v>
      </c>
      <c r="AP55">
        <v>1058</v>
      </c>
      <c r="AQ55">
        <v>142</v>
      </c>
      <c r="AR55">
        <f t="shared" si="9"/>
        <v>2505</v>
      </c>
    </row>
    <row r="56" spans="1:44" ht="13">
      <c r="A56" s="124" t="s">
        <v>326</v>
      </c>
      <c r="B56" s="124" t="s">
        <v>297</v>
      </c>
      <c r="C56">
        <v>19</v>
      </c>
      <c r="D56">
        <v>1</v>
      </c>
      <c r="E56">
        <v>34</v>
      </c>
      <c r="F56">
        <v>140</v>
      </c>
      <c r="G56" s="122">
        <v>596</v>
      </c>
      <c r="H56">
        <v>540</v>
      </c>
      <c r="I56">
        <v>355</v>
      </c>
      <c r="J56">
        <v>95</v>
      </c>
      <c r="K56">
        <v>145</v>
      </c>
      <c r="L56" s="177">
        <f>SUM(Table8[[#This Row],[A]:[G]])</f>
        <v>1925</v>
      </c>
      <c r="M56" s="169">
        <f>VLOOKUP(A56,Table2[],MATCH(B56,Table2[#Headers],0), 0 )</f>
        <v>2451</v>
      </c>
      <c r="N56" s="170">
        <f>VLOOKUP(A56,Table2[], 8, 0 )+SUM(Table8[[#This Row],[Residence Total]]/Table8[[#This Row],[BER Total]])</f>
        <v>1.2858304335706623</v>
      </c>
      <c r="O56" s="171">
        <f t="shared" si="8"/>
        <v>2475.2235846235249</v>
      </c>
      <c r="R56" s="72" t="s">
        <v>327</v>
      </c>
      <c r="S56" s="88">
        <v>30295</v>
      </c>
      <c r="T56" s="89">
        <v>22511</v>
      </c>
      <c r="U56" s="89">
        <v>12629</v>
      </c>
      <c r="V56" s="89">
        <v>4497</v>
      </c>
      <c r="W56" s="89">
        <v>742</v>
      </c>
      <c r="X56" s="89">
        <v>1061</v>
      </c>
      <c r="Y56" s="90">
        <v>1613</v>
      </c>
      <c r="Z56" s="91">
        <v>73348</v>
      </c>
      <c r="AA56" s="92">
        <v>281</v>
      </c>
      <c r="AB56" s="89">
        <v>1817</v>
      </c>
      <c r="AC56" s="89">
        <v>3377</v>
      </c>
      <c r="AD56" s="89">
        <v>1183</v>
      </c>
      <c r="AE56" s="90">
        <v>152</v>
      </c>
      <c r="AF56" s="91">
        <f t="shared" ref="AF56:AF80" si="10">SUM(Z56:AE56)</f>
        <v>80158</v>
      </c>
      <c r="AG56" s="99">
        <v>4450000000</v>
      </c>
      <c r="AH56" s="100">
        <f>Table4[[#This Row],[TOTAL]]/Table4[[#This Row],[Total Residence]]</f>
        <v>60669.68424496919</v>
      </c>
      <c r="AM56" s="58" t="s">
        <v>296</v>
      </c>
      <c r="AN56" s="155" t="s">
        <v>924</v>
      </c>
      <c r="AO56">
        <v>141</v>
      </c>
      <c r="AP56">
        <v>230</v>
      </c>
      <c r="AQ56">
        <v>7</v>
      </c>
      <c r="AR56">
        <f t="shared" si="9"/>
        <v>378</v>
      </c>
    </row>
    <row r="57" spans="1:44" ht="13">
      <c r="A57" s="124" t="s">
        <v>326</v>
      </c>
      <c r="B57" s="124" t="s">
        <v>44</v>
      </c>
      <c r="C57">
        <v>228</v>
      </c>
      <c r="D57">
        <v>52</v>
      </c>
      <c r="E57">
        <v>112</v>
      </c>
      <c r="F57">
        <v>466</v>
      </c>
      <c r="G57" s="122">
        <v>3507</v>
      </c>
      <c r="H57" s="122">
        <v>2729</v>
      </c>
      <c r="I57" s="122">
        <v>1175</v>
      </c>
      <c r="J57">
        <v>438</v>
      </c>
      <c r="K57">
        <v>431</v>
      </c>
      <c r="L57" s="177">
        <f>SUM(Table8[[#This Row],[A]:[G]])</f>
        <v>9138</v>
      </c>
      <c r="M57" s="169">
        <f>VLOOKUP(A57,Table2[],MATCH(B57,Table2[#Headers],0), 0 )</f>
        <v>14782</v>
      </c>
      <c r="N57" s="170">
        <f>VLOOKUP(A57,Table2[], 8, 0 )+SUM(Table8[[#This Row],[Residence Total]]/Table8[[#This Row],[BER Total]])</f>
        <v>1.6302243019041236</v>
      </c>
      <c r="O57" s="171">
        <f t="shared" si="8"/>
        <v>14896.989670799881</v>
      </c>
      <c r="R57" s="72" t="s">
        <v>328</v>
      </c>
      <c r="S57" s="88">
        <v>11287</v>
      </c>
      <c r="T57" s="89">
        <v>14039</v>
      </c>
      <c r="U57" s="89">
        <v>4767</v>
      </c>
      <c r="V57" s="89">
        <v>2938</v>
      </c>
      <c r="W57" s="89">
        <v>422</v>
      </c>
      <c r="X57" s="89">
        <v>614</v>
      </c>
      <c r="Y57" s="90">
        <v>676</v>
      </c>
      <c r="Z57" s="91">
        <v>34743</v>
      </c>
      <c r="AA57" s="92">
        <v>104</v>
      </c>
      <c r="AB57" s="89">
        <v>833</v>
      </c>
      <c r="AC57" s="89">
        <v>2616</v>
      </c>
      <c r="AD57" s="89">
        <v>379</v>
      </c>
      <c r="AE57" s="90">
        <v>551</v>
      </c>
      <c r="AF57" s="91">
        <f t="shared" si="10"/>
        <v>39226</v>
      </c>
      <c r="AG57" s="99">
        <v>1854000000</v>
      </c>
      <c r="AH57" s="100">
        <f>Table4[[#This Row],[TOTAL]]/Table4[[#This Row],[Total Residence]]</f>
        <v>53363.26742077541</v>
      </c>
      <c r="AM57" s="58" t="s">
        <v>338</v>
      </c>
      <c r="AN57" s="156" t="s">
        <v>925</v>
      </c>
      <c r="AO57">
        <v>173</v>
      </c>
      <c r="AP57">
        <v>1913</v>
      </c>
      <c r="AQ57">
        <v>1779</v>
      </c>
      <c r="AR57">
        <f t="shared" si="9"/>
        <v>3865</v>
      </c>
    </row>
    <row r="58" spans="1:44" ht="13">
      <c r="A58" s="124" t="s">
        <v>326</v>
      </c>
      <c r="B58" s="124" t="s">
        <v>46</v>
      </c>
      <c r="C58">
        <v>166</v>
      </c>
      <c r="D58">
        <v>78</v>
      </c>
      <c r="E58">
        <v>241</v>
      </c>
      <c r="F58">
        <v>708</v>
      </c>
      <c r="G58" s="122">
        <v>4046</v>
      </c>
      <c r="H58" s="122">
        <v>2416</v>
      </c>
      <c r="I58" s="122">
        <v>1174</v>
      </c>
      <c r="J58">
        <v>527</v>
      </c>
      <c r="K58" s="122">
        <v>1094</v>
      </c>
      <c r="L58" s="177">
        <f>SUM(Table8[[#This Row],[A]:[G]])</f>
        <v>10450</v>
      </c>
      <c r="M58" s="169">
        <f>VLOOKUP(A58,Table2[],MATCH(B58,Table2[#Headers],0), 0 )</f>
        <v>25688.999999999996</v>
      </c>
      <c r="N58" s="170">
        <f>VLOOKUP(A58,Table2[], 8, 0 )+SUM(Table8[[#This Row],[Residence Total]]/Table8[[#This Row],[BER Total]])</f>
        <v>2.4708611922856312</v>
      </c>
      <c r="O58" s="171">
        <f t="shared" si="8"/>
        <v>25820.499459384846</v>
      </c>
      <c r="R58" s="72" t="s">
        <v>329</v>
      </c>
      <c r="S58" s="88">
        <v>10351</v>
      </c>
      <c r="T58" s="89">
        <v>10429</v>
      </c>
      <c r="U58" s="89">
        <v>4024</v>
      </c>
      <c r="V58" s="89">
        <v>2601</v>
      </c>
      <c r="W58" s="89">
        <v>321</v>
      </c>
      <c r="X58" s="89">
        <v>460</v>
      </c>
      <c r="Y58" s="90">
        <v>811</v>
      </c>
      <c r="Z58" s="91">
        <v>28997</v>
      </c>
      <c r="AA58" s="92">
        <v>78</v>
      </c>
      <c r="AB58" s="89">
        <v>559</v>
      </c>
      <c r="AC58" s="89">
        <v>2583</v>
      </c>
      <c r="AD58" s="89">
        <v>424</v>
      </c>
      <c r="AE58" s="90">
        <v>153</v>
      </c>
      <c r="AF58" s="91">
        <f t="shared" si="10"/>
        <v>32794</v>
      </c>
      <c r="AG58" s="99">
        <v>1460000000</v>
      </c>
      <c r="AH58" s="100">
        <f>Table4[[#This Row],[TOTAL]]/Table4[[#This Row],[Total Residence]]</f>
        <v>50350.03621064248</v>
      </c>
      <c r="AM58" s="58" t="s">
        <v>338</v>
      </c>
      <c r="AN58" s="155" t="s">
        <v>926</v>
      </c>
      <c r="AO58">
        <v>182</v>
      </c>
      <c r="AP58">
        <v>1448</v>
      </c>
      <c r="AQ58">
        <v>1383</v>
      </c>
      <c r="AR58">
        <f t="shared" si="9"/>
        <v>3013</v>
      </c>
    </row>
    <row r="59" spans="1:44" ht="13">
      <c r="A59" s="124" t="s">
        <v>330</v>
      </c>
      <c r="B59" s="124" t="s">
        <v>297</v>
      </c>
      <c r="C59">
        <v>102</v>
      </c>
      <c r="D59">
        <v>408</v>
      </c>
      <c r="E59" s="122">
        <v>1027</v>
      </c>
      <c r="F59" s="122">
        <v>1475</v>
      </c>
      <c r="G59" s="122">
        <v>3593</v>
      </c>
      <c r="H59" s="122">
        <v>2102</v>
      </c>
      <c r="I59" s="122">
        <v>1200</v>
      </c>
      <c r="J59">
        <v>458</v>
      </c>
      <c r="K59">
        <v>661</v>
      </c>
      <c r="L59" s="177">
        <f>SUM(Table8[[#This Row],[A]:[G]])</f>
        <v>11026</v>
      </c>
      <c r="M59" s="169">
        <f>VLOOKUP(A59,Table2[],MATCH(B59,Table2[#Headers],0), 0 )</f>
        <v>17739.999999999996</v>
      </c>
      <c r="N59" s="170">
        <f>VLOOKUP(A59,Table2[], 8, 0 )+SUM(Table8[[#This Row],[Residence Total]]/Table8[[#This Row],[BER Total]])</f>
        <v>1.6204942625184457</v>
      </c>
      <c r="O59" s="171">
        <f t="shared" si="8"/>
        <v>17867.569738528382</v>
      </c>
      <c r="R59" s="72" t="s">
        <v>331</v>
      </c>
      <c r="S59" s="88">
        <v>3864</v>
      </c>
      <c r="T59" s="89">
        <v>5753</v>
      </c>
      <c r="U59" s="89">
        <v>2621</v>
      </c>
      <c r="V59" s="89">
        <v>2031</v>
      </c>
      <c r="W59" s="89">
        <v>167</v>
      </c>
      <c r="X59" s="89">
        <v>257</v>
      </c>
      <c r="Y59" s="90">
        <v>399</v>
      </c>
      <c r="Z59" s="91">
        <v>15092</v>
      </c>
      <c r="AA59" s="92">
        <v>54</v>
      </c>
      <c r="AB59" s="89">
        <v>343</v>
      </c>
      <c r="AC59" s="89">
        <v>2383</v>
      </c>
      <c r="AD59" s="89">
        <v>441</v>
      </c>
      <c r="AE59" s="90">
        <v>278</v>
      </c>
      <c r="AF59" s="91">
        <f t="shared" si="10"/>
        <v>18591</v>
      </c>
      <c r="AG59" s="99">
        <v>702000000</v>
      </c>
      <c r="AH59" s="100">
        <f>Table4[[#This Row],[TOTAL]]/Table4[[#This Row],[Total Residence]]</f>
        <v>46514.709780015903</v>
      </c>
      <c r="AM59" s="58" t="s">
        <v>334</v>
      </c>
      <c r="AN59" s="156" t="s">
        <v>927</v>
      </c>
      <c r="AO59">
        <v>708</v>
      </c>
      <c r="AP59">
        <v>205</v>
      </c>
      <c r="AQ59">
        <v>32</v>
      </c>
      <c r="AR59">
        <f t="shared" si="9"/>
        <v>945</v>
      </c>
    </row>
    <row r="60" spans="1:44" ht="13">
      <c r="A60" s="124" t="s">
        <v>330</v>
      </c>
      <c r="B60" s="124" t="s">
        <v>44</v>
      </c>
      <c r="C60" s="122">
        <v>2582</v>
      </c>
      <c r="D60">
        <v>560</v>
      </c>
      <c r="E60" s="122">
        <v>1386</v>
      </c>
      <c r="F60" s="122">
        <v>5217</v>
      </c>
      <c r="G60" s="122">
        <v>20749</v>
      </c>
      <c r="H60" s="122">
        <v>9469</v>
      </c>
      <c r="I60" s="122">
        <v>4680</v>
      </c>
      <c r="J60" s="122">
        <v>2061</v>
      </c>
      <c r="K60" s="122">
        <v>2467</v>
      </c>
      <c r="L60" s="177">
        <f>SUM(Table8[[#This Row],[A]:[G]])</f>
        <v>49171</v>
      </c>
      <c r="M60" s="169">
        <f>VLOOKUP(A60,Table2[],MATCH(B60,Table2[#Headers],0), 0 )</f>
        <v>88961</v>
      </c>
      <c r="N60" s="170">
        <f>VLOOKUP(A60,Table2[], 8, 0 )+SUM(Table8[[#This Row],[Residence Total]]/Table8[[#This Row],[BER Total]])</f>
        <v>1.8207867167054381</v>
      </c>
      <c r="O60" s="171">
        <f t="shared" si="8"/>
        <v>89529.903647123094</v>
      </c>
      <c r="R60" s="72" t="s">
        <v>332</v>
      </c>
      <c r="S60" s="88">
        <v>16356</v>
      </c>
      <c r="T60" s="89">
        <v>15145</v>
      </c>
      <c r="U60" s="89">
        <v>6909</v>
      </c>
      <c r="V60" s="89">
        <v>4248</v>
      </c>
      <c r="W60" s="89">
        <v>582</v>
      </c>
      <c r="X60" s="89">
        <v>611</v>
      </c>
      <c r="Y60" s="90">
        <v>1512</v>
      </c>
      <c r="Z60" s="91">
        <v>45363</v>
      </c>
      <c r="AA60" s="92">
        <v>165</v>
      </c>
      <c r="AB60" s="89">
        <v>1158</v>
      </c>
      <c r="AC60" s="89">
        <v>3148</v>
      </c>
      <c r="AD60" s="89">
        <v>804</v>
      </c>
      <c r="AE60" s="90">
        <v>761</v>
      </c>
      <c r="AF60" s="91">
        <f t="shared" si="10"/>
        <v>51399</v>
      </c>
      <c r="AG60" s="99">
        <v>2352000000</v>
      </c>
      <c r="AH60" s="100">
        <f>Table4[[#This Row],[TOTAL]]/Table4[[#This Row],[Total Residence]]</f>
        <v>51848.422723364856</v>
      </c>
      <c r="AM60" s="58" t="s">
        <v>338</v>
      </c>
      <c r="AN60" s="155" t="s">
        <v>928</v>
      </c>
      <c r="AO60">
        <v>220</v>
      </c>
      <c r="AP60">
        <v>3682</v>
      </c>
      <c r="AQ60">
        <v>612</v>
      </c>
      <c r="AR60">
        <f t="shared" si="9"/>
        <v>4514</v>
      </c>
    </row>
    <row r="61" spans="1:44" ht="13">
      <c r="A61" s="124" t="s">
        <v>330</v>
      </c>
      <c r="B61" s="124" t="s">
        <v>46</v>
      </c>
      <c r="C61" s="122">
        <v>1437</v>
      </c>
      <c r="D61">
        <v>457</v>
      </c>
      <c r="E61" s="122">
        <v>1121</v>
      </c>
      <c r="F61" s="122">
        <v>3353</v>
      </c>
      <c r="G61" s="122">
        <v>12062</v>
      </c>
      <c r="H61" s="122">
        <v>6695</v>
      </c>
      <c r="I61" s="122">
        <v>2864</v>
      </c>
      <c r="J61" s="122">
        <v>1337</v>
      </c>
      <c r="K61" s="122">
        <v>2707</v>
      </c>
      <c r="L61" s="177">
        <f>SUM(Table8[[#This Row],[A]:[G]])</f>
        <v>32033</v>
      </c>
      <c r="M61" s="169">
        <f>VLOOKUP(A61,Table2[],MATCH(B61,Table2[#Headers],0), 0 )</f>
        <v>86886</v>
      </c>
      <c r="N61" s="170">
        <f>VLOOKUP(A61,Table2[], 8, 0 )+SUM(Table8[[#This Row],[Residence Total]]/Table8[[#This Row],[BER Total]])</f>
        <v>2.7239602493704207</v>
      </c>
      <c r="O61" s="171">
        <f t="shared" si="8"/>
        <v>87256.61866808268</v>
      </c>
      <c r="R61" s="72" t="s">
        <v>333</v>
      </c>
      <c r="S61" s="88">
        <v>27678</v>
      </c>
      <c r="T61" s="89">
        <v>20987</v>
      </c>
      <c r="U61" s="89">
        <v>9332</v>
      </c>
      <c r="V61" s="89">
        <v>3244</v>
      </c>
      <c r="W61" s="89">
        <v>301</v>
      </c>
      <c r="X61" s="89">
        <v>903</v>
      </c>
      <c r="Y61" s="90">
        <v>1416</v>
      </c>
      <c r="Z61" s="91">
        <v>63861</v>
      </c>
      <c r="AA61" s="92">
        <v>128</v>
      </c>
      <c r="AB61" s="89">
        <v>1785</v>
      </c>
      <c r="AC61" s="89">
        <v>3495</v>
      </c>
      <c r="AD61" s="89">
        <v>1145</v>
      </c>
      <c r="AE61" s="90">
        <v>235</v>
      </c>
      <c r="AF61" s="91">
        <f t="shared" si="10"/>
        <v>70649</v>
      </c>
      <c r="AG61" s="99">
        <v>3736000000</v>
      </c>
      <c r="AH61" s="100">
        <f>Table4[[#This Row],[TOTAL]]/Table4[[#This Row],[Total Residence]]</f>
        <v>58502.059159737553</v>
      </c>
      <c r="AM61" s="58" t="s">
        <v>340</v>
      </c>
      <c r="AN61" s="156" t="s">
        <v>929</v>
      </c>
      <c r="AO61">
        <v>936</v>
      </c>
      <c r="AP61">
        <v>233</v>
      </c>
      <c r="AQ61">
        <v>66</v>
      </c>
      <c r="AR61">
        <f t="shared" si="9"/>
        <v>1235</v>
      </c>
    </row>
    <row r="62" spans="1:44" ht="13">
      <c r="A62" s="124" t="s">
        <v>334</v>
      </c>
      <c r="B62" s="124" t="s">
        <v>297</v>
      </c>
      <c r="C62">
        <v>6</v>
      </c>
      <c r="D62">
        <v>33</v>
      </c>
      <c r="E62">
        <v>112</v>
      </c>
      <c r="F62">
        <v>135</v>
      </c>
      <c r="G62" s="122">
        <v>786</v>
      </c>
      <c r="H62">
        <v>487</v>
      </c>
      <c r="I62">
        <v>289</v>
      </c>
      <c r="J62">
        <v>99</v>
      </c>
      <c r="K62">
        <v>120</v>
      </c>
      <c r="L62" s="177">
        <f>SUM(Table8[[#This Row],[A]:[G]])</f>
        <v>2067</v>
      </c>
      <c r="M62" s="169">
        <f>VLOOKUP(A62,Table2[],MATCH(B62,Table2[#Headers],0), 0 )</f>
        <v>2334</v>
      </c>
      <c r="N62" s="170">
        <f>VLOOKUP(A62,Table2[], 8, 0 )+SUM(Table8[[#This Row],[Residence Total]]/Table8[[#This Row],[BER Total]])</f>
        <v>1.1422314270088934</v>
      </c>
      <c r="O62" s="171">
        <f t="shared" si="8"/>
        <v>2360.9923596273825</v>
      </c>
      <c r="R62" s="72" t="s">
        <v>335</v>
      </c>
      <c r="S62" s="88">
        <v>8973</v>
      </c>
      <c r="T62" s="89">
        <v>10920</v>
      </c>
      <c r="U62" s="89">
        <v>3721</v>
      </c>
      <c r="V62" s="89">
        <v>2206</v>
      </c>
      <c r="W62" s="89">
        <v>251</v>
      </c>
      <c r="X62" s="89">
        <v>467</v>
      </c>
      <c r="Y62" s="90">
        <v>646</v>
      </c>
      <c r="Z62" s="91">
        <v>27184</v>
      </c>
      <c r="AA62" s="92">
        <v>76</v>
      </c>
      <c r="AB62" s="89">
        <v>596</v>
      </c>
      <c r="AC62" s="89">
        <v>2252</v>
      </c>
      <c r="AD62" s="89">
        <v>388</v>
      </c>
      <c r="AE62" s="90">
        <v>244</v>
      </c>
      <c r="AF62" s="91">
        <f t="shared" si="10"/>
        <v>30740</v>
      </c>
      <c r="AG62" s="99">
        <v>1336000000</v>
      </c>
      <c r="AH62" s="100">
        <f>Table4[[#This Row],[TOTAL]]/Table4[[#This Row],[Total Residence]]</f>
        <v>49146.556798116537</v>
      </c>
      <c r="AM62" s="58" t="s">
        <v>340</v>
      </c>
      <c r="AN62" s="155" t="s">
        <v>930</v>
      </c>
      <c r="AO62">
        <v>47</v>
      </c>
      <c r="AP62">
        <v>258</v>
      </c>
      <c r="AQ62">
        <v>49</v>
      </c>
      <c r="AR62">
        <f t="shared" si="9"/>
        <v>354</v>
      </c>
    </row>
    <row r="63" spans="1:44" ht="13">
      <c r="A63" s="124" t="s">
        <v>334</v>
      </c>
      <c r="B63" s="124" t="s">
        <v>44</v>
      </c>
      <c r="C63">
        <v>163</v>
      </c>
      <c r="D63">
        <v>43</v>
      </c>
      <c r="E63">
        <v>90</v>
      </c>
      <c r="F63">
        <v>482</v>
      </c>
      <c r="G63" s="122">
        <v>4614</v>
      </c>
      <c r="H63" s="122">
        <v>2101</v>
      </c>
      <c r="I63">
        <v>937</v>
      </c>
      <c r="J63">
        <v>423</v>
      </c>
      <c r="K63">
        <v>534</v>
      </c>
      <c r="L63" s="177">
        <f>SUM(Table8[[#This Row],[A]:[G]])</f>
        <v>9387</v>
      </c>
      <c r="M63" s="169">
        <f>VLOOKUP(A63,Table2[],MATCH(B63,Table2[#Headers],0), 0 )</f>
        <v>15554.000000000002</v>
      </c>
      <c r="N63" s="170">
        <f>VLOOKUP(A63,Table2[], 8, 0 )+SUM(Table8[[#This Row],[Residence Total]]/Table8[[#This Row],[BER Total]])</f>
        <v>1.6700311215807802</v>
      </c>
      <c r="O63" s="171">
        <f t="shared" si="8"/>
        <v>15676.582138278784</v>
      </c>
      <c r="R63" s="72" t="s">
        <v>336</v>
      </c>
      <c r="S63" s="88">
        <v>10325</v>
      </c>
      <c r="T63" s="89">
        <v>11590</v>
      </c>
      <c r="U63" s="89">
        <v>5928</v>
      </c>
      <c r="V63" s="89">
        <v>2404</v>
      </c>
      <c r="W63" s="89">
        <v>141</v>
      </c>
      <c r="X63" s="89">
        <v>498</v>
      </c>
      <c r="Y63" s="90">
        <v>799</v>
      </c>
      <c r="Z63" s="91">
        <v>31685</v>
      </c>
      <c r="AA63" s="92">
        <v>173</v>
      </c>
      <c r="AB63" s="89">
        <v>1023</v>
      </c>
      <c r="AC63" s="89">
        <v>2854</v>
      </c>
      <c r="AD63" s="89">
        <v>874</v>
      </c>
      <c r="AE63" s="90">
        <v>281</v>
      </c>
      <c r="AF63" s="91">
        <f t="shared" si="10"/>
        <v>36890</v>
      </c>
      <c r="AG63" s="99">
        <v>1594000000</v>
      </c>
      <c r="AH63" s="100">
        <f>Table4[[#This Row],[TOTAL]]/Table4[[#This Row],[Total Residence]]</f>
        <v>50307.71658513492</v>
      </c>
      <c r="AM63" s="58" t="s">
        <v>327</v>
      </c>
      <c r="AN63" s="156" t="s">
        <v>931</v>
      </c>
      <c r="AO63">
        <v>404</v>
      </c>
      <c r="AP63">
        <v>2105</v>
      </c>
      <c r="AQ63">
        <v>58</v>
      </c>
      <c r="AR63">
        <f t="shared" si="9"/>
        <v>2567</v>
      </c>
    </row>
    <row r="64" spans="1:44" ht="13">
      <c r="A64" s="124" t="s">
        <v>334</v>
      </c>
      <c r="B64" s="124" t="s">
        <v>46</v>
      </c>
      <c r="C64">
        <v>248</v>
      </c>
      <c r="D64">
        <v>120</v>
      </c>
      <c r="E64">
        <v>280</v>
      </c>
      <c r="F64">
        <v>856</v>
      </c>
      <c r="G64" s="122">
        <v>5260</v>
      </c>
      <c r="H64" s="122">
        <v>3295</v>
      </c>
      <c r="I64" s="122">
        <v>1523</v>
      </c>
      <c r="J64">
        <v>732</v>
      </c>
      <c r="K64" s="122">
        <v>1276</v>
      </c>
      <c r="L64" s="177">
        <f>SUM(Table8[[#This Row],[A]:[G]])</f>
        <v>13590</v>
      </c>
      <c r="M64" s="169">
        <f>VLOOKUP(A64,Table2[],MATCH(B64,Table2[#Headers],0), 0 )</f>
        <v>39853</v>
      </c>
      <c r="N64" s="170">
        <f>VLOOKUP(A64,Table2[], 8, 0 )+SUM(Table8[[#This Row],[Residence Total]]/Table8[[#This Row],[BER Total]])</f>
        <v>2.9455826275736388</v>
      </c>
      <c r="O64" s="171">
        <f t="shared" si="8"/>
        <v>40030.467908725754</v>
      </c>
      <c r="R64" s="72" t="s">
        <v>337</v>
      </c>
      <c r="S64" s="88">
        <v>16562</v>
      </c>
      <c r="T64" s="89">
        <v>22049</v>
      </c>
      <c r="U64" s="89">
        <v>7887</v>
      </c>
      <c r="V64" s="89">
        <v>4961</v>
      </c>
      <c r="W64" s="89">
        <v>364</v>
      </c>
      <c r="X64" s="89">
        <v>1096</v>
      </c>
      <c r="Y64" s="90">
        <v>1087</v>
      </c>
      <c r="Z64" s="91">
        <v>54006</v>
      </c>
      <c r="AA64" s="92">
        <v>226</v>
      </c>
      <c r="AB64" s="89">
        <v>1427</v>
      </c>
      <c r="AC64" s="89">
        <v>4744</v>
      </c>
      <c r="AD64" s="89">
        <v>1174</v>
      </c>
      <c r="AE64" s="90">
        <v>6629</v>
      </c>
      <c r="AF64" s="91">
        <f t="shared" si="10"/>
        <v>68206</v>
      </c>
      <c r="AG64" s="99">
        <v>2839000000</v>
      </c>
      <c r="AH64" s="100">
        <f>Table4[[#This Row],[TOTAL]]/Table4[[#This Row],[Total Residence]]</f>
        <v>52568.233159278599</v>
      </c>
      <c r="AM64" s="58" t="s">
        <v>328</v>
      </c>
      <c r="AN64" s="155" t="s">
        <v>932</v>
      </c>
      <c r="AO64">
        <v>374</v>
      </c>
      <c r="AP64">
        <v>92</v>
      </c>
      <c r="AQ64">
        <v>48</v>
      </c>
      <c r="AR64">
        <f t="shared" si="9"/>
        <v>514</v>
      </c>
    </row>
    <row r="65" spans="1:44" ht="13">
      <c r="A65" s="124" t="s">
        <v>338</v>
      </c>
      <c r="B65" s="124" t="s">
        <v>297</v>
      </c>
      <c r="C65" s="122">
        <v>5627</v>
      </c>
      <c r="D65" s="122">
        <v>2343</v>
      </c>
      <c r="E65" s="122">
        <v>5914</v>
      </c>
      <c r="F65" s="122">
        <v>8517</v>
      </c>
      <c r="G65" s="122">
        <v>24763</v>
      </c>
      <c r="H65" s="122">
        <v>15131</v>
      </c>
      <c r="I65" s="122">
        <v>7279</v>
      </c>
      <c r="J65" s="122">
        <v>2497</v>
      </c>
      <c r="K65" s="122">
        <v>2368</v>
      </c>
      <c r="L65" s="177">
        <f>SUM(Table8[[#This Row],[A]:[G]])</f>
        <v>74439</v>
      </c>
      <c r="M65" s="169">
        <f>VLOOKUP(A65,Table2[],MATCH(B65,Table2[#Headers],0), 0 )</f>
        <v>122231.99999999997</v>
      </c>
      <c r="N65" s="170">
        <f>VLOOKUP(A65,Table2[], 8, 0 )+SUM(Table8[[#This Row],[Residence Total]]/Table8[[#This Row],[BER Total]])</f>
        <v>1.6558078185939724</v>
      </c>
      <c r="O65" s="171">
        <f t="shared" si="8"/>
        <v>123256.67820831671</v>
      </c>
      <c r="R65" s="72" t="s">
        <v>339</v>
      </c>
      <c r="S65" s="88">
        <v>17790</v>
      </c>
      <c r="T65" s="89">
        <v>17315</v>
      </c>
      <c r="U65" s="89">
        <v>7237</v>
      </c>
      <c r="V65" s="89">
        <v>4588</v>
      </c>
      <c r="W65" s="89">
        <v>203</v>
      </c>
      <c r="X65" s="89">
        <v>805</v>
      </c>
      <c r="Y65" s="90">
        <v>1067</v>
      </c>
      <c r="Z65" s="91">
        <v>49005</v>
      </c>
      <c r="AA65" s="92">
        <v>156</v>
      </c>
      <c r="AB65" s="89">
        <v>1371</v>
      </c>
      <c r="AC65" s="89">
        <v>2685</v>
      </c>
      <c r="AD65" s="89">
        <v>729</v>
      </c>
      <c r="AE65" s="90">
        <v>1040</v>
      </c>
      <c r="AF65" s="91">
        <f t="shared" si="10"/>
        <v>54986</v>
      </c>
      <c r="AG65" s="99">
        <v>2781000000</v>
      </c>
      <c r="AH65" s="100">
        <f>Table4[[#This Row],[TOTAL]]/Table4[[#This Row],[Total Residence]]</f>
        <v>56749.311294765837</v>
      </c>
      <c r="AM65" s="58" t="s">
        <v>341</v>
      </c>
      <c r="AN65" s="156" t="s">
        <v>933</v>
      </c>
      <c r="AO65">
        <v>522</v>
      </c>
      <c r="AP65">
        <v>269</v>
      </c>
      <c r="AQ65">
        <v>54</v>
      </c>
      <c r="AR65">
        <f t="shared" si="9"/>
        <v>845</v>
      </c>
    </row>
    <row r="66" spans="1:44" ht="13">
      <c r="A66" s="124" t="s">
        <v>338</v>
      </c>
      <c r="B66" s="124" t="s">
        <v>44</v>
      </c>
      <c r="C66" s="122">
        <v>14265</v>
      </c>
      <c r="D66">
        <v>965</v>
      </c>
      <c r="E66" s="122">
        <v>2784</v>
      </c>
      <c r="F66" s="122">
        <v>7916</v>
      </c>
      <c r="G66" s="122">
        <v>47027</v>
      </c>
      <c r="H66" s="122">
        <v>34459</v>
      </c>
      <c r="I66" s="122">
        <v>17902</v>
      </c>
      <c r="J66" s="122">
        <v>8287</v>
      </c>
      <c r="K66" s="122">
        <v>7029</v>
      </c>
      <c r="L66" s="177">
        <f>SUM(Table8[[#This Row],[A]:[G]])</f>
        <v>140634</v>
      </c>
      <c r="M66" s="169">
        <f>VLOOKUP(A66,Table2[],MATCH(B66,Table2[#Headers],0), 0 )</f>
        <v>295699</v>
      </c>
      <c r="N66" s="170">
        <f>VLOOKUP(A66,Table2[], 8, 0 )+SUM(Table8[[#This Row],[Residence Total]]/Table8[[#This Row],[BER Total]])</f>
        <v>2.1163792180168333</v>
      </c>
      <c r="O66" s="171">
        <f t="shared" si="8"/>
        <v>297634.87494657934</v>
      </c>
      <c r="R66" s="72" t="s">
        <v>326</v>
      </c>
      <c r="S66" s="88">
        <v>14124</v>
      </c>
      <c r="T66" s="89">
        <v>18036</v>
      </c>
      <c r="U66" s="89">
        <v>6323</v>
      </c>
      <c r="V66" s="89">
        <v>2703</v>
      </c>
      <c r="W66" s="89">
        <v>289</v>
      </c>
      <c r="X66" s="89">
        <v>793</v>
      </c>
      <c r="Y66" s="90">
        <v>1080</v>
      </c>
      <c r="Z66" s="91">
        <v>43348</v>
      </c>
      <c r="AA66" s="92">
        <v>301</v>
      </c>
      <c r="AB66" s="89">
        <v>1205</v>
      </c>
      <c r="AC66" s="89">
        <v>5083</v>
      </c>
      <c r="AD66" s="89">
        <v>1021</v>
      </c>
      <c r="AE66" s="90">
        <v>4821</v>
      </c>
      <c r="AF66" s="91">
        <f t="shared" si="10"/>
        <v>55779</v>
      </c>
      <c r="AG66" s="99">
        <v>2141000000</v>
      </c>
      <c r="AH66" s="100">
        <f>Table4[[#This Row],[TOTAL]]/Table4[[#This Row],[Total Residence]]</f>
        <v>49390.975362185105</v>
      </c>
      <c r="AM66" s="58" t="s">
        <v>331</v>
      </c>
      <c r="AN66" s="155" t="s">
        <v>934</v>
      </c>
      <c r="AO66">
        <v>118</v>
      </c>
      <c r="AP66">
        <v>37</v>
      </c>
      <c r="AQ66">
        <v>15</v>
      </c>
      <c r="AR66">
        <f t="shared" si="9"/>
        <v>170</v>
      </c>
    </row>
    <row r="67" spans="1:44" ht="13">
      <c r="A67" s="124" t="s">
        <v>338</v>
      </c>
      <c r="B67" s="124" t="s">
        <v>46</v>
      </c>
      <c r="C67" s="122">
        <v>2025</v>
      </c>
      <c r="D67">
        <v>344</v>
      </c>
      <c r="E67">
        <v>732</v>
      </c>
      <c r="F67" s="122">
        <v>1585</v>
      </c>
      <c r="G67" s="122">
        <v>7280</v>
      </c>
      <c r="H67" s="122">
        <v>5161</v>
      </c>
      <c r="I67" s="122">
        <v>2654</v>
      </c>
      <c r="J67" s="122">
        <v>1293</v>
      </c>
      <c r="K67" s="122">
        <v>1459</v>
      </c>
      <c r="L67" s="177">
        <f>SUM(Table8[[#This Row],[A]:[G]])</f>
        <v>22533</v>
      </c>
      <c r="M67" s="169">
        <f>VLOOKUP(A67,Table2[],MATCH(B67,Table2[#Headers],0), 0 )</f>
        <v>55149</v>
      </c>
      <c r="N67" s="170">
        <f>VLOOKUP(A67,Table2[], 8, 0 )+SUM(Table8[[#This Row],[Residence Total]]/Table8[[#This Row],[BER Total]])</f>
        <v>2.4612423745444572</v>
      </c>
      <c r="O67" s="171">
        <f t="shared" si="8"/>
        <v>55459.174425610254</v>
      </c>
      <c r="R67" s="72" t="s">
        <v>330</v>
      </c>
      <c r="S67" s="88">
        <v>59098</v>
      </c>
      <c r="T67" s="89">
        <v>72301</v>
      </c>
      <c r="U67" s="89">
        <v>36031</v>
      </c>
      <c r="V67" s="89">
        <v>17024</v>
      </c>
      <c r="W67" s="89">
        <v>1861</v>
      </c>
      <c r="X67" s="89">
        <v>3395</v>
      </c>
      <c r="Y67" s="90">
        <v>5712</v>
      </c>
      <c r="Z67" s="91">
        <v>195422</v>
      </c>
      <c r="AA67" s="92">
        <v>1253</v>
      </c>
      <c r="AB67" s="89">
        <v>5611</v>
      </c>
      <c r="AC67" s="89">
        <v>16150</v>
      </c>
      <c r="AD67" s="89">
        <v>3787</v>
      </c>
      <c r="AE67" s="90">
        <v>7272</v>
      </c>
      <c r="AF67" s="91">
        <f t="shared" si="10"/>
        <v>229495</v>
      </c>
      <c r="AG67" s="99">
        <v>10643000000</v>
      </c>
      <c r="AH67" s="100">
        <f>Table4[[#This Row],[TOTAL]]/Table4[[#This Row],[Total Residence]]</f>
        <v>54461.626633644111</v>
      </c>
      <c r="AM67" s="58" t="s">
        <v>332</v>
      </c>
      <c r="AN67" s="156" t="s">
        <v>935</v>
      </c>
      <c r="AO67">
        <v>279</v>
      </c>
      <c r="AP67">
        <v>746</v>
      </c>
      <c r="AQ67">
        <v>47</v>
      </c>
      <c r="AR67">
        <f t="shared" si="9"/>
        <v>1072</v>
      </c>
    </row>
    <row r="68" spans="1:44" ht="13">
      <c r="A68" s="124" t="s">
        <v>340</v>
      </c>
      <c r="B68" s="124" t="s">
        <v>297</v>
      </c>
      <c r="C68">
        <v>67</v>
      </c>
      <c r="D68">
        <v>51</v>
      </c>
      <c r="E68">
        <v>198</v>
      </c>
      <c r="F68">
        <v>414</v>
      </c>
      <c r="G68" s="122">
        <v>2196</v>
      </c>
      <c r="H68" s="122">
        <v>2273</v>
      </c>
      <c r="I68" s="122">
        <v>1246</v>
      </c>
      <c r="J68">
        <v>340</v>
      </c>
      <c r="K68">
        <v>249</v>
      </c>
      <c r="L68" s="177">
        <f>SUM(Table8[[#This Row],[A]:[G]])</f>
        <v>7034</v>
      </c>
      <c r="M68" s="169">
        <f>VLOOKUP(A68,Table2[],MATCH(B68,Table2[#Headers],0), 0 )</f>
        <v>9669</v>
      </c>
      <c r="N68" s="170">
        <f>VLOOKUP(A68,Table2[], 8, 0 )+SUM(Table8[[#This Row],[Residence Total]]/Table8[[#This Row],[BER Total]])</f>
        <v>1.3884829686079416</v>
      </c>
      <c r="O68" s="171">
        <f t="shared" si="8"/>
        <v>9766.5892011882606</v>
      </c>
      <c r="R68" s="72" t="s">
        <v>341</v>
      </c>
      <c r="S68" s="88">
        <v>14236</v>
      </c>
      <c r="T68" s="89">
        <v>24879</v>
      </c>
      <c r="U68" s="89">
        <v>7865</v>
      </c>
      <c r="V68" s="89">
        <v>4373</v>
      </c>
      <c r="W68" s="89">
        <v>350</v>
      </c>
      <c r="X68" s="89">
        <v>1182</v>
      </c>
      <c r="Y68" s="90">
        <v>1403</v>
      </c>
      <c r="Z68" s="91">
        <v>54288</v>
      </c>
      <c r="AA68" s="92">
        <v>603</v>
      </c>
      <c r="AB68" s="89">
        <v>1456</v>
      </c>
      <c r="AC68" s="89">
        <v>8527</v>
      </c>
      <c r="AD68" s="89">
        <v>1164</v>
      </c>
      <c r="AE68" s="90">
        <v>8056</v>
      </c>
      <c r="AF68" s="91">
        <f t="shared" si="10"/>
        <v>74094</v>
      </c>
      <c r="AG68" s="99">
        <v>2632000000</v>
      </c>
      <c r="AH68" s="100">
        <f>Table4[[#This Row],[TOTAL]]/Table4[[#This Row],[Total Residence]]</f>
        <v>48482.169171824346</v>
      </c>
      <c r="AM68" s="58" t="s">
        <v>342</v>
      </c>
      <c r="AN68" s="155" t="s">
        <v>936</v>
      </c>
      <c r="AO68">
        <v>416</v>
      </c>
      <c r="AP68">
        <v>675</v>
      </c>
      <c r="AQ68">
        <v>46</v>
      </c>
      <c r="AR68">
        <f t="shared" si="9"/>
        <v>1137</v>
      </c>
    </row>
    <row r="69" spans="1:44" ht="13">
      <c r="A69" s="124" t="s">
        <v>340</v>
      </c>
      <c r="B69" s="124" t="s">
        <v>44</v>
      </c>
      <c r="C69">
        <v>629</v>
      </c>
      <c r="D69">
        <v>102</v>
      </c>
      <c r="E69">
        <v>281</v>
      </c>
      <c r="F69">
        <v>859</v>
      </c>
      <c r="G69" s="122">
        <v>7635</v>
      </c>
      <c r="H69" s="122">
        <v>4270</v>
      </c>
      <c r="I69" s="122">
        <v>1807</v>
      </c>
      <c r="J69">
        <v>817</v>
      </c>
      <c r="K69">
        <v>788</v>
      </c>
      <c r="L69" s="177">
        <f>SUM(Table8[[#This Row],[A]:[G]])</f>
        <v>17188</v>
      </c>
      <c r="M69" s="169">
        <f>VLOOKUP(A69,Table2[],MATCH(B69,Table2[#Headers],0), 0 )</f>
        <v>26860.000000000004</v>
      </c>
      <c r="N69" s="170">
        <f>VLOOKUP(A69,Table2[], 8, 0 )+SUM(Table8[[#This Row],[Residence Total]]/Table8[[#This Row],[BER Total]])</f>
        <v>1.5765921022822147</v>
      </c>
      <c r="O69" s="171">
        <f t="shared" si="8"/>
        <v>27098.465054026707</v>
      </c>
      <c r="R69" s="72" t="s">
        <v>342</v>
      </c>
      <c r="S69" s="88">
        <v>20667</v>
      </c>
      <c r="T69" s="89">
        <v>27562</v>
      </c>
      <c r="U69" s="89">
        <v>12787</v>
      </c>
      <c r="V69" s="89">
        <v>5803</v>
      </c>
      <c r="W69" s="89">
        <v>761</v>
      </c>
      <c r="X69" s="89">
        <v>1266</v>
      </c>
      <c r="Y69" s="90">
        <v>2176</v>
      </c>
      <c r="Z69" s="91">
        <v>71022</v>
      </c>
      <c r="AA69" s="92">
        <v>472</v>
      </c>
      <c r="AB69" s="89">
        <v>2434</v>
      </c>
      <c r="AC69" s="89">
        <v>6153</v>
      </c>
      <c r="AD69" s="89">
        <v>1599</v>
      </c>
      <c r="AE69" s="90">
        <v>432</v>
      </c>
      <c r="AF69" s="91">
        <f t="shared" si="10"/>
        <v>82112</v>
      </c>
      <c r="AG69" s="99">
        <v>4299000000</v>
      </c>
      <c r="AH69" s="100">
        <f>Table4[[#This Row],[TOTAL]]/Table4[[#This Row],[Total Residence]]</f>
        <v>60530.539832727889</v>
      </c>
      <c r="AM69" s="58" t="s">
        <v>955</v>
      </c>
      <c r="AN69" s="156" t="s">
        <v>937</v>
      </c>
      <c r="AO69">
        <v>106</v>
      </c>
      <c r="AP69">
        <v>51</v>
      </c>
      <c r="AQ69">
        <v>15</v>
      </c>
      <c r="AR69">
        <f t="shared" si="9"/>
        <v>172</v>
      </c>
    </row>
    <row r="70" spans="1:44" ht="13">
      <c r="A70" s="124" t="s">
        <v>340</v>
      </c>
      <c r="B70" s="124" t="s">
        <v>46</v>
      </c>
      <c r="C70">
        <v>638</v>
      </c>
      <c r="D70">
        <v>234</v>
      </c>
      <c r="E70">
        <v>562</v>
      </c>
      <c r="F70" s="122">
        <v>1758</v>
      </c>
      <c r="G70" s="122">
        <v>8063</v>
      </c>
      <c r="H70" s="122">
        <v>4834</v>
      </c>
      <c r="I70" s="122">
        <v>2179</v>
      </c>
      <c r="J70" s="122">
        <v>1025</v>
      </c>
      <c r="K70" s="122">
        <v>1940</v>
      </c>
      <c r="L70" s="177">
        <f>SUM(Table8[[#This Row],[A]:[G]])</f>
        <v>21233</v>
      </c>
      <c r="M70" s="169">
        <f>VLOOKUP(A70,Table2[],MATCH(B70,Table2[#Headers],0), 0 )</f>
        <v>54095</v>
      </c>
      <c r="N70" s="170">
        <f>VLOOKUP(A70,Table2[], 8, 0 )+SUM(Table8[[#This Row],[Residence Total]]/Table8[[#This Row],[BER Total]])</f>
        <v>2.5615591338000758</v>
      </c>
      <c r="O70" s="171">
        <f t="shared" si="8"/>
        <v>54389.585087977008</v>
      </c>
      <c r="R70" s="72" t="s">
        <v>343</v>
      </c>
      <c r="S70" s="88">
        <v>17616</v>
      </c>
      <c r="T70" s="89">
        <v>24414</v>
      </c>
      <c r="U70" s="89">
        <v>7894</v>
      </c>
      <c r="V70" s="89">
        <v>5719</v>
      </c>
      <c r="W70" s="89">
        <v>723</v>
      </c>
      <c r="X70" s="89">
        <v>1276</v>
      </c>
      <c r="Y70" s="90">
        <v>1429</v>
      </c>
      <c r="Z70" s="91">
        <v>59071</v>
      </c>
      <c r="AA70" s="92">
        <v>213</v>
      </c>
      <c r="AB70" s="89">
        <v>1320</v>
      </c>
      <c r="AC70" s="89">
        <v>6399</v>
      </c>
      <c r="AD70" s="89">
        <v>1094</v>
      </c>
      <c r="AE70" s="90">
        <v>1009</v>
      </c>
      <c r="AF70" s="91">
        <f t="shared" si="10"/>
        <v>69106</v>
      </c>
      <c r="AG70" s="79">
        <v>3091000000</v>
      </c>
      <c r="AH70" s="100">
        <f>Table4[[#This Row],[TOTAL]]/Table4[[#This Row],[Total Residence]]</f>
        <v>52326.860896209648</v>
      </c>
      <c r="AM70" s="58" t="s">
        <v>329</v>
      </c>
      <c r="AN70" s="155" t="s">
        <v>938</v>
      </c>
      <c r="AO70">
        <v>245</v>
      </c>
      <c r="AP70">
        <v>139</v>
      </c>
      <c r="AQ70">
        <v>17</v>
      </c>
      <c r="AR70">
        <f t="shared" si="9"/>
        <v>401</v>
      </c>
    </row>
    <row r="71" spans="1:44" ht="13">
      <c r="A71" s="124" t="s">
        <v>341</v>
      </c>
      <c r="B71" s="124" t="s">
        <v>297</v>
      </c>
      <c r="C71">
        <v>19</v>
      </c>
      <c r="D71">
        <v>34</v>
      </c>
      <c r="E71">
        <v>48</v>
      </c>
      <c r="F71">
        <v>134</v>
      </c>
      <c r="G71" s="122">
        <v>779</v>
      </c>
      <c r="H71">
        <v>685</v>
      </c>
      <c r="I71">
        <v>326</v>
      </c>
      <c r="J71">
        <v>99</v>
      </c>
      <c r="K71">
        <v>152</v>
      </c>
      <c r="L71" s="177">
        <f>SUM(Table8[[#This Row],[A]:[G]])</f>
        <v>2276</v>
      </c>
      <c r="M71" s="169">
        <f>VLOOKUP(A71,Table2[],MATCH(B71,Table2[#Headers],0), 0 )</f>
        <v>2822</v>
      </c>
      <c r="N71" s="170">
        <f>VLOOKUP(A71,Table2[], 8, 0 )+SUM(Table8[[#This Row],[Residence Total]]/Table8[[#This Row],[BER Total]])</f>
        <v>1.2531072580644902</v>
      </c>
      <c r="O71" s="171">
        <f t="shared" si="8"/>
        <v>2852.0721193547797</v>
      </c>
      <c r="R71" s="72" t="s">
        <v>344</v>
      </c>
      <c r="S71" s="88">
        <v>12917</v>
      </c>
      <c r="T71" s="89">
        <v>16134</v>
      </c>
      <c r="U71" s="89">
        <v>6592</v>
      </c>
      <c r="V71" s="89">
        <v>5087</v>
      </c>
      <c r="W71" s="89">
        <v>662</v>
      </c>
      <c r="X71" s="89">
        <v>696</v>
      </c>
      <c r="Y71" s="90">
        <v>1367</v>
      </c>
      <c r="Z71" s="91">
        <v>43455</v>
      </c>
      <c r="AA71" s="92">
        <v>264</v>
      </c>
      <c r="AB71" s="89">
        <v>1436</v>
      </c>
      <c r="AC71" s="89">
        <v>3770</v>
      </c>
      <c r="AD71" s="89">
        <v>1424</v>
      </c>
      <c r="AE71" s="90">
        <v>2142</v>
      </c>
      <c r="AF71" s="91">
        <f t="shared" si="10"/>
        <v>52491</v>
      </c>
      <c r="AG71" s="99">
        <v>2312000000</v>
      </c>
      <c r="AH71" s="100">
        <f>Table4[[#This Row],[TOTAL]]/Table4[[#This Row],[Total Residence]]</f>
        <v>53204.464388447821</v>
      </c>
      <c r="AM71" s="58" t="s">
        <v>333</v>
      </c>
      <c r="AN71" s="156" t="s">
        <v>939</v>
      </c>
      <c r="AO71">
        <v>640</v>
      </c>
      <c r="AP71">
        <v>2276</v>
      </c>
      <c r="AQ71">
        <v>70</v>
      </c>
      <c r="AR71">
        <f t="shared" si="9"/>
        <v>2986</v>
      </c>
    </row>
    <row r="72" spans="1:44" ht="14.5">
      <c r="A72" s="124" t="s">
        <v>341</v>
      </c>
      <c r="B72" s="124" t="s">
        <v>44</v>
      </c>
      <c r="C72">
        <v>236</v>
      </c>
      <c r="D72">
        <v>116</v>
      </c>
      <c r="E72">
        <v>170</v>
      </c>
      <c r="F72">
        <v>708</v>
      </c>
      <c r="G72" s="122">
        <v>3811</v>
      </c>
      <c r="H72" s="122">
        <v>2638</v>
      </c>
      <c r="I72" s="122">
        <v>1346</v>
      </c>
      <c r="J72">
        <v>516</v>
      </c>
      <c r="K72">
        <v>578</v>
      </c>
      <c r="L72" s="177">
        <f>SUM(Table8[[#This Row],[A]:[G]])</f>
        <v>10119</v>
      </c>
      <c r="M72" s="169">
        <f>VLOOKUP(A72,Table2[],MATCH(B72,Table2[#Headers],0), 0 )</f>
        <v>15284</v>
      </c>
      <c r="N72" s="170">
        <f>VLOOKUP(A72,Table2[], 8, 0 )+SUM(Table8[[#This Row],[Residence Total]]/Table8[[#This Row],[BER Total]])</f>
        <v>1.5236386376352953</v>
      </c>
      <c r="O72" s="171">
        <f t="shared" si="8"/>
        <v>15417.699374231554</v>
      </c>
      <c r="R72" s="72" t="s">
        <v>340</v>
      </c>
      <c r="S72" s="116">
        <v>27318</v>
      </c>
      <c r="T72" s="117">
        <v>34326</v>
      </c>
      <c r="U72" s="117">
        <v>18870</v>
      </c>
      <c r="V72" s="117">
        <v>5662</v>
      </c>
      <c r="W72" s="117">
        <v>766</v>
      </c>
      <c r="X72" s="117">
        <v>1743</v>
      </c>
      <c r="Y72" s="118">
        <v>2871</v>
      </c>
      <c r="Z72" s="271">
        <v>91556</v>
      </c>
      <c r="AA72" s="272">
        <v>812</v>
      </c>
      <c r="AB72" s="273">
        <v>3080</v>
      </c>
      <c r="AC72" s="273">
        <v>9861</v>
      </c>
      <c r="AD72" s="273">
        <v>2626</v>
      </c>
      <c r="AE72" s="274">
        <v>4119</v>
      </c>
      <c r="AF72" s="271">
        <f t="shared" si="10"/>
        <v>112054</v>
      </c>
      <c r="AG72" s="119">
        <v>4809000000</v>
      </c>
      <c r="AH72" s="275">
        <f>Table4[[#This Row],[TOTAL]]/Table4[[#This Row],[Total Residence]]</f>
        <v>52525.23046004631</v>
      </c>
      <c r="AM72" s="58" t="s">
        <v>349</v>
      </c>
      <c r="AN72" s="155" t="s">
        <v>940</v>
      </c>
      <c r="AO72">
        <v>242</v>
      </c>
      <c r="AP72">
        <v>66</v>
      </c>
      <c r="AQ72">
        <v>16</v>
      </c>
      <c r="AR72">
        <f t="shared" si="9"/>
        <v>324</v>
      </c>
    </row>
    <row r="73" spans="1:44" ht="14.5">
      <c r="A73" s="124" t="s">
        <v>341</v>
      </c>
      <c r="B73" s="124" t="s">
        <v>46</v>
      </c>
      <c r="C73">
        <v>330</v>
      </c>
      <c r="D73">
        <v>251</v>
      </c>
      <c r="E73">
        <v>495</v>
      </c>
      <c r="F73" s="122">
        <v>1137</v>
      </c>
      <c r="G73" s="122">
        <v>5084</v>
      </c>
      <c r="H73" s="122">
        <v>3395</v>
      </c>
      <c r="I73" s="122">
        <v>1565</v>
      </c>
      <c r="J73">
        <v>684</v>
      </c>
      <c r="K73" s="122">
        <v>1256</v>
      </c>
      <c r="L73" s="177">
        <f>SUM(Table8[[#This Row],[A]:[G]])</f>
        <v>14197</v>
      </c>
      <c r="M73" s="169">
        <f>VLOOKUP(A73,Table2[],MATCH(B73,Table2[#Headers],0), 0 )</f>
        <v>35667</v>
      </c>
      <c r="N73" s="170">
        <f>VLOOKUP(A73,Table2[], 8, 0 )+SUM(Table8[[#This Row],[Residence Total]]/Table8[[#This Row],[BER Total]])</f>
        <v>2.5255040353731939</v>
      </c>
      <c r="O73" s="171">
        <f t="shared" si="8"/>
        <v>35854.580790193235</v>
      </c>
      <c r="R73" s="72" t="s">
        <v>345</v>
      </c>
      <c r="S73" s="116">
        <v>3476</v>
      </c>
      <c r="T73" s="117">
        <v>5570</v>
      </c>
      <c r="U73" s="117">
        <v>1773</v>
      </c>
      <c r="V73" s="117">
        <v>933</v>
      </c>
      <c r="W73" s="117">
        <v>70</v>
      </c>
      <c r="X73" s="117">
        <v>275</v>
      </c>
      <c r="Y73" s="118">
        <v>307</v>
      </c>
      <c r="Z73" s="120">
        <v>12404</v>
      </c>
      <c r="AA73" s="121">
        <v>82</v>
      </c>
      <c r="AB73" s="117">
        <v>339</v>
      </c>
      <c r="AC73" s="117">
        <v>3083</v>
      </c>
      <c r="AD73" s="117">
        <v>506</v>
      </c>
      <c r="AE73" s="118">
        <v>1637</v>
      </c>
      <c r="AF73" s="271">
        <f t="shared" si="10"/>
        <v>18051</v>
      </c>
      <c r="AG73" s="119">
        <v>587000000</v>
      </c>
      <c r="AH73" s="275">
        <f>Table4[[#This Row],[TOTAL]]/Table4[[#This Row],[Total Residence]]</f>
        <v>47323.444050306352</v>
      </c>
      <c r="AM73" s="58" t="s">
        <v>346</v>
      </c>
      <c r="AN73" s="156" t="s">
        <v>941</v>
      </c>
      <c r="AO73">
        <v>557</v>
      </c>
      <c r="AP73">
        <v>138</v>
      </c>
      <c r="AQ73">
        <v>18</v>
      </c>
      <c r="AR73">
        <f t="shared" si="9"/>
        <v>713</v>
      </c>
    </row>
    <row r="74" spans="1:44" ht="14.5">
      <c r="A74" s="124" t="s">
        <v>327</v>
      </c>
      <c r="B74" s="124" t="s">
        <v>297</v>
      </c>
      <c r="C74">
        <v>185</v>
      </c>
      <c r="D74">
        <v>11</v>
      </c>
      <c r="E74">
        <v>135</v>
      </c>
      <c r="F74">
        <v>379</v>
      </c>
      <c r="G74" s="122">
        <v>1684</v>
      </c>
      <c r="H74">
        <v>946</v>
      </c>
      <c r="I74">
        <v>525</v>
      </c>
      <c r="J74">
        <v>172</v>
      </c>
      <c r="K74">
        <v>146</v>
      </c>
      <c r="L74" s="177">
        <f>SUM(Table8[[#This Row],[A]:[G]])</f>
        <v>4183</v>
      </c>
      <c r="M74" s="169">
        <f>VLOOKUP(A74,Table2[],MATCH(B74,Table2[#Headers],0), 0 )</f>
        <v>7268.0000000000009</v>
      </c>
      <c r="N74" s="170">
        <f>VLOOKUP(A74,Table2[], 8, 0 )+SUM(Table8[[#This Row],[Residence Total]]/Table8[[#This Row],[BER Total]])</f>
        <v>1.7465447820217341</v>
      </c>
      <c r="O74" s="171">
        <f t="shared" si="8"/>
        <v>7305.7968231969135</v>
      </c>
      <c r="R74" s="72" t="s">
        <v>346</v>
      </c>
      <c r="S74" s="116">
        <v>13762</v>
      </c>
      <c r="T74" s="117">
        <v>22777</v>
      </c>
      <c r="U74" s="117">
        <v>7151</v>
      </c>
      <c r="V74" s="117">
        <v>2598</v>
      </c>
      <c r="W74" s="117">
        <v>398</v>
      </c>
      <c r="X74" s="117">
        <v>1019</v>
      </c>
      <c r="Y74" s="118">
        <v>1040</v>
      </c>
      <c r="Z74" s="120">
        <v>48745</v>
      </c>
      <c r="AA74" s="121">
        <v>356</v>
      </c>
      <c r="AB74" s="117">
        <v>1368</v>
      </c>
      <c r="AC74" s="117">
        <v>9263</v>
      </c>
      <c r="AD74" s="117">
        <v>1334</v>
      </c>
      <c r="AE74" s="118">
        <v>4855</v>
      </c>
      <c r="AF74" s="271">
        <f t="shared" si="10"/>
        <v>65921</v>
      </c>
      <c r="AG74" s="119">
        <v>2295000000</v>
      </c>
      <c r="AH74" s="275">
        <f>Table4[[#This Row],[TOTAL]]/Table4[[#This Row],[Total Residence]]</f>
        <v>47081.751974561492</v>
      </c>
      <c r="AM74" s="58" t="s">
        <v>335</v>
      </c>
      <c r="AN74" s="155" t="s">
        <v>942</v>
      </c>
      <c r="AO74">
        <v>192</v>
      </c>
      <c r="AP74">
        <v>85</v>
      </c>
      <c r="AQ74">
        <v>13</v>
      </c>
      <c r="AR74">
        <f t="shared" si="9"/>
        <v>290</v>
      </c>
    </row>
    <row r="75" spans="1:44" ht="14.5">
      <c r="A75" s="124" t="s">
        <v>327</v>
      </c>
      <c r="B75" s="124" t="s">
        <v>44</v>
      </c>
      <c r="C75" s="122">
        <v>3495</v>
      </c>
      <c r="D75">
        <v>213</v>
      </c>
      <c r="E75">
        <v>302</v>
      </c>
      <c r="F75" s="122">
        <v>1126</v>
      </c>
      <c r="G75" s="122">
        <v>7817</v>
      </c>
      <c r="H75" s="122">
        <v>4393</v>
      </c>
      <c r="I75" s="122">
        <v>1370</v>
      </c>
      <c r="J75">
        <v>484</v>
      </c>
      <c r="K75">
        <v>522</v>
      </c>
      <c r="L75" s="177">
        <f>SUM(Table8[[#This Row],[A]:[G]])</f>
        <v>19722</v>
      </c>
      <c r="M75" s="169">
        <f>VLOOKUP(A75,Table2[],MATCH(B75,Table2[#Headers],0), 0 )</f>
        <v>35861</v>
      </c>
      <c r="N75" s="170">
        <f>VLOOKUP(A75,Table2[], 8, 0 )+SUM(Table8[[#This Row],[Residence Total]]/Table8[[#This Row],[BER Total]])</f>
        <v>1.8273605306818752</v>
      </c>
      <c r="O75" s="171">
        <f t="shared" si="8"/>
        <v>36039.204386107944</v>
      </c>
      <c r="R75" s="72" t="s">
        <v>347</v>
      </c>
      <c r="S75" s="116">
        <v>7163</v>
      </c>
      <c r="T75" s="117">
        <v>11071</v>
      </c>
      <c r="U75" s="117">
        <v>3210</v>
      </c>
      <c r="V75" s="117">
        <v>1493</v>
      </c>
      <c r="W75" s="117">
        <v>86</v>
      </c>
      <c r="X75" s="117">
        <v>447</v>
      </c>
      <c r="Y75" s="118">
        <v>492</v>
      </c>
      <c r="Z75" s="120">
        <v>23962</v>
      </c>
      <c r="AA75" s="121">
        <v>119</v>
      </c>
      <c r="AB75" s="117">
        <v>656</v>
      </c>
      <c r="AC75" s="117">
        <v>4701</v>
      </c>
      <c r="AD75" s="117">
        <v>622</v>
      </c>
      <c r="AE75" s="118">
        <v>1225</v>
      </c>
      <c r="AF75" s="271">
        <f t="shared" si="10"/>
        <v>31285</v>
      </c>
      <c r="AG75" s="119">
        <v>1073000000</v>
      </c>
      <c r="AH75" s="275">
        <f>Table4[[#This Row],[TOTAL]]/Table4[[#This Row],[Total Residence]]</f>
        <v>44779.233786829143</v>
      </c>
      <c r="AM75" s="58" t="s">
        <v>347</v>
      </c>
      <c r="AN75" s="156" t="s">
        <v>943</v>
      </c>
      <c r="AO75">
        <v>195</v>
      </c>
      <c r="AP75">
        <v>78</v>
      </c>
      <c r="AQ75">
        <v>20</v>
      </c>
      <c r="AR75">
        <f t="shared" si="9"/>
        <v>293</v>
      </c>
    </row>
    <row r="76" spans="1:44" ht="14.5">
      <c r="A76" s="124" t="s">
        <v>327</v>
      </c>
      <c r="B76" s="124" t="s">
        <v>46</v>
      </c>
      <c r="C76">
        <v>765</v>
      </c>
      <c r="D76">
        <v>134</v>
      </c>
      <c r="E76">
        <v>344</v>
      </c>
      <c r="F76" s="122">
        <v>1034</v>
      </c>
      <c r="G76" s="122">
        <v>4452</v>
      </c>
      <c r="H76" s="122">
        <v>2301</v>
      </c>
      <c r="I76">
        <v>871</v>
      </c>
      <c r="J76">
        <v>363</v>
      </c>
      <c r="K76">
        <v>639</v>
      </c>
      <c r="L76" s="177">
        <f>SUM(Table8[[#This Row],[A]:[G]])</f>
        <v>10903</v>
      </c>
      <c r="M76" s="169">
        <f>VLOOKUP(A76,Table2[],MATCH(B76,Table2[#Headers],0), 0 )</f>
        <v>29802</v>
      </c>
      <c r="N76" s="170">
        <f>VLOOKUP(A76,Table2[], 8, 0 )+SUM(Table8[[#This Row],[Residence Total]]/Table8[[#This Row],[BER Total]])</f>
        <v>2.7424119521726897</v>
      </c>
      <c r="O76" s="171">
        <f t="shared" si="8"/>
        <v>29900.517514538835</v>
      </c>
      <c r="R76" s="72" t="s">
        <v>348</v>
      </c>
      <c r="S76" s="116">
        <v>6997</v>
      </c>
      <c r="T76" s="117">
        <v>10154</v>
      </c>
      <c r="U76" s="117">
        <v>3959</v>
      </c>
      <c r="V76" s="117">
        <v>2272</v>
      </c>
      <c r="W76" s="117">
        <v>285</v>
      </c>
      <c r="X76" s="117">
        <v>440</v>
      </c>
      <c r="Y76" s="118">
        <v>654</v>
      </c>
      <c r="Z76" s="120">
        <v>24761</v>
      </c>
      <c r="AA76" s="121">
        <v>287</v>
      </c>
      <c r="AB76" s="117">
        <v>1145</v>
      </c>
      <c r="AC76" s="117">
        <v>3878</v>
      </c>
      <c r="AD76" s="117">
        <v>849</v>
      </c>
      <c r="AE76" s="118">
        <v>1844</v>
      </c>
      <c r="AF76" s="271">
        <f t="shared" si="10"/>
        <v>32764</v>
      </c>
      <c r="AG76" s="119">
        <v>1255000000</v>
      </c>
      <c r="AH76" s="275">
        <f>Table4[[#This Row],[TOTAL]]/Table4[[#This Row],[Total Residence]]</f>
        <v>50684.544242962722</v>
      </c>
      <c r="AM76" s="58" t="s">
        <v>338</v>
      </c>
      <c r="AN76" s="155" t="s">
        <v>944</v>
      </c>
      <c r="AO76">
        <v>125</v>
      </c>
      <c r="AP76">
        <v>2732</v>
      </c>
      <c r="AQ76">
        <v>101</v>
      </c>
      <c r="AR76">
        <f t="shared" si="9"/>
        <v>2958</v>
      </c>
    </row>
    <row r="77" spans="1:44" ht="13">
      <c r="A77" s="124" t="s">
        <v>328</v>
      </c>
      <c r="B77" s="124" t="s">
        <v>297</v>
      </c>
      <c r="C77">
        <v>17</v>
      </c>
      <c r="D77">
        <v>9</v>
      </c>
      <c r="E77">
        <v>42</v>
      </c>
      <c r="F77">
        <v>96</v>
      </c>
      <c r="G77">
        <v>436</v>
      </c>
      <c r="H77">
        <v>217</v>
      </c>
      <c r="I77">
        <v>101</v>
      </c>
      <c r="J77">
        <v>43</v>
      </c>
      <c r="K77">
        <v>67</v>
      </c>
      <c r="L77" s="177">
        <f>SUM(Table8[[#This Row],[A]:[G]])</f>
        <v>1028</v>
      </c>
      <c r="M77" s="169">
        <f>VLOOKUP(A77,Table2[],MATCH(B77,Table2[#Headers],0), 0 )</f>
        <v>1693</v>
      </c>
      <c r="N77" s="170">
        <f>VLOOKUP(A77,Table2[], 8, 0 )+SUM(Table8[[#This Row],[Residence Total]]/Table8[[#This Row],[BER Total]])</f>
        <v>1.6569861410278379</v>
      </c>
      <c r="O77" s="171">
        <f t="shared" si="8"/>
        <v>1703.3817529766175</v>
      </c>
      <c r="R77" s="72" t="s">
        <v>308</v>
      </c>
      <c r="S77" s="88">
        <v>8507</v>
      </c>
      <c r="T77" s="89">
        <v>10657</v>
      </c>
      <c r="U77" s="89">
        <v>4171</v>
      </c>
      <c r="V77" s="89">
        <v>2169</v>
      </c>
      <c r="W77" s="89">
        <v>133</v>
      </c>
      <c r="X77" s="89">
        <v>511</v>
      </c>
      <c r="Y77" s="90">
        <v>658</v>
      </c>
      <c r="Z77" s="91">
        <v>26806</v>
      </c>
      <c r="AA77" s="92">
        <v>119</v>
      </c>
      <c r="AB77" s="89">
        <v>785</v>
      </c>
      <c r="AC77" s="89">
        <v>4072</v>
      </c>
      <c r="AD77" s="89">
        <v>757</v>
      </c>
      <c r="AE77" s="90">
        <v>1046</v>
      </c>
      <c r="AF77" s="91">
        <f t="shared" si="10"/>
        <v>33585</v>
      </c>
      <c r="AG77" s="99">
        <v>1068000000</v>
      </c>
      <c r="AH77" s="100">
        <f>Table4[[#This Row],[TOTAL]]/Table4[[#This Row],[Total Residence]]</f>
        <v>39841.826456763411</v>
      </c>
      <c r="AM77" s="58" t="s">
        <v>348</v>
      </c>
      <c r="AN77" s="156" t="s">
        <v>945</v>
      </c>
      <c r="AO77">
        <v>216</v>
      </c>
      <c r="AP77">
        <v>102</v>
      </c>
      <c r="AQ77">
        <v>31</v>
      </c>
      <c r="AR77">
        <f t="shared" si="9"/>
        <v>349</v>
      </c>
    </row>
    <row r="78" spans="1:44" ht="13">
      <c r="A78" s="124" t="s">
        <v>328</v>
      </c>
      <c r="B78" s="124" t="s">
        <v>44</v>
      </c>
      <c r="C78">
        <v>163</v>
      </c>
      <c r="D78">
        <v>65</v>
      </c>
      <c r="E78">
        <v>137</v>
      </c>
      <c r="F78">
        <v>505</v>
      </c>
      <c r="G78" s="122">
        <v>2612</v>
      </c>
      <c r="H78" s="122">
        <v>1522</v>
      </c>
      <c r="I78">
        <v>711</v>
      </c>
      <c r="J78">
        <v>324</v>
      </c>
      <c r="K78">
        <v>342</v>
      </c>
      <c r="L78" s="177">
        <f>SUM(Table8[[#This Row],[A]:[G]])</f>
        <v>6381</v>
      </c>
      <c r="M78" s="169">
        <f>VLOOKUP(A78,Table2[],MATCH(B78,Table2[#Headers],0), 0 )</f>
        <v>12351.999999999998</v>
      </c>
      <c r="N78" s="170">
        <f>VLOOKUP(A78,Table2[], 8, 0 )+SUM(Table8[[#This Row],[Residence Total]]/Table8[[#This Row],[BER Total]])</f>
        <v>1.9458457296533596</v>
      </c>
      <c r="O78" s="171">
        <f t="shared" si="8"/>
        <v>12416.441600918088</v>
      </c>
      <c r="R78" s="72" t="s">
        <v>334</v>
      </c>
      <c r="S78" s="88">
        <v>16335</v>
      </c>
      <c r="T78" s="89">
        <v>25875</v>
      </c>
      <c r="U78" s="89">
        <v>7393</v>
      </c>
      <c r="V78" s="89">
        <v>5133</v>
      </c>
      <c r="W78" s="89">
        <v>439</v>
      </c>
      <c r="X78" s="89">
        <v>1469</v>
      </c>
      <c r="Y78" s="90">
        <v>1661</v>
      </c>
      <c r="Z78" s="91">
        <v>58305</v>
      </c>
      <c r="AA78" s="92">
        <v>659</v>
      </c>
      <c r="AB78" s="89">
        <v>1975</v>
      </c>
      <c r="AC78" s="89">
        <v>9848</v>
      </c>
      <c r="AD78" s="89">
        <v>1856</v>
      </c>
      <c r="AE78" s="90">
        <v>11288</v>
      </c>
      <c r="AF78" s="91">
        <f t="shared" si="10"/>
        <v>83931</v>
      </c>
      <c r="AG78" s="99">
        <v>2557000000</v>
      </c>
      <c r="AH78" s="100">
        <f>Table4[[#This Row],[TOTAL]]/Table4[[#This Row],[Total Residence]]</f>
        <v>43855.586999399711</v>
      </c>
      <c r="AM78" s="58" t="s">
        <v>343</v>
      </c>
      <c r="AN78" s="155" t="s">
        <v>946</v>
      </c>
      <c r="AO78">
        <v>383</v>
      </c>
      <c r="AP78">
        <v>51</v>
      </c>
      <c r="AQ78">
        <v>32</v>
      </c>
      <c r="AR78">
        <f t="shared" si="9"/>
        <v>466</v>
      </c>
    </row>
    <row r="79" spans="1:44" ht="13.5" thickBot="1">
      <c r="A79" s="124" t="s">
        <v>328</v>
      </c>
      <c r="B79" s="124" t="s">
        <v>46</v>
      </c>
      <c r="C79">
        <v>201</v>
      </c>
      <c r="D79">
        <v>61</v>
      </c>
      <c r="E79">
        <v>126</v>
      </c>
      <c r="F79">
        <v>366</v>
      </c>
      <c r="G79" s="122">
        <v>2098</v>
      </c>
      <c r="H79" s="122">
        <v>1461</v>
      </c>
      <c r="I79">
        <v>643</v>
      </c>
      <c r="J79">
        <v>306</v>
      </c>
      <c r="K79">
        <v>618</v>
      </c>
      <c r="L79" s="177">
        <f>SUM(Table8[[#This Row],[A]:[G]])</f>
        <v>5880</v>
      </c>
      <c r="M79" s="169">
        <f>VLOOKUP(A79,Table2[],MATCH(B79,Table2[#Headers],0), 0 )</f>
        <v>20458</v>
      </c>
      <c r="N79" s="170">
        <f>VLOOKUP(A79,Table2[], 8, 0 )+SUM(Table8[[#This Row],[Residence Total]]/Table8[[#This Row],[BER Total]])</f>
        <v>3.489350682175036</v>
      </c>
      <c r="O79" s="171">
        <f t="shared" si="8"/>
        <v>20517.382011189213</v>
      </c>
      <c r="R79" s="101" t="s">
        <v>349</v>
      </c>
      <c r="S79" s="102">
        <v>6828</v>
      </c>
      <c r="T79" s="103">
        <v>8941</v>
      </c>
      <c r="U79" s="103">
        <v>3062</v>
      </c>
      <c r="V79" s="103">
        <v>1692</v>
      </c>
      <c r="W79" s="103">
        <v>164</v>
      </c>
      <c r="X79" s="103">
        <v>447</v>
      </c>
      <c r="Y79" s="104">
        <v>478</v>
      </c>
      <c r="Z79" s="105">
        <v>21612</v>
      </c>
      <c r="AA79" s="106">
        <v>79</v>
      </c>
      <c r="AB79" s="103">
        <v>494</v>
      </c>
      <c r="AC79" s="103">
        <v>2449</v>
      </c>
      <c r="AD79" s="103">
        <v>435</v>
      </c>
      <c r="AE79" s="104">
        <v>242</v>
      </c>
      <c r="AF79" s="105">
        <f t="shared" si="10"/>
        <v>25311</v>
      </c>
      <c r="AG79" s="99">
        <v>1075000000</v>
      </c>
      <c r="AH79" s="107">
        <f>Table4[[#This Row],[TOTAL]]/Table4[[#This Row],[Total Residence]]</f>
        <v>49740.884693688691</v>
      </c>
      <c r="AM79" s="58" t="s">
        <v>344</v>
      </c>
      <c r="AN79" s="156" t="s">
        <v>947</v>
      </c>
      <c r="AO79">
        <v>266</v>
      </c>
      <c r="AP79">
        <v>524</v>
      </c>
      <c r="AQ79">
        <v>67</v>
      </c>
      <c r="AR79">
        <f t="shared" si="9"/>
        <v>857</v>
      </c>
    </row>
    <row r="80" spans="1:44" ht="15" thickBot="1">
      <c r="A80" s="124" t="s">
        <v>329</v>
      </c>
      <c r="B80" s="124" t="s">
        <v>297</v>
      </c>
      <c r="C80">
        <v>1</v>
      </c>
      <c r="D80">
        <v>5</v>
      </c>
      <c r="E80">
        <v>69</v>
      </c>
      <c r="F80">
        <v>94</v>
      </c>
      <c r="G80">
        <v>285</v>
      </c>
      <c r="H80">
        <v>239</v>
      </c>
      <c r="I80">
        <v>93</v>
      </c>
      <c r="J80">
        <v>32</v>
      </c>
      <c r="K80">
        <v>49</v>
      </c>
      <c r="L80" s="177">
        <f>SUM(Table8[[#This Row],[A]:[G]])</f>
        <v>867</v>
      </c>
      <c r="M80" s="169">
        <f>VLOOKUP(A80,Table2[],MATCH(B80,Table2[#Headers],0), 0 )</f>
        <v>1404.0000000000002</v>
      </c>
      <c r="N80" s="170">
        <f>VLOOKUP(A80,Table2[], 8, 0 )+SUM(Table8[[#This Row],[Residence Total]]/Table8[[#This Row],[BER Total]])</f>
        <v>1.6355244811442047</v>
      </c>
      <c r="O80" s="171">
        <f t="shared" si="8"/>
        <v>1417.9997251520253</v>
      </c>
      <c r="R80" s="108" t="s">
        <v>304</v>
      </c>
      <c r="S80" s="109">
        <f t="shared" ref="S80:AE80" si="11">SUM(S54:S79)</f>
        <v>535675</v>
      </c>
      <c r="T80" s="110">
        <f t="shared" si="11"/>
        <v>611877</v>
      </c>
      <c r="U80" s="110">
        <f t="shared" si="11"/>
        <v>309728</v>
      </c>
      <c r="V80" s="110">
        <f t="shared" si="11"/>
        <v>143178</v>
      </c>
      <c r="W80" s="110">
        <f t="shared" si="11"/>
        <v>16765</v>
      </c>
      <c r="X80" s="110">
        <f t="shared" si="11"/>
        <v>27440</v>
      </c>
      <c r="Y80" s="111">
        <f t="shared" si="11"/>
        <v>53002</v>
      </c>
      <c r="Z80" s="112">
        <f t="shared" si="11"/>
        <v>1697665</v>
      </c>
      <c r="AA80" s="113">
        <f t="shared" si="11"/>
        <v>9788</v>
      </c>
      <c r="AB80" s="110">
        <f t="shared" si="11"/>
        <v>50732</v>
      </c>
      <c r="AC80" s="110">
        <f t="shared" si="11"/>
        <v>140120</v>
      </c>
      <c r="AD80" s="110">
        <f t="shared" si="11"/>
        <v>43192</v>
      </c>
      <c r="AE80" s="111">
        <f t="shared" si="11"/>
        <v>62148</v>
      </c>
      <c r="AF80" s="114">
        <f t="shared" si="10"/>
        <v>2003645</v>
      </c>
      <c r="AG80" s="115">
        <f>SUM(AG54:AG79)</f>
        <v>94255000000</v>
      </c>
      <c r="AH80" s="276"/>
      <c r="AM80" s="58" t="s">
        <v>336</v>
      </c>
      <c r="AN80" s="155" t="s">
        <v>948</v>
      </c>
      <c r="AO80">
        <v>271</v>
      </c>
      <c r="AP80">
        <v>78</v>
      </c>
      <c r="AQ80">
        <v>16</v>
      </c>
      <c r="AR80">
        <f t="shared" si="9"/>
        <v>365</v>
      </c>
    </row>
    <row r="81" spans="1:44" ht="13.5" thickBot="1">
      <c r="A81" s="124" t="s">
        <v>329</v>
      </c>
      <c r="B81" s="124" t="s">
        <v>44</v>
      </c>
      <c r="C81">
        <v>80</v>
      </c>
      <c r="D81">
        <v>83</v>
      </c>
      <c r="E81">
        <v>120</v>
      </c>
      <c r="F81">
        <v>594</v>
      </c>
      <c r="G81" s="122">
        <v>2825</v>
      </c>
      <c r="H81" s="122">
        <v>1047</v>
      </c>
      <c r="I81">
        <v>821</v>
      </c>
      <c r="J81">
        <v>370</v>
      </c>
      <c r="K81">
        <v>413</v>
      </c>
      <c r="L81" s="177">
        <f>SUM(Table8[[#This Row],[A]:[G]])</f>
        <v>6353</v>
      </c>
      <c r="M81" s="169">
        <f>VLOOKUP(A81,Table2[],MATCH(B81,Table2[#Headers],0), 0 )</f>
        <v>11269</v>
      </c>
      <c r="N81" s="170">
        <f>VLOOKUP(A81,Table2[], 8, 0 )+SUM(Table8[[#This Row],[Residence Total]]/Table8[[#This Row],[BER Total]])</f>
        <v>1.789954968443614</v>
      </c>
      <c r="O81" s="171">
        <f t="shared" si="8"/>
        <v>11371.58391452228</v>
      </c>
      <c r="Y81" t="s">
        <v>40</v>
      </c>
      <c r="Z81" t="s">
        <v>40</v>
      </c>
      <c r="AA81" t="s">
        <v>40</v>
      </c>
      <c r="AB81" t="s">
        <v>40</v>
      </c>
      <c r="AC81" t="s">
        <v>40</v>
      </c>
      <c r="AD81" t="s">
        <v>40</v>
      </c>
      <c r="AE81" t="s">
        <v>40</v>
      </c>
      <c r="AF81" t="s">
        <v>40</v>
      </c>
      <c r="AM81" s="58" t="s">
        <v>339</v>
      </c>
      <c r="AN81" s="156" t="s">
        <v>949</v>
      </c>
      <c r="AO81">
        <v>324</v>
      </c>
      <c r="AP81">
        <v>918</v>
      </c>
      <c r="AQ81">
        <v>44</v>
      </c>
      <c r="AR81">
        <f t="shared" si="9"/>
        <v>1286</v>
      </c>
    </row>
    <row r="82" spans="1:44" ht="15" thickBot="1">
      <c r="A82" s="124" t="s">
        <v>329</v>
      </c>
      <c r="B82" s="124" t="s">
        <v>46</v>
      </c>
      <c r="C82">
        <v>112</v>
      </c>
      <c r="D82">
        <v>43</v>
      </c>
      <c r="E82">
        <v>127</v>
      </c>
      <c r="F82">
        <v>401</v>
      </c>
      <c r="G82" s="122">
        <v>2082</v>
      </c>
      <c r="H82" s="122">
        <v>1232</v>
      </c>
      <c r="I82">
        <v>512</v>
      </c>
      <c r="J82">
        <v>308</v>
      </c>
      <c r="K82">
        <v>547</v>
      </c>
      <c r="L82" s="177">
        <f>SUM(Table8[[#This Row],[A]:[G]])</f>
        <v>5364</v>
      </c>
      <c r="M82" s="169">
        <f>VLOOKUP(A82,Table2[],MATCH(B82,Table2[#Headers],0), 0 )</f>
        <v>15963.999999999998</v>
      </c>
      <c r="N82" s="170">
        <f>VLOOKUP(A82,Table2[], 8, 0 )+SUM(Table8[[#This Row],[Residence Total]]/Table8[[#This Row],[BER Total]])</f>
        <v>2.9922845295509859</v>
      </c>
      <c r="O82" s="171">
        <f t="shared" ref="O82:O113" si="12">L82*N82</f>
        <v>16050.614216511489</v>
      </c>
      <c r="S82" s="1147" t="s">
        <v>350</v>
      </c>
      <c r="T82" s="1148"/>
      <c r="U82" s="1148"/>
      <c r="V82" s="1148"/>
      <c r="W82" s="1148"/>
      <c r="X82" s="1148"/>
      <c r="Y82" s="1148"/>
      <c r="Z82" s="1149"/>
      <c r="AB82" s="1139" t="s">
        <v>351</v>
      </c>
      <c r="AC82" s="1139"/>
      <c r="AD82" s="1139"/>
      <c r="AE82" s="1139"/>
      <c r="AF82" s="1140"/>
      <c r="AG82" s="93" t="s">
        <v>304</v>
      </c>
      <c r="AM82" s="58" t="s">
        <v>337</v>
      </c>
      <c r="AN82" s="155" t="s">
        <v>950</v>
      </c>
      <c r="AO82">
        <v>579</v>
      </c>
      <c r="AP82">
        <v>361</v>
      </c>
      <c r="AQ82">
        <v>17</v>
      </c>
      <c r="AR82">
        <f t="shared" si="9"/>
        <v>957</v>
      </c>
    </row>
    <row r="83" spans="1:44" ht="15" thickBot="1">
      <c r="A83" s="124" t="s">
        <v>345</v>
      </c>
      <c r="B83" s="124" t="s">
        <v>297</v>
      </c>
      <c r="D83">
        <v>1</v>
      </c>
      <c r="E83">
        <v>8</v>
      </c>
      <c r="F83">
        <v>13</v>
      </c>
      <c r="G83">
        <v>195</v>
      </c>
      <c r="H83">
        <v>200</v>
      </c>
      <c r="I83">
        <v>66</v>
      </c>
      <c r="J83">
        <v>25</v>
      </c>
      <c r="K83">
        <v>24</v>
      </c>
      <c r="L83" s="177">
        <f>SUM(Table8[[#This Row],[A]:[G]])</f>
        <v>532</v>
      </c>
      <c r="M83" s="169">
        <f>VLOOKUP(A83,Table2[],MATCH(B83,Table2[#Headers],0), 0 )</f>
        <v>537</v>
      </c>
      <c r="N83" s="170">
        <f>VLOOKUP(A83,Table2[], 8, 0 )+SUM(Table8[[#This Row],[Residence Total]]/Table8[[#This Row],[BER Total]])</f>
        <v>1.0207219784121402</v>
      </c>
      <c r="O83" s="171">
        <f t="shared" si="12"/>
        <v>543.02409251525853</v>
      </c>
      <c r="S83" s="149" t="s">
        <v>46</v>
      </c>
      <c r="T83" s="146" t="s">
        <v>44</v>
      </c>
      <c r="U83" s="147"/>
      <c r="V83" s="146" t="s">
        <v>42</v>
      </c>
      <c r="W83" s="148"/>
      <c r="X83" s="148"/>
      <c r="Y83" s="147"/>
      <c r="Z83" s="150" t="s">
        <v>303</v>
      </c>
      <c r="AB83" s="1139"/>
      <c r="AC83" s="1139"/>
      <c r="AD83" s="1139"/>
      <c r="AE83" s="1139"/>
      <c r="AF83" s="1140"/>
      <c r="AG83" s="94"/>
    </row>
    <row r="84" spans="1:44" ht="14.5">
      <c r="A84" s="124" t="s">
        <v>345</v>
      </c>
      <c r="B84" s="124" t="s">
        <v>44</v>
      </c>
      <c r="C84">
        <v>14</v>
      </c>
      <c r="E84">
        <v>28</v>
      </c>
      <c r="F84">
        <v>166</v>
      </c>
      <c r="G84" s="122">
        <v>979</v>
      </c>
      <c r="H84">
        <v>360</v>
      </c>
      <c r="I84">
        <v>226</v>
      </c>
      <c r="J84">
        <v>168</v>
      </c>
      <c r="K84">
        <v>159</v>
      </c>
      <c r="L84" s="177">
        <f>SUM(Table8[[#This Row],[A]:[G]])</f>
        <v>2100</v>
      </c>
      <c r="M84" s="169">
        <f>VLOOKUP(A84,Table2[],MATCH(B84,Table2[#Headers],0), 0 )</f>
        <v>2714</v>
      </c>
      <c r="N84" s="170">
        <f>VLOOKUP(A84,Table2[], 8, 0 )+SUM(Table8[[#This Row],[Residence Total]]/Table8[[#This Row],[BER Total]])</f>
        <v>1.3037044345524911</v>
      </c>
      <c r="O84" s="171">
        <f t="shared" si="12"/>
        <v>2737.7793125602311</v>
      </c>
      <c r="R84" s="154" t="s">
        <v>309</v>
      </c>
      <c r="S84" s="159" t="s">
        <v>46</v>
      </c>
      <c r="T84" s="139" t="s">
        <v>352</v>
      </c>
      <c r="U84" s="161" t="s">
        <v>353</v>
      </c>
      <c r="V84" s="139" t="s">
        <v>354</v>
      </c>
      <c r="W84" s="140" t="s">
        <v>355</v>
      </c>
      <c r="X84" s="140" t="s">
        <v>356</v>
      </c>
      <c r="Y84" s="161" t="s">
        <v>357</v>
      </c>
      <c r="Z84" s="159" t="s">
        <v>316</v>
      </c>
      <c r="AB84" s="136" t="s">
        <v>358</v>
      </c>
      <c r="AC84" s="136" t="s">
        <v>46</v>
      </c>
      <c r="AD84" s="136" t="s">
        <v>44</v>
      </c>
      <c r="AE84" s="136" t="s">
        <v>297</v>
      </c>
      <c r="AF84" s="136" t="s">
        <v>359</v>
      </c>
      <c r="AG84" s="136" t="s">
        <v>317</v>
      </c>
      <c r="AH84" s="136" t="s">
        <v>323</v>
      </c>
      <c r="AI84" s="136" t="s">
        <v>293</v>
      </c>
    </row>
    <row r="85" spans="1:44" ht="14">
      <c r="A85" s="124" t="s">
        <v>345</v>
      </c>
      <c r="B85" s="124" t="s">
        <v>46</v>
      </c>
      <c r="C85">
        <v>13</v>
      </c>
      <c r="D85">
        <v>30</v>
      </c>
      <c r="E85">
        <v>89</v>
      </c>
      <c r="F85">
        <v>233</v>
      </c>
      <c r="G85" s="122">
        <v>1315</v>
      </c>
      <c r="H85" s="122">
        <v>753</v>
      </c>
      <c r="I85">
        <v>435</v>
      </c>
      <c r="J85">
        <v>237</v>
      </c>
      <c r="K85">
        <v>530</v>
      </c>
      <c r="L85" s="177">
        <f>SUM(Table8[[#This Row],[A]:[G]])</f>
        <v>3635</v>
      </c>
      <c r="M85" s="169">
        <f>VLOOKUP(A85,Table2[],MATCH(B85,Table2[#Headers],0), 0 )</f>
        <v>9060</v>
      </c>
      <c r="N85" s="170">
        <f>VLOOKUP(A85,Table2[], 8, 0 )+SUM(Table8[[#This Row],[Residence Total]]/Table8[[#This Row],[BER Total]])</f>
        <v>2.5037581451701634</v>
      </c>
      <c r="O85" s="171">
        <f t="shared" si="12"/>
        <v>9101.1608576935432</v>
      </c>
      <c r="R85" s="155" t="s">
        <v>296</v>
      </c>
      <c r="S85" s="160">
        <v>10450</v>
      </c>
      <c r="T85" s="162">
        <v>5829</v>
      </c>
      <c r="U85" s="163">
        <v>2606</v>
      </c>
      <c r="V85" s="162">
        <v>922</v>
      </c>
      <c r="W85" s="151">
        <v>222</v>
      </c>
      <c r="X85" s="151">
        <v>23</v>
      </c>
      <c r="Y85" s="163">
        <v>72</v>
      </c>
      <c r="Z85" s="160">
        <v>413</v>
      </c>
      <c r="AB85" s="693" t="s">
        <v>296</v>
      </c>
      <c r="AC85" s="81">
        <f t="shared" ref="AC85:AC110" si="13">S85/AG85*AG85</f>
        <v>10450</v>
      </c>
      <c r="AD85" s="81" cm="1">
        <f t="array" ref="AD85">SUM((T85:U85)/AG85)*AG85</f>
        <v>8435</v>
      </c>
      <c r="AE85" s="80" cm="1">
        <f t="array" ref="AE85">SUM((V85:Y85)/AG85)*AG85</f>
        <v>1239</v>
      </c>
      <c r="AF85" s="81">
        <f t="shared" ref="AF85:AF110" si="14">Z85/AG85*AG85</f>
        <v>413</v>
      </c>
      <c r="AG85" s="695">
        <f t="shared" ref="AG85:AG110" si="15">SUM(S85:Z85)</f>
        <v>20537</v>
      </c>
      <c r="AH85" s="167">
        <v>23274</v>
      </c>
      <c r="AI85" s="183">
        <f>Table2[[#This Row],[Not Stated]]/Table2[[#This Row],[Total Residence]]</f>
        <v>2.0110045284121341E-2</v>
      </c>
    </row>
    <row r="86" spans="1:44" ht="14">
      <c r="A86" s="124" t="s">
        <v>342</v>
      </c>
      <c r="B86" s="124" t="s">
        <v>297</v>
      </c>
      <c r="C86">
        <v>27</v>
      </c>
      <c r="D86">
        <v>55</v>
      </c>
      <c r="E86">
        <v>167</v>
      </c>
      <c r="F86">
        <v>383</v>
      </c>
      <c r="G86" s="122">
        <v>2609</v>
      </c>
      <c r="H86" s="122">
        <v>1549</v>
      </c>
      <c r="I86">
        <v>636</v>
      </c>
      <c r="J86">
        <v>214</v>
      </c>
      <c r="K86">
        <v>254</v>
      </c>
      <c r="L86" s="177">
        <f>SUM(Table8[[#This Row],[A]:[G]])</f>
        <v>5894</v>
      </c>
      <c r="M86" s="169">
        <f>VLOOKUP(A86,Table2[],MATCH(B86,Table2[#Headers],0), 0 )</f>
        <v>7338</v>
      </c>
      <c r="N86" s="170">
        <f>VLOOKUP(A86,Table2[], 8, 0 )+SUM(Table8[[#This Row],[Residence Total]]/Table8[[#This Row],[BER Total]])</f>
        <v>1.2580803868836168</v>
      </c>
      <c r="O86" s="171">
        <f t="shared" si="12"/>
        <v>7415.1258002920376</v>
      </c>
      <c r="R86" s="156" t="s">
        <v>338</v>
      </c>
      <c r="S86" s="141">
        <v>55149</v>
      </c>
      <c r="T86" s="164">
        <v>167090</v>
      </c>
      <c r="U86" s="76">
        <v>128609</v>
      </c>
      <c r="V86" s="164">
        <v>105095</v>
      </c>
      <c r="W86" s="152">
        <v>14404</v>
      </c>
      <c r="X86" s="152">
        <v>2209</v>
      </c>
      <c r="Y86" s="76">
        <v>524</v>
      </c>
      <c r="Z86" s="141">
        <v>6603</v>
      </c>
      <c r="AB86" s="694" t="s">
        <v>338</v>
      </c>
      <c r="AC86" s="89">
        <f t="shared" si="13"/>
        <v>55149</v>
      </c>
      <c r="AD86" s="89" cm="1">
        <f t="array" ref="AD86">SUM((T86:U86)/AG86)*AG86</f>
        <v>295699</v>
      </c>
      <c r="AE86" s="88" cm="1">
        <f t="array" ref="AE86">SUM((V86:Y86)/AG86)*AG86</f>
        <v>122231.99999999997</v>
      </c>
      <c r="AF86" s="89">
        <f t="shared" si="14"/>
        <v>6603</v>
      </c>
      <c r="AG86" s="696">
        <f t="shared" si="15"/>
        <v>479683</v>
      </c>
      <c r="AH86" s="166">
        <v>530753</v>
      </c>
      <c r="AI86" s="184">
        <f>Table2[[#This Row],[Not Stated]]/Table2[[#This Row],[Total Residence]]</f>
        <v>1.3765340860526639E-2</v>
      </c>
    </row>
    <row r="87" spans="1:44" ht="14">
      <c r="A87" s="124" t="s">
        <v>342</v>
      </c>
      <c r="B87" s="124" t="s">
        <v>44</v>
      </c>
      <c r="C87">
        <v>723</v>
      </c>
      <c r="D87">
        <v>143</v>
      </c>
      <c r="E87">
        <v>294</v>
      </c>
      <c r="F87">
        <v>997</v>
      </c>
      <c r="G87" s="122">
        <v>7954</v>
      </c>
      <c r="H87" s="122">
        <v>4929</v>
      </c>
      <c r="I87" s="122">
        <v>2068</v>
      </c>
      <c r="J87">
        <v>853</v>
      </c>
      <c r="K87">
        <v>911</v>
      </c>
      <c r="L87" s="177">
        <f>SUM(Table8[[#This Row],[A]:[G]])</f>
        <v>18872</v>
      </c>
      <c r="M87" s="169">
        <f>VLOOKUP(A87,Table2[],MATCH(B87,Table2[#Headers],0), 0 )</f>
        <v>30774</v>
      </c>
      <c r="N87" s="170">
        <f>VLOOKUP(A87,Table2[], 8, 0 )+SUM(Table8[[#This Row],[Residence Total]]/Table8[[#This Row],[BER Total]])</f>
        <v>1.6437552521341003</v>
      </c>
      <c r="O87" s="171">
        <f t="shared" si="12"/>
        <v>31020.949118274741</v>
      </c>
      <c r="R87" s="157" t="s">
        <v>327</v>
      </c>
      <c r="S87" s="142">
        <v>29802</v>
      </c>
      <c r="T87" s="165">
        <v>27726</v>
      </c>
      <c r="U87" s="77">
        <v>8135</v>
      </c>
      <c r="V87" s="165">
        <v>6232</v>
      </c>
      <c r="W87" s="153">
        <v>742</v>
      </c>
      <c r="X87" s="153">
        <v>46</v>
      </c>
      <c r="Y87" s="77">
        <v>248</v>
      </c>
      <c r="Z87" s="142">
        <v>665</v>
      </c>
      <c r="AB87" s="694" t="s">
        <v>327</v>
      </c>
      <c r="AC87" s="89">
        <f t="shared" si="13"/>
        <v>29802</v>
      </c>
      <c r="AD87" s="89" cm="1">
        <f t="array" ref="AD87">SUM((T87:U87)/AG87)*AG87</f>
        <v>35861</v>
      </c>
      <c r="AE87" s="88" cm="1">
        <f t="array" ref="AE87">SUM((V87:Y87)/AG87)*AG87</f>
        <v>7268.0000000000009</v>
      </c>
      <c r="AF87" s="89">
        <f t="shared" si="14"/>
        <v>665</v>
      </c>
      <c r="AG87" s="695">
        <f t="shared" si="15"/>
        <v>73596</v>
      </c>
      <c r="AH87" s="166">
        <v>80158</v>
      </c>
      <c r="AI87" s="184">
        <f>Table2[[#This Row],[Not Stated]]/Table2[[#This Row],[Total Residence]]</f>
        <v>9.0358171639763028E-3</v>
      </c>
    </row>
    <row r="88" spans="1:44" ht="14">
      <c r="A88" s="124" t="s">
        <v>342</v>
      </c>
      <c r="B88" s="124" t="s">
        <v>46</v>
      </c>
      <c r="C88">
        <v>277</v>
      </c>
      <c r="D88">
        <v>99</v>
      </c>
      <c r="E88">
        <v>228</v>
      </c>
      <c r="F88">
        <v>782</v>
      </c>
      <c r="G88" s="122">
        <v>4190</v>
      </c>
      <c r="H88" s="122">
        <v>3113</v>
      </c>
      <c r="I88" s="122">
        <v>1265</v>
      </c>
      <c r="J88">
        <v>668</v>
      </c>
      <c r="K88" s="122">
        <v>1210</v>
      </c>
      <c r="L88" s="177">
        <f>SUM(Table8[[#This Row],[A]:[G]])</f>
        <v>11832</v>
      </c>
      <c r="M88" s="169">
        <f>VLOOKUP(A88,Table2[],MATCH(B88,Table2[#Headers],0), 0 )</f>
        <v>32180</v>
      </c>
      <c r="N88" s="170">
        <f>VLOOKUP(A88,Table2[], 8, 0 )+SUM(Table8[[#This Row],[Residence Total]]/Table8[[#This Row],[BER Total]])</f>
        <v>2.7328285464472208</v>
      </c>
      <c r="O88" s="171">
        <f t="shared" si="12"/>
        <v>32334.827361563515</v>
      </c>
      <c r="R88" s="156" t="s">
        <v>328</v>
      </c>
      <c r="S88" s="141">
        <v>20458</v>
      </c>
      <c r="T88" s="164">
        <v>7728</v>
      </c>
      <c r="U88" s="76">
        <v>4624</v>
      </c>
      <c r="V88" s="164">
        <v>1250</v>
      </c>
      <c r="W88" s="152">
        <v>306</v>
      </c>
      <c r="X88" s="152">
        <v>25</v>
      </c>
      <c r="Y88" s="76">
        <v>112</v>
      </c>
      <c r="Z88" s="141">
        <v>352</v>
      </c>
      <c r="AB88" s="694" t="s">
        <v>328</v>
      </c>
      <c r="AC88" s="89">
        <f t="shared" si="13"/>
        <v>20458</v>
      </c>
      <c r="AD88" s="89" cm="1">
        <f t="array" ref="AD88">SUM((T88:U88)/AG88)*AG88</f>
        <v>12351.999999999998</v>
      </c>
      <c r="AE88" s="88" cm="1">
        <f t="array" ref="AE88">SUM((V88:Y88)/AG88)*AG88</f>
        <v>1693</v>
      </c>
      <c r="AF88" s="89">
        <f t="shared" si="14"/>
        <v>352</v>
      </c>
      <c r="AG88" s="696">
        <f t="shared" si="15"/>
        <v>34855</v>
      </c>
      <c r="AH88" s="166">
        <v>39226</v>
      </c>
      <c r="AI88" s="184">
        <f>Table2[[#This Row],[Not Stated]]/Table2[[#This Row],[Total Residence]]</f>
        <v>1.0098981494764023E-2</v>
      </c>
    </row>
    <row r="89" spans="1:44" ht="14">
      <c r="A89" s="124" t="s">
        <v>331</v>
      </c>
      <c r="B89" s="124" t="s">
        <v>297</v>
      </c>
      <c r="C89">
        <v>8</v>
      </c>
      <c r="D89">
        <v>3</v>
      </c>
      <c r="E89">
        <v>6</v>
      </c>
      <c r="F89">
        <v>12</v>
      </c>
      <c r="G89">
        <v>159</v>
      </c>
      <c r="H89">
        <v>223</v>
      </c>
      <c r="I89">
        <v>96</v>
      </c>
      <c r="J89">
        <v>25</v>
      </c>
      <c r="K89">
        <v>34</v>
      </c>
      <c r="L89" s="177">
        <f>SUM(Table8[[#This Row],[A]:[G]])</f>
        <v>566</v>
      </c>
      <c r="M89" s="169">
        <f>VLOOKUP(A89,Table2[],MATCH(B89,Table2[#Headers],0), 0 )</f>
        <v>667</v>
      </c>
      <c r="N89" s="170">
        <f>VLOOKUP(A89,Table2[], 8, 0 )+SUM(Table8[[#This Row],[Residence Total]]/Table8[[#This Row],[BER Total]])</f>
        <v>1.1951096920546807</v>
      </c>
      <c r="O89" s="171">
        <f t="shared" si="12"/>
        <v>676.43208570294928</v>
      </c>
      <c r="R89" s="157" t="s">
        <v>329</v>
      </c>
      <c r="S89" s="142">
        <v>15964</v>
      </c>
      <c r="T89" s="165">
        <v>8584</v>
      </c>
      <c r="U89" s="77">
        <v>2685</v>
      </c>
      <c r="V89" s="165">
        <v>1101</v>
      </c>
      <c r="W89" s="153">
        <v>177</v>
      </c>
      <c r="X89" s="153">
        <v>16</v>
      </c>
      <c r="Y89" s="77">
        <v>110</v>
      </c>
      <c r="Z89" s="142">
        <v>470</v>
      </c>
      <c r="AB89" s="694" t="s">
        <v>329</v>
      </c>
      <c r="AC89" s="89">
        <f t="shared" si="13"/>
        <v>15963.999999999998</v>
      </c>
      <c r="AD89" s="89" cm="1">
        <f t="array" ref="AD89">SUM((T89:U89)/AG89)*AG89</f>
        <v>11269</v>
      </c>
      <c r="AE89" s="88" cm="1">
        <f t="array" ref="AE89">SUM((V89:Y89)/AG89)*AG89</f>
        <v>1404.0000000000002</v>
      </c>
      <c r="AF89" s="89">
        <f t="shared" si="14"/>
        <v>470.00000000000006</v>
      </c>
      <c r="AG89" s="695">
        <f t="shared" si="15"/>
        <v>29107</v>
      </c>
      <c r="AH89" s="166">
        <v>32794</v>
      </c>
      <c r="AI89" s="184">
        <f>Table2[[#This Row],[Not Stated]]/Table2[[#This Row],[Total Residence]]</f>
        <v>1.6147318514446698E-2</v>
      </c>
    </row>
    <row r="90" spans="1:44" ht="14">
      <c r="A90" s="124" t="s">
        <v>331</v>
      </c>
      <c r="B90" s="124" t="s">
        <v>44</v>
      </c>
      <c r="C90">
        <v>16</v>
      </c>
      <c r="D90">
        <v>95</v>
      </c>
      <c r="E90">
        <v>61</v>
      </c>
      <c r="F90">
        <v>213</v>
      </c>
      <c r="G90" s="122">
        <v>1167</v>
      </c>
      <c r="H90">
        <v>721</v>
      </c>
      <c r="I90">
        <v>296</v>
      </c>
      <c r="J90">
        <v>140</v>
      </c>
      <c r="K90">
        <v>128</v>
      </c>
      <c r="L90" s="177">
        <f>SUM(Table8[[#This Row],[A]:[G]])</f>
        <v>2837</v>
      </c>
      <c r="M90" s="169">
        <f>VLOOKUP(A90,Table2[],MATCH(B90,Table2[#Headers],0), 0 )</f>
        <v>4662</v>
      </c>
      <c r="N90" s="170">
        <f>VLOOKUP(A90,Table2[], 8, 0 )+SUM(Table8[[#This Row],[Residence Total]]/Table8[[#This Row],[BER Total]])</f>
        <v>1.6599496227533856</v>
      </c>
      <c r="O90" s="171">
        <f t="shared" si="12"/>
        <v>4709.2770797513549</v>
      </c>
      <c r="R90" s="156" t="s">
        <v>331</v>
      </c>
      <c r="S90" s="141">
        <v>9541</v>
      </c>
      <c r="T90" s="164">
        <v>3133</v>
      </c>
      <c r="U90" s="76">
        <v>1529</v>
      </c>
      <c r="V90" s="164">
        <v>550</v>
      </c>
      <c r="W90" s="152">
        <v>78</v>
      </c>
      <c r="X90" s="152">
        <v>9</v>
      </c>
      <c r="Y90" s="76">
        <v>30</v>
      </c>
      <c r="Z90" s="141">
        <v>252</v>
      </c>
      <c r="AB90" s="694" t="s">
        <v>331</v>
      </c>
      <c r="AC90" s="89">
        <f t="shared" si="13"/>
        <v>9541</v>
      </c>
      <c r="AD90" s="89" cm="1">
        <f t="array" ref="AD90">SUM((T90:U90)/AG90)*AG90</f>
        <v>4662</v>
      </c>
      <c r="AE90" s="88" cm="1">
        <f t="array" ref="AE90">SUM((V90:Y90)/AG90)*AG90</f>
        <v>667</v>
      </c>
      <c r="AF90" s="89">
        <f t="shared" si="14"/>
        <v>252</v>
      </c>
      <c r="AG90" s="696">
        <f t="shared" si="15"/>
        <v>15122</v>
      </c>
      <c r="AH90" s="166">
        <v>18591</v>
      </c>
      <c r="AI90" s="184">
        <f>Table2[[#This Row],[Not Stated]]/Table2[[#This Row],[Total Residence]]</f>
        <v>1.6664462372702023E-2</v>
      </c>
    </row>
    <row r="91" spans="1:44" ht="14">
      <c r="A91" s="124" t="s">
        <v>331</v>
      </c>
      <c r="B91" s="124" t="s">
        <v>46</v>
      </c>
      <c r="C91">
        <v>28</v>
      </c>
      <c r="D91">
        <v>41</v>
      </c>
      <c r="E91">
        <v>85</v>
      </c>
      <c r="F91">
        <v>259</v>
      </c>
      <c r="G91" s="122">
        <v>1252</v>
      </c>
      <c r="H91" s="122">
        <v>802</v>
      </c>
      <c r="I91">
        <v>401</v>
      </c>
      <c r="J91">
        <v>281</v>
      </c>
      <c r="K91">
        <v>446</v>
      </c>
      <c r="L91" s="177">
        <f>SUM(Table8[[#This Row],[A]:[G]])</f>
        <v>3595</v>
      </c>
      <c r="M91" s="169">
        <f>VLOOKUP(A91,Table2[],MATCH(B91,Table2[#Headers],0), 0 )</f>
        <v>9541</v>
      </c>
      <c r="N91" s="170">
        <f>VLOOKUP(A91,Table2[], 8, 0 )+SUM(Table8[[#This Row],[Residence Total]]/Table8[[#This Row],[BER Total]])</f>
        <v>2.6706283010375143</v>
      </c>
      <c r="O91" s="171">
        <f t="shared" si="12"/>
        <v>9600.9087422298635</v>
      </c>
      <c r="R91" s="157" t="s">
        <v>332</v>
      </c>
      <c r="S91" s="142">
        <v>18482</v>
      </c>
      <c r="T91" s="165">
        <v>13392</v>
      </c>
      <c r="U91" s="77">
        <v>9934</v>
      </c>
      <c r="V91" s="165">
        <v>2456</v>
      </c>
      <c r="W91" s="153">
        <v>392</v>
      </c>
      <c r="X91" s="153">
        <v>26</v>
      </c>
      <c r="Y91" s="77">
        <v>85</v>
      </c>
      <c r="Z91" s="142">
        <v>681</v>
      </c>
      <c r="AB91" s="694" t="s">
        <v>332</v>
      </c>
      <c r="AC91" s="89">
        <f t="shared" si="13"/>
        <v>18482</v>
      </c>
      <c r="AD91" s="89" cm="1">
        <f t="array" ref="AD91">SUM((T91:U91)/AG91)*AG91</f>
        <v>23326</v>
      </c>
      <c r="AE91" s="88" cm="1">
        <f t="array" ref="AE91">SUM((V91:Y91)/AG91)*AG91</f>
        <v>2959.0000000000005</v>
      </c>
      <c r="AF91" s="89">
        <f t="shared" si="14"/>
        <v>681</v>
      </c>
      <c r="AG91" s="695">
        <f t="shared" si="15"/>
        <v>45448</v>
      </c>
      <c r="AH91" s="166">
        <v>51399</v>
      </c>
      <c r="AI91" s="184">
        <f>Table2[[#This Row],[Not Stated]]/Table2[[#This Row],[Total Residence]]</f>
        <v>1.4984157718711495E-2</v>
      </c>
    </row>
    <row r="92" spans="1:44" ht="14">
      <c r="A92" s="124" t="s">
        <v>332</v>
      </c>
      <c r="B92" s="124" t="s">
        <v>297</v>
      </c>
      <c r="C92">
        <v>67</v>
      </c>
      <c r="D92">
        <v>39</v>
      </c>
      <c r="E92">
        <v>160</v>
      </c>
      <c r="F92">
        <v>268</v>
      </c>
      <c r="G92" s="122">
        <v>881</v>
      </c>
      <c r="H92">
        <v>379</v>
      </c>
      <c r="I92">
        <v>218</v>
      </c>
      <c r="J92">
        <v>83</v>
      </c>
      <c r="K92">
        <v>95</v>
      </c>
      <c r="L92" s="177">
        <f>SUM(Table8[[#This Row],[A]:[G]])</f>
        <v>2190</v>
      </c>
      <c r="M92" s="169">
        <f>VLOOKUP(A92,Table2[],MATCH(B92,Table2[#Headers],0), 0 )</f>
        <v>2959.0000000000005</v>
      </c>
      <c r="N92" s="170">
        <f>VLOOKUP(A92,Table2[], 8, 0 )+SUM(Table8[[#This Row],[Residence Total]]/Table8[[#This Row],[BER Total]])</f>
        <v>1.3661257102301272</v>
      </c>
      <c r="O92" s="171">
        <f t="shared" si="12"/>
        <v>2991.8153054039785</v>
      </c>
      <c r="R92" s="156" t="s">
        <v>333</v>
      </c>
      <c r="S92" s="141">
        <v>33556</v>
      </c>
      <c r="T92" s="164">
        <v>18454</v>
      </c>
      <c r="U92" s="76">
        <v>6193</v>
      </c>
      <c r="V92" s="164">
        <v>4388</v>
      </c>
      <c r="W92" s="152">
        <v>507</v>
      </c>
      <c r="X92" s="152">
        <v>39</v>
      </c>
      <c r="Y92" s="76">
        <v>373</v>
      </c>
      <c r="Z92" s="141">
        <v>724</v>
      </c>
      <c r="AB92" s="694" t="s">
        <v>333</v>
      </c>
      <c r="AC92" s="89">
        <f t="shared" si="13"/>
        <v>33556</v>
      </c>
      <c r="AD92" s="89" cm="1">
        <f t="array" ref="AD92">SUM((T92:U92)/AG92)*AG92</f>
        <v>24647</v>
      </c>
      <c r="AE92" s="88" cm="1">
        <f t="array" ref="AE92">SUM((V92:Y92)/AG92)*AG92</f>
        <v>5307</v>
      </c>
      <c r="AF92" s="89">
        <f t="shared" si="14"/>
        <v>724</v>
      </c>
      <c r="AG92" s="696">
        <f t="shared" si="15"/>
        <v>64234</v>
      </c>
      <c r="AH92" s="166">
        <v>70649</v>
      </c>
      <c r="AI92" s="184">
        <f>Table2[[#This Row],[Not Stated]]/Table2[[#This Row],[Total Residence]]</f>
        <v>1.1271289348320205E-2</v>
      </c>
    </row>
    <row r="93" spans="1:44" ht="14">
      <c r="A93" s="124" t="s">
        <v>332</v>
      </c>
      <c r="B93" s="124" t="s">
        <v>44</v>
      </c>
      <c r="C93" s="122">
        <v>1067</v>
      </c>
      <c r="D93">
        <v>293</v>
      </c>
      <c r="E93">
        <v>333</v>
      </c>
      <c r="F93" s="122">
        <v>1295</v>
      </c>
      <c r="G93" s="122">
        <v>6649</v>
      </c>
      <c r="H93" s="122">
        <v>2639</v>
      </c>
      <c r="I93" s="122">
        <v>1061</v>
      </c>
      <c r="J93">
        <v>478</v>
      </c>
      <c r="K93">
        <v>703</v>
      </c>
      <c r="L93" s="177">
        <f>SUM(Table8[[#This Row],[A]:[G]])</f>
        <v>14518</v>
      </c>
      <c r="M93" s="169">
        <f>VLOOKUP(A93,Table2[],MATCH(B93,Table2[#Headers],0), 0 )</f>
        <v>23326</v>
      </c>
      <c r="N93" s="170">
        <f>VLOOKUP(A93,Table2[], 8, 0 )+SUM(Table8[[#This Row],[Residence Total]]/Table8[[#This Row],[BER Total]])</f>
        <v>1.6216792947899334</v>
      </c>
      <c r="O93" s="171">
        <f t="shared" si="12"/>
        <v>23543.540001760255</v>
      </c>
      <c r="R93" s="157" t="s">
        <v>335</v>
      </c>
      <c r="S93" s="142">
        <v>15701</v>
      </c>
      <c r="T93" s="165">
        <v>7313</v>
      </c>
      <c r="U93" s="77">
        <v>2759</v>
      </c>
      <c r="V93" s="165">
        <v>752</v>
      </c>
      <c r="W93" s="153">
        <v>215</v>
      </c>
      <c r="X93" s="153">
        <v>25</v>
      </c>
      <c r="Y93" s="77">
        <v>159</v>
      </c>
      <c r="Z93" s="142">
        <v>419</v>
      </c>
      <c r="AB93" s="694" t="s">
        <v>335</v>
      </c>
      <c r="AC93" s="89">
        <f t="shared" si="13"/>
        <v>15701.000000000002</v>
      </c>
      <c r="AD93" s="89" cm="1">
        <f t="array" ref="AD93">SUM((T93:U93)/AG93)*AG93</f>
        <v>10072</v>
      </c>
      <c r="AE93" s="88" cm="1">
        <f t="array" ref="AE93">SUM((V93:Y93)/AG93)*AG93</f>
        <v>1151</v>
      </c>
      <c r="AF93" s="89">
        <f t="shared" si="14"/>
        <v>419</v>
      </c>
      <c r="AG93" s="695">
        <f t="shared" si="15"/>
        <v>27343</v>
      </c>
      <c r="AH93" s="166">
        <v>30740</v>
      </c>
      <c r="AI93" s="184">
        <f>Table2[[#This Row],[Not Stated]]/Table2[[#This Row],[Total Residence]]</f>
        <v>1.5323848882712212E-2</v>
      </c>
    </row>
    <row r="94" spans="1:44" ht="14">
      <c r="A94" s="124" t="s">
        <v>332</v>
      </c>
      <c r="B94" s="124" t="s">
        <v>46</v>
      </c>
      <c r="C94">
        <v>370</v>
      </c>
      <c r="D94">
        <v>110</v>
      </c>
      <c r="E94">
        <v>254</v>
      </c>
      <c r="F94">
        <v>611</v>
      </c>
      <c r="G94" s="122">
        <v>2762</v>
      </c>
      <c r="H94" s="122">
        <v>1485</v>
      </c>
      <c r="I94">
        <v>654</v>
      </c>
      <c r="J94">
        <v>293</v>
      </c>
      <c r="K94">
        <v>518</v>
      </c>
      <c r="L94" s="177">
        <f>SUM(Table8[[#This Row],[A]:[G]])</f>
        <v>7057</v>
      </c>
      <c r="M94" s="169">
        <f>VLOOKUP(A94,Table2[],MATCH(B94,Table2[#Headers],0), 0 )</f>
        <v>18482</v>
      </c>
      <c r="N94" s="170">
        <f>VLOOKUP(A94,Table2[], 8, 0 )+SUM(Table8[[#This Row],[Residence Total]]/Table8[[#This Row],[BER Total]])</f>
        <v>2.6339440556923548</v>
      </c>
      <c r="O94" s="171">
        <f t="shared" si="12"/>
        <v>18587.743201020949</v>
      </c>
      <c r="R94" s="156" t="s">
        <v>336</v>
      </c>
      <c r="S94" s="141">
        <v>16482</v>
      </c>
      <c r="T94" s="164">
        <v>8765</v>
      </c>
      <c r="U94" s="76">
        <v>3337</v>
      </c>
      <c r="V94" s="164">
        <v>2373</v>
      </c>
      <c r="W94" s="152">
        <v>318</v>
      </c>
      <c r="X94" s="152">
        <v>28</v>
      </c>
      <c r="Y94" s="76">
        <v>128</v>
      </c>
      <c r="Z94" s="141">
        <v>382</v>
      </c>
      <c r="AB94" s="694" t="s">
        <v>336</v>
      </c>
      <c r="AC94" s="89">
        <f t="shared" si="13"/>
        <v>16482</v>
      </c>
      <c r="AD94" s="89" cm="1">
        <f t="array" ref="AD94">SUM((T94:U94)/AG94)*AG94</f>
        <v>12102.000000000002</v>
      </c>
      <c r="AE94" s="88" cm="1">
        <f t="array" ref="AE94">SUM((V94:Y94)/AG94)*AG94</f>
        <v>2847</v>
      </c>
      <c r="AF94" s="89">
        <f t="shared" si="14"/>
        <v>382</v>
      </c>
      <c r="AG94" s="696">
        <f t="shared" si="15"/>
        <v>31813</v>
      </c>
      <c r="AH94" s="166">
        <v>36890</v>
      </c>
      <c r="AI94" s="184">
        <f>Table2[[#This Row],[Not Stated]]/Table2[[#This Row],[Total Residence]]</f>
        <v>1.2007669820513626E-2</v>
      </c>
    </row>
    <row r="95" spans="1:44" ht="14">
      <c r="A95" s="124" t="s">
        <v>346</v>
      </c>
      <c r="B95" s="124" t="s">
        <v>297</v>
      </c>
      <c r="C95">
        <v>11</v>
      </c>
      <c r="D95">
        <v>8</v>
      </c>
      <c r="E95">
        <v>36</v>
      </c>
      <c r="F95">
        <v>67</v>
      </c>
      <c r="G95" s="122">
        <v>462</v>
      </c>
      <c r="H95">
        <v>548</v>
      </c>
      <c r="I95">
        <v>227</v>
      </c>
      <c r="J95">
        <v>87</v>
      </c>
      <c r="K95">
        <v>96</v>
      </c>
      <c r="L95" s="177">
        <f>SUM(Table8[[#This Row],[A]:[G]])</f>
        <v>1542</v>
      </c>
      <c r="M95" s="169">
        <f>VLOOKUP(A95,Table2[],MATCH(B95,Table2[#Headers],0), 0 )</f>
        <v>2108.9999999999995</v>
      </c>
      <c r="N95" s="170">
        <f>VLOOKUP(A95,Table2[], 8, 0 )+SUM(Table8[[#This Row],[Residence Total]]/Table8[[#This Row],[BER Total]])</f>
        <v>1.3769887236002931</v>
      </c>
      <c r="O95" s="171">
        <f t="shared" si="12"/>
        <v>2123.3166117916521</v>
      </c>
      <c r="R95" s="157" t="s">
        <v>337</v>
      </c>
      <c r="S95" s="142">
        <v>33134</v>
      </c>
      <c r="T95" s="165">
        <v>11467</v>
      </c>
      <c r="U95" s="77">
        <v>6432</v>
      </c>
      <c r="V95" s="165">
        <v>1743</v>
      </c>
      <c r="W95" s="153">
        <v>576</v>
      </c>
      <c r="X95" s="153">
        <v>25</v>
      </c>
      <c r="Y95" s="77">
        <v>283</v>
      </c>
      <c r="Z95" s="142">
        <v>629</v>
      </c>
      <c r="AB95" s="694" t="s">
        <v>337</v>
      </c>
      <c r="AC95" s="89">
        <f t="shared" si="13"/>
        <v>33134</v>
      </c>
      <c r="AD95" s="89" cm="1">
        <f t="array" ref="AD95">SUM((T95:U95)/AG95)*AG95</f>
        <v>17899</v>
      </c>
      <c r="AE95" s="88" cm="1">
        <f t="array" ref="AE95">SUM((V95:Y95)/AG95)*AG95</f>
        <v>2627</v>
      </c>
      <c r="AF95" s="89">
        <f t="shared" si="14"/>
        <v>629</v>
      </c>
      <c r="AG95" s="695">
        <f t="shared" si="15"/>
        <v>54289</v>
      </c>
      <c r="AH95" s="166">
        <v>68206</v>
      </c>
      <c r="AI95" s="184">
        <f>Table2[[#This Row],[Not Stated]]/Table2[[#This Row],[Total Residence]]</f>
        <v>1.1586140838843965E-2</v>
      </c>
    </row>
    <row r="96" spans="1:44" ht="14">
      <c r="A96" s="124" t="s">
        <v>346</v>
      </c>
      <c r="B96" s="124" t="s">
        <v>44</v>
      </c>
      <c r="C96">
        <v>209</v>
      </c>
      <c r="D96">
        <v>86</v>
      </c>
      <c r="E96">
        <v>144</v>
      </c>
      <c r="F96">
        <v>324</v>
      </c>
      <c r="G96" s="122">
        <v>3219</v>
      </c>
      <c r="H96" s="122">
        <v>1938</v>
      </c>
      <c r="I96">
        <v>743</v>
      </c>
      <c r="J96">
        <v>393</v>
      </c>
      <c r="K96">
        <v>559</v>
      </c>
      <c r="L96" s="177">
        <f>SUM(Table8[[#This Row],[A]:[G]])</f>
        <v>7615</v>
      </c>
      <c r="M96" s="169">
        <f>VLOOKUP(A96,Table2[],MATCH(B96,Table2[#Headers],0), 0 )</f>
        <v>12311</v>
      </c>
      <c r="N96" s="170">
        <f>VLOOKUP(A96,Table2[], 8, 0 )+SUM(Table8[[#This Row],[Residence Total]]/Table8[[#This Row],[BER Total]])</f>
        <v>1.6259620534249533</v>
      </c>
      <c r="O96" s="171">
        <f t="shared" si="12"/>
        <v>12381.701036831018</v>
      </c>
      <c r="R96" s="156" t="s">
        <v>339</v>
      </c>
      <c r="S96" s="141">
        <v>22110</v>
      </c>
      <c r="T96" s="164">
        <v>14326</v>
      </c>
      <c r="U96" s="76">
        <v>7778</v>
      </c>
      <c r="V96" s="164">
        <v>3381</v>
      </c>
      <c r="W96" s="152">
        <v>789</v>
      </c>
      <c r="X96" s="152">
        <v>66</v>
      </c>
      <c r="Y96" s="76">
        <v>206</v>
      </c>
      <c r="Z96" s="141">
        <v>555</v>
      </c>
      <c r="AB96" s="694" t="s">
        <v>339</v>
      </c>
      <c r="AC96" s="89">
        <f t="shared" si="13"/>
        <v>22110</v>
      </c>
      <c r="AD96" s="89" cm="1">
        <f t="array" ref="AD96">SUM((T96:U96)/AG96)*AG96</f>
        <v>22104</v>
      </c>
      <c r="AE96" s="88" cm="1">
        <f t="array" ref="AE96">SUM((V96:Y96)/AG96)*AG96</f>
        <v>4442</v>
      </c>
      <c r="AF96" s="89">
        <f t="shared" si="14"/>
        <v>555</v>
      </c>
      <c r="AG96" s="696">
        <f t="shared" si="15"/>
        <v>49211</v>
      </c>
      <c r="AH96" s="166">
        <v>54986</v>
      </c>
      <c r="AI96" s="184">
        <f>Table2[[#This Row],[Not Stated]]/Table2[[#This Row],[Total Residence]]</f>
        <v>1.1277966308345695E-2</v>
      </c>
    </row>
    <row r="97" spans="1:35" ht="14">
      <c r="A97" s="124" t="s">
        <v>346</v>
      </c>
      <c r="B97" s="124" t="s">
        <v>46</v>
      </c>
      <c r="C97">
        <v>288</v>
      </c>
      <c r="D97">
        <v>111</v>
      </c>
      <c r="E97">
        <v>227</v>
      </c>
      <c r="F97">
        <v>699</v>
      </c>
      <c r="G97" s="122">
        <v>4401</v>
      </c>
      <c r="H97" s="122">
        <v>3175</v>
      </c>
      <c r="I97" s="122">
        <v>1498</v>
      </c>
      <c r="J97">
        <v>767</v>
      </c>
      <c r="K97" s="122">
        <v>1469</v>
      </c>
      <c r="L97" s="177">
        <f>SUM(Table8[[#This Row],[A]:[G]])</f>
        <v>12635</v>
      </c>
      <c r="M97" s="169">
        <f>VLOOKUP(A97,Table2[],MATCH(B97,Table2[#Headers],0), 0 )</f>
        <v>34025</v>
      </c>
      <c r="N97" s="170">
        <f>VLOOKUP(A97,Table2[], 8, 0 )+SUM(Table8[[#This Row],[Residence Total]]/Table8[[#This Row],[BER Total]])</f>
        <v>2.7022009452254192</v>
      </c>
      <c r="O97" s="171">
        <f t="shared" si="12"/>
        <v>34142.30894292317</v>
      </c>
      <c r="R97" s="157" t="s">
        <v>326</v>
      </c>
      <c r="S97" s="142">
        <v>25689</v>
      </c>
      <c r="T97" s="165">
        <v>9772</v>
      </c>
      <c r="U97" s="77">
        <v>5010</v>
      </c>
      <c r="V97" s="165">
        <v>1954</v>
      </c>
      <c r="W97" s="153">
        <v>343</v>
      </c>
      <c r="X97" s="153">
        <v>33</v>
      </c>
      <c r="Y97" s="77">
        <v>121</v>
      </c>
      <c r="Z97" s="142">
        <v>547</v>
      </c>
      <c r="AB97" s="694" t="s">
        <v>326</v>
      </c>
      <c r="AC97" s="89">
        <f t="shared" si="13"/>
        <v>25688.999999999996</v>
      </c>
      <c r="AD97" s="89" cm="1">
        <f t="array" ref="AD97">SUM((T97:U97)/AG97)*AG97</f>
        <v>14782</v>
      </c>
      <c r="AE97" s="88" cm="1">
        <f t="array" ref="AE97">SUM((V97:Y97)/AG97)*AG97</f>
        <v>2451</v>
      </c>
      <c r="AF97" s="89">
        <f t="shared" si="14"/>
        <v>547</v>
      </c>
      <c r="AG97" s="695">
        <f t="shared" si="15"/>
        <v>43469</v>
      </c>
      <c r="AH97" s="166">
        <v>55779</v>
      </c>
      <c r="AI97" s="184">
        <f>Table2[[#This Row],[Not Stated]]/Table2[[#This Row],[Total Residence]]</f>
        <v>1.2583680323908993E-2</v>
      </c>
    </row>
    <row r="98" spans="1:35" ht="14">
      <c r="A98" s="124" t="s">
        <v>333</v>
      </c>
      <c r="B98" s="124" t="s">
        <v>297</v>
      </c>
      <c r="C98">
        <v>53</v>
      </c>
      <c r="D98">
        <v>45</v>
      </c>
      <c r="E98">
        <v>211</v>
      </c>
      <c r="F98">
        <v>370</v>
      </c>
      <c r="G98" s="122">
        <v>1312</v>
      </c>
      <c r="H98">
        <v>647</v>
      </c>
      <c r="I98">
        <v>270</v>
      </c>
      <c r="J98">
        <v>70</v>
      </c>
      <c r="K98">
        <v>76</v>
      </c>
      <c r="L98" s="177">
        <f>SUM(Table8[[#This Row],[A]:[G]])</f>
        <v>3054</v>
      </c>
      <c r="M98" s="169">
        <f>VLOOKUP(A98,Table2[],MATCH(B98,Table2[#Headers],0), 0 )</f>
        <v>5307</v>
      </c>
      <c r="N98" s="170">
        <f>VLOOKUP(A98,Table2[], 8, 0 )+SUM(Table8[[#This Row],[Residence Total]]/Table8[[#This Row],[BER Total]])</f>
        <v>1.7489923109593222</v>
      </c>
      <c r="O98" s="171">
        <f t="shared" si="12"/>
        <v>5341.4225176697701</v>
      </c>
      <c r="R98" s="156" t="s">
        <v>330</v>
      </c>
      <c r="S98" s="141">
        <v>86886</v>
      </c>
      <c r="T98" s="164">
        <v>49597</v>
      </c>
      <c r="U98" s="76">
        <v>39364</v>
      </c>
      <c r="V98" s="164">
        <v>13238</v>
      </c>
      <c r="W98" s="152">
        <v>3796</v>
      </c>
      <c r="X98" s="152">
        <v>275</v>
      </c>
      <c r="Y98" s="76">
        <v>431</v>
      </c>
      <c r="Z98" s="141">
        <v>2266</v>
      </c>
      <c r="AB98" s="694" t="s">
        <v>330</v>
      </c>
      <c r="AC98" s="89">
        <f t="shared" si="13"/>
        <v>86886</v>
      </c>
      <c r="AD98" s="89" cm="1">
        <f t="array" ref="AD98">SUM((T98:U98)/AG98)*AG98</f>
        <v>88961</v>
      </c>
      <c r="AE98" s="88" cm="1">
        <f t="array" ref="AE98">SUM((V98:Y98)/AG98)*AG98</f>
        <v>17739.999999999996</v>
      </c>
      <c r="AF98" s="89">
        <f t="shared" si="14"/>
        <v>2266</v>
      </c>
      <c r="AG98" s="696">
        <f t="shared" si="15"/>
        <v>195853</v>
      </c>
      <c r="AH98" s="166">
        <v>229495</v>
      </c>
      <c r="AI98" s="184">
        <f>Table2[[#This Row],[Not Stated]]/Table2[[#This Row],[Total Residence]]</f>
        <v>1.1569901916233093E-2</v>
      </c>
    </row>
    <row r="99" spans="1:35" ht="14">
      <c r="A99" s="124" t="s">
        <v>333</v>
      </c>
      <c r="B99" s="124" t="s">
        <v>44</v>
      </c>
      <c r="C99" s="122">
        <v>3202</v>
      </c>
      <c r="D99">
        <v>180</v>
      </c>
      <c r="E99">
        <v>351</v>
      </c>
      <c r="F99" s="122">
        <v>1325</v>
      </c>
      <c r="G99" s="122">
        <v>7280</v>
      </c>
      <c r="H99" s="122">
        <v>2176</v>
      </c>
      <c r="I99">
        <v>762</v>
      </c>
      <c r="J99">
        <v>374</v>
      </c>
      <c r="K99">
        <v>353</v>
      </c>
      <c r="L99" s="177">
        <f>SUM(Table8[[#This Row],[A]:[G]])</f>
        <v>16003</v>
      </c>
      <c r="M99" s="169">
        <f>VLOOKUP(A99,Table2[],MATCH(B99,Table2[#Headers],0), 0 )</f>
        <v>24647</v>
      </c>
      <c r="N99" s="170">
        <f>VLOOKUP(A99,Table2[], 8, 0 )+SUM(Table8[[#This Row],[Residence Total]]/Table8[[#This Row],[BER Total]])</f>
        <v>1.5514200114629237</v>
      </c>
      <c r="O99" s="171">
        <f t="shared" si="12"/>
        <v>24827.374443441167</v>
      </c>
      <c r="R99" s="157" t="s">
        <v>341</v>
      </c>
      <c r="S99" s="142">
        <v>35667</v>
      </c>
      <c r="T99" s="165">
        <v>10232</v>
      </c>
      <c r="U99" s="77">
        <v>5052</v>
      </c>
      <c r="V99" s="165">
        <v>1984</v>
      </c>
      <c r="W99" s="153">
        <v>572</v>
      </c>
      <c r="X99" s="153">
        <v>61</v>
      </c>
      <c r="Y99" s="77">
        <v>205</v>
      </c>
      <c r="Z99" s="142">
        <v>720</v>
      </c>
      <c r="AB99" s="694" t="s">
        <v>341</v>
      </c>
      <c r="AC99" s="89">
        <f t="shared" si="13"/>
        <v>35667</v>
      </c>
      <c r="AD99" s="89" cm="1">
        <f t="array" ref="AD99">SUM((T99:U99)/AG99)*AG99</f>
        <v>15284</v>
      </c>
      <c r="AE99" s="88" cm="1">
        <f t="array" ref="AE99">SUM((V99:Y99)/AG99)*AG99</f>
        <v>2822</v>
      </c>
      <c r="AF99" s="89">
        <f t="shared" si="14"/>
        <v>720</v>
      </c>
      <c r="AG99" s="695">
        <f t="shared" si="15"/>
        <v>54493</v>
      </c>
      <c r="AH99" s="166">
        <v>74094</v>
      </c>
      <c r="AI99" s="184">
        <f>Table2[[#This Row],[Not Stated]]/Table2[[#This Row],[Total Residence]]</f>
        <v>1.3212706219147413E-2</v>
      </c>
    </row>
    <row r="100" spans="1:35" ht="14">
      <c r="A100" s="124" t="s">
        <v>333</v>
      </c>
      <c r="B100" s="124" t="s">
        <v>46</v>
      </c>
      <c r="C100">
        <v>825</v>
      </c>
      <c r="D100">
        <v>120</v>
      </c>
      <c r="E100">
        <v>308</v>
      </c>
      <c r="F100">
        <v>920</v>
      </c>
      <c r="G100" s="122">
        <v>4486</v>
      </c>
      <c r="H100" s="122">
        <v>2437</v>
      </c>
      <c r="I100">
        <v>959</v>
      </c>
      <c r="J100">
        <v>473</v>
      </c>
      <c r="K100">
        <v>837</v>
      </c>
      <c r="L100" s="177">
        <f>SUM(Table8[[#This Row],[A]:[G]])</f>
        <v>11365</v>
      </c>
      <c r="M100" s="169">
        <f>VLOOKUP(A100,Table2[],MATCH(B100,Table2[#Headers],0), 0 )</f>
        <v>33556</v>
      </c>
      <c r="N100" s="170">
        <f>VLOOKUP(A100,Table2[], 8, 0 )+SUM(Table8[[#This Row],[Residence Total]]/Table8[[#This Row],[BER Total]])</f>
        <v>2.9638449805053813</v>
      </c>
      <c r="O100" s="171">
        <f t="shared" si="12"/>
        <v>33684.09820344366</v>
      </c>
      <c r="R100" s="156" t="s">
        <v>342</v>
      </c>
      <c r="S100" s="141">
        <v>32180</v>
      </c>
      <c r="T100" s="164">
        <v>19735</v>
      </c>
      <c r="U100" s="76">
        <v>11039</v>
      </c>
      <c r="V100" s="164">
        <v>6172</v>
      </c>
      <c r="W100" s="152">
        <v>896</v>
      </c>
      <c r="X100" s="152">
        <v>68</v>
      </c>
      <c r="Y100" s="76">
        <v>202</v>
      </c>
      <c r="Z100" s="141">
        <v>932</v>
      </c>
      <c r="AB100" s="694" t="s">
        <v>342</v>
      </c>
      <c r="AC100" s="89">
        <f t="shared" si="13"/>
        <v>32180</v>
      </c>
      <c r="AD100" s="89" cm="1">
        <f t="array" ref="AD100">SUM((T100:U100)/AG100)*AG100</f>
        <v>30774</v>
      </c>
      <c r="AE100" s="88" cm="1">
        <f t="array" ref="AE100">SUM((V100:Y100)/AG100)*AG100</f>
        <v>7338</v>
      </c>
      <c r="AF100" s="89">
        <f t="shared" si="14"/>
        <v>932</v>
      </c>
      <c r="AG100" s="696">
        <f t="shared" si="15"/>
        <v>71224</v>
      </c>
      <c r="AH100" s="166">
        <v>82112</v>
      </c>
      <c r="AI100" s="184">
        <f>Table2[[#This Row],[Not Stated]]/Table2[[#This Row],[Total Residence]]</f>
        <v>1.3085476805571155E-2</v>
      </c>
    </row>
    <row r="101" spans="1:35" ht="14">
      <c r="A101" s="124" t="s">
        <v>349</v>
      </c>
      <c r="B101" s="124" t="s">
        <v>297</v>
      </c>
      <c r="C101">
        <v>3</v>
      </c>
      <c r="D101">
        <v>3</v>
      </c>
      <c r="E101">
        <v>25</v>
      </c>
      <c r="F101">
        <v>39</v>
      </c>
      <c r="G101">
        <v>154</v>
      </c>
      <c r="H101">
        <v>125</v>
      </c>
      <c r="I101">
        <v>86</v>
      </c>
      <c r="J101">
        <v>36</v>
      </c>
      <c r="K101">
        <v>90</v>
      </c>
      <c r="L101" s="177">
        <f>SUM(Table8[[#This Row],[A]:[G]])</f>
        <v>561</v>
      </c>
      <c r="M101" s="169">
        <f>VLOOKUP(A101,Table2[],MATCH(B101,Table2[#Headers],0), 0 )</f>
        <v>1003</v>
      </c>
      <c r="N101" s="170">
        <f>VLOOKUP(A101,Table2[], 8, 0 )+SUM(Table8[[#This Row],[Residence Total]]/Table8[[#This Row],[BER Total]])</f>
        <v>1.8030938738670768</v>
      </c>
      <c r="O101" s="171">
        <f t="shared" si="12"/>
        <v>1011.5356632394301</v>
      </c>
      <c r="R101" s="157" t="s">
        <v>343</v>
      </c>
      <c r="S101" s="142">
        <v>34404</v>
      </c>
      <c r="T101" s="165">
        <v>13870</v>
      </c>
      <c r="U101" s="77">
        <v>7855</v>
      </c>
      <c r="V101" s="165">
        <v>1455</v>
      </c>
      <c r="W101" s="153">
        <v>623</v>
      </c>
      <c r="X101" s="153">
        <v>50</v>
      </c>
      <c r="Y101" s="77">
        <v>205</v>
      </c>
      <c r="Z101" s="142">
        <v>814</v>
      </c>
      <c r="AB101" s="694" t="s">
        <v>343</v>
      </c>
      <c r="AC101" s="89">
        <f t="shared" si="13"/>
        <v>34404</v>
      </c>
      <c r="AD101" s="89" cm="1">
        <f t="array" ref="AD101">SUM((T101:U101)/AG101)*AG101</f>
        <v>21724.999999999996</v>
      </c>
      <c r="AE101" s="88" cm="1">
        <f t="array" ref="AE101">SUM((V101:Y101)/AG101)*AG101</f>
        <v>2333</v>
      </c>
      <c r="AF101" s="89">
        <f t="shared" si="14"/>
        <v>814</v>
      </c>
      <c r="AG101" s="695">
        <f t="shared" si="15"/>
        <v>59276</v>
      </c>
      <c r="AH101" s="166">
        <v>69106</v>
      </c>
      <c r="AI101" s="184">
        <f>Table2[[#This Row],[Not Stated]]/Table2[[#This Row],[Total Residence]]</f>
        <v>1.3732370605304002E-2</v>
      </c>
    </row>
    <row r="102" spans="1:35" ht="14">
      <c r="A102" s="124" t="s">
        <v>349</v>
      </c>
      <c r="B102" s="124" t="s">
        <v>44</v>
      </c>
      <c r="C102">
        <v>165</v>
      </c>
      <c r="D102">
        <v>55</v>
      </c>
      <c r="E102">
        <v>75</v>
      </c>
      <c r="F102">
        <v>300</v>
      </c>
      <c r="G102" s="122">
        <v>1391</v>
      </c>
      <c r="H102">
        <v>933</v>
      </c>
      <c r="I102">
        <v>367</v>
      </c>
      <c r="J102">
        <v>163</v>
      </c>
      <c r="K102">
        <v>174</v>
      </c>
      <c r="L102" s="177">
        <f>SUM(Table8[[#This Row],[A]:[G]])</f>
        <v>3623</v>
      </c>
      <c r="M102" s="169">
        <f>VLOOKUP(A102,Table2[],MATCH(B102,Table2[#Headers],0), 0 )</f>
        <v>6497.9999999999991</v>
      </c>
      <c r="N102" s="170">
        <f>VLOOKUP(A102,Table2[], 8, 0 )+SUM(Table8[[#This Row],[Residence Total]]/Table8[[#This Row],[BER Total]])</f>
        <v>1.8087563501340242</v>
      </c>
      <c r="O102" s="171">
        <f t="shared" si="12"/>
        <v>6553.1242565355697</v>
      </c>
      <c r="R102" s="156" t="s">
        <v>344</v>
      </c>
      <c r="S102" s="141">
        <v>18782</v>
      </c>
      <c r="T102" s="164">
        <v>12957</v>
      </c>
      <c r="U102" s="76">
        <v>8126</v>
      </c>
      <c r="V102" s="164">
        <v>2480</v>
      </c>
      <c r="W102" s="152">
        <v>501</v>
      </c>
      <c r="X102" s="152">
        <v>21</v>
      </c>
      <c r="Y102" s="76">
        <v>94</v>
      </c>
      <c r="Z102" s="141">
        <v>588</v>
      </c>
      <c r="AB102" s="694" t="s">
        <v>344</v>
      </c>
      <c r="AC102" s="89">
        <f t="shared" si="13"/>
        <v>18782</v>
      </c>
      <c r="AD102" s="89" cm="1">
        <f t="array" ref="AD102">SUM((T102:U102)/AG102)*AG102</f>
        <v>21083</v>
      </c>
      <c r="AE102" s="88" cm="1">
        <f t="array" ref="AE102">SUM((V102:Y102)/AG102)*AG102</f>
        <v>3095.9999999999995</v>
      </c>
      <c r="AF102" s="89">
        <f t="shared" si="14"/>
        <v>588</v>
      </c>
      <c r="AG102" s="696">
        <f t="shared" si="15"/>
        <v>43549</v>
      </c>
      <c r="AH102" s="166">
        <v>52491</v>
      </c>
      <c r="AI102" s="184">
        <f>Table2[[#This Row],[Not Stated]]/Table2[[#This Row],[Total Residence]]</f>
        <v>1.3502032193620979E-2</v>
      </c>
    </row>
    <row r="103" spans="1:35" ht="14">
      <c r="A103" s="124" t="s">
        <v>349</v>
      </c>
      <c r="B103" s="124" t="s">
        <v>46</v>
      </c>
      <c r="C103">
        <v>89</v>
      </c>
      <c r="D103">
        <v>54</v>
      </c>
      <c r="E103">
        <v>95</v>
      </c>
      <c r="F103">
        <v>286</v>
      </c>
      <c r="G103" s="122">
        <v>1245</v>
      </c>
      <c r="H103">
        <v>932</v>
      </c>
      <c r="I103">
        <v>425</v>
      </c>
      <c r="J103">
        <v>185</v>
      </c>
      <c r="K103">
        <v>311</v>
      </c>
      <c r="L103" s="177">
        <f>SUM(Table8[[#This Row],[A]:[G]])</f>
        <v>3622</v>
      </c>
      <c r="M103" s="169">
        <f>VLOOKUP(A103,Table2[],MATCH(B103,Table2[#Headers],0), 0 )</f>
        <v>13858</v>
      </c>
      <c r="N103" s="170">
        <f>VLOOKUP(A103,Table2[], 8, 0 )+SUM(Table8[[#This Row],[Residence Total]]/Table8[[#This Row],[BER Total]])</f>
        <v>3.8412780346354451</v>
      </c>
      <c r="O103" s="171">
        <f t="shared" si="12"/>
        <v>13913.109041449583</v>
      </c>
      <c r="R103" s="157" t="s">
        <v>340</v>
      </c>
      <c r="S103" s="142">
        <v>54095</v>
      </c>
      <c r="T103" s="165">
        <v>19400</v>
      </c>
      <c r="U103" s="77">
        <v>7460</v>
      </c>
      <c r="V103" s="165">
        <v>7787</v>
      </c>
      <c r="W103" s="153">
        <v>1439</v>
      </c>
      <c r="X103" s="153">
        <v>100</v>
      </c>
      <c r="Y103" s="77">
        <v>343</v>
      </c>
      <c r="Z103" s="142">
        <v>1275</v>
      </c>
      <c r="AB103" s="694" t="s">
        <v>340</v>
      </c>
      <c r="AC103" s="117">
        <f t="shared" si="13"/>
        <v>54095</v>
      </c>
      <c r="AD103" s="117" cm="1">
        <f t="array" ref="AD103">SUM((T103:U103)/AG103)*AG103</f>
        <v>26860.000000000004</v>
      </c>
      <c r="AE103" s="116" cm="1">
        <f t="array" ref="AE103">SUM((V103:Y103)/AG103)*AG103</f>
        <v>9669</v>
      </c>
      <c r="AF103" s="117">
        <f t="shared" si="14"/>
        <v>1275</v>
      </c>
      <c r="AG103" s="695">
        <f t="shared" si="15"/>
        <v>91899</v>
      </c>
      <c r="AH103" s="166">
        <v>112054</v>
      </c>
      <c r="AI103" s="184">
        <f>Table2[[#This Row],[Not Stated]]/Table2[[#This Row],[Total Residence]]</f>
        <v>1.3873926810955506E-2</v>
      </c>
    </row>
    <row r="104" spans="1:35" ht="14">
      <c r="A104" s="124" t="s">
        <v>335</v>
      </c>
      <c r="B104" s="124" t="s">
        <v>297</v>
      </c>
      <c r="E104">
        <v>13</v>
      </c>
      <c r="F104">
        <v>41</v>
      </c>
      <c r="G104">
        <v>204</v>
      </c>
      <c r="H104">
        <v>232</v>
      </c>
      <c r="I104">
        <v>128</v>
      </c>
      <c r="J104">
        <v>59</v>
      </c>
      <c r="K104">
        <v>60</v>
      </c>
      <c r="L104" s="177">
        <f>SUM(Table8[[#This Row],[A]:[G]])</f>
        <v>737</v>
      </c>
      <c r="M104" s="169">
        <f>VLOOKUP(A104,Table2[],MATCH(B104,Table2[#Headers],0), 0 )</f>
        <v>1151</v>
      </c>
      <c r="N104" s="170">
        <f>VLOOKUP(A104,Table2[], 8, 0 )+SUM(Table8[[#This Row],[Residence Total]]/Table8[[#This Row],[BER Total]])</f>
        <v>1.577060619574707</v>
      </c>
      <c r="O104" s="171">
        <f t="shared" si="12"/>
        <v>1162.2936766265591</v>
      </c>
      <c r="R104" s="156" t="s">
        <v>345</v>
      </c>
      <c r="S104" s="141">
        <v>9060</v>
      </c>
      <c r="T104" s="164">
        <v>1983</v>
      </c>
      <c r="U104" s="76">
        <v>731</v>
      </c>
      <c r="V104" s="164">
        <v>415</v>
      </c>
      <c r="W104" s="152">
        <v>70</v>
      </c>
      <c r="X104" s="152">
        <v>4</v>
      </c>
      <c r="Y104" s="76">
        <v>48</v>
      </c>
      <c r="Z104" s="141">
        <v>141</v>
      </c>
      <c r="AB104" s="694" t="s">
        <v>345</v>
      </c>
      <c r="AC104" s="117">
        <f t="shared" si="13"/>
        <v>9060</v>
      </c>
      <c r="AD104" s="117" cm="1">
        <f t="array" ref="AD104">SUM((T104:U104)/AG104)*AG104</f>
        <v>2714</v>
      </c>
      <c r="AE104" s="116" cm="1">
        <f t="array" ref="AE104">SUM((V104:Y104)/AG104)*AG104</f>
        <v>537</v>
      </c>
      <c r="AF104" s="117">
        <f t="shared" si="14"/>
        <v>141</v>
      </c>
      <c r="AG104" s="696">
        <f t="shared" si="15"/>
        <v>12452</v>
      </c>
      <c r="AH104" s="166">
        <v>18051</v>
      </c>
      <c r="AI104" s="184">
        <f>Table2[[#This Row],[Not Stated]]/Table2[[#This Row],[Total Residence]]</f>
        <v>1.1323482171538708E-2</v>
      </c>
    </row>
    <row r="105" spans="1:35" ht="14">
      <c r="A105" s="124" t="s">
        <v>335</v>
      </c>
      <c r="B105" s="124" t="s">
        <v>44</v>
      </c>
      <c r="C105">
        <v>71</v>
      </c>
      <c r="D105">
        <v>19</v>
      </c>
      <c r="E105">
        <v>74</v>
      </c>
      <c r="F105">
        <v>208</v>
      </c>
      <c r="G105" s="122">
        <v>1955</v>
      </c>
      <c r="H105" s="122">
        <v>922</v>
      </c>
      <c r="I105" s="122">
        <v>1087</v>
      </c>
      <c r="J105">
        <v>525</v>
      </c>
      <c r="K105">
        <v>507</v>
      </c>
      <c r="L105" s="177">
        <f>SUM(Table8[[#This Row],[A]:[G]])</f>
        <v>5368</v>
      </c>
      <c r="M105" s="169">
        <f>VLOOKUP(A105,Table2[],MATCH(B105,Table2[#Headers],0), 0 )</f>
        <v>10072</v>
      </c>
      <c r="N105" s="170">
        <f>VLOOKUP(A105,Table2[], 8, 0 )+SUM(Table8[[#This Row],[Residence Total]]/Table8[[#This Row],[BER Total]])</f>
        <v>1.8916278727277198</v>
      </c>
      <c r="O105" s="171">
        <f t="shared" si="12"/>
        <v>10154.2584208024</v>
      </c>
      <c r="R105" s="157" t="s">
        <v>346</v>
      </c>
      <c r="S105" s="142">
        <v>34025</v>
      </c>
      <c r="T105" s="165">
        <v>8899</v>
      </c>
      <c r="U105" s="77">
        <v>3412</v>
      </c>
      <c r="V105" s="165">
        <v>1431</v>
      </c>
      <c r="W105" s="153">
        <v>501</v>
      </c>
      <c r="X105" s="153">
        <v>23</v>
      </c>
      <c r="Y105" s="77">
        <v>154</v>
      </c>
      <c r="Z105" s="142">
        <v>454</v>
      </c>
      <c r="AB105" s="693" t="s">
        <v>346</v>
      </c>
      <c r="AC105" s="81">
        <f t="shared" si="13"/>
        <v>34025</v>
      </c>
      <c r="AD105" s="81" cm="1">
        <f t="array" ref="AD105">SUM((T105:U105)/AG105)*AG105</f>
        <v>12311</v>
      </c>
      <c r="AE105" s="80" cm="1">
        <f t="array" ref="AE105">SUM((V105:Y105)/AG105)*AG105</f>
        <v>2108.9999999999995</v>
      </c>
      <c r="AF105" s="81">
        <f t="shared" si="14"/>
        <v>454</v>
      </c>
      <c r="AG105" s="695">
        <f t="shared" si="15"/>
        <v>48899</v>
      </c>
      <c r="AH105" s="166">
        <v>65921</v>
      </c>
      <c r="AI105" s="184">
        <f>Table2[[#This Row],[Not Stated]]/Table2[[#This Row],[Total Residence]]</f>
        <v>9.2844434446512202E-3</v>
      </c>
    </row>
    <row r="106" spans="1:35" ht="14">
      <c r="A106" s="124" t="s">
        <v>335</v>
      </c>
      <c r="B106" s="124" t="s">
        <v>46</v>
      </c>
      <c r="C106">
        <v>101</v>
      </c>
      <c r="D106">
        <v>45</v>
      </c>
      <c r="E106">
        <v>89</v>
      </c>
      <c r="F106">
        <v>271</v>
      </c>
      <c r="G106" s="122">
        <v>1708</v>
      </c>
      <c r="H106" s="122">
        <v>1188</v>
      </c>
      <c r="I106">
        <v>528</v>
      </c>
      <c r="J106">
        <v>316</v>
      </c>
      <c r="K106">
        <v>531</v>
      </c>
      <c r="L106" s="177">
        <f>SUM(Table8[[#This Row],[A]:[G]])</f>
        <v>4777</v>
      </c>
      <c r="M106" s="169">
        <f>VLOOKUP(A106,Table2[],MATCH(B106,Table2[#Headers],0), 0 )</f>
        <v>15701.000000000002</v>
      </c>
      <c r="N106" s="170">
        <f>VLOOKUP(A106,Table2[], 8, 0 )+SUM(Table8[[#This Row],[Residence Total]]/Table8[[#This Row],[BER Total]])</f>
        <v>3.3021147218155154</v>
      </c>
      <c r="O106" s="171">
        <f t="shared" si="12"/>
        <v>15774.202026112716</v>
      </c>
      <c r="R106" s="156" t="s">
        <v>347</v>
      </c>
      <c r="S106" s="141">
        <v>17809</v>
      </c>
      <c r="T106" s="164">
        <v>4280</v>
      </c>
      <c r="U106" s="76">
        <v>972</v>
      </c>
      <c r="V106" s="164">
        <v>436</v>
      </c>
      <c r="W106" s="152">
        <v>152</v>
      </c>
      <c r="X106" s="152">
        <v>11</v>
      </c>
      <c r="Y106" s="76">
        <v>51</v>
      </c>
      <c r="Z106" s="141">
        <v>302</v>
      </c>
      <c r="AB106" s="694" t="s">
        <v>347</v>
      </c>
      <c r="AC106" s="89">
        <f t="shared" si="13"/>
        <v>17809</v>
      </c>
      <c r="AD106" s="89" cm="1">
        <f t="array" ref="AD106">SUM((T106:U106)/AG106)*AG106</f>
        <v>5252</v>
      </c>
      <c r="AE106" s="88" cm="1">
        <f t="array" ref="AE106">SUM((V106:Y106)/AG106)*AG106</f>
        <v>650</v>
      </c>
      <c r="AF106" s="89">
        <f t="shared" si="14"/>
        <v>302</v>
      </c>
      <c r="AG106" s="696">
        <f t="shared" si="15"/>
        <v>24013</v>
      </c>
      <c r="AH106" s="166">
        <v>31285</v>
      </c>
      <c r="AI106" s="184">
        <f>Table2[[#This Row],[Not Stated]]/Table2[[#This Row],[Total Residence]]</f>
        <v>1.2576521051097323E-2</v>
      </c>
    </row>
    <row r="107" spans="1:35" ht="14">
      <c r="A107" s="124" t="s">
        <v>347</v>
      </c>
      <c r="B107" s="124" t="s">
        <v>297</v>
      </c>
      <c r="D107">
        <v>9</v>
      </c>
      <c r="E107">
        <v>9</v>
      </c>
      <c r="F107">
        <v>18</v>
      </c>
      <c r="G107">
        <v>166</v>
      </c>
      <c r="H107">
        <v>155</v>
      </c>
      <c r="I107">
        <v>86</v>
      </c>
      <c r="J107">
        <v>26</v>
      </c>
      <c r="K107">
        <v>44</v>
      </c>
      <c r="L107" s="177">
        <f>SUM(Table8[[#This Row],[A]:[G]])</f>
        <v>513</v>
      </c>
      <c r="M107" s="169">
        <f>VLOOKUP(A107,Table2[],MATCH(B107,Table2[#Headers],0), 0 )</f>
        <v>650</v>
      </c>
      <c r="N107" s="170">
        <f>VLOOKUP(A107,Table2[], 8, 0 )+SUM(Table8[[#This Row],[Residence Total]]/Table8[[#This Row],[BER Total]])</f>
        <v>1.2796330512655223</v>
      </c>
      <c r="O107" s="171">
        <f t="shared" si="12"/>
        <v>656.45175529921289</v>
      </c>
      <c r="R107" s="157" t="s">
        <v>348</v>
      </c>
      <c r="S107" s="142">
        <v>14224</v>
      </c>
      <c r="T107" s="165">
        <v>6010</v>
      </c>
      <c r="U107" s="77">
        <v>2718</v>
      </c>
      <c r="V107" s="165">
        <v>1315</v>
      </c>
      <c r="W107" s="153">
        <v>227</v>
      </c>
      <c r="X107" s="153">
        <v>14</v>
      </c>
      <c r="Y107" s="77">
        <v>70</v>
      </c>
      <c r="Z107" s="142">
        <v>253</v>
      </c>
      <c r="AB107" s="694" t="s">
        <v>348</v>
      </c>
      <c r="AC107" s="89">
        <f t="shared" si="13"/>
        <v>14223.999999999998</v>
      </c>
      <c r="AD107" s="89" cm="1">
        <f t="array" ref="AD107">SUM((T107:U107)/AG107)*AG107</f>
        <v>8728</v>
      </c>
      <c r="AE107" s="88" cm="1">
        <f t="array" ref="AE107">SUM((V107:Y107)/AG107)*AG107</f>
        <v>1626</v>
      </c>
      <c r="AF107" s="89">
        <f t="shared" si="14"/>
        <v>253</v>
      </c>
      <c r="AG107" s="695">
        <f t="shared" si="15"/>
        <v>24831</v>
      </c>
      <c r="AH107" s="166">
        <v>32764</v>
      </c>
      <c r="AI107" s="184">
        <f>Table2[[#This Row],[Not Stated]]/Table2[[#This Row],[Total Residence]]</f>
        <v>1.0188876807216786E-2</v>
      </c>
    </row>
    <row r="108" spans="1:35" ht="14">
      <c r="A108" s="124" t="s">
        <v>347</v>
      </c>
      <c r="B108" s="124" t="s">
        <v>44</v>
      </c>
      <c r="C108">
        <v>42</v>
      </c>
      <c r="D108">
        <v>11</v>
      </c>
      <c r="E108">
        <v>12</v>
      </c>
      <c r="F108">
        <v>107</v>
      </c>
      <c r="G108" s="122">
        <v>1754</v>
      </c>
      <c r="H108">
        <v>592</v>
      </c>
      <c r="I108">
        <v>414</v>
      </c>
      <c r="J108">
        <v>219</v>
      </c>
      <c r="K108">
        <v>212</v>
      </c>
      <c r="L108" s="177">
        <f>SUM(Table8[[#This Row],[A]:[G]])</f>
        <v>3363</v>
      </c>
      <c r="M108" s="169">
        <f>VLOOKUP(A108,Table2[],MATCH(B108,Table2[#Headers],0), 0 )</f>
        <v>5252</v>
      </c>
      <c r="N108" s="170">
        <f>VLOOKUP(A108,Table2[], 8, 0 )+SUM(Table8[[#This Row],[Residence Total]]/Table8[[#This Row],[BER Total]])</f>
        <v>1.5742773833764021</v>
      </c>
      <c r="O108" s="171">
        <f t="shared" si="12"/>
        <v>5294.2948402948405</v>
      </c>
      <c r="R108" s="156" t="s">
        <v>308</v>
      </c>
      <c r="S108" s="141">
        <v>17772</v>
      </c>
      <c r="T108" s="164">
        <v>5500</v>
      </c>
      <c r="U108" s="76">
        <v>2063</v>
      </c>
      <c r="V108" s="164">
        <v>869</v>
      </c>
      <c r="W108" s="152">
        <v>241</v>
      </c>
      <c r="X108" s="152">
        <v>22</v>
      </c>
      <c r="Y108" s="76">
        <v>93</v>
      </c>
      <c r="Z108" s="141">
        <v>339</v>
      </c>
      <c r="AB108" s="694" t="s">
        <v>308</v>
      </c>
      <c r="AC108" s="89">
        <f t="shared" si="13"/>
        <v>17772</v>
      </c>
      <c r="AD108" s="89" cm="1">
        <f t="array" ref="AD108">SUM((T108:U108)/AG108)*AG108</f>
        <v>7563.0000000000009</v>
      </c>
      <c r="AE108" s="88" cm="1">
        <f t="array" ref="AE108">SUM((V108:Y108)/AG108)*AG108</f>
        <v>1225</v>
      </c>
      <c r="AF108" s="89">
        <f t="shared" si="14"/>
        <v>339</v>
      </c>
      <c r="AG108" s="696">
        <f t="shared" si="15"/>
        <v>26899</v>
      </c>
      <c r="AH108" s="166">
        <v>33585</v>
      </c>
      <c r="AI108" s="184">
        <f>Table2[[#This Row],[Not Stated]]/Table2[[#This Row],[Total Residence]]</f>
        <v>1.2602698985092383E-2</v>
      </c>
    </row>
    <row r="109" spans="1:35" ht="14">
      <c r="A109" s="124" t="s">
        <v>347</v>
      </c>
      <c r="B109" s="124" t="s">
        <v>46</v>
      </c>
      <c r="C109">
        <v>75</v>
      </c>
      <c r="D109">
        <v>28</v>
      </c>
      <c r="E109">
        <v>97</v>
      </c>
      <c r="F109">
        <v>380</v>
      </c>
      <c r="G109" s="122">
        <v>2194</v>
      </c>
      <c r="H109" s="122">
        <v>1364</v>
      </c>
      <c r="I109">
        <v>691</v>
      </c>
      <c r="J109">
        <v>399</v>
      </c>
      <c r="K109">
        <v>894</v>
      </c>
      <c r="L109" s="177">
        <f>SUM(Table8[[#This Row],[A]:[G]])</f>
        <v>6122</v>
      </c>
      <c r="M109" s="169">
        <f>VLOOKUP(A109,Table2[],MATCH(B109,Table2[#Headers],0), 0 )</f>
        <v>17809</v>
      </c>
      <c r="N109" s="170">
        <f>VLOOKUP(A109,Table2[], 8, 0 )+SUM(Table8[[#This Row],[Residence Total]]/Table8[[#This Row],[BER Total]])</f>
        <v>2.9215931822729204</v>
      </c>
      <c r="O109" s="171">
        <f t="shared" si="12"/>
        <v>17885.993461874819</v>
      </c>
      <c r="R109" s="157" t="s">
        <v>334</v>
      </c>
      <c r="S109" s="142">
        <v>39853</v>
      </c>
      <c r="T109" s="165">
        <v>11693</v>
      </c>
      <c r="U109" s="77">
        <v>3861</v>
      </c>
      <c r="V109" s="165">
        <v>1631</v>
      </c>
      <c r="W109" s="153">
        <v>479</v>
      </c>
      <c r="X109" s="153">
        <v>24</v>
      </c>
      <c r="Y109" s="77">
        <v>200</v>
      </c>
      <c r="Z109" s="142">
        <v>764</v>
      </c>
      <c r="AB109" s="694" t="s">
        <v>334</v>
      </c>
      <c r="AC109" s="89">
        <f t="shared" si="13"/>
        <v>39853</v>
      </c>
      <c r="AD109" s="89" cm="1">
        <f t="array" ref="AD109">SUM((T109:U109)/AG109)*AG109</f>
        <v>15554.000000000002</v>
      </c>
      <c r="AE109" s="88" cm="1">
        <f t="array" ref="AE109">SUM((V109:Y109)/AG109)*AG109</f>
        <v>2334</v>
      </c>
      <c r="AF109" s="89">
        <f t="shared" si="14"/>
        <v>764</v>
      </c>
      <c r="AG109" s="695">
        <f t="shared" si="15"/>
        <v>58505</v>
      </c>
      <c r="AH109" s="166">
        <v>83931</v>
      </c>
      <c r="AI109" s="184">
        <f>Table2[[#This Row],[Not Stated]]/Table2[[#This Row],[Total Residence]]</f>
        <v>1.3058712930518759E-2</v>
      </c>
    </row>
    <row r="110" spans="1:35" ht="14">
      <c r="A110" s="124" t="s">
        <v>348</v>
      </c>
      <c r="B110" s="124" t="s">
        <v>297</v>
      </c>
      <c r="C110">
        <v>9</v>
      </c>
      <c r="D110">
        <v>8</v>
      </c>
      <c r="E110">
        <v>44</v>
      </c>
      <c r="F110">
        <v>116</v>
      </c>
      <c r="G110" s="122">
        <v>495</v>
      </c>
      <c r="H110">
        <v>647</v>
      </c>
      <c r="I110">
        <v>431</v>
      </c>
      <c r="J110">
        <v>74</v>
      </c>
      <c r="K110">
        <v>50</v>
      </c>
      <c r="L110" s="177">
        <f>SUM(Table8[[#This Row],[A]:[G]])</f>
        <v>1874</v>
      </c>
      <c r="M110" s="169">
        <f>VLOOKUP(A110,Table2[],MATCH(B110,Table2[#Headers],0), 0 )</f>
        <v>1626</v>
      </c>
      <c r="N110" s="170">
        <f>VLOOKUP(A110,Table2[], 8, 0 )+SUM(Table8[[#This Row],[Residence Total]]/Table8[[#This Row],[BER Total]])</f>
        <v>0.87785163027573332</v>
      </c>
      <c r="O110" s="171">
        <f t="shared" si="12"/>
        <v>1645.0939551367242</v>
      </c>
      <c r="R110" s="156" t="s">
        <v>349</v>
      </c>
      <c r="S110" s="141">
        <v>13858</v>
      </c>
      <c r="T110" s="164">
        <v>4213</v>
      </c>
      <c r="U110" s="76">
        <v>2285</v>
      </c>
      <c r="V110" s="164">
        <v>686</v>
      </c>
      <c r="W110" s="152">
        <v>217</v>
      </c>
      <c r="X110" s="152">
        <v>23</v>
      </c>
      <c r="Y110" s="76">
        <v>77</v>
      </c>
      <c r="Z110" s="141">
        <v>330</v>
      </c>
      <c r="AB110" s="694" t="s">
        <v>349</v>
      </c>
      <c r="AC110" s="89">
        <f t="shared" si="13"/>
        <v>13858</v>
      </c>
      <c r="AD110" s="89" cm="1">
        <f t="array" ref="AD110">SUM((T110:U110)/AG110)*AG110</f>
        <v>6497.9999999999991</v>
      </c>
      <c r="AE110" s="88" cm="1">
        <f t="array" ref="AE110">SUM((V110:Y110)/AG110)*AG110</f>
        <v>1003</v>
      </c>
      <c r="AF110" s="89">
        <f t="shared" si="14"/>
        <v>330</v>
      </c>
      <c r="AG110" s="696">
        <f t="shared" si="15"/>
        <v>21689</v>
      </c>
      <c r="AH110" s="168">
        <v>25311</v>
      </c>
      <c r="AI110" s="185">
        <f>Table2[[#This Row],[Not Stated]]/Table2[[#This Row],[Total Residence]]</f>
        <v>1.5215085988288994E-2</v>
      </c>
    </row>
    <row r="111" spans="1:35" ht="15" thickBot="1">
      <c r="A111" s="124" t="s">
        <v>348</v>
      </c>
      <c r="B111" s="124" t="s">
        <v>44</v>
      </c>
      <c r="C111">
        <v>88</v>
      </c>
      <c r="D111">
        <v>77</v>
      </c>
      <c r="E111">
        <v>81</v>
      </c>
      <c r="F111">
        <v>410</v>
      </c>
      <c r="G111" s="122">
        <v>2317</v>
      </c>
      <c r="H111" s="122">
        <v>1408</v>
      </c>
      <c r="I111">
        <v>761</v>
      </c>
      <c r="J111">
        <v>318</v>
      </c>
      <c r="K111">
        <v>386</v>
      </c>
      <c r="L111" s="177">
        <f>SUM(Table8[[#This Row],[A]:[G]])</f>
        <v>5846</v>
      </c>
      <c r="M111" s="169">
        <f>VLOOKUP(A111,Table2[],MATCH(B111,Table2[#Headers],0), 0 )</f>
        <v>8728</v>
      </c>
      <c r="N111" s="170">
        <f>VLOOKUP(A111,Table2[], 8, 0 )+SUM(Table8[[#This Row],[Residence Total]]/Table8[[#This Row],[BER Total]])</f>
        <v>1.5031755343508362</v>
      </c>
      <c r="O111" s="171">
        <f t="shared" si="12"/>
        <v>8787.564173814988</v>
      </c>
      <c r="R111" s="158" t="s">
        <v>304</v>
      </c>
      <c r="S111" s="68">
        <f t="shared" ref="S111:Z111" si="16">SUM(S85:S110)</f>
        <v>715133</v>
      </c>
      <c r="T111" s="143">
        <f t="shared" si="16"/>
        <v>471948</v>
      </c>
      <c r="U111" s="145">
        <f t="shared" si="16"/>
        <v>284569</v>
      </c>
      <c r="V111" s="143">
        <f t="shared" si="16"/>
        <v>172096</v>
      </c>
      <c r="W111" s="144">
        <f t="shared" si="16"/>
        <v>28783</v>
      </c>
      <c r="X111" s="144">
        <f t="shared" si="16"/>
        <v>3266</v>
      </c>
      <c r="Y111" s="145">
        <f t="shared" si="16"/>
        <v>4624</v>
      </c>
      <c r="Z111" s="68">
        <f t="shared" si="16"/>
        <v>21870</v>
      </c>
      <c r="AB111" s="137"/>
      <c r="AC111" s="138"/>
      <c r="AD111" s="138"/>
      <c r="AE111" s="138"/>
      <c r="AF111" s="138"/>
      <c r="AG111" s="697">
        <f>SUM(AG85:AG110)</f>
        <v>1702289</v>
      </c>
      <c r="AH111" s="182">
        <v>2003645</v>
      </c>
    </row>
    <row r="112" spans="1:35">
      <c r="A112" s="124" t="s">
        <v>348</v>
      </c>
      <c r="B112" s="124" t="s">
        <v>46</v>
      </c>
      <c r="C112">
        <v>133</v>
      </c>
      <c r="D112">
        <v>67</v>
      </c>
      <c r="E112">
        <v>112</v>
      </c>
      <c r="F112">
        <v>377</v>
      </c>
      <c r="G112" s="122">
        <v>1749</v>
      </c>
      <c r="H112" s="122">
        <v>1256</v>
      </c>
      <c r="I112">
        <v>620</v>
      </c>
      <c r="J112">
        <v>380</v>
      </c>
      <c r="K112">
        <v>627</v>
      </c>
      <c r="L112" s="177">
        <f>SUM(Table8[[#This Row],[A]:[G]])</f>
        <v>5321</v>
      </c>
      <c r="M112" s="169">
        <f>VLOOKUP(A112,Table2[],MATCH(B112,Table2[#Headers],0), 0 )</f>
        <v>14223.999999999998</v>
      </c>
      <c r="N112" s="170">
        <f>VLOOKUP(A112,Table2[], 8, 0 )+SUM(Table8[[#This Row],[Residence Total]]/Table8[[#This Row],[BER Total]])</f>
        <v>2.6833706095642174</v>
      </c>
      <c r="O112" s="171">
        <f t="shared" si="12"/>
        <v>14278.215013491201</v>
      </c>
      <c r="Y112" t="s">
        <v>40</v>
      </c>
      <c r="Z112" t="s">
        <v>40</v>
      </c>
      <c r="AA112" t="s">
        <v>40</v>
      </c>
    </row>
    <row r="113" spans="1:15">
      <c r="A113" s="124" t="s">
        <v>343</v>
      </c>
      <c r="B113" s="124" t="s">
        <v>297</v>
      </c>
      <c r="C113">
        <v>2</v>
      </c>
      <c r="D113">
        <v>9</v>
      </c>
      <c r="E113">
        <v>10</v>
      </c>
      <c r="F113">
        <v>39</v>
      </c>
      <c r="G113">
        <v>252</v>
      </c>
      <c r="H113">
        <v>432</v>
      </c>
      <c r="I113">
        <v>244</v>
      </c>
      <c r="J113">
        <v>101</v>
      </c>
      <c r="K113">
        <v>166</v>
      </c>
      <c r="L113" s="177">
        <f>SUM(Table8[[#This Row],[A]:[G]])</f>
        <v>1255</v>
      </c>
      <c r="M113" s="169">
        <f>VLOOKUP(A113,Table2[],MATCH(B113,Table2[#Headers],0), 0 )</f>
        <v>2333</v>
      </c>
      <c r="N113" s="170">
        <f>VLOOKUP(A113,Table2[], 8, 0 )+SUM(Table8[[#This Row],[Residence Total]]/Table8[[#This Row],[BER Total]])</f>
        <v>1.872696514031599</v>
      </c>
      <c r="O113" s="171">
        <f t="shared" si="12"/>
        <v>2350.2341251096568</v>
      </c>
    </row>
    <row r="114" spans="1:15">
      <c r="A114" s="124" t="s">
        <v>343</v>
      </c>
      <c r="B114" s="124" t="s">
        <v>44</v>
      </c>
      <c r="C114">
        <v>120</v>
      </c>
      <c r="D114">
        <v>122</v>
      </c>
      <c r="E114">
        <v>172</v>
      </c>
      <c r="F114">
        <v>638</v>
      </c>
      <c r="G114" s="122">
        <v>4905</v>
      </c>
      <c r="H114" s="122">
        <v>3232</v>
      </c>
      <c r="I114" s="122">
        <v>1819</v>
      </c>
      <c r="J114">
        <v>878</v>
      </c>
      <c r="K114" s="122">
        <v>1093</v>
      </c>
      <c r="L114" s="177">
        <f>SUM(Table8[[#This Row],[A]:[G]])</f>
        <v>12979</v>
      </c>
      <c r="M114" s="169">
        <f>VLOOKUP(A114,Table2[],MATCH(B114,Table2[#Headers],0), 0 )</f>
        <v>21724.999999999996</v>
      </c>
      <c r="N114" s="170">
        <f>VLOOKUP(A114,Table2[], 8, 0 )+SUM(Table8[[#This Row],[Residence Total]]/Table8[[#This Row],[BER Total]])</f>
        <v>1.6875901408495444</v>
      </c>
      <c r="O114" s="171">
        <f t="shared" ref="O114:O127" si="17">L114*N114</f>
        <v>21903.232438086237</v>
      </c>
    </row>
    <row r="115" spans="1:15">
      <c r="A115" s="124" t="s">
        <v>343</v>
      </c>
      <c r="B115" s="124" t="s">
        <v>46</v>
      </c>
      <c r="C115">
        <v>233</v>
      </c>
      <c r="D115">
        <v>143</v>
      </c>
      <c r="E115">
        <v>273</v>
      </c>
      <c r="F115">
        <v>776</v>
      </c>
      <c r="G115" s="122">
        <v>4390</v>
      </c>
      <c r="H115" s="122">
        <v>3207</v>
      </c>
      <c r="I115" s="122">
        <v>1576</v>
      </c>
      <c r="J115">
        <v>869</v>
      </c>
      <c r="K115" s="122">
        <v>1498</v>
      </c>
      <c r="L115" s="177">
        <f>SUM(Table8[[#This Row],[A]:[G]])</f>
        <v>12965</v>
      </c>
      <c r="M115" s="169">
        <f>VLOOKUP(A115,Table2[],MATCH(B115,Table2[#Headers],0), 0 )</f>
        <v>34404</v>
      </c>
      <c r="N115" s="170">
        <f>VLOOKUP(A115,Table2[], 8, 0 )+SUM(Table8[[#This Row],[Residence Total]]/Table8[[#This Row],[BER Total]])</f>
        <v>2.6673382325412853</v>
      </c>
      <c r="O115" s="171">
        <f t="shared" si="17"/>
        <v>34582.040184897764</v>
      </c>
    </row>
    <row r="116" spans="1:15">
      <c r="A116" s="124" t="s">
        <v>344</v>
      </c>
      <c r="B116" s="124" t="s">
        <v>297</v>
      </c>
      <c r="C116">
        <v>75</v>
      </c>
      <c r="D116">
        <v>16</v>
      </c>
      <c r="E116">
        <v>38</v>
      </c>
      <c r="F116">
        <v>120</v>
      </c>
      <c r="G116" s="122">
        <v>836</v>
      </c>
      <c r="H116">
        <v>860</v>
      </c>
      <c r="I116">
        <v>458</v>
      </c>
      <c r="J116">
        <v>125</v>
      </c>
      <c r="K116">
        <v>151</v>
      </c>
      <c r="L116" s="177">
        <f>SUM(Table8[[#This Row],[A]:[G]])</f>
        <v>2679</v>
      </c>
      <c r="M116" s="169">
        <f>VLOOKUP(A116,Table2[],MATCH(B116,Table2[#Headers],0), 0 )</f>
        <v>3095.9999999999995</v>
      </c>
      <c r="N116" s="170">
        <f>VLOOKUP(A116,Table2[], 8, 0 )+SUM(Table8[[#This Row],[Residence Total]]/Table8[[#This Row],[BER Total]])</f>
        <v>1.1691571273783912</v>
      </c>
      <c r="O116" s="171">
        <f t="shared" si="17"/>
        <v>3132.1719442467102</v>
      </c>
    </row>
    <row r="117" spans="1:15">
      <c r="A117" s="124" t="s">
        <v>344</v>
      </c>
      <c r="B117" s="124" t="s">
        <v>44</v>
      </c>
      <c r="C117">
        <v>659</v>
      </c>
      <c r="D117">
        <v>149</v>
      </c>
      <c r="E117">
        <v>219</v>
      </c>
      <c r="F117">
        <v>685</v>
      </c>
      <c r="G117" s="122">
        <v>4857</v>
      </c>
      <c r="H117" s="122">
        <v>3147</v>
      </c>
      <c r="I117" s="122">
        <v>1184</v>
      </c>
      <c r="J117">
        <v>523</v>
      </c>
      <c r="K117">
        <v>592</v>
      </c>
      <c r="L117" s="177">
        <f>SUM(Table8[[#This Row],[A]:[G]])</f>
        <v>12015</v>
      </c>
      <c r="M117" s="169">
        <f>VLOOKUP(A117,Table2[],MATCH(B117,Table2[#Headers],0), 0 )</f>
        <v>21083</v>
      </c>
      <c r="N117" s="170">
        <f>VLOOKUP(A117,Table2[], 8, 0 )+SUM(Table8[[#This Row],[Residence Total]]/Table8[[#This Row],[BER Total]])</f>
        <v>1.768225294782052</v>
      </c>
      <c r="O117" s="171">
        <f t="shared" si="17"/>
        <v>21245.226916806354</v>
      </c>
    </row>
    <row r="118" spans="1:15">
      <c r="A118" s="124" t="s">
        <v>344</v>
      </c>
      <c r="B118" s="124" t="s">
        <v>46</v>
      </c>
      <c r="C118">
        <v>280</v>
      </c>
      <c r="D118">
        <v>99</v>
      </c>
      <c r="E118">
        <v>190</v>
      </c>
      <c r="F118">
        <v>558</v>
      </c>
      <c r="G118" s="122">
        <v>2785</v>
      </c>
      <c r="H118" s="122">
        <v>1775</v>
      </c>
      <c r="I118">
        <v>588</v>
      </c>
      <c r="J118">
        <v>318</v>
      </c>
      <c r="K118">
        <v>421</v>
      </c>
      <c r="L118" s="177">
        <f>SUM(Table8[[#This Row],[A]:[G]])</f>
        <v>7014</v>
      </c>
      <c r="M118" s="169">
        <f>VLOOKUP(A118,Table2[],MATCH(B118,Table2[#Headers],0), 0 )</f>
        <v>18782</v>
      </c>
      <c r="N118" s="170">
        <f>VLOOKUP(A118,Table2[], 8, 0 )+SUM(Table8[[#This Row],[Residence Total]]/Table8[[#This Row],[BER Total]])</f>
        <v>2.6912893147713226</v>
      </c>
      <c r="O118" s="171">
        <f t="shared" si="17"/>
        <v>18876.703253806056</v>
      </c>
    </row>
    <row r="119" spans="1:15">
      <c r="A119" s="124" t="s">
        <v>336</v>
      </c>
      <c r="B119" s="124" t="s">
        <v>297</v>
      </c>
      <c r="C119">
        <v>3</v>
      </c>
      <c r="D119">
        <v>29</v>
      </c>
      <c r="E119">
        <v>126</v>
      </c>
      <c r="F119">
        <v>179</v>
      </c>
      <c r="G119" s="122">
        <v>659</v>
      </c>
      <c r="H119">
        <v>660</v>
      </c>
      <c r="I119">
        <v>301</v>
      </c>
      <c r="J119">
        <v>115</v>
      </c>
      <c r="K119">
        <v>90</v>
      </c>
      <c r="L119" s="177">
        <f>SUM(Table8[[#This Row],[A]:[G]])</f>
        <v>2162</v>
      </c>
      <c r="M119" s="169">
        <f>VLOOKUP(A119,Table2[],MATCH(B119,Table2[#Headers],0), 0 )</f>
        <v>2847</v>
      </c>
      <c r="N119" s="170">
        <f>VLOOKUP(A119,Table2[], 8, 0 )+SUM(Table8[[#This Row],[Residence Total]]/Table8[[#This Row],[BER Total]])</f>
        <v>1.3288439325402175</v>
      </c>
      <c r="O119" s="171">
        <f t="shared" si="17"/>
        <v>2872.9605821519503</v>
      </c>
    </row>
    <row r="120" spans="1:15">
      <c r="A120" s="124" t="s">
        <v>336</v>
      </c>
      <c r="B120" s="124" t="s">
        <v>44</v>
      </c>
      <c r="C120">
        <v>65</v>
      </c>
      <c r="D120">
        <v>17</v>
      </c>
      <c r="E120">
        <v>125</v>
      </c>
      <c r="F120">
        <v>554</v>
      </c>
      <c r="G120" s="122">
        <v>2930</v>
      </c>
      <c r="H120" s="122">
        <v>1637</v>
      </c>
      <c r="I120">
        <v>808</v>
      </c>
      <c r="J120">
        <v>365</v>
      </c>
      <c r="K120">
        <v>511</v>
      </c>
      <c r="L120" s="177">
        <f>SUM(Table8[[#This Row],[A]:[G]])</f>
        <v>7012</v>
      </c>
      <c r="M120" s="169">
        <f>VLOOKUP(A120,Table2[],MATCH(B120,Table2[#Headers],0), 0 )</f>
        <v>12102.000000000002</v>
      </c>
      <c r="N120" s="170">
        <f>VLOOKUP(A120,Table2[], 8, 0 )+SUM(Table8[[#This Row],[Residence Total]]/Table8[[#This Row],[BER Total]])</f>
        <v>1.7379061296037426</v>
      </c>
      <c r="O120" s="171">
        <f t="shared" si="17"/>
        <v>12186.197780781444</v>
      </c>
    </row>
    <row r="121" spans="1:15">
      <c r="A121" s="124" t="s">
        <v>336</v>
      </c>
      <c r="B121" s="124" t="s">
        <v>46</v>
      </c>
      <c r="C121">
        <v>108</v>
      </c>
      <c r="D121">
        <v>49</v>
      </c>
      <c r="E121">
        <v>121</v>
      </c>
      <c r="F121">
        <v>397</v>
      </c>
      <c r="G121" s="122">
        <v>2092</v>
      </c>
      <c r="H121" s="122">
        <v>1359</v>
      </c>
      <c r="I121">
        <v>625</v>
      </c>
      <c r="J121">
        <v>354</v>
      </c>
      <c r="K121">
        <v>719</v>
      </c>
      <c r="L121" s="177">
        <f>SUM(Table8[[#This Row],[A]:[G]])</f>
        <v>5824</v>
      </c>
      <c r="M121" s="169">
        <f>VLOOKUP(A121,Table2[],MATCH(B121,Table2[#Headers],0), 0 )</f>
        <v>16482</v>
      </c>
      <c r="N121" s="170">
        <f>VLOOKUP(A121,Table2[], 8, 0 )+SUM(Table8[[#This Row],[Residence Total]]/Table8[[#This Row],[BER Total]])</f>
        <v>2.8420214060842501</v>
      </c>
      <c r="O121" s="171">
        <f t="shared" si="17"/>
        <v>16551.932669034672</v>
      </c>
    </row>
    <row r="122" spans="1:15">
      <c r="A122" s="124" t="s">
        <v>337</v>
      </c>
      <c r="B122" s="124" t="s">
        <v>297</v>
      </c>
      <c r="C122">
        <v>8</v>
      </c>
      <c r="D122">
        <v>21</v>
      </c>
      <c r="E122">
        <v>41</v>
      </c>
      <c r="F122">
        <v>111</v>
      </c>
      <c r="G122" s="122">
        <v>598</v>
      </c>
      <c r="H122">
        <v>654</v>
      </c>
      <c r="I122">
        <v>435</v>
      </c>
      <c r="J122">
        <v>132</v>
      </c>
      <c r="K122">
        <v>156</v>
      </c>
      <c r="L122" s="177">
        <f>SUM(Table8[[#This Row],[A]:[G]])</f>
        <v>2156</v>
      </c>
      <c r="M122" s="169">
        <f>VLOOKUP(A122,Table2[],MATCH(B122,Table2[#Headers],0), 0 )</f>
        <v>2627</v>
      </c>
      <c r="N122" s="170">
        <f>VLOOKUP(A122,Table2[], 8, 0 )+SUM(Table8[[#This Row],[Residence Total]]/Table8[[#This Row],[BER Total]])</f>
        <v>1.2300462521560982</v>
      </c>
      <c r="O122" s="171">
        <f t="shared" si="17"/>
        <v>2651.9797196485479</v>
      </c>
    </row>
    <row r="123" spans="1:15">
      <c r="A123" s="124" t="s">
        <v>337</v>
      </c>
      <c r="B123" s="124" t="s">
        <v>44</v>
      </c>
      <c r="C123">
        <v>570</v>
      </c>
      <c r="D123">
        <v>86</v>
      </c>
      <c r="E123">
        <v>93</v>
      </c>
      <c r="F123">
        <v>352</v>
      </c>
      <c r="G123" s="122">
        <v>4191</v>
      </c>
      <c r="H123" s="122">
        <v>3031</v>
      </c>
      <c r="I123" s="122">
        <v>1326</v>
      </c>
      <c r="J123">
        <v>541</v>
      </c>
      <c r="K123">
        <v>642</v>
      </c>
      <c r="L123" s="177">
        <f>SUM(Table8[[#This Row],[A]:[G]])</f>
        <v>10832</v>
      </c>
      <c r="M123" s="169">
        <f>VLOOKUP(A123,Table2[],MATCH(B123,Table2[#Headers],0), 0 )</f>
        <v>17899</v>
      </c>
      <c r="N123" s="170">
        <f>VLOOKUP(A123,Table2[], 8, 0 )+SUM(Table8[[#This Row],[Residence Total]]/Table8[[#This Row],[BER Total]])</f>
        <v>1.6640049000707495</v>
      </c>
      <c r="O123" s="171">
        <f t="shared" si="17"/>
        <v>18024.501077566358</v>
      </c>
    </row>
    <row r="124" spans="1:15">
      <c r="A124" s="124" t="s">
        <v>337</v>
      </c>
      <c r="B124" s="124" t="s">
        <v>46</v>
      </c>
      <c r="C124">
        <v>411</v>
      </c>
      <c r="D124">
        <v>123</v>
      </c>
      <c r="E124">
        <v>347</v>
      </c>
      <c r="F124">
        <v>946</v>
      </c>
      <c r="G124" s="122">
        <v>5784</v>
      </c>
      <c r="H124" s="122">
        <v>3598</v>
      </c>
      <c r="I124" s="122">
        <v>1419</v>
      </c>
      <c r="J124">
        <v>622</v>
      </c>
      <c r="K124" s="122">
        <v>1016</v>
      </c>
      <c r="L124" s="177">
        <f>SUM(Table8[[#This Row],[A]:[G]])</f>
        <v>14266</v>
      </c>
      <c r="M124" s="169">
        <f>VLOOKUP(A124,Table2[],MATCH(B124,Table2[#Headers],0), 0 )</f>
        <v>33134</v>
      </c>
      <c r="N124" s="170">
        <f>VLOOKUP(A124,Table2[], 8, 0 )+SUM(Table8[[#This Row],[Residence Total]]/Table8[[#This Row],[BER Total]])</f>
        <v>2.3341713083700371</v>
      </c>
      <c r="O124" s="171">
        <f t="shared" si="17"/>
        <v>33299.287885206948</v>
      </c>
    </row>
    <row r="125" spans="1:15">
      <c r="A125" s="124" t="s">
        <v>339</v>
      </c>
      <c r="B125" s="124" t="s">
        <v>297</v>
      </c>
      <c r="C125">
        <v>104</v>
      </c>
      <c r="D125">
        <v>59</v>
      </c>
      <c r="E125">
        <v>154</v>
      </c>
      <c r="F125">
        <v>291</v>
      </c>
      <c r="G125" s="122">
        <v>837</v>
      </c>
      <c r="H125">
        <v>515</v>
      </c>
      <c r="I125">
        <v>228</v>
      </c>
      <c r="J125">
        <v>82</v>
      </c>
      <c r="K125">
        <v>141</v>
      </c>
      <c r="L125" s="177">
        <f>SUM(Table8[[#This Row],[A]:[G]])</f>
        <v>2411</v>
      </c>
      <c r="M125" s="169">
        <f>VLOOKUP(A125,Table2[],MATCH(B125,Table2[#Headers],0), 0 )</f>
        <v>4442</v>
      </c>
      <c r="N125" s="170">
        <f>VLOOKUP(A125,Table2[], 8, 0 )+SUM(Table8[[#This Row],[Residence Total]]/Table8[[#This Row],[BER Total]])</f>
        <v>1.8536670164949902</v>
      </c>
      <c r="O125" s="171">
        <f t="shared" si="17"/>
        <v>4469.191176769421</v>
      </c>
    </row>
    <row r="126" spans="1:15">
      <c r="A126" s="124" t="s">
        <v>339</v>
      </c>
      <c r="B126" s="124" t="s">
        <v>44</v>
      </c>
      <c r="C126" s="122">
        <v>1704</v>
      </c>
      <c r="D126">
        <v>109</v>
      </c>
      <c r="E126">
        <v>178</v>
      </c>
      <c r="F126">
        <v>724</v>
      </c>
      <c r="G126" s="122">
        <v>4596</v>
      </c>
      <c r="H126" s="122">
        <v>2801</v>
      </c>
      <c r="I126" s="122">
        <v>1506</v>
      </c>
      <c r="J126">
        <v>606</v>
      </c>
      <c r="K126">
        <v>663</v>
      </c>
      <c r="L126" s="177">
        <f>SUM(Table8[[#This Row],[A]:[G]])</f>
        <v>12887</v>
      </c>
      <c r="M126" s="169">
        <f>VLOOKUP(A126,Table2[],MATCH(B126,Table2[#Headers],0), 0 )</f>
        <v>22104</v>
      </c>
      <c r="N126" s="170">
        <f>VLOOKUP(A126,Table2[], 8, 0 )+SUM(Table8[[#This Row],[Residence Total]]/Table8[[#This Row],[BER Total]])</f>
        <v>1.7264948515415266</v>
      </c>
      <c r="O126" s="171">
        <f t="shared" si="17"/>
        <v>22249.339151815653</v>
      </c>
    </row>
    <row r="127" spans="1:15">
      <c r="A127" s="124" t="s">
        <v>339</v>
      </c>
      <c r="B127" s="124" t="s">
        <v>46</v>
      </c>
      <c r="C127">
        <v>488</v>
      </c>
      <c r="D127">
        <v>89</v>
      </c>
      <c r="E127">
        <v>234</v>
      </c>
      <c r="F127">
        <v>622</v>
      </c>
      <c r="G127" s="122">
        <v>2901</v>
      </c>
      <c r="H127" s="122">
        <v>2008</v>
      </c>
      <c r="I127">
        <v>895</v>
      </c>
      <c r="J127">
        <v>477</v>
      </c>
      <c r="K127">
        <v>761</v>
      </c>
      <c r="L127" s="177">
        <f>SUM(Table8[[#This Row],[A]:[G]])</f>
        <v>8475</v>
      </c>
      <c r="M127" s="169">
        <f>VLOOKUP(A127,Table2[],MATCH(B127,Table2[#Headers],0), 0 )</f>
        <v>22110</v>
      </c>
      <c r="N127" s="170">
        <f>VLOOKUP(A127,Table2[], 8, 0 )+SUM(Table8[[#This Row],[Residence Total]]/Table8[[#This Row],[BER Total]])</f>
        <v>2.6201275238304693</v>
      </c>
      <c r="O127" s="171">
        <f t="shared" si="17"/>
        <v>22205.580764463226</v>
      </c>
    </row>
    <row r="128" spans="1:15" ht="13.5" thickBot="1">
      <c r="A128" s="66" t="s">
        <v>218</v>
      </c>
      <c r="B128" s="125"/>
      <c r="C128" s="172">
        <f>SUBTOTAL(109,Table8[A])</f>
        <v>47214</v>
      </c>
      <c r="D128" s="172">
        <f>SUBTOTAL(109,Table8[B1])</f>
        <v>9968</v>
      </c>
      <c r="E128" s="172">
        <f>SUBTOTAL(109,Table8[B2])</f>
        <v>23599</v>
      </c>
      <c r="F128" s="172">
        <f>SUBTOTAL(109,Table8[B3])</f>
        <v>60821</v>
      </c>
      <c r="G128" s="172">
        <f>SUBTOTAL(109,Table8[C])</f>
        <v>305301</v>
      </c>
      <c r="H128" s="172">
        <f>SUBTOTAL(109,Table8[D])</f>
        <v>188007</v>
      </c>
      <c r="I128" s="172">
        <f>SUBTOTAL(109,Table8[E])</f>
        <v>89391</v>
      </c>
      <c r="J128" s="172">
        <f>SUBTOTAL(109,Table8[F])</f>
        <v>39698</v>
      </c>
      <c r="K128" s="173">
        <f>SUBTOTAL(109,Table8[G])</f>
        <v>51247</v>
      </c>
      <c r="L128" s="178">
        <f>SUM(Table8[BER Total])</f>
        <v>815246</v>
      </c>
      <c r="M128" s="175">
        <f>SUM(M50:M127)</f>
        <v>1680419</v>
      </c>
      <c r="N128" s="190">
        <f>Table8[[#Totals],[Residence Total]]/Table8[[#Totals],[BER Total]]</f>
        <v>2.0612416374934681</v>
      </c>
      <c r="O128" s="176">
        <f>SUM(O50:O127)</f>
        <v>1690913.2753852012</v>
      </c>
    </row>
  </sheetData>
  <mergeCells count="8">
    <mergeCell ref="O16:Q16"/>
    <mergeCell ref="R16:T16"/>
    <mergeCell ref="S82:Z82"/>
    <mergeCell ref="AM50:AR50"/>
    <mergeCell ref="AB82:AF83"/>
    <mergeCell ref="M48:O48"/>
    <mergeCell ref="B48:L48"/>
    <mergeCell ref="H17:L17"/>
  </mergeCells>
  <phoneticPr fontId="20" type="noConversion"/>
  <pageMargins left="0.7" right="0.7" top="0.75" bottom="0.75" header="0.3" footer="0.3"/>
  <pageSetup orientation="portrait" horizontalDpi="300" verticalDpi="300" r:id="rId1"/>
  <drawing r:id="rId2"/>
  <legacyDrawing r:id="rId3"/>
  <tableParts count="6">
    <tablePart r:id="rId4"/>
    <tablePart r:id="rId5"/>
    <tablePart r:id="rId6"/>
    <tablePart r:id="rId7"/>
    <tablePart r:id="rId8"/>
    <tablePart r:id="rId9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>
    <tabColor rgb="FF92D050"/>
  </sheetPr>
  <dimension ref="A1:AW70"/>
  <sheetViews>
    <sheetView topLeftCell="M22" zoomScale="70" zoomScaleNormal="70" workbookViewId="0">
      <selection activeCell="V38" sqref="V38"/>
    </sheetView>
  </sheetViews>
  <sheetFormatPr defaultColWidth="9.1796875" defaultRowHeight="14.5"/>
  <cols>
    <col min="1" max="1" width="7.54296875" style="48" customWidth="1"/>
    <col min="2" max="2" width="28.453125" style="48" customWidth="1"/>
    <col min="3" max="3" width="22.453125" style="48" bestFit="1" customWidth="1"/>
    <col min="4" max="4" width="23.453125" style="48" customWidth="1"/>
    <col min="5" max="5" width="13.7265625" style="48" customWidth="1"/>
    <col min="6" max="6" width="16.54296875" style="48" customWidth="1"/>
    <col min="7" max="7" width="13.453125" style="48" customWidth="1"/>
    <col min="8" max="8" width="10.81640625" style="48" customWidth="1"/>
    <col min="9" max="9" width="12.26953125" style="48" customWidth="1"/>
    <col min="10" max="10" width="15.453125" style="48" customWidth="1"/>
    <col min="11" max="12" width="12.1796875" style="48" customWidth="1"/>
    <col min="13" max="13" width="31.26953125" style="48" customWidth="1"/>
    <col min="14" max="14" width="71.26953125" style="48" bestFit="1" customWidth="1"/>
    <col min="15" max="16" width="17.7265625" style="48" customWidth="1"/>
    <col min="17" max="17" width="42" style="48" customWidth="1"/>
    <col min="18" max="18" width="11.81640625" style="48" customWidth="1"/>
    <col min="19" max="19" width="12" style="48" customWidth="1"/>
    <col min="20" max="20" width="16.81640625" style="48" customWidth="1"/>
    <col min="21" max="21" width="10.81640625" style="48" customWidth="1"/>
    <col min="22" max="23" width="8.54296875" style="48" customWidth="1"/>
    <col min="24" max="27" width="11.453125" style="48" customWidth="1"/>
    <col min="28" max="29" width="23.26953125" style="48" customWidth="1"/>
    <col min="30" max="31" width="19.453125" style="48" customWidth="1"/>
    <col min="32" max="32" width="7.81640625" style="48" customWidth="1"/>
    <col min="33" max="33" width="10.7265625" style="48" bestFit="1" customWidth="1"/>
    <col min="34" max="34" width="22.54296875" style="48" bestFit="1" customWidth="1"/>
    <col min="35" max="35" width="87" style="48" bestFit="1" customWidth="1"/>
    <col min="36" max="36" width="4.54296875" style="48" bestFit="1" customWidth="1"/>
    <col min="37" max="37" width="8.453125" style="48" bestFit="1" customWidth="1"/>
    <col min="38" max="38" width="5" style="48" bestFit="1" customWidth="1"/>
    <col min="39" max="39" width="10.453125" style="48" bestFit="1" customWidth="1"/>
    <col min="40" max="40" width="9.1796875" style="48"/>
    <col min="41" max="41" width="12.26953125" style="48" customWidth="1"/>
    <col min="42" max="42" width="9.1796875" style="48"/>
    <col min="43" max="43" width="2.26953125" style="48" bestFit="1" customWidth="1"/>
    <col min="44" max="44" width="2.81640625" style="48" bestFit="1" customWidth="1"/>
    <col min="45" max="45" width="11" style="48" bestFit="1" customWidth="1"/>
    <col min="46" max="46" width="10.54296875" style="48" bestFit="1" customWidth="1"/>
    <col min="47" max="47" width="4.1796875" style="48" bestFit="1" customWidth="1"/>
    <col min="48" max="48" width="6.54296875" style="48" customWidth="1"/>
    <col min="49" max="16384" width="9.1796875" style="48"/>
  </cols>
  <sheetData>
    <row r="1" spans="1:44" ht="22" customHeight="1">
      <c r="A1" s="50" t="s">
        <v>645</v>
      </c>
      <c r="B1" s="50"/>
      <c r="C1" s="50"/>
      <c r="D1" s="50"/>
      <c r="E1" s="50"/>
      <c r="F1" s="50"/>
      <c r="G1" s="50"/>
      <c r="H1" s="50"/>
      <c r="I1" s="50"/>
      <c r="J1" s="50"/>
      <c r="K1" s="261"/>
      <c r="L1" s="49" t="s">
        <v>769</v>
      </c>
      <c r="M1" s="34"/>
      <c r="N1" s="34"/>
      <c r="O1" s="34"/>
      <c r="P1" s="34"/>
      <c r="Q1" s="34"/>
      <c r="R1" s="34"/>
      <c r="S1" s="277"/>
      <c r="T1" s="34"/>
      <c r="U1" s="277"/>
      <c r="V1" s="277"/>
      <c r="W1" s="277"/>
      <c r="X1" s="277"/>
      <c r="Y1" s="277"/>
      <c r="Z1" s="277"/>
      <c r="AA1" s="277"/>
      <c r="AB1" s="277"/>
      <c r="AC1" s="277"/>
      <c r="AD1" s="277"/>
      <c r="AE1" s="277"/>
      <c r="AF1" s="277"/>
      <c r="AG1" s="277"/>
      <c r="AH1" s="277"/>
      <c r="AI1" s="277"/>
      <c r="AJ1" s="277"/>
      <c r="AK1" s="277"/>
      <c r="AL1" s="277"/>
      <c r="AM1" s="277"/>
      <c r="AN1" s="261"/>
      <c r="AO1" s="261"/>
      <c r="AP1" s="261"/>
      <c r="AQ1" s="261"/>
      <c r="AR1" s="261"/>
    </row>
    <row r="2" spans="1:44" ht="15" customHeight="1">
      <c r="A2" s="380" t="s">
        <v>574</v>
      </c>
      <c r="B2" s="381">
        <v>3.6E-9</v>
      </c>
      <c r="C2" s="380"/>
      <c r="D2" s="380" t="s">
        <v>13</v>
      </c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561"/>
      <c r="S2" s="261"/>
      <c r="T2" s="561"/>
      <c r="U2" s="561"/>
      <c r="V2" s="261"/>
      <c r="W2" s="261"/>
      <c r="X2" s="261"/>
      <c r="Y2" s="261"/>
      <c r="Z2" s="261"/>
      <c r="AA2" s="261"/>
      <c r="AB2" s="261"/>
      <c r="AC2" s="566"/>
      <c r="AD2" s="561"/>
      <c r="AE2" s="261"/>
      <c r="AF2" s="561"/>
      <c r="AG2" s="261"/>
      <c r="AH2" s="261"/>
      <c r="AI2" s="261"/>
      <c r="AJ2" s="261"/>
      <c r="AK2" s="261"/>
      <c r="AL2" s="261"/>
      <c r="AM2" s="261"/>
      <c r="AN2" s="261"/>
      <c r="AO2" s="261"/>
      <c r="AP2" s="261"/>
      <c r="AQ2" s="261"/>
      <c r="AR2" s="261"/>
    </row>
    <row r="3" spans="1:44" ht="21.5" thickBot="1">
      <c r="A3" s="50" t="s">
        <v>498</v>
      </c>
      <c r="B3" s="50"/>
      <c r="C3" s="50"/>
      <c r="D3" s="50"/>
      <c r="E3" s="50"/>
      <c r="F3" s="50"/>
      <c r="G3" s="50"/>
      <c r="H3" s="50"/>
      <c r="I3" s="50"/>
      <c r="J3" s="50"/>
      <c r="K3" s="261"/>
      <c r="L3" s="49"/>
      <c r="M3" s="49" t="s">
        <v>498</v>
      </c>
      <c r="N3" s="49"/>
      <c r="O3" s="49"/>
      <c r="P3" s="49"/>
      <c r="Q3" s="53" t="s">
        <v>768</v>
      </c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261"/>
      <c r="AF3" s="19" t="s">
        <v>767</v>
      </c>
      <c r="AG3" s="19"/>
      <c r="AH3" s="509"/>
      <c r="AI3" s="509"/>
      <c r="AJ3" s="509"/>
      <c r="AK3" s="509"/>
      <c r="AL3" s="509"/>
      <c r="AM3" s="509"/>
      <c r="AN3" s="261"/>
      <c r="AO3" s="261"/>
      <c r="AP3" s="261"/>
      <c r="AQ3" s="261"/>
      <c r="AR3" s="261"/>
    </row>
    <row r="4" spans="1:44" ht="15" customHeight="1" thickBot="1">
      <c r="A4" s="261"/>
      <c r="B4" s="1150" t="s">
        <v>643</v>
      </c>
      <c r="C4" s="1151"/>
      <c r="D4" s="1151"/>
      <c r="E4" s="1151"/>
      <c r="F4" s="1151"/>
      <c r="G4" s="1152"/>
      <c r="H4" s="1150" t="s">
        <v>644</v>
      </c>
      <c r="I4" s="1151"/>
      <c r="J4" s="1152"/>
      <c r="K4" s="261"/>
      <c r="L4" s="21" t="s">
        <v>764</v>
      </c>
      <c r="M4" s="21" t="s">
        <v>255</v>
      </c>
      <c r="N4" s="21" t="s">
        <v>267</v>
      </c>
      <c r="O4" s="21" t="s">
        <v>257</v>
      </c>
      <c r="P4" s="21" t="s">
        <v>826</v>
      </c>
      <c r="Q4" s="21" t="s">
        <v>258</v>
      </c>
      <c r="R4" s="21" t="s">
        <v>388</v>
      </c>
      <c r="S4" s="27" t="s">
        <v>268</v>
      </c>
      <c r="T4" s="21" t="s">
        <v>492</v>
      </c>
      <c r="U4" s="21" t="s">
        <v>259</v>
      </c>
      <c r="V4" s="21" t="s">
        <v>638</v>
      </c>
      <c r="W4" s="27" t="s">
        <v>260</v>
      </c>
      <c r="X4" s="21" t="s">
        <v>270</v>
      </c>
      <c r="Y4" s="27" t="s">
        <v>708</v>
      </c>
      <c r="Z4" s="21" t="s">
        <v>709</v>
      </c>
      <c r="AA4" s="21" t="s">
        <v>828</v>
      </c>
      <c r="AB4" s="27" t="s">
        <v>637</v>
      </c>
      <c r="AC4" s="31" t="s">
        <v>636</v>
      </c>
      <c r="AD4" s="31" t="s">
        <v>829</v>
      </c>
      <c r="AE4" s="261"/>
      <c r="AF4" s="21" t="s">
        <v>261</v>
      </c>
      <c r="AG4" s="21" t="s">
        <v>764</v>
      </c>
      <c r="AH4" s="21" t="s">
        <v>255</v>
      </c>
      <c r="AI4" s="21" t="s">
        <v>256</v>
      </c>
      <c r="AJ4" s="21" t="s">
        <v>262</v>
      </c>
      <c r="AK4" s="21" t="s">
        <v>263</v>
      </c>
      <c r="AL4" s="21" t="s">
        <v>264</v>
      </c>
      <c r="AM4" s="21" t="s">
        <v>265</v>
      </c>
      <c r="AN4" s="261"/>
      <c r="AO4" s="261"/>
      <c r="AP4" s="261"/>
      <c r="AQ4" s="261"/>
      <c r="AR4" s="261"/>
    </row>
    <row r="5" spans="1:44" ht="21.75" customHeight="1" thickBot="1">
      <c r="A5" s="261"/>
      <c r="B5" s="229"/>
      <c r="C5" s="229" t="s">
        <v>389</v>
      </c>
      <c r="D5" s="229" t="s">
        <v>389</v>
      </c>
      <c r="E5" s="229" t="s">
        <v>646</v>
      </c>
      <c r="F5" s="229" t="s">
        <v>390</v>
      </c>
      <c r="G5" s="229" t="s">
        <v>391</v>
      </c>
      <c r="H5" s="229" t="s">
        <v>389</v>
      </c>
      <c r="I5" s="229" t="s">
        <v>389</v>
      </c>
      <c r="J5" s="229" t="s">
        <v>646</v>
      </c>
      <c r="K5" s="261"/>
      <c r="L5" s="22" t="s">
        <v>771</v>
      </c>
      <c r="M5" s="22" t="s">
        <v>271</v>
      </c>
      <c r="N5" s="22" t="s">
        <v>272</v>
      </c>
      <c r="O5" s="22" t="s">
        <v>273</v>
      </c>
      <c r="P5" s="22" t="s">
        <v>827</v>
      </c>
      <c r="Q5" s="22" t="s">
        <v>274</v>
      </c>
      <c r="R5" s="22"/>
      <c r="S5" s="29" t="s">
        <v>275</v>
      </c>
      <c r="T5" s="22"/>
      <c r="U5" s="22" t="s">
        <v>391</v>
      </c>
      <c r="V5" s="22" t="s">
        <v>391</v>
      </c>
      <c r="W5" s="28"/>
      <c r="X5" s="22" t="s">
        <v>831</v>
      </c>
      <c r="Y5" s="28" t="s">
        <v>391</v>
      </c>
      <c r="Z5" s="22" t="s">
        <v>710</v>
      </c>
      <c r="AA5" s="22"/>
      <c r="AB5" s="28" t="s">
        <v>13</v>
      </c>
      <c r="AC5" s="212" t="s">
        <v>13</v>
      </c>
      <c r="AD5" s="212" t="s">
        <v>830</v>
      </c>
      <c r="AE5" s="261"/>
      <c r="AF5" s="23" t="s">
        <v>254</v>
      </c>
      <c r="AG5" s="23"/>
      <c r="AH5" s="23"/>
      <c r="AI5" s="22"/>
      <c r="AJ5" s="23"/>
      <c r="AK5" s="23"/>
      <c r="AL5" s="23"/>
      <c r="AM5" s="23"/>
      <c r="AN5" s="261"/>
      <c r="AO5" s="261"/>
      <c r="AP5" s="261"/>
      <c r="AQ5" s="261"/>
      <c r="AR5" s="261"/>
    </row>
    <row r="6" spans="1:44" ht="28" customHeight="1" thickBot="1">
      <c r="A6" s="261"/>
      <c r="B6" s="296" t="s">
        <v>393</v>
      </c>
      <c r="C6" s="296" t="s">
        <v>394</v>
      </c>
      <c r="D6" s="296" t="s">
        <v>395</v>
      </c>
      <c r="E6" s="296" t="s">
        <v>398</v>
      </c>
      <c r="F6" s="296" t="s">
        <v>399</v>
      </c>
      <c r="G6" s="296" t="s">
        <v>400</v>
      </c>
      <c r="H6" s="296" t="s">
        <v>396</v>
      </c>
      <c r="I6" s="296" t="s">
        <v>397</v>
      </c>
      <c r="J6" s="296" t="s">
        <v>398</v>
      </c>
      <c r="K6" s="261"/>
      <c r="L6" s="24" t="s">
        <v>254</v>
      </c>
      <c r="M6" s="24" t="s">
        <v>254</v>
      </c>
      <c r="N6" s="24"/>
      <c r="O6" s="24"/>
      <c r="P6" s="24"/>
      <c r="Q6" s="24"/>
      <c r="R6" s="297">
        <f>SUM(R7:R25)</f>
        <v>1</v>
      </c>
      <c r="S6" s="24"/>
      <c r="T6" s="32"/>
      <c r="U6" s="24"/>
      <c r="V6" s="24"/>
      <c r="W6" s="24"/>
      <c r="X6" s="24"/>
      <c r="Y6" s="24"/>
      <c r="Z6" s="24"/>
      <c r="AA6" s="24"/>
      <c r="AB6" s="24"/>
      <c r="AC6" s="24"/>
      <c r="AD6" s="24"/>
      <c r="AF6" s="51" t="str">
        <f>"*"&amp; A7 &amp; " Rating"</f>
        <v>* Rating</v>
      </c>
      <c r="AG6" s="51"/>
      <c r="AH6" s="52"/>
      <c r="AI6" s="52"/>
      <c r="AJ6" s="52"/>
      <c r="AK6" s="52"/>
      <c r="AL6" s="52"/>
      <c r="AM6" s="52"/>
      <c r="AN6" s="261"/>
      <c r="AO6" s="261"/>
      <c r="AP6" s="261"/>
      <c r="AQ6" s="261"/>
      <c r="AR6" s="261"/>
    </row>
    <row r="7" spans="1:44">
      <c r="A7" s="261"/>
      <c r="B7" s="231" t="s">
        <v>578</v>
      </c>
      <c r="C7" s="232">
        <f>SUMIFS(INDEX(Table7[],,MATCH($C$6,Table7[#Headers],0)),Table7[MainSpaceHeatingFuel],B7)</f>
        <v>19940</v>
      </c>
      <c r="D7" s="232">
        <f>SUMIFS(INDEX(Table7[],,MATCH($D$6,Table7[#Headers],0)),Table7[MainSpaceHeatingFuel],B7)</f>
        <v>18127</v>
      </c>
      <c r="E7" s="232">
        <f>SUMIFS(INDEX(Table7[],,MATCH($E$6,Table7[#Headers],0)),Table7[MainSpaceHeatingFuel],B7)</f>
        <v>2</v>
      </c>
      <c r="F7" s="232">
        <f>SUMIFS(INDEX(Table7[],,MATCH($F$6,Table7[#Headers],0)),Table7[MainSpaceHeatingFuel],B7)</f>
        <v>106</v>
      </c>
      <c r="G7" s="232">
        <f>AVERAGEIFS(INDEX(Table7[],,MATCH($G$6,Table7[#Headers],0)),Table7[MainSpaceHeatingFuel],B7)</f>
        <v>77</v>
      </c>
      <c r="H7" s="232">
        <f>SUMIFS(INDEX(Table7[],,MATCH($H$6,Table7[#Headers],0)),Table7[SupplSHFuelName],B7)</f>
        <v>25060</v>
      </c>
      <c r="I7" s="232">
        <f>SUMIFS(INDEX(Table7[],,MATCH($I$6,Table7[#Headers],0)),Table7[SupplSHFuelName],B7)</f>
        <v>22782</v>
      </c>
      <c r="J7" s="232">
        <f>SUMIFS(INDEX(Table7[],,MATCH($J$6,Table7[#Headers],0)),Table7[SupplSHFuelName],B7)</f>
        <v>12</v>
      </c>
      <c r="K7" s="261"/>
      <c r="L7" s="294" t="str">
        <f>_xlfn.TEXTJOIN(",",TRUE,IF(LEFT(Regions!$C$3,1)&lt;&gt;"*",Regions!$C$3,""),IF(LEFT(Regions!$D$3,1)&lt;&gt;"*",Regions!$D$3,""))</f>
        <v>IE,National</v>
      </c>
      <c r="M7" s="294" t="str">
        <f>LEFT(SETUP!$B$3,1)&amp;"-"&amp;SETUP!$B$50&amp;"_"&amp;RIGHT(COMM!$O$30,3)&amp;"_"&amp;RIGHT(O7,LEN(O7)-3)&amp;"_"&amp;SETUP!$B$64</f>
        <v>R-SH_Apt_COA_X0</v>
      </c>
      <c r="N7" s="294" t="str">
        <f>COMM!$P$24&amp;" "&amp;COMM!F6&amp;" "&amp;SETUP!$C$64</f>
        <v>Residential Space Heating Apartment Coal to Residential Existing 00</v>
      </c>
      <c r="O7" s="294" t="str">
        <f>COMM!$E$6</f>
        <v>RSDCOA</v>
      </c>
      <c r="P7" s="294"/>
      <c r="Q7" s="294" t="str">
        <f>COMM!O9&amp;","&amp;COMM!O12&amp;","&amp;COMM!O15&amp;","&amp;COMM!O18&amp;","&amp;COMM!O21&amp;","&amp;COMM!O24</f>
        <v>RSDSH_Apt-AB,RSDSH_Apt-C,RSDSH_Apt-D,RSDSH_Apt-E,RSDSH_Apt-F,RSDSH_Apt-G</v>
      </c>
      <c r="R7" s="389">
        <f>(E7+E14+E16)/SUM($E$7:$E$25)</f>
        <v>2.1588177690732664E-3</v>
      </c>
      <c r="S7" s="390">
        <f>R7*DwellingStocks!$I$28/1000</f>
        <v>0.4572805315810558</v>
      </c>
      <c r="T7" s="444">
        <f>(S7*1000)/(E7+E14+E16)*DwellingStocks!$R$27+1.0376</f>
        <v>2.2304833867748837</v>
      </c>
      <c r="U7" s="569">
        <f>(G7+G14+G16)/300</f>
        <v>0.59018803418803423</v>
      </c>
      <c r="V7" s="569">
        <f>IF(AB7/S7/X7=0,0.12,AB7/S7/X7)</f>
        <v>0.12</v>
      </c>
      <c r="W7" s="393">
        <v>20</v>
      </c>
      <c r="X7" s="391">
        <f>31.536*(AD7/1000)</f>
        <v>0.47304000000000002</v>
      </c>
      <c r="Y7" s="393"/>
      <c r="Z7" s="393"/>
      <c r="AA7" s="393"/>
      <c r="AB7" s="394">
        <f t="shared" ref="AB7:AB11" si="0">AC7*U7</f>
        <v>0</v>
      </c>
      <c r="AC7" s="394">
        <f>IF(((D7+I7+D14+I14+D16+I16)*$B$2)&lt;=0.1,0,((D7+I7+D14+I14+D16+I16)*T7*$B$2))</f>
        <v>0</v>
      </c>
      <c r="AD7" s="393">
        <v>15</v>
      </c>
      <c r="AE7" s="261"/>
      <c r="AF7" s="294" t="s">
        <v>266</v>
      </c>
      <c r="AG7" s="294" t="str">
        <f>_xlfn.TEXTJOIN(",",TRUE,IF(LEFT(Regions!$C$3,1)&lt;&gt;"*",Regions!$C$3,""),IF(LEFT(Regions!$D$3,1)&lt;&gt;"*",Regions!$D$3,""))</f>
        <v>IE,National</v>
      </c>
      <c r="AH7" s="294" t="str">
        <f t="shared" ref="AH7:AI12" si="1">M7</f>
        <v>R-SH_Apt_COA_X0</v>
      </c>
      <c r="AI7" s="294" t="str">
        <f t="shared" si="1"/>
        <v>Residential Space Heating Apartment Coal to Residential Existing 00</v>
      </c>
      <c r="AJ7" s="294" t="s">
        <v>13</v>
      </c>
      <c r="AK7" s="294" t="s">
        <v>275</v>
      </c>
      <c r="AL7" s="294"/>
      <c r="AM7" s="294"/>
      <c r="AN7" s="261"/>
      <c r="AO7" s="261"/>
      <c r="AP7" s="261"/>
      <c r="AQ7" s="261"/>
      <c r="AR7" s="261"/>
    </row>
    <row r="8" spans="1:44">
      <c r="A8" s="261"/>
      <c r="B8" s="230" t="s">
        <v>403</v>
      </c>
      <c r="C8" s="233">
        <f>SUMIFS(INDEX(Table7[],,MATCH($C$6,Table7[#Headers],0)),Table7[MainSpaceHeatingFuel],B8)</f>
        <v>15055</v>
      </c>
      <c r="D8" s="233">
        <f>SUMIFS(INDEX(Table7[],,MATCH($D$6,Table7[#Headers],0)),Table7[MainSpaceHeatingFuel],B8)</f>
        <v>5576</v>
      </c>
      <c r="E8" s="233">
        <f>SUMIFS(INDEX(Table7[],,MATCH($E$6,Table7[#Headers],0)),Table7[MainSpaceHeatingFuel],B8)</f>
        <v>3</v>
      </c>
      <c r="F8" s="233">
        <f>SUMIFS(INDEX(Table7[],,MATCH($F$6,Table7[#Headers],0)),Table7[MainSpaceHeatingFuel],B8)</f>
        <v>179</v>
      </c>
      <c r="G8" s="233">
        <f>AVERAGEIFS(INDEX(Table7[],,MATCH($G$6,Table7[#Headers],0)),Table7[MainSpaceHeatingFuel],B8)</f>
        <v>241</v>
      </c>
      <c r="H8" s="233">
        <f>SUMIFS(INDEX(Table7[],,MATCH($H$6,Table7[#Headers],0)),Table7[SupplSHFuelName],B8)</f>
        <v>0</v>
      </c>
      <c r="I8" s="233">
        <f>SUMIFS(INDEX(Table7[],,MATCH($I$6,Table7[#Headers],0)),Table7[SupplSHFuelName],B8)</f>
        <v>0</v>
      </c>
      <c r="J8" s="233">
        <f>SUMIFS(INDEX(Table7[],,MATCH($J$6,Table7[#Headers],0)),Table7[SupplSHFuelName],B8)</f>
        <v>0</v>
      </c>
      <c r="K8" s="261"/>
      <c r="L8" s="26" t="str">
        <f>_xlfn.TEXTJOIN(",",TRUE,IF(LEFT(Regions!$C$3,1)&lt;&gt;"*",Regions!$C$3,""),IF(LEFT(Regions!$D$3,1)&lt;&gt;"*",Regions!$D$3,""))</f>
        <v>IE,National</v>
      </c>
      <c r="M8" s="26" t="str">
        <f>LEFT(SETUP!$B$3,1)&amp;"-"&amp;SETUP!$B$50&amp;"_"&amp;RIGHT(COMM!$O$30,3)&amp;"_"&amp;RIGHT(O8,LEN(O8)-3)&amp;"_"&amp;SETUP!$B$64</f>
        <v>R-SH_Apt_BDL_X0</v>
      </c>
      <c r="N8" s="26" t="str">
        <f>COMM!$P$24&amp;" "&amp;COMM!F21&amp;" "&amp;SETUP!$C$64</f>
        <v>Residential Space Heating Apartment Biodiesel to Residential Existing 00</v>
      </c>
      <c r="O8" s="26" t="str">
        <f>COMM!$E$21</f>
        <v>RSDBDL</v>
      </c>
      <c r="P8" s="26"/>
      <c r="Q8" s="26" t="str">
        <f>COMM!O9&amp;","&amp;COMM!O12&amp;","&amp;COMM!O15&amp;","&amp;COMM!O18&amp;","&amp;COMM!O21&amp;","&amp;COMM!O24</f>
        <v>RSDSH_Apt-AB,RSDSH_Apt-C,RSDSH_Apt-D,RSDSH_Apt-E,RSDSH_Apt-F,RSDSH_Apt-G</v>
      </c>
      <c r="R8" s="396">
        <f>E8/SUM($E$7:$E$25)</f>
        <v>2.2255853289415115E-5</v>
      </c>
      <c r="S8" s="397">
        <f>R8*DwellingStocks!$I$28/1000</f>
        <v>4.7142322843407814E-3</v>
      </c>
      <c r="T8" s="398">
        <f>(S8*1000)/E8*DwellingStocks!$R$27</f>
        <v>1.1928833867748834</v>
      </c>
      <c r="U8" s="571">
        <f>IF((G8/100)&gt;1,0.9)</f>
        <v>0.9</v>
      </c>
      <c r="V8" s="569">
        <f t="shared" ref="V8:V12" si="2">IF(AB8/S8/X8=0,0.12,AB8/S8/X8)</f>
        <v>0.12</v>
      </c>
      <c r="W8" s="399">
        <v>20</v>
      </c>
      <c r="X8" s="567">
        <f t="shared" ref="X8:X13" si="3">31.536*(AD8/1000)</f>
        <v>0.47304000000000002</v>
      </c>
      <c r="Y8" s="399"/>
      <c r="Z8" s="399"/>
      <c r="AA8" s="399"/>
      <c r="AB8" s="400">
        <f t="shared" si="0"/>
        <v>0</v>
      </c>
      <c r="AC8" s="401">
        <f>IF(((D8+I8)*$B$2)&lt;=0.1,0,((D8+I8)*T8*$B$2))</f>
        <v>0</v>
      </c>
      <c r="AD8" s="563">
        <v>15</v>
      </c>
      <c r="AE8" s="261"/>
      <c r="AF8" s="26" t="s">
        <v>266</v>
      </c>
      <c r="AG8" s="26" t="str">
        <f>_xlfn.TEXTJOIN(",",TRUE,IF(LEFT(Regions!$C$3,1)&lt;&gt;"*",Regions!$C$3,""),IF(LEFT(Regions!$D$3,1)&lt;&gt;"*",Regions!$D$3,""))</f>
        <v>IE,National</v>
      </c>
      <c r="AH8" s="26" t="str">
        <f t="shared" si="1"/>
        <v>R-SH_Apt_BDL_X0</v>
      </c>
      <c r="AI8" s="26" t="str">
        <f t="shared" si="1"/>
        <v>Residential Space Heating Apartment Biodiesel to Residential Existing 00</v>
      </c>
      <c r="AJ8" s="26" t="s">
        <v>13</v>
      </c>
      <c r="AK8" s="26" t="s">
        <v>275</v>
      </c>
      <c r="AL8" s="26"/>
      <c r="AM8" s="26"/>
      <c r="AN8" s="261"/>
      <c r="AO8" s="261"/>
      <c r="AP8" s="261"/>
      <c r="AQ8" s="261"/>
      <c r="AR8" s="261"/>
    </row>
    <row r="9" spans="1:44">
      <c r="A9" s="261"/>
      <c r="B9" s="231" t="s">
        <v>404</v>
      </c>
      <c r="C9" s="232">
        <f>SUMIFS(INDEX(Table7[],,MATCH($C$6,Table7[#Headers],0)),Table7[MainSpaceHeatingFuel],B9)</f>
        <v>11</v>
      </c>
      <c r="D9" s="232">
        <f>SUMIFS(INDEX(Table7[],,MATCH($D$6,Table7[#Headers],0)),Table7[MainSpaceHeatingFuel],B9)</f>
        <v>4</v>
      </c>
      <c r="E9" s="232">
        <f>SUMIFS(INDEX(Table7[],,MATCH($E$6,Table7[#Headers],0)),Table7[MainSpaceHeatingFuel],B9)</f>
        <v>1</v>
      </c>
      <c r="F9" s="232">
        <f>SUMIFS(INDEX(Table7[],,MATCH($F$6,Table7[#Headers],0)),Table7[MainSpaceHeatingFuel],B9)</f>
        <v>98</v>
      </c>
      <c r="G9" s="232">
        <f>AVERAGEIFS(INDEX(Table7[],,MATCH($G$6,Table7[#Headers],0)),Table7[MainSpaceHeatingFuel],B9)</f>
        <v>377</v>
      </c>
      <c r="H9" s="232">
        <f>SUMIFS(INDEX(Table7[],,MATCH($H$6,Table7[#Headers],0)),Table7[SupplSHFuelName],B9)</f>
        <v>0</v>
      </c>
      <c r="I9" s="232">
        <f>SUMIFS(INDEX(Table7[],,MATCH($I$6,Table7[#Headers],0)),Table7[SupplSHFuelName],B9)</f>
        <v>0</v>
      </c>
      <c r="J9" s="232">
        <f>SUMIFS(INDEX(Table7[],,MATCH($J$6,Table7[#Headers],0)),Table7[SupplSHFuelName],B9)</f>
        <v>0</v>
      </c>
      <c r="K9" s="261"/>
      <c r="L9" s="294" t="str">
        <f>_xlfn.TEXTJOIN(",",TRUE,IF(LEFT(Regions!$C$3,1)&lt;&gt;"*",Regions!$C$3,""),IF(LEFT(Regions!$D$3,1)&lt;&gt;"*",Regions!$D$3,""))</f>
        <v>IE,National</v>
      </c>
      <c r="M9" s="294" t="str">
        <f>LEFT(SETUP!$B$3,1)&amp;"-"&amp;SETUP!$B$50&amp;"_"&amp;RIGHT(COMM!$O$30,3)&amp;"_"&amp;RIGHT(O9,LEN(O9)-3)&amp;"_"&amp;SETUP!$B$64</f>
        <v>R-SH_Apt_ETH_X0</v>
      </c>
      <c r="N9" s="294" t="str">
        <f>COMM!P24&amp;" "&amp;COMM!F20&amp;" "&amp;SETUP!C64</f>
        <v>Residential Space Heating Apartment Ethanol to Residential Existing 00</v>
      </c>
      <c r="O9" s="294" t="str">
        <f>COMM!$E$20</f>
        <v>RSDETH</v>
      </c>
      <c r="P9" s="294"/>
      <c r="Q9" s="294" t="str">
        <f>COMM!O9&amp;","&amp;COMM!O12&amp;","&amp;COMM!O15&amp;","&amp;COMM!O18&amp;","&amp;COMM!O21&amp;","&amp;COMM!O24</f>
        <v>RSDSH_Apt-AB,RSDSH_Apt-C,RSDSH_Apt-D,RSDSH_Apt-E,RSDSH_Apt-F,RSDSH_Apt-G</v>
      </c>
      <c r="R9" s="389">
        <f>E9/SUM($E$7:$E$25)</f>
        <v>7.4186177631383719E-6</v>
      </c>
      <c r="S9" s="390">
        <f>R9*DwellingStocks!$I$28/1000</f>
        <v>1.5714107614469271E-3</v>
      </c>
      <c r="T9" s="391">
        <f>(S9*1000)/E9*DwellingStocks!$R$27</f>
        <v>1.1928833867748834</v>
      </c>
      <c r="U9" s="569">
        <f>IF((G9/100)&gt;1,0.9)</f>
        <v>0.9</v>
      </c>
      <c r="V9" s="569">
        <f t="shared" si="2"/>
        <v>0.12</v>
      </c>
      <c r="W9" s="393">
        <v>20</v>
      </c>
      <c r="X9" s="391">
        <f t="shared" si="3"/>
        <v>0.47304000000000002</v>
      </c>
      <c r="Y9" s="393"/>
      <c r="Z9" s="393"/>
      <c r="AA9" s="393"/>
      <c r="AB9" s="394">
        <f t="shared" si="0"/>
        <v>0</v>
      </c>
      <c r="AC9" s="394">
        <f>IF(((D9+I9)*$B$2)&lt;=0.1,0,((D9+I9)*T9*$B$2))</f>
        <v>0</v>
      </c>
      <c r="AD9" s="393">
        <v>15</v>
      </c>
      <c r="AE9" s="261"/>
      <c r="AF9" s="294" t="s">
        <v>266</v>
      </c>
      <c r="AG9" s="294" t="str">
        <f>_xlfn.TEXTJOIN(",",TRUE,IF(LEFT(Regions!$C$3,1)&lt;&gt;"*",Regions!$C$3,""),IF(LEFT(Regions!$D$3,1)&lt;&gt;"*",Regions!$D$3,""))</f>
        <v>IE,National</v>
      </c>
      <c r="AH9" s="294" t="str">
        <f t="shared" si="1"/>
        <v>R-SH_Apt_ETH_X0</v>
      </c>
      <c r="AI9" s="294" t="str">
        <f t="shared" si="1"/>
        <v>Residential Space Heating Apartment Ethanol to Residential Existing 00</v>
      </c>
      <c r="AJ9" s="294" t="s">
        <v>13</v>
      </c>
      <c r="AK9" s="294" t="s">
        <v>275</v>
      </c>
      <c r="AL9" s="294"/>
      <c r="AM9" s="294"/>
      <c r="AN9" s="261"/>
      <c r="AO9" s="261"/>
      <c r="AP9" s="261"/>
      <c r="AQ9" s="261"/>
      <c r="AR9" s="261"/>
    </row>
    <row r="10" spans="1:44">
      <c r="A10" s="261"/>
      <c r="B10" s="230" t="s">
        <v>425</v>
      </c>
      <c r="C10" s="233">
        <f>SUMIFS(INDEX(Table7[],,MATCH($C$6,Table7[#Headers],0)),Table7[MainSpaceHeatingFuel],B10)</f>
        <v>724066</v>
      </c>
      <c r="D10" s="233">
        <f>SUMIFS(INDEX(Table7[],,MATCH($D$6,Table7[#Headers],0)),Table7[MainSpaceHeatingFuel],B10)</f>
        <v>658242</v>
      </c>
      <c r="E10" s="233">
        <f>SUMIFS(INDEX(Table7[],,MATCH($E$6,Table7[#Headers],0)),Table7[MainSpaceHeatingFuel],B10)</f>
        <v>78</v>
      </c>
      <c r="F10" s="233">
        <f>SUMIFS(INDEX(Table7[],,MATCH($F$6,Table7[#Headers],0)),Table7[MainSpaceHeatingFuel],B10)</f>
        <v>6250</v>
      </c>
      <c r="G10" s="233">
        <f>AVERAGEIFS(INDEX(Table7[],,MATCH($G$6,Table7[#Headers],0)),Table7[MainSpaceHeatingFuel],B10)</f>
        <v>80.333333333333329</v>
      </c>
      <c r="H10" s="233">
        <f>SUMIFS(INDEX(Table7[],,MATCH($H$6,Table7[#Headers],0)),Table7[SupplSHFuelName],B10)</f>
        <v>476323</v>
      </c>
      <c r="I10" s="233">
        <f>SUMIFS(INDEX(Table7[],,MATCH($I$6,Table7[#Headers],0)),Table7[SupplSHFuelName],B10)</f>
        <v>433020</v>
      </c>
      <c r="J10" s="233">
        <f>SUMIFS(INDEX(Table7[],,MATCH($J$6,Table7[#Headers],0)),Table7[SupplSHFuelName],B10)</f>
        <v>142</v>
      </c>
      <c r="K10" s="261"/>
      <c r="L10" s="26" t="str">
        <f>_xlfn.TEXTJOIN(",",TRUE,IF(LEFT(Regions!$C$3,1)&lt;&gt;"*",Regions!$C$3,""),IF(LEFT(Regions!$D$3,1)&lt;&gt;"*",Regions!$D$3,""))</f>
        <v>IE,National</v>
      </c>
      <c r="M10" s="26" t="str">
        <f>LEFT(SETUP!$B$3,1)&amp;"-"&amp;SETUP!$B$50&amp;"_"&amp;RIGHT(COMM!$O$30,3)&amp;"_"&amp;RIGHT(O10,LEN(O10)-3)&amp;"_"&amp;SETUP!$B$64</f>
        <v>R-SH_Apt_LPG_X0</v>
      </c>
      <c r="N10" s="26" t="str">
        <f>COMM!P24&amp;" "&amp;COMM!F8&amp;" "&amp;SETUP!C64</f>
        <v>Residential Space Heating Apartment LPG to Residential Existing 00</v>
      </c>
      <c r="O10" s="26" t="str">
        <f>COMM!$E$8</f>
        <v>RSDLPG</v>
      </c>
      <c r="P10" s="26"/>
      <c r="Q10" s="26" t="str">
        <f>COMM!O9&amp;","&amp;COMM!O12&amp;","&amp;COMM!O15&amp;","&amp;COMM!O18&amp;","&amp;COMM!O21&amp;","&amp;COMM!O24</f>
        <v>RSDSH_Apt-AB,RSDSH_Apt-C,RSDSH_Apt-D,RSDSH_Apt-E,RSDSH_Apt-F,RSDSH_Apt-G</v>
      </c>
      <c r="R10" s="396">
        <f>(E10+E11)/SUM($E$7:$E$25)</f>
        <v>1.4139885456541736E-2</v>
      </c>
      <c r="S10" s="397">
        <f>(R10)*DwellingStocks!$I$28/1000</f>
        <v>2.9951089113178426</v>
      </c>
      <c r="T10" s="398">
        <f>(S10*1000)/(E10+E11)*DwellingStocks!$R$27+0.5284</f>
        <v>1.7212833867748834</v>
      </c>
      <c r="U10" s="571">
        <f>(G10+G11)/200</f>
        <v>0.80677902621722841</v>
      </c>
      <c r="V10" s="569">
        <f t="shared" si="2"/>
        <v>0.12</v>
      </c>
      <c r="W10" s="399">
        <v>20</v>
      </c>
      <c r="X10" s="567">
        <f t="shared" si="3"/>
        <v>0.47304000000000002</v>
      </c>
      <c r="Y10" s="399"/>
      <c r="Z10" s="399"/>
      <c r="AA10" s="399"/>
      <c r="AB10" s="400">
        <f t="shared" si="0"/>
        <v>0</v>
      </c>
      <c r="AC10" s="401">
        <f>IF(((D10+I10+D11+I11)*T10*$B$2)&lt;=0.1,0,((D10+I10+D11+I11)*T10*$B$2))</f>
        <v>0</v>
      </c>
      <c r="AD10" s="563">
        <v>15</v>
      </c>
      <c r="AE10" s="261"/>
      <c r="AF10" s="26" t="s">
        <v>266</v>
      </c>
      <c r="AG10" s="26" t="str">
        <f>_xlfn.TEXTJOIN(",",TRUE,IF(LEFT(Regions!$C$3,1)&lt;&gt;"*",Regions!$C$3,""),IF(LEFT(Regions!$D$3,1)&lt;&gt;"*",Regions!$D$3,""))</f>
        <v>IE,National</v>
      </c>
      <c r="AH10" s="26" t="str">
        <f t="shared" si="1"/>
        <v>R-SH_Apt_LPG_X0</v>
      </c>
      <c r="AI10" s="26" t="str">
        <f t="shared" si="1"/>
        <v>Residential Space Heating Apartment LPG to Residential Existing 00</v>
      </c>
      <c r="AJ10" s="26" t="s">
        <v>13</v>
      </c>
      <c r="AK10" s="26" t="s">
        <v>275</v>
      </c>
      <c r="AL10" s="26"/>
      <c r="AM10" s="26"/>
      <c r="AN10" s="261"/>
      <c r="AO10" s="261"/>
      <c r="AP10" s="261"/>
      <c r="AQ10" s="261"/>
      <c r="AR10" s="261"/>
    </row>
    <row r="11" spans="1:44">
      <c r="A11" s="261"/>
      <c r="B11" s="231" t="s">
        <v>405</v>
      </c>
      <c r="C11" s="232">
        <f>SUMIFS(INDEX(Table7[],,MATCH($C$6,Table7[#Headers],0)),Table7[MainSpaceHeatingFuel],B11)</f>
        <v>13118754</v>
      </c>
      <c r="D11" s="232">
        <f>SUMIFS(INDEX(Table7[],,MATCH($D$6,Table7[#Headers],0)),Table7[MainSpaceHeatingFuel],B11)</f>
        <v>11926135</v>
      </c>
      <c r="E11" s="232">
        <f>SUMIFS(INDEX(Table7[],,MATCH($E$6,Table7[#Headers],0)),Table7[MainSpaceHeatingFuel],B11)</f>
        <v>1828</v>
      </c>
      <c r="F11" s="232">
        <f>SUMIFS(INDEX(Table7[],,MATCH($F$6,Table7[#Headers],0)),Table7[MainSpaceHeatingFuel],B11)</f>
        <v>138835</v>
      </c>
      <c r="G11" s="232">
        <f>AVERAGEIFS(INDEX(Table7[],,MATCH($G$6,Table7[#Headers],0)),Table7[MainSpaceHeatingFuel],B11)</f>
        <v>81.022471910112358</v>
      </c>
      <c r="H11" s="232">
        <f>SUMIFS(INDEX(Table7[],,MATCH($H$6,Table7[#Headers],0)),Table7[SupplSHFuelName],B11)</f>
        <v>507217</v>
      </c>
      <c r="I11" s="232">
        <f>SUMIFS(INDEX(Table7[],,MATCH($I$6,Table7[#Headers],0)),Table7[SupplSHFuelName],B11)</f>
        <v>461105</v>
      </c>
      <c r="J11" s="232">
        <f>SUMIFS(INDEX(Table7[],,MATCH($J$6,Table7[#Headers],0)),Table7[SupplSHFuelName],B11)</f>
        <v>229</v>
      </c>
      <c r="K11" s="261"/>
      <c r="L11" s="294" t="str">
        <f>_xlfn.TEXTJOIN(",",TRUE,IF(LEFT(Regions!$C$3,1)&lt;&gt;"*",Regions!$C$3,""),IF(LEFT(Regions!$D$3,1)&lt;&gt;"*",Regions!$D$3,""))</f>
        <v>IE,National</v>
      </c>
      <c r="M11" s="294" t="str">
        <f>LEFT(SETUP!$B$3,1)&amp;"-"&amp;SETUP!$B$50&amp;"_"&amp;RIGHT(COMM!$O$30,3)&amp;"_"&amp;RIGHT(O11,LEN(O11)-3)&amp;"_"&amp;SETUP!$B$64</f>
        <v>R-SH_Apt_ELC_X0</v>
      </c>
      <c r="N11" s="294" t="str">
        <f>COMM!P24&amp;" "&amp;COMM!F24&amp;" "&amp;SETUP!C64</f>
        <v>Residential Space Heating Apartment Electricity to Residential Existing 00</v>
      </c>
      <c r="O11" s="294" t="str">
        <f>COMM!$E$24</f>
        <v>RSDELC</v>
      </c>
      <c r="P11" s="294"/>
      <c r="Q11" s="294" t="str">
        <f>COMM!O9&amp;","&amp;COMM!O12&amp;","&amp;COMM!O15&amp;","&amp;COMM!O18&amp;","&amp;COMM!O21&amp;","&amp;COMM!O24</f>
        <v>RSDSH_Apt-AB,RSDSH_Apt-C,RSDSH_Apt-D,RSDSH_Apt-E,RSDSH_Apt-F,RSDSH_Apt-G</v>
      </c>
      <c r="R11" s="389">
        <f>(ArchetypeDemand!Y50*SUM(E12+E25))/SUM($E$7:$E$25)</f>
        <v>0.32462892073948779</v>
      </c>
      <c r="S11" s="390">
        <f>(R11)*DwellingStocks!$I$28/1000</f>
        <v>68.762860658712412</v>
      </c>
      <c r="T11" s="391">
        <f>(S11*1000)/(E25)*DwellingStocks!$R$27-0.67619</f>
        <v>0.70575965580849165</v>
      </c>
      <c r="U11" s="569">
        <f>(G25)/100</f>
        <v>1</v>
      </c>
      <c r="V11" s="569">
        <f t="shared" si="2"/>
        <v>1.3931119040234956E-2</v>
      </c>
      <c r="W11" s="393">
        <v>20</v>
      </c>
      <c r="X11" s="391">
        <f t="shared" si="3"/>
        <v>0.47304000000000002</v>
      </c>
      <c r="Y11" s="393"/>
      <c r="Z11" s="393"/>
      <c r="AA11" s="393"/>
      <c r="AB11" s="394">
        <f t="shared" si="0"/>
        <v>0.45314563930634366</v>
      </c>
      <c r="AC11" s="394">
        <f>IF(((D25+I25)*T11*$B$2)&lt;=0.1,0,((D25+I25)*T11*$B$2))</f>
        <v>0.45314563930634366</v>
      </c>
      <c r="AD11" s="393">
        <v>15</v>
      </c>
      <c r="AE11" s="261"/>
      <c r="AF11" s="294" t="s">
        <v>266</v>
      </c>
      <c r="AG11" s="294" t="str">
        <f>_xlfn.TEXTJOIN(",",TRUE,IF(LEFT(Regions!$C$3,1)&lt;&gt;"*",Regions!$C$3,""),IF(LEFT(Regions!$D$3,1)&lt;&gt;"*",Regions!$D$3,""))</f>
        <v>IE,National</v>
      </c>
      <c r="AH11" s="294" t="str">
        <f t="shared" si="1"/>
        <v>R-SH_Apt_ELC_X0</v>
      </c>
      <c r="AI11" s="294" t="str">
        <f t="shared" si="1"/>
        <v>Residential Space Heating Apartment Electricity to Residential Existing 00</v>
      </c>
      <c r="AJ11" s="294" t="s">
        <v>13</v>
      </c>
      <c r="AK11" s="294" t="s">
        <v>275</v>
      </c>
      <c r="AL11" s="294"/>
      <c r="AM11" s="294"/>
      <c r="AN11" s="261"/>
      <c r="AO11" s="261"/>
      <c r="AP11" s="261"/>
      <c r="AQ11" s="261"/>
      <c r="AR11" s="261"/>
    </row>
    <row r="12" spans="1:44">
      <c r="A12" s="387" t="s">
        <v>652</v>
      </c>
      <c r="B12" s="230" t="s">
        <v>137</v>
      </c>
      <c r="C12" s="233">
        <f>SUMIFS(INDEX(Table7[],,MATCH($C$6,Table7[#Headers],0)),Table7[MainSpaceHeatingFuel],B12, Table7[Avg. HSMainSystemEfficiency],"&gt;100")</f>
        <v>159968942</v>
      </c>
      <c r="D12" s="233">
        <f>SUMIFS(INDEX(Table7[],,MATCH($D$6,Table7[#Headers],0)),Table7[MainSpaceHeatingFuel],B12,Table7[Avg. HSMainSystemEfficiency],"&gt;100")</f>
        <v>59247757</v>
      </c>
      <c r="E12" s="233">
        <f>SUMIFS(INDEX(Table7[],,MATCH($E$6,Table7[#Headers],0)),Table7[MainSpaceHeatingFuel],B12,Table7[Avg. HSMainSystemEfficiency],"&gt;100")</f>
        <v>26579</v>
      </c>
      <c r="F12" s="233">
        <f>SUMIFS(INDEX(Table7[],,MATCH($F$6,Table7[#Headers],0)),Table7[MainSpaceHeatingFuel],B12,Table7[Avg. HSMainSystemEfficiency],"&gt;100")</f>
        <v>1854591</v>
      </c>
      <c r="G12" s="233">
        <f>AVERAGEIFS(INDEX(Table7[],,MATCH($G$6,Table7[#Headers],0)),Table7[MainSpaceHeatingFuel],B12,Table7[Avg. HSMainSystemEfficiency],"&gt;100")</f>
        <v>307.01960784313724</v>
      </c>
      <c r="H12" s="233">
        <f>SUMIFS(INDEX(Table7[],,MATCH($H$6,Table7[#Headers],0)),Table7[SupplSHFuelName],B12,Table7[Avg. HSMainSystemEfficiency],"&gt;100")</f>
        <v>11723066</v>
      </c>
      <c r="I12" s="233">
        <f>SUMIFS(INDEX(Table7[],,MATCH($I$6,Table7[#Headers],0)),Table7[SupplSHFuelName],B12,Table7[Avg. HSMainSystemEfficiency],"&gt;100")</f>
        <v>4341876</v>
      </c>
      <c r="J12" s="233">
        <f>SUMIFS(INDEX(Table7[],,MATCH($J$6,Table7[#Headers],0)),Table7[SupplSHFuelName],B12,Table7[Avg. HSMainSystemEfficiency],"&gt;100")</f>
        <v>12911</v>
      </c>
      <c r="K12" s="261"/>
      <c r="L12" s="26" t="str">
        <f>_xlfn.TEXTJOIN(",",TRUE,IF(LEFT(Regions!$C$3,1)&lt;&gt;"*",Regions!$C$3,""),IF(LEFT(Regions!$D$3,1)&lt;&gt;"*",Regions!$D$3,""))</f>
        <v>IE,National</v>
      </c>
      <c r="M12" s="26" t="str">
        <f>LEFT(SETUP!$B$3,1)&amp;"-"&amp;SETUP!$B$50&amp;"_"&amp;RIGHT(COMM!$O$30,3)&amp;"_"&amp;RIGHT(O12,LEN(O12)-3)&amp;"_"&amp;SETUP!$B$65</f>
        <v>R-SH_Apt_ELC_X1</v>
      </c>
      <c r="N12" s="26" t="str">
        <f>COMM!P24&amp;" "&amp;COMM!F24&amp;" "&amp;SETUP!C65</f>
        <v>Residential Space Heating Apartment Electricity to Residential Existing 01</v>
      </c>
      <c r="O12" s="26" t="str">
        <f>COMM!$E$24</f>
        <v>RSDELC</v>
      </c>
      <c r="P12" s="26"/>
      <c r="Q12" s="26" t="str">
        <f>COMM!O9&amp;","&amp;COMM!O12&amp;","&amp;COMM!O15&amp;","&amp;COMM!O18&amp;","&amp;COMM!O21&amp;","&amp;COMM!O24</f>
        <v>RSDSH_Apt-AB,RSDSH_Apt-C,RSDSH_Apt-D,RSDSH_Apt-E,RSDSH_Apt-F,RSDSH_Apt-G</v>
      </c>
      <c r="R12" s="396">
        <f>(ArchetypeDemand!Z50*SUM(E12+E25))/SUM($E$7:$E$25)</f>
        <v>0.15276655093622957</v>
      </c>
      <c r="S12" s="397">
        <f>R12*DwellingStocks!$I$28/1000</f>
        <v>32.358993251158786</v>
      </c>
      <c r="T12" s="398">
        <f>((S12)*1000)/E12*DwellingStocks!$R$27+0.392</f>
        <v>1.3161971640450041</v>
      </c>
      <c r="U12" s="571">
        <f>G12/100</f>
        <v>3.0701960784313722</v>
      </c>
      <c r="V12" s="569">
        <f t="shared" si="2"/>
        <v>0.18130269923092618</v>
      </c>
      <c r="W12" s="399">
        <v>20</v>
      </c>
      <c r="X12" s="567">
        <f t="shared" si="3"/>
        <v>0.15768000000000001</v>
      </c>
      <c r="Y12" s="399"/>
      <c r="Z12" s="399"/>
      <c r="AA12" s="399"/>
      <c r="AB12" s="400">
        <f>AC12*U12</f>
        <v>0.92507273838853943</v>
      </c>
      <c r="AC12" s="401">
        <f>IF(((D12+I12)*T12*$B$2)&lt;=0.1,0,((D12+I12)*T12*$B$2))</f>
        <v>0.30130738062214535</v>
      </c>
      <c r="AD12" s="563">
        <v>5</v>
      </c>
      <c r="AE12" s="261"/>
      <c r="AF12" s="26" t="s">
        <v>266</v>
      </c>
      <c r="AG12" s="26" t="str">
        <f>_xlfn.TEXTJOIN(",",TRUE,IF(LEFT(Regions!$C$3,1)&lt;&gt;"*",Regions!$C$3,""),IF(LEFT(Regions!$D$3,1)&lt;&gt;"*",Regions!$D$3,""))</f>
        <v>IE,National</v>
      </c>
      <c r="AH12" s="26" t="str">
        <f t="shared" si="1"/>
        <v>R-SH_Apt_ELC_X1</v>
      </c>
      <c r="AI12" s="26" t="str">
        <f t="shared" si="1"/>
        <v>Residential Space Heating Apartment Electricity to Residential Existing 01</v>
      </c>
      <c r="AJ12" s="26" t="s">
        <v>13</v>
      </c>
      <c r="AK12" s="26" t="s">
        <v>275</v>
      </c>
      <c r="AL12" s="26"/>
      <c r="AM12" s="26"/>
      <c r="AN12" s="261"/>
      <c r="AO12" s="261"/>
      <c r="AP12" s="261"/>
      <c r="AQ12" s="261"/>
      <c r="AR12" s="261"/>
    </row>
    <row r="13" spans="1:44">
      <c r="A13" s="261"/>
      <c r="B13" s="231" t="s">
        <v>406</v>
      </c>
      <c r="C13" s="232">
        <f>SUMIFS(INDEX(Table7[],,MATCH($C$6,Table7[#Headers],0)),Table7[MainSpaceHeatingFuel],B13)</f>
        <v>61063130</v>
      </c>
      <c r="D13" s="232">
        <f>SUMIFS(INDEX(Table7[],,MATCH($D$6,Table7[#Headers],0)),Table7[MainSpaceHeatingFuel],B13)</f>
        <v>55511928</v>
      </c>
      <c r="E13" s="232">
        <f>SUMIFS(INDEX(Table7[],,MATCH($E$6,Table7[#Headers],0)),Table7[MainSpaceHeatingFuel],B13)</f>
        <v>3923</v>
      </c>
      <c r="F13" s="232">
        <f>SUMIFS(INDEX(Table7[],,MATCH($F$6,Table7[#Headers],0)),Table7[MainSpaceHeatingFuel],B13)</f>
        <v>410591</v>
      </c>
      <c r="G13" s="232">
        <f>AVERAGEIFS(INDEX(Table7[],,MATCH($G$6,Table7[#Headers],0)),Table7[MainSpaceHeatingFuel],B13)</f>
        <v>81.016216216216222</v>
      </c>
      <c r="H13" s="232">
        <f>SUMIFS(INDEX(Table7[],,MATCH($H$6,Table7[#Headers],0)),Table7[SupplSHFuelName],"*Oil*")</f>
        <v>345322</v>
      </c>
      <c r="I13" s="232">
        <f>SUMIFS(INDEX(Table7[],,MATCH($I$6,Table7[#Headers],0)),Table7[SupplSHFuelName],"*Oil*")</f>
        <v>313932</v>
      </c>
      <c r="J13" s="232">
        <f>SUMIFS(INDEX(Table7[],,MATCH($J$6,Table7[#Headers],0)),Table7[SupplSHFuelName],"*Oil*")</f>
        <v>106</v>
      </c>
      <c r="K13" s="261"/>
      <c r="L13" s="294" t="str">
        <f>_xlfn.TEXTJOIN(",",TRUE,IF(LEFT(Regions!$C$3,1)&lt;&gt;"*",Regions!$C$3,""),IF(LEFT(Regions!$D$3,1)&lt;&gt;"*",Regions!$D$3,""))</f>
        <v>IE,National</v>
      </c>
      <c r="M13" s="294"/>
      <c r="N13" s="294"/>
      <c r="O13" s="294"/>
      <c r="P13" s="294" t="str">
        <f>COMM!$E$19</f>
        <v>RSDAHT</v>
      </c>
      <c r="Q13" s="294"/>
      <c r="R13" s="389"/>
      <c r="S13" s="390"/>
      <c r="T13" s="444"/>
      <c r="U13" s="569"/>
      <c r="V13" s="569"/>
      <c r="W13" s="393"/>
      <c r="X13" s="391">
        <f t="shared" si="3"/>
        <v>0.31536000000000003</v>
      </c>
      <c r="Y13" s="393"/>
      <c r="Z13" s="393"/>
      <c r="AA13" s="394">
        <f>AC13/AB12</f>
        <v>0.23179397146960065</v>
      </c>
      <c r="AB13" s="394"/>
      <c r="AC13" s="394">
        <f>RSD_Balance!F22</f>
        <v>0.21442628392933846</v>
      </c>
      <c r="AD13" s="393">
        <v>10</v>
      </c>
      <c r="AF13" s="405" t="s">
        <v>254</v>
      </c>
      <c r="AG13" s="405"/>
      <c r="AH13" s="402"/>
      <c r="AI13" s="402"/>
      <c r="AJ13" s="402"/>
      <c r="AK13" s="402"/>
      <c r="AL13" s="402"/>
      <c r="AM13" s="402"/>
      <c r="AN13" s="261"/>
      <c r="AO13" s="261"/>
      <c r="AP13" s="261"/>
      <c r="AQ13" s="261"/>
      <c r="AR13" s="261"/>
    </row>
    <row r="14" spans="1:44">
      <c r="A14" s="261"/>
      <c r="B14" s="230" t="s">
        <v>427</v>
      </c>
      <c r="C14" s="233">
        <f>SUMIFS(INDEX(Table7[],,MATCH($C$6,Table7[#Headers],0)),Table7[MainSpaceHeatingFuel],B14)</f>
        <v>1662300</v>
      </c>
      <c r="D14" s="233">
        <f>SUMIFS(INDEX(Table7[],,MATCH($D$6,Table7[#Headers],0)),Table7[MainSpaceHeatingFuel],B14)</f>
        <v>1511181</v>
      </c>
      <c r="E14" s="233">
        <f>SUMIFS(INDEX(Table7[],,MATCH($E$6,Table7[#Headers],0)),Table7[MainSpaceHeatingFuel],B14)</f>
        <v>69</v>
      </c>
      <c r="F14" s="233">
        <f>SUMIFS(INDEX(Table7[],,MATCH($F$6,Table7[#Headers],0)),Table7[MainSpaceHeatingFuel],B14)</f>
        <v>4641</v>
      </c>
      <c r="G14" s="233">
        <f>AVERAGEIFS(INDEX(Table7[],,MATCH($G$6,Table7[#Headers],0)),Table7[MainSpaceHeatingFuel],B14)</f>
        <v>50.92307692307692</v>
      </c>
      <c r="H14" s="233">
        <f>SUMIFS(INDEX(Table7[],,MATCH($H$6,Table7[#Headers],0)),Table7[SupplSHFuelName],B14)</f>
        <v>3038254</v>
      </c>
      <c r="I14" s="233">
        <f>SUMIFS(INDEX(Table7[],,MATCH($I$6,Table7[#Headers],0)),Table7[SupplSHFuelName],B14)</f>
        <v>2762048</v>
      </c>
      <c r="J14" s="233">
        <f>SUMIFS(INDEX(Table7[],,MATCH($J$6,Table7[#Headers],0)),Table7[SupplSHFuelName],B14)</f>
        <v>1165</v>
      </c>
      <c r="K14" s="261"/>
      <c r="L14" s="26" t="str">
        <f>_xlfn.TEXTJOIN(",",TRUE,IF(LEFT(Regions!$C$3,1)&lt;&gt;"*",Regions!$C$3,""),IF(LEFT(Regions!$D$3,1)&lt;&gt;"*",Regions!$D$3,""))</f>
        <v>IE,National</v>
      </c>
      <c r="M14" s="26" t="str">
        <f>LEFT(SETUP!$B$3,1)&amp;"-"&amp;SETUP!$B$50&amp;"_"&amp;RIGHT(COMM!$O$30,3)&amp;"_"&amp;RIGHT(O14,LEN(O14)-3)&amp;"_"&amp;SETUP!$B$64</f>
        <v>R-SH_Apt_KER_X0</v>
      </c>
      <c r="N14" s="26" t="str">
        <f>COMM!P24&amp;" "&amp;COMM!F10&amp;" "&amp;SETUP!C64</f>
        <v>Residential Space Heating Apartment Kerosene to Residential Existing 00</v>
      </c>
      <c r="O14" s="26" t="str">
        <f>COMM!$E$10</f>
        <v>RSDKER</v>
      </c>
      <c r="P14" s="26"/>
      <c r="Q14" s="26" t="str">
        <f>COMM!O9&amp;","&amp;COMM!O12&amp;","&amp;COMM!O15&amp;","&amp;COMM!O18&amp;","&amp;COMM!O21&amp;","&amp;COMM!O24</f>
        <v>RSDSH_Apt-AB,RSDSH_Apt-C,RSDSH_Apt-D,RSDSH_Apt-E,RSDSH_Apt-F,RSDSH_Apt-G</v>
      </c>
      <c r="R14" s="396">
        <f>E13/SUM($E$7:$E$25)</f>
        <v>2.9103237484791832E-2</v>
      </c>
      <c r="S14" s="397">
        <f>R14*DwellingStocks!$I$28/1000</f>
        <v>6.1646444171562944</v>
      </c>
      <c r="T14" s="398">
        <f>(S14*1000)/E13*DwellingStocks!$R$27</f>
        <v>1.1928833867748834</v>
      </c>
      <c r="U14" s="571">
        <f>G13/100</f>
        <v>0.81016216216216219</v>
      </c>
      <c r="V14" s="569">
        <f>IF(AB14/S14/X14=0,0.12,AB14/S14/X14)</f>
        <v>6.660425456369494E-2</v>
      </c>
      <c r="W14" s="399">
        <v>20</v>
      </c>
      <c r="X14" s="567">
        <f>31.536*(AD14/1000)</f>
        <v>0.47304000000000002</v>
      </c>
      <c r="Y14" s="399"/>
      <c r="Z14" s="399"/>
      <c r="AA14" s="399"/>
      <c r="AB14" s="400">
        <f>AC14*U14</f>
        <v>0.19422622494582817</v>
      </c>
      <c r="AC14" s="401">
        <f>IF(((D13+I13)*$B$2)&lt;=0.1,0,((D13+I13)*T14*$B$2))</f>
        <v>0.23973746740711377</v>
      </c>
      <c r="AD14" s="563">
        <v>15</v>
      </c>
      <c r="AE14" s="261"/>
      <c r="AF14" s="294" t="s">
        <v>266</v>
      </c>
      <c r="AG14" s="294" t="str">
        <f>_xlfn.TEXTJOIN(",",TRUE,IF(LEFT(Regions!$C$3,1)&lt;&gt;"*",Regions!$C$3,""),IF(LEFT(Regions!$D$3,1)&lt;&gt;"*",Regions!$D$3,""))</f>
        <v>IE,National</v>
      </c>
      <c r="AH14" s="294" t="str">
        <f>M14</f>
        <v>R-SH_Apt_KER_X0</v>
      </c>
      <c r="AI14" s="294" t="str">
        <f>N14</f>
        <v>Residential Space Heating Apartment Kerosene to Residential Existing 00</v>
      </c>
      <c r="AJ14" s="294" t="s">
        <v>13</v>
      </c>
      <c r="AK14" s="294" t="s">
        <v>275</v>
      </c>
      <c r="AL14" s="294"/>
      <c r="AM14" s="294"/>
      <c r="AN14" s="261"/>
      <c r="AO14" s="261"/>
      <c r="AP14" s="261"/>
      <c r="AQ14" s="261"/>
    </row>
    <row r="15" spans="1:44" ht="15" customHeight="1">
      <c r="A15" s="261"/>
      <c r="B15" s="231" t="s">
        <v>407</v>
      </c>
      <c r="C15" s="232">
        <f>SUMIFS(INDEX(Table7[],,MATCH($C$6,Table7[#Headers],0)),Table7[MainSpaceHeatingFuel],B15)</f>
        <v>315039697</v>
      </c>
      <c r="D15" s="232">
        <f>SUMIFS(INDEX(Table7[],,MATCH($D$6,Table7[#Headers],0)),Table7[MainSpaceHeatingFuel],B15)</f>
        <v>286399724</v>
      </c>
      <c r="E15" s="232">
        <f>SUMIFS(INDEX(Table7[],,MATCH($E$6,Table7[#Headers],0)),Table7[MainSpaceHeatingFuel],B15)</f>
        <v>54915</v>
      </c>
      <c r="F15" s="232">
        <f>SUMIFS(INDEX(Table7[],,MATCH($F$6,Table7[#Headers],0)),Table7[MainSpaceHeatingFuel],B15)</f>
        <v>4054596</v>
      </c>
      <c r="G15" s="232">
        <f>AVERAGEIFS(INDEX(Table7[],,MATCH($G$6,Table7[#Headers],0)),Table7[MainSpaceHeatingFuel],B15)</f>
        <v>81.026881720430111</v>
      </c>
      <c r="H15" s="232">
        <f>SUMIFS(INDEX(Table7[],,MATCH($H$6,Table7[#Headers],0)),Table7[SupplSHFuelName],B15)</f>
        <v>15554405</v>
      </c>
      <c r="I15" s="232">
        <f>SUMIFS(INDEX(Table7[],,MATCH($I$6,Table7[#Headers],0)),Table7[SupplSHFuelName],B15)</f>
        <v>14140368</v>
      </c>
      <c r="J15" s="232">
        <f>SUMIFS(INDEX(Table7[],,MATCH($J$6,Table7[#Headers],0)),Table7[SupplSHFuelName],B15)</f>
        <v>9688</v>
      </c>
      <c r="K15" s="261"/>
      <c r="L15" s="508" t="s">
        <v>254</v>
      </c>
      <c r="M15" s="508" t="s">
        <v>254</v>
      </c>
      <c r="N15" s="402"/>
      <c r="O15" s="402"/>
      <c r="P15" s="402"/>
      <c r="Q15" s="403"/>
      <c r="R15" s="404"/>
      <c r="S15" s="402"/>
      <c r="T15" s="404"/>
      <c r="U15" s="573"/>
      <c r="V15" s="573"/>
      <c r="W15" s="402"/>
      <c r="X15" s="564"/>
      <c r="Y15" s="402"/>
      <c r="Z15" s="402"/>
      <c r="AA15" s="402"/>
      <c r="AB15" s="402"/>
      <c r="AC15" s="402"/>
      <c r="AD15" s="565"/>
      <c r="AE15"/>
      <c r="AF15" s="405" t="s">
        <v>254</v>
      </c>
      <c r="AG15" s="405"/>
      <c r="AH15" s="402"/>
      <c r="AI15" s="402"/>
      <c r="AJ15" s="402"/>
      <c r="AK15" s="402"/>
      <c r="AL15" s="402"/>
      <c r="AM15" s="402"/>
      <c r="AN15" s="261"/>
      <c r="AO15" s="261"/>
      <c r="AP15" s="261"/>
      <c r="AQ15" s="261"/>
      <c r="AR15" s="261"/>
    </row>
    <row r="16" spans="1:44">
      <c r="A16" s="261"/>
      <c r="B16" s="230" t="s">
        <v>579</v>
      </c>
      <c r="C16" s="233">
        <f>SUMIFS(INDEX(Table7[],,MATCH($C$6,Table7[#Headers],0)),Table7[MainSpaceHeatingFuel],B16)</f>
        <v>3742319</v>
      </c>
      <c r="D16" s="233">
        <f>SUMIFS(INDEX(Table7[],,MATCH($D$6,Table7[#Headers],0)),Table7[MainSpaceHeatingFuel],B16)</f>
        <v>3118600</v>
      </c>
      <c r="E16" s="233">
        <f>SUMIFS(INDEX(Table7[],,MATCH($E$6,Table7[#Headers],0)),Table7[MainSpaceHeatingFuel],B16)</f>
        <v>220</v>
      </c>
      <c r="F16" s="233">
        <f>SUMIFS(INDEX(Table7[],,MATCH($F$6,Table7[#Headers],0)),Table7[MainSpaceHeatingFuel],B16)</f>
        <v>12466</v>
      </c>
      <c r="G16" s="233">
        <f>AVERAGEIFS(INDEX(Table7[],,MATCH($G$6,Table7[#Headers],0)),Table7[MainSpaceHeatingFuel],B16)</f>
        <v>49.133333333333333</v>
      </c>
      <c r="H16" s="233">
        <f>SUMIFS(INDEX(Table7[],,MATCH($H$6,Table7[#Headers],0)),Table7[SupplSHFuelName],B16)</f>
        <v>13348732</v>
      </c>
      <c r="I16" s="233">
        <f>SUMIFS(INDEX(Table7[],,MATCH($I$6,Table7[#Headers],0)),Table7[SupplSHFuelName],B16)</f>
        <v>11123947</v>
      </c>
      <c r="J16" s="233">
        <f>SUMIFS(INDEX(Table7[],,MATCH($J$6,Table7[#Headers],0)),Table7[SupplSHFuelName],B16)</f>
        <v>5161</v>
      </c>
      <c r="K16" s="261"/>
      <c r="L16" s="26" t="str">
        <f>_xlfn.TEXTJOIN(",",TRUE,IF(LEFT(Regions!$C$3,1)&lt;&gt;"*",Regions!$C$3,""),IF(LEFT(Regions!$D$3,1)&lt;&gt;"*",Regions!$D$3,""))</f>
        <v>IE,National</v>
      </c>
      <c r="M16" s="26" t="str">
        <f>LEFT(SETUP!$B$3,1)&amp;"-"&amp;SETUP!$B$50&amp;"_"&amp;RIGHT(COMM!$O$30,3)&amp;"_"&amp;MID(O16,4,3)&amp;"_"&amp;SETUP!$B$64</f>
        <v>R-SH_Apt_GAS_X0</v>
      </c>
      <c r="N16" s="26" t="str">
        <f>COMM!P24&amp;" "&amp;COMM!F14&amp;" "&amp;SETUP!C64</f>
        <v>Residential Space Heating Apartment Natural Gas to Residential Existing 00</v>
      </c>
      <c r="O16" s="26" t="str">
        <f>COMM!$E$14</f>
        <v>RSDGAS</v>
      </c>
      <c r="P16" s="26"/>
      <c r="Q16" s="26" t="str">
        <f>COMM!O9&amp;","&amp;COMM!O12&amp;","&amp;COMM!O15&amp;","&amp;COMM!O18&amp;","&amp;COMM!O21&amp;","&amp;COMM!O24</f>
        <v>RSDSH_Apt-AB,RSDSH_Apt-C,RSDSH_Apt-D,RSDSH_Apt-E,RSDSH_Apt-F,RSDSH_Apt-G</v>
      </c>
      <c r="R16" s="598">
        <f>E15/SUM($E$7:$E$25)</f>
        <v>0.4073933944627437</v>
      </c>
      <c r="S16" s="397">
        <f>R16*DwellingStocks!$I$28/1000</f>
        <v>86.29402196485799</v>
      </c>
      <c r="T16" s="398">
        <f>(S16*1000)/E15*DwellingStocks!$R$27</f>
        <v>1.1928833867748834</v>
      </c>
      <c r="U16" s="571">
        <f>G15/100</f>
        <v>0.81026881720430111</v>
      </c>
      <c r="V16" s="569">
        <f>IF(AB16/S16/X16=0,0.12,AB16/S16/X16)</f>
        <v>2.5618485673577367E-2</v>
      </c>
      <c r="W16" s="399">
        <v>20</v>
      </c>
      <c r="X16" s="567">
        <f>31.536*(AD16/1000)</f>
        <v>0.47304000000000002</v>
      </c>
      <c r="Y16" s="399"/>
      <c r="Z16" s="399"/>
      <c r="AA16" s="399"/>
      <c r="AB16" s="400">
        <f>AC16*U16</f>
        <v>1.0457600131312632</v>
      </c>
      <c r="AC16" s="401">
        <f>IF(((D15+I15)*$B$2)&lt;=0.1,0,((D15+I15)*T16*$B$2))</f>
        <v>1.290633418103742</v>
      </c>
      <c r="AD16" s="563">
        <v>15</v>
      </c>
      <c r="AE16"/>
      <c r="AF16" s="294" t="s">
        <v>266</v>
      </c>
      <c r="AG16" s="294" t="str">
        <f>_xlfn.TEXTJOIN(",",TRUE,IF(LEFT(Regions!$C$3,1)&lt;&gt;"*",Regions!$C$3,""),IF(LEFT(Regions!$D$3,1)&lt;&gt;"*",Regions!$D$3,""))</f>
        <v>IE,National</v>
      </c>
      <c r="AH16" s="294" t="str">
        <f>M16</f>
        <v>R-SH_Apt_GAS_X0</v>
      </c>
      <c r="AI16" s="294" t="str">
        <f>N16</f>
        <v>Residential Space Heating Apartment Natural Gas to Residential Existing 00</v>
      </c>
      <c r="AJ16" s="294" t="s">
        <v>13</v>
      </c>
      <c r="AK16" s="294" t="s">
        <v>275</v>
      </c>
      <c r="AL16" s="294"/>
      <c r="AM16" s="294"/>
      <c r="AN16" s="261"/>
      <c r="AO16" s="261"/>
      <c r="AP16" s="261"/>
      <c r="AQ16" s="261"/>
    </row>
    <row r="17" spans="1:49">
      <c r="A17" s="261"/>
      <c r="B17" s="231" t="s">
        <v>428</v>
      </c>
      <c r="C17" s="232">
        <f>SUMIFS(INDEX(Table7[],,MATCH($C$6,Table7[#Headers],0)),Table7[MainSpaceHeatingFuel],B17)</f>
        <v>182061</v>
      </c>
      <c r="D17" s="232">
        <f>SUMIFS(INDEX(Table7[],,MATCH($D$6,Table7[#Headers],0)),Table7[MainSpaceHeatingFuel],B17)</f>
        <v>165510</v>
      </c>
      <c r="E17" s="232">
        <f>SUMIFS(INDEX(Table7[],,MATCH($E$6,Table7[#Headers],0)),Table7[MainSpaceHeatingFuel],B17)</f>
        <v>8</v>
      </c>
      <c r="F17" s="232">
        <f>SUMIFS(INDEX(Table7[],,MATCH($F$6,Table7[#Headers],0)),Table7[MainSpaceHeatingFuel],B17)</f>
        <v>391</v>
      </c>
      <c r="G17" s="232">
        <f>AVERAGEIFS(INDEX(Table7[],,MATCH($G$6,Table7[#Headers],0)),Table7[MainSpaceHeatingFuel],B17)</f>
        <v>50</v>
      </c>
      <c r="H17" s="232">
        <f>SUMIFS(INDEX(Table7[],,MATCH($H$6,Table7[#Headers],0)),Table7[SupplSHFuelName],B17)</f>
        <v>271594</v>
      </c>
      <c r="I17" s="232">
        <f>SUMIFS(INDEX(Table7[],,MATCH($I$6,Table7[#Headers],0)),Table7[SupplSHFuelName],B17)</f>
        <v>246902</v>
      </c>
      <c r="J17" s="232">
        <f>SUMIFS(INDEX(Table7[],,MATCH($J$6,Table7[#Headers],0)),Table7[SupplSHFuelName],B17)</f>
        <v>124</v>
      </c>
      <c r="K17" s="261"/>
      <c r="L17" s="508" t="s">
        <v>254</v>
      </c>
      <c r="M17" s="508" t="s">
        <v>254</v>
      </c>
      <c r="N17" s="402"/>
      <c r="O17" s="402"/>
      <c r="P17" s="402"/>
      <c r="Q17" s="403"/>
      <c r="R17" s="404"/>
      <c r="S17" s="402"/>
      <c r="T17" s="404"/>
      <c r="U17" s="573"/>
      <c r="V17" s="573"/>
      <c r="W17" s="402"/>
      <c r="X17" s="564"/>
      <c r="Y17" s="402"/>
      <c r="Z17" s="402"/>
      <c r="AA17" s="402"/>
      <c r="AB17" s="402"/>
      <c r="AC17" s="402"/>
      <c r="AD17" s="565"/>
      <c r="AE17"/>
      <c r="AF17" s="405" t="s">
        <v>254</v>
      </c>
      <c r="AG17" s="405"/>
      <c r="AH17" s="402"/>
      <c r="AI17" s="402"/>
      <c r="AJ17" s="402"/>
      <c r="AK17" s="402"/>
      <c r="AL17" s="402"/>
      <c r="AM17" s="402"/>
      <c r="AN17" s="261"/>
      <c r="AO17" s="261"/>
      <c r="AP17" s="261"/>
      <c r="AQ17" s="261"/>
      <c r="AR17" s="261"/>
    </row>
    <row r="18" spans="1:49">
      <c r="A18" s="261"/>
      <c r="B18" s="230" t="s">
        <v>431</v>
      </c>
      <c r="C18" s="233">
        <f>SUMIFS(INDEX(Table7[],,MATCH($C$6,Table7[#Headers],0)),Table7[MainSpaceHeatingFuel],B18)</f>
        <v>199119</v>
      </c>
      <c r="D18" s="233">
        <f>SUMIFS(INDEX(Table7[],,MATCH($D$6,Table7[#Headers],0)),Table7[MainSpaceHeatingFuel],B18)</f>
        <v>181018</v>
      </c>
      <c r="E18" s="233">
        <f>SUMIFS(INDEX(Table7[],,MATCH($E$6,Table7[#Headers],0)),Table7[MainSpaceHeatingFuel],B18)</f>
        <v>6</v>
      </c>
      <c r="F18" s="233">
        <f>SUMIFS(INDEX(Table7[],,MATCH($F$6,Table7[#Headers],0)),Table7[MainSpaceHeatingFuel],B18)</f>
        <v>536</v>
      </c>
      <c r="G18" s="233">
        <f>AVERAGEIFS(INDEX(Table7[],,MATCH($G$6,Table7[#Headers],0)),Table7[MainSpaceHeatingFuel],B18)</f>
        <v>55</v>
      </c>
      <c r="H18" s="233">
        <f>SUMIFS(INDEX(Table7[],,MATCH($H$6,Table7[#Headers],0)),Table7[SupplSHFuelName],B18)</f>
        <v>168480</v>
      </c>
      <c r="I18" s="233">
        <f>SUMIFS(INDEX(Table7[],,MATCH($I$6,Table7[#Headers],0)),Table7[SupplSHFuelName],B18)</f>
        <v>153162</v>
      </c>
      <c r="J18" s="233">
        <f>SUMIFS(INDEX(Table7[],,MATCH($J$6,Table7[#Headers],0)),Table7[SupplSHFuelName],B18)</f>
        <v>43</v>
      </c>
      <c r="K18" s="261"/>
      <c r="L18" s="26" t="str">
        <f>_xlfn.TEXTJOIN(",",TRUE,IF(LEFT(Regions!$C$3,1)&lt;&gt;"*",Regions!$C$3,""),IF(LEFT(Regions!$D$3,1)&lt;&gt;"*",Regions!$D$3,""))</f>
        <v>IE,National</v>
      </c>
      <c r="M18" s="26" t="str">
        <f>LEFT(SETUP!$B$3,1)&amp;"-"&amp;SETUP!$B$50&amp;"_"&amp;RIGHT(COMM!$O$30,3)&amp;"_"&amp;RIGHT(O18,LEN(O18)-3)&amp;"_"&amp;SETUP!$B$64</f>
        <v>R-SH_Apt_PEA_X0</v>
      </c>
      <c r="N18" s="26" t="str">
        <f>COMM!P24&amp;" "&amp;COMM!F7&amp;" "&amp;SETUP!C64</f>
        <v>Residential Space Heating Apartment Peat to Residential Existing 00</v>
      </c>
      <c r="O18" s="26" t="str">
        <f>COMM!E7</f>
        <v>RSDPEA</v>
      </c>
      <c r="P18" s="26"/>
      <c r="Q18" s="26" t="str">
        <f>COMM!O9&amp;","&amp;COMM!O12&amp;","&amp;COMM!O15&amp;","&amp;COMM!O18&amp;","&amp;COMM!O21&amp;","&amp;COMM!O24</f>
        <v>RSDSH_Apt-AB,RSDSH_Apt-C,RSDSH_Apt-D,RSDSH_Apt-E,RSDSH_Apt-F,RSDSH_Apt-G</v>
      </c>
      <c r="R18" s="396">
        <f>(E17+E18)/SUM($E$7:$E$25)</f>
        <v>1.0386064868393721E-4</v>
      </c>
      <c r="S18" s="397">
        <f>R18*DwellingStocks!$I$28/1000</f>
        <v>2.199975066025698E-2</v>
      </c>
      <c r="T18" s="398">
        <f>(S18*1000)/(E17+E18)*DwellingStocks!$R$27</f>
        <v>1.1928833867748834</v>
      </c>
      <c r="U18" s="571">
        <f>(G17+G18)/200</f>
        <v>0.52500000000000002</v>
      </c>
      <c r="V18" s="569">
        <f>IF(AB18/S18/X18=0,0.12,AB18/S18/X18)</f>
        <v>0.16174374769495573</v>
      </c>
      <c r="W18" s="399">
        <v>20</v>
      </c>
      <c r="X18" s="567">
        <f>31.536*(AD18/1000)</f>
        <v>0.47304000000000002</v>
      </c>
      <c r="Y18" s="399"/>
      <c r="Z18" s="399"/>
      <c r="AA18" s="399"/>
      <c r="AB18" s="400">
        <f>AC18*U18</f>
        <v>1.6832286957131736E-3</v>
      </c>
      <c r="AC18" s="401">
        <f>IF(((D17+I17)+D18+I18*$B$2)&lt;=0.1,0,((D17+I17+D18+I18)*T18*$B$2))</f>
        <v>3.2061498965965211E-3</v>
      </c>
      <c r="AD18" s="563">
        <v>15</v>
      </c>
      <c r="AE18" s="261"/>
      <c r="AF18" s="294" t="s">
        <v>266</v>
      </c>
      <c r="AG18" s="294" t="str">
        <f>_xlfn.TEXTJOIN(",",TRUE,IF(LEFT(Regions!$C$3,1)&lt;&gt;"*",Regions!$C$3,""),IF(LEFT(Regions!$D$3,1)&lt;&gt;"*",Regions!$D$3,""))</f>
        <v>IE,National</v>
      </c>
      <c r="AH18" s="294" t="str">
        <f>M18</f>
        <v>R-SH_Apt_PEA_X0</v>
      </c>
      <c r="AI18" s="294" t="str">
        <f>N18</f>
        <v>Residential Space Heating Apartment Peat to Residential Existing 00</v>
      </c>
      <c r="AJ18" s="294" t="s">
        <v>13</v>
      </c>
      <c r="AK18" s="294" t="s">
        <v>275</v>
      </c>
      <c r="AL18" s="294"/>
      <c r="AM18" s="294"/>
      <c r="AN18" s="261"/>
      <c r="AO18" s="261"/>
      <c r="AP18" s="261"/>
      <c r="AQ18" s="261"/>
      <c r="AR18" s="261"/>
    </row>
    <row r="19" spans="1:49">
      <c r="A19" s="261"/>
      <c r="B19" s="231" t="s">
        <v>426</v>
      </c>
      <c r="C19" s="232">
        <f>SUMIFS(INDEX(Table7[],,MATCH($C$6,Table7[#Headers],0)),Table7[MainSpaceHeatingFuel],B19)</f>
        <v>8793489</v>
      </c>
      <c r="D19" s="232">
        <f>SUMIFS(INDEX(Table7[],,MATCH($D$6,Table7[#Headers],0)),Table7[MainSpaceHeatingFuel],B19)</f>
        <v>7994080</v>
      </c>
      <c r="E19" s="232">
        <f>SUMIFS(INDEX(Table7[],,MATCH($E$6,Table7[#Headers],0)),Table7[MainSpaceHeatingFuel],B19)</f>
        <v>438</v>
      </c>
      <c r="F19" s="232">
        <f>SUMIFS(INDEX(Table7[],,MATCH($F$6,Table7[#Headers],0)),Table7[MainSpaceHeatingFuel],B19)</f>
        <v>29515</v>
      </c>
      <c r="G19" s="232">
        <f>AVERAGEIFS(INDEX(Table7[],,MATCH($G$6,Table7[#Headers],0)),Table7[MainSpaceHeatingFuel],B19)</f>
        <v>58.177777777777777</v>
      </c>
      <c r="H19" s="232">
        <f>SUMIFS(INDEX(Table7[],,MATCH($H$6,Table7[#Headers],0)),Table7[SupplSHFuelName],B19)</f>
        <v>15696495</v>
      </c>
      <c r="I19" s="232">
        <f>SUMIFS(INDEX(Table7[],,MATCH($I$6,Table7[#Headers],0)),Table7[SupplSHFuelName],B19)</f>
        <v>14269530</v>
      </c>
      <c r="J19" s="232">
        <f>SUMIFS(INDEX(Table7[],,MATCH($J$6,Table7[#Headers],0)),Table7[SupplSHFuelName],B19)</f>
        <v>5583</v>
      </c>
      <c r="K19" s="261"/>
      <c r="L19" s="508" t="s">
        <v>254</v>
      </c>
      <c r="M19" s="508" t="s">
        <v>254</v>
      </c>
      <c r="N19" s="402"/>
      <c r="O19" s="402"/>
      <c r="P19" s="402"/>
      <c r="Q19" s="402"/>
      <c r="R19" s="402"/>
      <c r="S19" s="402"/>
      <c r="T19" s="402"/>
      <c r="U19" s="402"/>
      <c r="V19" s="402"/>
      <c r="W19" s="402"/>
      <c r="X19" s="564"/>
      <c r="Y19" s="402"/>
      <c r="Z19" s="402"/>
      <c r="AA19" s="402"/>
      <c r="AB19" s="402"/>
      <c r="AC19" s="402"/>
      <c r="AD19" s="565"/>
      <c r="AE19" s="261"/>
      <c r="AF19" s="405" t="s">
        <v>254</v>
      </c>
      <c r="AG19" s="405"/>
      <c r="AH19" s="402"/>
      <c r="AI19" s="402"/>
      <c r="AJ19" s="402"/>
      <c r="AK19" s="402"/>
      <c r="AL19" s="402"/>
      <c r="AM19" s="402"/>
      <c r="AN19" s="261"/>
      <c r="AO19" s="261"/>
      <c r="AP19" s="261"/>
      <c r="AQ19" s="261"/>
      <c r="AR19" s="261"/>
    </row>
    <row r="20" spans="1:49">
      <c r="A20" s="261"/>
      <c r="B20" s="230" t="s">
        <v>481</v>
      </c>
      <c r="C20" s="233">
        <f>SUMIFS(INDEX(Table7[],,MATCH($C$6,Table7[#Headers],0)),Table7[MainSpaceHeatingFuel],B20)</f>
        <v>0</v>
      </c>
      <c r="D20" s="233">
        <f>SUMIFS(INDEX(Table7[],,MATCH($D$6,Table7[#Headers],0)),Table7[MainSpaceHeatingFuel],B20)</f>
        <v>0</v>
      </c>
      <c r="E20" s="233">
        <f>SUMIFS(INDEX(Table7[],,MATCH($E$6,Table7[#Headers],0)),Table7[MainSpaceHeatingFuel],B20)</f>
        <v>0</v>
      </c>
      <c r="F20" s="233">
        <f>SUMIFS(INDEX(Table7[],,MATCH($F$6,Table7[#Headers],0)),Table7[MainSpaceHeatingFuel],B20)</f>
        <v>0</v>
      </c>
      <c r="G20" s="233">
        <v>0</v>
      </c>
      <c r="H20" s="233">
        <f>SUMIFS(INDEX(Table7[],,MATCH($H$6,Table7[#Headers],0)),Table7[SupplSHFuelName],B20)</f>
        <v>23192</v>
      </c>
      <c r="I20" s="233">
        <f>SUMIFS(INDEX(Table7[],,MATCH($I$6,Table7[#Headers],0)),Table7[SupplSHFuelName],B20)</f>
        <v>21084</v>
      </c>
      <c r="J20" s="233">
        <f>SUMIFS(INDEX(Table7[],,MATCH($J$6,Table7[#Headers],0)),Table7[SupplSHFuelName],B20)</f>
        <v>8</v>
      </c>
      <c r="K20" s="261"/>
      <c r="L20" s="26" t="str">
        <f>_xlfn.TEXTJOIN(",",TRUE,IF(LEFT(Regions!$C$3,1)&lt;&gt;"*",Regions!$C$3,""),IF(LEFT(Regions!$D$3,1)&lt;&gt;"*",Regions!$D$3,""))</f>
        <v>IE,National</v>
      </c>
      <c r="M20" s="26" t="str">
        <f>LEFT(SETUP!$B$3,1)&amp;"-"&amp;SETUP!$B$50&amp;"_"&amp;RIGHT(COMM!$O$30,3)&amp;"_"&amp;RIGHT(COMM!E23,LEN(COMM!E23)-3)&amp;"_"&amp;SETUP!$B$64</f>
        <v>R-SH_Apt_SMF_X0</v>
      </c>
      <c r="N20" s="26" t="str">
        <f>COMM!P24&amp;" "&amp;COMM!F23&amp;" "&amp;SETUP!C64</f>
        <v>Residential Space Heating Apartment Solid Multi-Fuel Existing 00</v>
      </c>
      <c r="O20" s="26" t="str">
        <f>COMM!E6</f>
        <v>RSDCOA</v>
      </c>
      <c r="P20" s="26"/>
      <c r="Q20" s="26" t="str">
        <f>COMM!O9&amp;","&amp;COMM!O12&amp;","&amp;COMM!O15&amp;","&amp;COMM!O18&amp;","&amp;COMM!O21&amp;","&amp;COMM!O24</f>
        <v>RSDSH_Apt-AB,RSDSH_Apt-C,RSDSH_Apt-D,RSDSH_Apt-E,RSDSH_Apt-F,RSDSH_Apt-G</v>
      </c>
      <c r="R20" s="396">
        <f>E19/SUM($E$7:$E$25)</f>
        <v>3.2493545802546068E-3</v>
      </c>
      <c r="S20" s="397">
        <f>R20*DwellingStocks!$I$28/1000</f>
        <v>0.688277913513754</v>
      </c>
      <c r="T20" s="398">
        <f>(S20*1000)/E19*DwellingStocks!$R$27-0.19617</f>
        <v>0.99671338677488341</v>
      </c>
      <c r="U20" s="571">
        <f>G19/100</f>
        <v>0.58177777777777773</v>
      </c>
      <c r="V20" s="569">
        <f>IF(AB20/S20/X20=0,0.12,AB20/S20/X20)</f>
        <v>0.12</v>
      </c>
      <c r="W20" s="399">
        <v>20</v>
      </c>
      <c r="X20" s="567">
        <f>31.536*(AD20/1000)</f>
        <v>0.47304000000000002</v>
      </c>
      <c r="Y20" s="515">
        <f>RSD_Balance!H2</f>
        <v>0.19400000000000001</v>
      </c>
      <c r="Z20" s="399">
        <v>5</v>
      </c>
      <c r="AA20" s="399"/>
      <c r="AB20" s="400">
        <f>AC20*$U$20</f>
        <v>0</v>
      </c>
      <c r="AC20" s="401">
        <f>IF(((D19+I19)*$B$2)&lt;=0.1,0,((D19+I19)*T20*$B$2))*Y20</f>
        <v>0</v>
      </c>
      <c r="AD20" s="563">
        <v>15</v>
      </c>
      <c r="AE20" s="261"/>
      <c r="AF20" s="294" t="s">
        <v>266</v>
      </c>
      <c r="AG20" s="294" t="str">
        <f>_xlfn.TEXTJOIN(",",TRUE,IF(LEFT(Regions!$C$3,1)&lt;&gt;"*",Regions!$C$3,""),IF(LEFT(Regions!$D$3,1)&lt;&gt;"*",Regions!$D$3,""))</f>
        <v>IE,National</v>
      </c>
      <c r="AH20" s="294" t="str">
        <f>M20</f>
        <v>R-SH_Apt_SMF_X0</v>
      </c>
      <c r="AI20" s="294" t="str">
        <f>N20</f>
        <v>Residential Space Heating Apartment Solid Multi-Fuel Existing 00</v>
      </c>
      <c r="AJ20" s="294" t="s">
        <v>13</v>
      </c>
      <c r="AK20" s="294" t="s">
        <v>275</v>
      </c>
      <c r="AL20" s="294"/>
      <c r="AM20" s="294"/>
      <c r="AN20" s="261"/>
      <c r="AO20" s="261"/>
      <c r="AP20" s="261"/>
      <c r="AQ20" s="261"/>
      <c r="AR20" s="261"/>
    </row>
    <row r="21" spans="1:49">
      <c r="A21" s="261"/>
      <c r="B21" s="231" t="s">
        <v>433</v>
      </c>
      <c r="C21" s="232">
        <f>SUMIFS(INDEX(Table7[],,MATCH($C$6,Table7[#Headers],0)),Table7[MainSpaceHeatingFuel],B21)</f>
        <v>111294</v>
      </c>
      <c r="D21" s="232">
        <f>SUMIFS(INDEX(Table7[],,MATCH($D$6,Table7[#Headers],0)),Table7[MainSpaceHeatingFuel],B21)</f>
        <v>101176</v>
      </c>
      <c r="E21" s="232">
        <f>SUMIFS(INDEX(Table7[],,MATCH($E$6,Table7[#Headers],0)),Table7[MainSpaceHeatingFuel],B21)</f>
        <v>7</v>
      </c>
      <c r="F21" s="232">
        <f>SUMIFS(INDEX(Table7[],,MATCH($F$6,Table7[#Headers],0)),Table7[MainSpaceHeatingFuel],B21)</f>
        <v>425</v>
      </c>
      <c r="G21" s="232">
        <f>AVERAGEIFS(INDEX(Table7[],,MATCH($G$6,Table7[#Headers],0)),Table7[MainSpaceHeatingFuel],B21)</f>
        <v>64.571428571428569</v>
      </c>
      <c r="H21" s="232">
        <f>SUMIFS(INDEX(Table7[],,MATCH($H$6,Table7[#Headers],0)),Table7[SupplSHFuelName],B21)</f>
        <v>648950</v>
      </c>
      <c r="I21" s="232">
        <f>SUMIFS(INDEX(Table7[],,MATCH($I$6,Table7[#Headers],0)),Table7[SupplSHFuelName],B21)</f>
        <v>589955</v>
      </c>
      <c r="J21" s="232">
        <f>SUMIFS(INDEX(Table7[],,MATCH($J$6,Table7[#Headers],0)),Table7[SupplSHFuelName],B21)</f>
        <v>306</v>
      </c>
      <c r="K21" s="261"/>
      <c r="L21" s="294" t="str">
        <f>_xlfn.TEXTJOIN(",",TRUE,IF(LEFT(Regions!$C$3,1)&lt;&gt;"*",Regions!$C$3,""),IF(LEFT(Regions!$D$3,1)&lt;&gt;"*",Regions!$D$3,""))</f>
        <v>IE,National</v>
      </c>
      <c r="M21" s="294"/>
      <c r="N21" s="294"/>
      <c r="O21" s="294" t="str">
        <f>COMM!E7</f>
        <v>RSDPEA</v>
      </c>
      <c r="P21" s="294"/>
      <c r="Q21" s="294"/>
      <c r="R21" s="389"/>
      <c r="S21" s="390"/>
      <c r="T21" s="391"/>
      <c r="U21" s="572"/>
      <c r="V21" s="569"/>
      <c r="W21" s="393"/>
      <c r="X21" s="391"/>
      <c r="Y21" s="516">
        <f>RSD_Balance!H3</f>
        <v>0.74399999999999999</v>
      </c>
      <c r="Z21" s="393">
        <v>5</v>
      </c>
      <c r="AA21" s="393"/>
      <c r="AB21" s="394">
        <f>AC21*$U$20</f>
        <v>0</v>
      </c>
      <c r="AC21" s="394">
        <f>IF(((D19+I19)*$B$2)&lt;=0.1,0,((D19+I19)*T20*$B$2))*Y21</f>
        <v>0</v>
      </c>
      <c r="AD21" s="393">
        <v>15</v>
      </c>
      <c r="AE21" s="261"/>
      <c r="AF21" s="26" t="s">
        <v>266</v>
      </c>
      <c r="AG21" s="26" t="str">
        <f>_xlfn.TEXTJOIN(",",TRUE,IF(LEFT(Regions!$C$3,1)&lt;&gt;"*",Regions!$C$3,""),IF(LEFT(Regions!$D$3,1)&lt;&gt;"*",Regions!$D$3,""))</f>
        <v>IE,National</v>
      </c>
      <c r="AH21" s="26" t="str">
        <f t="shared" ref="AH21:AI22" si="4">M23</f>
        <v>R-SH_Apt_WOO_X0</v>
      </c>
      <c r="AI21" s="26" t="str">
        <f t="shared" si="4"/>
        <v>Residential Space Heating Apartment Biomass to Residential Existing 00</v>
      </c>
      <c r="AJ21" s="26" t="s">
        <v>13</v>
      </c>
      <c r="AK21" s="26" t="s">
        <v>275</v>
      </c>
      <c r="AL21" s="26"/>
      <c r="AM21" s="26"/>
      <c r="AN21" s="261"/>
      <c r="AO21" s="261"/>
      <c r="AP21" s="261"/>
      <c r="AQ21" s="261"/>
      <c r="AR21" s="261"/>
    </row>
    <row r="22" spans="1:49">
      <c r="A22" s="261"/>
      <c r="B22" s="230" t="s">
        <v>408</v>
      </c>
      <c r="C22" s="233">
        <f>SUMIFS(INDEX(Table7[],,MATCH($C$6,Table7[#Headers],0)),Table7[MainSpaceHeatingFuel],B22)</f>
        <v>776939</v>
      </c>
      <c r="D22" s="233">
        <f>SUMIFS(INDEX(Table7[],,MATCH($D$6,Table7[#Headers],0)),Table7[MainSpaceHeatingFuel],B22)</f>
        <v>706306</v>
      </c>
      <c r="E22" s="233">
        <f>SUMIFS(INDEX(Table7[],,MATCH($E$6,Table7[#Headers],0)),Table7[MainSpaceHeatingFuel],B22)</f>
        <v>179</v>
      </c>
      <c r="F22" s="233">
        <f>SUMIFS(INDEX(Table7[],,MATCH($F$6,Table7[#Headers],0)),Table7[MainSpaceHeatingFuel],B22)</f>
        <v>12697</v>
      </c>
      <c r="G22" s="233">
        <f>AVERAGEIFS(INDEX(Table7[],,MATCH($G$6,Table7[#Headers],0)),Table7[MainSpaceHeatingFuel],B22)</f>
        <v>76.84210526315789</v>
      </c>
      <c r="H22" s="233">
        <f>SUMIFS(INDEX(Table7[],,MATCH($H$6,Table7[#Headers],0)),Table7[SupplSHFuelName],B22)</f>
        <v>0</v>
      </c>
      <c r="I22" s="233">
        <f>SUMIFS(INDEX(Table7[],,MATCH($I$6,Table7[#Headers],0)),Table7[SupplSHFuelName],B22)</f>
        <v>0</v>
      </c>
      <c r="J22" s="233">
        <f>SUMIFS(INDEX(Table7[],,MATCH($J$6,Table7[#Headers],0)),Table7[SupplSHFuelName],B22)</f>
        <v>0</v>
      </c>
      <c r="K22" s="261"/>
      <c r="L22" s="26" t="str">
        <f>_xlfn.TEXTJOIN(",",TRUE,IF(LEFT(Regions!$C$3,1)&lt;&gt;"*",Regions!$C$3,""),IF(LEFT(Regions!$D$3,1)&lt;&gt;"*",Regions!$D$3,""))</f>
        <v>IE,National</v>
      </c>
      <c r="M22" s="26"/>
      <c r="N22" s="26"/>
      <c r="O22" s="26" t="str">
        <f>COMM!E16</f>
        <v>RSDWOO</v>
      </c>
      <c r="P22" s="26"/>
      <c r="Q22" s="26"/>
      <c r="R22" s="396"/>
      <c r="S22" s="397"/>
      <c r="T22" s="398"/>
      <c r="U22" s="570"/>
      <c r="V22" s="571"/>
      <c r="W22" s="399"/>
      <c r="X22" s="567"/>
      <c r="Y22" s="515">
        <f>RSD_Balance!H4</f>
        <v>6.2E-2</v>
      </c>
      <c r="Z22" s="399">
        <v>5</v>
      </c>
      <c r="AA22" s="399"/>
      <c r="AB22" s="400">
        <f>AC22*$U$20</f>
        <v>0</v>
      </c>
      <c r="AC22" s="401">
        <f>IF(((D19+I19)*$B$2)&lt;=0.1,0,((D19+I19)*T20*$B$2))*Y22</f>
        <v>0</v>
      </c>
      <c r="AD22" s="563">
        <v>15</v>
      </c>
      <c r="AE22" s="261"/>
      <c r="AF22" s="294" t="s">
        <v>266</v>
      </c>
      <c r="AG22" s="294" t="str">
        <f>_xlfn.TEXTJOIN(",",TRUE,IF(LEFT(Regions!$C$3,1)&lt;&gt;"*",Regions!$C$3,""),IF(LEFT(Regions!$D$3,1)&lt;&gt;"*",Regions!$D$3,""))</f>
        <v>IE,National</v>
      </c>
      <c r="AH22" s="294" t="str">
        <f t="shared" si="4"/>
        <v>R-SH_Apt_HET_X0</v>
      </c>
      <c r="AI22" s="294" t="str">
        <f t="shared" si="4"/>
        <v>Residential Space Heating Apartment Heat to Residential Existing 00</v>
      </c>
      <c r="AJ22" s="294" t="s">
        <v>13</v>
      </c>
      <c r="AK22" s="294" t="s">
        <v>275</v>
      </c>
      <c r="AL22" s="294"/>
      <c r="AM22" s="294"/>
      <c r="AN22" s="261"/>
      <c r="AO22" s="261"/>
      <c r="AP22" s="261"/>
      <c r="AQ22" s="261"/>
      <c r="AR22" s="261"/>
    </row>
    <row r="23" spans="1:49">
      <c r="A23" s="261"/>
      <c r="B23" s="231" t="s">
        <v>429</v>
      </c>
      <c r="C23" s="232">
        <f>SUMIFS(INDEX(Table7[],,MATCH($C$6,Table7[#Headers],0)),Table7[MainSpaceHeatingFuel],B23)</f>
        <v>25351</v>
      </c>
      <c r="D23" s="232">
        <f>SUMIFS(INDEX(Table7[],,MATCH($D$6,Table7[#Headers],0)),Table7[MainSpaceHeatingFuel],B23)</f>
        <v>23046</v>
      </c>
      <c r="E23" s="232">
        <f>SUMIFS(INDEX(Table7[],,MATCH($E$6,Table7[#Headers],0)),Table7[MainSpaceHeatingFuel],B23)</f>
        <v>1</v>
      </c>
      <c r="F23" s="232">
        <f>SUMIFS(INDEX(Table7[],,MATCH($F$6,Table7[#Headers],0)),Table7[MainSpaceHeatingFuel],B23)</f>
        <v>38</v>
      </c>
      <c r="G23" s="232">
        <f>AVERAGEIFS(INDEX(Table7[],,MATCH($G$6,Table7[#Headers],0)),Table7[MainSpaceHeatingFuel],B23)</f>
        <v>65</v>
      </c>
      <c r="H23" s="232">
        <f>SUMIFS(INDEX(Table7[],,MATCH($H$6,Table7[#Headers],0)),Table7[SupplSHFuelName],B23)</f>
        <v>35149</v>
      </c>
      <c r="I23" s="232">
        <f>SUMIFS(INDEX(Table7[],,MATCH($I$6,Table7[#Headers],0)),Table7[SupplSHFuelName],B23)</f>
        <v>31955</v>
      </c>
      <c r="J23" s="232">
        <f>SUMIFS(INDEX(Table7[],,MATCH($J$6,Table7[#Headers],0)),Table7[SupplSHFuelName],B23)</f>
        <v>31</v>
      </c>
      <c r="K23" s="261"/>
      <c r="L23" s="294" t="str">
        <f>_xlfn.TEXTJOIN(",",TRUE,IF(LEFT(Regions!$C$3,1)&lt;&gt;"*",Regions!$C$3,""),IF(LEFT(Regions!$D$3,1)&lt;&gt;"*",Regions!$D$3,""))</f>
        <v>IE,National</v>
      </c>
      <c r="M23" s="294" t="str">
        <f>LEFT(SETUP!$B$3,1)&amp;"-"&amp;SETUP!$B$50&amp;"_"&amp;RIGHT(COMM!$O$30,3)&amp;"_"&amp;RIGHT(O23,LEN(O23)-3)&amp;"_"&amp;SETUP!$B$64</f>
        <v>R-SH_Apt_WOO_X0</v>
      </c>
      <c r="N23" s="294" t="str">
        <f>COMM!P24&amp;" "&amp;COMM!F16&amp;" "&amp;SETUP!C64</f>
        <v>Residential Space Heating Apartment Biomass to Residential Existing 00</v>
      </c>
      <c r="O23" s="294" t="str">
        <f>COMM!E16</f>
        <v>RSDWOO</v>
      </c>
      <c r="P23" s="294"/>
      <c r="Q23" s="294" t="str">
        <f>COMM!O9&amp;","&amp;COMM!O12&amp;","&amp;COMM!O15&amp;","&amp;COMM!O18&amp;","&amp;COMM!O21&amp;","&amp;COMM!O24</f>
        <v>RSDSH_Apt-AB,RSDSH_Apt-C,RSDSH_Apt-D,RSDSH_Apt-E,RSDSH_Apt-F,RSDSH_Apt-G</v>
      </c>
      <c r="R23" s="389">
        <f>(E20+E21+E22+E23)/SUM($E$7:$E$25)</f>
        <v>1.3872815217068756E-3</v>
      </c>
      <c r="S23" s="390">
        <f>R23*DwellingStocks!$I$28/1000</f>
        <v>0.29385381239057534</v>
      </c>
      <c r="T23" s="391">
        <f>(S23*1000)/(E20+E21+E22+E23)*DwellingStocks!$R$27+0.1866</f>
        <v>1.3794833867748832</v>
      </c>
      <c r="U23" s="569">
        <f>(G21+G22+G23)/300</f>
        <v>0.6880451127819549</v>
      </c>
      <c r="V23" s="569">
        <f>IF(AB23/S23/X23=0,0.12,AB23/S23/X23)</f>
        <v>0.12</v>
      </c>
      <c r="W23" s="393">
        <v>20</v>
      </c>
      <c r="X23" s="391">
        <f t="shared" ref="X23:X24" si="5">31.536*(AD23/1000)</f>
        <v>0.47304000000000002</v>
      </c>
      <c r="Y23" s="393"/>
      <c r="Z23" s="393"/>
      <c r="AA23" s="393"/>
      <c r="AB23" s="394">
        <f>AC23*U23</f>
        <v>0</v>
      </c>
      <c r="AC23" s="394">
        <f>IF(((D20+I20+D21+I21+D22+I22+D23+I23)*$B$2)&lt;=0.1,0,((D20+I20+D21+I21+D22+I22+D23+I23)*T23*$B$2))</f>
        <v>0</v>
      </c>
      <c r="AD23" s="393">
        <v>15</v>
      </c>
      <c r="AE23" s="261"/>
      <c r="AF23" s="26"/>
      <c r="AG23" s="26"/>
      <c r="AH23" s="26"/>
      <c r="AI23" s="26"/>
      <c r="AJ23" s="26"/>
      <c r="AK23" s="26"/>
      <c r="AL23" s="26"/>
      <c r="AM23" s="26"/>
      <c r="AN23" s="261"/>
      <c r="AO23" s="261"/>
      <c r="AP23" s="261"/>
      <c r="AQ23" s="261"/>
      <c r="AR23" s="261"/>
    </row>
    <row r="24" spans="1:49">
      <c r="A24" s="261"/>
      <c r="B24" s="230" t="s">
        <v>566</v>
      </c>
      <c r="C24" s="233" cm="1">
        <f t="array" ref="C24">AVERAGE(C7:C23+C25)*($E$24/SUM($E$7:$E$23+$E$25))</f>
        <v>5498223.251037553</v>
      </c>
      <c r="D24" s="233" cm="1">
        <f t="array" ref="D24">AVERAGE(D7:D23+D25)*($E$24/SUM($E$7:$E$23+$E$25))</f>
        <v>2190406.4912125235</v>
      </c>
      <c r="E24" s="233">
        <f>SUMIFS(INDEX(Table7[],,MATCH($E$6,Table7[#Headers],0)),Table7[MainSpaceHeatingFuel],"")</f>
        <v>8767</v>
      </c>
      <c r="F24" s="233">
        <f>SUMIFS(INDEX(Table7[],,MATCH($F$6,Table7[#Headers],0)),Table7[MainSpaceHeatingFuel],"")</f>
        <v>644884</v>
      </c>
      <c r="G24" s="233">
        <f>(D24*100)/C24</f>
        <v>39.83844218764996</v>
      </c>
      <c r="H24" s="233">
        <f>SUMIFS(INDEX(Table7[],,MATCH($H$6,Table7[#Headers],0)),Table7[SupplSHFuelName],B24)</f>
        <v>14315</v>
      </c>
      <c r="I24" s="233">
        <f>SUMIFS(INDEX(Table7[],,MATCH($I$6,Table7[#Headers],0)),Table7[SupplSHFuelName],B24)</f>
        <v>6952803</v>
      </c>
      <c r="J24" s="233">
        <f>SUMIFS(INDEX(Table7[],,MATCH($J$6,Table7[#Headers],0)),Table7[SupplSHFuelName],B24)</f>
        <v>65389</v>
      </c>
      <c r="K24" s="261"/>
      <c r="L24" s="26" t="str">
        <f>_xlfn.TEXTJOIN(",",TRUE,IF(LEFT(Regions!$C$3,1)&lt;&gt;"*",Regions!$C$3,""),IF(LEFT(Regions!$D$3,1)&lt;&gt;"*",Regions!$D$3,""))</f>
        <v>IE,National</v>
      </c>
      <c r="M24" s="26" t="str">
        <f>LEFT(SETUP!$B$3,1)&amp;"-"&amp;SETUP!$B$50&amp;"_"&amp;RIGHT(COMM!$O$30,3)&amp;"_"&amp;RIGHT(O24,LEN(O24)-3)&amp;"_"&amp;SETUP!$B$64</f>
        <v>R-SH_Apt_HET_X0</v>
      </c>
      <c r="N24" s="26" t="str">
        <f>COMM!P24&amp;" "&amp;COMM!F25&amp;" "&amp;SETUP!C64</f>
        <v>Residential Space Heating Apartment Heat to Residential Existing 00</v>
      </c>
      <c r="O24" s="26" t="str">
        <f>COMM!E25</f>
        <v>RSDHET</v>
      </c>
      <c r="P24" s="26"/>
      <c r="Q24" s="26" t="str">
        <f>COMM!O9&amp;","&amp;COMM!O12&amp;","&amp;COMM!O15&amp;","&amp;COMM!O18&amp;","&amp;COMM!O21&amp;","&amp;COMM!O24</f>
        <v>RSDSH_Apt-AB,RSDSH_Apt-C,RSDSH_Apt-D,RSDSH_Apt-E,RSDSH_Apt-F,RSDSH_Apt-G</v>
      </c>
      <c r="R24" s="396">
        <f>E24/SUM($E$7:$E$25)</f>
        <v>6.5039021929434102E-2</v>
      </c>
      <c r="S24" s="397">
        <f>R24*DwellingStocks!$I$28/1000</f>
        <v>13.776558145605208</v>
      </c>
      <c r="T24" s="398">
        <f>(S24*1000)/E24*DwellingStocks!$R$27</f>
        <v>1.1928833867748831</v>
      </c>
      <c r="U24" s="571">
        <f>G24/100</f>
        <v>0.39838442187649958</v>
      </c>
      <c r="V24" s="569">
        <f>IF(AB24/S24/X24=0,0.12,AB24/S24/X24)</f>
        <v>0.12</v>
      </c>
      <c r="W24" s="399">
        <v>20</v>
      </c>
      <c r="X24" s="567">
        <f t="shared" si="5"/>
        <v>0.47304000000000002</v>
      </c>
      <c r="Y24" s="399"/>
      <c r="Z24" s="399"/>
      <c r="AA24" s="399"/>
      <c r="AB24" s="400">
        <f>AC24*U24</f>
        <v>0</v>
      </c>
      <c r="AC24" s="401">
        <f>IF(((D24+I24)*$B$2)&lt;=0.1,0,((D24+I24)*T24*$B$2))</f>
        <v>0</v>
      </c>
      <c r="AD24" s="563">
        <v>15</v>
      </c>
      <c r="AE24" s="261"/>
      <c r="AF24" s="26"/>
      <c r="AG24" s="26"/>
      <c r="AH24" s="26"/>
      <c r="AI24" s="26"/>
      <c r="AJ24" s="26"/>
      <c r="AK24" s="26"/>
      <c r="AL24" s="26"/>
      <c r="AM24" s="26"/>
      <c r="AN24" s="261"/>
      <c r="AO24" s="261"/>
      <c r="AP24" s="261"/>
      <c r="AQ24" s="261"/>
      <c r="AR24" s="261"/>
    </row>
    <row r="25" spans="1:49">
      <c r="A25" s="387" t="s">
        <v>653</v>
      </c>
      <c r="B25" s="231" t="s">
        <v>137</v>
      </c>
      <c r="C25" s="232">
        <f>SUMIFS(INDEX(Table7[],,MATCH($C$6,Table7[#Headers],0)),Table7[MainSpaceHeatingFuel],B12, Table7[Avg. HSMainSystemEfficiency],"&lt;101")</f>
        <v>424797056</v>
      </c>
      <c r="D25" s="232">
        <f>SUMIFS(INDEX(Table7[],,MATCH($D$6,Table7[#Headers],0)),Table7[MainSpaceHeatingFuel],B25,Table7[Avg. HSMainSystemEfficiency],"&lt;101")</f>
        <v>157332239</v>
      </c>
      <c r="E25" s="232">
        <f>SUMIFS(INDEX(Table7[],,MATCH($E$6,Table7[#Headers],0)),Table7[MainSpaceHeatingFuel],B25,Table7[Avg. HSMainSystemEfficiency],"&lt;101")</f>
        <v>37772</v>
      </c>
      <c r="F25" s="232">
        <f>SUMIFS(INDEX(Table7[],,MATCH($F$6,Table7[#Headers],0)),Table7[MainSpaceHeatingFuel],B25,Table7[Avg. HSMainSystemEfficiency],"&lt;101")</f>
        <v>2257295</v>
      </c>
      <c r="G25" s="232">
        <f>AVERAGEIFS(INDEX(Table7[],,MATCH($G$6,Table7[#Headers],0)),Table7[MainSpaceHeatingFuel],B25,Table7[Avg. HSMainSystemEfficiency],"&lt;101")</f>
        <v>100</v>
      </c>
      <c r="H25" s="232">
        <f>SUMIFS(INDEX(Table7[],,MATCH($H$6,Table7[#Headers],0)),Table7[SupplSHFuelName],B25,Table7[Avg. HSMainSystemEfficiency],"&lt;101")</f>
        <v>56753899</v>
      </c>
      <c r="I25" s="232">
        <f>SUMIFS(INDEX(Table7[],,MATCH($I$6,Table7[#Headers],0)),Table7[SupplSHFuelName],B25,Table7[Avg. HSMainSystemEfficiency],"&lt;101")</f>
        <v>21019963</v>
      </c>
      <c r="J25" s="232">
        <f>SUMIFS(INDEX(Table7[],,MATCH($J$6,Table7[#Headers],0)),Table7[SupplSHFuelName],B25,Table7[Avg. HSMainSystemEfficiency],"&lt;101")</f>
        <v>33899</v>
      </c>
      <c r="K25" s="261"/>
      <c r="L25" s="405"/>
      <c r="M25" s="402"/>
      <c r="N25" s="402"/>
      <c r="O25" s="402"/>
      <c r="P25" s="402"/>
      <c r="Q25" s="402"/>
      <c r="R25" s="402"/>
      <c r="S25" s="404"/>
      <c r="T25" s="402"/>
      <c r="U25" s="404"/>
      <c r="V25" s="402"/>
      <c r="W25" s="402"/>
      <c r="X25" s="402"/>
      <c r="Y25" s="402"/>
      <c r="Z25" s="402"/>
      <c r="AA25" s="402"/>
      <c r="AB25" s="402"/>
      <c r="AC25" s="402"/>
      <c r="AD25" s="402"/>
      <c r="AE25" s="261"/>
      <c r="AF25" s="26"/>
      <c r="AG25" s="26"/>
      <c r="AH25" s="26"/>
      <c r="AI25" s="26"/>
      <c r="AJ25" s="26"/>
      <c r="AK25" s="26"/>
      <c r="AL25" s="26"/>
      <c r="AM25" s="26"/>
      <c r="AN25" s="261"/>
      <c r="AO25" s="261"/>
      <c r="AP25" s="261"/>
      <c r="AQ25" s="261"/>
      <c r="AR25" s="261"/>
    </row>
    <row r="26" spans="1:49">
      <c r="A26" s="261"/>
      <c r="B26" s="261"/>
      <c r="C26" s="261"/>
      <c r="D26" s="261"/>
      <c r="E26" s="261"/>
      <c r="F26" s="261"/>
      <c r="G26" s="261"/>
      <c r="H26" s="261"/>
      <c r="I26" s="261"/>
      <c r="J26" s="261"/>
      <c r="K26" s="261"/>
      <c r="L26" s="405"/>
      <c r="M26" s="402"/>
      <c r="N26" s="402"/>
      <c r="O26" s="402"/>
      <c r="P26" s="402"/>
      <c r="Q26" s="402"/>
      <c r="R26" s="402"/>
      <c r="S26" s="404"/>
      <c r="T26" s="402"/>
      <c r="U26" s="404"/>
      <c r="V26" s="402"/>
      <c r="W26" s="402"/>
      <c r="X26" s="402"/>
      <c r="Y26" s="402"/>
      <c r="Z26" s="402"/>
      <c r="AA26" s="402"/>
      <c r="AB26" s="402"/>
      <c r="AC26" s="402"/>
      <c r="AD26" s="402"/>
      <c r="AE26" s="261"/>
      <c r="AF26" s="388"/>
      <c r="AG26" s="388"/>
      <c r="AH26" s="388"/>
      <c r="AI26" s="388"/>
      <c r="AJ26" s="388"/>
      <c r="AK26" s="388"/>
      <c r="AL26" s="388"/>
      <c r="AM26" s="261"/>
      <c r="AN26" s="261"/>
      <c r="AO26" s="261"/>
      <c r="AP26" s="261"/>
      <c r="AQ26" s="261"/>
      <c r="AR26" s="261"/>
      <c r="AS26" s="261"/>
      <c r="AT26" s="261"/>
    </row>
    <row r="27" spans="1:49" ht="21.5" thickBot="1">
      <c r="A27" s="50" t="s">
        <v>499</v>
      </c>
      <c r="B27" s="50"/>
      <c r="C27" s="50"/>
      <c r="D27" s="50"/>
      <c r="E27" s="50"/>
      <c r="F27" s="50"/>
      <c r="G27" s="50"/>
      <c r="H27" s="50"/>
      <c r="I27" s="50"/>
      <c r="J27" s="50"/>
      <c r="K27" s="261"/>
      <c r="L27" s="388"/>
      <c r="M27" s="388"/>
      <c r="N27" s="388"/>
      <c r="O27" s="388"/>
      <c r="P27" s="388"/>
      <c r="Q27" s="388"/>
      <c r="R27" s="388"/>
      <c r="S27" s="384">
        <f>SUM(S6:S25)</f>
        <v>211.81988499999997</v>
      </c>
      <c r="T27" s="388"/>
      <c r="U27" s="388"/>
      <c r="V27" s="388"/>
      <c r="W27" s="388"/>
      <c r="X27" s="388"/>
      <c r="Y27" s="388"/>
      <c r="Z27" s="388"/>
      <c r="AA27" s="388"/>
      <c r="AB27" s="382">
        <f>SUM(AB6:AB25)</f>
        <v>2.6198878444676876</v>
      </c>
      <c r="AC27" s="382">
        <f>SUM(AC6:AC25)</f>
        <v>2.5024563392652799</v>
      </c>
      <c r="AD27" s="261"/>
      <c r="AE27" s="261"/>
      <c r="AF27" s="388"/>
      <c r="AG27" s="388"/>
      <c r="AH27" s="388"/>
      <c r="AI27" s="388"/>
      <c r="AJ27" s="388"/>
      <c r="AK27" s="388"/>
      <c r="AL27" s="388"/>
      <c r="AM27" s="261"/>
      <c r="AN27" s="261"/>
      <c r="AO27" s="261"/>
      <c r="AP27" s="261"/>
      <c r="AQ27" s="261"/>
      <c r="AR27" s="261"/>
      <c r="AS27" s="261"/>
      <c r="AT27" s="261"/>
    </row>
    <row r="28" spans="1:49" ht="15" thickBot="1">
      <c r="A28" s="261"/>
      <c r="B28" s="1150" t="s">
        <v>643</v>
      </c>
      <c r="C28" s="1151"/>
      <c r="D28" s="1151"/>
      <c r="E28" s="1151"/>
      <c r="F28" s="1151"/>
      <c r="G28" s="1152"/>
      <c r="H28" s="1150" t="s">
        <v>644</v>
      </c>
      <c r="I28" s="1151"/>
      <c r="J28" s="1152"/>
      <c r="K28" s="261"/>
      <c r="L28" s="261"/>
      <c r="M28" s="261"/>
      <c r="N28" s="261"/>
      <c r="O28" s="261"/>
      <c r="P28" s="261"/>
      <c r="Q28" s="261"/>
      <c r="R28" s="261"/>
      <c r="S28" s="261"/>
      <c r="T28" s="261"/>
      <c r="U28" s="261"/>
      <c r="V28" s="261"/>
      <c r="W28" s="261"/>
      <c r="X28" s="261"/>
      <c r="Y28" s="261"/>
      <c r="Z28" s="261"/>
      <c r="AA28" s="261"/>
      <c r="AB28" s="261"/>
      <c r="AC28" s="261"/>
      <c r="AD28" s="561"/>
      <c r="AE28" s="561"/>
      <c r="AF28" s="388"/>
      <c r="AG28" s="561"/>
      <c r="AH28" s="388"/>
      <c r="AI28" s="388"/>
      <c r="AJ28" s="388"/>
      <c r="AK28" s="388"/>
      <c r="AL28" s="388"/>
      <c r="AM28" s="261"/>
      <c r="AN28" s="261"/>
      <c r="AO28" s="261"/>
      <c r="AP28" s="261"/>
      <c r="AQ28" s="261"/>
      <c r="AR28" s="261"/>
      <c r="AS28" s="261"/>
      <c r="AT28" s="261"/>
    </row>
    <row r="29" spans="1:49" ht="21.5" thickBot="1">
      <c r="A29" s="261"/>
      <c r="B29" s="229"/>
      <c r="C29" s="229" t="s">
        <v>389</v>
      </c>
      <c r="D29" s="229" t="s">
        <v>389</v>
      </c>
      <c r="E29" s="229" t="s">
        <v>640</v>
      </c>
      <c r="F29" s="229" t="s">
        <v>390</v>
      </c>
      <c r="G29" s="229" t="s">
        <v>391</v>
      </c>
      <c r="H29" s="229" t="s">
        <v>389</v>
      </c>
      <c r="I29" s="229" t="s">
        <v>389</v>
      </c>
      <c r="J29" s="229" t="s">
        <v>639</v>
      </c>
      <c r="K29" s="261"/>
      <c r="L29" s="49"/>
      <c r="M29" s="49" t="s">
        <v>499</v>
      </c>
      <c r="N29" s="49"/>
      <c r="O29" s="49"/>
      <c r="P29" s="49"/>
      <c r="Q29" s="53" t="s">
        <v>768</v>
      </c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261"/>
      <c r="AF29" s="19" t="s">
        <v>767</v>
      </c>
      <c r="AG29" s="19"/>
      <c r="AH29" s="509"/>
      <c r="AI29" s="509"/>
      <c r="AJ29" s="509"/>
      <c r="AK29" s="509"/>
      <c r="AL29" s="509"/>
      <c r="AM29" s="509"/>
      <c r="AN29" s="261"/>
      <c r="AO29" s="261"/>
      <c r="AP29" s="261"/>
      <c r="AQ29" s="261"/>
      <c r="AR29" s="261"/>
      <c r="AS29" s="261"/>
      <c r="AT29" s="261"/>
      <c r="AU29" s="261"/>
      <c r="AV29" s="261"/>
    </row>
    <row r="30" spans="1:49" ht="28" customHeight="1" thickBot="1">
      <c r="A30" s="261"/>
      <c r="B30" s="296" t="s">
        <v>410</v>
      </c>
      <c r="C30" s="296" t="s">
        <v>420</v>
      </c>
      <c r="D30" s="296" t="s">
        <v>421</v>
      </c>
      <c r="E30" s="296" t="s">
        <v>398</v>
      </c>
      <c r="F30" s="296" t="s">
        <v>399</v>
      </c>
      <c r="G30" s="296" t="s">
        <v>254</v>
      </c>
      <c r="H30" s="296" t="s">
        <v>422</v>
      </c>
      <c r="I30" s="296" t="s">
        <v>423</v>
      </c>
      <c r="J30" s="296" t="s">
        <v>398</v>
      </c>
      <c r="K30" s="261"/>
      <c r="L30" s="21" t="s">
        <v>764</v>
      </c>
      <c r="M30" s="21" t="s">
        <v>255</v>
      </c>
      <c r="N30" s="21" t="s">
        <v>267</v>
      </c>
      <c r="O30" s="21" t="s">
        <v>257</v>
      </c>
      <c r="P30" s="21" t="s">
        <v>826</v>
      </c>
      <c r="Q30" s="21" t="s">
        <v>258</v>
      </c>
      <c r="R30" s="21" t="s">
        <v>388</v>
      </c>
      <c r="S30" s="27" t="s">
        <v>268</v>
      </c>
      <c r="T30" s="21" t="s">
        <v>492</v>
      </c>
      <c r="U30" s="21" t="s">
        <v>259</v>
      </c>
      <c r="V30" s="21" t="s">
        <v>638</v>
      </c>
      <c r="W30" s="27" t="s">
        <v>260</v>
      </c>
      <c r="X30" s="27" t="s">
        <v>270</v>
      </c>
      <c r="Y30" s="31" t="s">
        <v>708</v>
      </c>
      <c r="Z30" s="31" t="s">
        <v>709</v>
      </c>
      <c r="AA30" s="21" t="s">
        <v>828</v>
      </c>
      <c r="AB30" s="27" t="s">
        <v>637</v>
      </c>
      <c r="AC30" s="31" t="s">
        <v>636</v>
      </c>
      <c r="AD30" s="31" t="s">
        <v>829</v>
      </c>
      <c r="AE30" s="261"/>
      <c r="AF30" s="21" t="s">
        <v>261</v>
      </c>
      <c r="AG30" s="21" t="s">
        <v>764</v>
      </c>
      <c r="AH30" s="21" t="s">
        <v>255</v>
      </c>
      <c r="AI30" s="21" t="s">
        <v>256</v>
      </c>
      <c r="AJ30" s="21" t="s">
        <v>262</v>
      </c>
      <c r="AK30" s="21" t="s">
        <v>263</v>
      </c>
      <c r="AL30" s="21" t="s">
        <v>264</v>
      </c>
      <c r="AM30" s="21" t="s">
        <v>265</v>
      </c>
      <c r="AN30" s="261"/>
      <c r="AO30" s="261"/>
      <c r="AP30" s="261"/>
      <c r="AQ30" s="261"/>
      <c r="AR30" s="260"/>
      <c r="AS30" s="260"/>
      <c r="AT30" s="260"/>
      <c r="AU30" s="260"/>
      <c r="AV30" s="260"/>
      <c r="AW30" s="260"/>
    </row>
    <row r="31" spans="1:49" ht="26.5" thickBot="1">
      <c r="A31" s="261"/>
      <c r="B31" s="231" t="s">
        <v>578</v>
      </c>
      <c r="C31" s="232">
        <f>SUMIFS(INDEX(Table7[],,MATCH($C$30,Table7[#Headers],0)),Table7[MainWaterHeatingFuel],B31)</f>
        <v>0</v>
      </c>
      <c r="D31" s="232">
        <f>SUMIFS(INDEX(Table7[],,MATCH($D$30,Table7[#Headers],0)),Table7[MainWaterHeatingFuel],B31)</f>
        <v>0</v>
      </c>
      <c r="E31" s="232">
        <f>SUMIFS(INDEX(Table7[],,MATCH($E$30,Table7[#Headers],0)),Table7[MainWaterHeatingFuel],B31)</f>
        <v>0</v>
      </c>
      <c r="F31" s="232">
        <f>SUMIFS(INDEX(Table7[],,MATCH($F$30,Table7[#Headers],0)),Table7[MainWaterHeatingFuel],B31)</f>
        <v>0</v>
      </c>
      <c r="G31" s="232"/>
      <c r="H31" s="232">
        <f>SUMIFS(INDEX(Table7[],,MATCH($H$30,Table7[#Headers],0)),Table7[SupplWHFuelName],B31)</f>
        <v>0</v>
      </c>
      <c r="I31" s="232">
        <f>SUMIFS(INDEX(Table7[],,MATCH($I$30,Table7[#Headers],0)),Table7[SupplWHFuelName],B31)</f>
        <v>0</v>
      </c>
      <c r="J31" s="232">
        <f>SUMIFS(INDEX(Table7[],,MATCH($J$30,Table7[#Headers],0)),Table7[SupplWHFuelName],B31)</f>
        <v>0</v>
      </c>
      <c r="K31" s="261"/>
      <c r="L31" s="22" t="s">
        <v>771</v>
      </c>
      <c r="M31" s="22" t="s">
        <v>271</v>
      </c>
      <c r="N31" s="22" t="s">
        <v>272</v>
      </c>
      <c r="O31" s="22" t="s">
        <v>273</v>
      </c>
      <c r="P31" s="22" t="s">
        <v>827</v>
      </c>
      <c r="Q31" s="22" t="s">
        <v>274</v>
      </c>
      <c r="R31" s="22"/>
      <c r="S31" s="29" t="s">
        <v>275</v>
      </c>
      <c r="T31" s="22"/>
      <c r="U31" s="22" t="s">
        <v>391</v>
      </c>
      <c r="V31" s="22" t="s">
        <v>391</v>
      </c>
      <c r="W31" s="28"/>
      <c r="X31" s="28"/>
      <c r="Y31" s="212" t="s">
        <v>391</v>
      </c>
      <c r="Z31" s="28" t="s">
        <v>710</v>
      </c>
      <c r="AA31" s="22"/>
      <c r="AB31" s="28" t="s">
        <v>13</v>
      </c>
      <c r="AC31" s="212" t="s">
        <v>13</v>
      </c>
      <c r="AD31" s="212" t="s">
        <v>830</v>
      </c>
      <c r="AE31" s="261"/>
      <c r="AF31" s="407" t="s">
        <v>254</v>
      </c>
      <c r="AG31" s="407"/>
      <c r="AH31" s="407"/>
      <c r="AI31" s="408"/>
      <c r="AJ31" s="407"/>
      <c r="AK31" s="407"/>
      <c r="AL31" s="407"/>
      <c r="AM31" s="407"/>
      <c r="AN31" s="261"/>
      <c r="AO31" s="261"/>
      <c r="AP31" s="261"/>
      <c r="AQ31" s="261"/>
      <c r="AR31" s="260"/>
      <c r="AS31" s="260"/>
      <c r="AT31" s="260"/>
      <c r="AU31" s="260"/>
      <c r="AV31" s="260"/>
      <c r="AW31" s="260"/>
    </row>
    <row r="32" spans="1:49">
      <c r="A32" s="261"/>
      <c r="B32" s="230" t="s">
        <v>403</v>
      </c>
      <c r="C32" s="233">
        <f>SUMIFS(INDEX(Table7[],,MATCH($C$30,Table7[#Headers],0)),Table7[MainWaterHeatingFuel],B32)</f>
        <v>23670</v>
      </c>
      <c r="D32" s="233">
        <f>SUMIFS(INDEX(Table7[],,MATCH($D$30,Table7[#Headers],0)),Table7[MainWaterHeatingFuel],B32)</f>
        <v>8766</v>
      </c>
      <c r="E32" s="233">
        <f>SUMIFS(INDEX(Table7[],,MATCH($E$30,Table7[#Headers],0)),Table7[MainWaterHeatingFuel],B32)</f>
        <v>4</v>
      </c>
      <c r="F32" s="233">
        <f>SUMIFS(INDEX(Table7[],,MATCH($F$30,Table7[#Headers],0)),Table7[MainWaterHeatingFuel],B32)</f>
        <v>244</v>
      </c>
      <c r="G32" s="233"/>
      <c r="H32" s="233">
        <f>SUMIFS(INDEX(Table7[],,MATCH($H$30,Table7[#Headers],0)),Table7[SupplWHFuelName],B32)</f>
        <v>0</v>
      </c>
      <c r="I32" s="233">
        <f>SUMIFS(INDEX(Table7[],,MATCH($I$30,Table7[#Headers],0)),Table7[SupplWHFuelName],B32)</f>
        <v>0</v>
      </c>
      <c r="J32" s="233">
        <f>SUMIFS(INDEX(Table7[],,MATCH($J$30,Table7[#Headers],0)),Table7[SupplWHFuelName],B32)</f>
        <v>0</v>
      </c>
      <c r="K32" s="261"/>
      <c r="L32" s="24" t="s">
        <v>254</v>
      </c>
      <c r="M32" s="24" t="s">
        <v>254</v>
      </c>
      <c r="N32" s="24"/>
      <c r="O32" s="24"/>
      <c r="P32" s="24"/>
      <c r="Q32" s="24"/>
      <c r="R32" s="297">
        <f>SUM(R33:R51)</f>
        <v>0.99961727430130343</v>
      </c>
      <c r="S32" s="24"/>
      <c r="T32" s="32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61"/>
      <c r="AF32" s="409" t="str">
        <f>"*"&amp; A31 &amp; " Rating"</f>
        <v>* Rating</v>
      </c>
      <c r="AG32" s="409"/>
      <c r="AH32" s="410"/>
      <c r="AI32" s="410"/>
      <c r="AJ32" s="410"/>
      <c r="AK32" s="410"/>
      <c r="AL32" s="410"/>
      <c r="AM32" s="410"/>
      <c r="AN32" s="261"/>
      <c r="AO32" s="261"/>
      <c r="AP32" s="261"/>
      <c r="AQ32" s="261"/>
      <c r="AR32" s="260"/>
      <c r="AS32" s="260"/>
      <c r="AT32" s="260"/>
      <c r="AU32" s="260"/>
      <c r="AV32" s="260"/>
    </row>
    <row r="33" spans="1:48">
      <c r="A33" s="261"/>
      <c r="B33" s="231" t="s">
        <v>404</v>
      </c>
      <c r="C33" s="232">
        <f>SUMIFS(INDEX(Table7[],,MATCH($C$30,Table7[#Headers],0)),Table7[MainWaterHeatingFuel],B33)</f>
        <v>21387</v>
      </c>
      <c r="D33" s="232">
        <f>SUMIFS(INDEX(Table7[],,MATCH($D$30,Table7[#Headers],0)),Table7[MainWaterHeatingFuel],B33)</f>
        <v>7921</v>
      </c>
      <c r="E33" s="232">
        <f>SUMIFS(INDEX(Table7[],,MATCH($E$30,Table7[#Headers],0)),Table7[MainWaterHeatingFuel],B33)</f>
        <v>3</v>
      </c>
      <c r="F33" s="232">
        <f>SUMIFS(INDEX(Table7[],,MATCH($F$30,Table7[#Headers],0)),Table7[MainWaterHeatingFuel],B33)</f>
        <v>302</v>
      </c>
      <c r="G33" s="232"/>
      <c r="H33" s="232">
        <f>SUMIFS(INDEX(Table7[],,MATCH($H$30,Table7[#Headers],0)),Table7[SupplWHFuelName],B33)</f>
        <v>0</v>
      </c>
      <c r="I33" s="232">
        <f>SUMIFS(INDEX(Table7[],,MATCH($I$30,Table7[#Headers],0)),Table7[SupplWHFuelName],B33)</f>
        <v>0</v>
      </c>
      <c r="J33" s="232">
        <f>SUMIFS(INDEX(Table7[],,MATCH($J$30,Table7[#Headers],0)),Table7[SupplWHFuelName],B33)</f>
        <v>0</v>
      </c>
      <c r="K33" s="261"/>
      <c r="L33" s="294" t="str">
        <f>_xlfn.TEXTJOIN(",",TRUE,IF(LEFT(Regions!$C$3,1)&lt;&gt;"*",Regions!$C$3,""),IF(LEFT(Regions!$D$3,1)&lt;&gt;"*",Regions!$D$3,""))</f>
        <v>IE,National</v>
      </c>
      <c r="M33" s="294" t="str">
        <f>LEFT(SETUP!B3,1)&amp;"-"&amp;RIGHT(COMM!$O$30,6)&amp;"_"&amp;RIGHT(O33,LEN(O33)-3)&amp;"_"&amp;SETUP!$B$64</f>
        <v>R-WH_Apt_COA_X0</v>
      </c>
      <c r="N33" s="294" t="str">
        <f>COMM!$P$30&amp;" "&amp;COMM!F6&amp;" "&amp;SETUP!$C$64</f>
        <v>Residential Water Heating Apartment Coal to Residential Existing 00</v>
      </c>
      <c r="O33" s="294" t="str">
        <f>COMM!$E$6</f>
        <v>RSDCOA</v>
      </c>
      <c r="P33" s="294"/>
      <c r="Q33" s="294" t="str">
        <f>COMM!$O$30</f>
        <v>RSDWH_Apt</v>
      </c>
      <c r="R33" s="1071">
        <f>(E31+E38+E40)/SUM($E$31:$E$49)*0-($R$51/7)*0</f>
        <v>0</v>
      </c>
      <c r="S33" s="390">
        <f>R33*DwellingStocks!$I$28/1000</f>
        <v>0</v>
      </c>
      <c r="T33" s="444">
        <f>IFERROR((S33*1000)/(E31+E38+E40),0)+1.0376</f>
        <v>1.0376000000000001</v>
      </c>
      <c r="U33" s="569">
        <f t="shared" ref="U33:U38" si="6">U7</f>
        <v>0.59018803418803423</v>
      </c>
      <c r="V33" s="569">
        <f>+V36</f>
        <v>0.12</v>
      </c>
      <c r="W33" s="393">
        <v>20</v>
      </c>
      <c r="X33" s="391">
        <f t="shared" ref="X33:X40" si="7">31.536*(AD33/1000)</f>
        <v>9.4608000000000012E-2</v>
      </c>
      <c r="Y33" s="393"/>
      <c r="Z33" s="393"/>
      <c r="AA33" s="393"/>
      <c r="AB33" s="394">
        <f t="shared" ref="AB33:AB40" si="8">AC33*U33</f>
        <v>0</v>
      </c>
      <c r="AC33" s="394">
        <f>IF(((D31+I31+D38+I38+D40+I40)*$B$2)&lt;=0.1,0,((D31+I31+D38+I38+D40+I40)*T33*$B$2))</f>
        <v>0</v>
      </c>
      <c r="AD33" s="393">
        <v>3</v>
      </c>
      <c r="AE33" s="261"/>
      <c r="AF33" s="294" t="s">
        <v>266</v>
      </c>
      <c r="AG33" s="294" t="str">
        <f>_xlfn.TEXTJOIN(",",TRUE,IF(LEFT(Regions!$C$3,1)&lt;&gt;"*",Regions!$C$3,""),IF(LEFT(Regions!$D$3,1)&lt;&gt;"*",Regions!$D$3,""))</f>
        <v>IE,National</v>
      </c>
      <c r="AH33" s="294" t="str">
        <f t="shared" ref="AH33:AI38" si="9">M33</f>
        <v>R-WH_Apt_COA_X0</v>
      </c>
      <c r="AI33" s="294" t="str">
        <f t="shared" si="9"/>
        <v>Residential Water Heating Apartment Coal to Residential Existing 00</v>
      </c>
      <c r="AJ33" s="294" t="s">
        <v>13</v>
      </c>
      <c r="AK33" s="294" t="s">
        <v>275</v>
      </c>
      <c r="AL33" s="294"/>
      <c r="AM33" s="294"/>
      <c r="AN33" s="261"/>
      <c r="AO33" s="261"/>
      <c r="AP33" s="261"/>
      <c r="AQ33" s="261"/>
      <c r="AR33" s="260"/>
      <c r="AS33" s="260"/>
      <c r="AT33" s="260"/>
      <c r="AU33" s="260"/>
      <c r="AV33" s="260"/>
    </row>
    <row r="34" spans="1:48">
      <c r="A34" s="261"/>
      <c r="B34" s="230" t="s">
        <v>425</v>
      </c>
      <c r="C34" s="233">
        <f>SUMIFS(INDEX(Table7[],,MATCH($C$30,Table7[#Headers],0)),Table7[MainWaterHeatingFuel],B34)</f>
        <v>287146</v>
      </c>
      <c r="D34" s="233">
        <f>SUMIFS(INDEX(Table7[],,MATCH($D$30,Table7[#Headers],0)),Table7[MainWaterHeatingFuel],B34)</f>
        <v>261039</v>
      </c>
      <c r="E34" s="233">
        <f>SUMIFS(INDEX(Table7[],,MATCH($E$30,Table7[#Headers],0)),Table7[MainWaterHeatingFuel],B34)</f>
        <v>79</v>
      </c>
      <c r="F34" s="233">
        <f>SUMIFS(INDEX(Table7[],,MATCH($F$30,Table7[#Headers],0)),Table7[MainWaterHeatingFuel],B34)</f>
        <v>6730</v>
      </c>
      <c r="G34" s="233"/>
      <c r="H34" s="233">
        <f>SUMIFS(INDEX(Table7[],,MATCH($H$30,Table7[#Headers],0)),Table7[SupplWHFuelName],B34)</f>
        <v>0</v>
      </c>
      <c r="I34" s="233">
        <f>SUMIFS(INDEX(Table7[],,MATCH($I$30,Table7[#Headers],0)),Table7[SupplWHFuelName],B34)</f>
        <v>0</v>
      </c>
      <c r="J34" s="233">
        <f>SUMIFS(INDEX(Table7[],,MATCH($J$30,Table7[#Headers],0)),Table7[SupplWHFuelName],B34)</f>
        <v>0</v>
      </c>
      <c r="K34" s="261"/>
      <c r="L34" s="26" t="str">
        <f>_xlfn.TEXTJOIN(",",TRUE,IF(LEFT(Regions!$C$3,1)&lt;&gt;"*",Regions!$C$3,""),IF(LEFT(Regions!$D$3,1)&lt;&gt;"*",Regions!$D$3,""))</f>
        <v>IE,National</v>
      </c>
      <c r="M34" s="26" t="str">
        <f>LEFT(SETUP!B3,1)&amp;"-"&amp;RIGHT(COMM!$O$30,6)&amp;"_"&amp;RIGHT(O34,LEN(O34)-3)&amp;"_"&amp;SETUP!$B$64</f>
        <v>R-WH_Apt_BDL_X0</v>
      </c>
      <c r="N34" s="395" t="str">
        <f>COMM!$P$30&amp;" "&amp;COMM!F21&amp;" "&amp;SETUP!$C$64</f>
        <v>Residential Water Heating Apartment Biodiesel to Residential Existing 00</v>
      </c>
      <c r="O34" s="26" t="str">
        <f>COMM!$E$21</f>
        <v>RSDBDL</v>
      </c>
      <c r="P34" s="26"/>
      <c r="Q34" s="26" t="str">
        <f>COMM!$O$30</f>
        <v>RSDWH_Apt</v>
      </c>
      <c r="R34" s="1071">
        <f>E32/SUM($E$31:$E$49)*0</f>
        <v>0</v>
      </c>
      <c r="S34" s="397">
        <f>R34*DwellingStocks!$I$28/1000</f>
        <v>0</v>
      </c>
      <c r="T34" s="398">
        <f>IFERROR((S34*1000)/E32,0)</f>
        <v>0</v>
      </c>
      <c r="U34" s="570">
        <f t="shared" si="6"/>
        <v>0.9</v>
      </c>
      <c r="V34" s="569">
        <f>+V36</f>
        <v>0.12</v>
      </c>
      <c r="W34" s="399">
        <v>20</v>
      </c>
      <c r="X34" s="567">
        <f t="shared" si="7"/>
        <v>9.4608000000000012E-2</v>
      </c>
      <c r="Y34" s="399"/>
      <c r="Z34" s="399"/>
      <c r="AA34" s="399"/>
      <c r="AB34" s="400">
        <f t="shared" si="8"/>
        <v>0</v>
      </c>
      <c r="AC34" s="401">
        <f>IF(((D32+I32)*$B$2)&lt;=0.1,0,((D32+I32)*T34*$B$2))</f>
        <v>0</v>
      </c>
      <c r="AD34" s="563">
        <v>3</v>
      </c>
      <c r="AE34" s="261"/>
      <c r="AF34" s="26" t="s">
        <v>266</v>
      </c>
      <c r="AG34" s="26" t="str">
        <f>_xlfn.TEXTJOIN(",",TRUE,IF(LEFT(Regions!$C$3,1)&lt;&gt;"*",Regions!$C$3,""),IF(LEFT(Regions!$D$3,1)&lt;&gt;"*",Regions!$D$3,""))</f>
        <v>IE,National</v>
      </c>
      <c r="AH34" s="26" t="str">
        <f t="shared" si="9"/>
        <v>R-WH_Apt_BDL_X0</v>
      </c>
      <c r="AI34" s="26" t="str">
        <f t="shared" si="9"/>
        <v>Residential Water Heating Apartment Biodiesel to Residential Existing 00</v>
      </c>
      <c r="AJ34" s="26" t="s">
        <v>13</v>
      </c>
      <c r="AK34" s="26" t="s">
        <v>275</v>
      </c>
      <c r="AL34" s="26"/>
      <c r="AM34" s="26"/>
      <c r="AN34" s="261"/>
      <c r="AO34" s="261"/>
      <c r="AP34" s="261"/>
      <c r="AQ34" s="261"/>
      <c r="AR34" s="260"/>
      <c r="AS34" s="260"/>
      <c r="AT34" s="260"/>
      <c r="AU34" s="260"/>
      <c r="AV34" s="260"/>
    </row>
    <row r="35" spans="1:48">
      <c r="A35" s="261"/>
      <c r="B35" s="231" t="s">
        <v>405</v>
      </c>
      <c r="C35" s="232">
        <f>SUMIFS(INDEX(Table7[],,MATCH($C$30,Table7[#Headers],0)),Table7[MainWaterHeatingFuel],B35)</f>
        <v>6145739</v>
      </c>
      <c r="D35" s="232">
        <f>SUMIFS(INDEX(Table7[],,MATCH($D$30,Table7[#Headers],0)),Table7[MainWaterHeatingFuel],B35)</f>
        <v>5587033</v>
      </c>
      <c r="E35" s="232">
        <f>SUMIFS(INDEX(Table7[],,MATCH($E$30,Table7[#Headers],0)),Table7[MainWaterHeatingFuel],B35)</f>
        <v>1846</v>
      </c>
      <c r="F35" s="232">
        <f>SUMIFS(INDEX(Table7[],,MATCH($F$30,Table7[#Headers],0)),Table7[MainWaterHeatingFuel],B35)</f>
        <v>139323</v>
      </c>
      <c r="G35" s="232"/>
      <c r="H35" s="232">
        <f>SUMIFS(INDEX(Table7[],,MATCH($H$30,Table7[#Headers],0)),Table7[SupplWHFuelName],B35)</f>
        <v>0</v>
      </c>
      <c r="I35" s="232">
        <f>SUMIFS(INDEX(Table7[],,MATCH($I$30,Table7[#Headers],0)),Table7[SupplWHFuelName],B35)</f>
        <v>0</v>
      </c>
      <c r="J35" s="232">
        <f>SUMIFS(INDEX(Table7[],,MATCH($J$30,Table7[#Headers],0)),Table7[SupplWHFuelName],B35)</f>
        <v>0</v>
      </c>
      <c r="K35" s="261"/>
      <c r="L35" s="294" t="str">
        <f>_xlfn.TEXTJOIN(",",TRUE,IF(LEFT(Regions!$C$3,1)&lt;&gt;"*",Regions!$C$3,""),IF(LEFT(Regions!$D$3,1)&lt;&gt;"*",Regions!$D$3,""))</f>
        <v>IE,National</v>
      </c>
      <c r="M35" s="294" t="str">
        <f>LEFT(SETUP!B3,1)&amp;"-"&amp;RIGHT(COMM!$O$30,6)&amp;"_"&amp;RIGHT(O35,LEN(O35)-3)&amp;"_"&amp;SETUP!$B$64</f>
        <v>R-WH_Apt_ETH_X0</v>
      </c>
      <c r="N35" s="294" t="str">
        <f>COMM!$P$30&amp;" "&amp;COMM!F20&amp;" "&amp;SETUP!$C$64</f>
        <v>Residential Water Heating Apartment Ethanol to Residential Existing 00</v>
      </c>
      <c r="O35" s="294" t="str">
        <f>COMM!$E$20</f>
        <v>RSDETH</v>
      </c>
      <c r="P35" s="294"/>
      <c r="Q35" s="294" t="str">
        <f>COMM!$O$30</f>
        <v>RSDWH_Apt</v>
      </c>
      <c r="R35" s="1071">
        <f>E33/SUM($E$31:$E$49)</f>
        <v>2.2361692929232695E-5</v>
      </c>
      <c r="S35" s="390">
        <f>R35*DwellingStocks!$I$28/1000</f>
        <v>4.7366512246753822E-3</v>
      </c>
      <c r="T35" s="391">
        <f>IFERROR((S35*1000)/E33,0)</f>
        <v>1.5788837415584609</v>
      </c>
      <c r="U35" s="572">
        <f t="shared" si="6"/>
        <v>0.9</v>
      </c>
      <c r="V35" s="569">
        <f>IF(AB35/S35/X35=0,0.12,AB35/S35/X35)</f>
        <v>0.12</v>
      </c>
      <c r="W35" s="393">
        <v>20</v>
      </c>
      <c r="X35" s="391">
        <f t="shared" si="7"/>
        <v>9.4608000000000012E-2</v>
      </c>
      <c r="Y35" s="393"/>
      <c r="Z35" s="393"/>
      <c r="AA35" s="393"/>
      <c r="AB35" s="394">
        <f t="shared" si="8"/>
        <v>0</v>
      </c>
      <c r="AC35" s="394">
        <f>IF(((D33+I33)*$B$2)&lt;=0.1,0,((D33+I33)*T35*$B$2))</f>
        <v>0</v>
      </c>
      <c r="AD35" s="393">
        <v>3</v>
      </c>
      <c r="AE35" s="261"/>
      <c r="AF35" s="294" t="s">
        <v>266</v>
      </c>
      <c r="AG35" s="294" t="str">
        <f>_xlfn.TEXTJOIN(",",TRUE,IF(LEFT(Regions!$C$3,1)&lt;&gt;"*",Regions!$C$3,""),IF(LEFT(Regions!$D$3,1)&lt;&gt;"*",Regions!$D$3,""))</f>
        <v>IE,National</v>
      </c>
      <c r="AH35" s="294" t="str">
        <f t="shared" si="9"/>
        <v>R-WH_Apt_ETH_X0</v>
      </c>
      <c r="AI35" s="294" t="str">
        <f t="shared" si="9"/>
        <v>Residential Water Heating Apartment Ethanol to Residential Existing 00</v>
      </c>
      <c r="AJ35" s="294" t="s">
        <v>13</v>
      </c>
      <c r="AK35" s="294" t="s">
        <v>275</v>
      </c>
      <c r="AL35" s="294"/>
      <c r="AM35" s="294"/>
      <c r="AN35" s="261"/>
      <c r="AO35" s="261"/>
      <c r="AP35" s="261"/>
      <c r="AQ35" s="261"/>
      <c r="AR35" s="260"/>
      <c r="AS35" s="260"/>
      <c r="AT35" s="260"/>
      <c r="AU35" s="260"/>
      <c r="AV35" s="260"/>
    </row>
    <row r="36" spans="1:48">
      <c r="A36" s="388" t="s">
        <v>652</v>
      </c>
      <c r="B36" s="230" t="s">
        <v>137</v>
      </c>
      <c r="C36" s="233">
        <f>SUMIFS(INDEX(Table7[],,MATCH($C$30,Table7[#Headers],0)),Table7[MainWaterHeatingFuel],B36, Table7[Avg. HSMainSystemEfficiency],"&gt;100")</f>
        <v>160392552</v>
      </c>
      <c r="D36" s="233">
        <f>SUMIFS(INDEX(Table7[],,MATCH($D$30,Table7[#Headers],0)),Table7[MainWaterHeatingFuel],B36,Table7[Avg. HSMainSystemEfficiency],"&gt;100")</f>
        <v>59404649</v>
      </c>
      <c r="E36" s="233">
        <f>SUMIFS(INDEX(Table7[],,MATCH($E$30,Table7[#Headers],0)),Table7[MainWaterHeatingFuel],B36,Table7[Avg. HSMainSystemEfficiency],"&gt;100")</f>
        <v>26563</v>
      </c>
      <c r="F36" s="233">
        <f>SUMIFS(INDEX(Table7[],,MATCH($F$30,Table7[#Headers],0)),Table7[MainWaterHeatingFuel],B36,Table7[Avg. HSMainSystemEfficiency],"&gt;100")</f>
        <v>1853636</v>
      </c>
      <c r="G36" s="233"/>
      <c r="H36" s="233">
        <f>SUMIFS(INDEX(Table7[],,MATCH($H$30,Table7[#Headers],0)),Table7[SupplWHFuelName],B36,Table7[Avg. HSMainSystemEfficiency],"&gt;100")</f>
        <v>196892</v>
      </c>
      <c r="I36" s="233">
        <f>SUMIFS(INDEX(Table7[],,MATCH($I$30,Table7[#Headers],0)),Table7[SupplWHFuelName],B36,Table7[Avg. HSMainSystemEfficiency],"&gt;100")</f>
        <v>72923</v>
      </c>
      <c r="J36" s="233">
        <f>SUMIFS(INDEX(Table7[],,MATCH($J$30,Table7[#Headers],0)),Table7[SupplWHFuelName],B36,Table7[Avg. HSMainSystemEfficiency],"&gt;100")</f>
        <v>516</v>
      </c>
      <c r="K36" s="261"/>
      <c r="L36" s="26" t="str">
        <f>_xlfn.TEXTJOIN(",",TRUE,IF(LEFT(Regions!$C$3,1)&lt;&gt;"*",Regions!$C$3,""),IF(LEFT(Regions!$D$3,1)&lt;&gt;"*",Regions!$D$3,""))</f>
        <v>IE,National</v>
      </c>
      <c r="M36" s="26" t="str">
        <f>LEFT(SETUP!B3,1)&amp;"-"&amp;RIGHT(COMM!$O$30,6)&amp;"_"&amp;RIGHT(O36,LEN(O36)-3)&amp;"_"&amp;SETUP!$B$64</f>
        <v>R-WH_Apt_LPG_X0</v>
      </c>
      <c r="N36" s="395" t="str">
        <f>COMM!$P$30&amp;" "&amp;COMM!F8&amp;" "&amp;SETUP!$C$64</f>
        <v>Residential Water Heating Apartment LPG to Residential Existing 00</v>
      </c>
      <c r="O36" s="26" t="str">
        <f>COMM!$E$8</f>
        <v>RSDLPG</v>
      </c>
      <c r="P36" s="26"/>
      <c r="Q36" s="26" t="str">
        <f>COMM!$O$30</f>
        <v>RSDWH_Apt</v>
      </c>
      <c r="R36" s="396">
        <f>(E34+E35)/SUM($E$31:$E$49)-($R$51/7)</f>
        <v>1.2920181534352884E-2</v>
      </c>
      <c r="S36" s="397">
        <f>(R36)*DwellingStocks!$I$28/1000</f>
        <v>2.736751366785751</v>
      </c>
      <c r="T36" s="398">
        <f>IFERROR((S36*1000)/(E34+E35),0)+0.5284</f>
        <v>1.9500890217068836</v>
      </c>
      <c r="U36" s="571">
        <f t="shared" si="6"/>
        <v>0.80677902621722841</v>
      </c>
      <c r="V36" s="569">
        <f>IF(AB36/S36/X36=0,0.12,AB36/S36/X36)</f>
        <v>0.12</v>
      </c>
      <c r="W36" s="399">
        <v>20</v>
      </c>
      <c r="X36" s="567">
        <f t="shared" si="7"/>
        <v>9.4608000000000012E-2</v>
      </c>
      <c r="Y36" s="399"/>
      <c r="Z36" s="399"/>
      <c r="AA36" s="399"/>
      <c r="AB36" s="400">
        <f t="shared" si="8"/>
        <v>0</v>
      </c>
      <c r="AC36" s="401">
        <f>IF(((D34+I34+D35+I35)*$B$2)&lt;=0.1,0,((D34+I34+D35+I35)*T36*$B$2))</f>
        <v>0</v>
      </c>
      <c r="AD36" s="563">
        <v>3</v>
      </c>
      <c r="AE36" s="261"/>
      <c r="AF36" s="26" t="s">
        <v>266</v>
      </c>
      <c r="AG36" s="26" t="str">
        <f>_xlfn.TEXTJOIN(",",TRUE,IF(LEFT(Regions!$C$3,1)&lt;&gt;"*",Regions!$C$3,""),IF(LEFT(Regions!$D$3,1)&lt;&gt;"*",Regions!$D$3,""))</f>
        <v>IE,National</v>
      </c>
      <c r="AH36" s="26" t="str">
        <f t="shared" si="9"/>
        <v>R-WH_Apt_LPG_X0</v>
      </c>
      <c r="AI36" s="26" t="str">
        <f t="shared" si="9"/>
        <v>Residential Water Heating Apartment LPG to Residential Existing 00</v>
      </c>
      <c r="AJ36" s="26" t="s">
        <v>13</v>
      </c>
      <c r="AK36" s="26" t="s">
        <v>275</v>
      </c>
      <c r="AL36" s="26"/>
      <c r="AM36" s="26"/>
      <c r="AN36" s="261"/>
      <c r="AO36" s="261"/>
      <c r="AP36" s="261"/>
      <c r="AQ36" s="261"/>
    </row>
    <row r="37" spans="1:48">
      <c r="A37" s="261"/>
      <c r="B37" s="231" t="s">
        <v>406</v>
      </c>
      <c r="C37" s="232">
        <f>SUMIFS(INDEX(Table7[],,MATCH($C$30,Table7[#Headers],0)),Table7[MainWaterHeatingFuel],B37)</f>
        <v>17270785</v>
      </c>
      <c r="D37" s="232">
        <f>SUMIFS(INDEX(Table7[],,MATCH($D$30,Table7[#Headers],0)),Table7[MainWaterHeatingFuel],B37)</f>
        <v>15700716</v>
      </c>
      <c r="E37" s="232">
        <f>SUMIFS(INDEX(Table7[],,MATCH($E$30,Table7[#Headers],0)),Table7[MainWaterHeatingFuel],B37)</f>
        <v>3806</v>
      </c>
      <c r="F37" s="232">
        <f>SUMIFS(INDEX(Table7[],,MATCH($F$30,Table7[#Headers],0)),Table7[MainWaterHeatingFuel],B37)</f>
        <v>404195</v>
      </c>
      <c r="G37" s="232"/>
      <c r="H37" s="232">
        <f>SUMIFS(INDEX(Table7[],,MATCH($H$30,Table7[#Headers],0)),Table7[SupplWHFuelName],B37)</f>
        <v>0</v>
      </c>
      <c r="I37" s="232">
        <f>SUMIFS(INDEX(Table7[],,MATCH($I$30,Table7[#Headers],0)),Table7[SupplWHFuelName],B37)</f>
        <v>0</v>
      </c>
      <c r="J37" s="232">
        <f>SUMIFS(INDEX(Table7[],,MATCH($J$30,Table7[#Headers],0)),Table7[SupplWHFuelName],B37)</f>
        <v>0</v>
      </c>
      <c r="K37" s="261"/>
      <c r="L37" s="294" t="str">
        <f>_xlfn.TEXTJOIN(",",TRUE,IF(LEFT(Regions!$C$3,1)&lt;&gt;"*",Regions!$C$3,""),IF(LEFT(Regions!$D$3,1)&lt;&gt;"*",Regions!$D$3,""))</f>
        <v>IE,National</v>
      </c>
      <c r="M37" s="294" t="str">
        <f>LEFT(SETUP!B3,1)&amp;"-"&amp;RIGHT(COMM!$O$30,6)&amp;"_"&amp;RIGHT(O38,LEN(O38)-3)&amp;"_"&amp;SETUP!$B$64</f>
        <v>R-WH_Apt_ELC_X0</v>
      </c>
      <c r="N37" s="294" t="str">
        <f>COMM!$P$30&amp;" "&amp;COMM!F24&amp;" "&amp;SETUP!$C$64</f>
        <v>Residential Water Heating Apartment Electricity to Residential Existing 00</v>
      </c>
      <c r="O37" s="294" t="str">
        <f>COMM!$E$24</f>
        <v>RSDELC</v>
      </c>
      <c r="P37" s="294"/>
      <c r="Q37" s="294" t="str">
        <f>COMM!$O$30</f>
        <v>RSDWH_Apt</v>
      </c>
      <c r="R37" s="389">
        <f>(ArchetypeDemand!Y50*SUM(E36+E49))/SUM($E$31:$E$49)-($R$51/7)</f>
        <v>0.32466305188125721</v>
      </c>
      <c r="S37" s="390">
        <f>R37*DwellingStocks!$I$28/1000</f>
        <v>68.770090313236921</v>
      </c>
      <c r="T37" s="391">
        <f>IFERROR((S37*1000)/E49,0)-0.67619</f>
        <v>1.1444731979571356</v>
      </c>
      <c r="U37" s="569">
        <f t="shared" si="6"/>
        <v>1</v>
      </c>
      <c r="V37" s="569">
        <f t="shared" ref="V37:V38" si="10">AB37/S37/X37</f>
        <v>5.3377456313566309E-2</v>
      </c>
      <c r="W37" s="393">
        <v>20</v>
      </c>
      <c r="X37" s="391">
        <f t="shared" si="7"/>
        <v>9.4608000000000012E-2</v>
      </c>
      <c r="Y37" s="393"/>
      <c r="Z37" s="393"/>
      <c r="AA37" s="393"/>
      <c r="AB37" s="394">
        <f t="shared" si="8"/>
        <v>0.34728444386398838</v>
      </c>
      <c r="AC37" s="394">
        <f>IF(((D49+I49)*$B$2)&lt;=0.1,0,((D49+I49)*T37*$B$2))</f>
        <v>0.34728444386398838</v>
      </c>
      <c r="AD37" s="393">
        <v>3</v>
      </c>
      <c r="AE37" s="261"/>
      <c r="AF37" s="294" t="s">
        <v>266</v>
      </c>
      <c r="AG37" s="294" t="str">
        <f>_xlfn.TEXTJOIN(",",TRUE,IF(LEFT(Regions!$C$3,1)&lt;&gt;"*",Regions!$C$3,""),IF(LEFT(Regions!$D$3,1)&lt;&gt;"*",Regions!$D$3,""))</f>
        <v>IE,National</v>
      </c>
      <c r="AH37" s="294" t="str">
        <f t="shared" si="9"/>
        <v>R-WH_Apt_ELC_X0</v>
      </c>
      <c r="AI37" s="294" t="str">
        <f t="shared" si="9"/>
        <v>Residential Water Heating Apartment Electricity to Residential Existing 00</v>
      </c>
      <c r="AJ37" s="294" t="s">
        <v>13</v>
      </c>
      <c r="AK37" s="294" t="s">
        <v>275</v>
      </c>
      <c r="AL37" s="294"/>
      <c r="AM37" s="294"/>
      <c r="AN37" s="261"/>
      <c r="AO37" s="261"/>
      <c r="AP37" s="261"/>
      <c r="AQ37" s="261"/>
    </row>
    <row r="38" spans="1:48">
      <c r="A38" s="261"/>
      <c r="B38" s="230" t="s">
        <v>427</v>
      </c>
      <c r="C38" s="233">
        <f>SUMIFS(INDEX(Table7[],,MATCH($C$30,Table7[#Headers],0)),Table7[MainWaterHeatingFuel],B38)</f>
        <v>349962</v>
      </c>
      <c r="D38" s="233">
        <f>SUMIFS(INDEX(Table7[],,MATCH($D$30,Table7[#Headers],0)),Table7[MainWaterHeatingFuel],B38)</f>
        <v>318146</v>
      </c>
      <c r="E38" s="233">
        <f>SUMIFS(INDEX(Table7[],,MATCH($E$30,Table7[#Headers],0)),Table7[MainWaterHeatingFuel],B38)</f>
        <v>60</v>
      </c>
      <c r="F38" s="233">
        <f>SUMIFS(INDEX(Table7[],,MATCH($F$30,Table7[#Headers],0)),Table7[MainWaterHeatingFuel],B38)</f>
        <v>3986</v>
      </c>
      <c r="G38" s="233"/>
      <c r="H38" s="233">
        <f>SUMIFS(INDEX(Table7[],,MATCH($H$30,Table7[#Headers],0)),Table7[SupplWHFuelName],B38)</f>
        <v>0</v>
      </c>
      <c r="I38" s="233">
        <f>SUMIFS(INDEX(Table7[],,MATCH($I$30,Table7[#Headers],0)),Table7[SupplWHFuelName],B38)</f>
        <v>0</v>
      </c>
      <c r="J38" s="233">
        <f>SUMIFS(INDEX(Table7[],,MATCH($J$30,Table7[#Headers],0)),Table7[SupplWHFuelName],B38)</f>
        <v>0</v>
      </c>
      <c r="K38" s="261"/>
      <c r="L38" s="26" t="str">
        <f>_xlfn.TEXTJOIN(",",TRUE,IF(LEFT(Regions!$C$3,1)&lt;&gt;"*",Regions!$C$3,""),IF(LEFT(Regions!$D$3,1)&lt;&gt;"*",Regions!$D$3,""))</f>
        <v>IE,National</v>
      </c>
      <c r="M38" s="26" t="str">
        <f>LEFT(SETUP!B3,1)&amp;"-"&amp;RIGHT(COMM!$O$30,6)&amp;"_"&amp;RIGHT(O38,LEN(O38)-3)&amp;"_"&amp;SETUP!$B$65</f>
        <v>R-WH_Apt_ELC_X1</v>
      </c>
      <c r="N38" s="395" t="str">
        <f>COMM!$P$30&amp;" "&amp;COMM!F24&amp;" "&amp;SETUP!$C$65</f>
        <v>Residential Water Heating Apartment Electricity to Residential Existing 01</v>
      </c>
      <c r="O38" s="26" t="str">
        <f>COMM!$E$24</f>
        <v>RSDELC</v>
      </c>
      <c r="P38" s="26"/>
      <c r="Q38" s="26" t="str">
        <f>COMM!$O$30</f>
        <v>RSDWH_Apt</v>
      </c>
      <c r="R38" s="396">
        <f>(ArchetypeDemand!Z50*SUM(E36+E49))/SUM($E$31:$E$49)-($R$51/7)</f>
        <v>0.15202631012899503</v>
      </c>
      <c r="S38" s="397">
        <f>R38*DwellingStocks!$I$28/1000</f>
        <v>32.202195528498059</v>
      </c>
      <c r="T38" s="398">
        <f>IFERROR((S38*1000)/E36,0)+0.392</f>
        <v>1.6042951296351338</v>
      </c>
      <c r="U38" s="571">
        <f t="shared" si="6"/>
        <v>3.0701960784313722</v>
      </c>
      <c r="V38" s="571">
        <f t="shared" si="10"/>
        <v>0.49058779213070874</v>
      </c>
      <c r="W38" s="399">
        <v>20</v>
      </c>
      <c r="X38" s="567">
        <f>+X37</f>
        <v>9.4608000000000012E-2</v>
      </c>
      <c r="Y38" s="399"/>
      <c r="Z38" s="399"/>
      <c r="AA38" s="399"/>
      <c r="AB38" s="400">
        <f t="shared" si="8"/>
        <v>1.4946175630079022</v>
      </c>
      <c r="AC38" s="401">
        <f>IF(((D49+I49)*$B$2)&lt;=0.1,0,((D49+I49)*T38*$B$2))</f>
        <v>0.4868150192451336</v>
      </c>
      <c r="AD38" s="563">
        <v>1</v>
      </c>
      <c r="AE38" s="261"/>
      <c r="AF38" s="26" t="s">
        <v>266</v>
      </c>
      <c r="AG38" s="26" t="str">
        <f>_xlfn.TEXTJOIN(",",TRUE,IF(LEFT(Regions!$C$3,1)&lt;&gt;"*",Regions!$C$3,""),IF(LEFT(Regions!$D$3,1)&lt;&gt;"*",Regions!$D$3,""))</f>
        <v>IE,National</v>
      </c>
      <c r="AH38" s="26" t="str">
        <f t="shared" si="9"/>
        <v>R-WH_Apt_ELC_X1</v>
      </c>
      <c r="AI38" s="26" t="str">
        <f t="shared" si="9"/>
        <v>Residential Water Heating Apartment Electricity to Residential Existing 01</v>
      </c>
      <c r="AJ38" s="26" t="s">
        <v>13</v>
      </c>
      <c r="AK38" s="26" t="s">
        <v>275</v>
      </c>
      <c r="AL38" s="26"/>
      <c r="AM38" s="26"/>
      <c r="AN38" s="261"/>
      <c r="AO38" s="261"/>
      <c r="AP38" s="261"/>
      <c r="AQ38" s="261"/>
    </row>
    <row r="39" spans="1:48">
      <c r="A39" s="261"/>
      <c r="B39" s="231" t="s">
        <v>407</v>
      </c>
      <c r="C39" s="232">
        <f>SUMIFS(INDEX(Table7[],,MATCH($C$30,Table7[#Headers],0)),Table7[MainWaterHeatingFuel],B39)</f>
        <v>204680121</v>
      </c>
      <c r="D39" s="232">
        <f>SUMIFS(INDEX(Table7[],,MATCH($D$30,Table7[#Headers],0)),Table7[MainWaterHeatingFuel],B39)</f>
        <v>186072838</v>
      </c>
      <c r="E39" s="232">
        <f>SUMIFS(INDEX(Table7[],,MATCH($E$30,Table7[#Headers],0)),Table7[MainWaterHeatingFuel],B39)</f>
        <v>54499</v>
      </c>
      <c r="F39" s="232">
        <f>SUMIFS(INDEX(Table7[],,MATCH($F$30,Table7[#Headers],0)),Table7[MainWaterHeatingFuel],B39)</f>
        <v>4033814</v>
      </c>
      <c r="G39" s="232"/>
      <c r="H39" s="232">
        <f>SUMIFS(INDEX(Table7[],,MATCH($H$30,Table7[#Headers],0)),Table7[SupplWHFuelName],B39)</f>
        <v>0</v>
      </c>
      <c r="I39" s="232">
        <f>SUMIFS(INDEX(Table7[],,MATCH($I$30,Table7[#Headers],0)),Table7[SupplWHFuelName],B39)</f>
        <v>0</v>
      </c>
      <c r="J39" s="232">
        <f>SUMIFS(INDEX(Table7[],,MATCH($J$30,Table7[#Headers],0)),Table7[SupplWHFuelName],B39)</f>
        <v>0</v>
      </c>
      <c r="K39" s="261"/>
      <c r="L39" s="26" t="str">
        <f>_xlfn.TEXTJOIN(",",TRUE,IF(LEFT(Regions!$C$3,1)&lt;&gt;"*",Regions!$C$3,""),IF(LEFT(Regions!$D$3,1)&lt;&gt;"*",Regions!$D$3,""))</f>
        <v>IE,National</v>
      </c>
      <c r="M39" s="26"/>
      <c r="N39" s="395"/>
      <c r="O39" s="26"/>
      <c r="P39" s="26" t="s">
        <v>842</v>
      </c>
      <c r="Q39" s="26"/>
      <c r="R39" s="396"/>
      <c r="S39" s="397"/>
      <c r="T39" s="398"/>
      <c r="U39" s="571"/>
      <c r="V39" s="571"/>
      <c r="W39" s="399"/>
      <c r="X39" s="567"/>
      <c r="Y39" s="399"/>
      <c r="Z39" s="399"/>
      <c r="AA39" s="399">
        <f>AC39/AB38</f>
        <v>0.23179397146960065</v>
      </c>
      <c r="AB39" s="400"/>
      <c r="AC39" s="401">
        <f>RSD_Balance!I22</f>
        <v>0.34644334075781774</v>
      </c>
      <c r="AD39" s="563">
        <v>2</v>
      </c>
      <c r="AE39" s="261"/>
      <c r="AF39" s="294" t="s">
        <v>266</v>
      </c>
      <c r="AG39" s="294" t="str">
        <f>_xlfn.TEXTJOIN(",",TRUE,IF(LEFT(Regions!$C$3,1)&lt;&gt;"*",Regions!$C$3,""),IF(LEFT(Regions!$D$3,1)&lt;&gt;"*",Regions!$D$3,""))</f>
        <v>IE,National</v>
      </c>
      <c r="AH39" s="294" t="str">
        <f>M40</f>
        <v>R-WH_Apt_KER_X0</v>
      </c>
      <c r="AI39" s="294" t="str">
        <f>N40</f>
        <v>Residential Water Heating Apartment Kerosene to Residential Existing 00</v>
      </c>
      <c r="AJ39" s="294" t="s">
        <v>13</v>
      </c>
      <c r="AK39" s="294" t="s">
        <v>275</v>
      </c>
      <c r="AL39" s="294"/>
      <c r="AM39" s="294"/>
      <c r="AN39" s="261"/>
      <c r="AO39" s="261"/>
      <c r="AP39" s="261"/>
      <c r="AQ39" s="261"/>
    </row>
    <row r="40" spans="1:48">
      <c r="A40" s="261"/>
      <c r="B40" s="230" t="s">
        <v>579</v>
      </c>
      <c r="C40" s="233">
        <f>SUMIFS(INDEX(Table7[],,MATCH($C$30,Table7[#Headers],0)),Table7[MainWaterHeatingFuel],B40)</f>
        <v>870706</v>
      </c>
      <c r="D40" s="233">
        <f>SUMIFS(INDEX(Table7[],,MATCH($D$30,Table7[#Headers],0)),Table7[MainWaterHeatingFuel],B40)</f>
        <v>725592</v>
      </c>
      <c r="E40" s="233">
        <f>SUMIFS(INDEX(Table7[],,MATCH($E$30,Table7[#Headers],0)),Table7[MainWaterHeatingFuel],B40)</f>
        <v>179</v>
      </c>
      <c r="F40" s="233">
        <f>SUMIFS(INDEX(Table7[],,MATCH($F$30,Table7[#Headers],0)),Table7[MainWaterHeatingFuel],B40)</f>
        <v>10305</v>
      </c>
      <c r="G40" s="233"/>
      <c r="H40" s="233">
        <f>SUMIFS(INDEX(Table7[],,MATCH($H$30,Table7[#Headers],0)),Table7[SupplWHFuelName],B40)</f>
        <v>0</v>
      </c>
      <c r="I40" s="233">
        <f>SUMIFS(INDEX(Table7[],,MATCH($I$30,Table7[#Headers],0)),Table7[SupplWHFuelName],B40)</f>
        <v>0</v>
      </c>
      <c r="J40" s="233">
        <f>SUMIFS(INDEX(Table7[],,MATCH($J$30,Table7[#Headers],0)),Table7[SupplWHFuelName],B40)</f>
        <v>0</v>
      </c>
      <c r="K40" s="261"/>
      <c r="L40" s="294" t="str">
        <f>_xlfn.TEXTJOIN(",",TRUE,IF(LEFT(Regions!$C$3,1)&lt;&gt;"*",Regions!$C$3,""),IF(LEFT(Regions!$D$3,1)&lt;&gt;"*",Regions!$D$3,""))</f>
        <v>IE,National</v>
      </c>
      <c r="M40" s="294" t="str">
        <f>LEFT(SETUP!B3,1)&amp;"-"&amp;RIGHT(COMM!$O$30,6)&amp;"_"&amp;RIGHT(O40,LEN(O40)-3)&amp;"_"&amp;SETUP!$B$64</f>
        <v>R-WH_Apt_KER_X0</v>
      </c>
      <c r="N40" s="294" t="str">
        <f>COMM!$P$30&amp;" "&amp;COMM!F10&amp;" "&amp;SETUP!$C$64</f>
        <v>Residential Water Heating Apartment Kerosene to Residential Existing 00</v>
      </c>
      <c r="O40" s="294" t="str">
        <f>COMM!$E$10</f>
        <v>RSDKER</v>
      </c>
      <c r="P40" s="294"/>
      <c r="Q40" s="294" t="str">
        <f>COMM!$O$30</f>
        <v>RSDWH_Apt</v>
      </c>
      <c r="R40" s="389">
        <f>E37/SUM($E$31:$E$49)-($R$51/7)</f>
        <v>2.6940963000981786E-2</v>
      </c>
      <c r="S40" s="390">
        <f>R40*DwellingStocks!$I$28/1000</f>
        <v>5.706631684657216</v>
      </c>
      <c r="T40" s="444">
        <f>IFERROR((S40*1000)/E37,0)-0.1727</f>
        <v>1.3266777416335302</v>
      </c>
      <c r="U40" s="569">
        <f>U14</f>
        <v>0.81016216216216219</v>
      </c>
      <c r="V40" s="569">
        <f>IF(AB40/S40/X40=0,0.12,AB40/S40/X40)</f>
        <v>0.12</v>
      </c>
      <c r="W40" s="393">
        <v>20</v>
      </c>
      <c r="X40" s="391">
        <f t="shared" si="7"/>
        <v>9.4608000000000012E-2</v>
      </c>
      <c r="Y40" s="393"/>
      <c r="Z40" s="393"/>
      <c r="AA40" s="393"/>
      <c r="AB40" s="394">
        <f t="shared" si="8"/>
        <v>0</v>
      </c>
      <c r="AC40" s="394">
        <f>IF(((D37+I37)*$B$2)&lt;=0.1,0,((D37+I37)*T40*$B$2))</f>
        <v>0</v>
      </c>
      <c r="AD40" s="393">
        <v>3</v>
      </c>
      <c r="AE40" s="261"/>
      <c r="AF40" s="405" t="s">
        <v>254</v>
      </c>
      <c r="AG40" s="405"/>
      <c r="AH40" s="402"/>
      <c r="AI40" s="402"/>
      <c r="AJ40" s="402"/>
      <c r="AK40" s="402"/>
      <c r="AL40" s="402"/>
      <c r="AM40" s="402"/>
      <c r="AN40" s="261"/>
      <c r="AO40" s="261"/>
      <c r="AP40" s="261"/>
      <c r="AQ40" s="261"/>
    </row>
    <row r="41" spans="1:48">
      <c r="A41" s="261"/>
      <c r="B41" s="231" t="s">
        <v>428</v>
      </c>
      <c r="C41" s="232">
        <f>SUMIFS(INDEX(Table7[],,MATCH($C$30,Table7[#Headers],0)),Table7[MainWaterHeatingFuel],B41)</f>
        <v>28609</v>
      </c>
      <c r="D41" s="232">
        <f>SUMIFS(INDEX(Table7[],,MATCH($D$30,Table7[#Headers],0)),Table7[MainWaterHeatingFuel],B41)</f>
        <v>26008</v>
      </c>
      <c r="E41" s="232">
        <f>SUMIFS(INDEX(Table7[],,MATCH($E$30,Table7[#Headers],0)),Table7[MainWaterHeatingFuel],B41)</f>
        <v>6</v>
      </c>
      <c r="F41" s="232">
        <f>SUMIFS(INDEX(Table7[],,MATCH($F$30,Table7[#Headers],0)),Table7[MainWaterHeatingFuel],B41)</f>
        <v>295</v>
      </c>
      <c r="G41" s="232"/>
      <c r="H41" s="232">
        <f>SUMIFS(INDEX(Table7[],,MATCH($H$30,Table7[#Headers],0)),Table7[SupplWHFuelName],B41)</f>
        <v>0</v>
      </c>
      <c r="I41" s="232">
        <f>SUMIFS(INDEX(Table7[],,MATCH($I$30,Table7[#Headers],0)),Table7[SupplWHFuelName],B41)</f>
        <v>0</v>
      </c>
      <c r="J41" s="232">
        <f>SUMIFS(INDEX(Table7[],,MATCH($J$30,Table7[#Headers],0)),Table7[SupplWHFuelName],B41)</f>
        <v>0</v>
      </c>
      <c r="K41" s="261"/>
      <c r="L41" s="508" t="s">
        <v>254</v>
      </c>
      <c r="M41" s="508" t="s">
        <v>254</v>
      </c>
      <c r="N41" s="402"/>
      <c r="O41" s="402"/>
      <c r="P41" s="402"/>
      <c r="Q41" s="402"/>
      <c r="R41" s="403"/>
      <c r="S41" s="404"/>
      <c r="T41" s="402"/>
      <c r="U41" s="573"/>
      <c r="V41" s="573"/>
      <c r="W41" s="402"/>
      <c r="X41" s="564"/>
      <c r="Y41" s="402"/>
      <c r="Z41" s="402"/>
      <c r="AA41" s="402"/>
      <c r="AB41" s="402"/>
      <c r="AC41" s="402"/>
      <c r="AD41" s="565"/>
      <c r="AE41" s="261"/>
      <c r="AF41" s="294" t="s">
        <v>266</v>
      </c>
      <c r="AG41" s="294" t="str">
        <f>_xlfn.TEXTJOIN(",",TRUE,IF(LEFT(Regions!$C$3,1)&lt;&gt;"*",Regions!$C$3,""),IF(LEFT(Regions!$D$3,1)&lt;&gt;"*",Regions!$D$3,""))</f>
        <v>IE,National</v>
      </c>
      <c r="AH41" s="294" t="str">
        <f>M42</f>
        <v>R-WH_Apt_GAS_X0</v>
      </c>
      <c r="AI41" s="294" t="str">
        <f>N42</f>
        <v>Residential Water Heating Apartment Natural Gas to Residential Existing 00</v>
      </c>
      <c r="AJ41" s="294" t="s">
        <v>13</v>
      </c>
      <c r="AK41" s="406" t="s">
        <v>275</v>
      </c>
      <c r="AL41" s="406"/>
      <c r="AM41" s="406"/>
      <c r="AN41" s="261"/>
      <c r="AO41" s="261"/>
      <c r="AP41" s="261"/>
      <c r="AQ41" s="261"/>
    </row>
    <row r="42" spans="1:48">
      <c r="A42" s="261"/>
      <c r="B42" s="230" t="s">
        <v>431</v>
      </c>
      <c r="C42" s="233">
        <f>SUMIFS(INDEX(Table7[],,MATCH($C$30,Table7[#Headers],0)),Table7[MainWaterHeatingFuel],B42)</f>
        <v>36264</v>
      </c>
      <c r="D42" s="233">
        <f>SUMIFS(INDEX(Table7[],,MATCH($D$30,Table7[#Headers],0)),Table7[MainWaterHeatingFuel],B42)</f>
        <v>32967</v>
      </c>
      <c r="E42" s="233">
        <f>SUMIFS(INDEX(Table7[],,MATCH($E$30,Table7[#Headers],0)),Table7[MainWaterHeatingFuel],B42)</f>
        <v>7</v>
      </c>
      <c r="F42" s="233">
        <f>SUMIFS(INDEX(Table7[],,MATCH($F$30,Table7[#Headers],0)),Table7[MainWaterHeatingFuel],B42)</f>
        <v>639</v>
      </c>
      <c r="G42" s="233"/>
      <c r="H42" s="233">
        <f>SUMIFS(INDEX(Table7[],,MATCH($H$30,Table7[#Headers],0)),Table7[SupplWHFuelName],B42)</f>
        <v>0</v>
      </c>
      <c r="I42" s="233">
        <f>SUMIFS(INDEX(Table7[],,MATCH($I$30,Table7[#Headers],0)),Table7[SupplWHFuelName],B42)</f>
        <v>0</v>
      </c>
      <c r="J42" s="233">
        <f>SUMIFS(INDEX(Table7[],,MATCH($J$30,Table7[#Headers],0)),Table7[SupplWHFuelName],B42)</f>
        <v>0</v>
      </c>
      <c r="K42" s="261"/>
      <c r="L42" s="294" t="str">
        <f>_xlfn.TEXTJOIN(",",TRUE,IF(LEFT(Regions!$C$3,1)&lt;&gt;"*",Regions!$C$3,""),IF(LEFT(Regions!$D$3,1)&lt;&gt;"*",Regions!$D$3,""))</f>
        <v>IE,National</v>
      </c>
      <c r="M42" s="294" t="str">
        <f>LEFT(SETUP!B3,1)&amp;"-"&amp;RIGHT(COMM!$O$30,6)&amp;"_"&amp;MID(O42,4,3)&amp;"_"&amp;SETUP!$B$64</f>
        <v>R-WH_Apt_GAS_X0</v>
      </c>
      <c r="N42" s="294" t="str">
        <f>COMM!$P$30&amp;" "&amp;COMM!F14&amp;" "&amp;SETUP!$C$64</f>
        <v>Residential Water Heating Apartment Natural Gas to Residential Existing 00</v>
      </c>
      <c r="O42" s="294" t="str">
        <f>COMM!$E$14</f>
        <v>RSDGAS</v>
      </c>
      <c r="P42" s="294"/>
      <c r="Q42" s="294" t="str">
        <f>COMM!$O$30</f>
        <v>RSDWH_Apt</v>
      </c>
      <c r="R42" s="389">
        <f>E39/SUM($E$31:$E$49)-($R$51/7)</f>
        <v>0.40480139622151279</v>
      </c>
      <c r="S42" s="390">
        <f>R42*DwellingStocks!$I$28/1000</f>
        <v>85.744985195480268</v>
      </c>
      <c r="T42" s="444">
        <f>IFERROR((S42*1000)/E39,0)-0.66693</f>
        <v>0.90640134911613557</v>
      </c>
      <c r="U42" s="569">
        <f>U16</f>
        <v>0.81026881720430111</v>
      </c>
      <c r="V42" s="569">
        <f>AB42/S42/X42</f>
        <v>6.0645497051149085E-2</v>
      </c>
      <c r="W42" s="393">
        <v>20</v>
      </c>
      <c r="X42" s="391">
        <f t="shared" ref="X42" si="11">31.536*(AD42/1000)</f>
        <v>9.4608000000000012E-2</v>
      </c>
      <c r="Y42" s="393"/>
      <c r="Z42" s="393"/>
      <c r="AA42" s="393"/>
      <c r="AB42" s="394">
        <f>AC42*U42</f>
        <v>0.49196606992746078</v>
      </c>
      <c r="AC42" s="394">
        <f>IF(((D39+I39)*$B$2)&lt;=0.1,0,((D39+I39)*T42*$B$2))</f>
        <v>0.60716401702944534</v>
      </c>
      <c r="AD42" s="393">
        <v>3</v>
      </c>
      <c r="AE42" s="261"/>
      <c r="AF42" s="405" t="s">
        <v>254</v>
      </c>
      <c r="AG42" s="405"/>
      <c r="AH42" s="402"/>
      <c r="AI42" s="402"/>
      <c r="AJ42" s="402"/>
      <c r="AK42" s="402"/>
      <c r="AL42" s="402"/>
      <c r="AM42" s="402"/>
      <c r="AN42" s="261"/>
      <c r="AO42" s="261"/>
      <c r="AP42" s="261"/>
      <c r="AQ42" s="261"/>
    </row>
    <row r="43" spans="1:48">
      <c r="A43" s="261"/>
      <c r="B43" s="231" t="s">
        <v>426</v>
      </c>
      <c r="C43" s="232">
        <f>SUMIFS(INDEX(Table7[],,MATCH($C$30,Table7[#Headers],0)),Table7[MainWaterHeatingFuel],B43)</f>
        <v>1919343</v>
      </c>
      <c r="D43" s="232">
        <f>SUMIFS(INDEX(Table7[],,MATCH($D$30,Table7[#Headers],0)),Table7[MainWaterHeatingFuel],B43)</f>
        <v>1744862</v>
      </c>
      <c r="E43" s="232">
        <f>SUMIFS(INDEX(Table7[],,MATCH($E$30,Table7[#Headers],0)),Table7[MainWaterHeatingFuel],B43)</f>
        <v>390</v>
      </c>
      <c r="F43" s="232">
        <f>SUMIFS(INDEX(Table7[],,MATCH($F$30,Table7[#Headers],0)),Table7[MainWaterHeatingFuel],B43)</f>
        <v>27608</v>
      </c>
      <c r="G43" s="232"/>
      <c r="H43" s="232">
        <f>SUMIFS(INDEX(Table7[],,MATCH($H$30,Table7[#Headers],0)),Table7[SupplWHFuelName],B43)</f>
        <v>0</v>
      </c>
      <c r="I43" s="232">
        <f>SUMIFS(INDEX(Table7[],,MATCH($I$30,Table7[#Headers],0)),Table7[SupplWHFuelName],B43)</f>
        <v>0</v>
      </c>
      <c r="J43" s="232">
        <f>SUMIFS(INDEX(Table7[],,MATCH($J$30,Table7[#Headers],0)),Table7[SupplWHFuelName],B43)</f>
        <v>0</v>
      </c>
      <c r="K43" s="261"/>
      <c r="L43" s="508" t="s">
        <v>254</v>
      </c>
      <c r="M43" s="508" t="s">
        <v>254</v>
      </c>
      <c r="N43" s="402"/>
      <c r="O43" s="402"/>
      <c r="P43" s="402"/>
      <c r="Q43" s="402"/>
      <c r="R43" s="403"/>
      <c r="S43" s="404"/>
      <c r="T43" s="402"/>
      <c r="U43" s="573"/>
      <c r="V43" s="573"/>
      <c r="W43" s="402"/>
      <c r="X43" s="564"/>
      <c r="Y43" s="402"/>
      <c r="Z43" s="402"/>
      <c r="AA43" s="402"/>
      <c r="AB43" s="402"/>
      <c r="AC43" s="402"/>
      <c r="AD43" s="565"/>
      <c r="AE43" s="261"/>
      <c r="AF43" s="294" t="s">
        <v>266</v>
      </c>
      <c r="AG43" s="294" t="str">
        <f>_xlfn.TEXTJOIN(",",TRUE,IF(LEFT(Regions!$C$3,1)&lt;&gt;"*",Regions!$C$3,""),IF(LEFT(Regions!$D$3,1)&lt;&gt;"*",Regions!$D$3,""))</f>
        <v>IE,National</v>
      </c>
      <c r="AH43" s="294" t="str">
        <f>M44</f>
        <v>R-WH_Apt_PEA_X0</v>
      </c>
      <c r="AI43" s="294" t="str">
        <f>N44</f>
        <v>Residential Water Heating Apartment Peat to Residential Existing 00</v>
      </c>
      <c r="AJ43" s="294" t="s">
        <v>13</v>
      </c>
      <c r="AK43" s="406" t="s">
        <v>275</v>
      </c>
      <c r="AL43" s="406"/>
      <c r="AM43" s="406"/>
      <c r="AN43" s="261"/>
      <c r="AO43" s="261"/>
      <c r="AP43" s="261"/>
      <c r="AQ43" s="261"/>
    </row>
    <row r="44" spans="1:48">
      <c r="A44" s="261"/>
      <c r="B44" s="230" t="s">
        <v>481</v>
      </c>
      <c r="C44" s="233">
        <f>SUMIFS(INDEX(Table7[],,MATCH($C$30,Table7[#Headers],0)),Table7[MainWaterHeatingFuel],B44)</f>
        <v>0</v>
      </c>
      <c r="D44" s="233">
        <f>SUMIFS(INDEX(Table7[],,MATCH($D$30,Table7[#Headers],0)),Table7[MainWaterHeatingFuel],B44)</f>
        <v>0</v>
      </c>
      <c r="E44" s="233">
        <f>SUMIFS(INDEX(Table7[],,MATCH($E$30,Table7[#Headers],0)),Table7[MainWaterHeatingFuel],B44)</f>
        <v>0</v>
      </c>
      <c r="F44" s="233">
        <f>SUMIFS(INDEX(Table7[],,MATCH($F$30,Table7[#Headers],0)),Table7[MainWaterHeatingFuel],B44)</f>
        <v>0</v>
      </c>
      <c r="G44" s="233"/>
      <c r="H44" s="233">
        <f>SUMIFS(INDEX(Table7[],,MATCH($H$30,Table7[#Headers],0)),Table7[SupplWHFuelName],B44)</f>
        <v>0</v>
      </c>
      <c r="I44" s="233">
        <f>SUMIFS(INDEX(Table7[],,MATCH($I$30,Table7[#Headers],0)),Table7[SupplWHFuelName],B44)</f>
        <v>0</v>
      </c>
      <c r="J44" s="233">
        <f>SUMIFS(INDEX(Table7[],,MATCH($J$30,Table7[#Headers],0)),Table7[SupplWHFuelName],B44)</f>
        <v>0</v>
      </c>
      <c r="K44" s="261"/>
      <c r="L44" s="294" t="str">
        <f>_xlfn.TEXTJOIN(",",TRUE,IF(LEFT(Regions!$C$3,1)&lt;&gt;"*",Regions!$C$3,""),IF(LEFT(Regions!$D$3,1)&lt;&gt;"*",Regions!$D$3,""))</f>
        <v>IE,National</v>
      </c>
      <c r="M44" s="294" t="str">
        <f>LEFT(SETUP!B3,1)&amp;"-"&amp;RIGHT(COMM!$O$30,6)&amp;"_"&amp;RIGHT(O44,LEN(O44)-3)&amp;"_"&amp;SETUP!$B$64</f>
        <v>R-WH_Apt_PEA_X0</v>
      </c>
      <c r="N44" s="294" t="str">
        <f>COMM!$P$30&amp;" "&amp;COMM!F7&amp;" "&amp;SETUP!$C$64</f>
        <v>Residential Water Heating Apartment Peat to Residential Existing 00</v>
      </c>
      <c r="O44" s="294" t="str">
        <f>COMM!$E$7</f>
        <v>RSDPEA</v>
      </c>
      <c r="P44" s="294"/>
      <c r="Q44" s="294" t="str">
        <f>COMM!$O$30</f>
        <v>RSDWH_Apt</v>
      </c>
      <c r="R44" s="389">
        <f>(E41+E42)/SUM($E$31:$E$49)</f>
        <v>9.6900669360008349E-5</v>
      </c>
      <c r="S44" s="390">
        <f>R44*DwellingStocks!$I$28/1000</f>
        <v>2.0525488640259989E-2</v>
      </c>
      <c r="T44" s="391">
        <f>(S44*1000)/(E42+E41)</f>
        <v>1.5788837415584607</v>
      </c>
      <c r="U44" s="569">
        <f>U18</f>
        <v>0.52500000000000002</v>
      </c>
      <c r="V44" s="569">
        <f>IF(AB44/S44/X44=0,0.12,AB44/S44/X44)</f>
        <v>0.12</v>
      </c>
      <c r="W44" s="393">
        <v>20</v>
      </c>
      <c r="X44" s="391">
        <f t="shared" ref="X44" si="12">31.536*(AD44/1000)</f>
        <v>9.4608000000000012E-2</v>
      </c>
      <c r="Y44" s="393"/>
      <c r="Z44" s="393"/>
      <c r="AA44" s="393"/>
      <c r="AB44" s="394">
        <f>AC44*U44</f>
        <v>0</v>
      </c>
      <c r="AC44" s="394">
        <f>IF(((D41+I41+D42+I42)*$B$2)&lt;=0.1,0,((D41+I41+D42+I42)*T44*$B$2))</f>
        <v>0</v>
      </c>
      <c r="AD44" s="393">
        <v>3</v>
      </c>
      <c r="AE44" s="261"/>
      <c r="AF44" s="405" t="s">
        <v>254</v>
      </c>
      <c r="AG44" s="405"/>
      <c r="AH44" s="402"/>
      <c r="AI44" s="402"/>
      <c r="AJ44" s="402"/>
      <c r="AK44" s="402"/>
      <c r="AL44" s="402"/>
      <c r="AM44" s="402"/>
      <c r="AN44" s="261"/>
      <c r="AO44" s="261"/>
      <c r="AP44" s="261"/>
      <c r="AQ44" s="261"/>
    </row>
    <row r="45" spans="1:48">
      <c r="A45" s="261"/>
      <c r="B45" s="231" t="s">
        <v>433</v>
      </c>
      <c r="C45" s="232">
        <f>SUMIFS(INDEX(Table7[],,MATCH($C$30,Table7[#Headers],0)),Table7[MainWaterHeatingFuel],B45)</f>
        <v>9238</v>
      </c>
      <c r="D45" s="232">
        <f>SUMIFS(INDEX(Table7[],,MATCH($D$30,Table7[#Headers],0)),Table7[MainWaterHeatingFuel],B45)</f>
        <v>8398</v>
      </c>
      <c r="E45" s="232">
        <f>SUMIFS(INDEX(Table7[],,MATCH($E$30,Table7[#Headers],0)),Table7[MainWaterHeatingFuel],B45)</f>
        <v>3</v>
      </c>
      <c r="F45" s="232">
        <f>SUMIFS(INDEX(Table7[],,MATCH($F$30,Table7[#Headers],0)),Table7[MainWaterHeatingFuel],B45)</f>
        <v>163</v>
      </c>
      <c r="G45" s="232"/>
      <c r="H45" s="232">
        <f>SUMIFS(INDEX(Table7[],,MATCH($H$30,Table7[#Headers],0)),Table7[SupplWHFuelName],B45)</f>
        <v>0</v>
      </c>
      <c r="I45" s="232">
        <f>SUMIFS(INDEX(Table7[],,MATCH($I$30,Table7[#Headers],0)),Table7[SupplWHFuelName],B45)</f>
        <v>0</v>
      </c>
      <c r="J45" s="232">
        <f>SUMIFS(INDEX(Table7[],,MATCH($J$30,Table7[#Headers],0)),Table7[SupplWHFuelName],B45)</f>
        <v>0</v>
      </c>
      <c r="K45" s="261"/>
      <c r="L45" s="508" t="s">
        <v>254</v>
      </c>
      <c r="M45" s="508" t="s">
        <v>254</v>
      </c>
      <c r="N45" s="402"/>
      <c r="O45" s="402"/>
      <c r="P45" s="402"/>
      <c r="Q45" s="402"/>
      <c r="R45" s="403"/>
      <c r="S45" s="404"/>
      <c r="T45" s="402"/>
      <c r="U45" s="573"/>
      <c r="V45" s="573"/>
      <c r="W45" s="402"/>
      <c r="X45" s="564"/>
      <c r="Y45" s="402"/>
      <c r="Z45" s="402"/>
      <c r="AA45" s="402"/>
      <c r="AB45" s="402"/>
      <c r="AC45" s="402"/>
      <c r="AD45" s="565"/>
      <c r="AE45" s="261"/>
      <c r="AF45" s="294" t="s">
        <v>266</v>
      </c>
      <c r="AG45" s="294" t="str">
        <f>_xlfn.TEXTJOIN(",",TRUE,IF(LEFT(Regions!$C$3,1)&lt;&gt;"*",Regions!$C$3,""),IF(LEFT(Regions!$D$3,1)&lt;&gt;"*",Regions!$D$3,""))</f>
        <v>IE,National</v>
      </c>
      <c r="AH45" s="294" t="str">
        <f>M46</f>
        <v>R-WH_Apt_SMF_X0</v>
      </c>
      <c r="AI45" s="294" t="str">
        <f>N46</f>
        <v>Residential Water Heating Apartment Solid Multi-Fuel Existing 00</v>
      </c>
      <c r="AJ45" s="294" t="s">
        <v>13</v>
      </c>
      <c r="AK45" s="406" t="s">
        <v>275</v>
      </c>
      <c r="AL45" s="406"/>
      <c r="AM45" s="406"/>
      <c r="AN45" s="261"/>
      <c r="AO45" s="261"/>
      <c r="AP45" s="261"/>
      <c r="AQ45" s="261"/>
    </row>
    <row r="46" spans="1:48">
      <c r="A46" s="261"/>
      <c r="B46" s="230" t="s">
        <v>408</v>
      </c>
      <c r="C46" s="233">
        <f>SUMIFS(INDEX(Table7[],,MATCH($C$30,Table7[#Headers],0)),Table7[MainWaterHeatingFuel],B46)</f>
        <v>645887</v>
      </c>
      <c r="D46" s="233">
        <f>SUMIFS(INDEX(Table7[],,MATCH($D$30,Table7[#Headers],0)),Table7[MainWaterHeatingFuel],B46)</f>
        <v>587169</v>
      </c>
      <c r="E46" s="233">
        <f>SUMIFS(INDEX(Table7[],,MATCH($E$30,Table7[#Headers],0)),Table7[MainWaterHeatingFuel],B46)</f>
        <v>173</v>
      </c>
      <c r="F46" s="233">
        <f>SUMIFS(INDEX(Table7[],,MATCH($F$30,Table7[#Headers],0)),Table7[MainWaterHeatingFuel],B46)</f>
        <v>12165</v>
      </c>
      <c r="G46" s="233"/>
      <c r="H46" s="233">
        <f>SUMIFS(INDEX(Table7[],,MATCH($H$30,Table7[#Headers],0)),Table7[SupplWHFuelName],B46)</f>
        <v>0</v>
      </c>
      <c r="I46" s="233">
        <f>SUMIFS(INDEX(Table7[],,MATCH($I$30,Table7[#Headers],0)),Table7[SupplWHFuelName],B46)</f>
        <v>0</v>
      </c>
      <c r="J46" s="233">
        <f>SUMIFS(INDEX(Table7[],,MATCH($J$30,Table7[#Headers],0)),Table7[SupplWHFuelName],B46)</f>
        <v>0</v>
      </c>
      <c r="K46" s="261"/>
      <c r="L46" s="26" t="str">
        <f>_xlfn.TEXTJOIN(",",TRUE,IF(LEFT(Regions!$C$3,1)&lt;&gt;"*",Regions!$C$3,""),IF(LEFT(Regions!$D$3,1)&lt;&gt;"*",Regions!$D$3,""))</f>
        <v>IE,National</v>
      </c>
      <c r="M46" s="26" t="str">
        <f>LEFT(SETUP!B3,1)&amp;"-"&amp;RIGHT(COMM!$O$30,6)&amp;"_"&amp;RIGHT(COMM!E23,LEN(COMM!E23)-3)&amp;"_"&amp;SETUP!B64</f>
        <v>R-WH_Apt_SMF_X0</v>
      </c>
      <c r="N46" s="26" t="str">
        <f>COMM!P30&amp;" "&amp;COMM!F23&amp;" "&amp;SETUP!C64</f>
        <v>Residential Water Heating Apartment Solid Multi-Fuel Existing 00</v>
      </c>
      <c r="O46" s="26" t="str">
        <f>COMM!E6</f>
        <v>RSDCOA</v>
      </c>
      <c r="P46" s="26"/>
      <c r="Q46" s="26" t="str">
        <f>COMM!$O$30</f>
        <v>RSDWH_Apt</v>
      </c>
      <c r="R46" s="396">
        <f>E43/SUM($E$31:$E$49)</f>
        <v>2.9070200808002503E-3</v>
      </c>
      <c r="S46" s="397">
        <f>R46*DwellingStocks!$I$28/1000</f>
        <v>0.61576465920779966</v>
      </c>
      <c r="T46" s="398">
        <f>(S46*1000)/E43-0.19617</f>
        <v>1.3827137415584607</v>
      </c>
      <c r="U46" s="570">
        <f>U20</f>
        <v>0.58177777777777773</v>
      </c>
      <c r="V46" s="569">
        <f>IF(AB46/S46/X46=0,0.12,AB46/S46/X46)</f>
        <v>0.12</v>
      </c>
      <c r="W46" s="399">
        <v>20</v>
      </c>
      <c r="X46" s="567">
        <f t="shared" ref="X46" si="13">31.536*(AD46/1000)</f>
        <v>9.4608000000000012E-2</v>
      </c>
      <c r="Y46" s="515">
        <f>RSD_Balance!H2</f>
        <v>0.19400000000000001</v>
      </c>
      <c r="Z46" s="399">
        <v>5</v>
      </c>
      <c r="AA46" s="399"/>
      <c r="AB46" s="400">
        <f>AC46*$U$46</f>
        <v>0</v>
      </c>
      <c r="AC46" s="401">
        <f>IF(((D43+I43)*$B$2)&lt;=0.1,0,((D43+I43)*T46*$B$2))*Y46</f>
        <v>0</v>
      </c>
      <c r="AD46" s="563">
        <v>3</v>
      </c>
      <c r="AE46" s="261"/>
      <c r="AF46" s="26" t="s">
        <v>266</v>
      </c>
      <c r="AG46" s="26" t="str">
        <f>_xlfn.TEXTJOIN(",",TRUE,IF(LEFT(Regions!$C$3,1)&lt;&gt;"*",Regions!$C$3,""),IF(LEFT(Regions!$D$3,1)&lt;&gt;"*",Regions!$D$3,""))</f>
        <v>IE,National</v>
      </c>
      <c r="AH46" s="26" t="str">
        <f t="shared" ref="AH46:AI48" si="14">M49</f>
        <v>R-WH_Apt_WOO_X0</v>
      </c>
      <c r="AI46" s="26" t="str">
        <f t="shared" si="14"/>
        <v>Residential Water Heating Apartment Biomass to Residential Existing 00</v>
      </c>
      <c r="AJ46" s="26" t="s">
        <v>13</v>
      </c>
      <c r="AK46" s="26" t="s">
        <v>275</v>
      </c>
      <c r="AL46" s="26"/>
      <c r="AM46" s="26"/>
      <c r="AN46" s="261"/>
      <c r="AO46" s="261"/>
      <c r="AP46" s="261"/>
      <c r="AQ46" s="261"/>
    </row>
    <row r="47" spans="1:48">
      <c r="A47" s="261"/>
      <c r="B47" s="231" t="s">
        <v>429</v>
      </c>
      <c r="C47" s="232">
        <f>SUMIFS(INDEX(Table7[],,MATCH($C$30,Table7[#Headers],0)),Table7[MainWaterHeatingFuel],B47)</f>
        <v>5908</v>
      </c>
      <c r="D47" s="232">
        <f>SUMIFS(INDEX(Table7[],,MATCH($D$30,Table7[#Headers],0)),Table7[MainWaterHeatingFuel],B47)</f>
        <v>5371</v>
      </c>
      <c r="E47" s="232">
        <f>SUMIFS(INDEX(Table7[],,MATCH($E$30,Table7[#Headers],0)),Table7[MainWaterHeatingFuel],B47)</f>
        <v>1</v>
      </c>
      <c r="F47" s="232">
        <f>SUMIFS(INDEX(Table7[],,MATCH($F$30,Table7[#Headers],0)),Table7[MainWaterHeatingFuel],B47)</f>
        <v>104</v>
      </c>
      <c r="G47" s="232"/>
      <c r="H47" s="232">
        <f>SUMIFS(INDEX(Table7[],,MATCH($H$30,Table7[#Headers],0)),Table7[SupplWHFuelName],B47)</f>
        <v>0</v>
      </c>
      <c r="I47" s="232">
        <f>SUMIFS(INDEX(Table7[],,MATCH($I$30,Table7[#Headers],0)),Table7[SupplWHFuelName],B47)</f>
        <v>0</v>
      </c>
      <c r="J47" s="232">
        <f>SUMIFS(INDEX(Table7[],,MATCH($J$30,Table7[#Headers],0)),Table7[SupplWHFuelName],B47)</f>
        <v>0</v>
      </c>
      <c r="K47" s="261"/>
      <c r="L47" s="294" t="str">
        <f>_xlfn.TEXTJOIN(",",TRUE,IF(LEFT(Regions!$C$3,1)&lt;&gt;"*",Regions!$C$3,""),IF(LEFT(Regions!$D$3,1)&lt;&gt;"*",Regions!$D$3,""))</f>
        <v>IE,National</v>
      </c>
      <c r="M47" s="294"/>
      <c r="N47" s="294"/>
      <c r="O47" s="294" t="str">
        <f>COMM!E7</f>
        <v>RSDPEA</v>
      </c>
      <c r="P47" s="294"/>
      <c r="Q47" s="294"/>
      <c r="R47" s="389"/>
      <c r="S47" s="390"/>
      <c r="T47" s="391"/>
      <c r="U47" s="572"/>
      <c r="V47" s="569"/>
      <c r="W47" s="393"/>
      <c r="X47" s="391"/>
      <c r="Y47" s="516">
        <f>RSD_Balance!H3</f>
        <v>0.74399999999999999</v>
      </c>
      <c r="Z47" s="393">
        <v>5</v>
      </c>
      <c r="AA47" s="393"/>
      <c r="AB47" s="394">
        <f t="shared" ref="AB47:AB48" si="15">AC47*$U$46</f>
        <v>0</v>
      </c>
      <c r="AC47" s="394">
        <f>IF(((D43+I43)*$B$2)&lt;=0.1,0,((D43+I43)*T46*$B$2))*Y47</f>
        <v>0</v>
      </c>
      <c r="AD47" s="393">
        <v>3</v>
      </c>
      <c r="AE47" s="261"/>
      <c r="AF47" s="294" t="s">
        <v>266</v>
      </c>
      <c r="AG47" s="294" t="str">
        <f>_xlfn.TEXTJOIN(",",TRUE,IF(LEFT(Regions!$C$3,1)&lt;&gt;"*",Regions!$C$3,""),IF(LEFT(Regions!$D$3,1)&lt;&gt;"*",Regions!$D$3,""))</f>
        <v>IE,National</v>
      </c>
      <c r="AH47" s="294" t="str">
        <f t="shared" si="14"/>
        <v>R-WH_Apt_HET_X0</v>
      </c>
      <c r="AI47" s="294" t="str">
        <f t="shared" si="14"/>
        <v>Residential Water Heating Apartment Heat to Residential Existing 00</v>
      </c>
      <c r="AJ47" s="294" t="s">
        <v>13</v>
      </c>
      <c r="AK47" s="406" t="s">
        <v>275</v>
      </c>
      <c r="AL47" s="406"/>
      <c r="AM47" s="406"/>
      <c r="AN47" s="261"/>
      <c r="AO47" s="261"/>
      <c r="AP47" s="261"/>
      <c r="AQ47" s="261"/>
    </row>
    <row r="48" spans="1:48">
      <c r="A48" s="261"/>
      <c r="B48" s="230" t="s">
        <v>566</v>
      </c>
      <c r="C48" s="233">
        <f>AVERAGE(C31:C47)*($E$48/SUM($E$31:$E$47))</f>
        <v>2311269.9220750532</v>
      </c>
      <c r="D48" s="233">
        <f>AVERAGE(D31:D47)*($E$24/SUM($E$7:$E$23))</f>
        <v>1580543.693801325</v>
      </c>
      <c r="E48" s="233">
        <f>SUMIFS(INDEX(Table7[],,MATCH($E$30,Table7[#Headers],0)),Table7[MainWaterHeatingFuel],"")</f>
        <v>8767</v>
      </c>
      <c r="F48" s="233">
        <f>SUMIFS(INDEX(Table7[],,MATCH($F$30,Table7[#Headers],0)),Table7[MainWaterHeatingFuel],"")</f>
        <v>644884</v>
      </c>
      <c r="G48" s="233"/>
      <c r="H48" s="233">
        <f>SUMIFS(INDEX(Table7[],,MATCH($H$30,Table7[#Headers],0)),Table7[SupplWHFuelName],B48)</f>
        <v>787557</v>
      </c>
      <c r="I48" s="233">
        <f>SUMIFS(INDEX(Table7[],,MATCH($I$30,Table7[#Headers],0)),Table7[SupplWHFuelName],B48)</f>
        <v>291688</v>
      </c>
      <c r="J48" s="233">
        <f>SUMIFS(INDEX(Table7[],,MATCH($J$30,Table7[#Headers],0)),Table7[SupplWHFuelName],B48)</f>
        <v>115429</v>
      </c>
      <c r="K48" s="261"/>
      <c r="L48" s="26" t="str">
        <f>_xlfn.TEXTJOIN(",",TRUE,IF(LEFT(Regions!$C$3,1)&lt;&gt;"*",Regions!$C$3,""),IF(LEFT(Regions!$D$3,1)&lt;&gt;"*",Regions!$D$3,""))</f>
        <v>IE,National</v>
      </c>
      <c r="M48" s="26"/>
      <c r="N48" s="26"/>
      <c r="O48" s="26" t="str">
        <f>COMM!E16</f>
        <v>RSDWOO</v>
      </c>
      <c r="P48" s="26"/>
      <c r="Q48" s="26"/>
      <c r="R48" s="396"/>
      <c r="S48" s="397"/>
      <c r="T48" s="398"/>
      <c r="U48" s="570"/>
      <c r="V48" s="571"/>
      <c r="W48" s="399"/>
      <c r="X48" s="567"/>
      <c r="Y48" s="515">
        <f>RSD_Balance!H4</f>
        <v>6.2E-2</v>
      </c>
      <c r="Z48" s="399">
        <v>5</v>
      </c>
      <c r="AA48" s="399"/>
      <c r="AB48" s="400">
        <f t="shared" si="15"/>
        <v>0</v>
      </c>
      <c r="AC48" s="401">
        <f>IF(((D43+I43)*$B$2)&lt;=0.1,0,((D43+I43)*T46*$B$2))*Y48</f>
        <v>0</v>
      </c>
      <c r="AD48" s="563">
        <v>3</v>
      </c>
      <c r="AE48" s="261"/>
      <c r="AF48" s="26" t="s">
        <v>266</v>
      </c>
      <c r="AG48" s="26" t="str">
        <f>_xlfn.TEXTJOIN(",",TRUE,IF(LEFT(Regions!$C$3,1)&lt;&gt;"*",Regions!$C$3,""),IF(LEFT(Regions!$D$3,1)&lt;&gt;"*",Regions!$D$3,""))</f>
        <v>IE,National</v>
      </c>
      <c r="AH48" s="26" t="str">
        <f t="shared" si="14"/>
        <v>R-WH_Apt_SOL_X0</v>
      </c>
      <c r="AI48" s="26" t="str">
        <f t="shared" si="14"/>
        <v>Residential Water Heating Apartment Solar Thermal to Residential Existing 00</v>
      </c>
      <c r="AJ48" s="26" t="s">
        <v>13</v>
      </c>
      <c r="AK48" s="26" t="s">
        <v>275</v>
      </c>
      <c r="AL48" s="26"/>
      <c r="AM48" s="26"/>
      <c r="AN48" s="261"/>
      <c r="AO48" s="261"/>
      <c r="AP48" s="261"/>
      <c r="AQ48" s="261"/>
    </row>
    <row r="49" spans="1:43">
      <c r="A49" s="387" t="s">
        <v>653</v>
      </c>
      <c r="B49" s="231" t="s">
        <v>137</v>
      </c>
      <c r="C49" s="232">
        <f>SUMIFS(INDEX(Table7[],,MATCH($C$30,Table7[#Headers],0)),Table7[MainSpaceHeatingFuel],B49, Table7[Avg. HSMainSystemEfficiency],"&lt;101")</f>
        <v>222894993</v>
      </c>
      <c r="D49" s="232">
        <f>SUMIFS(INDEX(Table7[],,MATCH($D$30,Table7[#Headers],0)),Table7[MainSpaceHeatingFuel],B49,Table7[Avg. HSMainSystemEfficiency],"&lt;101")</f>
        <v>82950323</v>
      </c>
      <c r="E49" s="232">
        <f>SUMIFS(INDEX(Table7[],,MATCH($E$30,Table7[#Headers],0)),Table7[MainSpaceHeatingFuel],B49,Table7[Avg. HSMainSystemEfficiency],"&lt;101")</f>
        <v>37772</v>
      </c>
      <c r="F49" s="232">
        <f>SUMIFS(INDEX(Table7[],,MATCH($F$30,Table7[#Headers],0)),Table7[MainSpaceHeatingFuel],B49,Table7[Avg. HSMainSystemEfficiency],"&lt;101")</f>
        <v>2257295</v>
      </c>
      <c r="G49" s="232"/>
      <c r="H49" s="232">
        <f>SUMIFS(INDEX(Table7[],,MATCH($H$30,Table7[#Headers],0)),Table7[SupplSHFuelName],B49,Table7[Avg. HSMainSystemEfficiency],"&lt;101")</f>
        <v>3617727</v>
      </c>
      <c r="I49" s="232">
        <f>SUMIFS(INDEX(Table7[],,MATCH($I$30,Table7[#Headers],0)),Table7[SupplSHFuelName],B49,Table7[Avg. HSMainSystemEfficiency],"&lt;101")</f>
        <v>1339900</v>
      </c>
      <c r="J49" s="232">
        <f>SUMIFS(INDEX(Table7[],,MATCH($J$30,Table7[#Headers],0)),Table7[SupplSHFuelName],B49,Table7[Avg. HSMainSystemEfficiency],"&lt;101")</f>
        <v>33899</v>
      </c>
      <c r="K49" s="261"/>
      <c r="L49" s="294" t="str">
        <f>_xlfn.TEXTJOIN(",",TRUE,IF(LEFT(Regions!$C$3,1)&lt;&gt;"*",Regions!$C$3,""),IF(LEFT(Regions!$D$3,1)&lt;&gt;"*",Regions!$D$3,""))</f>
        <v>IE,National</v>
      </c>
      <c r="M49" s="294" t="str">
        <f>LEFT(SETUP!B3,1)&amp;"-"&amp;RIGHT(COMM!$O$30,6)&amp;"_"&amp;RIGHT(O49,LEN(O49)-3)&amp;"_"&amp;SETUP!B64</f>
        <v>R-WH_Apt_WOO_X0</v>
      </c>
      <c r="N49" s="294" t="str">
        <f>COMM!P30&amp;" "&amp;COMM!F16&amp;" "&amp;SETUP!C64</f>
        <v>Residential Water Heating Apartment Biomass to Residential Existing 00</v>
      </c>
      <c r="O49" s="294" t="str">
        <f>COMM!E16</f>
        <v>RSDWOO</v>
      </c>
      <c r="P49" s="294"/>
      <c r="Q49" s="294" t="str">
        <f>COMM!$O$30</f>
        <v>RSDWH_Apt</v>
      </c>
      <c r="R49" s="389">
        <f>(E47+E44+E45+E46)/SUM($E$31:$E$49)</f>
        <v>1.319339882824729E-3</v>
      </c>
      <c r="S49" s="390">
        <f>R49*DwellingStocks!$I$28/1000</f>
        <v>0.27946242225584755</v>
      </c>
      <c r="T49" s="391">
        <f>(S49*1000)/(E47+E44+E45+E46)+0.1866</f>
        <v>1.765483741558461</v>
      </c>
      <c r="U49" s="569">
        <f>U23</f>
        <v>0.6880451127819549</v>
      </c>
      <c r="V49" s="569">
        <f>IF(AB49/S49/X49=0,0.12,AB49/S49/X49)</f>
        <v>0.12</v>
      </c>
      <c r="W49" s="393">
        <v>20</v>
      </c>
      <c r="X49" s="391">
        <f t="shared" ref="X49:X51" si="16">31.536*(AD49/1000)</f>
        <v>9.4608000000000012E-2</v>
      </c>
      <c r="Y49" s="393"/>
      <c r="Z49" s="393"/>
      <c r="AA49" s="393"/>
      <c r="AB49" s="394">
        <f>AC49*U49</f>
        <v>0</v>
      </c>
      <c r="AC49" s="394">
        <f>IF(((D44+I44+D45+I45+D46+I46+D47+I47)*$B$2)&lt;=0.1,0,((D44+I44+D45+I45+D46+I46+D47+I47)*T49*$B$2))</f>
        <v>0</v>
      </c>
      <c r="AD49" s="393">
        <v>3</v>
      </c>
      <c r="AE49" s="261"/>
      <c r="AF49" s="26"/>
      <c r="AG49" s="26"/>
      <c r="AH49" s="26"/>
      <c r="AI49" s="26"/>
      <c r="AJ49" s="26"/>
      <c r="AK49" s="26"/>
      <c r="AL49" s="26"/>
      <c r="AM49" s="26"/>
      <c r="AN49" s="261"/>
      <c r="AO49" s="261"/>
      <c r="AP49" s="261"/>
      <c r="AQ49" s="261"/>
    </row>
    <row r="50" spans="1:43">
      <c r="B50" s="451"/>
      <c r="C50" s="261"/>
      <c r="D50" s="261"/>
      <c r="E50" s="261"/>
      <c r="F50" s="261"/>
      <c r="G50" s="261"/>
      <c r="H50" s="261"/>
      <c r="I50" s="261"/>
      <c r="J50" s="261"/>
      <c r="L50" s="26" t="str">
        <f>_xlfn.TEXTJOIN(",",TRUE,IF(LEFT(Regions!$C$3,1)&lt;&gt;"*",Regions!$C$3,""),IF(LEFT(Regions!$D$3,1)&lt;&gt;"*",Regions!$D$3,""))</f>
        <v>IE,National</v>
      </c>
      <c r="M50" s="26" t="str">
        <f>LEFT(SETUP!B3,1)&amp;"-"&amp;RIGHT(COMM!$O$30,6)&amp;"_"&amp;RIGHT(O50,LEN(O50)-3)&amp;"_"&amp;SETUP!B64</f>
        <v>R-WH_Apt_HET_X0</v>
      </c>
      <c r="N50" s="395" t="str">
        <f>COMM!P30&amp;" "&amp;COMM!F25&amp;" "&amp;SETUP!C64</f>
        <v>Residential Water Heating Apartment Heat to Residential Existing 00</v>
      </c>
      <c r="O50" s="26" t="str">
        <f>COMM!E25</f>
        <v>RSDHET</v>
      </c>
      <c r="P50" s="26"/>
      <c r="Q50" s="26" t="str">
        <f>COMM!$O$30</f>
        <v>RSDWH_Apt</v>
      </c>
      <c r="R50" s="396">
        <f>E48/SUM($E$31:$E$49)-($R$51/7)</f>
        <v>6.3919749208289578E-2</v>
      </c>
      <c r="S50" s="397">
        <f>R50*DwellingStocks!$I$28/1000</f>
        <v>13.539473926528739</v>
      </c>
      <c r="T50" s="398">
        <f>(S50*1000)/E48</f>
        <v>1.5443679624191557</v>
      </c>
      <c r="U50" s="571">
        <f>U24</f>
        <v>0.39838442187649958</v>
      </c>
      <c r="V50" s="569">
        <f>IF(AB50/S50/X50=0,0.12,AB50/S50/X50)</f>
        <v>0.12</v>
      </c>
      <c r="W50" s="399">
        <v>20</v>
      </c>
      <c r="X50" s="567">
        <f t="shared" si="16"/>
        <v>9.4608000000000012E-2</v>
      </c>
      <c r="Y50" s="399"/>
      <c r="Z50" s="399"/>
      <c r="AA50" s="399"/>
      <c r="AB50" s="400">
        <f>AC50*U50</f>
        <v>0</v>
      </c>
      <c r="AC50" s="401">
        <f>IF(((D48+I48)*$B$2)&lt;=0.1,0,((D48+I48)*T50*$B$2))</f>
        <v>0</v>
      </c>
      <c r="AD50" s="563">
        <v>3</v>
      </c>
      <c r="AE50" s="261"/>
      <c r="AF50" s="26"/>
      <c r="AG50" s="26"/>
      <c r="AH50" s="26"/>
      <c r="AI50" s="26"/>
      <c r="AJ50" s="26"/>
      <c r="AK50" s="26"/>
      <c r="AL50" s="26"/>
      <c r="AM50" s="26"/>
      <c r="AN50" s="261"/>
      <c r="AO50" s="260"/>
    </row>
    <row r="51" spans="1:43" ht="21.5" thickBot="1">
      <c r="B51" s="50" t="s">
        <v>647</v>
      </c>
      <c r="C51" s="50"/>
      <c r="D51" s="50"/>
      <c r="E51" s="50"/>
      <c r="F51" s="50"/>
      <c r="G51" s="50"/>
      <c r="H51" s="50"/>
      <c r="J51" s="261"/>
      <c r="K51" s="261"/>
      <c r="L51" s="294" t="str">
        <f>_xlfn.TEXTJOIN(",",TRUE,IF(LEFT(Regions!$C$3,1)&lt;&gt;"*",Regions!$C$3,""),IF(LEFT(Regions!$D$3,1)&lt;&gt;"*",Regions!$D$3,""))</f>
        <v>IE,National</v>
      </c>
      <c r="M51" s="294" t="str">
        <f>LEFT(SETUP!B3,1)&amp;"-"&amp;RIGHT(COMM!$O$30,6)&amp;"_"&amp;RIGHT(O51,LEN(O51)-3)&amp;"_"&amp;SETUP!B64</f>
        <v>R-WH_Apt_SOL_X0</v>
      </c>
      <c r="N51" s="294" t="str">
        <f>COMM!P30&amp;" "&amp;COMM!F15&amp;" "&amp;SETUP!C64</f>
        <v>Residential Water Heating Apartment Solar Thermal to Residential Existing 00</v>
      </c>
      <c r="O51" s="294" t="str">
        <f>COMM!E15</f>
        <v>RSDSOL</v>
      </c>
      <c r="P51" s="294"/>
      <c r="Q51" s="294" t="str">
        <f>COMM!$O$30</f>
        <v>RSDWH_Apt</v>
      </c>
      <c r="R51" s="452">
        <v>0.01</v>
      </c>
      <c r="S51" s="390">
        <f>R51*DwellingStocks!$I$28/1000</f>
        <v>2.1181988499999997</v>
      </c>
      <c r="T51" s="391">
        <f>MAX(T33:T50)</f>
        <v>1.9500890217068836</v>
      </c>
      <c r="U51" s="569">
        <v>1</v>
      </c>
      <c r="V51" s="569">
        <f>AB51/S51/X51</f>
        <v>0.1397656556271597</v>
      </c>
      <c r="W51" s="393">
        <v>20</v>
      </c>
      <c r="X51" s="391">
        <f t="shared" si="16"/>
        <v>9.4608000000000012E-2</v>
      </c>
      <c r="Y51" s="393"/>
      <c r="Z51" s="393"/>
      <c r="AA51" s="393"/>
      <c r="AB51" s="394">
        <f>AC51*U51</f>
        <v>2.8008835678000416E-2</v>
      </c>
      <c r="AC51" s="394">
        <f>RSD_Balance!I18</f>
        <v>2.8008835678000416E-2</v>
      </c>
      <c r="AD51" s="393">
        <v>3</v>
      </c>
      <c r="AE51" s="261"/>
      <c r="AF51" s="261"/>
      <c r="AG51" s="261"/>
      <c r="AH51" s="261"/>
      <c r="AI51" s="261"/>
      <c r="AJ51" s="261"/>
      <c r="AK51" s="261"/>
      <c r="AL51" s="261"/>
      <c r="AM51" s="261"/>
    </row>
    <row r="52" spans="1:43" ht="15" thickBot="1">
      <c r="B52" s="229" t="s">
        <v>48</v>
      </c>
      <c r="C52" s="229" t="s">
        <v>389</v>
      </c>
      <c r="D52" s="229" t="s">
        <v>389</v>
      </c>
      <c r="E52" s="229" t="s">
        <v>389</v>
      </c>
      <c r="F52" s="229" t="s">
        <v>389</v>
      </c>
      <c r="G52" s="229" t="s">
        <v>497</v>
      </c>
      <c r="H52" s="229" t="s">
        <v>390</v>
      </c>
      <c r="J52" s="261"/>
      <c r="K52" s="261"/>
      <c r="L52" s="405"/>
      <c r="M52" s="405"/>
      <c r="N52" s="402"/>
      <c r="O52" s="402"/>
      <c r="P52" s="402"/>
      <c r="Q52" s="402"/>
      <c r="R52" s="402"/>
      <c r="S52" s="404"/>
      <c r="T52" s="402"/>
      <c r="U52" s="404"/>
      <c r="V52" s="402"/>
      <c r="W52" s="402"/>
      <c r="X52" s="402"/>
      <c r="Y52" s="402"/>
      <c r="Z52" s="402"/>
      <c r="AA52" s="402"/>
      <c r="AB52" s="402"/>
      <c r="AC52" s="402"/>
      <c r="AD52" s="402"/>
      <c r="AE52" s="261"/>
      <c r="AF52" s="261"/>
      <c r="AG52" s="261"/>
      <c r="AH52" s="261"/>
      <c r="AI52" s="261"/>
      <c r="AJ52" s="261"/>
      <c r="AK52" s="261"/>
      <c r="AL52" s="261"/>
      <c r="AM52" s="261"/>
    </row>
    <row r="53" spans="1:43" ht="27" thickBot="1">
      <c r="B53" s="295" t="s">
        <v>392</v>
      </c>
      <c r="C53" s="383" t="s">
        <v>416</v>
      </c>
      <c r="D53" s="383" t="s">
        <v>417</v>
      </c>
      <c r="E53" s="383" t="s">
        <v>418</v>
      </c>
      <c r="F53" s="383" t="s">
        <v>419</v>
      </c>
      <c r="G53" s="296" t="s">
        <v>398</v>
      </c>
      <c r="H53" s="296" t="s">
        <v>399</v>
      </c>
      <c r="K53" s="261"/>
      <c r="L53" s="405"/>
      <c r="M53" s="402"/>
      <c r="N53" s="402"/>
      <c r="O53" s="402"/>
      <c r="P53" s="402"/>
      <c r="Q53" s="402"/>
      <c r="R53" s="402"/>
      <c r="S53" s="404"/>
      <c r="T53" s="402"/>
      <c r="U53" s="404"/>
      <c r="V53" s="402"/>
      <c r="W53" s="402"/>
      <c r="X53" s="402"/>
      <c r="Y53" s="402"/>
      <c r="Z53" s="402"/>
      <c r="AA53" s="402"/>
      <c r="AB53" s="402"/>
      <c r="AC53" s="402"/>
      <c r="AD53" s="402"/>
      <c r="AE53" s="261"/>
      <c r="AH53" s="261"/>
      <c r="AI53" s="261"/>
      <c r="AJ53" s="261"/>
      <c r="AK53" s="261"/>
      <c r="AL53" s="261"/>
      <c r="AM53" s="261"/>
    </row>
    <row r="54" spans="1:43">
      <c r="B54" s="298" t="s">
        <v>48</v>
      </c>
      <c r="C54" s="233">
        <f>SUMIFS(INDEX(Table7[],,MATCH(C53,Table7[#Headers],0)),Table7[EnergyRating (group)],B54)</f>
        <v>6775690</v>
      </c>
      <c r="D54" s="233">
        <f>SUMIFS(INDEX(Table7[],,MATCH(D53,Table7[#Headers],0)),Table7[EnergyRating (group)],B54)</f>
        <v>2509515</v>
      </c>
      <c r="E54" s="233">
        <f>SUMIFS(INDEX(Table7[],,MATCH(E53,Table7[#Headers],0)),Table7[EnergyRating (group)],B54)</f>
        <v>5111116</v>
      </c>
      <c r="F54" s="233">
        <f>SUMIFS(INDEX(Table7[],,MATCH(F53,Table7[#Headers],0)),Table7[EnergyRating (group)],B54)</f>
        <v>1893006</v>
      </c>
      <c r="G54" s="233">
        <f>SUMIFS(INDEX(Table7[],,MATCH(G53,Table7[#Headers],0)),Table7[EnergyRating (group)],B54)</f>
        <v>6419</v>
      </c>
      <c r="H54" s="233">
        <f>SUMIFS(INDEX(Table7[],,MATCH(H53,Table7[#Headers],0)),Table7[EnergyRating (group)],B54)</f>
        <v>535140</v>
      </c>
      <c r="K54" s="261"/>
      <c r="L54" s="388"/>
      <c r="M54" s="388"/>
      <c r="N54" s="388"/>
      <c r="O54" s="388"/>
      <c r="P54" s="388"/>
      <c r="Q54" s="388"/>
      <c r="R54" s="388"/>
      <c r="S54" s="384">
        <f>SUM(S31:S52)</f>
        <v>211.7388160865155</v>
      </c>
      <c r="T54" s="388"/>
      <c r="U54" s="388"/>
      <c r="V54" s="388"/>
      <c r="W54" s="388"/>
      <c r="X54" s="388"/>
      <c r="Y54" s="388"/>
      <c r="Z54" s="388"/>
      <c r="AA54" s="388"/>
      <c r="AB54" s="382">
        <f>SUM(AB31:AB52)</f>
        <v>2.3618769124773515</v>
      </c>
      <c r="AC54" s="382">
        <f>SUM(AC31:AC52)</f>
        <v>1.8157156565743855</v>
      </c>
      <c r="AD54" s="261"/>
      <c r="AE54" s="261"/>
      <c r="AF54" s="261"/>
      <c r="AG54" s="261"/>
      <c r="AH54" s="261"/>
      <c r="AI54" s="261"/>
      <c r="AJ54" s="261"/>
      <c r="AK54" s="261"/>
      <c r="AL54" s="261"/>
      <c r="AM54" s="261"/>
    </row>
    <row r="55" spans="1:43">
      <c r="B55" s="299" t="s">
        <v>50</v>
      </c>
      <c r="C55" s="232">
        <f>SUMIFS(INDEX(Table7[],,MATCH(C53,Table7[#Headers],0)),Table7[EnergyRating (group)],B55)</f>
        <v>4575062</v>
      </c>
      <c r="D55" s="232">
        <f>SUMIFS(INDEX(Table7[],,MATCH(D53,Table7[#Headers],0)),Table7[EnergyRating (group)],B55)</f>
        <v>1694468</v>
      </c>
      <c r="E55" s="232">
        <f>SUMIFS(INDEX(Table7[],,MATCH(E53,Table7[#Headers],0)),Table7[EnergyRating (group)],B55)</f>
        <v>1724394</v>
      </c>
      <c r="F55" s="232">
        <f>SUMIFS(INDEX(Table7[],,MATCH(F53,Table7[#Headers],0)),Table7[EnergyRating (group)],B55)</f>
        <v>638663</v>
      </c>
      <c r="G55" s="232">
        <f>SUMIFS(INDEX(Table7[],,MATCH(G53,Table7[#Headers],0)),Table7[EnergyRating (group)],B55)</f>
        <v>3209</v>
      </c>
      <c r="H55" s="232">
        <f>SUMIFS(INDEX(Table7[],,MATCH(H53,Table7[#Headers],0)),Table7[EnergyRating (group)],B55)</f>
        <v>264012</v>
      </c>
      <c r="K55" s="261"/>
      <c r="L55" s="261"/>
      <c r="M55" s="261"/>
      <c r="N55" s="261"/>
      <c r="O55" s="261"/>
      <c r="P55" s="261"/>
      <c r="Q55" s="261"/>
      <c r="R55" s="261"/>
      <c r="S55" s="261"/>
      <c r="T55" s="261"/>
      <c r="U55" s="261"/>
      <c r="V55" s="261"/>
      <c r="W55" s="261"/>
      <c r="X55" s="261"/>
      <c r="Y55" s="261"/>
      <c r="Z55" s="261"/>
      <c r="AA55" s="261"/>
      <c r="AB55" s="261"/>
      <c r="AC55" s="261"/>
      <c r="AD55" s="261"/>
      <c r="AE55" s="261"/>
      <c r="AF55" s="19" t="s">
        <v>767</v>
      </c>
      <c r="AG55" s="19"/>
      <c r="AH55" s="509"/>
      <c r="AI55" s="509"/>
      <c r="AJ55" s="509"/>
      <c r="AK55" s="509"/>
      <c r="AL55" s="509"/>
      <c r="AM55" s="509"/>
    </row>
    <row r="56" spans="1:43" ht="21">
      <c r="B56" s="298" t="s">
        <v>52</v>
      </c>
      <c r="C56" s="233">
        <f>SUMIFS(INDEX(Table7[],,MATCH(C53,Table7[#Headers],0)),Table7[EnergyRating (group)],B56)</f>
        <v>13683994</v>
      </c>
      <c r="D56" s="233">
        <f>SUMIFS(INDEX(Table7[],,MATCH(D53,Table7[#Headers],0)),Table7[EnergyRating (group)],B56)</f>
        <v>5068145</v>
      </c>
      <c r="E56" s="233">
        <f>SUMIFS(INDEX(Table7[],,MATCH(E53,Table7[#Headers],0)),Table7[EnergyRating (group)],B56)</f>
        <v>4290643</v>
      </c>
      <c r="F56" s="233">
        <f>SUMIFS(INDEX(Table7[],,MATCH(F53,Table7[#Headers],0)),Table7[EnergyRating (group)],B56)</f>
        <v>1589124</v>
      </c>
      <c r="G56" s="233">
        <f>SUMIFS(INDEX(Table7[],,MATCH(G53,Table7[#Headers],0)),Table7[EnergyRating (group)],B56)</f>
        <v>8665</v>
      </c>
      <c r="H56" s="233">
        <f>SUMIFS(INDEX(Table7[],,MATCH(H53,Table7[#Headers],0)),Table7[EnergyRating (group)],B56)</f>
        <v>712220</v>
      </c>
      <c r="K56" s="261"/>
      <c r="L56" s="49"/>
      <c r="M56" s="49" t="s">
        <v>647</v>
      </c>
      <c r="N56" s="49"/>
      <c r="O56" s="53"/>
      <c r="P56" s="53"/>
      <c r="Q56" s="53" t="s">
        <v>768</v>
      </c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261"/>
      <c r="AF56" s="21" t="s">
        <v>261</v>
      </c>
      <c r="AG56" s="21" t="s">
        <v>764</v>
      </c>
      <c r="AH56" s="21" t="s">
        <v>255</v>
      </c>
      <c r="AI56" s="21" t="s">
        <v>256</v>
      </c>
      <c r="AJ56" s="21" t="s">
        <v>262</v>
      </c>
      <c r="AK56" s="21" t="s">
        <v>263</v>
      </c>
      <c r="AL56" s="21" t="s">
        <v>264</v>
      </c>
      <c r="AM56" s="21" t="s">
        <v>265</v>
      </c>
    </row>
    <row r="57" spans="1:43" ht="15" thickBot="1">
      <c r="B57" s="299" t="s">
        <v>54</v>
      </c>
      <c r="C57" s="232">
        <f>SUMIFS(INDEX(Table7[],,MATCH(C53,Table7[#Headers],0)),Table7[EnergyRating (group)],B57)</f>
        <v>21449934</v>
      </c>
      <c r="D57" s="232">
        <f>SUMIFS(INDEX(Table7[],,MATCH(D53,Table7[#Headers],0)),Table7[EnergyRating (group)],B57)</f>
        <v>7944417</v>
      </c>
      <c r="E57" s="232">
        <f>SUMIFS(INDEX(Table7[],,MATCH(E53,Table7[#Headers],0)),Table7[EnergyRating (group)],B57)</f>
        <v>6224849</v>
      </c>
      <c r="F57" s="232">
        <f>SUMIFS(INDEX(Table7[],,MATCH(F53,Table7[#Headers],0)),Table7[EnergyRating (group)],B57)</f>
        <v>2305495</v>
      </c>
      <c r="G57" s="232">
        <f>SUMIFS(INDEX(Table7[],,MATCH(G53,Table7[#Headers],0)),Table7[EnergyRating (group)],B57)</f>
        <v>13570</v>
      </c>
      <c r="H57" s="232">
        <f>SUMIFS(INDEX(Table7[],,MATCH(H53,Table7[#Headers],0)),Table7[EnergyRating (group)],B57)</f>
        <v>1073828</v>
      </c>
      <c r="K57" s="261"/>
      <c r="L57" s="21" t="s">
        <v>764</v>
      </c>
      <c r="M57" s="21" t="s">
        <v>255</v>
      </c>
      <c r="N57" s="21" t="s">
        <v>267</v>
      </c>
      <c r="O57" s="21" t="s">
        <v>257</v>
      </c>
      <c r="P57" s="21" t="s">
        <v>826</v>
      </c>
      <c r="Q57" s="21" t="s">
        <v>258</v>
      </c>
      <c r="R57" s="21" t="s">
        <v>388</v>
      </c>
      <c r="S57" s="27" t="s">
        <v>268</v>
      </c>
      <c r="T57" s="21" t="s">
        <v>492</v>
      </c>
      <c r="U57" s="21" t="s">
        <v>259</v>
      </c>
      <c r="V57" s="21" t="s">
        <v>638</v>
      </c>
      <c r="W57" s="27" t="s">
        <v>260</v>
      </c>
      <c r="X57" s="27" t="s">
        <v>270</v>
      </c>
      <c r="Y57" s="31" t="s">
        <v>708</v>
      </c>
      <c r="Z57" s="31" t="s">
        <v>709</v>
      </c>
      <c r="AA57" s="21" t="s">
        <v>828</v>
      </c>
      <c r="AB57" s="27" t="s">
        <v>637</v>
      </c>
      <c r="AC57" s="31" t="s">
        <v>636</v>
      </c>
      <c r="AD57" s="31" t="s">
        <v>829</v>
      </c>
      <c r="AE57" s="261"/>
      <c r="AF57" s="23" t="s">
        <v>254</v>
      </c>
      <c r="AG57" s="23"/>
      <c r="AH57" s="23"/>
      <c r="AI57" s="22"/>
      <c r="AJ57" s="23"/>
      <c r="AK57" s="23"/>
      <c r="AL57" s="23"/>
      <c r="AM57" s="23"/>
    </row>
    <row r="58" spans="1:43" ht="26.5" thickBot="1">
      <c r="B58" s="298" t="s">
        <v>56</v>
      </c>
      <c r="C58" s="233">
        <f>SUMIFS(INDEX(Table7[],,MATCH(C53,Table7[#Headers],0)),Table7[EnergyRating (group)],B58)</f>
        <v>66986544</v>
      </c>
      <c r="D58" s="233">
        <f>SUMIFS(INDEX(Table7[],,MATCH(D53,Table7[#Headers],0)),Table7[EnergyRating (group)],B58)</f>
        <v>24809832</v>
      </c>
      <c r="E58" s="233">
        <f>SUMIFS(INDEX(Table7[],,MATCH(E53,Table7[#Headers],0)),Table7[EnergyRating (group)],B58)</f>
        <v>14001780</v>
      </c>
      <c r="F58" s="233">
        <f>SUMIFS(INDEX(Table7[],,MATCH(F53,Table7[#Headers],0)),Table7[EnergyRating (group)],B58)</f>
        <v>5185839</v>
      </c>
      <c r="G58" s="233">
        <f>SUMIFS(INDEX(Table7[],,MATCH(G53,Table7[#Headers],0)),Table7[EnergyRating (group)],B58)</f>
        <v>45566</v>
      </c>
      <c r="H58" s="233">
        <f>SUMIFS(INDEX(Table7[],,MATCH(H53,Table7[#Headers],0)),Table7[EnergyRating (group)],B58)</f>
        <v>3308775</v>
      </c>
      <c r="K58" s="261"/>
      <c r="L58" s="22" t="s">
        <v>771</v>
      </c>
      <c r="M58" s="22" t="s">
        <v>271</v>
      </c>
      <c r="N58" s="22" t="s">
        <v>272</v>
      </c>
      <c r="O58" s="22" t="s">
        <v>273</v>
      </c>
      <c r="P58" s="22" t="s">
        <v>827</v>
      </c>
      <c r="Q58" s="22" t="s">
        <v>274</v>
      </c>
      <c r="R58" s="22"/>
      <c r="S58" s="29" t="s">
        <v>275</v>
      </c>
      <c r="T58" s="22"/>
      <c r="U58" s="22" t="s">
        <v>391</v>
      </c>
      <c r="V58" s="22" t="s">
        <v>391</v>
      </c>
      <c r="W58" s="28"/>
      <c r="X58" s="28"/>
      <c r="Y58" s="212" t="s">
        <v>391</v>
      </c>
      <c r="Z58" s="28" t="s">
        <v>710</v>
      </c>
      <c r="AA58" s="22"/>
      <c r="AB58" s="28" t="s">
        <v>13</v>
      </c>
      <c r="AC58" s="212" t="s">
        <v>13</v>
      </c>
      <c r="AD58" s="212" t="s">
        <v>833</v>
      </c>
      <c r="AE58" s="261"/>
      <c r="AF58" s="294" t="s">
        <v>266</v>
      </c>
      <c r="AG58" s="294" t="str">
        <f>_xlfn.TEXTJOIN(",",TRUE,IF(LEFT(Regions!$C$3,1)&lt;&gt;"*",Regions!$C$3,""),IF(LEFT(Regions!$D$3,1)&lt;&gt;"*",Regions!$D$3,""))</f>
        <v>IE,National</v>
      </c>
      <c r="AH58" s="294" t="str">
        <f>M59</f>
        <v>R-LT_Apt_X0</v>
      </c>
      <c r="AI58" s="294" t="str">
        <f>N59</f>
        <v>Residential Lighting Apartment Existing 00</v>
      </c>
      <c r="AJ58" s="294" t="s">
        <v>13</v>
      </c>
      <c r="AK58" s="294" t="s">
        <v>275</v>
      </c>
      <c r="AL58" s="294"/>
      <c r="AM58" s="294"/>
    </row>
    <row r="59" spans="1:43">
      <c r="B59" s="299" t="s">
        <v>58</v>
      </c>
      <c r="C59" s="232">
        <f>SUMIFS(INDEX(Table7[],,MATCH(C53,Table7[#Headers],0)),Table7[EnergyRating (group)],B59)</f>
        <v>40832641</v>
      </c>
      <c r="D59" s="232">
        <f>SUMIFS(INDEX(Table7[],,MATCH(D53,Table7[#Headers],0)),Table7[EnergyRating (group)],B59)</f>
        <v>15123198</v>
      </c>
      <c r="E59" s="232">
        <f>SUMIFS(INDEX(Table7[],,MATCH(E53,Table7[#Headers],0)),Table7[EnergyRating (group)],B59)</f>
        <v>4141605</v>
      </c>
      <c r="F59" s="232">
        <f>SUMIFS(INDEX(Table7[],,MATCH(F53,Table7[#Headers],0)),Table7[EnergyRating (group)],B59)</f>
        <v>1533923</v>
      </c>
      <c r="G59" s="232">
        <f>SUMIFS(INDEX(Table7[],,MATCH(G53,Table7[#Headers],0)),Table7[EnergyRating (group)],B59)</f>
        <v>30979</v>
      </c>
      <c r="H59" s="232">
        <f>SUMIFS(INDEX(Table7[],,MATCH(H53,Table7[#Headers],0)),Table7[EnergyRating (group)],B59)</f>
        <v>2017900</v>
      </c>
      <c r="L59" s="294" t="str">
        <f>_xlfn.TEXTJOIN(",",TRUE,IF(LEFT(Regions!$C$3,1)&lt;&gt;"*",Regions!$C$3,""),IF(LEFT(Regions!$D$3,1)&lt;&gt;"*",Regions!$D$3,""))</f>
        <v>IE,National</v>
      </c>
      <c r="M59" s="294" t="str">
        <f>LEFT(SETUP!B3,1)&amp;"-"&amp;RIGHT(COMM!$O$33,6)&amp;"_"&amp;SETUP!B64</f>
        <v>R-LT_Apt_X0</v>
      </c>
      <c r="N59" s="294" t="str">
        <f>COMM!$P$33&amp;" "&amp;SETUP!$C$64</f>
        <v>Residential Lighting Apartment Existing 00</v>
      </c>
      <c r="O59" s="294" t="str">
        <f>COMM!E24</f>
        <v>RSDELC</v>
      </c>
      <c r="P59" s="294"/>
      <c r="Q59" s="294" t="str">
        <f>COMM!$O$33</f>
        <v>RSDLT_Apt</v>
      </c>
      <c r="R59" s="294">
        <v>1</v>
      </c>
      <c r="S59" s="391">
        <f>DwellingStocks!I28/1000</f>
        <v>211.81988499999997</v>
      </c>
      <c r="T59" s="294">
        <f>(S59*1000)/SUM(G54:G62)-0.1837</f>
        <v>1.3876991038376223</v>
      </c>
      <c r="U59" s="569">
        <v>0.4</v>
      </c>
      <c r="V59" s="569">
        <f t="shared" ref="V59" si="17">AB59/S59/X59</f>
        <v>0.21098594733224113</v>
      </c>
      <c r="W59" s="393">
        <v>10</v>
      </c>
      <c r="X59" s="392">
        <f>31.536*(AD59/1000)</f>
        <v>3.0747599999999997E-3</v>
      </c>
      <c r="Y59" s="393"/>
      <c r="Z59" s="393"/>
      <c r="AA59" s="393"/>
      <c r="AB59" s="755">
        <f>AC59*U59</f>
        <v>0.1374141578895498</v>
      </c>
      <c r="AC59" s="394">
        <f>((D54+D55+D56+D57+D58+D59+D60+D61+D62)*T59*$B$2)</f>
        <v>0.34353539472387451</v>
      </c>
      <c r="AD59" s="390">
        <f>0.0065*15</f>
        <v>9.7499999999999989E-2</v>
      </c>
      <c r="AE59" s="261"/>
      <c r="AF59" s="395" t="s">
        <v>266</v>
      </c>
      <c r="AG59" s="395" t="str">
        <f>_xlfn.TEXTJOIN(",",TRUE,IF(LEFT(Regions!$C$3,1)&lt;&gt;"*",Regions!$C$3,""),IF(LEFT(Regions!$D$3,1)&lt;&gt;"*",Regions!$D$3,""))</f>
        <v>IE,National</v>
      </c>
      <c r="AH59" s="395" t="str">
        <f>M60</f>
        <v>R-PF_Apt_X0</v>
      </c>
      <c r="AI59" s="395" t="str">
        <f>N60</f>
        <v>Residential Pumps &amp; Fans Apartment Existing 00</v>
      </c>
      <c r="AJ59" s="395" t="s">
        <v>13</v>
      </c>
      <c r="AK59" s="395" t="s">
        <v>275</v>
      </c>
      <c r="AL59" s="395"/>
      <c r="AM59" s="395"/>
    </row>
    <row r="60" spans="1:43">
      <c r="B60" s="298" t="s">
        <v>60</v>
      </c>
      <c r="C60" s="233">
        <f>SUMIFS(INDEX(Table7[],,MATCH(C53,Table7[#Headers],0)),Table7[EnergyRating (group)],B60)</f>
        <v>19134777</v>
      </c>
      <c r="D60" s="233">
        <f>SUMIFS(INDEX(Table7[],,MATCH(D53,Table7[#Headers],0)),Table7[EnergyRating (group)],B60)</f>
        <v>7086955</v>
      </c>
      <c r="E60" s="233">
        <f>SUMIFS(INDEX(Table7[],,MATCH(E53,Table7[#Headers],0)),Table7[EnergyRating (group)],B60)</f>
        <v>1553027</v>
      </c>
      <c r="F60" s="233">
        <f>SUMIFS(INDEX(Table7[],,MATCH(F53,Table7[#Headers],0)),Table7[EnergyRating (group)],B60)</f>
        <v>575188</v>
      </c>
      <c r="G60" s="233">
        <f>SUMIFS(INDEX(Table7[],,MATCH(G53,Table7[#Headers],0)),Table7[EnergyRating (group)],B60)</f>
        <v>15595</v>
      </c>
      <c r="H60" s="233">
        <f>SUMIFS(INDEX(Table7[],,MATCH(H53,Table7[#Headers],0)),Table7[EnergyRating (group)],B60)</f>
        <v>931540</v>
      </c>
      <c r="L60" s="395" t="str">
        <f>_xlfn.TEXTJOIN(",",TRUE,IF(LEFT(Regions!$C$3,1)&lt;&gt;"*",Regions!$C$3,""),IF(LEFT(Regions!$D$3,1)&lt;&gt;"*",Regions!$D$3,""))</f>
        <v>IE,National</v>
      </c>
      <c r="M60" s="395" t="str">
        <f>LEFT(SETUP!B3,1)&amp;"-"&amp;RIGHT(COMM!$O$36,6)&amp;"_"&amp;SETUP!$B$64</f>
        <v>R-PF_Apt_X0</v>
      </c>
      <c r="N60" s="395" t="str">
        <f>COMM!$P$36&amp;" "&amp;SETUP!$C$64</f>
        <v>Residential Pumps &amp; Fans Apartment Existing 00</v>
      </c>
      <c r="O60" s="395" t="str">
        <f>COMM!E24</f>
        <v>RSDELC</v>
      </c>
      <c r="P60" s="395"/>
      <c r="Q60" s="395" t="str">
        <f>COMM!$O$36</f>
        <v>RSDPF_Apt</v>
      </c>
      <c r="R60" s="395">
        <v>1</v>
      </c>
      <c r="S60" s="575">
        <f>DwellingStocks!I28/1000</f>
        <v>211.81988499999997</v>
      </c>
      <c r="T60" s="395">
        <f>(S60*1000)/SUM(G54:G62)-0.1837</f>
        <v>1.3876991038376223</v>
      </c>
      <c r="U60" s="576">
        <v>0.6</v>
      </c>
      <c r="V60" s="576">
        <f>AB60/S60/X60</f>
        <v>0.12716586319930656</v>
      </c>
      <c r="W60" s="577">
        <v>15</v>
      </c>
      <c r="X60" s="578">
        <f t="shared" ref="X60" si="18">31.536*(AD60/1000)</f>
        <v>1.5768000000000002E-3</v>
      </c>
      <c r="Y60" s="577"/>
      <c r="Z60" s="577"/>
      <c r="AA60" s="577"/>
      <c r="AB60" s="579">
        <f>AC60*U60</f>
        <v>4.2473092432448331E-2</v>
      </c>
      <c r="AC60" s="401">
        <f>(F54+F55+F56+F57+F58+F59+F60+F61+F62)*T60*$B$2</f>
        <v>7.078848738741389E-2</v>
      </c>
      <c r="AD60" s="562">
        <v>0.05</v>
      </c>
      <c r="AE60" s="261"/>
    </row>
    <row r="61" spans="1:43">
      <c r="B61" s="299" t="s">
        <v>62</v>
      </c>
      <c r="C61" s="232">
        <f>SUMIFS(INDEX(Table7[],,MATCH(C53,Table7[#Headers],0)),Table7[EnergyRating (group)],B61)</f>
        <v>5990892</v>
      </c>
      <c r="D61" s="232">
        <f>SUMIFS(INDEX(Table7[],,MATCH(D53,Table7[#Headers],0)),Table7[EnergyRating (group)],B61)</f>
        <v>2218847</v>
      </c>
      <c r="E61" s="232">
        <f>SUMIFS(INDEX(Table7[],,MATCH(E53,Table7[#Headers],0)),Table7[EnergyRating (group)],B61)</f>
        <v>634696</v>
      </c>
      <c r="F61" s="232">
        <f>SUMIFS(INDEX(Table7[],,MATCH(F53,Table7[#Headers],0)),Table7[EnergyRating (group)],B61)</f>
        <v>235069</v>
      </c>
      <c r="G61" s="232">
        <f>SUMIFS(INDEX(Table7[],,MATCH(G53,Table7[#Headers],0)),Table7[EnergyRating (group)],B61)</f>
        <v>5191</v>
      </c>
      <c r="H61" s="232">
        <f>SUMIFS(INDEX(Table7[],,MATCH(H53,Table7[#Headers],0)),Table7[EnergyRating (group)],B61)</f>
        <v>290192</v>
      </c>
      <c r="L61" s="261"/>
      <c r="M61" s="261"/>
      <c r="N61" s="261"/>
      <c r="O61" s="261"/>
      <c r="P61" s="261"/>
      <c r="Q61" s="261"/>
      <c r="R61" s="261"/>
      <c r="S61" s="261"/>
      <c r="T61" s="261"/>
      <c r="U61" s="261"/>
      <c r="V61" s="261"/>
      <c r="W61" s="261"/>
      <c r="X61" s="261"/>
      <c r="Y61" s="261"/>
      <c r="Z61" s="261"/>
      <c r="AA61" s="261"/>
      <c r="AB61" s="261"/>
      <c r="AC61" s="261"/>
      <c r="AD61" s="261"/>
      <c r="AE61" s="261"/>
    </row>
    <row r="62" spans="1:43">
      <c r="B62" s="298" t="s">
        <v>64</v>
      </c>
      <c r="C62" s="233">
        <f>SUMIFS(INDEX(Table7[],,MATCH(C53,Table7[#Headers],0)),Table7[EnergyRating (group)],B62)</f>
        <v>6238656</v>
      </c>
      <c r="D62" s="233">
        <f>SUMIFS(INDEX(Table7[],,MATCH(D53,Table7[#Headers],0)),Table7[EnergyRating (group)],B62)</f>
        <v>2310610</v>
      </c>
      <c r="E62" s="233">
        <f>SUMIFS(INDEX(Table7[],,MATCH(E53,Table7[#Headers],0)),Table7[EnergyRating (group)],B62)</f>
        <v>576538</v>
      </c>
      <c r="F62" s="233">
        <f>SUMIFS(INDEX(Table7[],,MATCH(F53,Table7[#Headers],0)),Table7[EnergyRating (group)],B62)</f>
        <v>213529</v>
      </c>
      <c r="G62" s="233">
        <f>SUMIFS(INDEX(Table7[],,MATCH(G53,Table7[#Headers],0)),Table7[EnergyRating (group)],B62)</f>
        <v>5603</v>
      </c>
      <c r="H62" s="233">
        <f>SUMIFS(INDEX(Table7[],,MATCH(H53,Table7[#Headers],0)),Table7[EnergyRating (group)],B62)</f>
        <v>294589</v>
      </c>
      <c r="L62" s="261"/>
      <c r="M62" s="261"/>
      <c r="N62" s="261"/>
      <c r="O62" s="261"/>
      <c r="P62" s="261"/>
      <c r="Q62" s="261"/>
      <c r="R62" s="261"/>
      <c r="S62" s="261"/>
      <c r="T62" s="261"/>
      <c r="U62" s="261"/>
      <c r="V62" s="261"/>
      <c r="W62" s="261"/>
      <c r="X62" s="261"/>
      <c r="Y62" s="261"/>
      <c r="Z62" s="261"/>
      <c r="AA62" s="261"/>
      <c r="AB62" s="261"/>
      <c r="AC62" s="261"/>
      <c r="AD62" s="261"/>
      <c r="AE62" s="261"/>
    </row>
    <row r="63" spans="1:43">
      <c r="L63" s="261"/>
      <c r="M63" s="261"/>
      <c r="N63" s="261"/>
      <c r="O63" s="261"/>
      <c r="P63" s="261"/>
      <c r="Q63" s="261"/>
      <c r="R63" s="261"/>
      <c r="S63" s="261"/>
      <c r="T63" s="261"/>
      <c r="U63" s="525"/>
      <c r="V63" s="261"/>
      <c r="W63" s="261"/>
      <c r="X63" s="261"/>
      <c r="Y63" s="261"/>
      <c r="Z63" s="261"/>
      <c r="AA63" s="261"/>
      <c r="AB63" s="261"/>
      <c r="AC63" s="261"/>
      <c r="AD63" s="261"/>
    </row>
    <row r="70" spans="29:29">
      <c r="AC70"/>
    </row>
  </sheetData>
  <mergeCells count="4">
    <mergeCell ref="H4:J4"/>
    <mergeCell ref="B4:G4"/>
    <mergeCell ref="B28:G28"/>
    <mergeCell ref="H28:J28"/>
  </mergeCells>
  <phoneticPr fontId="20" type="noConversion"/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02514-8F1B-47E3-A1D8-A2D90F4D5446}">
  <sheetPr codeName="Sheet17">
    <tabColor rgb="FF92D050"/>
  </sheetPr>
  <dimension ref="A1:AW70"/>
  <sheetViews>
    <sheetView topLeftCell="O1" zoomScale="60" zoomScaleNormal="60" workbookViewId="0">
      <selection activeCell="V8" sqref="V8"/>
    </sheetView>
  </sheetViews>
  <sheetFormatPr defaultColWidth="9.1796875" defaultRowHeight="14.5"/>
  <cols>
    <col min="1" max="1" width="7.54296875" style="48" customWidth="1"/>
    <col min="2" max="2" width="28.453125" style="48" customWidth="1"/>
    <col min="3" max="4" width="20.7265625" style="48" customWidth="1"/>
    <col min="5" max="5" width="13.7265625" style="48" customWidth="1"/>
    <col min="6" max="6" width="11.7265625" style="48" customWidth="1"/>
    <col min="7" max="7" width="13.453125" style="48" customWidth="1"/>
    <col min="8" max="8" width="10.81640625" style="48" customWidth="1"/>
    <col min="9" max="9" width="12.26953125" style="48" customWidth="1"/>
    <col min="10" max="10" width="15.453125" style="48" customWidth="1"/>
    <col min="11" max="12" width="12.1796875" style="48" customWidth="1"/>
    <col min="13" max="13" width="25.26953125" style="48" customWidth="1"/>
    <col min="14" max="14" width="85.453125" style="48" bestFit="1" customWidth="1"/>
    <col min="15" max="16" width="17.7265625" style="48" customWidth="1"/>
    <col min="17" max="17" width="27.81640625" style="48" customWidth="1"/>
    <col min="18" max="18" width="11.81640625" style="48" customWidth="1"/>
    <col min="19" max="19" width="12" style="48" customWidth="1"/>
    <col min="20" max="20" width="16.81640625" style="48" customWidth="1"/>
    <col min="21" max="21" width="10.81640625" style="48" customWidth="1"/>
    <col min="22" max="22" width="15.26953125" style="48" customWidth="1"/>
    <col min="23" max="23" width="8.54296875" style="48" customWidth="1"/>
    <col min="24" max="27" width="11.453125" style="48" customWidth="1"/>
    <col min="28" max="30" width="23.26953125" style="48" customWidth="1"/>
    <col min="31" max="31" width="19.453125" style="48" customWidth="1"/>
    <col min="32" max="32" width="7.81640625" style="48" customWidth="1"/>
    <col min="33" max="33" width="10.7265625" style="48" bestFit="1" customWidth="1"/>
    <col min="34" max="34" width="22.1796875" style="48" bestFit="1" customWidth="1"/>
    <col min="35" max="35" width="85.453125" style="48" bestFit="1" customWidth="1"/>
    <col min="36" max="36" width="4.54296875" style="48" bestFit="1" customWidth="1"/>
    <col min="37" max="37" width="8.453125" style="48" bestFit="1" customWidth="1"/>
    <col min="38" max="38" width="5" style="48" bestFit="1" customWidth="1"/>
    <col min="39" max="39" width="10.453125" style="48" bestFit="1" customWidth="1"/>
    <col min="40" max="40" width="9.1796875" style="48"/>
    <col min="41" max="41" width="12.26953125" style="48" customWidth="1"/>
    <col min="42" max="42" width="9.1796875" style="48"/>
    <col min="43" max="43" width="2.26953125" style="48" bestFit="1" customWidth="1"/>
    <col min="44" max="44" width="2.81640625" style="48" bestFit="1" customWidth="1"/>
    <col min="45" max="45" width="11" style="48" bestFit="1" customWidth="1"/>
    <col min="46" max="46" width="10.54296875" style="48" bestFit="1" customWidth="1"/>
    <col min="47" max="47" width="4.1796875" style="48" bestFit="1" customWidth="1"/>
    <col min="48" max="48" width="6.54296875" style="48" customWidth="1"/>
    <col min="49" max="16384" width="9.1796875" style="48"/>
  </cols>
  <sheetData>
    <row r="1" spans="1:44" ht="22" customHeight="1">
      <c r="A1" s="50" t="s">
        <v>648</v>
      </c>
      <c r="B1" s="50"/>
      <c r="C1" s="50"/>
      <c r="D1" s="50"/>
      <c r="E1" s="50"/>
      <c r="F1" s="50"/>
      <c r="G1" s="50"/>
      <c r="H1" s="50"/>
      <c r="I1" s="50"/>
      <c r="J1" s="50"/>
      <c r="K1" s="261"/>
      <c r="L1" s="261"/>
      <c r="M1" s="49" t="s">
        <v>769</v>
      </c>
      <c r="N1" s="34"/>
      <c r="O1" s="34"/>
      <c r="P1" s="34"/>
      <c r="Q1" s="34"/>
      <c r="R1" s="34"/>
      <c r="S1" s="277"/>
      <c r="T1" s="34"/>
      <c r="U1" s="277"/>
      <c r="V1" s="277"/>
      <c r="W1" s="277"/>
      <c r="X1" s="277"/>
      <c r="Y1" s="277"/>
      <c r="Z1" s="277"/>
      <c r="AA1" s="277"/>
      <c r="AB1" s="277"/>
      <c r="AC1" s="277"/>
      <c r="AD1" s="277"/>
      <c r="AE1" s="277"/>
      <c r="AF1" s="277"/>
      <c r="AG1" s="277"/>
      <c r="AH1" s="277"/>
      <c r="AI1" s="277"/>
      <c r="AJ1" s="277"/>
      <c r="AK1" s="277"/>
      <c r="AL1" s="277"/>
      <c r="AM1" s="277"/>
      <c r="AN1" s="261"/>
      <c r="AO1" s="261"/>
      <c r="AP1" s="261"/>
      <c r="AQ1" s="261"/>
      <c r="AR1" s="261"/>
    </row>
    <row r="2" spans="1:44" ht="15" customHeight="1">
      <c r="A2" s="380" t="s">
        <v>574</v>
      </c>
      <c r="B2" s="381">
        <v>3.6E-9</v>
      </c>
      <c r="C2" s="380"/>
      <c r="D2" s="380" t="s">
        <v>13</v>
      </c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261"/>
      <c r="W2" s="261"/>
      <c r="X2" s="261"/>
      <c r="Y2" s="261"/>
      <c r="Z2" s="261"/>
      <c r="AA2" s="261"/>
      <c r="AB2" s="261"/>
      <c r="AC2" s="261"/>
      <c r="AD2" s="261"/>
      <c r="AE2" s="261"/>
      <c r="AF2" s="261"/>
      <c r="AG2" s="261"/>
      <c r="AH2" s="261"/>
      <c r="AI2" s="261"/>
      <c r="AJ2" s="261"/>
      <c r="AK2" s="261"/>
      <c r="AL2" s="261"/>
      <c r="AM2" s="261"/>
      <c r="AN2" s="261"/>
      <c r="AO2" s="261"/>
      <c r="AP2" s="261"/>
      <c r="AQ2" s="261"/>
      <c r="AR2" s="261"/>
    </row>
    <row r="3" spans="1:44" ht="21.5" thickBot="1">
      <c r="A3" s="50" t="s">
        <v>501</v>
      </c>
      <c r="B3" s="50"/>
      <c r="C3" s="50"/>
      <c r="D3" s="50"/>
      <c r="E3" s="50"/>
      <c r="F3" s="50"/>
      <c r="G3" s="50"/>
      <c r="H3" s="50"/>
      <c r="I3" s="50"/>
      <c r="J3" s="50"/>
      <c r="K3" s="261"/>
      <c r="L3" s="49"/>
      <c r="M3" s="49" t="s">
        <v>501</v>
      </c>
      <c r="N3" s="49"/>
      <c r="O3" s="49"/>
      <c r="P3" s="49"/>
      <c r="Q3" s="53" t="s">
        <v>768</v>
      </c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261"/>
      <c r="AF3" s="19" t="s">
        <v>767</v>
      </c>
      <c r="AG3" s="19"/>
      <c r="AH3" s="509"/>
      <c r="AI3" s="509"/>
      <c r="AJ3" s="509"/>
      <c r="AK3" s="509"/>
      <c r="AL3" s="509"/>
      <c r="AM3" s="509"/>
      <c r="AN3" s="261"/>
      <c r="AO3" s="261"/>
      <c r="AP3" s="261"/>
      <c r="AQ3" s="261"/>
      <c r="AR3" s="261"/>
    </row>
    <row r="4" spans="1:44" ht="15" customHeight="1" thickBot="1">
      <c r="A4" s="261"/>
      <c r="B4" s="1150" t="s">
        <v>643</v>
      </c>
      <c r="C4" s="1151"/>
      <c r="D4" s="1151"/>
      <c r="E4" s="1151"/>
      <c r="F4" s="1151"/>
      <c r="G4" s="1152"/>
      <c r="H4" s="1150" t="s">
        <v>644</v>
      </c>
      <c r="I4" s="1151"/>
      <c r="J4" s="1152"/>
      <c r="K4" s="261"/>
      <c r="L4" s="21" t="s">
        <v>764</v>
      </c>
      <c r="M4" s="21" t="s">
        <v>255</v>
      </c>
      <c r="N4" s="21" t="s">
        <v>267</v>
      </c>
      <c r="O4" s="21" t="s">
        <v>257</v>
      </c>
      <c r="P4" s="21" t="s">
        <v>826</v>
      </c>
      <c r="Q4" s="21" t="s">
        <v>258</v>
      </c>
      <c r="R4" s="21" t="s">
        <v>388</v>
      </c>
      <c r="S4" s="27" t="s">
        <v>268</v>
      </c>
      <c r="T4" s="21" t="s">
        <v>492</v>
      </c>
      <c r="U4" s="21" t="s">
        <v>259</v>
      </c>
      <c r="V4" s="21" t="s">
        <v>638</v>
      </c>
      <c r="W4" s="27" t="s">
        <v>260</v>
      </c>
      <c r="X4" s="21" t="s">
        <v>270</v>
      </c>
      <c r="Y4" s="27" t="s">
        <v>708</v>
      </c>
      <c r="Z4" s="21" t="s">
        <v>709</v>
      </c>
      <c r="AA4" s="21" t="s">
        <v>828</v>
      </c>
      <c r="AB4" s="27" t="s">
        <v>637</v>
      </c>
      <c r="AC4" s="31" t="s">
        <v>636</v>
      </c>
      <c r="AD4" s="31" t="s">
        <v>829</v>
      </c>
      <c r="AE4" s="261"/>
      <c r="AF4" s="21" t="s">
        <v>261</v>
      </c>
      <c r="AG4" s="21" t="s">
        <v>764</v>
      </c>
      <c r="AH4" s="21" t="s">
        <v>255</v>
      </c>
      <c r="AI4" s="21" t="s">
        <v>256</v>
      </c>
      <c r="AJ4" s="21" t="s">
        <v>262</v>
      </c>
      <c r="AK4" s="21" t="s">
        <v>263</v>
      </c>
      <c r="AL4" s="21" t="s">
        <v>264</v>
      </c>
      <c r="AM4" s="21" t="s">
        <v>265</v>
      </c>
      <c r="AN4" s="261"/>
      <c r="AO4" s="261"/>
      <c r="AP4" s="261"/>
      <c r="AQ4" s="261"/>
      <c r="AR4" s="261"/>
    </row>
    <row r="5" spans="1:44" ht="21.75" customHeight="1" thickBot="1">
      <c r="A5" s="261"/>
      <c r="B5" s="229"/>
      <c r="C5" s="229" t="s">
        <v>389</v>
      </c>
      <c r="D5" s="229" t="s">
        <v>389</v>
      </c>
      <c r="E5" s="229" t="s">
        <v>646</v>
      </c>
      <c r="F5" s="229" t="s">
        <v>390</v>
      </c>
      <c r="G5" s="229" t="s">
        <v>391</v>
      </c>
      <c r="H5" s="229" t="s">
        <v>389</v>
      </c>
      <c r="I5" s="229" t="s">
        <v>389</v>
      </c>
      <c r="J5" s="229" t="s">
        <v>646</v>
      </c>
      <c r="K5" s="261"/>
      <c r="L5" s="22" t="s">
        <v>771</v>
      </c>
      <c r="M5" s="22" t="s">
        <v>271</v>
      </c>
      <c r="N5" s="22" t="s">
        <v>272</v>
      </c>
      <c r="O5" s="22" t="s">
        <v>273</v>
      </c>
      <c r="P5" s="22" t="s">
        <v>827</v>
      </c>
      <c r="Q5" s="22" t="s">
        <v>274</v>
      </c>
      <c r="R5" s="22"/>
      <c r="S5" s="29" t="s">
        <v>275</v>
      </c>
      <c r="T5" s="22"/>
      <c r="U5" s="22" t="s">
        <v>391</v>
      </c>
      <c r="V5" s="22"/>
      <c r="W5" s="28"/>
      <c r="X5" s="22" t="s">
        <v>831</v>
      </c>
      <c r="Y5" s="28" t="s">
        <v>391</v>
      </c>
      <c r="Z5" s="22" t="s">
        <v>710</v>
      </c>
      <c r="AA5" s="22"/>
      <c r="AB5" s="28" t="s">
        <v>13</v>
      </c>
      <c r="AC5" s="212" t="s">
        <v>13</v>
      </c>
      <c r="AD5" s="212" t="s">
        <v>830</v>
      </c>
      <c r="AE5" s="261"/>
      <c r="AF5" s="23" t="s">
        <v>254</v>
      </c>
      <c r="AG5" s="23"/>
      <c r="AH5" s="23"/>
      <c r="AI5" s="22"/>
      <c r="AJ5" s="23"/>
      <c r="AK5" s="23"/>
      <c r="AL5" s="23"/>
      <c r="AM5" s="23"/>
      <c r="AN5" s="261"/>
      <c r="AO5" s="261"/>
      <c r="AP5" s="261"/>
      <c r="AQ5" s="261"/>
      <c r="AR5" s="261"/>
    </row>
    <row r="6" spans="1:44" ht="28" customHeight="1" thickBot="1">
      <c r="A6" s="261"/>
      <c r="B6" s="296" t="s">
        <v>393</v>
      </c>
      <c r="C6" s="296" t="s">
        <v>394</v>
      </c>
      <c r="D6" s="296" t="s">
        <v>395</v>
      </c>
      <c r="E6" s="296" t="s">
        <v>398</v>
      </c>
      <c r="F6" s="296" t="s">
        <v>399</v>
      </c>
      <c r="G6" s="296" t="s">
        <v>400</v>
      </c>
      <c r="H6" s="296" t="s">
        <v>396</v>
      </c>
      <c r="I6" s="296" t="s">
        <v>397</v>
      </c>
      <c r="J6" s="296" t="s">
        <v>398</v>
      </c>
      <c r="K6" s="261"/>
      <c r="L6" s="24" t="s">
        <v>254</v>
      </c>
      <c r="M6" s="24" t="s">
        <v>254</v>
      </c>
      <c r="N6" s="24"/>
      <c r="O6" s="24"/>
      <c r="P6" s="24"/>
      <c r="Q6" s="24"/>
      <c r="R6" s="297">
        <f>SUM(R7:R25)</f>
        <v>1</v>
      </c>
      <c r="S6" s="24"/>
      <c r="T6" s="32"/>
      <c r="U6" s="24"/>
      <c r="V6" s="24"/>
      <c r="W6" s="24"/>
      <c r="X6" s="24"/>
      <c r="Y6" s="24"/>
      <c r="Z6" s="24"/>
      <c r="AA6" s="24"/>
      <c r="AB6" s="24"/>
      <c r="AC6" s="24"/>
      <c r="AD6" s="24"/>
      <c r="AE6" s="261"/>
      <c r="AF6" s="51" t="str">
        <f>"*"&amp; A7 &amp; " Rating"</f>
        <v>* Rating</v>
      </c>
      <c r="AG6" s="51"/>
      <c r="AH6" s="52"/>
      <c r="AI6" s="52"/>
      <c r="AJ6" s="52"/>
      <c r="AK6" s="52"/>
      <c r="AL6" s="52"/>
      <c r="AM6" s="52"/>
      <c r="AN6" s="261"/>
      <c r="AO6" s="261"/>
      <c r="AP6" s="261"/>
      <c r="AQ6" s="261"/>
      <c r="AR6" s="261"/>
    </row>
    <row r="7" spans="1:44">
      <c r="A7" s="261"/>
      <c r="B7" s="231" t="s">
        <v>578</v>
      </c>
      <c r="C7" s="232">
        <f>SUMIFS(INDEX(Table716[],,MATCH($C$6,Table716[#Headers],0)),Table716[MainSpaceHeatingFuel],B7)</f>
        <v>475689</v>
      </c>
      <c r="D7" s="232">
        <f>SUMIFS(INDEX(Table716[],,MATCH($D$6,Table716[#Headers],0)),Table716[MainSpaceHeatingFuel],B7)</f>
        <v>432444</v>
      </c>
      <c r="E7" s="232">
        <f>SUMIFS(INDEX(Table716[],,MATCH($E$6,Table716[#Headers],0)),Table716[MainSpaceHeatingFuel],B7)</f>
        <v>22</v>
      </c>
      <c r="F7" s="232">
        <f>SUMIFS(INDEX(Table716[],,MATCH($F$6,Table716[#Headers],0)),Table716[MainSpaceHeatingFuel],B7)</f>
        <v>1748</v>
      </c>
      <c r="G7" s="232">
        <f>AVERAGEIFS(INDEX(Table716[],,MATCH($G$6,Table716[#Headers],0)),Table716[MainSpaceHeatingFuel],B7)</f>
        <v>54.533333333333331</v>
      </c>
      <c r="H7" s="232">
        <f>SUMIFS(INDEX(Table716[],,MATCH($H$6,Table716[#Headers],0)),Table716[SupplSHFuelName],B7)</f>
        <v>1224078</v>
      </c>
      <c r="I7" s="232">
        <f>SUMIFS(INDEX(Table716[],,MATCH($I$6,Table716[#Headers],0)),Table716[SupplSHFuelName],B7)</f>
        <v>1112796</v>
      </c>
      <c r="J7" s="232">
        <f>SUMIFS(INDEX(Table716[],,MATCH($J$6,Table716[#Headers],0)),Table716[SupplSHFuelName],B7)</f>
        <v>396</v>
      </c>
      <c r="K7" s="261"/>
      <c r="L7" s="294" t="str">
        <f>_xlfn.TEXTJOIN(",",TRUE,IF(LEFT(Regions!$C$3,1)&lt;&gt;"*",Regions!$C$3,""),IF(LEFT(Regions!$D$3,1)&lt;&gt;"*",Regions!$D$3,""))</f>
        <v>IE,National</v>
      </c>
      <c r="M7" s="294" t="str">
        <f>LEFT(SETUP!$B$3,1)&amp;"-"&amp;SETUP!$B$50&amp;"_"&amp;RIGHT(COMM!$O$31,3)&amp;"_"&amp;RIGHT(O7,LEN(O7)-3)&amp;"_"&amp;SETUP!$B$64</f>
        <v>R-SH_Att_COA_X0</v>
      </c>
      <c r="N7" s="294" t="str">
        <f>COMM!$P$25&amp;" "&amp;COMM!F6&amp;" "&amp;SETUP!$C$64</f>
        <v>Residential Space Heating Attached Coal to Residential Existing 00</v>
      </c>
      <c r="O7" s="294" t="str">
        <f>COMM!$E$6</f>
        <v>RSDCOA</v>
      </c>
      <c r="P7" s="294"/>
      <c r="Q7" s="294" t="str">
        <f>COMM!O10&amp;","&amp;COMM!O13&amp;","&amp;COMM!O16&amp;","&amp;COMM!O19&amp;","&amp;COMM!O22&amp;","&amp;COMM!O25</f>
        <v>RSDSH_Att-AB,RSDSH_Att-C,RSDSH_Att-D,RSDSH_Att-E,RSDSH_Att-F,RSDSH_Att-G</v>
      </c>
      <c r="R7" s="389">
        <f>(E7+E14+E16)/SUM($E$7:$E$25)</f>
        <v>1.6565651697171984E-2</v>
      </c>
      <c r="S7" s="390">
        <f>R7*DwellingStocks!$J$28/1000</f>
        <v>13.054805682915012</v>
      </c>
      <c r="T7" s="444">
        <f>(S7*1000)/(E7+E14+E16)*DwellingStocks!$S$27+1.0376</f>
        <v>2.4016554957912319</v>
      </c>
      <c r="U7" s="569">
        <f>(G7+G14+G16)/300</f>
        <v>0.55798087905732663</v>
      </c>
      <c r="V7" s="569">
        <f t="shared" ref="V7:V18" si="0">IF(AB7/S7/X7=0,0.12,AB7/S7/X7)</f>
        <v>0.30984484845142629</v>
      </c>
      <c r="W7" s="393">
        <v>20</v>
      </c>
      <c r="X7" s="391">
        <f>31.536*(AD7/1000)</f>
        <v>0.63072000000000006</v>
      </c>
      <c r="Y7" s="393"/>
      <c r="Z7" s="393"/>
      <c r="AA7" s="393"/>
      <c r="AB7" s="394">
        <f>AC7*U7</f>
        <v>2.5512398759705786</v>
      </c>
      <c r="AC7" s="394">
        <f>IF(((D7+I7+D14+I14+D16+I16)*$B$2)&lt;=0.1,0,((D7+I7+D14+I14+D16+I16)*T7*$B$2))</f>
        <v>4.5722711507260554</v>
      </c>
      <c r="AD7" s="393">
        <v>20</v>
      </c>
      <c r="AE7" s="261"/>
      <c r="AF7" s="294" t="s">
        <v>266</v>
      </c>
      <c r="AG7" s="294" t="str">
        <f>_xlfn.TEXTJOIN(",",TRUE,IF(LEFT(Regions!$C$3,1)&lt;&gt;"*",Regions!$C$3,""),IF(LEFT(Regions!$D$3,1)&lt;&gt;"*",Regions!$D$3,""))</f>
        <v>IE,National</v>
      </c>
      <c r="AH7" s="294" t="str">
        <f t="shared" ref="AH7:AI12" si="1">M7</f>
        <v>R-SH_Att_COA_X0</v>
      </c>
      <c r="AI7" s="294" t="str">
        <f t="shared" si="1"/>
        <v>Residential Space Heating Attached Coal to Residential Existing 00</v>
      </c>
      <c r="AJ7" s="294" t="s">
        <v>13</v>
      </c>
      <c r="AK7" s="294" t="s">
        <v>275</v>
      </c>
      <c r="AL7" s="294"/>
      <c r="AM7" s="294"/>
      <c r="AN7" s="261"/>
      <c r="AO7" s="261"/>
      <c r="AP7" s="261"/>
      <c r="AQ7" s="261"/>
      <c r="AR7" s="261"/>
    </row>
    <row r="8" spans="1:44">
      <c r="A8" s="261"/>
      <c r="B8" s="230" t="s">
        <v>403</v>
      </c>
      <c r="C8" s="233">
        <f>SUMIFS(INDEX(Table716[],,MATCH($C$6,Table716[#Headers],0)),Table716[MainSpaceHeatingFuel],B8)</f>
        <v>16672</v>
      </c>
      <c r="D8" s="233">
        <f>SUMIFS(INDEX(Table716[],,MATCH($D$6,Table716[#Headers],0)),Table716[MainSpaceHeatingFuel],B8)</f>
        <v>6175</v>
      </c>
      <c r="E8" s="233">
        <f>SUMIFS(INDEX(Table716[],,MATCH($E$6,Table716[#Headers],0)),Table716[MainSpaceHeatingFuel],B8)</f>
        <v>1</v>
      </c>
      <c r="F8" s="233">
        <f>SUMIFS(INDEX(Table716[],,MATCH($F$6,Table716[#Headers],0)),Table716[MainSpaceHeatingFuel],B8)</f>
        <v>68</v>
      </c>
      <c r="G8" s="233">
        <f>AVERAGEIFS(INDEX(Table716[],,MATCH($G$6,Table716[#Headers],0)),Table716[MainSpaceHeatingFuel],B8)</f>
        <v>100</v>
      </c>
      <c r="H8" s="233">
        <f>SUMIFS(INDEX(Table716[],,MATCH($H$6,Table716[#Headers],0)),Table716[SupplSHFuelName],B8)</f>
        <v>0</v>
      </c>
      <c r="I8" s="233">
        <f>SUMIFS(INDEX(Table716[],,MATCH($I$6,Table716[#Headers],0)),Table716[SupplSHFuelName],B8)</f>
        <v>0</v>
      </c>
      <c r="J8" s="233">
        <f>SUMIFS(INDEX(Table716[],,MATCH($J$6,Table716[#Headers],0)),Table716[SupplSHFuelName],B8)</f>
        <v>0</v>
      </c>
      <c r="K8" s="261"/>
      <c r="L8" s="26" t="str">
        <f>_xlfn.TEXTJOIN(",",TRUE,IF(LEFT(Regions!$C$3,1)&lt;&gt;"*",Regions!$C$3,""),IF(LEFT(Regions!$D$3,1)&lt;&gt;"*",Regions!$D$3,""))</f>
        <v>IE,National</v>
      </c>
      <c r="M8" s="294" t="str">
        <f>LEFT(SETUP!$B$3,1)&amp;"-"&amp;SETUP!$B$50&amp;"_"&amp;RIGHT(COMM!$O$31,3)&amp;"_"&amp;RIGHT(O8,LEN(O8)-3)&amp;"_"&amp;SETUP!$B$64</f>
        <v>R-SH_Att_BDL_X0</v>
      </c>
      <c r="N8" s="26" t="str">
        <f>COMM!$P$25&amp;" "&amp;COMM!F21&amp;" "&amp;SETUP!$C$64</f>
        <v>Residential Space Heating Attached Biodiesel to Residential Existing 00</v>
      </c>
      <c r="O8" s="26" t="str">
        <f>COMM!$E$21</f>
        <v>RSDBDL</v>
      </c>
      <c r="P8" s="26"/>
      <c r="Q8" s="26" t="str">
        <f>COMM!O10&amp;","&amp;COMM!O13&amp;","&amp;COMM!O16&amp;","&amp;COMM!O19&amp;","&amp;COMM!O22&amp;","&amp;COMM!O25</f>
        <v>RSDSH_Att-AB,RSDSH_Att-C,RSDSH_Att-D,RSDSH_Att-E,RSDSH_Att-F,RSDSH_Att-G</v>
      </c>
      <c r="R8" s="396">
        <f>E8/SUM($E$7:$E$25)</f>
        <v>2.4098998686604574E-6</v>
      </c>
      <c r="S8" s="397">
        <f>R8*DwellingStocks!$J$28/1000</f>
        <v>1.8991570676338393E-3</v>
      </c>
      <c r="T8" s="398">
        <f>(S8*1000)/E8*DwellingStocks!$S$27</f>
        <v>1.3640554957912319</v>
      </c>
      <c r="U8" s="571">
        <f>(G8)/100</f>
        <v>1</v>
      </c>
      <c r="V8" s="569">
        <f t="shared" si="0"/>
        <v>0.12</v>
      </c>
      <c r="W8" s="399">
        <v>20</v>
      </c>
      <c r="X8" s="567">
        <f t="shared" ref="X8:X13" si="2">31.536*(AD8/1000)</f>
        <v>0.63072000000000006</v>
      </c>
      <c r="Y8" s="399"/>
      <c r="Z8" s="399"/>
      <c r="AA8" s="399"/>
      <c r="AB8" s="400">
        <f>AC8*U8</f>
        <v>0</v>
      </c>
      <c r="AC8" s="401">
        <f>IF(((D8+I8)*$B$2)&lt;=0.1,0,((D8+I8)*T8*$B$2))</f>
        <v>0</v>
      </c>
      <c r="AD8" s="563">
        <v>20</v>
      </c>
      <c r="AE8" s="261"/>
      <c r="AF8" s="26" t="s">
        <v>266</v>
      </c>
      <c r="AG8" s="26" t="str">
        <f>_xlfn.TEXTJOIN(",",TRUE,IF(LEFT(Regions!$C$3,1)&lt;&gt;"*",Regions!$C$3,""),IF(LEFT(Regions!$D$3,1)&lt;&gt;"*",Regions!$D$3,""))</f>
        <v>IE,National</v>
      </c>
      <c r="AH8" s="26" t="str">
        <f t="shared" si="1"/>
        <v>R-SH_Att_BDL_X0</v>
      </c>
      <c r="AI8" s="26" t="str">
        <f t="shared" si="1"/>
        <v>Residential Space Heating Attached Biodiesel to Residential Existing 00</v>
      </c>
      <c r="AJ8" s="26" t="s">
        <v>13</v>
      </c>
      <c r="AK8" s="26" t="s">
        <v>275</v>
      </c>
      <c r="AL8" s="26"/>
      <c r="AM8" s="26"/>
      <c r="AN8" s="261"/>
      <c r="AO8" s="261"/>
      <c r="AP8" s="261"/>
      <c r="AQ8" s="261"/>
      <c r="AR8" s="261"/>
    </row>
    <row r="9" spans="1:44">
      <c r="A9" s="261"/>
      <c r="B9" s="231" t="s">
        <v>404</v>
      </c>
      <c r="C9" s="232">
        <f>SUMIFS(INDEX(Table716[],,MATCH($C$6,Table716[#Headers],0)),Table716[MainSpaceHeatingFuel],B9)</f>
        <v>0</v>
      </c>
      <c r="D9" s="232">
        <f>SUMIFS(INDEX(Table716[],,MATCH($D$6,Table716[#Headers],0)),Table716[MainSpaceHeatingFuel],B9)</f>
        <v>0</v>
      </c>
      <c r="E9" s="232">
        <f>SUMIFS(INDEX(Table716[],,MATCH($E$6,Table716[#Headers],0)),Table716[MainSpaceHeatingFuel],B9)</f>
        <v>0</v>
      </c>
      <c r="F9" s="232">
        <f>SUMIFS(INDEX(Table716[],,MATCH($F$6,Table716[#Headers],0)),Table716[MainSpaceHeatingFuel],B9)</f>
        <v>0</v>
      </c>
      <c r="G9" s="232">
        <f>IFERROR(AVERAGEIFS(INDEX(Table716[],,MATCH($G$6,Table716[#Headers],0)),Table716[MainSpaceHeatingFuel],B9),0)</f>
        <v>0</v>
      </c>
      <c r="H9" s="232">
        <f>SUMIFS(INDEX(Table716[],,MATCH($H$6,Table716[#Headers],0)),Table716[SupplSHFuelName],B9)</f>
        <v>0</v>
      </c>
      <c r="I9" s="232">
        <f>SUMIFS(INDEX(Table716[],,MATCH($I$6,Table716[#Headers],0)),Table716[SupplSHFuelName],B9)</f>
        <v>0</v>
      </c>
      <c r="J9" s="232">
        <f>SUMIFS(INDEX(Table716[],,MATCH($J$6,Table716[#Headers],0)),Table716[SupplSHFuelName],B9)</f>
        <v>0</v>
      </c>
      <c r="K9" s="261"/>
      <c r="L9" s="294" t="str">
        <f>_xlfn.TEXTJOIN(",",TRUE,IF(LEFT(Regions!$C$3,1)&lt;&gt;"*",Regions!$C$3,""),IF(LEFT(Regions!$D$3,1)&lt;&gt;"*",Regions!$D$3,""))</f>
        <v>IE,National</v>
      </c>
      <c r="M9" s="294" t="str">
        <f>LEFT(SETUP!$B$3,1)&amp;"-"&amp;SETUP!$B$50&amp;"_"&amp;RIGHT(COMM!$O$31,3)&amp;"_"&amp;RIGHT(O9,LEN(O9)-3)&amp;"_"&amp;SETUP!$B$64</f>
        <v>R-SH_Att_ETH_X0</v>
      </c>
      <c r="N9" s="294" t="str">
        <f>COMM!P25&amp;" "&amp;COMM!F20&amp;" "&amp;SETUP!C64</f>
        <v>Residential Space Heating Attached Ethanol to Residential Existing 00</v>
      </c>
      <c r="O9" s="294" t="str">
        <f>COMM!$E$20</f>
        <v>RSDETH</v>
      </c>
      <c r="P9" s="294"/>
      <c r="Q9" s="294" t="str">
        <f>COMM!O10&amp;","&amp;COMM!O13&amp;","&amp;COMM!O16&amp;","&amp;COMM!O19&amp;","&amp;COMM!O22&amp;","&amp;COMM!O25</f>
        <v>RSDSH_Att-AB,RSDSH_Att-C,RSDSH_Att-D,RSDSH_Att-E,RSDSH_Att-F,RSDSH_Att-G</v>
      </c>
      <c r="R9" s="389">
        <f>E9/SUM($E$7:$E$25)</f>
        <v>0</v>
      </c>
      <c r="S9" s="390">
        <f>R9*DwellingStocks!$J$28/1000</f>
        <v>0</v>
      </c>
      <c r="T9" s="391">
        <f>IFERROR((S9*1000)/E9*DwellingStocks!$S$27,0)</f>
        <v>0</v>
      </c>
      <c r="U9" s="572">
        <v>0.9</v>
      </c>
      <c r="V9" s="1070">
        <f>+V8</f>
        <v>0.12</v>
      </c>
      <c r="W9" s="393">
        <v>20</v>
      </c>
      <c r="X9" s="391">
        <f t="shared" si="2"/>
        <v>0.63072000000000006</v>
      </c>
      <c r="Y9" s="393"/>
      <c r="Z9" s="393"/>
      <c r="AA9" s="393"/>
      <c r="AB9" s="394">
        <f>IFERROR(AC9*U9,0)</f>
        <v>0</v>
      </c>
      <c r="AC9" s="394">
        <f>IF(((D9+I9)*$B$2)&lt;=0.1,0,((D9+I9)*T9*$B$2))</f>
        <v>0</v>
      </c>
      <c r="AD9" s="393">
        <v>20</v>
      </c>
      <c r="AE9" s="261"/>
      <c r="AF9" s="294" t="s">
        <v>266</v>
      </c>
      <c r="AG9" s="294" t="str">
        <f>_xlfn.TEXTJOIN(",",TRUE,IF(LEFT(Regions!$C$3,1)&lt;&gt;"*",Regions!$C$3,""),IF(LEFT(Regions!$D$3,1)&lt;&gt;"*",Regions!$D$3,""))</f>
        <v>IE,National</v>
      </c>
      <c r="AH9" s="294" t="str">
        <f t="shared" si="1"/>
        <v>R-SH_Att_ETH_X0</v>
      </c>
      <c r="AI9" s="294" t="str">
        <f t="shared" si="1"/>
        <v>Residential Space Heating Attached Ethanol to Residential Existing 00</v>
      </c>
      <c r="AJ9" s="294" t="s">
        <v>13</v>
      </c>
      <c r="AK9" s="294" t="s">
        <v>275</v>
      </c>
      <c r="AL9" s="294"/>
      <c r="AM9" s="294"/>
      <c r="AN9" s="261"/>
      <c r="AO9" s="261"/>
      <c r="AP9" s="261"/>
      <c r="AQ9" s="261"/>
      <c r="AR9" s="261"/>
    </row>
    <row r="10" spans="1:44">
      <c r="A10" s="261"/>
      <c r="B10" s="230" t="s">
        <v>425</v>
      </c>
      <c r="C10" s="233">
        <f>SUMIFS(INDEX(Table716[],,MATCH($C$6,Table716[#Headers],0)),Table716[MainSpaceHeatingFuel],B10)</f>
        <v>4568628</v>
      </c>
      <c r="D10" s="233">
        <f>SUMIFS(INDEX(Table716[],,MATCH($D$6,Table716[#Headers],0)),Table716[MainSpaceHeatingFuel],B10)</f>
        <v>4153296</v>
      </c>
      <c r="E10" s="233">
        <f>SUMIFS(INDEX(Table716[],,MATCH($E$6,Table716[#Headers],0)),Table716[MainSpaceHeatingFuel],B10)</f>
        <v>320</v>
      </c>
      <c r="F10" s="233">
        <f>SUMIFS(INDEX(Table716[],,MATCH($F$6,Table716[#Headers],0)),Table716[MainSpaceHeatingFuel],B10)</f>
        <v>31690</v>
      </c>
      <c r="G10" s="233">
        <f>AVERAGEIFS(INDEX(Table716[],,MATCH($G$6,Table716[#Headers],0)),Table716[MainSpaceHeatingFuel],B10)</f>
        <v>79.902654867256643</v>
      </c>
      <c r="H10" s="233">
        <f>SUMIFS(INDEX(Table716[],,MATCH($H$6,Table716[#Headers],0)),Table716[SupplSHFuelName],B10)</f>
        <v>5972314</v>
      </c>
      <c r="I10" s="233">
        <f>SUMIFS(INDEX(Table716[],,MATCH($I$6,Table716[#Headers],0)),Table716[SupplSHFuelName],B10)</f>
        <v>5429375</v>
      </c>
      <c r="J10" s="233">
        <f>SUMIFS(INDEX(Table716[],,MATCH($J$6,Table716[#Headers],0)),Table716[SupplSHFuelName],B10)</f>
        <v>1599</v>
      </c>
      <c r="K10" s="261"/>
      <c r="L10" s="26" t="str">
        <f>_xlfn.TEXTJOIN(",",TRUE,IF(LEFT(Regions!$C$3,1)&lt;&gt;"*",Regions!$C$3,""),IF(LEFT(Regions!$D$3,1)&lt;&gt;"*",Regions!$D$3,""))</f>
        <v>IE,National</v>
      </c>
      <c r="M10" s="294" t="str">
        <f>LEFT(SETUP!$B$3,1)&amp;"-"&amp;SETUP!$B$50&amp;"_"&amp;RIGHT(COMM!$O$31,3)&amp;"_"&amp;RIGHT(O10,LEN(O10)-3)&amp;"_"&amp;SETUP!$B$64</f>
        <v>R-SH_Att_LPG_X0</v>
      </c>
      <c r="N10" s="26" t="str">
        <f>COMM!P25&amp;" "&amp;COMM!F8&amp;" "&amp;SETUP!C64</f>
        <v>Residential Space Heating Attached LPG to Residential Existing 00</v>
      </c>
      <c r="O10" s="26" t="str">
        <f>COMM!$E$8</f>
        <v>RSDLPG</v>
      </c>
      <c r="P10" s="26"/>
      <c r="Q10" s="26" t="str">
        <f>COMM!O10&amp;","&amp;COMM!O13&amp;","&amp;COMM!O16&amp;","&amp;COMM!O19&amp;","&amp;COMM!O22&amp;","&amp;COMM!O25</f>
        <v>RSDSH_Att-AB,RSDSH_Att-C,RSDSH_Att-D,RSDSH_Att-E,RSDSH_Att-F,RSDSH_Att-G</v>
      </c>
      <c r="R10" s="396">
        <f>(E10+E11)/SUM($E$7:$E$25)</f>
        <v>1.1165066091503898E-2</v>
      </c>
      <c r="S10" s="397">
        <f>(R10)*DwellingStocks!$J$28/1000</f>
        <v>8.7987946943475777</v>
      </c>
      <c r="T10" s="398">
        <f>(S10*1000)/(E10+E11)*DwellingStocks!$S$27+0.5284</f>
        <v>1.8924554957912318</v>
      </c>
      <c r="U10" s="571">
        <f>(G10+G11)/200</f>
        <v>0.8070757743362833</v>
      </c>
      <c r="V10" s="569">
        <f t="shared" si="0"/>
        <v>4.8109166237074036E-2</v>
      </c>
      <c r="W10" s="399">
        <v>20</v>
      </c>
      <c r="X10" s="567">
        <f t="shared" si="2"/>
        <v>0.63072000000000006</v>
      </c>
      <c r="Y10" s="399"/>
      <c r="Z10" s="399"/>
      <c r="AA10" s="399"/>
      <c r="AB10" s="400">
        <f>AC10*U10</f>
        <v>0.26698546420801728</v>
      </c>
      <c r="AC10" s="401">
        <f>IF(((D10+I10+D11+I11)*T10*$B$2)&lt;=0.1,0,((D10+I10+D11+I11)*T10*$B$2))</f>
        <v>0.33080594499020705</v>
      </c>
      <c r="AD10" s="563">
        <v>20</v>
      </c>
      <c r="AE10" s="261"/>
      <c r="AF10" s="26" t="s">
        <v>266</v>
      </c>
      <c r="AG10" s="26" t="str">
        <f>_xlfn.TEXTJOIN(",",TRUE,IF(LEFT(Regions!$C$3,1)&lt;&gt;"*",Regions!$C$3,""),IF(LEFT(Regions!$D$3,1)&lt;&gt;"*",Regions!$D$3,""))</f>
        <v>IE,National</v>
      </c>
      <c r="AH10" s="26" t="str">
        <f t="shared" si="1"/>
        <v>R-SH_Att_LPG_X0</v>
      </c>
      <c r="AI10" s="26" t="str">
        <f t="shared" si="1"/>
        <v>Residential Space Heating Attached LPG to Residential Existing 00</v>
      </c>
      <c r="AJ10" s="26" t="s">
        <v>13</v>
      </c>
      <c r="AK10" s="26" t="s">
        <v>275</v>
      </c>
      <c r="AL10" s="26"/>
      <c r="AM10" s="26"/>
      <c r="AN10" s="261"/>
      <c r="AO10" s="261"/>
      <c r="AP10" s="261"/>
      <c r="AQ10" s="261"/>
      <c r="AR10" s="261"/>
    </row>
    <row r="11" spans="1:44">
      <c r="A11" s="261"/>
      <c r="B11" s="231" t="s">
        <v>405</v>
      </c>
      <c r="C11" s="232">
        <f>SUMIFS(INDEX(Table716[],,MATCH($C$6,Table716[#Headers],0)),Table716[MainSpaceHeatingFuel],B11)</f>
        <v>39865160</v>
      </c>
      <c r="D11" s="232">
        <f>SUMIFS(INDEX(Table716[],,MATCH($D$6,Table716[#Headers],0)),Table716[MainSpaceHeatingFuel],B11)</f>
        <v>36241052</v>
      </c>
      <c r="E11" s="232">
        <f>SUMIFS(INDEX(Table716[],,MATCH($E$6,Table716[#Headers],0)),Table716[MainSpaceHeatingFuel],B11)</f>
        <v>4313</v>
      </c>
      <c r="F11" s="232">
        <f>SUMIFS(INDEX(Table716[],,MATCH($F$6,Table716[#Headers],0)),Table716[MainSpaceHeatingFuel],B11)</f>
        <v>460933</v>
      </c>
      <c r="G11" s="232">
        <f>AVERAGEIFS(INDEX(Table716[],,MATCH($G$6,Table716[#Headers],0)),Table716[MainSpaceHeatingFuel],B11)</f>
        <v>81.512500000000003</v>
      </c>
      <c r="H11" s="232">
        <f>SUMIFS(INDEX(Table716[],,MATCH($H$6,Table716[#Headers],0)),Table716[SupplSHFuelName],B11)</f>
        <v>3005784</v>
      </c>
      <c r="I11" s="232">
        <f>SUMIFS(INDEX(Table716[],,MATCH($I$6,Table716[#Headers],0)),Table716[SupplSHFuelName],B11)</f>
        <v>2732526</v>
      </c>
      <c r="J11" s="232">
        <f>SUMIFS(INDEX(Table716[],,MATCH($J$6,Table716[#Headers],0)),Table716[SupplSHFuelName],B11)</f>
        <v>1149</v>
      </c>
      <c r="K11" s="261"/>
      <c r="L11" s="294" t="str">
        <f>_xlfn.TEXTJOIN(",",TRUE,IF(LEFT(Regions!$C$3,1)&lt;&gt;"*",Regions!$C$3,""),IF(LEFT(Regions!$D$3,1)&lt;&gt;"*",Regions!$D$3,""))</f>
        <v>IE,National</v>
      </c>
      <c r="M11" s="294" t="str">
        <f>LEFT(SETUP!$B$3,1)&amp;"-"&amp;SETUP!$B$50&amp;"_"&amp;RIGHT(COMM!$O$31,3)&amp;"_"&amp;RIGHT(O11,LEN(O11)-3)&amp;"_"&amp;SETUP!$B$64</f>
        <v>R-SH_Att_ELC_X0</v>
      </c>
      <c r="N11" s="294" t="str">
        <f>COMM!P25&amp;" "&amp;COMM!F24&amp;" "&amp;SETUP!C64</f>
        <v>Residential Space Heating Attached Electricity to Residential Existing 00</v>
      </c>
      <c r="O11" s="294" t="str">
        <f>COMM!$E$24</f>
        <v>RSDELC</v>
      </c>
      <c r="P11" s="294"/>
      <c r="Q11" s="294" t="str">
        <f>COMM!O10&amp;","&amp;COMM!O13&amp;","&amp;COMM!O16&amp;","&amp;COMM!O19&amp;","&amp;COMM!O22&amp;","&amp;COMM!O25</f>
        <v>RSDSH_Att-AB,RSDSH_Att-C,RSDSH_Att-D,RSDSH_Att-E,RSDSH_Att-F,RSDSH_Att-G</v>
      </c>
      <c r="R11" s="389">
        <f>(ArchetypeDemand!Y51*SUM(E12+E25))/SUM($E$7:$E$25)</f>
        <v>5.4427347543709564E-2</v>
      </c>
      <c r="S11" s="390">
        <f>(R11)*DwellingStocks!$J$28/1000</f>
        <v>42.892272456803504</v>
      </c>
      <c r="T11" s="391">
        <f>(S11*1000)/(E25)*DwellingStocks!$S$27-0.67619</f>
        <v>1.7409976788462451</v>
      </c>
      <c r="U11" s="569">
        <f>(G25)/100</f>
        <v>1</v>
      </c>
      <c r="V11" s="569">
        <f t="shared" si="0"/>
        <v>3.5156391297092457E-2</v>
      </c>
      <c r="W11" s="393">
        <v>20</v>
      </c>
      <c r="X11" s="391">
        <f t="shared" si="2"/>
        <v>0.63072000000000006</v>
      </c>
      <c r="Y11" s="393"/>
      <c r="Z11" s="393"/>
      <c r="AA11" s="393"/>
      <c r="AB11" s="394">
        <f>AC11*U11</f>
        <v>0.95108634890127908</v>
      </c>
      <c r="AC11" s="394">
        <f>IF(((D25+I25)*T11*$B$2)&lt;=0.1,0,((D25+I25)*T11*$B$2))</f>
        <v>0.95108634890127908</v>
      </c>
      <c r="AD11" s="393">
        <v>20</v>
      </c>
      <c r="AE11" s="261"/>
      <c r="AF11" s="294" t="s">
        <v>266</v>
      </c>
      <c r="AG11" s="294" t="str">
        <f>_xlfn.TEXTJOIN(",",TRUE,IF(LEFT(Regions!$C$3,1)&lt;&gt;"*",Regions!$C$3,""),IF(LEFT(Regions!$D$3,1)&lt;&gt;"*",Regions!$D$3,""))</f>
        <v>IE,National</v>
      </c>
      <c r="AH11" s="294" t="str">
        <f t="shared" si="1"/>
        <v>R-SH_Att_ELC_X0</v>
      </c>
      <c r="AI11" s="294" t="str">
        <f t="shared" si="1"/>
        <v>Residential Space Heating Attached Electricity to Residential Existing 00</v>
      </c>
      <c r="AJ11" s="294" t="s">
        <v>13</v>
      </c>
      <c r="AK11" s="294" t="s">
        <v>275</v>
      </c>
      <c r="AL11" s="294"/>
      <c r="AM11" s="294"/>
      <c r="AN11" s="261"/>
      <c r="AO11" s="261"/>
      <c r="AP11" s="261"/>
      <c r="AQ11" s="261"/>
      <c r="AR11" s="261"/>
    </row>
    <row r="12" spans="1:44">
      <c r="A12" s="387" t="s">
        <v>652</v>
      </c>
      <c r="B12" s="230" t="s">
        <v>137</v>
      </c>
      <c r="C12" s="233">
        <f>SUMIFS(INDEX(Table716[],,MATCH($C$6,Table716[#Headers],0)),Table716[MainSpaceHeatingFuel],B12, Table716[Avg. HSMainSystemEfficiency],"&gt;100")</f>
        <v>114007059</v>
      </c>
      <c r="D12" s="233">
        <f>SUMIFS(INDEX(Table716[],,MATCH($D$6,Table716[#Headers],0)),Table716[MainSpaceHeatingFuel],B12,Table716[Avg. HSMainSystemEfficiency],"&gt;100")</f>
        <v>42224836</v>
      </c>
      <c r="E12" s="233">
        <f>SUMIFS(INDEX(Table716[],,MATCH($E$6,Table716[#Headers],0)),Table716[MainSpaceHeatingFuel],B12,Table716[Avg. HSMainSystemEfficiency],"&gt;100")</f>
        <v>22001</v>
      </c>
      <c r="F12" s="233">
        <f>SUMIFS(INDEX(Table716[],,MATCH($F$6,Table716[#Headers],0)),Table716[MainSpaceHeatingFuel],B12,Table716[Avg. HSMainSystemEfficiency],"&gt;100")</f>
        <v>2369048</v>
      </c>
      <c r="G12" s="233">
        <f>AVERAGEIFS(INDEX(Table716[],,MATCH($G$6,Table716[#Headers],0)),Table716[MainSpaceHeatingFuel],B12,Table716[Avg. HSMainSystemEfficiency],"&gt;100")</f>
        <v>311.57627118644069</v>
      </c>
      <c r="H12" s="233">
        <f>SUMIFS(INDEX(Table716[],,MATCH($H$6,Table716[#Headers],0)),Table716[SupplSHFuelName],B12,Table716[Avg. HSMainSystemEfficiency],"&gt;100")</f>
        <v>8123761</v>
      </c>
      <c r="I12" s="233">
        <f>SUMIFS(INDEX(Table716[],,MATCH($I$6,Table716[#Headers],0)),Table716[SupplSHFuelName],B12,Table716[Avg. HSMainSystemEfficiency],"&gt;100")</f>
        <v>3008800</v>
      </c>
      <c r="J12" s="233">
        <f>SUMIFS(INDEX(Table716[],,MATCH($J$6,Table716[#Headers],0)),Table716[SupplSHFuelName],B12,Table716[Avg. HSMainSystemEfficiency],"&gt;100")</f>
        <v>5219</v>
      </c>
      <c r="K12" s="261"/>
      <c r="L12" s="26" t="str">
        <f>_xlfn.TEXTJOIN(",",TRUE,IF(LEFT(Regions!$C$3,1)&lt;&gt;"*",Regions!$C$3,""),IF(LEFT(Regions!$D$3,1)&lt;&gt;"*",Regions!$D$3,""))</f>
        <v>IE,National</v>
      </c>
      <c r="M12" s="294" t="str">
        <f>LEFT(SETUP!$B$3,1)&amp;"-"&amp;SETUP!$B$50&amp;"_"&amp;RIGHT(COMM!$O$31,3)&amp;"_"&amp;RIGHT(O12,LEN(O12)-3)&amp;"_"&amp;SETUP!$B$65</f>
        <v>R-SH_Att_ELC_X1</v>
      </c>
      <c r="N12" s="26" t="str">
        <f>COMM!P25&amp;" "&amp;COMM!F24&amp;" "&amp;SETUP!C65</f>
        <v>Residential Space Heating Attached Electricity to Residential Existing 01</v>
      </c>
      <c r="O12" s="26" t="str">
        <f>COMM!$E$24</f>
        <v>RSDELC</v>
      </c>
      <c r="P12" s="26"/>
      <c r="Q12" s="26" t="str">
        <f>COMM!O10&amp;","&amp;COMM!O13&amp;","&amp;COMM!O16&amp;","&amp;COMM!O19&amp;","&amp;COMM!O22&amp;","&amp;COMM!O25</f>
        <v>RSDSH_Att-AB,RSDSH_Att-C,RSDSH_Att-D,RSDSH_Att-E,RSDSH_Att-F,RSDSH_Att-G</v>
      </c>
      <c r="R12" s="396">
        <f>(ArchetypeDemand!Z51*SUM(E12+E25))/SUM($E$7:$E$25)</f>
        <v>2.9307033292766682E-2</v>
      </c>
      <c r="S12" s="397">
        <f>R12*DwellingStocks!$J$28/1000</f>
        <v>23.095839015201879</v>
      </c>
      <c r="T12" s="398">
        <f>(S12*1000)/E12*DwellingStocks!$S$27+0.392</f>
        <v>1.1459846047846347</v>
      </c>
      <c r="U12" s="571">
        <f>G12/100</f>
        <v>3.1157627118644071</v>
      </c>
      <c r="V12" s="569">
        <f t="shared" si="0"/>
        <v>0.11404303534564036</v>
      </c>
      <c r="W12" s="399">
        <v>20</v>
      </c>
      <c r="X12" s="567">
        <f t="shared" si="2"/>
        <v>0.220752</v>
      </c>
      <c r="Y12" s="399"/>
      <c r="Z12" s="399"/>
      <c r="AA12" s="399"/>
      <c r="AB12" s="400">
        <f>AC12*U12</f>
        <v>0.58144301626056649</v>
      </c>
      <c r="AC12" s="401">
        <f>IF(((D12+I12)*T12*$B$2)&lt;=0.1,0,((D12+I12)*T12*$B$2))</f>
        <v>0.18661338170795527</v>
      </c>
      <c r="AD12" s="563">
        <v>7</v>
      </c>
      <c r="AE12" s="261"/>
      <c r="AF12" s="26" t="s">
        <v>266</v>
      </c>
      <c r="AG12" s="26" t="str">
        <f>_xlfn.TEXTJOIN(",",TRUE,IF(LEFT(Regions!$C$3,1)&lt;&gt;"*",Regions!$C$3,""),IF(LEFT(Regions!$D$3,1)&lt;&gt;"*",Regions!$D$3,""))</f>
        <v>IE,National</v>
      </c>
      <c r="AH12" s="26" t="str">
        <f t="shared" si="1"/>
        <v>R-SH_Att_ELC_X1</v>
      </c>
      <c r="AI12" s="26" t="str">
        <f t="shared" si="1"/>
        <v>Residential Space Heating Attached Electricity to Residential Existing 01</v>
      </c>
      <c r="AJ12" s="26" t="s">
        <v>13</v>
      </c>
      <c r="AK12" s="26" t="s">
        <v>275</v>
      </c>
      <c r="AL12" s="26"/>
      <c r="AM12" s="26"/>
      <c r="AN12" s="261"/>
      <c r="AO12" s="261"/>
      <c r="AP12" s="261"/>
      <c r="AQ12" s="261"/>
      <c r="AR12" s="261"/>
    </row>
    <row r="13" spans="1:44">
      <c r="A13" s="261"/>
      <c r="B13" s="231" t="s">
        <v>406</v>
      </c>
      <c r="C13" s="232">
        <f>SUMIFS(INDEX(Table716[],,MATCH($C$6,Table716[#Headers],0)),Table716[MainSpaceHeatingFuel],B13)</f>
        <v>1579425198</v>
      </c>
      <c r="D13" s="232">
        <f>SUMIFS(INDEX(Table716[],,MATCH($D$6,Table716[#Headers],0)),Table716[MainSpaceHeatingFuel],B13)</f>
        <v>1435841083</v>
      </c>
      <c r="E13" s="232">
        <f>SUMIFS(INDEX(Table716[],,MATCH($E$6,Table716[#Headers],0)),Table716[MainSpaceHeatingFuel],B13)</f>
        <v>124317</v>
      </c>
      <c r="F13" s="232">
        <f>SUMIFS(INDEX(Table716[],,MATCH($F$6,Table716[#Headers],0)),Table716[MainSpaceHeatingFuel],B13)</f>
        <v>12384281</v>
      </c>
      <c r="G13" s="232">
        <f>AVERAGEIFS(INDEX(Table716[],,MATCH($G$6,Table716[#Headers],0)),Table716[MainSpaceHeatingFuel],B13)</f>
        <v>81.941558441558442</v>
      </c>
      <c r="H13" s="232">
        <f>SUMIFS(INDEX(Table716[],,MATCH($H$6,Table716[#Headers],0)),Table716[SupplSHFuelName],"*Oil*")</f>
        <v>4470380</v>
      </c>
      <c r="I13" s="232">
        <f>SUMIFS(INDEX(Table716[],,MATCH($I$6,Table716[#Headers],0)),Table716[SupplSHFuelName],"*Oil*")</f>
        <v>4063986</v>
      </c>
      <c r="J13" s="232">
        <f>SUMIFS(INDEX(Table716[],,MATCH($J$6,Table716[#Headers],0)),Table716[SupplSHFuelName],"*Oil*")</f>
        <v>1798</v>
      </c>
      <c r="K13" s="261"/>
      <c r="L13" s="48" t="str">
        <f>_xlfn.TEXTJOIN(",",TRUE,IF(LEFT(Regions!$C$3,1)&lt;&gt;"*",Regions!$C$3,""),IF(LEFT(Regions!$D$3,1)&lt;&gt;"*",Regions!$D$3,""))</f>
        <v>IE,National</v>
      </c>
      <c r="P13" s="26" t="str">
        <f>COMM!$E$19</f>
        <v>RSDAHT</v>
      </c>
      <c r="U13" s="574"/>
      <c r="V13" s="574"/>
      <c r="X13" s="568">
        <f t="shared" si="2"/>
        <v>0.409968</v>
      </c>
      <c r="AA13" s="617">
        <f>AC13/AB12</f>
        <v>0.2284040885078065</v>
      </c>
      <c r="AC13" s="560">
        <f>RSD_Balance!G22</f>
        <v>0.1328039621482244</v>
      </c>
      <c r="AD13" s="560">
        <v>13</v>
      </c>
      <c r="AE13" s="261"/>
      <c r="AF13" s="405" t="s">
        <v>254</v>
      </c>
      <c r="AG13" s="405"/>
      <c r="AH13" s="402"/>
      <c r="AI13" s="402"/>
      <c r="AJ13" s="402"/>
      <c r="AK13" s="402"/>
      <c r="AL13" s="402"/>
      <c r="AM13" s="402"/>
      <c r="AN13" s="261"/>
      <c r="AO13" s="261"/>
      <c r="AP13" s="261"/>
      <c r="AQ13" s="261"/>
      <c r="AR13" s="261"/>
    </row>
    <row r="14" spans="1:44">
      <c r="A14" s="261"/>
      <c r="B14" s="230" t="s">
        <v>427</v>
      </c>
      <c r="C14" s="233">
        <f>SUMIFS(INDEX(Table716[],,MATCH($C$6,Table716[#Headers],0)),Table716[MainSpaceHeatingFuel],B14)</f>
        <v>44583877</v>
      </c>
      <c r="D14" s="233">
        <f>SUMIFS(INDEX(Table716[],,MATCH($D$6,Table716[#Headers],0)),Table716[MainSpaceHeatingFuel],B14)</f>
        <v>40530790</v>
      </c>
      <c r="E14" s="233">
        <f>SUMIFS(INDEX(Table716[],,MATCH($E$6,Table716[#Headers],0)),Table716[MainSpaceHeatingFuel],B14)</f>
        <v>2121</v>
      </c>
      <c r="F14" s="233">
        <f>SUMIFS(INDEX(Table716[],,MATCH($F$6,Table716[#Headers],0)),Table716[MainSpaceHeatingFuel],B14)</f>
        <v>165436</v>
      </c>
      <c r="G14" s="233">
        <f>AVERAGEIFS(INDEX(Table716[],,MATCH($G$6,Table716[#Headers],0)),Table716[MainSpaceHeatingFuel],B14)</f>
        <v>57.474137931034484</v>
      </c>
      <c r="H14" s="233">
        <f>SUMIFS(INDEX(Table716[],,MATCH($H$6,Table716[#Headers],0)),Table716[SupplSHFuelName],B14)</f>
        <v>77265219</v>
      </c>
      <c r="I14" s="233">
        <f>SUMIFS(INDEX(Table716[],,MATCH($I$6,Table716[#Headers],0)),Table716[SupplSHFuelName],B14)</f>
        <v>70241114</v>
      </c>
      <c r="J14" s="233">
        <f>SUMIFS(INDEX(Table716[],,MATCH($J$6,Table716[#Headers],0)),Table716[SupplSHFuelName],B14)</f>
        <v>24028</v>
      </c>
      <c r="K14" s="261"/>
      <c r="L14" s="294" t="str">
        <f>_xlfn.TEXTJOIN(",",TRUE,IF(LEFT(Regions!$C$3,1)&lt;&gt;"*",Regions!$C$3,""),IF(LEFT(Regions!$D$3,1)&lt;&gt;"*",Regions!$D$3,""))</f>
        <v>IE,National</v>
      </c>
      <c r="M14" s="294" t="str">
        <f>LEFT(SETUP!$B$3,1)&amp;"-"&amp;SETUP!$B$50&amp;"_"&amp;RIGHT(COMM!$O$31,3)&amp;"_"&amp;RIGHT(O14,LEN(O14)-3)&amp;"_"&amp;SETUP!$B$64</f>
        <v>R-SH_Att_KER_X0</v>
      </c>
      <c r="N14" s="294" t="str">
        <f>COMM!P25&amp;" "&amp;COMM!F10&amp;" "&amp;SETUP!C64</f>
        <v>Residential Space Heating Attached Kerosene to Residential Existing 00</v>
      </c>
      <c r="O14" s="294" t="str">
        <f>COMM!$E$10</f>
        <v>RSDKER</v>
      </c>
      <c r="P14" s="294"/>
      <c r="Q14" s="294" t="str">
        <f>COMM!O10&amp;","&amp;COMM!O13&amp;","&amp;COMM!O16&amp;","&amp;COMM!O19&amp;","&amp;COMM!O22&amp;","&amp;COMM!O25</f>
        <v>RSDSH_Att-AB,RSDSH_Att-C,RSDSH_Att-D,RSDSH_Att-E,RSDSH_Att-F,RSDSH_Att-G</v>
      </c>
      <c r="R14" s="389">
        <f>E13/SUM($E$7:$E$25)</f>
        <v>0.29959152197226208</v>
      </c>
      <c r="S14" s="390">
        <f>R14*DwellingStocks!$J$28/1000</f>
        <v>236.09750917703602</v>
      </c>
      <c r="T14" s="391">
        <f>(S14*1000)/E13*DwellingStocks!$S$27*1.21</f>
        <v>1.6505071499073904</v>
      </c>
      <c r="U14" s="569">
        <f>G13/100</f>
        <v>0.81941558441558437</v>
      </c>
      <c r="V14" s="569">
        <f t="shared" si="0"/>
        <v>4.7079298490866263E-2</v>
      </c>
      <c r="W14" s="393">
        <v>20</v>
      </c>
      <c r="X14" s="391">
        <f>31.536*(AD14/1000)</f>
        <v>0.63072000000000006</v>
      </c>
      <c r="Y14" s="393"/>
      <c r="Z14" s="393"/>
      <c r="AA14" s="393"/>
      <c r="AB14" s="394">
        <f>AC14*U14</f>
        <v>7.0106452373996984</v>
      </c>
      <c r="AC14" s="394">
        <f>IF(((D13+I13)*$B$2)&lt;=0.1,0,((D13+I13)*T14*$B$2))</f>
        <v>8.5556650016606195</v>
      </c>
      <c r="AD14" s="393">
        <v>20</v>
      </c>
      <c r="AE14" s="261"/>
      <c r="AF14" s="294" t="s">
        <v>266</v>
      </c>
      <c r="AG14" s="294" t="str">
        <f>_xlfn.TEXTJOIN(",",TRUE,IF(LEFT(Regions!$C$3,1)&lt;&gt;"*",Regions!$C$3,""),IF(LEFT(Regions!$D$3,1)&lt;&gt;"*",Regions!$D$3,""))</f>
        <v>IE,National</v>
      </c>
      <c r="AH14" s="294" t="str">
        <f>M14</f>
        <v>R-SH_Att_KER_X0</v>
      </c>
      <c r="AI14" s="294" t="str">
        <f>N14</f>
        <v>Residential Space Heating Attached Kerosene to Residential Existing 00</v>
      </c>
      <c r="AJ14" s="294" t="s">
        <v>13</v>
      </c>
      <c r="AK14" s="294" t="s">
        <v>275</v>
      </c>
      <c r="AL14" s="294"/>
      <c r="AM14" s="294"/>
      <c r="AN14" s="261"/>
      <c r="AO14" s="261"/>
      <c r="AP14" s="261"/>
      <c r="AQ14" s="261"/>
      <c r="AR14" s="261"/>
    </row>
    <row r="15" spans="1:44" ht="15" customHeight="1">
      <c r="A15" s="261"/>
      <c r="B15" s="231" t="s">
        <v>407</v>
      </c>
      <c r="C15" s="232">
        <f>SUMIFS(INDEX(Table716[],,MATCH($C$6,Table716[#Headers],0)),Table716[MainSpaceHeatingFuel],B15)</f>
        <v>2446356250</v>
      </c>
      <c r="D15" s="232">
        <f>SUMIFS(INDEX(Table716[],,MATCH($D$6,Table716[#Headers],0)),Table716[MainSpaceHeatingFuel],B15)</f>
        <v>2223960226</v>
      </c>
      <c r="E15" s="232">
        <f>SUMIFS(INDEX(Table716[],,MATCH($E$6,Table716[#Headers],0)),Table716[MainSpaceHeatingFuel],B15)</f>
        <v>225374</v>
      </c>
      <c r="F15" s="232">
        <f>SUMIFS(INDEX(Table716[],,MATCH($F$6,Table716[#Headers],0)),Table716[MainSpaceHeatingFuel],B15)</f>
        <v>22864918</v>
      </c>
      <c r="G15" s="232">
        <f>AVERAGEIFS(INDEX(Table716[],,MATCH($G$6,Table716[#Headers],0)),Table716[MainSpaceHeatingFuel],B15)</f>
        <v>81.729411764705887</v>
      </c>
      <c r="H15" s="232">
        <f>SUMIFS(INDEX(Table716[],,MATCH($H$6,Table716[#Headers],0)),Table716[SupplSHFuelName],B15)</f>
        <v>214710658</v>
      </c>
      <c r="I15" s="232">
        <f>SUMIFS(INDEX(Table716[],,MATCH($I$6,Table716[#Headers],0)),Table716[SupplSHFuelName],B15)</f>
        <v>195191509</v>
      </c>
      <c r="J15" s="232">
        <f>SUMIFS(INDEX(Table716[],,MATCH($J$6,Table716[#Headers],0)),Table716[SupplSHFuelName],B15)</f>
        <v>64232</v>
      </c>
      <c r="K15" s="261"/>
      <c r="L15" s="508" t="s">
        <v>254</v>
      </c>
      <c r="M15" s="508" t="s">
        <v>254</v>
      </c>
      <c r="N15" s="402"/>
      <c r="O15" s="402"/>
      <c r="P15" s="402"/>
      <c r="Q15" s="402"/>
      <c r="R15" s="403"/>
      <c r="S15" s="404"/>
      <c r="T15" s="402"/>
      <c r="U15" s="573"/>
      <c r="V15" s="573"/>
      <c r="W15" s="402"/>
      <c r="X15" s="564"/>
      <c r="Y15" s="402"/>
      <c r="Z15" s="402"/>
      <c r="AA15" s="402"/>
      <c r="AB15" s="402"/>
      <c r="AC15" s="402"/>
      <c r="AD15" s="565"/>
      <c r="AE15" s="261"/>
      <c r="AF15" s="405" t="s">
        <v>254</v>
      </c>
      <c r="AG15" s="405"/>
      <c r="AH15" s="402"/>
      <c r="AI15" s="402"/>
      <c r="AJ15" s="402"/>
      <c r="AK15" s="402"/>
      <c r="AL15" s="402"/>
      <c r="AM15" s="402"/>
      <c r="AN15" s="261"/>
      <c r="AO15" s="261"/>
      <c r="AP15" s="261"/>
      <c r="AQ15" s="261"/>
      <c r="AR15" s="261"/>
    </row>
    <row r="16" spans="1:44">
      <c r="A16" s="261"/>
      <c r="B16" s="230" t="s">
        <v>579</v>
      </c>
      <c r="C16" s="233">
        <f>SUMIFS(INDEX(Table716[],,MATCH($C$6,Table716[#Headers],0)),Table716[MainSpaceHeatingFuel],B16)</f>
        <v>129217492</v>
      </c>
      <c r="D16" s="233">
        <f>SUMIFS(INDEX(Table716[],,MATCH($D$6,Table716[#Headers],0)),Table716[MainSpaceHeatingFuel],B16)</f>
        <v>107681245</v>
      </c>
      <c r="E16" s="233">
        <f>SUMIFS(INDEX(Table716[],,MATCH($E$6,Table716[#Headers],0)),Table716[MainSpaceHeatingFuel],B16)</f>
        <v>4731</v>
      </c>
      <c r="F16" s="233">
        <f>SUMIFS(INDEX(Table716[],,MATCH($F$6,Table716[#Headers],0)),Table716[MainSpaceHeatingFuel],B16)</f>
        <v>388421</v>
      </c>
      <c r="G16" s="233">
        <f>AVERAGEIFS(INDEX(Table716[],,MATCH($G$6,Table716[#Headers],0)),Table716[MainSpaceHeatingFuel],B16)</f>
        <v>55.386792452830186</v>
      </c>
      <c r="H16" s="233">
        <f>SUMIFS(INDEX(Table716[],,MATCH($H$6,Table716[#Headers],0)),Table716[SupplSHFuelName],B16)</f>
        <v>370601852</v>
      </c>
      <c r="I16" s="233">
        <f>SUMIFS(INDEX(Table716[],,MATCH($I$6,Table716[#Headers],0)),Table716[SupplSHFuelName],B16)</f>
        <v>308834877</v>
      </c>
      <c r="J16" s="233">
        <f>SUMIFS(INDEX(Table716[],,MATCH($J$6,Table716[#Headers],0)),Table716[SupplSHFuelName],B16)</f>
        <v>104353</v>
      </c>
      <c r="K16" s="261"/>
      <c r="L16" s="294" t="str">
        <f>_xlfn.TEXTJOIN(",",TRUE,IF(LEFT(Regions!$C$3,1)&lt;&gt;"*",Regions!$C$3,""),IF(LEFT(Regions!$D$3,1)&lt;&gt;"*",Regions!$D$3,""))</f>
        <v>IE,National</v>
      </c>
      <c r="M16" s="294" t="str">
        <f>LEFT(SETUP!$B$3,1)&amp;"-"&amp;SETUP!$B$50&amp;"_"&amp;RIGHT(COMM!$O$31,3)&amp;"_"&amp;MID(O16,4,3)&amp;"_"&amp;SETUP!$B$64</f>
        <v>R-SH_Att_GAS_X0</v>
      </c>
      <c r="N16" s="294" t="str">
        <f>COMM!P25&amp;" "&amp;COMM!F14&amp;" "&amp;SETUP!C64</f>
        <v>Residential Space Heating Attached Natural Gas to Residential Existing 00</v>
      </c>
      <c r="O16" s="294" t="str">
        <f>COMM!$E$14</f>
        <v>RSDGAS</v>
      </c>
      <c r="P16" s="294"/>
      <c r="Q16" s="294" t="str">
        <f>COMM!O10&amp;","&amp;COMM!O13&amp;","&amp;COMM!O16&amp;","&amp;COMM!O19&amp;","&amp;COMM!O22&amp;","&amp;COMM!O25</f>
        <v>RSDSH_Att-AB,RSDSH_Att-C,RSDSH_Att-D,RSDSH_Att-E,RSDSH_Att-F,RSDSH_Att-G</v>
      </c>
      <c r="R16" s="389">
        <f>E15/SUM($E$7:$E$25)</f>
        <v>0.54312877299948192</v>
      </c>
      <c r="S16" s="390">
        <f>R16*DwellingStocks!$J$28/1000</f>
        <v>428.02062496090895</v>
      </c>
      <c r="T16" s="391">
        <f>(S16*1000)/E15*DwellingStocks!$S$27</f>
        <v>1.3640554957912319</v>
      </c>
      <c r="U16" s="569">
        <f>G15/100</f>
        <v>0.81729411764705884</v>
      </c>
      <c r="V16" s="569">
        <f t="shared" si="0"/>
        <v>3.596455768453613E-2</v>
      </c>
      <c r="W16" s="393">
        <v>20</v>
      </c>
      <c r="X16" s="391">
        <f>31.536*(AD16/1000)</f>
        <v>0.63072000000000006</v>
      </c>
      <c r="Y16" s="393"/>
      <c r="Z16" s="393"/>
      <c r="AA16" s="393"/>
      <c r="AB16" s="394">
        <f>AC16*U16</f>
        <v>9.7090340198127603</v>
      </c>
      <c r="AC16" s="394">
        <f>IF(((D15+I15)*$B$2)&lt;=0.1,0,((D15+I15)*T16*$B$2))</f>
        <v>11.879485989406717</v>
      </c>
      <c r="AD16" s="393">
        <v>20</v>
      </c>
      <c r="AE16" s="261"/>
      <c r="AF16" s="294" t="s">
        <v>266</v>
      </c>
      <c r="AG16" s="294" t="str">
        <f>_xlfn.TEXTJOIN(",",TRUE,IF(LEFT(Regions!$C$3,1)&lt;&gt;"*",Regions!$C$3,""),IF(LEFT(Regions!$D$3,1)&lt;&gt;"*",Regions!$D$3,""))</f>
        <v>IE,National</v>
      </c>
      <c r="AH16" s="294" t="str">
        <f>M16</f>
        <v>R-SH_Att_GAS_X0</v>
      </c>
      <c r="AI16" s="294" t="str">
        <f>N16</f>
        <v>Residential Space Heating Attached Natural Gas to Residential Existing 00</v>
      </c>
      <c r="AJ16" s="294" t="s">
        <v>13</v>
      </c>
      <c r="AK16" s="294" t="s">
        <v>275</v>
      </c>
      <c r="AL16" s="294"/>
      <c r="AM16" s="294"/>
      <c r="AN16" s="261"/>
      <c r="AO16" s="261"/>
      <c r="AP16" s="261"/>
      <c r="AQ16" s="261"/>
      <c r="AR16" s="261"/>
    </row>
    <row r="17" spans="1:49">
      <c r="A17" s="261"/>
      <c r="B17" s="231" t="s">
        <v>428</v>
      </c>
      <c r="C17" s="232">
        <f>SUMIFS(INDEX(Table716[],,MATCH($C$6,Table716[#Headers],0)),Table716[MainSpaceHeatingFuel],B17)</f>
        <v>2820841</v>
      </c>
      <c r="D17" s="232">
        <f>SUMIFS(INDEX(Table716[],,MATCH($D$6,Table716[#Headers],0)),Table716[MainSpaceHeatingFuel],B17)</f>
        <v>2564404</v>
      </c>
      <c r="E17" s="232">
        <f>SUMIFS(INDEX(Table716[],,MATCH($E$6,Table716[#Headers],0)),Table716[MainSpaceHeatingFuel],B17)</f>
        <v>147</v>
      </c>
      <c r="F17" s="232">
        <f>SUMIFS(INDEX(Table716[],,MATCH($F$6,Table716[#Headers],0)),Table716[MainSpaceHeatingFuel],B17)</f>
        <v>11444</v>
      </c>
      <c r="G17" s="232">
        <f>AVERAGEIFS(INDEX(Table716[],,MATCH($G$6,Table716[#Headers],0)),Table716[MainSpaceHeatingFuel],B17)</f>
        <v>54.666666666666664</v>
      </c>
      <c r="H17" s="232">
        <f>SUMIFS(INDEX(Table716[],,MATCH($H$6,Table716[#Headers],0)),Table716[SupplSHFuelName],B17)</f>
        <v>6929418</v>
      </c>
      <c r="I17" s="232">
        <f>SUMIFS(INDEX(Table716[],,MATCH($I$6,Table716[#Headers],0)),Table716[SupplSHFuelName],B17)</f>
        <v>6299468</v>
      </c>
      <c r="J17" s="232">
        <f>SUMIFS(INDEX(Table716[],,MATCH($J$6,Table716[#Headers],0)),Table716[SupplSHFuelName],B17)</f>
        <v>2187</v>
      </c>
      <c r="K17" s="261"/>
      <c r="L17" s="508" t="s">
        <v>254</v>
      </c>
      <c r="M17" s="508" t="s">
        <v>254</v>
      </c>
      <c r="N17" s="402"/>
      <c r="O17" s="402"/>
      <c r="P17" s="402"/>
      <c r="Q17" s="402"/>
      <c r="R17" s="403"/>
      <c r="S17" s="404"/>
      <c r="T17" s="402"/>
      <c r="U17" s="573"/>
      <c r="V17" s="573"/>
      <c r="W17" s="402"/>
      <c r="X17" s="564"/>
      <c r="Y17" s="402"/>
      <c r="Z17" s="402"/>
      <c r="AA17" s="402"/>
      <c r="AB17" s="402"/>
      <c r="AC17" s="402"/>
      <c r="AD17" s="565"/>
      <c r="AE17" s="261"/>
      <c r="AF17" s="405" t="s">
        <v>254</v>
      </c>
      <c r="AG17" s="405"/>
      <c r="AH17" s="402"/>
      <c r="AI17" s="402"/>
      <c r="AJ17" s="402"/>
      <c r="AK17" s="402"/>
      <c r="AL17" s="402"/>
      <c r="AM17" s="402"/>
      <c r="AN17" s="261"/>
      <c r="AO17" s="261"/>
      <c r="AP17" s="261"/>
      <c r="AQ17" s="261"/>
      <c r="AR17" s="261"/>
    </row>
    <row r="18" spans="1:49">
      <c r="A18" s="261"/>
      <c r="B18" s="230" t="s">
        <v>431</v>
      </c>
      <c r="C18" s="233">
        <f>SUMIFS(INDEX(Table716[],,MATCH($C$6,Table716[#Headers],0)),Table716[MainSpaceHeatingFuel],B18)</f>
        <v>8985883</v>
      </c>
      <c r="D18" s="233">
        <f>SUMIFS(INDEX(Table716[],,MATCH($D$6,Table716[#Headers],0)),Table716[MainSpaceHeatingFuel],B18)</f>
        <v>8168983</v>
      </c>
      <c r="E18" s="233">
        <f>SUMIFS(INDEX(Table716[],,MATCH($E$6,Table716[#Headers],0)),Table716[MainSpaceHeatingFuel],B18)</f>
        <v>472</v>
      </c>
      <c r="F18" s="233">
        <f>SUMIFS(INDEX(Table716[],,MATCH($F$6,Table716[#Headers],0)),Table716[MainSpaceHeatingFuel],B18)</f>
        <v>38879</v>
      </c>
      <c r="G18" s="233">
        <f>AVERAGEIFS(INDEX(Table716[],,MATCH($G$6,Table716[#Headers],0)),Table716[MainSpaceHeatingFuel],B18)</f>
        <v>55.519230769230766</v>
      </c>
      <c r="H18" s="233">
        <f>SUMIFS(INDEX(Table716[],,MATCH($H$6,Table716[#Headers],0)),Table716[SupplSHFuelName],B18)</f>
        <v>3204885</v>
      </c>
      <c r="I18" s="233">
        <f>SUMIFS(INDEX(Table716[],,MATCH($I$6,Table716[#Headers],0)),Table716[SupplSHFuelName],B18)</f>
        <v>2913527</v>
      </c>
      <c r="J18" s="233">
        <f>SUMIFS(INDEX(Table716[],,MATCH($J$6,Table716[#Headers],0)),Table716[SupplSHFuelName],B18)</f>
        <v>1137</v>
      </c>
      <c r="K18" s="261"/>
      <c r="L18" s="294" t="str">
        <f>_xlfn.TEXTJOIN(",",TRUE,IF(LEFT(Regions!$C$3,1)&lt;&gt;"*",Regions!$C$3,""),IF(LEFT(Regions!$D$3,1)&lt;&gt;"*",Regions!$D$3,""))</f>
        <v>IE,National</v>
      </c>
      <c r="M18" s="294" t="str">
        <f>LEFT(SETUP!$B$3,1)&amp;"-"&amp;SETUP!$B$50&amp;"_"&amp;RIGHT(COMM!$O$31,3)&amp;"_"&amp;RIGHT(O18,LEN(O18)-3)&amp;"_"&amp;SETUP!$B$64</f>
        <v>R-SH_Att_PEA_X0</v>
      </c>
      <c r="N18" s="294" t="str">
        <f>COMM!P25&amp;" "&amp;COMM!F7&amp;" "&amp;SETUP!C64</f>
        <v>Residential Space Heating Attached Peat to Residential Existing 00</v>
      </c>
      <c r="O18" s="294" t="str">
        <f>COMM!E7</f>
        <v>RSDPEA</v>
      </c>
      <c r="P18" s="294"/>
      <c r="Q18" s="294" t="str">
        <f>COMM!O10&amp;","&amp;COMM!O13&amp;","&amp;COMM!O16&amp;","&amp;COMM!O19&amp;","&amp;COMM!O22&amp;","&amp;COMM!O25</f>
        <v>RSDSH_Att-AB,RSDSH_Att-C,RSDSH_Att-D,RSDSH_Att-E,RSDSH_Att-F,RSDSH_Att-G</v>
      </c>
      <c r="R18" s="389">
        <f>(E17+E18)/SUM($E$7:$E$25)</f>
        <v>1.4917280187008229E-3</v>
      </c>
      <c r="S18" s="390">
        <f>R18*DwellingStocks!$J$28/1000</f>
        <v>1.1755782248653466</v>
      </c>
      <c r="T18" s="391">
        <f>(S18*1000)/(E17+E18)*DwellingStocks!$S$27</f>
        <v>1.3640554957912319</v>
      </c>
      <c r="U18" s="569">
        <f>(G17+G18)/200</f>
        <v>0.5509294871794872</v>
      </c>
      <c r="V18" s="569">
        <f t="shared" si="0"/>
        <v>7.2779078841739273E-2</v>
      </c>
      <c r="W18" s="393">
        <v>20</v>
      </c>
      <c r="X18" s="391">
        <f>31.536*(AD18/1000)</f>
        <v>0.63072000000000006</v>
      </c>
      <c r="Y18" s="393"/>
      <c r="Z18" s="393"/>
      <c r="AA18" s="393"/>
      <c r="AB18" s="394">
        <f>AC18*U18</f>
        <v>5.3962826596852108E-2</v>
      </c>
      <c r="AC18" s="394">
        <f>IF(((D17+I17)+D18+I18*$B$2)&lt;=0.1,0,((D17+I17+D18+I18)*T18*$B$2))</f>
        <v>9.7948699157704683E-2</v>
      </c>
      <c r="AD18" s="393">
        <v>20</v>
      </c>
      <c r="AE18" s="261"/>
      <c r="AF18" s="294" t="s">
        <v>266</v>
      </c>
      <c r="AG18" s="294" t="str">
        <f>_xlfn.TEXTJOIN(",",TRUE,IF(LEFT(Regions!$C$3,1)&lt;&gt;"*",Regions!$C$3,""),IF(LEFT(Regions!$D$3,1)&lt;&gt;"*",Regions!$D$3,""))</f>
        <v>IE,National</v>
      </c>
      <c r="AH18" s="294" t="str">
        <f>M18</f>
        <v>R-SH_Att_PEA_X0</v>
      </c>
      <c r="AI18" s="294" t="str">
        <f>N18</f>
        <v>Residential Space Heating Attached Peat to Residential Existing 00</v>
      </c>
      <c r="AJ18" s="294" t="s">
        <v>13</v>
      </c>
      <c r="AK18" s="294" t="s">
        <v>275</v>
      </c>
      <c r="AL18" s="294"/>
      <c r="AM18" s="294"/>
      <c r="AN18" s="261"/>
      <c r="AO18" s="261"/>
      <c r="AP18" s="261"/>
      <c r="AQ18" s="261"/>
      <c r="AR18" s="261"/>
    </row>
    <row r="19" spans="1:49">
      <c r="A19" s="261"/>
      <c r="B19" s="231" t="s">
        <v>426</v>
      </c>
      <c r="C19" s="232">
        <f>SUMIFS(INDEX(Table716[],,MATCH($C$6,Table716[#Headers],0)),Table716[MainSpaceHeatingFuel],B19)</f>
        <v>324823277</v>
      </c>
      <c r="D19" s="232">
        <f>SUMIFS(INDEX(Table716[],,MATCH($D$6,Table716[#Headers],0)),Table716[MainSpaceHeatingFuel],B19)</f>
        <v>295293888</v>
      </c>
      <c r="E19" s="232">
        <f>SUMIFS(INDEX(Table716[],,MATCH($E$6,Table716[#Headers],0)),Table716[MainSpaceHeatingFuel],B19)</f>
        <v>16891</v>
      </c>
      <c r="F19" s="232">
        <f>SUMIFS(INDEX(Table716[],,MATCH($F$6,Table716[#Headers],0)),Table716[MainSpaceHeatingFuel],B19)</f>
        <v>1315058</v>
      </c>
      <c r="G19" s="232">
        <f>AVERAGEIFS(INDEX(Table716[],,MATCH($G$6,Table716[#Headers],0)),Table716[MainSpaceHeatingFuel],B19)</f>
        <v>57.113772455089823</v>
      </c>
      <c r="H19" s="232">
        <f>SUMIFS(INDEX(Table716[],,MATCH($H$6,Table716[#Headers],0)),Table716[SupplSHFuelName],B19)</f>
        <v>346563390</v>
      </c>
      <c r="I19" s="232">
        <f>SUMIFS(INDEX(Table716[],,MATCH($I$6,Table716[#Headers],0)),Table716[SupplSHFuelName],B19)</f>
        <v>315057630</v>
      </c>
      <c r="J19" s="232">
        <f>SUMIFS(INDEX(Table716[],,MATCH($J$6,Table716[#Headers],0)),Table716[SupplSHFuelName],B19)</f>
        <v>119572</v>
      </c>
      <c r="K19" s="261"/>
      <c r="L19" s="508" t="s">
        <v>254</v>
      </c>
      <c r="M19" s="508" t="s">
        <v>254</v>
      </c>
      <c r="N19" s="402"/>
      <c r="O19" s="402"/>
      <c r="P19" s="402"/>
      <c r="Q19" s="402"/>
      <c r="R19" s="403"/>
      <c r="S19" s="404"/>
      <c r="T19" s="402"/>
      <c r="U19" s="573"/>
      <c r="V19" s="573"/>
      <c r="W19" s="402"/>
      <c r="X19" s="564"/>
      <c r="Y19" s="402"/>
      <c r="Z19" s="402"/>
      <c r="AA19" s="402"/>
      <c r="AB19" s="402"/>
      <c r="AC19" s="402"/>
      <c r="AD19" s="565"/>
      <c r="AE19" s="261"/>
      <c r="AF19" s="405" t="s">
        <v>254</v>
      </c>
      <c r="AG19" s="405"/>
      <c r="AH19" s="402"/>
      <c r="AI19" s="402"/>
      <c r="AJ19" s="402"/>
      <c r="AK19" s="402"/>
      <c r="AL19" s="402"/>
      <c r="AM19" s="402"/>
      <c r="AN19" s="261"/>
      <c r="AO19" s="261"/>
      <c r="AP19" s="261"/>
      <c r="AQ19" s="261"/>
      <c r="AR19" s="261"/>
    </row>
    <row r="20" spans="1:49">
      <c r="A20" s="261"/>
      <c r="B20" s="230" t="s">
        <v>481</v>
      </c>
      <c r="C20" s="233">
        <f>SUMIFS(INDEX(Table716[],,MATCH($C$6,Table716[#Headers],0)),Table716[MainSpaceHeatingFuel],B20)</f>
        <v>187869</v>
      </c>
      <c r="D20" s="233">
        <f>SUMIFS(INDEX(Table716[],,MATCH($D$6,Table716[#Headers],0)),Table716[MainSpaceHeatingFuel],B20)</f>
        <v>170792</v>
      </c>
      <c r="E20" s="233">
        <f>SUMIFS(INDEX(Table716[],,MATCH($E$6,Table716[#Headers],0)),Table716[MainSpaceHeatingFuel],B20)</f>
        <v>13</v>
      </c>
      <c r="F20" s="233">
        <f>SUMIFS(INDEX(Table716[],,MATCH($F$6,Table716[#Headers],0)),Table716[MainSpaceHeatingFuel],B20)</f>
        <v>913</v>
      </c>
      <c r="G20" s="233">
        <v>0</v>
      </c>
      <c r="H20" s="233">
        <f>SUMIFS(INDEX(Table716[],,MATCH($H$6,Table716[#Headers],0)),Table716[SupplSHFuelName],B20)</f>
        <v>462895</v>
      </c>
      <c r="I20" s="233">
        <f>SUMIFS(INDEX(Table716[],,MATCH($I$6,Table716[#Headers],0)),Table716[SupplSHFuelName],B20)</f>
        <v>420809</v>
      </c>
      <c r="J20" s="233">
        <f>SUMIFS(INDEX(Table716[],,MATCH($J$6,Table716[#Headers],0)),Table716[SupplSHFuelName],B20)</f>
        <v>203</v>
      </c>
      <c r="K20" s="261"/>
      <c r="L20" s="26" t="str">
        <f>_xlfn.TEXTJOIN(",",TRUE,IF(LEFT(Regions!$C$3,1)&lt;&gt;"*",Regions!$C$3,""),IF(LEFT(Regions!$D$3,1)&lt;&gt;"*",Regions!$D$3,""))</f>
        <v>IE,National</v>
      </c>
      <c r="M20" s="26" t="str">
        <f>LEFT(SETUP!$B$3,1)&amp;"-"&amp;SETUP!$B$50&amp;"_"&amp;RIGHT(COMM!$O$31,3)&amp;"_"&amp;RIGHT(COMM!E23,LEN(COMM!E23)-3)&amp;"_"&amp;SETUP!$B$64</f>
        <v>R-SH_Att_SMF_X0</v>
      </c>
      <c r="N20" s="26" t="str">
        <f>COMM!P25&amp;" "&amp;COMM!F23&amp;" "&amp;SETUP!C64</f>
        <v>Residential Space Heating Attached Solid Multi-Fuel Existing 00</v>
      </c>
      <c r="O20" s="26" t="str">
        <f>COMM!E6</f>
        <v>RSDCOA</v>
      </c>
      <c r="P20" s="26"/>
      <c r="Q20" s="26" t="str">
        <f>COMM!O10&amp;","&amp;COMM!O13&amp;","&amp;COMM!O16&amp;","&amp;COMM!O19&amp;","&amp;COMM!O22&amp;","&amp;COMM!O25</f>
        <v>RSDSH_Att-AB,RSDSH_Att-C,RSDSH_Att-D,RSDSH_Att-E,RSDSH_Att-F,RSDSH_Att-G</v>
      </c>
      <c r="R20" s="396">
        <f>E19/SUM($E$7:$E$25)</f>
        <v>4.0705618681543779E-2</v>
      </c>
      <c r="S20" s="397">
        <f>R20*DwellingStocks!$J$28/1000</f>
        <v>32.078662029403176</v>
      </c>
      <c r="T20" s="398">
        <f>(S20*1000)/E19*DwellingStocks!$S$27-0.19617</f>
        <v>1.1678854957912315</v>
      </c>
      <c r="U20" s="570">
        <f>G19/100</f>
        <v>0.57113772455089817</v>
      </c>
      <c r="V20" s="571">
        <f>SUM(AB20:AB22)/S20/X20</f>
        <v>7.2438724233275839E-2</v>
      </c>
      <c r="W20" s="399">
        <v>20</v>
      </c>
      <c r="X20" s="567">
        <f>31.536*(AD20/1000)</f>
        <v>0.63072000000000006</v>
      </c>
      <c r="Y20" s="515">
        <f>RSD_Balance!$H$2</f>
        <v>0.19400000000000001</v>
      </c>
      <c r="Z20" s="399">
        <v>5</v>
      </c>
      <c r="AA20" s="399"/>
      <c r="AB20" s="400">
        <f>AC20*$U$20</f>
        <v>0.28433175885844253</v>
      </c>
      <c r="AC20" s="401">
        <f>IF(((D19+I19)*$B$2)&lt;=0.1,0,((D19+I19)*T20*$B$2))*Y20</f>
        <v>0.49783396654812234</v>
      </c>
      <c r="AD20" s="563">
        <v>20</v>
      </c>
      <c r="AE20" s="261"/>
      <c r="AF20" s="294" t="s">
        <v>266</v>
      </c>
      <c r="AG20" s="294" t="str">
        <f>_xlfn.TEXTJOIN(",",TRUE,IF(LEFT(Regions!$C$3,1)&lt;&gt;"*",Regions!$C$3,""),IF(LEFT(Regions!$D$3,1)&lt;&gt;"*",Regions!$D$3,""))</f>
        <v>IE,National</v>
      </c>
      <c r="AH20" s="294" t="str">
        <f>M20</f>
        <v>R-SH_Att_SMF_X0</v>
      </c>
      <c r="AI20" s="294" t="str">
        <f>N20</f>
        <v>Residential Space Heating Attached Solid Multi-Fuel Existing 00</v>
      </c>
      <c r="AJ20" s="294" t="s">
        <v>13</v>
      </c>
      <c r="AK20" s="294" t="s">
        <v>275</v>
      </c>
      <c r="AL20" s="294"/>
      <c r="AM20" s="294"/>
      <c r="AN20" s="261"/>
      <c r="AO20" s="261"/>
      <c r="AP20" s="261"/>
      <c r="AQ20" s="261"/>
      <c r="AR20" s="261"/>
    </row>
    <row r="21" spans="1:49">
      <c r="A21" s="261"/>
      <c r="B21" s="231" t="s">
        <v>433</v>
      </c>
      <c r="C21" s="232">
        <f>SUMIFS(INDEX(Table716[],,MATCH($C$6,Table716[#Headers],0)),Table716[MainSpaceHeatingFuel],B21)</f>
        <v>3064901</v>
      </c>
      <c r="D21" s="232">
        <f>SUMIFS(INDEX(Table716[],,MATCH($D$6,Table716[#Headers],0)),Table716[MainSpaceHeatingFuel],B21)</f>
        <v>2786276</v>
      </c>
      <c r="E21" s="232">
        <f>SUMIFS(INDEX(Table716[],,MATCH($E$6,Table716[#Headers],0)),Table716[MainSpaceHeatingFuel],B21)</f>
        <v>165</v>
      </c>
      <c r="F21" s="232">
        <f>SUMIFS(INDEX(Table716[],,MATCH($F$6,Table716[#Headers],0)),Table716[MainSpaceHeatingFuel],B21)</f>
        <v>13171</v>
      </c>
      <c r="G21" s="232">
        <f>AVERAGEIFS(INDEX(Table716[],,MATCH($G$6,Table716[#Headers],0)),Table716[MainSpaceHeatingFuel],B21)</f>
        <v>61.857142857142854</v>
      </c>
      <c r="H21" s="232">
        <f>SUMIFS(INDEX(Table716[],,MATCH($H$6,Table716[#Headers],0)),Table716[SupplSHFuelName],B21)</f>
        <v>11012362</v>
      </c>
      <c r="I21" s="232">
        <f>SUMIFS(INDEX(Table716[],,MATCH($I$6,Table716[#Headers],0)),Table716[SupplSHFuelName],B21)</f>
        <v>10011239</v>
      </c>
      <c r="J21" s="232">
        <f>SUMIFS(INDEX(Table716[],,MATCH($J$6,Table716[#Headers],0)),Table716[SupplSHFuelName],B21)</f>
        <v>7026</v>
      </c>
      <c r="K21" s="261"/>
      <c r="L21" s="294" t="str">
        <f>_xlfn.TEXTJOIN(",",TRUE,IF(LEFT(Regions!$C$3,1)&lt;&gt;"*",Regions!$C$3,""),IF(LEFT(Regions!$D$3,1)&lt;&gt;"*",Regions!$D$3,""))</f>
        <v>IE,National</v>
      </c>
      <c r="M21" s="294"/>
      <c r="N21" s="294"/>
      <c r="O21" s="294" t="str">
        <f>COMM!E7</f>
        <v>RSDPEA</v>
      </c>
      <c r="P21" s="294"/>
      <c r="Q21" s="294"/>
      <c r="R21" s="389"/>
      <c r="S21" s="390"/>
      <c r="T21" s="391"/>
      <c r="U21" s="572"/>
      <c r="V21" s="569"/>
      <c r="W21" s="393"/>
      <c r="X21" s="391"/>
      <c r="Y21" s="516">
        <f>RSD_Balance!$H$3</f>
        <v>0.74399999999999999</v>
      </c>
      <c r="Z21" s="393">
        <v>5</v>
      </c>
      <c r="AA21" s="393"/>
      <c r="AB21" s="394">
        <f>AC21*$U$20</f>
        <v>1.0904269514983569</v>
      </c>
      <c r="AC21" s="394">
        <f>IF(((D19+I19)*$B$2)&lt;=0.1,0,((D19+I19)*T20*$B$2))*Y21</f>
        <v>1.9092189232567165</v>
      </c>
      <c r="AD21" s="393">
        <v>20</v>
      </c>
      <c r="AE21" s="261"/>
      <c r="AF21" s="26" t="s">
        <v>266</v>
      </c>
      <c r="AG21" s="26" t="str">
        <f>_xlfn.TEXTJOIN(",",TRUE,IF(LEFT(Regions!$C$3,1)&lt;&gt;"*",Regions!$C$3,""),IF(LEFT(Regions!$D$3,1)&lt;&gt;"*",Regions!$D$3,""))</f>
        <v>IE,National</v>
      </c>
      <c r="AH21" s="26" t="str">
        <f t="shared" ref="AH21:AI22" si="3">M23</f>
        <v>R-SH_Att_WOO_X0</v>
      </c>
      <c r="AI21" s="26" t="str">
        <f t="shared" si="3"/>
        <v>Residential Space Heating Attached Biomass to Residential Existing 00</v>
      </c>
      <c r="AJ21" s="26" t="s">
        <v>13</v>
      </c>
      <c r="AK21" s="26" t="s">
        <v>275</v>
      </c>
      <c r="AL21" s="26"/>
      <c r="AM21" s="26"/>
      <c r="AN21" s="261"/>
      <c r="AO21" s="261"/>
      <c r="AP21" s="261"/>
      <c r="AQ21" s="261"/>
      <c r="AR21" s="261"/>
    </row>
    <row r="22" spans="1:49">
      <c r="A22" s="261"/>
      <c r="B22" s="230" t="s">
        <v>408</v>
      </c>
      <c r="C22" s="233">
        <f>SUMIFS(INDEX(Table716[],,MATCH($C$6,Table716[#Headers],0)),Table716[MainSpaceHeatingFuel],B22)</f>
        <v>2805466</v>
      </c>
      <c r="D22" s="233">
        <f>SUMIFS(INDEX(Table716[],,MATCH($D$6,Table716[#Headers],0)),Table716[MainSpaceHeatingFuel],B22)</f>
        <v>2550422</v>
      </c>
      <c r="E22" s="233">
        <f>SUMIFS(INDEX(Table716[],,MATCH($E$6,Table716[#Headers],0)),Table716[MainSpaceHeatingFuel],B22)</f>
        <v>233</v>
      </c>
      <c r="F22" s="233">
        <f>SUMIFS(INDEX(Table716[],,MATCH($F$6,Table716[#Headers],0)),Table716[MainSpaceHeatingFuel],B22)</f>
        <v>23513</v>
      </c>
      <c r="G22" s="233">
        <f>AVERAGEIFS(INDEX(Table716[],,MATCH($G$6,Table716[#Headers],0)),Table716[MainSpaceHeatingFuel],B22)</f>
        <v>74.931034482758619</v>
      </c>
      <c r="H22" s="233">
        <f>SUMIFS(INDEX(Table716[],,MATCH($H$6,Table716[#Headers],0)),Table716[SupplSHFuelName],B22)</f>
        <v>15298</v>
      </c>
      <c r="I22" s="233">
        <f>SUMIFS(INDEX(Table716[],,MATCH($I$6,Table716[#Headers],0)),Table716[SupplSHFuelName],B22)</f>
        <v>13907</v>
      </c>
      <c r="J22" s="233">
        <f>SUMIFS(INDEX(Table716[],,MATCH($J$6,Table716[#Headers],0)),Table716[SupplSHFuelName],B22)</f>
        <v>6</v>
      </c>
      <c r="K22" s="261"/>
      <c r="L22" s="26" t="str">
        <f>_xlfn.TEXTJOIN(",",TRUE,IF(LEFT(Regions!$C$3,1)&lt;&gt;"*",Regions!$C$3,""),IF(LEFT(Regions!$D$3,1)&lt;&gt;"*",Regions!$D$3,""))</f>
        <v>IE,National</v>
      </c>
      <c r="M22" s="26"/>
      <c r="N22" s="26"/>
      <c r="O22" s="26" t="str">
        <f>COMM!E16</f>
        <v>RSDWOO</v>
      </c>
      <c r="P22" s="26"/>
      <c r="Q22" s="26"/>
      <c r="R22" s="396"/>
      <c r="S22" s="397"/>
      <c r="T22" s="398"/>
      <c r="U22" s="570"/>
      <c r="V22" s="571"/>
      <c r="W22" s="399"/>
      <c r="X22" s="567"/>
      <c r="Y22" s="515">
        <f>RSD_Balance!$H$4</f>
        <v>6.2E-2</v>
      </c>
      <c r="Z22" s="399">
        <v>5</v>
      </c>
      <c r="AA22" s="399"/>
      <c r="AB22" s="400">
        <f>AC22*$U$20</f>
        <v>9.0868912624863074E-2</v>
      </c>
      <c r="AC22" s="401">
        <f>IF(((D19+I19)*$B$2)&lt;=0.1,0,((D19+I19)*T20*$B$2))*Y22</f>
        <v>0.15910157693805971</v>
      </c>
      <c r="AD22" s="563">
        <v>20</v>
      </c>
      <c r="AE22" s="261"/>
      <c r="AF22" s="294" t="s">
        <v>266</v>
      </c>
      <c r="AG22" s="294" t="str">
        <f>_xlfn.TEXTJOIN(",",TRUE,IF(LEFT(Regions!$C$3,1)&lt;&gt;"*",Regions!$C$3,""),IF(LEFT(Regions!$D$3,1)&lt;&gt;"*",Regions!$D$3,""))</f>
        <v>IE,National</v>
      </c>
      <c r="AH22" s="294" t="str">
        <f t="shared" si="3"/>
        <v>R-SH_Att_HET_X0</v>
      </c>
      <c r="AI22" s="294" t="str">
        <f t="shared" si="3"/>
        <v>Residential Space Heating Attached Heat to Residential Existing 00</v>
      </c>
      <c r="AJ22" s="294" t="s">
        <v>13</v>
      </c>
      <c r="AK22" s="294" t="s">
        <v>275</v>
      </c>
      <c r="AL22" s="294"/>
      <c r="AM22" s="294"/>
      <c r="AN22" s="261"/>
      <c r="AO22" s="261"/>
      <c r="AP22" s="261"/>
      <c r="AQ22" s="261"/>
      <c r="AR22" s="261"/>
    </row>
    <row r="23" spans="1:49">
      <c r="A23" s="261"/>
      <c r="B23" s="231" t="s">
        <v>429</v>
      </c>
      <c r="C23" s="232">
        <f>SUMIFS(INDEX(Table716[],,MATCH($C$6,Table716[#Headers],0)),Table716[MainSpaceHeatingFuel],B23)</f>
        <v>765690</v>
      </c>
      <c r="D23" s="232">
        <f>SUMIFS(INDEX(Table716[],,MATCH($D$6,Table716[#Headers],0)),Table716[MainSpaceHeatingFuel],B23)</f>
        <v>696081</v>
      </c>
      <c r="E23" s="232">
        <f>SUMIFS(INDEX(Table716[],,MATCH($E$6,Table716[#Headers],0)),Table716[MainSpaceHeatingFuel],B23)</f>
        <v>72</v>
      </c>
      <c r="F23" s="232">
        <f>SUMIFS(INDEX(Table716[],,MATCH($F$6,Table716[#Headers],0)),Table716[MainSpaceHeatingFuel],B23)</f>
        <v>6674</v>
      </c>
      <c r="G23" s="232">
        <f>AVERAGEIFS(INDEX(Table716[],,MATCH($G$6,Table716[#Headers],0)),Table716[MainSpaceHeatingFuel],B23)</f>
        <v>74.41379310344827</v>
      </c>
      <c r="H23" s="232">
        <f>SUMIFS(INDEX(Table716[],,MATCH($H$6,Table716[#Headers],0)),Table716[SupplSHFuelName],B23)</f>
        <v>562225</v>
      </c>
      <c r="I23" s="232">
        <f>SUMIFS(INDEX(Table716[],,MATCH($I$6,Table716[#Headers],0)),Table716[SupplSHFuelName],B23)</f>
        <v>511113</v>
      </c>
      <c r="J23" s="232">
        <f>SUMIFS(INDEX(Table716[],,MATCH($J$6,Table716[#Headers],0)),Table716[SupplSHFuelName],B23)</f>
        <v>366</v>
      </c>
      <c r="K23" s="261"/>
      <c r="L23" s="294" t="str">
        <f>_xlfn.TEXTJOIN(",",TRUE,IF(LEFT(Regions!$C$3,1)&lt;&gt;"*",Regions!$C$3,""),IF(LEFT(Regions!$D$3,1)&lt;&gt;"*",Regions!$D$3,""))</f>
        <v>IE,National</v>
      </c>
      <c r="M23" s="294" t="str">
        <f>LEFT(SETUP!$B$3,1)&amp;"-"&amp;SETUP!$B$50&amp;"_"&amp;RIGHT(COMM!$O$31,3)&amp;"_"&amp;RIGHT(O23,LEN(O23)-3)&amp;"_"&amp;SETUP!$B$64</f>
        <v>R-SH_Att_WOO_X0</v>
      </c>
      <c r="N23" s="294" t="str">
        <f>COMM!P25&amp;" "&amp;COMM!F16&amp;" "&amp;SETUP!C64</f>
        <v>Residential Space Heating Attached Biomass to Residential Existing 00</v>
      </c>
      <c r="O23" s="294" t="str">
        <f>COMM!E16</f>
        <v>RSDWOO</v>
      </c>
      <c r="P23" s="294"/>
      <c r="Q23" s="294" t="str">
        <f>COMM!O10&amp;","&amp;COMM!O13&amp;","&amp;COMM!O16&amp;","&amp;COMM!O19&amp;","&amp;COMM!O22&amp;","&amp;COMM!O25</f>
        <v>RSDSH_Att-AB,RSDSH_Att-C,RSDSH_Att-D,RSDSH_Att-E,RSDSH_Att-F,RSDSH_Att-G</v>
      </c>
      <c r="R23" s="389">
        <f>(E20+E21+E22+E23)/SUM($E$7:$E$25)</f>
        <v>1.1639816365630008E-3</v>
      </c>
      <c r="S23" s="390">
        <f>R23*DwellingStocks!$J$28/1000</f>
        <v>0.91729286366714435</v>
      </c>
      <c r="T23" s="391">
        <f>(S23*1000)/(E20+E21+E22+E23)*DwellingStocks!$S$27+0.1866</f>
        <v>1.550655495791232</v>
      </c>
      <c r="U23" s="569">
        <f>(G21+G22+G23)/300</f>
        <v>0.70400656814449913</v>
      </c>
      <c r="V23" s="569">
        <f t="shared" ref="V23:V24" si="4">IF(AB23/S23/X23=0,0.12,AB23/S23/X23)</f>
        <v>0.12</v>
      </c>
      <c r="W23" s="393">
        <v>20</v>
      </c>
      <c r="X23" s="391">
        <f t="shared" ref="X23:X24" si="5">31.536*(AD23/1000)</f>
        <v>0.63072000000000006</v>
      </c>
      <c r="Y23" s="393"/>
      <c r="Z23" s="393"/>
      <c r="AA23" s="393"/>
      <c r="AB23" s="394">
        <f>AC23*U23</f>
        <v>0</v>
      </c>
      <c r="AC23" s="394">
        <f>IF(((D20+I20+D21+I21+D22+I22+D23+I23)*$B$2)&lt;=0.1,0,((D20+I20+D21+I21+D22+I22+D23+I23)*T23*$B$2))</f>
        <v>0</v>
      </c>
      <c r="AD23" s="393">
        <v>20</v>
      </c>
      <c r="AE23" s="261"/>
      <c r="AF23" s="26"/>
      <c r="AG23" s="26"/>
      <c r="AH23" s="26"/>
      <c r="AI23" s="26"/>
      <c r="AJ23" s="26"/>
      <c r="AK23" s="26"/>
      <c r="AL23" s="26"/>
      <c r="AM23" s="26"/>
      <c r="AN23" s="261"/>
      <c r="AO23" s="261"/>
      <c r="AP23" s="261"/>
      <c r="AQ23" s="261"/>
      <c r="AR23" s="261"/>
    </row>
    <row r="24" spans="1:49">
      <c r="A24" s="261"/>
      <c r="B24" s="230" t="s">
        <v>566</v>
      </c>
      <c r="C24" s="233" cm="1">
        <f t="array" ref="C24">AVERAGE(C7:C23+C25)*($E$24/SUM($E$7:$E$23+$E$25))</f>
        <v>996801.7852058335</v>
      </c>
      <c r="D24" s="233" cm="1">
        <f t="array" ref="D24">AVERAGE(D7:D23+D25)*($E$24/SUM($E$7:$E$23+$E$25))</f>
        <v>607550.41954423941</v>
      </c>
      <c r="E24" s="233">
        <f>SUMIFS(INDEX(Table716[],,MATCH($E$6,Table716[#Headers],0)),Table716[MainSpaceHeatingFuel],"")</f>
        <v>1017</v>
      </c>
      <c r="F24" s="233">
        <f>SUMIFS(INDEX(Table716[],,MATCH($F$6,Table716[#Headers],0)),Table716[MainSpaceHeatingFuel],"")</f>
        <v>83393</v>
      </c>
      <c r="G24" s="233">
        <f>(D24*100)/C24</f>
        <v>60.949973059968386</v>
      </c>
      <c r="H24" s="233">
        <f>SUMIFS(INDEX(Table716[],,MATCH($H$6,Table716[#Headers],0)),Table716[SupplSHFuelName],B24)</f>
        <v>20717</v>
      </c>
      <c r="I24" s="233">
        <f>SUMIFS(INDEX(Table716[],,MATCH($I$6,Table716[#Headers],0)),Table716[SupplSHFuelName],B24)</f>
        <v>8949663</v>
      </c>
      <c r="J24" s="233">
        <f>SUMIFS(INDEX(Table716[],,MATCH($J$6,Table716[#Headers],0)),Table716[SupplSHFuelName],B24)</f>
        <v>54554</v>
      </c>
      <c r="K24" s="261"/>
      <c r="L24" s="26" t="str">
        <f>_xlfn.TEXTJOIN(",",TRUE,IF(LEFT(Regions!$C$3,1)&lt;&gt;"*",Regions!$C$3,""),IF(LEFT(Regions!$D$3,1)&lt;&gt;"*",Regions!$D$3,""))</f>
        <v>IE,National</v>
      </c>
      <c r="M24" s="294" t="str">
        <f>LEFT(SETUP!$B$3,1)&amp;"-"&amp;SETUP!$B$50&amp;"_"&amp;RIGHT(COMM!$O$31,3)&amp;"_"&amp;RIGHT(O24,LEN(O24)-3)&amp;"_"&amp;SETUP!$B$64</f>
        <v>R-SH_Att_HET_X0</v>
      </c>
      <c r="N24" s="395" t="str">
        <f>COMM!P25&amp;" "&amp;COMM!F25&amp;" "&amp;SETUP!C64</f>
        <v>Residential Space Heating Attached Heat to Residential Existing 00</v>
      </c>
      <c r="O24" s="26" t="str">
        <f>COMM!E25</f>
        <v>RSDHET</v>
      </c>
      <c r="P24" s="26"/>
      <c r="Q24" s="26" t="str">
        <f>COMM!O10&amp;","&amp;COMM!O13&amp;","&amp;COMM!O16&amp;","&amp;COMM!O19&amp;","&amp;COMM!O22&amp;","&amp;COMM!O25</f>
        <v>RSDSH_Att-AB,RSDSH_Att-C,RSDSH_Att-D,RSDSH_Att-E,RSDSH_Att-F,RSDSH_Att-G</v>
      </c>
      <c r="R24" s="396">
        <f>E24/SUM($E$7:$E$25)</f>
        <v>2.4508681664276851E-3</v>
      </c>
      <c r="S24" s="397">
        <f>R24*DwellingStocks!$J$28/1000</f>
        <v>1.9314427377836147</v>
      </c>
      <c r="T24" s="398">
        <f>(S24*1000)/E24*DwellingStocks!$S$27</f>
        <v>1.3640554957912319</v>
      </c>
      <c r="U24" s="571">
        <f>G24/100</f>
        <v>0.60949973059968388</v>
      </c>
      <c r="V24" s="569">
        <f t="shared" si="4"/>
        <v>0.12</v>
      </c>
      <c r="W24" s="399">
        <v>20</v>
      </c>
      <c r="X24" s="567">
        <f t="shared" si="5"/>
        <v>0.63072000000000006</v>
      </c>
      <c r="Y24" s="399"/>
      <c r="Z24" s="399"/>
      <c r="AA24" s="399"/>
      <c r="AB24" s="400">
        <f>AC24*U24</f>
        <v>0</v>
      </c>
      <c r="AC24" s="401">
        <f>IF(((D24+I24)*$B$2)&lt;=0.1,0,((D24+I24)*T24*$B$2))</f>
        <v>0</v>
      </c>
      <c r="AD24" s="563">
        <v>20</v>
      </c>
      <c r="AE24" s="261"/>
      <c r="AF24" s="388"/>
      <c r="AG24" s="388"/>
      <c r="AH24" s="388"/>
      <c r="AI24" s="388"/>
      <c r="AJ24" s="388"/>
      <c r="AK24" s="388"/>
      <c r="AL24" s="388"/>
      <c r="AM24" s="261"/>
      <c r="AN24" s="261"/>
      <c r="AO24" s="261"/>
      <c r="AP24" s="261"/>
      <c r="AQ24" s="261"/>
      <c r="AR24" s="261"/>
    </row>
    <row r="25" spans="1:49">
      <c r="A25" s="387" t="s">
        <v>653</v>
      </c>
      <c r="B25" s="231" t="s">
        <v>137</v>
      </c>
      <c r="C25" s="232">
        <f>SUMIFS(INDEX(Table716[],,MATCH($C$6,Table716[#Headers],0)),Table716[MainSpaceHeatingFuel],B12, Table716[Avg. HSMainSystemEfficiency],"&lt;101")</f>
        <v>329000511</v>
      </c>
      <c r="D25" s="232">
        <f>SUMIFS(INDEX(Table716[],,MATCH($D$6,Table716[#Headers],0)),Table716[MainSpaceHeatingFuel],B25,Table716[Avg. HSMainSystemEfficiency],"&lt;101")</f>
        <v>121852042</v>
      </c>
      <c r="E25" s="232">
        <f>SUMIFS(INDEX(Table716[],,MATCH($E$6,Table716[#Headers],0)),Table716[MainSpaceHeatingFuel],B25,Table716[Avg. HSMainSystemEfficiency],"&lt;101")</f>
        <v>12745</v>
      </c>
      <c r="F25" s="232">
        <f>SUMIFS(INDEX(Table716[],,MATCH($F$6,Table716[#Headers],0)),Table716[MainSpaceHeatingFuel],B25,Table716[Avg. HSMainSystemEfficiency],"&lt;101")</f>
        <v>1029786</v>
      </c>
      <c r="G25" s="232">
        <f>AVERAGEIFS(INDEX(Table716[],,MATCH($G$6,Table716[#Headers],0)),Table716[MainSpaceHeatingFuel],B25,Table716[Avg. HSMainSystemEfficiency],"&lt;101")</f>
        <v>100</v>
      </c>
      <c r="H25" s="232">
        <f>SUMIFS(INDEX(Table716[],,MATCH($H$6,Table716[#Headers],0)),Table716[SupplSHFuelName],B25,Table716[Avg. HSMainSystemEfficiency],"&lt;101")</f>
        <v>80715560</v>
      </c>
      <c r="I25" s="232">
        <f>SUMIFS(INDEX(Table716[],,MATCH($I$6,Table716[#Headers],0)),Table716[SupplSHFuelName],B25,Table716[Avg. HSMainSystemEfficiency],"&lt;101")</f>
        <v>29894658</v>
      </c>
      <c r="J25" s="232">
        <f>SUMIFS(INDEX(Table716[],,MATCH($J$6,Table716[#Headers],0)),Table716[SupplSHFuelName],B25,Table716[Avg. HSMainSystemEfficiency],"&lt;101")</f>
        <v>27133</v>
      </c>
      <c r="K25" s="261"/>
      <c r="L25" s="405"/>
      <c r="M25" s="402"/>
      <c r="N25" s="402"/>
      <c r="O25" s="402"/>
      <c r="P25" s="402"/>
      <c r="Q25" s="402"/>
      <c r="R25" s="402"/>
      <c r="S25" s="404"/>
      <c r="T25" s="402"/>
      <c r="U25" s="404"/>
      <c r="V25" s="402"/>
      <c r="W25" s="402"/>
      <c r="X25" s="402"/>
      <c r="Y25" s="402"/>
      <c r="Z25" s="402"/>
      <c r="AA25" s="402"/>
      <c r="AB25" s="402"/>
      <c r="AC25" s="402"/>
      <c r="AD25" s="402"/>
      <c r="AE25" s="261"/>
      <c r="AF25" s="388"/>
      <c r="AG25" s="388"/>
      <c r="AH25" s="388"/>
      <c r="AI25" s="388"/>
      <c r="AJ25" s="388"/>
      <c r="AK25" s="388"/>
      <c r="AL25" s="388"/>
      <c r="AM25" s="261"/>
      <c r="AN25" s="261"/>
      <c r="AO25" s="261"/>
      <c r="AP25" s="261"/>
      <c r="AQ25" s="261"/>
      <c r="AR25" s="261"/>
    </row>
    <row r="26" spans="1:49">
      <c r="A26" s="261"/>
      <c r="B26" s="261"/>
      <c r="C26" s="261"/>
      <c r="D26" s="261"/>
      <c r="E26" s="261"/>
      <c r="F26" s="261"/>
      <c r="G26" s="261"/>
      <c r="H26" s="261"/>
      <c r="I26" s="261"/>
      <c r="J26" s="261"/>
      <c r="K26" s="261"/>
      <c r="L26" s="405"/>
      <c r="M26" s="402"/>
      <c r="N26" s="402"/>
      <c r="O26" s="402"/>
      <c r="P26" s="402"/>
      <c r="Q26" s="402"/>
      <c r="R26" s="402"/>
      <c r="S26" s="404"/>
      <c r="T26" s="402"/>
      <c r="U26" s="404"/>
      <c r="V26" s="402"/>
      <c r="W26" s="402"/>
      <c r="X26" s="402"/>
      <c r="Y26" s="402"/>
      <c r="Z26" s="402"/>
      <c r="AA26" s="402"/>
      <c r="AB26" s="402"/>
      <c r="AC26" s="402"/>
      <c r="AD26" s="402"/>
      <c r="AE26" s="261"/>
      <c r="AF26" s="388"/>
      <c r="AG26" s="388"/>
      <c r="AH26" s="388"/>
      <c r="AI26" s="388"/>
      <c r="AJ26" s="388"/>
      <c r="AK26" s="388"/>
      <c r="AL26" s="388"/>
      <c r="AM26" s="261"/>
      <c r="AN26" s="261"/>
      <c r="AO26" s="261"/>
      <c r="AP26" s="261"/>
      <c r="AQ26" s="261"/>
      <c r="AR26" s="261"/>
      <c r="AS26" s="261"/>
      <c r="AT26" s="261"/>
    </row>
    <row r="27" spans="1:49" ht="21.5" thickBot="1">
      <c r="A27" s="50" t="s">
        <v>500</v>
      </c>
      <c r="B27" s="50"/>
      <c r="C27" s="50"/>
      <c r="D27" s="50"/>
      <c r="E27" s="50"/>
      <c r="F27" s="50"/>
      <c r="G27" s="50"/>
      <c r="H27" s="50"/>
      <c r="I27" s="50"/>
      <c r="J27" s="50"/>
      <c r="K27" s="261"/>
      <c r="L27" s="388"/>
      <c r="M27" s="388"/>
      <c r="N27" s="388"/>
      <c r="O27" s="388"/>
      <c r="P27" s="388"/>
      <c r="Q27" s="388"/>
      <c r="R27" s="388"/>
      <c r="S27" s="384">
        <f>SUM(S6:S25)</f>
        <v>788.06472099999985</v>
      </c>
      <c r="T27" s="388"/>
      <c r="U27" s="388"/>
      <c r="V27" s="388"/>
      <c r="W27" s="388"/>
      <c r="X27" s="388"/>
      <c r="Y27" s="388"/>
      <c r="Z27" s="388"/>
      <c r="AA27" s="388"/>
      <c r="AB27" s="382">
        <f>SUM(AB6:AB25)</f>
        <v>22.590024412131413</v>
      </c>
      <c r="AC27" s="382">
        <f>SUM(AC6:AC25)</f>
        <v>29.272834945441659</v>
      </c>
      <c r="AD27" s="261"/>
      <c r="AE27" s="261"/>
      <c r="AF27" s="388"/>
      <c r="AG27" s="388"/>
      <c r="AH27" s="388"/>
      <c r="AI27" s="261"/>
      <c r="AJ27" s="388"/>
      <c r="AK27" s="388"/>
      <c r="AL27" s="388"/>
      <c r="AN27" s="261"/>
      <c r="AO27" s="261"/>
      <c r="AP27" s="261"/>
      <c r="AQ27" s="261"/>
      <c r="AR27" s="261"/>
      <c r="AS27" s="261"/>
      <c r="AT27" s="261"/>
    </row>
    <row r="28" spans="1:49" ht="15" thickBot="1">
      <c r="A28" s="261"/>
      <c r="B28" s="1150" t="s">
        <v>643</v>
      </c>
      <c r="C28" s="1151"/>
      <c r="D28" s="1151"/>
      <c r="E28" s="1151"/>
      <c r="F28" s="1151"/>
      <c r="G28" s="1152"/>
      <c r="H28" s="1150" t="s">
        <v>644</v>
      </c>
      <c r="I28" s="1151"/>
      <c r="J28" s="1152"/>
      <c r="K28" s="261"/>
      <c r="L28" s="261"/>
      <c r="M28" s="261"/>
      <c r="N28" s="261"/>
      <c r="O28" s="261"/>
      <c r="P28" s="261"/>
      <c r="Q28" s="261"/>
      <c r="R28" s="261"/>
      <c r="S28" s="261"/>
      <c r="T28" s="261"/>
      <c r="U28" s="261"/>
      <c r="V28" s="261"/>
      <c r="W28" s="261"/>
      <c r="X28" s="261"/>
      <c r="Y28" s="261"/>
      <c r="Z28" s="261"/>
      <c r="AA28" s="261"/>
      <c r="AB28" s="261"/>
      <c r="AC28" s="261"/>
      <c r="AD28" s="561"/>
      <c r="AE28" s="261"/>
      <c r="AF28" s="388"/>
      <c r="AG28" s="388"/>
      <c r="AH28" s="388"/>
      <c r="AI28" s="388"/>
      <c r="AJ28" s="388"/>
      <c r="AK28" s="388"/>
      <c r="AL28" s="388"/>
      <c r="AM28" s="261"/>
      <c r="AN28" s="261"/>
      <c r="AO28" s="261"/>
      <c r="AP28" s="261"/>
      <c r="AQ28" s="261"/>
      <c r="AR28" s="261"/>
      <c r="AS28" s="261"/>
      <c r="AT28" s="261"/>
    </row>
    <row r="29" spans="1:49" ht="21.5" thickBot="1">
      <c r="A29" s="261"/>
      <c r="B29" s="229"/>
      <c r="C29" s="229" t="s">
        <v>389</v>
      </c>
      <c r="D29" s="229" t="s">
        <v>389</v>
      </c>
      <c r="E29" s="229" t="s">
        <v>640</v>
      </c>
      <c r="F29" s="229" t="s">
        <v>390</v>
      </c>
      <c r="G29" s="229" t="s">
        <v>391</v>
      </c>
      <c r="H29" s="229" t="s">
        <v>389</v>
      </c>
      <c r="I29" s="229" t="s">
        <v>389</v>
      </c>
      <c r="J29" s="229" t="s">
        <v>639</v>
      </c>
      <c r="K29" s="261"/>
      <c r="L29" s="49"/>
      <c r="M29" s="49" t="s">
        <v>500</v>
      </c>
      <c r="N29" s="49"/>
      <c r="O29" s="49"/>
      <c r="P29" s="49"/>
      <c r="Q29" s="53" t="s">
        <v>768</v>
      </c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261"/>
      <c r="AF29" s="19" t="s">
        <v>767</v>
      </c>
      <c r="AG29" s="19"/>
      <c r="AH29" s="509"/>
      <c r="AI29" s="509"/>
      <c r="AJ29" s="509"/>
      <c r="AK29" s="509"/>
      <c r="AL29" s="509"/>
      <c r="AM29" s="509"/>
      <c r="AN29" s="261"/>
      <c r="AO29" s="261"/>
      <c r="AP29" s="261"/>
      <c r="AQ29" s="261"/>
      <c r="AR29" s="261"/>
      <c r="AS29" s="261"/>
      <c r="AT29" s="261"/>
      <c r="AU29" s="261"/>
      <c r="AV29" s="261"/>
    </row>
    <row r="30" spans="1:49" ht="28" customHeight="1" thickBot="1">
      <c r="A30" s="261"/>
      <c r="B30" s="296" t="s">
        <v>410</v>
      </c>
      <c r="C30" s="296" t="s">
        <v>420</v>
      </c>
      <c r="D30" s="296" t="s">
        <v>421</v>
      </c>
      <c r="E30" s="296" t="s">
        <v>398</v>
      </c>
      <c r="F30" s="296" t="s">
        <v>399</v>
      </c>
      <c r="G30" s="296" t="s">
        <v>254</v>
      </c>
      <c r="H30" s="296" t="s">
        <v>422</v>
      </c>
      <c r="I30" s="296" t="s">
        <v>423</v>
      </c>
      <c r="J30" s="296" t="s">
        <v>398</v>
      </c>
      <c r="K30" s="261"/>
      <c r="L30" s="21" t="s">
        <v>764</v>
      </c>
      <c r="M30" s="21" t="s">
        <v>255</v>
      </c>
      <c r="N30" s="21" t="s">
        <v>267</v>
      </c>
      <c r="O30" s="21" t="s">
        <v>257</v>
      </c>
      <c r="P30" s="21" t="s">
        <v>826</v>
      </c>
      <c r="Q30" s="21" t="s">
        <v>258</v>
      </c>
      <c r="R30" s="21" t="s">
        <v>388</v>
      </c>
      <c r="S30" s="27" t="s">
        <v>268</v>
      </c>
      <c r="T30" s="21" t="s">
        <v>492</v>
      </c>
      <c r="U30" s="21" t="s">
        <v>259</v>
      </c>
      <c r="V30" s="21" t="s">
        <v>638</v>
      </c>
      <c r="W30" s="27" t="s">
        <v>260</v>
      </c>
      <c r="X30" s="27" t="s">
        <v>270</v>
      </c>
      <c r="Y30" s="27" t="s">
        <v>708</v>
      </c>
      <c r="Z30" s="21" t="s">
        <v>709</v>
      </c>
      <c r="AA30" s="21" t="s">
        <v>828</v>
      </c>
      <c r="AB30" s="27" t="s">
        <v>637</v>
      </c>
      <c r="AC30" s="31" t="s">
        <v>636</v>
      </c>
      <c r="AD30" s="31" t="s">
        <v>829</v>
      </c>
      <c r="AE30" s="261"/>
      <c r="AF30" s="21" t="s">
        <v>261</v>
      </c>
      <c r="AG30" s="21" t="s">
        <v>764</v>
      </c>
      <c r="AH30" s="21" t="s">
        <v>255</v>
      </c>
      <c r="AI30" s="21" t="s">
        <v>256</v>
      </c>
      <c r="AJ30" s="21" t="s">
        <v>262</v>
      </c>
      <c r="AK30" s="21" t="s">
        <v>263</v>
      </c>
      <c r="AL30" s="21" t="s">
        <v>264</v>
      </c>
      <c r="AM30" s="21" t="s">
        <v>265</v>
      </c>
      <c r="AN30" s="261"/>
      <c r="AO30" s="261"/>
      <c r="AP30" s="261"/>
      <c r="AQ30" s="261"/>
      <c r="AR30" s="260"/>
      <c r="AS30" s="260"/>
      <c r="AT30" s="260"/>
      <c r="AU30" s="260"/>
      <c r="AV30" s="260"/>
      <c r="AW30" s="260"/>
    </row>
    <row r="31" spans="1:49" ht="26.5" thickBot="1">
      <c r="A31" s="261"/>
      <c r="B31" s="231" t="s">
        <v>578</v>
      </c>
      <c r="C31" s="232">
        <f>SUMIFS(INDEX(Table716[],,MATCH($C$30,Table716[#Headers],0)),Table716[MainWaterHeatingFuel],B31)</f>
        <v>161123</v>
      </c>
      <c r="D31" s="232">
        <f>SUMIFS(INDEX(Table716[],,MATCH($D$30,Table716[#Headers],0)),Table716[MainWaterHeatingFuel],B31)</f>
        <v>146473</v>
      </c>
      <c r="E31" s="232">
        <f>SUMIFS(INDEX(Table716[],,MATCH($E$30,Table716[#Headers],0)),Table716[MainWaterHeatingFuel],B31)</f>
        <v>31</v>
      </c>
      <c r="F31" s="232">
        <f>SUMIFS(INDEX(Table716[],,MATCH($F$30,Table716[#Headers],0)),Table716[MainWaterHeatingFuel],B31)</f>
        <v>2749</v>
      </c>
      <c r="G31" s="232"/>
      <c r="H31" s="232">
        <f>SUMIFS(INDEX(Table716[],,MATCH($H$30,Table716[#Headers],0)),Table716[SupplWHFuelName],B31)</f>
        <v>0</v>
      </c>
      <c r="I31" s="232">
        <f>SUMIFS(INDEX(Table716[],,MATCH($I$30,Table716[#Headers],0)),Table716[SupplWHFuelName],B31)</f>
        <v>0</v>
      </c>
      <c r="J31" s="232">
        <f>SUMIFS(INDEX(Table716[],,MATCH($J$30,Table716[#Headers],0)),Table716[SupplWHFuelName],B31)</f>
        <v>0</v>
      </c>
      <c r="K31" s="261"/>
      <c r="L31" s="22" t="s">
        <v>771</v>
      </c>
      <c r="M31" s="22" t="s">
        <v>271</v>
      </c>
      <c r="N31" s="22" t="s">
        <v>272</v>
      </c>
      <c r="O31" s="22" t="s">
        <v>273</v>
      </c>
      <c r="P31" s="22" t="s">
        <v>827</v>
      </c>
      <c r="Q31" s="22" t="s">
        <v>274</v>
      </c>
      <c r="R31" s="22"/>
      <c r="S31" s="29" t="s">
        <v>275</v>
      </c>
      <c r="T31" s="22"/>
      <c r="U31" s="22" t="s">
        <v>391</v>
      </c>
      <c r="V31" s="22"/>
      <c r="W31" s="28"/>
      <c r="X31" s="28"/>
      <c r="Y31" s="28" t="s">
        <v>391</v>
      </c>
      <c r="Z31" s="22" t="s">
        <v>710</v>
      </c>
      <c r="AA31" s="22"/>
      <c r="AB31" s="28" t="s">
        <v>13</v>
      </c>
      <c r="AC31" s="212" t="s">
        <v>13</v>
      </c>
      <c r="AD31" s="212" t="s">
        <v>830</v>
      </c>
      <c r="AE31" s="261"/>
      <c r="AF31" s="407" t="s">
        <v>254</v>
      </c>
      <c r="AG31" s="407"/>
      <c r="AH31" s="407"/>
      <c r="AI31" s="408"/>
      <c r="AJ31" s="407"/>
      <c r="AK31" s="407"/>
      <c r="AL31" s="407"/>
      <c r="AM31" s="407"/>
      <c r="AN31" s="261"/>
      <c r="AO31" s="261"/>
      <c r="AP31" s="261"/>
      <c r="AQ31" s="261"/>
      <c r="AR31" s="260"/>
      <c r="AS31" s="260"/>
      <c r="AT31" s="260"/>
      <c r="AU31" s="260"/>
      <c r="AV31" s="260"/>
      <c r="AW31" s="260"/>
    </row>
    <row r="32" spans="1:49">
      <c r="A32" s="261"/>
      <c r="B32" s="230" t="s">
        <v>403</v>
      </c>
      <c r="C32" s="233">
        <f>SUMIFS(INDEX(Table716[],,MATCH($C$30,Table716[#Headers],0)),Table716[MainWaterHeatingFuel],B32)</f>
        <v>31546</v>
      </c>
      <c r="D32" s="233">
        <f>SUMIFS(INDEX(Table716[],,MATCH($D$30,Table716[#Headers],0)),Table716[MainWaterHeatingFuel],B32)</f>
        <v>11684</v>
      </c>
      <c r="E32" s="233">
        <f>SUMIFS(INDEX(Table716[],,MATCH($E$30,Table716[#Headers],0)),Table716[MainWaterHeatingFuel],B32)</f>
        <v>3</v>
      </c>
      <c r="F32" s="233">
        <f>SUMIFS(INDEX(Table716[],,MATCH($F$30,Table716[#Headers],0)),Table716[MainWaterHeatingFuel],B32)</f>
        <v>311</v>
      </c>
      <c r="G32" s="233"/>
      <c r="H32" s="233">
        <f>SUMIFS(INDEX(Table716[],,MATCH($H$30,Table716[#Headers],0)),Table716[SupplWHFuelName],B32)</f>
        <v>0</v>
      </c>
      <c r="I32" s="233">
        <f>SUMIFS(INDEX(Table716[],,MATCH($I$30,Table716[#Headers],0)),Table716[SupplWHFuelName],B32)</f>
        <v>0</v>
      </c>
      <c r="J32" s="233">
        <f>SUMIFS(INDEX(Table716[],,MATCH($J$30,Table716[#Headers],0)),Table716[SupplWHFuelName],B32)</f>
        <v>0</v>
      </c>
      <c r="K32" s="261"/>
      <c r="L32" s="24" t="s">
        <v>254</v>
      </c>
      <c r="M32" s="24" t="s">
        <v>254</v>
      </c>
      <c r="N32" s="24"/>
      <c r="O32" s="24"/>
      <c r="P32" s="24"/>
      <c r="Q32" s="24"/>
      <c r="R32" s="297">
        <f>SUM(R33:R51)</f>
        <v>1</v>
      </c>
      <c r="S32" s="24"/>
      <c r="T32" s="32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61"/>
      <c r="AF32" s="409" t="str">
        <f>"*"&amp; A31 &amp; " Rating"</f>
        <v>* Rating</v>
      </c>
      <c r="AG32" s="409"/>
      <c r="AH32" s="410"/>
      <c r="AI32" s="410"/>
      <c r="AJ32" s="410"/>
      <c r="AK32" s="410"/>
      <c r="AL32" s="410"/>
      <c r="AM32" s="410"/>
      <c r="AN32" s="261"/>
      <c r="AO32" s="261"/>
      <c r="AP32" s="261"/>
      <c r="AQ32" s="261"/>
      <c r="AR32" s="260"/>
      <c r="AS32" s="260"/>
      <c r="AT32" s="260"/>
      <c r="AU32" s="260"/>
      <c r="AV32" s="260"/>
    </row>
    <row r="33" spans="1:48">
      <c r="A33" s="261"/>
      <c r="B33" s="231" t="s">
        <v>404</v>
      </c>
      <c r="C33" s="232">
        <f>SUMIFS(INDEX(Table716[],,MATCH($C$30,Table716[#Headers],0)),Table716[MainWaterHeatingFuel],B33)</f>
        <v>8832</v>
      </c>
      <c r="D33" s="232">
        <f>SUMIFS(INDEX(Table716[],,MATCH($D$30,Table716[#Headers],0)),Table716[MainWaterHeatingFuel],B33)</f>
        <v>3271</v>
      </c>
      <c r="E33" s="232">
        <f>SUMIFS(INDEX(Table716[],,MATCH($E$30,Table716[#Headers],0)),Table716[MainWaterHeatingFuel],B33)</f>
        <v>1</v>
      </c>
      <c r="F33" s="232">
        <f>SUMIFS(INDEX(Table716[],,MATCH($F$30,Table716[#Headers],0)),Table716[MainWaterHeatingFuel],B33)</f>
        <v>117</v>
      </c>
      <c r="G33" s="232"/>
      <c r="H33" s="232">
        <f>SUMIFS(INDEX(Table716[],,MATCH($H$30,Table716[#Headers],0)),Table716[SupplWHFuelName],B33)</f>
        <v>0</v>
      </c>
      <c r="I33" s="232">
        <f>SUMIFS(INDEX(Table716[],,MATCH($I$30,Table716[#Headers],0)),Table716[SupplWHFuelName],B33)</f>
        <v>0</v>
      </c>
      <c r="J33" s="232">
        <f>SUMIFS(INDEX(Table716[],,MATCH($J$30,Table716[#Headers],0)),Table716[SupplWHFuelName],B33)</f>
        <v>0</v>
      </c>
      <c r="K33" s="261"/>
      <c r="L33" s="294" t="str">
        <f>_xlfn.TEXTJOIN(",",TRUE,IF(LEFT(Regions!$C$3,1)&lt;&gt;"*",Regions!$C$3,""),IF(LEFT(Regions!$D$3,1)&lt;&gt;"*",Regions!$D$3,""))</f>
        <v>IE,National</v>
      </c>
      <c r="M33" s="294" t="str">
        <f>LEFT(SETUP!B3,1)&amp;"-"&amp;RIGHT(COMM!$O$31,6)&amp;"_"&amp;RIGHT(O33,LEN(O33)-3)&amp;"_"&amp;SETUP!$B$64</f>
        <v>R-WH_Att_COA_X0</v>
      </c>
      <c r="N33" s="294" t="str">
        <f>COMM!$P$31&amp;" "&amp;COMM!F6&amp;" "&amp;SETUP!$C$64</f>
        <v>Residential Water Heating Attached Coal to Residential Existing 00</v>
      </c>
      <c r="O33" s="294" t="str">
        <f>COMM!$E$6</f>
        <v>RSDCOA</v>
      </c>
      <c r="P33" s="294"/>
      <c r="Q33" s="294" t="str">
        <f>COMM!$O$31</f>
        <v>RSDWH_Att</v>
      </c>
      <c r="R33" s="389">
        <f>(E31+E38+E40)/SUM($E$31:$E$49)-($R$51/7)</f>
        <v>1.4005877019013029E-2</v>
      </c>
      <c r="S33" s="390">
        <f>R33*DwellingStocks!$J$28/1000</f>
        <v>11.037537565348812</v>
      </c>
      <c r="T33" s="444">
        <f>IFERROR((S33*1000)/(E31+E38+E40),0)+1.0376</f>
        <v>2.7714261962533477</v>
      </c>
      <c r="U33" s="569">
        <f>U7</f>
        <v>0.55798087905732663</v>
      </c>
      <c r="V33" s="569">
        <f>IFERROR(AB33/S33/X33,0)</f>
        <v>0.1008177352074696</v>
      </c>
      <c r="W33" s="393">
        <v>20</v>
      </c>
      <c r="X33" s="391">
        <f t="shared" ref="X33:X40" si="6">31.536*(AD33/1000)</f>
        <v>0.15768000000000001</v>
      </c>
      <c r="Y33" s="393"/>
      <c r="Z33" s="393"/>
      <c r="AA33" s="393"/>
      <c r="AB33" s="394">
        <f>AC33*U33</f>
        <v>0.17546307780504811</v>
      </c>
      <c r="AC33" s="394">
        <f>IF(((D31+I31+D38+I38+D40+I40)*$B$2)&lt;=0.1,0,((D31+I31+D38+I38+D40+I40)*T33*$B$2))</f>
        <v>0.31446073582571837</v>
      </c>
      <c r="AD33" s="393">
        <v>5</v>
      </c>
      <c r="AE33" s="261"/>
      <c r="AF33" s="294" t="s">
        <v>266</v>
      </c>
      <c r="AG33" s="294" t="str">
        <f>_xlfn.TEXTJOIN(",",TRUE,IF(LEFT(Regions!$C$3,1)&lt;&gt;"*",Regions!$C$3,""),IF(LEFT(Regions!$D$3,1)&lt;&gt;"*",Regions!$D$3,""))</f>
        <v>IE,National</v>
      </c>
      <c r="AH33" s="294" t="str">
        <f t="shared" ref="AH33:AI38" si="7">M33</f>
        <v>R-WH_Att_COA_X0</v>
      </c>
      <c r="AI33" s="294" t="str">
        <f t="shared" si="7"/>
        <v>Residential Water Heating Attached Coal to Residential Existing 00</v>
      </c>
      <c r="AJ33" s="294" t="s">
        <v>13</v>
      </c>
      <c r="AK33" s="294" t="s">
        <v>275</v>
      </c>
      <c r="AL33" s="294"/>
      <c r="AM33" s="294"/>
      <c r="AN33" s="261"/>
      <c r="AO33" s="261"/>
      <c r="AP33" s="261"/>
      <c r="AQ33" s="261"/>
      <c r="AR33" s="260"/>
      <c r="AS33" s="260"/>
      <c r="AT33" s="260"/>
      <c r="AU33" s="260"/>
      <c r="AV33" s="260"/>
    </row>
    <row r="34" spans="1:48">
      <c r="A34" s="261"/>
      <c r="B34" s="230" t="s">
        <v>425</v>
      </c>
      <c r="C34" s="233">
        <f>SUMIFS(INDEX(Table716[],,MATCH($C$30,Table716[#Headers],0)),Table716[MainWaterHeatingFuel],B34)</f>
        <v>1652532</v>
      </c>
      <c r="D34" s="233">
        <f>SUMIFS(INDEX(Table716[],,MATCH($D$30,Table716[#Headers],0)),Table716[MainWaterHeatingFuel],B34)</f>
        <v>1502311</v>
      </c>
      <c r="E34" s="233">
        <f>SUMIFS(INDEX(Table716[],,MATCH($E$30,Table716[#Headers],0)),Table716[MainWaterHeatingFuel],B34)</f>
        <v>366</v>
      </c>
      <c r="F34" s="233">
        <f>SUMIFS(INDEX(Table716[],,MATCH($F$30,Table716[#Headers],0)),Table716[MainWaterHeatingFuel],B34)</f>
        <v>36518</v>
      </c>
      <c r="G34" s="233"/>
      <c r="H34" s="233">
        <f>SUMIFS(INDEX(Table716[],,MATCH($H$30,Table716[#Headers],0)),Table716[SupplWHFuelName],B34)</f>
        <v>0</v>
      </c>
      <c r="I34" s="233">
        <f>SUMIFS(INDEX(Table716[],,MATCH($I$30,Table716[#Headers],0)),Table716[SupplWHFuelName],B34)</f>
        <v>0</v>
      </c>
      <c r="J34" s="233">
        <f>SUMIFS(INDEX(Table716[],,MATCH($J$30,Table716[#Headers],0)),Table716[SupplWHFuelName],B34)</f>
        <v>0</v>
      </c>
      <c r="K34" s="261"/>
      <c r="L34" s="26" t="str">
        <f>_xlfn.TEXTJOIN(",",TRUE,IF(LEFT(Regions!$C$3,1)&lt;&gt;"*",Regions!$C$3,""),IF(LEFT(Regions!$D$3,1)&lt;&gt;"*",Regions!$D$3,""))</f>
        <v>IE,National</v>
      </c>
      <c r="M34" s="26" t="str">
        <f>LEFT(SETUP!B3,1)&amp;"-"&amp;RIGHT(COMM!$O$31,6)&amp;"_"&amp;RIGHT(O34,LEN(O34)-3)&amp;"_"&amp;SETUP!$B$64</f>
        <v>R-WH_Att_BDL_X0</v>
      </c>
      <c r="N34" s="395" t="str">
        <f>COMM!$P$31&amp;" "&amp;COMM!F21&amp;" "&amp;SETUP!$C$64</f>
        <v>Residential Water Heating Attached Biodiesel to Residential Existing 00</v>
      </c>
      <c r="O34" s="26" t="str">
        <f>COMM!$E$21</f>
        <v>RSDBDL</v>
      </c>
      <c r="P34" s="26"/>
      <c r="Q34" s="26" t="str">
        <f>COMM!$O$31</f>
        <v>RSDWH_Att</v>
      </c>
      <c r="R34" s="396">
        <f>E32/SUM($E$31:$E$49)</f>
        <v>7.2735383824620442E-6</v>
      </c>
      <c r="S34" s="397">
        <f>R34*DwellingStocks!$J$28/1000</f>
        <v>5.7320189960577399E-3</v>
      </c>
      <c r="T34" s="398">
        <f>IFERROR((S34*1000)/E32,0)</f>
        <v>1.9106729986859134</v>
      </c>
      <c r="U34" s="571">
        <f>U8</f>
        <v>1</v>
      </c>
      <c r="V34" s="569">
        <f t="shared" ref="V34:V36" si="8">IF(AB34/S34/X34=0,0.12,AB34/S34/X34)</f>
        <v>0.12</v>
      </c>
      <c r="W34" s="399">
        <v>20</v>
      </c>
      <c r="X34" s="567">
        <f t="shared" si="6"/>
        <v>0.15768000000000001</v>
      </c>
      <c r="Y34" s="399"/>
      <c r="Z34" s="399"/>
      <c r="AA34" s="399"/>
      <c r="AB34" s="400">
        <f>AC34*U34</f>
        <v>0</v>
      </c>
      <c r="AC34" s="401">
        <f>IF(((D32+I32)*$B$2)&lt;=0.1,0,((D32+I32)*T34*$B$2))</f>
        <v>0</v>
      </c>
      <c r="AD34" s="563">
        <v>5</v>
      </c>
      <c r="AE34" s="261"/>
      <c r="AF34" s="26" t="s">
        <v>266</v>
      </c>
      <c r="AG34" s="26" t="str">
        <f>_xlfn.TEXTJOIN(",",TRUE,IF(LEFT(Regions!$C$3,1)&lt;&gt;"*",Regions!$C$3,""),IF(LEFT(Regions!$D$3,1)&lt;&gt;"*",Regions!$D$3,""))</f>
        <v>IE,National</v>
      </c>
      <c r="AH34" s="26" t="str">
        <f t="shared" si="7"/>
        <v>R-WH_Att_BDL_X0</v>
      </c>
      <c r="AI34" s="26" t="str">
        <f t="shared" si="7"/>
        <v>Residential Water Heating Attached Biodiesel to Residential Existing 00</v>
      </c>
      <c r="AJ34" s="26" t="s">
        <v>13</v>
      </c>
      <c r="AK34" s="26" t="s">
        <v>275</v>
      </c>
      <c r="AL34" s="26"/>
      <c r="AM34" s="26"/>
      <c r="AN34" s="261"/>
      <c r="AO34" s="261"/>
      <c r="AP34" s="261"/>
      <c r="AQ34" s="261"/>
      <c r="AR34" s="260"/>
      <c r="AS34" s="260"/>
      <c r="AT34" s="260"/>
      <c r="AU34" s="260"/>
      <c r="AV34" s="260"/>
    </row>
    <row r="35" spans="1:48">
      <c r="A35" s="261"/>
      <c r="B35" s="231" t="s">
        <v>405</v>
      </c>
      <c r="C35" s="232">
        <f>SUMIFS(INDEX(Table716[],,MATCH($C$30,Table716[#Headers],0)),Table716[MainWaterHeatingFuel],B35)</f>
        <v>19057104</v>
      </c>
      <c r="D35" s="232">
        <f>SUMIFS(INDEX(Table716[],,MATCH($D$30,Table716[#Headers],0)),Table716[MainWaterHeatingFuel],B35)</f>
        <v>17324638</v>
      </c>
      <c r="E35" s="232">
        <f>SUMIFS(INDEX(Table716[],,MATCH($E$30,Table716[#Headers],0)),Table716[MainWaterHeatingFuel],B35)</f>
        <v>4324</v>
      </c>
      <c r="F35" s="232">
        <f>SUMIFS(INDEX(Table716[],,MATCH($F$30,Table716[#Headers],0)),Table716[MainWaterHeatingFuel],B35)</f>
        <v>461966</v>
      </c>
      <c r="G35" s="232"/>
      <c r="H35" s="232">
        <f>SUMIFS(INDEX(Table716[],,MATCH($H$30,Table716[#Headers],0)),Table716[SupplWHFuelName],B35)</f>
        <v>0</v>
      </c>
      <c r="I35" s="232">
        <f>SUMIFS(INDEX(Table716[],,MATCH($I$30,Table716[#Headers],0)),Table716[SupplWHFuelName],B35)</f>
        <v>0</v>
      </c>
      <c r="J35" s="232">
        <f>SUMIFS(INDEX(Table716[],,MATCH($J$30,Table716[#Headers],0)),Table716[SupplWHFuelName],B35)</f>
        <v>0</v>
      </c>
      <c r="K35" s="261"/>
      <c r="L35" s="294" t="str">
        <f>_xlfn.TEXTJOIN(",",TRUE,IF(LEFT(Regions!$C$3,1)&lt;&gt;"*",Regions!$C$3,""),IF(LEFT(Regions!$D$3,1)&lt;&gt;"*",Regions!$D$3,""))</f>
        <v>IE,National</v>
      </c>
      <c r="M35" s="294" t="str">
        <f>LEFT(SETUP!B3,1)&amp;"-"&amp;RIGHT(COMM!$O$31,6)&amp;"_"&amp;RIGHT(O35,LEN(O35)-3)&amp;"_"&amp;SETUP!$B$64</f>
        <v>R-WH_Att_ETH_X0</v>
      </c>
      <c r="N35" s="294" t="str">
        <f>COMM!$P$31&amp;" "&amp;COMM!F20&amp;" "&amp;SETUP!$C$64</f>
        <v>Residential Water Heating Attached Ethanol to Residential Existing 00</v>
      </c>
      <c r="O35" s="294" t="str">
        <f>COMM!$E$20</f>
        <v>RSDETH</v>
      </c>
      <c r="P35" s="294"/>
      <c r="Q35" s="294" t="str">
        <f>COMM!$O$31</f>
        <v>RSDWH_Att</v>
      </c>
      <c r="R35" s="389">
        <f>E33/SUM($E$31:$E$49)</f>
        <v>2.4245127941540146E-6</v>
      </c>
      <c r="S35" s="390">
        <f>R35*DwellingStocks!$J$28/1000</f>
        <v>1.9106729986859135E-3</v>
      </c>
      <c r="T35" s="391">
        <f>IFERROR((S35*1000)/E33,0)</f>
        <v>1.9106729986859134</v>
      </c>
      <c r="U35" s="572">
        <v>0.9</v>
      </c>
      <c r="V35" s="569">
        <f t="shared" si="8"/>
        <v>0.12</v>
      </c>
      <c r="W35" s="393">
        <v>20</v>
      </c>
      <c r="X35" s="391">
        <f t="shared" si="6"/>
        <v>0.15768000000000001</v>
      </c>
      <c r="Y35" s="393"/>
      <c r="Z35" s="393"/>
      <c r="AA35" s="393"/>
      <c r="AB35" s="394">
        <f>IFERROR(AC35*U35,0)</f>
        <v>0</v>
      </c>
      <c r="AC35" s="394">
        <f>IF(((D33+I33)*$B$2)&lt;=0.1,0,((D33+I33)*T35*$B$2))</f>
        <v>0</v>
      </c>
      <c r="AD35" s="393">
        <v>5</v>
      </c>
      <c r="AE35" s="261"/>
      <c r="AF35" s="294" t="s">
        <v>266</v>
      </c>
      <c r="AG35" s="294" t="str">
        <f>_xlfn.TEXTJOIN(",",TRUE,IF(LEFT(Regions!$C$3,1)&lt;&gt;"*",Regions!$C$3,""),IF(LEFT(Regions!$D$3,1)&lt;&gt;"*",Regions!$D$3,""))</f>
        <v>IE,National</v>
      </c>
      <c r="AH35" s="294" t="str">
        <f t="shared" si="7"/>
        <v>R-WH_Att_ETH_X0</v>
      </c>
      <c r="AI35" s="294" t="str">
        <f t="shared" si="7"/>
        <v>Residential Water Heating Attached Ethanol to Residential Existing 00</v>
      </c>
      <c r="AJ35" s="294" t="s">
        <v>13</v>
      </c>
      <c r="AK35" s="294" t="s">
        <v>275</v>
      </c>
      <c r="AL35" s="294"/>
      <c r="AM35" s="294"/>
      <c r="AN35" s="261"/>
      <c r="AO35" s="261"/>
      <c r="AP35" s="261"/>
      <c r="AQ35" s="261"/>
      <c r="AR35" s="260"/>
      <c r="AS35" s="260"/>
      <c r="AT35" s="260"/>
      <c r="AU35" s="260"/>
      <c r="AV35" s="260"/>
    </row>
    <row r="36" spans="1:48">
      <c r="A36" s="388" t="s">
        <v>652</v>
      </c>
      <c r="B36" s="230" t="s">
        <v>137</v>
      </c>
      <c r="C36" s="233">
        <f>SUMIFS(INDEX(Table716[],,MATCH($C$30,Table716[#Headers],0)),Table716[MainWaterHeatingFuel],B36, Table716[Avg. HSMainSystemEfficiency],"&gt;100")</f>
        <v>113551638</v>
      </c>
      <c r="D36" s="233">
        <f>SUMIFS(INDEX(Table716[],,MATCH($D$30,Table716[#Headers],0)),Table716[MainWaterHeatingFuel],B36,Table716[Avg. HSMainSystemEfficiency],"&gt;100")</f>
        <v>42056165</v>
      </c>
      <c r="E36" s="233">
        <f>SUMIFS(INDEX(Table716[],,MATCH($E$30,Table716[#Headers],0)),Table716[MainWaterHeatingFuel],B36,Table716[Avg. HSMainSystemEfficiency],"&gt;100")</f>
        <v>21695</v>
      </c>
      <c r="F36" s="233">
        <f>SUMIFS(INDEX(Table716[],,MATCH($F$30,Table716[#Headers],0)),Table716[MainWaterHeatingFuel],B36,Table716[Avg. HSMainSystemEfficiency],"&gt;100")</f>
        <v>2344371</v>
      </c>
      <c r="G36" s="233"/>
      <c r="H36" s="233">
        <f>SUMIFS(INDEX(Table716[],,MATCH($H$30,Table716[#Headers],0)),Table716[SupplWHFuelName],B36,Table716[Avg. HSMainSystemEfficiency],"&gt;100")</f>
        <v>680955</v>
      </c>
      <c r="I36" s="233">
        <f>SUMIFS(INDEX(Table716[],,MATCH($I$30,Table716[#Headers],0)),Table716[SupplWHFuelName],B36,Table716[Avg. HSMainSystemEfficiency],"&gt;100")</f>
        <v>252205</v>
      </c>
      <c r="J36" s="233">
        <f>SUMIFS(INDEX(Table716[],,MATCH($J$30,Table716[#Headers],0)),Table716[SupplWHFuelName],B36,Table716[Avg. HSMainSystemEfficiency],"&gt;100")</f>
        <v>831</v>
      </c>
      <c r="K36" s="261"/>
      <c r="L36" s="26" t="str">
        <f>_xlfn.TEXTJOIN(",",TRUE,IF(LEFT(Regions!$C$3,1)&lt;&gt;"*",Regions!$C$3,""),IF(LEFT(Regions!$D$3,1)&lt;&gt;"*",Regions!$D$3,""))</f>
        <v>IE,National</v>
      </c>
      <c r="M36" s="26" t="str">
        <f>LEFT(SETUP!B3,1)&amp;"-"&amp;RIGHT(COMM!$O$31,6)&amp;"_"&amp;RIGHT(O36,LEN(O36)-3)&amp;"_"&amp;SETUP!$B$64</f>
        <v>R-WH_Att_LPG_X0</v>
      </c>
      <c r="N36" s="395" t="str">
        <f>COMM!$P$31&amp;" "&amp;COMM!F8&amp;" "&amp;SETUP!$C$64</f>
        <v>Residential Water Heating Attached LPG to Residential Existing 00</v>
      </c>
      <c r="O36" s="26" t="str">
        <f>COMM!$E$8</f>
        <v>RSDLPG</v>
      </c>
      <c r="P36" s="26"/>
      <c r="Q36" s="26" t="str">
        <f>COMM!$O$31</f>
        <v>RSDWH_Att</v>
      </c>
      <c r="R36" s="396">
        <f>(E34+E35)/SUM($E$31:$E$49)-($R$51/7)</f>
        <v>9.9423935760109012E-3</v>
      </c>
      <c r="S36" s="397">
        <f>(R36)*DwellingStocks!$J$28/1000</f>
        <v>7.8352496195512211</v>
      </c>
      <c r="T36" s="398">
        <f>IFERROR((S36*1000)/(E34+E35),0)+0.5284</f>
        <v>2.1990289167486612</v>
      </c>
      <c r="U36" s="571">
        <f>U10</f>
        <v>0.8070757743362833</v>
      </c>
      <c r="V36" s="569">
        <f t="shared" si="8"/>
        <v>0.12</v>
      </c>
      <c r="W36" s="399">
        <v>20</v>
      </c>
      <c r="X36" s="567">
        <f t="shared" si="6"/>
        <v>0.15768000000000001</v>
      </c>
      <c r="Y36" s="399"/>
      <c r="Z36" s="399"/>
      <c r="AA36" s="399"/>
      <c r="AB36" s="400">
        <f>AC36*U36</f>
        <v>0</v>
      </c>
      <c r="AC36" s="401">
        <f>IF(((D34+I34+D35+I35)*$B$2)&lt;=0.1,0,((D34+I34+D35+I35)*T36*$B$2))</f>
        <v>0</v>
      </c>
      <c r="AD36" s="563">
        <v>5</v>
      </c>
      <c r="AE36" s="261"/>
      <c r="AF36" s="26" t="s">
        <v>266</v>
      </c>
      <c r="AG36" s="26" t="str">
        <f>_xlfn.TEXTJOIN(",",TRUE,IF(LEFT(Regions!$C$3,1)&lt;&gt;"*",Regions!$C$3,""),IF(LEFT(Regions!$D$3,1)&lt;&gt;"*",Regions!$D$3,""))</f>
        <v>IE,National</v>
      </c>
      <c r="AH36" s="26" t="str">
        <f t="shared" si="7"/>
        <v>R-WH_Att_LPG_X0</v>
      </c>
      <c r="AI36" s="26" t="str">
        <f t="shared" si="7"/>
        <v>Residential Water Heating Attached LPG to Residential Existing 00</v>
      </c>
      <c r="AJ36" s="26" t="s">
        <v>13</v>
      </c>
      <c r="AK36" s="26" t="s">
        <v>275</v>
      </c>
      <c r="AL36" s="26"/>
      <c r="AM36" s="26"/>
      <c r="AN36" s="261"/>
      <c r="AO36" s="261"/>
      <c r="AP36" s="261"/>
      <c r="AQ36" s="261"/>
    </row>
    <row r="37" spans="1:48">
      <c r="A37" s="261"/>
      <c r="B37" s="231" t="s">
        <v>406</v>
      </c>
      <c r="C37" s="232">
        <f>SUMIFS(INDEX(Table716[],,MATCH($C$30,Table716[#Headers],0)),Table716[MainWaterHeatingFuel],B37)</f>
        <v>558654644</v>
      </c>
      <c r="D37" s="232">
        <f>SUMIFS(INDEX(Table716[],,MATCH($D$30,Table716[#Headers],0)),Table716[MainWaterHeatingFuel],B37)</f>
        <v>507867863</v>
      </c>
      <c r="E37" s="232">
        <f>SUMIFS(INDEX(Table716[],,MATCH($E$30,Table716[#Headers],0)),Table716[MainWaterHeatingFuel],B37)</f>
        <v>123576</v>
      </c>
      <c r="F37" s="232">
        <f>SUMIFS(INDEX(Table716[],,MATCH($F$30,Table716[#Headers],0)),Table716[MainWaterHeatingFuel],B37)</f>
        <v>12313842</v>
      </c>
      <c r="G37" s="232"/>
      <c r="H37" s="232">
        <f>SUMIFS(INDEX(Table716[],,MATCH($H$30,Table716[#Headers],0)),Table716[SupplWHFuelName],B37)</f>
        <v>0</v>
      </c>
      <c r="I37" s="232">
        <f>SUMIFS(INDEX(Table716[],,MATCH($I$30,Table716[#Headers],0)),Table716[SupplWHFuelName],B37)</f>
        <v>0</v>
      </c>
      <c r="J37" s="232">
        <f>SUMIFS(INDEX(Table716[],,MATCH($J$30,Table716[#Headers],0)),Table716[SupplWHFuelName],B37)</f>
        <v>0</v>
      </c>
      <c r="K37" s="261"/>
      <c r="L37" s="294" t="str">
        <f>_xlfn.TEXTJOIN(",",TRUE,IF(LEFT(Regions!$C$3,1)&lt;&gt;"*",Regions!$C$3,""),IF(LEFT(Regions!$D$3,1)&lt;&gt;"*",Regions!$D$3,""))</f>
        <v>IE,National</v>
      </c>
      <c r="M37" s="294" t="str">
        <f>LEFT(SETUP!B3,1)&amp;"-"&amp;RIGHT(COMM!$O$31,6)&amp;"_"&amp;RIGHT(O38,LEN(O38)-3)&amp;"_"&amp;SETUP!$B$64</f>
        <v>R-WH_Att_ELC_X0</v>
      </c>
      <c r="N37" s="294" t="str">
        <f>COMM!$P$31&amp;" "&amp;COMM!F24&amp;" "&amp;SETUP!$C$64</f>
        <v>Residential Water Heating Attached Electricity to Residential Existing 00</v>
      </c>
      <c r="O37" s="294" t="str">
        <f>COMM!$E$24</f>
        <v>RSDELC</v>
      </c>
      <c r="P37" s="294"/>
      <c r="Q37" s="294" t="str">
        <f>COMM!$O$31</f>
        <v>RSDWH_Att</v>
      </c>
      <c r="R37" s="389">
        <f>(ArchetypeDemand!Y51*SUM(E36+E49))/SUM($E$31:$E$49)-($R$51/7)</f>
        <v>5.2846571981360342E-2</v>
      </c>
      <c r="S37" s="390">
        <f>R37*DwellingStocks!$J$28/1000</f>
        <v>41.646519004297147</v>
      </c>
      <c r="T37" s="391">
        <f>IFERROR((S37*1000)/E49,0)-0.67619</f>
        <v>2.5914850886070728</v>
      </c>
      <c r="U37" s="569">
        <f>U11</f>
        <v>1</v>
      </c>
      <c r="V37" s="569">
        <f t="shared" ref="V37:V42" si="9">AB37/S37/X37</f>
        <v>6.207793636382708E-2</v>
      </c>
      <c r="W37" s="393">
        <v>20</v>
      </c>
      <c r="X37" s="391">
        <f t="shared" si="6"/>
        <v>0.15768000000000001</v>
      </c>
      <c r="Y37" s="393"/>
      <c r="Z37" s="393"/>
      <c r="AA37" s="393"/>
      <c r="AB37" s="394">
        <f>AC37*U37</f>
        <v>0.40765482754465288</v>
      </c>
      <c r="AC37" s="394">
        <f>IF(((D49+I49)*$B$2)&lt;=0.1,0,((D49+I49)*T37*$B$2))</f>
        <v>0.40765482754465288</v>
      </c>
      <c r="AD37" s="393">
        <v>5</v>
      </c>
      <c r="AE37" s="261"/>
      <c r="AF37" s="294" t="s">
        <v>266</v>
      </c>
      <c r="AG37" s="294" t="str">
        <f>_xlfn.TEXTJOIN(",",TRUE,IF(LEFT(Regions!$C$3,1)&lt;&gt;"*",Regions!$C$3,""),IF(LEFT(Regions!$D$3,1)&lt;&gt;"*",Regions!$D$3,""))</f>
        <v>IE,National</v>
      </c>
      <c r="AH37" s="294" t="str">
        <f t="shared" si="7"/>
        <v>R-WH_Att_ELC_X0</v>
      </c>
      <c r="AI37" s="294" t="str">
        <f t="shared" si="7"/>
        <v>Residential Water Heating Attached Electricity to Residential Existing 00</v>
      </c>
      <c r="AJ37" s="294" t="s">
        <v>13</v>
      </c>
      <c r="AK37" s="294" t="s">
        <v>275</v>
      </c>
      <c r="AL37" s="294"/>
      <c r="AM37" s="294"/>
      <c r="AN37" s="261"/>
      <c r="AO37" s="261"/>
      <c r="AP37" s="261"/>
      <c r="AQ37" s="261"/>
    </row>
    <row r="38" spans="1:48">
      <c r="A38" s="261"/>
      <c r="B38" s="230" t="s">
        <v>427</v>
      </c>
      <c r="C38" s="233">
        <f>SUMIFS(INDEX(Table716[],,MATCH($C$30,Table716[#Headers],0)),Table716[MainWaterHeatingFuel],B38)</f>
        <v>11562703</v>
      </c>
      <c r="D38" s="233">
        <f>SUMIFS(INDEX(Table716[],,MATCH($D$30,Table716[#Headers],0)),Table716[MainWaterHeatingFuel],B38)</f>
        <v>10511547</v>
      </c>
      <c r="E38" s="233">
        <f>SUMIFS(INDEX(Table716[],,MATCH($E$30,Table716[#Headers],0)),Table716[MainWaterHeatingFuel],B38)</f>
        <v>2067</v>
      </c>
      <c r="F38" s="233">
        <f>SUMIFS(INDEX(Table716[],,MATCH($F$30,Table716[#Headers],0)),Table716[MainWaterHeatingFuel],B38)</f>
        <v>160920</v>
      </c>
      <c r="G38" s="233"/>
      <c r="H38" s="233">
        <f>SUMIFS(INDEX(Table716[],,MATCH($H$30,Table716[#Headers],0)),Table716[SupplWHFuelName],B38)</f>
        <v>0</v>
      </c>
      <c r="I38" s="233">
        <f>SUMIFS(INDEX(Table716[],,MATCH($I$30,Table716[#Headers],0)),Table716[SupplWHFuelName],B38)</f>
        <v>0</v>
      </c>
      <c r="J38" s="233">
        <f>SUMIFS(INDEX(Table716[],,MATCH($J$30,Table716[#Headers],0)),Table716[SupplWHFuelName],B38)</f>
        <v>0</v>
      </c>
      <c r="K38" s="261"/>
      <c r="L38" s="26" t="str">
        <f>_xlfn.TEXTJOIN(",",TRUE,IF(LEFT(Regions!$C$3,1)&lt;&gt;"*",Regions!$C$3,""),IF(LEFT(Regions!$D$3,1)&lt;&gt;"*",Regions!$D$3,""))</f>
        <v>IE,National</v>
      </c>
      <c r="M38" s="26" t="str">
        <f>LEFT(SETUP!B3,1)&amp;"-"&amp;RIGHT(COMM!$O$31,6)&amp;"_"&amp;RIGHT(O38,LEN(O38)-3)&amp;"_"&amp;SETUP!$B$65</f>
        <v>R-WH_Att_ELC_X1</v>
      </c>
      <c r="N38" s="395" t="str">
        <f>COMM!$P$31&amp;" "&amp;COMM!F24&amp;" "&amp;SETUP!$C$65</f>
        <v>Residential Water Heating Attached Electricity to Residential Existing 01</v>
      </c>
      <c r="O38" s="26" t="str">
        <f>COMM!$E$24</f>
        <v>RSDELC</v>
      </c>
      <c r="P38" s="26"/>
      <c r="Q38" s="26" t="str">
        <f>COMM!$O$31</f>
        <v>RSDWH_Att</v>
      </c>
      <c r="R38" s="396">
        <f>(ArchetypeDemand!Z51*SUM(E36+E49))/SUM($E$31:$E$49)-($R$51/7)</f>
        <v>2.7796505792161065E-2</v>
      </c>
      <c r="S38" s="397">
        <f>R38*DwellingStocks!$J$28/1000</f>
        <v>21.905445581874286</v>
      </c>
      <c r="T38" s="398">
        <f>IFERROR((S38*1000)/E36,0)+0.392</f>
        <v>1.4017001881481579</v>
      </c>
      <c r="U38" s="571">
        <f>U12</f>
        <v>3.1157627118644071</v>
      </c>
      <c r="V38" s="571">
        <f t="shared" si="9"/>
        <v>0.66299984214582264</v>
      </c>
      <c r="W38" s="399">
        <v>20</v>
      </c>
      <c r="X38" s="567">
        <f t="shared" si="6"/>
        <v>4.7304000000000006E-2</v>
      </c>
      <c r="Y38" s="399"/>
      <c r="Z38" s="399"/>
      <c r="AA38" s="399"/>
      <c r="AB38" s="400">
        <f>AC38*U38</f>
        <v>0.68701051257380508</v>
      </c>
      <c r="AC38" s="401">
        <f>IF(((D49+I49)*$B$2)&lt;=0.1,0,((D49+I49)*T38*$B$2))</f>
        <v>0.22049513268701787</v>
      </c>
      <c r="AD38" s="615">
        <v>1.5</v>
      </c>
      <c r="AE38" s="261"/>
      <c r="AF38" s="26" t="s">
        <v>266</v>
      </c>
      <c r="AG38" s="26" t="str">
        <f>_xlfn.TEXTJOIN(",",TRUE,IF(LEFT(Regions!$C$3,1)&lt;&gt;"*",Regions!$C$3,""),IF(LEFT(Regions!$D$3,1)&lt;&gt;"*",Regions!$D$3,""))</f>
        <v>IE,National</v>
      </c>
      <c r="AH38" s="26" t="str">
        <f t="shared" si="7"/>
        <v>R-WH_Att_ELC_X1</v>
      </c>
      <c r="AI38" s="26" t="str">
        <f t="shared" si="7"/>
        <v>Residential Water Heating Attached Electricity to Residential Existing 01</v>
      </c>
      <c r="AJ38" s="26" t="s">
        <v>13</v>
      </c>
      <c r="AK38" s="26" t="s">
        <v>275</v>
      </c>
      <c r="AL38" s="26"/>
      <c r="AM38" s="26"/>
      <c r="AN38" s="261"/>
      <c r="AO38" s="261"/>
      <c r="AP38" s="261"/>
      <c r="AQ38" s="261"/>
    </row>
    <row r="39" spans="1:48">
      <c r="A39" s="261"/>
      <c r="B39" s="231" t="s">
        <v>407</v>
      </c>
      <c r="C39" s="232">
        <f>SUMIFS(INDEX(Table716[],,MATCH($C$30,Table716[#Headers],0)),Table716[MainWaterHeatingFuel],B39)</f>
        <v>1014309163</v>
      </c>
      <c r="D39" s="232">
        <f>SUMIFS(INDEX(Table716[],,MATCH($D$30,Table716[#Headers],0)),Table716[MainWaterHeatingFuel],B39)</f>
        <v>922099233</v>
      </c>
      <c r="E39" s="232">
        <f>SUMIFS(INDEX(Table716[],,MATCH($E$30,Table716[#Headers],0)),Table716[MainWaterHeatingFuel],B39)</f>
        <v>224556</v>
      </c>
      <c r="F39" s="232">
        <f>SUMIFS(INDEX(Table716[],,MATCH($F$30,Table716[#Headers],0)),Table716[MainWaterHeatingFuel],B39)</f>
        <v>22790108</v>
      </c>
      <c r="G39" s="232"/>
      <c r="H39" s="232">
        <f>SUMIFS(INDEX(Table716[],,MATCH($H$30,Table716[#Headers],0)),Table716[SupplWHFuelName],B39)</f>
        <v>0</v>
      </c>
      <c r="I39" s="232">
        <f>SUMIFS(INDEX(Table716[],,MATCH($I$30,Table716[#Headers],0)),Table716[SupplWHFuelName],B39)</f>
        <v>0</v>
      </c>
      <c r="J39" s="232">
        <f>SUMIFS(INDEX(Table716[],,MATCH($J$30,Table716[#Headers],0)),Table716[SupplWHFuelName],B39)</f>
        <v>0</v>
      </c>
      <c r="K39" s="261"/>
      <c r="L39" s="26" t="str">
        <f>_xlfn.TEXTJOIN(",",TRUE,IF(LEFT(Regions!$C$3,1)&lt;&gt;"*",Regions!$C$3,""),IF(LEFT(Regions!$D$3,1)&lt;&gt;"*",Regions!$D$3,""))</f>
        <v>IE,National</v>
      </c>
      <c r="M39" s="26"/>
      <c r="N39" s="395"/>
      <c r="O39" s="26"/>
      <c r="P39" s="26" t="s">
        <v>842</v>
      </c>
      <c r="Q39" s="26"/>
      <c r="R39" s="396"/>
      <c r="S39" s="397"/>
      <c r="T39" s="398"/>
      <c r="U39" s="571"/>
      <c r="V39" s="571"/>
      <c r="W39" s="399"/>
      <c r="X39" s="567"/>
      <c r="Y39" s="399"/>
      <c r="Z39" s="399"/>
      <c r="AA39" s="399">
        <f>AC39/AB38</f>
        <v>0.22840408850780652</v>
      </c>
      <c r="AB39" s="400"/>
      <c r="AC39" s="401">
        <f>RSD_Balance!J22</f>
        <v>0.15691600991970089</v>
      </c>
      <c r="AD39" s="615">
        <v>3.5</v>
      </c>
      <c r="AE39" s="261"/>
      <c r="AF39" s="294" t="s">
        <v>266</v>
      </c>
      <c r="AG39" s="294" t="str">
        <f>_xlfn.TEXTJOIN(",",TRUE,IF(LEFT(Regions!$C$3,1)&lt;&gt;"*",Regions!$C$3,""),IF(LEFT(Regions!$D$3,1)&lt;&gt;"*",Regions!$D$3,""))</f>
        <v>IE,National</v>
      </c>
      <c r="AH39" s="294" t="str">
        <f>M40</f>
        <v>R-WH_Att_KER_X0</v>
      </c>
      <c r="AI39" s="294" t="str">
        <f>N40</f>
        <v>Residential Water Heating Attached Kerosene to Residential Existing 00</v>
      </c>
      <c r="AJ39" s="294" t="s">
        <v>13</v>
      </c>
      <c r="AK39" s="294" t="s">
        <v>275</v>
      </c>
      <c r="AL39" s="294"/>
      <c r="AM39" s="294"/>
      <c r="AN39" s="261"/>
      <c r="AO39" s="261"/>
      <c r="AP39" s="261"/>
      <c r="AQ39" s="261"/>
    </row>
    <row r="40" spans="1:48">
      <c r="A40" s="261"/>
      <c r="B40" s="230" t="s">
        <v>579</v>
      </c>
      <c r="C40" s="233">
        <f>SUMIFS(INDEX(Table716[],,MATCH($C$30,Table716[#Headers],0)),Table716[MainWaterHeatingFuel],B40)</f>
        <v>25032139</v>
      </c>
      <c r="D40" s="233">
        <f>SUMIFS(INDEX(Table716[],,MATCH($D$30,Table716[#Headers],0)),Table716[MainWaterHeatingFuel],B40)</f>
        <v>20860122</v>
      </c>
      <c r="E40" s="233">
        <f>SUMIFS(INDEX(Table716[],,MATCH($E$30,Table716[#Headers],0)),Table716[MainWaterHeatingFuel],B40)</f>
        <v>4268</v>
      </c>
      <c r="F40" s="233">
        <f>SUMIFS(INDEX(Table716[],,MATCH($F$30,Table716[#Headers],0)),Table716[MainWaterHeatingFuel],B40)</f>
        <v>344526</v>
      </c>
      <c r="G40" s="233"/>
      <c r="H40" s="233">
        <f>SUMIFS(INDEX(Table716[],,MATCH($H$30,Table716[#Headers],0)),Table716[SupplWHFuelName],B40)</f>
        <v>0</v>
      </c>
      <c r="I40" s="233">
        <f>SUMIFS(INDEX(Table716[],,MATCH($I$30,Table716[#Headers],0)),Table716[SupplWHFuelName],B40)</f>
        <v>0</v>
      </c>
      <c r="J40" s="233">
        <f>SUMIFS(INDEX(Table716[],,MATCH($J$30,Table716[#Headers],0)),Table716[SupplWHFuelName],B40)</f>
        <v>0</v>
      </c>
      <c r="K40" s="261"/>
      <c r="L40" s="294" t="str">
        <f>_xlfn.TEXTJOIN(",",TRUE,IF(LEFT(Regions!$C$3,1)&lt;&gt;"*",Regions!$C$3,""),IF(LEFT(Regions!$D$3,1)&lt;&gt;"*",Regions!$D$3,""))</f>
        <v>IE,National</v>
      </c>
      <c r="M40" s="294" t="str">
        <f>LEFT(SETUP!B3,1)&amp;"-"&amp;RIGHT(COMM!$O$31,6)&amp;"_"&amp;RIGHT(O40,LEN(O40)-3)&amp;"_"&amp;SETUP!$B$64</f>
        <v>R-WH_Att_KER_X0</v>
      </c>
      <c r="N40" s="294" t="str">
        <f>COMM!$P$31&amp;" "&amp;COMM!F10&amp;" "&amp;SETUP!$C$64</f>
        <v>Residential Water Heating Attached Kerosene to Residential Existing 00</v>
      </c>
      <c r="O40" s="294" t="str">
        <f>COMM!$E$10</f>
        <v>RSDKER</v>
      </c>
      <c r="P40" s="294"/>
      <c r="Q40" s="294" t="str">
        <f>COMM!$O$31</f>
        <v>RSDWH_Att</v>
      </c>
      <c r="R40" s="389">
        <f>E37/SUM($E$31:$E$49)-($R$51/7)</f>
        <v>0.2981830216218051</v>
      </c>
      <c r="S40" s="390">
        <f>R40*DwellingStocks!$J$28/1000</f>
        <v>234.98751974132475</v>
      </c>
      <c r="T40" s="444">
        <f>IFERROR((S40*1000)/E37,0)-0.1727</f>
        <v>1.7288627609028024</v>
      </c>
      <c r="U40" s="569">
        <f>U14</f>
        <v>0.81941558441558437</v>
      </c>
      <c r="V40" s="569">
        <f t="shared" si="9"/>
        <v>6.990312058817566E-2</v>
      </c>
      <c r="W40" s="393">
        <v>20</v>
      </c>
      <c r="X40" s="391">
        <f t="shared" si="6"/>
        <v>0.15768000000000001</v>
      </c>
      <c r="Y40" s="393"/>
      <c r="Z40" s="393"/>
      <c r="AA40" s="393"/>
      <c r="AB40" s="394">
        <f>AC40*U40</f>
        <v>2.5901085913153308</v>
      </c>
      <c r="AC40" s="394">
        <f>IF(((D37+I37)*$B$2)&lt;=0.1,0,((D37+I37)*T40*$B$2))</f>
        <v>3.1609218088799507</v>
      </c>
      <c r="AD40" s="393">
        <v>5</v>
      </c>
      <c r="AE40" s="261"/>
      <c r="AF40" s="405" t="s">
        <v>254</v>
      </c>
      <c r="AG40" s="405"/>
      <c r="AH40" s="402"/>
      <c r="AI40" s="402"/>
      <c r="AJ40" s="402"/>
      <c r="AK40" s="402"/>
      <c r="AL40" s="402"/>
      <c r="AM40" s="402"/>
      <c r="AN40" s="261"/>
      <c r="AO40" s="261"/>
      <c r="AP40" s="261"/>
      <c r="AQ40" s="261"/>
    </row>
    <row r="41" spans="1:48">
      <c r="A41" s="261"/>
      <c r="B41" s="231" t="s">
        <v>428</v>
      </c>
      <c r="C41" s="232">
        <f>SUMIFS(INDEX(Table716[],,MATCH($C$30,Table716[#Headers],0)),Table716[MainWaterHeatingFuel],B41)</f>
        <v>881165</v>
      </c>
      <c r="D41" s="232">
        <f>SUMIFS(INDEX(Table716[],,MATCH($D$30,Table716[#Headers],0)),Table716[MainWaterHeatingFuel],B41)</f>
        <v>801060</v>
      </c>
      <c r="E41" s="232">
        <f>SUMIFS(INDEX(Table716[],,MATCH($E$30,Table716[#Headers],0)),Table716[MainWaterHeatingFuel],B41)</f>
        <v>151</v>
      </c>
      <c r="F41" s="232">
        <f>SUMIFS(INDEX(Table716[],,MATCH($F$30,Table716[#Headers],0)),Table716[MainWaterHeatingFuel],B41)</f>
        <v>11873</v>
      </c>
      <c r="G41" s="232"/>
      <c r="H41" s="232">
        <f>SUMIFS(INDEX(Table716[],,MATCH($H$30,Table716[#Headers],0)),Table716[SupplWHFuelName],B41)</f>
        <v>0</v>
      </c>
      <c r="I41" s="232">
        <f>SUMIFS(INDEX(Table716[],,MATCH($I$30,Table716[#Headers],0)),Table716[SupplWHFuelName],B41)</f>
        <v>0</v>
      </c>
      <c r="J41" s="232">
        <f>SUMIFS(INDEX(Table716[],,MATCH($J$30,Table716[#Headers],0)),Table716[SupplWHFuelName],B41)</f>
        <v>0</v>
      </c>
      <c r="K41" s="261"/>
      <c r="L41" s="405" t="s">
        <v>254</v>
      </c>
      <c r="M41" s="405" t="s">
        <v>254</v>
      </c>
      <c r="N41" s="402"/>
      <c r="O41" s="402"/>
      <c r="P41" s="402"/>
      <c r="Q41" s="402"/>
      <c r="R41" s="403"/>
      <c r="S41" s="404"/>
      <c r="T41" s="402"/>
      <c r="U41" s="573"/>
      <c r="V41" s="573"/>
      <c r="W41" s="402"/>
      <c r="X41" s="564"/>
      <c r="Y41" s="402"/>
      <c r="Z41" s="402"/>
      <c r="AA41" s="402"/>
      <c r="AB41" s="402"/>
      <c r="AC41" s="402"/>
      <c r="AD41" s="565"/>
      <c r="AE41" s="261"/>
      <c r="AF41" s="294" t="s">
        <v>266</v>
      </c>
      <c r="AG41" s="294" t="str">
        <f>_xlfn.TEXTJOIN(",",TRUE,IF(LEFT(Regions!$C$3,1)&lt;&gt;"*",Regions!$C$3,""),IF(LEFT(Regions!$D$3,1)&lt;&gt;"*",Regions!$D$3,""))</f>
        <v>IE,National</v>
      </c>
      <c r="AH41" s="294" t="str">
        <f>M42</f>
        <v>R-WH_Att_GAS_X0</v>
      </c>
      <c r="AI41" s="294" t="str">
        <f>N42</f>
        <v>Residential Water Heating Attached Natural Gas to Residential Existing 00</v>
      </c>
      <c r="AJ41" s="294" t="s">
        <v>13</v>
      </c>
      <c r="AK41" s="406" t="s">
        <v>275</v>
      </c>
      <c r="AL41" s="406"/>
      <c r="AM41" s="406"/>
      <c r="AN41" s="261"/>
      <c r="AO41" s="261"/>
      <c r="AP41" s="261"/>
      <c r="AQ41" s="261"/>
    </row>
    <row r="42" spans="1:48">
      <c r="A42" s="261"/>
      <c r="B42" s="230" t="s">
        <v>431</v>
      </c>
      <c r="C42" s="233">
        <f>SUMIFS(INDEX(Table716[],,MATCH($C$30,Table716[#Headers],0)),Table716[MainWaterHeatingFuel],B42)</f>
        <v>2977604</v>
      </c>
      <c r="D42" s="233">
        <f>SUMIFS(INDEX(Table716[],,MATCH($D$30,Table716[#Headers],0)),Table716[MainWaterHeatingFuel],B42)</f>
        <v>2706915</v>
      </c>
      <c r="E42" s="233">
        <f>SUMIFS(INDEX(Table716[],,MATCH($E$30,Table716[#Headers],0)),Table716[MainWaterHeatingFuel],B42)</f>
        <v>489</v>
      </c>
      <c r="F42" s="233">
        <f>SUMIFS(INDEX(Table716[],,MATCH($F$30,Table716[#Headers],0)),Table716[MainWaterHeatingFuel],B42)</f>
        <v>40556</v>
      </c>
      <c r="G42" s="233"/>
      <c r="H42" s="233">
        <f>SUMIFS(INDEX(Table716[],,MATCH($H$30,Table716[#Headers],0)),Table716[SupplWHFuelName],B42)</f>
        <v>0</v>
      </c>
      <c r="I42" s="233">
        <f>SUMIFS(INDEX(Table716[],,MATCH($I$30,Table716[#Headers],0)),Table716[SupplWHFuelName],B42)</f>
        <v>0</v>
      </c>
      <c r="J42" s="233">
        <f>SUMIFS(INDEX(Table716[],,MATCH($J$30,Table716[#Headers],0)),Table716[SupplWHFuelName],B42)</f>
        <v>0</v>
      </c>
      <c r="K42" s="261"/>
      <c r="L42" s="294" t="str">
        <f>_xlfn.TEXTJOIN(",",TRUE,IF(LEFT(Regions!$C$3,1)&lt;&gt;"*",Regions!$C$3,""),IF(LEFT(Regions!$D$3,1)&lt;&gt;"*",Regions!$D$3,""))</f>
        <v>IE,National</v>
      </c>
      <c r="M42" s="294" t="str">
        <f>LEFT(SETUP!B3,1)&amp;"-"&amp;RIGHT(COMM!$O$31,6)&amp;"_"&amp;MID(O42,4,3)&amp;"_"&amp;SETUP!$B$64</f>
        <v>R-WH_Att_GAS_X0</v>
      </c>
      <c r="N42" s="294" t="str">
        <f>COMM!$P$31&amp;" "&amp;COMM!F14&amp;" "&amp;SETUP!$C$64</f>
        <v>Residential Water Heating Attached Natural Gas to Residential Existing 00</v>
      </c>
      <c r="O42" s="294" t="str">
        <f>COMM!$E$14</f>
        <v>RSDGAS</v>
      </c>
      <c r="P42" s="294"/>
      <c r="Q42" s="294" t="str">
        <f>COMM!$O$31</f>
        <v>RSDWH_Att</v>
      </c>
      <c r="R42" s="389">
        <f>E39/SUM($E$31:$E$49)-($R$51/7)</f>
        <v>0.54301032357547752</v>
      </c>
      <c r="S42" s="390">
        <f>R42*DwellingStocks!$J$28/1000</f>
        <v>427.92727914862832</v>
      </c>
      <c r="T42" s="444">
        <f>IFERROR((S42*1000)/E39,0)-0.66693</f>
        <v>1.2387295198909327</v>
      </c>
      <c r="U42" s="569">
        <f>U16</f>
        <v>0.81729411764705884</v>
      </c>
      <c r="V42" s="569">
        <f t="shared" si="9"/>
        <v>4.9806776874505576E-2</v>
      </c>
      <c r="W42" s="393">
        <v>20</v>
      </c>
      <c r="X42" s="391">
        <f t="shared" ref="X42" si="10">31.536*(AD42/1000)</f>
        <v>0.15768000000000001</v>
      </c>
      <c r="Y42" s="393"/>
      <c r="Z42" s="393"/>
      <c r="AA42" s="393"/>
      <c r="AB42" s="394">
        <f>AC42*U42</f>
        <v>3.3607408276255168</v>
      </c>
      <c r="AC42" s="394">
        <f>IF(((D39+I39)*$B$2)&lt;=0.1,0,((D39+I39)*T42*$B$2))</f>
        <v>4.1120335446691945</v>
      </c>
      <c r="AD42" s="393">
        <v>5</v>
      </c>
      <c r="AE42" s="261"/>
      <c r="AF42" s="405" t="s">
        <v>254</v>
      </c>
      <c r="AG42" s="405"/>
      <c r="AH42" s="402"/>
      <c r="AI42" s="402"/>
      <c r="AJ42" s="402"/>
      <c r="AK42" s="402"/>
      <c r="AL42" s="402"/>
      <c r="AM42" s="402"/>
      <c r="AN42" s="261"/>
      <c r="AO42" s="261"/>
      <c r="AP42" s="261"/>
      <c r="AQ42" s="261"/>
    </row>
    <row r="43" spans="1:48">
      <c r="A43" s="261"/>
      <c r="B43" s="231" t="s">
        <v>426</v>
      </c>
      <c r="C43" s="232">
        <f>SUMIFS(INDEX(Table716[],,MATCH($C$30,Table716[#Headers],0)),Table716[MainWaterHeatingFuel],B43)</f>
        <v>89988880</v>
      </c>
      <c r="D43" s="232">
        <f>SUMIFS(INDEX(Table716[],,MATCH($D$30,Table716[#Headers],0)),Table716[MainWaterHeatingFuel],B43)</f>
        <v>81808067</v>
      </c>
      <c r="E43" s="232">
        <f>SUMIFS(INDEX(Table716[],,MATCH($E$30,Table716[#Headers],0)),Table716[MainWaterHeatingFuel],B43)</f>
        <v>16680</v>
      </c>
      <c r="F43" s="232">
        <f>SUMIFS(INDEX(Table716[],,MATCH($F$30,Table716[#Headers],0)),Table716[MainWaterHeatingFuel],B43)</f>
        <v>1291391</v>
      </c>
      <c r="G43" s="232"/>
      <c r="H43" s="232">
        <f>SUMIFS(INDEX(Table716[],,MATCH($H$30,Table716[#Headers],0)),Table716[SupplWHFuelName],B43)</f>
        <v>0</v>
      </c>
      <c r="I43" s="232">
        <f>SUMIFS(INDEX(Table716[],,MATCH($I$30,Table716[#Headers],0)),Table716[SupplWHFuelName],B43)</f>
        <v>0</v>
      </c>
      <c r="J43" s="232">
        <f>SUMIFS(INDEX(Table716[],,MATCH($J$30,Table716[#Headers],0)),Table716[SupplWHFuelName],B43)</f>
        <v>0</v>
      </c>
      <c r="K43" s="261"/>
      <c r="L43" s="405" t="s">
        <v>254</v>
      </c>
      <c r="M43" s="405" t="s">
        <v>254</v>
      </c>
      <c r="N43" s="402"/>
      <c r="O43" s="402"/>
      <c r="P43" s="402"/>
      <c r="Q43" s="402"/>
      <c r="R43" s="403"/>
      <c r="S43" s="404"/>
      <c r="T43" s="402"/>
      <c r="U43" s="573"/>
      <c r="V43" s="573"/>
      <c r="W43" s="402"/>
      <c r="X43" s="564"/>
      <c r="Y43" s="402"/>
      <c r="Z43" s="402"/>
      <c r="AA43" s="402"/>
      <c r="AB43" s="402"/>
      <c r="AC43" s="402"/>
      <c r="AD43" s="565"/>
      <c r="AE43" s="261"/>
      <c r="AF43" s="294" t="s">
        <v>266</v>
      </c>
      <c r="AG43" s="294" t="str">
        <f>_xlfn.TEXTJOIN(",",TRUE,IF(LEFT(Regions!$C$3,1)&lt;&gt;"*",Regions!$C$3,""),IF(LEFT(Regions!$D$3,1)&lt;&gt;"*",Regions!$D$3,""))</f>
        <v>IE,National</v>
      </c>
      <c r="AH43" s="294" t="str">
        <f>M44</f>
        <v>R-WH_Att_PEA_X0</v>
      </c>
      <c r="AI43" s="294" t="str">
        <f>N44</f>
        <v>Residential Water Heating Attached Peat to Residential Existing 00</v>
      </c>
      <c r="AJ43" s="294" t="s">
        <v>13</v>
      </c>
      <c r="AK43" s="406" t="s">
        <v>275</v>
      </c>
      <c r="AL43" s="406"/>
      <c r="AM43" s="406"/>
      <c r="AN43" s="261"/>
      <c r="AO43" s="261"/>
      <c r="AP43" s="261"/>
      <c r="AQ43" s="261"/>
    </row>
    <row r="44" spans="1:48">
      <c r="A44" s="261"/>
      <c r="B44" s="230" t="s">
        <v>481</v>
      </c>
      <c r="C44" s="233">
        <f>SUMIFS(INDEX(Table716[],,MATCH($C$30,Table716[#Headers],0)),Table716[MainWaterHeatingFuel],B44)</f>
        <v>84308</v>
      </c>
      <c r="D44" s="233">
        <f>SUMIFS(INDEX(Table716[],,MATCH($D$30,Table716[#Headers],0)),Table716[MainWaterHeatingFuel],B44)</f>
        <v>76646</v>
      </c>
      <c r="E44" s="233">
        <f>SUMIFS(INDEX(Table716[],,MATCH($E$30,Table716[#Headers],0)),Table716[MainWaterHeatingFuel],B44)</f>
        <v>17</v>
      </c>
      <c r="F44" s="233">
        <f>SUMIFS(INDEX(Table716[],,MATCH($F$30,Table716[#Headers],0)),Table716[MainWaterHeatingFuel],B44)</f>
        <v>1306</v>
      </c>
      <c r="G44" s="233"/>
      <c r="H44" s="233">
        <f>SUMIFS(INDEX(Table716[],,MATCH($H$30,Table716[#Headers],0)),Table716[SupplWHFuelName],B44)</f>
        <v>0</v>
      </c>
      <c r="I44" s="233">
        <f>SUMIFS(INDEX(Table716[],,MATCH($I$30,Table716[#Headers],0)),Table716[SupplWHFuelName],B44)</f>
        <v>0</v>
      </c>
      <c r="J44" s="233">
        <f>SUMIFS(INDEX(Table716[],,MATCH($J$30,Table716[#Headers],0)),Table716[SupplWHFuelName],B44)</f>
        <v>0</v>
      </c>
      <c r="K44" s="261"/>
      <c r="L44" s="294" t="str">
        <f>_xlfn.TEXTJOIN(",",TRUE,IF(LEFT(Regions!$C$3,1)&lt;&gt;"*",Regions!$C$3,""),IF(LEFT(Regions!$D$3,1)&lt;&gt;"*",Regions!$D$3,""))</f>
        <v>IE,National</v>
      </c>
      <c r="M44" s="294" t="str">
        <f>LEFT(SETUP!B3,1)&amp;"-"&amp;RIGHT(COMM!$O$31,6)&amp;"_"&amp;RIGHT(O44,LEN(O44)-3)&amp;"_"&amp;SETUP!$B$64</f>
        <v>R-WH_Att_PEA_X0</v>
      </c>
      <c r="N44" s="294" t="str">
        <f>COMM!$P$31&amp;" "&amp;COMM!F7&amp;" "&amp;SETUP!$C$64</f>
        <v>Residential Water Heating Attached Peat to Residential Existing 00</v>
      </c>
      <c r="O44" s="294" t="str">
        <f>COMM!$E$7</f>
        <v>RSDPEA</v>
      </c>
      <c r="P44" s="294"/>
      <c r="Q44" s="294" t="str">
        <f>COMM!$O$31</f>
        <v>RSDWH_Att</v>
      </c>
      <c r="R44" s="389">
        <f>(E41+E42)/SUM($E$31:$E$49)</f>
        <v>1.5516881882585694E-3</v>
      </c>
      <c r="S44" s="390">
        <f>R44*DwellingStocks!$J$28/1000</f>
        <v>1.2228307191589847</v>
      </c>
      <c r="T44" s="391">
        <f>(S44*1000)/(E42+E41)</f>
        <v>1.9106729986859137</v>
      </c>
      <c r="U44" s="569">
        <f>U18</f>
        <v>0.5509294871794872</v>
      </c>
      <c r="V44" s="569">
        <f t="shared" ref="V44" si="11">IF(AB44/S44/X44=0,0.12,AB44/S44/X44)</f>
        <v>0.12</v>
      </c>
      <c r="W44" s="393">
        <v>20</v>
      </c>
      <c r="X44" s="391">
        <f>31.536*(AD44/1000)</f>
        <v>0.15768000000000001</v>
      </c>
      <c r="Y44" s="393"/>
      <c r="Z44" s="393"/>
      <c r="AA44" s="393"/>
      <c r="AB44" s="394">
        <f>AC44*U44</f>
        <v>0</v>
      </c>
      <c r="AC44" s="394">
        <f>IF(((D41+I41+D42+I42)*$B$2)&lt;=0.1,0,((D41+I41+D42+I42)*T44*$B$2))</f>
        <v>0</v>
      </c>
      <c r="AD44" s="393">
        <v>5</v>
      </c>
      <c r="AE44" s="261"/>
      <c r="AF44" s="405" t="s">
        <v>254</v>
      </c>
      <c r="AG44" s="405"/>
      <c r="AH44" s="402"/>
      <c r="AI44" s="402"/>
      <c r="AJ44" s="402"/>
      <c r="AK44" s="402"/>
      <c r="AL44" s="402"/>
      <c r="AM44" s="402"/>
      <c r="AN44" s="261"/>
      <c r="AO44" s="261"/>
      <c r="AP44" s="261"/>
      <c r="AQ44" s="261"/>
    </row>
    <row r="45" spans="1:48">
      <c r="A45" s="261"/>
      <c r="B45" s="231" t="s">
        <v>433</v>
      </c>
      <c r="C45" s="232">
        <f>SUMIFS(INDEX(Table716[],,MATCH($C$30,Table716[#Headers],0)),Table716[MainWaterHeatingFuel],B45)</f>
        <v>814511</v>
      </c>
      <c r="D45" s="232">
        <f>SUMIFS(INDEX(Table716[],,MATCH($D$30,Table716[#Headers],0)),Table716[MainWaterHeatingFuel],B45)</f>
        <v>740463</v>
      </c>
      <c r="E45" s="232">
        <f>SUMIFS(INDEX(Table716[],,MATCH($E$30,Table716[#Headers],0)),Table716[MainWaterHeatingFuel],B45)</f>
        <v>169</v>
      </c>
      <c r="F45" s="232">
        <f>SUMIFS(INDEX(Table716[],,MATCH($F$30,Table716[#Headers],0)),Table716[MainWaterHeatingFuel],B45)</f>
        <v>13903</v>
      </c>
      <c r="G45" s="232"/>
      <c r="H45" s="232">
        <f>SUMIFS(INDEX(Table716[],,MATCH($H$30,Table716[#Headers],0)),Table716[SupplWHFuelName],B45)</f>
        <v>0</v>
      </c>
      <c r="I45" s="232">
        <f>SUMIFS(INDEX(Table716[],,MATCH($I$30,Table716[#Headers],0)),Table716[SupplWHFuelName],B45)</f>
        <v>0</v>
      </c>
      <c r="J45" s="232">
        <f>SUMIFS(INDEX(Table716[],,MATCH($J$30,Table716[#Headers],0)),Table716[SupplWHFuelName],B45)</f>
        <v>0</v>
      </c>
      <c r="K45" s="261"/>
      <c r="L45" s="405" t="s">
        <v>254</v>
      </c>
      <c r="M45" s="405" t="s">
        <v>254</v>
      </c>
      <c r="N45" s="402"/>
      <c r="O45" s="402"/>
      <c r="P45" s="402"/>
      <c r="Q45" s="402"/>
      <c r="R45" s="403"/>
      <c r="S45" s="404"/>
      <c r="T45" s="402"/>
      <c r="U45" s="573"/>
      <c r="V45" s="573"/>
      <c r="W45" s="402"/>
      <c r="X45" s="564"/>
      <c r="Y45" s="402"/>
      <c r="Z45" s="402"/>
      <c r="AA45" s="402"/>
      <c r="AB45" s="402"/>
      <c r="AC45" s="402"/>
      <c r="AD45" s="565"/>
      <c r="AE45" s="261"/>
      <c r="AF45" s="294" t="s">
        <v>266</v>
      </c>
      <c r="AG45" s="294" t="str">
        <f>_xlfn.TEXTJOIN(",",TRUE,IF(LEFT(Regions!$C$3,1)&lt;&gt;"*",Regions!$C$3,""),IF(LEFT(Regions!$D$3,1)&lt;&gt;"*",Regions!$D$3,""))</f>
        <v>IE,National</v>
      </c>
      <c r="AH45" s="294" t="str">
        <f>M46</f>
        <v>R-WH_Att_SMF_X0</v>
      </c>
      <c r="AI45" s="294" t="str">
        <f>N46</f>
        <v>Residential Water Heating Attached Solid Multi-Fuel Existing 00</v>
      </c>
      <c r="AJ45" s="294" t="s">
        <v>13</v>
      </c>
      <c r="AK45" s="406" t="s">
        <v>275</v>
      </c>
      <c r="AL45" s="406"/>
      <c r="AM45" s="406"/>
      <c r="AN45" s="261"/>
      <c r="AO45" s="261"/>
      <c r="AP45" s="261"/>
      <c r="AQ45" s="261"/>
    </row>
    <row r="46" spans="1:48">
      <c r="A46" s="261"/>
      <c r="B46" s="230" t="s">
        <v>408</v>
      </c>
      <c r="C46" s="233">
        <f>SUMIFS(INDEX(Table716[],,MATCH($C$30,Table716[#Headers],0)),Table716[MainWaterHeatingFuel],B46)</f>
        <v>838352</v>
      </c>
      <c r="D46" s="233">
        <f>SUMIFS(INDEX(Table716[],,MATCH($D$30,Table716[#Headers],0)),Table716[MainWaterHeatingFuel],B46)</f>
        <v>762134</v>
      </c>
      <c r="E46" s="233">
        <f>SUMIFS(INDEX(Table716[],,MATCH($E$30,Table716[#Headers],0)),Table716[MainWaterHeatingFuel],B46)</f>
        <v>226</v>
      </c>
      <c r="F46" s="233">
        <f>SUMIFS(INDEX(Table716[],,MATCH($F$30,Table716[#Headers],0)),Table716[MainWaterHeatingFuel],B46)</f>
        <v>22662</v>
      </c>
      <c r="G46" s="233"/>
      <c r="H46" s="233">
        <f>SUMIFS(INDEX(Table716[],,MATCH($H$30,Table716[#Headers],0)),Table716[SupplWHFuelName],B46)</f>
        <v>0</v>
      </c>
      <c r="I46" s="233">
        <f>SUMIFS(INDEX(Table716[],,MATCH($I$30,Table716[#Headers],0)),Table716[SupplWHFuelName],B46)</f>
        <v>0</v>
      </c>
      <c r="J46" s="233">
        <f>SUMIFS(INDEX(Table716[],,MATCH($J$30,Table716[#Headers],0)),Table716[SupplWHFuelName],B46)</f>
        <v>0</v>
      </c>
      <c r="K46" s="261"/>
      <c r="L46" s="26" t="str">
        <f>_xlfn.TEXTJOIN(",",TRUE,IF(LEFT(Regions!$C$3,1)&lt;&gt;"*",Regions!$C$3,""),IF(LEFT(Regions!$D$3,1)&lt;&gt;"*",Regions!$D$3,""))</f>
        <v>IE,National</v>
      </c>
      <c r="M46" s="26" t="str">
        <f>LEFT(SETUP!B3,1)&amp;"-"&amp;RIGHT(COMM!$O$31,6)&amp;"_"&amp;RIGHT(COMM!E23,LEN(COMM!E23)-3)&amp;"_"&amp;SETUP!B64</f>
        <v>R-WH_Att_SMF_X0</v>
      </c>
      <c r="N46" s="26" t="str">
        <f>COMM!P31&amp;" "&amp;COMM!F23&amp;" "&amp;SETUP!C64</f>
        <v>Residential Water Heating Attached Solid Multi-Fuel Existing 00</v>
      </c>
      <c r="O46" s="26" t="str">
        <f>COMM!E6</f>
        <v>RSDCOA</v>
      </c>
      <c r="P46" s="26"/>
      <c r="Q46" s="26" t="str">
        <f>COMM!$O$31</f>
        <v>RSDWH_Att</v>
      </c>
      <c r="R46" s="396">
        <f>E43/SUM($E$31:$E$49)-($R$51/7)</f>
        <v>3.9012301977917531E-2</v>
      </c>
      <c r="S46" s="397">
        <f>R46*DwellingStocks!$J$28/1000</f>
        <v>30.744218873795319</v>
      </c>
      <c r="T46" s="398">
        <f>(S46*1000)/E43-0.19617</f>
        <v>1.6470085895560742</v>
      </c>
      <c r="U46" s="570">
        <f>U20</f>
        <v>0.57113772455089817</v>
      </c>
      <c r="V46" s="571">
        <f>SUM(AB46:AB48)/S46/X46</f>
        <v>5.7147241043066219E-2</v>
      </c>
      <c r="W46" s="399">
        <v>20</v>
      </c>
      <c r="X46" s="567">
        <f t="shared" ref="X46" si="12">31.536*(AD46/1000)</f>
        <v>0.15768000000000001</v>
      </c>
      <c r="Y46" s="515">
        <f>RSD_Balance!$H$2</f>
        <v>0.19400000000000001</v>
      </c>
      <c r="Z46" s="399">
        <v>5</v>
      </c>
      <c r="AA46" s="399"/>
      <c r="AB46" s="400">
        <f>AC46*$U$46</f>
        <v>5.3744876943194402E-2</v>
      </c>
      <c r="AC46" s="401">
        <f>IF(((D43+I43)*$B$2)&lt;=0.1,0,((D43+I43)*T46*$B$2))*Y46</f>
        <v>9.4101430588314799E-2</v>
      </c>
      <c r="AD46" s="563">
        <v>5</v>
      </c>
      <c r="AE46" s="261"/>
      <c r="AF46" s="26" t="s">
        <v>266</v>
      </c>
      <c r="AG46" s="26" t="str">
        <f>_xlfn.TEXTJOIN(",",TRUE,IF(LEFT(Regions!$C$3,1)&lt;&gt;"*",Regions!$C$3,""),IF(LEFT(Regions!$D$3,1)&lt;&gt;"*",Regions!$D$3,""))</f>
        <v>IE,National</v>
      </c>
      <c r="AH46" s="26" t="str">
        <f>M49</f>
        <v>R-WH_Att_WOO_X0</v>
      </c>
      <c r="AI46" s="26" t="str">
        <f>N49</f>
        <v>Residential Water Heating Attached Biomass to Residential Existing 00</v>
      </c>
      <c r="AJ46" s="26" t="s">
        <v>13</v>
      </c>
      <c r="AK46" s="26" t="s">
        <v>275</v>
      </c>
      <c r="AL46" s="26"/>
      <c r="AM46" s="26"/>
      <c r="AN46" s="261"/>
      <c r="AO46" s="261"/>
      <c r="AP46" s="261"/>
      <c r="AQ46" s="261"/>
    </row>
    <row r="47" spans="1:48">
      <c r="A47" s="261"/>
      <c r="B47" s="231" t="s">
        <v>429</v>
      </c>
      <c r="C47" s="232">
        <f>SUMIFS(INDEX(Table716[],,MATCH($C$30,Table716[#Headers],0)),Table716[MainWaterHeatingFuel],B47)</f>
        <v>277363</v>
      </c>
      <c r="D47" s="232">
        <f>SUMIFS(INDEX(Table716[],,MATCH($D$30,Table716[#Headers],0)),Table716[MainWaterHeatingFuel],B47)</f>
        <v>252147</v>
      </c>
      <c r="E47" s="232">
        <f>SUMIFS(INDEX(Table716[],,MATCH($E$30,Table716[#Headers],0)),Table716[MainWaterHeatingFuel],B47)</f>
        <v>73</v>
      </c>
      <c r="F47" s="232">
        <f>SUMIFS(INDEX(Table716[],,MATCH($F$30,Table716[#Headers],0)),Table716[MainWaterHeatingFuel],B47)</f>
        <v>6874</v>
      </c>
      <c r="G47" s="232"/>
      <c r="H47" s="232">
        <f>SUMIFS(INDEX(Table716[],,MATCH($H$30,Table716[#Headers],0)),Table716[SupplWHFuelName],B47)</f>
        <v>0</v>
      </c>
      <c r="I47" s="232">
        <f>SUMIFS(INDEX(Table716[],,MATCH($I$30,Table716[#Headers],0)),Table716[SupplWHFuelName],B47)</f>
        <v>0</v>
      </c>
      <c r="J47" s="232">
        <f>SUMIFS(INDEX(Table716[],,MATCH($J$30,Table716[#Headers],0)),Table716[SupplWHFuelName],B47)</f>
        <v>0</v>
      </c>
      <c r="K47" s="261"/>
      <c r="L47" s="294" t="str">
        <f>_xlfn.TEXTJOIN(",",TRUE,IF(LEFT(Regions!$C$3,1)&lt;&gt;"*",Regions!$C$3,""),IF(LEFT(Regions!$D$3,1)&lt;&gt;"*",Regions!$D$3,""))</f>
        <v>IE,National</v>
      </c>
      <c r="M47" s="294"/>
      <c r="N47" s="294"/>
      <c r="O47" s="294" t="str">
        <f>COMM!E7</f>
        <v>RSDPEA</v>
      </c>
      <c r="P47" s="294"/>
      <c r="Q47" s="294"/>
      <c r="R47" s="389"/>
      <c r="S47" s="390"/>
      <c r="T47" s="391"/>
      <c r="U47" s="572"/>
      <c r="V47" s="569"/>
      <c r="W47" s="393"/>
      <c r="X47" s="391"/>
      <c r="Y47" s="516">
        <f>RSD_Balance!$H$3</f>
        <v>0.74399999999999999</v>
      </c>
      <c r="Z47" s="393">
        <v>5</v>
      </c>
      <c r="AA47" s="393"/>
      <c r="AB47" s="394">
        <f>AC47*$U$46</f>
        <v>0.20611437343163214</v>
      </c>
      <c r="AC47" s="394">
        <f>IF(((D43+I43)*$B$2)&lt;=0.1,0,((D43+I43)*T46*$B$2))*Y47</f>
        <v>0.36088383689539283</v>
      </c>
      <c r="AD47" s="393">
        <v>5</v>
      </c>
      <c r="AE47" s="261"/>
      <c r="AF47" s="294" t="s">
        <v>266</v>
      </c>
      <c r="AG47" s="294" t="str">
        <f>_xlfn.TEXTJOIN(",",TRUE,IF(LEFT(Regions!$C$3,1)&lt;&gt;"*",Regions!$C$3,""),IF(LEFT(Regions!$D$3,1)&lt;&gt;"*",Regions!$D$3,""))</f>
        <v>IE,National</v>
      </c>
      <c r="AH47" s="294" t="str">
        <f>M50</f>
        <v>R-WH_Att_HET_X0</v>
      </c>
      <c r="AI47" s="294" t="str">
        <f>N50</f>
        <v>Residential Water Heating Attached Heat to Residential Existing 00</v>
      </c>
      <c r="AJ47" s="294" t="s">
        <v>13</v>
      </c>
      <c r="AK47" s="406" t="s">
        <v>275</v>
      </c>
      <c r="AL47" s="406"/>
      <c r="AM47" s="406"/>
      <c r="AN47" s="261"/>
      <c r="AO47" s="261"/>
      <c r="AP47" s="261"/>
      <c r="AQ47" s="261"/>
    </row>
    <row r="48" spans="1:48">
      <c r="A48" s="261"/>
      <c r="B48" s="230" t="s">
        <v>566</v>
      </c>
      <c r="C48" s="233">
        <f>AVERAGE(C31:C47)*($E$48/SUM($E$31:$E$47))</f>
        <v>276073.58832780248</v>
      </c>
      <c r="D48" s="233">
        <f>AVERAGE(D31:D47)*($E$24/SUM($E$7:$E$23))</f>
        <v>240003.71268617816</v>
      </c>
      <c r="E48" s="233">
        <f>SUMIFS(INDEX(Table716[],,MATCH($E$30,Table716[#Headers],0)),Table716[MainWaterHeatingFuel],"")</f>
        <v>1017</v>
      </c>
      <c r="F48" s="233">
        <f>SUMIFS(INDEX(Table716[],,MATCH($F$30,Table716[#Headers],0)),Table716[MainWaterHeatingFuel],"")</f>
        <v>83393</v>
      </c>
      <c r="G48" s="233"/>
      <c r="H48" s="233">
        <f>SUMIFS(INDEX(Table716[],,MATCH($H$30,Table716[#Headers],0)),Table716[SupplWHFuelName],B48)</f>
        <v>314841</v>
      </c>
      <c r="I48" s="233">
        <f>SUMIFS(INDEX(Table716[],,MATCH($I$30,Table716[#Headers],0)),Table716[SupplWHFuelName],B48)</f>
        <v>116606</v>
      </c>
      <c r="J48" s="233">
        <f>SUMIFS(INDEX(Table716[],,MATCH($J$30,Table716[#Headers],0)),Table716[SupplWHFuelName],B48)</f>
        <v>234218</v>
      </c>
      <c r="K48" s="261"/>
      <c r="L48" s="26" t="str">
        <f>_xlfn.TEXTJOIN(",",TRUE,IF(LEFT(Regions!$C$3,1)&lt;&gt;"*",Regions!$C$3,""),IF(LEFT(Regions!$D$3,1)&lt;&gt;"*",Regions!$D$3,""))</f>
        <v>IE,National</v>
      </c>
      <c r="M48" s="26"/>
      <c r="N48" s="26"/>
      <c r="O48" s="26" t="str">
        <f>COMM!E16</f>
        <v>RSDWOO</v>
      </c>
      <c r="P48" s="26"/>
      <c r="Q48" s="26"/>
      <c r="R48" s="396"/>
      <c r="S48" s="397"/>
      <c r="T48" s="398"/>
      <c r="U48" s="570"/>
      <c r="V48" s="571"/>
      <c r="W48" s="399"/>
      <c r="X48" s="567"/>
      <c r="Y48" s="515">
        <f>RSD_Balance!$H$4</f>
        <v>6.2E-2</v>
      </c>
      <c r="Z48" s="399">
        <v>5</v>
      </c>
      <c r="AA48" s="399"/>
      <c r="AB48" s="400">
        <f t="shared" ref="AB48" si="13">AC48*$U$46</f>
        <v>1.7176197785969346E-2</v>
      </c>
      <c r="AC48" s="401">
        <f>IF(((D43+I43)*$B$2)&lt;=0.1,0,((D43+I43)*T46*$B$2))*Y48</f>
        <v>3.0073653074616069E-2</v>
      </c>
      <c r="AD48" s="563">
        <v>5</v>
      </c>
      <c r="AE48" s="261"/>
      <c r="AF48" s="26" t="s">
        <v>266</v>
      </c>
      <c r="AG48" s="26" t="str">
        <f>_xlfn.TEXTJOIN(",",TRUE,IF(LEFT(Regions!$C$3,1)&lt;&gt;"*",Regions!$C$3,""),IF(LEFT(Regions!$D$3,1)&lt;&gt;"*",Regions!$D$3,""))</f>
        <v>IE,National</v>
      </c>
      <c r="AH48" s="26" t="str">
        <f t="shared" ref="AH48" si="14">M51</f>
        <v>R-WH_Att_SOL_X0</v>
      </c>
      <c r="AI48" s="26" t="str">
        <f t="shared" ref="AI48" si="15">N51</f>
        <v>Residential Water Heating Attached Solar Thermal to Residential Existing 00</v>
      </c>
      <c r="AJ48" s="26" t="s">
        <v>13</v>
      </c>
      <c r="AK48" s="26" t="s">
        <v>275</v>
      </c>
      <c r="AL48" s="26"/>
      <c r="AM48" s="26"/>
      <c r="AN48" s="261"/>
      <c r="AO48" s="261"/>
      <c r="AP48" s="261"/>
      <c r="AQ48" s="261"/>
    </row>
    <row r="49" spans="1:43">
      <c r="A49" s="387" t="s">
        <v>653</v>
      </c>
      <c r="B49" s="231" t="s">
        <v>137</v>
      </c>
      <c r="C49" s="232">
        <f>SUMIFS(INDEX(Table716[],,MATCH($C$30,Table716[#Headers],0)),Table716[MainSpaceHeatingFuel],B49, Table716[Avg. HSMainSystemEfficiency],"&lt;101")</f>
        <v>87413343</v>
      </c>
      <c r="D49" s="232">
        <f>SUMIFS(INDEX(Table716[],,MATCH($D$30,Table716[#Headers],0)),Table716[MainSpaceHeatingFuel],B49,Table716[Avg. HSMainSystemEfficiency],"&lt;101")</f>
        <v>34780569</v>
      </c>
      <c r="E49" s="232">
        <f>SUMIFS(INDEX(Table716[],,MATCH($E$30,Table716[#Headers],0)),Table716[MainSpaceHeatingFuel],B49,Table716[Avg. HSMainSystemEfficiency],"&lt;101")</f>
        <v>12745</v>
      </c>
      <c r="F49" s="232">
        <f>SUMIFS(INDEX(Table716[],,MATCH($F$30,Table716[#Headers],0)),Table716[MainSpaceHeatingFuel],B49,Table716[Avg. HSMainSystemEfficiency],"&lt;101")</f>
        <v>1029786</v>
      </c>
      <c r="G49" s="232"/>
      <c r="H49" s="232">
        <f>SUMIFS(INDEX(Table716[],,MATCH($H$30,Table716[#Headers],0)),Table716[SupplSHFuelName],B49,Table716[Avg. HSMainSystemEfficiency],"&lt;101")</f>
        <v>24071594</v>
      </c>
      <c r="I49" s="232">
        <f>SUMIFS(INDEX(Table716[],,MATCH($I$30,Table716[#Headers],0)),Table716[SupplSHFuelName],B49,Table716[Avg. HSMainSystemEfficiency],"&lt;101")</f>
        <v>8915400</v>
      </c>
      <c r="J49" s="232">
        <f>SUMIFS(INDEX(Table716[],,MATCH($J$30,Table716[#Headers],0)),Table716[SupplSHFuelName],B49,Table716[Avg. HSMainSystemEfficiency],"&lt;101")</f>
        <v>27133</v>
      </c>
      <c r="K49" s="261"/>
      <c r="L49" s="294" t="str">
        <f>_xlfn.TEXTJOIN(",",TRUE,IF(LEFT(Regions!$C$3,1)&lt;&gt;"*",Regions!$C$3,""),IF(LEFT(Regions!$D$3,1)&lt;&gt;"*",Regions!$D$3,""))</f>
        <v>IE,National</v>
      </c>
      <c r="M49" s="294" t="str">
        <f>LEFT(SETUP!B3,1)&amp;"-"&amp;RIGHT(COMM!$O$31,6)&amp;"_"&amp;RIGHT(O49,LEN(O49)-3)&amp;"_"&amp;SETUP!B64</f>
        <v>R-WH_Att_WOO_X0</v>
      </c>
      <c r="N49" s="294" t="str">
        <f>COMM!P31&amp;" "&amp;COMM!F16&amp;" "&amp;SETUP!C64</f>
        <v>Residential Water Heating Attached Biomass to Residential Existing 00</v>
      </c>
      <c r="O49" s="294" t="str">
        <f>COMM!E16</f>
        <v>RSDWOO</v>
      </c>
      <c r="P49" s="294"/>
      <c r="Q49" s="294" t="str">
        <f>COMM!$O$31</f>
        <v>RSDWH_Att</v>
      </c>
      <c r="R49" s="389">
        <f>(E47+E44+E45+E46)/SUM($E$31:$E$49)</f>
        <v>1.1758887051646972E-3</v>
      </c>
      <c r="S49" s="390">
        <f>R49*DwellingStocks!$J$28/1000</f>
        <v>0.92667640436266807</v>
      </c>
      <c r="T49" s="391">
        <f>(S49*1000)/(E47+E44+E45+E46)+0.1866</f>
        <v>2.0972729986859138</v>
      </c>
      <c r="U49" s="569">
        <f>U23</f>
        <v>0.70400656814449913</v>
      </c>
      <c r="V49" s="569">
        <f t="shared" ref="V49:V50" si="16">IF(AB49/S49/X49=0,0.12,AB49/S49/X49)</f>
        <v>0.12</v>
      </c>
      <c r="W49" s="393">
        <v>20</v>
      </c>
      <c r="X49" s="391">
        <f t="shared" ref="X49:X50" si="17">31.536*(AD49/1000)</f>
        <v>0.15768000000000001</v>
      </c>
      <c r="Y49" s="393"/>
      <c r="Z49" s="393"/>
      <c r="AA49" s="393"/>
      <c r="AB49" s="394">
        <f>AC49*U49</f>
        <v>0</v>
      </c>
      <c r="AC49" s="394">
        <f>IF(((D44+I44+D45+I45+D46+I46+D47+I47)*$B$2)&lt;=0.1,0,((D44+I44+D45+I45+D46+I46+D47+I47)*T49*$B$2))</f>
        <v>0</v>
      </c>
      <c r="AD49" s="393">
        <v>5</v>
      </c>
      <c r="AE49" s="261"/>
      <c r="AF49" s="26"/>
      <c r="AG49" s="26"/>
      <c r="AH49" s="26"/>
      <c r="AI49" s="26"/>
      <c r="AJ49" s="26"/>
      <c r="AK49" s="26"/>
      <c r="AL49" s="26"/>
      <c r="AM49" s="26"/>
      <c r="AN49" s="261"/>
      <c r="AO49" s="261"/>
      <c r="AP49" s="261"/>
      <c r="AQ49" s="261"/>
    </row>
    <row r="50" spans="1:43">
      <c r="B50" s="261"/>
      <c r="C50" s="261"/>
      <c r="D50" s="261"/>
      <c r="E50" s="261"/>
      <c r="F50" s="261"/>
      <c r="G50" s="261"/>
      <c r="H50" s="261"/>
      <c r="I50" s="261"/>
      <c r="J50" s="261"/>
      <c r="L50" s="26" t="str">
        <f>_xlfn.TEXTJOIN(",",TRUE,IF(LEFT(Regions!$C$3,1)&lt;&gt;"*",Regions!$C$3,""),IF(LEFT(Regions!$D$3,1)&lt;&gt;"*",Regions!$D$3,""))</f>
        <v>IE,National</v>
      </c>
      <c r="M50" s="26" t="str">
        <f>LEFT(SETUP!B3,1)&amp;"-"&amp;RIGHT(COMM!$O$31,6)&amp;"_"&amp;RIGHT(O50,LEN(O50)-3)&amp;"_"&amp;SETUP!B64</f>
        <v>R-WH_Att_HET_X0</v>
      </c>
      <c r="N50" s="395" t="str">
        <f>COMM!P31&amp;" "&amp;COMM!F25&amp;" "&amp;SETUP!C64</f>
        <v>Residential Water Heating Attached Heat to Residential Existing 00</v>
      </c>
      <c r="O50" s="26" t="str">
        <f>COMM!E25</f>
        <v>RSDHET</v>
      </c>
      <c r="P50" s="26"/>
      <c r="Q50" s="26" t="str">
        <f>COMM!$O$31</f>
        <v>RSDWH_Att</v>
      </c>
      <c r="R50" s="396">
        <f>E48/SUM($E$31:$E$49)</f>
        <v>2.465729511654633E-3</v>
      </c>
      <c r="S50" s="397">
        <f>R50*DwellingStocks!$J$28/1000</f>
        <v>1.943154439663574</v>
      </c>
      <c r="T50" s="398">
        <f>(S50*1000)/E48</f>
        <v>1.9106729986859134</v>
      </c>
      <c r="U50" s="571">
        <f>U24</f>
        <v>0.60949973059968388</v>
      </c>
      <c r="V50" s="569">
        <f t="shared" si="16"/>
        <v>0.12</v>
      </c>
      <c r="W50" s="399">
        <v>20</v>
      </c>
      <c r="X50" s="567">
        <f t="shared" si="17"/>
        <v>0.15768000000000001</v>
      </c>
      <c r="Y50" s="399"/>
      <c r="Z50" s="399"/>
      <c r="AA50" s="399"/>
      <c r="AB50" s="400">
        <f>AC50*U50</f>
        <v>0</v>
      </c>
      <c r="AC50" s="401">
        <f>IF(((D48+I48)*$B$2)&lt;=0.1,0,((D48+I48)*T50*$B$2))</f>
        <v>0</v>
      </c>
      <c r="AD50" s="563">
        <v>5</v>
      </c>
      <c r="AE50" s="261"/>
      <c r="AF50" s="26"/>
      <c r="AG50" s="26"/>
      <c r="AH50" s="26"/>
      <c r="AI50" s="26"/>
      <c r="AJ50" s="26"/>
      <c r="AK50" s="26"/>
      <c r="AL50" s="26"/>
      <c r="AM50" s="26"/>
      <c r="AN50" s="261"/>
      <c r="AO50" s="260"/>
    </row>
    <row r="51" spans="1:43" ht="21.5" thickBot="1">
      <c r="B51" s="50" t="s">
        <v>649</v>
      </c>
      <c r="C51" s="50"/>
      <c r="D51" s="50"/>
      <c r="E51" s="50"/>
      <c r="F51" s="50"/>
      <c r="G51" s="50"/>
      <c r="H51" s="50"/>
      <c r="J51" s="261"/>
      <c r="K51" s="261"/>
      <c r="L51" s="294" t="str">
        <f>_xlfn.TEXTJOIN(",",TRUE,IF(LEFT(Regions!$C$3,1)&lt;&gt;"*",Regions!$C$3,""),IF(LEFT(Regions!$D$3,1)&lt;&gt;"*",Regions!$D$3,""))</f>
        <v>IE,National</v>
      </c>
      <c r="M51" s="294" t="str">
        <f>LEFT(SETUP!B3,1)&amp;"-"&amp;RIGHT(COMM!$O$31,6)&amp;"_"&amp;RIGHT(O51,LEN(O51)-3)&amp;"_"&amp;SETUP!B64</f>
        <v>R-WH_Att_SOL_X0</v>
      </c>
      <c r="N51" s="294" t="str">
        <f>COMM!P31&amp;" "&amp;COMM!F15&amp;" "&amp;SETUP!C64</f>
        <v>Residential Water Heating Attached Solar Thermal to Residential Existing 00</v>
      </c>
      <c r="O51" s="294" t="str">
        <f>COMM!E15</f>
        <v>RSDSOL</v>
      </c>
      <c r="P51" s="294"/>
      <c r="Q51" s="294" t="str">
        <f>COMM!$O$31</f>
        <v>RSDWH_Att</v>
      </c>
      <c r="R51" s="389">
        <v>0.01</v>
      </c>
      <c r="S51" s="390">
        <f>R51*DwellingStocks!$J$28/1000</f>
        <v>7.8806472099999985</v>
      </c>
      <c r="T51" s="391">
        <f>MAX(T33:T50)</f>
        <v>2.7714261962533477</v>
      </c>
      <c r="U51" s="569">
        <v>1</v>
      </c>
      <c r="V51" s="569">
        <f>AB51/S51/X51</f>
        <v>0.21413130493478733</v>
      </c>
      <c r="W51" s="393">
        <v>20</v>
      </c>
      <c r="X51" s="391">
        <f>31.536*(AD51/1000)</f>
        <v>0.15768000000000001</v>
      </c>
      <c r="Y51" s="393"/>
      <c r="Z51" s="393"/>
      <c r="AA51" s="393"/>
      <c r="AB51" s="394">
        <f>AC51*U51</f>
        <v>0.26608393894100396</v>
      </c>
      <c r="AC51" s="394">
        <f>RSD_Balance!J18</f>
        <v>0.26608393894100396</v>
      </c>
      <c r="AD51" s="393">
        <v>5</v>
      </c>
      <c r="AE51" s="261"/>
      <c r="AF51" s="261"/>
      <c r="AG51" s="261"/>
      <c r="AH51" s="261"/>
      <c r="AI51" s="261"/>
      <c r="AJ51" s="261"/>
      <c r="AK51" s="261"/>
      <c r="AL51" s="261"/>
      <c r="AM51" s="261"/>
    </row>
    <row r="52" spans="1:43" ht="15" thickBot="1">
      <c r="B52" s="229" t="s">
        <v>48</v>
      </c>
      <c r="C52" s="229" t="s">
        <v>389</v>
      </c>
      <c r="D52" s="229" t="s">
        <v>389</v>
      </c>
      <c r="E52" s="229" t="s">
        <v>389</v>
      </c>
      <c r="F52" s="229" t="s">
        <v>389</v>
      </c>
      <c r="G52" s="229" t="s">
        <v>497</v>
      </c>
      <c r="H52" s="229" t="s">
        <v>390</v>
      </c>
      <c r="J52" s="261"/>
      <c r="K52" s="261"/>
      <c r="L52" s="405"/>
      <c r="M52" s="405"/>
      <c r="N52" s="402"/>
      <c r="O52" s="402"/>
      <c r="P52" s="402"/>
      <c r="Q52" s="402"/>
      <c r="R52" s="402"/>
      <c r="S52" s="404"/>
      <c r="T52" s="402"/>
      <c r="U52" s="404"/>
      <c r="V52" s="402"/>
      <c r="W52" s="402"/>
      <c r="X52" s="402"/>
      <c r="Y52" s="402"/>
      <c r="Z52" s="402"/>
      <c r="AA52" s="402"/>
      <c r="AB52" s="402"/>
      <c r="AC52" s="402"/>
      <c r="AD52" s="402"/>
      <c r="AE52" s="261"/>
      <c r="AF52" s="261"/>
      <c r="AG52" s="261"/>
      <c r="AH52" s="261"/>
      <c r="AI52" s="261"/>
      <c r="AJ52" s="261"/>
      <c r="AK52" s="261"/>
      <c r="AL52" s="261"/>
      <c r="AM52" s="261"/>
    </row>
    <row r="53" spans="1:43" ht="40" thickBot="1">
      <c r="B53" s="295" t="s">
        <v>392</v>
      </c>
      <c r="C53" s="383" t="s">
        <v>416</v>
      </c>
      <c r="D53" s="383" t="s">
        <v>417</v>
      </c>
      <c r="E53" s="383" t="s">
        <v>418</v>
      </c>
      <c r="F53" s="383" t="s">
        <v>419</v>
      </c>
      <c r="G53" s="296" t="s">
        <v>398</v>
      </c>
      <c r="H53" s="296" t="s">
        <v>399</v>
      </c>
      <c r="K53" s="261"/>
      <c r="L53" s="405"/>
      <c r="M53" s="405"/>
      <c r="N53" s="402"/>
      <c r="O53" s="402"/>
      <c r="P53" s="402"/>
      <c r="Q53" s="402"/>
      <c r="R53" s="402"/>
      <c r="S53" s="404"/>
      <c r="T53" s="402"/>
      <c r="U53" s="404"/>
      <c r="V53" s="402"/>
      <c r="W53" s="402"/>
      <c r="X53" s="402"/>
      <c r="Y53" s="402"/>
      <c r="Z53" s="402"/>
      <c r="AA53" s="402"/>
      <c r="AB53" s="402"/>
      <c r="AC53" s="402"/>
      <c r="AD53" s="402"/>
      <c r="AE53" s="261"/>
      <c r="AH53" s="261"/>
      <c r="AI53" s="261"/>
      <c r="AJ53" s="261"/>
      <c r="AK53" s="261"/>
      <c r="AL53" s="261"/>
      <c r="AM53" s="261"/>
    </row>
    <row r="54" spans="1:43">
      <c r="B54" s="298" t="s">
        <v>48</v>
      </c>
      <c r="C54" s="233">
        <f>SUMIFS(INDEX(Table716[],,MATCH(C53,Table716[#Headers],0)),Table716[EnergyRating (group)],B54)</f>
        <v>47872042</v>
      </c>
      <c r="D54" s="233">
        <f>SUMIFS(INDEX(Table716[],,MATCH(D53,Table716[#Headers],0)),Table716[EnergyRating (group)],B54)</f>
        <v>17730381</v>
      </c>
      <c r="E54" s="233">
        <f>SUMIFS(INDEX(Table716[],,MATCH(E53,Table716[#Headers],0)),Table716[EnergyRating (group)],B54)</f>
        <v>28938924</v>
      </c>
      <c r="F54" s="233">
        <f>SUMIFS(INDEX(Table716[],,MATCH(F53,Table716[#Headers],0)),Table716[EnergyRating (group)],B54)</f>
        <v>10718117</v>
      </c>
      <c r="G54" s="233">
        <f>SUMIFS(INDEX(Table716[],,MATCH(G53,Table716[#Headers],0)),Table716[EnergyRating (group)],B54)</f>
        <v>30917</v>
      </c>
      <c r="H54" s="233">
        <f>SUMIFS(INDEX(Table716[],,MATCH(H53,Table716[#Headers],0)),Table716[EnergyRating (group)],B54)</f>
        <v>3791320</v>
      </c>
      <c r="K54" s="261"/>
      <c r="L54" s="388"/>
      <c r="M54" s="388"/>
      <c r="N54" s="388"/>
      <c r="O54" s="388"/>
      <c r="P54" s="388"/>
      <c r="Q54" s="388"/>
      <c r="R54" s="388"/>
      <c r="S54" s="384">
        <f>SUM(S31:S52)</f>
        <v>788.06472099999974</v>
      </c>
      <c r="T54" s="388"/>
      <c r="U54" s="388"/>
      <c r="V54" s="388"/>
      <c r="W54" s="388"/>
      <c r="X54" s="388"/>
      <c r="Y54" s="388"/>
      <c r="Z54" s="388"/>
      <c r="AA54" s="388"/>
      <c r="AB54" s="382">
        <f>SUM(AB31:AB52)</f>
        <v>7.7640972239661528</v>
      </c>
      <c r="AC54" s="382">
        <f>SUM(AC31:AC52)</f>
        <v>9.1236249190255627</v>
      </c>
      <c r="AD54" s="261"/>
      <c r="AE54" s="261"/>
      <c r="AF54" s="261"/>
      <c r="AG54" s="261"/>
      <c r="AH54" s="261"/>
      <c r="AI54" s="261"/>
      <c r="AJ54" s="261"/>
      <c r="AK54" s="261"/>
      <c r="AL54" s="261"/>
      <c r="AM54" s="261"/>
      <c r="AN54" s="261"/>
    </row>
    <row r="55" spans="1:43">
      <c r="B55" s="299" t="s">
        <v>50</v>
      </c>
      <c r="C55" s="232">
        <f>SUMIFS(INDEX(Table716[],,MATCH(C53,Table716[#Headers],0)),Table716[EnergyRating (group)],B55)</f>
        <v>6050295</v>
      </c>
      <c r="D55" s="232">
        <f>SUMIFS(INDEX(Table716[],,MATCH(D53,Table716[#Headers],0)),Table716[EnergyRating (group)],B55)</f>
        <v>2240851</v>
      </c>
      <c r="E55" s="232">
        <f>SUMIFS(INDEX(Table716[],,MATCH(E53,Table716[#Headers],0)),Table716[EnergyRating (group)],B55)</f>
        <v>2129140</v>
      </c>
      <c r="F55" s="232">
        <f>SUMIFS(INDEX(Table716[],,MATCH(F53,Table716[#Headers],0)),Table716[EnergyRating (group)],B55)</f>
        <v>788571</v>
      </c>
      <c r="G55" s="232">
        <f>SUMIFS(INDEX(Table716[],,MATCH(G53,Table716[#Headers],0)),Table716[EnergyRating (group)],B55)</f>
        <v>3722</v>
      </c>
      <c r="H55" s="232">
        <f>SUMIFS(INDEX(Table716[],,MATCH(H53,Table716[#Headers],0)),Table716[EnergyRating (group)],B55)</f>
        <v>417891</v>
      </c>
      <c r="K55" s="261"/>
      <c r="L55" s="261"/>
      <c r="M55" s="261"/>
      <c r="N55" s="261"/>
      <c r="O55" s="261"/>
      <c r="P55" s="261"/>
      <c r="Q55" s="261"/>
      <c r="R55" s="261"/>
      <c r="S55" s="261"/>
      <c r="T55" s="261"/>
      <c r="U55" s="261"/>
      <c r="V55" s="261"/>
      <c r="W55" s="261"/>
      <c r="X55" s="261"/>
      <c r="Y55" s="261"/>
      <c r="Z55" s="261"/>
      <c r="AA55" s="261"/>
      <c r="AB55" s="261"/>
      <c r="AC55" s="261"/>
      <c r="AD55" s="261"/>
      <c r="AE55" s="261"/>
      <c r="AF55" s="19" t="s">
        <v>767</v>
      </c>
      <c r="AG55" s="19"/>
      <c r="AH55" s="509"/>
      <c r="AI55" s="509"/>
      <c r="AJ55" s="509"/>
      <c r="AK55" s="509"/>
      <c r="AL55" s="509"/>
      <c r="AM55" s="509"/>
    </row>
    <row r="56" spans="1:43" ht="21">
      <c r="B56" s="298" t="s">
        <v>52</v>
      </c>
      <c r="C56" s="233">
        <f>SUMIFS(INDEX(Table716[],,MATCH(C53,Table716[#Headers],0)),Table716[EnergyRating (group)],B56)</f>
        <v>15368435</v>
      </c>
      <c r="D56" s="233">
        <f>SUMIFS(INDEX(Table716[],,MATCH(D53,Table716[#Headers],0)),Table716[EnergyRating (group)],B56)</f>
        <v>5692013</v>
      </c>
      <c r="E56" s="233">
        <f>SUMIFS(INDEX(Table716[],,MATCH(E53,Table716[#Headers],0)),Table716[EnergyRating (group)],B56)</f>
        <v>4302945</v>
      </c>
      <c r="F56" s="233">
        <f>SUMIFS(INDEX(Table716[],,MATCH(F53,Table716[#Headers],0)),Table716[EnergyRating (group)],B56)</f>
        <v>1593679</v>
      </c>
      <c r="G56" s="233">
        <f>SUMIFS(INDEX(Table716[],,MATCH(G53,Table716[#Headers],0)),Table716[EnergyRating (group)],B56)</f>
        <v>7882</v>
      </c>
      <c r="H56" s="233">
        <f>SUMIFS(INDEX(Table716[],,MATCH(H53,Table716[#Headers],0)),Table716[EnergyRating (group)],B56)</f>
        <v>923818</v>
      </c>
      <c r="K56" s="261"/>
      <c r="L56" s="49"/>
      <c r="M56" s="49" t="s">
        <v>649</v>
      </c>
      <c r="N56" s="49"/>
      <c r="O56" s="49"/>
      <c r="P56" s="49"/>
      <c r="Q56" s="53" t="s">
        <v>768</v>
      </c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261"/>
      <c r="AF56" s="21" t="s">
        <v>261</v>
      </c>
      <c r="AG56" s="21" t="s">
        <v>764</v>
      </c>
      <c r="AH56" s="21" t="s">
        <v>255</v>
      </c>
      <c r="AI56" s="21" t="s">
        <v>256</v>
      </c>
      <c r="AJ56" s="21" t="s">
        <v>262</v>
      </c>
      <c r="AK56" s="21" t="s">
        <v>263</v>
      </c>
      <c r="AL56" s="21" t="s">
        <v>264</v>
      </c>
      <c r="AM56" s="21" t="s">
        <v>265</v>
      </c>
    </row>
    <row r="57" spans="1:43" ht="15" thickBot="1">
      <c r="B57" s="299" t="s">
        <v>54</v>
      </c>
      <c r="C57" s="232">
        <f>SUMIFS(INDEX(Table716[],,MATCH(C53,Table716[#Headers],0)),Table716[EnergyRating (group)],B57)</f>
        <v>54186530</v>
      </c>
      <c r="D57" s="232">
        <f>SUMIFS(INDEX(Table716[],,MATCH(D53,Table716[#Headers],0)),Table716[EnergyRating (group)],B57)</f>
        <v>20069079</v>
      </c>
      <c r="E57" s="232">
        <f>SUMIFS(INDEX(Table716[],,MATCH(E53,Table716[#Headers],0)),Table716[EnergyRating (group)],B57)</f>
        <v>14447971</v>
      </c>
      <c r="F57" s="232">
        <f>SUMIFS(INDEX(Table716[],,MATCH(F53,Table716[#Headers],0)),Table716[EnergyRating (group)],B57)</f>
        <v>5351091</v>
      </c>
      <c r="G57" s="232">
        <f>SUMIFS(INDEX(Table716[],,MATCH(G53,Table716[#Headers],0)),Table716[EnergyRating (group)],B57)</f>
        <v>27081</v>
      </c>
      <c r="H57" s="232">
        <f>SUMIFS(INDEX(Table716[],,MATCH(H53,Table716[#Headers],0)),Table716[EnergyRating (group)],B57)</f>
        <v>2951363</v>
      </c>
      <c r="K57" s="261"/>
      <c r="L57" s="21" t="s">
        <v>764</v>
      </c>
      <c r="M57" s="21" t="s">
        <v>255</v>
      </c>
      <c r="N57" s="21" t="s">
        <v>267</v>
      </c>
      <c r="O57" s="21" t="s">
        <v>257</v>
      </c>
      <c r="P57" s="21" t="s">
        <v>826</v>
      </c>
      <c r="Q57" s="21" t="s">
        <v>258</v>
      </c>
      <c r="R57" s="21" t="s">
        <v>388</v>
      </c>
      <c r="S57" s="27" t="s">
        <v>268</v>
      </c>
      <c r="T57" s="21" t="s">
        <v>492</v>
      </c>
      <c r="U57" s="21" t="s">
        <v>259</v>
      </c>
      <c r="V57" s="21" t="s">
        <v>638</v>
      </c>
      <c r="W57" s="27" t="s">
        <v>260</v>
      </c>
      <c r="X57" s="27" t="s">
        <v>270</v>
      </c>
      <c r="Y57" s="27" t="s">
        <v>708</v>
      </c>
      <c r="Z57" s="21" t="s">
        <v>709</v>
      </c>
      <c r="AA57" s="21" t="s">
        <v>828</v>
      </c>
      <c r="AB57" s="27" t="s">
        <v>637</v>
      </c>
      <c r="AC57" s="31" t="s">
        <v>636</v>
      </c>
      <c r="AD57" s="31" t="s">
        <v>829</v>
      </c>
      <c r="AE57" s="261"/>
      <c r="AF57" s="23" t="s">
        <v>254</v>
      </c>
      <c r="AG57" s="23"/>
      <c r="AH57" s="23"/>
      <c r="AI57" s="22"/>
      <c r="AJ57" s="23"/>
      <c r="AK57" s="23"/>
      <c r="AL57" s="23"/>
      <c r="AM57" s="23"/>
    </row>
    <row r="58" spans="1:43" ht="26.5" thickBot="1">
      <c r="B58" s="298" t="s">
        <v>56</v>
      </c>
      <c r="C58" s="233">
        <f>SUMIFS(INDEX(Table716[],,MATCH(C53,Table716[#Headers],0)),Table716[EnergyRating (group)],B58)</f>
        <v>320774354</v>
      </c>
      <c r="D58" s="233">
        <f>SUMIFS(INDEX(Table716[],,MATCH(D53,Table716[#Headers],0)),Table716[EnergyRating (group)],B58)</f>
        <v>118805308</v>
      </c>
      <c r="E58" s="233">
        <f>SUMIFS(INDEX(Table716[],,MATCH(E53,Table716[#Headers],0)),Table716[EnergyRating (group)],B58)</f>
        <v>85827261</v>
      </c>
      <c r="F58" s="233">
        <f>SUMIFS(INDEX(Table716[],,MATCH(F53,Table716[#Headers],0)),Table716[EnergyRating (group)],B58)</f>
        <v>31787857</v>
      </c>
      <c r="G58" s="233">
        <f>SUMIFS(INDEX(Table716[],,MATCH(G53,Table716[#Headers],0)),Table716[EnergyRating (group)],B58)</f>
        <v>161926</v>
      </c>
      <c r="H58" s="233">
        <f>SUMIFS(INDEX(Table716[],,MATCH(H53,Table716[#Headers],0)),Table716[EnergyRating (group)],B58)</f>
        <v>16330850</v>
      </c>
      <c r="K58" s="261"/>
      <c r="L58" s="22" t="s">
        <v>771</v>
      </c>
      <c r="M58" s="22" t="s">
        <v>271</v>
      </c>
      <c r="N58" s="22" t="s">
        <v>272</v>
      </c>
      <c r="O58" s="22" t="s">
        <v>273</v>
      </c>
      <c r="P58" s="22" t="s">
        <v>827</v>
      </c>
      <c r="Q58" s="22" t="s">
        <v>274</v>
      </c>
      <c r="R58" s="22"/>
      <c r="S58" s="29" t="s">
        <v>275</v>
      </c>
      <c r="T58" s="22"/>
      <c r="U58" s="22" t="s">
        <v>391</v>
      </c>
      <c r="V58" s="22"/>
      <c r="W58" s="28"/>
      <c r="X58" s="28"/>
      <c r="Y58" s="28" t="s">
        <v>391</v>
      </c>
      <c r="Z58" s="22" t="s">
        <v>710</v>
      </c>
      <c r="AA58" s="22"/>
      <c r="AB58" s="28" t="s">
        <v>13</v>
      </c>
      <c r="AC58" s="212" t="s">
        <v>13</v>
      </c>
      <c r="AD58" s="212" t="s">
        <v>833</v>
      </c>
      <c r="AE58" s="261"/>
      <c r="AF58" s="294" t="s">
        <v>266</v>
      </c>
      <c r="AG58" s="294" t="str">
        <f>_xlfn.TEXTJOIN(",",TRUE,IF(LEFT(Regions!$C$3,1)&lt;&gt;"*",Regions!$C$3,""),IF(LEFT(Regions!$D$3,1)&lt;&gt;"*",Regions!$D$3,""))</f>
        <v>IE,National</v>
      </c>
      <c r="AH58" s="294" t="str">
        <f>M59</f>
        <v>R-LT_Att_X0</v>
      </c>
      <c r="AI58" s="294" t="str">
        <f>N59</f>
        <v>Residential Lighting Attached Existing 00</v>
      </c>
      <c r="AJ58" s="294" t="s">
        <v>13</v>
      </c>
      <c r="AK58" s="294" t="s">
        <v>275</v>
      </c>
      <c r="AL58" s="294"/>
      <c r="AM58" s="294"/>
    </row>
    <row r="59" spans="1:43">
      <c r="B59" s="299" t="s">
        <v>58</v>
      </c>
      <c r="C59" s="232">
        <f>SUMIFS(INDEX(Table716[],,MATCH(C53,Table716[#Headers],0)),Table716[EnergyRating (group)],B59)</f>
        <v>184411349</v>
      </c>
      <c r="D59" s="232">
        <f>SUMIFS(INDEX(Table716[],,MATCH(D53,Table716[#Headers],0)),Table716[EnergyRating (group)],B59)</f>
        <v>68300496</v>
      </c>
      <c r="E59" s="232">
        <f>SUMIFS(INDEX(Table716[],,MATCH(E53,Table716[#Headers],0)),Table716[EnergyRating (group)],B59)</f>
        <v>47148382</v>
      </c>
      <c r="F59" s="232">
        <f>SUMIFS(INDEX(Table716[],,MATCH(F53,Table716[#Headers],0)),Table716[EnergyRating (group)],B59)</f>
        <v>17462350</v>
      </c>
      <c r="G59" s="232">
        <f>SUMIFS(INDEX(Table716[],,MATCH(G53,Table716[#Headers],0)),Table716[EnergyRating (group)],B59)</f>
        <v>95372</v>
      </c>
      <c r="H59" s="232">
        <f>SUMIFS(INDEX(Table716[],,MATCH(H53,Table716[#Headers],0)),Table716[EnergyRating (group)],B59)</f>
        <v>9015652</v>
      </c>
      <c r="K59" s="261"/>
      <c r="L59" s="294" t="str">
        <f>_xlfn.TEXTJOIN(",",TRUE,IF(LEFT(Regions!$C$3,1)&lt;&gt;"*",Regions!$C$3,""),IF(LEFT(Regions!$D$3,1)&lt;&gt;"*",Regions!$D$3,""))</f>
        <v>IE,National</v>
      </c>
      <c r="M59" s="294" t="str">
        <f>LEFT(SETUP!B3,1)&amp;"-"&amp;RIGHT(COMM!$O$34,6)&amp;"_"&amp;SETUP!B64</f>
        <v>R-LT_Att_X0</v>
      </c>
      <c r="N59" s="294" t="str">
        <f>COMM!$P$34&amp;" "&amp;SETUP!$C$64</f>
        <v>Residential Lighting Attached Existing 00</v>
      </c>
      <c r="O59" s="294" t="str">
        <f>COMM!E24</f>
        <v>RSDELC</v>
      </c>
      <c r="P59" s="294"/>
      <c r="Q59" s="294" t="str">
        <f>COMM!$O$34</f>
        <v>RSDLT_Att</v>
      </c>
      <c r="R59" s="294">
        <v>1</v>
      </c>
      <c r="S59" s="391">
        <f>DwellingStocks!J28/1000</f>
        <v>788.06472099999974</v>
      </c>
      <c r="T59" s="294">
        <f>(S59*1000)/SUM(G54:G62)-0.188</f>
        <v>1.7111433373980012</v>
      </c>
      <c r="U59" s="569">
        <v>0.4</v>
      </c>
      <c r="V59" s="569">
        <f>AB59/S59/X59</f>
        <v>0.29847129365993369</v>
      </c>
      <c r="W59" s="393">
        <v>10</v>
      </c>
      <c r="X59" s="390">
        <f t="shared" ref="X59:X60" si="18">31.536*(AD59/1000)</f>
        <v>3.0747599999999997E-3</v>
      </c>
      <c r="Y59" s="393"/>
      <c r="Z59" s="393"/>
      <c r="AA59" s="393"/>
      <c r="AB59" s="394">
        <f>AC59*U59</f>
        <v>0.72322874102399715</v>
      </c>
      <c r="AC59" s="394">
        <f>(D54+D55+D56+D57+D58+D59+D60+D61+D62)*T59*$B$2</f>
        <v>1.8080718525599928</v>
      </c>
      <c r="AD59" s="390">
        <f>0.0065*15</f>
        <v>9.7499999999999989E-2</v>
      </c>
      <c r="AE59" s="261"/>
      <c r="AF59" s="395" t="s">
        <v>266</v>
      </c>
      <c r="AG59" s="395" t="str">
        <f>_xlfn.TEXTJOIN(",",TRUE,IF(LEFT(Regions!$C$3,1)&lt;&gt;"*",Regions!$C$3,""),IF(LEFT(Regions!$D$3,1)&lt;&gt;"*",Regions!$D$3,""))</f>
        <v>IE,National</v>
      </c>
      <c r="AH59" s="395" t="str">
        <f>M60</f>
        <v>R-PF_Att_X0</v>
      </c>
      <c r="AI59" s="395" t="str">
        <f>N60</f>
        <v>Residential Pumps &amp; Fans Attached Existing 00</v>
      </c>
      <c r="AJ59" s="395" t="s">
        <v>13</v>
      </c>
      <c r="AK59" s="395" t="s">
        <v>275</v>
      </c>
      <c r="AL59" s="395"/>
      <c r="AM59" s="395"/>
    </row>
    <row r="60" spans="1:43">
      <c r="B60" s="298" t="s">
        <v>60</v>
      </c>
      <c r="C60" s="233">
        <f>SUMIFS(INDEX(Table716[],,MATCH(C53,Table716[#Headers],0)),Table716[EnergyRating (group)],B60)</f>
        <v>86465185</v>
      </c>
      <c r="D60" s="233">
        <f>SUMIFS(INDEX(Table716[],,MATCH(D53,Table716[#Headers],0)),Table716[EnergyRating (group)],B60)</f>
        <v>32024149</v>
      </c>
      <c r="E60" s="233">
        <f>SUMIFS(INDEX(Table716[],,MATCH(E53,Table716[#Headers],0)),Table716[EnergyRating (group)],B60)</f>
        <v>20755552</v>
      </c>
      <c r="F60" s="233">
        <f>SUMIFS(INDEX(Table716[],,MATCH(F53,Table716[#Headers],0)),Table716[EnergyRating (group)],B60)</f>
        <v>7687231</v>
      </c>
      <c r="G60" s="233">
        <f>SUMIFS(INDEX(Table716[],,MATCH(G53,Table716[#Headers],0)),Table716[EnergyRating (group)],B60)</f>
        <v>46130</v>
      </c>
      <c r="H60" s="233">
        <f>SUMIFS(INDEX(Table716[],,MATCH(H53,Table716[#Headers],0)),Table716[EnergyRating (group)],B60)</f>
        <v>4172406</v>
      </c>
      <c r="K60" s="261"/>
      <c r="L60" s="395" t="str">
        <f>_xlfn.TEXTJOIN(",",TRUE,IF(LEFT(Regions!$C$3,1)&lt;&gt;"*",Regions!$C$3,""),IF(LEFT(Regions!$D$3,1)&lt;&gt;"*",Regions!$D$3,""))</f>
        <v>IE,National</v>
      </c>
      <c r="M60" s="395" t="str">
        <f>LEFT(SETUP!B3,1)&amp;"-"&amp;RIGHT(COMM!$O$37,6)&amp;"_"&amp;SETUP!$B$64</f>
        <v>R-PF_Att_X0</v>
      </c>
      <c r="N60" s="395" t="str">
        <f>COMM!$P$37&amp;" "&amp;SETUP!$C$64</f>
        <v>Residential Pumps &amp; Fans Attached Existing 00</v>
      </c>
      <c r="O60" s="395" t="str">
        <f>COMM!E24</f>
        <v>RSDELC</v>
      </c>
      <c r="P60" s="395"/>
      <c r="Q60" s="395" t="str">
        <f>COMM!$O$37</f>
        <v>RSDPF_Att</v>
      </c>
      <c r="R60" s="395">
        <v>1</v>
      </c>
      <c r="S60" s="575">
        <f>DwellingStocks!J28/1000</f>
        <v>788.06472099999974</v>
      </c>
      <c r="T60" s="395">
        <f>(S60*1000)/SUM(G54:G62)-0.188</f>
        <v>1.7111433373980012</v>
      </c>
      <c r="U60" s="576">
        <v>0.6</v>
      </c>
      <c r="V60" s="576">
        <f>AB60/S60/X60</f>
        <v>0.24175608869574006</v>
      </c>
      <c r="W60" s="577">
        <v>15</v>
      </c>
      <c r="X60" s="578">
        <f t="shared" si="18"/>
        <v>1.5768000000000002E-3</v>
      </c>
      <c r="Y60" s="577"/>
      <c r="Z60" s="577"/>
      <c r="AA60" s="577"/>
      <c r="AB60" s="579">
        <f>AC60*U60</f>
        <v>0.30041106022645236</v>
      </c>
      <c r="AC60" s="401">
        <f>(F54+F55+F56+F57+F58+F59+F60+F61+F62)*T60*$B$2</f>
        <v>0.50068510037742064</v>
      </c>
      <c r="AD60" s="562">
        <v>0.05</v>
      </c>
      <c r="AE60" s="261"/>
    </row>
    <row r="61" spans="1:43">
      <c r="B61" s="299" t="s">
        <v>62</v>
      </c>
      <c r="C61" s="232">
        <f>SUMIFS(INDEX(Table716[],,MATCH(C53,Table716[#Headers],0)),Table716[EnergyRating (group)],B61)</f>
        <v>38857054</v>
      </c>
      <c r="D61" s="232">
        <f>SUMIFS(INDEX(Table716[],,MATCH(D53,Table716[#Headers],0)),Table716[EnergyRating (group)],B61)</f>
        <v>14391494</v>
      </c>
      <c r="E61" s="232">
        <f>SUMIFS(INDEX(Table716[],,MATCH(E53,Table716[#Headers],0)),Table716[EnergyRating (group)],B61)</f>
        <v>9202226</v>
      </c>
      <c r="F61" s="232">
        <f>SUMIFS(INDEX(Table716[],,MATCH(F53,Table716[#Headers],0)),Table716[EnergyRating (group)],B61)</f>
        <v>3408227</v>
      </c>
      <c r="G61" s="232">
        <f>SUMIFS(INDEX(Table716[],,MATCH(G53,Table716[#Headers],0)),Table716[EnergyRating (group)],B61)</f>
        <v>20720</v>
      </c>
      <c r="H61" s="232">
        <f>SUMIFS(INDEX(Table716[],,MATCH(H53,Table716[#Headers],0)),Table716[EnergyRating (group)],B61)</f>
        <v>1831497</v>
      </c>
      <c r="K61" s="261"/>
      <c r="L61" s="261"/>
      <c r="M61" s="261"/>
      <c r="N61" s="261"/>
      <c r="O61" s="261"/>
      <c r="P61" s="261"/>
      <c r="Q61" s="261"/>
      <c r="R61" s="261"/>
      <c r="S61" s="261"/>
      <c r="T61" s="261"/>
      <c r="U61" s="261"/>
      <c r="V61" s="261"/>
      <c r="W61" s="261"/>
      <c r="X61" s="261"/>
      <c r="Y61" s="261"/>
      <c r="Z61" s="261"/>
      <c r="AA61" s="261"/>
      <c r="AB61" s="261"/>
      <c r="AC61" s="261"/>
      <c r="AD61" s="261"/>
      <c r="AE61" s="261"/>
    </row>
    <row r="62" spans="1:43">
      <c r="B62" s="298" t="s">
        <v>64</v>
      </c>
      <c r="C62" s="233">
        <f>SUMIFS(INDEX(Table716[],,MATCH(C53,Table716[#Headers],0)),Table716[EnergyRating (group)],B62)</f>
        <v>38498921</v>
      </c>
      <c r="D62" s="233">
        <f>SUMIFS(INDEX(Table716[],,MATCH(D53,Table716[#Headers],0)),Table716[EnergyRating (group)],B62)</f>
        <v>14258859</v>
      </c>
      <c r="E62" s="233">
        <f>SUMIFS(INDEX(Table716[],,MATCH(E53,Table716[#Headers],0)),Table716[EnergyRating (group)],B62)</f>
        <v>6699793</v>
      </c>
      <c r="F62" s="233">
        <f>SUMIFS(INDEX(Table716[],,MATCH(F53,Table716[#Headers],0)),Table716[EnergyRating (group)],B62)</f>
        <v>2481395</v>
      </c>
      <c r="G62" s="233">
        <f>SUMIFS(INDEX(Table716[],,MATCH(G53,Table716[#Headers],0)),Table716[EnergyRating (group)],B62)</f>
        <v>21208</v>
      </c>
      <c r="H62" s="233">
        <f>SUMIFS(INDEX(Table716[],,MATCH(H53,Table716[#Headers],0)),Table716[EnergyRating (group)],B62)</f>
        <v>1754837</v>
      </c>
      <c r="K62" s="261"/>
      <c r="L62" s="261"/>
      <c r="M62" s="261"/>
      <c r="N62" s="261"/>
      <c r="O62" s="261"/>
      <c r="P62" s="261"/>
      <c r="Q62" s="261"/>
      <c r="R62" s="261"/>
      <c r="S62" s="261"/>
      <c r="T62" s="261"/>
      <c r="U62" s="261"/>
      <c r="V62" s="261"/>
      <c r="W62" s="261"/>
      <c r="X62" s="261"/>
      <c r="Y62" s="261"/>
      <c r="Z62" s="261"/>
      <c r="AA62" s="261"/>
      <c r="AB62" s="261"/>
      <c r="AC62" s="261"/>
      <c r="AD62" s="261"/>
      <c r="AE62" s="261"/>
    </row>
    <row r="63" spans="1:43">
      <c r="L63" s="261"/>
      <c r="M63" s="261"/>
      <c r="N63" s="261"/>
      <c r="O63" s="261"/>
      <c r="P63" s="261"/>
      <c r="Q63" s="261"/>
      <c r="R63" s="261"/>
      <c r="S63" s="261"/>
      <c r="T63" s="261"/>
      <c r="U63" s="261"/>
      <c r="V63" s="261"/>
      <c r="W63" s="261"/>
      <c r="X63" s="261"/>
      <c r="Y63" s="261"/>
      <c r="Z63" s="261"/>
      <c r="AA63" s="261"/>
      <c r="AB63" s="261"/>
      <c r="AC63" s="261"/>
      <c r="AD63" s="261"/>
    </row>
    <row r="70" spans="29:29"/>
  </sheetData>
  <mergeCells count="4">
    <mergeCell ref="B4:G4"/>
    <mergeCell ref="H4:J4"/>
    <mergeCell ref="B28:G28"/>
    <mergeCell ref="H28:J28"/>
  </mergeCells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E5ED-1DBC-40C2-A17C-73861BD94E56}">
  <sheetPr codeName="Sheet19">
    <tabColor rgb="FF92D050"/>
  </sheetPr>
  <dimension ref="A1:AW70"/>
  <sheetViews>
    <sheetView zoomScale="70" zoomScaleNormal="70" workbookViewId="0">
      <selection activeCell="AC27" sqref="AC27"/>
    </sheetView>
  </sheetViews>
  <sheetFormatPr defaultColWidth="9.1796875" defaultRowHeight="14.5"/>
  <cols>
    <col min="1" max="1" width="7.54296875" style="48" customWidth="1"/>
    <col min="2" max="2" width="28.453125" style="48" customWidth="1"/>
    <col min="3" max="4" width="20.7265625" style="48" customWidth="1"/>
    <col min="5" max="5" width="13.7265625" style="48" customWidth="1"/>
    <col min="6" max="6" width="11.7265625" style="48" customWidth="1"/>
    <col min="7" max="7" width="13.453125" style="48" customWidth="1"/>
    <col min="8" max="8" width="10.81640625" style="48" customWidth="1"/>
    <col min="9" max="9" width="12.26953125" style="48" customWidth="1"/>
    <col min="10" max="10" width="15.453125" style="48" customWidth="1"/>
    <col min="11" max="12" width="12.1796875" style="48" customWidth="1"/>
    <col min="13" max="13" width="22.54296875" style="48" customWidth="1"/>
    <col min="14" max="14" width="85.81640625" style="48" bestFit="1" customWidth="1"/>
    <col min="15" max="16" width="17.7265625" style="48" customWidth="1"/>
    <col min="17" max="17" width="40.453125" style="48" customWidth="1"/>
    <col min="18" max="18" width="11.81640625" style="48" customWidth="1"/>
    <col min="19" max="19" width="12" style="48" customWidth="1"/>
    <col min="20" max="20" width="16.81640625" style="48" customWidth="1"/>
    <col min="21" max="21" width="10.81640625" style="48" customWidth="1"/>
    <col min="22" max="23" width="8.54296875" style="48" customWidth="1"/>
    <col min="24" max="24" width="8.1796875" style="48" bestFit="1" customWidth="1"/>
    <col min="25" max="27" width="8.1796875" style="48" customWidth="1"/>
    <col min="28" max="30" width="23.26953125" style="48" customWidth="1"/>
    <col min="31" max="31" width="19.453125" style="48" customWidth="1"/>
    <col min="32" max="32" width="7.81640625" style="48" customWidth="1"/>
    <col min="33" max="33" width="10.7265625" style="48" bestFit="1" customWidth="1"/>
    <col min="34" max="34" width="22.54296875" style="48" bestFit="1" customWidth="1"/>
    <col min="35" max="35" width="85.81640625" style="48" bestFit="1" customWidth="1"/>
    <col min="36" max="36" width="4.54296875" style="48" bestFit="1" customWidth="1"/>
    <col min="37" max="37" width="8.453125" style="48" bestFit="1" customWidth="1"/>
    <col min="38" max="38" width="5" style="48" bestFit="1" customWidth="1"/>
    <col min="39" max="39" width="10.453125" style="48" bestFit="1" customWidth="1"/>
    <col min="40" max="40" width="9.1796875" style="48"/>
    <col min="41" max="41" width="12.26953125" style="48" customWidth="1"/>
    <col min="42" max="42" width="9.1796875" style="48"/>
    <col min="43" max="43" width="2.26953125" style="48" bestFit="1" customWidth="1"/>
    <col min="44" max="44" width="2.81640625" style="48" bestFit="1" customWidth="1"/>
    <col min="45" max="45" width="11" style="48" bestFit="1" customWidth="1"/>
    <col min="46" max="46" width="10.54296875" style="48" bestFit="1" customWidth="1"/>
    <col min="47" max="47" width="4.1796875" style="48" bestFit="1" customWidth="1"/>
    <col min="48" max="48" width="6.54296875" style="48" customWidth="1"/>
    <col min="49" max="16384" width="9.1796875" style="48"/>
  </cols>
  <sheetData>
    <row r="1" spans="1:44" ht="22" customHeight="1">
      <c r="A1" s="50" t="s">
        <v>655</v>
      </c>
      <c r="B1" s="50"/>
      <c r="C1" s="50"/>
      <c r="D1" s="50"/>
      <c r="E1" s="50"/>
      <c r="F1" s="50"/>
      <c r="G1" s="50"/>
      <c r="H1" s="50"/>
      <c r="I1" s="50"/>
      <c r="J1" s="50"/>
      <c r="K1" s="261"/>
      <c r="L1" s="49" t="s">
        <v>769</v>
      </c>
      <c r="M1" s="34"/>
      <c r="N1" s="34"/>
      <c r="O1" s="34"/>
      <c r="P1" s="34"/>
      <c r="Q1" s="34"/>
      <c r="R1" s="34"/>
      <c r="S1" s="277"/>
      <c r="T1" s="34"/>
      <c r="U1" s="277"/>
      <c r="V1" s="277"/>
      <c r="W1" s="277"/>
      <c r="X1" s="277"/>
      <c r="Y1" s="277"/>
      <c r="Z1" s="277"/>
      <c r="AA1" s="277"/>
      <c r="AB1" s="277"/>
      <c r="AC1" s="277"/>
      <c r="AD1" s="277"/>
      <c r="AE1" s="277"/>
      <c r="AF1" s="277"/>
      <c r="AG1" s="277"/>
      <c r="AH1" s="277"/>
      <c r="AI1" s="277"/>
      <c r="AJ1" s="277"/>
      <c r="AK1" s="277"/>
      <c r="AL1" s="277"/>
      <c r="AM1" s="277"/>
      <c r="AN1" s="261"/>
      <c r="AO1" s="261"/>
      <c r="AP1" s="261"/>
      <c r="AQ1" s="261"/>
      <c r="AR1" s="261"/>
    </row>
    <row r="2" spans="1:44" ht="15" customHeight="1">
      <c r="A2" s="380" t="s">
        <v>574</v>
      </c>
      <c r="B2" s="381">
        <v>3.6E-9</v>
      </c>
      <c r="C2" s="380"/>
      <c r="D2" s="380" t="s">
        <v>13</v>
      </c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261"/>
      <c r="W2" s="261"/>
      <c r="X2" s="261"/>
      <c r="Y2" s="261"/>
      <c r="Z2" s="261"/>
      <c r="AA2" s="261"/>
      <c r="AB2" s="261"/>
      <c r="AC2" s="261"/>
      <c r="AD2" s="261"/>
      <c r="AE2" s="261"/>
      <c r="AF2" s="261"/>
      <c r="AG2" s="261"/>
      <c r="AH2" s="261"/>
      <c r="AI2" s="261"/>
      <c r="AJ2" s="261"/>
      <c r="AK2" s="261"/>
      <c r="AL2" s="261"/>
      <c r="AM2" s="261"/>
      <c r="AN2" s="261"/>
      <c r="AO2" s="261"/>
      <c r="AP2" s="261"/>
      <c r="AQ2" s="261"/>
      <c r="AR2" s="261"/>
    </row>
    <row r="3" spans="1:44" ht="21.5" thickBot="1">
      <c r="A3" s="50" t="s">
        <v>656</v>
      </c>
      <c r="B3" s="50"/>
      <c r="C3" s="50"/>
      <c r="D3" s="50"/>
      <c r="E3" s="50"/>
      <c r="F3" s="50"/>
      <c r="G3" s="50"/>
      <c r="H3" s="50"/>
      <c r="I3" s="50"/>
      <c r="J3" s="50"/>
      <c r="K3" s="261"/>
      <c r="L3" s="49"/>
      <c r="M3" s="49" t="s">
        <v>656</v>
      </c>
      <c r="N3" s="49"/>
      <c r="O3" s="49"/>
      <c r="P3" s="49"/>
      <c r="Q3" s="53" t="s">
        <v>768</v>
      </c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261"/>
      <c r="AF3" s="19" t="s">
        <v>767</v>
      </c>
      <c r="AG3" s="19"/>
      <c r="AH3" s="509"/>
      <c r="AI3" s="509"/>
      <c r="AJ3" s="509"/>
      <c r="AK3" s="509"/>
      <c r="AL3" s="509"/>
      <c r="AM3" s="509"/>
      <c r="AN3" s="261"/>
      <c r="AO3" s="261"/>
      <c r="AP3" s="261"/>
      <c r="AQ3" s="261"/>
      <c r="AR3" s="261"/>
    </row>
    <row r="4" spans="1:44" ht="15" customHeight="1" thickBot="1">
      <c r="A4" s="261"/>
      <c r="B4" s="1150" t="s">
        <v>643</v>
      </c>
      <c r="C4" s="1151"/>
      <c r="D4" s="1151"/>
      <c r="E4" s="1151"/>
      <c r="F4" s="1151"/>
      <c r="G4" s="1152"/>
      <c r="H4" s="1150" t="s">
        <v>644</v>
      </c>
      <c r="I4" s="1151"/>
      <c r="J4" s="1152"/>
      <c r="K4" s="261"/>
      <c r="L4" s="21" t="s">
        <v>764</v>
      </c>
      <c r="M4" s="21" t="s">
        <v>255</v>
      </c>
      <c r="N4" s="21" t="s">
        <v>267</v>
      </c>
      <c r="O4" s="21" t="s">
        <v>257</v>
      </c>
      <c r="P4" s="21" t="s">
        <v>826</v>
      </c>
      <c r="Q4" s="21" t="s">
        <v>258</v>
      </c>
      <c r="R4" s="21" t="s">
        <v>388</v>
      </c>
      <c r="S4" s="27" t="s">
        <v>268</v>
      </c>
      <c r="T4" s="21" t="s">
        <v>492</v>
      </c>
      <c r="U4" s="21" t="s">
        <v>259</v>
      </c>
      <c r="V4" s="21" t="s">
        <v>638</v>
      </c>
      <c r="W4" s="27" t="s">
        <v>260</v>
      </c>
      <c r="X4" s="21" t="s">
        <v>270</v>
      </c>
      <c r="Y4" s="27" t="s">
        <v>708</v>
      </c>
      <c r="Z4" s="21" t="s">
        <v>709</v>
      </c>
      <c r="AA4" s="21" t="s">
        <v>828</v>
      </c>
      <c r="AB4" s="27" t="s">
        <v>637</v>
      </c>
      <c r="AC4" s="31" t="s">
        <v>636</v>
      </c>
      <c r="AD4" s="31" t="s">
        <v>829</v>
      </c>
      <c r="AE4" s="261"/>
      <c r="AF4" s="21" t="s">
        <v>261</v>
      </c>
      <c r="AG4" s="21" t="s">
        <v>764</v>
      </c>
      <c r="AH4" s="21" t="s">
        <v>255</v>
      </c>
      <c r="AI4" s="21" t="s">
        <v>256</v>
      </c>
      <c r="AJ4" s="21" t="s">
        <v>262</v>
      </c>
      <c r="AK4" s="21" t="s">
        <v>263</v>
      </c>
      <c r="AL4" s="21" t="s">
        <v>264</v>
      </c>
      <c r="AM4" s="21" t="s">
        <v>265</v>
      </c>
      <c r="AN4" s="261"/>
      <c r="AO4" s="261"/>
      <c r="AP4" s="261"/>
      <c r="AQ4" s="261"/>
      <c r="AR4" s="261"/>
    </row>
    <row r="5" spans="1:44" ht="21.75" customHeight="1" thickBot="1">
      <c r="A5" s="261"/>
      <c r="B5" s="229"/>
      <c r="C5" s="229" t="s">
        <v>389</v>
      </c>
      <c r="D5" s="229" t="s">
        <v>389</v>
      </c>
      <c r="E5" s="229" t="s">
        <v>646</v>
      </c>
      <c r="F5" s="229" t="s">
        <v>390</v>
      </c>
      <c r="G5" s="229" t="s">
        <v>391</v>
      </c>
      <c r="H5" s="229" t="s">
        <v>389</v>
      </c>
      <c r="I5" s="229" t="s">
        <v>389</v>
      </c>
      <c r="J5" s="229" t="s">
        <v>646</v>
      </c>
      <c r="K5" s="261"/>
      <c r="L5" s="22" t="s">
        <v>771</v>
      </c>
      <c r="M5" s="22" t="s">
        <v>271</v>
      </c>
      <c r="N5" s="22" t="s">
        <v>272</v>
      </c>
      <c r="O5" s="22" t="s">
        <v>273</v>
      </c>
      <c r="P5" s="22" t="s">
        <v>827</v>
      </c>
      <c r="Q5" s="22" t="s">
        <v>274</v>
      </c>
      <c r="R5" s="22"/>
      <c r="S5" s="29" t="s">
        <v>275</v>
      </c>
      <c r="T5" s="22"/>
      <c r="U5" s="22" t="s">
        <v>391</v>
      </c>
      <c r="V5" s="22"/>
      <c r="W5" s="28"/>
      <c r="X5" s="22" t="s">
        <v>831</v>
      </c>
      <c r="Y5" s="28" t="s">
        <v>391</v>
      </c>
      <c r="Z5" s="22" t="s">
        <v>710</v>
      </c>
      <c r="AA5" s="22"/>
      <c r="AB5" s="28" t="s">
        <v>13</v>
      </c>
      <c r="AC5" s="212" t="s">
        <v>13</v>
      </c>
      <c r="AD5" s="212" t="s">
        <v>830</v>
      </c>
      <c r="AE5" s="261"/>
      <c r="AF5" s="23" t="s">
        <v>254</v>
      </c>
      <c r="AG5" s="23"/>
      <c r="AH5" s="23"/>
      <c r="AI5" s="22"/>
      <c r="AJ5" s="23"/>
      <c r="AK5" s="23"/>
      <c r="AL5" s="23"/>
      <c r="AM5" s="23"/>
      <c r="AN5" s="261"/>
      <c r="AO5" s="261"/>
      <c r="AP5" s="261"/>
      <c r="AQ5" s="261"/>
      <c r="AR5" s="261"/>
    </row>
    <row r="6" spans="1:44" ht="28" customHeight="1" thickBot="1">
      <c r="A6" s="261"/>
      <c r="B6" s="296" t="s">
        <v>393</v>
      </c>
      <c r="C6" s="296" t="s">
        <v>394</v>
      </c>
      <c r="D6" s="296" t="s">
        <v>395</v>
      </c>
      <c r="E6" s="296" t="s">
        <v>398</v>
      </c>
      <c r="F6" s="296" t="s">
        <v>399</v>
      </c>
      <c r="G6" s="296" t="s">
        <v>400</v>
      </c>
      <c r="H6" s="296" t="s">
        <v>396</v>
      </c>
      <c r="I6" s="296" t="s">
        <v>397</v>
      </c>
      <c r="J6" s="296" t="s">
        <v>398</v>
      </c>
      <c r="K6" s="261"/>
      <c r="L6" s="24" t="s">
        <v>254</v>
      </c>
      <c r="M6" s="24" t="s">
        <v>254</v>
      </c>
      <c r="N6" s="24"/>
      <c r="O6" s="24"/>
      <c r="P6" s="24"/>
      <c r="Q6" s="24"/>
      <c r="R6" s="297">
        <f>SUM(R7:R25)</f>
        <v>1</v>
      </c>
      <c r="S6" s="24"/>
      <c r="T6" s="32"/>
      <c r="U6" s="24"/>
      <c r="V6" s="24"/>
      <c r="W6" s="24"/>
      <c r="X6" s="24"/>
      <c r="Y6" s="24"/>
      <c r="Z6" s="24"/>
      <c r="AA6" s="24"/>
      <c r="AB6" s="24"/>
      <c r="AC6" s="24"/>
      <c r="AD6" s="24"/>
      <c r="AE6" s="261"/>
      <c r="AF6" s="51" t="str">
        <f>"*"&amp; A7 &amp; " Rating"</f>
        <v>* Rating</v>
      </c>
      <c r="AG6" s="51"/>
      <c r="AH6" s="52"/>
      <c r="AI6" s="52"/>
      <c r="AJ6" s="52"/>
      <c r="AK6" s="52"/>
      <c r="AL6" s="52"/>
      <c r="AM6" s="52"/>
      <c r="AN6" s="261"/>
      <c r="AO6" s="261"/>
      <c r="AP6" s="261"/>
      <c r="AQ6" s="261"/>
      <c r="AR6" s="261"/>
    </row>
    <row r="7" spans="1:44">
      <c r="A7" s="261"/>
      <c r="B7" s="231" t="s">
        <v>578</v>
      </c>
      <c r="C7" s="232">
        <f>SUMIFS(INDEX(Table71618[],,MATCH($C$6,Table71618[#Headers],0)),Table71618[MainSpaceHeatingFuel],B7)</f>
        <v>998915</v>
      </c>
      <c r="D7" s="232">
        <f>SUMIFS(INDEX(Table71618[],,MATCH($D$6,Table71618[#Headers],0)),Table71618[MainSpaceHeatingFuel],B7)</f>
        <v>908107</v>
      </c>
      <c r="E7" s="232">
        <f>SUMIFS(INDEX(Table71618[],,MATCH($E$6,Table71618[#Headers],0)),Table71618[MainSpaceHeatingFuel],B7)</f>
        <v>28</v>
      </c>
      <c r="F7" s="232">
        <f>SUMIFS(INDEX(Table71618[],,MATCH($F$6,Table71618[#Headers],0)),Table71618[MainSpaceHeatingFuel],B7)</f>
        <v>3107</v>
      </c>
      <c r="G7" s="232">
        <f>AVERAGEIFS(INDEX(Table71618[],,MATCH($G$6,Table71618[#Headers],0)),Table71618[MainSpaceHeatingFuel],B7)</f>
        <v>61.904761904761905</v>
      </c>
      <c r="H7" s="232">
        <f>SUMIFS(INDEX(Table71618[],,MATCH($H$6,Table71618[#Headers],0)),Table71618[SupplSHFuelName],B7)</f>
        <v>1126036</v>
      </c>
      <c r="I7" s="232">
        <f>SUMIFS(INDEX(Table71618[],,MATCH($I$6,Table71618[#Headers],0)),Table71618[SupplSHFuelName],B7)</f>
        <v>1023670</v>
      </c>
      <c r="J7" s="232">
        <f>SUMIFS(INDEX(Table71618[],,MATCH($J$6,Table71618[#Headers],0)),Table71618[SupplSHFuelName],B7)</f>
        <v>271</v>
      </c>
      <c r="K7" s="261"/>
      <c r="L7" s="294" t="str">
        <f>_xlfn.TEXTJOIN(",",TRUE,IF(LEFT(Regions!$C$3,1)&lt;&gt;"*",Regions!$C$3,""),IF(LEFT(Regions!$D$3,1)&lt;&gt;"*",Regions!$D$3,""))</f>
        <v>IE,National</v>
      </c>
      <c r="M7" s="294" t="str">
        <f>LEFT(SETUP!$B$3,1)&amp;"-"&amp;SETUP!$B$50&amp;"_"&amp;RIGHT(COMM!$O$32,3)&amp;"_"&amp;RIGHT(O7,LEN(O7)-3)&amp;"_"&amp;SETUP!$B$64</f>
        <v>R-SH_Det_COA_X0</v>
      </c>
      <c r="N7" s="294" t="str">
        <f>COMM!$P$26&amp;" "&amp;COMM!F6&amp;" "&amp;SETUP!$C$64</f>
        <v>Residential Space Heating Detached Coal to Residential Existing 00</v>
      </c>
      <c r="O7" s="294" t="str">
        <f>COMM!$E$6</f>
        <v>RSDCOA</v>
      </c>
      <c r="P7" s="294"/>
      <c r="Q7" s="294" t="str">
        <f>COMM!O11&amp;","&amp;COMM!O14&amp;","&amp;COMM!O17&amp;","&amp;COMM!O20&amp;","&amp;COMM!O23&amp;","&amp;COMM!O26</f>
        <v>RSDSH_Det-AB,RSDSH_Det-C,RSDSH_Det-D,RSDSH_Det-E,RSDSH_Det-F,RSDSH_Det-G</v>
      </c>
      <c r="R7" s="389">
        <f>(E7+E14+E16)/SUM($E$7:$E$25)</f>
        <v>6.0080307972788707E-3</v>
      </c>
      <c r="S7" s="390">
        <f>R7*DwellingStocks!$K$28/1000</f>
        <v>4.4183462763581156</v>
      </c>
      <c r="T7" s="391">
        <f>(S7*1000)/(E7+E14+E16)*DwellingStocks!$T$27+1.0376</f>
        <v>3.0390542124396305</v>
      </c>
      <c r="U7" s="569">
        <f>(G7+G14+G16)/300</f>
        <v>0.61986329460013678</v>
      </c>
      <c r="V7" s="569">
        <f>AB7/S7/X7</f>
        <v>0.46414376338591429</v>
      </c>
      <c r="W7" s="393">
        <v>20</v>
      </c>
      <c r="X7" s="391">
        <f>31.536*(AD7/1000)</f>
        <v>0.94608000000000003</v>
      </c>
      <c r="Y7" s="393"/>
      <c r="Z7" s="393"/>
      <c r="AA7" s="393"/>
      <c r="AB7" s="394">
        <f>AC7*U7</f>
        <v>1.9401715435733349</v>
      </c>
      <c r="AC7" s="394">
        <f>IF(((D7+I7+D14+I14+D16+I16)*$B$2)&lt;=0.1,0,((D7+I7+D14+I14+D16+I16)*T7*$B$2))</f>
        <v>3.1299990828218123</v>
      </c>
      <c r="AD7" s="393">
        <v>30</v>
      </c>
      <c r="AE7" s="261"/>
      <c r="AF7" s="294" t="s">
        <v>266</v>
      </c>
      <c r="AG7" s="294" t="str">
        <f>_xlfn.TEXTJOIN(",",TRUE,IF(LEFT(Regions!$C$3,1)&lt;&gt;"*",Regions!$C$3,""),IF(LEFT(Regions!$D$3,1)&lt;&gt;"*",Regions!$D$3,""))</f>
        <v>IE,National</v>
      </c>
      <c r="AH7" s="294" t="str">
        <f t="shared" ref="AH7:AI12" si="0">M7</f>
        <v>R-SH_Det_COA_X0</v>
      </c>
      <c r="AI7" s="294" t="str">
        <f t="shared" si="0"/>
        <v>Residential Space Heating Detached Coal to Residential Existing 00</v>
      </c>
      <c r="AJ7" s="294" t="s">
        <v>13</v>
      </c>
      <c r="AK7" s="294" t="s">
        <v>275</v>
      </c>
      <c r="AL7" s="294"/>
      <c r="AM7" s="294"/>
      <c r="AN7" s="261"/>
      <c r="AO7" s="261"/>
      <c r="AP7" s="261"/>
      <c r="AQ7" s="261"/>
      <c r="AR7" s="261"/>
    </row>
    <row r="8" spans="1:44">
      <c r="A8" s="261"/>
      <c r="B8" s="230" t="s">
        <v>403</v>
      </c>
      <c r="C8" s="233">
        <f>SUMIFS(INDEX(Table71618[],,MATCH($C$6,Table71618[#Headers],0)),Table71618[MainSpaceHeatingFuel],B8)</f>
        <v>0</v>
      </c>
      <c r="D8" s="233">
        <f>SUMIFS(INDEX(Table71618[],,MATCH($D$6,Table71618[#Headers],0)),Table71618[MainSpaceHeatingFuel],B8)</f>
        <v>0</v>
      </c>
      <c r="E8" s="233">
        <f>SUMIFS(INDEX(Table71618[],,MATCH($E$6,Table71618[#Headers],0)),Table71618[MainSpaceHeatingFuel],B8)</f>
        <v>0</v>
      </c>
      <c r="F8" s="233">
        <f>SUMIFS(INDEX(Table71618[],,MATCH($F$6,Table71618[#Headers],0)),Table71618[MainSpaceHeatingFuel],B8)</f>
        <v>0</v>
      </c>
      <c r="G8" s="233">
        <f>IFERROR(AVERAGEIFS(INDEX(Table71618[],,MATCH($G$6,Table71618[#Headers],0)),Table71618[MainSpaceHeatingFuel],B8),0)</f>
        <v>0</v>
      </c>
      <c r="H8" s="233">
        <f>SUMIFS(INDEX(Table71618[],,MATCH($H$6,Table71618[#Headers],0)),Table71618[SupplSHFuelName],B8)</f>
        <v>0</v>
      </c>
      <c r="I8" s="233">
        <f>SUMIFS(INDEX(Table71618[],,MATCH($I$6,Table71618[#Headers],0)),Table71618[SupplSHFuelName],B8)</f>
        <v>0</v>
      </c>
      <c r="J8" s="233">
        <f>SUMIFS(INDEX(Table71618[],,MATCH($J$6,Table71618[#Headers],0)),Table71618[SupplSHFuelName],B8)</f>
        <v>0</v>
      </c>
      <c r="K8" s="261"/>
      <c r="L8" s="26" t="str">
        <f>_xlfn.TEXTJOIN(",",TRUE,IF(LEFT(Regions!$C$3,1)&lt;&gt;"*",Regions!$C$3,""),IF(LEFT(Regions!$D$3,1)&lt;&gt;"*",Regions!$D$3,""))</f>
        <v>IE,National</v>
      </c>
      <c r="M8" s="294" t="str">
        <f>LEFT(SETUP!$B$3,1)&amp;"-"&amp;SETUP!$B$50&amp;"_"&amp;RIGHT(COMM!$O$32,3)&amp;"_"&amp;RIGHT(O8,LEN(O8)-3)&amp;"_"&amp;SETUP!$B$64</f>
        <v>R-SH_Det_BDL_X0</v>
      </c>
      <c r="N8" s="26" t="str">
        <f>COMM!$P$26&amp;" "&amp;COMM!F21&amp;" "&amp;SETUP!$C$64</f>
        <v>Residential Space Heating Detached Biodiesel to Residential Existing 00</v>
      </c>
      <c r="O8" s="26" t="str">
        <f>COMM!$E$21</f>
        <v>RSDBDL</v>
      </c>
      <c r="P8" s="26"/>
      <c r="Q8" s="26" t="str">
        <f>COMM!O11&amp;","&amp;COMM!O14&amp;","&amp;COMM!O17&amp;","&amp;COMM!O20&amp;","&amp;COMM!O23&amp;","&amp;COMM!O26</f>
        <v>RSDSH_Det-AB,RSDSH_Det-C,RSDSH_Det-D,RSDSH_Det-E,RSDSH_Det-F,RSDSH_Det-G</v>
      </c>
      <c r="R8" s="396">
        <f>E8/SUM($E$7:$E$25)</f>
        <v>0</v>
      </c>
      <c r="S8" s="397">
        <f>R8*DwellingStocks!$K$28/1000</f>
        <v>0</v>
      </c>
      <c r="T8" s="398">
        <f>IFERROR((S8*1000)/E8*DwellingStocks!$T$27,0)</f>
        <v>0</v>
      </c>
      <c r="U8" s="570">
        <v>0.9</v>
      </c>
      <c r="V8" s="569">
        <f>+V10</f>
        <v>6.9794671886081558E-2</v>
      </c>
      <c r="W8" s="399">
        <v>20</v>
      </c>
      <c r="X8" s="567">
        <f t="shared" ref="X8:X13" si="1">31.536*(AD8/1000)</f>
        <v>0.94608000000000003</v>
      </c>
      <c r="Y8" s="399"/>
      <c r="Z8" s="399"/>
      <c r="AA8" s="399"/>
      <c r="AB8" s="400">
        <f>IFERROR(AC8*U8,0)</f>
        <v>0</v>
      </c>
      <c r="AC8" s="401">
        <f>IF(((D8+I8)*$B$2)&lt;=0.1,0,((D8+I8)*T8*$B$2))</f>
        <v>0</v>
      </c>
      <c r="AD8" s="563">
        <v>30</v>
      </c>
      <c r="AE8" s="261"/>
      <c r="AF8" s="26" t="s">
        <v>266</v>
      </c>
      <c r="AG8" s="26" t="str">
        <f>_xlfn.TEXTJOIN(",",TRUE,IF(LEFT(Regions!$C$3,1)&lt;&gt;"*",Regions!$C$3,""),IF(LEFT(Regions!$D$3,1)&lt;&gt;"*",Regions!$D$3,""))</f>
        <v>IE,National</v>
      </c>
      <c r="AH8" s="26" t="str">
        <f t="shared" si="0"/>
        <v>R-SH_Det_BDL_X0</v>
      </c>
      <c r="AI8" s="26" t="str">
        <f t="shared" si="0"/>
        <v>Residential Space Heating Detached Biodiesel to Residential Existing 00</v>
      </c>
      <c r="AJ8" s="26" t="s">
        <v>13</v>
      </c>
      <c r="AK8" s="26" t="s">
        <v>275</v>
      </c>
      <c r="AL8" s="26"/>
      <c r="AM8" s="26"/>
      <c r="AN8" s="261"/>
      <c r="AO8" s="261"/>
      <c r="AP8" s="261"/>
      <c r="AQ8" s="261"/>
      <c r="AR8" s="261"/>
    </row>
    <row r="9" spans="1:44">
      <c r="A9" s="261"/>
      <c r="B9" s="231" t="s">
        <v>404</v>
      </c>
      <c r="C9" s="232">
        <f>SUMIFS(INDEX(Table71618[],,MATCH($C$6,Table71618[#Headers],0)),Table71618[MainSpaceHeatingFuel],B9)</f>
        <v>0</v>
      </c>
      <c r="D9" s="232">
        <f>SUMIFS(INDEX(Table71618[],,MATCH($D$6,Table71618[#Headers],0)),Table71618[MainSpaceHeatingFuel],B9)</f>
        <v>0</v>
      </c>
      <c r="E9" s="232">
        <f>SUMIFS(INDEX(Table71618[],,MATCH($E$6,Table71618[#Headers],0)),Table71618[MainSpaceHeatingFuel],B9)</f>
        <v>0</v>
      </c>
      <c r="F9" s="232">
        <f>SUMIFS(INDEX(Table71618[],,MATCH($F$6,Table71618[#Headers],0)),Table71618[MainSpaceHeatingFuel],B9)</f>
        <v>0</v>
      </c>
      <c r="G9" s="232">
        <f>IFERROR(AVERAGEIFS(INDEX(Table71618[],,MATCH($G$6,Table71618[#Headers],0)),Table71618[MainSpaceHeatingFuel],B9),0)</f>
        <v>0</v>
      </c>
      <c r="H9" s="232">
        <f>SUMIFS(INDEX(Table71618[],,MATCH($H$6,Table71618[#Headers],0)),Table71618[SupplSHFuelName],B9)</f>
        <v>0</v>
      </c>
      <c r="I9" s="232">
        <f>SUMIFS(INDEX(Table71618[],,MATCH($I$6,Table71618[#Headers],0)),Table71618[SupplSHFuelName],B9)</f>
        <v>0</v>
      </c>
      <c r="J9" s="232">
        <f>SUMIFS(INDEX(Table71618[],,MATCH($J$6,Table71618[#Headers],0)),Table71618[SupplSHFuelName],B9)</f>
        <v>0</v>
      </c>
      <c r="K9" s="261"/>
      <c r="L9" s="294" t="str">
        <f>_xlfn.TEXTJOIN(",",TRUE,IF(LEFT(Regions!$C$3,1)&lt;&gt;"*",Regions!$C$3,""),IF(LEFT(Regions!$D$3,1)&lt;&gt;"*",Regions!$D$3,""))</f>
        <v>IE,National</v>
      </c>
      <c r="M9" s="294" t="str">
        <f>LEFT(SETUP!$B$3,1)&amp;"-"&amp;SETUP!$B$50&amp;"_"&amp;RIGHT(COMM!$O$32,3)&amp;"_"&amp;RIGHT(O9,LEN(O9)-3)&amp;"_"&amp;SETUP!$B$64</f>
        <v>R-SH_Det_ETH_X0</v>
      </c>
      <c r="N9" s="294" t="str">
        <f>COMM!$P$26&amp;" "&amp;COMM!F20&amp;" "&amp;SETUP!C64</f>
        <v>Residential Space Heating Detached Ethanol to Residential Existing 00</v>
      </c>
      <c r="O9" s="294" t="str">
        <f>COMM!$E$20</f>
        <v>RSDETH</v>
      </c>
      <c r="P9" s="294"/>
      <c r="Q9" s="294" t="str">
        <f>COMM!O11&amp;","&amp;COMM!O14&amp;","&amp;COMM!O17&amp;","&amp;COMM!O20&amp;","&amp;COMM!O23&amp;","&amp;COMM!O26</f>
        <v>RSDSH_Det-AB,RSDSH_Det-C,RSDSH_Det-D,RSDSH_Det-E,RSDSH_Det-F,RSDSH_Det-G</v>
      </c>
      <c r="R9" s="389">
        <f>E9/SUM($E$7:$E$25)</f>
        <v>0</v>
      </c>
      <c r="S9" s="390">
        <f>R9*DwellingStocks!$K$28/1000</f>
        <v>0</v>
      </c>
      <c r="T9" s="391">
        <f>IFERROR((S9*1000)/E9*DwellingStocks!$T$27,0)</f>
        <v>0</v>
      </c>
      <c r="U9" s="572">
        <v>0.9</v>
      </c>
      <c r="V9" s="569">
        <f>+V8</f>
        <v>6.9794671886081558E-2</v>
      </c>
      <c r="W9" s="393">
        <v>20</v>
      </c>
      <c r="X9" s="391">
        <f t="shared" si="1"/>
        <v>0.94608000000000003</v>
      </c>
      <c r="Y9" s="393"/>
      <c r="Z9" s="393"/>
      <c r="AA9" s="393"/>
      <c r="AB9" s="394">
        <f>IFERROR(AC9*U9,0)</f>
        <v>0</v>
      </c>
      <c r="AC9" s="394">
        <f>IF(((D9+I9)*$B$2)&lt;=0.1,0,((D9+I9)*T9*$B$2))</f>
        <v>0</v>
      </c>
      <c r="AD9" s="393">
        <v>30</v>
      </c>
      <c r="AE9" s="261"/>
      <c r="AF9" s="294" t="s">
        <v>266</v>
      </c>
      <c r="AG9" s="294" t="str">
        <f>_xlfn.TEXTJOIN(",",TRUE,IF(LEFT(Regions!$C$3,1)&lt;&gt;"*",Regions!$C$3,""),IF(LEFT(Regions!$D$3,1)&lt;&gt;"*",Regions!$D$3,""))</f>
        <v>IE,National</v>
      </c>
      <c r="AH9" s="294" t="str">
        <f t="shared" si="0"/>
        <v>R-SH_Det_ETH_X0</v>
      </c>
      <c r="AI9" s="294" t="str">
        <f t="shared" si="0"/>
        <v>Residential Space Heating Detached Ethanol to Residential Existing 00</v>
      </c>
      <c r="AJ9" s="294" t="s">
        <v>13</v>
      </c>
      <c r="AK9" s="294" t="s">
        <v>275</v>
      </c>
      <c r="AL9" s="294"/>
      <c r="AM9" s="294"/>
      <c r="AN9" s="261"/>
      <c r="AO9" s="261"/>
      <c r="AP9" s="261"/>
      <c r="AQ9" s="261"/>
      <c r="AR9" s="261"/>
    </row>
    <row r="10" spans="1:44">
      <c r="A10" s="261"/>
      <c r="B10" s="230" t="s">
        <v>425</v>
      </c>
      <c r="C10" s="233">
        <f>SUMIFS(INDEX(Table71618[],,MATCH($C$6,Table71618[#Headers],0)),Table71618[MainSpaceHeatingFuel],B10)</f>
        <v>12121879</v>
      </c>
      <c r="D10" s="233">
        <f>SUMIFS(INDEX(Table71618[],,MATCH($D$6,Table71618[#Headers],0)),Table71618[MainSpaceHeatingFuel],B10)</f>
        <v>11019891</v>
      </c>
      <c r="E10" s="233">
        <f>SUMIFS(INDEX(Table71618[],,MATCH($E$6,Table71618[#Headers],0)),Table71618[MainSpaceHeatingFuel],B10)</f>
        <v>524</v>
      </c>
      <c r="F10" s="233">
        <f>SUMIFS(INDEX(Table71618[],,MATCH($F$6,Table71618[#Headers],0)),Table71618[MainSpaceHeatingFuel],B10)</f>
        <v>79945</v>
      </c>
      <c r="G10" s="233">
        <f>AVERAGEIFS(INDEX(Table71618[],,MATCH($G$6,Table71618[#Headers],0)),Table71618[MainSpaceHeatingFuel],B10)</f>
        <v>82.460431654676256</v>
      </c>
      <c r="H10" s="233">
        <f>SUMIFS(INDEX(Table71618[],,MATCH($H$6,Table71618[#Headers],0)),Table71618[SupplSHFuelName],B10)</f>
        <v>31021096</v>
      </c>
      <c r="I10" s="233">
        <f>SUMIFS(INDEX(Table71618[],,MATCH($I$6,Table71618[#Headers],0)),Table71618[SupplSHFuelName],B10)</f>
        <v>28200993</v>
      </c>
      <c r="J10" s="233">
        <f>SUMIFS(INDEX(Table71618[],,MATCH($J$6,Table71618[#Headers],0)),Table71618[SupplSHFuelName],B10)</f>
        <v>5453</v>
      </c>
      <c r="K10" s="261"/>
      <c r="L10" s="26" t="str">
        <f>_xlfn.TEXTJOIN(",",TRUE,IF(LEFT(Regions!$C$3,1)&lt;&gt;"*",Regions!$C$3,""),IF(LEFT(Regions!$D$3,1)&lt;&gt;"*",Regions!$D$3,""))</f>
        <v>IE,National</v>
      </c>
      <c r="M10" s="294" t="str">
        <f>LEFT(SETUP!$B$3,1)&amp;"-"&amp;SETUP!$B$50&amp;"_"&amp;RIGHT(COMM!$O$32,3)&amp;"_"&amp;RIGHT(O10,LEN(O10)-3)&amp;"_"&amp;SETUP!$B$64</f>
        <v>R-SH_Det_LPG_X0</v>
      </c>
      <c r="N10" s="26" t="str">
        <f>COMM!$P$26&amp;" "&amp;COMM!F8&amp;" "&amp;SETUP!C64</f>
        <v>Residential Space Heating Detached LPG to Residential Existing 00</v>
      </c>
      <c r="O10" s="26" t="str">
        <f>COMM!$E$8</f>
        <v>RSDLPG</v>
      </c>
      <c r="P10" s="26"/>
      <c r="Q10" s="26" t="str">
        <f>COMM!O11&amp;","&amp;COMM!O14&amp;","&amp;COMM!O17&amp;","&amp;COMM!O20&amp;","&amp;COMM!O23&amp;","&amp;COMM!O26</f>
        <v>RSDSH_Det-AB,RSDSH_Det-C,RSDSH_Det-D,RSDSH_Det-E,RSDSH_Det-F,RSDSH_Det-G</v>
      </c>
      <c r="R10" s="396">
        <f>(E10+E11)/SUM($E$7:$E$25)</f>
        <v>2.2058324983614461E-2</v>
      </c>
      <c r="S10" s="397">
        <f>(R10)*DwellingStocks!$K$28/1000</f>
        <v>16.221840623418888</v>
      </c>
      <c r="T10" s="398">
        <f>(S10*1000)/(E10+E11)*DwellingStocks!$T$27+0.5284</f>
        <v>2.529854212439631</v>
      </c>
      <c r="U10" s="571">
        <f>(G10+G11)/200</f>
        <v>0.82661774762699336</v>
      </c>
      <c r="V10" s="569">
        <f t="shared" ref="V10" si="2">IF(AB10/S10/X10=0,0.12,AB10/S10/X10)</f>
        <v>6.9794671886081558E-2</v>
      </c>
      <c r="W10" s="399">
        <v>20</v>
      </c>
      <c r="X10" s="567">
        <f t="shared" si="1"/>
        <v>0.94608000000000003</v>
      </c>
      <c r="Y10" s="399"/>
      <c r="Z10" s="399"/>
      <c r="AA10" s="399"/>
      <c r="AB10" s="400">
        <f>AC10*U10</f>
        <v>1.071149925183535</v>
      </c>
      <c r="AC10" s="401">
        <f>IF(((D10+I10+D11+I11)*T10*$B$2)&lt;=0.1,0,((D10+I10+D11+I11)*T10*$B$2))</f>
        <v>1.2958225591678023</v>
      </c>
      <c r="AD10" s="563">
        <v>30</v>
      </c>
      <c r="AE10" s="261"/>
      <c r="AF10" s="26" t="s">
        <v>266</v>
      </c>
      <c r="AG10" s="26" t="str">
        <f>_xlfn.TEXTJOIN(",",TRUE,IF(LEFT(Regions!$C$3,1)&lt;&gt;"*",Regions!$C$3,""),IF(LEFT(Regions!$D$3,1)&lt;&gt;"*",Regions!$D$3,""))</f>
        <v>IE,National</v>
      </c>
      <c r="AH10" s="26" t="str">
        <f t="shared" si="0"/>
        <v>R-SH_Det_LPG_X0</v>
      </c>
      <c r="AI10" s="26" t="str">
        <f t="shared" si="0"/>
        <v>Residential Space Heating Detached LPG to Residential Existing 00</v>
      </c>
      <c r="AJ10" s="26" t="s">
        <v>13</v>
      </c>
      <c r="AK10" s="26" t="s">
        <v>275</v>
      </c>
      <c r="AL10" s="26"/>
      <c r="AM10" s="26"/>
      <c r="AN10" s="261"/>
      <c r="AO10" s="261"/>
      <c r="AP10" s="261"/>
      <c r="AQ10" s="261"/>
      <c r="AR10" s="261"/>
    </row>
    <row r="11" spans="1:44">
      <c r="A11" s="261"/>
      <c r="B11" s="231" t="s">
        <v>405</v>
      </c>
      <c r="C11" s="232">
        <f>SUMIFS(INDEX(Table71618[],,MATCH($C$6,Table71618[#Headers],0)),Table71618[MainSpaceHeatingFuel],B11)</f>
        <v>104798348</v>
      </c>
      <c r="D11" s="232">
        <f>SUMIFS(INDEX(Table71618[],,MATCH($D$6,Table71618[#Headers],0)),Table71618[MainSpaceHeatingFuel],B11)</f>
        <v>95271225</v>
      </c>
      <c r="E11" s="232">
        <f>SUMIFS(INDEX(Table71618[],,MATCH($E$6,Table71618[#Headers],0)),Table71618[MainSpaceHeatingFuel],B11)</f>
        <v>5332</v>
      </c>
      <c r="F11" s="232">
        <f>SUMIFS(INDEX(Table71618[],,MATCH($F$6,Table71618[#Headers],0)),Table71618[MainSpaceHeatingFuel],B11)</f>
        <v>869509</v>
      </c>
      <c r="G11" s="232">
        <f>AVERAGEIFS(INDEX(Table71618[],,MATCH($G$6,Table71618[#Headers],0)),Table71618[MainSpaceHeatingFuel],B11)</f>
        <v>82.863117870722434</v>
      </c>
      <c r="H11" s="232">
        <f>SUMIFS(INDEX(Table71618[],,MATCH($H$6,Table71618[#Headers],0)),Table71618[SupplSHFuelName],B11)</f>
        <v>8568013</v>
      </c>
      <c r="I11" s="232">
        <f>SUMIFS(INDEX(Table71618[],,MATCH($I$6,Table71618[#Headers],0)),Table71618[SupplSHFuelName],B11)</f>
        <v>7789098</v>
      </c>
      <c r="J11" s="232">
        <f>SUMIFS(INDEX(Table71618[],,MATCH($J$6,Table71618[#Headers],0)),Table71618[SupplSHFuelName],B11)</f>
        <v>1717</v>
      </c>
      <c r="K11" s="261"/>
      <c r="L11" s="294" t="str">
        <f>_xlfn.TEXTJOIN(",",TRUE,IF(LEFT(Regions!$C$3,1)&lt;&gt;"*",Regions!$C$3,""),IF(LEFT(Regions!$D$3,1)&lt;&gt;"*",Regions!$D$3,""))</f>
        <v>IE,National</v>
      </c>
      <c r="M11" s="294" t="str">
        <f>LEFT(SETUP!$B$3,1)&amp;"-"&amp;SETUP!$B$50&amp;"_"&amp;RIGHT(COMM!$O$32,3)&amp;"_"&amp;RIGHT(O11,LEN(O11)-3)&amp;"_"&amp;SETUP!$B$64</f>
        <v>R-SH_Det_ELC_X0</v>
      </c>
      <c r="N11" s="294" t="str">
        <f>COMM!$P$26&amp;" "&amp;COMM!F24&amp;" "&amp;SETUP!C64</f>
        <v>Residential Space Heating Detached Electricity to Residential Existing 00</v>
      </c>
      <c r="O11" s="294" t="str">
        <f>COMM!$E$24</f>
        <v>RSDELC</v>
      </c>
      <c r="P11" s="294"/>
      <c r="Q11" s="294" t="str">
        <f>COMM!O11&amp;","&amp;COMM!O14&amp;","&amp;COMM!O17&amp;","&amp;COMM!O20&amp;","&amp;COMM!O23&amp;","&amp;COMM!O26</f>
        <v>RSDSH_Det-AB,RSDSH_Det-C,RSDSH_Det-D,RSDSH_Det-E,RSDSH_Det-F,RSDSH_Det-G</v>
      </c>
      <c r="R11" s="389">
        <f>(ArchetypeDemand!Y52*SUM(E12+E25))/SUM($E$7:$E$25)</f>
        <v>4.7184700803833086E-2</v>
      </c>
      <c r="S11" s="390">
        <f>(R11)*DwellingStocks!$K$28/1000</f>
        <v>34.699946476990561</v>
      </c>
      <c r="T11" s="391">
        <f>(S11*1000)/(E25)*DwellingStocks!$T$27-0.67619</f>
        <v>3.30399990190904</v>
      </c>
      <c r="U11" s="569">
        <f>(G25)/100</f>
        <v>0.99952095808383234</v>
      </c>
      <c r="V11" s="569">
        <f t="shared" ref="V11:V12" si="3">AB11/S11/X11</f>
        <v>4.3843217634644882E-2</v>
      </c>
      <c r="W11" s="393">
        <v>20</v>
      </c>
      <c r="X11" s="391">
        <f t="shared" si="1"/>
        <v>0.94608000000000003</v>
      </c>
      <c r="Y11" s="393"/>
      <c r="Z11" s="393"/>
      <c r="AA11" s="393"/>
      <c r="AB11" s="394">
        <f>AC11*U11</f>
        <v>1.439325719399384</v>
      </c>
      <c r="AC11" s="394">
        <f>IF(((D25+I25)*T11*$B$2)&lt;=0.1,0,((D25+I25)*T11*$B$2))</f>
        <v>1.4400155472064291</v>
      </c>
      <c r="AD11" s="393">
        <v>30</v>
      </c>
      <c r="AE11" s="261"/>
      <c r="AF11" s="294" t="s">
        <v>266</v>
      </c>
      <c r="AG11" s="294" t="str">
        <f>_xlfn.TEXTJOIN(",",TRUE,IF(LEFT(Regions!$C$3,1)&lt;&gt;"*",Regions!$C$3,""),IF(LEFT(Regions!$D$3,1)&lt;&gt;"*",Regions!$D$3,""))</f>
        <v>IE,National</v>
      </c>
      <c r="AH11" s="294" t="str">
        <f t="shared" si="0"/>
        <v>R-SH_Det_ELC_X0</v>
      </c>
      <c r="AI11" s="294" t="str">
        <f t="shared" si="0"/>
        <v>Residential Space Heating Detached Electricity to Residential Existing 00</v>
      </c>
      <c r="AJ11" s="294" t="s">
        <v>13</v>
      </c>
      <c r="AK11" s="294" t="s">
        <v>275</v>
      </c>
      <c r="AL11" s="294"/>
      <c r="AM11" s="294"/>
      <c r="AN11" s="261"/>
      <c r="AO11" s="261"/>
      <c r="AP11" s="261"/>
      <c r="AQ11" s="261"/>
      <c r="AR11" s="261"/>
    </row>
    <row r="12" spans="1:44">
      <c r="A12" s="387" t="s">
        <v>652</v>
      </c>
      <c r="B12" s="230" t="s">
        <v>137</v>
      </c>
      <c r="C12" s="233">
        <f>SUMIFS(INDEX(Table71618[],,MATCH($C$6,Table71618[#Headers],0)),Table71618[MainSpaceHeatingFuel],B12, Table71618[Avg. HSMainSystemEfficiency],"&gt;100")</f>
        <v>118666210</v>
      </c>
      <c r="D12" s="233">
        <f>SUMIFS(INDEX(Table71618[],,MATCH($D$6,Table71618[#Headers],0)),Table71618[MainSpaceHeatingFuel],B12,Table71618[Avg. HSMainSystemEfficiency],"&gt;100")</f>
        <v>43950447</v>
      </c>
      <c r="E12" s="233">
        <f>SUMIFS(INDEX(Table71618[],,MATCH($E$6,Table71618[#Headers],0)),Table71618[MainSpaceHeatingFuel],B12,Table71618[Avg. HSMainSystemEfficiency],"&gt;100")</f>
        <v>11596</v>
      </c>
      <c r="F12" s="233">
        <f>SUMIFS(INDEX(Table71618[],,MATCH($F$6,Table71618[#Headers],0)),Table71618[MainSpaceHeatingFuel],B12,Table71618[Avg. HSMainSystemEfficiency],"&gt;100")</f>
        <v>2317655</v>
      </c>
      <c r="G12" s="233">
        <f>AVERAGEIFS(INDEX(Table71618[],,MATCH($G$6,Table71618[#Headers],0)),Table71618[MainSpaceHeatingFuel],B12,Table71618[Avg. HSMainSystemEfficiency],"&gt;100")</f>
        <v>308.97837837837835</v>
      </c>
      <c r="H12" s="233">
        <f>SUMIFS(INDEX(Table71618[],,MATCH($H$6,Table71618[#Headers],0)),Table71618[SupplSHFuelName],B12,Table71618[Avg. HSMainSystemEfficiency],"&gt;100")</f>
        <v>749675</v>
      </c>
      <c r="I12" s="233">
        <f>SUMIFS(INDEX(Table71618[],,MATCH($I$6,Table71618[#Headers],0)),Table71618[SupplSHFuelName],B12,Table71618[Avg. HSMainSystemEfficiency],"&gt;100")</f>
        <v>277659</v>
      </c>
      <c r="J12" s="233">
        <f>SUMIFS(INDEX(Table71618[],,MATCH($J$6,Table71618[#Headers],0)),Table71618[SupplSHFuelName],B12,Table71618[Avg. HSMainSystemEfficiency],"&gt;100")</f>
        <v>476</v>
      </c>
      <c r="K12" s="261"/>
      <c r="L12" s="26" t="str">
        <f>_xlfn.TEXTJOIN(",",TRUE,IF(LEFT(Regions!$C$3,1)&lt;&gt;"*",Regions!$C$3,""),IF(LEFT(Regions!$D$3,1)&lt;&gt;"*",Regions!$D$3,""))</f>
        <v>IE,National</v>
      </c>
      <c r="M12" s="294" t="str">
        <f>LEFT(SETUP!$B$3,1)&amp;"-"&amp;SETUP!$B$50&amp;"_"&amp;RIGHT(COMM!$O$32,3)&amp;"_"&amp;RIGHT(O12,LEN(O12)-3)&amp;"_"&amp;SETUP!$B$65</f>
        <v>R-SH_Det_ELC_X1</v>
      </c>
      <c r="N12" s="26" t="str">
        <f>COMM!$P$26&amp;" "&amp;COMM!F24&amp;" "&amp;SETUP!C65</f>
        <v>Residential Space Heating Detached Electricity to Residential Existing 01</v>
      </c>
      <c r="O12" s="26" t="str">
        <f>COMM!$E$24</f>
        <v>RSDELC</v>
      </c>
      <c r="P12" s="26"/>
      <c r="Q12" s="26" t="str">
        <f>COMM!O11&amp;","&amp;COMM!O14&amp;","&amp;COMM!O17&amp;","&amp;COMM!O20&amp;","&amp;COMM!O23&amp;","&amp;COMM!O26</f>
        <v>RSDSH_Det-AB,RSDSH_Det-C,RSDSH_Det-D,RSDSH_Det-E,RSDSH_Det-F,RSDSH_Det-G</v>
      </c>
      <c r="R12" s="396">
        <f>(ArchetypeDemand!Z52*SUM(E12+E25))/SUM($E$7:$E$25)</f>
        <v>2.0222014630214179E-2</v>
      </c>
      <c r="S12" s="397">
        <f>R12*DwellingStocks!$K$28/1000</f>
        <v>14.871405632995954</v>
      </c>
      <c r="T12" s="398">
        <f>(S12*1000)/E12*DwellingStocks!$T$27+0.392</f>
        <v>1.3185959761540325</v>
      </c>
      <c r="U12" s="571">
        <f>G12/100</f>
        <v>3.0897837837837834</v>
      </c>
      <c r="V12" s="571">
        <f t="shared" si="3"/>
        <v>0.13831906725092244</v>
      </c>
      <c r="W12" s="399">
        <v>20</v>
      </c>
      <c r="X12" s="567">
        <f t="shared" si="1"/>
        <v>0.31536000000000003</v>
      </c>
      <c r="Y12" s="399"/>
      <c r="Z12" s="399"/>
      <c r="AA12" s="399"/>
      <c r="AB12" s="400">
        <f>AC12*U12</f>
        <v>0.64869519072193782</v>
      </c>
      <c r="AC12" s="401">
        <f>IF(((D12+I12)*T12*$B$2)&lt;=0.1,0,((D12+I12)*T12*$B$2))</f>
        <v>0.20994840937625045</v>
      </c>
      <c r="AD12" s="563">
        <v>10</v>
      </c>
      <c r="AE12" s="261"/>
      <c r="AF12" s="26" t="s">
        <v>266</v>
      </c>
      <c r="AG12" s="26" t="str">
        <f>_xlfn.TEXTJOIN(",",TRUE,IF(LEFT(Regions!$C$3,1)&lt;&gt;"*",Regions!$C$3,""),IF(LEFT(Regions!$D$3,1)&lt;&gt;"*",Regions!$D$3,""))</f>
        <v>IE,National</v>
      </c>
      <c r="AH12" s="26" t="str">
        <f t="shared" si="0"/>
        <v>R-SH_Det_ELC_X1</v>
      </c>
      <c r="AI12" s="26" t="str">
        <f t="shared" si="0"/>
        <v>Residential Space Heating Detached Electricity to Residential Existing 01</v>
      </c>
      <c r="AJ12" s="26" t="s">
        <v>13</v>
      </c>
      <c r="AK12" s="26" t="s">
        <v>275</v>
      </c>
      <c r="AL12" s="26"/>
      <c r="AM12" s="26"/>
      <c r="AN12" s="261"/>
      <c r="AO12" s="261"/>
      <c r="AP12" s="261"/>
      <c r="AQ12" s="261"/>
      <c r="AR12" s="261"/>
    </row>
    <row r="13" spans="1:44">
      <c r="A13" s="261"/>
      <c r="B13" s="231" t="s">
        <v>406</v>
      </c>
      <c r="C13" s="232">
        <f>SUMIFS(INDEX(Table71618[],,MATCH($C$6,Table71618[#Headers],0)),Table71618[MainSpaceHeatingFuel],B13)</f>
        <v>3961627495</v>
      </c>
      <c r="D13" s="232">
        <f>SUMIFS(INDEX(Table71618[],,MATCH($D$6,Table71618[#Headers],0)),Table71618[MainSpaceHeatingFuel],B13)</f>
        <v>3601479543</v>
      </c>
      <c r="E13" s="232">
        <f>SUMIFS(INDEX(Table71618[],,MATCH($E$6,Table71618[#Headers],0)),Table71618[MainSpaceHeatingFuel],B13)</f>
        <v>184568</v>
      </c>
      <c r="F13" s="232">
        <f>SUMIFS(INDEX(Table71618[],,MATCH($F$6,Table71618[#Headers],0)),Table71618[MainSpaceHeatingFuel],B13)</f>
        <v>27845276</v>
      </c>
      <c r="G13" s="232">
        <f>AVERAGEIFS(INDEX(Table71618[],,MATCH($G$6,Table71618[#Headers],0)),Table71618[MainSpaceHeatingFuel],B13)</f>
        <v>82.280373831775705</v>
      </c>
      <c r="H13" s="232">
        <f>SUMIFS(INDEX(Table71618[],,MATCH($H$6,Table71618[#Headers],0)),Table71618[SupplSHFuelName],"*Oil*")</f>
        <v>25437854</v>
      </c>
      <c r="I13" s="232">
        <f>SUMIFS(INDEX(Table71618[],,MATCH($I$6,Table71618[#Headers],0)),Table71618[SupplSHFuelName],"*Oil*")</f>
        <v>23125327</v>
      </c>
      <c r="J13" s="232">
        <f>SUMIFS(INDEX(Table71618[],,MATCH($J$6,Table71618[#Headers],0)),Table71618[SupplSHFuelName],"*Oil*")</f>
        <v>7065</v>
      </c>
      <c r="K13" s="261"/>
      <c r="L13" s="48" t="str">
        <f>_xlfn.TEXTJOIN(",",TRUE,IF(LEFT(Regions!$C$3,1)&lt;&gt;"*",Regions!$C$3,""),IF(LEFT(Regions!$D$3,1)&lt;&gt;"*",Regions!$D$3,""))</f>
        <v>IE,National</v>
      </c>
      <c r="P13" s="26" t="str">
        <f>COMM!$E$19</f>
        <v>RSDAHT</v>
      </c>
      <c r="U13" s="574"/>
      <c r="V13" s="574"/>
      <c r="X13" s="568">
        <f t="shared" si="1"/>
        <v>0.63072000000000006</v>
      </c>
      <c r="AA13" s="617">
        <f>AC13/AB12</f>
        <v>0.23032451200792542</v>
      </c>
      <c r="AC13" s="560">
        <f>RSD_Balance!H22</f>
        <v>0.14941040324491844</v>
      </c>
      <c r="AD13" s="560">
        <v>20</v>
      </c>
      <c r="AF13" s="405" t="s">
        <v>254</v>
      </c>
      <c r="AG13" s="405"/>
      <c r="AH13" s="402"/>
      <c r="AI13" s="402"/>
      <c r="AJ13" s="402"/>
      <c r="AK13" s="402"/>
      <c r="AL13" s="402"/>
      <c r="AM13" s="402"/>
      <c r="AN13" s="261"/>
      <c r="AO13" s="261"/>
      <c r="AP13" s="261"/>
      <c r="AQ13" s="261"/>
      <c r="AR13" s="261"/>
    </row>
    <row r="14" spans="1:44">
      <c r="A14" s="261"/>
      <c r="B14" s="230" t="s">
        <v>427</v>
      </c>
      <c r="C14" s="233">
        <f>SUMIFS(INDEX(Table71618[],,MATCH($C$6,Table71618[#Headers],0)),Table71618[MainSpaceHeatingFuel],B14)</f>
        <v>36256448</v>
      </c>
      <c r="D14" s="233">
        <f>SUMIFS(INDEX(Table71618[],,MATCH($D$6,Table71618[#Headers],0)),Table71618[MainSpaceHeatingFuel],B14)</f>
        <v>32960406</v>
      </c>
      <c r="E14" s="233">
        <f>SUMIFS(INDEX(Table71618[],,MATCH($E$6,Table71618[#Headers],0)),Table71618[MainSpaceHeatingFuel],B14)</f>
        <v>919</v>
      </c>
      <c r="F14" s="233">
        <f>SUMIFS(INDEX(Table71618[],,MATCH($F$6,Table71618[#Headers],0)),Table71618[MainSpaceHeatingFuel],B14)</f>
        <v>90339</v>
      </c>
      <c r="G14" s="233">
        <f>AVERAGEIFS(INDEX(Table71618[],,MATCH($G$6,Table71618[#Headers],0)),Table71618[MainSpaceHeatingFuel],B14)</f>
        <v>60.008771929824562</v>
      </c>
      <c r="H14" s="233">
        <f>SUMIFS(INDEX(Table71618[],,MATCH($H$6,Table71618[#Headers],0)),Table71618[SupplSHFuelName],B14)</f>
        <v>108304262</v>
      </c>
      <c r="I14" s="233">
        <f>SUMIFS(INDEX(Table71618[],,MATCH($I$6,Table71618[#Headers],0)),Table71618[SupplSHFuelName],B14)</f>
        <v>98458423</v>
      </c>
      <c r="J14" s="233">
        <f>SUMIFS(INDEX(Table71618[],,MATCH($J$6,Table71618[#Headers],0)),Table71618[SupplSHFuelName],B14)</f>
        <v>21708</v>
      </c>
      <c r="K14" s="261"/>
      <c r="L14" s="294" t="str">
        <f>_xlfn.TEXTJOIN(",",TRUE,IF(LEFT(Regions!$C$3,1)&lt;&gt;"*",Regions!$C$3,""),IF(LEFT(Regions!$D$3,1)&lt;&gt;"*",Regions!$D$3,""))</f>
        <v>IE,National</v>
      </c>
      <c r="M14" s="294" t="str">
        <f>LEFT(SETUP!$B$3,1)&amp;"-"&amp;SETUP!$B$50&amp;"_"&amp;RIGHT(COMM!$O$32,3)&amp;"_"&amp;RIGHT(O14,LEN(O14)-3)&amp;"_"&amp;SETUP!$B$64</f>
        <v>R-SH_Det_KER_X0</v>
      </c>
      <c r="N14" s="294" t="str">
        <f>COMM!$P$26&amp;" "&amp;COMM!F10&amp;" "&amp;SETUP!C64</f>
        <v>Residential Space Heating Detached Kerosene to Residential Existing 00</v>
      </c>
      <c r="O14" s="294" t="str">
        <f>COMM!$E$10</f>
        <v>RSDKER</v>
      </c>
      <c r="P14" s="294"/>
      <c r="Q14" s="294" t="str">
        <f>COMM!O11&amp;","&amp;COMM!O14&amp;","&amp;COMM!O17&amp;","&amp;COMM!O20&amp;","&amp;COMM!O23&amp;","&amp;COMM!O26</f>
        <v>RSDSH_Det-AB,RSDSH_Det-C,RSDSH_Det-D,RSDSH_Det-E,RSDSH_Det-F,RSDSH_Det-G</v>
      </c>
      <c r="R14" s="389">
        <f>E13/SUM($E$7:$E$25)</f>
        <v>0.69522898319258097</v>
      </c>
      <c r="S14" s="390">
        <f>R14*DwellingStocks!$K$28/1000</f>
        <v>511.27607243565188</v>
      </c>
      <c r="T14" s="391">
        <f>(S14*1000)/E13*DwellingStocks!$T$27*1.21</f>
        <v>2.4217595970519534</v>
      </c>
      <c r="U14" s="569">
        <f>G13/100</f>
        <v>0.82280373831775711</v>
      </c>
      <c r="V14" s="569">
        <f>AB14/S14/X14</f>
        <v>5.3753546876215134E-2</v>
      </c>
      <c r="W14" s="393">
        <v>20</v>
      </c>
      <c r="X14" s="391">
        <f>31.536*(AD14/1000)</f>
        <v>0.94608000000000003</v>
      </c>
      <c r="Y14" s="393"/>
      <c r="Z14" s="393"/>
      <c r="AA14" s="393"/>
      <c r="AB14" s="394">
        <f>AC14*U14</f>
        <v>26.001024232919811</v>
      </c>
      <c r="AC14" s="394">
        <f>IF(((D13+I13)*$B$2)&lt;=0.1,0,((D13+I13)*T14*$B$2))</f>
        <v>31.600517865997496</v>
      </c>
      <c r="AD14" s="393">
        <v>30</v>
      </c>
      <c r="AE14" s="261"/>
      <c r="AF14" s="294" t="s">
        <v>266</v>
      </c>
      <c r="AG14" s="294" t="str">
        <f>_xlfn.TEXTJOIN(",",TRUE,IF(LEFT(Regions!$C$3,1)&lt;&gt;"*",Regions!$C$3,""),IF(LEFT(Regions!$D$3,1)&lt;&gt;"*",Regions!$D$3,""))</f>
        <v>IE,National</v>
      </c>
      <c r="AH14" s="294" t="str">
        <f>M14</f>
        <v>R-SH_Det_KER_X0</v>
      </c>
      <c r="AI14" s="294" t="str">
        <f>N14</f>
        <v>Residential Space Heating Detached Kerosene to Residential Existing 00</v>
      </c>
      <c r="AJ14" s="294" t="s">
        <v>13</v>
      </c>
      <c r="AK14" s="294" t="s">
        <v>275</v>
      </c>
      <c r="AL14" s="294"/>
      <c r="AM14" s="294"/>
      <c r="AN14" s="261"/>
      <c r="AO14" s="261"/>
      <c r="AP14" s="261"/>
      <c r="AQ14" s="261"/>
      <c r="AR14" s="261"/>
    </row>
    <row r="15" spans="1:44" ht="15" customHeight="1">
      <c r="A15" s="261"/>
      <c r="B15" s="231" t="s">
        <v>407</v>
      </c>
      <c r="C15" s="232">
        <f>SUMIFS(INDEX(Table71618[],,MATCH($C$6,Table71618[#Headers],0)),Table71618[MainSpaceHeatingFuel],B15)</f>
        <v>719840828</v>
      </c>
      <c r="D15" s="232">
        <f>SUMIFS(INDEX(Table71618[],,MATCH($D$6,Table71618[#Headers],0)),Table71618[MainSpaceHeatingFuel],B15)</f>
        <v>654400751</v>
      </c>
      <c r="E15" s="232">
        <f>SUMIFS(INDEX(Table71618[],,MATCH($E$6,Table71618[#Headers],0)),Table71618[MainSpaceHeatingFuel],B15)</f>
        <v>41651</v>
      </c>
      <c r="F15" s="232">
        <f>SUMIFS(INDEX(Table71618[],,MATCH($F$6,Table71618[#Headers],0)),Table71618[MainSpaceHeatingFuel],B15)</f>
        <v>6361658</v>
      </c>
      <c r="G15" s="232">
        <f>AVERAGEIFS(INDEX(Table71618[],,MATCH($G$6,Table71618[#Headers],0)),Table71618[MainSpaceHeatingFuel],B15)</f>
        <v>82.728758169934636</v>
      </c>
      <c r="H15" s="232">
        <f>SUMIFS(INDEX(Table71618[],,MATCH($H$6,Table71618[#Headers],0)),Table71618[SupplSHFuelName],B15)</f>
        <v>79302207</v>
      </c>
      <c r="I15" s="232">
        <f>SUMIFS(INDEX(Table71618[],,MATCH($I$6,Table71618[#Headers],0)),Table71618[SupplSHFuelName],B15)</f>
        <v>72092914</v>
      </c>
      <c r="J15" s="232">
        <f>SUMIFS(INDEX(Table71618[],,MATCH($J$6,Table71618[#Headers],0)),Table71618[SupplSHFuelName],B15)</f>
        <v>15362</v>
      </c>
      <c r="K15" s="261"/>
      <c r="L15" s="405" t="s">
        <v>254</v>
      </c>
      <c r="M15" s="405" t="s">
        <v>254</v>
      </c>
      <c r="N15" s="402"/>
      <c r="O15" s="402"/>
      <c r="P15" s="402"/>
      <c r="Q15" s="402"/>
      <c r="R15" s="403"/>
      <c r="S15" s="404"/>
      <c r="T15" s="402"/>
      <c r="U15" s="573"/>
      <c r="V15" s="573"/>
      <c r="W15" s="402"/>
      <c r="X15" s="564"/>
      <c r="Y15" s="402"/>
      <c r="Z15" s="402"/>
      <c r="AA15" s="402"/>
      <c r="AB15" s="402"/>
      <c r="AC15" s="402"/>
      <c r="AD15" s="565"/>
      <c r="AE15" s="261"/>
      <c r="AF15" s="405" t="s">
        <v>254</v>
      </c>
      <c r="AG15" s="405"/>
      <c r="AH15" s="402"/>
      <c r="AI15" s="402"/>
      <c r="AJ15" s="402"/>
      <c r="AK15" s="402"/>
      <c r="AL15" s="402"/>
      <c r="AM15" s="402"/>
      <c r="AN15" s="261"/>
      <c r="AO15" s="261"/>
      <c r="AP15" s="261"/>
      <c r="AQ15" s="261"/>
      <c r="AR15" s="261"/>
    </row>
    <row r="16" spans="1:44">
      <c r="A16" s="261"/>
      <c r="B16" s="230" t="s">
        <v>579</v>
      </c>
      <c r="C16" s="233">
        <f>SUMIFS(INDEX(Table71618[],,MATCH($C$6,Table71618[#Headers],0)),Table71618[MainSpaceHeatingFuel],B16)</f>
        <v>31739648</v>
      </c>
      <c r="D16" s="233">
        <f>SUMIFS(INDEX(Table71618[],,MATCH($D$6,Table71618[#Headers],0)),Table71618[MainSpaceHeatingFuel],B16)</f>
        <v>26449710</v>
      </c>
      <c r="E16" s="233">
        <f>SUMIFS(INDEX(Table71618[],,MATCH($E$6,Table71618[#Headers],0)),Table71618[MainSpaceHeatingFuel],B16)</f>
        <v>648</v>
      </c>
      <c r="F16" s="233">
        <f>SUMIFS(INDEX(Table71618[],,MATCH($F$6,Table71618[#Headers],0)),Table71618[MainSpaceHeatingFuel],B16)</f>
        <v>68529</v>
      </c>
      <c r="G16" s="233">
        <f>AVERAGEIFS(INDEX(Table71618[],,MATCH($G$6,Table71618[#Headers],0)),Table71618[MainSpaceHeatingFuel],B16)</f>
        <v>64.045454545454547</v>
      </c>
      <c r="H16" s="233">
        <f>SUMIFS(INDEX(Table71618[],,MATCH($H$6,Table71618[#Headers],0)),Table71618[SupplSHFuelName],B16)</f>
        <v>151548090</v>
      </c>
      <c r="I16" s="233">
        <f>SUMIFS(INDEX(Table71618[],,MATCH($I$6,Table71618[#Headers],0)),Table71618[SupplSHFuelName],B16)</f>
        <v>126290069</v>
      </c>
      <c r="J16" s="233">
        <f>SUMIFS(INDEX(Table71618[],,MATCH($J$6,Table71618[#Headers],0)),Table71618[SupplSHFuelName],B16)</f>
        <v>27706</v>
      </c>
      <c r="K16" s="261"/>
      <c r="L16" s="294" t="str">
        <f>_xlfn.TEXTJOIN(",",TRUE,IF(LEFT(Regions!$C$3,1)&lt;&gt;"*",Regions!$C$3,""),IF(LEFT(Regions!$D$3,1)&lt;&gt;"*",Regions!$D$3,""))</f>
        <v>IE,National</v>
      </c>
      <c r="M16" s="294" t="str">
        <f>LEFT(SETUP!$B$3,1)&amp;"-"&amp;SETUP!$B$50&amp;"_"&amp;RIGHT(COMM!$O$32,3)&amp;"_"&amp;MID(O16,4,3)&amp;"_"&amp;SETUP!$B$64</f>
        <v>R-SH_Det_GAS_X0</v>
      </c>
      <c r="N16" s="294" t="str">
        <f>COMM!$P$26&amp;" "&amp;COMM!F14&amp;" "&amp;SETUP!C64</f>
        <v>Residential Space Heating Detached Natural Gas to Residential Existing 00</v>
      </c>
      <c r="O16" s="294" t="str">
        <f>COMM!$E$14</f>
        <v>RSDGAS</v>
      </c>
      <c r="P16" s="294"/>
      <c r="Q16" s="294" t="str">
        <f>COMM!O11&amp;","&amp;COMM!O14&amp;","&amp;COMM!O17&amp;","&amp;COMM!O20&amp;","&amp;COMM!O23&amp;","&amp;COMM!O26</f>
        <v>RSDSH_Det-AB,RSDSH_Det-C,RSDSH_Det-D,RSDSH_Det-E,RSDSH_Det-F,RSDSH_Det-G</v>
      </c>
      <c r="R16" s="389">
        <f>E15/SUM($E$7:$E$25)</f>
        <v>0.15689058980405157</v>
      </c>
      <c r="S16" s="390">
        <f>R16*DwellingStocks!$K$28/1000</f>
        <v>115.37839545867831</v>
      </c>
      <c r="T16" s="391">
        <f>(S16*1000)/E15*DwellingStocks!$T$27</f>
        <v>2.0014542124396311</v>
      </c>
      <c r="U16" s="569">
        <f>G15/100</f>
        <v>0.82728758169934635</v>
      </c>
      <c r="V16" s="569">
        <f>AB16/S16/X16</f>
        <v>3.9672004092005449E-2</v>
      </c>
      <c r="W16" s="393">
        <v>20</v>
      </c>
      <c r="X16" s="391">
        <f>31.536*(AD16/1000)</f>
        <v>0.94608000000000003</v>
      </c>
      <c r="Y16" s="393"/>
      <c r="Z16" s="393"/>
      <c r="AA16" s="393"/>
      <c r="AB16" s="394">
        <f>AC16*U16</f>
        <v>4.3304845825945018</v>
      </c>
      <c r="AC16" s="394">
        <f>IF(((D15+I15)*$B$2)&lt;=0.1,0,((D15+I15)*T16*$B$2))</f>
        <v>5.2345577020498419</v>
      </c>
      <c r="AD16" s="393">
        <v>30</v>
      </c>
      <c r="AE16" s="261"/>
      <c r="AF16" s="294" t="s">
        <v>266</v>
      </c>
      <c r="AG16" s="294" t="str">
        <f>_xlfn.TEXTJOIN(",",TRUE,IF(LEFT(Regions!$C$3,1)&lt;&gt;"*",Regions!$C$3,""),IF(LEFT(Regions!$D$3,1)&lt;&gt;"*",Regions!$D$3,""))</f>
        <v>IE,National</v>
      </c>
      <c r="AH16" s="294" t="str">
        <f>M16</f>
        <v>R-SH_Det_GAS_X0</v>
      </c>
      <c r="AI16" s="294" t="str">
        <f>N16</f>
        <v>Residential Space Heating Detached Natural Gas to Residential Existing 00</v>
      </c>
      <c r="AJ16" s="294" t="s">
        <v>13</v>
      </c>
      <c r="AK16" s="294" t="s">
        <v>275</v>
      </c>
      <c r="AL16" s="294"/>
      <c r="AM16" s="294"/>
      <c r="AN16" s="261"/>
      <c r="AO16" s="261"/>
      <c r="AP16" s="261"/>
      <c r="AQ16" s="261"/>
      <c r="AR16" s="261"/>
    </row>
    <row r="17" spans="1:49">
      <c r="A17" s="261"/>
      <c r="B17" s="231" t="s">
        <v>428</v>
      </c>
      <c r="C17" s="232">
        <f>SUMIFS(INDEX(Table71618[],,MATCH($C$6,Table71618[#Headers],0)),Table71618[MainSpaceHeatingFuel],B17)</f>
        <v>3672127</v>
      </c>
      <c r="D17" s="232">
        <f>SUMIFS(INDEX(Table71618[],,MATCH($D$6,Table71618[#Headers],0)),Table71618[MainSpaceHeatingFuel],B17)</f>
        <v>3338298</v>
      </c>
      <c r="E17" s="232">
        <f>SUMIFS(INDEX(Table71618[],,MATCH($E$6,Table71618[#Headers],0)),Table71618[MainSpaceHeatingFuel],B17)</f>
        <v>101</v>
      </c>
      <c r="F17" s="232">
        <f>SUMIFS(INDEX(Table71618[],,MATCH($F$6,Table71618[#Headers],0)),Table71618[MainSpaceHeatingFuel],B17)</f>
        <v>10248</v>
      </c>
      <c r="G17" s="232">
        <f>AVERAGEIFS(INDEX(Table71618[],,MATCH($G$6,Table71618[#Headers],0)),Table71618[MainSpaceHeatingFuel],B17)</f>
        <v>56.657894736842103</v>
      </c>
      <c r="H17" s="232">
        <f>SUMIFS(INDEX(Table71618[],,MATCH($H$6,Table71618[#Headers],0)),Table71618[SupplSHFuelName],B17)</f>
        <v>8037020</v>
      </c>
      <c r="I17" s="232">
        <f>SUMIFS(INDEX(Table71618[],,MATCH($I$6,Table71618[#Headers],0)),Table71618[SupplSHFuelName],B17)</f>
        <v>7306379</v>
      </c>
      <c r="J17" s="232">
        <f>SUMIFS(INDEX(Table71618[],,MATCH($J$6,Table71618[#Headers],0)),Table71618[SupplSHFuelName],B17)</f>
        <v>1792</v>
      </c>
      <c r="K17" s="261"/>
      <c r="L17" s="405" t="s">
        <v>254</v>
      </c>
      <c r="M17" s="405" t="s">
        <v>254</v>
      </c>
      <c r="N17" s="402"/>
      <c r="O17" s="402"/>
      <c r="P17" s="402"/>
      <c r="Q17" s="402"/>
      <c r="R17" s="403"/>
      <c r="S17" s="404"/>
      <c r="T17" s="402"/>
      <c r="U17" s="573"/>
      <c r="V17" s="573"/>
      <c r="W17" s="402"/>
      <c r="X17" s="564"/>
      <c r="Y17" s="402"/>
      <c r="Z17" s="402"/>
      <c r="AA17" s="402"/>
      <c r="AB17" s="402"/>
      <c r="AC17" s="402"/>
      <c r="AD17" s="565"/>
      <c r="AE17" s="261"/>
      <c r="AF17" s="405" t="s">
        <v>254</v>
      </c>
      <c r="AG17" s="405"/>
      <c r="AH17" s="402"/>
      <c r="AI17" s="402"/>
      <c r="AJ17" s="402"/>
      <c r="AK17" s="402"/>
      <c r="AL17" s="402"/>
      <c r="AM17" s="402"/>
      <c r="AN17" s="261"/>
      <c r="AO17" s="261"/>
      <c r="AP17" s="261"/>
      <c r="AQ17" s="261"/>
      <c r="AR17" s="261"/>
    </row>
    <row r="18" spans="1:49">
      <c r="A18" s="261"/>
      <c r="B18" s="230" t="s">
        <v>431</v>
      </c>
      <c r="C18" s="233">
        <f>SUMIFS(INDEX(Table71618[],,MATCH($C$6,Table71618[#Headers],0)),Table71618[MainSpaceHeatingFuel],B18)</f>
        <v>26438332</v>
      </c>
      <c r="D18" s="233">
        <f>SUMIFS(INDEX(Table71618[],,MATCH($D$6,Table71618[#Headers],0)),Table71618[MainSpaceHeatingFuel],B18)</f>
        <v>24034850</v>
      </c>
      <c r="E18" s="233">
        <f>SUMIFS(INDEX(Table71618[],,MATCH($E$6,Table71618[#Headers],0)),Table71618[MainSpaceHeatingFuel],B18)</f>
        <v>670</v>
      </c>
      <c r="F18" s="233">
        <f>SUMIFS(INDEX(Table71618[],,MATCH($F$6,Table71618[#Headers],0)),Table71618[MainSpaceHeatingFuel],B18)</f>
        <v>69782</v>
      </c>
      <c r="G18" s="233">
        <f>AVERAGEIFS(INDEX(Table71618[],,MATCH($G$6,Table71618[#Headers],0)),Table71618[MainSpaceHeatingFuel],B18)</f>
        <v>52.5</v>
      </c>
      <c r="H18" s="233">
        <f>SUMIFS(INDEX(Table71618[],,MATCH($H$6,Table71618[#Headers],0)),Table71618[SupplSHFuelName],B18)</f>
        <v>14994190</v>
      </c>
      <c r="I18" s="233">
        <f>SUMIFS(INDEX(Table71618[],,MATCH($I$6,Table71618[#Headers],0)),Table71618[SupplSHFuelName],B18)</f>
        <v>13631079</v>
      </c>
      <c r="J18" s="233">
        <f>SUMIFS(INDEX(Table71618[],,MATCH($J$6,Table71618[#Headers],0)),Table71618[SupplSHFuelName],B18)</f>
        <v>3246</v>
      </c>
      <c r="K18" s="261"/>
      <c r="L18" s="294" t="str">
        <f>_xlfn.TEXTJOIN(",",TRUE,IF(LEFT(Regions!$C$3,1)&lt;&gt;"*",Regions!$C$3,""),IF(LEFT(Regions!$D$3,1)&lt;&gt;"*",Regions!$D$3,""))</f>
        <v>IE,National</v>
      </c>
      <c r="M18" s="294" t="str">
        <f>LEFT(SETUP!$B$3,1)&amp;"-"&amp;SETUP!$B$50&amp;"_"&amp;RIGHT(COMM!$O$32,3)&amp;"_"&amp;RIGHT(O18,LEN(O18)-3)&amp;"_"&amp;SETUP!$B$64</f>
        <v>R-SH_Det_PEA_X0</v>
      </c>
      <c r="N18" s="294" t="str">
        <f>COMM!$P$26&amp;" "&amp;COMM!F7&amp;" "&amp;SETUP!C64</f>
        <v>Residential Space Heating Detached Peat to Residential Existing 00</v>
      </c>
      <c r="O18" s="294" t="str">
        <f>COMM!E7</f>
        <v>RSDPEA</v>
      </c>
      <c r="P18" s="294"/>
      <c r="Q18" s="294" t="str">
        <f>COMM!O11&amp;","&amp;COMM!O14&amp;","&amp;COMM!O17&amp;","&amp;COMM!O20&amp;","&amp;COMM!O23&amp;","&amp;COMM!O26</f>
        <v>RSDSH_Det-AB,RSDSH_Det-C,RSDSH_Det-D,RSDSH_Det-E,RSDSH_Det-F,RSDSH_Det-G</v>
      </c>
      <c r="R18" s="389">
        <f>(E17+E18)/SUM($E$7:$E$25)</f>
        <v>2.90419545122383E-3</v>
      </c>
      <c r="S18" s="390">
        <f>R18*DwellingStocks!$K$28/1000</f>
        <v>2.1357648771611957</v>
      </c>
      <c r="T18" s="391">
        <f>(S18*1000)/(E17+E18)*DwellingStocks!$T$27+0.16</f>
        <v>2.1614542124396308</v>
      </c>
      <c r="U18" s="569">
        <f>(G17+G18)/200</f>
        <v>0.5457894736842106</v>
      </c>
      <c r="V18" s="569">
        <f>AB18/S18/X18</f>
        <v>0.10153946704487185</v>
      </c>
      <c r="W18" s="393">
        <v>20</v>
      </c>
      <c r="X18" s="391">
        <f>31.536*(AD18/1000)</f>
        <v>0.94608000000000003</v>
      </c>
      <c r="Y18" s="393"/>
      <c r="Z18" s="393"/>
      <c r="AA18" s="393"/>
      <c r="AB18" s="394">
        <f>AC18*U18</f>
        <v>0.20517109743684719</v>
      </c>
      <c r="AC18" s="394">
        <f>IF(((D17+I17)+D18+I18*$B$2)&lt;=0.1,0,((D17+I17+D18+I18)*T18*$B$2))</f>
        <v>0.37591618623916068</v>
      </c>
      <c r="AD18" s="393">
        <v>30</v>
      </c>
      <c r="AE18" s="261"/>
      <c r="AF18" s="294" t="s">
        <v>266</v>
      </c>
      <c r="AG18" s="294" t="str">
        <f>_xlfn.TEXTJOIN(",",TRUE,IF(LEFT(Regions!$C$3,1)&lt;&gt;"*",Regions!$C$3,""),IF(LEFT(Regions!$D$3,1)&lt;&gt;"*",Regions!$D$3,""))</f>
        <v>IE,National</v>
      </c>
      <c r="AH18" s="294" t="str">
        <f>M18</f>
        <v>R-SH_Det_PEA_X0</v>
      </c>
      <c r="AI18" s="294" t="str">
        <f>N18</f>
        <v>Residential Space Heating Detached Peat to Residential Existing 00</v>
      </c>
      <c r="AJ18" s="294" t="s">
        <v>13</v>
      </c>
      <c r="AK18" s="294" t="s">
        <v>275</v>
      </c>
      <c r="AL18" s="294"/>
      <c r="AM18" s="294"/>
      <c r="AN18" s="261"/>
      <c r="AO18" s="261"/>
      <c r="AP18" s="261"/>
      <c r="AQ18" s="261"/>
      <c r="AR18" s="261"/>
    </row>
    <row r="19" spans="1:49">
      <c r="A19" s="261"/>
      <c r="B19" s="231" t="s">
        <v>426</v>
      </c>
      <c r="C19" s="232">
        <f>SUMIFS(INDEX(Table71618[],,MATCH($C$6,Table71618[#Headers],0)),Table71618[MainSpaceHeatingFuel],B19)</f>
        <v>457739569</v>
      </c>
      <c r="D19" s="232">
        <f>SUMIFS(INDEX(Table71618[],,MATCH($D$6,Table71618[#Headers],0)),Table71618[MainSpaceHeatingFuel],B19)</f>
        <v>416126877</v>
      </c>
      <c r="E19" s="232">
        <f>SUMIFS(INDEX(Table71618[],,MATCH($E$6,Table71618[#Headers],0)),Table71618[MainSpaceHeatingFuel],B19)</f>
        <v>11635</v>
      </c>
      <c r="F19" s="232">
        <f>SUMIFS(INDEX(Table71618[],,MATCH($F$6,Table71618[#Headers],0)),Table71618[MainSpaceHeatingFuel],B19)</f>
        <v>1161247</v>
      </c>
      <c r="G19" s="232">
        <f>AVERAGEIFS(INDEX(Table71618[],,MATCH($G$6,Table71618[#Headers],0)),Table71618[MainSpaceHeatingFuel],B19)</f>
        <v>61.47422680412371</v>
      </c>
      <c r="H19" s="232">
        <f>SUMIFS(INDEX(Table71618[],,MATCH($H$6,Table71618[#Headers],0)),Table71618[SupplSHFuelName],B19)</f>
        <v>675279762</v>
      </c>
      <c r="I19" s="232">
        <f>SUMIFS(INDEX(Table71618[],,MATCH($I$6,Table71618[#Headers],0)),Table71618[SupplSHFuelName],B19)</f>
        <v>613890680</v>
      </c>
      <c r="J19" s="232">
        <f>SUMIFS(INDEX(Table71618[],,MATCH($J$6,Table71618[#Headers],0)),Table71618[SupplSHFuelName],B19)</f>
        <v>148510</v>
      </c>
      <c r="K19" s="261"/>
      <c r="L19" s="405" t="s">
        <v>254</v>
      </c>
      <c r="M19" s="405" t="s">
        <v>254</v>
      </c>
      <c r="N19" s="402"/>
      <c r="O19" s="402"/>
      <c r="P19" s="402"/>
      <c r="Q19" s="402"/>
      <c r="R19" s="403"/>
      <c r="S19" s="404"/>
      <c r="T19" s="402"/>
      <c r="U19" s="573"/>
      <c r="V19" s="573"/>
      <c r="W19" s="402"/>
      <c r="X19" s="564"/>
      <c r="Y19" s="402"/>
      <c r="Z19" s="402"/>
      <c r="AA19" s="402"/>
      <c r="AB19" s="402"/>
      <c r="AC19" s="402"/>
      <c r="AD19" s="565"/>
      <c r="AE19" s="261"/>
      <c r="AF19" s="405" t="s">
        <v>254</v>
      </c>
      <c r="AG19" s="405"/>
      <c r="AH19" s="402"/>
      <c r="AI19" s="402"/>
      <c r="AJ19" s="402"/>
      <c r="AK19" s="402"/>
      <c r="AL19" s="402"/>
      <c r="AM19" s="402"/>
      <c r="AN19" s="261"/>
      <c r="AO19" s="261"/>
      <c r="AP19" s="261"/>
      <c r="AQ19" s="261"/>
      <c r="AR19" s="261"/>
    </row>
    <row r="20" spans="1:49">
      <c r="A20" s="261"/>
      <c r="B20" s="230" t="s">
        <v>481</v>
      </c>
      <c r="C20" s="233">
        <f>SUMIFS(INDEX(Table71618[],,MATCH($C$6,Table71618[#Headers],0)),Table71618[MainSpaceHeatingFuel],B20)</f>
        <v>772597</v>
      </c>
      <c r="D20" s="233">
        <f>SUMIFS(INDEX(Table71618[],,MATCH($D$6,Table71618[#Headers],0)),Table71618[MainSpaceHeatingFuel],B20)</f>
        <v>702362</v>
      </c>
      <c r="E20" s="233">
        <f>SUMIFS(INDEX(Table71618[],,MATCH($E$6,Table71618[#Headers],0)),Table71618[MainSpaceHeatingFuel],B20)</f>
        <v>24</v>
      </c>
      <c r="F20" s="233">
        <f>SUMIFS(INDEX(Table71618[],,MATCH($F$6,Table71618[#Headers],0)),Table71618[MainSpaceHeatingFuel],B20)</f>
        <v>5665</v>
      </c>
      <c r="G20" s="233">
        <v>0</v>
      </c>
      <c r="H20" s="233">
        <f>SUMIFS(INDEX(Table71618[],,MATCH($H$6,Table71618[#Headers],0)),Table71618[SupplSHFuelName],B20)</f>
        <v>1003865</v>
      </c>
      <c r="I20" s="233">
        <f>SUMIFS(INDEX(Table71618[],,MATCH($I$6,Table71618[#Headers],0)),Table71618[SupplSHFuelName],B20)</f>
        <v>912600</v>
      </c>
      <c r="J20" s="233">
        <f>SUMIFS(INDEX(Table71618[],,MATCH($J$6,Table71618[#Headers],0)),Table71618[SupplSHFuelName],B20)</f>
        <v>244</v>
      </c>
      <c r="K20" s="261"/>
      <c r="L20" s="26" t="str">
        <f>_xlfn.TEXTJOIN(",",TRUE,IF(LEFT(Regions!$C$3,1)&lt;&gt;"*",Regions!$C$3,""),IF(LEFT(Regions!$D$3,1)&lt;&gt;"*",Regions!$D$3,""))</f>
        <v>IE,National</v>
      </c>
      <c r="M20" s="26" t="str">
        <f>LEFT(SETUP!$B$3,1)&amp;"-"&amp;SETUP!$B$50&amp;"_"&amp;RIGHT(COMM!$O$32,3)&amp;"_"&amp;RIGHT(COMM!E23,LEN(COMM!E23)-3)&amp;"_"&amp;SETUP!$B$64</f>
        <v>R-SH_Det_SMF_X0</v>
      </c>
      <c r="N20" s="26" t="str">
        <f>COMM!$P$26&amp;" "&amp;COMM!F23&amp;" "&amp;SETUP!C64</f>
        <v>Residential Space Heating Detached Solid Multi-Fuel Existing 00</v>
      </c>
      <c r="O20" s="26" t="str">
        <f>COMM!E6</f>
        <v>RSDCOA</v>
      </c>
      <c r="P20" s="26"/>
      <c r="Q20" s="26" t="str">
        <f>COMM!O11&amp;","&amp;COMM!O14&amp;","&amp;COMM!O17&amp;","&amp;COMM!O20&amp;","&amp;COMM!O23&amp;","&amp;COMM!O26</f>
        <v>RSDSH_Det-AB,RSDSH_Det-C,RSDSH_Det-D,RSDSH_Det-E,RSDSH_Det-F,RSDSH_Det-G</v>
      </c>
      <c r="R20" s="396">
        <f>E19/SUM($E$7:$E$25)</f>
        <v>4.3826607101153388E-2</v>
      </c>
      <c r="S20" s="397">
        <f>R20*DwellingStocks!$K$28/1000</f>
        <v>32.230381771427382</v>
      </c>
      <c r="T20" s="398">
        <f>(S20*1000)/E19*DwellingStocks!$T$27-0.19617</f>
        <v>1.8052842124396307</v>
      </c>
      <c r="U20" s="570">
        <f>G19/100</f>
        <v>0.61474226804123711</v>
      </c>
      <c r="V20" s="571">
        <f>SUM(AB20:AB22)/S20/X20</f>
        <v>0.13495608652757685</v>
      </c>
      <c r="W20" s="399">
        <v>20</v>
      </c>
      <c r="X20" s="567">
        <f>31.536*(AD20/1000)</f>
        <v>0.94608000000000003</v>
      </c>
      <c r="Y20" s="515">
        <f>RSD_Balance!$H$2</f>
        <v>0.19400000000000001</v>
      </c>
      <c r="Z20" s="399">
        <v>5</v>
      </c>
      <c r="AA20" s="399"/>
      <c r="AB20" s="400">
        <f>AC20*$U$20</f>
        <v>0.79833931567642635</v>
      </c>
      <c r="AC20" s="401">
        <f>IF(((D19+I19)*$B$2)&lt;=0.1,0,((D19+I19)*T20*$B$2))*Y20</f>
        <v>1.2986569448367158</v>
      </c>
      <c r="AD20" s="563">
        <v>30</v>
      </c>
      <c r="AE20" s="261"/>
      <c r="AF20" s="294" t="s">
        <v>266</v>
      </c>
      <c r="AG20" s="294" t="str">
        <f>_xlfn.TEXTJOIN(",",TRUE,IF(LEFT(Regions!$C$3,1)&lt;&gt;"*",Regions!$C$3,""),IF(LEFT(Regions!$D$3,1)&lt;&gt;"*",Regions!$D$3,""))</f>
        <v>IE,National</v>
      </c>
      <c r="AH20" s="294" t="str">
        <f>M20</f>
        <v>R-SH_Det_SMF_X0</v>
      </c>
      <c r="AI20" s="294" t="str">
        <f>N20</f>
        <v>Residential Space Heating Detached Solid Multi-Fuel Existing 00</v>
      </c>
      <c r="AJ20" s="294" t="s">
        <v>13</v>
      </c>
      <c r="AK20" s="294" t="s">
        <v>275</v>
      </c>
      <c r="AL20" s="294"/>
      <c r="AM20" s="294"/>
      <c r="AN20" s="261"/>
      <c r="AO20" s="261"/>
      <c r="AP20" s="261"/>
      <c r="AQ20" s="261"/>
      <c r="AR20" s="261"/>
    </row>
    <row r="21" spans="1:49">
      <c r="A21" s="261"/>
      <c r="B21" s="231" t="s">
        <v>433</v>
      </c>
      <c r="C21" s="232">
        <f>SUMIFS(INDEX(Table71618[],,MATCH($C$6,Table71618[#Headers],0)),Table71618[MainSpaceHeatingFuel],B21)</f>
        <v>12589938</v>
      </c>
      <c r="D21" s="232">
        <f>SUMIFS(INDEX(Table71618[],,MATCH($D$6,Table71618[#Headers],0)),Table71618[MainSpaceHeatingFuel],B21)</f>
        <v>11445401</v>
      </c>
      <c r="E21" s="232">
        <f>SUMIFS(INDEX(Table71618[],,MATCH($E$6,Table71618[#Headers],0)),Table71618[MainSpaceHeatingFuel],B21)</f>
        <v>403</v>
      </c>
      <c r="F21" s="232">
        <f>SUMIFS(INDEX(Table71618[],,MATCH($F$6,Table71618[#Headers],0)),Table71618[MainSpaceHeatingFuel],B21)</f>
        <v>54898</v>
      </c>
      <c r="G21" s="232">
        <f>AVERAGEIFS(INDEX(Table71618[],,MATCH($G$6,Table71618[#Headers],0)),Table71618[MainSpaceHeatingFuel],B21)</f>
        <v>65.007633587786259</v>
      </c>
      <c r="H21" s="232">
        <f>SUMIFS(INDEX(Table71618[],,MATCH($H$6,Table71618[#Headers],0)),Table71618[SupplSHFuelName],B21)</f>
        <v>24940726</v>
      </c>
      <c r="I21" s="232">
        <f>SUMIFS(INDEX(Table71618[],,MATCH($I$6,Table71618[#Headers],0)),Table71618[SupplSHFuelName],B21)</f>
        <v>22673381</v>
      </c>
      <c r="J21" s="232">
        <f>SUMIFS(INDEX(Table71618[],,MATCH($J$6,Table71618[#Headers],0)),Table71618[SupplSHFuelName],B21)</f>
        <v>8757</v>
      </c>
      <c r="K21" s="261"/>
      <c r="L21" s="294" t="str">
        <f>_xlfn.TEXTJOIN(",",TRUE,IF(LEFT(Regions!$C$3,1)&lt;&gt;"*",Regions!$C$3,""),IF(LEFT(Regions!$D$3,1)&lt;&gt;"*",Regions!$D$3,""))</f>
        <v>IE,National</v>
      </c>
      <c r="M21" s="294"/>
      <c r="N21" s="294"/>
      <c r="O21" s="294" t="str">
        <f>COMM!E7</f>
        <v>RSDPEA</v>
      </c>
      <c r="P21" s="294"/>
      <c r="Q21" s="294"/>
      <c r="R21" s="389"/>
      <c r="S21" s="390"/>
      <c r="T21" s="391"/>
      <c r="U21" s="572"/>
      <c r="V21" s="569"/>
      <c r="W21" s="393"/>
      <c r="X21" s="391"/>
      <c r="Y21" s="516">
        <f>RSD_Balance!$H$3</f>
        <v>0.74399999999999999</v>
      </c>
      <c r="Z21" s="393">
        <v>5</v>
      </c>
      <c r="AA21" s="393"/>
      <c r="AB21" s="394">
        <f>AC21*$U$20</f>
        <v>3.0616724271302127</v>
      </c>
      <c r="AC21" s="394">
        <f>IF(((D19+I19)*$B$2)&lt;=0.1,0,((D19+I19)*T20*$B$2))*Y21</f>
        <v>4.9804163245284361</v>
      </c>
      <c r="AD21" s="393">
        <v>30</v>
      </c>
      <c r="AE21" s="261"/>
      <c r="AF21" s="26" t="s">
        <v>266</v>
      </c>
      <c r="AG21" s="26" t="str">
        <f>_xlfn.TEXTJOIN(",",TRUE,IF(LEFT(Regions!$C$3,1)&lt;&gt;"*",Regions!$C$3,""),IF(LEFT(Regions!$D$3,1)&lt;&gt;"*",Regions!$D$3,""))</f>
        <v>IE,National</v>
      </c>
      <c r="AH21" s="26" t="str">
        <f>M23</f>
        <v>R-SH_Det_WOO_X0</v>
      </c>
      <c r="AI21" s="26" t="str">
        <f>N23</f>
        <v>Residential Space Heating Detached Biomass to Residential Existing 00</v>
      </c>
      <c r="AJ21" s="26" t="s">
        <v>13</v>
      </c>
      <c r="AK21" s="26" t="s">
        <v>275</v>
      </c>
      <c r="AL21" s="26"/>
      <c r="AM21" s="26"/>
      <c r="AN21" s="261"/>
      <c r="AO21" s="261"/>
      <c r="AP21" s="261"/>
      <c r="AQ21" s="261"/>
      <c r="AR21" s="261"/>
    </row>
    <row r="22" spans="1:49">
      <c r="A22" s="261"/>
      <c r="B22" s="230" t="s">
        <v>408</v>
      </c>
      <c r="C22" s="233">
        <f>SUMIFS(INDEX(Table71618[],,MATCH($C$6,Table71618[#Headers],0)),Table71618[MainSpaceHeatingFuel],B22)</f>
        <v>19094423</v>
      </c>
      <c r="D22" s="233">
        <f>SUMIFS(INDEX(Table71618[],,MATCH($D$6,Table71618[#Headers],0)),Table71618[MainSpaceHeatingFuel],B22)</f>
        <v>17358571</v>
      </c>
      <c r="E22" s="233">
        <f>SUMIFS(INDEX(Table71618[],,MATCH($E$6,Table71618[#Headers],0)),Table71618[MainSpaceHeatingFuel],B22)</f>
        <v>814</v>
      </c>
      <c r="F22" s="233">
        <f>SUMIFS(INDEX(Table71618[],,MATCH($F$6,Table71618[#Headers],0)),Table71618[MainSpaceHeatingFuel],B22)</f>
        <v>163967</v>
      </c>
      <c r="G22" s="233">
        <f>AVERAGEIFS(INDEX(Table71618[],,MATCH($G$6,Table71618[#Headers],0)),Table71618[MainSpaceHeatingFuel],B22)</f>
        <v>76.857142857142861</v>
      </c>
      <c r="H22" s="233">
        <f>SUMIFS(INDEX(Table71618[],,MATCH($H$6,Table71618[#Headers],0)),Table71618[SupplSHFuelName],B22)</f>
        <v>228405</v>
      </c>
      <c r="I22" s="233">
        <f>SUMIFS(INDEX(Table71618[],,MATCH($I$6,Table71618[#Headers],0)),Table71618[SupplSHFuelName],B22)</f>
        <v>207643</v>
      </c>
      <c r="J22" s="233">
        <f>SUMIFS(INDEX(Table71618[],,MATCH($J$6,Table71618[#Headers],0)),Table71618[SupplSHFuelName],B22)</f>
        <v>64</v>
      </c>
      <c r="K22" s="261"/>
      <c r="L22" s="26" t="str">
        <f>_xlfn.TEXTJOIN(",",TRUE,IF(LEFT(Regions!$C$3,1)&lt;&gt;"*",Regions!$C$3,""),IF(LEFT(Regions!$D$3,1)&lt;&gt;"*",Regions!$D$3,""))</f>
        <v>IE,National</v>
      </c>
      <c r="M22" s="26"/>
      <c r="N22" s="26"/>
      <c r="O22" s="26" t="str">
        <f>COMM!E16</f>
        <v>RSDWOO</v>
      </c>
      <c r="P22" s="26"/>
      <c r="Q22" s="26"/>
      <c r="R22" s="396"/>
      <c r="S22" s="397"/>
      <c r="T22" s="398"/>
      <c r="U22" s="570"/>
      <c r="V22" s="571"/>
      <c r="W22" s="399"/>
      <c r="X22" s="567"/>
      <c r="Y22" s="515">
        <f>RSD_Balance!$H$4</f>
        <v>6.2E-2</v>
      </c>
      <c r="Z22" s="399">
        <v>5</v>
      </c>
      <c r="AA22" s="399"/>
      <c r="AB22" s="400">
        <f>AC22*$U$20</f>
        <v>0.25513936892751771</v>
      </c>
      <c r="AC22" s="401">
        <f>IF(((D19+I19)*$B$2)&lt;=0.1,0,((D19+I19)*T20*$B$2))*Y22</f>
        <v>0.41503469371070295</v>
      </c>
      <c r="AD22" s="563">
        <v>30</v>
      </c>
      <c r="AE22" s="261"/>
      <c r="AF22" s="294" t="s">
        <v>266</v>
      </c>
      <c r="AG22" s="294" t="str">
        <f>_xlfn.TEXTJOIN(",",TRUE,IF(LEFT(Regions!$C$3,1)&lt;&gt;"*",Regions!$C$3,""),IF(LEFT(Regions!$D$3,1)&lt;&gt;"*",Regions!$D$3,""))</f>
        <v>IE,National</v>
      </c>
      <c r="AH22" s="294" t="str">
        <f>M24</f>
        <v>R-SH_Det_HET_X0</v>
      </c>
      <c r="AI22" s="294" t="str">
        <f>N24</f>
        <v>Residential Space Heating Detached Heat to Residential Existing 00</v>
      </c>
      <c r="AJ22" s="294" t="s">
        <v>13</v>
      </c>
      <c r="AK22" s="294" t="s">
        <v>275</v>
      </c>
      <c r="AL22" s="294"/>
      <c r="AM22" s="294"/>
      <c r="AN22" s="261"/>
      <c r="AO22" s="261"/>
      <c r="AP22" s="261"/>
      <c r="AQ22" s="261"/>
      <c r="AR22" s="261"/>
    </row>
    <row r="23" spans="1:49">
      <c r="A23" s="261"/>
      <c r="B23" s="231" t="s">
        <v>429</v>
      </c>
      <c r="C23" s="232">
        <f>SUMIFS(INDEX(Table71618[],,MATCH($C$6,Table71618[#Headers],0)),Table71618[MainSpaceHeatingFuel],B23)</f>
        <v>1540496</v>
      </c>
      <c r="D23" s="232">
        <f>SUMIFS(INDEX(Table71618[],,MATCH($D$6,Table71618[#Headers],0)),Table71618[MainSpaceHeatingFuel],B23)</f>
        <v>1400447</v>
      </c>
      <c r="E23" s="232">
        <f>SUMIFS(INDEX(Table71618[],,MATCH($E$6,Table71618[#Headers],0)),Table71618[MainSpaceHeatingFuel],B23)</f>
        <v>76</v>
      </c>
      <c r="F23" s="232">
        <f>SUMIFS(INDEX(Table71618[],,MATCH($F$6,Table71618[#Headers],0)),Table71618[MainSpaceHeatingFuel],B23)</f>
        <v>10388</v>
      </c>
      <c r="G23" s="232">
        <f>AVERAGEIFS(INDEX(Table71618[],,MATCH($G$6,Table71618[#Headers],0)),Table71618[MainSpaceHeatingFuel],B23)</f>
        <v>76.921052631578945</v>
      </c>
      <c r="H23" s="232">
        <f>SUMIFS(INDEX(Table71618[],,MATCH($H$6,Table71618[#Headers],0)),Table71618[SupplSHFuelName],B23)</f>
        <v>2409927</v>
      </c>
      <c r="I23" s="232">
        <f>SUMIFS(INDEX(Table71618[],,MATCH($I$6,Table71618[#Headers],0)),Table71618[SupplSHFuelName],B23)</f>
        <v>2190845</v>
      </c>
      <c r="J23" s="232">
        <f>SUMIFS(INDEX(Table71618[],,MATCH($J$6,Table71618[#Headers],0)),Table71618[SupplSHFuelName],B23)</f>
        <v>883</v>
      </c>
      <c r="K23" s="261"/>
      <c r="L23" s="294" t="str">
        <f>_xlfn.TEXTJOIN(",",TRUE,IF(LEFT(Regions!$C$3,1)&lt;&gt;"*",Regions!$C$3,""),IF(LEFT(Regions!$D$3,1)&lt;&gt;"*",Regions!$D$3,""))</f>
        <v>IE,National</v>
      </c>
      <c r="M23" s="294" t="str">
        <f>LEFT(SETUP!$B$3,1)&amp;"-"&amp;SETUP!$B$50&amp;"_"&amp;RIGHT(COMM!$O$32,3)&amp;"_"&amp;RIGHT(O23,LEN(O23)-3)&amp;"_"&amp;SETUP!$B$64</f>
        <v>R-SH_Det_WOO_X0</v>
      </c>
      <c r="N23" s="294" t="str">
        <f>COMM!$P$26&amp;" "&amp;COMM!F16&amp;" "&amp;SETUP!C64</f>
        <v>Residential Space Heating Detached Biomass to Residential Existing 00</v>
      </c>
      <c r="O23" s="294" t="str">
        <f>COMM!E16</f>
        <v>RSDWOO</v>
      </c>
      <c r="P23" s="294"/>
      <c r="Q23" s="294" t="str">
        <f>COMM!O11&amp;","&amp;COMM!O14&amp;","&amp;COMM!O17&amp;","&amp;COMM!O20&amp;","&amp;COMM!O23&amp;","&amp;COMM!O26</f>
        <v>RSDSH_Det-AB,RSDSH_Det-C,RSDSH_Det-D,RSDSH_Det-E,RSDSH_Det-F,RSDSH_Det-G</v>
      </c>
      <c r="R23" s="389">
        <f>(E20+E21+E22+E23)/SUM($E$7:$E$25)</f>
        <v>4.9608630470321458E-3</v>
      </c>
      <c r="S23" s="390">
        <f>R23*DwellingStocks!$K$28/1000</f>
        <v>3.6482520664348832</v>
      </c>
      <c r="T23" s="391">
        <f>(S23*1000)/(E20+E21+E22+E23)*DwellingStocks!$T$27+0.1866</f>
        <v>2.1880542124396309</v>
      </c>
      <c r="U23" s="569">
        <f>(G21+G22+G23)/300</f>
        <v>0.72928609692169366</v>
      </c>
      <c r="V23" s="569">
        <f>AB23/S23/X23</f>
        <v>9.4687203541950787E-2</v>
      </c>
      <c r="W23" s="393">
        <v>20</v>
      </c>
      <c r="X23" s="391">
        <f t="shared" ref="X23:X24" si="4">31.536*(AD23/1000)</f>
        <v>0.94608000000000003</v>
      </c>
      <c r="Y23" s="393"/>
      <c r="Z23" s="393"/>
      <c r="AA23" s="393"/>
      <c r="AB23" s="394">
        <f>AC23*U23</f>
        <v>0.32681651096645076</v>
      </c>
      <c r="AC23" s="394">
        <f>IF(((D20+I20+D21+I21+D22+I22+D23+I23)*$B$2)&lt;=0.1,0,((D20+I20+D21+I21+D22+I22+D23+I23)*T23*$B$2))</f>
        <v>0.44813210116844215</v>
      </c>
      <c r="AD23" s="393">
        <v>30</v>
      </c>
      <c r="AE23" s="261"/>
      <c r="AF23" s="26"/>
      <c r="AG23" s="26"/>
      <c r="AH23" s="26"/>
      <c r="AI23" s="26"/>
      <c r="AJ23" s="26"/>
      <c r="AK23" s="26"/>
      <c r="AL23" s="26"/>
      <c r="AM23" s="26"/>
      <c r="AN23" s="261"/>
      <c r="AO23" s="261"/>
      <c r="AP23" s="261"/>
      <c r="AQ23" s="261"/>
      <c r="AR23" s="261"/>
    </row>
    <row r="24" spans="1:49">
      <c r="A24" s="261"/>
      <c r="B24" s="230" t="s">
        <v>566</v>
      </c>
      <c r="C24" s="233" cm="1">
        <f t="array" ref="C24">AVERAGE(C7:C23+C25)*($E$24/SUM($E$7:$E$23+$E$25))</f>
        <v>307215.90646423784</v>
      </c>
      <c r="D24" s="233" cm="1">
        <f t="array" ref="D24">AVERAGE(D7:D23+D25)*($E$24/SUM($E$7:$E$23+$E$25))</f>
        <v>202350.00317520308</v>
      </c>
      <c r="E24" s="233">
        <f>SUMIFS(INDEX(Table71618[],,MATCH($E$6,Table71618[#Headers],0)),Table71618[MainSpaceHeatingFuel],"")</f>
        <v>190</v>
      </c>
      <c r="F24" s="233">
        <f>SUMIFS(INDEX(Table71618[],,MATCH($F$6,Table71618[#Headers],0)),Table71618[MainSpaceHeatingFuel],"")</f>
        <v>32183</v>
      </c>
      <c r="G24" s="233">
        <f>(D24*100)/C24</f>
        <v>65.865731206453049</v>
      </c>
      <c r="H24" s="233">
        <f>SUMIFS(INDEX(Table71618[],,MATCH($H$6,Table71618[#Headers],0)),Table71618[SupplSHFuelName],B24)</f>
        <v>52497</v>
      </c>
      <c r="I24" s="233">
        <f>SUMIFS(INDEX(Table71618[],,MATCH($I$6,Table71618[#Headers],0)),Table71618[SupplSHFuelName],B24)</f>
        <v>21148956</v>
      </c>
      <c r="J24" s="233">
        <f>SUMIFS(INDEX(Table71618[],,MATCH($J$6,Table71618[#Headers],0)),Table71618[SupplSHFuelName],B24)</f>
        <v>11778</v>
      </c>
      <c r="K24" s="261"/>
      <c r="L24" s="26" t="str">
        <f>_xlfn.TEXTJOIN(",",TRUE,IF(LEFT(Regions!$C$3,1)&lt;&gt;"*",Regions!$C$3,""),IF(LEFT(Regions!$D$3,1)&lt;&gt;"*",Regions!$D$3,""))</f>
        <v>IE,National</v>
      </c>
      <c r="M24" s="294" t="str">
        <f>LEFT(SETUP!$B$3,1)&amp;"-"&amp;SETUP!$B$50&amp;"_"&amp;RIGHT(COMM!$O$32,3)&amp;"_"&amp;RIGHT(O24,LEN(O24)-3)&amp;"_"&amp;SETUP!$B$64</f>
        <v>R-SH_Det_HET_X0</v>
      </c>
      <c r="N24" s="395" t="str">
        <f>COMM!$P$26&amp;" "&amp;COMM!F25&amp;" "&amp;SETUP!C64</f>
        <v>Residential Space Heating Detached Heat to Residential Existing 00</v>
      </c>
      <c r="O24" s="26" t="str">
        <f>COMM!E25</f>
        <v>RSDHET</v>
      </c>
      <c r="P24" s="26"/>
      <c r="Q24" s="26" t="str">
        <f>COMM!O11&amp;","&amp;COMM!O14&amp;","&amp;COMM!O17&amp;","&amp;COMM!O20&amp;","&amp;COMM!O23&amp;","&amp;COMM!O26</f>
        <v>RSDSH_Det-AB,RSDSH_Det-C,RSDSH_Det-D,RSDSH_Det-E,RSDSH_Det-F,RSDSH_Det-G</v>
      </c>
      <c r="R24" s="396">
        <f>E24/SUM($E$7:$E$25)</f>
        <v>7.156901890175457E-4</v>
      </c>
      <c r="S24" s="397">
        <f>R24*DwellingStocks!$K$28/1000</f>
        <v>0.52632338088278496</v>
      </c>
      <c r="T24" s="398">
        <f>(S24*1000)/E24*DwellingStocks!$T$27</f>
        <v>2.0014542124396306</v>
      </c>
      <c r="U24" s="571">
        <f>G24/100</f>
        <v>0.65865731206453049</v>
      </c>
      <c r="V24" s="569">
        <f t="shared" ref="V24" si="5">IF(AB24/S24/X24=0,0.12,AB24/S24/X24)</f>
        <v>0.12</v>
      </c>
      <c r="W24" s="399">
        <v>20</v>
      </c>
      <c r="X24" s="567">
        <f t="shared" si="4"/>
        <v>0.94608000000000003</v>
      </c>
      <c r="Y24" s="399"/>
      <c r="Z24" s="399"/>
      <c r="AA24" s="399"/>
      <c r="AB24" s="400">
        <f>AC24*U24</f>
        <v>0</v>
      </c>
      <c r="AC24" s="401">
        <f>IF(((D24+I24)*$B$2)&lt;=0.1,0,((D24+I24)*T24*$B$2))</f>
        <v>0</v>
      </c>
      <c r="AD24" s="563">
        <v>30</v>
      </c>
      <c r="AE24" s="261"/>
      <c r="AF24" s="26"/>
      <c r="AG24" s="26"/>
      <c r="AH24" s="26"/>
      <c r="AI24" s="26"/>
      <c r="AJ24" s="26"/>
      <c r="AK24" s="26"/>
      <c r="AL24" s="26"/>
      <c r="AM24" s="26"/>
      <c r="AN24" s="261"/>
      <c r="AO24" s="261"/>
      <c r="AP24" s="261"/>
      <c r="AQ24" s="261"/>
      <c r="AR24" s="261"/>
    </row>
    <row r="25" spans="1:49">
      <c r="A25" s="387" t="s">
        <v>653</v>
      </c>
      <c r="B25" s="231" t="s">
        <v>137</v>
      </c>
      <c r="C25" s="232">
        <f>SUMIFS(INDEX(Table71618[],,MATCH($C$6,Table71618[#Headers],0)),Table71618[MainSpaceHeatingFuel],B12, Table71618[Avg. HSMainSystemEfficiency],"&lt;101")</f>
        <v>267917314</v>
      </c>
      <c r="D25" s="232">
        <f>SUMIFS(INDEX(Table71618[],,MATCH($D$6,Table71618[#Headers],0)),Table71618[MainSpaceHeatingFuel],B25,Table71618[Avg. HSMainSystemEfficiency],"&lt;101")</f>
        <v>99228634</v>
      </c>
      <c r="E25" s="232">
        <f>SUMIFS(INDEX(Table71618[],,MATCH($E$6,Table71618[#Headers],0)),Table71618[MainSpaceHeatingFuel],B25,Table71618[Avg. HSMainSystemEfficiency],"&lt;101")</f>
        <v>6299</v>
      </c>
      <c r="F25" s="232">
        <f>SUMIFS(INDEX(Table71618[],,MATCH($F$6,Table71618[#Headers],0)),Table71618[MainSpaceHeatingFuel],B25,Table71618[Avg. HSMainSystemEfficiency],"&lt;101")</f>
        <v>606500</v>
      </c>
      <c r="G25" s="232">
        <f>AVERAGEIFS(INDEX(Table71618[],,MATCH($G$6,Table71618[#Headers],0)),Table71618[MainSpaceHeatingFuel],B25,Table71618[Avg. HSMainSystemEfficiency],"&lt;101")</f>
        <v>99.952095808383234</v>
      </c>
      <c r="H25" s="232">
        <f>SUMIFS(INDEX(Table71618[],,MATCH($H$6,Table71618[#Headers],0)),Table71618[SupplSHFuelName],B25,Table71618[Avg. HSMainSystemEfficiency],"&lt;101")</f>
        <v>58962736</v>
      </c>
      <c r="I25" s="232">
        <f>SUMIFS(INDEX(Table71618[],,MATCH($I$6,Table71618[#Headers],0)),Table71618[SupplSHFuelName],B25,Table71618[Avg. HSMainSystemEfficiency],"&lt;101")</f>
        <v>21838052</v>
      </c>
      <c r="J25" s="232">
        <f>SUMIFS(INDEX(Table71618[],,MATCH($J$6,Table71618[#Headers],0)),Table71618[SupplSHFuelName],B25,Table71618[Avg. HSMainSystemEfficiency],"&lt;101")</f>
        <v>10459</v>
      </c>
      <c r="K25" s="261"/>
      <c r="L25" s="405"/>
      <c r="M25" s="405"/>
      <c r="N25" s="402"/>
      <c r="O25" s="402"/>
      <c r="P25" s="402"/>
      <c r="Q25" s="402"/>
      <c r="R25" s="402"/>
      <c r="S25" s="404"/>
      <c r="T25" s="402"/>
      <c r="U25" s="404"/>
      <c r="V25" s="402"/>
      <c r="W25" s="402"/>
      <c r="X25" s="402"/>
      <c r="Y25" s="402"/>
      <c r="Z25" s="402"/>
      <c r="AA25" s="402"/>
      <c r="AB25" s="402"/>
      <c r="AC25" s="402"/>
      <c r="AD25" s="402"/>
      <c r="AE25" s="261"/>
      <c r="AF25" s="26"/>
      <c r="AG25" s="26"/>
      <c r="AH25" s="26"/>
      <c r="AI25" s="26"/>
      <c r="AJ25" s="26"/>
      <c r="AK25" s="26"/>
      <c r="AL25" s="26"/>
      <c r="AM25" s="26"/>
      <c r="AN25" s="261"/>
      <c r="AO25" s="261"/>
      <c r="AP25" s="261"/>
      <c r="AQ25" s="261"/>
      <c r="AR25" s="261"/>
    </row>
    <row r="26" spans="1:49">
      <c r="A26" s="261"/>
      <c r="B26" s="261"/>
      <c r="C26" s="261"/>
      <c r="D26" s="261"/>
      <c r="E26" s="261"/>
      <c r="F26" s="261"/>
      <c r="G26" s="261"/>
      <c r="H26" s="261"/>
      <c r="I26" s="261"/>
      <c r="J26" s="261"/>
      <c r="K26" s="261"/>
      <c r="L26" s="405"/>
      <c r="M26" s="405"/>
      <c r="N26" s="402"/>
      <c r="O26" s="402"/>
      <c r="P26" s="402"/>
      <c r="Q26" s="402"/>
      <c r="R26" s="402"/>
      <c r="S26" s="404"/>
      <c r="T26" s="402"/>
      <c r="U26" s="404"/>
      <c r="V26" s="402"/>
      <c r="W26" s="402"/>
      <c r="X26" s="402"/>
      <c r="Y26" s="402"/>
      <c r="Z26" s="402"/>
      <c r="AA26" s="402"/>
      <c r="AB26" s="402"/>
      <c r="AC26" s="402"/>
      <c r="AD26" s="402"/>
      <c r="AE26" s="261"/>
      <c r="AF26" s="388"/>
      <c r="AG26" s="388"/>
      <c r="AH26" s="388"/>
      <c r="AI26" s="388"/>
      <c r="AJ26" s="388"/>
      <c r="AK26" s="388"/>
      <c r="AL26" s="388"/>
      <c r="AM26" s="261"/>
      <c r="AN26" s="261"/>
      <c r="AO26" s="261"/>
      <c r="AP26" s="261"/>
      <c r="AQ26" s="261"/>
      <c r="AR26" s="261"/>
      <c r="AS26" s="261"/>
      <c r="AT26" s="261"/>
    </row>
    <row r="27" spans="1:49" ht="21.5" thickBot="1">
      <c r="A27" s="50" t="s">
        <v>657</v>
      </c>
      <c r="B27" s="50"/>
      <c r="C27" s="50"/>
      <c r="D27" s="50"/>
      <c r="E27" s="50"/>
      <c r="F27" s="50"/>
      <c r="G27" s="50"/>
      <c r="H27" s="50"/>
      <c r="I27" s="50"/>
      <c r="J27" s="50"/>
      <c r="K27" s="261"/>
      <c r="L27" s="388"/>
      <c r="M27" s="388"/>
      <c r="N27" s="388"/>
      <c r="O27" s="388"/>
      <c r="P27" s="388"/>
      <c r="Q27" s="388"/>
      <c r="R27" s="388"/>
      <c r="S27" s="384">
        <f>SUM(S6:S25)</f>
        <v>735.40672899999993</v>
      </c>
      <c r="T27" s="388"/>
      <c r="U27" s="388"/>
      <c r="V27" s="388"/>
      <c r="W27" s="388"/>
      <c r="X27" s="388"/>
      <c r="Y27" s="388"/>
      <c r="Z27" s="388"/>
      <c r="AA27" s="388"/>
      <c r="AB27" s="382">
        <f>SUM(AB6:AB25)</f>
        <v>40.077989914529958</v>
      </c>
      <c r="AC27" s="382">
        <f>SUM(AC6:AC25)</f>
        <v>50.578427820347997</v>
      </c>
      <c r="AD27" s="261"/>
      <c r="AE27" s="261"/>
      <c r="AF27" s="388"/>
      <c r="AG27" s="388"/>
      <c r="AH27" s="388"/>
      <c r="AI27" s="388"/>
      <c r="AJ27" s="388"/>
      <c r="AK27" s="388"/>
      <c r="AL27" s="388"/>
      <c r="AM27" s="261"/>
      <c r="AN27" s="261"/>
      <c r="AO27" s="261"/>
      <c r="AP27" s="261"/>
      <c r="AQ27" s="261"/>
      <c r="AR27" s="261"/>
      <c r="AS27" s="261"/>
      <c r="AT27" s="261"/>
    </row>
    <row r="28" spans="1:49" ht="15" thickBot="1">
      <c r="A28" s="261"/>
      <c r="B28" s="1150" t="s">
        <v>643</v>
      </c>
      <c r="C28" s="1151"/>
      <c r="D28" s="1151"/>
      <c r="E28" s="1151"/>
      <c r="F28" s="1151"/>
      <c r="G28" s="1152"/>
      <c r="H28" s="1150" t="s">
        <v>644</v>
      </c>
      <c r="I28" s="1151"/>
      <c r="J28" s="1152"/>
      <c r="K28" s="261"/>
      <c r="L28" s="261"/>
      <c r="M28" s="261"/>
      <c r="N28" s="261"/>
      <c r="O28" s="261"/>
      <c r="P28" s="261"/>
      <c r="Q28" s="261"/>
      <c r="R28" s="261"/>
      <c r="S28" s="261"/>
      <c r="T28" s="443"/>
      <c r="U28" s="261"/>
      <c r="V28" s="261"/>
      <c r="W28" s="261"/>
      <c r="X28" s="261"/>
      <c r="Y28" s="261"/>
      <c r="Z28" s="261"/>
      <c r="AA28" s="261"/>
      <c r="AB28" s="261"/>
      <c r="AC28" s="261"/>
      <c r="AD28" s="561"/>
      <c r="AE28" s="261"/>
      <c r="AF28" s="388"/>
      <c r="AG28" s="388"/>
      <c r="AH28" s="388"/>
      <c r="AI28" s="388"/>
      <c r="AJ28" s="388"/>
      <c r="AK28" s="388"/>
      <c r="AL28" s="388"/>
      <c r="AM28" s="261"/>
      <c r="AN28" s="261"/>
      <c r="AO28" s="261"/>
      <c r="AP28" s="261"/>
      <c r="AQ28" s="261"/>
      <c r="AR28" s="261"/>
      <c r="AS28" s="261"/>
      <c r="AT28" s="261"/>
    </row>
    <row r="29" spans="1:49" ht="21.5" thickBot="1">
      <c r="A29" s="261"/>
      <c r="B29" s="229"/>
      <c r="C29" s="229" t="s">
        <v>389</v>
      </c>
      <c r="D29" s="229" t="s">
        <v>389</v>
      </c>
      <c r="E29" s="229" t="s">
        <v>640</v>
      </c>
      <c r="F29" s="229" t="s">
        <v>390</v>
      </c>
      <c r="G29" s="229" t="s">
        <v>391</v>
      </c>
      <c r="H29" s="229" t="s">
        <v>389</v>
      </c>
      <c r="I29" s="229" t="s">
        <v>389</v>
      </c>
      <c r="J29" s="229" t="s">
        <v>639</v>
      </c>
      <c r="K29" s="261"/>
      <c r="L29" s="49"/>
      <c r="M29" s="49" t="s">
        <v>657</v>
      </c>
      <c r="N29" s="49"/>
      <c r="O29" s="49"/>
      <c r="P29" s="49"/>
      <c r="Q29" s="53" t="s">
        <v>768</v>
      </c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261"/>
      <c r="AF29" s="19" t="s">
        <v>767</v>
      </c>
      <c r="AG29" s="19"/>
      <c r="AH29" s="509"/>
      <c r="AI29" s="509"/>
      <c r="AJ29" s="509"/>
      <c r="AK29" s="509"/>
      <c r="AL29" s="509"/>
      <c r="AM29" s="509"/>
      <c r="AN29" s="261"/>
      <c r="AO29" s="261"/>
      <c r="AP29" s="261"/>
      <c r="AQ29" s="261"/>
      <c r="AR29" s="261"/>
      <c r="AS29" s="261"/>
      <c r="AT29" s="261"/>
      <c r="AU29" s="261"/>
      <c r="AV29" s="261"/>
    </row>
    <row r="30" spans="1:49" ht="28" customHeight="1" thickBot="1">
      <c r="A30" s="261"/>
      <c r="B30" s="296" t="s">
        <v>410</v>
      </c>
      <c r="C30" s="296" t="s">
        <v>420</v>
      </c>
      <c r="D30" s="296" t="s">
        <v>421</v>
      </c>
      <c r="E30" s="296" t="s">
        <v>398</v>
      </c>
      <c r="F30" s="296" t="s">
        <v>399</v>
      </c>
      <c r="G30" s="296" t="s">
        <v>254</v>
      </c>
      <c r="H30" s="296" t="s">
        <v>422</v>
      </c>
      <c r="I30" s="296" t="s">
        <v>423</v>
      </c>
      <c r="J30" s="296" t="s">
        <v>398</v>
      </c>
      <c r="K30" s="261"/>
      <c r="L30" s="21" t="s">
        <v>764</v>
      </c>
      <c r="M30" s="21" t="s">
        <v>255</v>
      </c>
      <c r="N30" s="21" t="s">
        <v>267</v>
      </c>
      <c r="O30" s="21" t="s">
        <v>257</v>
      </c>
      <c r="P30" s="21" t="s">
        <v>826</v>
      </c>
      <c r="Q30" s="21" t="s">
        <v>258</v>
      </c>
      <c r="R30" s="21" t="s">
        <v>388</v>
      </c>
      <c r="S30" s="27" t="s">
        <v>268</v>
      </c>
      <c r="T30" s="21" t="s">
        <v>492</v>
      </c>
      <c r="U30" s="21" t="s">
        <v>259</v>
      </c>
      <c r="V30" s="21" t="s">
        <v>638</v>
      </c>
      <c r="W30" s="27" t="s">
        <v>260</v>
      </c>
      <c r="X30" s="27" t="s">
        <v>270</v>
      </c>
      <c r="Y30" s="27" t="s">
        <v>708</v>
      </c>
      <c r="Z30" s="21" t="s">
        <v>709</v>
      </c>
      <c r="AA30" s="21" t="s">
        <v>828</v>
      </c>
      <c r="AB30" s="27" t="s">
        <v>637</v>
      </c>
      <c r="AC30" s="31" t="s">
        <v>636</v>
      </c>
      <c r="AD30" s="31" t="s">
        <v>829</v>
      </c>
      <c r="AE30" s="261"/>
      <c r="AF30" s="21" t="s">
        <v>261</v>
      </c>
      <c r="AG30" s="21" t="s">
        <v>764</v>
      </c>
      <c r="AH30" s="21" t="s">
        <v>255</v>
      </c>
      <c r="AI30" s="21" t="s">
        <v>256</v>
      </c>
      <c r="AJ30" s="21" t="s">
        <v>262</v>
      </c>
      <c r="AK30" s="21" t="s">
        <v>263</v>
      </c>
      <c r="AL30" s="21" t="s">
        <v>264</v>
      </c>
      <c r="AM30" s="21" t="s">
        <v>265</v>
      </c>
      <c r="AN30" s="261"/>
      <c r="AO30" s="261"/>
      <c r="AP30" s="261"/>
      <c r="AQ30" s="261"/>
      <c r="AR30" s="260"/>
      <c r="AS30" s="260"/>
      <c r="AT30" s="260"/>
      <c r="AU30" s="260"/>
      <c r="AV30" s="260"/>
      <c r="AW30" s="260"/>
    </row>
    <row r="31" spans="1:49" ht="26.5" thickBot="1">
      <c r="A31" s="261"/>
      <c r="B31" s="231" t="s">
        <v>578</v>
      </c>
      <c r="C31" s="232">
        <f>SUMIFS(INDEX(Table71618[],,MATCH($C$30,Table71618[#Headers],0)),Table71618[MainWaterHeatingFuel],B31)</f>
        <v>279844</v>
      </c>
      <c r="D31" s="232">
        <f>SUMIFS(INDEX(Table71618[],,MATCH($D$30,Table71618[#Headers],0)),Table71618[MainWaterHeatingFuel],B31)</f>
        <v>254406</v>
      </c>
      <c r="E31" s="232">
        <f>SUMIFS(INDEX(Table71618[],,MATCH($E$30,Table71618[#Headers],0)),Table71618[MainWaterHeatingFuel],B31)</f>
        <v>43</v>
      </c>
      <c r="F31" s="232">
        <f>SUMIFS(INDEX(Table71618[],,MATCH($F$30,Table71618[#Headers],0)),Table71618[MainWaterHeatingFuel],B31)</f>
        <v>4990</v>
      </c>
      <c r="G31" s="232"/>
      <c r="H31" s="232">
        <f>SUMIFS(INDEX(Table71618[],,MATCH($H$30,Table71618[#Headers],0)),Table71618[SupplWHFuelName],B31)</f>
        <v>0</v>
      </c>
      <c r="I31" s="232">
        <f>SUMIFS(INDEX(Table71618[],,MATCH($I$30,Table71618[#Headers],0)),Table71618[SupplWHFuelName],B31)</f>
        <v>0</v>
      </c>
      <c r="J31" s="232">
        <f>SUMIFS(INDEX(Table71618[],,MATCH($J$30,Table71618[#Headers],0)),Table71618[SupplWHFuelName],B31)</f>
        <v>0</v>
      </c>
      <c r="K31" s="261"/>
      <c r="L31" s="22" t="s">
        <v>771</v>
      </c>
      <c r="M31" s="22" t="s">
        <v>271</v>
      </c>
      <c r="N31" s="22" t="s">
        <v>272</v>
      </c>
      <c r="O31" s="22" t="s">
        <v>273</v>
      </c>
      <c r="P31" s="22" t="s">
        <v>827</v>
      </c>
      <c r="Q31" s="22" t="s">
        <v>274</v>
      </c>
      <c r="R31" s="22"/>
      <c r="S31" s="29" t="s">
        <v>275</v>
      </c>
      <c r="T31" s="22"/>
      <c r="U31" s="22" t="s">
        <v>391</v>
      </c>
      <c r="V31" s="22"/>
      <c r="W31" s="28"/>
      <c r="X31" s="28"/>
      <c r="Y31" s="28" t="s">
        <v>391</v>
      </c>
      <c r="Z31" s="22" t="s">
        <v>710</v>
      </c>
      <c r="AA31" s="22"/>
      <c r="AB31" s="28" t="s">
        <v>13</v>
      </c>
      <c r="AC31" s="212" t="s">
        <v>13</v>
      </c>
      <c r="AD31" s="212" t="s">
        <v>830</v>
      </c>
      <c r="AE31" s="261"/>
      <c r="AF31" s="407" t="s">
        <v>254</v>
      </c>
      <c r="AG31" s="407"/>
      <c r="AH31" s="407"/>
      <c r="AI31" s="408"/>
      <c r="AJ31" s="407"/>
      <c r="AK31" s="407"/>
      <c r="AL31" s="407"/>
      <c r="AM31" s="407"/>
      <c r="AN31" s="261"/>
      <c r="AO31" s="261"/>
      <c r="AP31" s="261"/>
      <c r="AQ31" s="261"/>
      <c r="AR31" s="260"/>
      <c r="AS31" s="260"/>
      <c r="AT31" s="260"/>
      <c r="AU31" s="260"/>
      <c r="AV31" s="260"/>
      <c r="AW31" s="260"/>
    </row>
    <row r="32" spans="1:49">
      <c r="A32" s="261"/>
      <c r="B32" s="230" t="s">
        <v>403</v>
      </c>
      <c r="C32" s="233">
        <f>SUMIFS(INDEX(Table71618[],,MATCH($C$30,Table71618[#Headers],0)),Table71618[MainWaterHeatingFuel],B32)</f>
        <v>17798</v>
      </c>
      <c r="D32" s="233">
        <f>SUMIFS(INDEX(Table71618[],,MATCH($D$30,Table71618[#Headers],0)),Table71618[MainWaterHeatingFuel],B32)</f>
        <v>6592</v>
      </c>
      <c r="E32" s="233">
        <f>SUMIFS(INDEX(Table71618[],,MATCH($E$30,Table71618[#Headers],0)),Table71618[MainWaterHeatingFuel],B32)</f>
        <v>2</v>
      </c>
      <c r="F32" s="233">
        <f>SUMIFS(INDEX(Table71618[],,MATCH($F$30,Table71618[#Headers],0)),Table71618[MainWaterHeatingFuel],B32)</f>
        <v>270</v>
      </c>
      <c r="G32" s="233"/>
      <c r="H32" s="233">
        <f>SUMIFS(INDEX(Table71618[],,MATCH($H$30,Table71618[#Headers],0)),Table71618[SupplWHFuelName],B32)</f>
        <v>0</v>
      </c>
      <c r="I32" s="233">
        <f>SUMIFS(INDEX(Table71618[],,MATCH($I$30,Table71618[#Headers],0)),Table71618[SupplWHFuelName],B32)</f>
        <v>0</v>
      </c>
      <c r="J32" s="233">
        <f>SUMIFS(INDEX(Table71618[],,MATCH($J$30,Table71618[#Headers],0)),Table71618[SupplWHFuelName],B32)</f>
        <v>0</v>
      </c>
      <c r="K32" s="261"/>
      <c r="L32" s="24" t="s">
        <v>254</v>
      </c>
      <c r="M32" s="24" t="s">
        <v>254</v>
      </c>
      <c r="N32" s="24"/>
      <c r="O32" s="24"/>
      <c r="P32" s="24"/>
      <c r="Q32" s="24"/>
      <c r="R32" s="297">
        <f>SUM(R33:R51)</f>
        <v>1</v>
      </c>
      <c r="S32" s="24"/>
      <c r="T32" s="32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61"/>
      <c r="AF32" s="409" t="str">
        <f>"*"&amp; A31 &amp; " Rating"</f>
        <v>* Rating</v>
      </c>
      <c r="AG32" s="409"/>
      <c r="AH32" s="410"/>
      <c r="AI32" s="410"/>
      <c r="AJ32" s="410"/>
      <c r="AK32" s="410"/>
      <c r="AL32" s="410"/>
      <c r="AM32" s="410"/>
      <c r="AN32" s="261"/>
      <c r="AO32" s="261"/>
      <c r="AP32" s="261"/>
      <c r="AQ32" s="261"/>
      <c r="AR32" s="260"/>
      <c r="AS32" s="260"/>
      <c r="AT32" s="260"/>
      <c r="AU32" s="260"/>
      <c r="AV32" s="260"/>
    </row>
    <row r="33" spans="1:48">
      <c r="A33" s="261"/>
      <c r="B33" s="231" t="s">
        <v>404</v>
      </c>
      <c r="C33" s="232">
        <f>SUMIFS(INDEX(Table71618[],,MATCH($C$30,Table71618[#Headers],0)),Table71618[MainWaterHeatingFuel],B33)</f>
        <v>20161</v>
      </c>
      <c r="D33" s="232">
        <f>SUMIFS(INDEX(Table71618[],,MATCH($D$30,Table71618[#Headers],0)),Table71618[MainWaterHeatingFuel],B33)</f>
        <v>7467</v>
      </c>
      <c r="E33" s="232">
        <f>SUMIFS(INDEX(Table71618[],,MATCH($E$30,Table71618[#Headers],0)),Table71618[MainWaterHeatingFuel],B33)</f>
        <v>2</v>
      </c>
      <c r="F33" s="232">
        <f>SUMIFS(INDEX(Table71618[],,MATCH($F$30,Table71618[#Headers],0)),Table71618[MainWaterHeatingFuel],B33)</f>
        <v>269</v>
      </c>
      <c r="G33" s="232"/>
      <c r="H33" s="232">
        <f>SUMIFS(INDEX(Table71618[],,MATCH($H$30,Table71618[#Headers],0)),Table71618[SupplWHFuelName],B33)</f>
        <v>0</v>
      </c>
      <c r="I33" s="232">
        <f>SUMIFS(INDEX(Table71618[],,MATCH($I$30,Table71618[#Headers],0)),Table71618[SupplWHFuelName],B33)</f>
        <v>0</v>
      </c>
      <c r="J33" s="232">
        <f>SUMIFS(INDEX(Table71618[],,MATCH($J$30,Table71618[#Headers],0)),Table71618[SupplWHFuelName],B33)</f>
        <v>0</v>
      </c>
      <c r="K33" s="261"/>
      <c r="L33" s="294" t="str">
        <f>_xlfn.TEXTJOIN(",",TRUE,IF(LEFT(Regions!$C$3,1)&lt;&gt;"*",Regions!$C$3,""),IF(LEFT(Regions!$D$3,1)&lt;&gt;"*",Regions!$D$3,""))</f>
        <v>IE,National</v>
      </c>
      <c r="M33" s="294" t="str">
        <f>LEFT(SETUP!B3,1)&amp;"-"&amp;RIGHT(COMM!$O$32,6)&amp;"_"&amp;RIGHT(O33,LEN(O33)-3)&amp;"_"&amp;SETUP!$B$64</f>
        <v>R-WH_Det_COA_X0</v>
      </c>
      <c r="N33" s="294" t="str">
        <f>COMM!$P$32&amp;" "&amp;COMM!F6&amp;" "&amp;SETUP!$C$64</f>
        <v>Residential Water Heating Detached Coal to Residential Existing 00</v>
      </c>
      <c r="O33" s="294" t="str">
        <f>COMM!$E$6</f>
        <v>RSDCOA</v>
      </c>
      <c r="P33" s="294"/>
      <c r="Q33" s="294" t="str">
        <f>COMM!$O$32</f>
        <v>RSDWH_Det</v>
      </c>
      <c r="R33" s="389">
        <f>(E31+E38+E40)/SUM($E$31:$E$49)-($R$51/7)</f>
        <v>4.2750604037060293E-3</v>
      </c>
      <c r="S33" s="390">
        <f>R33*DwellingStocks!$K$28/1000</f>
        <v>3.1439081877668702</v>
      </c>
      <c r="T33" s="444">
        <f>IFERROR((S33*1000)/(E31+E38+E40),0)+1.0376</f>
        <v>3.1349370165222616</v>
      </c>
      <c r="U33" s="569">
        <f>U7</f>
        <v>0.61986329460013678</v>
      </c>
      <c r="V33" s="569">
        <f t="shared" ref="V33:V38" si="6">IF(AB33/S33/X33=0,0.12,AB33/S33/X33)</f>
        <v>0.12</v>
      </c>
      <c r="W33" s="393">
        <v>20</v>
      </c>
      <c r="X33" s="391">
        <f t="shared" ref="X33:X40" si="7">31.536*(AD33/1000)</f>
        <v>0.25228800000000001</v>
      </c>
      <c r="Y33" s="393"/>
      <c r="Z33" s="393"/>
      <c r="AA33" s="393"/>
      <c r="AB33" s="394">
        <f>AC33*U33</f>
        <v>0</v>
      </c>
      <c r="AC33" s="394">
        <f>IF(((D31+I31+D38+I38+D40+I40)*$B$2)&lt;=0.1,0,((D31+I31+D38+I38+D40+I40)*T33*$B$2))</f>
        <v>0</v>
      </c>
      <c r="AD33" s="393">
        <v>8</v>
      </c>
      <c r="AE33" s="261"/>
      <c r="AF33" s="294" t="s">
        <v>266</v>
      </c>
      <c r="AG33" s="294" t="str">
        <f>_xlfn.TEXTJOIN(",",TRUE,IF(LEFT(Regions!$C$3,1)&lt;&gt;"*",Regions!$C$3,""),IF(LEFT(Regions!$D$3,1)&lt;&gt;"*",Regions!$D$3,""))</f>
        <v>IE,National</v>
      </c>
      <c r="AH33" s="294" t="str">
        <f t="shared" ref="AH33:AI38" si="8">M33</f>
        <v>R-WH_Det_COA_X0</v>
      </c>
      <c r="AI33" s="294" t="str">
        <f t="shared" si="8"/>
        <v>Residential Water Heating Detached Coal to Residential Existing 00</v>
      </c>
      <c r="AJ33" s="294" t="s">
        <v>13</v>
      </c>
      <c r="AK33" s="294" t="s">
        <v>275</v>
      </c>
      <c r="AL33" s="294"/>
      <c r="AM33" s="294"/>
      <c r="AN33" s="261"/>
      <c r="AO33" s="261"/>
      <c r="AP33" s="261"/>
      <c r="AQ33" s="261"/>
      <c r="AR33" s="260"/>
      <c r="AS33" s="260"/>
      <c r="AT33" s="260"/>
      <c r="AU33" s="260"/>
      <c r="AV33" s="260"/>
    </row>
    <row r="34" spans="1:48">
      <c r="A34" s="261"/>
      <c r="B34" s="230" t="s">
        <v>425</v>
      </c>
      <c r="C34" s="233">
        <f>SUMIFS(INDEX(Table71618[],,MATCH($C$30,Table71618[#Headers],0)),Table71618[MainWaterHeatingFuel],B34)</f>
        <v>3169457</v>
      </c>
      <c r="D34" s="233">
        <f>SUMIFS(INDEX(Table71618[],,MATCH($D$30,Table71618[#Headers],0)),Table71618[MainWaterHeatingFuel],B34)</f>
        <v>2881326</v>
      </c>
      <c r="E34" s="233">
        <f>SUMIFS(INDEX(Table71618[],,MATCH($E$30,Table71618[#Headers],0)),Table71618[MainWaterHeatingFuel],B34)</f>
        <v>584</v>
      </c>
      <c r="F34" s="233">
        <f>SUMIFS(INDEX(Table71618[],,MATCH($F$30,Table71618[#Headers],0)),Table71618[MainWaterHeatingFuel],B34)</f>
        <v>90823</v>
      </c>
      <c r="G34" s="233"/>
      <c r="H34" s="233">
        <f>SUMIFS(INDEX(Table71618[],,MATCH($H$30,Table71618[#Headers],0)),Table71618[SupplWHFuelName],B34)</f>
        <v>0</v>
      </c>
      <c r="I34" s="233">
        <f>SUMIFS(INDEX(Table71618[],,MATCH($I$30,Table71618[#Headers],0)),Table71618[SupplWHFuelName],B34)</f>
        <v>0</v>
      </c>
      <c r="J34" s="233">
        <f>SUMIFS(INDEX(Table71618[],,MATCH($J$30,Table71618[#Headers],0)),Table71618[SupplWHFuelName],B34)</f>
        <v>0</v>
      </c>
      <c r="K34" s="261"/>
      <c r="L34" s="26" t="str">
        <f>_xlfn.TEXTJOIN(",",TRUE,IF(LEFT(Regions!$C$3,1)&lt;&gt;"*",Regions!$C$3,""),IF(LEFT(Regions!$D$3,1)&lt;&gt;"*",Regions!$D$3,""))</f>
        <v>IE,National</v>
      </c>
      <c r="M34" s="26" t="str">
        <f>LEFT(SETUP!B3,1)&amp;"-"&amp;RIGHT(COMM!$O$32,6)&amp;"_"&amp;RIGHT(O34,LEN(O34)-3)&amp;"_"&amp;SETUP!$B$64</f>
        <v>R-WH_Det_BDL_X0</v>
      </c>
      <c r="N34" s="395" t="str">
        <f>COMM!$P$32&amp;" "&amp;COMM!F21&amp;" "&amp;SETUP!$C$64</f>
        <v>Residential Water Heating Detached Biodiesel to Residential Existing 00</v>
      </c>
      <c r="O34" s="26" t="str">
        <f>COMM!$E$21</f>
        <v>RSDBDL</v>
      </c>
      <c r="P34" s="26"/>
      <c r="Q34" s="26" t="str">
        <f>COMM!$O$32</f>
        <v>RSDWH_Det</v>
      </c>
      <c r="R34" s="396">
        <f>E32/SUM($E$31:$E$49)</f>
        <v>7.6099157201833988E-6</v>
      </c>
      <c r="S34" s="397">
        <f>R34*DwellingStocks!$K$28/1000</f>
        <v>5.5963832277457527E-3</v>
      </c>
      <c r="T34" s="398">
        <f>IFERROR((S34*1000)/E32,0)</f>
        <v>2.7981916138728762</v>
      </c>
      <c r="U34" s="570">
        <v>0.9</v>
      </c>
      <c r="V34" s="569">
        <f t="shared" si="6"/>
        <v>0.12</v>
      </c>
      <c r="W34" s="399">
        <v>20</v>
      </c>
      <c r="X34" s="567">
        <f t="shared" si="7"/>
        <v>0.25228800000000001</v>
      </c>
      <c r="Y34" s="399"/>
      <c r="Z34" s="399"/>
      <c r="AA34" s="399"/>
      <c r="AB34" s="400">
        <f>AC34*U34</f>
        <v>0</v>
      </c>
      <c r="AC34" s="401">
        <f>IF(((D32+I32)*$B$2)&lt;=0.1,0,((D32+I32)*T34*$B$2))</f>
        <v>0</v>
      </c>
      <c r="AD34" s="563">
        <v>8</v>
      </c>
      <c r="AE34" s="261"/>
      <c r="AF34" s="26" t="s">
        <v>266</v>
      </c>
      <c r="AG34" s="26" t="str">
        <f>_xlfn.TEXTJOIN(",",TRUE,IF(LEFT(Regions!$C$3,1)&lt;&gt;"*",Regions!$C$3,""),IF(LEFT(Regions!$D$3,1)&lt;&gt;"*",Regions!$D$3,""))</f>
        <v>IE,National</v>
      </c>
      <c r="AH34" s="26" t="str">
        <f t="shared" si="8"/>
        <v>R-WH_Det_BDL_X0</v>
      </c>
      <c r="AI34" s="26" t="str">
        <f t="shared" si="8"/>
        <v>Residential Water Heating Detached Biodiesel to Residential Existing 00</v>
      </c>
      <c r="AJ34" s="26" t="s">
        <v>13</v>
      </c>
      <c r="AK34" s="26" t="s">
        <v>275</v>
      </c>
      <c r="AL34" s="26"/>
      <c r="AM34" s="26"/>
      <c r="AN34" s="261"/>
      <c r="AO34" s="261"/>
      <c r="AP34" s="261"/>
      <c r="AQ34" s="261"/>
      <c r="AR34" s="260"/>
      <c r="AS34" s="260"/>
      <c r="AT34" s="260"/>
      <c r="AU34" s="260"/>
      <c r="AV34" s="260"/>
    </row>
    <row r="35" spans="1:48">
      <c r="A35" s="261"/>
      <c r="B35" s="231" t="s">
        <v>405</v>
      </c>
      <c r="C35" s="232">
        <f>SUMIFS(INDEX(Table71618[],,MATCH($C$30,Table71618[#Headers],0)),Table71618[MainWaterHeatingFuel],B35)</f>
        <v>27348767</v>
      </c>
      <c r="D35" s="232">
        <f>SUMIFS(INDEX(Table71618[],,MATCH($D$30,Table71618[#Headers],0)),Table71618[MainWaterHeatingFuel],B35)</f>
        <v>24862509</v>
      </c>
      <c r="E35" s="232">
        <f>SUMIFS(INDEX(Table71618[],,MATCH($E$30,Table71618[#Headers],0)),Table71618[MainWaterHeatingFuel],B35)</f>
        <v>5251</v>
      </c>
      <c r="F35" s="232">
        <f>SUMIFS(INDEX(Table71618[],,MATCH($F$30,Table71618[#Headers],0)),Table71618[MainWaterHeatingFuel],B35)</f>
        <v>861034</v>
      </c>
      <c r="G35" s="232"/>
      <c r="H35" s="232">
        <f>SUMIFS(INDEX(Table71618[],,MATCH($H$30,Table71618[#Headers],0)),Table71618[SupplWHFuelName],B35)</f>
        <v>0</v>
      </c>
      <c r="I35" s="232">
        <f>SUMIFS(INDEX(Table71618[],,MATCH($I$30,Table71618[#Headers],0)),Table71618[SupplWHFuelName],B35)</f>
        <v>0</v>
      </c>
      <c r="J35" s="232">
        <f>SUMIFS(INDEX(Table71618[],,MATCH($J$30,Table71618[#Headers],0)),Table71618[SupplWHFuelName],B35)</f>
        <v>0</v>
      </c>
      <c r="K35" s="261"/>
      <c r="L35" s="294" t="str">
        <f>_xlfn.TEXTJOIN(",",TRUE,IF(LEFT(Regions!$C$3,1)&lt;&gt;"*",Regions!$C$3,""),IF(LEFT(Regions!$D$3,1)&lt;&gt;"*",Regions!$D$3,""))</f>
        <v>IE,National</v>
      </c>
      <c r="M35" s="294" t="str">
        <f>LEFT(SETUP!B3,1)&amp;"-"&amp;RIGHT(COMM!$O$32,6)&amp;"_"&amp;RIGHT(O35,LEN(O35)-3)&amp;"_"&amp;SETUP!$B$64</f>
        <v>R-WH_Det_ETH_X0</v>
      </c>
      <c r="N35" s="294" t="str">
        <f>COMM!$P$32&amp;" "&amp;COMM!F20&amp;" "&amp;SETUP!$C$64</f>
        <v>Residential Water Heating Detached Ethanol to Residential Existing 00</v>
      </c>
      <c r="O35" s="294" t="str">
        <f>COMM!$E$20</f>
        <v>RSDETH</v>
      </c>
      <c r="P35" s="294"/>
      <c r="Q35" s="294" t="str">
        <f>COMM!$O$32</f>
        <v>RSDWH_Det</v>
      </c>
      <c r="R35" s="389">
        <f>E33/SUM($E$31:$E$49)</f>
        <v>7.6099157201833988E-6</v>
      </c>
      <c r="S35" s="390">
        <f>R35*DwellingStocks!$K$28/1000</f>
        <v>5.5963832277457527E-3</v>
      </c>
      <c r="T35" s="391">
        <f>IFERROR((S35*1000)/E33,0)</f>
        <v>2.7981916138728762</v>
      </c>
      <c r="U35" s="572">
        <v>0.9</v>
      </c>
      <c r="V35" s="569">
        <f t="shared" si="6"/>
        <v>0.12</v>
      </c>
      <c r="W35" s="393">
        <v>20</v>
      </c>
      <c r="X35" s="391">
        <f t="shared" si="7"/>
        <v>0.25228800000000001</v>
      </c>
      <c r="Y35" s="393"/>
      <c r="Z35" s="393"/>
      <c r="AA35" s="393"/>
      <c r="AB35" s="394">
        <f>IFERROR(AC35*U35,0)</f>
        <v>0</v>
      </c>
      <c r="AC35" s="394">
        <f>IF(((D33+I33)*$B$2)&lt;=0.1,0,((D33+I33)*T35*$B$2))</f>
        <v>0</v>
      </c>
      <c r="AD35" s="393">
        <v>8</v>
      </c>
      <c r="AE35" s="261"/>
      <c r="AF35" s="294" t="s">
        <v>266</v>
      </c>
      <c r="AG35" s="294" t="str">
        <f>_xlfn.TEXTJOIN(",",TRUE,IF(LEFT(Regions!$C$3,1)&lt;&gt;"*",Regions!$C$3,""),IF(LEFT(Regions!$D$3,1)&lt;&gt;"*",Regions!$D$3,""))</f>
        <v>IE,National</v>
      </c>
      <c r="AH35" s="294" t="str">
        <f t="shared" si="8"/>
        <v>R-WH_Det_ETH_X0</v>
      </c>
      <c r="AI35" s="294" t="str">
        <f t="shared" si="8"/>
        <v>Residential Water Heating Detached Ethanol to Residential Existing 00</v>
      </c>
      <c r="AJ35" s="294" t="s">
        <v>13</v>
      </c>
      <c r="AK35" s="294" t="s">
        <v>275</v>
      </c>
      <c r="AL35" s="294"/>
      <c r="AM35" s="294"/>
      <c r="AN35" s="261"/>
      <c r="AO35" s="261"/>
      <c r="AP35" s="261"/>
      <c r="AQ35" s="261"/>
      <c r="AR35" s="260"/>
      <c r="AS35" s="260"/>
      <c r="AT35" s="260"/>
      <c r="AU35" s="260"/>
      <c r="AV35" s="260"/>
    </row>
    <row r="36" spans="1:48">
      <c r="A36" s="388" t="s">
        <v>652</v>
      </c>
      <c r="B36" s="230" t="s">
        <v>137</v>
      </c>
      <c r="C36" s="233">
        <f>SUMIFS(INDEX(Table71618[],,MATCH($C$30,Table71618[#Headers],0)),Table71618[MainWaterHeatingFuel],B36, Table71618[Avg. HSMainSystemEfficiency],"&gt;100")</f>
        <v>74598459</v>
      </c>
      <c r="D36" s="233">
        <f>SUMIFS(INDEX(Table71618[],,MATCH($D$30,Table71618[#Headers],0)),Table71618[MainWaterHeatingFuel],B36,Table71618[Avg. HSMainSystemEfficiency],"&gt;100")</f>
        <v>27629055</v>
      </c>
      <c r="E36" s="233">
        <f>SUMIFS(INDEX(Table71618[],,MATCH($E$30,Table71618[#Headers],0)),Table71618[MainWaterHeatingFuel],B36,Table71618[Avg. HSMainSystemEfficiency],"&gt;100")</f>
        <v>11525</v>
      </c>
      <c r="F36" s="233">
        <f>SUMIFS(INDEX(Table71618[],,MATCH($F$30,Table71618[#Headers],0)),Table71618[MainWaterHeatingFuel],B36,Table71618[Avg. HSMainSystemEfficiency],"&gt;100")</f>
        <v>2295599</v>
      </c>
      <c r="G36" s="233"/>
      <c r="H36" s="233">
        <f>SUMIFS(INDEX(Table71618[],,MATCH($H$30,Table71618[#Headers],0)),Table71618[SupplWHFuelName],B36,Table71618[Avg. HSMainSystemEfficiency],"&gt;100")</f>
        <v>304323</v>
      </c>
      <c r="I36" s="233">
        <f>SUMIFS(INDEX(Table71618[],,MATCH($I$30,Table71618[#Headers],0)),Table71618[SupplWHFuelName],B36,Table71618[Avg. HSMainSystemEfficiency],"&gt;100")</f>
        <v>112711</v>
      </c>
      <c r="J36" s="233">
        <f>SUMIFS(INDEX(Table71618[],,MATCH($J$30,Table71618[#Headers],0)),Table71618[SupplWHFuelName],B36,Table71618[Avg. HSMainSystemEfficiency],"&gt;100")</f>
        <v>551</v>
      </c>
      <c r="K36" s="261"/>
      <c r="L36" s="26" t="str">
        <f>_xlfn.TEXTJOIN(",",TRUE,IF(LEFT(Regions!$C$3,1)&lt;&gt;"*",Regions!$C$3,""),IF(LEFT(Regions!$D$3,1)&lt;&gt;"*",Regions!$D$3,""))</f>
        <v>IE,National</v>
      </c>
      <c r="M36" s="26" t="str">
        <f>LEFT(SETUP!B3,1)&amp;"-"&amp;RIGHT(COMM!$O$32,6)&amp;"_"&amp;RIGHT(O36,LEN(O36)-3)&amp;"_"&amp;SETUP!$B$64</f>
        <v>R-WH_Det_LPG_X0</v>
      </c>
      <c r="N36" s="395" t="str">
        <f>COMM!$P$32&amp;" "&amp;COMM!F8&amp;" "&amp;SETUP!$C$64</f>
        <v>Residential Water Heating Detached LPG to Residential Existing 00</v>
      </c>
      <c r="O36" s="26" t="str">
        <f>COMM!$E$8</f>
        <v>RSDLPG</v>
      </c>
      <c r="P36" s="26"/>
      <c r="Q36" s="26" t="str">
        <f>COMM!$O$32</f>
        <v>RSDWH_Det</v>
      </c>
      <c r="R36" s="396">
        <f>(E34+E35)/SUM($E$31:$E$49)-($R$51/7)</f>
        <v>2.0773357685063637E-2</v>
      </c>
      <c r="S36" s="397">
        <f>(R36)*DwellingStocks!$K$28/1000</f>
        <v>15.276867025519659</v>
      </c>
      <c r="T36" s="398">
        <f>IFERROR((S36*1000)/(E34+E35),0)+0.5284</f>
        <v>3.1465434491036262</v>
      </c>
      <c r="U36" s="571">
        <f>U10</f>
        <v>0.82661774762699336</v>
      </c>
      <c r="V36" s="569">
        <f t="shared" si="6"/>
        <v>0.12</v>
      </c>
      <c r="W36" s="399">
        <v>20</v>
      </c>
      <c r="X36" s="567">
        <f t="shared" si="7"/>
        <v>0.25228800000000001</v>
      </c>
      <c r="Y36" s="399"/>
      <c r="Z36" s="399"/>
      <c r="AA36" s="399"/>
      <c r="AB36" s="400">
        <f>AC36*U36</f>
        <v>0</v>
      </c>
      <c r="AC36" s="401">
        <f>IF(((D34+I34+D35+I35)*$B$2)&lt;=0.1,0,((D34+I34+D35+I35)*T36*$B$2))</f>
        <v>0</v>
      </c>
      <c r="AD36" s="563">
        <v>8</v>
      </c>
      <c r="AE36" s="261"/>
      <c r="AF36" s="26" t="s">
        <v>266</v>
      </c>
      <c r="AG36" s="26" t="str">
        <f>_xlfn.TEXTJOIN(",",TRUE,IF(LEFT(Regions!$C$3,1)&lt;&gt;"*",Regions!$C$3,""),IF(LEFT(Regions!$D$3,1)&lt;&gt;"*",Regions!$D$3,""))</f>
        <v>IE,National</v>
      </c>
      <c r="AH36" s="26" t="str">
        <f t="shared" si="8"/>
        <v>R-WH_Det_LPG_X0</v>
      </c>
      <c r="AI36" s="26" t="str">
        <f t="shared" si="8"/>
        <v>Residential Water Heating Detached LPG to Residential Existing 00</v>
      </c>
      <c r="AJ36" s="26" t="s">
        <v>13</v>
      </c>
      <c r="AK36" s="26" t="s">
        <v>275</v>
      </c>
      <c r="AL36" s="26"/>
      <c r="AM36" s="26"/>
      <c r="AN36" s="261"/>
      <c r="AO36" s="261"/>
      <c r="AP36" s="261"/>
      <c r="AQ36" s="261"/>
    </row>
    <row r="37" spans="1:48">
      <c r="A37" s="261"/>
      <c r="B37" s="231" t="s">
        <v>406</v>
      </c>
      <c r="C37" s="232">
        <f>SUMIFS(INDEX(Table71618[],,MATCH($C$30,Table71618[#Headers],0)),Table71618[MainWaterHeatingFuel],B37)</f>
        <v>982462794</v>
      </c>
      <c r="D37" s="232">
        <f>SUMIFS(INDEX(Table71618[],,MATCH($D$30,Table71618[#Headers],0)),Table71618[MainWaterHeatingFuel],B37)</f>
        <v>893147979</v>
      </c>
      <c r="E37" s="232">
        <f>SUMIFS(INDEX(Table71618[],,MATCH($E$30,Table71618[#Headers],0)),Table71618[MainWaterHeatingFuel],B37)</f>
        <v>183161</v>
      </c>
      <c r="F37" s="232">
        <f>SUMIFS(INDEX(Table71618[],,MATCH($F$30,Table71618[#Headers],0)),Table71618[MainWaterHeatingFuel],B37)</f>
        <v>27644402</v>
      </c>
      <c r="G37" s="232"/>
      <c r="H37" s="232">
        <f>SUMIFS(INDEX(Table71618[],,MATCH($H$30,Table71618[#Headers],0)),Table71618[SupplWHFuelName],B37)</f>
        <v>0</v>
      </c>
      <c r="I37" s="232">
        <f>SUMIFS(INDEX(Table71618[],,MATCH($I$30,Table71618[#Headers],0)),Table71618[SupplWHFuelName],B37)</f>
        <v>0</v>
      </c>
      <c r="J37" s="232">
        <f>SUMIFS(INDEX(Table71618[],,MATCH($J$30,Table71618[#Headers],0)),Table71618[SupplWHFuelName],B37)</f>
        <v>0</v>
      </c>
      <c r="K37" s="261"/>
      <c r="L37" s="294" t="str">
        <f>_xlfn.TEXTJOIN(",",TRUE,IF(LEFT(Regions!$C$3,1)&lt;&gt;"*",Regions!$C$3,""),IF(LEFT(Regions!$D$3,1)&lt;&gt;"*",Regions!$D$3,""))</f>
        <v>IE,National</v>
      </c>
      <c r="M37" s="294" t="str">
        <f>LEFT(SETUP!B3,1)&amp;"-"&amp;RIGHT(COMM!$O$32,6)&amp;"_"&amp;RIGHT(O38,LEN(O38)-3)&amp;"_"&amp;SETUP!$B$64</f>
        <v>R-WH_Det_ELC_X0</v>
      </c>
      <c r="N37" s="294" t="str">
        <f>COMM!$P$32&amp;" "&amp;COMM!F24&amp;" "&amp;SETUP!$C$64</f>
        <v>Residential Water Heating Detached Electricity to Residential Existing 00</v>
      </c>
      <c r="O37" s="294" t="str">
        <f>COMM!$E$24</f>
        <v>RSDELC</v>
      </c>
      <c r="P37" s="294"/>
      <c r="Q37" s="294" t="str">
        <f>COMM!$O$32</f>
        <v>RSDWH_Det</v>
      </c>
      <c r="R37" s="389">
        <f>(ArchetypeDemand!Y52*SUM(E36+E49))/SUM($E$31:$E$49)-($R$51/7)</f>
        <v>4.604512680022068E-2</v>
      </c>
      <c r="S37" s="390">
        <f>R37*DwellingStocks!$K$28/1000</f>
        <v>33.861896086540526</v>
      </c>
      <c r="T37" s="391">
        <f>IFERROR((S37*1000)/E49,0)-0.67619</f>
        <v>4.6995674355517583</v>
      </c>
      <c r="U37" s="569">
        <f>U11</f>
        <v>0.99952095808383234</v>
      </c>
      <c r="V37" s="569">
        <f t="shared" si="6"/>
        <v>0.12</v>
      </c>
      <c r="W37" s="393">
        <v>20</v>
      </c>
      <c r="X37" s="391">
        <f t="shared" si="7"/>
        <v>0.25228800000000001</v>
      </c>
      <c r="Y37" s="393"/>
      <c r="Z37" s="393"/>
      <c r="AA37" s="393"/>
      <c r="AB37" s="394">
        <f>AC37*U37</f>
        <v>0</v>
      </c>
      <c r="AC37" s="394">
        <f>IF(((D49+I49)*$B$2)&lt;=0.1,0,((D49+I49)*T37*$B$2))</f>
        <v>0</v>
      </c>
      <c r="AD37" s="393">
        <v>8</v>
      </c>
      <c r="AE37" s="261"/>
      <c r="AF37" s="294" t="s">
        <v>266</v>
      </c>
      <c r="AG37" s="294" t="str">
        <f>_xlfn.TEXTJOIN(",",TRUE,IF(LEFT(Regions!$C$3,1)&lt;&gt;"*",Regions!$C$3,""),IF(LEFT(Regions!$D$3,1)&lt;&gt;"*",Regions!$D$3,""))</f>
        <v>IE,National</v>
      </c>
      <c r="AH37" s="294" t="str">
        <f t="shared" si="8"/>
        <v>R-WH_Det_ELC_X0</v>
      </c>
      <c r="AI37" s="294" t="str">
        <f t="shared" si="8"/>
        <v>Residential Water Heating Detached Electricity to Residential Existing 00</v>
      </c>
      <c r="AJ37" s="294" t="s">
        <v>13</v>
      </c>
      <c r="AK37" s="294" t="s">
        <v>275</v>
      </c>
      <c r="AL37" s="294"/>
      <c r="AM37" s="294"/>
      <c r="AN37" s="261"/>
      <c r="AO37" s="261"/>
      <c r="AP37" s="261"/>
      <c r="AQ37" s="261"/>
    </row>
    <row r="38" spans="1:48">
      <c r="A38" s="261"/>
      <c r="B38" s="230" t="s">
        <v>427</v>
      </c>
      <c r="C38" s="233">
        <f>SUMIFS(INDEX(Table71618[],,MATCH($C$30,Table71618[#Headers],0)),Table71618[MainWaterHeatingFuel],B38)</f>
        <v>5358840</v>
      </c>
      <c r="D38" s="233">
        <f>SUMIFS(INDEX(Table71618[],,MATCH($D$30,Table71618[#Headers],0)),Table71618[MainWaterHeatingFuel],B38)</f>
        <v>4871676</v>
      </c>
      <c r="E38" s="233">
        <f>SUMIFS(INDEX(Table71618[],,MATCH($E$30,Table71618[#Headers],0)),Table71618[MainWaterHeatingFuel],B38)</f>
        <v>886</v>
      </c>
      <c r="F38" s="233">
        <f>SUMIFS(INDEX(Table71618[],,MATCH($F$30,Table71618[#Headers],0)),Table71618[MainWaterHeatingFuel],B38)</f>
        <v>93663</v>
      </c>
      <c r="G38" s="233"/>
      <c r="H38" s="233">
        <f>SUMIFS(INDEX(Table71618[],,MATCH($H$30,Table71618[#Headers],0)),Table71618[SupplWHFuelName],B38)</f>
        <v>0</v>
      </c>
      <c r="I38" s="233">
        <f>SUMIFS(INDEX(Table71618[],,MATCH($I$30,Table71618[#Headers],0)),Table71618[SupplWHFuelName],B38)</f>
        <v>0</v>
      </c>
      <c r="J38" s="233">
        <f>SUMIFS(INDEX(Table71618[],,MATCH($J$30,Table71618[#Headers],0)),Table71618[SupplWHFuelName],B38)</f>
        <v>0</v>
      </c>
      <c r="K38" s="261"/>
      <c r="L38" s="26" t="str">
        <f>_xlfn.TEXTJOIN(",",TRUE,IF(LEFT(Regions!$C$3,1)&lt;&gt;"*",Regions!$C$3,""),IF(LEFT(Regions!$D$3,1)&lt;&gt;"*",Regions!$D$3,""))</f>
        <v>IE,National</v>
      </c>
      <c r="M38" s="26" t="str">
        <f>LEFT(SETUP!B3,1)&amp;"-"&amp;RIGHT(COMM!$O$32,6)&amp;"_"&amp;RIGHT(O38,LEN(O38)-3)&amp;"_"&amp;SETUP!$B$65</f>
        <v>R-WH_Det_ELC_X1</v>
      </c>
      <c r="N38" s="395" t="str">
        <f>COMM!$P$32&amp;" "&amp;COMM!F24&amp;" "&amp;SETUP!$C$65</f>
        <v>Residential Water Heating Detached Electricity to Residential Existing 01</v>
      </c>
      <c r="O38" s="26" t="str">
        <f>COMM!$E$24</f>
        <v>RSDELC</v>
      </c>
      <c r="P38" s="26"/>
      <c r="Q38" s="26" t="str">
        <f>COMM!$O$32</f>
        <v>RSDWH_Det</v>
      </c>
      <c r="R38" s="396">
        <f>(ArchetypeDemand!Z52*SUM(E36+E49)/SUM($E$31:$E$49)-($R$51/7))</f>
        <v>1.8917299240910908E-2</v>
      </c>
      <c r="S38" s="397">
        <f>R38*DwellingStocks!$K$28/1000</f>
        <v>13.911909156272472</v>
      </c>
      <c r="T38" s="398">
        <f>IFERROR((S38*1000)/E36,0)+0.392</f>
        <v>1.5991070851429479</v>
      </c>
      <c r="U38" s="571">
        <f>U12</f>
        <v>3.0897837837837834</v>
      </c>
      <c r="V38" s="569">
        <f t="shared" si="6"/>
        <v>0.12</v>
      </c>
      <c r="W38" s="399">
        <v>20</v>
      </c>
      <c r="X38" s="567">
        <f t="shared" si="7"/>
        <v>6.3072000000000003E-2</v>
      </c>
      <c r="Y38" s="399"/>
      <c r="Z38" s="399"/>
      <c r="AA38" s="399"/>
      <c r="AB38" s="400">
        <f>AC38*U38</f>
        <v>0</v>
      </c>
      <c r="AC38" s="401">
        <f>IF(((D49+I49)*$B$2)&lt;=0.1,0,((D49+I49)*T38*$B$2))</f>
        <v>0</v>
      </c>
      <c r="AD38" s="563">
        <v>2</v>
      </c>
      <c r="AE38" s="261"/>
      <c r="AF38" s="26" t="s">
        <v>266</v>
      </c>
      <c r="AG38" s="26" t="str">
        <f>_xlfn.TEXTJOIN(",",TRUE,IF(LEFT(Regions!$C$3,1)&lt;&gt;"*",Regions!$C$3,""),IF(LEFT(Regions!$D$3,1)&lt;&gt;"*",Regions!$D$3,""))</f>
        <v>IE,National</v>
      </c>
      <c r="AH38" s="26" t="str">
        <f t="shared" si="8"/>
        <v>R-WH_Det_ELC_X1</v>
      </c>
      <c r="AI38" s="26" t="str">
        <f t="shared" si="8"/>
        <v>Residential Water Heating Detached Electricity to Residential Existing 01</v>
      </c>
      <c r="AJ38" s="26" t="s">
        <v>13</v>
      </c>
      <c r="AK38" s="26" t="s">
        <v>275</v>
      </c>
      <c r="AL38" s="26"/>
      <c r="AM38" s="26"/>
      <c r="AN38" s="261"/>
      <c r="AO38" s="261"/>
      <c r="AP38" s="261"/>
      <c r="AQ38" s="261"/>
    </row>
    <row r="39" spans="1:48">
      <c r="A39" s="261"/>
      <c r="B39" s="231" t="s">
        <v>407</v>
      </c>
      <c r="C39" s="232">
        <f>SUMIFS(INDEX(Table71618[],,MATCH($C$30,Table71618[#Headers],0)),Table71618[MainWaterHeatingFuel],B39)</f>
        <v>216884583</v>
      </c>
      <c r="D39" s="232">
        <f>SUMIFS(INDEX(Table71618[],,MATCH($D$30,Table71618[#Headers],0)),Table71618[MainWaterHeatingFuel],B39)</f>
        <v>197167799</v>
      </c>
      <c r="E39" s="232">
        <f>SUMIFS(INDEX(Table71618[],,MATCH($E$30,Table71618[#Headers],0)),Table71618[MainWaterHeatingFuel],B39)</f>
        <v>41540</v>
      </c>
      <c r="F39" s="232">
        <f>SUMIFS(INDEX(Table71618[],,MATCH($F$30,Table71618[#Headers],0)),Table71618[MainWaterHeatingFuel],B39)</f>
        <v>6348985</v>
      </c>
      <c r="G39" s="232"/>
      <c r="H39" s="232">
        <f>SUMIFS(INDEX(Table71618[],,MATCH($H$30,Table71618[#Headers],0)),Table71618[SupplWHFuelName],B39)</f>
        <v>0</v>
      </c>
      <c r="I39" s="232">
        <f>SUMIFS(INDEX(Table71618[],,MATCH($I$30,Table71618[#Headers],0)),Table71618[SupplWHFuelName],B39)</f>
        <v>0</v>
      </c>
      <c r="J39" s="232">
        <f>SUMIFS(INDEX(Table71618[],,MATCH($J$30,Table71618[#Headers],0)),Table71618[SupplWHFuelName],B39)</f>
        <v>0</v>
      </c>
      <c r="K39" s="261"/>
      <c r="L39" s="26" t="str">
        <f>_xlfn.TEXTJOIN(",",TRUE,IF(LEFT(Regions!$C$3,1)&lt;&gt;"*",Regions!$C$3,""),IF(LEFT(Regions!$D$3,1)&lt;&gt;"*",Regions!$D$3,""))</f>
        <v>IE,National</v>
      </c>
      <c r="M39" s="26"/>
      <c r="N39" s="395"/>
      <c r="O39" s="26"/>
      <c r="P39" s="26" t="s">
        <v>842</v>
      </c>
      <c r="Q39" s="26"/>
      <c r="R39" s="396"/>
      <c r="S39" s="397"/>
      <c r="T39" s="398"/>
      <c r="U39" s="571"/>
      <c r="V39" s="571"/>
      <c r="W39" s="399"/>
      <c r="X39" s="567">
        <f t="shared" si="7"/>
        <v>0.18921600000000002</v>
      </c>
      <c r="Y39" s="399"/>
      <c r="Z39" s="399"/>
      <c r="AA39" s="399" t="e">
        <f>AC39/AB38</f>
        <v>#DIV/0!</v>
      </c>
      <c r="AB39" s="400"/>
      <c r="AC39" s="401">
        <f>RSD_Balance!K22</f>
        <v>0</v>
      </c>
      <c r="AD39" s="563">
        <v>6</v>
      </c>
      <c r="AE39" s="261"/>
      <c r="AF39" s="294" t="s">
        <v>266</v>
      </c>
      <c r="AG39" s="294" t="str">
        <f>_xlfn.TEXTJOIN(",",TRUE,IF(LEFT(Regions!$C$3,1)&lt;&gt;"*",Regions!$C$3,""),IF(LEFT(Regions!$D$3,1)&lt;&gt;"*",Regions!$D$3,""))</f>
        <v>IE,National</v>
      </c>
      <c r="AH39" s="294" t="str">
        <f>M40</f>
        <v>R-WH_Det_KER_X0</v>
      </c>
      <c r="AI39" s="294" t="str">
        <f>N40</f>
        <v>Residential Water Heating Detached Kerosene to Residential Existing 00</v>
      </c>
      <c r="AJ39" s="294" t="s">
        <v>13</v>
      </c>
      <c r="AK39" s="294" t="s">
        <v>275</v>
      </c>
      <c r="AL39" s="294"/>
      <c r="AM39" s="294"/>
      <c r="AN39" s="261"/>
      <c r="AO39" s="261"/>
      <c r="AP39" s="261"/>
      <c r="AQ39" s="261"/>
    </row>
    <row r="40" spans="1:48">
      <c r="A40" s="261"/>
      <c r="B40" s="230" t="s">
        <v>579</v>
      </c>
      <c r="C40" s="233">
        <f>SUMIFS(INDEX(Table71618[],,MATCH($C$30,Table71618[#Headers],0)),Table71618[MainWaterHeatingFuel],B40)</f>
        <v>3461350</v>
      </c>
      <c r="D40" s="233">
        <f>SUMIFS(INDEX(Table71618[],,MATCH($D$30,Table71618[#Headers],0)),Table71618[MainWaterHeatingFuel],B40)</f>
        <v>2884461</v>
      </c>
      <c r="E40" s="233">
        <f>SUMIFS(INDEX(Table71618[],,MATCH($E$30,Table71618[#Headers],0)),Table71618[MainWaterHeatingFuel],B40)</f>
        <v>570</v>
      </c>
      <c r="F40" s="233">
        <f>SUMIFS(INDEX(Table71618[],,MATCH($F$30,Table71618[#Headers],0)),Table71618[MainWaterHeatingFuel],B40)</f>
        <v>60119</v>
      </c>
      <c r="G40" s="233"/>
      <c r="H40" s="233">
        <f>SUMIFS(INDEX(Table71618[],,MATCH($H$30,Table71618[#Headers],0)),Table71618[SupplWHFuelName],B40)</f>
        <v>0</v>
      </c>
      <c r="I40" s="233">
        <f>SUMIFS(INDEX(Table71618[],,MATCH($I$30,Table71618[#Headers],0)),Table71618[SupplWHFuelName],B40)</f>
        <v>0</v>
      </c>
      <c r="J40" s="233">
        <f>SUMIFS(INDEX(Table71618[],,MATCH($J$30,Table71618[#Headers],0)),Table71618[SupplWHFuelName],B40)</f>
        <v>0</v>
      </c>
      <c r="K40" s="261"/>
      <c r="L40" s="294" t="str">
        <f>_xlfn.TEXTJOIN(",",TRUE,IF(LEFT(Regions!$C$3,1)&lt;&gt;"*",Regions!$C$3,""),IF(LEFT(Regions!$D$3,1)&lt;&gt;"*",Regions!$D$3,""))</f>
        <v>IE,National</v>
      </c>
      <c r="M40" s="294" t="str">
        <f>LEFT(SETUP!B3,1)&amp;"-"&amp;RIGHT(COMM!$O$32,6)&amp;"_"&amp;RIGHT(O40,LEN(O40)-3)&amp;"_"&amp;SETUP!$B$64</f>
        <v>R-WH_Det_KER_X0</v>
      </c>
      <c r="N40" s="294" t="str">
        <f>COMM!$P$32&amp;" "&amp;COMM!F10&amp;" "&amp;SETUP!$C$64</f>
        <v>Residential Water Heating Detached Kerosene to Residential Existing 00</v>
      </c>
      <c r="O40" s="294" t="str">
        <f>COMM!$E$10</f>
        <v>RSDKER</v>
      </c>
      <c r="P40" s="294"/>
      <c r="Q40" s="294" t="str">
        <f>COMM!$O$32</f>
        <v>RSDWH_Det</v>
      </c>
      <c r="R40" s="389">
        <f>E37/SUM($E$31:$E$49)-($R$51/7)</f>
        <v>0.69549131518368434</v>
      </c>
      <c r="S40" s="390">
        <f>R40*DwellingStocks!$K$28/1000</f>
        <v>511.4689931471413</v>
      </c>
      <c r="T40" s="444">
        <f>IFERROR((S40*1000)/E37,0)-0.1727</f>
        <v>2.6197557801450162</v>
      </c>
      <c r="U40" s="569">
        <f>U14</f>
        <v>0.82280373831775711</v>
      </c>
      <c r="V40" s="569">
        <f t="shared" ref="V40:V42" si="9">AB40/S40/X40</f>
        <v>5.371147507918328E-2</v>
      </c>
      <c r="W40" s="393">
        <v>20</v>
      </c>
      <c r="X40" s="391">
        <f t="shared" si="7"/>
        <v>0.25228800000000001</v>
      </c>
      <c r="Y40" s="393"/>
      <c r="Z40" s="393"/>
      <c r="AA40" s="393"/>
      <c r="AB40" s="394">
        <f>AC40*U40</f>
        <v>6.9307938931326154</v>
      </c>
      <c r="AC40" s="394">
        <f>IF(((D37+I37)*$B$2)&lt;=0.1,0,((D37+I37)*T40*$B$2))</f>
        <v>8.4233864898363215</v>
      </c>
      <c r="AD40" s="393">
        <v>8</v>
      </c>
      <c r="AE40" s="261"/>
      <c r="AF40" s="405" t="s">
        <v>254</v>
      </c>
      <c r="AG40" s="405"/>
      <c r="AH40" s="402"/>
      <c r="AI40" s="402"/>
      <c r="AJ40" s="402"/>
      <c r="AK40" s="402"/>
      <c r="AL40" s="402"/>
      <c r="AM40" s="402"/>
      <c r="AN40" s="261"/>
      <c r="AO40" s="261"/>
      <c r="AP40" s="261"/>
      <c r="AQ40" s="261"/>
    </row>
    <row r="41" spans="1:48">
      <c r="A41" s="261"/>
      <c r="B41" s="231" t="s">
        <v>428</v>
      </c>
      <c r="C41" s="232">
        <f>SUMIFS(INDEX(Table71618[],,MATCH($C$30,Table71618[#Headers],0)),Table71618[MainWaterHeatingFuel],B41)</f>
        <v>678685</v>
      </c>
      <c r="D41" s="232">
        <f>SUMIFS(INDEX(Table71618[],,MATCH($D$30,Table71618[#Headers],0)),Table71618[MainWaterHeatingFuel],B41)</f>
        <v>616984</v>
      </c>
      <c r="E41" s="232">
        <f>SUMIFS(INDEX(Table71618[],,MATCH($E$30,Table71618[#Headers],0)),Table71618[MainWaterHeatingFuel],B41)</f>
        <v>104</v>
      </c>
      <c r="F41" s="232">
        <f>SUMIFS(INDEX(Table71618[],,MATCH($F$30,Table71618[#Headers],0)),Table71618[MainWaterHeatingFuel],B41)</f>
        <v>11329</v>
      </c>
      <c r="G41" s="232"/>
      <c r="H41" s="232">
        <f>SUMIFS(INDEX(Table71618[],,MATCH($H$30,Table71618[#Headers],0)),Table71618[SupplWHFuelName],B41)</f>
        <v>0</v>
      </c>
      <c r="I41" s="232">
        <f>SUMIFS(INDEX(Table71618[],,MATCH($I$30,Table71618[#Headers],0)),Table71618[SupplWHFuelName],B41)</f>
        <v>0</v>
      </c>
      <c r="J41" s="232">
        <f>SUMIFS(INDEX(Table71618[],,MATCH($J$30,Table71618[#Headers],0)),Table71618[SupplWHFuelName],B41)</f>
        <v>0</v>
      </c>
      <c r="K41" s="261"/>
      <c r="L41" s="405" t="s">
        <v>254</v>
      </c>
      <c r="M41" s="405" t="s">
        <v>254</v>
      </c>
      <c r="N41" s="402"/>
      <c r="O41" s="402"/>
      <c r="P41" s="402"/>
      <c r="Q41" s="402"/>
      <c r="R41" s="403"/>
      <c r="S41" s="404"/>
      <c r="T41" s="402"/>
      <c r="U41" s="573"/>
      <c r="V41" s="573"/>
      <c r="W41" s="402"/>
      <c r="X41" s="564"/>
      <c r="Y41" s="402"/>
      <c r="Z41" s="402"/>
      <c r="AA41" s="402"/>
      <c r="AB41" s="402"/>
      <c r="AC41" s="402"/>
      <c r="AD41" s="565"/>
      <c r="AE41" s="261"/>
      <c r="AF41" s="294" t="s">
        <v>266</v>
      </c>
      <c r="AG41" s="294" t="str">
        <f>_xlfn.TEXTJOIN(",",TRUE,IF(LEFT(Regions!$C$3,1)&lt;&gt;"*",Regions!$C$3,""),IF(LEFT(Regions!$D$3,1)&lt;&gt;"*",Regions!$D$3,""))</f>
        <v>IE,National</v>
      </c>
      <c r="AH41" s="294" t="str">
        <f>M42</f>
        <v>R-WH_Det_GAS_X0</v>
      </c>
      <c r="AI41" s="294" t="str">
        <f>N42</f>
        <v>Residential Water Heating Detached Natural Gas to Residential Existing 00</v>
      </c>
      <c r="AJ41" s="294" t="s">
        <v>13</v>
      </c>
      <c r="AK41" s="406" t="s">
        <v>275</v>
      </c>
      <c r="AL41" s="406"/>
      <c r="AM41" s="406"/>
      <c r="AN41" s="261"/>
      <c r="AO41" s="261"/>
      <c r="AP41" s="261"/>
      <c r="AQ41" s="261"/>
    </row>
    <row r="42" spans="1:48">
      <c r="A42" s="261"/>
      <c r="B42" s="230" t="s">
        <v>431</v>
      </c>
      <c r="C42" s="233">
        <f>SUMIFS(INDEX(Table71618[],,MATCH($C$30,Table71618[#Headers],0)),Table71618[MainWaterHeatingFuel],B42)</f>
        <v>4722448</v>
      </c>
      <c r="D42" s="233">
        <f>SUMIFS(INDEX(Table71618[],,MATCH($D$30,Table71618[#Headers],0)),Table71618[MainWaterHeatingFuel],B42)</f>
        <v>4293138</v>
      </c>
      <c r="E42" s="233">
        <f>SUMIFS(INDEX(Table71618[],,MATCH($E$30,Table71618[#Headers],0)),Table71618[MainWaterHeatingFuel],B42)</f>
        <v>688</v>
      </c>
      <c r="F42" s="233">
        <f>SUMIFS(INDEX(Table71618[],,MATCH($F$30,Table71618[#Headers],0)),Table71618[MainWaterHeatingFuel],B42)</f>
        <v>72559</v>
      </c>
      <c r="G42" s="233"/>
      <c r="H42" s="233">
        <f>SUMIFS(INDEX(Table71618[],,MATCH($H$30,Table71618[#Headers],0)),Table71618[SupplWHFuelName],B42)</f>
        <v>0</v>
      </c>
      <c r="I42" s="233">
        <f>SUMIFS(INDEX(Table71618[],,MATCH($I$30,Table71618[#Headers],0)),Table71618[SupplWHFuelName],B42)</f>
        <v>0</v>
      </c>
      <c r="J42" s="233">
        <f>SUMIFS(INDEX(Table71618[],,MATCH($J$30,Table71618[#Headers],0)),Table71618[SupplWHFuelName],B42)</f>
        <v>0</v>
      </c>
      <c r="K42" s="261"/>
      <c r="L42" s="294" t="str">
        <f>_xlfn.TEXTJOIN(",",TRUE,IF(LEFT(Regions!$C$3,1)&lt;&gt;"*",Regions!$C$3,""),IF(LEFT(Regions!$D$3,1)&lt;&gt;"*",Regions!$D$3,""))</f>
        <v>IE,National</v>
      </c>
      <c r="M42" s="294" t="str">
        <f>LEFT(SETUP!B3,1)&amp;"-"&amp;RIGHT(COMM!$O$32,6)&amp;"_"&amp;MID(O42,4,3)&amp;"_"&amp;SETUP!$B$64</f>
        <v>R-WH_Det_GAS_X0</v>
      </c>
      <c r="N42" s="294" t="str">
        <f>COMM!$P$32&amp;" "&amp;COMM!F14&amp;" "&amp;SETUP!$C$64</f>
        <v>Residential Water Heating Detached Natural Gas to Residential Existing 00</v>
      </c>
      <c r="O42" s="294" t="str">
        <f>COMM!$E$14</f>
        <v>RSDGAS</v>
      </c>
      <c r="P42" s="294"/>
      <c r="Q42" s="294" t="str">
        <f>COMM!$O$32</f>
        <v>RSDWH_Det</v>
      </c>
      <c r="R42" s="389">
        <f>E39/SUM($E$31:$E$49)-($R$51/7)</f>
        <v>0.15662937807963778</v>
      </c>
      <c r="S42" s="390">
        <f>R42*DwellingStocks!$K$28/1000</f>
        <v>115.18629859885071</v>
      </c>
      <c r="T42" s="444">
        <f>IFERROR((S42*1000)/E39,0)-0.66693</f>
        <v>2.1059707847580817</v>
      </c>
      <c r="U42" s="569">
        <f>U16</f>
        <v>0.82728758169934635</v>
      </c>
      <c r="V42" s="569">
        <f t="shared" si="9"/>
        <v>4.2554933846820381E-2</v>
      </c>
      <c r="W42" s="393">
        <v>20</v>
      </c>
      <c r="X42" s="391">
        <f t="shared" ref="X42" si="10">31.536*(AD42/1000)</f>
        <v>0.25228800000000001</v>
      </c>
      <c r="Y42" s="393"/>
      <c r="Z42" s="393"/>
      <c r="AA42" s="393"/>
      <c r="AB42" s="394">
        <f>AC42*U42</f>
        <v>1.2366515225186934</v>
      </c>
      <c r="AC42" s="394">
        <f>IF(((D39+I39)*$B$2)&lt;=0.1,0,((D39+I39)*T42*$B$2))</f>
        <v>1.4948266478005934</v>
      </c>
      <c r="AD42" s="393">
        <v>8</v>
      </c>
      <c r="AE42" s="261"/>
      <c r="AF42" s="405" t="s">
        <v>254</v>
      </c>
      <c r="AG42" s="405"/>
      <c r="AH42" s="402"/>
      <c r="AI42" s="402"/>
      <c r="AJ42" s="402"/>
      <c r="AK42" s="402"/>
      <c r="AL42" s="402"/>
      <c r="AM42" s="402"/>
      <c r="AN42" s="261"/>
      <c r="AO42" s="261"/>
      <c r="AP42" s="261"/>
      <c r="AQ42" s="261"/>
    </row>
    <row r="43" spans="1:48">
      <c r="A43" s="261"/>
      <c r="B43" s="231" t="s">
        <v>426</v>
      </c>
      <c r="C43" s="232">
        <f>SUMIFS(INDEX(Table71618[],,MATCH($C$30,Table71618[#Headers],0)),Table71618[MainWaterHeatingFuel],B43)</f>
        <v>63275403</v>
      </c>
      <c r="D43" s="232">
        <f>SUMIFS(INDEX(Table71618[],,MATCH($D$30,Table71618[#Headers],0)),Table71618[MainWaterHeatingFuel],B43)</f>
        <v>57523088</v>
      </c>
      <c r="E43" s="232">
        <f>SUMIFS(INDEX(Table71618[],,MATCH($E$30,Table71618[#Headers],0)),Table71618[MainWaterHeatingFuel],B43)</f>
        <v>10695</v>
      </c>
      <c r="F43" s="232">
        <f>SUMIFS(INDEX(Table71618[],,MATCH($F$30,Table71618[#Headers],0)),Table71618[MainWaterHeatingFuel],B43)</f>
        <v>1091229</v>
      </c>
      <c r="G43" s="232"/>
      <c r="H43" s="232">
        <f>SUMIFS(INDEX(Table71618[],,MATCH($H$30,Table71618[#Headers],0)),Table71618[SupplWHFuelName],B43)</f>
        <v>0</v>
      </c>
      <c r="I43" s="232">
        <f>SUMIFS(INDEX(Table71618[],,MATCH($I$30,Table71618[#Headers],0)),Table71618[SupplWHFuelName],B43)</f>
        <v>0</v>
      </c>
      <c r="J43" s="232">
        <f>SUMIFS(INDEX(Table71618[],,MATCH($J$30,Table71618[#Headers],0)),Table71618[SupplWHFuelName],B43)</f>
        <v>0</v>
      </c>
      <c r="K43" s="261"/>
      <c r="L43" s="405" t="s">
        <v>254</v>
      </c>
      <c r="M43" s="405" t="s">
        <v>254</v>
      </c>
      <c r="N43" s="402"/>
      <c r="O43" s="402"/>
      <c r="P43" s="402"/>
      <c r="Q43" s="402"/>
      <c r="R43" s="403"/>
      <c r="S43" s="404"/>
      <c r="T43" s="402"/>
      <c r="U43" s="573"/>
      <c r="V43" s="573"/>
      <c r="W43" s="402"/>
      <c r="X43" s="564"/>
      <c r="Y43" s="402"/>
      <c r="Z43" s="402"/>
      <c r="AA43" s="402"/>
      <c r="AB43" s="402"/>
      <c r="AC43" s="402"/>
      <c r="AD43" s="565"/>
      <c r="AE43" s="261"/>
      <c r="AF43" s="294" t="s">
        <v>266</v>
      </c>
      <c r="AG43" s="294" t="str">
        <f>_xlfn.TEXTJOIN(",",TRUE,IF(LEFT(Regions!$C$3,1)&lt;&gt;"*",Regions!$C$3,""),IF(LEFT(Regions!$D$3,1)&lt;&gt;"*",Regions!$D$3,""))</f>
        <v>IE,National</v>
      </c>
      <c r="AH43" s="294" t="str">
        <f>M44</f>
        <v>R-WH_Det_PEA_X0</v>
      </c>
      <c r="AI43" s="294" t="str">
        <f>N44</f>
        <v>Residential Water Heating Detached Peat to Residential Existing 00</v>
      </c>
      <c r="AJ43" s="294" t="s">
        <v>13</v>
      </c>
      <c r="AK43" s="406" t="s">
        <v>275</v>
      </c>
      <c r="AL43" s="406"/>
      <c r="AM43" s="406"/>
      <c r="AN43" s="261"/>
      <c r="AO43" s="261"/>
      <c r="AP43" s="261"/>
      <c r="AQ43" s="261"/>
    </row>
    <row r="44" spans="1:48">
      <c r="A44" s="261"/>
      <c r="B44" s="230" t="s">
        <v>481</v>
      </c>
      <c r="C44" s="233">
        <f>SUMIFS(INDEX(Table71618[],,MATCH($C$30,Table71618[#Headers],0)),Table71618[MainWaterHeatingFuel],B44)</f>
        <v>206917</v>
      </c>
      <c r="D44" s="233">
        <f>SUMIFS(INDEX(Table71618[],,MATCH($D$30,Table71618[#Headers],0)),Table71618[MainWaterHeatingFuel],B44)</f>
        <v>188106</v>
      </c>
      <c r="E44" s="233">
        <f>SUMIFS(INDEX(Table71618[],,MATCH($E$30,Table71618[#Headers],0)),Table71618[MainWaterHeatingFuel],B44)</f>
        <v>34</v>
      </c>
      <c r="F44" s="233">
        <f>SUMIFS(INDEX(Table71618[],,MATCH($F$30,Table71618[#Headers],0)),Table71618[MainWaterHeatingFuel],B44)</f>
        <v>6908</v>
      </c>
      <c r="G44" s="233"/>
      <c r="H44" s="233">
        <f>SUMIFS(INDEX(Table71618[],,MATCH($H$30,Table71618[#Headers],0)),Table71618[SupplWHFuelName],B44)</f>
        <v>0</v>
      </c>
      <c r="I44" s="233">
        <f>SUMIFS(INDEX(Table71618[],,MATCH($I$30,Table71618[#Headers],0)),Table71618[SupplWHFuelName],B44)</f>
        <v>0</v>
      </c>
      <c r="J44" s="233">
        <f>SUMIFS(INDEX(Table71618[],,MATCH($J$30,Table71618[#Headers],0)),Table71618[SupplWHFuelName],B44)</f>
        <v>0</v>
      </c>
      <c r="K44" s="261"/>
      <c r="L44" s="294" t="str">
        <f>_xlfn.TEXTJOIN(",",TRUE,IF(LEFT(Regions!$C$3,1)&lt;&gt;"*",Regions!$C$3,""),IF(LEFT(Regions!$D$3,1)&lt;&gt;"*",Regions!$D$3,""))</f>
        <v>IE,National</v>
      </c>
      <c r="M44" s="294" t="str">
        <f>LEFT(SETUP!B3,1)&amp;"-"&amp;RIGHT(COMM!$O$32,6)&amp;"_"&amp;RIGHT(O44,LEN(O44)-3)&amp;"_"&amp;SETUP!$B$64</f>
        <v>R-WH_Det_PEA_X0</v>
      </c>
      <c r="N44" s="294" t="str">
        <f>COMM!$P$32&amp;" "&amp;COMM!F7&amp;" "&amp;SETUP!$C$64</f>
        <v>Residential Water Heating Detached Peat to Residential Existing 00</v>
      </c>
      <c r="O44" s="294" t="str">
        <f>COMM!$E$7</f>
        <v>RSDPEA</v>
      </c>
      <c r="P44" s="294"/>
      <c r="Q44" s="294" t="str">
        <f>COMM!$O$32</f>
        <v>RSDWH_Det</v>
      </c>
      <c r="R44" s="389">
        <f>(E41+E42)/SUM($E$31:$E$49)</f>
        <v>3.0135266251926258E-3</v>
      </c>
      <c r="S44" s="390">
        <f>R44*DwellingStocks!$K$28/1000</f>
        <v>2.2161677581873178</v>
      </c>
      <c r="T44" s="391">
        <f>IFERROR((S38*1000)/E36,0)+0.16</f>
        <v>1.3671070851429477</v>
      </c>
      <c r="U44" s="569">
        <f>U18</f>
        <v>0.5457894736842106</v>
      </c>
      <c r="V44" s="569">
        <f t="shared" ref="V44" si="11">IF(AB44/S44/X44=0,0.12,AB44/S44/X44)</f>
        <v>0.12</v>
      </c>
      <c r="W44" s="393">
        <v>20</v>
      </c>
      <c r="X44" s="391">
        <f t="shared" ref="X44" si="12">31.536*(AD44/1000)</f>
        <v>0.25228800000000001</v>
      </c>
      <c r="Y44" s="393"/>
      <c r="Z44" s="393"/>
      <c r="AA44" s="393"/>
      <c r="AB44" s="394">
        <f>AC44*U44</f>
        <v>0</v>
      </c>
      <c r="AC44" s="394">
        <f>IF(((D41+I41+D42+I42)*$B$2)&lt;=0.1,0,((D41+I41+D42+I42)*T44*$B$2))</f>
        <v>0</v>
      </c>
      <c r="AD44" s="393">
        <v>8</v>
      </c>
      <c r="AE44" s="261"/>
      <c r="AF44" s="405" t="s">
        <v>254</v>
      </c>
      <c r="AG44" s="405"/>
      <c r="AH44" s="402"/>
      <c r="AI44" s="402"/>
      <c r="AJ44" s="402"/>
      <c r="AK44" s="402"/>
      <c r="AL44" s="402"/>
      <c r="AM44" s="402"/>
      <c r="AN44" s="261"/>
      <c r="AO44" s="261"/>
      <c r="AP44" s="261"/>
      <c r="AQ44" s="261"/>
    </row>
    <row r="45" spans="1:48">
      <c r="A45" s="261"/>
      <c r="B45" s="231" t="s">
        <v>433</v>
      </c>
      <c r="C45" s="232">
        <f>SUMIFS(INDEX(Table71618[],,MATCH($C$30,Table71618[#Headers],0)),Table71618[MainWaterHeatingFuel],B45)</f>
        <v>2124616</v>
      </c>
      <c r="D45" s="232">
        <f>SUMIFS(INDEX(Table71618[],,MATCH($D$30,Table71618[#Headers],0)),Table71618[MainWaterHeatingFuel],B45)</f>
        <v>1931465</v>
      </c>
      <c r="E45" s="232">
        <f>SUMIFS(INDEX(Table71618[],,MATCH($E$30,Table71618[#Headers],0)),Table71618[MainWaterHeatingFuel],B45)</f>
        <v>365</v>
      </c>
      <c r="F45" s="232">
        <f>SUMIFS(INDEX(Table71618[],,MATCH($F$30,Table71618[#Headers],0)),Table71618[MainWaterHeatingFuel],B45)</f>
        <v>51064</v>
      </c>
      <c r="G45" s="232"/>
      <c r="H45" s="232">
        <f>SUMIFS(INDEX(Table71618[],,MATCH($H$30,Table71618[#Headers],0)),Table71618[SupplWHFuelName],B45)</f>
        <v>0</v>
      </c>
      <c r="I45" s="232">
        <f>SUMIFS(INDEX(Table71618[],,MATCH($I$30,Table71618[#Headers],0)),Table71618[SupplWHFuelName],B45)</f>
        <v>0</v>
      </c>
      <c r="J45" s="232">
        <f>SUMIFS(INDEX(Table71618[],,MATCH($J$30,Table71618[#Headers],0)),Table71618[SupplWHFuelName],B45)</f>
        <v>0</v>
      </c>
      <c r="K45" s="261"/>
      <c r="L45" s="405" t="s">
        <v>254</v>
      </c>
      <c r="M45" s="405" t="s">
        <v>254</v>
      </c>
      <c r="N45" s="402"/>
      <c r="O45" s="402"/>
      <c r="P45" s="402"/>
      <c r="Q45" s="402"/>
      <c r="R45" s="403"/>
      <c r="S45" s="404"/>
      <c r="T45" s="402"/>
      <c r="U45" s="573"/>
      <c r="V45" s="573"/>
      <c r="W45" s="402"/>
      <c r="X45" s="564"/>
      <c r="Y45" s="402"/>
      <c r="Z45" s="402"/>
      <c r="AA45" s="402"/>
      <c r="AB45" s="402"/>
      <c r="AC45" s="402"/>
      <c r="AD45" s="565"/>
      <c r="AE45" s="261"/>
      <c r="AF45" s="294" t="s">
        <v>266</v>
      </c>
      <c r="AG45" s="294" t="str">
        <f>_xlfn.TEXTJOIN(",",TRUE,IF(LEFT(Regions!$C$3,1)&lt;&gt;"*",Regions!$C$3,""),IF(LEFT(Regions!$D$3,1)&lt;&gt;"*",Regions!$D$3,""))</f>
        <v>IE,National</v>
      </c>
      <c r="AH45" s="294" t="str">
        <f>M46</f>
        <v>R-WH_Det_SMF_X0</v>
      </c>
      <c r="AI45" s="294" t="str">
        <f>N46</f>
        <v>Residential Water Heating Detached Solid Multi-Fuel Existing 00</v>
      </c>
      <c r="AJ45" s="294" t="s">
        <v>13</v>
      </c>
      <c r="AK45" s="406" t="s">
        <v>275</v>
      </c>
      <c r="AL45" s="406"/>
      <c r="AM45" s="406"/>
      <c r="AN45" s="261"/>
      <c r="AO45" s="261"/>
      <c r="AP45" s="261"/>
      <c r="AQ45" s="261"/>
    </row>
    <row r="46" spans="1:48">
      <c r="A46" s="261"/>
      <c r="B46" s="230" t="s">
        <v>408</v>
      </c>
      <c r="C46" s="233">
        <f>SUMIFS(INDEX(Table71618[],,MATCH($C$30,Table71618[#Headers],0)),Table71618[MainWaterHeatingFuel],B46)</f>
        <v>4321670</v>
      </c>
      <c r="D46" s="233">
        <f>SUMIFS(INDEX(Table71618[],,MATCH($D$30,Table71618[#Headers],0)),Table71618[MainWaterHeatingFuel],B46)</f>
        <v>3928792</v>
      </c>
      <c r="E46" s="233">
        <f>SUMIFS(INDEX(Table71618[],,MATCH($E$30,Table71618[#Headers],0)),Table71618[MainWaterHeatingFuel],B46)</f>
        <v>784</v>
      </c>
      <c r="F46" s="233">
        <f>SUMIFS(INDEX(Table71618[],,MATCH($F$30,Table71618[#Headers],0)),Table71618[MainWaterHeatingFuel],B46)</f>
        <v>158999</v>
      </c>
      <c r="G46" s="233"/>
      <c r="H46" s="233">
        <f>SUMIFS(INDEX(Table71618[],,MATCH($H$30,Table71618[#Headers],0)),Table71618[SupplWHFuelName],B46)</f>
        <v>0</v>
      </c>
      <c r="I46" s="233">
        <f>SUMIFS(INDEX(Table71618[],,MATCH($I$30,Table71618[#Headers],0)),Table71618[SupplWHFuelName],B46)</f>
        <v>0</v>
      </c>
      <c r="J46" s="233">
        <f>SUMIFS(INDEX(Table71618[],,MATCH($J$30,Table71618[#Headers],0)),Table71618[SupplWHFuelName],B46)</f>
        <v>0</v>
      </c>
      <c r="K46" s="261"/>
      <c r="L46" s="26" t="str">
        <f>_xlfn.TEXTJOIN(",",TRUE,IF(LEFT(Regions!$C$3,1)&lt;&gt;"*",Regions!$C$3,""),IF(LEFT(Regions!$D$3,1)&lt;&gt;"*",Regions!$D$3,""))</f>
        <v>IE,National</v>
      </c>
      <c r="M46" s="26" t="str">
        <f>LEFT(SETUP!B3,1)&amp;"-"&amp;RIGHT(COMM!$O$32,6)&amp;"_"&amp;RIGHT(COMM!E23,LEN(COMM!E23)-3)&amp;"_"&amp;SETUP!B64</f>
        <v>R-WH_Det_SMF_X0</v>
      </c>
      <c r="N46" s="26" t="str">
        <f>COMM!$P$32&amp;" "&amp;COMM!F23&amp;" "&amp;SETUP!C64</f>
        <v>Residential Water Heating Detached Solid Multi-Fuel Existing 00</v>
      </c>
      <c r="O46" s="26" t="str">
        <f>COMM!E6</f>
        <v>RSDCOA</v>
      </c>
      <c r="P46" s="26"/>
      <c r="Q46" s="26" t="str">
        <f>COMM!$O$32</f>
        <v>RSDWH_Det</v>
      </c>
      <c r="R46" s="396">
        <f>E43/SUM($E$31:$E$49)-($R$51/7)</f>
        <v>3.9265452885109291E-2</v>
      </c>
      <c r="S46" s="397">
        <f>R46*DwellingStocks!$K$28/1000</f>
        <v>28.876078268941832</v>
      </c>
      <c r="T46" s="398">
        <f>(S46*1000)/E43-0.19617</f>
        <v>2.5037905674559919</v>
      </c>
      <c r="U46" s="570">
        <f>U20</f>
        <v>0.61474226804123711</v>
      </c>
      <c r="V46" s="571">
        <f>SUM(AB46:AB48)/S46/X46</f>
        <v>4.3752307505030223E-2</v>
      </c>
      <c r="W46" s="399">
        <v>20</v>
      </c>
      <c r="X46" s="567">
        <f t="shared" ref="X46" si="13">31.536*(AD46/1000)</f>
        <v>0.25228800000000001</v>
      </c>
      <c r="Y46" s="515">
        <f>RSD_Balance!$H$2</f>
        <v>0.19400000000000001</v>
      </c>
      <c r="Z46" s="399">
        <v>5</v>
      </c>
      <c r="AA46" s="399"/>
      <c r="AB46" s="400">
        <f>AC46*$U$46</f>
        <v>6.1835445904440102E-2</v>
      </c>
      <c r="AC46" s="401">
        <f>IF(((D43+I43)*$B$2)&lt;=0.1,0,((D43+I43)*T46*$B$2))*Y46</f>
        <v>0.10058759437750613</v>
      </c>
      <c r="AD46" s="563">
        <v>8</v>
      </c>
      <c r="AE46" s="517"/>
      <c r="AF46" s="26" t="s">
        <v>266</v>
      </c>
      <c r="AG46" s="26" t="str">
        <f>_xlfn.TEXTJOIN(",",TRUE,IF(LEFT(Regions!$C$3,1)&lt;&gt;"*",Regions!$C$3,""),IF(LEFT(Regions!$D$3,1)&lt;&gt;"*",Regions!$D$3,""))</f>
        <v>IE,National</v>
      </c>
      <c r="AH46" s="26" t="str">
        <f>M49</f>
        <v>R-WH_Det_WOO_X0</v>
      </c>
      <c r="AI46" s="26" t="str">
        <f>N49</f>
        <v>Residential Water Heating Detached Biomass to Residential Existing 00</v>
      </c>
      <c r="AJ46" s="26" t="s">
        <v>13</v>
      </c>
      <c r="AK46" s="26" t="s">
        <v>275</v>
      </c>
      <c r="AL46" s="26"/>
      <c r="AM46" s="26"/>
      <c r="AN46" s="261"/>
      <c r="AO46" s="261"/>
      <c r="AP46" s="261"/>
      <c r="AQ46" s="261"/>
    </row>
    <row r="47" spans="1:48">
      <c r="A47" s="261"/>
      <c r="B47" s="231" t="s">
        <v>429</v>
      </c>
      <c r="C47" s="232">
        <f>SUMIFS(INDEX(Table71618[],,MATCH($C$30,Table71618[#Headers],0)),Table71618[MainWaterHeatingFuel],B47)</f>
        <v>494643</v>
      </c>
      <c r="D47" s="232">
        <f>SUMIFS(INDEX(Table71618[],,MATCH($D$30,Table71618[#Headers],0)),Table71618[MainWaterHeatingFuel],B47)</f>
        <v>449684</v>
      </c>
      <c r="E47" s="232">
        <f>SUMIFS(INDEX(Table71618[],,MATCH($E$30,Table71618[#Headers],0)),Table71618[MainWaterHeatingFuel],B47)</f>
        <v>92</v>
      </c>
      <c r="F47" s="232">
        <f>SUMIFS(INDEX(Table71618[],,MATCH($F$30,Table71618[#Headers],0)),Table71618[MainWaterHeatingFuel],B47)</f>
        <v>13695</v>
      </c>
      <c r="G47" s="232"/>
      <c r="H47" s="232">
        <f>SUMIFS(INDEX(Table71618[],,MATCH($H$30,Table71618[#Headers],0)),Table71618[SupplWHFuelName],B47)</f>
        <v>0</v>
      </c>
      <c r="I47" s="232">
        <f>SUMIFS(INDEX(Table71618[],,MATCH($I$30,Table71618[#Headers],0)),Table71618[SupplWHFuelName],B47)</f>
        <v>0</v>
      </c>
      <c r="J47" s="232">
        <f>SUMIFS(INDEX(Table71618[],,MATCH($J$30,Table71618[#Headers],0)),Table71618[SupplWHFuelName],B47)</f>
        <v>0</v>
      </c>
      <c r="K47" s="261"/>
      <c r="L47" s="294" t="str">
        <f>_xlfn.TEXTJOIN(",",TRUE,IF(LEFT(Regions!$C$3,1)&lt;&gt;"*",Regions!$C$3,""),IF(LEFT(Regions!$D$3,1)&lt;&gt;"*",Regions!$D$3,""))</f>
        <v>IE,National</v>
      </c>
      <c r="M47" s="294"/>
      <c r="N47" s="294"/>
      <c r="O47" s="294" t="str">
        <f>COMM!E7</f>
        <v>RSDPEA</v>
      </c>
      <c r="P47" s="294"/>
      <c r="Q47" s="294"/>
      <c r="R47" s="389"/>
      <c r="S47" s="390"/>
      <c r="T47" s="391"/>
      <c r="U47" s="572"/>
      <c r="V47" s="569"/>
      <c r="W47" s="393"/>
      <c r="X47" s="391"/>
      <c r="Y47" s="516">
        <f>RSD_Balance!$H$3</f>
        <v>0.74399999999999999</v>
      </c>
      <c r="Z47" s="393">
        <v>5</v>
      </c>
      <c r="AA47" s="393"/>
      <c r="AB47" s="394">
        <f t="shared" ref="AB47:AB48" si="14">AC47*$U$46</f>
        <v>0.23714212243764654</v>
      </c>
      <c r="AC47" s="394">
        <f>IF(((D43+I43)*$B$2)&lt;=0.1,0,((D43+I43)*T46*$B$2))*Y47</f>
        <v>0.38575860936528117</v>
      </c>
      <c r="AD47" s="393">
        <v>8</v>
      </c>
      <c r="AE47" s="261"/>
      <c r="AF47" s="294" t="s">
        <v>266</v>
      </c>
      <c r="AG47" s="294" t="str">
        <f>_xlfn.TEXTJOIN(",",TRUE,IF(LEFT(Regions!$C$3,1)&lt;&gt;"*",Regions!$C$3,""),IF(LEFT(Regions!$D$3,1)&lt;&gt;"*",Regions!$D$3,""))</f>
        <v>IE,National</v>
      </c>
      <c r="AH47" s="294" t="str">
        <f>M50</f>
        <v>R-WH_Det_HET_X0</v>
      </c>
      <c r="AI47" s="294" t="str">
        <f>N50</f>
        <v>Residential Water Heating Detached Heat to Residential Existing 00</v>
      </c>
      <c r="AJ47" s="294" t="s">
        <v>13</v>
      </c>
      <c r="AK47" s="406" t="s">
        <v>275</v>
      </c>
      <c r="AL47" s="406"/>
      <c r="AM47" s="406"/>
      <c r="AN47" s="261"/>
      <c r="AO47" s="261"/>
      <c r="AP47" s="261"/>
      <c r="AQ47" s="261"/>
    </row>
    <row r="48" spans="1:48">
      <c r="A48" s="261"/>
      <c r="B48" s="230" t="s">
        <v>566</v>
      </c>
      <c r="C48" s="233">
        <f>AVERAGE(C31:C47)*($E$48/SUM($E$31:$E$47))</f>
        <v>60582.553799825684</v>
      </c>
      <c r="D48" s="233">
        <f>AVERAGE(D31:D47)*($E$24/SUM($E$7:$E$23))</f>
        <v>52762.281779853009</v>
      </c>
      <c r="E48" s="233">
        <f>SUMIFS(INDEX(Table71618[],,MATCH($E$30,Table71618[#Headers],0)),Table71618[MainWaterHeatingFuel],"")</f>
        <v>190</v>
      </c>
      <c r="F48" s="233">
        <f>SUMIFS(INDEX(Table71618[],,MATCH($F$30,Table71618[#Headers],0)),Table71618[MainWaterHeatingFuel],"")</f>
        <v>32183</v>
      </c>
      <c r="G48" s="233"/>
      <c r="H48" s="233">
        <f>SUMIFS(INDEX(Table71618[],,MATCH($H$30,Table71618[#Headers],0)),Table71618[SupplWHFuelName],B48)</f>
        <v>136086</v>
      </c>
      <c r="I48" s="233">
        <f>SUMIFS(INDEX(Table71618[],,MATCH($I$30,Table71618[#Headers],0)),Table71618[SupplWHFuelName],B48)</f>
        <v>50403</v>
      </c>
      <c r="J48" s="233">
        <f>SUMIFS(INDEX(Table71618[],,MATCH($J$30,Table71618[#Headers],0)),Table71618[SupplWHFuelName],B48)</f>
        <v>139367</v>
      </c>
      <c r="K48" s="261"/>
      <c r="L48" s="26" t="str">
        <f>_xlfn.TEXTJOIN(",",TRUE,IF(LEFT(Regions!$C$3,1)&lt;&gt;"*",Regions!$C$3,""),IF(LEFT(Regions!$D$3,1)&lt;&gt;"*",Regions!$D$3,""))</f>
        <v>IE,National</v>
      </c>
      <c r="M48" s="26"/>
      <c r="N48" s="26"/>
      <c r="O48" s="26" t="str">
        <f>COMM!E16</f>
        <v>RSDWOO</v>
      </c>
      <c r="P48" s="26"/>
      <c r="Q48" s="26"/>
      <c r="R48" s="396"/>
      <c r="S48" s="397"/>
      <c r="T48" s="398"/>
      <c r="U48" s="570"/>
      <c r="V48" s="571"/>
      <c r="W48" s="399"/>
      <c r="X48" s="567"/>
      <c r="Y48" s="515">
        <f>RSD_Balance!$H$4</f>
        <v>6.2E-2</v>
      </c>
      <c r="Z48" s="399">
        <v>5</v>
      </c>
      <c r="AA48" s="399"/>
      <c r="AB48" s="400">
        <f t="shared" si="14"/>
        <v>1.9761843536470546E-2</v>
      </c>
      <c r="AC48" s="401">
        <f>IF(((D43+I43)*$B$2)&lt;=0.1,0,((D43+I43)*T46*$B$2))*Y48</f>
        <v>3.2146550780440097E-2</v>
      </c>
      <c r="AD48" s="563">
        <v>8</v>
      </c>
      <c r="AE48" s="261"/>
      <c r="AF48" s="26" t="s">
        <v>266</v>
      </c>
      <c r="AG48" s="26" t="str">
        <f>_xlfn.TEXTJOIN(",",TRUE,IF(LEFT(Regions!$C$3,1)&lt;&gt;"*",Regions!$C$3,""),IF(LEFT(Regions!$D$3,1)&lt;&gt;"*",Regions!$D$3,""))</f>
        <v>IE,National</v>
      </c>
      <c r="AH48" s="26" t="str">
        <f t="shared" ref="AH48" si="15">M51</f>
        <v>R-WH_Det_SOL_X0</v>
      </c>
      <c r="AI48" s="26" t="str">
        <f t="shared" ref="AI48" si="16">N51</f>
        <v>Residential Water Heating Detached Solar Thermal to Residential Existing 00</v>
      </c>
      <c r="AJ48" s="26" t="s">
        <v>13</v>
      </c>
      <c r="AK48" s="26" t="s">
        <v>275</v>
      </c>
      <c r="AL48" s="26"/>
      <c r="AM48" s="26"/>
      <c r="AN48" s="261"/>
      <c r="AO48" s="261"/>
      <c r="AP48" s="261"/>
      <c r="AQ48" s="261"/>
    </row>
    <row r="49" spans="1:43">
      <c r="A49" s="387" t="s">
        <v>653</v>
      </c>
      <c r="B49" s="231" t="s">
        <v>137</v>
      </c>
      <c r="C49" s="232">
        <f>SUMIFS(INDEX(Table71618[],,MATCH($C$30,Table71618[#Headers],0)),Table71618[MainSpaceHeatingFuel],B49, Table71618[Avg. HSMainSystemEfficiency],"&lt;101")</f>
        <v>44402907</v>
      </c>
      <c r="D49" s="232">
        <f>SUMIFS(INDEX(Table71618[],,MATCH($D$30,Table71618[#Headers],0)),Table71618[MainSpaceHeatingFuel],B49,Table71618[Avg. HSMainSystemEfficiency],"&lt;101")</f>
        <v>18701670</v>
      </c>
      <c r="E49" s="232">
        <f>SUMIFS(INDEX(Table71618[],,MATCH($E$30,Table71618[#Headers],0)),Table71618[MainSpaceHeatingFuel],B49,Table71618[Avg. HSMainSystemEfficiency],"&lt;101")</f>
        <v>6299</v>
      </c>
      <c r="F49" s="232">
        <f>SUMIFS(INDEX(Table71618[],,MATCH($F$30,Table71618[#Headers],0)),Table71618[MainSpaceHeatingFuel],B49,Table71618[Avg. HSMainSystemEfficiency],"&lt;101")</f>
        <v>606500</v>
      </c>
      <c r="G49" s="232"/>
      <c r="H49" s="232">
        <f>SUMIFS(INDEX(Table71618[],,MATCH($H$30,Table71618[#Headers],0)),Table71618[SupplSHFuelName],B49,Table71618[Avg. HSMainSystemEfficiency],"&lt;101")</f>
        <v>10525367</v>
      </c>
      <c r="I49" s="232">
        <f>SUMIFS(INDEX(Table71618[],,MATCH($I$30,Table71618[#Headers],0)),Table71618[SupplSHFuelName],B49,Table71618[Avg. HSMainSystemEfficiency],"&lt;101")</f>
        <v>3898287</v>
      </c>
      <c r="J49" s="232">
        <f>SUMIFS(INDEX(Table71618[],,MATCH($J$30,Table71618[#Headers],0)),Table71618[SupplSHFuelName],B49,Table71618[Avg. HSMainSystemEfficiency],"&lt;101")</f>
        <v>10459</v>
      </c>
      <c r="K49" s="261"/>
      <c r="L49" s="294" t="str">
        <f>_xlfn.TEXTJOIN(",",TRUE,IF(LEFT(Regions!$C$3,1)&lt;&gt;"*",Regions!$C$3,""),IF(LEFT(Regions!$D$3,1)&lt;&gt;"*",Regions!$D$3,""))</f>
        <v>IE,National</v>
      </c>
      <c r="M49" s="294" t="str">
        <f>LEFT(SETUP!B3,1)&amp;"-"&amp;RIGHT(COMM!$O$32,6)&amp;"_"&amp;RIGHT(O49,LEN(O49)-3)&amp;"_"&amp;SETUP!B64</f>
        <v>R-WH_Det_WOO_X0</v>
      </c>
      <c r="N49" s="294" t="str">
        <f>COMM!$P$32&amp;" "&amp;COMM!F16&amp;" "&amp;SETUP!C64</f>
        <v>Residential Water Heating Detached Biomass to Residential Existing 00</v>
      </c>
      <c r="O49" s="294" t="str">
        <f>COMM!E16</f>
        <v>RSDWOO</v>
      </c>
      <c r="P49" s="294"/>
      <c r="Q49" s="294" t="str">
        <f>COMM!$O$32</f>
        <v>RSDWH_Det</v>
      </c>
      <c r="R49" s="389">
        <f>(E47+E44+E45+E46)/SUM($E$31:$E$49)</f>
        <v>4.8513212716169169E-3</v>
      </c>
      <c r="S49" s="390">
        <f>R49*DwellingStocks!$K$28/1000</f>
        <v>3.5676943076879168</v>
      </c>
      <c r="T49" s="391">
        <f>(S49*1000)/(E47+E44+E45+E46)+0.1866</f>
        <v>2.9847916138728761</v>
      </c>
      <c r="U49" s="569">
        <f>U23</f>
        <v>0.72928609692169366</v>
      </c>
      <c r="V49" s="569">
        <f t="shared" ref="V49:V50" si="17">IF(AB49/S49/X49=0,0.12,AB49/S49/X49)</f>
        <v>0.12</v>
      </c>
      <c r="W49" s="393">
        <v>20</v>
      </c>
      <c r="X49" s="391">
        <f t="shared" ref="X49:X51" si="18">31.536*(AD49/1000)</f>
        <v>0.25228800000000001</v>
      </c>
      <c r="Y49" s="393"/>
      <c r="Z49" s="393"/>
      <c r="AA49" s="393"/>
      <c r="AB49" s="394">
        <f>AC49*U49</f>
        <v>0</v>
      </c>
      <c r="AC49" s="394">
        <f>IF(((D44+I44+D45+I45+D46+I46+D47+I47)*$B$2)&lt;=0.1,0,((D44+I44+D45+I45+D46+I46+D47+I47)*T49*$B$2))</f>
        <v>0</v>
      </c>
      <c r="AD49" s="393">
        <v>8</v>
      </c>
      <c r="AE49" s="261"/>
      <c r="AF49" s="261"/>
      <c r="AG49" s="261"/>
      <c r="AH49" s="261"/>
      <c r="AI49" s="261"/>
      <c r="AJ49" s="261"/>
      <c r="AK49" s="261"/>
      <c r="AL49" s="261"/>
      <c r="AM49" s="261"/>
      <c r="AN49" s="261"/>
      <c r="AO49" s="261"/>
      <c r="AP49" s="261"/>
      <c r="AQ49" s="261"/>
    </row>
    <row r="50" spans="1:43">
      <c r="B50" s="261"/>
      <c r="C50" s="261"/>
      <c r="D50" s="261"/>
      <c r="E50" s="261"/>
      <c r="F50" s="261"/>
      <c r="G50" s="261"/>
      <c r="H50" s="261"/>
      <c r="I50" s="261"/>
      <c r="J50" s="261"/>
      <c r="L50" s="26" t="str">
        <f>_xlfn.TEXTJOIN(",",TRUE,IF(LEFT(Regions!$C$3,1)&lt;&gt;"*",Regions!$C$3,""),IF(LEFT(Regions!$D$3,1)&lt;&gt;"*",Regions!$D$3,""))</f>
        <v>IE,National</v>
      </c>
      <c r="M50" s="26" t="str">
        <f>LEFT(SETUP!B3,1)&amp;"-"&amp;RIGHT(COMM!$O$32,6)&amp;"_"&amp;RIGHT(O50,LEN(O50)-3)&amp;"_"&amp;SETUP!B64</f>
        <v>R-WH_Det_HET_X0</v>
      </c>
      <c r="N50" s="395" t="str">
        <f>COMM!$P$32&amp;" "&amp;COMM!F25&amp;" "&amp;SETUP!C64</f>
        <v>Residential Water Heating Detached Heat to Residential Existing 00</v>
      </c>
      <c r="O50" s="26" t="str">
        <f>COMM!E25</f>
        <v>RSDHET</v>
      </c>
      <c r="P50" s="26"/>
      <c r="Q50" s="26" t="str">
        <f>COMM!$O$32</f>
        <v>RSDWH_Det</v>
      </c>
      <c r="R50" s="396">
        <f>E48/SUM($E$31:$E$49)</f>
        <v>7.2294199341742292E-4</v>
      </c>
      <c r="S50" s="397">
        <f>R50*DwellingStocks!$K$28/1000</f>
        <v>0.53165640663584646</v>
      </c>
      <c r="T50" s="398">
        <f>(S50*1000)/E48</f>
        <v>2.7981916138728762</v>
      </c>
      <c r="U50" s="571">
        <f>U24</f>
        <v>0.65865731206453049</v>
      </c>
      <c r="V50" s="569">
        <f t="shared" si="17"/>
        <v>0.12</v>
      </c>
      <c r="W50" s="399">
        <v>20</v>
      </c>
      <c r="X50" s="567">
        <f t="shared" si="18"/>
        <v>0.25228800000000001</v>
      </c>
      <c r="Y50" s="399"/>
      <c r="Z50" s="399"/>
      <c r="AA50" s="399"/>
      <c r="AB50" s="400">
        <f>AC50*U50</f>
        <v>0</v>
      </c>
      <c r="AC50" s="401">
        <f>IF(((D48+I48)*$B$2)&lt;=0.1,0,((D48+I48)*T50*$B$2))</f>
        <v>0</v>
      </c>
      <c r="AD50" s="563">
        <v>8</v>
      </c>
      <c r="AE50" s="261"/>
      <c r="AF50" s="261"/>
      <c r="AG50" s="261"/>
      <c r="AH50" s="261"/>
      <c r="AI50" s="261"/>
      <c r="AJ50" s="261"/>
      <c r="AK50" s="261"/>
      <c r="AL50" s="261"/>
      <c r="AM50" s="261"/>
      <c r="AN50" s="261"/>
      <c r="AO50" s="260"/>
    </row>
    <row r="51" spans="1:43" ht="21.5" thickBot="1">
      <c r="B51" s="50" t="s">
        <v>658</v>
      </c>
      <c r="C51" s="50"/>
      <c r="D51" s="50"/>
      <c r="E51" s="50"/>
      <c r="F51" s="50"/>
      <c r="G51" s="50"/>
      <c r="H51" s="50"/>
      <c r="J51" s="261"/>
      <c r="K51" s="261"/>
      <c r="L51" s="294" t="str">
        <f>_xlfn.TEXTJOIN(",",TRUE,IF(LEFT(Regions!$C$3,1)&lt;&gt;"*",Regions!$C$3,""),IF(LEFT(Regions!$D$3,1)&lt;&gt;"*",Regions!$D$3,""))</f>
        <v>IE,National</v>
      </c>
      <c r="M51" s="294" t="str">
        <f>LEFT(SETUP!B3,1)&amp;"-"&amp;RIGHT(COMM!$O$32,6)&amp;"_"&amp;RIGHT(O51,LEN(O51)-3)&amp;"_"&amp;SETUP!B64</f>
        <v>R-WH_Det_SOL_X0</v>
      </c>
      <c r="N51" s="294" t="str">
        <f>COMM!$P$32&amp;" "&amp;COMM!F15&amp;" "&amp;SETUP!C64</f>
        <v>Residential Water Heating Detached Solar Thermal to Residential Existing 00</v>
      </c>
      <c r="O51" s="294" t="str">
        <f>COMM!E15</f>
        <v>RSDSOL</v>
      </c>
      <c r="P51" s="294"/>
      <c r="Q51" s="294" t="str">
        <f>COMM!$O$32</f>
        <v>RSDWH_Det</v>
      </c>
      <c r="R51" s="389">
        <v>0.01</v>
      </c>
      <c r="S51" s="390">
        <f>R51*DwellingStocks!$K$28/1000</f>
        <v>7.3540672899999988</v>
      </c>
      <c r="T51" s="391">
        <f>MAX(T33:T50)</f>
        <v>4.6995674355517583</v>
      </c>
      <c r="U51" s="569">
        <v>1</v>
      </c>
      <c r="V51" s="569">
        <f>AB51/S51/X51</f>
        <v>0.1434149638104541</v>
      </c>
      <c r="W51" s="393">
        <v>20</v>
      </c>
      <c r="X51" s="391">
        <f t="shared" si="18"/>
        <v>0.25228800000000001</v>
      </c>
      <c r="Y51" s="393"/>
      <c r="Z51" s="393"/>
      <c r="AA51" s="393"/>
      <c r="AB51" s="394">
        <f>AC51*U51</f>
        <v>0.26608393894100396</v>
      </c>
      <c r="AC51" s="394">
        <f>RSD_Balance!K18</f>
        <v>0.26608393894100396</v>
      </c>
      <c r="AD51" s="393">
        <v>8</v>
      </c>
      <c r="AE51" s="261"/>
      <c r="AF51" s="261"/>
      <c r="AG51" s="261"/>
      <c r="AH51" s="261"/>
      <c r="AI51" s="261"/>
      <c r="AJ51" s="261"/>
      <c r="AK51" s="261"/>
      <c r="AL51" s="261"/>
      <c r="AM51" s="261"/>
    </row>
    <row r="52" spans="1:43" ht="15" thickBot="1">
      <c r="B52" s="229" t="s">
        <v>48</v>
      </c>
      <c r="C52" s="229" t="s">
        <v>389</v>
      </c>
      <c r="D52" s="229" t="s">
        <v>389</v>
      </c>
      <c r="E52" s="229" t="s">
        <v>389</v>
      </c>
      <c r="F52" s="229" t="s">
        <v>389</v>
      </c>
      <c r="G52" s="229" t="s">
        <v>497</v>
      </c>
      <c r="H52" s="229" t="s">
        <v>390</v>
      </c>
      <c r="J52" s="261"/>
      <c r="K52" s="261"/>
      <c r="L52" s="405"/>
      <c r="M52" s="405"/>
      <c r="N52" s="402"/>
      <c r="O52" s="402"/>
      <c r="P52" s="402"/>
      <c r="Q52" s="402"/>
      <c r="R52" s="402"/>
      <c r="S52" s="404"/>
      <c r="T52" s="402"/>
      <c r="U52" s="404"/>
      <c r="V52" s="402"/>
      <c r="W52" s="402"/>
      <c r="X52" s="402"/>
      <c r="Y52" s="402"/>
      <c r="Z52" s="402"/>
      <c r="AA52" s="402"/>
      <c r="AB52" s="402"/>
      <c r="AC52" s="402"/>
      <c r="AD52" s="402"/>
      <c r="AE52" s="261"/>
      <c r="AF52" s="261"/>
      <c r="AG52" s="261"/>
      <c r="AH52" s="261"/>
      <c r="AI52" s="261"/>
      <c r="AJ52" s="261"/>
      <c r="AK52" s="261"/>
      <c r="AL52" s="261"/>
      <c r="AM52" s="261"/>
    </row>
    <row r="53" spans="1:43" ht="40" thickBot="1">
      <c r="B53" s="295" t="s">
        <v>392</v>
      </c>
      <c r="C53" s="383" t="s">
        <v>416</v>
      </c>
      <c r="D53" s="383" t="s">
        <v>417</v>
      </c>
      <c r="E53" s="383" t="s">
        <v>418</v>
      </c>
      <c r="F53" s="383" t="s">
        <v>419</v>
      </c>
      <c r="G53" s="296" t="s">
        <v>398</v>
      </c>
      <c r="H53" s="296" t="s">
        <v>399</v>
      </c>
      <c r="K53" s="261"/>
      <c r="L53" s="405"/>
      <c r="M53" s="405"/>
      <c r="N53" s="402"/>
      <c r="O53" s="402"/>
      <c r="P53" s="402"/>
      <c r="Q53" s="402"/>
      <c r="R53" s="402"/>
      <c r="S53" s="404"/>
      <c r="T53" s="402"/>
      <c r="U53" s="404"/>
      <c r="V53" s="402"/>
      <c r="W53" s="402"/>
      <c r="X53" s="402"/>
      <c r="Y53" s="402"/>
      <c r="Z53" s="402"/>
      <c r="AA53" s="402"/>
      <c r="AB53" s="402"/>
      <c r="AC53" s="402"/>
      <c r="AD53" s="402"/>
      <c r="AE53" s="261"/>
      <c r="AH53" s="261"/>
      <c r="AI53" s="261"/>
      <c r="AJ53" s="261"/>
      <c r="AK53" s="261"/>
      <c r="AL53" s="261"/>
      <c r="AM53" s="261"/>
    </row>
    <row r="54" spans="1:43">
      <c r="B54" s="298" t="s">
        <v>48</v>
      </c>
      <c r="C54" s="233">
        <f>SUMIFS(INDEX(Table71618[],,MATCH(C53,Table71618[#Headers],0)),Table71618[EnergyRating (group)],B54)</f>
        <v>26124148</v>
      </c>
      <c r="D54" s="233">
        <f>SUMIFS(INDEX(Table71618[],,MATCH(D53,Table71618[#Headers],0)),Table71618[EnergyRating (group)],B54)</f>
        <v>9675613</v>
      </c>
      <c r="E54" s="233">
        <f>SUMIFS(INDEX(Table71618[],,MATCH(E53,Table71618[#Headers],0)),Table71618[EnergyRating (group)],B54)</f>
        <v>13633530</v>
      </c>
      <c r="F54" s="233">
        <f>SUMIFS(INDEX(Table71618[],,MATCH(F53,Table71618[#Headers],0)),Table71618[EnergyRating (group)],B54)</f>
        <v>5049452</v>
      </c>
      <c r="G54" s="233">
        <f>SUMIFS(INDEX(Table71618[],,MATCH(G53,Table71618[#Headers],0)),Table71618[EnergyRating (group)],B54)</f>
        <v>9878</v>
      </c>
      <c r="H54" s="233">
        <f>SUMIFS(INDEX(Table71618[],,MATCH(H53,Table71618[#Headers],0)),Table71618[EnergyRating (group)],B54)</f>
        <v>1991426</v>
      </c>
      <c r="K54" s="261"/>
      <c r="L54" s="388"/>
      <c r="M54" s="388"/>
      <c r="N54" s="388"/>
      <c r="O54" s="388"/>
      <c r="P54" s="388"/>
      <c r="Q54" s="388"/>
      <c r="R54" s="388"/>
      <c r="S54" s="384">
        <f>SUM(S31:S52)</f>
        <v>735.40672899999993</v>
      </c>
      <c r="T54" s="388"/>
      <c r="U54" s="388"/>
      <c r="V54" s="388"/>
      <c r="W54" s="388"/>
      <c r="X54" s="388"/>
      <c r="Y54" s="388"/>
      <c r="Z54" s="388"/>
      <c r="AA54" s="388"/>
      <c r="AB54" s="382">
        <f>SUM(AB31:AB52)</f>
        <v>8.752268766470868</v>
      </c>
      <c r="AC54" s="382">
        <f>SUM(AC31:AC52)</f>
        <v>10.702789831101146</v>
      </c>
      <c r="AD54" s="261"/>
      <c r="AE54" s="261"/>
      <c r="AF54" s="261"/>
      <c r="AG54" s="261"/>
      <c r="AH54" s="261"/>
      <c r="AI54" s="261"/>
      <c r="AJ54" s="261"/>
      <c r="AK54" s="261"/>
      <c r="AL54" s="261"/>
      <c r="AM54" s="261"/>
    </row>
    <row r="55" spans="1:43">
      <c r="B55" s="299" t="s">
        <v>50</v>
      </c>
      <c r="C55" s="232">
        <f>SUMIFS(INDEX(Table71618[],,MATCH(C53,Table71618[#Headers],0)),Table71618[EnergyRating (group)],B55)</f>
        <v>10720630</v>
      </c>
      <c r="D55" s="232">
        <f>SUMIFS(INDEX(Table71618[],,MATCH(D53,Table71618[#Headers],0)),Table71618[EnergyRating (group)],B55)</f>
        <v>3970604</v>
      </c>
      <c r="E55" s="232">
        <f>SUMIFS(INDEX(Table71618[],,MATCH(E53,Table71618[#Headers],0)),Table71618[EnergyRating (group)],B55)</f>
        <v>3006727</v>
      </c>
      <c r="F55" s="232">
        <f>SUMIFS(INDEX(Table71618[],,MATCH(F53,Table71618[#Headers],0)),Table71618[EnergyRating (group)],B55)</f>
        <v>1113602</v>
      </c>
      <c r="G55" s="232">
        <f>SUMIFS(INDEX(Table71618[],,MATCH(G53,Table71618[#Headers],0)),Table71618[EnergyRating (group)],B55)</f>
        <v>3037</v>
      </c>
      <c r="H55" s="232">
        <f>SUMIFS(INDEX(Table71618[],,MATCH(H53,Table71618[#Headers],0)),Table71618[EnergyRating (group)],B55)</f>
        <v>692321</v>
      </c>
      <c r="K55" s="261"/>
      <c r="L55" s="261"/>
      <c r="M55" s="261"/>
      <c r="N55" s="261"/>
      <c r="O55" s="261"/>
      <c r="P55" s="261"/>
      <c r="Q55" s="261"/>
      <c r="R55" s="261"/>
      <c r="S55" s="261"/>
      <c r="T55" s="261"/>
      <c r="U55" s="261"/>
      <c r="V55" s="261"/>
      <c r="W55" s="261"/>
      <c r="X55" s="261"/>
      <c r="Y55" s="261"/>
      <c r="Z55" s="261"/>
      <c r="AA55" s="261"/>
      <c r="AB55" s="261"/>
      <c r="AC55" s="261"/>
      <c r="AD55" s="261"/>
      <c r="AE55" s="261"/>
      <c r="AF55" s="19" t="s">
        <v>767</v>
      </c>
      <c r="AG55" s="19"/>
      <c r="AH55" s="509"/>
      <c r="AI55" s="509"/>
      <c r="AJ55" s="509"/>
      <c r="AK55" s="509"/>
      <c r="AL55" s="509"/>
      <c r="AM55" s="509"/>
    </row>
    <row r="56" spans="1:43" ht="21">
      <c r="B56" s="298" t="s">
        <v>52</v>
      </c>
      <c r="C56" s="233">
        <f>SUMIFS(INDEX(Table71618[],,MATCH(C53,Table71618[#Headers],0)),Table71618[EnergyRating (group)],B56)</f>
        <v>28222292</v>
      </c>
      <c r="D56" s="233">
        <f>SUMIFS(INDEX(Table71618[],,MATCH(D53,Table71618[#Headers],0)),Table71618[EnergyRating (group)],B56)</f>
        <v>10452696</v>
      </c>
      <c r="E56" s="233">
        <f>SUMIFS(INDEX(Table71618[],,MATCH(E53,Table71618[#Headers],0)),Table71618[EnergyRating (group)],B56)</f>
        <v>5499087</v>
      </c>
      <c r="F56" s="233">
        <f>SUMIFS(INDEX(Table71618[],,MATCH(F53,Table71618[#Headers],0)),Table71618[EnergyRating (group)],B56)</f>
        <v>2036690</v>
      </c>
      <c r="G56" s="233">
        <f>SUMIFS(INDEX(Table71618[],,MATCH(G53,Table71618[#Headers],0)),Table71618[EnergyRating (group)],B56)</f>
        <v>7052</v>
      </c>
      <c r="H56" s="233">
        <f>SUMIFS(INDEX(Table71618[],,MATCH(H53,Table71618[#Headers],0)),Table71618[EnergyRating (group)],B56)</f>
        <v>1571667</v>
      </c>
      <c r="K56" s="261"/>
      <c r="L56" s="49"/>
      <c r="M56" s="49" t="s">
        <v>658</v>
      </c>
      <c r="N56" s="49"/>
      <c r="O56" s="49"/>
      <c r="P56" s="49"/>
      <c r="Q56" s="53" t="s">
        <v>768</v>
      </c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261"/>
      <c r="AF56" s="21" t="s">
        <v>261</v>
      </c>
      <c r="AG56" s="21" t="s">
        <v>764</v>
      </c>
      <c r="AH56" s="21" t="s">
        <v>255</v>
      </c>
      <c r="AI56" s="21" t="s">
        <v>256</v>
      </c>
      <c r="AJ56" s="21" t="s">
        <v>262</v>
      </c>
      <c r="AK56" s="21" t="s">
        <v>263</v>
      </c>
      <c r="AL56" s="21" t="s">
        <v>264</v>
      </c>
      <c r="AM56" s="21" t="s">
        <v>265</v>
      </c>
    </row>
    <row r="57" spans="1:43" ht="15" thickBot="1">
      <c r="B57" s="299" t="s">
        <v>54</v>
      </c>
      <c r="C57" s="232">
        <f>SUMIFS(INDEX(Table71618[],,MATCH(C53,Table71618[#Headers],0)),Table71618[EnergyRating (group)],B57)</f>
        <v>78990457</v>
      </c>
      <c r="D57" s="232">
        <f>SUMIFS(INDEX(Table71618[],,MATCH(D53,Table71618[#Headers],0)),Table71618[EnergyRating (group)],B57)</f>
        <v>29255723</v>
      </c>
      <c r="E57" s="232">
        <f>SUMIFS(INDEX(Table71618[],,MATCH(E53,Table71618[#Headers],0)),Table71618[EnergyRating (group)],B57)</f>
        <v>13662982</v>
      </c>
      <c r="F57" s="232">
        <f>SUMIFS(INDEX(Table71618[],,MATCH(F53,Table71618[#Headers],0)),Table71618[EnergyRating (group)],B57)</f>
        <v>5060354</v>
      </c>
      <c r="G57" s="232">
        <f>SUMIFS(INDEX(Table71618[],,MATCH(G53,Table71618[#Headers],0)),Table71618[EnergyRating (group)],B57)</f>
        <v>20170</v>
      </c>
      <c r="H57" s="232">
        <f>SUMIFS(INDEX(Table71618[],,MATCH(H53,Table71618[#Headers],0)),Table71618[EnergyRating (group)],B57)</f>
        <v>4035097</v>
      </c>
      <c r="K57" s="261"/>
      <c r="L57" s="21" t="s">
        <v>764</v>
      </c>
      <c r="M57" s="21" t="s">
        <v>255</v>
      </c>
      <c r="N57" s="21" t="s">
        <v>267</v>
      </c>
      <c r="O57" s="21" t="s">
        <v>257</v>
      </c>
      <c r="P57" s="21" t="s">
        <v>826</v>
      </c>
      <c r="Q57" s="21" t="s">
        <v>258</v>
      </c>
      <c r="R57" s="21" t="s">
        <v>388</v>
      </c>
      <c r="S57" s="27" t="s">
        <v>268</v>
      </c>
      <c r="T57" s="21" t="s">
        <v>492</v>
      </c>
      <c r="U57" s="21" t="s">
        <v>259</v>
      </c>
      <c r="V57" s="21" t="s">
        <v>638</v>
      </c>
      <c r="W57" s="27" t="s">
        <v>260</v>
      </c>
      <c r="X57" s="27" t="s">
        <v>270</v>
      </c>
      <c r="Y57" s="27" t="s">
        <v>708</v>
      </c>
      <c r="Z57" s="21" t="s">
        <v>709</v>
      </c>
      <c r="AA57" s="21" t="s">
        <v>828</v>
      </c>
      <c r="AB57" s="27" t="s">
        <v>637</v>
      </c>
      <c r="AC57" s="31" t="s">
        <v>636</v>
      </c>
      <c r="AD57" s="31" t="s">
        <v>829</v>
      </c>
      <c r="AE57" s="261"/>
      <c r="AF57" s="23" t="s">
        <v>254</v>
      </c>
      <c r="AG57" s="23"/>
      <c r="AH57" s="23"/>
      <c r="AI57" s="22"/>
      <c r="AJ57" s="23"/>
      <c r="AK57" s="23"/>
      <c r="AL57" s="23"/>
      <c r="AM57" s="23"/>
    </row>
    <row r="58" spans="1:43" ht="26.5" thickBot="1">
      <c r="B58" s="298" t="s">
        <v>56</v>
      </c>
      <c r="C58" s="233">
        <f>SUMIFS(INDEX(Table71618[],,MATCH(C53,Table71618[#Headers],0)),Table71618[EnergyRating (group)],B58)</f>
        <v>332616594</v>
      </c>
      <c r="D58" s="233">
        <f>SUMIFS(INDEX(Table71618[],,MATCH(D53,Table71618[#Headers],0)),Table71618[EnergyRating (group)],B58)</f>
        <v>123191335</v>
      </c>
      <c r="E58" s="233">
        <f>SUMIFS(INDEX(Table71618[],,MATCH(E53,Table71618[#Headers],0)),Table71618[EnergyRating (group)],B58)</f>
        <v>61366840</v>
      </c>
      <c r="F58" s="233">
        <f>SUMIFS(INDEX(Table71618[],,MATCH(F53,Table71618[#Headers],0)),Table71618[EnergyRating (group)],B58)</f>
        <v>22728445</v>
      </c>
      <c r="G58" s="233">
        <f>SUMIFS(INDEX(Table71618[],,MATCH(G53,Table71618[#Headers],0)),Table71618[EnergyRating (group)],B58)</f>
        <v>97809</v>
      </c>
      <c r="H58" s="233">
        <f>SUMIFS(INDEX(Table71618[],,MATCH(H53,Table71618[#Headers],0)),Table71618[EnergyRating (group)],B58)</f>
        <v>15963700</v>
      </c>
      <c r="K58" s="261"/>
      <c r="L58" s="22" t="s">
        <v>771</v>
      </c>
      <c r="M58" s="22" t="s">
        <v>271</v>
      </c>
      <c r="N58" s="22" t="s">
        <v>272</v>
      </c>
      <c r="O58" s="22" t="s">
        <v>273</v>
      </c>
      <c r="P58" s="22" t="s">
        <v>827</v>
      </c>
      <c r="Q58" s="22" t="s">
        <v>274</v>
      </c>
      <c r="R58" s="22"/>
      <c r="S58" s="29" t="s">
        <v>275</v>
      </c>
      <c r="T58" s="22"/>
      <c r="U58" s="22" t="s">
        <v>391</v>
      </c>
      <c r="V58" s="22"/>
      <c r="W58" s="28"/>
      <c r="X58" s="28"/>
      <c r="Y58" s="28" t="s">
        <v>391</v>
      </c>
      <c r="Z58" s="22" t="s">
        <v>710</v>
      </c>
      <c r="AA58" s="22"/>
      <c r="AB58" s="28" t="s">
        <v>13</v>
      </c>
      <c r="AC58" s="212" t="s">
        <v>13</v>
      </c>
      <c r="AD58" s="212" t="s">
        <v>833</v>
      </c>
      <c r="AE58" s="261"/>
      <c r="AF58" s="294" t="s">
        <v>266</v>
      </c>
      <c r="AG58" s="294" t="str">
        <f>_xlfn.TEXTJOIN(",",TRUE,IF(LEFT(Regions!$C$3,1)&lt;&gt;"*",Regions!$C$3,""),IF(LEFT(Regions!$D$3,1)&lt;&gt;"*",Regions!$D$3,""))</f>
        <v>IE,National</v>
      </c>
      <c r="AH58" s="294" t="str">
        <f>M59</f>
        <v>R-LT_Det_X0</v>
      </c>
      <c r="AI58" s="294" t="str">
        <f>N59</f>
        <v>Residential Lighting Detached Existing 00</v>
      </c>
      <c r="AJ58" s="294" t="s">
        <v>13</v>
      </c>
      <c r="AK58" s="294" t="s">
        <v>275</v>
      </c>
      <c r="AL58" s="294"/>
      <c r="AM58" s="294"/>
    </row>
    <row r="59" spans="1:43">
      <c r="B59" s="299" t="s">
        <v>58</v>
      </c>
      <c r="C59" s="232">
        <f>SUMIFS(INDEX(Table71618[],,MATCH(C53,Table71618[#Headers],0)),Table71618[EnergyRating (group)],B59)</f>
        <v>171476293</v>
      </c>
      <c r="D59" s="232">
        <f>SUMIFS(INDEX(Table71618[],,MATCH(D53,Table71618[#Headers],0)),Table71618[EnergyRating (group)],B59)</f>
        <v>63509737</v>
      </c>
      <c r="E59" s="232">
        <f>SUMIFS(INDEX(Table71618[],,MATCH(E53,Table71618[#Headers],0)),Table71618[EnergyRating (group)],B59)</f>
        <v>37577981</v>
      </c>
      <c r="F59" s="232">
        <f>SUMIFS(INDEX(Table71618[],,MATCH(F53,Table71618[#Headers],0)),Table71618[EnergyRating (group)],B59)</f>
        <v>13917755</v>
      </c>
      <c r="G59" s="232">
        <f>SUMIFS(INDEX(Table71618[],,MATCH(G53,Table71618[#Headers],0)),Table71618[EnergyRating (group)],B59)</f>
        <v>61656</v>
      </c>
      <c r="H59" s="232">
        <f>SUMIFS(INDEX(Table71618[],,MATCH(H53,Table71618[#Headers],0)),Table71618[EnergyRating (group)],B59)</f>
        <v>8178708</v>
      </c>
      <c r="L59" s="294" t="str">
        <f>_xlfn.TEXTJOIN(",",TRUE,IF(LEFT(Regions!$C$3,1)&lt;&gt;"*",Regions!$C$3,""),IF(LEFT(Regions!$D$3,1)&lt;&gt;"*",Regions!$D$3,""))</f>
        <v>IE,National</v>
      </c>
      <c r="M59" s="294" t="str">
        <f>LEFT(SETUP!B3,1)&amp;"-"&amp;RIGHT(COMM!$O$35,6)&amp;"_"&amp;SETUP!B64</f>
        <v>R-LT_Det_X0</v>
      </c>
      <c r="N59" s="294" t="str">
        <f>COMM!$P$35&amp;" "&amp;SETUP!$C$64</f>
        <v>Residential Lighting Detached Existing 00</v>
      </c>
      <c r="O59" s="294" t="str">
        <f>COMM!E24</f>
        <v>RSDELC</v>
      </c>
      <c r="P59" s="294"/>
      <c r="Q59" s="294" t="str">
        <f>COMM!$O$35</f>
        <v>RSDLT_Det</v>
      </c>
      <c r="R59" s="294">
        <v>1</v>
      </c>
      <c r="S59" s="391">
        <f>DwellingStocks!K28/1000</f>
        <v>735.40672899999993</v>
      </c>
      <c r="T59" s="294">
        <f>(S59*1000)/SUM(G54:G62)-0.188</f>
        <v>2.5819874157692722</v>
      </c>
      <c r="U59" s="569">
        <v>0.4</v>
      </c>
      <c r="V59" s="569">
        <f>AB59/S59/X59</f>
        <v>0.49065561985781003</v>
      </c>
      <c r="W59" s="393">
        <v>10</v>
      </c>
      <c r="X59" s="390">
        <f t="shared" ref="X59:X60" si="19">31.536*(AD59/1000)</f>
        <v>3.0747599999999997E-3</v>
      </c>
      <c r="Y59" s="393"/>
      <c r="Z59" s="393"/>
      <c r="AA59" s="393"/>
      <c r="AB59" s="394">
        <f>AC59*U59</f>
        <v>1.1094700921835092</v>
      </c>
      <c r="AC59" s="394">
        <f>IF(((D54+D55+D56+D57+D58+D59+D60+D61+D62)*$B$2)&lt;=0,0,((D54+D55+D56+D57+D58+D59+D60+D61+D62)*T59*$B$2))</f>
        <v>2.7736752304587728</v>
      </c>
      <c r="AD59" s="390">
        <f>0.0065*15</f>
        <v>9.7499999999999989E-2</v>
      </c>
      <c r="AE59" s="261"/>
      <c r="AF59" s="395" t="s">
        <v>266</v>
      </c>
      <c r="AG59" s="395" t="str">
        <f>_xlfn.TEXTJOIN(",",TRUE,IF(LEFT(Regions!$C$3,1)&lt;&gt;"*",Regions!$C$3,""),IF(LEFT(Regions!$D$3,1)&lt;&gt;"*",Regions!$D$3,""))</f>
        <v>IE,National</v>
      </c>
      <c r="AH59" s="395" t="str">
        <f>M60</f>
        <v>R-PF_Det_X0</v>
      </c>
      <c r="AI59" s="395" t="str">
        <f>N60</f>
        <v>Residential Pumps &amp; Fans Detached Existing 00</v>
      </c>
      <c r="AJ59" s="395" t="s">
        <v>13</v>
      </c>
      <c r="AK59" s="395" t="s">
        <v>275</v>
      </c>
      <c r="AL59" s="395"/>
      <c r="AM59" s="395"/>
    </row>
    <row r="60" spans="1:43">
      <c r="B60" s="298" t="s">
        <v>60</v>
      </c>
      <c r="C60" s="233">
        <f>SUMIFS(INDEX(Table71618[],,MATCH(C53,Table71618[#Headers],0)),Table71618[EnergyRating (group)],B60)</f>
        <v>71059784</v>
      </c>
      <c r="D60" s="233">
        <f>SUMIFS(INDEX(Table71618[],,MATCH(D53,Table71618[#Headers],0)),Table71618[EnergyRating (group)],B60)</f>
        <v>26318449</v>
      </c>
      <c r="E60" s="233">
        <f>SUMIFS(INDEX(Table71618[],,MATCH(E53,Table71618[#Headers],0)),Table71618[EnergyRating (group)],B60)</f>
        <v>15755961</v>
      </c>
      <c r="F60" s="233">
        <f>SUMIFS(INDEX(Table71618[],,MATCH(F53,Table71618[#Headers],0)),Table71618[EnergyRating (group)],B60)</f>
        <v>5835535</v>
      </c>
      <c r="G60" s="233">
        <f>SUMIFS(INDEX(Table71618[],,MATCH(G53,Table71618[#Headers],0)),Table71618[EnergyRating (group)],B60)</f>
        <v>27666</v>
      </c>
      <c r="H60" s="233">
        <f>SUMIFS(INDEX(Table71618[],,MATCH(H53,Table71618[#Headers],0)),Table71618[EnergyRating (group)],B60)</f>
        <v>3361293</v>
      </c>
      <c r="L60" s="395" t="str">
        <f>_xlfn.TEXTJOIN(",",TRUE,IF(LEFT(Regions!$C$3,1)&lt;&gt;"*",Regions!$C$3,""),IF(LEFT(Regions!$D$3,1)&lt;&gt;"*",Regions!$D$3,""))</f>
        <v>IE,National</v>
      </c>
      <c r="M60" s="395" t="str">
        <f>LEFT(SETUP!B3,1)&amp;"-"&amp;RIGHT(COMM!$O$38,6)&amp;"_"&amp;SETUP!$B$64</f>
        <v>R-PF_Det_X0</v>
      </c>
      <c r="N60" s="395" t="str">
        <f>COMM!$P$38&amp;" "&amp;SETUP!$C$64</f>
        <v>Residential Pumps &amp; Fans Detached Existing 00</v>
      </c>
      <c r="O60" s="395" t="str">
        <f>COMM!E24</f>
        <v>RSDELC</v>
      </c>
      <c r="P60" s="395"/>
      <c r="Q60" s="395" t="str">
        <f>COMM!$O$38</f>
        <v>RSDPF_Det</v>
      </c>
      <c r="R60" s="395">
        <v>1</v>
      </c>
      <c r="S60" s="575">
        <f>DwellingStocks!K28/1000</f>
        <v>735.40672899999993</v>
      </c>
      <c r="T60" s="395">
        <f>(S60*1000)/SUM(G54:G62)-0.188</f>
        <v>2.5819874157692722</v>
      </c>
      <c r="U60" s="576">
        <v>0.6</v>
      </c>
      <c r="V60" s="576">
        <f t="shared" ref="V60" si="20">AB60/S60/X60</f>
        <v>0.29872122806778129</v>
      </c>
      <c r="W60" s="577">
        <v>15</v>
      </c>
      <c r="X60" s="578">
        <f t="shared" si="19"/>
        <v>1.5768000000000002E-3</v>
      </c>
      <c r="Y60" s="577"/>
      <c r="Z60" s="577"/>
      <c r="AA60" s="577"/>
      <c r="AB60" s="579">
        <f>AC60*U60</f>
        <v>0.34639394879768842</v>
      </c>
      <c r="AC60" s="401">
        <f>IF(((F54+F55+F56+F57+F58+F59+F60+F61+F62)*$B$2)&lt;=0,0,((F54+F55+F56+F57+F58+F59+F60+F61+F62)*T60*$B$2))</f>
        <v>0.57732324799614743</v>
      </c>
      <c r="AD60" s="562">
        <v>0.05</v>
      </c>
      <c r="AE60" s="261"/>
    </row>
    <row r="61" spans="1:43">
      <c r="B61" s="299" t="s">
        <v>62</v>
      </c>
      <c r="C61" s="232">
        <f>SUMIFS(INDEX(Table71618[],,MATCH(C53,Table71618[#Headers],0)),Table71618[EnergyRating (group)],B61)</f>
        <v>33714690</v>
      </c>
      <c r="D61" s="232">
        <f>SUMIFS(INDEX(Table71618[],,MATCH(D53,Table71618[#Headers],0)),Table71618[EnergyRating (group)],B61)</f>
        <v>12486920</v>
      </c>
      <c r="E61" s="232">
        <f>SUMIFS(INDEX(Table71618[],,MATCH(E53,Table71618[#Headers],0)),Table71618[EnergyRating (group)],B61)</f>
        <v>7478210</v>
      </c>
      <c r="F61" s="232">
        <f>SUMIFS(INDEX(Table71618[],,MATCH(F53,Table71618[#Headers],0)),Table71618[EnergyRating (group)],B61)</f>
        <v>2769698</v>
      </c>
      <c r="G61" s="232">
        <f>SUMIFS(INDEX(Table71618[],,MATCH(G53,Table71618[#Headers],0)),Table71618[EnergyRating (group)],B61)</f>
        <v>13787</v>
      </c>
      <c r="H61" s="232">
        <f>SUMIFS(INDEX(Table71618[],,MATCH(H53,Table71618[#Headers],0)),Table71618[EnergyRating (group)],B61)</f>
        <v>1578097</v>
      </c>
      <c r="L61" s="261"/>
      <c r="M61" s="261"/>
      <c r="N61" s="261"/>
      <c r="O61" s="261"/>
      <c r="P61" s="261"/>
      <c r="Q61" s="261"/>
      <c r="R61" s="261"/>
      <c r="S61" s="261"/>
      <c r="T61" s="261"/>
      <c r="U61" s="261"/>
      <c r="V61" s="261"/>
      <c r="W61" s="261"/>
      <c r="X61" s="261"/>
      <c r="Y61" s="261"/>
      <c r="Z61" s="261"/>
      <c r="AA61" s="261"/>
      <c r="AB61" s="261"/>
      <c r="AC61" s="261"/>
      <c r="AD61" s="261"/>
      <c r="AE61" s="261"/>
    </row>
    <row r="62" spans="1:43">
      <c r="B62" s="298" t="s">
        <v>64</v>
      </c>
      <c r="C62" s="233">
        <f>SUMIFS(INDEX(Table71618[],,MATCH(C53,Table71618[#Headers],0)),Table71618[EnergyRating (group)],B62)</f>
        <v>52755413</v>
      </c>
      <c r="D62" s="233">
        <f>SUMIFS(INDEX(Table71618[],,MATCH(D53,Table71618[#Headers],0)),Table71618[EnergyRating (group)],B62)</f>
        <v>19539038</v>
      </c>
      <c r="E62" s="233">
        <f>SUMIFS(INDEX(Table71618[],,MATCH(E53,Table71618[#Headers],0)),Table71618[EnergyRating (group)],B62)</f>
        <v>9716233</v>
      </c>
      <c r="F62" s="233">
        <f>SUMIFS(INDEX(Table71618[],,MATCH(F53,Table71618[#Headers],0)),Table71618[EnergyRating (group)],B62)</f>
        <v>3598597</v>
      </c>
      <c r="G62" s="233">
        <f>SUMIFS(INDEX(Table71618[],,MATCH(G53,Table71618[#Headers],0)),Table71618[EnergyRating (group)],B62)</f>
        <v>24436</v>
      </c>
      <c r="H62" s="233">
        <f>SUMIFS(INDEX(Table71618[],,MATCH(H53,Table71618[#Headers],0)),Table71618[EnergyRating (group)],B62)</f>
        <v>2381796</v>
      </c>
      <c r="L62" s="261"/>
      <c r="M62" s="261"/>
      <c r="N62" s="261"/>
      <c r="O62" s="261"/>
      <c r="P62" s="261"/>
      <c r="Q62" s="261"/>
      <c r="R62" s="261"/>
      <c r="S62" s="261"/>
      <c r="T62" s="261"/>
      <c r="U62" s="261"/>
      <c r="V62" s="261"/>
      <c r="W62" s="261"/>
      <c r="X62" s="261"/>
      <c r="Y62" s="261"/>
      <c r="Z62" s="261"/>
      <c r="AA62" s="261"/>
      <c r="AB62" s="261"/>
      <c r="AC62" s="261"/>
      <c r="AD62" s="261"/>
      <c r="AE62" s="261"/>
    </row>
    <row r="63" spans="1:43">
      <c r="L63" s="261"/>
      <c r="M63" s="261"/>
      <c r="N63" s="261"/>
      <c r="O63" s="261"/>
      <c r="P63" s="261"/>
      <c r="Q63" s="261"/>
      <c r="R63" s="261"/>
      <c r="S63" s="261"/>
      <c r="T63" s="261"/>
      <c r="U63" s="261"/>
      <c r="V63" s="261"/>
      <c r="W63" s="261"/>
      <c r="X63" s="261"/>
      <c r="Y63" s="261"/>
      <c r="Z63" s="261"/>
      <c r="AA63" s="261"/>
      <c r="AB63" s="261"/>
      <c r="AC63" s="261"/>
      <c r="AD63" s="261"/>
    </row>
    <row r="70" spans="29:30">
      <c r="AC70"/>
      <c r="AD70"/>
    </row>
  </sheetData>
  <mergeCells count="4">
    <mergeCell ref="B4:G4"/>
    <mergeCell ref="H4:J4"/>
    <mergeCell ref="B28:G28"/>
    <mergeCell ref="H28:J28"/>
  </mergeCells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FF693-F0CA-4E39-84AC-52DD645A84F9}">
  <sheetPr codeName="Sheet15">
    <tabColor theme="6" tint="0.59999389629810485"/>
  </sheetPr>
  <dimension ref="A1:AV2253"/>
  <sheetViews>
    <sheetView workbookViewId="0">
      <selection sqref="A1:I1"/>
    </sheetView>
  </sheetViews>
  <sheetFormatPr defaultRowHeight="12.5"/>
  <cols>
    <col min="2" max="2" width="20.1796875" customWidth="1"/>
    <col min="3" max="3" width="25.453125" customWidth="1"/>
    <col min="4" max="4" width="22.26953125" customWidth="1"/>
    <col min="5" max="5" width="21.7265625" customWidth="1"/>
    <col min="6" max="7" width="16.7265625" customWidth="1"/>
    <col min="8" max="8" width="25.7265625" customWidth="1"/>
    <col min="9" max="9" width="28.26953125" customWidth="1"/>
    <col min="10" max="10" width="30.54296875" customWidth="1"/>
    <col min="11" max="11" width="25.453125" customWidth="1"/>
    <col min="12" max="12" width="26.453125" customWidth="1"/>
    <col min="13" max="13" width="22.81640625" customWidth="1"/>
    <col min="14" max="14" width="20.453125" customWidth="1"/>
    <col min="15" max="15" width="12.7265625" customWidth="1"/>
    <col min="16" max="22" width="25.453125" customWidth="1"/>
    <col min="23" max="23" width="32.1796875" customWidth="1"/>
    <col min="24" max="24" width="30.453125" customWidth="1"/>
    <col min="25" max="25" width="25.453125" customWidth="1"/>
    <col min="26" max="26" width="12.7265625" customWidth="1"/>
    <col min="27" max="27" width="20.54296875" customWidth="1"/>
    <col min="28" max="28" width="23.81640625" customWidth="1"/>
    <col min="29" max="29" width="25.1796875" customWidth="1"/>
    <col min="30" max="30" width="22.453125" customWidth="1"/>
    <col min="31" max="31" width="20.54296875" customWidth="1"/>
    <col min="32" max="32" width="17.453125" customWidth="1"/>
    <col min="33" max="33" width="27.26953125" customWidth="1"/>
    <col min="34" max="34" width="30.54296875" customWidth="1"/>
    <col min="35" max="35" width="30.453125" customWidth="1"/>
    <col min="36" max="36" width="32" customWidth="1"/>
    <col min="37" max="37" width="33.7265625" customWidth="1"/>
    <col min="38" max="38" width="24.453125" customWidth="1"/>
    <col min="39" max="39" width="25.453125" customWidth="1"/>
    <col min="40" max="40" width="26.453125" customWidth="1"/>
    <col min="41" max="41" width="23.7265625" customWidth="1"/>
    <col min="42" max="42" width="26.1796875" customWidth="1"/>
    <col min="43" max="43" width="28" customWidth="1"/>
    <col min="44" max="44" width="36.54296875" customWidth="1"/>
    <col min="45" max="45" width="36.81640625" customWidth="1"/>
    <col min="46" max="46" width="24" customWidth="1"/>
    <col min="47" max="47" width="29.1796875" customWidth="1"/>
    <col min="48" max="48" width="30.7265625" customWidth="1"/>
  </cols>
  <sheetData>
    <row r="1" spans="1:48" ht="21">
      <c r="A1" s="1153" t="s">
        <v>413</v>
      </c>
      <c r="B1" s="1153"/>
      <c r="C1" s="1153"/>
      <c r="D1" s="1153"/>
      <c r="E1" s="1153"/>
      <c r="F1" s="1153"/>
      <c r="G1" s="1153"/>
      <c r="H1" s="1153"/>
      <c r="I1" s="1153"/>
    </row>
    <row r="2" spans="1:48" ht="13">
      <c r="AI2" s="66"/>
    </row>
    <row r="3" spans="1:48" ht="13">
      <c r="AI3" s="66"/>
    </row>
    <row r="4" spans="1:48"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 t="s">
        <v>414</v>
      </c>
      <c r="X4" s="58" t="s">
        <v>414</v>
      </c>
      <c r="Y4" s="58"/>
    </row>
    <row r="6" spans="1:48">
      <c r="B6" t="s">
        <v>360</v>
      </c>
      <c r="C6" t="s">
        <v>288</v>
      </c>
      <c r="D6" t="s">
        <v>393</v>
      </c>
      <c r="E6" s="58" t="s">
        <v>410</v>
      </c>
      <c r="F6" t="s">
        <v>398</v>
      </c>
      <c r="G6" t="s">
        <v>399</v>
      </c>
      <c r="H6" t="s">
        <v>415</v>
      </c>
      <c r="I6" t="s">
        <v>394</v>
      </c>
      <c r="J6" t="s">
        <v>395</v>
      </c>
      <c r="K6" t="s">
        <v>400</v>
      </c>
      <c r="L6" s="58" t="s">
        <v>396</v>
      </c>
      <c r="M6" s="58" t="s">
        <v>397</v>
      </c>
      <c r="N6" t="s">
        <v>416</v>
      </c>
      <c r="O6" t="s">
        <v>417</v>
      </c>
      <c r="P6" t="s">
        <v>418</v>
      </c>
      <c r="Q6" t="s">
        <v>419</v>
      </c>
      <c r="R6" s="58" t="s">
        <v>420</v>
      </c>
      <c r="S6" t="s">
        <v>421</v>
      </c>
      <c r="T6" t="s">
        <v>422</v>
      </c>
      <c r="U6" t="s">
        <v>423</v>
      </c>
      <c r="V6" t="s">
        <v>424</v>
      </c>
      <c r="W6" s="211" t="s">
        <v>402</v>
      </c>
      <c r="X6" s="211" t="s">
        <v>401</v>
      </c>
      <c r="Y6" s="58"/>
      <c r="AA6" t="s">
        <v>288</v>
      </c>
      <c r="AB6" t="s">
        <v>393</v>
      </c>
      <c r="AC6" t="s">
        <v>576</v>
      </c>
      <c r="AD6" t="s">
        <v>410</v>
      </c>
      <c r="AE6" t="s">
        <v>577</v>
      </c>
      <c r="AF6" s="58" t="s">
        <v>398</v>
      </c>
      <c r="AG6" t="s">
        <v>399</v>
      </c>
      <c r="AH6" t="s">
        <v>415</v>
      </c>
      <c r="AI6" t="s">
        <v>394</v>
      </c>
      <c r="AJ6" t="s">
        <v>395</v>
      </c>
      <c r="AK6" t="s">
        <v>400</v>
      </c>
      <c r="AL6" s="58" t="s">
        <v>396</v>
      </c>
      <c r="AM6" t="s">
        <v>397</v>
      </c>
      <c r="AN6" t="s">
        <v>416</v>
      </c>
      <c r="AO6" t="s">
        <v>417</v>
      </c>
      <c r="AP6" t="s">
        <v>418</v>
      </c>
      <c r="AQ6" t="s">
        <v>419</v>
      </c>
      <c r="AR6" t="s">
        <v>420</v>
      </c>
      <c r="AS6" t="s">
        <v>421</v>
      </c>
      <c r="AT6" s="58" t="s">
        <v>422</v>
      </c>
      <c r="AU6" t="s">
        <v>423</v>
      </c>
      <c r="AV6" t="s">
        <v>424</v>
      </c>
    </row>
    <row r="7" spans="1:48">
      <c r="B7" t="s">
        <v>362</v>
      </c>
      <c r="C7" t="s">
        <v>48</v>
      </c>
      <c r="F7">
        <v>1</v>
      </c>
      <c r="G7">
        <v>72</v>
      </c>
      <c r="H7">
        <v>56</v>
      </c>
      <c r="J7">
        <v>0</v>
      </c>
      <c r="M7">
        <v>0</v>
      </c>
      <c r="N7">
        <v>873</v>
      </c>
      <c r="O7">
        <v>323</v>
      </c>
      <c r="P7">
        <v>702</v>
      </c>
      <c r="Q7">
        <v>260</v>
      </c>
      <c r="S7">
        <v>0</v>
      </c>
      <c r="T7">
        <v>0</v>
      </c>
      <c r="U7">
        <v>0</v>
      </c>
      <c r="V7">
        <v>583</v>
      </c>
      <c r="W7" s="122">
        <f t="shared" ref="W7:W70" si="0">SUM(ABS(J7),ABS(M7),ABS(O7),ABS(Q7),ABS(S7),ABS(U7))</f>
        <v>583</v>
      </c>
      <c r="X7" s="122">
        <f t="shared" ref="X7:X70" si="1">SUM(ABS(I7),ABS(N7),ABS(P7),ABS(R7),ABS(T7),ABS(L7))</f>
        <v>1575</v>
      </c>
      <c r="Y7" s="122"/>
      <c r="AA7" t="s">
        <v>48</v>
      </c>
      <c r="AC7" t="s">
        <v>566</v>
      </c>
      <c r="AE7" t="s">
        <v>566</v>
      </c>
      <c r="AF7" s="122">
        <v>3415</v>
      </c>
      <c r="AG7" s="122">
        <v>292431</v>
      </c>
      <c r="AH7" s="122">
        <v>169328</v>
      </c>
      <c r="AJ7">
        <v>0</v>
      </c>
      <c r="AM7">
        <v>0</v>
      </c>
      <c r="AN7" s="122">
        <v>3695185</v>
      </c>
      <c r="AO7" s="122">
        <v>1368587</v>
      </c>
      <c r="AP7" s="122">
        <v>2623804</v>
      </c>
      <c r="AQ7" s="122">
        <v>971779</v>
      </c>
      <c r="AS7">
        <v>0</v>
      </c>
      <c r="AT7" s="122">
        <v>21237</v>
      </c>
      <c r="AU7" s="122">
        <v>7865</v>
      </c>
      <c r="AV7" s="122">
        <v>2348231</v>
      </c>
    </row>
    <row r="8" spans="1:48">
      <c r="B8" t="s">
        <v>362</v>
      </c>
      <c r="C8" t="s">
        <v>48</v>
      </c>
      <c r="D8" t="s">
        <v>407</v>
      </c>
      <c r="E8" t="s">
        <v>407</v>
      </c>
      <c r="F8">
        <v>2</v>
      </c>
      <c r="G8">
        <v>190</v>
      </c>
      <c r="H8">
        <v>149</v>
      </c>
      <c r="I8" s="122">
        <v>1990</v>
      </c>
      <c r="J8" s="122">
        <v>1809</v>
      </c>
      <c r="K8">
        <v>90</v>
      </c>
      <c r="L8">
        <v>296</v>
      </c>
      <c r="M8">
        <v>270</v>
      </c>
      <c r="N8" s="122">
        <v>3174</v>
      </c>
      <c r="O8" s="122">
        <v>1176</v>
      </c>
      <c r="P8">
        <v>945</v>
      </c>
      <c r="Q8">
        <v>350</v>
      </c>
      <c r="R8" s="122">
        <v>7717</v>
      </c>
      <c r="S8" s="122">
        <v>7015</v>
      </c>
      <c r="T8">
        <v>0</v>
      </c>
      <c r="U8">
        <v>0</v>
      </c>
      <c r="V8" s="122">
        <v>10619</v>
      </c>
      <c r="W8" s="122">
        <f t="shared" si="0"/>
        <v>10620</v>
      </c>
      <c r="X8" s="122">
        <f t="shared" si="1"/>
        <v>14122</v>
      </c>
      <c r="Y8" s="122"/>
      <c r="AA8" t="s">
        <v>48</v>
      </c>
      <c r="AB8" t="s">
        <v>403</v>
      </c>
      <c r="AC8" t="s">
        <v>407</v>
      </c>
      <c r="AD8" t="s">
        <v>137</v>
      </c>
      <c r="AE8" t="s">
        <v>566</v>
      </c>
      <c r="AF8">
        <v>1</v>
      </c>
      <c r="AG8">
        <v>48</v>
      </c>
      <c r="AH8">
        <v>50</v>
      </c>
      <c r="AI8">
        <v>16</v>
      </c>
      <c r="AJ8">
        <v>6</v>
      </c>
      <c r="AK8">
        <v>523</v>
      </c>
      <c r="AL8">
        <v>0</v>
      </c>
      <c r="AM8">
        <v>0</v>
      </c>
      <c r="AN8">
        <v>586</v>
      </c>
      <c r="AO8">
        <v>217</v>
      </c>
      <c r="AP8">
        <v>351</v>
      </c>
      <c r="AQ8">
        <v>130</v>
      </c>
      <c r="AR8" s="122">
        <v>1468</v>
      </c>
      <c r="AS8">
        <v>544</v>
      </c>
      <c r="AT8">
        <v>0</v>
      </c>
      <c r="AU8">
        <v>0</v>
      </c>
      <c r="AV8">
        <v>897</v>
      </c>
    </row>
    <row r="9" spans="1:48">
      <c r="B9" t="s">
        <v>362</v>
      </c>
      <c r="C9" t="s">
        <v>50</v>
      </c>
      <c r="D9" t="s">
        <v>407</v>
      </c>
      <c r="E9" t="s">
        <v>407</v>
      </c>
      <c r="F9">
        <v>7</v>
      </c>
      <c r="G9">
        <v>701</v>
      </c>
      <c r="H9">
        <v>644</v>
      </c>
      <c r="I9" s="122">
        <v>17637</v>
      </c>
      <c r="J9" s="122">
        <v>16034</v>
      </c>
      <c r="K9">
        <v>90</v>
      </c>
      <c r="L9" s="122">
        <v>2392</v>
      </c>
      <c r="M9" s="122">
        <v>2174</v>
      </c>
      <c r="N9" s="122">
        <v>13268</v>
      </c>
      <c r="O9" s="122">
        <v>4914</v>
      </c>
      <c r="P9" s="122">
        <v>3308</v>
      </c>
      <c r="Q9" s="122">
        <v>1225</v>
      </c>
      <c r="R9" s="122">
        <v>27635</v>
      </c>
      <c r="S9" s="122">
        <v>25122</v>
      </c>
      <c r="T9">
        <v>0</v>
      </c>
      <c r="U9">
        <v>0</v>
      </c>
      <c r="V9" s="122">
        <v>49469</v>
      </c>
      <c r="W9" s="122">
        <f t="shared" si="0"/>
        <v>49469</v>
      </c>
      <c r="X9" s="122">
        <f t="shared" si="1"/>
        <v>64240</v>
      </c>
      <c r="Y9" s="122"/>
      <c r="AA9" t="s">
        <v>48</v>
      </c>
      <c r="AB9" t="s">
        <v>404</v>
      </c>
      <c r="AC9" t="s">
        <v>566</v>
      </c>
      <c r="AD9" t="s">
        <v>137</v>
      </c>
      <c r="AE9" t="s">
        <v>566</v>
      </c>
      <c r="AF9">
        <v>1</v>
      </c>
      <c r="AG9">
        <v>98</v>
      </c>
      <c r="AH9">
        <v>57</v>
      </c>
      <c r="AI9">
        <v>11</v>
      </c>
      <c r="AJ9">
        <v>4</v>
      </c>
      <c r="AK9">
        <v>377</v>
      </c>
      <c r="AL9">
        <v>0</v>
      </c>
      <c r="AM9">
        <v>0</v>
      </c>
      <c r="AN9" s="122">
        <v>1197</v>
      </c>
      <c r="AO9">
        <v>443</v>
      </c>
      <c r="AP9">
        <v>351</v>
      </c>
      <c r="AQ9">
        <v>130</v>
      </c>
      <c r="AR9" s="122">
        <v>4034</v>
      </c>
      <c r="AS9" s="122">
        <v>1494</v>
      </c>
      <c r="AT9">
        <v>0</v>
      </c>
      <c r="AU9">
        <v>0</v>
      </c>
      <c r="AV9" s="122">
        <v>2072</v>
      </c>
    </row>
    <row r="10" spans="1:48">
      <c r="B10" t="s">
        <v>362</v>
      </c>
      <c r="C10" t="s">
        <v>52</v>
      </c>
      <c r="D10" t="s">
        <v>405</v>
      </c>
      <c r="E10" t="s">
        <v>405</v>
      </c>
      <c r="F10">
        <v>1</v>
      </c>
      <c r="G10">
        <v>85</v>
      </c>
      <c r="H10">
        <v>111</v>
      </c>
      <c r="I10" s="122">
        <v>4552</v>
      </c>
      <c r="J10" s="122">
        <v>4138</v>
      </c>
      <c r="K10">
        <v>91</v>
      </c>
      <c r="L10">
        <v>0</v>
      </c>
      <c r="M10">
        <v>0</v>
      </c>
      <c r="N10" s="122">
        <v>1295</v>
      </c>
      <c r="O10">
        <v>480</v>
      </c>
      <c r="P10">
        <v>351</v>
      </c>
      <c r="Q10">
        <v>130</v>
      </c>
      <c r="R10" s="122">
        <v>3222</v>
      </c>
      <c r="S10" s="122">
        <v>2929</v>
      </c>
      <c r="T10">
        <v>0</v>
      </c>
      <c r="U10">
        <v>0</v>
      </c>
      <c r="V10" s="122">
        <v>7676</v>
      </c>
      <c r="W10" s="122">
        <f t="shared" si="0"/>
        <v>7677</v>
      </c>
      <c r="X10" s="122">
        <f t="shared" si="1"/>
        <v>9420</v>
      </c>
      <c r="Y10" s="122"/>
      <c r="AA10" t="s">
        <v>48</v>
      </c>
      <c r="AB10" t="s">
        <v>405</v>
      </c>
      <c r="AC10" t="s">
        <v>566</v>
      </c>
      <c r="AD10" t="s">
        <v>405</v>
      </c>
      <c r="AE10" t="s">
        <v>566</v>
      </c>
      <c r="AF10">
        <v>1</v>
      </c>
      <c r="AG10">
        <v>80</v>
      </c>
      <c r="AH10">
        <v>71</v>
      </c>
      <c r="AI10" s="122">
        <v>1196</v>
      </c>
      <c r="AJ10" s="122">
        <v>1088</v>
      </c>
      <c r="AK10">
        <v>92</v>
      </c>
      <c r="AL10">
        <v>0</v>
      </c>
      <c r="AM10">
        <v>0</v>
      </c>
      <c r="AN10">
        <v>975</v>
      </c>
      <c r="AO10">
        <v>361</v>
      </c>
      <c r="AP10">
        <v>351</v>
      </c>
      <c r="AQ10">
        <v>130</v>
      </c>
      <c r="AR10" s="122">
        <v>3144</v>
      </c>
      <c r="AS10" s="122">
        <v>2858</v>
      </c>
      <c r="AT10">
        <v>0</v>
      </c>
      <c r="AU10">
        <v>0</v>
      </c>
      <c r="AV10" s="122">
        <v>4437</v>
      </c>
    </row>
    <row r="11" spans="1:48">
      <c r="B11" t="s">
        <v>362</v>
      </c>
      <c r="C11" t="s">
        <v>52</v>
      </c>
      <c r="D11" t="s">
        <v>406</v>
      </c>
      <c r="E11" t="s">
        <v>406</v>
      </c>
      <c r="F11">
        <v>1</v>
      </c>
      <c r="G11">
        <v>326</v>
      </c>
      <c r="H11">
        <v>112</v>
      </c>
      <c r="I11" s="122">
        <v>18917</v>
      </c>
      <c r="J11" s="122">
        <v>17197</v>
      </c>
      <c r="K11">
        <v>97</v>
      </c>
      <c r="L11" s="122">
        <v>2581</v>
      </c>
      <c r="M11" s="122">
        <v>2347</v>
      </c>
      <c r="N11" s="122">
        <v>5949</v>
      </c>
      <c r="O11" s="122">
        <v>2203</v>
      </c>
      <c r="P11" s="122">
        <v>1323</v>
      </c>
      <c r="Q11">
        <v>490</v>
      </c>
      <c r="R11" s="122">
        <v>7571</v>
      </c>
      <c r="S11" s="122">
        <v>6883</v>
      </c>
      <c r="T11">
        <v>0</v>
      </c>
      <c r="U11">
        <v>0</v>
      </c>
      <c r="V11" s="122">
        <v>29120</v>
      </c>
      <c r="W11" s="122">
        <f t="shared" si="0"/>
        <v>29120</v>
      </c>
      <c r="X11" s="122">
        <f t="shared" si="1"/>
        <v>36341</v>
      </c>
      <c r="Y11" s="122"/>
      <c r="AA11" t="s">
        <v>48</v>
      </c>
      <c r="AB11" t="s">
        <v>137</v>
      </c>
      <c r="AC11" t="s">
        <v>425</v>
      </c>
      <c r="AD11" t="s">
        <v>137</v>
      </c>
      <c r="AE11" t="s">
        <v>566</v>
      </c>
      <c r="AF11">
        <v>1</v>
      </c>
      <c r="AG11">
        <v>302</v>
      </c>
      <c r="AH11">
        <v>63</v>
      </c>
      <c r="AI11" s="122">
        <v>1536</v>
      </c>
      <c r="AJ11">
        <v>569</v>
      </c>
      <c r="AK11">
        <v>341</v>
      </c>
      <c r="AL11">
        <v>339</v>
      </c>
      <c r="AM11">
        <v>308</v>
      </c>
      <c r="AN11" s="122">
        <v>7352</v>
      </c>
      <c r="AO11" s="122">
        <v>2723</v>
      </c>
      <c r="AP11" s="122">
        <v>3153</v>
      </c>
      <c r="AQ11" s="122">
        <v>1168</v>
      </c>
      <c r="AR11" s="122">
        <v>6566</v>
      </c>
      <c r="AS11" s="122">
        <v>2432</v>
      </c>
      <c r="AT11">
        <v>0</v>
      </c>
      <c r="AU11">
        <v>0</v>
      </c>
      <c r="AV11" s="122">
        <v>7200</v>
      </c>
    </row>
    <row r="12" spans="1:48">
      <c r="B12" t="s">
        <v>362</v>
      </c>
      <c r="C12" t="s">
        <v>52</v>
      </c>
      <c r="D12" t="s">
        <v>407</v>
      </c>
      <c r="E12" t="s">
        <v>407</v>
      </c>
      <c r="F12">
        <v>6</v>
      </c>
      <c r="G12">
        <v>540</v>
      </c>
      <c r="H12">
        <v>717</v>
      </c>
      <c r="I12" s="122">
        <v>27398</v>
      </c>
      <c r="J12" s="122">
        <v>24908</v>
      </c>
      <c r="K12">
        <v>85</v>
      </c>
      <c r="L12" s="122">
        <v>1424</v>
      </c>
      <c r="M12">
        <v>848</v>
      </c>
      <c r="N12" s="122">
        <v>11030</v>
      </c>
      <c r="O12" s="122">
        <v>4085</v>
      </c>
      <c r="P12" s="122">
        <v>2835</v>
      </c>
      <c r="Q12" s="122">
        <v>1050</v>
      </c>
      <c r="R12" s="122">
        <v>21879</v>
      </c>
      <c r="S12" s="122">
        <v>19890</v>
      </c>
      <c r="T12">
        <v>0</v>
      </c>
      <c r="U12">
        <v>0</v>
      </c>
      <c r="V12" s="122">
        <v>50780</v>
      </c>
      <c r="W12" s="122">
        <f t="shared" si="0"/>
        <v>50781</v>
      </c>
      <c r="X12" s="122">
        <f t="shared" si="1"/>
        <v>64566</v>
      </c>
      <c r="Y12" s="122"/>
      <c r="AA12" t="s">
        <v>48</v>
      </c>
      <c r="AB12" t="s">
        <v>137</v>
      </c>
      <c r="AC12" t="s">
        <v>405</v>
      </c>
      <c r="AD12" t="s">
        <v>137</v>
      </c>
      <c r="AE12" t="s">
        <v>566</v>
      </c>
      <c r="AF12">
        <v>1</v>
      </c>
      <c r="AG12">
        <v>178</v>
      </c>
      <c r="AH12">
        <v>37</v>
      </c>
      <c r="AI12" s="122">
        <v>-1392</v>
      </c>
      <c r="AJ12">
        <v>-516</v>
      </c>
      <c r="AK12">
        <v>354</v>
      </c>
      <c r="AL12">
        <v>-558</v>
      </c>
      <c r="AM12">
        <v>-507</v>
      </c>
      <c r="AN12" s="122">
        <v>3575</v>
      </c>
      <c r="AO12" s="122">
        <v>1324</v>
      </c>
      <c r="AP12">
        <v>351</v>
      </c>
      <c r="AQ12">
        <v>130</v>
      </c>
      <c r="AR12" s="122">
        <v>4688</v>
      </c>
      <c r="AS12" s="122">
        <v>1736</v>
      </c>
      <c r="AT12">
        <v>0</v>
      </c>
      <c r="AU12">
        <v>0</v>
      </c>
      <c r="AV12" s="122">
        <v>2168</v>
      </c>
    </row>
    <row r="13" spans="1:48">
      <c r="B13" t="s">
        <v>362</v>
      </c>
      <c r="C13" t="s">
        <v>54</v>
      </c>
      <c r="F13">
        <v>1</v>
      </c>
      <c r="G13">
        <v>72</v>
      </c>
      <c r="H13">
        <v>139</v>
      </c>
      <c r="J13">
        <v>0</v>
      </c>
      <c r="M13">
        <v>0</v>
      </c>
      <c r="N13" s="122">
        <v>1667</v>
      </c>
      <c r="O13">
        <v>617</v>
      </c>
      <c r="P13">
        <v>351</v>
      </c>
      <c r="Q13">
        <v>130</v>
      </c>
      <c r="S13">
        <v>0</v>
      </c>
      <c r="T13">
        <v>0</v>
      </c>
      <c r="U13">
        <v>0</v>
      </c>
      <c r="V13">
        <v>747</v>
      </c>
      <c r="W13" s="122">
        <f t="shared" si="0"/>
        <v>747</v>
      </c>
      <c r="X13" s="122">
        <f t="shared" si="1"/>
        <v>2018</v>
      </c>
      <c r="Y13" s="122"/>
      <c r="AA13" t="s">
        <v>48</v>
      </c>
      <c r="AB13" t="s">
        <v>137</v>
      </c>
      <c r="AC13" t="s">
        <v>137</v>
      </c>
      <c r="AD13" t="s">
        <v>137</v>
      </c>
      <c r="AE13" t="s">
        <v>566</v>
      </c>
      <c r="AF13">
        <v>86</v>
      </c>
      <c r="AG13" s="122">
        <v>7710</v>
      </c>
      <c r="AH13" s="122">
        <v>4548</v>
      </c>
      <c r="AI13" s="122">
        <v>-5344</v>
      </c>
      <c r="AJ13" s="122">
        <v>-1979</v>
      </c>
      <c r="AK13">
        <v>477</v>
      </c>
      <c r="AL13">
        <v>298</v>
      </c>
      <c r="AM13">
        <v>110</v>
      </c>
      <c r="AN13" s="122">
        <v>95134</v>
      </c>
      <c r="AO13" s="122">
        <v>35235</v>
      </c>
      <c r="AP13" s="122">
        <v>84088</v>
      </c>
      <c r="AQ13" s="122">
        <v>31144</v>
      </c>
      <c r="AR13" s="122">
        <v>236219</v>
      </c>
      <c r="AS13" s="122">
        <v>87488</v>
      </c>
      <c r="AT13">
        <v>0</v>
      </c>
      <c r="AU13">
        <v>0</v>
      </c>
      <c r="AV13" s="122">
        <v>151998</v>
      </c>
    </row>
    <row r="14" spans="1:48">
      <c r="B14" t="s">
        <v>362</v>
      </c>
      <c r="C14" t="s">
        <v>54</v>
      </c>
      <c r="D14" t="s">
        <v>405</v>
      </c>
      <c r="E14" t="s">
        <v>405</v>
      </c>
      <c r="F14">
        <v>1</v>
      </c>
      <c r="G14">
        <v>80</v>
      </c>
      <c r="H14">
        <v>149</v>
      </c>
      <c r="I14" s="122">
        <v>4719</v>
      </c>
      <c r="J14" s="122">
        <v>4290</v>
      </c>
      <c r="K14">
        <v>91</v>
      </c>
      <c r="L14" s="122">
        <v>1107</v>
      </c>
      <c r="M14">
        <v>410</v>
      </c>
      <c r="N14" s="122">
        <v>1703</v>
      </c>
      <c r="O14">
        <v>631</v>
      </c>
      <c r="P14">
        <v>473</v>
      </c>
      <c r="Q14">
        <v>175</v>
      </c>
      <c r="R14" s="122">
        <v>3888</v>
      </c>
      <c r="S14" s="122">
        <v>3535</v>
      </c>
      <c r="T14">
        <v>0</v>
      </c>
      <c r="U14">
        <v>0</v>
      </c>
      <c r="V14" s="122">
        <v>9040</v>
      </c>
      <c r="W14" s="122">
        <f t="shared" si="0"/>
        <v>9041</v>
      </c>
      <c r="X14" s="122">
        <f t="shared" si="1"/>
        <v>11890</v>
      </c>
      <c r="Y14" s="122"/>
      <c r="AA14" t="s">
        <v>48</v>
      </c>
      <c r="AB14" t="s">
        <v>137</v>
      </c>
      <c r="AC14" t="s">
        <v>407</v>
      </c>
      <c r="AD14" t="s">
        <v>137</v>
      </c>
      <c r="AE14" t="s">
        <v>566</v>
      </c>
      <c r="AF14">
        <v>2</v>
      </c>
      <c r="AG14">
        <v>674</v>
      </c>
      <c r="AH14">
        <v>114</v>
      </c>
      <c r="AI14" s="122">
        <v>4796</v>
      </c>
      <c r="AJ14" s="122">
        <v>1776</v>
      </c>
      <c r="AK14">
        <v>397</v>
      </c>
      <c r="AL14" s="122">
        <v>1404</v>
      </c>
      <c r="AM14" s="122">
        <v>1277</v>
      </c>
      <c r="AN14" s="122">
        <v>8210</v>
      </c>
      <c r="AO14" s="122">
        <v>3041</v>
      </c>
      <c r="AP14" s="122">
        <v>5775</v>
      </c>
      <c r="AQ14" s="122">
        <v>2139</v>
      </c>
      <c r="AR14" s="122">
        <v>12804</v>
      </c>
      <c r="AS14" s="122">
        <v>4742</v>
      </c>
      <c r="AT14">
        <v>0</v>
      </c>
      <c r="AU14">
        <v>0</v>
      </c>
      <c r="AV14" s="122">
        <v>12974</v>
      </c>
    </row>
    <row r="15" spans="1:48">
      <c r="B15" t="s">
        <v>362</v>
      </c>
      <c r="C15" t="s">
        <v>54</v>
      </c>
      <c r="D15" t="s">
        <v>137</v>
      </c>
      <c r="E15" t="s">
        <v>137</v>
      </c>
      <c r="F15">
        <v>6</v>
      </c>
      <c r="G15">
        <v>446</v>
      </c>
      <c r="H15">
        <v>861</v>
      </c>
      <c r="I15" s="122">
        <v>12150</v>
      </c>
      <c r="J15" s="122">
        <v>4500</v>
      </c>
      <c r="K15">
        <v>200</v>
      </c>
      <c r="L15" s="122">
        <v>1599</v>
      </c>
      <c r="M15">
        <v>673</v>
      </c>
      <c r="N15" s="122">
        <v>7817</v>
      </c>
      <c r="O15" s="122">
        <v>2895</v>
      </c>
      <c r="P15">
        <v>702</v>
      </c>
      <c r="Q15">
        <v>260</v>
      </c>
      <c r="R15" s="122">
        <v>41615</v>
      </c>
      <c r="S15" s="122">
        <v>15413</v>
      </c>
      <c r="T15">
        <v>0</v>
      </c>
      <c r="U15">
        <v>0</v>
      </c>
      <c r="V15" s="122">
        <v>23740</v>
      </c>
      <c r="W15" s="122">
        <f t="shared" si="0"/>
        <v>23741</v>
      </c>
      <c r="X15" s="122">
        <f t="shared" si="1"/>
        <v>63883</v>
      </c>
      <c r="Y15" s="122"/>
      <c r="AA15" t="s">
        <v>48</v>
      </c>
      <c r="AB15" t="s">
        <v>137</v>
      </c>
      <c r="AC15" t="s">
        <v>407</v>
      </c>
      <c r="AD15" t="s">
        <v>407</v>
      </c>
      <c r="AE15" t="s">
        <v>566</v>
      </c>
      <c r="AF15">
        <v>3</v>
      </c>
      <c r="AG15">
        <v>151</v>
      </c>
      <c r="AH15">
        <v>128</v>
      </c>
      <c r="AI15" s="122">
        <v>-1803</v>
      </c>
      <c r="AJ15">
        <v>-668</v>
      </c>
      <c r="AK15">
        <v>410</v>
      </c>
      <c r="AL15">
        <v>-453</v>
      </c>
      <c r="AM15">
        <v>-412</v>
      </c>
      <c r="AN15" s="122">
        <v>2797</v>
      </c>
      <c r="AO15" s="122">
        <v>1036</v>
      </c>
      <c r="AP15" s="122">
        <v>1418</v>
      </c>
      <c r="AQ15">
        <v>525</v>
      </c>
      <c r="AR15" s="122">
        <v>4450</v>
      </c>
      <c r="AS15" s="122">
        <v>4045</v>
      </c>
      <c r="AT15">
        <v>0</v>
      </c>
      <c r="AU15">
        <v>0</v>
      </c>
      <c r="AV15" s="122">
        <v>4527</v>
      </c>
    </row>
    <row r="16" spans="1:48">
      <c r="B16" t="s">
        <v>362</v>
      </c>
      <c r="C16" t="s">
        <v>54</v>
      </c>
      <c r="D16" t="s">
        <v>406</v>
      </c>
      <c r="E16" t="s">
        <v>406</v>
      </c>
      <c r="F16">
        <v>6</v>
      </c>
      <c r="G16">
        <v>916</v>
      </c>
      <c r="H16">
        <v>830</v>
      </c>
      <c r="I16" s="122">
        <v>76646</v>
      </c>
      <c r="J16" s="122">
        <v>69678</v>
      </c>
      <c r="K16">
        <v>92</v>
      </c>
      <c r="L16" s="122">
        <v>8648</v>
      </c>
      <c r="M16" s="122">
        <v>7862</v>
      </c>
      <c r="N16" s="122">
        <v>14881</v>
      </c>
      <c r="O16" s="122">
        <v>5512</v>
      </c>
      <c r="P16" s="122">
        <v>5049</v>
      </c>
      <c r="Q16" s="122">
        <v>1870</v>
      </c>
      <c r="R16" s="122">
        <v>17240</v>
      </c>
      <c r="S16" s="122">
        <v>15673</v>
      </c>
      <c r="T16" s="122">
        <v>2485</v>
      </c>
      <c r="U16">
        <v>920</v>
      </c>
      <c r="V16" s="122">
        <v>101515</v>
      </c>
      <c r="W16" s="122">
        <f t="shared" si="0"/>
        <v>101515</v>
      </c>
      <c r="X16" s="122">
        <f t="shared" si="1"/>
        <v>124949</v>
      </c>
      <c r="Y16" s="122"/>
      <c r="AA16" t="s">
        <v>48</v>
      </c>
      <c r="AB16" t="s">
        <v>137</v>
      </c>
      <c r="AC16" t="s">
        <v>579</v>
      </c>
      <c r="AD16" t="s">
        <v>137</v>
      </c>
      <c r="AE16" t="s">
        <v>566</v>
      </c>
      <c r="AF16">
        <v>4</v>
      </c>
      <c r="AG16">
        <v>787</v>
      </c>
      <c r="AH16">
        <v>272</v>
      </c>
      <c r="AI16" s="122">
        <v>12745</v>
      </c>
      <c r="AJ16" s="122">
        <v>4720</v>
      </c>
      <c r="AK16">
        <v>470</v>
      </c>
      <c r="AL16" s="122">
        <v>4799</v>
      </c>
      <c r="AM16" s="122">
        <v>3999</v>
      </c>
      <c r="AN16" s="122">
        <v>13955</v>
      </c>
      <c r="AO16" s="122">
        <v>5168</v>
      </c>
      <c r="AP16" s="122">
        <v>1404</v>
      </c>
      <c r="AQ16">
        <v>520</v>
      </c>
      <c r="AR16" s="122">
        <v>20360</v>
      </c>
      <c r="AS16" s="122">
        <v>7541</v>
      </c>
      <c r="AT16">
        <v>0</v>
      </c>
      <c r="AU16">
        <v>0</v>
      </c>
      <c r="AV16" s="122">
        <v>21949</v>
      </c>
    </row>
    <row r="17" spans="2:48">
      <c r="B17" t="s">
        <v>362</v>
      </c>
      <c r="C17" t="s">
        <v>54</v>
      </c>
      <c r="D17" t="s">
        <v>407</v>
      </c>
      <c r="E17" t="s">
        <v>407</v>
      </c>
      <c r="F17">
        <v>42</v>
      </c>
      <c r="G17" s="122">
        <v>3024</v>
      </c>
      <c r="H17" s="122">
        <v>5846</v>
      </c>
      <c r="I17" s="122">
        <v>181218</v>
      </c>
      <c r="J17" s="122">
        <v>164743</v>
      </c>
      <c r="K17">
        <v>85</v>
      </c>
      <c r="L17" s="122">
        <v>8272</v>
      </c>
      <c r="M17" s="122">
        <v>6351</v>
      </c>
      <c r="N17" s="122">
        <v>61727</v>
      </c>
      <c r="O17" s="122">
        <v>22862</v>
      </c>
      <c r="P17" s="122">
        <v>19845</v>
      </c>
      <c r="Q17" s="122">
        <v>7350</v>
      </c>
      <c r="R17" s="122">
        <v>146400</v>
      </c>
      <c r="S17" s="122">
        <v>133091</v>
      </c>
      <c r="T17" s="122">
        <v>4707</v>
      </c>
      <c r="U17" s="122">
        <v>1743</v>
      </c>
      <c r="V17" s="122">
        <v>336140</v>
      </c>
      <c r="W17" s="122">
        <f t="shared" si="0"/>
        <v>336140</v>
      </c>
      <c r="X17" s="122">
        <f t="shared" si="1"/>
        <v>422169</v>
      </c>
      <c r="Y17" s="122"/>
      <c r="AA17" t="s">
        <v>48</v>
      </c>
      <c r="AB17" t="s">
        <v>137</v>
      </c>
      <c r="AC17" t="s">
        <v>579</v>
      </c>
      <c r="AD17" t="s">
        <v>407</v>
      </c>
      <c r="AE17" t="s">
        <v>566</v>
      </c>
      <c r="AF17">
        <v>6</v>
      </c>
      <c r="AG17">
        <v>303</v>
      </c>
      <c r="AH17">
        <v>223</v>
      </c>
      <c r="AI17" s="122">
        <v>-4471</v>
      </c>
      <c r="AJ17" s="122">
        <v>-1656</v>
      </c>
      <c r="AK17">
        <v>411</v>
      </c>
      <c r="AL17" s="122">
        <v>-1231</v>
      </c>
      <c r="AM17" s="122">
        <v>-1026</v>
      </c>
      <c r="AN17" s="122">
        <v>5213</v>
      </c>
      <c r="AO17" s="122">
        <v>1931</v>
      </c>
      <c r="AP17" s="122">
        <v>2835</v>
      </c>
      <c r="AQ17" s="122">
        <v>1050</v>
      </c>
      <c r="AR17" s="122">
        <v>8921</v>
      </c>
      <c r="AS17" s="122">
        <v>8110</v>
      </c>
      <c r="AT17">
        <v>0</v>
      </c>
      <c r="AU17">
        <v>0</v>
      </c>
      <c r="AV17" s="122">
        <v>8409</v>
      </c>
    </row>
    <row r="18" spans="2:48">
      <c r="B18" t="s">
        <v>362</v>
      </c>
      <c r="C18" t="s">
        <v>67</v>
      </c>
      <c r="F18">
        <v>1</v>
      </c>
      <c r="G18">
        <v>79</v>
      </c>
      <c r="H18">
        <v>163</v>
      </c>
      <c r="J18">
        <v>0</v>
      </c>
      <c r="M18">
        <v>0</v>
      </c>
      <c r="N18" s="122">
        <v>1820</v>
      </c>
      <c r="O18">
        <v>674</v>
      </c>
      <c r="P18">
        <v>351</v>
      </c>
      <c r="Q18">
        <v>130</v>
      </c>
      <c r="S18">
        <v>0</v>
      </c>
      <c r="T18">
        <v>0</v>
      </c>
      <c r="U18">
        <v>0</v>
      </c>
      <c r="V18">
        <v>804</v>
      </c>
      <c r="W18" s="122">
        <f t="shared" si="0"/>
        <v>804</v>
      </c>
      <c r="X18" s="122">
        <f t="shared" si="1"/>
        <v>2171</v>
      </c>
      <c r="Y18" s="122"/>
      <c r="AA18" t="s">
        <v>48</v>
      </c>
      <c r="AB18" t="s">
        <v>137</v>
      </c>
      <c r="AC18" t="s">
        <v>426</v>
      </c>
      <c r="AD18" t="s">
        <v>137</v>
      </c>
      <c r="AE18" t="s">
        <v>566</v>
      </c>
      <c r="AF18">
        <v>12</v>
      </c>
      <c r="AG18" s="122">
        <v>1958</v>
      </c>
      <c r="AH18">
        <v>677</v>
      </c>
      <c r="AI18" s="122">
        <v>12210</v>
      </c>
      <c r="AJ18" s="122">
        <v>4522</v>
      </c>
      <c r="AK18">
        <v>482</v>
      </c>
      <c r="AL18" s="122">
        <v>3968</v>
      </c>
      <c r="AM18" s="122">
        <v>3607</v>
      </c>
      <c r="AN18" s="122">
        <v>27223</v>
      </c>
      <c r="AO18" s="122">
        <v>10083</v>
      </c>
      <c r="AP18" s="122">
        <v>10191</v>
      </c>
      <c r="AQ18" s="122">
        <v>3774</v>
      </c>
      <c r="AR18" s="122">
        <v>55086</v>
      </c>
      <c r="AS18" s="122">
        <v>20402</v>
      </c>
      <c r="AT18">
        <v>0</v>
      </c>
      <c r="AU18">
        <v>0</v>
      </c>
      <c r="AV18" s="122">
        <v>42388</v>
      </c>
    </row>
    <row r="19" spans="2:48">
      <c r="B19" t="s">
        <v>362</v>
      </c>
      <c r="C19" t="s">
        <v>67</v>
      </c>
      <c r="D19" t="s">
        <v>425</v>
      </c>
      <c r="E19" t="s">
        <v>425</v>
      </c>
      <c r="F19">
        <v>3</v>
      </c>
      <c r="G19">
        <v>239</v>
      </c>
      <c r="H19">
        <v>623</v>
      </c>
      <c r="I19" s="122">
        <v>31532</v>
      </c>
      <c r="J19" s="122">
        <v>28665</v>
      </c>
      <c r="K19">
        <v>90</v>
      </c>
      <c r="L19" s="122">
        <v>4873</v>
      </c>
      <c r="M19" s="122">
        <v>4430</v>
      </c>
      <c r="N19" s="122">
        <v>4361</v>
      </c>
      <c r="O19" s="122">
        <v>1615</v>
      </c>
      <c r="P19" s="122">
        <v>1418</v>
      </c>
      <c r="Q19">
        <v>525</v>
      </c>
      <c r="R19" s="122">
        <v>5941</v>
      </c>
      <c r="S19" s="122">
        <v>5401</v>
      </c>
      <c r="T19">
        <v>0</v>
      </c>
      <c r="U19">
        <v>0</v>
      </c>
      <c r="V19" s="122">
        <v>40636</v>
      </c>
      <c r="W19" s="122">
        <f t="shared" si="0"/>
        <v>40636</v>
      </c>
      <c r="X19" s="122">
        <f t="shared" si="1"/>
        <v>48125</v>
      </c>
      <c r="Y19" s="122"/>
      <c r="AA19" t="s">
        <v>48</v>
      </c>
      <c r="AB19" t="s">
        <v>137</v>
      </c>
      <c r="AC19" t="s">
        <v>566</v>
      </c>
      <c r="AD19" t="s">
        <v>137</v>
      </c>
      <c r="AE19" t="s">
        <v>137</v>
      </c>
      <c r="AF19">
        <v>29</v>
      </c>
      <c r="AG19" s="122">
        <v>2426</v>
      </c>
      <c r="AH19" s="122">
        <v>1704</v>
      </c>
      <c r="AI19" s="122">
        <v>-18367</v>
      </c>
      <c r="AJ19" s="122">
        <v>-6802</v>
      </c>
      <c r="AK19">
        <v>526</v>
      </c>
      <c r="AL19">
        <v>0</v>
      </c>
      <c r="AM19">
        <v>0</v>
      </c>
      <c r="AN19" s="122">
        <v>29557</v>
      </c>
      <c r="AO19" s="122">
        <v>10947</v>
      </c>
      <c r="AP19" s="122">
        <v>28977</v>
      </c>
      <c r="AQ19" s="122">
        <v>10732</v>
      </c>
      <c r="AR19" s="122">
        <v>93156</v>
      </c>
      <c r="AS19" s="122">
        <v>34502</v>
      </c>
      <c r="AT19">
        <v>0</v>
      </c>
      <c r="AU19">
        <v>0</v>
      </c>
      <c r="AV19" s="122">
        <v>49379</v>
      </c>
    </row>
    <row r="20" spans="2:48">
      <c r="B20" t="s">
        <v>362</v>
      </c>
      <c r="C20" t="s">
        <v>67</v>
      </c>
      <c r="D20" t="s">
        <v>405</v>
      </c>
      <c r="E20" t="s">
        <v>405</v>
      </c>
      <c r="F20">
        <v>3</v>
      </c>
      <c r="G20">
        <v>251</v>
      </c>
      <c r="H20">
        <v>750</v>
      </c>
      <c r="I20" s="122">
        <v>34445</v>
      </c>
      <c r="J20" s="122">
        <v>31314</v>
      </c>
      <c r="K20">
        <v>79</v>
      </c>
      <c r="L20" s="122">
        <v>5859</v>
      </c>
      <c r="M20" s="122">
        <v>5327</v>
      </c>
      <c r="N20" s="122">
        <v>6012</v>
      </c>
      <c r="O20" s="122">
        <v>2227</v>
      </c>
      <c r="P20" s="122">
        <v>1175</v>
      </c>
      <c r="Q20">
        <v>435</v>
      </c>
      <c r="R20" s="122">
        <v>10642</v>
      </c>
      <c r="S20" s="122">
        <v>9674</v>
      </c>
      <c r="T20" s="122">
        <v>4392</v>
      </c>
      <c r="U20" s="122">
        <v>1627</v>
      </c>
      <c r="V20" s="122">
        <v>50603</v>
      </c>
      <c r="W20" s="122">
        <f t="shared" si="0"/>
        <v>50604</v>
      </c>
      <c r="X20" s="122">
        <f t="shared" si="1"/>
        <v>62525</v>
      </c>
      <c r="Y20" s="122"/>
      <c r="AA20" t="s">
        <v>48</v>
      </c>
      <c r="AB20" t="s">
        <v>137</v>
      </c>
      <c r="AC20" t="s">
        <v>566</v>
      </c>
      <c r="AD20" t="s">
        <v>137</v>
      </c>
      <c r="AE20" t="s">
        <v>566</v>
      </c>
      <c r="AF20">
        <v>974</v>
      </c>
      <c r="AG20" s="122">
        <v>75037</v>
      </c>
      <c r="AH20" s="122">
        <v>53678</v>
      </c>
      <c r="AI20" s="122">
        <v>-384398</v>
      </c>
      <c r="AJ20" s="122">
        <v>-142370</v>
      </c>
      <c r="AK20">
        <v>442</v>
      </c>
      <c r="AL20">
        <v>0</v>
      </c>
      <c r="AM20">
        <v>0</v>
      </c>
      <c r="AN20" s="122">
        <v>951376</v>
      </c>
      <c r="AO20" s="122">
        <v>352362</v>
      </c>
      <c r="AP20" s="122">
        <v>644377</v>
      </c>
      <c r="AQ20" s="122">
        <v>238658</v>
      </c>
      <c r="AR20" s="122">
        <v>2851692</v>
      </c>
      <c r="AS20" s="122">
        <v>1056182</v>
      </c>
      <c r="AT20">
        <v>0</v>
      </c>
      <c r="AU20">
        <v>0</v>
      </c>
      <c r="AV20" s="122">
        <v>1504832</v>
      </c>
    </row>
    <row r="21" spans="2:48">
      <c r="B21" t="s">
        <v>362</v>
      </c>
      <c r="C21" t="s">
        <v>67</v>
      </c>
      <c r="D21" t="s">
        <v>137</v>
      </c>
      <c r="E21" t="s">
        <v>137</v>
      </c>
      <c r="F21">
        <v>321</v>
      </c>
      <c r="G21" s="122">
        <v>23242</v>
      </c>
      <c r="H21" s="122">
        <v>75596</v>
      </c>
      <c r="I21" s="122">
        <v>2555948</v>
      </c>
      <c r="J21" s="122">
        <v>946648</v>
      </c>
      <c r="K21">
        <v>101</v>
      </c>
      <c r="L21" s="122">
        <v>339499</v>
      </c>
      <c r="M21" s="122">
        <v>131715</v>
      </c>
      <c r="N21" s="122">
        <v>460260</v>
      </c>
      <c r="O21" s="122">
        <v>170467</v>
      </c>
      <c r="P21" s="122">
        <v>5638</v>
      </c>
      <c r="Q21" s="122">
        <v>2088</v>
      </c>
      <c r="R21" s="122">
        <v>2005345</v>
      </c>
      <c r="S21" s="122">
        <v>742720</v>
      </c>
      <c r="T21">
        <v>0</v>
      </c>
      <c r="U21">
        <v>0</v>
      </c>
      <c r="V21" s="122">
        <v>1993638</v>
      </c>
      <c r="W21" s="122">
        <f t="shared" si="0"/>
        <v>1993638</v>
      </c>
      <c r="X21" s="122">
        <f t="shared" si="1"/>
        <v>5366690</v>
      </c>
      <c r="Y21" s="122"/>
      <c r="AA21" t="s">
        <v>48</v>
      </c>
      <c r="AB21" t="s">
        <v>137</v>
      </c>
      <c r="AC21" t="s">
        <v>566</v>
      </c>
      <c r="AD21" t="s">
        <v>407</v>
      </c>
      <c r="AE21" t="s">
        <v>566</v>
      </c>
      <c r="AF21">
        <v>2</v>
      </c>
      <c r="AG21">
        <v>112</v>
      </c>
      <c r="AH21">
        <v>43</v>
      </c>
      <c r="AI21" s="122">
        <v>-6350</v>
      </c>
      <c r="AJ21" s="122">
        <v>-2352</v>
      </c>
      <c r="AK21">
        <v>558</v>
      </c>
      <c r="AL21">
        <v>0</v>
      </c>
      <c r="AM21">
        <v>0</v>
      </c>
      <c r="AN21" s="122">
        <v>1359</v>
      </c>
      <c r="AO21">
        <v>503</v>
      </c>
      <c r="AP21">
        <v>928</v>
      </c>
      <c r="AQ21">
        <v>344</v>
      </c>
      <c r="AR21" s="122">
        <v>6453</v>
      </c>
      <c r="AS21" s="122">
        <v>5866</v>
      </c>
      <c r="AT21">
        <v>0</v>
      </c>
      <c r="AU21">
        <v>0</v>
      </c>
      <c r="AV21" s="122">
        <v>4362</v>
      </c>
    </row>
    <row r="22" spans="2:48">
      <c r="B22" t="s">
        <v>362</v>
      </c>
      <c r="C22" t="s">
        <v>67</v>
      </c>
      <c r="D22" t="s">
        <v>406</v>
      </c>
      <c r="E22" t="s">
        <v>406</v>
      </c>
      <c r="F22">
        <v>42</v>
      </c>
      <c r="G22" s="122">
        <v>4187</v>
      </c>
      <c r="H22" s="122">
        <v>8574</v>
      </c>
      <c r="I22" s="122">
        <v>429372</v>
      </c>
      <c r="J22" s="122">
        <v>390338</v>
      </c>
      <c r="K22">
        <v>85</v>
      </c>
      <c r="L22" s="122">
        <v>77874</v>
      </c>
      <c r="M22" s="122">
        <v>62653</v>
      </c>
      <c r="N22" s="122">
        <v>83997</v>
      </c>
      <c r="O22" s="122">
        <v>31110</v>
      </c>
      <c r="P22" s="122">
        <v>28809</v>
      </c>
      <c r="Q22" s="122">
        <v>10670</v>
      </c>
      <c r="R22" s="122">
        <v>179473</v>
      </c>
      <c r="S22" s="122">
        <v>163157</v>
      </c>
      <c r="T22" s="122">
        <v>42502</v>
      </c>
      <c r="U22" s="122">
        <v>15742</v>
      </c>
      <c r="V22" s="122">
        <v>673669</v>
      </c>
      <c r="W22" s="122">
        <f t="shared" si="0"/>
        <v>673670</v>
      </c>
      <c r="X22" s="122">
        <f t="shared" si="1"/>
        <v>842027</v>
      </c>
      <c r="Y22" s="122"/>
      <c r="AA22" t="s">
        <v>48</v>
      </c>
      <c r="AB22" t="s">
        <v>137</v>
      </c>
      <c r="AC22" t="s">
        <v>433</v>
      </c>
      <c r="AD22" t="s">
        <v>137</v>
      </c>
      <c r="AE22" t="s">
        <v>566</v>
      </c>
      <c r="AF22">
        <v>4</v>
      </c>
      <c r="AG22">
        <v>552</v>
      </c>
      <c r="AH22">
        <v>228</v>
      </c>
      <c r="AI22" s="122">
        <v>-2870</v>
      </c>
      <c r="AJ22" s="122">
        <v>-1063</v>
      </c>
      <c r="AK22">
        <v>452</v>
      </c>
      <c r="AL22">
        <v>-726</v>
      </c>
      <c r="AM22">
        <v>-660</v>
      </c>
      <c r="AN22" s="122">
        <v>6970</v>
      </c>
      <c r="AO22" s="122">
        <v>2582</v>
      </c>
      <c r="AP22" s="122">
        <v>7094</v>
      </c>
      <c r="AQ22" s="122">
        <v>2627</v>
      </c>
      <c r="AR22" s="122">
        <v>18879</v>
      </c>
      <c r="AS22" s="122">
        <v>6992</v>
      </c>
      <c r="AT22">
        <v>0</v>
      </c>
      <c r="AU22">
        <v>0</v>
      </c>
      <c r="AV22" s="122">
        <v>10478</v>
      </c>
    </row>
    <row r="23" spans="2:48">
      <c r="B23" t="s">
        <v>362</v>
      </c>
      <c r="C23" t="s">
        <v>48</v>
      </c>
      <c r="D23" s="122"/>
      <c r="E23" s="122"/>
      <c r="F23" s="122">
        <v>1</v>
      </c>
      <c r="G23" s="122">
        <v>72</v>
      </c>
      <c r="H23">
        <v>56</v>
      </c>
      <c r="J23" s="122">
        <v>0</v>
      </c>
      <c r="M23" s="122">
        <v>0</v>
      </c>
      <c r="N23" s="122">
        <v>873</v>
      </c>
      <c r="O23" s="122">
        <v>323</v>
      </c>
      <c r="P23" s="122">
        <v>702</v>
      </c>
      <c r="Q23">
        <v>260</v>
      </c>
      <c r="S23">
        <v>0</v>
      </c>
      <c r="T23">
        <v>0</v>
      </c>
      <c r="U23" s="122">
        <v>0</v>
      </c>
      <c r="V23">
        <v>583</v>
      </c>
      <c r="W23" s="122">
        <f>SUM(ABS(J23),ABS(M23),ABS(O23),ABS(Q23),ABS(S23),ABS(U23))</f>
        <v>583</v>
      </c>
      <c r="X23" s="122">
        <f t="shared" si="1"/>
        <v>1575</v>
      </c>
      <c r="Y23" s="122"/>
      <c r="AA23" t="s">
        <v>48</v>
      </c>
      <c r="AB23" t="s">
        <v>137</v>
      </c>
      <c r="AC23" t="s">
        <v>429</v>
      </c>
      <c r="AD23" t="s">
        <v>137</v>
      </c>
      <c r="AE23" t="s">
        <v>566</v>
      </c>
      <c r="AF23">
        <v>1</v>
      </c>
      <c r="AG23">
        <v>165</v>
      </c>
      <c r="AH23">
        <v>60</v>
      </c>
      <c r="AI23">
        <v>955</v>
      </c>
      <c r="AJ23">
        <v>354</v>
      </c>
      <c r="AK23">
        <v>415</v>
      </c>
      <c r="AL23">
        <v>236</v>
      </c>
      <c r="AM23">
        <v>215</v>
      </c>
      <c r="AN23" s="122">
        <v>2006</v>
      </c>
      <c r="AO23">
        <v>743</v>
      </c>
      <c r="AP23" s="122">
        <v>1765</v>
      </c>
      <c r="AQ23">
        <v>654</v>
      </c>
      <c r="AR23" s="122">
        <v>4893</v>
      </c>
      <c r="AS23" s="122">
        <v>1812</v>
      </c>
      <c r="AT23">
        <v>0</v>
      </c>
      <c r="AU23">
        <v>0</v>
      </c>
      <c r="AV23" s="122">
        <v>3777</v>
      </c>
    </row>
    <row r="24" spans="2:48">
      <c r="B24" t="s">
        <v>362</v>
      </c>
      <c r="C24" t="s">
        <v>48</v>
      </c>
      <c r="D24" t="s">
        <v>407</v>
      </c>
      <c r="E24" t="s">
        <v>407</v>
      </c>
      <c r="F24" s="122">
        <v>2</v>
      </c>
      <c r="G24">
        <v>190</v>
      </c>
      <c r="H24" s="122">
        <v>149</v>
      </c>
      <c r="I24" s="122">
        <v>1990</v>
      </c>
      <c r="J24" s="122">
        <v>1809</v>
      </c>
      <c r="K24" s="122">
        <v>90</v>
      </c>
      <c r="L24" s="122">
        <v>296</v>
      </c>
      <c r="M24" s="122">
        <v>270</v>
      </c>
      <c r="N24" s="122">
        <v>3174</v>
      </c>
      <c r="O24" s="122">
        <v>1176</v>
      </c>
      <c r="P24" s="122">
        <v>945</v>
      </c>
      <c r="Q24" s="122">
        <v>350</v>
      </c>
      <c r="R24" s="122">
        <v>7717</v>
      </c>
      <c r="S24" s="122">
        <v>7015</v>
      </c>
      <c r="T24">
        <v>0</v>
      </c>
      <c r="U24" s="122">
        <v>0</v>
      </c>
      <c r="V24" s="122">
        <v>10619</v>
      </c>
      <c r="W24" s="122">
        <f t="shared" si="0"/>
        <v>10620</v>
      </c>
      <c r="X24" s="122">
        <f t="shared" si="1"/>
        <v>14122</v>
      </c>
      <c r="Y24" s="122"/>
      <c r="AA24" t="s">
        <v>48</v>
      </c>
      <c r="AB24" t="s">
        <v>406</v>
      </c>
      <c r="AC24" t="s">
        <v>566</v>
      </c>
      <c r="AD24" t="s">
        <v>406</v>
      </c>
      <c r="AE24" t="s">
        <v>566</v>
      </c>
      <c r="AF24">
        <v>2</v>
      </c>
      <c r="AG24">
        <v>176</v>
      </c>
      <c r="AH24">
        <v>110</v>
      </c>
      <c r="AI24" s="122">
        <v>-5674</v>
      </c>
      <c r="AJ24" s="122">
        <v>-5159</v>
      </c>
      <c r="AK24">
        <v>75</v>
      </c>
      <c r="AL24">
        <v>0</v>
      </c>
      <c r="AM24">
        <v>0</v>
      </c>
      <c r="AN24" s="122">
        <v>4296</v>
      </c>
      <c r="AO24" s="122">
        <v>1591</v>
      </c>
      <c r="AP24" s="122">
        <v>1242</v>
      </c>
      <c r="AQ24">
        <v>460</v>
      </c>
      <c r="AR24" s="122">
        <v>9912</v>
      </c>
      <c r="AS24" s="122">
        <v>9011</v>
      </c>
      <c r="AT24">
        <v>0</v>
      </c>
      <c r="AU24">
        <v>0</v>
      </c>
      <c r="AV24" s="122">
        <v>5903</v>
      </c>
    </row>
    <row r="25" spans="2:48">
      <c r="B25" t="s">
        <v>362</v>
      </c>
      <c r="C25" t="s">
        <v>50</v>
      </c>
      <c r="D25" t="s">
        <v>407</v>
      </c>
      <c r="E25" t="s">
        <v>407</v>
      </c>
      <c r="F25" s="122">
        <v>7</v>
      </c>
      <c r="G25" s="122">
        <v>701</v>
      </c>
      <c r="H25" s="122">
        <v>644</v>
      </c>
      <c r="I25" s="122">
        <v>17637</v>
      </c>
      <c r="J25" s="122">
        <v>16034</v>
      </c>
      <c r="K25" s="122">
        <v>90</v>
      </c>
      <c r="L25" s="122">
        <v>2392</v>
      </c>
      <c r="M25" s="122">
        <v>2174</v>
      </c>
      <c r="N25" s="122">
        <v>13268</v>
      </c>
      <c r="O25" s="122">
        <v>4914</v>
      </c>
      <c r="P25" s="122">
        <v>3308</v>
      </c>
      <c r="Q25" s="122">
        <v>1225</v>
      </c>
      <c r="R25" s="122">
        <v>27635</v>
      </c>
      <c r="S25" s="122">
        <v>25122</v>
      </c>
      <c r="T25">
        <v>0</v>
      </c>
      <c r="U25" s="122">
        <v>0</v>
      </c>
      <c r="V25" s="122">
        <v>49469</v>
      </c>
      <c r="W25" s="122">
        <f t="shared" si="0"/>
        <v>49469</v>
      </c>
      <c r="X25" s="122">
        <f t="shared" si="1"/>
        <v>64240</v>
      </c>
      <c r="Y25" s="122"/>
      <c r="AA25" t="s">
        <v>48</v>
      </c>
      <c r="AB25" t="s">
        <v>406</v>
      </c>
      <c r="AC25" t="s">
        <v>433</v>
      </c>
      <c r="AD25" t="s">
        <v>406</v>
      </c>
      <c r="AE25" t="s">
        <v>566</v>
      </c>
      <c r="AF25">
        <v>3</v>
      </c>
      <c r="AG25">
        <v>565</v>
      </c>
      <c r="AH25">
        <v>209</v>
      </c>
      <c r="AI25" s="122">
        <v>10390</v>
      </c>
      <c r="AJ25" s="122">
        <v>9446</v>
      </c>
      <c r="AK25">
        <v>96</v>
      </c>
      <c r="AL25" s="122">
        <v>1455</v>
      </c>
      <c r="AM25" s="122">
        <v>1323</v>
      </c>
      <c r="AN25" s="122">
        <v>11251</v>
      </c>
      <c r="AO25" s="122">
        <v>4167</v>
      </c>
      <c r="AP25" s="122">
        <v>3870</v>
      </c>
      <c r="AQ25" s="122">
        <v>1433</v>
      </c>
      <c r="AR25" s="122">
        <v>12675</v>
      </c>
      <c r="AS25" s="122">
        <v>11523</v>
      </c>
      <c r="AT25">
        <v>0</v>
      </c>
      <c r="AU25">
        <v>0</v>
      </c>
      <c r="AV25" s="122">
        <v>27892</v>
      </c>
    </row>
    <row r="26" spans="2:48">
      <c r="B26" t="s">
        <v>362</v>
      </c>
      <c r="C26" t="s">
        <v>52</v>
      </c>
      <c r="D26" t="s">
        <v>405</v>
      </c>
      <c r="E26" t="s">
        <v>405</v>
      </c>
      <c r="F26" s="122">
        <v>1</v>
      </c>
      <c r="G26" s="122">
        <v>85</v>
      </c>
      <c r="H26" s="122">
        <v>111</v>
      </c>
      <c r="I26" s="122">
        <v>4552</v>
      </c>
      <c r="J26" s="122">
        <v>4138</v>
      </c>
      <c r="K26" s="122">
        <v>91</v>
      </c>
      <c r="L26" s="122">
        <v>0</v>
      </c>
      <c r="M26" s="122">
        <v>0</v>
      </c>
      <c r="N26" s="122">
        <v>1295</v>
      </c>
      <c r="O26" s="122">
        <v>480</v>
      </c>
      <c r="P26" s="122">
        <v>351</v>
      </c>
      <c r="Q26" s="122">
        <v>130</v>
      </c>
      <c r="R26" s="122">
        <v>3222</v>
      </c>
      <c r="S26" s="122">
        <v>2929</v>
      </c>
      <c r="T26">
        <v>0</v>
      </c>
      <c r="U26" s="122">
        <v>0</v>
      </c>
      <c r="V26" s="122">
        <v>7676</v>
      </c>
      <c r="W26" s="122">
        <f t="shared" si="0"/>
        <v>7677</v>
      </c>
      <c r="X26" s="122">
        <f t="shared" si="1"/>
        <v>9420</v>
      </c>
      <c r="Y26" s="122"/>
      <c r="AA26" t="s">
        <v>48</v>
      </c>
      <c r="AB26" t="s">
        <v>407</v>
      </c>
      <c r="AC26" t="s">
        <v>137</v>
      </c>
      <c r="AD26" t="s">
        <v>407</v>
      </c>
      <c r="AE26" t="s">
        <v>566</v>
      </c>
      <c r="AF26">
        <v>45</v>
      </c>
      <c r="AG26" s="122">
        <v>4336</v>
      </c>
      <c r="AH26" s="122">
        <v>2662</v>
      </c>
      <c r="AI26" s="122">
        <v>9040</v>
      </c>
      <c r="AJ26" s="122">
        <v>8219</v>
      </c>
      <c r="AK26">
        <v>90</v>
      </c>
      <c r="AL26" s="122">
        <v>1031</v>
      </c>
      <c r="AM26">
        <v>382</v>
      </c>
      <c r="AN26" s="122">
        <v>55362</v>
      </c>
      <c r="AO26" s="122">
        <v>20505</v>
      </c>
      <c r="AP26" s="122">
        <v>51149</v>
      </c>
      <c r="AQ26" s="122">
        <v>18944</v>
      </c>
      <c r="AR26" s="122">
        <v>135736</v>
      </c>
      <c r="AS26" s="122">
        <v>123396</v>
      </c>
      <c r="AT26">
        <v>0</v>
      </c>
      <c r="AU26">
        <v>0</v>
      </c>
      <c r="AV26" s="122">
        <v>171445</v>
      </c>
    </row>
    <row r="27" spans="2:48">
      <c r="B27" t="s">
        <v>362</v>
      </c>
      <c r="C27" t="s">
        <v>52</v>
      </c>
      <c r="D27" s="122" t="s">
        <v>406</v>
      </c>
      <c r="E27" s="122" t="s">
        <v>406</v>
      </c>
      <c r="F27" s="122">
        <v>1</v>
      </c>
      <c r="G27" s="122">
        <v>326</v>
      </c>
      <c r="H27" s="122">
        <v>112</v>
      </c>
      <c r="I27" s="122">
        <v>18917</v>
      </c>
      <c r="J27" s="122">
        <v>17197</v>
      </c>
      <c r="K27" s="122">
        <v>97</v>
      </c>
      <c r="L27" s="122">
        <v>2581</v>
      </c>
      <c r="M27" s="122">
        <v>2347</v>
      </c>
      <c r="N27" s="122">
        <v>5949</v>
      </c>
      <c r="O27" s="122">
        <v>2203</v>
      </c>
      <c r="P27" s="122">
        <v>1323</v>
      </c>
      <c r="Q27" s="122">
        <v>490</v>
      </c>
      <c r="R27" s="122">
        <v>7571</v>
      </c>
      <c r="S27" s="122">
        <v>6883</v>
      </c>
      <c r="T27">
        <v>0</v>
      </c>
      <c r="U27" s="122">
        <v>0</v>
      </c>
      <c r="V27" s="122">
        <v>29120</v>
      </c>
      <c r="W27" s="122">
        <f t="shared" si="0"/>
        <v>29120</v>
      </c>
      <c r="X27" s="122">
        <f t="shared" si="1"/>
        <v>36341</v>
      </c>
      <c r="Y27" s="122"/>
      <c r="AA27" t="s">
        <v>48</v>
      </c>
      <c r="AB27" t="s">
        <v>407</v>
      </c>
      <c r="AC27" t="s">
        <v>407</v>
      </c>
      <c r="AD27" t="s">
        <v>407</v>
      </c>
      <c r="AE27" t="s">
        <v>137</v>
      </c>
      <c r="AF27">
        <v>7</v>
      </c>
      <c r="AG27">
        <v>538</v>
      </c>
      <c r="AH27">
        <v>442</v>
      </c>
      <c r="AI27" s="122">
        <v>3674</v>
      </c>
      <c r="AJ27" s="122">
        <v>3340</v>
      </c>
      <c r="AK27">
        <v>90</v>
      </c>
      <c r="AL27">
        <v>511</v>
      </c>
      <c r="AM27">
        <v>465</v>
      </c>
      <c r="AN27" s="122">
        <v>6549</v>
      </c>
      <c r="AO27" s="122">
        <v>2426</v>
      </c>
      <c r="AP27" s="122">
        <v>8088</v>
      </c>
      <c r="AQ27" s="122">
        <v>2996</v>
      </c>
      <c r="AR27" s="122">
        <v>15034</v>
      </c>
      <c r="AS27" s="122">
        <v>13667</v>
      </c>
      <c r="AT27">
        <v>0</v>
      </c>
      <c r="AU27">
        <v>0</v>
      </c>
      <c r="AV27" s="122">
        <v>22893</v>
      </c>
    </row>
    <row r="28" spans="2:48">
      <c r="B28" t="s">
        <v>362</v>
      </c>
      <c r="C28" t="s">
        <v>52</v>
      </c>
      <c r="D28" t="s">
        <v>407</v>
      </c>
      <c r="E28" s="122" t="s">
        <v>407</v>
      </c>
      <c r="F28" s="122">
        <v>6</v>
      </c>
      <c r="G28" s="122">
        <v>540</v>
      </c>
      <c r="H28" s="122">
        <v>717</v>
      </c>
      <c r="I28" s="122">
        <v>27398</v>
      </c>
      <c r="J28" s="122">
        <v>24908</v>
      </c>
      <c r="K28" s="122">
        <v>85</v>
      </c>
      <c r="L28" s="122">
        <v>1424</v>
      </c>
      <c r="M28" s="122">
        <v>848</v>
      </c>
      <c r="N28" s="122">
        <v>11030</v>
      </c>
      <c r="O28" s="122">
        <v>4085</v>
      </c>
      <c r="P28" s="122">
        <v>2835</v>
      </c>
      <c r="Q28" s="122">
        <v>1050</v>
      </c>
      <c r="R28" s="122">
        <v>21879</v>
      </c>
      <c r="S28" s="122">
        <v>19890</v>
      </c>
      <c r="T28" s="122">
        <v>0</v>
      </c>
      <c r="U28" s="122">
        <v>0</v>
      </c>
      <c r="V28" s="122">
        <v>50780</v>
      </c>
      <c r="W28" s="122">
        <f t="shared" si="0"/>
        <v>50781</v>
      </c>
      <c r="X28" s="122">
        <f t="shared" si="1"/>
        <v>64566</v>
      </c>
      <c r="Y28" s="122"/>
      <c r="AA28" t="s">
        <v>48</v>
      </c>
      <c r="AB28" t="s">
        <v>407</v>
      </c>
      <c r="AC28" t="s">
        <v>407</v>
      </c>
      <c r="AD28" t="s">
        <v>407</v>
      </c>
      <c r="AE28" t="s">
        <v>566</v>
      </c>
      <c r="AF28">
        <v>12</v>
      </c>
      <c r="AG28" s="122">
        <v>1055</v>
      </c>
      <c r="AH28">
        <v>809</v>
      </c>
      <c r="AI28" s="122">
        <v>13446</v>
      </c>
      <c r="AJ28" s="122">
        <v>12223</v>
      </c>
      <c r="AK28">
        <v>89</v>
      </c>
      <c r="AL28" s="122">
        <v>1718</v>
      </c>
      <c r="AM28" s="122">
        <v>1562</v>
      </c>
      <c r="AN28" s="122">
        <v>15929</v>
      </c>
      <c r="AO28" s="122">
        <v>5899</v>
      </c>
      <c r="AP28" s="122">
        <v>7976</v>
      </c>
      <c r="AQ28" s="122">
        <v>2954</v>
      </c>
      <c r="AR28" s="122">
        <v>34151</v>
      </c>
      <c r="AS28" s="122">
        <v>31046</v>
      </c>
      <c r="AT28">
        <v>0</v>
      </c>
      <c r="AU28">
        <v>0</v>
      </c>
      <c r="AV28" s="122">
        <v>53685</v>
      </c>
    </row>
    <row r="29" spans="2:48">
      <c r="B29" t="s">
        <v>362</v>
      </c>
      <c r="C29" t="s">
        <v>54</v>
      </c>
      <c r="D29" s="122"/>
      <c r="E29" s="122"/>
      <c r="F29" s="122">
        <v>1</v>
      </c>
      <c r="G29" s="122">
        <v>72</v>
      </c>
      <c r="H29" s="122">
        <v>139</v>
      </c>
      <c r="I29" s="122"/>
      <c r="J29" s="122">
        <v>0</v>
      </c>
      <c r="K29" s="122"/>
      <c r="L29" s="122"/>
      <c r="M29" s="122">
        <v>0</v>
      </c>
      <c r="N29" s="122">
        <v>1667</v>
      </c>
      <c r="O29" s="122">
        <v>617</v>
      </c>
      <c r="P29" s="122">
        <v>351</v>
      </c>
      <c r="Q29" s="122">
        <v>130</v>
      </c>
      <c r="R29" s="122"/>
      <c r="S29">
        <v>0</v>
      </c>
      <c r="T29">
        <v>0</v>
      </c>
      <c r="U29" s="122">
        <v>0</v>
      </c>
      <c r="V29">
        <v>747</v>
      </c>
      <c r="W29" s="122">
        <f t="shared" si="0"/>
        <v>747</v>
      </c>
      <c r="X29" s="122">
        <f t="shared" si="1"/>
        <v>2018</v>
      </c>
      <c r="Y29" s="122"/>
      <c r="AA29" t="s">
        <v>48</v>
      </c>
      <c r="AB29" t="s">
        <v>407</v>
      </c>
      <c r="AC29" t="s">
        <v>579</v>
      </c>
      <c r="AD29" t="s">
        <v>407</v>
      </c>
      <c r="AE29" t="s">
        <v>566</v>
      </c>
      <c r="AF29">
        <v>2</v>
      </c>
      <c r="AG29">
        <v>227</v>
      </c>
      <c r="AH29">
        <v>115</v>
      </c>
      <c r="AI29">
        <v>538</v>
      </c>
      <c r="AJ29">
        <v>489</v>
      </c>
      <c r="AK29">
        <v>90</v>
      </c>
      <c r="AL29">
        <v>196</v>
      </c>
      <c r="AM29">
        <v>163</v>
      </c>
      <c r="AN29" s="122">
        <v>2760</v>
      </c>
      <c r="AO29" s="122">
        <v>1022</v>
      </c>
      <c r="AP29">
        <v>945</v>
      </c>
      <c r="AQ29">
        <v>350</v>
      </c>
      <c r="AR29" s="122">
        <v>8597</v>
      </c>
      <c r="AS29" s="122">
        <v>7816</v>
      </c>
      <c r="AT29">
        <v>0</v>
      </c>
      <c r="AU29">
        <v>0</v>
      </c>
      <c r="AV29" s="122">
        <v>9841</v>
      </c>
    </row>
    <row r="30" spans="2:48">
      <c r="B30" t="s">
        <v>362</v>
      </c>
      <c r="C30" t="s">
        <v>54</v>
      </c>
      <c r="D30" t="s">
        <v>405</v>
      </c>
      <c r="E30" t="s">
        <v>405</v>
      </c>
      <c r="F30" s="122">
        <v>1</v>
      </c>
      <c r="G30" s="122">
        <v>80</v>
      </c>
      <c r="H30" s="122">
        <v>149</v>
      </c>
      <c r="I30" s="122">
        <v>4719</v>
      </c>
      <c r="J30" s="122">
        <v>4290</v>
      </c>
      <c r="K30" s="122">
        <v>91</v>
      </c>
      <c r="L30" s="122">
        <v>1107</v>
      </c>
      <c r="M30" s="122">
        <v>410</v>
      </c>
      <c r="N30" s="122">
        <v>1703</v>
      </c>
      <c r="O30" s="122">
        <v>631</v>
      </c>
      <c r="P30" s="122">
        <v>473</v>
      </c>
      <c r="Q30" s="122">
        <v>175</v>
      </c>
      <c r="R30" s="122">
        <v>3888</v>
      </c>
      <c r="S30" s="122">
        <v>3535</v>
      </c>
      <c r="T30">
        <v>0</v>
      </c>
      <c r="U30" s="122">
        <v>0</v>
      </c>
      <c r="V30" s="122">
        <v>9040</v>
      </c>
      <c r="W30" s="122">
        <f t="shared" si="0"/>
        <v>9041</v>
      </c>
      <c r="X30" s="122">
        <f t="shared" si="1"/>
        <v>11890</v>
      </c>
      <c r="Y30" s="122"/>
      <c r="AA30" t="s">
        <v>48</v>
      </c>
      <c r="AB30" t="s">
        <v>407</v>
      </c>
      <c r="AC30" t="s">
        <v>426</v>
      </c>
      <c r="AD30" t="s">
        <v>407</v>
      </c>
      <c r="AE30" t="s">
        <v>566</v>
      </c>
      <c r="AF30">
        <v>3</v>
      </c>
      <c r="AG30">
        <v>335</v>
      </c>
      <c r="AH30">
        <v>143</v>
      </c>
      <c r="AI30">
        <v>17</v>
      </c>
      <c r="AJ30">
        <v>15</v>
      </c>
      <c r="AK30">
        <v>90</v>
      </c>
      <c r="AL30">
        <v>-37</v>
      </c>
      <c r="AM30">
        <v>-34</v>
      </c>
      <c r="AN30" s="122">
        <v>4078</v>
      </c>
      <c r="AO30" s="122">
        <v>1510</v>
      </c>
      <c r="AP30" s="122">
        <v>3337</v>
      </c>
      <c r="AQ30" s="122">
        <v>1236</v>
      </c>
      <c r="AR30" s="122">
        <v>8292</v>
      </c>
      <c r="AS30" s="122">
        <v>7538</v>
      </c>
      <c r="AT30">
        <v>0</v>
      </c>
      <c r="AU30">
        <v>0</v>
      </c>
      <c r="AV30" s="122">
        <v>10266</v>
      </c>
    </row>
    <row r="31" spans="2:48">
      <c r="B31" t="s">
        <v>362</v>
      </c>
      <c r="C31" t="s">
        <v>54</v>
      </c>
      <c r="D31" t="s">
        <v>137</v>
      </c>
      <c r="E31" s="122" t="s">
        <v>137</v>
      </c>
      <c r="F31" s="122">
        <v>6</v>
      </c>
      <c r="G31">
        <v>446</v>
      </c>
      <c r="H31" s="122">
        <v>861</v>
      </c>
      <c r="I31" s="122">
        <v>12150</v>
      </c>
      <c r="J31" s="122">
        <v>4500</v>
      </c>
      <c r="K31" s="122">
        <v>200</v>
      </c>
      <c r="L31" s="122">
        <v>1599</v>
      </c>
      <c r="M31" s="122">
        <v>673</v>
      </c>
      <c r="N31" s="122">
        <v>7817</v>
      </c>
      <c r="O31" s="122">
        <v>2895</v>
      </c>
      <c r="P31" s="122">
        <v>702</v>
      </c>
      <c r="Q31" s="122">
        <v>260</v>
      </c>
      <c r="R31" s="122">
        <v>41615</v>
      </c>
      <c r="S31" s="122">
        <v>15413</v>
      </c>
      <c r="T31">
        <v>0</v>
      </c>
      <c r="U31" s="122">
        <v>0</v>
      </c>
      <c r="V31" s="122">
        <v>23740</v>
      </c>
      <c r="W31" s="122">
        <f t="shared" si="0"/>
        <v>23741</v>
      </c>
      <c r="X31" s="122">
        <f t="shared" si="1"/>
        <v>63883</v>
      </c>
      <c r="Y31" s="122"/>
      <c r="AA31" t="s">
        <v>48</v>
      </c>
      <c r="AB31" t="s">
        <v>407</v>
      </c>
      <c r="AC31" t="s">
        <v>566</v>
      </c>
      <c r="AD31" t="s">
        <v>407</v>
      </c>
      <c r="AE31" t="s">
        <v>137</v>
      </c>
      <c r="AF31">
        <v>102</v>
      </c>
      <c r="AG31" s="122">
        <v>6035</v>
      </c>
      <c r="AH31" s="122">
        <v>5919</v>
      </c>
      <c r="AI31" s="122">
        <v>43183</v>
      </c>
      <c r="AJ31" s="122">
        <v>39258</v>
      </c>
      <c r="AK31">
        <v>91</v>
      </c>
      <c r="AL31">
        <v>0</v>
      </c>
      <c r="AM31">
        <v>0</v>
      </c>
      <c r="AN31" s="122">
        <v>73524</v>
      </c>
      <c r="AO31" s="122">
        <v>27231</v>
      </c>
      <c r="AP31" s="122">
        <v>48195</v>
      </c>
      <c r="AQ31" s="122">
        <v>17850</v>
      </c>
      <c r="AR31" s="122">
        <v>125357</v>
      </c>
      <c r="AS31" s="122">
        <v>113961</v>
      </c>
      <c r="AT31" s="122">
        <v>64763</v>
      </c>
      <c r="AU31" s="122">
        <v>23986</v>
      </c>
      <c r="AV31" s="122">
        <v>222286</v>
      </c>
    </row>
    <row r="32" spans="2:48">
      <c r="B32" t="s">
        <v>362</v>
      </c>
      <c r="C32" t="s">
        <v>54</v>
      </c>
      <c r="D32" t="s">
        <v>406</v>
      </c>
      <c r="E32" s="122" t="s">
        <v>406</v>
      </c>
      <c r="F32" s="122">
        <v>6</v>
      </c>
      <c r="G32" s="122">
        <v>916</v>
      </c>
      <c r="H32" s="122">
        <v>830</v>
      </c>
      <c r="I32" s="122">
        <v>76646</v>
      </c>
      <c r="J32" s="122">
        <v>69678</v>
      </c>
      <c r="K32" s="122">
        <v>92</v>
      </c>
      <c r="L32" s="122">
        <v>8648</v>
      </c>
      <c r="M32" s="122">
        <v>7862</v>
      </c>
      <c r="N32" s="122">
        <v>14881</v>
      </c>
      <c r="O32" s="122">
        <v>5512</v>
      </c>
      <c r="P32" s="122">
        <v>5049</v>
      </c>
      <c r="Q32" s="122">
        <v>1870</v>
      </c>
      <c r="R32" s="122">
        <v>17240</v>
      </c>
      <c r="S32" s="122">
        <v>15673</v>
      </c>
      <c r="T32" s="122">
        <v>2485</v>
      </c>
      <c r="U32" s="122">
        <v>920</v>
      </c>
      <c r="V32" s="122">
        <v>101515</v>
      </c>
      <c r="W32" s="122">
        <f t="shared" si="0"/>
        <v>101515</v>
      </c>
      <c r="X32" s="122">
        <f t="shared" si="1"/>
        <v>124949</v>
      </c>
      <c r="Y32" s="122"/>
      <c r="AA32" t="s">
        <v>48</v>
      </c>
      <c r="AB32" t="s">
        <v>407</v>
      </c>
      <c r="AC32" t="s">
        <v>566</v>
      </c>
      <c r="AD32" t="s">
        <v>407</v>
      </c>
      <c r="AE32" t="s">
        <v>566</v>
      </c>
      <c r="AF32" s="122">
        <v>1686</v>
      </c>
      <c r="AG32" s="122">
        <v>137403</v>
      </c>
      <c r="AH32" s="122">
        <v>92489</v>
      </c>
      <c r="AI32" s="122">
        <v>-472005</v>
      </c>
      <c r="AJ32" s="122">
        <v>-429096</v>
      </c>
      <c r="AK32">
        <v>91</v>
      </c>
      <c r="AL32">
        <v>0</v>
      </c>
      <c r="AM32">
        <v>-128</v>
      </c>
      <c r="AN32" s="122">
        <v>1729836</v>
      </c>
      <c r="AO32" s="122">
        <v>640680</v>
      </c>
      <c r="AP32" s="122">
        <v>1553228</v>
      </c>
      <c r="AQ32" s="122">
        <v>575270</v>
      </c>
      <c r="AR32" s="122">
        <v>4607981</v>
      </c>
      <c r="AS32" s="122">
        <v>4189074</v>
      </c>
      <c r="AT32">
        <v>0</v>
      </c>
      <c r="AU32">
        <v>0</v>
      </c>
      <c r="AV32" s="122">
        <v>4975799</v>
      </c>
    </row>
    <row r="33" spans="2:48">
      <c r="B33" t="s">
        <v>362</v>
      </c>
      <c r="C33" t="s">
        <v>54</v>
      </c>
      <c r="D33" t="s">
        <v>407</v>
      </c>
      <c r="E33" s="122" t="s">
        <v>407</v>
      </c>
      <c r="F33" s="122">
        <v>42</v>
      </c>
      <c r="G33" s="122">
        <v>3024</v>
      </c>
      <c r="H33" s="122">
        <v>5846</v>
      </c>
      <c r="I33" s="122">
        <v>181218</v>
      </c>
      <c r="J33" s="122">
        <v>164743</v>
      </c>
      <c r="K33" s="122">
        <v>85</v>
      </c>
      <c r="L33" s="122">
        <v>8272</v>
      </c>
      <c r="M33" s="122">
        <v>6351</v>
      </c>
      <c r="N33" s="122">
        <v>61727</v>
      </c>
      <c r="O33" s="122">
        <v>22862</v>
      </c>
      <c r="P33" s="122">
        <v>19845</v>
      </c>
      <c r="Q33" s="122">
        <v>7350</v>
      </c>
      <c r="R33" s="122">
        <v>146400</v>
      </c>
      <c r="S33" s="122">
        <v>133091</v>
      </c>
      <c r="T33" s="122">
        <v>4707</v>
      </c>
      <c r="U33" s="122">
        <v>1743</v>
      </c>
      <c r="V33" s="122">
        <v>336140</v>
      </c>
      <c r="W33" s="122">
        <f t="shared" si="0"/>
        <v>336140</v>
      </c>
      <c r="X33" s="122">
        <f t="shared" si="1"/>
        <v>422169</v>
      </c>
      <c r="Y33" s="122"/>
      <c r="AA33" t="s">
        <v>48</v>
      </c>
      <c r="AB33" t="s">
        <v>407</v>
      </c>
      <c r="AC33" t="s">
        <v>433</v>
      </c>
      <c r="AD33" t="s">
        <v>407</v>
      </c>
      <c r="AE33" t="s">
        <v>566</v>
      </c>
      <c r="AF33">
        <v>3</v>
      </c>
      <c r="AG33">
        <v>486</v>
      </c>
      <c r="AH33">
        <v>169</v>
      </c>
      <c r="AI33" s="122">
        <v>8244</v>
      </c>
      <c r="AJ33" s="122">
        <v>7495</v>
      </c>
      <c r="AK33">
        <v>90</v>
      </c>
      <c r="AL33" s="122">
        <v>1383</v>
      </c>
      <c r="AM33" s="122">
        <v>1257</v>
      </c>
      <c r="AN33" s="122">
        <v>5924</v>
      </c>
      <c r="AO33" s="122">
        <v>2194</v>
      </c>
      <c r="AP33" s="122">
        <v>3955</v>
      </c>
      <c r="AQ33" s="122">
        <v>1465</v>
      </c>
      <c r="AR33" s="122">
        <v>8807</v>
      </c>
      <c r="AS33" s="122">
        <v>8006</v>
      </c>
      <c r="AT33">
        <v>0</v>
      </c>
      <c r="AU33">
        <v>0</v>
      </c>
      <c r="AV33" s="122">
        <v>20417</v>
      </c>
    </row>
    <row r="34" spans="2:48">
      <c r="B34" t="s">
        <v>362</v>
      </c>
      <c r="C34" t="s">
        <v>56</v>
      </c>
      <c r="E34" s="122"/>
      <c r="F34" s="122">
        <v>1</v>
      </c>
      <c r="G34" s="122">
        <v>79</v>
      </c>
      <c r="H34" s="122">
        <v>163</v>
      </c>
      <c r="I34" s="122"/>
      <c r="J34" s="122">
        <v>0</v>
      </c>
      <c r="K34" s="122"/>
      <c r="L34" s="122"/>
      <c r="M34" s="122">
        <v>0</v>
      </c>
      <c r="N34" s="122">
        <v>1820</v>
      </c>
      <c r="O34">
        <v>674</v>
      </c>
      <c r="P34">
        <v>351</v>
      </c>
      <c r="Q34" s="122">
        <v>130</v>
      </c>
      <c r="R34" s="122"/>
      <c r="S34">
        <v>0</v>
      </c>
      <c r="T34">
        <v>0</v>
      </c>
      <c r="U34" s="122">
        <v>0</v>
      </c>
      <c r="V34">
        <v>804</v>
      </c>
      <c r="W34" s="122">
        <f t="shared" si="0"/>
        <v>804</v>
      </c>
      <c r="X34" s="122">
        <f t="shared" si="1"/>
        <v>2171</v>
      </c>
      <c r="Y34" s="122"/>
      <c r="AA34" t="s">
        <v>48</v>
      </c>
      <c r="AB34" t="s">
        <v>407</v>
      </c>
      <c r="AC34" s="58" t="s">
        <v>429</v>
      </c>
      <c r="AD34" t="s">
        <v>407</v>
      </c>
      <c r="AE34" t="s">
        <v>566</v>
      </c>
      <c r="AF34">
        <v>8</v>
      </c>
      <c r="AG34">
        <v>828</v>
      </c>
      <c r="AH34">
        <v>403</v>
      </c>
      <c r="AI34" s="122">
        <v>-1354</v>
      </c>
      <c r="AJ34" s="122">
        <v>-1230</v>
      </c>
      <c r="AK34">
        <v>90</v>
      </c>
      <c r="AL34">
        <v>-210</v>
      </c>
      <c r="AM34">
        <v>-191</v>
      </c>
      <c r="AN34" s="122">
        <v>10090</v>
      </c>
      <c r="AO34" s="122">
        <v>3737</v>
      </c>
      <c r="AP34" s="122">
        <v>10865</v>
      </c>
      <c r="AQ34" s="122">
        <v>4024</v>
      </c>
      <c r="AR34" s="122">
        <v>22051</v>
      </c>
      <c r="AS34" s="122">
        <v>20046</v>
      </c>
      <c r="AT34">
        <v>0</v>
      </c>
      <c r="AU34">
        <v>0</v>
      </c>
      <c r="AV34" s="122">
        <v>26386</v>
      </c>
    </row>
    <row r="35" spans="2:48">
      <c r="B35" t="s">
        <v>362</v>
      </c>
      <c r="C35" t="s">
        <v>56</v>
      </c>
      <c r="D35" s="122" t="s">
        <v>425</v>
      </c>
      <c r="E35" s="122" t="s">
        <v>425</v>
      </c>
      <c r="F35" s="122">
        <v>2</v>
      </c>
      <c r="G35" s="122">
        <v>165</v>
      </c>
      <c r="H35" s="122">
        <v>349</v>
      </c>
      <c r="I35" s="122">
        <v>17323</v>
      </c>
      <c r="J35" s="122">
        <v>15748</v>
      </c>
      <c r="K35">
        <v>90</v>
      </c>
      <c r="L35" s="122">
        <v>2677</v>
      </c>
      <c r="M35" s="122">
        <v>2434</v>
      </c>
      <c r="N35" s="122">
        <v>3015</v>
      </c>
      <c r="O35" s="122">
        <v>1117</v>
      </c>
      <c r="P35">
        <v>945</v>
      </c>
      <c r="Q35" s="122">
        <v>350</v>
      </c>
      <c r="R35" s="122">
        <v>4045</v>
      </c>
      <c r="S35" s="122">
        <v>3677</v>
      </c>
      <c r="T35">
        <v>0</v>
      </c>
      <c r="U35" s="122">
        <v>0</v>
      </c>
      <c r="V35" s="122">
        <v>23325</v>
      </c>
      <c r="W35" s="122">
        <f t="shared" si="0"/>
        <v>23326</v>
      </c>
      <c r="X35" s="122">
        <f t="shared" si="1"/>
        <v>28005</v>
      </c>
      <c r="Y35" s="122"/>
      <c r="AA35" t="s">
        <v>48</v>
      </c>
      <c r="AB35" t="s">
        <v>408</v>
      </c>
      <c r="AC35" t="s">
        <v>137</v>
      </c>
      <c r="AD35" t="s">
        <v>408</v>
      </c>
      <c r="AE35" t="s">
        <v>566</v>
      </c>
      <c r="AF35">
        <v>3</v>
      </c>
      <c r="AG35">
        <v>144</v>
      </c>
      <c r="AH35">
        <v>195</v>
      </c>
      <c r="AI35" s="122">
        <v>-7017</v>
      </c>
      <c r="AJ35" s="122">
        <v>-6379</v>
      </c>
      <c r="AK35">
        <v>65</v>
      </c>
      <c r="AL35" s="122">
        <v>-1244</v>
      </c>
      <c r="AM35">
        <v>-461</v>
      </c>
      <c r="AN35" s="122">
        <v>3421</v>
      </c>
      <c r="AO35" s="122">
        <v>1267</v>
      </c>
      <c r="AP35" s="122">
        <v>1053</v>
      </c>
      <c r="AQ35">
        <v>390</v>
      </c>
      <c r="AR35" s="122">
        <v>13139</v>
      </c>
      <c r="AS35" s="122">
        <v>11945</v>
      </c>
      <c r="AT35">
        <v>0</v>
      </c>
      <c r="AU35">
        <v>0</v>
      </c>
      <c r="AV35" s="122">
        <v>6761</v>
      </c>
    </row>
    <row r="36" spans="2:48">
      <c r="B36" t="s">
        <v>362</v>
      </c>
      <c r="C36" t="s">
        <v>56</v>
      </c>
      <c r="D36" t="s">
        <v>137</v>
      </c>
      <c r="E36" t="s">
        <v>137</v>
      </c>
      <c r="F36">
        <v>131</v>
      </c>
      <c r="G36" s="122">
        <v>10860</v>
      </c>
      <c r="H36" s="122">
        <v>25617</v>
      </c>
      <c r="I36" s="122">
        <v>895355</v>
      </c>
      <c r="J36" s="122">
        <v>331613</v>
      </c>
      <c r="K36" s="122">
        <v>102</v>
      </c>
      <c r="L36" s="122">
        <v>140725</v>
      </c>
      <c r="M36" s="122">
        <v>53055</v>
      </c>
      <c r="N36" s="122">
        <v>207513</v>
      </c>
      <c r="O36" s="122">
        <v>76857</v>
      </c>
      <c r="P36" s="122">
        <v>1404</v>
      </c>
      <c r="Q36" s="122">
        <v>520</v>
      </c>
      <c r="R36" s="122">
        <v>876847</v>
      </c>
      <c r="S36" s="122">
        <v>324758</v>
      </c>
      <c r="T36">
        <v>0</v>
      </c>
      <c r="U36" s="122">
        <v>0</v>
      </c>
      <c r="V36" s="122">
        <v>786803</v>
      </c>
      <c r="W36" s="122">
        <f t="shared" si="0"/>
        <v>786803</v>
      </c>
      <c r="X36" s="122">
        <f t="shared" si="1"/>
        <v>2121844</v>
      </c>
      <c r="Y36" s="122"/>
      <c r="AA36" t="s">
        <v>50</v>
      </c>
      <c r="AC36" t="s">
        <v>566</v>
      </c>
      <c r="AE36" t="s">
        <v>566</v>
      </c>
      <c r="AF36">
        <v>687</v>
      </c>
      <c r="AG36" s="122">
        <v>52639</v>
      </c>
      <c r="AH36" s="122">
        <v>61228</v>
      </c>
      <c r="AJ36">
        <v>0</v>
      </c>
      <c r="AM36">
        <v>0</v>
      </c>
      <c r="AN36" s="122">
        <v>883828</v>
      </c>
      <c r="AO36" s="122">
        <v>327344</v>
      </c>
      <c r="AP36" s="122">
        <v>264335</v>
      </c>
      <c r="AQ36" s="122">
        <v>97902</v>
      </c>
      <c r="AS36">
        <v>0</v>
      </c>
      <c r="AT36" s="122">
        <v>71881</v>
      </c>
      <c r="AU36" s="122">
        <v>26623</v>
      </c>
      <c r="AV36" s="122">
        <v>451868</v>
      </c>
    </row>
    <row r="37" spans="2:48">
      <c r="B37" t="s">
        <v>362</v>
      </c>
      <c r="C37" t="s">
        <v>56</v>
      </c>
      <c r="D37" s="122" t="s">
        <v>406</v>
      </c>
      <c r="E37" s="122" t="s">
        <v>406</v>
      </c>
      <c r="F37" s="122">
        <v>31</v>
      </c>
      <c r="G37" s="122">
        <v>3357</v>
      </c>
      <c r="H37" s="122">
        <v>5823</v>
      </c>
      <c r="I37" s="122">
        <v>322289</v>
      </c>
      <c r="J37" s="122">
        <v>292990</v>
      </c>
      <c r="K37" s="122">
        <v>85</v>
      </c>
      <c r="L37" s="122">
        <v>61365</v>
      </c>
      <c r="M37" s="122">
        <v>50574</v>
      </c>
      <c r="N37" s="122">
        <v>67445</v>
      </c>
      <c r="O37" s="122">
        <v>24980</v>
      </c>
      <c r="P37" s="122">
        <v>21978</v>
      </c>
      <c r="Q37" s="122">
        <v>8140</v>
      </c>
      <c r="R37" s="122">
        <v>132689</v>
      </c>
      <c r="S37" s="122">
        <v>120626</v>
      </c>
      <c r="T37" s="122">
        <v>30686</v>
      </c>
      <c r="U37" s="122">
        <v>11365</v>
      </c>
      <c r="V37" s="122">
        <v>508675</v>
      </c>
      <c r="W37" s="122">
        <f t="shared" si="0"/>
        <v>508675</v>
      </c>
      <c r="X37" s="122">
        <f t="shared" si="1"/>
        <v>636452</v>
      </c>
      <c r="Y37" s="122"/>
      <c r="AA37" t="s">
        <v>50</v>
      </c>
      <c r="AB37" t="s">
        <v>405</v>
      </c>
      <c r="AC37" t="s">
        <v>405</v>
      </c>
      <c r="AD37" t="s">
        <v>405</v>
      </c>
      <c r="AE37" t="s">
        <v>566</v>
      </c>
      <c r="AF37">
        <v>1</v>
      </c>
      <c r="AG37">
        <v>128</v>
      </c>
      <c r="AH37">
        <v>97</v>
      </c>
      <c r="AI37" s="122">
        <v>5234</v>
      </c>
      <c r="AJ37" s="122">
        <v>4758</v>
      </c>
      <c r="AK37">
        <v>92</v>
      </c>
      <c r="AL37">
        <v>597</v>
      </c>
      <c r="AM37">
        <v>543</v>
      </c>
      <c r="AN37" s="122">
        <v>1560</v>
      </c>
      <c r="AO37">
        <v>578</v>
      </c>
      <c r="AP37">
        <v>473</v>
      </c>
      <c r="AQ37">
        <v>175</v>
      </c>
      <c r="AR37" s="122">
        <v>4606</v>
      </c>
      <c r="AS37" s="122">
        <v>4187</v>
      </c>
      <c r="AT37">
        <v>0</v>
      </c>
      <c r="AU37">
        <v>0</v>
      </c>
      <c r="AV37" s="122">
        <v>10241</v>
      </c>
    </row>
    <row r="38" spans="2:48">
      <c r="B38" t="s">
        <v>362</v>
      </c>
      <c r="C38" t="s">
        <v>56</v>
      </c>
      <c r="D38" t="s">
        <v>407</v>
      </c>
      <c r="E38" s="122" t="s">
        <v>407</v>
      </c>
      <c r="F38" s="122">
        <v>201</v>
      </c>
      <c r="G38" s="122">
        <v>15376</v>
      </c>
      <c r="H38" s="122">
        <v>37341</v>
      </c>
      <c r="I38" s="122">
        <v>1377675</v>
      </c>
      <c r="J38" s="122">
        <v>1252432</v>
      </c>
      <c r="K38" s="122">
        <v>80</v>
      </c>
      <c r="L38" s="122">
        <v>112061</v>
      </c>
      <c r="M38" s="122">
        <v>92709</v>
      </c>
      <c r="N38" s="122">
        <v>313082</v>
      </c>
      <c r="O38" s="122">
        <v>115956</v>
      </c>
      <c r="P38" s="122">
        <v>90747</v>
      </c>
      <c r="Q38" s="122">
        <v>33610</v>
      </c>
      <c r="R38" s="122">
        <v>825723</v>
      </c>
      <c r="S38" s="122">
        <v>750657</v>
      </c>
      <c r="T38" s="122">
        <v>146491</v>
      </c>
      <c r="U38" s="122">
        <v>54256</v>
      </c>
      <c r="V38" s="122">
        <v>2299621</v>
      </c>
      <c r="W38" s="122">
        <f t="shared" si="0"/>
        <v>2299620</v>
      </c>
      <c r="X38" s="122">
        <f t="shared" si="1"/>
        <v>2865779</v>
      </c>
      <c r="Y38" s="122"/>
      <c r="AA38" t="s">
        <v>50</v>
      </c>
      <c r="AB38" t="s">
        <v>405</v>
      </c>
      <c r="AC38" t="s">
        <v>137</v>
      </c>
      <c r="AD38" t="s">
        <v>405</v>
      </c>
      <c r="AE38" t="s">
        <v>566</v>
      </c>
      <c r="AF38">
        <v>5</v>
      </c>
      <c r="AG38">
        <v>401</v>
      </c>
      <c r="AH38">
        <v>478</v>
      </c>
      <c r="AI38" s="122">
        <v>12884</v>
      </c>
      <c r="AJ38" s="122">
        <v>11713</v>
      </c>
      <c r="AK38">
        <v>92</v>
      </c>
      <c r="AL38" s="122">
        <v>3230</v>
      </c>
      <c r="AM38" s="122">
        <v>1196</v>
      </c>
      <c r="AN38" s="122">
        <v>8237</v>
      </c>
      <c r="AO38" s="122">
        <v>3051</v>
      </c>
      <c r="AP38" s="122">
        <v>2363</v>
      </c>
      <c r="AQ38">
        <v>875</v>
      </c>
      <c r="AR38" s="122">
        <v>11454</v>
      </c>
      <c r="AS38" s="122">
        <v>10413</v>
      </c>
      <c r="AT38">
        <v>0</v>
      </c>
      <c r="AU38">
        <v>0</v>
      </c>
      <c r="AV38" s="122">
        <v>27248</v>
      </c>
    </row>
    <row r="39" spans="2:48">
      <c r="B39" t="s">
        <v>362</v>
      </c>
      <c r="C39" t="s">
        <v>56</v>
      </c>
      <c r="D39" t="s">
        <v>426</v>
      </c>
      <c r="E39" s="122" t="s">
        <v>137</v>
      </c>
      <c r="F39" s="122">
        <v>1</v>
      </c>
      <c r="G39" s="122">
        <v>86</v>
      </c>
      <c r="H39" s="122">
        <v>216</v>
      </c>
      <c r="I39" s="122">
        <v>8039</v>
      </c>
      <c r="J39" s="122">
        <v>7308</v>
      </c>
      <c r="K39" s="122">
        <v>65</v>
      </c>
      <c r="L39" s="122">
        <v>1425</v>
      </c>
      <c r="M39" s="122">
        <v>528</v>
      </c>
      <c r="N39" s="122">
        <v>1921</v>
      </c>
      <c r="O39" s="122">
        <v>712</v>
      </c>
      <c r="P39" s="122">
        <v>351</v>
      </c>
      <c r="Q39" s="122">
        <v>130</v>
      </c>
      <c r="R39" s="122">
        <v>6794</v>
      </c>
      <c r="S39" s="122">
        <v>2516</v>
      </c>
      <c r="T39" s="122">
        <v>0</v>
      </c>
      <c r="U39" s="122">
        <v>0</v>
      </c>
      <c r="V39" s="122">
        <v>11194</v>
      </c>
      <c r="W39" s="122">
        <f t="shared" si="0"/>
        <v>11194</v>
      </c>
      <c r="X39" s="122">
        <f t="shared" si="1"/>
        <v>18530</v>
      </c>
      <c r="Y39" s="122"/>
      <c r="AA39" t="s">
        <v>50</v>
      </c>
      <c r="AB39" t="s">
        <v>405</v>
      </c>
      <c r="AC39" t="s">
        <v>427</v>
      </c>
      <c r="AD39" t="s">
        <v>405</v>
      </c>
      <c r="AE39" t="s">
        <v>566</v>
      </c>
      <c r="AF39">
        <v>2</v>
      </c>
      <c r="AG39">
        <v>263</v>
      </c>
      <c r="AH39">
        <v>194</v>
      </c>
      <c r="AI39" s="122">
        <v>9576</v>
      </c>
      <c r="AJ39" s="122">
        <v>8705</v>
      </c>
      <c r="AK39">
        <v>92</v>
      </c>
      <c r="AL39" s="122">
        <v>3110</v>
      </c>
      <c r="AM39" s="122">
        <v>2828</v>
      </c>
      <c r="AN39" s="122">
        <v>5198</v>
      </c>
      <c r="AO39" s="122">
        <v>1925</v>
      </c>
      <c r="AP39">
        <v>945</v>
      </c>
      <c r="AQ39">
        <v>350</v>
      </c>
      <c r="AR39" s="122">
        <v>6667</v>
      </c>
      <c r="AS39" s="122">
        <v>6061</v>
      </c>
      <c r="AT39">
        <v>0</v>
      </c>
      <c r="AU39">
        <v>0</v>
      </c>
      <c r="AV39" s="122">
        <v>19869</v>
      </c>
    </row>
    <row r="40" spans="2:48">
      <c r="B40" t="s">
        <v>362</v>
      </c>
      <c r="C40" t="s">
        <v>56</v>
      </c>
      <c r="D40" t="s">
        <v>426</v>
      </c>
      <c r="E40" s="122" t="s">
        <v>426</v>
      </c>
      <c r="F40" s="122">
        <v>1</v>
      </c>
      <c r="G40" s="122">
        <v>115</v>
      </c>
      <c r="H40" s="122">
        <v>196</v>
      </c>
      <c r="I40" s="122">
        <v>11173</v>
      </c>
      <c r="J40" s="122">
        <v>10157</v>
      </c>
      <c r="K40" s="122">
        <v>65</v>
      </c>
      <c r="L40" s="122">
        <v>1981</v>
      </c>
      <c r="M40" s="122">
        <v>734</v>
      </c>
      <c r="N40" s="122">
        <v>1401</v>
      </c>
      <c r="O40" s="122">
        <v>519</v>
      </c>
      <c r="P40" s="122">
        <v>351</v>
      </c>
      <c r="Q40" s="122">
        <v>130</v>
      </c>
      <c r="R40" s="122">
        <v>4881</v>
      </c>
      <c r="S40" s="122">
        <v>4437</v>
      </c>
      <c r="T40" s="122">
        <v>2749</v>
      </c>
      <c r="U40" s="122">
        <v>1018</v>
      </c>
      <c r="V40" s="122">
        <v>16995</v>
      </c>
      <c r="W40" s="122">
        <f t="shared" si="0"/>
        <v>16995</v>
      </c>
      <c r="X40" s="122">
        <f t="shared" si="1"/>
        <v>22536</v>
      </c>
      <c r="Y40" s="122"/>
      <c r="AA40" t="s">
        <v>50</v>
      </c>
      <c r="AB40" t="s">
        <v>405</v>
      </c>
      <c r="AC40" t="s">
        <v>566</v>
      </c>
      <c r="AD40" t="s">
        <v>405</v>
      </c>
      <c r="AE40" t="s">
        <v>566</v>
      </c>
      <c r="AF40">
        <v>36</v>
      </c>
      <c r="AG40" s="122">
        <v>3423</v>
      </c>
      <c r="AH40" s="122">
        <v>3222</v>
      </c>
      <c r="AI40" s="122">
        <v>122638</v>
      </c>
      <c r="AJ40" s="122">
        <v>111489</v>
      </c>
      <c r="AK40">
        <v>90</v>
      </c>
      <c r="AL40">
        <v>0</v>
      </c>
      <c r="AM40">
        <v>0</v>
      </c>
      <c r="AN40" s="122">
        <v>52273</v>
      </c>
      <c r="AO40" s="122">
        <v>19361</v>
      </c>
      <c r="AP40" s="122">
        <v>15739</v>
      </c>
      <c r="AQ40" s="122">
        <v>5829</v>
      </c>
      <c r="AR40" s="122">
        <v>115771</v>
      </c>
      <c r="AS40" s="122">
        <v>105246</v>
      </c>
      <c r="AT40">
        <v>0</v>
      </c>
      <c r="AU40">
        <v>0</v>
      </c>
      <c r="AV40" s="122">
        <v>241925</v>
      </c>
    </row>
    <row r="41" spans="2:48">
      <c r="B41" t="s">
        <v>362</v>
      </c>
      <c r="C41" t="s">
        <v>58</v>
      </c>
      <c r="D41" t="s">
        <v>425</v>
      </c>
      <c r="E41" s="122" t="s">
        <v>425</v>
      </c>
      <c r="F41" s="122">
        <v>1</v>
      </c>
      <c r="G41" s="122">
        <v>74</v>
      </c>
      <c r="H41" s="122">
        <v>273</v>
      </c>
      <c r="I41" s="122">
        <v>14209</v>
      </c>
      <c r="J41" s="122">
        <v>12917</v>
      </c>
      <c r="K41" s="122">
        <v>90</v>
      </c>
      <c r="L41" s="122">
        <v>2196</v>
      </c>
      <c r="M41" s="122">
        <v>1996</v>
      </c>
      <c r="N41" s="122">
        <v>1345</v>
      </c>
      <c r="O41" s="122">
        <v>498</v>
      </c>
      <c r="P41" s="122">
        <v>473</v>
      </c>
      <c r="Q41" s="122">
        <v>175</v>
      </c>
      <c r="R41" s="122">
        <v>1896</v>
      </c>
      <c r="S41" s="122">
        <v>1724</v>
      </c>
      <c r="T41">
        <v>0</v>
      </c>
      <c r="U41" s="122">
        <v>0</v>
      </c>
      <c r="V41" s="122">
        <v>17311</v>
      </c>
      <c r="W41" s="122">
        <f t="shared" si="0"/>
        <v>17310</v>
      </c>
      <c r="X41" s="122">
        <f t="shared" si="1"/>
        <v>20119</v>
      </c>
      <c r="Y41" s="122"/>
      <c r="AA41" t="s">
        <v>50</v>
      </c>
      <c r="AB41" t="s">
        <v>137</v>
      </c>
      <c r="AC41" t="s">
        <v>137</v>
      </c>
      <c r="AD41" t="s">
        <v>137</v>
      </c>
      <c r="AE41" t="s">
        <v>566</v>
      </c>
      <c r="AF41">
        <v>1</v>
      </c>
      <c r="AG41">
        <v>127</v>
      </c>
      <c r="AH41">
        <v>76</v>
      </c>
      <c r="AI41">
        <v>791</v>
      </c>
      <c r="AJ41">
        <v>293</v>
      </c>
      <c r="AK41">
        <v>549</v>
      </c>
      <c r="AL41">
        <v>483</v>
      </c>
      <c r="AM41">
        <v>179</v>
      </c>
      <c r="AN41" s="122">
        <v>2469</v>
      </c>
      <c r="AO41">
        <v>914</v>
      </c>
      <c r="AP41">
        <v>473</v>
      </c>
      <c r="AQ41">
        <v>175</v>
      </c>
      <c r="AR41" s="122">
        <v>5372</v>
      </c>
      <c r="AS41" s="122">
        <v>1990</v>
      </c>
      <c r="AT41">
        <v>0</v>
      </c>
      <c r="AU41">
        <v>0</v>
      </c>
      <c r="AV41" s="122">
        <v>3551</v>
      </c>
    </row>
    <row r="42" spans="2:48">
      <c r="B42" t="s">
        <v>362</v>
      </c>
      <c r="C42" t="s">
        <v>58</v>
      </c>
      <c r="D42" s="122" t="s">
        <v>405</v>
      </c>
      <c r="E42" s="122" t="s">
        <v>405</v>
      </c>
      <c r="F42" s="122">
        <v>3</v>
      </c>
      <c r="G42" s="122">
        <v>251</v>
      </c>
      <c r="H42" s="122">
        <v>750</v>
      </c>
      <c r="I42" s="122">
        <v>34445</v>
      </c>
      <c r="J42" s="122">
        <v>31314</v>
      </c>
      <c r="K42" s="122">
        <v>79</v>
      </c>
      <c r="L42" s="122">
        <v>5859</v>
      </c>
      <c r="M42" s="122">
        <v>5327</v>
      </c>
      <c r="N42" s="122">
        <v>6012</v>
      </c>
      <c r="O42" s="122">
        <v>2227</v>
      </c>
      <c r="P42" s="122">
        <v>1175</v>
      </c>
      <c r="Q42" s="122">
        <v>435</v>
      </c>
      <c r="R42" s="122">
        <v>10642</v>
      </c>
      <c r="S42" s="122">
        <v>9674</v>
      </c>
      <c r="T42" s="122">
        <v>4392</v>
      </c>
      <c r="U42" s="122">
        <v>1627</v>
      </c>
      <c r="V42" s="122">
        <v>50603</v>
      </c>
      <c r="W42" s="122">
        <f t="shared" si="0"/>
        <v>50604</v>
      </c>
      <c r="X42" s="122">
        <f t="shared" si="1"/>
        <v>62525</v>
      </c>
      <c r="Y42" s="122"/>
      <c r="AA42" t="s">
        <v>50</v>
      </c>
      <c r="AB42" t="s">
        <v>137</v>
      </c>
      <c r="AC42" t="s">
        <v>407</v>
      </c>
      <c r="AD42" t="s">
        <v>137</v>
      </c>
      <c r="AE42" t="s">
        <v>566</v>
      </c>
      <c r="AF42">
        <v>4</v>
      </c>
      <c r="AG42">
        <v>663</v>
      </c>
      <c r="AH42">
        <v>359</v>
      </c>
      <c r="AI42" s="122">
        <v>17527</v>
      </c>
      <c r="AJ42" s="122">
        <v>6492</v>
      </c>
      <c r="AK42">
        <v>275</v>
      </c>
      <c r="AL42" s="122">
        <v>3404</v>
      </c>
      <c r="AM42" s="122">
        <v>3095</v>
      </c>
      <c r="AN42" s="122">
        <v>8116</v>
      </c>
      <c r="AO42" s="122">
        <v>3006</v>
      </c>
      <c r="AP42" s="122">
        <v>3744</v>
      </c>
      <c r="AQ42" s="122">
        <v>1387</v>
      </c>
      <c r="AR42" s="122">
        <v>24843</v>
      </c>
      <c r="AS42" s="122">
        <v>9201</v>
      </c>
      <c r="AT42">
        <v>0</v>
      </c>
      <c r="AU42">
        <v>0</v>
      </c>
      <c r="AV42" s="122">
        <v>23180</v>
      </c>
    </row>
    <row r="43" spans="2:48">
      <c r="B43" t="s">
        <v>362</v>
      </c>
      <c r="C43" t="s">
        <v>58</v>
      </c>
      <c r="D43" t="s">
        <v>137</v>
      </c>
      <c r="E43" s="122" t="s">
        <v>137</v>
      </c>
      <c r="F43" s="122">
        <v>190</v>
      </c>
      <c r="G43" s="122">
        <v>12382</v>
      </c>
      <c r="H43" s="122">
        <v>49979</v>
      </c>
      <c r="I43" s="122">
        <v>1660593</v>
      </c>
      <c r="J43" s="122">
        <v>615035</v>
      </c>
      <c r="K43" s="122">
        <v>100</v>
      </c>
      <c r="L43" s="122">
        <v>198773</v>
      </c>
      <c r="M43" s="122">
        <v>78660</v>
      </c>
      <c r="N43" s="122">
        <v>252747</v>
      </c>
      <c r="O43" s="122">
        <v>93610</v>
      </c>
      <c r="P43" s="122">
        <v>4234</v>
      </c>
      <c r="Q43" s="122">
        <v>1568</v>
      </c>
      <c r="R43" s="122">
        <v>1128498</v>
      </c>
      <c r="S43" s="122">
        <v>417962</v>
      </c>
      <c r="T43">
        <v>0</v>
      </c>
      <c r="U43" s="122">
        <v>0</v>
      </c>
      <c r="V43" s="122">
        <v>1206835</v>
      </c>
      <c r="W43" s="122">
        <f t="shared" si="0"/>
        <v>1206835</v>
      </c>
      <c r="X43" s="122">
        <f t="shared" si="1"/>
        <v>3244845</v>
      </c>
      <c r="Y43" s="122"/>
      <c r="AA43" t="s">
        <v>50</v>
      </c>
      <c r="AB43" t="s">
        <v>137</v>
      </c>
      <c r="AC43" t="s">
        <v>579</v>
      </c>
      <c r="AD43" t="s">
        <v>137</v>
      </c>
      <c r="AE43" t="s">
        <v>566</v>
      </c>
      <c r="AF43">
        <v>18</v>
      </c>
      <c r="AG43">
        <v>896</v>
      </c>
      <c r="AH43" s="122">
        <v>1441</v>
      </c>
      <c r="AI43" s="122">
        <v>14055</v>
      </c>
      <c r="AJ43" s="122">
        <v>5206</v>
      </c>
      <c r="AK43">
        <v>422</v>
      </c>
      <c r="AL43" s="122">
        <v>3942</v>
      </c>
      <c r="AM43" s="122">
        <v>3285</v>
      </c>
      <c r="AN43" s="122">
        <v>10919</v>
      </c>
      <c r="AO43" s="122">
        <v>4044</v>
      </c>
      <c r="AP43" s="122">
        <v>8384</v>
      </c>
      <c r="AQ43" s="122">
        <v>3105</v>
      </c>
      <c r="AR43" s="122">
        <v>34778</v>
      </c>
      <c r="AS43" s="122">
        <v>12881</v>
      </c>
      <c r="AT43">
        <v>0</v>
      </c>
      <c r="AU43">
        <v>0</v>
      </c>
      <c r="AV43" s="122">
        <v>28520</v>
      </c>
    </row>
    <row r="44" spans="2:48">
      <c r="B44" t="s">
        <v>362</v>
      </c>
      <c r="C44" t="s">
        <v>58</v>
      </c>
      <c r="D44" t="s">
        <v>406</v>
      </c>
      <c r="E44" s="122" t="s">
        <v>406</v>
      </c>
      <c r="F44" s="122">
        <v>11</v>
      </c>
      <c r="G44" s="122">
        <v>830</v>
      </c>
      <c r="H44" s="122">
        <v>2751</v>
      </c>
      <c r="I44" s="122">
        <v>107083</v>
      </c>
      <c r="J44" s="122">
        <v>97348</v>
      </c>
      <c r="K44" s="122">
        <v>84</v>
      </c>
      <c r="L44" s="122">
        <v>16509</v>
      </c>
      <c r="M44" s="122">
        <v>12078</v>
      </c>
      <c r="N44" s="122">
        <v>16552</v>
      </c>
      <c r="O44" s="122">
        <v>6130</v>
      </c>
      <c r="P44" s="122">
        <v>6831</v>
      </c>
      <c r="Q44" s="122">
        <v>2530</v>
      </c>
      <c r="R44" s="122">
        <v>46784</v>
      </c>
      <c r="S44" s="122">
        <v>42531</v>
      </c>
      <c r="T44" s="122">
        <v>11817</v>
      </c>
      <c r="U44" s="122">
        <v>4376</v>
      </c>
      <c r="V44" s="122">
        <v>164994</v>
      </c>
      <c r="W44" s="122">
        <f t="shared" si="0"/>
        <v>164993</v>
      </c>
      <c r="X44" s="122">
        <f t="shared" si="1"/>
        <v>205576</v>
      </c>
      <c r="Y44" s="122"/>
      <c r="AA44" t="s">
        <v>50</v>
      </c>
      <c r="AB44" t="s">
        <v>137</v>
      </c>
      <c r="AC44" t="s">
        <v>426</v>
      </c>
      <c r="AD44" t="s">
        <v>137</v>
      </c>
      <c r="AE44" t="s">
        <v>566</v>
      </c>
      <c r="AF44">
        <v>8</v>
      </c>
      <c r="AG44" s="122">
        <v>1101</v>
      </c>
      <c r="AH44">
        <v>706</v>
      </c>
      <c r="AI44" s="122">
        <v>23505</v>
      </c>
      <c r="AJ44" s="122">
        <v>8706</v>
      </c>
      <c r="AK44">
        <v>408</v>
      </c>
      <c r="AL44" s="122">
        <v>9672</v>
      </c>
      <c r="AM44" s="122">
        <v>8792</v>
      </c>
      <c r="AN44" s="122">
        <v>14099</v>
      </c>
      <c r="AO44" s="122">
        <v>5222</v>
      </c>
      <c r="AP44" s="122">
        <v>9200</v>
      </c>
      <c r="AQ44" s="122">
        <v>3407</v>
      </c>
      <c r="AR44" s="122">
        <v>39949</v>
      </c>
      <c r="AS44" s="122">
        <v>14796</v>
      </c>
      <c r="AT44">
        <v>0</v>
      </c>
      <c r="AU44">
        <v>0</v>
      </c>
      <c r="AV44" s="122">
        <v>40923</v>
      </c>
    </row>
    <row r="45" spans="2:48">
      <c r="B45" t="s">
        <v>362</v>
      </c>
      <c r="C45" t="s">
        <v>58</v>
      </c>
      <c r="D45" t="s">
        <v>406</v>
      </c>
      <c r="E45" t="s">
        <v>427</v>
      </c>
      <c r="F45" s="122">
        <v>1</v>
      </c>
      <c r="G45" s="122">
        <v>114</v>
      </c>
      <c r="H45" s="122">
        <v>285</v>
      </c>
      <c r="I45" s="122">
        <v>20179</v>
      </c>
      <c r="J45" s="122">
        <v>18344</v>
      </c>
      <c r="K45" s="122">
        <v>70</v>
      </c>
      <c r="L45" s="122">
        <v>2485</v>
      </c>
      <c r="M45" s="122">
        <v>2259</v>
      </c>
      <c r="N45" s="122">
        <v>2768</v>
      </c>
      <c r="O45" s="122">
        <v>1025</v>
      </c>
      <c r="P45" s="122">
        <v>621</v>
      </c>
      <c r="Q45" s="122">
        <v>230</v>
      </c>
      <c r="R45" s="122">
        <v>3796</v>
      </c>
      <c r="S45" s="122">
        <v>3451</v>
      </c>
      <c r="T45" s="122">
        <v>2508</v>
      </c>
      <c r="U45" s="122">
        <v>929</v>
      </c>
      <c r="V45" s="122">
        <v>26238</v>
      </c>
      <c r="W45" s="122">
        <f t="shared" si="0"/>
        <v>26238</v>
      </c>
      <c r="X45" s="122">
        <f t="shared" si="1"/>
        <v>32357</v>
      </c>
      <c r="Y45" s="122"/>
      <c r="AA45" t="s">
        <v>50</v>
      </c>
      <c r="AB45" t="s">
        <v>137</v>
      </c>
      <c r="AC45" t="s">
        <v>566</v>
      </c>
      <c r="AD45" t="s">
        <v>137</v>
      </c>
      <c r="AE45" t="s">
        <v>137</v>
      </c>
      <c r="AF45">
        <v>3</v>
      </c>
      <c r="AG45">
        <v>166</v>
      </c>
      <c r="AH45">
        <v>231</v>
      </c>
      <c r="AI45">
        <v>823</v>
      </c>
      <c r="AJ45">
        <v>305</v>
      </c>
      <c r="AK45">
        <v>512</v>
      </c>
      <c r="AL45">
        <v>0</v>
      </c>
      <c r="AM45">
        <v>0</v>
      </c>
      <c r="AN45" s="122">
        <v>2019</v>
      </c>
      <c r="AO45">
        <v>748</v>
      </c>
      <c r="AP45" s="122">
        <v>2071</v>
      </c>
      <c r="AQ45">
        <v>767</v>
      </c>
      <c r="AR45" s="122">
        <v>7830</v>
      </c>
      <c r="AS45" s="122">
        <v>2900</v>
      </c>
      <c r="AT45">
        <v>0</v>
      </c>
      <c r="AU45">
        <v>0</v>
      </c>
      <c r="AV45" s="122">
        <v>4720</v>
      </c>
    </row>
    <row r="46" spans="2:48">
      <c r="B46" t="s">
        <v>362</v>
      </c>
      <c r="C46" t="s">
        <v>58</v>
      </c>
      <c r="D46" t="s">
        <v>407</v>
      </c>
      <c r="E46" s="122" t="s">
        <v>407</v>
      </c>
      <c r="F46" s="122">
        <v>53</v>
      </c>
      <c r="G46" s="122">
        <v>3246</v>
      </c>
      <c r="H46" s="122">
        <v>13625</v>
      </c>
      <c r="I46" s="122">
        <v>439790</v>
      </c>
      <c r="J46" s="122">
        <v>399809</v>
      </c>
      <c r="K46" s="122">
        <v>78</v>
      </c>
      <c r="L46" s="122">
        <v>41789</v>
      </c>
      <c r="M46" s="122">
        <v>36691</v>
      </c>
      <c r="N46" s="122">
        <v>64974</v>
      </c>
      <c r="O46" s="122">
        <v>24065</v>
      </c>
      <c r="P46" s="122">
        <v>24921</v>
      </c>
      <c r="Q46" s="122">
        <v>9230</v>
      </c>
      <c r="R46" s="122">
        <v>215662</v>
      </c>
      <c r="S46" s="122">
        <v>196056</v>
      </c>
      <c r="T46" s="122">
        <v>41973</v>
      </c>
      <c r="U46" s="122">
        <v>15545</v>
      </c>
      <c r="V46" s="122">
        <v>681397</v>
      </c>
      <c r="W46" s="122">
        <f t="shared" si="0"/>
        <v>681396</v>
      </c>
      <c r="X46" s="122">
        <f t="shared" si="1"/>
        <v>829109</v>
      </c>
      <c r="Y46" s="122"/>
      <c r="AA46" t="s">
        <v>50</v>
      </c>
      <c r="AB46" t="s">
        <v>137</v>
      </c>
      <c r="AC46" t="s">
        <v>566</v>
      </c>
      <c r="AD46" t="s">
        <v>137</v>
      </c>
      <c r="AE46" t="s">
        <v>566</v>
      </c>
      <c r="AF46">
        <v>115</v>
      </c>
      <c r="AG46" s="122">
        <v>7747</v>
      </c>
      <c r="AH46" s="122">
        <v>10069</v>
      </c>
      <c r="AI46" s="122">
        <v>184796</v>
      </c>
      <c r="AJ46" s="122">
        <v>68443</v>
      </c>
      <c r="AK46">
        <v>345</v>
      </c>
      <c r="AL46">
        <v>0</v>
      </c>
      <c r="AM46">
        <v>0</v>
      </c>
      <c r="AN46" s="122">
        <v>113487</v>
      </c>
      <c r="AO46" s="122">
        <v>42032</v>
      </c>
      <c r="AP46" s="122">
        <v>47359</v>
      </c>
      <c r="AQ46" s="122">
        <v>17540</v>
      </c>
      <c r="AR46" s="122">
        <v>333875</v>
      </c>
      <c r="AS46" s="122">
        <v>123658</v>
      </c>
      <c r="AT46">
        <v>0</v>
      </c>
      <c r="AU46">
        <v>0</v>
      </c>
      <c r="AV46" s="122">
        <v>251673</v>
      </c>
    </row>
    <row r="47" spans="2:48">
      <c r="B47" t="s">
        <v>362</v>
      </c>
      <c r="C47" t="s">
        <v>58</v>
      </c>
      <c r="D47" s="122" t="s">
        <v>428</v>
      </c>
      <c r="E47" s="122" t="s">
        <v>137</v>
      </c>
      <c r="F47" s="122">
        <v>1</v>
      </c>
      <c r="G47" s="122">
        <v>46</v>
      </c>
      <c r="H47" s="122">
        <v>268</v>
      </c>
      <c r="I47" s="122">
        <v>6101</v>
      </c>
      <c r="J47" s="122">
        <v>5546</v>
      </c>
      <c r="K47" s="122">
        <v>60</v>
      </c>
      <c r="L47">
        <v>0</v>
      </c>
      <c r="M47" s="122">
        <v>0</v>
      </c>
      <c r="N47" s="122">
        <v>684</v>
      </c>
      <c r="O47" s="122">
        <v>253</v>
      </c>
      <c r="P47">
        <v>0</v>
      </c>
      <c r="Q47" s="122">
        <v>0</v>
      </c>
      <c r="R47" s="122">
        <v>5521</v>
      </c>
      <c r="S47" s="122">
        <v>2045</v>
      </c>
      <c r="T47">
        <v>0</v>
      </c>
      <c r="U47" s="122">
        <v>0</v>
      </c>
      <c r="V47" s="122">
        <v>7845</v>
      </c>
      <c r="W47" s="122">
        <f t="shared" si="0"/>
        <v>7844</v>
      </c>
      <c r="X47" s="122">
        <f t="shared" si="1"/>
        <v>12306</v>
      </c>
      <c r="Y47" s="122"/>
      <c r="AA47" t="s">
        <v>50</v>
      </c>
      <c r="AB47" t="s">
        <v>137</v>
      </c>
      <c r="AC47" t="s">
        <v>433</v>
      </c>
      <c r="AD47" t="s">
        <v>137</v>
      </c>
      <c r="AE47" t="s">
        <v>566</v>
      </c>
      <c r="AF47">
        <v>6</v>
      </c>
      <c r="AG47">
        <v>755</v>
      </c>
      <c r="AH47">
        <v>568</v>
      </c>
      <c r="AI47" s="122">
        <v>31382</v>
      </c>
      <c r="AJ47" s="122">
        <v>11623</v>
      </c>
      <c r="AK47">
        <v>385</v>
      </c>
      <c r="AL47" s="122">
        <v>8511</v>
      </c>
      <c r="AM47" s="122">
        <v>7737</v>
      </c>
      <c r="AN47" s="122">
        <v>11888</v>
      </c>
      <c r="AO47" s="122">
        <v>4403</v>
      </c>
      <c r="AP47" s="122">
        <v>2106</v>
      </c>
      <c r="AQ47">
        <v>780</v>
      </c>
      <c r="AR47" s="122">
        <v>17982</v>
      </c>
      <c r="AS47" s="122">
        <v>6660</v>
      </c>
      <c r="AT47">
        <v>0</v>
      </c>
      <c r="AU47">
        <v>0</v>
      </c>
      <c r="AV47" s="122">
        <v>31203</v>
      </c>
    </row>
    <row r="48" spans="2:48">
      <c r="B48" t="s">
        <v>362</v>
      </c>
      <c r="C48" t="s">
        <v>58</v>
      </c>
      <c r="D48" t="s">
        <v>426</v>
      </c>
      <c r="E48" s="122" t="s">
        <v>426</v>
      </c>
      <c r="F48" s="122">
        <v>1</v>
      </c>
      <c r="G48" s="122">
        <v>80</v>
      </c>
      <c r="H48" s="122">
        <v>277</v>
      </c>
      <c r="I48" s="122">
        <v>10621</v>
      </c>
      <c r="J48" s="122">
        <v>9656</v>
      </c>
      <c r="K48" s="122">
        <v>65</v>
      </c>
      <c r="L48" s="122">
        <v>2557</v>
      </c>
      <c r="M48" s="122">
        <v>2325</v>
      </c>
      <c r="N48" s="122">
        <v>1806</v>
      </c>
      <c r="O48" s="122">
        <v>669</v>
      </c>
      <c r="P48" s="122">
        <v>351</v>
      </c>
      <c r="Q48" s="122">
        <v>130</v>
      </c>
      <c r="R48" s="122">
        <v>4361</v>
      </c>
      <c r="S48" s="122">
        <v>3964</v>
      </c>
      <c r="T48" s="122">
        <v>2340</v>
      </c>
      <c r="U48" s="122">
        <v>867</v>
      </c>
      <c r="V48" s="122">
        <v>17610</v>
      </c>
      <c r="W48" s="122">
        <f t="shared" si="0"/>
        <v>17611</v>
      </c>
      <c r="X48" s="122">
        <f t="shared" si="1"/>
        <v>22036</v>
      </c>
      <c r="Y48" s="122"/>
      <c r="AA48" t="s">
        <v>50</v>
      </c>
      <c r="AB48" t="s">
        <v>406</v>
      </c>
      <c r="AC48" t="s">
        <v>425</v>
      </c>
      <c r="AD48" t="s">
        <v>406</v>
      </c>
      <c r="AE48" t="s">
        <v>566</v>
      </c>
      <c r="AF48">
        <v>1</v>
      </c>
      <c r="AG48">
        <v>160</v>
      </c>
      <c r="AH48">
        <v>94</v>
      </c>
      <c r="AI48" s="122">
        <v>2928</v>
      </c>
      <c r="AJ48" s="122">
        <v>2662</v>
      </c>
      <c r="AK48">
        <v>94</v>
      </c>
      <c r="AL48">
        <v>503</v>
      </c>
      <c r="AM48">
        <v>457</v>
      </c>
      <c r="AN48" s="122">
        <v>3907</v>
      </c>
      <c r="AO48" s="122">
        <v>1447</v>
      </c>
      <c r="AP48" s="122">
        <v>1973</v>
      </c>
      <c r="AQ48">
        <v>731</v>
      </c>
      <c r="AR48" s="122">
        <v>5806</v>
      </c>
      <c r="AS48" s="122">
        <v>5278</v>
      </c>
      <c r="AT48">
        <v>0</v>
      </c>
      <c r="AU48">
        <v>0</v>
      </c>
      <c r="AV48" s="122">
        <v>10576</v>
      </c>
    </row>
    <row r="49" spans="2:48">
      <c r="B49" t="s">
        <v>362</v>
      </c>
      <c r="C49" t="s">
        <v>60</v>
      </c>
      <c r="D49" s="122"/>
      <c r="E49" s="122"/>
      <c r="F49" s="122">
        <v>1</v>
      </c>
      <c r="G49" s="122">
        <v>32</v>
      </c>
      <c r="H49" s="122">
        <v>359</v>
      </c>
      <c r="I49" s="122"/>
      <c r="J49" s="122">
        <v>0</v>
      </c>
      <c r="K49" s="122"/>
      <c r="M49" s="122">
        <v>0</v>
      </c>
      <c r="N49" s="122">
        <v>642</v>
      </c>
      <c r="O49" s="122">
        <v>238</v>
      </c>
      <c r="P49" s="122">
        <v>0</v>
      </c>
      <c r="Q49" s="122">
        <v>0</v>
      </c>
      <c r="R49" s="122"/>
      <c r="S49">
        <v>0</v>
      </c>
      <c r="T49">
        <v>0</v>
      </c>
      <c r="U49" s="122">
        <v>0</v>
      </c>
      <c r="V49">
        <v>238</v>
      </c>
      <c r="W49" s="122">
        <f t="shared" si="0"/>
        <v>238</v>
      </c>
      <c r="X49" s="122">
        <f t="shared" si="1"/>
        <v>642</v>
      </c>
      <c r="Y49" s="122"/>
      <c r="AA49" t="s">
        <v>50</v>
      </c>
      <c r="AB49" t="s">
        <v>406</v>
      </c>
      <c r="AC49" t="s">
        <v>579</v>
      </c>
      <c r="AD49" t="s">
        <v>137</v>
      </c>
      <c r="AE49" t="s">
        <v>566</v>
      </c>
      <c r="AF49">
        <v>1</v>
      </c>
      <c r="AG49">
        <v>237</v>
      </c>
      <c r="AH49">
        <v>83</v>
      </c>
      <c r="AI49" s="122">
        <v>7700</v>
      </c>
      <c r="AJ49" s="122">
        <v>7000</v>
      </c>
      <c r="AK49">
        <v>95</v>
      </c>
      <c r="AL49" s="122">
        <v>1493</v>
      </c>
      <c r="AM49" s="122">
        <v>1245</v>
      </c>
      <c r="AN49" s="122">
        <v>2888</v>
      </c>
      <c r="AO49" s="122">
        <v>1069</v>
      </c>
      <c r="AP49" s="122">
        <v>2757</v>
      </c>
      <c r="AQ49" s="122">
        <v>1021</v>
      </c>
      <c r="AR49" s="122">
        <v>4837</v>
      </c>
      <c r="AS49" s="122">
        <v>1791</v>
      </c>
      <c r="AT49">
        <v>0</v>
      </c>
      <c r="AU49">
        <v>0</v>
      </c>
      <c r="AV49" s="122">
        <v>12127</v>
      </c>
    </row>
    <row r="50" spans="2:48">
      <c r="B50" t="s">
        <v>362</v>
      </c>
      <c r="C50" t="s">
        <v>60</v>
      </c>
      <c r="D50" t="s">
        <v>137</v>
      </c>
      <c r="E50" t="s">
        <v>137</v>
      </c>
      <c r="F50" s="122">
        <v>110</v>
      </c>
      <c r="G50" s="122">
        <v>7113</v>
      </c>
      <c r="H50" s="122">
        <v>37609</v>
      </c>
      <c r="I50" s="122">
        <v>1391486</v>
      </c>
      <c r="J50" s="122">
        <v>515365</v>
      </c>
      <c r="K50" s="122">
        <v>100</v>
      </c>
      <c r="L50" s="122">
        <v>168813</v>
      </c>
      <c r="M50" s="122">
        <v>69985</v>
      </c>
      <c r="N50" s="122">
        <v>137101</v>
      </c>
      <c r="O50" s="122">
        <v>50778</v>
      </c>
      <c r="P50" s="122">
        <v>3572</v>
      </c>
      <c r="Q50" s="122">
        <v>1323</v>
      </c>
      <c r="R50" s="122">
        <v>730652</v>
      </c>
      <c r="S50" s="122">
        <v>270612</v>
      </c>
      <c r="T50">
        <v>0</v>
      </c>
      <c r="U50" s="122">
        <v>0</v>
      </c>
      <c r="V50" s="122">
        <v>908063</v>
      </c>
      <c r="W50" s="122">
        <f t="shared" si="0"/>
        <v>908063</v>
      </c>
      <c r="X50" s="122">
        <f t="shared" si="1"/>
        <v>2431624</v>
      </c>
      <c r="Y50" s="122"/>
      <c r="AA50" t="s">
        <v>50</v>
      </c>
      <c r="AB50" t="s">
        <v>406</v>
      </c>
      <c r="AC50" t="s">
        <v>579</v>
      </c>
      <c r="AD50" t="s">
        <v>406</v>
      </c>
      <c r="AE50" t="s">
        <v>566</v>
      </c>
      <c r="AF50">
        <v>2</v>
      </c>
      <c r="AG50">
        <v>646</v>
      </c>
      <c r="AH50">
        <v>180</v>
      </c>
      <c r="AI50" s="122">
        <v>31705</v>
      </c>
      <c r="AJ50" s="122">
        <v>28823</v>
      </c>
      <c r="AK50">
        <v>93</v>
      </c>
      <c r="AL50" s="122">
        <v>5362</v>
      </c>
      <c r="AM50" s="122">
        <v>4468</v>
      </c>
      <c r="AN50" s="122">
        <v>8461</v>
      </c>
      <c r="AO50" s="122">
        <v>3134</v>
      </c>
      <c r="AP50" s="122">
        <v>4065</v>
      </c>
      <c r="AQ50" s="122">
        <v>1506</v>
      </c>
      <c r="AR50" s="122">
        <v>12916</v>
      </c>
      <c r="AS50" s="122">
        <v>11742</v>
      </c>
      <c r="AT50">
        <v>0</v>
      </c>
      <c r="AU50">
        <v>0</v>
      </c>
      <c r="AV50" s="122">
        <v>49673</v>
      </c>
    </row>
    <row r="51" spans="2:48">
      <c r="B51" t="s">
        <v>362</v>
      </c>
      <c r="C51" t="s">
        <v>60</v>
      </c>
      <c r="D51" t="s">
        <v>406</v>
      </c>
      <c r="E51" s="122" t="s">
        <v>406</v>
      </c>
      <c r="F51" s="122">
        <v>1</v>
      </c>
      <c r="G51" s="122">
        <v>50</v>
      </c>
      <c r="H51" s="122">
        <v>368</v>
      </c>
      <c r="I51" s="122">
        <v>10141</v>
      </c>
      <c r="J51" s="122">
        <v>9219</v>
      </c>
      <c r="K51" s="122">
        <v>70</v>
      </c>
      <c r="L51" s="122">
        <v>0</v>
      </c>
      <c r="M51" s="122">
        <v>0</v>
      </c>
      <c r="N51" s="122">
        <v>603</v>
      </c>
      <c r="O51" s="122">
        <v>223</v>
      </c>
      <c r="P51" s="122">
        <v>621</v>
      </c>
      <c r="Q51" s="122">
        <v>230</v>
      </c>
      <c r="R51" s="122">
        <v>4403</v>
      </c>
      <c r="S51" s="122">
        <v>4002</v>
      </c>
      <c r="T51" s="122">
        <v>2453</v>
      </c>
      <c r="U51" s="122">
        <v>908</v>
      </c>
      <c r="V51" s="122">
        <v>14583</v>
      </c>
      <c r="W51" s="122">
        <f t="shared" si="0"/>
        <v>14582</v>
      </c>
      <c r="X51" s="122">
        <f t="shared" si="1"/>
        <v>18221</v>
      </c>
      <c r="Y51" s="122"/>
      <c r="AA51" t="s">
        <v>50</v>
      </c>
      <c r="AB51" t="s">
        <v>406</v>
      </c>
      <c r="AC51" t="s">
        <v>426</v>
      </c>
      <c r="AD51" t="s">
        <v>406</v>
      </c>
      <c r="AE51" t="s">
        <v>566</v>
      </c>
      <c r="AF51">
        <v>6</v>
      </c>
      <c r="AG51" s="122">
        <v>1323</v>
      </c>
      <c r="AH51">
        <v>579</v>
      </c>
      <c r="AI51" s="122">
        <v>65753</v>
      </c>
      <c r="AJ51" s="122">
        <v>59775</v>
      </c>
      <c r="AK51">
        <v>91</v>
      </c>
      <c r="AL51" s="122">
        <v>11348</v>
      </c>
      <c r="AM51" s="122">
        <v>10316</v>
      </c>
      <c r="AN51" s="122">
        <v>16878</v>
      </c>
      <c r="AO51" s="122">
        <v>6251</v>
      </c>
      <c r="AP51" s="122">
        <v>4077</v>
      </c>
      <c r="AQ51" s="122">
        <v>1510</v>
      </c>
      <c r="AR51" s="122">
        <v>28121</v>
      </c>
      <c r="AS51" s="122">
        <v>25564</v>
      </c>
      <c r="AT51">
        <v>0</v>
      </c>
      <c r="AU51">
        <v>0</v>
      </c>
      <c r="AV51" s="122">
        <v>103416</v>
      </c>
    </row>
    <row r="52" spans="2:48">
      <c r="B52" t="s">
        <v>362</v>
      </c>
      <c r="C52" t="s">
        <v>60</v>
      </c>
      <c r="D52" s="122" t="s">
        <v>407</v>
      </c>
      <c r="E52" s="122" t="s">
        <v>407</v>
      </c>
      <c r="F52" s="122">
        <v>23</v>
      </c>
      <c r="G52" s="122">
        <v>1372</v>
      </c>
      <c r="H52" s="122">
        <v>7849</v>
      </c>
      <c r="I52" s="122">
        <v>273947</v>
      </c>
      <c r="J52" s="122">
        <v>249042</v>
      </c>
      <c r="K52" s="122">
        <v>76</v>
      </c>
      <c r="L52" s="122">
        <v>30112</v>
      </c>
      <c r="M52" s="122">
        <v>22597</v>
      </c>
      <c r="N52" s="122">
        <v>26889</v>
      </c>
      <c r="O52" s="122">
        <v>9959</v>
      </c>
      <c r="P52" s="122">
        <v>10868</v>
      </c>
      <c r="Q52" s="122">
        <v>4025</v>
      </c>
      <c r="R52" s="122">
        <v>93772</v>
      </c>
      <c r="S52" s="122">
        <v>85247</v>
      </c>
      <c r="T52" s="122">
        <v>28271</v>
      </c>
      <c r="U52" s="122">
        <v>10471</v>
      </c>
      <c r="V52" s="122">
        <v>381342</v>
      </c>
      <c r="W52" s="122">
        <f t="shared" si="0"/>
        <v>381341</v>
      </c>
      <c r="X52" s="122">
        <f t="shared" si="1"/>
        <v>463859</v>
      </c>
      <c r="Y52" s="122"/>
      <c r="AA52" t="s">
        <v>50</v>
      </c>
      <c r="AB52" t="s">
        <v>406</v>
      </c>
      <c r="AC52" t="s">
        <v>566</v>
      </c>
      <c r="AD52" t="s">
        <v>406</v>
      </c>
      <c r="AE52" t="s">
        <v>137</v>
      </c>
      <c r="AF52">
        <v>2</v>
      </c>
      <c r="AG52">
        <v>200</v>
      </c>
      <c r="AH52">
        <v>178</v>
      </c>
      <c r="AI52" s="122">
        <v>5317</v>
      </c>
      <c r="AJ52" s="122">
        <v>4834</v>
      </c>
      <c r="AK52">
        <v>84</v>
      </c>
      <c r="AL52">
        <v>0</v>
      </c>
      <c r="AM52">
        <v>0</v>
      </c>
      <c r="AN52" s="122">
        <v>3703</v>
      </c>
      <c r="AO52" s="122">
        <v>1372</v>
      </c>
      <c r="AP52" s="122">
        <v>1242</v>
      </c>
      <c r="AQ52">
        <v>460</v>
      </c>
      <c r="AR52" s="122">
        <v>7700</v>
      </c>
      <c r="AS52" s="122">
        <v>7000</v>
      </c>
      <c r="AT52">
        <v>0</v>
      </c>
      <c r="AU52">
        <v>0</v>
      </c>
      <c r="AV52" s="122">
        <v>13665</v>
      </c>
    </row>
    <row r="53" spans="2:48">
      <c r="B53" t="s">
        <v>362</v>
      </c>
      <c r="C53" t="s">
        <v>62</v>
      </c>
      <c r="D53" t="s">
        <v>137</v>
      </c>
      <c r="E53" t="s">
        <v>137</v>
      </c>
      <c r="F53" s="122">
        <v>40</v>
      </c>
      <c r="G53" s="122">
        <v>2283</v>
      </c>
      <c r="H53" s="122">
        <v>16636</v>
      </c>
      <c r="I53" s="122">
        <v>609378</v>
      </c>
      <c r="J53" s="122">
        <v>225696</v>
      </c>
      <c r="K53" s="122">
        <v>100</v>
      </c>
      <c r="L53" s="122">
        <v>59067</v>
      </c>
      <c r="M53" s="122">
        <v>26467</v>
      </c>
      <c r="N53" s="122">
        <v>45223</v>
      </c>
      <c r="O53" s="122">
        <v>16749</v>
      </c>
      <c r="P53" s="122">
        <v>824</v>
      </c>
      <c r="Q53" s="122">
        <v>305</v>
      </c>
      <c r="R53" s="122">
        <v>235133</v>
      </c>
      <c r="S53" s="122">
        <v>87086</v>
      </c>
      <c r="T53">
        <v>0</v>
      </c>
      <c r="U53" s="122">
        <v>0</v>
      </c>
      <c r="V53" s="122">
        <v>356303</v>
      </c>
      <c r="W53" s="122">
        <f t="shared" si="0"/>
        <v>356303</v>
      </c>
      <c r="X53" s="122">
        <f t="shared" si="1"/>
        <v>949625</v>
      </c>
      <c r="Y53" s="122"/>
      <c r="AA53" t="s">
        <v>50</v>
      </c>
      <c r="AB53" t="s">
        <v>406</v>
      </c>
      <c r="AC53" t="s">
        <v>566</v>
      </c>
      <c r="AD53" t="s">
        <v>406</v>
      </c>
      <c r="AE53" t="s">
        <v>566</v>
      </c>
      <c r="AF53">
        <v>10</v>
      </c>
      <c r="AG53">
        <v>904</v>
      </c>
      <c r="AH53">
        <v>958</v>
      </c>
      <c r="AI53" s="122">
        <v>44118</v>
      </c>
      <c r="AJ53" s="122">
        <v>40107</v>
      </c>
      <c r="AK53">
        <v>93</v>
      </c>
      <c r="AL53">
        <v>0</v>
      </c>
      <c r="AM53">
        <v>0</v>
      </c>
      <c r="AN53" s="122">
        <v>11139</v>
      </c>
      <c r="AO53" s="122">
        <v>4126</v>
      </c>
      <c r="AP53" s="122">
        <v>6210</v>
      </c>
      <c r="AQ53" s="122">
        <v>2300</v>
      </c>
      <c r="AR53" s="122">
        <v>25249</v>
      </c>
      <c r="AS53" s="122">
        <v>22954</v>
      </c>
      <c r="AT53">
        <v>0</v>
      </c>
      <c r="AU53">
        <v>0</v>
      </c>
      <c r="AV53" s="122">
        <v>69487</v>
      </c>
    </row>
    <row r="54" spans="2:48">
      <c r="B54" t="s">
        <v>362</v>
      </c>
      <c r="C54" t="s">
        <v>62</v>
      </c>
      <c r="D54" t="s">
        <v>406</v>
      </c>
      <c r="E54" s="122" t="s">
        <v>406</v>
      </c>
      <c r="F54" s="122">
        <v>6</v>
      </c>
      <c r="G54" s="122">
        <v>418</v>
      </c>
      <c r="H54" s="122">
        <v>2495</v>
      </c>
      <c r="I54" s="122">
        <v>104948</v>
      </c>
      <c r="J54" s="122">
        <v>95407</v>
      </c>
      <c r="K54" s="122">
        <v>84</v>
      </c>
      <c r="L54" s="122">
        <v>24830</v>
      </c>
      <c r="M54" s="122">
        <v>21129</v>
      </c>
      <c r="N54" s="122">
        <v>8941</v>
      </c>
      <c r="O54" s="122">
        <v>3311</v>
      </c>
      <c r="P54" s="122">
        <v>3726</v>
      </c>
      <c r="Q54" s="122">
        <v>1380</v>
      </c>
      <c r="R54" s="122">
        <v>21488</v>
      </c>
      <c r="S54" s="122">
        <v>19535</v>
      </c>
      <c r="T54" s="122">
        <v>8468</v>
      </c>
      <c r="U54" s="122">
        <v>3136</v>
      </c>
      <c r="V54" s="122">
        <v>143899</v>
      </c>
      <c r="W54" s="122">
        <f t="shared" si="0"/>
        <v>143898</v>
      </c>
      <c r="X54" s="122">
        <f t="shared" si="1"/>
        <v>172401</v>
      </c>
      <c r="Y54" s="122"/>
      <c r="AA54" t="s">
        <v>50</v>
      </c>
      <c r="AB54" t="s">
        <v>406</v>
      </c>
      <c r="AC54" t="s">
        <v>433</v>
      </c>
      <c r="AD54" t="s">
        <v>406</v>
      </c>
      <c r="AE54" t="s">
        <v>566</v>
      </c>
      <c r="AF54">
        <v>3</v>
      </c>
      <c r="AG54">
        <v>698</v>
      </c>
      <c r="AH54">
        <v>272</v>
      </c>
      <c r="AI54" s="122">
        <v>30951</v>
      </c>
      <c r="AJ54" s="122">
        <v>28137</v>
      </c>
      <c r="AK54">
        <v>95</v>
      </c>
      <c r="AL54" s="122">
        <v>5197</v>
      </c>
      <c r="AM54" s="122">
        <v>4725</v>
      </c>
      <c r="AN54" s="122">
        <v>9055</v>
      </c>
      <c r="AO54" s="122">
        <v>3354</v>
      </c>
      <c r="AP54" s="122">
        <v>4906</v>
      </c>
      <c r="AQ54" s="122">
        <v>1817</v>
      </c>
      <c r="AR54" s="122">
        <v>13831</v>
      </c>
      <c r="AS54" s="122">
        <v>12573</v>
      </c>
      <c r="AT54">
        <v>0</v>
      </c>
      <c r="AU54">
        <v>0</v>
      </c>
      <c r="AV54" s="122">
        <v>50607</v>
      </c>
    </row>
    <row r="55" spans="2:48">
      <c r="B55" t="s">
        <v>362</v>
      </c>
      <c r="C55" t="s">
        <v>62</v>
      </c>
      <c r="D55" s="122" t="s">
        <v>407</v>
      </c>
      <c r="E55" s="122" t="s">
        <v>407</v>
      </c>
      <c r="F55" s="122">
        <v>6</v>
      </c>
      <c r="G55" s="122">
        <v>293</v>
      </c>
      <c r="H55" s="122">
        <v>2573</v>
      </c>
      <c r="I55" s="122">
        <v>77834</v>
      </c>
      <c r="J55" s="122">
        <v>70759</v>
      </c>
      <c r="K55">
        <v>75</v>
      </c>
      <c r="L55" s="122">
        <v>12178</v>
      </c>
      <c r="M55" s="122">
        <v>9540</v>
      </c>
      <c r="N55" s="122">
        <v>5429</v>
      </c>
      <c r="O55" s="122">
        <v>2011</v>
      </c>
      <c r="P55" s="122">
        <v>2835</v>
      </c>
      <c r="Q55" s="122">
        <v>1050</v>
      </c>
      <c r="R55" s="122">
        <v>26087</v>
      </c>
      <c r="S55" s="122">
        <v>23715</v>
      </c>
      <c r="T55" s="122">
        <v>1877</v>
      </c>
      <c r="U55" s="122">
        <v>695</v>
      </c>
      <c r="V55" s="122">
        <v>107770</v>
      </c>
      <c r="W55" s="122">
        <f t="shared" si="0"/>
        <v>107770</v>
      </c>
      <c r="X55" s="122">
        <f t="shared" si="1"/>
        <v>126240</v>
      </c>
      <c r="Y55" s="122"/>
      <c r="AA55" t="s">
        <v>50</v>
      </c>
      <c r="AB55" t="s">
        <v>407</v>
      </c>
      <c r="AC55" t="s">
        <v>137</v>
      </c>
      <c r="AD55" t="s">
        <v>407</v>
      </c>
      <c r="AE55" t="s">
        <v>137</v>
      </c>
      <c r="AF55">
        <v>3</v>
      </c>
      <c r="AG55">
        <v>289</v>
      </c>
      <c r="AH55">
        <v>289</v>
      </c>
      <c r="AI55" s="122">
        <v>7236</v>
      </c>
      <c r="AJ55" s="122">
        <v>6578</v>
      </c>
      <c r="AK55">
        <v>91</v>
      </c>
      <c r="AL55" s="122">
        <v>1779</v>
      </c>
      <c r="AM55">
        <v>659</v>
      </c>
      <c r="AN55" s="122">
        <v>6246</v>
      </c>
      <c r="AO55" s="122">
        <v>2313</v>
      </c>
      <c r="AP55" s="122">
        <v>1296</v>
      </c>
      <c r="AQ55">
        <v>480</v>
      </c>
      <c r="AR55" s="122">
        <v>11361</v>
      </c>
      <c r="AS55" s="122">
        <v>10328</v>
      </c>
      <c r="AT55">
        <v>0</v>
      </c>
      <c r="AU55">
        <v>0</v>
      </c>
      <c r="AV55" s="122">
        <v>20359</v>
      </c>
    </row>
    <row r="56" spans="2:48">
      <c r="B56" t="s">
        <v>362</v>
      </c>
      <c r="C56" t="s">
        <v>64</v>
      </c>
      <c r="D56" s="122"/>
      <c r="E56" s="122"/>
      <c r="F56" s="122">
        <v>1</v>
      </c>
      <c r="G56" s="122">
        <v>38</v>
      </c>
      <c r="H56" s="122">
        <v>510</v>
      </c>
      <c r="I56" s="122"/>
      <c r="J56" s="122">
        <v>0</v>
      </c>
      <c r="K56" s="122"/>
      <c r="L56" s="122"/>
      <c r="M56" s="122">
        <v>0</v>
      </c>
      <c r="N56" s="122">
        <v>843</v>
      </c>
      <c r="O56" s="122">
        <v>312</v>
      </c>
      <c r="P56">
        <v>0</v>
      </c>
      <c r="Q56" s="122">
        <v>0</v>
      </c>
      <c r="R56" s="122"/>
      <c r="S56">
        <v>0</v>
      </c>
      <c r="T56">
        <v>0</v>
      </c>
      <c r="U56" s="122">
        <v>0</v>
      </c>
      <c r="V56">
        <v>312</v>
      </c>
      <c r="W56" s="122">
        <f t="shared" si="0"/>
        <v>312</v>
      </c>
      <c r="X56" s="122">
        <f t="shared" si="1"/>
        <v>843</v>
      </c>
      <c r="Y56" s="122"/>
      <c r="AA56" t="s">
        <v>50</v>
      </c>
      <c r="AB56" t="s">
        <v>407</v>
      </c>
      <c r="AC56" t="s">
        <v>137</v>
      </c>
      <c r="AD56" t="s">
        <v>407</v>
      </c>
      <c r="AE56" t="s">
        <v>566</v>
      </c>
      <c r="AF56">
        <v>235</v>
      </c>
      <c r="AG56" s="122">
        <v>22432</v>
      </c>
      <c r="AH56" s="122">
        <v>21573</v>
      </c>
      <c r="AI56" s="122">
        <v>533233</v>
      </c>
      <c r="AJ56" s="122">
        <v>484757</v>
      </c>
      <c r="AK56">
        <v>89</v>
      </c>
      <c r="AL56" s="122">
        <v>117653</v>
      </c>
      <c r="AM56" s="122">
        <v>43575</v>
      </c>
      <c r="AN56" s="122">
        <v>378357</v>
      </c>
      <c r="AO56" s="122">
        <v>140132</v>
      </c>
      <c r="AP56" s="122">
        <v>189544</v>
      </c>
      <c r="AQ56" s="122">
        <v>70201</v>
      </c>
      <c r="AR56" s="122">
        <v>837632</v>
      </c>
      <c r="AS56" s="122">
        <v>761483</v>
      </c>
      <c r="AT56">
        <v>0</v>
      </c>
      <c r="AU56">
        <v>0</v>
      </c>
      <c r="AV56" s="122">
        <v>1500149</v>
      </c>
    </row>
    <row r="57" spans="2:48">
      <c r="B57" t="s">
        <v>362</v>
      </c>
      <c r="C57" t="s">
        <v>64</v>
      </c>
      <c r="D57" t="s">
        <v>137</v>
      </c>
      <c r="E57" t="s">
        <v>137</v>
      </c>
      <c r="F57" s="122">
        <v>45</v>
      </c>
      <c r="G57" s="122">
        <v>2633</v>
      </c>
      <c r="H57" s="122">
        <v>25059</v>
      </c>
      <c r="I57" s="122">
        <v>1044698</v>
      </c>
      <c r="J57" s="122">
        <v>386925</v>
      </c>
      <c r="K57" s="122">
        <v>100</v>
      </c>
      <c r="L57" s="122">
        <v>82416</v>
      </c>
      <c r="M57" s="122">
        <v>37180</v>
      </c>
      <c r="N57" s="122">
        <v>52382</v>
      </c>
      <c r="O57" s="122">
        <v>19401</v>
      </c>
      <c r="P57" s="122">
        <v>2822</v>
      </c>
      <c r="Q57" s="122">
        <v>1045</v>
      </c>
      <c r="R57" s="122">
        <v>291588</v>
      </c>
      <c r="S57" s="122">
        <v>107995</v>
      </c>
      <c r="T57" s="122">
        <v>0</v>
      </c>
      <c r="U57" s="122">
        <v>0</v>
      </c>
      <c r="V57" s="122">
        <v>552547</v>
      </c>
      <c r="W57" s="122">
        <f t="shared" si="0"/>
        <v>552546</v>
      </c>
      <c r="X57" s="122">
        <f t="shared" si="1"/>
        <v>1473906</v>
      </c>
      <c r="Y57" s="122"/>
      <c r="AA57" t="s">
        <v>50</v>
      </c>
      <c r="AB57" t="s">
        <v>407</v>
      </c>
      <c r="AC57" t="s">
        <v>407</v>
      </c>
      <c r="AD57" t="s">
        <v>407</v>
      </c>
      <c r="AE57" t="s">
        <v>137</v>
      </c>
      <c r="AF57">
        <v>2</v>
      </c>
      <c r="AG57">
        <v>163</v>
      </c>
      <c r="AH57">
        <v>195</v>
      </c>
      <c r="AI57" s="122">
        <v>2995</v>
      </c>
      <c r="AJ57" s="122">
        <v>2722</v>
      </c>
      <c r="AK57">
        <v>85</v>
      </c>
      <c r="AL57">
        <v>367</v>
      </c>
      <c r="AM57">
        <v>334</v>
      </c>
      <c r="AN57" s="122">
        <v>1983</v>
      </c>
      <c r="AO57">
        <v>734</v>
      </c>
      <c r="AP57">
        <v>945</v>
      </c>
      <c r="AQ57">
        <v>350</v>
      </c>
      <c r="AR57" s="122">
        <v>7171</v>
      </c>
      <c r="AS57" s="122">
        <v>6519</v>
      </c>
      <c r="AT57" s="122">
        <v>2459</v>
      </c>
      <c r="AU57">
        <v>911</v>
      </c>
      <c r="AV57" s="122">
        <v>11570</v>
      </c>
    </row>
    <row r="58" spans="2:48">
      <c r="B58" t="s">
        <v>362</v>
      </c>
      <c r="C58" t="s">
        <v>64</v>
      </c>
      <c r="D58" s="122" t="s">
        <v>406</v>
      </c>
      <c r="E58" s="122" t="s">
        <v>406</v>
      </c>
      <c r="F58" s="122">
        <v>5</v>
      </c>
      <c r="G58" s="122">
        <v>377</v>
      </c>
      <c r="H58" s="122">
        <v>3410</v>
      </c>
      <c r="I58" s="122">
        <v>182799</v>
      </c>
      <c r="J58" s="122">
        <v>166181</v>
      </c>
      <c r="K58" s="122">
        <v>64</v>
      </c>
      <c r="L58" s="122">
        <v>21167</v>
      </c>
      <c r="M58" s="122">
        <v>19242</v>
      </c>
      <c r="N58" s="122">
        <v>6675</v>
      </c>
      <c r="O58" s="122">
        <v>2472</v>
      </c>
      <c r="P58" s="122">
        <v>3105</v>
      </c>
      <c r="Q58" s="122">
        <v>1150</v>
      </c>
      <c r="R58" s="122">
        <v>23500</v>
      </c>
      <c r="S58" s="122">
        <v>21364</v>
      </c>
      <c r="T58" s="122">
        <v>10912</v>
      </c>
      <c r="U58" s="122">
        <v>4042</v>
      </c>
      <c r="V58" s="122">
        <v>214451</v>
      </c>
      <c r="W58" s="122">
        <f t="shared" si="0"/>
        <v>214451</v>
      </c>
      <c r="X58" s="122">
        <f t="shared" si="1"/>
        <v>248158</v>
      </c>
      <c r="Y58" s="122"/>
      <c r="AA58" t="s">
        <v>50</v>
      </c>
      <c r="AB58" t="s">
        <v>407</v>
      </c>
      <c r="AC58" t="s">
        <v>407</v>
      </c>
      <c r="AD58" t="s">
        <v>407</v>
      </c>
      <c r="AE58" t="s">
        <v>566</v>
      </c>
      <c r="AF58">
        <v>105</v>
      </c>
      <c r="AG58" s="122">
        <v>10986</v>
      </c>
      <c r="AH58" s="122">
        <v>9689</v>
      </c>
      <c r="AI58" s="122">
        <v>346650</v>
      </c>
      <c r="AJ58" s="122">
        <v>315136</v>
      </c>
      <c r="AK58">
        <v>86</v>
      </c>
      <c r="AL58" s="122">
        <v>51064</v>
      </c>
      <c r="AM58" s="122">
        <v>46422</v>
      </c>
      <c r="AN58" s="122">
        <v>177153</v>
      </c>
      <c r="AO58" s="122">
        <v>65612</v>
      </c>
      <c r="AP58" s="122">
        <v>59236</v>
      </c>
      <c r="AQ58" s="122">
        <v>21939</v>
      </c>
      <c r="AR58" s="122">
        <v>380675</v>
      </c>
      <c r="AS58" s="122">
        <v>346068</v>
      </c>
      <c r="AT58">
        <v>0</v>
      </c>
      <c r="AU58">
        <v>0</v>
      </c>
      <c r="AV58" s="122">
        <v>795178</v>
      </c>
    </row>
    <row r="59" spans="2:48">
      <c r="B59" t="s">
        <v>362</v>
      </c>
      <c r="C59" t="s">
        <v>64</v>
      </c>
      <c r="D59" s="122" t="s">
        <v>407</v>
      </c>
      <c r="E59" s="122" t="s">
        <v>137</v>
      </c>
      <c r="F59" s="122">
        <v>1</v>
      </c>
      <c r="G59" s="122">
        <v>36</v>
      </c>
      <c r="H59" s="122">
        <v>476</v>
      </c>
      <c r="I59" s="122">
        <v>5287</v>
      </c>
      <c r="J59" s="122">
        <v>4806</v>
      </c>
      <c r="K59" s="122">
        <v>79</v>
      </c>
      <c r="L59" s="122">
        <v>1472</v>
      </c>
      <c r="M59" s="122">
        <v>1339</v>
      </c>
      <c r="N59" s="122">
        <v>877</v>
      </c>
      <c r="O59" s="122">
        <v>325</v>
      </c>
      <c r="P59" s="122">
        <v>473</v>
      </c>
      <c r="Q59" s="122">
        <v>175</v>
      </c>
      <c r="R59" s="122">
        <v>9040</v>
      </c>
      <c r="S59" s="122">
        <v>3348</v>
      </c>
      <c r="T59">
        <v>0</v>
      </c>
      <c r="U59" s="122">
        <v>0</v>
      </c>
      <c r="V59" s="122">
        <v>9993</v>
      </c>
      <c r="W59" s="122">
        <f t="shared" si="0"/>
        <v>9993</v>
      </c>
      <c r="X59" s="122">
        <f t="shared" si="1"/>
        <v>17149</v>
      </c>
      <c r="Y59" s="122"/>
      <c r="AA59" t="s">
        <v>50</v>
      </c>
      <c r="AB59" t="s">
        <v>407</v>
      </c>
      <c r="AC59" t="s">
        <v>579</v>
      </c>
      <c r="AD59" t="s">
        <v>407</v>
      </c>
      <c r="AE59" t="s">
        <v>137</v>
      </c>
      <c r="AF59">
        <v>1</v>
      </c>
      <c r="AG59">
        <v>157</v>
      </c>
      <c r="AH59">
        <v>79</v>
      </c>
      <c r="AI59" s="122">
        <v>7083</v>
      </c>
      <c r="AJ59" s="122">
        <v>6439</v>
      </c>
      <c r="AK59">
        <v>90</v>
      </c>
      <c r="AL59" s="122">
        <v>2581</v>
      </c>
      <c r="AM59" s="122">
        <v>2151</v>
      </c>
      <c r="AN59" s="122">
        <v>2907</v>
      </c>
      <c r="AO59" s="122">
        <v>1077</v>
      </c>
      <c r="AP59">
        <v>473</v>
      </c>
      <c r="AQ59">
        <v>175</v>
      </c>
      <c r="AR59" s="122">
        <v>5709</v>
      </c>
      <c r="AS59" s="122">
        <v>5190</v>
      </c>
      <c r="AT59">
        <v>0</v>
      </c>
      <c r="AU59">
        <v>0</v>
      </c>
      <c r="AV59" s="122">
        <v>15032</v>
      </c>
    </row>
    <row r="60" spans="2:48">
      <c r="B60" t="s">
        <v>362</v>
      </c>
      <c r="C60" t="s">
        <v>64</v>
      </c>
      <c r="D60" t="s">
        <v>407</v>
      </c>
      <c r="E60" t="s">
        <v>407</v>
      </c>
      <c r="F60">
        <v>4</v>
      </c>
      <c r="G60" s="122">
        <v>146</v>
      </c>
      <c r="H60" s="122">
        <v>2254</v>
      </c>
      <c r="I60" s="122">
        <v>50841</v>
      </c>
      <c r="J60" s="122">
        <v>46219</v>
      </c>
      <c r="K60" s="122">
        <v>76</v>
      </c>
      <c r="L60" s="122">
        <v>9147</v>
      </c>
      <c r="M60" s="122">
        <v>5946</v>
      </c>
      <c r="N60" s="122">
        <v>3427</v>
      </c>
      <c r="O60" s="122">
        <v>1269</v>
      </c>
      <c r="P60" s="122">
        <v>1890</v>
      </c>
      <c r="Q60" s="122">
        <v>700</v>
      </c>
      <c r="R60" s="122">
        <v>15827</v>
      </c>
      <c r="S60" s="122">
        <v>14388</v>
      </c>
      <c r="T60" s="122">
        <v>1699</v>
      </c>
      <c r="U60" s="122">
        <v>629</v>
      </c>
      <c r="V60" s="122">
        <v>69151</v>
      </c>
      <c r="W60" s="122">
        <f t="shared" si="0"/>
        <v>69151</v>
      </c>
      <c r="X60" s="122">
        <f t="shared" si="1"/>
        <v>82831</v>
      </c>
      <c r="Y60" s="122"/>
      <c r="AA60" t="s">
        <v>50</v>
      </c>
      <c r="AB60" t="s">
        <v>407</v>
      </c>
      <c r="AC60" t="s">
        <v>579</v>
      </c>
      <c r="AD60" t="s">
        <v>407</v>
      </c>
      <c r="AE60" t="s">
        <v>566</v>
      </c>
      <c r="AF60">
        <v>9</v>
      </c>
      <c r="AG60">
        <v>872</v>
      </c>
      <c r="AH60">
        <v>788</v>
      </c>
      <c r="AI60" s="122">
        <v>23138</v>
      </c>
      <c r="AJ60" s="122">
        <v>21035</v>
      </c>
      <c r="AK60">
        <v>90</v>
      </c>
      <c r="AL60" s="122">
        <v>5736</v>
      </c>
      <c r="AM60" s="122">
        <v>4780</v>
      </c>
      <c r="AN60" s="122">
        <v>12294</v>
      </c>
      <c r="AO60" s="122">
        <v>4553</v>
      </c>
      <c r="AP60" s="122">
        <v>6133</v>
      </c>
      <c r="AQ60" s="122">
        <v>2271</v>
      </c>
      <c r="AR60" s="122">
        <v>33336</v>
      </c>
      <c r="AS60" s="122">
        <v>30305</v>
      </c>
      <c r="AT60">
        <v>0</v>
      </c>
      <c r="AU60">
        <v>0</v>
      </c>
      <c r="AV60" s="122">
        <v>62945</v>
      </c>
    </row>
    <row r="61" spans="2:48">
      <c r="B61" t="s">
        <v>362</v>
      </c>
      <c r="C61" t="s">
        <v>64</v>
      </c>
      <c r="D61" t="s">
        <v>556</v>
      </c>
      <c r="E61" t="s">
        <v>137</v>
      </c>
      <c r="F61">
        <v>2</v>
      </c>
      <c r="G61" s="122">
        <v>124</v>
      </c>
      <c r="H61" s="122">
        <v>2569</v>
      </c>
      <c r="I61" s="122">
        <v>148387</v>
      </c>
      <c r="J61" s="122">
        <v>123656</v>
      </c>
      <c r="K61" s="122">
        <v>30</v>
      </c>
      <c r="L61" s="122">
        <v>13203</v>
      </c>
      <c r="M61" s="122">
        <v>11002</v>
      </c>
      <c r="N61" s="122">
        <v>2567</v>
      </c>
      <c r="O61" s="122">
        <v>951</v>
      </c>
      <c r="P61" s="122">
        <v>0</v>
      </c>
      <c r="Q61" s="122">
        <v>0</v>
      </c>
      <c r="R61" s="122">
        <v>7960</v>
      </c>
      <c r="S61" s="122">
        <v>2948</v>
      </c>
      <c r="T61" s="122">
        <v>0</v>
      </c>
      <c r="U61" s="122">
        <v>0</v>
      </c>
      <c r="V61" s="122">
        <v>138557</v>
      </c>
      <c r="W61" s="122">
        <f t="shared" si="0"/>
        <v>138557</v>
      </c>
      <c r="X61" s="122">
        <f t="shared" si="1"/>
        <v>172117</v>
      </c>
      <c r="Y61" s="122"/>
      <c r="AA61" t="s">
        <v>50</v>
      </c>
      <c r="AB61" t="s">
        <v>407</v>
      </c>
      <c r="AC61" t="s">
        <v>426</v>
      </c>
      <c r="AD61" t="s">
        <v>407</v>
      </c>
      <c r="AE61" t="s">
        <v>137</v>
      </c>
      <c r="AF61">
        <v>3</v>
      </c>
      <c r="AG61">
        <v>360</v>
      </c>
      <c r="AH61">
        <v>281</v>
      </c>
      <c r="AI61" s="122">
        <v>12607</v>
      </c>
      <c r="AJ61" s="122">
        <v>11461</v>
      </c>
      <c r="AK61">
        <v>90</v>
      </c>
      <c r="AL61" s="122">
        <v>4202</v>
      </c>
      <c r="AM61" s="122">
        <v>3820</v>
      </c>
      <c r="AN61" s="122">
        <v>4390</v>
      </c>
      <c r="AO61" s="122">
        <v>1626</v>
      </c>
      <c r="AP61" s="122">
        <v>1418</v>
      </c>
      <c r="AQ61">
        <v>525</v>
      </c>
      <c r="AR61" s="122">
        <v>11104</v>
      </c>
      <c r="AS61" s="122">
        <v>10094</v>
      </c>
      <c r="AT61">
        <v>0</v>
      </c>
      <c r="AU61">
        <v>0</v>
      </c>
      <c r="AV61" s="122">
        <v>27527</v>
      </c>
    </row>
    <row r="62" spans="2:48">
      <c r="B62" t="s">
        <v>362</v>
      </c>
      <c r="C62" t="s">
        <v>64</v>
      </c>
      <c r="D62" t="s">
        <v>426</v>
      </c>
      <c r="E62" s="122" t="s">
        <v>137</v>
      </c>
      <c r="F62" s="122">
        <v>1</v>
      </c>
      <c r="G62" s="122">
        <v>125</v>
      </c>
      <c r="H62" s="122">
        <v>1081</v>
      </c>
      <c r="I62" s="122">
        <v>112309</v>
      </c>
      <c r="J62" s="122">
        <v>102099</v>
      </c>
      <c r="K62" s="122">
        <v>30</v>
      </c>
      <c r="L62" s="122">
        <v>9189</v>
      </c>
      <c r="M62" s="122">
        <v>3403</v>
      </c>
      <c r="N62" s="122">
        <v>3043</v>
      </c>
      <c r="O62" s="122">
        <v>1127</v>
      </c>
      <c r="P62" s="122">
        <v>0</v>
      </c>
      <c r="Q62" s="122">
        <v>0</v>
      </c>
      <c r="R62" s="122">
        <v>10443</v>
      </c>
      <c r="S62" s="122">
        <v>3868</v>
      </c>
      <c r="T62">
        <v>0</v>
      </c>
      <c r="U62" s="122">
        <v>0</v>
      </c>
      <c r="V62" s="122">
        <v>110497</v>
      </c>
      <c r="W62" s="122">
        <f t="shared" si="0"/>
        <v>110497</v>
      </c>
      <c r="X62" s="122">
        <f t="shared" si="1"/>
        <v>134984</v>
      </c>
      <c r="Y62" s="122"/>
      <c r="AA62" t="s">
        <v>50</v>
      </c>
      <c r="AB62" t="s">
        <v>407</v>
      </c>
      <c r="AC62" t="s">
        <v>426</v>
      </c>
      <c r="AD62" t="s">
        <v>407</v>
      </c>
      <c r="AE62" t="s">
        <v>566</v>
      </c>
      <c r="AF62">
        <v>1</v>
      </c>
      <c r="AG62">
        <v>69</v>
      </c>
      <c r="AH62">
        <v>78</v>
      </c>
      <c r="AI62">
        <v>-292</v>
      </c>
      <c r="AJ62">
        <v>-266</v>
      </c>
      <c r="AK62">
        <v>90</v>
      </c>
      <c r="AL62">
        <v>-36</v>
      </c>
      <c r="AM62">
        <v>-33</v>
      </c>
      <c r="AN62">
        <v>840</v>
      </c>
      <c r="AO62">
        <v>311</v>
      </c>
      <c r="AP62" s="122">
        <v>1058</v>
      </c>
      <c r="AQ62">
        <v>392</v>
      </c>
      <c r="AR62" s="122">
        <v>3827</v>
      </c>
      <c r="AS62" s="122">
        <v>3480</v>
      </c>
      <c r="AT62">
        <v>0</v>
      </c>
      <c r="AU62">
        <v>0</v>
      </c>
      <c r="AV62" s="122">
        <v>3884</v>
      </c>
    </row>
    <row r="63" spans="2:48">
      <c r="B63" t="s">
        <v>363</v>
      </c>
      <c r="C63" t="s">
        <v>48</v>
      </c>
      <c r="E63" s="122"/>
      <c r="F63" s="122">
        <v>1</v>
      </c>
      <c r="G63" s="122">
        <v>66</v>
      </c>
      <c r="H63" s="122">
        <v>74</v>
      </c>
      <c r="I63" s="122"/>
      <c r="J63" s="122">
        <v>0</v>
      </c>
      <c r="K63" s="122"/>
      <c r="L63" s="122"/>
      <c r="M63" s="122">
        <v>0</v>
      </c>
      <c r="N63" s="122">
        <v>804</v>
      </c>
      <c r="O63" s="122">
        <v>298</v>
      </c>
      <c r="P63" s="122">
        <v>0</v>
      </c>
      <c r="Q63" s="122">
        <v>0</v>
      </c>
      <c r="R63" s="122"/>
      <c r="S63" s="122">
        <v>0</v>
      </c>
      <c r="T63" s="122">
        <v>0</v>
      </c>
      <c r="U63" s="122">
        <v>0</v>
      </c>
      <c r="V63">
        <v>298</v>
      </c>
      <c r="W63" s="122">
        <f t="shared" si="0"/>
        <v>298</v>
      </c>
      <c r="X63" s="122">
        <f t="shared" si="1"/>
        <v>804</v>
      </c>
      <c r="Y63" s="122"/>
      <c r="AA63" t="s">
        <v>50</v>
      </c>
      <c r="AB63" t="s">
        <v>407</v>
      </c>
      <c r="AC63" t="s">
        <v>566</v>
      </c>
      <c r="AD63" t="s">
        <v>407</v>
      </c>
      <c r="AE63" t="s">
        <v>137</v>
      </c>
      <c r="AF63">
        <v>229</v>
      </c>
      <c r="AG63" s="122">
        <v>17877</v>
      </c>
      <c r="AH63" s="122">
        <v>20820</v>
      </c>
      <c r="AI63" s="122">
        <v>486053</v>
      </c>
      <c r="AJ63" s="122">
        <v>441867</v>
      </c>
      <c r="AK63">
        <v>89</v>
      </c>
      <c r="AL63">
        <v>0</v>
      </c>
      <c r="AM63">
        <v>0</v>
      </c>
      <c r="AN63" s="122">
        <v>262104</v>
      </c>
      <c r="AO63" s="122">
        <v>97076</v>
      </c>
      <c r="AP63" s="122">
        <v>115389</v>
      </c>
      <c r="AQ63" s="122">
        <v>42737</v>
      </c>
      <c r="AR63" s="122">
        <v>609238</v>
      </c>
      <c r="AS63" s="122">
        <v>553852</v>
      </c>
      <c r="AT63" s="122">
        <v>150650</v>
      </c>
      <c r="AU63" s="122">
        <v>55796</v>
      </c>
      <c r="AV63" s="122">
        <v>1191328</v>
      </c>
    </row>
    <row r="64" spans="2:48">
      <c r="B64" t="s">
        <v>363</v>
      </c>
      <c r="C64" t="s">
        <v>48</v>
      </c>
      <c r="D64" t="s">
        <v>137</v>
      </c>
      <c r="E64" s="122" t="s">
        <v>137</v>
      </c>
      <c r="F64" s="122">
        <v>2</v>
      </c>
      <c r="G64">
        <v>142</v>
      </c>
      <c r="H64" s="122">
        <v>123</v>
      </c>
      <c r="I64" s="122">
        <v>973</v>
      </c>
      <c r="J64" s="122">
        <v>360</v>
      </c>
      <c r="K64" s="122">
        <v>488</v>
      </c>
      <c r="L64">
        <v>0</v>
      </c>
      <c r="M64" s="122">
        <v>0</v>
      </c>
      <c r="N64" s="122">
        <v>1735</v>
      </c>
      <c r="O64" s="122">
        <v>642</v>
      </c>
      <c r="P64">
        <v>702</v>
      </c>
      <c r="Q64" s="122">
        <v>260</v>
      </c>
      <c r="R64" s="122">
        <v>5370</v>
      </c>
      <c r="S64" s="122">
        <v>1989</v>
      </c>
      <c r="T64">
        <v>0</v>
      </c>
      <c r="U64" s="122">
        <v>0</v>
      </c>
      <c r="V64" s="122">
        <v>3252</v>
      </c>
      <c r="W64" s="122">
        <f t="shared" si="0"/>
        <v>3251</v>
      </c>
      <c r="X64" s="122">
        <f t="shared" si="1"/>
        <v>8780</v>
      </c>
      <c r="Y64" s="122"/>
      <c r="AA64" t="s">
        <v>50</v>
      </c>
      <c r="AB64" t="s">
        <v>407</v>
      </c>
      <c r="AC64" t="s">
        <v>566</v>
      </c>
      <c r="AD64" t="s">
        <v>407</v>
      </c>
      <c r="AE64" t="s">
        <v>566</v>
      </c>
      <c r="AF64" s="122">
        <v>1704</v>
      </c>
      <c r="AG64" s="122">
        <v>137869</v>
      </c>
      <c r="AH64" s="122">
        <v>156050</v>
      </c>
      <c r="AI64" s="122">
        <v>3783498</v>
      </c>
      <c r="AJ64" s="122">
        <v>3439543</v>
      </c>
      <c r="AK64">
        <v>88</v>
      </c>
      <c r="AL64" s="122">
        <v>1244</v>
      </c>
      <c r="AM64" s="122">
        <v>5194</v>
      </c>
      <c r="AN64" s="122">
        <v>2552766</v>
      </c>
      <c r="AO64" s="122">
        <v>945469</v>
      </c>
      <c r="AP64" s="122">
        <v>963888</v>
      </c>
      <c r="AQ64" s="122">
        <v>356996</v>
      </c>
      <c r="AR64" s="122">
        <v>5321181</v>
      </c>
      <c r="AS64" s="122">
        <v>4837437</v>
      </c>
      <c r="AT64">
        <v>0</v>
      </c>
      <c r="AU64">
        <v>0</v>
      </c>
      <c r="AV64" s="122">
        <v>9584638</v>
      </c>
    </row>
    <row r="65" spans="2:48">
      <c r="B65" t="s">
        <v>363</v>
      </c>
      <c r="C65" t="s">
        <v>50</v>
      </c>
      <c r="F65" s="122">
        <v>1</v>
      </c>
      <c r="G65" s="122">
        <v>66</v>
      </c>
      <c r="H65" s="122">
        <v>75</v>
      </c>
      <c r="I65" s="122"/>
      <c r="J65" s="122">
        <v>0</v>
      </c>
      <c r="K65" s="122"/>
      <c r="L65" s="122"/>
      <c r="M65" s="122">
        <v>0</v>
      </c>
      <c r="N65" s="122">
        <v>804</v>
      </c>
      <c r="O65">
        <v>298</v>
      </c>
      <c r="P65">
        <v>0</v>
      </c>
      <c r="Q65" s="122">
        <v>0</v>
      </c>
      <c r="R65" s="122"/>
      <c r="S65">
        <v>0</v>
      </c>
      <c r="T65">
        <v>0</v>
      </c>
      <c r="U65" s="122">
        <v>0</v>
      </c>
      <c r="V65">
        <v>298</v>
      </c>
      <c r="W65" s="122">
        <f t="shared" si="0"/>
        <v>298</v>
      </c>
      <c r="X65" s="122">
        <f t="shared" si="1"/>
        <v>804</v>
      </c>
      <c r="Y65" s="122"/>
      <c r="AA65" t="s">
        <v>50</v>
      </c>
      <c r="AB65" t="s">
        <v>407</v>
      </c>
      <c r="AC65" t="s">
        <v>433</v>
      </c>
      <c r="AD65" t="s">
        <v>407</v>
      </c>
      <c r="AE65" t="s">
        <v>566</v>
      </c>
      <c r="AF65">
        <v>4</v>
      </c>
      <c r="AG65">
        <v>293</v>
      </c>
      <c r="AH65">
        <v>383</v>
      </c>
      <c r="AI65" s="122">
        <v>9575</v>
      </c>
      <c r="AJ65" s="122">
        <v>8704</v>
      </c>
      <c r="AK65">
        <v>90</v>
      </c>
      <c r="AL65" s="122">
        <v>1588</v>
      </c>
      <c r="AM65" s="122">
        <v>1444</v>
      </c>
      <c r="AN65" s="122">
        <v>3565</v>
      </c>
      <c r="AO65" s="122">
        <v>1320</v>
      </c>
      <c r="AP65" s="122">
        <v>1890</v>
      </c>
      <c r="AQ65">
        <v>700</v>
      </c>
      <c r="AR65" s="122">
        <v>11305</v>
      </c>
      <c r="AS65" s="122">
        <v>10277</v>
      </c>
      <c r="AT65">
        <v>0</v>
      </c>
      <c r="AU65">
        <v>0</v>
      </c>
      <c r="AV65" s="122">
        <v>22445</v>
      </c>
    </row>
    <row r="66" spans="2:48">
      <c r="B66" t="s">
        <v>363</v>
      </c>
      <c r="C66" t="s">
        <v>50</v>
      </c>
      <c r="D66" t="s">
        <v>406</v>
      </c>
      <c r="E66" s="122" t="s">
        <v>406</v>
      </c>
      <c r="F66" s="122">
        <v>1</v>
      </c>
      <c r="G66" s="122">
        <v>51</v>
      </c>
      <c r="H66" s="122">
        <v>99</v>
      </c>
      <c r="I66" s="122">
        <v>602</v>
      </c>
      <c r="J66" s="122">
        <v>547</v>
      </c>
      <c r="K66" s="122">
        <v>95</v>
      </c>
      <c r="L66" s="122">
        <v>106</v>
      </c>
      <c r="M66" s="122">
        <v>96</v>
      </c>
      <c r="N66">
        <v>692</v>
      </c>
      <c r="O66">
        <v>256</v>
      </c>
      <c r="P66">
        <v>621</v>
      </c>
      <c r="Q66" s="122">
        <v>230</v>
      </c>
      <c r="R66" s="122">
        <v>2990</v>
      </c>
      <c r="S66" s="122">
        <v>2718</v>
      </c>
      <c r="T66">
        <v>0</v>
      </c>
      <c r="U66" s="122">
        <v>0</v>
      </c>
      <c r="V66" s="122">
        <v>3847</v>
      </c>
      <c r="W66" s="122">
        <f t="shared" si="0"/>
        <v>3847</v>
      </c>
      <c r="X66" s="122">
        <f t="shared" si="1"/>
        <v>5011</v>
      </c>
      <c r="Y66" s="122"/>
      <c r="AA66" t="s">
        <v>50</v>
      </c>
      <c r="AB66" t="s">
        <v>408</v>
      </c>
      <c r="AC66" t="s">
        <v>137</v>
      </c>
      <c r="AD66" t="s">
        <v>408</v>
      </c>
      <c r="AE66" t="s">
        <v>566</v>
      </c>
      <c r="AF66">
        <v>1</v>
      </c>
      <c r="AG66">
        <v>70</v>
      </c>
      <c r="AH66">
        <v>78</v>
      </c>
      <c r="AI66">
        <v>-845</v>
      </c>
      <c r="AJ66">
        <v>-768</v>
      </c>
      <c r="AK66">
        <v>65</v>
      </c>
      <c r="AL66">
        <v>-150</v>
      </c>
      <c r="AM66">
        <v>-55</v>
      </c>
      <c r="AN66" s="122">
        <v>1141</v>
      </c>
      <c r="AO66">
        <v>423</v>
      </c>
      <c r="AP66">
        <v>351</v>
      </c>
      <c r="AQ66">
        <v>130</v>
      </c>
      <c r="AR66" s="122">
        <v>4970</v>
      </c>
      <c r="AS66" s="122">
        <v>4518</v>
      </c>
      <c r="AT66">
        <v>0</v>
      </c>
      <c r="AU66">
        <v>0</v>
      </c>
      <c r="AV66" s="122">
        <v>4247</v>
      </c>
    </row>
    <row r="67" spans="2:48">
      <c r="B67" t="s">
        <v>363</v>
      </c>
      <c r="C67" t="s">
        <v>52</v>
      </c>
      <c r="E67" s="122"/>
      <c r="F67" s="122">
        <v>24</v>
      </c>
      <c r="G67" s="122">
        <v>1594</v>
      </c>
      <c r="H67" s="122">
        <v>2636</v>
      </c>
      <c r="I67" s="122"/>
      <c r="J67" s="122">
        <v>0</v>
      </c>
      <c r="K67" s="122"/>
      <c r="L67" s="122"/>
      <c r="M67" s="122">
        <v>0</v>
      </c>
      <c r="N67" s="122">
        <v>36524</v>
      </c>
      <c r="O67" s="122">
        <v>13527</v>
      </c>
      <c r="P67" s="122">
        <v>7020</v>
      </c>
      <c r="Q67" s="122">
        <v>2600</v>
      </c>
      <c r="R67" s="122"/>
      <c r="S67">
        <v>0</v>
      </c>
      <c r="T67">
        <v>0</v>
      </c>
      <c r="U67" s="122">
        <v>0</v>
      </c>
      <c r="V67" s="122">
        <v>16127</v>
      </c>
      <c r="W67" s="122">
        <f t="shared" si="0"/>
        <v>16127</v>
      </c>
      <c r="X67" s="122">
        <f t="shared" si="1"/>
        <v>43544</v>
      </c>
      <c r="Y67" s="122"/>
      <c r="AA67" t="s">
        <v>50</v>
      </c>
      <c r="AB67" t="s">
        <v>408</v>
      </c>
      <c r="AC67" t="s">
        <v>407</v>
      </c>
      <c r="AD67" t="s">
        <v>408</v>
      </c>
      <c r="AE67" t="s">
        <v>566</v>
      </c>
      <c r="AF67">
        <v>1</v>
      </c>
      <c r="AG67">
        <v>98</v>
      </c>
      <c r="AH67">
        <v>95</v>
      </c>
      <c r="AI67" s="122">
        <v>3070</v>
      </c>
      <c r="AJ67" s="122">
        <v>2791</v>
      </c>
      <c r="AK67">
        <v>75</v>
      </c>
      <c r="AL67">
        <v>324</v>
      </c>
      <c r="AM67">
        <v>294</v>
      </c>
      <c r="AN67" s="122">
        <v>1192</v>
      </c>
      <c r="AO67">
        <v>441</v>
      </c>
      <c r="AP67">
        <v>351</v>
      </c>
      <c r="AQ67">
        <v>130</v>
      </c>
      <c r="AR67" s="122">
        <v>4331</v>
      </c>
      <c r="AS67" s="122">
        <v>3937</v>
      </c>
      <c r="AT67">
        <v>0</v>
      </c>
      <c r="AU67">
        <v>0</v>
      </c>
      <c r="AV67" s="122">
        <v>7594</v>
      </c>
    </row>
    <row r="68" spans="2:48">
      <c r="B68" t="s">
        <v>363</v>
      </c>
      <c r="C68" t="s">
        <v>52</v>
      </c>
      <c r="D68" s="122" t="s">
        <v>425</v>
      </c>
      <c r="E68" s="122" t="s">
        <v>425</v>
      </c>
      <c r="F68" s="122">
        <v>1</v>
      </c>
      <c r="G68" s="122">
        <v>162</v>
      </c>
      <c r="H68" s="122">
        <v>115</v>
      </c>
      <c r="I68" s="122">
        <v>9947</v>
      </c>
      <c r="J68" s="122">
        <v>9043</v>
      </c>
      <c r="K68" s="122">
        <v>82</v>
      </c>
      <c r="L68" s="122">
        <v>0</v>
      </c>
      <c r="M68" s="122">
        <v>0</v>
      </c>
      <c r="N68" s="122">
        <v>3946</v>
      </c>
      <c r="O68" s="122">
        <v>1461</v>
      </c>
      <c r="P68" s="122">
        <v>473</v>
      </c>
      <c r="Q68" s="122">
        <v>175</v>
      </c>
      <c r="R68" s="122">
        <v>4267</v>
      </c>
      <c r="S68" s="122">
        <v>3879</v>
      </c>
      <c r="T68" s="122">
        <v>0</v>
      </c>
      <c r="U68" s="122">
        <v>0</v>
      </c>
      <c r="V68" s="122">
        <v>14559</v>
      </c>
      <c r="W68" s="122">
        <f t="shared" si="0"/>
        <v>14558</v>
      </c>
      <c r="X68" s="122">
        <f t="shared" si="1"/>
        <v>18633</v>
      </c>
      <c r="Y68" s="122"/>
      <c r="AA68" t="s">
        <v>52</v>
      </c>
      <c r="AC68" t="s">
        <v>566</v>
      </c>
      <c r="AE68" t="s">
        <v>566</v>
      </c>
      <c r="AF68" s="122">
        <v>1018</v>
      </c>
      <c r="AG68" s="122">
        <v>78778</v>
      </c>
      <c r="AH68" s="122">
        <v>114934</v>
      </c>
      <c r="AJ68">
        <v>0</v>
      </c>
      <c r="AM68">
        <v>0</v>
      </c>
      <c r="AN68" s="122">
        <v>1619080</v>
      </c>
      <c r="AO68" s="122">
        <v>599659</v>
      </c>
      <c r="AP68" s="122">
        <v>386228</v>
      </c>
      <c r="AQ68" s="122">
        <v>143047</v>
      </c>
      <c r="AS68">
        <v>0</v>
      </c>
      <c r="AT68" s="122">
        <v>73014</v>
      </c>
      <c r="AU68" s="122">
        <v>27042</v>
      </c>
      <c r="AV68" s="122">
        <v>769749</v>
      </c>
    </row>
    <row r="69" spans="2:48">
      <c r="B69" t="s">
        <v>363</v>
      </c>
      <c r="C69" t="s">
        <v>52</v>
      </c>
      <c r="D69" s="122" t="s">
        <v>406</v>
      </c>
      <c r="E69" s="122" t="s">
        <v>406</v>
      </c>
      <c r="F69" s="122">
        <v>3</v>
      </c>
      <c r="G69" s="122">
        <v>506</v>
      </c>
      <c r="H69" s="122">
        <v>338</v>
      </c>
      <c r="I69" s="122">
        <v>31391</v>
      </c>
      <c r="J69" s="122">
        <v>28537</v>
      </c>
      <c r="K69" s="122">
        <v>96</v>
      </c>
      <c r="L69" s="122">
        <v>5588</v>
      </c>
      <c r="M69" s="122">
        <v>5080</v>
      </c>
      <c r="N69" s="122">
        <v>7742</v>
      </c>
      <c r="O69" s="122">
        <v>2868</v>
      </c>
      <c r="P69" s="122">
        <v>1863</v>
      </c>
      <c r="Q69" s="122">
        <v>690</v>
      </c>
      <c r="R69" s="122">
        <v>12093</v>
      </c>
      <c r="S69" s="122">
        <v>10993</v>
      </c>
      <c r="T69">
        <v>0</v>
      </c>
      <c r="U69" s="122">
        <v>0</v>
      </c>
      <c r="V69" s="122">
        <v>48169</v>
      </c>
      <c r="W69" s="122">
        <f t="shared" si="0"/>
        <v>48168</v>
      </c>
      <c r="X69" s="122">
        <f t="shared" si="1"/>
        <v>58677</v>
      </c>
      <c r="Y69" s="122"/>
      <c r="AA69" t="s">
        <v>52</v>
      </c>
      <c r="AB69" t="s">
        <v>425</v>
      </c>
      <c r="AC69" t="s">
        <v>566</v>
      </c>
      <c r="AD69" t="s">
        <v>425</v>
      </c>
      <c r="AE69" t="s">
        <v>566</v>
      </c>
      <c r="AF69">
        <v>9</v>
      </c>
      <c r="AG69" s="122">
        <v>1024</v>
      </c>
      <c r="AH69" s="122">
        <v>1028</v>
      </c>
      <c r="AI69" s="122">
        <v>54100</v>
      </c>
      <c r="AJ69" s="122">
        <v>49182</v>
      </c>
      <c r="AK69">
        <v>87</v>
      </c>
      <c r="AL69">
        <v>0</v>
      </c>
      <c r="AM69" s="122">
        <v>5357</v>
      </c>
      <c r="AN69" s="122">
        <v>19236</v>
      </c>
      <c r="AO69" s="122">
        <v>7125</v>
      </c>
      <c r="AP69" s="122">
        <v>4253</v>
      </c>
      <c r="AQ69" s="122">
        <v>1575</v>
      </c>
      <c r="AR69" s="122">
        <v>38767</v>
      </c>
      <c r="AS69" s="122">
        <v>35242</v>
      </c>
      <c r="AT69">
        <v>0</v>
      </c>
      <c r="AU69">
        <v>0</v>
      </c>
      <c r="AV69" s="122">
        <v>98481</v>
      </c>
    </row>
    <row r="70" spans="2:48">
      <c r="B70" t="s">
        <v>363</v>
      </c>
      <c r="C70" t="s">
        <v>52</v>
      </c>
      <c r="D70" t="s">
        <v>407</v>
      </c>
      <c r="E70" t="s">
        <v>407</v>
      </c>
      <c r="F70" s="122">
        <v>2</v>
      </c>
      <c r="G70" s="122">
        <v>227</v>
      </c>
      <c r="H70" s="122">
        <v>244</v>
      </c>
      <c r="I70" s="122">
        <v>11175</v>
      </c>
      <c r="J70" s="122">
        <v>10159</v>
      </c>
      <c r="K70" s="122">
        <v>80</v>
      </c>
      <c r="L70">
        <v>0</v>
      </c>
      <c r="M70" s="122">
        <v>0</v>
      </c>
      <c r="N70" s="122">
        <v>4098</v>
      </c>
      <c r="O70" s="122">
        <v>1518</v>
      </c>
      <c r="P70" s="122">
        <v>945</v>
      </c>
      <c r="Q70" s="122">
        <v>350</v>
      </c>
      <c r="R70" s="122">
        <v>11710</v>
      </c>
      <c r="S70" s="122">
        <v>10646</v>
      </c>
      <c r="T70">
        <v>0</v>
      </c>
      <c r="U70" s="122">
        <v>0</v>
      </c>
      <c r="V70" s="122">
        <v>22673</v>
      </c>
      <c r="W70" s="122">
        <f t="shared" si="0"/>
        <v>22673</v>
      </c>
      <c r="X70" s="122">
        <f t="shared" si="1"/>
        <v>27928</v>
      </c>
      <c r="Y70" s="122"/>
      <c r="AA70" t="s">
        <v>52</v>
      </c>
      <c r="AB70" t="s">
        <v>425</v>
      </c>
      <c r="AC70" t="s">
        <v>566</v>
      </c>
      <c r="AD70" t="s">
        <v>407</v>
      </c>
      <c r="AE70" t="s">
        <v>566</v>
      </c>
      <c r="AF70">
        <v>2</v>
      </c>
      <c r="AG70">
        <v>146</v>
      </c>
      <c r="AH70">
        <v>205</v>
      </c>
      <c r="AI70" s="122">
        <v>3232</v>
      </c>
      <c r="AJ70" s="122">
        <v>2938</v>
      </c>
      <c r="AK70">
        <v>82</v>
      </c>
      <c r="AL70">
        <v>0</v>
      </c>
      <c r="AM70">
        <v>0</v>
      </c>
      <c r="AN70" s="122">
        <v>3562</v>
      </c>
      <c r="AO70" s="122">
        <v>1319</v>
      </c>
      <c r="AP70">
        <v>945</v>
      </c>
      <c r="AQ70">
        <v>350</v>
      </c>
      <c r="AR70" s="122">
        <v>7235</v>
      </c>
      <c r="AS70" s="122">
        <v>6578</v>
      </c>
      <c r="AT70">
        <v>0</v>
      </c>
      <c r="AU70">
        <v>0</v>
      </c>
      <c r="AV70" s="122">
        <v>11185</v>
      </c>
    </row>
    <row r="71" spans="2:48">
      <c r="B71" t="s">
        <v>363</v>
      </c>
      <c r="C71" t="s">
        <v>54</v>
      </c>
      <c r="D71" s="122"/>
      <c r="E71" s="122"/>
      <c r="F71" s="122">
        <v>32</v>
      </c>
      <c r="G71" s="122">
        <v>1882</v>
      </c>
      <c r="H71" s="122">
        <v>4259</v>
      </c>
      <c r="I71" s="122"/>
      <c r="J71" s="122">
        <v>0</v>
      </c>
      <c r="K71" s="122"/>
      <c r="M71" s="122">
        <v>0</v>
      </c>
      <c r="N71" s="122">
        <v>45424</v>
      </c>
      <c r="O71" s="122">
        <v>16824</v>
      </c>
      <c r="P71" s="122">
        <v>11232</v>
      </c>
      <c r="Q71" s="122">
        <v>4160</v>
      </c>
      <c r="R71" s="122"/>
      <c r="S71">
        <v>0</v>
      </c>
      <c r="T71">
        <v>0</v>
      </c>
      <c r="U71" s="122">
        <v>0</v>
      </c>
      <c r="V71" s="122">
        <v>20984</v>
      </c>
      <c r="W71" s="122">
        <f t="shared" ref="W71:W134" si="2">SUM(ABS(J71),ABS(M71),ABS(O71),ABS(Q71),ABS(S71),ABS(U71))</f>
        <v>20984</v>
      </c>
      <c r="X71" s="122">
        <f t="shared" ref="X71:X134" si="3">SUM(ABS(I71),ABS(N71),ABS(P71),ABS(R71),ABS(T71),ABS(L71))</f>
        <v>56656</v>
      </c>
      <c r="Y71" s="122"/>
      <c r="AA71" t="s">
        <v>52</v>
      </c>
      <c r="AB71" t="s">
        <v>405</v>
      </c>
      <c r="AC71" t="s">
        <v>405</v>
      </c>
      <c r="AD71" t="s">
        <v>405</v>
      </c>
      <c r="AE71" t="s">
        <v>137</v>
      </c>
      <c r="AF71">
        <v>1</v>
      </c>
      <c r="AG71">
        <v>87</v>
      </c>
      <c r="AH71">
        <v>122</v>
      </c>
      <c r="AI71" s="122">
        <v>4522</v>
      </c>
      <c r="AJ71" s="122">
        <v>4111</v>
      </c>
      <c r="AK71">
        <v>92</v>
      </c>
      <c r="AL71">
        <v>463</v>
      </c>
      <c r="AM71">
        <v>421</v>
      </c>
      <c r="AN71" s="122">
        <v>2005</v>
      </c>
      <c r="AO71">
        <v>743</v>
      </c>
      <c r="AP71">
        <v>473</v>
      </c>
      <c r="AQ71">
        <v>175</v>
      </c>
      <c r="AR71" s="122">
        <v>3143</v>
      </c>
      <c r="AS71" s="122">
        <v>2857</v>
      </c>
      <c r="AT71">
        <v>0</v>
      </c>
      <c r="AU71">
        <v>0</v>
      </c>
      <c r="AV71" s="122">
        <v>8306</v>
      </c>
    </row>
    <row r="72" spans="2:48">
      <c r="B72" t="s">
        <v>363</v>
      </c>
      <c r="C72" t="s">
        <v>54</v>
      </c>
      <c r="D72" t="s">
        <v>425</v>
      </c>
      <c r="E72" s="122" t="s">
        <v>425</v>
      </c>
      <c r="F72" s="122">
        <v>1</v>
      </c>
      <c r="G72" s="122">
        <v>147</v>
      </c>
      <c r="H72" s="122">
        <v>129</v>
      </c>
      <c r="I72" s="122">
        <v>11271</v>
      </c>
      <c r="J72" s="122">
        <v>10247</v>
      </c>
      <c r="K72" s="122">
        <v>82</v>
      </c>
      <c r="L72" s="122">
        <v>0</v>
      </c>
      <c r="M72" s="122">
        <v>0</v>
      </c>
      <c r="N72" s="122">
        <v>3228</v>
      </c>
      <c r="O72" s="122">
        <v>1196</v>
      </c>
      <c r="P72" s="122">
        <v>473</v>
      </c>
      <c r="Q72" s="122">
        <v>175</v>
      </c>
      <c r="R72" s="122">
        <v>4016</v>
      </c>
      <c r="S72" s="122">
        <v>3651</v>
      </c>
      <c r="T72" s="122">
        <v>0</v>
      </c>
      <c r="U72" s="122">
        <v>0</v>
      </c>
      <c r="V72" s="122">
        <v>15268</v>
      </c>
      <c r="W72" s="122">
        <f t="shared" si="2"/>
        <v>15269</v>
      </c>
      <c r="X72" s="122">
        <f t="shared" si="3"/>
        <v>18988</v>
      </c>
      <c r="Y72" s="122"/>
      <c r="AA72" t="s">
        <v>52</v>
      </c>
      <c r="AB72" t="s">
        <v>405</v>
      </c>
      <c r="AC72" t="s">
        <v>405</v>
      </c>
      <c r="AD72" t="s">
        <v>405</v>
      </c>
      <c r="AE72" t="s">
        <v>566</v>
      </c>
      <c r="AF72">
        <v>11</v>
      </c>
      <c r="AG72" s="122">
        <v>1704</v>
      </c>
      <c r="AH72" s="122">
        <v>1258</v>
      </c>
      <c r="AI72" s="122">
        <v>89898</v>
      </c>
      <c r="AJ72" s="122">
        <v>81725</v>
      </c>
      <c r="AK72">
        <v>90</v>
      </c>
      <c r="AL72" s="122">
        <v>22773</v>
      </c>
      <c r="AM72" s="122">
        <v>20703</v>
      </c>
      <c r="AN72" s="122">
        <v>29073</v>
      </c>
      <c r="AO72" s="122">
        <v>10768</v>
      </c>
      <c r="AP72" s="122">
        <v>5900</v>
      </c>
      <c r="AQ72" s="122">
        <v>2185</v>
      </c>
      <c r="AR72" s="122">
        <v>47532</v>
      </c>
      <c r="AS72" s="122">
        <v>43211</v>
      </c>
      <c r="AT72">
        <v>0</v>
      </c>
      <c r="AU72">
        <v>0</v>
      </c>
      <c r="AV72" s="122">
        <v>158593</v>
      </c>
    </row>
    <row r="73" spans="2:48">
      <c r="B73" t="s">
        <v>363</v>
      </c>
      <c r="C73" t="s">
        <v>54</v>
      </c>
      <c r="D73" t="s">
        <v>405</v>
      </c>
      <c r="E73" t="s">
        <v>405</v>
      </c>
      <c r="F73" s="122">
        <v>1</v>
      </c>
      <c r="G73" s="122">
        <v>116</v>
      </c>
      <c r="H73" s="122">
        <v>138</v>
      </c>
      <c r="I73" s="122">
        <v>6220</v>
      </c>
      <c r="J73" s="122">
        <v>5654</v>
      </c>
      <c r="K73" s="122">
        <v>79</v>
      </c>
      <c r="L73" s="122">
        <v>1338</v>
      </c>
      <c r="M73" s="122">
        <v>496</v>
      </c>
      <c r="N73" s="122">
        <v>2819</v>
      </c>
      <c r="O73" s="122">
        <v>1044</v>
      </c>
      <c r="P73" s="122">
        <v>473</v>
      </c>
      <c r="Q73" s="122">
        <v>175</v>
      </c>
      <c r="R73" s="122">
        <v>5164</v>
      </c>
      <c r="S73" s="122">
        <v>4694</v>
      </c>
      <c r="T73">
        <v>0</v>
      </c>
      <c r="U73" s="122">
        <v>0</v>
      </c>
      <c r="V73" s="122">
        <v>12064</v>
      </c>
      <c r="W73" s="122">
        <f t="shared" si="2"/>
        <v>12063</v>
      </c>
      <c r="X73" s="122">
        <f t="shared" si="3"/>
        <v>16014</v>
      </c>
      <c r="Y73" s="122"/>
      <c r="AA73" t="s">
        <v>52</v>
      </c>
      <c r="AB73" t="s">
        <v>405</v>
      </c>
      <c r="AC73" t="s">
        <v>137</v>
      </c>
      <c r="AD73" t="s">
        <v>425</v>
      </c>
      <c r="AE73" t="s">
        <v>566</v>
      </c>
      <c r="AF73">
        <v>1</v>
      </c>
      <c r="AG73">
        <v>87</v>
      </c>
      <c r="AH73">
        <v>113</v>
      </c>
      <c r="AI73" s="122">
        <v>3356</v>
      </c>
      <c r="AJ73" s="122">
        <v>3051</v>
      </c>
      <c r="AK73">
        <v>92</v>
      </c>
      <c r="AL73">
        <v>843</v>
      </c>
      <c r="AM73">
        <v>312</v>
      </c>
      <c r="AN73" s="122">
        <v>1295</v>
      </c>
      <c r="AO73">
        <v>479</v>
      </c>
      <c r="AP73">
        <v>473</v>
      </c>
      <c r="AQ73">
        <v>175</v>
      </c>
      <c r="AR73" s="122">
        <v>3890</v>
      </c>
      <c r="AS73" s="122">
        <v>3536</v>
      </c>
      <c r="AT73">
        <v>0</v>
      </c>
      <c r="AU73">
        <v>0</v>
      </c>
      <c r="AV73" s="122">
        <v>7554</v>
      </c>
    </row>
    <row r="74" spans="2:48">
      <c r="B74" t="s">
        <v>363</v>
      </c>
      <c r="C74" t="s">
        <v>54</v>
      </c>
      <c r="D74" t="s">
        <v>137</v>
      </c>
      <c r="E74" s="122" t="s">
        <v>137</v>
      </c>
      <c r="F74" s="122">
        <v>12</v>
      </c>
      <c r="G74" s="122">
        <v>928</v>
      </c>
      <c r="H74" s="122">
        <v>1703</v>
      </c>
      <c r="I74" s="122">
        <v>42118</v>
      </c>
      <c r="J74" s="122">
        <v>15599</v>
      </c>
      <c r="K74" s="122">
        <v>155</v>
      </c>
      <c r="L74" s="122">
        <v>5343</v>
      </c>
      <c r="M74" s="122">
        <v>2403</v>
      </c>
      <c r="N74" s="122">
        <v>15781</v>
      </c>
      <c r="O74" s="122">
        <v>5845</v>
      </c>
      <c r="P74" s="122">
        <v>1053</v>
      </c>
      <c r="Q74" s="122">
        <v>390</v>
      </c>
      <c r="R74" s="122">
        <v>68028</v>
      </c>
      <c r="S74" s="122">
        <v>25196</v>
      </c>
      <c r="T74">
        <v>0</v>
      </c>
      <c r="U74" s="122">
        <v>0</v>
      </c>
      <c r="V74" s="122">
        <v>49432</v>
      </c>
      <c r="W74" s="122">
        <f t="shared" si="2"/>
        <v>49433</v>
      </c>
      <c r="X74" s="122">
        <f t="shared" si="3"/>
        <v>132323</v>
      </c>
      <c r="Y74" s="122"/>
      <c r="AA74" t="s">
        <v>52</v>
      </c>
      <c r="AB74" t="s">
        <v>405</v>
      </c>
      <c r="AC74" t="s">
        <v>137</v>
      </c>
      <c r="AD74" t="s">
        <v>405</v>
      </c>
      <c r="AE74" t="s">
        <v>566</v>
      </c>
      <c r="AF74">
        <v>13</v>
      </c>
      <c r="AG74" s="122">
        <v>1145</v>
      </c>
      <c r="AH74" s="122">
        <v>1485</v>
      </c>
      <c r="AI74" s="122">
        <v>47671</v>
      </c>
      <c r="AJ74" s="122">
        <v>43337</v>
      </c>
      <c r="AK74">
        <v>87</v>
      </c>
      <c r="AL74" s="122">
        <v>12103</v>
      </c>
      <c r="AM74" s="122">
        <v>4482</v>
      </c>
      <c r="AN74" s="122">
        <v>22521</v>
      </c>
      <c r="AO74" s="122">
        <v>8341</v>
      </c>
      <c r="AP74" s="122">
        <v>5778</v>
      </c>
      <c r="AQ74" s="122">
        <v>2140</v>
      </c>
      <c r="AR74" s="122">
        <v>43112</v>
      </c>
      <c r="AS74" s="122">
        <v>39192</v>
      </c>
      <c r="AT74">
        <v>0</v>
      </c>
      <c r="AU74">
        <v>0</v>
      </c>
      <c r="AV74" s="122">
        <v>97493</v>
      </c>
    </row>
    <row r="75" spans="2:48">
      <c r="B75" t="s">
        <v>363</v>
      </c>
      <c r="C75" t="s">
        <v>54</v>
      </c>
      <c r="D75" t="s">
        <v>406</v>
      </c>
      <c r="E75" t="s">
        <v>406</v>
      </c>
      <c r="F75" s="122">
        <v>10</v>
      </c>
      <c r="G75" s="122">
        <v>675</v>
      </c>
      <c r="H75" s="122">
        <v>1374</v>
      </c>
      <c r="I75" s="122">
        <v>34142</v>
      </c>
      <c r="J75" s="122">
        <v>31039</v>
      </c>
      <c r="K75" s="122">
        <v>93</v>
      </c>
      <c r="L75" s="122">
        <v>6126</v>
      </c>
      <c r="M75" s="122">
        <v>5569</v>
      </c>
      <c r="N75" s="122">
        <v>9763</v>
      </c>
      <c r="O75" s="122">
        <v>3616</v>
      </c>
      <c r="P75" s="122">
        <v>6210</v>
      </c>
      <c r="Q75" s="122">
        <v>2300</v>
      </c>
      <c r="R75" s="122">
        <v>35822</v>
      </c>
      <c r="S75" s="122">
        <v>32566</v>
      </c>
      <c r="T75" s="122">
        <v>0</v>
      </c>
      <c r="U75" s="122">
        <v>0</v>
      </c>
      <c r="V75" s="122">
        <v>75089</v>
      </c>
      <c r="W75" s="122">
        <f t="shared" si="2"/>
        <v>75090</v>
      </c>
      <c r="X75" s="122">
        <f t="shared" si="3"/>
        <v>92063</v>
      </c>
      <c r="Y75" s="122"/>
      <c r="AA75" t="s">
        <v>52</v>
      </c>
      <c r="AB75" t="s">
        <v>405</v>
      </c>
      <c r="AC75" t="s">
        <v>137</v>
      </c>
      <c r="AD75" t="s">
        <v>407</v>
      </c>
      <c r="AE75" t="s">
        <v>566</v>
      </c>
      <c r="AF75">
        <v>1</v>
      </c>
      <c r="AG75">
        <v>72</v>
      </c>
      <c r="AH75">
        <v>120</v>
      </c>
      <c r="AI75" s="122">
        <v>2285</v>
      </c>
      <c r="AJ75" s="122">
        <v>2077</v>
      </c>
      <c r="AK75">
        <v>79</v>
      </c>
      <c r="AL75">
        <v>467</v>
      </c>
      <c r="AM75">
        <v>173</v>
      </c>
      <c r="AN75" s="122">
        <v>1093</v>
      </c>
      <c r="AO75">
        <v>405</v>
      </c>
      <c r="AP75">
        <v>473</v>
      </c>
      <c r="AQ75">
        <v>175</v>
      </c>
      <c r="AR75" s="122">
        <v>4285</v>
      </c>
      <c r="AS75" s="122">
        <v>3895</v>
      </c>
      <c r="AT75">
        <v>0</v>
      </c>
      <c r="AU75">
        <v>0</v>
      </c>
      <c r="AV75" s="122">
        <v>6725</v>
      </c>
    </row>
    <row r="76" spans="2:48">
      <c r="B76" t="s">
        <v>363</v>
      </c>
      <c r="C76" t="s">
        <v>54</v>
      </c>
      <c r="D76" t="s">
        <v>407</v>
      </c>
      <c r="E76" t="s">
        <v>407</v>
      </c>
      <c r="F76" s="122">
        <v>7</v>
      </c>
      <c r="G76" s="122">
        <v>554</v>
      </c>
      <c r="H76" s="122">
        <v>984</v>
      </c>
      <c r="I76" s="122">
        <v>29516</v>
      </c>
      <c r="J76" s="122">
        <v>26833</v>
      </c>
      <c r="K76" s="122">
        <v>80</v>
      </c>
      <c r="L76" s="122">
        <v>0</v>
      </c>
      <c r="M76" s="122">
        <v>0</v>
      </c>
      <c r="N76" s="122">
        <v>11038</v>
      </c>
      <c r="O76" s="122">
        <v>4088</v>
      </c>
      <c r="P76" s="122">
        <v>3308</v>
      </c>
      <c r="Q76" s="122">
        <v>1225</v>
      </c>
      <c r="R76" s="122">
        <v>31666</v>
      </c>
      <c r="S76" s="122">
        <v>28787</v>
      </c>
      <c r="T76" s="122">
        <v>2169</v>
      </c>
      <c r="U76" s="122">
        <v>803</v>
      </c>
      <c r="V76" s="122">
        <v>61736</v>
      </c>
      <c r="W76" s="122">
        <f t="shared" si="2"/>
        <v>61736</v>
      </c>
      <c r="X76" s="122">
        <f t="shared" si="3"/>
        <v>77697</v>
      </c>
      <c r="Y76" s="122"/>
      <c r="AA76" t="s">
        <v>52</v>
      </c>
      <c r="AB76" t="s">
        <v>405</v>
      </c>
      <c r="AC76" t="s">
        <v>427</v>
      </c>
      <c r="AD76" t="s">
        <v>405</v>
      </c>
      <c r="AE76" t="s">
        <v>566</v>
      </c>
      <c r="AF76">
        <v>4</v>
      </c>
      <c r="AG76">
        <v>527</v>
      </c>
      <c r="AH76">
        <v>491</v>
      </c>
      <c r="AI76" s="122">
        <v>30386</v>
      </c>
      <c r="AJ76" s="122">
        <v>27624</v>
      </c>
      <c r="AK76">
        <v>92</v>
      </c>
      <c r="AL76" s="122">
        <v>9870</v>
      </c>
      <c r="AM76" s="122">
        <v>8973</v>
      </c>
      <c r="AN76" s="122">
        <v>9209</v>
      </c>
      <c r="AO76" s="122">
        <v>3411</v>
      </c>
      <c r="AP76" s="122">
        <v>1890</v>
      </c>
      <c r="AQ76">
        <v>700</v>
      </c>
      <c r="AR76" s="122">
        <v>13333</v>
      </c>
      <c r="AS76" s="122">
        <v>12121</v>
      </c>
      <c r="AT76">
        <v>0</v>
      </c>
      <c r="AU76">
        <v>0</v>
      </c>
      <c r="AV76" s="122">
        <v>52828</v>
      </c>
    </row>
    <row r="77" spans="2:48">
      <c r="B77" t="s">
        <v>363</v>
      </c>
      <c r="C77" t="s">
        <v>56</v>
      </c>
      <c r="E77" s="122"/>
      <c r="F77" s="122">
        <v>8</v>
      </c>
      <c r="G77" s="122">
        <v>357</v>
      </c>
      <c r="H77" s="122">
        <v>1276</v>
      </c>
      <c r="I77" s="122"/>
      <c r="J77" s="122">
        <v>0</v>
      </c>
      <c r="K77" s="122"/>
      <c r="M77" s="122">
        <v>0</v>
      </c>
      <c r="N77" s="122">
        <v>8690</v>
      </c>
      <c r="O77" s="122">
        <v>3219</v>
      </c>
      <c r="P77" s="122">
        <v>2808</v>
      </c>
      <c r="Q77" s="122">
        <v>1040</v>
      </c>
      <c r="R77" s="122"/>
      <c r="S77">
        <v>0</v>
      </c>
      <c r="T77">
        <v>0</v>
      </c>
      <c r="U77" s="122">
        <v>0</v>
      </c>
      <c r="V77" s="122">
        <v>4259</v>
      </c>
      <c r="W77" s="122">
        <f t="shared" si="2"/>
        <v>4259</v>
      </c>
      <c r="X77" s="122">
        <f t="shared" si="3"/>
        <v>11498</v>
      </c>
      <c r="Y77" s="122"/>
      <c r="AA77" t="s">
        <v>52</v>
      </c>
      <c r="AB77" t="s">
        <v>405</v>
      </c>
      <c r="AC77" t="s">
        <v>426</v>
      </c>
      <c r="AD77" t="s">
        <v>405</v>
      </c>
      <c r="AE77" t="s">
        <v>137</v>
      </c>
      <c r="AF77">
        <v>1</v>
      </c>
      <c r="AG77">
        <v>215</v>
      </c>
      <c r="AH77">
        <v>118</v>
      </c>
      <c r="AI77" s="122">
        <v>19102</v>
      </c>
      <c r="AJ77" s="122">
        <v>17365</v>
      </c>
      <c r="AK77">
        <v>82</v>
      </c>
      <c r="AL77" s="122">
        <v>5822</v>
      </c>
      <c r="AM77" s="122">
        <v>5293</v>
      </c>
      <c r="AN77" s="122">
        <v>7367</v>
      </c>
      <c r="AO77" s="122">
        <v>2729</v>
      </c>
      <c r="AP77">
        <v>473</v>
      </c>
      <c r="AQ77">
        <v>175</v>
      </c>
      <c r="AR77" s="122">
        <v>4400</v>
      </c>
      <c r="AS77" s="122">
        <v>4000</v>
      </c>
      <c r="AT77" s="122">
        <v>2509</v>
      </c>
      <c r="AU77">
        <v>929</v>
      </c>
      <c r="AV77" s="122">
        <v>30491</v>
      </c>
    </row>
    <row r="78" spans="2:48">
      <c r="B78" t="s">
        <v>363</v>
      </c>
      <c r="C78" t="s">
        <v>56</v>
      </c>
      <c r="D78" t="s">
        <v>425</v>
      </c>
      <c r="E78" t="s">
        <v>425</v>
      </c>
      <c r="F78" s="122">
        <v>3</v>
      </c>
      <c r="G78" s="122">
        <v>206</v>
      </c>
      <c r="H78" s="122">
        <v>618</v>
      </c>
      <c r="I78" s="122">
        <v>28725</v>
      </c>
      <c r="J78" s="122">
        <v>26114</v>
      </c>
      <c r="K78" s="122">
        <v>84</v>
      </c>
      <c r="L78">
        <v>0</v>
      </c>
      <c r="M78" s="122">
        <v>560</v>
      </c>
      <c r="N78" s="122">
        <v>4469</v>
      </c>
      <c r="O78" s="122">
        <v>1655</v>
      </c>
      <c r="P78" s="122">
        <v>1418</v>
      </c>
      <c r="Q78">
        <v>525</v>
      </c>
      <c r="R78" s="122">
        <v>7098</v>
      </c>
      <c r="S78" s="122">
        <v>6452</v>
      </c>
      <c r="T78">
        <v>0</v>
      </c>
      <c r="U78" s="122">
        <v>0</v>
      </c>
      <c r="V78" s="122">
        <v>35306</v>
      </c>
      <c r="W78" s="122">
        <f t="shared" si="2"/>
        <v>35306</v>
      </c>
      <c r="X78" s="122">
        <f t="shared" si="3"/>
        <v>41710</v>
      </c>
      <c r="Y78" s="122"/>
      <c r="AA78" t="s">
        <v>52</v>
      </c>
      <c r="AB78" t="s">
        <v>405</v>
      </c>
      <c r="AC78" t="s">
        <v>426</v>
      </c>
      <c r="AD78" t="s">
        <v>405</v>
      </c>
      <c r="AE78" t="s">
        <v>566</v>
      </c>
      <c r="AF78">
        <v>2</v>
      </c>
      <c r="AG78">
        <v>185</v>
      </c>
      <c r="AH78">
        <v>234</v>
      </c>
      <c r="AI78" s="122">
        <v>9586</v>
      </c>
      <c r="AJ78" s="122">
        <v>8714</v>
      </c>
      <c r="AK78">
        <v>76</v>
      </c>
      <c r="AL78" s="122">
        <v>1289</v>
      </c>
      <c r="AM78" s="122">
        <v>1172</v>
      </c>
      <c r="AN78" s="122">
        <v>3376</v>
      </c>
      <c r="AO78" s="122">
        <v>1250</v>
      </c>
      <c r="AP78">
        <v>945</v>
      </c>
      <c r="AQ78">
        <v>350</v>
      </c>
      <c r="AR78" s="122">
        <v>6444</v>
      </c>
      <c r="AS78" s="122">
        <v>5858</v>
      </c>
      <c r="AT78">
        <v>0</v>
      </c>
      <c r="AU78">
        <v>0</v>
      </c>
      <c r="AV78" s="122">
        <v>17345</v>
      </c>
    </row>
    <row r="79" spans="2:48">
      <c r="B79" t="s">
        <v>363</v>
      </c>
      <c r="C79" t="s">
        <v>56</v>
      </c>
      <c r="D79" t="s">
        <v>405</v>
      </c>
      <c r="E79" t="s">
        <v>405</v>
      </c>
      <c r="F79" s="122">
        <v>29</v>
      </c>
      <c r="G79" s="122">
        <v>2150</v>
      </c>
      <c r="H79" s="122">
        <v>5351</v>
      </c>
      <c r="I79" s="122">
        <v>206125</v>
      </c>
      <c r="J79" s="122">
        <v>187386</v>
      </c>
      <c r="K79" s="122">
        <v>80</v>
      </c>
      <c r="L79" s="122">
        <v>4219</v>
      </c>
      <c r="M79" s="122">
        <v>3075</v>
      </c>
      <c r="N79" s="122">
        <v>50968</v>
      </c>
      <c r="O79" s="122">
        <v>18877</v>
      </c>
      <c r="P79" s="122">
        <v>12609</v>
      </c>
      <c r="Q79" s="122">
        <v>4670</v>
      </c>
      <c r="R79" s="122">
        <v>118877</v>
      </c>
      <c r="S79" s="122">
        <v>108070</v>
      </c>
      <c r="T79" s="122">
        <v>2071</v>
      </c>
      <c r="U79" s="122">
        <v>767</v>
      </c>
      <c r="V79" s="122">
        <v>322846</v>
      </c>
      <c r="W79" s="122">
        <f t="shared" si="2"/>
        <v>322845</v>
      </c>
      <c r="X79" s="122">
        <f t="shared" si="3"/>
        <v>394869</v>
      </c>
      <c r="Y79" s="122"/>
      <c r="AA79" t="s">
        <v>52</v>
      </c>
      <c r="AB79" t="s">
        <v>405</v>
      </c>
      <c r="AC79" t="s">
        <v>566</v>
      </c>
      <c r="AD79" t="s">
        <v>405</v>
      </c>
      <c r="AE79" t="s">
        <v>137</v>
      </c>
      <c r="AF79">
        <v>9</v>
      </c>
      <c r="AG79">
        <v>756</v>
      </c>
      <c r="AH79" s="122">
        <v>1047</v>
      </c>
      <c r="AI79" s="122">
        <v>48443</v>
      </c>
      <c r="AJ79" s="122">
        <v>44039</v>
      </c>
      <c r="AK79">
        <v>91</v>
      </c>
      <c r="AL79">
        <v>0</v>
      </c>
      <c r="AM79">
        <v>0</v>
      </c>
      <c r="AN79" s="122">
        <v>17436</v>
      </c>
      <c r="AO79" s="122">
        <v>6458</v>
      </c>
      <c r="AP79" s="122">
        <v>4253</v>
      </c>
      <c r="AQ79" s="122">
        <v>1575</v>
      </c>
      <c r="AR79" s="122">
        <v>23561</v>
      </c>
      <c r="AS79" s="122">
        <v>21419</v>
      </c>
      <c r="AT79">
        <v>0</v>
      </c>
      <c r="AU79">
        <v>0</v>
      </c>
      <c r="AV79" s="122">
        <v>73491</v>
      </c>
    </row>
    <row r="80" spans="2:48">
      <c r="B80" t="s">
        <v>363</v>
      </c>
      <c r="C80" t="s">
        <v>56</v>
      </c>
      <c r="D80" t="s">
        <v>137</v>
      </c>
      <c r="E80" s="122" t="s">
        <v>137</v>
      </c>
      <c r="F80" s="122">
        <v>132</v>
      </c>
      <c r="G80" s="122">
        <v>9644</v>
      </c>
      <c r="H80" s="122">
        <v>26377</v>
      </c>
      <c r="I80" s="122">
        <v>804114</v>
      </c>
      <c r="J80" s="122">
        <v>297820</v>
      </c>
      <c r="K80" s="122">
        <v>100</v>
      </c>
      <c r="L80" s="122">
        <v>106976</v>
      </c>
      <c r="M80" s="122">
        <v>40549</v>
      </c>
      <c r="N80" s="122">
        <v>180068</v>
      </c>
      <c r="O80" s="122">
        <v>66692</v>
      </c>
      <c r="P80" s="122">
        <v>8775</v>
      </c>
      <c r="Q80" s="122">
        <v>3250</v>
      </c>
      <c r="R80" s="122">
        <v>827338</v>
      </c>
      <c r="S80" s="122">
        <v>306422</v>
      </c>
      <c r="T80" s="122">
        <v>0</v>
      </c>
      <c r="U80" s="122">
        <v>0</v>
      </c>
      <c r="V80" s="122">
        <v>714732</v>
      </c>
      <c r="W80" s="122">
        <f t="shared" si="2"/>
        <v>714733</v>
      </c>
      <c r="X80" s="122">
        <f t="shared" si="3"/>
        <v>1927271</v>
      </c>
      <c r="Y80" s="122"/>
      <c r="AA80" t="s">
        <v>52</v>
      </c>
      <c r="AB80" t="s">
        <v>405</v>
      </c>
      <c r="AC80" t="s">
        <v>566</v>
      </c>
      <c r="AD80" t="s">
        <v>405</v>
      </c>
      <c r="AE80" t="s">
        <v>566</v>
      </c>
      <c r="AF80">
        <v>134</v>
      </c>
      <c r="AG80" s="122">
        <v>11666</v>
      </c>
      <c r="AH80" s="122">
        <v>15375</v>
      </c>
      <c r="AI80" s="122">
        <v>620626</v>
      </c>
      <c r="AJ80" s="122">
        <v>564205</v>
      </c>
      <c r="AK80">
        <v>87</v>
      </c>
      <c r="AL80">
        <v>0</v>
      </c>
      <c r="AM80" s="122">
        <v>6232</v>
      </c>
      <c r="AN80" s="122">
        <v>236297</v>
      </c>
      <c r="AO80" s="122">
        <v>87517</v>
      </c>
      <c r="AP80" s="122">
        <v>61857</v>
      </c>
      <c r="AQ80" s="122">
        <v>22910</v>
      </c>
      <c r="AR80" s="122">
        <v>416433</v>
      </c>
      <c r="AS80" s="122">
        <v>378576</v>
      </c>
      <c r="AT80">
        <v>0</v>
      </c>
      <c r="AU80">
        <v>0</v>
      </c>
      <c r="AV80" s="122">
        <v>1059441</v>
      </c>
    </row>
    <row r="81" spans="2:48">
      <c r="B81" t="s">
        <v>363</v>
      </c>
      <c r="C81" t="s">
        <v>56</v>
      </c>
      <c r="D81" s="122" t="s">
        <v>406</v>
      </c>
      <c r="E81" s="122" t="s">
        <v>406</v>
      </c>
      <c r="F81" s="122">
        <v>44</v>
      </c>
      <c r="G81" s="122">
        <v>4510</v>
      </c>
      <c r="H81" s="122">
        <v>8013</v>
      </c>
      <c r="I81" s="122">
        <v>434559</v>
      </c>
      <c r="J81" s="122">
        <v>395054</v>
      </c>
      <c r="K81" s="122">
        <v>89</v>
      </c>
      <c r="L81" s="122">
        <v>88663</v>
      </c>
      <c r="M81" s="122">
        <v>78621</v>
      </c>
      <c r="N81" s="122">
        <v>85964</v>
      </c>
      <c r="O81" s="122">
        <v>31838</v>
      </c>
      <c r="P81" s="122">
        <v>28026</v>
      </c>
      <c r="Q81" s="122">
        <v>10380</v>
      </c>
      <c r="R81" s="122">
        <v>186520</v>
      </c>
      <c r="S81" s="122">
        <v>169563</v>
      </c>
      <c r="T81" s="122">
        <v>22900</v>
      </c>
      <c r="U81" s="122">
        <v>8481</v>
      </c>
      <c r="V81" s="122">
        <v>693938</v>
      </c>
      <c r="W81" s="122">
        <f t="shared" si="2"/>
        <v>693937</v>
      </c>
      <c r="X81" s="122">
        <f t="shared" si="3"/>
        <v>846632</v>
      </c>
      <c r="Y81" s="122"/>
      <c r="AA81" t="s">
        <v>52</v>
      </c>
      <c r="AB81" t="s">
        <v>137</v>
      </c>
      <c r="AC81" t="s">
        <v>137</v>
      </c>
      <c r="AD81" t="s">
        <v>137</v>
      </c>
      <c r="AE81" t="s">
        <v>137</v>
      </c>
      <c r="AF81">
        <v>12</v>
      </c>
      <c r="AG81">
        <v>707</v>
      </c>
      <c r="AH81" s="122">
        <v>1426</v>
      </c>
      <c r="AI81" s="122">
        <v>15365</v>
      </c>
      <c r="AJ81" s="122">
        <v>5691</v>
      </c>
      <c r="AK81">
        <v>286</v>
      </c>
      <c r="AL81" s="122">
        <v>5000</v>
      </c>
      <c r="AM81" s="122">
        <v>1852</v>
      </c>
      <c r="AN81" s="122">
        <v>12910</v>
      </c>
      <c r="AO81" s="122">
        <v>4781</v>
      </c>
      <c r="AP81" s="122">
        <v>5510</v>
      </c>
      <c r="AQ81" s="122">
        <v>2041</v>
      </c>
      <c r="AR81" s="122">
        <v>33797</v>
      </c>
      <c r="AS81" s="122">
        <v>12517</v>
      </c>
      <c r="AT81" s="122">
        <v>11722</v>
      </c>
      <c r="AU81" s="122">
        <v>4341</v>
      </c>
      <c r="AV81" s="122">
        <v>31223</v>
      </c>
    </row>
    <row r="82" spans="2:48">
      <c r="B82" t="s">
        <v>363</v>
      </c>
      <c r="C82" t="s">
        <v>56</v>
      </c>
      <c r="D82" t="s">
        <v>407</v>
      </c>
      <c r="E82" s="122" t="s">
        <v>407</v>
      </c>
      <c r="F82" s="122">
        <v>44</v>
      </c>
      <c r="G82" s="122">
        <v>3076</v>
      </c>
      <c r="H82" s="122">
        <v>8290</v>
      </c>
      <c r="I82" s="122">
        <v>273092</v>
      </c>
      <c r="J82" s="122">
        <v>248265</v>
      </c>
      <c r="K82" s="122">
        <v>79</v>
      </c>
      <c r="L82" s="122">
        <v>13491</v>
      </c>
      <c r="M82" s="122">
        <v>10425</v>
      </c>
      <c r="N82" s="122">
        <v>65488</v>
      </c>
      <c r="O82" s="122">
        <v>24255</v>
      </c>
      <c r="P82" s="122">
        <v>20790</v>
      </c>
      <c r="Q82" s="122">
        <v>7700</v>
      </c>
      <c r="R82" s="122">
        <v>183910</v>
      </c>
      <c r="S82" s="122">
        <v>167191</v>
      </c>
      <c r="T82" s="122">
        <v>20069</v>
      </c>
      <c r="U82" s="122">
        <v>7433</v>
      </c>
      <c r="V82" s="122">
        <v>465269</v>
      </c>
      <c r="W82" s="122">
        <f t="shared" si="2"/>
        <v>465269</v>
      </c>
      <c r="X82" s="122">
        <f t="shared" si="3"/>
        <v>576840</v>
      </c>
      <c r="Y82" s="122"/>
      <c r="AA82" t="s">
        <v>52</v>
      </c>
      <c r="AB82" t="s">
        <v>137</v>
      </c>
      <c r="AC82" t="s">
        <v>137</v>
      </c>
      <c r="AD82" t="s">
        <v>137</v>
      </c>
      <c r="AE82" t="s">
        <v>566</v>
      </c>
      <c r="AF82">
        <v>60</v>
      </c>
      <c r="AG82" s="122">
        <v>4707</v>
      </c>
      <c r="AH82" s="122">
        <v>7059</v>
      </c>
      <c r="AI82" s="122">
        <v>77050</v>
      </c>
      <c r="AJ82" s="122">
        <v>28537</v>
      </c>
      <c r="AK82">
        <v>108</v>
      </c>
      <c r="AL82" s="122">
        <v>17066</v>
      </c>
      <c r="AM82" s="122">
        <v>6321</v>
      </c>
      <c r="AN82" s="122">
        <v>84088</v>
      </c>
      <c r="AO82" s="122">
        <v>31144</v>
      </c>
      <c r="AP82" s="122">
        <v>1053</v>
      </c>
      <c r="AQ82">
        <v>390</v>
      </c>
      <c r="AR82" s="122">
        <v>374382</v>
      </c>
      <c r="AS82" s="122">
        <v>138660</v>
      </c>
      <c r="AT82">
        <v>0</v>
      </c>
      <c r="AU82">
        <v>0</v>
      </c>
      <c r="AV82" s="122">
        <v>205052</v>
      </c>
    </row>
    <row r="83" spans="2:48">
      <c r="B83" t="s">
        <v>363</v>
      </c>
      <c r="C83" t="s">
        <v>56</v>
      </c>
      <c r="D83" t="s">
        <v>408</v>
      </c>
      <c r="E83" t="s">
        <v>137</v>
      </c>
      <c r="F83" s="122">
        <v>1</v>
      </c>
      <c r="G83" s="122">
        <v>85</v>
      </c>
      <c r="H83" s="122">
        <v>192</v>
      </c>
      <c r="I83" s="122">
        <v>6949</v>
      </c>
      <c r="J83" s="122">
        <v>6317</v>
      </c>
      <c r="K83" s="122">
        <v>65</v>
      </c>
      <c r="L83" s="122">
        <v>0</v>
      </c>
      <c r="M83" s="122">
        <v>0</v>
      </c>
      <c r="N83" s="122">
        <v>1414</v>
      </c>
      <c r="O83" s="122">
        <v>524</v>
      </c>
      <c r="P83">
        <v>351</v>
      </c>
      <c r="Q83" s="122">
        <v>130</v>
      </c>
      <c r="R83" s="122">
        <v>7536</v>
      </c>
      <c r="S83" s="122">
        <v>2791</v>
      </c>
      <c r="T83">
        <v>0</v>
      </c>
      <c r="U83" s="122">
        <v>0</v>
      </c>
      <c r="V83" s="122">
        <v>9762</v>
      </c>
      <c r="W83" s="122">
        <f t="shared" si="2"/>
        <v>9762</v>
      </c>
      <c r="X83" s="122">
        <f t="shared" si="3"/>
        <v>16250</v>
      </c>
      <c r="Y83" s="122"/>
      <c r="AA83" t="s">
        <v>52</v>
      </c>
      <c r="AB83" t="s">
        <v>137</v>
      </c>
      <c r="AC83" t="s">
        <v>137</v>
      </c>
      <c r="AD83" t="s">
        <v>426</v>
      </c>
      <c r="AE83" t="s">
        <v>566</v>
      </c>
      <c r="AF83">
        <v>1</v>
      </c>
      <c r="AG83">
        <v>69</v>
      </c>
      <c r="AH83">
        <v>107</v>
      </c>
      <c r="AI83" s="122">
        <v>3546</v>
      </c>
      <c r="AJ83" s="122">
        <v>1313</v>
      </c>
      <c r="AK83">
        <v>100</v>
      </c>
      <c r="AL83">
        <v>394</v>
      </c>
      <c r="AM83">
        <v>146</v>
      </c>
      <c r="AN83" s="122">
        <v>1013</v>
      </c>
      <c r="AO83">
        <v>375</v>
      </c>
      <c r="AP83">
        <v>0</v>
      </c>
      <c r="AQ83">
        <v>0</v>
      </c>
      <c r="AR83" s="122">
        <v>2494</v>
      </c>
      <c r="AS83" s="122">
        <v>2267</v>
      </c>
      <c r="AT83">
        <v>0</v>
      </c>
      <c r="AU83">
        <v>0</v>
      </c>
      <c r="AV83" s="122">
        <v>4102</v>
      </c>
    </row>
    <row r="84" spans="2:48">
      <c r="B84" t="s">
        <v>363</v>
      </c>
      <c r="C84" t="s">
        <v>58</v>
      </c>
      <c r="D84" s="122" t="s">
        <v>425</v>
      </c>
      <c r="E84" s="122" t="s">
        <v>425</v>
      </c>
      <c r="F84" s="122">
        <v>1</v>
      </c>
      <c r="G84" s="122">
        <v>65</v>
      </c>
      <c r="H84" s="122">
        <v>293</v>
      </c>
      <c r="I84" s="122">
        <v>15957</v>
      </c>
      <c r="J84" s="122">
        <v>14506</v>
      </c>
      <c r="K84" s="122">
        <v>91</v>
      </c>
      <c r="L84" s="122">
        <v>0</v>
      </c>
      <c r="M84" s="122">
        <v>1394</v>
      </c>
      <c r="N84" s="122">
        <v>794</v>
      </c>
      <c r="O84">
        <v>294</v>
      </c>
      <c r="P84">
        <v>473</v>
      </c>
      <c r="Q84" s="122">
        <v>175</v>
      </c>
      <c r="R84" s="122">
        <v>1840</v>
      </c>
      <c r="S84" s="122">
        <v>1672</v>
      </c>
      <c r="T84">
        <v>0</v>
      </c>
      <c r="U84" s="122">
        <v>0</v>
      </c>
      <c r="V84" s="122">
        <v>18042</v>
      </c>
      <c r="W84" s="122">
        <f t="shared" si="2"/>
        <v>18041</v>
      </c>
      <c r="X84" s="122">
        <f t="shared" si="3"/>
        <v>19064</v>
      </c>
      <c r="Y84" s="122"/>
      <c r="AA84" t="s">
        <v>52</v>
      </c>
      <c r="AB84" t="s">
        <v>137</v>
      </c>
      <c r="AC84" t="s">
        <v>580</v>
      </c>
      <c r="AD84" t="s">
        <v>137</v>
      </c>
      <c r="AE84" t="s">
        <v>566</v>
      </c>
      <c r="AF84">
        <v>1</v>
      </c>
      <c r="AG84">
        <v>203</v>
      </c>
      <c r="AH84">
        <v>122</v>
      </c>
      <c r="AI84" s="122">
        <v>17463</v>
      </c>
      <c r="AJ84" s="122">
        <v>6468</v>
      </c>
      <c r="AK84">
        <v>250</v>
      </c>
      <c r="AL84" s="122">
        <v>1624</v>
      </c>
      <c r="AM84" s="122">
        <v>1476</v>
      </c>
      <c r="AN84" s="122">
        <v>3113</v>
      </c>
      <c r="AO84" s="122">
        <v>1153</v>
      </c>
      <c r="AP84">
        <v>621</v>
      </c>
      <c r="AQ84">
        <v>230</v>
      </c>
      <c r="AR84" s="122">
        <v>8292</v>
      </c>
      <c r="AS84" s="122">
        <v>3071</v>
      </c>
      <c r="AT84">
        <v>0</v>
      </c>
      <c r="AU84">
        <v>0</v>
      </c>
      <c r="AV84" s="122">
        <v>12398</v>
      </c>
    </row>
    <row r="85" spans="2:48">
      <c r="B85" t="s">
        <v>363</v>
      </c>
      <c r="C85" t="s">
        <v>58</v>
      </c>
      <c r="D85" t="s">
        <v>405</v>
      </c>
      <c r="E85" s="122" t="s">
        <v>405</v>
      </c>
      <c r="F85" s="122">
        <v>5</v>
      </c>
      <c r="G85" s="122">
        <v>365</v>
      </c>
      <c r="H85" s="122">
        <v>1229</v>
      </c>
      <c r="I85" s="122">
        <v>51997</v>
      </c>
      <c r="J85" s="122">
        <v>47270</v>
      </c>
      <c r="K85" s="122">
        <v>79</v>
      </c>
      <c r="L85" s="122">
        <v>3456</v>
      </c>
      <c r="M85" s="122">
        <v>3142</v>
      </c>
      <c r="N85" s="122">
        <v>8478</v>
      </c>
      <c r="O85" s="122">
        <v>3140</v>
      </c>
      <c r="P85" s="122">
        <v>1877</v>
      </c>
      <c r="Q85" s="122">
        <v>695</v>
      </c>
      <c r="R85" s="122">
        <v>21026</v>
      </c>
      <c r="S85" s="122">
        <v>19114</v>
      </c>
      <c r="T85" s="122">
        <v>2427</v>
      </c>
      <c r="U85" s="122">
        <v>899</v>
      </c>
      <c r="V85" s="122">
        <v>74260</v>
      </c>
      <c r="W85" s="122">
        <f t="shared" si="2"/>
        <v>74260</v>
      </c>
      <c r="X85" s="122">
        <f t="shared" si="3"/>
        <v>89261</v>
      </c>
      <c r="Y85" s="122"/>
      <c r="AA85" t="s">
        <v>52</v>
      </c>
      <c r="AB85" t="s">
        <v>137</v>
      </c>
      <c r="AC85" t="s">
        <v>407</v>
      </c>
      <c r="AD85" t="s">
        <v>137</v>
      </c>
      <c r="AE85" t="s">
        <v>566</v>
      </c>
      <c r="AF85">
        <v>16</v>
      </c>
      <c r="AG85" s="122">
        <v>1616</v>
      </c>
      <c r="AH85" s="122">
        <v>1811</v>
      </c>
      <c r="AI85" s="122">
        <v>42955</v>
      </c>
      <c r="AJ85" s="122">
        <v>15909</v>
      </c>
      <c r="AK85">
        <v>250</v>
      </c>
      <c r="AL85" s="122">
        <v>5284</v>
      </c>
      <c r="AM85" s="122">
        <v>4804</v>
      </c>
      <c r="AN85" s="122">
        <v>19684</v>
      </c>
      <c r="AO85" s="122">
        <v>7290</v>
      </c>
      <c r="AP85" s="122">
        <v>19453</v>
      </c>
      <c r="AQ85" s="122">
        <v>7205</v>
      </c>
      <c r="AR85" s="122">
        <v>94919</v>
      </c>
      <c r="AS85" s="122">
        <v>35155</v>
      </c>
      <c r="AT85">
        <v>0</v>
      </c>
      <c r="AU85">
        <v>0</v>
      </c>
      <c r="AV85" s="122">
        <v>70363</v>
      </c>
    </row>
    <row r="86" spans="2:48">
      <c r="B86" t="s">
        <v>363</v>
      </c>
      <c r="C86" t="s">
        <v>58</v>
      </c>
      <c r="D86" t="s">
        <v>137</v>
      </c>
      <c r="E86" t="s">
        <v>137</v>
      </c>
      <c r="F86" s="122">
        <v>218</v>
      </c>
      <c r="G86" s="122">
        <v>15166</v>
      </c>
      <c r="H86" s="122">
        <v>56622</v>
      </c>
      <c r="I86" s="122">
        <v>2005288</v>
      </c>
      <c r="J86" s="122">
        <v>742699</v>
      </c>
      <c r="K86" s="122">
        <v>101</v>
      </c>
      <c r="L86" s="122">
        <v>229263</v>
      </c>
      <c r="M86" s="122">
        <v>91906</v>
      </c>
      <c r="N86" s="122">
        <v>318944</v>
      </c>
      <c r="O86" s="122">
        <v>118127</v>
      </c>
      <c r="P86" s="122">
        <v>5886</v>
      </c>
      <c r="Q86" s="122">
        <v>2180</v>
      </c>
      <c r="R86" s="122">
        <v>1369666</v>
      </c>
      <c r="S86" s="122">
        <v>507284</v>
      </c>
      <c r="T86">
        <v>0</v>
      </c>
      <c r="U86" s="122">
        <v>0</v>
      </c>
      <c r="V86" s="122">
        <v>1462196</v>
      </c>
      <c r="W86" s="122">
        <f t="shared" si="2"/>
        <v>1462196</v>
      </c>
      <c r="X86" s="122">
        <f t="shared" si="3"/>
        <v>3929047</v>
      </c>
      <c r="Y86" s="122"/>
      <c r="AA86" t="s">
        <v>52</v>
      </c>
      <c r="AB86" t="s">
        <v>137</v>
      </c>
      <c r="AC86" t="s">
        <v>579</v>
      </c>
      <c r="AD86" t="s">
        <v>137</v>
      </c>
      <c r="AE86" t="s">
        <v>566</v>
      </c>
      <c r="AF86">
        <v>5</v>
      </c>
      <c r="AG86">
        <v>368</v>
      </c>
      <c r="AH86">
        <v>574</v>
      </c>
      <c r="AI86" s="122">
        <v>12660</v>
      </c>
      <c r="AJ86" s="122">
        <v>4689</v>
      </c>
      <c r="AK86">
        <v>410</v>
      </c>
      <c r="AL86" s="122">
        <v>3129</v>
      </c>
      <c r="AM86" s="122">
        <v>2608</v>
      </c>
      <c r="AN86" s="122">
        <v>5289</v>
      </c>
      <c r="AO86" s="122">
        <v>1959</v>
      </c>
      <c r="AP86" s="122">
        <v>1998</v>
      </c>
      <c r="AQ86">
        <v>740</v>
      </c>
      <c r="AR86" s="122">
        <v>18745</v>
      </c>
      <c r="AS86" s="122">
        <v>6943</v>
      </c>
      <c r="AT86">
        <v>0</v>
      </c>
      <c r="AU86">
        <v>0</v>
      </c>
      <c r="AV86" s="122">
        <v>16938</v>
      </c>
    </row>
    <row r="87" spans="2:48">
      <c r="B87" t="s">
        <v>363</v>
      </c>
      <c r="C87" t="s">
        <v>58</v>
      </c>
      <c r="D87" t="s">
        <v>406</v>
      </c>
      <c r="E87" t="s">
        <v>406</v>
      </c>
      <c r="F87" s="122">
        <v>20</v>
      </c>
      <c r="G87" s="122">
        <v>1409</v>
      </c>
      <c r="H87" s="122">
        <v>5165</v>
      </c>
      <c r="I87" s="122">
        <v>197165</v>
      </c>
      <c r="J87" s="122">
        <v>179241</v>
      </c>
      <c r="K87" s="122">
        <v>81</v>
      </c>
      <c r="L87" s="122">
        <v>31473</v>
      </c>
      <c r="M87" s="122">
        <v>27474</v>
      </c>
      <c r="N87" s="122">
        <v>28377</v>
      </c>
      <c r="O87" s="122">
        <v>10510</v>
      </c>
      <c r="P87" s="122">
        <v>12771</v>
      </c>
      <c r="Q87" s="122">
        <v>4730</v>
      </c>
      <c r="R87" s="122">
        <v>80573</v>
      </c>
      <c r="S87" s="122">
        <v>73248</v>
      </c>
      <c r="T87" s="122">
        <v>21438</v>
      </c>
      <c r="U87" s="122">
        <v>7940</v>
      </c>
      <c r="V87" s="122">
        <v>303143</v>
      </c>
      <c r="W87" s="122">
        <f t="shared" si="2"/>
        <v>303143</v>
      </c>
      <c r="X87" s="122">
        <f t="shared" si="3"/>
        <v>371797</v>
      </c>
      <c r="Y87" s="122"/>
      <c r="AA87" t="s">
        <v>52</v>
      </c>
      <c r="AB87" t="s">
        <v>137</v>
      </c>
      <c r="AC87" t="s">
        <v>426</v>
      </c>
      <c r="AD87" t="s">
        <v>137</v>
      </c>
      <c r="AE87" t="s">
        <v>566</v>
      </c>
      <c r="AF87">
        <v>12</v>
      </c>
      <c r="AG87" s="122">
        <v>1007</v>
      </c>
      <c r="AH87" s="122">
        <v>1329</v>
      </c>
      <c r="AI87" s="122">
        <v>36066</v>
      </c>
      <c r="AJ87" s="122">
        <v>13358</v>
      </c>
      <c r="AK87">
        <v>394</v>
      </c>
      <c r="AL87" s="122">
        <v>15518</v>
      </c>
      <c r="AM87" s="122">
        <v>14107</v>
      </c>
      <c r="AN87" s="122">
        <v>16663</v>
      </c>
      <c r="AO87" s="122">
        <v>6172</v>
      </c>
      <c r="AP87" s="122">
        <v>6030</v>
      </c>
      <c r="AQ87" s="122">
        <v>2233</v>
      </c>
      <c r="AR87" s="122">
        <v>36828</v>
      </c>
      <c r="AS87" s="122">
        <v>13640</v>
      </c>
      <c r="AT87">
        <v>0</v>
      </c>
      <c r="AU87">
        <v>0</v>
      </c>
      <c r="AV87" s="122">
        <v>49510</v>
      </c>
    </row>
    <row r="88" spans="2:48">
      <c r="B88" t="s">
        <v>363</v>
      </c>
      <c r="C88" t="s">
        <v>58</v>
      </c>
      <c r="D88" t="s">
        <v>407</v>
      </c>
      <c r="E88" s="122" t="s">
        <v>407</v>
      </c>
      <c r="F88" s="122">
        <v>12</v>
      </c>
      <c r="G88" s="122">
        <v>731</v>
      </c>
      <c r="H88" s="122">
        <v>2980</v>
      </c>
      <c r="I88" s="122">
        <v>104873</v>
      </c>
      <c r="J88" s="122">
        <v>95339</v>
      </c>
      <c r="K88" s="122">
        <v>79</v>
      </c>
      <c r="L88" s="122">
        <v>2090</v>
      </c>
      <c r="M88" s="122">
        <v>1606</v>
      </c>
      <c r="N88" s="122">
        <v>16242</v>
      </c>
      <c r="O88" s="122">
        <v>6016</v>
      </c>
      <c r="P88" s="122">
        <v>5670</v>
      </c>
      <c r="Q88" s="122">
        <v>2100</v>
      </c>
      <c r="R88" s="122">
        <v>39517</v>
      </c>
      <c r="S88" s="122">
        <v>35925</v>
      </c>
      <c r="T88" s="122">
        <v>13313</v>
      </c>
      <c r="U88" s="122">
        <v>4931</v>
      </c>
      <c r="V88" s="122">
        <v>145916</v>
      </c>
      <c r="W88" s="122">
        <f t="shared" si="2"/>
        <v>145917</v>
      </c>
      <c r="X88" s="122">
        <f t="shared" si="3"/>
        <v>181705</v>
      </c>
      <c r="Y88" s="122"/>
      <c r="AA88" t="s">
        <v>52</v>
      </c>
      <c r="AB88" t="s">
        <v>137</v>
      </c>
      <c r="AC88" t="s">
        <v>566</v>
      </c>
      <c r="AD88" t="s">
        <v>137</v>
      </c>
      <c r="AE88" t="s">
        <v>137</v>
      </c>
      <c r="AF88">
        <v>2</v>
      </c>
      <c r="AG88">
        <v>127</v>
      </c>
      <c r="AH88">
        <v>233</v>
      </c>
      <c r="AI88" s="122">
        <v>1673</v>
      </c>
      <c r="AJ88">
        <v>620</v>
      </c>
      <c r="AK88">
        <v>228</v>
      </c>
      <c r="AL88">
        <v>0</v>
      </c>
      <c r="AM88">
        <v>0</v>
      </c>
      <c r="AN88" s="122">
        <v>2573</v>
      </c>
      <c r="AO88">
        <v>953</v>
      </c>
      <c r="AP88">
        <v>351</v>
      </c>
      <c r="AQ88">
        <v>130</v>
      </c>
      <c r="AR88" s="122">
        <v>8474</v>
      </c>
      <c r="AS88" s="122">
        <v>3138</v>
      </c>
      <c r="AT88" s="122">
        <v>1649</v>
      </c>
      <c r="AU88">
        <v>611</v>
      </c>
      <c r="AV88" s="122">
        <v>5452</v>
      </c>
    </row>
    <row r="89" spans="2:48">
      <c r="B89" t="s">
        <v>363</v>
      </c>
      <c r="C89" t="s">
        <v>58</v>
      </c>
      <c r="D89" t="s">
        <v>426</v>
      </c>
      <c r="E89" t="s">
        <v>426</v>
      </c>
      <c r="F89" s="122">
        <v>16</v>
      </c>
      <c r="G89" s="122">
        <v>779</v>
      </c>
      <c r="H89" s="122">
        <v>4290</v>
      </c>
      <c r="I89" s="122">
        <v>102128</v>
      </c>
      <c r="J89" s="122">
        <v>92843</v>
      </c>
      <c r="K89" s="122">
        <v>64</v>
      </c>
      <c r="L89" s="122">
        <v>3376</v>
      </c>
      <c r="M89" s="122">
        <v>2347</v>
      </c>
      <c r="N89" s="122">
        <v>17203</v>
      </c>
      <c r="O89" s="122">
        <v>6372</v>
      </c>
      <c r="P89" s="122">
        <v>5616</v>
      </c>
      <c r="Q89" s="122">
        <v>2080</v>
      </c>
      <c r="R89" s="122">
        <v>60996</v>
      </c>
      <c r="S89" s="122">
        <v>55451</v>
      </c>
      <c r="T89" s="122">
        <v>32824</v>
      </c>
      <c r="U89" s="122">
        <v>12157</v>
      </c>
      <c r="V89" s="122">
        <v>171251</v>
      </c>
      <c r="W89" s="122">
        <f t="shared" si="2"/>
        <v>171250</v>
      </c>
      <c r="X89" s="122">
        <f t="shared" si="3"/>
        <v>222143</v>
      </c>
      <c r="Y89" s="122"/>
      <c r="AA89" t="s">
        <v>52</v>
      </c>
      <c r="AB89" t="s">
        <v>137</v>
      </c>
      <c r="AC89" t="s">
        <v>566</v>
      </c>
      <c r="AD89" t="s">
        <v>137</v>
      </c>
      <c r="AE89" t="s">
        <v>566</v>
      </c>
      <c r="AF89">
        <v>236</v>
      </c>
      <c r="AG89" s="122">
        <v>16207</v>
      </c>
      <c r="AH89" s="122">
        <v>26571</v>
      </c>
      <c r="AI89" s="122">
        <v>296269</v>
      </c>
      <c r="AJ89" s="122">
        <v>109729</v>
      </c>
      <c r="AK89">
        <v>260</v>
      </c>
      <c r="AL89">
        <v>0</v>
      </c>
      <c r="AM89">
        <v>300</v>
      </c>
      <c r="AN89" s="122">
        <v>220224</v>
      </c>
      <c r="AO89" s="122">
        <v>81564</v>
      </c>
      <c r="AP89" s="122">
        <v>34675</v>
      </c>
      <c r="AQ89" s="122">
        <v>12842</v>
      </c>
      <c r="AR89" s="122">
        <v>1279897</v>
      </c>
      <c r="AS89" s="122">
        <v>474036</v>
      </c>
      <c r="AT89">
        <v>0</v>
      </c>
      <c r="AU89">
        <v>0</v>
      </c>
      <c r="AV89" s="122">
        <v>678471</v>
      </c>
    </row>
    <row r="90" spans="2:48">
      <c r="B90" t="s">
        <v>363</v>
      </c>
      <c r="C90" t="s">
        <v>60</v>
      </c>
      <c r="D90" t="s">
        <v>137</v>
      </c>
      <c r="E90" s="122" t="s">
        <v>137</v>
      </c>
      <c r="F90" s="122">
        <v>114</v>
      </c>
      <c r="G90" s="122">
        <v>7055</v>
      </c>
      <c r="H90" s="122">
        <v>37853</v>
      </c>
      <c r="I90" s="122">
        <v>1346767</v>
      </c>
      <c r="J90" s="122">
        <v>498802</v>
      </c>
      <c r="K90" s="122">
        <v>101</v>
      </c>
      <c r="L90" s="122">
        <v>169343</v>
      </c>
      <c r="M90" s="122">
        <v>66751</v>
      </c>
      <c r="N90" s="122">
        <v>149667</v>
      </c>
      <c r="O90" s="122">
        <v>55432</v>
      </c>
      <c r="P90">
        <v>351</v>
      </c>
      <c r="Q90" s="122">
        <v>130</v>
      </c>
      <c r="R90" s="122">
        <v>666033</v>
      </c>
      <c r="S90" s="122">
        <v>246679</v>
      </c>
      <c r="T90">
        <v>0</v>
      </c>
      <c r="U90" s="122">
        <v>0</v>
      </c>
      <c r="V90" s="122">
        <v>867795</v>
      </c>
      <c r="W90" s="122">
        <f t="shared" si="2"/>
        <v>867794</v>
      </c>
      <c r="X90" s="122">
        <f t="shared" si="3"/>
        <v>2332161</v>
      </c>
      <c r="Y90" s="122"/>
      <c r="AA90" t="s">
        <v>52</v>
      </c>
      <c r="AB90" t="s">
        <v>137</v>
      </c>
      <c r="AC90" t="s">
        <v>433</v>
      </c>
      <c r="AD90" t="s">
        <v>137</v>
      </c>
      <c r="AE90" t="s">
        <v>566</v>
      </c>
      <c r="AF90">
        <v>14</v>
      </c>
      <c r="AG90" s="122">
        <v>1037</v>
      </c>
      <c r="AH90" s="122">
        <v>1500</v>
      </c>
      <c r="AI90" s="122">
        <v>28128</v>
      </c>
      <c r="AJ90" s="122">
        <v>10418</v>
      </c>
      <c r="AK90">
        <v>374</v>
      </c>
      <c r="AL90" s="122">
        <v>5791</v>
      </c>
      <c r="AM90" s="122">
        <v>5264</v>
      </c>
      <c r="AN90" s="122">
        <v>22522</v>
      </c>
      <c r="AO90" s="122">
        <v>8341</v>
      </c>
      <c r="AP90" s="122">
        <v>7176</v>
      </c>
      <c r="AQ90" s="122">
        <v>2658</v>
      </c>
      <c r="AR90" s="122">
        <v>47781</v>
      </c>
      <c r="AS90" s="122">
        <v>17697</v>
      </c>
      <c r="AT90">
        <v>0</v>
      </c>
      <c r="AU90">
        <v>0</v>
      </c>
      <c r="AV90" s="122">
        <v>44378</v>
      </c>
    </row>
    <row r="91" spans="2:48">
      <c r="B91" t="s">
        <v>363</v>
      </c>
      <c r="C91" t="s">
        <v>60</v>
      </c>
      <c r="D91" t="s">
        <v>406</v>
      </c>
      <c r="E91" t="s">
        <v>406</v>
      </c>
      <c r="F91">
        <v>8</v>
      </c>
      <c r="G91" s="122">
        <v>956</v>
      </c>
      <c r="H91" s="122">
        <v>2671</v>
      </c>
      <c r="I91" s="122">
        <v>218184</v>
      </c>
      <c r="J91" s="122">
        <v>198350</v>
      </c>
      <c r="K91" s="122">
        <v>76</v>
      </c>
      <c r="L91" s="122">
        <v>33960</v>
      </c>
      <c r="M91" s="122">
        <v>27189</v>
      </c>
      <c r="N91" s="122">
        <v>21478</v>
      </c>
      <c r="O91" s="122">
        <v>7955</v>
      </c>
      <c r="P91" s="122">
        <v>5049</v>
      </c>
      <c r="Q91" s="122">
        <v>1870</v>
      </c>
      <c r="R91" s="122">
        <v>30344</v>
      </c>
      <c r="S91" s="122">
        <v>27585</v>
      </c>
      <c r="T91" s="122">
        <v>14806</v>
      </c>
      <c r="U91" s="122">
        <v>5484</v>
      </c>
      <c r="V91" s="122">
        <v>268432</v>
      </c>
      <c r="W91" s="122">
        <f t="shared" si="2"/>
        <v>268433</v>
      </c>
      <c r="X91" s="122">
        <f t="shared" si="3"/>
        <v>323821</v>
      </c>
      <c r="Y91" s="122"/>
      <c r="AA91" t="s">
        <v>52</v>
      </c>
      <c r="AB91" t="s">
        <v>406</v>
      </c>
      <c r="AC91" t="s">
        <v>137</v>
      </c>
      <c r="AD91" t="s">
        <v>406</v>
      </c>
      <c r="AE91" t="s">
        <v>137</v>
      </c>
      <c r="AF91">
        <v>1</v>
      </c>
      <c r="AG91">
        <v>113</v>
      </c>
      <c r="AH91">
        <v>111</v>
      </c>
      <c r="AI91" s="122">
        <v>4145</v>
      </c>
      <c r="AJ91" s="122">
        <v>3768</v>
      </c>
      <c r="AK91">
        <v>95</v>
      </c>
      <c r="AL91" s="122">
        <v>2292</v>
      </c>
      <c r="AM91">
        <v>849</v>
      </c>
      <c r="AN91" s="122">
        <v>1381</v>
      </c>
      <c r="AO91">
        <v>511</v>
      </c>
      <c r="AP91" s="122">
        <v>1323</v>
      </c>
      <c r="AQ91">
        <v>490</v>
      </c>
      <c r="AR91" s="122">
        <v>3465</v>
      </c>
      <c r="AS91" s="122">
        <v>3150</v>
      </c>
      <c r="AT91">
        <v>0</v>
      </c>
      <c r="AU91">
        <v>0</v>
      </c>
      <c r="AV91" s="122">
        <v>8768</v>
      </c>
    </row>
    <row r="92" spans="2:48">
      <c r="B92" t="s">
        <v>363</v>
      </c>
      <c r="C92" t="s">
        <v>60</v>
      </c>
      <c r="D92" t="s">
        <v>406</v>
      </c>
      <c r="E92" t="s">
        <v>407</v>
      </c>
      <c r="F92" s="122">
        <v>1</v>
      </c>
      <c r="G92" s="122">
        <v>133</v>
      </c>
      <c r="H92" s="122">
        <v>337</v>
      </c>
      <c r="I92" s="122">
        <v>33636</v>
      </c>
      <c r="J92" s="122">
        <v>30578</v>
      </c>
      <c r="K92" s="122">
        <v>85</v>
      </c>
      <c r="L92" s="122">
        <v>0</v>
      </c>
      <c r="M92" s="122">
        <v>0</v>
      </c>
      <c r="N92" s="122">
        <v>2488</v>
      </c>
      <c r="O92" s="122">
        <v>921</v>
      </c>
      <c r="P92">
        <v>743</v>
      </c>
      <c r="Q92" s="122">
        <v>275</v>
      </c>
      <c r="R92" s="122">
        <v>5486</v>
      </c>
      <c r="S92" s="122">
        <v>4987</v>
      </c>
      <c r="T92" s="122">
        <v>2378</v>
      </c>
      <c r="U92" s="122">
        <v>881</v>
      </c>
      <c r="V92" s="122">
        <v>37643</v>
      </c>
      <c r="W92" s="122">
        <f t="shared" si="2"/>
        <v>37642</v>
      </c>
      <c r="X92" s="122">
        <f t="shared" si="3"/>
        <v>44731</v>
      </c>
      <c r="Y92" s="122"/>
      <c r="AA92" t="s">
        <v>52</v>
      </c>
      <c r="AB92" t="s">
        <v>406</v>
      </c>
      <c r="AC92" t="s">
        <v>137</v>
      </c>
      <c r="AD92" t="s">
        <v>406</v>
      </c>
      <c r="AE92" t="s">
        <v>566</v>
      </c>
      <c r="AF92">
        <v>2</v>
      </c>
      <c r="AG92">
        <v>116</v>
      </c>
      <c r="AH92">
        <v>214</v>
      </c>
      <c r="AI92" s="122">
        <v>4922</v>
      </c>
      <c r="AJ92" s="122">
        <v>4474</v>
      </c>
      <c r="AK92">
        <v>92</v>
      </c>
      <c r="AL92" s="122">
        <v>1238</v>
      </c>
      <c r="AM92">
        <v>458</v>
      </c>
      <c r="AN92" s="122">
        <v>1412</v>
      </c>
      <c r="AO92">
        <v>523</v>
      </c>
      <c r="AP92" s="122">
        <v>1242</v>
      </c>
      <c r="AQ92">
        <v>460</v>
      </c>
      <c r="AR92" s="122">
        <v>3610</v>
      </c>
      <c r="AS92" s="122">
        <v>3281</v>
      </c>
      <c r="AT92">
        <v>0</v>
      </c>
      <c r="AU92">
        <v>0</v>
      </c>
      <c r="AV92" s="122">
        <v>9197</v>
      </c>
    </row>
    <row r="93" spans="2:48">
      <c r="B93" t="s">
        <v>363</v>
      </c>
      <c r="C93" t="s">
        <v>60</v>
      </c>
      <c r="D93" s="122" t="s">
        <v>556</v>
      </c>
      <c r="E93" s="122" t="s">
        <v>556</v>
      </c>
      <c r="F93" s="122">
        <v>2</v>
      </c>
      <c r="G93" s="122">
        <v>83</v>
      </c>
      <c r="H93" s="122">
        <v>722</v>
      </c>
      <c r="I93" s="122">
        <v>12453</v>
      </c>
      <c r="J93" s="122">
        <v>10377</v>
      </c>
      <c r="K93" s="122">
        <v>55</v>
      </c>
      <c r="L93" s="122">
        <v>2537</v>
      </c>
      <c r="M93" s="122">
        <v>2114</v>
      </c>
      <c r="N93" s="122">
        <v>2013</v>
      </c>
      <c r="O93" s="122">
        <v>745</v>
      </c>
      <c r="P93">
        <v>0</v>
      </c>
      <c r="Q93" s="122">
        <v>0</v>
      </c>
      <c r="R93" s="122">
        <v>9317</v>
      </c>
      <c r="S93" s="122">
        <v>7764</v>
      </c>
      <c r="T93" s="122">
        <v>3505</v>
      </c>
      <c r="U93" s="122">
        <v>1298</v>
      </c>
      <c r="V93" s="122">
        <v>22299</v>
      </c>
      <c r="W93" s="122">
        <f t="shared" si="2"/>
        <v>22298</v>
      </c>
      <c r="X93" s="122">
        <f t="shared" si="3"/>
        <v>29825</v>
      </c>
      <c r="Y93" s="122"/>
      <c r="AA93" t="s">
        <v>52</v>
      </c>
      <c r="AB93" t="s">
        <v>406</v>
      </c>
      <c r="AC93" t="s">
        <v>580</v>
      </c>
      <c r="AD93" t="s">
        <v>406</v>
      </c>
      <c r="AE93" t="s">
        <v>137</v>
      </c>
      <c r="AF93">
        <v>1</v>
      </c>
      <c r="AG93">
        <v>227</v>
      </c>
      <c r="AH93">
        <v>116</v>
      </c>
      <c r="AI93" s="122">
        <v>17111</v>
      </c>
      <c r="AJ93" s="122">
        <v>15556</v>
      </c>
      <c r="AK93">
        <v>94</v>
      </c>
      <c r="AL93" s="122">
        <v>3411</v>
      </c>
      <c r="AM93" s="122">
        <v>3101</v>
      </c>
      <c r="AN93" s="122">
        <v>3119</v>
      </c>
      <c r="AO93" s="122">
        <v>1155</v>
      </c>
      <c r="AP93">
        <v>621</v>
      </c>
      <c r="AQ93">
        <v>230</v>
      </c>
      <c r="AR93" s="122">
        <v>1931</v>
      </c>
      <c r="AS93" s="122">
        <v>1755</v>
      </c>
      <c r="AT93">
        <v>0</v>
      </c>
      <c r="AU93">
        <v>0</v>
      </c>
      <c r="AV93" s="122">
        <v>21797</v>
      </c>
    </row>
    <row r="94" spans="2:48">
      <c r="B94" t="s">
        <v>363</v>
      </c>
      <c r="C94" t="s">
        <v>60</v>
      </c>
      <c r="D94" t="s">
        <v>426</v>
      </c>
      <c r="E94" s="122" t="s">
        <v>426</v>
      </c>
      <c r="F94" s="122">
        <v>11</v>
      </c>
      <c r="G94" s="122">
        <v>506</v>
      </c>
      <c r="H94" s="122">
        <v>3868</v>
      </c>
      <c r="I94" s="122">
        <v>91253</v>
      </c>
      <c r="J94" s="122">
        <v>82957</v>
      </c>
      <c r="K94" s="122">
        <v>59</v>
      </c>
      <c r="L94" s="122">
        <v>2184</v>
      </c>
      <c r="M94" s="122">
        <v>1483</v>
      </c>
      <c r="N94" s="122">
        <v>10440</v>
      </c>
      <c r="O94" s="122">
        <v>3867</v>
      </c>
      <c r="P94" s="122">
        <v>3861</v>
      </c>
      <c r="Q94" s="122">
        <v>1430</v>
      </c>
      <c r="R94" s="122">
        <v>47620</v>
      </c>
      <c r="S94" s="122">
        <v>43291</v>
      </c>
      <c r="T94" s="122">
        <v>22145</v>
      </c>
      <c r="U94" s="122">
        <v>8202</v>
      </c>
      <c r="V94" s="122">
        <v>141230</v>
      </c>
      <c r="W94" s="122">
        <f t="shared" si="2"/>
        <v>141230</v>
      </c>
      <c r="X94" s="122">
        <f t="shared" si="3"/>
        <v>177503</v>
      </c>
      <c r="Y94" s="122"/>
      <c r="AA94" t="s">
        <v>52</v>
      </c>
      <c r="AB94" t="s">
        <v>406</v>
      </c>
      <c r="AC94" t="s">
        <v>580</v>
      </c>
      <c r="AD94" t="s">
        <v>406</v>
      </c>
      <c r="AE94" t="s">
        <v>566</v>
      </c>
      <c r="AF94">
        <v>2</v>
      </c>
      <c r="AG94">
        <v>447</v>
      </c>
      <c r="AH94">
        <v>219</v>
      </c>
      <c r="AI94" s="122">
        <v>24253</v>
      </c>
      <c r="AJ94" s="122">
        <v>22048</v>
      </c>
      <c r="AK94">
        <v>95</v>
      </c>
      <c r="AL94" s="122">
        <v>3261</v>
      </c>
      <c r="AM94" s="122">
        <v>2965</v>
      </c>
      <c r="AN94" s="122">
        <v>7431</v>
      </c>
      <c r="AO94" s="122">
        <v>2752</v>
      </c>
      <c r="AP94" s="122">
        <v>3898</v>
      </c>
      <c r="AQ94" s="122">
        <v>1444</v>
      </c>
      <c r="AR94" s="122">
        <v>10499</v>
      </c>
      <c r="AS94" s="122">
        <v>9545</v>
      </c>
      <c r="AT94">
        <v>0</v>
      </c>
      <c r="AU94">
        <v>0</v>
      </c>
      <c r="AV94" s="122">
        <v>38753</v>
      </c>
    </row>
    <row r="95" spans="2:48">
      <c r="B95" t="s">
        <v>363</v>
      </c>
      <c r="C95" t="s">
        <v>62</v>
      </c>
      <c r="D95" t="s">
        <v>137</v>
      </c>
      <c r="E95" s="122" t="s">
        <v>137</v>
      </c>
      <c r="F95" s="122">
        <v>33</v>
      </c>
      <c r="G95" s="122">
        <v>1775</v>
      </c>
      <c r="H95" s="122">
        <v>13771</v>
      </c>
      <c r="I95" s="122">
        <v>468954</v>
      </c>
      <c r="J95" s="122">
        <v>173687</v>
      </c>
      <c r="K95" s="122">
        <v>100</v>
      </c>
      <c r="L95" s="122">
        <v>44600</v>
      </c>
      <c r="M95" s="122">
        <v>21557</v>
      </c>
      <c r="N95" s="122">
        <v>39769</v>
      </c>
      <c r="O95" s="122">
        <v>14729</v>
      </c>
      <c r="P95" s="122">
        <v>1053</v>
      </c>
      <c r="Q95" s="122">
        <v>390</v>
      </c>
      <c r="R95" s="122">
        <v>186146</v>
      </c>
      <c r="S95" s="122">
        <v>68943</v>
      </c>
      <c r="T95" s="122">
        <v>0</v>
      </c>
      <c r="U95" s="122">
        <v>0</v>
      </c>
      <c r="V95" s="122">
        <v>279306</v>
      </c>
      <c r="W95" s="122">
        <f t="shared" si="2"/>
        <v>279306</v>
      </c>
      <c r="X95" s="122">
        <f t="shared" si="3"/>
        <v>740522</v>
      </c>
      <c r="Y95" s="122"/>
      <c r="AA95" t="s">
        <v>52</v>
      </c>
      <c r="AB95" t="s">
        <v>406</v>
      </c>
      <c r="AC95" t="s">
        <v>427</v>
      </c>
      <c r="AD95" t="s">
        <v>406</v>
      </c>
      <c r="AE95" t="s">
        <v>566</v>
      </c>
      <c r="AF95">
        <v>1</v>
      </c>
      <c r="AG95">
        <v>170</v>
      </c>
      <c r="AH95">
        <v>125</v>
      </c>
      <c r="AI95" s="122">
        <v>19545</v>
      </c>
      <c r="AJ95" s="122">
        <v>17768</v>
      </c>
      <c r="AK95">
        <v>86</v>
      </c>
      <c r="AL95" s="122">
        <v>3214</v>
      </c>
      <c r="AM95" s="122">
        <v>2922</v>
      </c>
      <c r="AN95" s="122">
        <v>4362</v>
      </c>
      <c r="AO95" s="122">
        <v>1616</v>
      </c>
      <c r="AP95">
        <v>621</v>
      </c>
      <c r="AQ95">
        <v>230</v>
      </c>
      <c r="AR95" s="122">
        <v>4658</v>
      </c>
      <c r="AS95" s="122">
        <v>4235</v>
      </c>
      <c r="AT95">
        <v>0</v>
      </c>
      <c r="AU95">
        <v>0</v>
      </c>
      <c r="AV95" s="122">
        <v>26770</v>
      </c>
    </row>
    <row r="96" spans="2:48">
      <c r="B96" t="s">
        <v>363</v>
      </c>
      <c r="C96" t="s">
        <v>62</v>
      </c>
      <c r="D96" t="s">
        <v>406</v>
      </c>
      <c r="E96" s="122" t="s">
        <v>406</v>
      </c>
      <c r="F96" s="122">
        <v>7</v>
      </c>
      <c r="G96" s="122">
        <v>562</v>
      </c>
      <c r="H96" s="122">
        <v>2910</v>
      </c>
      <c r="I96" s="122">
        <v>153610</v>
      </c>
      <c r="J96" s="122">
        <v>139645</v>
      </c>
      <c r="K96" s="122">
        <v>75</v>
      </c>
      <c r="L96" s="122">
        <v>20526</v>
      </c>
      <c r="M96" s="122">
        <v>18128</v>
      </c>
      <c r="N96" s="122">
        <v>12042</v>
      </c>
      <c r="O96" s="122">
        <v>4460</v>
      </c>
      <c r="P96" s="122">
        <v>4347</v>
      </c>
      <c r="Q96" s="122">
        <v>1610</v>
      </c>
      <c r="R96" s="122">
        <v>30080</v>
      </c>
      <c r="S96" s="122">
        <v>27346</v>
      </c>
      <c r="T96" s="122">
        <v>11411</v>
      </c>
      <c r="U96" s="122">
        <v>4226</v>
      </c>
      <c r="V96" s="122">
        <v>195415</v>
      </c>
      <c r="W96" s="122">
        <f t="shared" si="2"/>
        <v>195415</v>
      </c>
      <c r="X96" s="122">
        <f t="shared" si="3"/>
        <v>232016</v>
      </c>
      <c r="Y96" s="122"/>
      <c r="AA96" t="s">
        <v>52</v>
      </c>
      <c r="AB96" t="s">
        <v>406</v>
      </c>
      <c r="AC96" t="s">
        <v>579</v>
      </c>
      <c r="AD96" t="s">
        <v>406</v>
      </c>
      <c r="AE96" t="s">
        <v>566</v>
      </c>
      <c r="AF96">
        <v>2</v>
      </c>
      <c r="AG96">
        <v>366</v>
      </c>
      <c r="AH96">
        <v>240</v>
      </c>
      <c r="AI96" s="122">
        <v>31618</v>
      </c>
      <c r="AJ96" s="122">
        <v>28743</v>
      </c>
      <c r="AK96">
        <v>95</v>
      </c>
      <c r="AL96" s="122">
        <v>5734</v>
      </c>
      <c r="AM96" s="122">
        <v>4778</v>
      </c>
      <c r="AN96" s="122">
        <v>7467</v>
      </c>
      <c r="AO96" s="122">
        <v>2766</v>
      </c>
      <c r="AP96" s="122">
        <v>1944</v>
      </c>
      <c r="AQ96">
        <v>720</v>
      </c>
      <c r="AR96" s="122">
        <v>10082</v>
      </c>
      <c r="AS96" s="122">
        <v>9165</v>
      </c>
      <c r="AT96">
        <v>0</v>
      </c>
      <c r="AU96">
        <v>0</v>
      </c>
      <c r="AV96" s="122">
        <v>46172</v>
      </c>
    </row>
    <row r="97" spans="2:48">
      <c r="B97" t="s">
        <v>363</v>
      </c>
      <c r="C97" t="s">
        <v>62</v>
      </c>
      <c r="D97" t="s">
        <v>407</v>
      </c>
      <c r="E97" s="122" t="s">
        <v>407</v>
      </c>
      <c r="F97" s="122">
        <v>1</v>
      </c>
      <c r="G97" s="122">
        <v>67</v>
      </c>
      <c r="H97" s="122">
        <v>406</v>
      </c>
      <c r="I97" s="122">
        <v>18140</v>
      </c>
      <c r="J97" s="122">
        <v>16490</v>
      </c>
      <c r="K97" s="122">
        <v>80</v>
      </c>
      <c r="L97" s="122">
        <v>5126</v>
      </c>
      <c r="M97" s="122">
        <v>4660</v>
      </c>
      <c r="N97" s="122">
        <v>1126</v>
      </c>
      <c r="O97" s="122">
        <v>417</v>
      </c>
      <c r="P97">
        <v>473</v>
      </c>
      <c r="Q97" s="122">
        <v>175</v>
      </c>
      <c r="R97" s="122">
        <v>2507</v>
      </c>
      <c r="S97" s="122">
        <v>2279</v>
      </c>
      <c r="T97" s="122">
        <v>0</v>
      </c>
      <c r="U97" s="122">
        <v>0</v>
      </c>
      <c r="V97" s="122">
        <v>24022</v>
      </c>
      <c r="W97" s="122">
        <f t="shared" si="2"/>
        <v>24021</v>
      </c>
      <c r="X97" s="122">
        <f t="shared" si="3"/>
        <v>27372</v>
      </c>
      <c r="Y97" s="122"/>
      <c r="AA97" t="s">
        <v>52</v>
      </c>
      <c r="AB97" t="s">
        <v>406</v>
      </c>
      <c r="AC97" t="s">
        <v>431</v>
      </c>
      <c r="AD97" t="s">
        <v>406</v>
      </c>
      <c r="AE97" t="s">
        <v>566</v>
      </c>
      <c r="AF97">
        <v>1</v>
      </c>
      <c r="AG97">
        <v>214</v>
      </c>
      <c r="AH97">
        <v>119</v>
      </c>
      <c r="AI97" s="122">
        <v>12049</v>
      </c>
      <c r="AJ97" s="122">
        <v>10953</v>
      </c>
      <c r="AK97">
        <v>95</v>
      </c>
      <c r="AL97" s="122">
        <v>1957</v>
      </c>
      <c r="AM97" s="122">
        <v>1779</v>
      </c>
      <c r="AN97" s="122">
        <v>3393</v>
      </c>
      <c r="AO97" s="122">
        <v>1257</v>
      </c>
      <c r="AP97" s="122">
        <v>2376</v>
      </c>
      <c r="AQ97">
        <v>880</v>
      </c>
      <c r="AR97" s="122">
        <v>5739</v>
      </c>
      <c r="AS97" s="122">
        <v>5217</v>
      </c>
      <c r="AT97">
        <v>0</v>
      </c>
      <c r="AU97">
        <v>0</v>
      </c>
      <c r="AV97" s="122">
        <v>20086</v>
      </c>
    </row>
    <row r="98" spans="2:48">
      <c r="B98" t="s">
        <v>363</v>
      </c>
      <c r="C98" t="s">
        <v>62</v>
      </c>
      <c r="D98" t="s">
        <v>426</v>
      </c>
      <c r="E98" t="s">
        <v>426</v>
      </c>
      <c r="F98">
        <v>9</v>
      </c>
      <c r="G98" s="122">
        <v>373</v>
      </c>
      <c r="H98" s="122">
        <v>3845</v>
      </c>
      <c r="I98" s="122">
        <v>85014</v>
      </c>
      <c r="J98" s="122">
        <v>77285</v>
      </c>
      <c r="K98" s="122">
        <v>56</v>
      </c>
      <c r="L98" s="122">
        <v>9154</v>
      </c>
      <c r="M98" s="122">
        <v>6231</v>
      </c>
      <c r="N98" s="122">
        <v>7616</v>
      </c>
      <c r="O98" s="122">
        <v>2821</v>
      </c>
      <c r="P98" s="122">
        <v>3159</v>
      </c>
      <c r="Q98" s="122">
        <v>1170</v>
      </c>
      <c r="R98" s="122">
        <v>41196</v>
      </c>
      <c r="S98" s="122">
        <v>37451</v>
      </c>
      <c r="T98" s="122">
        <v>13469</v>
      </c>
      <c r="U98" s="122">
        <v>4989</v>
      </c>
      <c r="V98" s="122">
        <v>129947</v>
      </c>
      <c r="W98" s="122">
        <f t="shared" si="2"/>
        <v>129947</v>
      </c>
      <c r="X98" s="122">
        <f t="shared" si="3"/>
        <v>159608</v>
      </c>
      <c r="Y98" s="122"/>
      <c r="AA98" t="s">
        <v>52</v>
      </c>
      <c r="AB98" t="s">
        <v>406</v>
      </c>
      <c r="AC98" t="s">
        <v>426</v>
      </c>
      <c r="AD98" t="s">
        <v>406</v>
      </c>
      <c r="AE98" t="s">
        <v>137</v>
      </c>
      <c r="AF98">
        <v>8</v>
      </c>
      <c r="AG98" s="122">
        <v>1580</v>
      </c>
      <c r="AH98">
        <v>910</v>
      </c>
      <c r="AI98" s="122">
        <v>97361</v>
      </c>
      <c r="AJ98" s="122">
        <v>88510</v>
      </c>
      <c r="AK98">
        <v>93</v>
      </c>
      <c r="AL98" s="122">
        <v>17114</v>
      </c>
      <c r="AM98" s="122">
        <v>15558</v>
      </c>
      <c r="AN98" s="122">
        <v>28134</v>
      </c>
      <c r="AO98" s="122">
        <v>10420</v>
      </c>
      <c r="AP98" s="122">
        <v>5319</v>
      </c>
      <c r="AQ98" s="122">
        <v>1970</v>
      </c>
      <c r="AR98" s="122">
        <v>33914</v>
      </c>
      <c r="AS98" s="122">
        <v>30831</v>
      </c>
      <c r="AT98" s="122">
        <v>4987</v>
      </c>
      <c r="AU98" s="122">
        <v>1847</v>
      </c>
      <c r="AV98" s="122">
        <v>149136</v>
      </c>
    </row>
    <row r="99" spans="2:48">
      <c r="B99" t="s">
        <v>363</v>
      </c>
      <c r="C99" t="s">
        <v>64</v>
      </c>
      <c r="E99" s="122"/>
      <c r="F99" s="122">
        <v>2</v>
      </c>
      <c r="G99" s="122">
        <v>69</v>
      </c>
      <c r="H99" s="122">
        <v>1141</v>
      </c>
      <c r="I99" s="122"/>
      <c r="J99" s="122">
        <v>0</v>
      </c>
      <c r="K99" s="122"/>
      <c r="L99" s="122"/>
      <c r="M99" s="122">
        <v>0</v>
      </c>
      <c r="N99" s="122">
        <v>1693</v>
      </c>
      <c r="O99" s="122">
        <v>627</v>
      </c>
      <c r="P99" s="122">
        <v>1242</v>
      </c>
      <c r="Q99" s="122">
        <v>460</v>
      </c>
      <c r="R99" s="122"/>
      <c r="S99">
        <v>0</v>
      </c>
      <c r="T99">
        <v>0</v>
      </c>
      <c r="U99" s="122">
        <v>0</v>
      </c>
      <c r="V99" s="122">
        <v>1087</v>
      </c>
      <c r="W99" s="122">
        <f t="shared" si="2"/>
        <v>1087</v>
      </c>
      <c r="X99" s="122">
        <f t="shared" si="3"/>
        <v>2935</v>
      </c>
      <c r="Y99" s="122"/>
      <c r="AA99" t="s">
        <v>52</v>
      </c>
      <c r="AB99" t="s">
        <v>406</v>
      </c>
      <c r="AC99" t="s">
        <v>426</v>
      </c>
      <c r="AD99" t="s">
        <v>406</v>
      </c>
      <c r="AE99" t="s">
        <v>566</v>
      </c>
      <c r="AF99">
        <v>27</v>
      </c>
      <c r="AG99" s="122">
        <v>5231</v>
      </c>
      <c r="AH99" s="122">
        <v>3154</v>
      </c>
      <c r="AI99" s="122">
        <v>360562</v>
      </c>
      <c r="AJ99" s="122">
        <v>327784</v>
      </c>
      <c r="AK99">
        <v>93</v>
      </c>
      <c r="AL99" s="122">
        <v>60185</v>
      </c>
      <c r="AM99" s="122">
        <v>54714</v>
      </c>
      <c r="AN99" s="122">
        <v>92926</v>
      </c>
      <c r="AO99" s="122">
        <v>34417</v>
      </c>
      <c r="AP99" s="122">
        <v>20961</v>
      </c>
      <c r="AQ99" s="122">
        <v>7763</v>
      </c>
      <c r="AR99" s="122">
        <v>138979</v>
      </c>
      <c r="AS99" s="122">
        <v>126345</v>
      </c>
      <c r="AT99">
        <v>0</v>
      </c>
      <c r="AU99">
        <v>0</v>
      </c>
      <c r="AV99" s="122">
        <v>551023</v>
      </c>
    </row>
    <row r="100" spans="2:48">
      <c r="B100" t="s">
        <v>363</v>
      </c>
      <c r="C100" t="s">
        <v>64</v>
      </c>
      <c r="D100" t="s">
        <v>137</v>
      </c>
      <c r="E100" t="s">
        <v>137</v>
      </c>
      <c r="F100">
        <v>39</v>
      </c>
      <c r="G100" s="122">
        <v>1933</v>
      </c>
      <c r="H100" s="122">
        <v>23902</v>
      </c>
      <c r="I100" s="122">
        <v>863845</v>
      </c>
      <c r="J100" s="122">
        <v>319943</v>
      </c>
      <c r="K100" s="122">
        <v>100</v>
      </c>
      <c r="L100" s="122">
        <v>58893</v>
      </c>
      <c r="M100" s="122">
        <v>31202</v>
      </c>
      <c r="N100" s="122">
        <v>41479</v>
      </c>
      <c r="O100" s="122">
        <v>15362</v>
      </c>
      <c r="P100">
        <v>351</v>
      </c>
      <c r="Q100" s="122">
        <v>130</v>
      </c>
      <c r="R100" s="122">
        <v>213021</v>
      </c>
      <c r="S100" s="122">
        <v>78897</v>
      </c>
      <c r="T100">
        <v>0</v>
      </c>
      <c r="U100" s="122">
        <v>0</v>
      </c>
      <c r="V100" s="122">
        <v>445534</v>
      </c>
      <c r="W100" s="122">
        <f t="shared" si="2"/>
        <v>445534</v>
      </c>
      <c r="X100" s="122">
        <f t="shared" si="3"/>
        <v>1177589</v>
      </c>
      <c r="Y100" s="122"/>
      <c r="AA100" t="s">
        <v>52</v>
      </c>
      <c r="AB100" t="s">
        <v>406</v>
      </c>
      <c r="AC100" t="s">
        <v>566</v>
      </c>
      <c r="AD100" t="s">
        <v>406</v>
      </c>
      <c r="AE100" t="s">
        <v>137</v>
      </c>
      <c r="AF100">
        <v>2</v>
      </c>
      <c r="AG100">
        <v>293</v>
      </c>
      <c r="AH100">
        <v>234</v>
      </c>
      <c r="AI100" s="122">
        <v>16447</v>
      </c>
      <c r="AJ100" s="122">
        <v>14952</v>
      </c>
      <c r="AK100">
        <v>90</v>
      </c>
      <c r="AL100">
        <v>0</v>
      </c>
      <c r="AM100">
        <v>587</v>
      </c>
      <c r="AN100" s="122">
        <v>5934</v>
      </c>
      <c r="AO100" s="122">
        <v>2198</v>
      </c>
      <c r="AP100" s="122">
        <v>1593</v>
      </c>
      <c r="AQ100">
        <v>590</v>
      </c>
      <c r="AR100" s="122">
        <v>10512</v>
      </c>
      <c r="AS100" s="122">
        <v>9557</v>
      </c>
      <c r="AT100">
        <v>0</v>
      </c>
      <c r="AU100">
        <v>0</v>
      </c>
      <c r="AV100" s="122">
        <v>27884</v>
      </c>
    </row>
    <row r="101" spans="2:48">
      <c r="B101" t="s">
        <v>363</v>
      </c>
      <c r="C101" t="s">
        <v>64</v>
      </c>
      <c r="D101" t="s">
        <v>406</v>
      </c>
      <c r="E101" s="122" t="s">
        <v>137</v>
      </c>
      <c r="F101" s="122">
        <v>3</v>
      </c>
      <c r="G101" s="122">
        <v>111</v>
      </c>
      <c r="H101" s="122">
        <v>1635</v>
      </c>
      <c r="I101" s="122">
        <v>36909</v>
      </c>
      <c r="J101" s="122">
        <v>33553</v>
      </c>
      <c r="K101" s="122">
        <v>79</v>
      </c>
      <c r="L101" s="122">
        <v>7550</v>
      </c>
      <c r="M101" s="122">
        <v>2796</v>
      </c>
      <c r="N101" s="122">
        <v>2694</v>
      </c>
      <c r="O101">
        <v>998</v>
      </c>
      <c r="P101" s="122">
        <v>1863</v>
      </c>
      <c r="Q101" s="122">
        <v>690</v>
      </c>
      <c r="R101" s="122">
        <v>11402</v>
      </c>
      <c r="S101" s="122">
        <v>4223</v>
      </c>
      <c r="T101">
        <v>0</v>
      </c>
      <c r="U101" s="122">
        <v>0</v>
      </c>
      <c r="V101" s="122">
        <v>42260</v>
      </c>
      <c r="W101" s="122">
        <f t="shared" si="2"/>
        <v>42260</v>
      </c>
      <c r="X101" s="122">
        <f t="shared" si="3"/>
        <v>60418</v>
      </c>
      <c r="Y101" s="122"/>
      <c r="AA101" t="s">
        <v>52</v>
      </c>
      <c r="AB101" t="s">
        <v>406</v>
      </c>
      <c r="AC101" t="s">
        <v>566</v>
      </c>
      <c r="AD101" t="s">
        <v>406</v>
      </c>
      <c r="AE101" t="s">
        <v>566</v>
      </c>
      <c r="AF101">
        <v>13</v>
      </c>
      <c r="AG101" s="122">
        <v>1181</v>
      </c>
      <c r="AH101" s="122">
        <v>1495</v>
      </c>
      <c r="AI101" s="122">
        <v>72467</v>
      </c>
      <c r="AJ101" s="122">
        <v>65880</v>
      </c>
      <c r="AK101">
        <v>93</v>
      </c>
      <c r="AL101">
        <v>0</v>
      </c>
      <c r="AM101">
        <v>0</v>
      </c>
      <c r="AN101" s="122">
        <v>16291</v>
      </c>
      <c r="AO101" s="122">
        <v>6034</v>
      </c>
      <c r="AP101" s="122">
        <v>7452</v>
      </c>
      <c r="AQ101" s="122">
        <v>2760</v>
      </c>
      <c r="AR101" s="122">
        <v>38742</v>
      </c>
      <c r="AS101" s="122">
        <v>35220</v>
      </c>
      <c r="AT101">
        <v>0</v>
      </c>
      <c r="AU101">
        <v>0</v>
      </c>
      <c r="AV101" s="122">
        <v>109893</v>
      </c>
    </row>
    <row r="102" spans="2:48">
      <c r="B102" t="s">
        <v>363</v>
      </c>
      <c r="C102" t="s">
        <v>64</v>
      </c>
      <c r="D102" t="s">
        <v>406</v>
      </c>
      <c r="E102" t="s">
        <v>406</v>
      </c>
      <c r="F102" s="122">
        <v>10</v>
      </c>
      <c r="G102" s="122">
        <v>777</v>
      </c>
      <c r="H102" s="122">
        <v>5511</v>
      </c>
      <c r="I102" s="122">
        <v>280113</v>
      </c>
      <c r="J102" s="122">
        <v>254648</v>
      </c>
      <c r="K102" s="122">
        <v>68</v>
      </c>
      <c r="L102" s="122">
        <v>49410</v>
      </c>
      <c r="M102" s="122">
        <v>42747</v>
      </c>
      <c r="N102" s="122">
        <v>16946</v>
      </c>
      <c r="O102" s="122">
        <v>6276</v>
      </c>
      <c r="P102" s="122">
        <v>6332</v>
      </c>
      <c r="Q102" s="122">
        <v>2345</v>
      </c>
      <c r="R102" s="122">
        <v>43765</v>
      </c>
      <c r="S102" s="122">
        <v>39787</v>
      </c>
      <c r="T102" s="122">
        <v>19108</v>
      </c>
      <c r="U102" s="122">
        <v>7077</v>
      </c>
      <c r="V102" s="122">
        <v>352880</v>
      </c>
      <c r="W102" s="122">
        <f t="shared" si="2"/>
        <v>352880</v>
      </c>
      <c r="X102" s="122">
        <f t="shared" si="3"/>
        <v>415674</v>
      </c>
      <c r="Y102" s="122"/>
      <c r="AA102" t="s">
        <v>52</v>
      </c>
      <c r="AB102" t="s">
        <v>406</v>
      </c>
      <c r="AC102" t="s">
        <v>433</v>
      </c>
      <c r="AD102" t="s">
        <v>406</v>
      </c>
      <c r="AE102" t="s">
        <v>566</v>
      </c>
      <c r="AF102">
        <v>4</v>
      </c>
      <c r="AG102">
        <v>684</v>
      </c>
      <c r="AH102">
        <v>443</v>
      </c>
      <c r="AI102" s="122">
        <v>45607</v>
      </c>
      <c r="AJ102" s="122">
        <v>41460</v>
      </c>
      <c r="AK102">
        <v>95</v>
      </c>
      <c r="AL102" s="122">
        <v>8185</v>
      </c>
      <c r="AM102" s="122">
        <v>7441</v>
      </c>
      <c r="AN102" s="122">
        <v>12968</v>
      </c>
      <c r="AO102" s="122">
        <v>4803</v>
      </c>
      <c r="AP102" s="122">
        <v>2484</v>
      </c>
      <c r="AQ102">
        <v>920</v>
      </c>
      <c r="AR102" s="122">
        <v>17055</v>
      </c>
      <c r="AS102" s="122">
        <v>15504</v>
      </c>
      <c r="AT102">
        <v>0</v>
      </c>
      <c r="AU102">
        <v>0</v>
      </c>
      <c r="AV102" s="122">
        <v>70129</v>
      </c>
    </row>
    <row r="103" spans="2:48">
      <c r="B103" t="s">
        <v>363</v>
      </c>
      <c r="C103" t="s">
        <v>64</v>
      </c>
      <c r="D103" t="s">
        <v>427</v>
      </c>
      <c r="E103" s="122" t="s">
        <v>427</v>
      </c>
      <c r="F103" s="122">
        <v>2</v>
      </c>
      <c r="G103" s="122">
        <v>156</v>
      </c>
      <c r="H103" s="122">
        <v>1417</v>
      </c>
      <c r="I103" s="122">
        <v>83179</v>
      </c>
      <c r="J103" s="122">
        <v>75617</v>
      </c>
      <c r="K103" s="122">
        <v>50</v>
      </c>
      <c r="L103" s="122">
        <v>7797</v>
      </c>
      <c r="M103" s="122">
        <v>7088</v>
      </c>
      <c r="N103" s="122">
        <v>3804</v>
      </c>
      <c r="O103" s="122">
        <v>1409</v>
      </c>
      <c r="P103" s="122">
        <v>702</v>
      </c>
      <c r="Q103" s="122">
        <v>260</v>
      </c>
      <c r="R103" s="122">
        <v>9942</v>
      </c>
      <c r="S103" s="122">
        <v>9038</v>
      </c>
      <c r="T103" s="122">
        <v>4447</v>
      </c>
      <c r="U103" s="122">
        <v>1647</v>
      </c>
      <c r="V103" s="122">
        <v>95060</v>
      </c>
      <c r="W103" s="122">
        <f t="shared" si="2"/>
        <v>95059</v>
      </c>
      <c r="X103" s="122">
        <f t="shared" si="3"/>
        <v>109871</v>
      </c>
      <c r="Y103" s="122"/>
      <c r="AA103" t="s">
        <v>52</v>
      </c>
      <c r="AB103" t="s">
        <v>407</v>
      </c>
      <c r="AC103" t="s">
        <v>578</v>
      </c>
      <c r="AD103" t="s">
        <v>407</v>
      </c>
      <c r="AE103" t="s">
        <v>566</v>
      </c>
      <c r="AF103">
        <v>2</v>
      </c>
      <c r="AG103">
        <v>158</v>
      </c>
      <c r="AH103">
        <v>224</v>
      </c>
      <c r="AI103" s="122">
        <v>5133</v>
      </c>
      <c r="AJ103" s="122">
        <v>4666</v>
      </c>
      <c r="AK103">
        <v>90</v>
      </c>
      <c r="AL103" s="122">
        <v>1280</v>
      </c>
      <c r="AM103" s="122">
        <v>1164</v>
      </c>
      <c r="AN103" s="122">
        <v>3109</v>
      </c>
      <c r="AO103" s="122">
        <v>1152</v>
      </c>
      <c r="AP103" s="122">
        <v>1685</v>
      </c>
      <c r="AQ103">
        <v>624</v>
      </c>
      <c r="AR103" s="122">
        <v>6247</v>
      </c>
      <c r="AS103" s="122">
        <v>5679</v>
      </c>
      <c r="AT103">
        <v>0</v>
      </c>
      <c r="AU103">
        <v>0</v>
      </c>
      <c r="AV103" s="122">
        <v>13285</v>
      </c>
    </row>
    <row r="104" spans="2:48">
      <c r="B104" t="s">
        <v>363</v>
      </c>
      <c r="C104" t="s">
        <v>64</v>
      </c>
      <c r="D104" s="122" t="s">
        <v>407</v>
      </c>
      <c r="E104" s="122" t="s">
        <v>407</v>
      </c>
      <c r="F104" s="122">
        <v>1</v>
      </c>
      <c r="G104" s="122">
        <v>40</v>
      </c>
      <c r="H104" s="122">
        <v>456</v>
      </c>
      <c r="I104" s="122">
        <v>11950</v>
      </c>
      <c r="J104" s="122">
        <v>10863</v>
      </c>
      <c r="K104" s="122">
        <v>79</v>
      </c>
      <c r="L104" s="122">
        <v>3315</v>
      </c>
      <c r="M104" s="122">
        <v>3014</v>
      </c>
      <c r="N104" s="122">
        <v>585</v>
      </c>
      <c r="O104" s="122">
        <v>217</v>
      </c>
      <c r="P104" s="122">
        <v>473</v>
      </c>
      <c r="Q104" s="122">
        <v>175</v>
      </c>
      <c r="R104" s="122">
        <v>1903</v>
      </c>
      <c r="S104" s="122">
        <v>1730</v>
      </c>
      <c r="T104">
        <v>0</v>
      </c>
      <c r="U104" s="122">
        <v>0</v>
      </c>
      <c r="V104" s="122">
        <v>15999</v>
      </c>
      <c r="W104" s="122">
        <f t="shared" si="2"/>
        <v>15999</v>
      </c>
      <c r="X104" s="122">
        <f t="shared" si="3"/>
        <v>18226</v>
      </c>
      <c r="Y104" s="122"/>
      <c r="AA104" t="s">
        <v>52</v>
      </c>
      <c r="AB104" t="s">
        <v>407</v>
      </c>
      <c r="AC104" t="s">
        <v>137</v>
      </c>
      <c r="AD104" t="s">
        <v>407</v>
      </c>
      <c r="AE104" t="s">
        <v>137</v>
      </c>
      <c r="AF104">
        <v>85</v>
      </c>
      <c r="AG104" s="122">
        <v>7354</v>
      </c>
      <c r="AH104" s="122">
        <v>10116</v>
      </c>
      <c r="AI104" s="122">
        <v>242483</v>
      </c>
      <c r="AJ104" s="122">
        <v>220439</v>
      </c>
      <c r="AK104">
        <v>86</v>
      </c>
      <c r="AL104" s="122">
        <v>61646</v>
      </c>
      <c r="AM104" s="122">
        <v>22832</v>
      </c>
      <c r="AN104" s="122">
        <v>143537</v>
      </c>
      <c r="AO104" s="122">
        <v>53162</v>
      </c>
      <c r="AP104" s="122">
        <v>41355</v>
      </c>
      <c r="AQ104" s="122">
        <v>15317</v>
      </c>
      <c r="AR104" s="122">
        <v>283713</v>
      </c>
      <c r="AS104" s="122">
        <v>257921</v>
      </c>
      <c r="AT104" s="122">
        <v>101308</v>
      </c>
      <c r="AU104" s="122">
        <v>37522</v>
      </c>
      <c r="AV104" s="122">
        <v>607192</v>
      </c>
    </row>
    <row r="105" spans="2:48">
      <c r="B105" t="s">
        <v>363</v>
      </c>
      <c r="C105" t="s">
        <v>64</v>
      </c>
      <c r="D105" t="s">
        <v>426</v>
      </c>
      <c r="E105" s="122" t="s">
        <v>137</v>
      </c>
      <c r="F105" s="122">
        <v>1</v>
      </c>
      <c r="G105" s="122">
        <v>52</v>
      </c>
      <c r="H105" s="122">
        <v>902</v>
      </c>
      <c r="I105" s="122">
        <v>34508</v>
      </c>
      <c r="J105" s="122">
        <v>31371</v>
      </c>
      <c r="K105" s="122">
        <v>60</v>
      </c>
      <c r="L105" s="122">
        <v>7668</v>
      </c>
      <c r="M105" s="122">
        <v>6971</v>
      </c>
      <c r="N105" s="122">
        <v>1266</v>
      </c>
      <c r="O105">
        <v>469</v>
      </c>
      <c r="P105">
        <v>0</v>
      </c>
      <c r="Q105" s="122">
        <v>0</v>
      </c>
      <c r="R105" s="122">
        <v>3424</v>
      </c>
      <c r="S105" s="122">
        <v>1268</v>
      </c>
      <c r="T105">
        <v>0</v>
      </c>
      <c r="U105" s="122">
        <v>0</v>
      </c>
      <c r="V105" s="122">
        <v>40079</v>
      </c>
      <c r="W105" s="122">
        <f t="shared" si="2"/>
        <v>40079</v>
      </c>
      <c r="X105" s="122">
        <f t="shared" si="3"/>
        <v>46866</v>
      </c>
      <c r="Y105" s="122"/>
      <c r="AA105" t="s">
        <v>52</v>
      </c>
      <c r="AB105" t="s">
        <v>407</v>
      </c>
      <c r="AC105" t="s">
        <v>137</v>
      </c>
      <c r="AD105" t="s">
        <v>407</v>
      </c>
      <c r="AE105" t="s">
        <v>566</v>
      </c>
      <c r="AF105">
        <v>651</v>
      </c>
      <c r="AG105" s="122">
        <v>57699</v>
      </c>
      <c r="AH105" s="122">
        <v>74090</v>
      </c>
      <c r="AI105" s="122">
        <v>2140111</v>
      </c>
      <c r="AJ105" s="122">
        <v>1945555</v>
      </c>
      <c r="AK105">
        <v>85</v>
      </c>
      <c r="AL105" s="122">
        <v>526977</v>
      </c>
      <c r="AM105" s="122">
        <v>195177</v>
      </c>
      <c r="AN105" s="122">
        <v>1110960</v>
      </c>
      <c r="AO105" s="122">
        <v>411466</v>
      </c>
      <c r="AP105" s="122">
        <v>386314</v>
      </c>
      <c r="AQ105" s="122">
        <v>143079</v>
      </c>
      <c r="AR105" s="122">
        <v>2394764</v>
      </c>
      <c r="AS105" s="122">
        <v>2177058</v>
      </c>
      <c r="AT105">
        <v>0</v>
      </c>
      <c r="AU105">
        <v>0</v>
      </c>
      <c r="AV105" s="122">
        <v>4872335</v>
      </c>
    </row>
    <row r="106" spans="2:48">
      <c r="B106" t="s">
        <v>363</v>
      </c>
      <c r="C106" t="s">
        <v>64</v>
      </c>
      <c r="D106" t="s">
        <v>426</v>
      </c>
      <c r="E106" s="122" t="s">
        <v>426</v>
      </c>
      <c r="F106" s="122">
        <v>2</v>
      </c>
      <c r="G106" s="122">
        <v>261</v>
      </c>
      <c r="H106" s="122">
        <v>1358</v>
      </c>
      <c r="I106" s="122">
        <v>157405</v>
      </c>
      <c r="J106" s="122">
        <v>143095</v>
      </c>
      <c r="K106" s="122">
        <v>45</v>
      </c>
      <c r="L106" s="122">
        <v>24057</v>
      </c>
      <c r="M106" s="122">
        <v>21870</v>
      </c>
      <c r="N106" s="122">
        <v>5236</v>
      </c>
      <c r="O106" s="122">
        <v>1939</v>
      </c>
      <c r="P106" s="122">
        <v>702</v>
      </c>
      <c r="Q106" s="122">
        <v>260</v>
      </c>
      <c r="R106" s="122">
        <v>12467</v>
      </c>
      <c r="S106" s="122">
        <v>11333</v>
      </c>
      <c r="T106" s="122">
        <v>5152</v>
      </c>
      <c r="U106" s="122">
        <v>1908</v>
      </c>
      <c r="V106" s="122">
        <v>180406</v>
      </c>
      <c r="W106" s="122">
        <f t="shared" si="2"/>
        <v>180405</v>
      </c>
      <c r="X106" s="122">
        <f t="shared" si="3"/>
        <v>205019</v>
      </c>
      <c r="Y106" s="122"/>
      <c r="AA106" t="s">
        <v>52</v>
      </c>
      <c r="AB106" t="s">
        <v>407</v>
      </c>
      <c r="AC106" t="s">
        <v>427</v>
      </c>
      <c r="AD106" t="s">
        <v>407</v>
      </c>
      <c r="AE106" t="s">
        <v>137</v>
      </c>
      <c r="AF106">
        <v>2</v>
      </c>
      <c r="AG106">
        <v>224</v>
      </c>
      <c r="AH106">
        <v>236</v>
      </c>
      <c r="AI106" s="122">
        <v>9233</v>
      </c>
      <c r="AJ106" s="122">
        <v>8394</v>
      </c>
      <c r="AK106">
        <v>80</v>
      </c>
      <c r="AL106" s="122">
        <v>2739</v>
      </c>
      <c r="AM106" s="122">
        <v>2490</v>
      </c>
      <c r="AN106" s="122">
        <v>2727</v>
      </c>
      <c r="AO106" s="122">
        <v>1010</v>
      </c>
      <c r="AP106">
        <v>945</v>
      </c>
      <c r="AQ106">
        <v>350</v>
      </c>
      <c r="AR106" s="122">
        <v>5800</v>
      </c>
      <c r="AS106" s="122">
        <v>5273</v>
      </c>
      <c r="AT106" s="122">
        <v>4975</v>
      </c>
      <c r="AU106" s="122">
        <v>1843</v>
      </c>
      <c r="AV106" s="122">
        <v>19359</v>
      </c>
    </row>
    <row r="107" spans="2:48">
      <c r="B107" t="s">
        <v>432</v>
      </c>
      <c r="C107" t="s">
        <v>48</v>
      </c>
      <c r="D107" t="s">
        <v>137</v>
      </c>
      <c r="E107" s="122" t="s">
        <v>137</v>
      </c>
      <c r="F107" s="122">
        <v>19</v>
      </c>
      <c r="G107" s="122">
        <v>1455</v>
      </c>
      <c r="H107" s="122">
        <v>1168</v>
      </c>
      <c r="I107" s="122">
        <v>2465</v>
      </c>
      <c r="J107" s="122">
        <v>913</v>
      </c>
      <c r="K107" s="122">
        <v>452</v>
      </c>
      <c r="L107" s="122">
        <v>-76</v>
      </c>
      <c r="M107" s="122">
        <v>-28</v>
      </c>
      <c r="N107" s="122">
        <v>17730</v>
      </c>
      <c r="O107" s="122">
        <v>6567</v>
      </c>
      <c r="P107" s="122">
        <v>8792</v>
      </c>
      <c r="Q107" s="122">
        <v>3256</v>
      </c>
      <c r="R107" s="122">
        <v>57815</v>
      </c>
      <c r="S107" s="122">
        <v>21413</v>
      </c>
      <c r="T107">
        <v>0</v>
      </c>
      <c r="U107" s="122">
        <v>0</v>
      </c>
      <c r="V107" s="122">
        <v>32121</v>
      </c>
      <c r="W107" s="122">
        <f t="shared" si="2"/>
        <v>32177</v>
      </c>
      <c r="X107" s="122">
        <f t="shared" si="3"/>
        <v>86878</v>
      </c>
      <c r="Y107" s="122"/>
      <c r="AA107" t="s">
        <v>52</v>
      </c>
      <c r="AB107" t="s">
        <v>407</v>
      </c>
      <c r="AC107" t="s">
        <v>427</v>
      </c>
      <c r="AD107" t="s">
        <v>407</v>
      </c>
      <c r="AE107" t="s">
        <v>566</v>
      </c>
      <c r="AF107">
        <v>1</v>
      </c>
      <c r="AG107">
        <v>88</v>
      </c>
      <c r="AH107">
        <v>116</v>
      </c>
      <c r="AI107" s="122">
        <v>3930</v>
      </c>
      <c r="AJ107" s="122">
        <v>3573</v>
      </c>
      <c r="AK107">
        <v>91</v>
      </c>
      <c r="AL107" s="122">
        <v>1327</v>
      </c>
      <c r="AM107" s="122">
        <v>1207</v>
      </c>
      <c r="AN107" s="122">
        <v>1074</v>
      </c>
      <c r="AO107">
        <v>398</v>
      </c>
      <c r="AP107">
        <v>473</v>
      </c>
      <c r="AQ107">
        <v>175</v>
      </c>
      <c r="AR107" s="122">
        <v>3393</v>
      </c>
      <c r="AS107" s="122">
        <v>3084</v>
      </c>
      <c r="AT107">
        <v>0</v>
      </c>
      <c r="AU107">
        <v>0</v>
      </c>
      <c r="AV107" s="122">
        <v>8437</v>
      </c>
    </row>
    <row r="108" spans="2:48">
      <c r="B108" t="s">
        <v>432</v>
      </c>
      <c r="C108" t="s">
        <v>50</v>
      </c>
      <c r="D108" t="s">
        <v>407</v>
      </c>
      <c r="E108" s="122" t="s">
        <v>407</v>
      </c>
      <c r="F108" s="122">
        <v>1</v>
      </c>
      <c r="G108" s="122">
        <v>60</v>
      </c>
      <c r="H108" s="122">
        <v>98</v>
      </c>
      <c r="I108" s="122">
        <v>1910</v>
      </c>
      <c r="J108" s="122">
        <v>1736</v>
      </c>
      <c r="K108" s="122">
        <v>80</v>
      </c>
      <c r="L108" s="122">
        <v>0</v>
      </c>
      <c r="M108" s="122">
        <v>0</v>
      </c>
      <c r="N108" s="122">
        <v>1238</v>
      </c>
      <c r="O108" s="122">
        <v>459</v>
      </c>
      <c r="P108" s="122">
        <v>473</v>
      </c>
      <c r="Q108" s="122">
        <v>175</v>
      </c>
      <c r="R108" s="122">
        <v>2219</v>
      </c>
      <c r="S108" s="122">
        <v>2017</v>
      </c>
      <c r="T108" s="122">
        <v>0</v>
      </c>
      <c r="U108" s="122">
        <v>0</v>
      </c>
      <c r="V108" s="122">
        <v>4387</v>
      </c>
      <c r="W108" s="122">
        <f t="shared" si="2"/>
        <v>4387</v>
      </c>
      <c r="X108" s="122">
        <f t="shared" si="3"/>
        <v>5840</v>
      </c>
      <c r="Y108" s="122"/>
      <c r="AA108" t="s">
        <v>52</v>
      </c>
      <c r="AB108" t="s">
        <v>407</v>
      </c>
      <c r="AC108" t="s">
        <v>407</v>
      </c>
      <c r="AD108" t="s">
        <v>137</v>
      </c>
      <c r="AE108" t="s">
        <v>566</v>
      </c>
      <c r="AF108">
        <v>1</v>
      </c>
      <c r="AG108">
        <v>67</v>
      </c>
      <c r="AH108">
        <v>102</v>
      </c>
      <c r="AI108" s="122">
        <v>2793</v>
      </c>
      <c r="AJ108" s="122">
        <v>2539</v>
      </c>
      <c r="AK108">
        <v>91</v>
      </c>
      <c r="AL108">
        <v>313</v>
      </c>
      <c r="AM108">
        <v>284</v>
      </c>
      <c r="AN108">
        <v>817</v>
      </c>
      <c r="AO108">
        <v>303</v>
      </c>
      <c r="AP108">
        <v>473</v>
      </c>
      <c r="AQ108">
        <v>175</v>
      </c>
      <c r="AR108" s="122">
        <v>2456</v>
      </c>
      <c r="AS108">
        <v>910</v>
      </c>
      <c r="AT108">
        <v>0</v>
      </c>
      <c r="AU108">
        <v>0</v>
      </c>
      <c r="AV108" s="122">
        <v>4211</v>
      </c>
    </row>
    <row r="109" spans="2:48">
      <c r="B109" t="s">
        <v>432</v>
      </c>
      <c r="C109" t="s">
        <v>52</v>
      </c>
      <c r="D109" t="s">
        <v>137</v>
      </c>
      <c r="E109" t="s">
        <v>137</v>
      </c>
      <c r="F109" s="122">
        <v>1</v>
      </c>
      <c r="G109" s="122">
        <v>122</v>
      </c>
      <c r="H109" s="122">
        <v>110</v>
      </c>
      <c r="I109" s="122">
        <v>2757</v>
      </c>
      <c r="J109" s="122">
        <v>1021</v>
      </c>
      <c r="K109" s="122">
        <v>100</v>
      </c>
      <c r="L109" s="122">
        <v>487</v>
      </c>
      <c r="M109" s="122">
        <v>180</v>
      </c>
      <c r="N109" s="122">
        <v>2074</v>
      </c>
      <c r="O109" s="122">
        <v>768</v>
      </c>
      <c r="P109" s="122">
        <v>0</v>
      </c>
      <c r="Q109" s="122">
        <v>0</v>
      </c>
      <c r="R109" s="122">
        <v>8029</v>
      </c>
      <c r="S109" s="122">
        <v>2974</v>
      </c>
      <c r="T109" s="122">
        <v>0</v>
      </c>
      <c r="U109" s="122">
        <v>0</v>
      </c>
      <c r="V109" s="122">
        <v>4943</v>
      </c>
      <c r="W109" s="122">
        <f t="shared" si="2"/>
        <v>4943</v>
      </c>
      <c r="X109" s="122">
        <f t="shared" si="3"/>
        <v>13347</v>
      </c>
      <c r="Y109" s="122"/>
      <c r="AA109" t="s">
        <v>52</v>
      </c>
      <c r="AB109" t="s">
        <v>407</v>
      </c>
      <c r="AC109" t="s">
        <v>407</v>
      </c>
      <c r="AD109" t="s">
        <v>407</v>
      </c>
      <c r="AE109" t="s">
        <v>137</v>
      </c>
      <c r="AF109">
        <v>96</v>
      </c>
      <c r="AG109" s="122">
        <v>9906</v>
      </c>
      <c r="AH109" s="122">
        <v>11295</v>
      </c>
      <c r="AI109" s="122">
        <v>407132</v>
      </c>
      <c r="AJ109" s="122">
        <v>370120</v>
      </c>
      <c r="AK109">
        <v>84</v>
      </c>
      <c r="AL109" s="122">
        <v>61359</v>
      </c>
      <c r="AM109" s="122">
        <v>55781</v>
      </c>
      <c r="AN109" s="122">
        <v>184646</v>
      </c>
      <c r="AO109" s="122">
        <v>68387</v>
      </c>
      <c r="AP109" s="122">
        <v>45509</v>
      </c>
      <c r="AQ109" s="122">
        <v>16855</v>
      </c>
      <c r="AR109" s="122">
        <v>357361</v>
      </c>
      <c r="AS109" s="122">
        <v>324873</v>
      </c>
      <c r="AT109" s="122">
        <v>116966</v>
      </c>
      <c r="AU109" s="122">
        <v>43321</v>
      </c>
      <c r="AV109" s="122">
        <v>879337</v>
      </c>
    </row>
    <row r="110" spans="2:48">
      <c r="B110" t="s">
        <v>432</v>
      </c>
      <c r="C110" t="s">
        <v>52</v>
      </c>
      <c r="D110" t="s">
        <v>406</v>
      </c>
      <c r="E110" t="s">
        <v>406</v>
      </c>
      <c r="F110" s="122">
        <v>1</v>
      </c>
      <c r="G110" s="122">
        <v>227</v>
      </c>
      <c r="H110" s="122">
        <v>116</v>
      </c>
      <c r="I110" s="122">
        <v>17111</v>
      </c>
      <c r="J110" s="122">
        <v>15556</v>
      </c>
      <c r="K110" s="122">
        <v>94</v>
      </c>
      <c r="L110" s="122">
        <v>3411</v>
      </c>
      <c r="M110" s="122">
        <v>3101</v>
      </c>
      <c r="N110" s="122">
        <v>3119</v>
      </c>
      <c r="O110" s="122">
        <v>1155</v>
      </c>
      <c r="P110">
        <v>621</v>
      </c>
      <c r="Q110">
        <v>230</v>
      </c>
      <c r="R110" s="122">
        <v>1931</v>
      </c>
      <c r="S110" s="122">
        <v>1755</v>
      </c>
      <c r="T110">
        <v>0</v>
      </c>
      <c r="U110" s="122">
        <v>0</v>
      </c>
      <c r="V110" s="122">
        <v>21797</v>
      </c>
      <c r="W110" s="122">
        <f t="shared" si="2"/>
        <v>21797</v>
      </c>
      <c r="X110" s="122">
        <f t="shared" si="3"/>
        <v>26193</v>
      </c>
      <c r="Y110" s="122"/>
      <c r="AA110" t="s">
        <v>52</v>
      </c>
      <c r="AB110" t="s">
        <v>407</v>
      </c>
      <c r="AC110" t="s">
        <v>407</v>
      </c>
      <c r="AD110" t="s">
        <v>407</v>
      </c>
      <c r="AE110" t="s">
        <v>566</v>
      </c>
      <c r="AF110">
        <v>493</v>
      </c>
      <c r="AG110" s="122">
        <v>49808</v>
      </c>
      <c r="AH110" s="122">
        <v>56895</v>
      </c>
      <c r="AI110" s="122">
        <v>2190560</v>
      </c>
      <c r="AJ110" s="122">
        <v>1991418</v>
      </c>
      <c r="AK110">
        <v>85</v>
      </c>
      <c r="AL110" s="122">
        <v>390628</v>
      </c>
      <c r="AM110" s="122">
        <v>355116</v>
      </c>
      <c r="AN110" s="122">
        <v>928666</v>
      </c>
      <c r="AO110" s="122">
        <v>343950</v>
      </c>
      <c r="AP110" s="122">
        <v>247068</v>
      </c>
      <c r="AQ110" s="122">
        <v>91507</v>
      </c>
      <c r="AR110" s="122">
        <v>2048371</v>
      </c>
      <c r="AS110" s="122">
        <v>1862155</v>
      </c>
      <c r="AT110">
        <v>0</v>
      </c>
      <c r="AU110">
        <v>0</v>
      </c>
      <c r="AV110" s="122">
        <v>4644147</v>
      </c>
    </row>
    <row r="111" spans="2:48">
      <c r="B111" t="s">
        <v>432</v>
      </c>
      <c r="C111" t="s">
        <v>52</v>
      </c>
      <c r="D111" t="s">
        <v>407</v>
      </c>
      <c r="E111" s="122" t="s">
        <v>407</v>
      </c>
      <c r="F111" s="122">
        <v>32</v>
      </c>
      <c r="G111" s="122">
        <v>2408</v>
      </c>
      <c r="H111" s="122">
        <v>3699</v>
      </c>
      <c r="I111" s="122">
        <v>102436</v>
      </c>
      <c r="J111" s="122">
        <v>93124</v>
      </c>
      <c r="K111" s="122">
        <v>83</v>
      </c>
      <c r="L111" s="122">
        <v>10740</v>
      </c>
      <c r="M111" s="122">
        <v>4535</v>
      </c>
      <c r="N111" s="122">
        <v>45716</v>
      </c>
      <c r="O111" s="122">
        <v>16932</v>
      </c>
      <c r="P111" s="122">
        <v>16428</v>
      </c>
      <c r="Q111" s="122">
        <v>6084</v>
      </c>
      <c r="R111" s="122">
        <v>100825</v>
      </c>
      <c r="S111" s="122">
        <v>91659</v>
      </c>
      <c r="T111" s="122">
        <v>2613</v>
      </c>
      <c r="U111" s="122">
        <v>968</v>
      </c>
      <c r="V111" s="122">
        <v>213302</v>
      </c>
      <c r="W111" s="122">
        <f t="shared" si="2"/>
        <v>213302</v>
      </c>
      <c r="X111" s="122">
        <f t="shared" si="3"/>
        <v>278758</v>
      </c>
      <c r="Y111" s="122"/>
      <c r="AA111" t="s">
        <v>52</v>
      </c>
      <c r="AB111" t="s">
        <v>407</v>
      </c>
      <c r="AC111" t="s">
        <v>579</v>
      </c>
      <c r="AD111" t="s">
        <v>407</v>
      </c>
      <c r="AE111" t="s">
        <v>137</v>
      </c>
      <c r="AF111">
        <v>6</v>
      </c>
      <c r="AG111">
        <v>471</v>
      </c>
      <c r="AH111">
        <v>701</v>
      </c>
      <c r="AI111" s="122">
        <v>15318</v>
      </c>
      <c r="AJ111" s="122">
        <v>13926</v>
      </c>
      <c r="AK111">
        <v>89</v>
      </c>
      <c r="AL111" s="122">
        <v>5328</v>
      </c>
      <c r="AM111" s="122">
        <v>4440</v>
      </c>
      <c r="AN111" s="122">
        <v>9398</v>
      </c>
      <c r="AO111" s="122">
        <v>3481</v>
      </c>
      <c r="AP111" s="122">
        <v>2835</v>
      </c>
      <c r="AQ111" s="122">
        <v>1050</v>
      </c>
      <c r="AR111" s="122">
        <v>22418</v>
      </c>
      <c r="AS111" s="122">
        <v>20380</v>
      </c>
      <c r="AT111">
        <v>0</v>
      </c>
      <c r="AU111">
        <v>0</v>
      </c>
      <c r="AV111" s="122">
        <v>43277</v>
      </c>
    </row>
    <row r="112" spans="2:48">
      <c r="B112" t="s">
        <v>432</v>
      </c>
      <c r="C112" t="s">
        <v>54</v>
      </c>
      <c r="F112" s="122">
        <v>1</v>
      </c>
      <c r="G112" s="122">
        <v>102</v>
      </c>
      <c r="H112" s="122">
        <v>148</v>
      </c>
      <c r="I112" s="122"/>
      <c r="J112" s="122">
        <v>0</v>
      </c>
      <c r="K112" s="122"/>
      <c r="L112" s="122"/>
      <c r="M112" s="122">
        <v>0</v>
      </c>
      <c r="N112" s="122">
        <v>2477</v>
      </c>
      <c r="O112" s="122">
        <v>917</v>
      </c>
      <c r="P112" s="122">
        <v>456</v>
      </c>
      <c r="Q112" s="122">
        <v>169</v>
      </c>
      <c r="R112" s="122"/>
      <c r="S112" s="122">
        <v>0</v>
      </c>
      <c r="T112" s="122">
        <v>0</v>
      </c>
      <c r="U112" s="122">
        <v>0</v>
      </c>
      <c r="V112" s="122">
        <v>1086</v>
      </c>
      <c r="W112" s="122">
        <f t="shared" si="2"/>
        <v>1086</v>
      </c>
      <c r="X112" s="122">
        <f t="shared" si="3"/>
        <v>2933</v>
      </c>
      <c r="Y112" s="122"/>
      <c r="AA112" t="s">
        <v>52</v>
      </c>
      <c r="AB112" t="s">
        <v>407</v>
      </c>
      <c r="AC112" t="s">
        <v>579</v>
      </c>
      <c r="AD112" t="s">
        <v>407</v>
      </c>
      <c r="AE112" t="s">
        <v>566</v>
      </c>
      <c r="AF112">
        <v>87</v>
      </c>
      <c r="AG112" s="122">
        <v>8633</v>
      </c>
      <c r="AH112" s="122">
        <v>10042</v>
      </c>
      <c r="AI112" s="122">
        <v>413298</v>
      </c>
      <c r="AJ112" s="122">
        <v>375726</v>
      </c>
      <c r="AK112">
        <v>90</v>
      </c>
      <c r="AL112" s="122">
        <v>125995</v>
      </c>
      <c r="AM112" s="122">
        <v>104996</v>
      </c>
      <c r="AN112" s="122">
        <v>129036</v>
      </c>
      <c r="AO112" s="122">
        <v>47791</v>
      </c>
      <c r="AP112" s="122">
        <v>42125</v>
      </c>
      <c r="AQ112" s="122">
        <v>15602</v>
      </c>
      <c r="AR112" s="122">
        <v>285283</v>
      </c>
      <c r="AS112" s="122">
        <v>259348</v>
      </c>
      <c r="AT112">
        <v>0</v>
      </c>
      <c r="AU112">
        <v>0</v>
      </c>
      <c r="AV112" s="122">
        <v>803463</v>
      </c>
    </row>
    <row r="113" spans="2:48">
      <c r="B113" t="s">
        <v>432</v>
      </c>
      <c r="C113" t="s">
        <v>54</v>
      </c>
      <c r="D113" t="s">
        <v>137</v>
      </c>
      <c r="E113" t="s">
        <v>137</v>
      </c>
      <c r="F113" s="122">
        <v>8</v>
      </c>
      <c r="G113" s="122">
        <v>853</v>
      </c>
      <c r="H113" s="122">
        <v>1083</v>
      </c>
      <c r="I113" s="122">
        <v>44525</v>
      </c>
      <c r="J113" s="122">
        <v>16491</v>
      </c>
      <c r="K113" s="122">
        <v>175</v>
      </c>
      <c r="L113" s="122">
        <v>12699</v>
      </c>
      <c r="M113" s="122">
        <v>7093</v>
      </c>
      <c r="N113" s="122">
        <v>13177</v>
      </c>
      <c r="O113" s="122">
        <v>4881</v>
      </c>
      <c r="P113" s="122">
        <v>3835</v>
      </c>
      <c r="Q113" s="122">
        <v>1420</v>
      </c>
      <c r="R113" s="122">
        <v>41280</v>
      </c>
      <c r="S113" s="122">
        <v>15289</v>
      </c>
      <c r="T113">
        <v>0</v>
      </c>
      <c r="U113" s="122">
        <v>0</v>
      </c>
      <c r="V113" s="122">
        <v>45173</v>
      </c>
      <c r="W113" s="122">
        <f t="shared" si="2"/>
        <v>45174</v>
      </c>
      <c r="X113" s="122">
        <f t="shared" si="3"/>
        <v>115516</v>
      </c>
      <c r="Y113" s="122"/>
      <c r="AA113" t="s">
        <v>52</v>
      </c>
      <c r="AB113" t="s">
        <v>407</v>
      </c>
      <c r="AC113" t="s">
        <v>426</v>
      </c>
      <c r="AD113" t="s">
        <v>407</v>
      </c>
      <c r="AE113" t="s">
        <v>137</v>
      </c>
      <c r="AF113">
        <v>29</v>
      </c>
      <c r="AG113" s="122">
        <v>3027</v>
      </c>
      <c r="AH113" s="122">
        <v>3338</v>
      </c>
      <c r="AI113" s="122">
        <v>136436</v>
      </c>
      <c r="AJ113" s="122">
        <v>124033</v>
      </c>
      <c r="AK113">
        <v>89</v>
      </c>
      <c r="AL113" s="122">
        <v>42594</v>
      </c>
      <c r="AM113" s="122">
        <v>38721</v>
      </c>
      <c r="AN113" s="122">
        <v>43579</v>
      </c>
      <c r="AO113" s="122">
        <v>16140</v>
      </c>
      <c r="AP113" s="122">
        <v>13703</v>
      </c>
      <c r="AQ113" s="122">
        <v>5075</v>
      </c>
      <c r="AR113" s="122">
        <v>109541</v>
      </c>
      <c r="AS113" s="122">
        <v>99583</v>
      </c>
      <c r="AT113">
        <v>0</v>
      </c>
      <c r="AU113">
        <v>0</v>
      </c>
      <c r="AV113" s="122">
        <v>283553</v>
      </c>
    </row>
    <row r="114" spans="2:48">
      <c r="B114" t="s">
        <v>432</v>
      </c>
      <c r="C114" t="s">
        <v>54</v>
      </c>
      <c r="D114" t="s">
        <v>406</v>
      </c>
      <c r="E114" t="s">
        <v>406</v>
      </c>
      <c r="F114" s="122">
        <v>9</v>
      </c>
      <c r="G114" s="122">
        <v>1585</v>
      </c>
      <c r="H114" s="122">
        <v>1240</v>
      </c>
      <c r="I114" s="122">
        <v>130465</v>
      </c>
      <c r="J114" s="122">
        <v>118605</v>
      </c>
      <c r="K114" s="122">
        <v>89</v>
      </c>
      <c r="L114" s="122">
        <v>25361</v>
      </c>
      <c r="M114" s="122">
        <v>22647</v>
      </c>
      <c r="N114" s="122">
        <v>39035</v>
      </c>
      <c r="O114" s="122">
        <v>14457</v>
      </c>
      <c r="P114" s="122">
        <v>5589</v>
      </c>
      <c r="Q114" s="122">
        <v>2070</v>
      </c>
      <c r="R114" s="122">
        <v>54004</v>
      </c>
      <c r="S114" s="122">
        <v>49095</v>
      </c>
      <c r="T114">
        <v>0</v>
      </c>
      <c r="U114" s="122">
        <v>0</v>
      </c>
      <c r="V114" s="122">
        <v>206874</v>
      </c>
      <c r="W114" s="122">
        <f t="shared" si="2"/>
        <v>206874</v>
      </c>
      <c r="X114" s="122">
        <f t="shared" si="3"/>
        <v>254454</v>
      </c>
      <c r="Y114" s="122"/>
      <c r="AA114" t="s">
        <v>52</v>
      </c>
      <c r="AB114" t="s">
        <v>407</v>
      </c>
      <c r="AC114" t="s">
        <v>426</v>
      </c>
      <c r="AD114" t="s">
        <v>407</v>
      </c>
      <c r="AE114" t="s">
        <v>566</v>
      </c>
      <c r="AF114">
        <v>62</v>
      </c>
      <c r="AG114" s="122">
        <v>5665</v>
      </c>
      <c r="AH114" s="122">
        <v>7302</v>
      </c>
      <c r="AI114" s="122">
        <v>221284</v>
      </c>
      <c r="AJ114" s="122">
        <v>201167</v>
      </c>
      <c r="AK114">
        <v>86</v>
      </c>
      <c r="AL114" s="122">
        <v>62667</v>
      </c>
      <c r="AM114" s="122">
        <v>56970</v>
      </c>
      <c r="AN114" s="122">
        <v>103242</v>
      </c>
      <c r="AO114" s="122">
        <v>38238</v>
      </c>
      <c r="AP114" s="122">
        <v>42078</v>
      </c>
      <c r="AQ114" s="122">
        <v>15584</v>
      </c>
      <c r="AR114" s="122">
        <v>234051</v>
      </c>
      <c r="AS114" s="122">
        <v>212773</v>
      </c>
      <c r="AT114">
        <v>0</v>
      </c>
      <c r="AU114">
        <v>0</v>
      </c>
      <c r="AV114" s="122">
        <v>524733</v>
      </c>
    </row>
    <row r="115" spans="2:48">
      <c r="B115" t="s">
        <v>432</v>
      </c>
      <c r="C115" t="s">
        <v>54</v>
      </c>
      <c r="D115" t="s">
        <v>407</v>
      </c>
      <c r="E115" t="s">
        <v>407</v>
      </c>
      <c r="F115" s="122">
        <v>122</v>
      </c>
      <c r="G115" s="122">
        <v>9599</v>
      </c>
      <c r="H115" s="122">
        <v>17039</v>
      </c>
      <c r="I115" s="122">
        <v>603479</v>
      </c>
      <c r="J115" s="122">
        <v>548618</v>
      </c>
      <c r="K115" s="122">
        <v>84</v>
      </c>
      <c r="L115" s="122">
        <v>65409</v>
      </c>
      <c r="M115" s="122">
        <v>38436</v>
      </c>
      <c r="N115" s="122">
        <v>187653</v>
      </c>
      <c r="O115" s="122">
        <v>69501</v>
      </c>
      <c r="P115" s="122">
        <v>67806</v>
      </c>
      <c r="Q115" s="122">
        <v>25113</v>
      </c>
      <c r="R115" s="122">
        <v>404178</v>
      </c>
      <c r="S115" s="122">
        <v>367434</v>
      </c>
      <c r="T115" s="122">
        <v>16056</v>
      </c>
      <c r="U115" s="122">
        <v>5947</v>
      </c>
      <c r="V115" s="122">
        <v>1055050</v>
      </c>
      <c r="W115" s="122">
        <f t="shared" si="2"/>
        <v>1055049</v>
      </c>
      <c r="X115" s="122">
        <f t="shared" si="3"/>
        <v>1344581</v>
      </c>
      <c r="Y115" s="122"/>
      <c r="AA115" t="s">
        <v>52</v>
      </c>
      <c r="AB115" t="s">
        <v>407</v>
      </c>
      <c r="AC115" t="s">
        <v>566</v>
      </c>
      <c r="AD115" t="s">
        <v>405</v>
      </c>
      <c r="AE115" t="s">
        <v>566</v>
      </c>
      <c r="AF115">
        <v>1</v>
      </c>
      <c r="AG115">
        <v>86</v>
      </c>
      <c r="AH115">
        <v>123</v>
      </c>
      <c r="AI115" s="122">
        <v>5222</v>
      </c>
      <c r="AJ115" s="122">
        <v>4747</v>
      </c>
      <c r="AK115">
        <v>78</v>
      </c>
      <c r="AL115">
        <v>0</v>
      </c>
      <c r="AM115">
        <v>0</v>
      </c>
      <c r="AN115" s="122">
        <v>1137</v>
      </c>
      <c r="AO115">
        <v>421</v>
      </c>
      <c r="AP115">
        <v>473</v>
      </c>
      <c r="AQ115">
        <v>175</v>
      </c>
      <c r="AR115" s="122">
        <v>3765</v>
      </c>
      <c r="AS115" s="122">
        <v>3422</v>
      </c>
      <c r="AT115">
        <v>0</v>
      </c>
      <c r="AU115">
        <v>0</v>
      </c>
      <c r="AV115" s="122">
        <v>8765</v>
      </c>
    </row>
    <row r="116" spans="2:48">
      <c r="B116" t="s">
        <v>432</v>
      </c>
      <c r="C116" t="s">
        <v>56</v>
      </c>
      <c r="F116" s="122">
        <v>2</v>
      </c>
      <c r="G116" s="122">
        <v>191</v>
      </c>
      <c r="H116" s="122">
        <v>369</v>
      </c>
      <c r="I116" s="122"/>
      <c r="J116" s="122">
        <v>0</v>
      </c>
      <c r="K116" s="122"/>
      <c r="L116" s="122"/>
      <c r="M116" s="122">
        <v>0</v>
      </c>
      <c r="N116" s="122">
        <v>2330</v>
      </c>
      <c r="O116" s="122">
        <v>863</v>
      </c>
      <c r="P116" s="122">
        <v>848</v>
      </c>
      <c r="Q116" s="122">
        <v>314</v>
      </c>
      <c r="R116" s="122"/>
      <c r="S116" s="122">
        <v>0</v>
      </c>
      <c r="T116" s="122">
        <v>0</v>
      </c>
      <c r="U116" s="122">
        <v>0</v>
      </c>
      <c r="V116" s="122">
        <v>1177</v>
      </c>
      <c r="W116" s="122">
        <f t="shared" si="2"/>
        <v>1177</v>
      </c>
      <c r="X116" s="122">
        <f t="shared" si="3"/>
        <v>3178</v>
      </c>
      <c r="Y116" s="122"/>
      <c r="AA116" t="s">
        <v>52</v>
      </c>
      <c r="AB116" t="s">
        <v>407</v>
      </c>
      <c r="AC116" t="s">
        <v>566</v>
      </c>
      <c r="AD116" t="s">
        <v>407</v>
      </c>
      <c r="AE116" t="s">
        <v>137</v>
      </c>
      <c r="AF116">
        <v>685</v>
      </c>
      <c r="AG116" s="122">
        <v>55373</v>
      </c>
      <c r="AH116" s="122">
        <v>78050</v>
      </c>
      <c r="AI116" s="122">
        <v>2333523</v>
      </c>
      <c r="AJ116" s="122">
        <v>2121384</v>
      </c>
      <c r="AK116">
        <v>86</v>
      </c>
      <c r="AL116">
        <v>0</v>
      </c>
      <c r="AM116" s="122">
        <v>20115</v>
      </c>
      <c r="AN116" s="122">
        <v>969979</v>
      </c>
      <c r="AO116" s="122">
        <v>359251</v>
      </c>
      <c r="AP116" s="122">
        <v>358705</v>
      </c>
      <c r="AQ116" s="122">
        <v>132854</v>
      </c>
      <c r="AR116" s="122">
        <v>2227205</v>
      </c>
      <c r="AS116" s="122">
        <v>2024731</v>
      </c>
      <c r="AT116" s="122">
        <v>413613</v>
      </c>
      <c r="AU116" s="122">
        <v>153190</v>
      </c>
      <c r="AV116" s="122">
        <v>4811526</v>
      </c>
    </row>
    <row r="117" spans="2:48">
      <c r="B117" t="s">
        <v>432</v>
      </c>
      <c r="C117" t="s">
        <v>56</v>
      </c>
      <c r="D117" t="s">
        <v>425</v>
      </c>
      <c r="E117" t="s">
        <v>425</v>
      </c>
      <c r="F117">
        <v>3</v>
      </c>
      <c r="G117">
        <v>227</v>
      </c>
      <c r="H117" s="122">
        <v>537</v>
      </c>
      <c r="I117" s="122">
        <v>20632</v>
      </c>
      <c r="J117" s="122">
        <v>18757</v>
      </c>
      <c r="K117" s="122">
        <v>86</v>
      </c>
      <c r="L117" s="122">
        <v>3750</v>
      </c>
      <c r="M117" s="122">
        <v>3410</v>
      </c>
      <c r="N117" s="122">
        <v>2771</v>
      </c>
      <c r="O117" s="122">
        <v>1026</v>
      </c>
      <c r="P117" s="122">
        <v>1418</v>
      </c>
      <c r="Q117" s="122">
        <v>525</v>
      </c>
      <c r="R117" s="122">
        <v>11999</v>
      </c>
      <c r="S117" s="122">
        <v>10908</v>
      </c>
      <c r="T117">
        <v>0</v>
      </c>
      <c r="U117" s="122">
        <v>0</v>
      </c>
      <c r="V117" s="122">
        <v>34625</v>
      </c>
      <c r="W117" s="122">
        <f t="shared" si="2"/>
        <v>34626</v>
      </c>
      <c r="X117" s="122">
        <f t="shared" si="3"/>
        <v>40570</v>
      </c>
      <c r="Y117" s="122"/>
      <c r="AA117" t="s">
        <v>52</v>
      </c>
      <c r="AB117" t="s">
        <v>407</v>
      </c>
      <c r="AC117" t="s">
        <v>566</v>
      </c>
      <c r="AD117" t="s">
        <v>407</v>
      </c>
      <c r="AE117" t="s">
        <v>566</v>
      </c>
      <c r="AF117" s="122">
        <v>4761</v>
      </c>
      <c r="AG117" s="122">
        <v>374744</v>
      </c>
      <c r="AH117" s="122">
        <v>544004</v>
      </c>
      <c r="AI117" s="122">
        <v>16659435</v>
      </c>
      <c r="AJ117" s="122">
        <v>15144941</v>
      </c>
      <c r="AK117">
        <v>85</v>
      </c>
      <c r="AL117">
        <v>0</v>
      </c>
      <c r="AM117" s="122">
        <v>33684</v>
      </c>
      <c r="AN117" s="122">
        <v>7435341</v>
      </c>
      <c r="AO117" s="122">
        <v>2753830</v>
      </c>
      <c r="AP117" s="122">
        <v>2479678</v>
      </c>
      <c r="AQ117" s="122">
        <v>918399</v>
      </c>
      <c r="AR117" s="122">
        <v>16268040</v>
      </c>
      <c r="AS117" s="122">
        <v>14789127</v>
      </c>
      <c r="AT117">
        <v>0</v>
      </c>
      <c r="AU117">
        <v>0</v>
      </c>
      <c r="AV117" s="122">
        <v>33639981</v>
      </c>
    </row>
    <row r="118" spans="2:48">
      <c r="B118" t="s">
        <v>432</v>
      </c>
      <c r="C118" t="s">
        <v>56</v>
      </c>
      <c r="D118" t="s">
        <v>405</v>
      </c>
      <c r="E118" t="s">
        <v>405</v>
      </c>
      <c r="F118">
        <v>25</v>
      </c>
      <c r="G118" s="122">
        <v>1808</v>
      </c>
      <c r="H118" s="122">
        <v>4246</v>
      </c>
      <c r="I118" s="122">
        <v>176534</v>
      </c>
      <c r="J118" s="122">
        <v>160485</v>
      </c>
      <c r="K118" s="122">
        <v>86</v>
      </c>
      <c r="L118" s="122">
        <v>16752</v>
      </c>
      <c r="M118" s="122">
        <v>13540</v>
      </c>
      <c r="N118" s="122">
        <v>37898</v>
      </c>
      <c r="O118" s="122">
        <v>14036</v>
      </c>
      <c r="P118" s="122">
        <v>11570</v>
      </c>
      <c r="Q118" s="122">
        <v>4285</v>
      </c>
      <c r="R118" s="122">
        <v>63862</v>
      </c>
      <c r="S118" s="122">
        <v>58056</v>
      </c>
      <c r="T118" s="122">
        <v>2687</v>
      </c>
      <c r="U118" s="122">
        <v>995</v>
      </c>
      <c r="V118" s="122">
        <v>251398</v>
      </c>
      <c r="W118" s="122">
        <f t="shared" si="2"/>
        <v>251397</v>
      </c>
      <c r="X118" s="122">
        <f t="shared" si="3"/>
        <v>309303</v>
      </c>
      <c r="Y118" s="122"/>
      <c r="AA118" t="s">
        <v>52</v>
      </c>
      <c r="AB118" t="s">
        <v>407</v>
      </c>
      <c r="AC118" t="s">
        <v>433</v>
      </c>
      <c r="AD118" t="s">
        <v>407</v>
      </c>
      <c r="AE118" t="s">
        <v>137</v>
      </c>
      <c r="AF118">
        <v>1</v>
      </c>
      <c r="AG118">
        <v>116</v>
      </c>
      <c r="AH118">
        <v>112</v>
      </c>
      <c r="AI118" s="122">
        <v>3966</v>
      </c>
      <c r="AJ118" s="122">
        <v>3606</v>
      </c>
      <c r="AK118">
        <v>80</v>
      </c>
      <c r="AL118">
        <v>555</v>
      </c>
      <c r="AM118">
        <v>505</v>
      </c>
      <c r="AN118" s="122">
        <v>2126</v>
      </c>
      <c r="AO118">
        <v>787</v>
      </c>
      <c r="AP118">
        <v>473</v>
      </c>
      <c r="AQ118">
        <v>175</v>
      </c>
      <c r="AR118" s="122">
        <v>3228</v>
      </c>
      <c r="AS118" s="122">
        <v>2935</v>
      </c>
      <c r="AT118" s="122">
        <v>2630</v>
      </c>
      <c r="AU118">
        <v>974</v>
      </c>
      <c r="AV118" s="122">
        <v>8982</v>
      </c>
    </row>
    <row r="119" spans="2:48">
      <c r="B119" t="s">
        <v>432</v>
      </c>
      <c r="C119" t="s">
        <v>56</v>
      </c>
      <c r="D119" t="s">
        <v>137</v>
      </c>
      <c r="E119" t="s">
        <v>137</v>
      </c>
      <c r="F119">
        <v>228</v>
      </c>
      <c r="G119" s="122">
        <v>18051</v>
      </c>
      <c r="H119" s="122">
        <v>45548</v>
      </c>
      <c r="I119" s="122">
        <v>1533141</v>
      </c>
      <c r="J119" s="122">
        <v>567830</v>
      </c>
      <c r="K119" s="122">
        <v>101</v>
      </c>
      <c r="L119" s="122">
        <v>223499</v>
      </c>
      <c r="M119" s="122">
        <v>96855</v>
      </c>
      <c r="N119" s="122">
        <v>353009</v>
      </c>
      <c r="O119" s="122">
        <v>130744</v>
      </c>
      <c r="P119" s="122">
        <v>3977</v>
      </c>
      <c r="Q119" s="122">
        <v>1473</v>
      </c>
      <c r="R119" s="122">
        <v>1496101</v>
      </c>
      <c r="S119" s="122">
        <v>554111</v>
      </c>
      <c r="T119" s="122">
        <v>6702</v>
      </c>
      <c r="U119" s="122">
        <v>2482</v>
      </c>
      <c r="V119" s="122">
        <v>1353496</v>
      </c>
      <c r="W119" s="122">
        <f t="shared" si="2"/>
        <v>1353495</v>
      </c>
      <c r="X119" s="122">
        <f t="shared" si="3"/>
        <v>3616429</v>
      </c>
      <c r="Y119" s="122"/>
      <c r="AA119" t="s">
        <v>52</v>
      </c>
      <c r="AB119" t="s">
        <v>407</v>
      </c>
      <c r="AC119" t="s">
        <v>433</v>
      </c>
      <c r="AD119" t="s">
        <v>407</v>
      </c>
      <c r="AE119" t="s">
        <v>566</v>
      </c>
      <c r="AF119">
        <v>4</v>
      </c>
      <c r="AG119">
        <v>331</v>
      </c>
      <c r="AH119">
        <v>427</v>
      </c>
      <c r="AI119" s="122">
        <v>14472</v>
      </c>
      <c r="AJ119" s="122">
        <v>13156</v>
      </c>
      <c r="AK119">
        <v>91</v>
      </c>
      <c r="AL119" s="122">
        <v>2853</v>
      </c>
      <c r="AM119" s="122">
        <v>2593</v>
      </c>
      <c r="AN119" s="122">
        <v>4282</v>
      </c>
      <c r="AO119" s="122">
        <v>1586</v>
      </c>
      <c r="AP119" s="122">
        <v>1890</v>
      </c>
      <c r="AQ119">
        <v>700</v>
      </c>
      <c r="AR119" s="122">
        <v>14162</v>
      </c>
      <c r="AS119" s="122">
        <v>12875</v>
      </c>
      <c r="AT119">
        <v>0</v>
      </c>
      <c r="AU119">
        <v>0</v>
      </c>
      <c r="AV119" s="122">
        <v>30911</v>
      </c>
    </row>
    <row r="120" spans="2:48">
      <c r="B120" t="s">
        <v>432</v>
      </c>
      <c r="C120" t="s">
        <v>56</v>
      </c>
      <c r="D120" t="s">
        <v>406</v>
      </c>
      <c r="E120" t="s">
        <v>137</v>
      </c>
      <c r="F120">
        <v>1</v>
      </c>
      <c r="G120" s="122">
        <v>103</v>
      </c>
      <c r="H120" s="122">
        <v>190</v>
      </c>
      <c r="I120" s="122">
        <v>9010</v>
      </c>
      <c r="J120" s="122">
        <v>8191</v>
      </c>
      <c r="K120" s="122">
        <v>79</v>
      </c>
      <c r="L120" s="122">
        <v>1843</v>
      </c>
      <c r="M120" s="122">
        <v>683</v>
      </c>
      <c r="N120" s="122">
        <v>2499</v>
      </c>
      <c r="O120" s="122">
        <v>926</v>
      </c>
      <c r="P120">
        <v>621</v>
      </c>
      <c r="Q120" s="122">
        <v>230</v>
      </c>
      <c r="R120" s="122">
        <v>5462</v>
      </c>
      <c r="S120" s="122">
        <v>2023</v>
      </c>
      <c r="T120" s="122">
        <v>0</v>
      </c>
      <c r="U120" s="122">
        <v>0</v>
      </c>
      <c r="V120" s="122">
        <v>12052</v>
      </c>
      <c r="W120" s="122">
        <f t="shared" si="2"/>
        <v>12053</v>
      </c>
      <c r="X120" s="122">
        <f t="shared" si="3"/>
        <v>19435</v>
      </c>
      <c r="Y120" s="122"/>
      <c r="AA120" t="s">
        <v>52</v>
      </c>
      <c r="AB120" t="s">
        <v>408</v>
      </c>
      <c r="AC120" t="s">
        <v>407</v>
      </c>
      <c r="AD120" t="s">
        <v>408</v>
      </c>
      <c r="AE120" t="s">
        <v>566</v>
      </c>
      <c r="AF120">
        <v>69</v>
      </c>
      <c r="AG120" s="122">
        <v>5408</v>
      </c>
      <c r="AH120" s="122">
        <v>7825</v>
      </c>
      <c r="AI120" s="122">
        <v>228057</v>
      </c>
      <c r="AJ120" s="122">
        <v>207324</v>
      </c>
      <c r="AK120">
        <v>75</v>
      </c>
      <c r="AL120" s="122">
        <v>24057</v>
      </c>
      <c r="AM120" s="122">
        <v>21870</v>
      </c>
      <c r="AN120" s="122">
        <v>65891</v>
      </c>
      <c r="AO120" s="122">
        <v>24404</v>
      </c>
      <c r="AP120" s="122">
        <v>24219</v>
      </c>
      <c r="AQ120" s="122">
        <v>8970</v>
      </c>
      <c r="AR120" s="122">
        <v>269067</v>
      </c>
      <c r="AS120" s="122">
        <v>244606</v>
      </c>
      <c r="AT120">
        <v>0</v>
      </c>
      <c r="AU120">
        <v>0</v>
      </c>
      <c r="AV120" s="122">
        <v>507174</v>
      </c>
    </row>
    <row r="121" spans="2:48">
      <c r="B121" t="s">
        <v>432</v>
      </c>
      <c r="C121" t="s">
        <v>56</v>
      </c>
      <c r="D121" t="s">
        <v>406</v>
      </c>
      <c r="E121" t="s">
        <v>406</v>
      </c>
      <c r="F121" s="122">
        <v>48</v>
      </c>
      <c r="G121" s="122">
        <v>6540</v>
      </c>
      <c r="H121" s="122">
        <v>9007</v>
      </c>
      <c r="I121" s="122">
        <v>685114</v>
      </c>
      <c r="J121" s="122">
        <v>622831</v>
      </c>
      <c r="K121" s="122">
        <v>85</v>
      </c>
      <c r="L121" s="122">
        <v>145727</v>
      </c>
      <c r="M121" s="122">
        <v>124893</v>
      </c>
      <c r="N121" s="122">
        <v>129073</v>
      </c>
      <c r="O121" s="122">
        <v>47805</v>
      </c>
      <c r="P121" s="122">
        <v>31212</v>
      </c>
      <c r="Q121" s="122">
        <v>11560</v>
      </c>
      <c r="R121" s="122">
        <v>238798</v>
      </c>
      <c r="S121" s="122">
        <v>217089</v>
      </c>
      <c r="T121" s="122">
        <v>58881</v>
      </c>
      <c r="U121" s="122">
        <v>21808</v>
      </c>
      <c r="V121" s="122">
        <v>1045986</v>
      </c>
      <c r="W121" s="122">
        <f t="shared" si="2"/>
        <v>1045986</v>
      </c>
      <c r="X121" s="122">
        <f t="shared" si="3"/>
        <v>1288805</v>
      </c>
      <c r="Y121" s="122"/>
      <c r="AA121" t="s">
        <v>54</v>
      </c>
      <c r="AC121" t="s">
        <v>566</v>
      </c>
      <c r="AE121" t="s">
        <v>566</v>
      </c>
      <c r="AF121">
        <v>946</v>
      </c>
      <c r="AG121" s="122">
        <v>69256</v>
      </c>
      <c r="AH121" s="122">
        <v>129441</v>
      </c>
      <c r="AJ121">
        <v>0</v>
      </c>
      <c r="AM121">
        <v>0</v>
      </c>
      <c r="AN121" s="122">
        <v>1468628</v>
      </c>
      <c r="AO121" s="122">
        <v>543936</v>
      </c>
      <c r="AP121" s="122">
        <v>296771</v>
      </c>
      <c r="AQ121" s="122">
        <v>109915</v>
      </c>
      <c r="AS121">
        <v>0</v>
      </c>
      <c r="AT121" s="122">
        <v>63252</v>
      </c>
      <c r="AU121" s="122">
        <v>23427</v>
      </c>
      <c r="AV121" s="122">
        <v>677278</v>
      </c>
    </row>
    <row r="122" spans="2:48">
      <c r="B122" t="s">
        <v>432</v>
      </c>
      <c r="C122" t="s">
        <v>56</v>
      </c>
      <c r="D122" t="s">
        <v>407</v>
      </c>
      <c r="E122" t="s">
        <v>407</v>
      </c>
      <c r="F122" s="122">
        <v>287</v>
      </c>
      <c r="G122" s="122">
        <v>22175</v>
      </c>
      <c r="H122" s="122">
        <v>51822</v>
      </c>
      <c r="I122" s="122">
        <v>1925919</v>
      </c>
      <c r="J122" s="122">
        <v>1750835</v>
      </c>
      <c r="K122" s="122">
        <v>81</v>
      </c>
      <c r="L122" s="122">
        <v>228947</v>
      </c>
      <c r="M122" s="122">
        <v>158564</v>
      </c>
      <c r="N122" s="122">
        <v>462774</v>
      </c>
      <c r="O122" s="122">
        <v>171398</v>
      </c>
      <c r="P122" s="122">
        <v>153831</v>
      </c>
      <c r="Q122" s="122">
        <v>56975</v>
      </c>
      <c r="R122" s="122">
        <v>1121629</v>
      </c>
      <c r="S122" s="122">
        <v>1019663</v>
      </c>
      <c r="T122" s="122">
        <v>95318</v>
      </c>
      <c r="U122" s="122">
        <v>35303</v>
      </c>
      <c r="V122" s="122">
        <v>3192737</v>
      </c>
      <c r="W122" s="122">
        <f t="shared" si="2"/>
        <v>3192738</v>
      </c>
      <c r="X122" s="122">
        <f t="shared" si="3"/>
        <v>3988418</v>
      </c>
      <c r="Y122" s="122"/>
      <c r="AA122" t="s">
        <v>54</v>
      </c>
      <c r="AB122" t="s">
        <v>425</v>
      </c>
      <c r="AC122" t="s">
        <v>137</v>
      </c>
      <c r="AD122" t="s">
        <v>405</v>
      </c>
      <c r="AE122" t="s">
        <v>566</v>
      </c>
      <c r="AF122">
        <v>1</v>
      </c>
      <c r="AG122">
        <v>74</v>
      </c>
      <c r="AH122">
        <v>144</v>
      </c>
      <c r="AI122" s="122">
        <v>3830</v>
      </c>
      <c r="AJ122" s="122">
        <v>3482</v>
      </c>
      <c r="AK122">
        <v>82</v>
      </c>
      <c r="AL122">
        <v>856</v>
      </c>
      <c r="AM122">
        <v>317</v>
      </c>
      <c r="AN122" s="122">
        <v>1306</v>
      </c>
      <c r="AO122">
        <v>484</v>
      </c>
      <c r="AP122">
        <v>473</v>
      </c>
      <c r="AQ122">
        <v>175</v>
      </c>
      <c r="AR122" s="122">
        <v>4161</v>
      </c>
      <c r="AS122" s="122">
        <v>3783</v>
      </c>
      <c r="AT122">
        <v>0</v>
      </c>
      <c r="AU122">
        <v>0</v>
      </c>
      <c r="AV122" s="122">
        <v>8240</v>
      </c>
    </row>
    <row r="123" spans="2:48">
      <c r="B123" t="s">
        <v>432</v>
      </c>
      <c r="C123" t="s">
        <v>56</v>
      </c>
      <c r="D123" t="s">
        <v>431</v>
      </c>
      <c r="E123" t="s">
        <v>431</v>
      </c>
      <c r="F123">
        <v>1</v>
      </c>
      <c r="G123">
        <v>69</v>
      </c>
      <c r="H123" s="122">
        <v>194</v>
      </c>
      <c r="I123" s="122">
        <v>5574</v>
      </c>
      <c r="J123" s="122">
        <v>5067</v>
      </c>
      <c r="K123" s="122">
        <v>65</v>
      </c>
      <c r="L123" s="122">
        <v>0</v>
      </c>
      <c r="M123" s="122">
        <v>0</v>
      </c>
      <c r="N123" s="122">
        <v>1616</v>
      </c>
      <c r="O123" s="122">
        <v>599</v>
      </c>
      <c r="P123" s="122">
        <v>351</v>
      </c>
      <c r="Q123" s="122">
        <v>130</v>
      </c>
      <c r="R123" s="122">
        <v>3893</v>
      </c>
      <c r="S123" s="122">
        <v>3539</v>
      </c>
      <c r="T123" s="122">
        <v>1973</v>
      </c>
      <c r="U123" s="122">
        <v>731</v>
      </c>
      <c r="V123" s="122">
        <v>10066</v>
      </c>
      <c r="W123" s="122">
        <f t="shared" si="2"/>
        <v>10066</v>
      </c>
      <c r="X123" s="122">
        <f t="shared" si="3"/>
        <v>13407</v>
      </c>
      <c r="Y123" s="122"/>
      <c r="AA123" t="s">
        <v>54</v>
      </c>
      <c r="AB123" t="s">
        <v>425</v>
      </c>
      <c r="AC123" t="s">
        <v>566</v>
      </c>
      <c r="AD123" t="s">
        <v>425</v>
      </c>
      <c r="AE123" t="s">
        <v>566</v>
      </c>
      <c r="AF123">
        <v>6</v>
      </c>
      <c r="AG123">
        <v>517</v>
      </c>
      <c r="AH123">
        <v>816</v>
      </c>
      <c r="AI123" s="122">
        <v>40852</v>
      </c>
      <c r="AJ123" s="122">
        <v>37138</v>
      </c>
      <c r="AK123">
        <v>89</v>
      </c>
      <c r="AL123">
        <v>0</v>
      </c>
      <c r="AM123">
        <v>588</v>
      </c>
      <c r="AN123" s="122">
        <v>10720</v>
      </c>
      <c r="AO123" s="122">
        <v>3970</v>
      </c>
      <c r="AP123" s="122">
        <v>2714</v>
      </c>
      <c r="AQ123" s="122">
        <v>1005</v>
      </c>
      <c r="AR123" s="122">
        <v>15418</v>
      </c>
      <c r="AS123" s="122">
        <v>14016</v>
      </c>
      <c r="AT123">
        <v>0</v>
      </c>
      <c r="AU123">
        <v>0</v>
      </c>
      <c r="AV123" s="122">
        <v>56717</v>
      </c>
    </row>
    <row r="124" spans="2:48">
      <c r="B124" t="s">
        <v>432</v>
      </c>
      <c r="C124" t="s">
        <v>56</v>
      </c>
      <c r="D124" t="s">
        <v>426</v>
      </c>
      <c r="E124" t="s">
        <v>426</v>
      </c>
      <c r="F124" s="122">
        <v>1</v>
      </c>
      <c r="G124" s="122">
        <v>50</v>
      </c>
      <c r="H124" s="122">
        <v>212</v>
      </c>
      <c r="I124" s="122">
        <v>4989</v>
      </c>
      <c r="J124" s="122">
        <v>4536</v>
      </c>
      <c r="K124" s="122">
        <v>77</v>
      </c>
      <c r="L124" s="122">
        <v>0</v>
      </c>
      <c r="M124" s="122">
        <v>0</v>
      </c>
      <c r="N124" s="122">
        <v>606</v>
      </c>
      <c r="O124">
        <v>224</v>
      </c>
      <c r="P124">
        <v>351</v>
      </c>
      <c r="Q124" s="122">
        <v>130</v>
      </c>
      <c r="R124" s="122">
        <v>2933</v>
      </c>
      <c r="S124" s="122">
        <v>2666</v>
      </c>
      <c r="T124" s="122">
        <v>1654</v>
      </c>
      <c r="U124" s="122">
        <v>612</v>
      </c>
      <c r="V124" s="122">
        <v>8169</v>
      </c>
      <c r="W124" s="122">
        <f t="shared" si="2"/>
        <v>8168</v>
      </c>
      <c r="X124" s="122">
        <f t="shared" si="3"/>
        <v>10533</v>
      </c>
      <c r="Y124" s="122"/>
      <c r="AA124" t="s">
        <v>54</v>
      </c>
      <c r="AB124" t="s">
        <v>425</v>
      </c>
      <c r="AC124" t="s">
        <v>566</v>
      </c>
      <c r="AD124" t="s">
        <v>407</v>
      </c>
      <c r="AE124" t="s">
        <v>566</v>
      </c>
      <c r="AF124">
        <v>1</v>
      </c>
      <c r="AG124">
        <v>49</v>
      </c>
      <c r="AH124">
        <v>126</v>
      </c>
      <c r="AI124" s="122">
        <v>2233</v>
      </c>
      <c r="AJ124" s="122">
        <v>2030</v>
      </c>
      <c r="AK124">
        <v>91</v>
      </c>
      <c r="AL124">
        <v>0</v>
      </c>
      <c r="AM124">
        <v>0</v>
      </c>
      <c r="AN124" s="122">
        <v>1201</v>
      </c>
      <c r="AO124">
        <v>445</v>
      </c>
      <c r="AP124">
        <v>473</v>
      </c>
      <c r="AQ124">
        <v>175</v>
      </c>
      <c r="AR124" s="122">
        <v>2301</v>
      </c>
      <c r="AS124" s="122">
        <v>2092</v>
      </c>
      <c r="AT124">
        <v>0</v>
      </c>
      <c r="AU124">
        <v>0</v>
      </c>
      <c r="AV124" s="122">
        <v>4742</v>
      </c>
    </row>
    <row r="125" spans="2:48">
      <c r="B125" t="s">
        <v>432</v>
      </c>
      <c r="C125" t="s">
        <v>58</v>
      </c>
      <c r="F125">
        <v>3</v>
      </c>
      <c r="G125">
        <v>288</v>
      </c>
      <c r="H125" s="122">
        <v>821</v>
      </c>
      <c r="I125" s="122"/>
      <c r="J125" s="122">
        <v>0</v>
      </c>
      <c r="K125" s="122"/>
      <c r="L125" s="122"/>
      <c r="M125" s="122">
        <v>0</v>
      </c>
      <c r="N125" s="122">
        <v>6258</v>
      </c>
      <c r="O125" s="122">
        <v>2318</v>
      </c>
      <c r="P125">
        <v>0</v>
      </c>
      <c r="Q125" s="122">
        <v>0</v>
      </c>
      <c r="R125" s="122"/>
      <c r="S125">
        <v>0</v>
      </c>
      <c r="T125">
        <v>0</v>
      </c>
      <c r="U125" s="122">
        <v>0</v>
      </c>
      <c r="V125" s="122">
        <v>2318</v>
      </c>
      <c r="W125" s="122">
        <f t="shared" si="2"/>
        <v>2318</v>
      </c>
      <c r="X125" s="122">
        <f t="shared" si="3"/>
        <v>6258</v>
      </c>
      <c r="Y125" s="122"/>
      <c r="AA125" t="s">
        <v>54</v>
      </c>
      <c r="AB125" t="s">
        <v>405</v>
      </c>
      <c r="AC125" t="s">
        <v>425</v>
      </c>
      <c r="AD125" t="s">
        <v>425</v>
      </c>
      <c r="AE125" t="s">
        <v>566</v>
      </c>
      <c r="AF125">
        <v>1</v>
      </c>
      <c r="AG125">
        <v>304</v>
      </c>
      <c r="AH125">
        <v>142</v>
      </c>
      <c r="AI125" s="122">
        <v>26078</v>
      </c>
      <c r="AJ125" s="122">
        <v>23707</v>
      </c>
      <c r="AK125">
        <v>92</v>
      </c>
      <c r="AL125" s="122">
        <v>4462</v>
      </c>
      <c r="AM125" s="122">
        <v>4057</v>
      </c>
      <c r="AN125" s="122">
        <v>5811</v>
      </c>
      <c r="AO125" s="122">
        <v>2152</v>
      </c>
      <c r="AP125">
        <v>473</v>
      </c>
      <c r="AQ125">
        <v>175</v>
      </c>
      <c r="AR125" s="122">
        <v>6451</v>
      </c>
      <c r="AS125" s="122">
        <v>5864</v>
      </c>
      <c r="AT125">
        <v>0</v>
      </c>
      <c r="AU125">
        <v>0</v>
      </c>
      <c r="AV125" s="122">
        <v>35956</v>
      </c>
    </row>
    <row r="126" spans="2:48">
      <c r="B126" t="s">
        <v>432</v>
      </c>
      <c r="C126" t="s">
        <v>58</v>
      </c>
      <c r="D126" t="s">
        <v>405</v>
      </c>
      <c r="E126" t="s">
        <v>405</v>
      </c>
      <c r="F126">
        <v>12</v>
      </c>
      <c r="G126" s="122">
        <v>805</v>
      </c>
      <c r="H126" s="122">
        <v>2933</v>
      </c>
      <c r="I126" s="122">
        <v>110639</v>
      </c>
      <c r="J126" s="122">
        <v>100581</v>
      </c>
      <c r="K126" s="122">
        <v>80</v>
      </c>
      <c r="L126" s="122">
        <v>27212</v>
      </c>
      <c r="M126" s="122">
        <v>24739</v>
      </c>
      <c r="N126" s="122">
        <v>18071</v>
      </c>
      <c r="O126" s="122">
        <v>6693</v>
      </c>
      <c r="P126" s="122">
        <v>5670</v>
      </c>
      <c r="Q126" s="122">
        <v>2100</v>
      </c>
      <c r="R126" s="122">
        <v>38225</v>
      </c>
      <c r="S126" s="122">
        <v>34750</v>
      </c>
      <c r="T126">
        <v>0</v>
      </c>
      <c r="U126" s="122">
        <v>0</v>
      </c>
      <c r="V126" s="122">
        <v>168863</v>
      </c>
      <c r="W126" s="122">
        <f t="shared" si="2"/>
        <v>168863</v>
      </c>
      <c r="X126" s="122">
        <f t="shared" si="3"/>
        <v>199817</v>
      </c>
      <c r="Y126" s="122"/>
      <c r="AA126" t="s">
        <v>54</v>
      </c>
      <c r="AB126" t="s">
        <v>405</v>
      </c>
      <c r="AC126" t="s">
        <v>425</v>
      </c>
      <c r="AD126" t="s">
        <v>405</v>
      </c>
      <c r="AE126" t="s">
        <v>137</v>
      </c>
      <c r="AF126">
        <v>1</v>
      </c>
      <c r="AG126">
        <v>94</v>
      </c>
      <c r="AH126">
        <v>149</v>
      </c>
      <c r="AI126" s="122">
        <v>7895</v>
      </c>
      <c r="AJ126" s="122">
        <v>7177</v>
      </c>
      <c r="AK126">
        <v>90</v>
      </c>
      <c r="AL126" s="122">
        <v>1193</v>
      </c>
      <c r="AM126" s="122">
        <v>1085</v>
      </c>
      <c r="AN126" s="122">
        <v>1718</v>
      </c>
      <c r="AO126">
        <v>636</v>
      </c>
      <c r="AP126">
        <v>473</v>
      </c>
      <c r="AQ126">
        <v>175</v>
      </c>
      <c r="AR126" s="122">
        <v>2745</v>
      </c>
      <c r="AS126" s="122">
        <v>2495</v>
      </c>
      <c r="AT126">
        <v>0</v>
      </c>
      <c r="AU126">
        <v>0</v>
      </c>
      <c r="AV126" s="122">
        <v>11569</v>
      </c>
    </row>
    <row r="127" spans="2:48">
      <c r="B127" t="s">
        <v>432</v>
      </c>
      <c r="C127" t="s">
        <v>58</v>
      </c>
      <c r="D127" t="s">
        <v>137</v>
      </c>
      <c r="E127" t="s">
        <v>137</v>
      </c>
      <c r="F127">
        <v>443</v>
      </c>
      <c r="G127" s="122">
        <v>31098</v>
      </c>
      <c r="H127" s="122">
        <v>116087</v>
      </c>
      <c r="I127" s="122">
        <v>4076144</v>
      </c>
      <c r="J127" s="122">
        <v>1509683</v>
      </c>
      <c r="K127" s="122">
        <v>100</v>
      </c>
      <c r="L127" s="122">
        <v>654656</v>
      </c>
      <c r="M127" s="122">
        <v>297596</v>
      </c>
      <c r="N127" s="122">
        <v>638311</v>
      </c>
      <c r="O127" s="122">
        <v>236411</v>
      </c>
      <c r="P127" s="122">
        <v>4076</v>
      </c>
      <c r="Q127" s="122">
        <v>1510</v>
      </c>
      <c r="R127" s="122">
        <v>2774584</v>
      </c>
      <c r="S127" s="122">
        <v>1027624</v>
      </c>
      <c r="T127" s="122">
        <v>18305</v>
      </c>
      <c r="U127" s="122">
        <v>6780</v>
      </c>
      <c r="V127" s="122">
        <v>3079603</v>
      </c>
      <c r="W127" s="122">
        <f t="shared" si="2"/>
        <v>3079604</v>
      </c>
      <c r="X127" s="122">
        <f t="shared" si="3"/>
        <v>8166076</v>
      </c>
      <c r="Y127" s="122"/>
      <c r="AA127" t="s">
        <v>54</v>
      </c>
      <c r="AB127" t="s">
        <v>405</v>
      </c>
      <c r="AC127" t="s">
        <v>425</v>
      </c>
      <c r="AD127" t="s">
        <v>405</v>
      </c>
      <c r="AE127" t="s">
        <v>566</v>
      </c>
      <c r="AF127">
        <v>1</v>
      </c>
      <c r="AG127">
        <v>94</v>
      </c>
      <c r="AH127">
        <v>139</v>
      </c>
      <c r="AI127" s="122">
        <v>6001</v>
      </c>
      <c r="AJ127" s="122">
        <v>5455</v>
      </c>
      <c r="AK127">
        <v>91</v>
      </c>
      <c r="AL127">
        <v>641</v>
      </c>
      <c r="AM127">
        <v>583</v>
      </c>
      <c r="AN127" s="122">
        <v>1724</v>
      </c>
      <c r="AO127">
        <v>638</v>
      </c>
      <c r="AP127">
        <v>473</v>
      </c>
      <c r="AQ127">
        <v>175</v>
      </c>
      <c r="AR127" s="122">
        <v>4274</v>
      </c>
      <c r="AS127" s="122">
        <v>3885</v>
      </c>
      <c r="AT127">
        <v>0</v>
      </c>
      <c r="AU127">
        <v>0</v>
      </c>
      <c r="AV127" s="122">
        <v>10736</v>
      </c>
    </row>
    <row r="128" spans="2:48">
      <c r="B128" t="s">
        <v>432</v>
      </c>
      <c r="C128" t="s">
        <v>58</v>
      </c>
      <c r="D128" t="s">
        <v>137</v>
      </c>
      <c r="E128" t="s">
        <v>556</v>
      </c>
      <c r="F128" s="122">
        <v>2</v>
      </c>
      <c r="G128" s="122">
        <v>108</v>
      </c>
      <c r="H128" s="122">
        <v>522</v>
      </c>
      <c r="I128" s="122">
        <v>12064</v>
      </c>
      <c r="J128" s="122">
        <v>4468</v>
      </c>
      <c r="K128" s="122">
        <v>100</v>
      </c>
      <c r="L128" s="122">
        <v>1684</v>
      </c>
      <c r="M128" s="122">
        <v>1403</v>
      </c>
      <c r="N128" s="122">
        <v>1902</v>
      </c>
      <c r="O128" s="122">
        <v>705</v>
      </c>
      <c r="P128" s="122">
        <v>0</v>
      </c>
      <c r="Q128" s="122">
        <v>0</v>
      </c>
      <c r="R128" s="122">
        <v>8444</v>
      </c>
      <c r="S128" s="122">
        <v>7036</v>
      </c>
      <c r="T128" s="122">
        <v>3960</v>
      </c>
      <c r="U128" s="122">
        <v>1467</v>
      </c>
      <c r="V128" s="122">
        <v>15079</v>
      </c>
      <c r="W128" s="122">
        <f t="shared" si="2"/>
        <v>15079</v>
      </c>
      <c r="X128" s="122">
        <f t="shared" si="3"/>
        <v>28054</v>
      </c>
      <c r="Y128" s="122"/>
      <c r="AA128" t="s">
        <v>54</v>
      </c>
      <c r="AB128" t="s">
        <v>405</v>
      </c>
      <c r="AC128" t="s">
        <v>405</v>
      </c>
      <c r="AD128" t="s">
        <v>405</v>
      </c>
      <c r="AE128" t="s">
        <v>137</v>
      </c>
      <c r="AF128">
        <v>8</v>
      </c>
      <c r="AG128">
        <v>877</v>
      </c>
      <c r="AH128" s="122">
        <v>1145</v>
      </c>
      <c r="AI128" s="122">
        <v>59789</v>
      </c>
      <c r="AJ128" s="122">
        <v>54354</v>
      </c>
      <c r="AK128">
        <v>87</v>
      </c>
      <c r="AL128" s="122">
        <v>9486</v>
      </c>
      <c r="AM128" s="122">
        <v>8623</v>
      </c>
      <c r="AN128" s="122">
        <v>17625</v>
      </c>
      <c r="AO128" s="122">
        <v>6528</v>
      </c>
      <c r="AP128" s="122">
        <v>3780</v>
      </c>
      <c r="AQ128" s="122">
        <v>1400</v>
      </c>
      <c r="AR128" s="122">
        <v>34086</v>
      </c>
      <c r="AS128" s="122">
        <v>30987</v>
      </c>
      <c r="AT128" s="122">
        <v>9470</v>
      </c>
      <c r="AU128" s="122">
        <v>3507</v>
      </c>
      <c r="AV128" s="122">
        <v>105399</v>
      </c>
    </row>
    <row r="129" spans="2:48">
      <c r="B129" t="s">
        <v>432</v>
      </c>
      <c r="C129" t="s">
        <v>58</v>
      </c>
      <c r="D129" t="s">
        <v>406</v>
      </c>
      <c r="E129" t="s">
        <v>137</v>
      </c>
      <c r="F129" s="122">
        <v>2</v>
      </c>
      <c r="G129" s="122">
        <v>119</v>
      </c>
      <c r="H129" s="122">
        <v>472</v>
      </c>
      <c r="I129" s="122">
        <v>13732</v>
      </c>
      <c r="J129" s="122">
        <v>12484</v>
      </c>
      <c r="K129" s="122">
        <v>90</v>
      </c>
      <c r="L129" s="122">
        <v>0</v>
      </c>
      <c r="M129" s="122">
        <v>0</v>
      </c>
      <c r="N129" s="122">
        <v>2159</v>
      </c>
      <c r="O129" s="122">
        <v>800</v>
      </c>
      <c r="P129" s="122">
        <v>1242</v>
      </c>
      <c r="Q129" s="122">
        <v>460</v>
      </c>
      <c r="R129" s="122">
        <v>11044</v>
      </c>
      <c r="S129" s="122">
        <v>4090</v>
      </c>
      <c r="T129">
        <v>0</v>
      </c>
      <c r="U129" s="122">
        <v>0</v>
      </c>
      <c r="V129" s="122">
        <v>17834</v>
      </c>
      <c r="W129" s="122">
        <f t="shared" si="2"/>
        <v>17834</v>
      </c>
      <c r="X129" s="122">
        <f t="shared" si="3"/>
        <v>28177</v>
      </c>
      <c r="Y129" s="122"/>
      <c r="AA129" t="s">
        <v>54</v>
      </c>
      <c r="AB129" t="s">
        <v>405</v>
      </c>
      <c r="AC129" t="s">
        <v>405</v>
      </c>
      <c r="AD129" t="s">
        <v>405</v>
      </c>
      <c r="AE129" t="s">
        <v>566</v>
      </c>
      <c r="AF129">
        <v>22</v>
      </c>
      <c r="AG129" s="122">
        <v>1855</v>
      </c>
      <c r="AH129" s="122">
        <v>3072</v>
      </c>
      <c r="AI129" s="122">
        <v>123674</v>
      </c>
      <c r="AJ129" s="122">
        <v>112431</v>
      </c>
      <c r="AK129">
        <v>87</v>
      </c>
      <c r="AL129" s="122">
        <v>22749</v>
      </c>
      <c r="AM129" s="122">
        <v>20681</v>
      </c>
      <c r="AN129" s="122">
        <v>32412</v>
      </c>
      <c r="AO129" s="122">
        <v>12004</v>
      </c>
      <c r="AP129" s="122">
        <v>9788</v>
      </c>
      <c r="AQ129" s="122">
        <v>3625</v>
      </c>
      <c r="AR129" s="122">
        <v>70312</v>
      </c>
      <c r="AS129" s="122">
        <v>63920</v>
      </c>
      <c r="AT129">
        <v>0</v>
      </c>
      <c r="AU129">
        <v>0</v>
      </c>
      <c r="AV129" s="122">
        <v>212661</v>
      </c>
    </row>
    <row r="130" spans="2:48">
      <c r="B130" t="s">
        <v>432</v>
      </c>
      <c r="C130" t="s">
        <v>58</v>
      </c>
      <c r="D130" t="s">
        <v>406</v>
      </c>
      <c r="E130" s="122" t="s">
        <v>406</v>
      </c>
      <c r="F130" s="122">
        <v>37</v>
      </c>
      <c r="G130" s="122">
        <v>4045</v>
      </c>
      <c r="H130" s="122">
        <v>9534</v>
      </c>
      <c r="I130" s="122">
        <v>601349</v>
      </c>
      <c r="J130" s="122">
        <v>546681</v>
      </c>
      <c r="K130" s="122">
        <v>79</v>
      </c>
      <c r="L130" s="122">
        <v>126337</v>
      </c>
      <c r="M130" s="122">
        <v>101361</v>
      </c>
      <c r="N130" s="122">
        <v>87105</v>
      </c>
      <c r="O130" s="122">
        <v>32261</v>
      </c>
      <c r="P130" s="122">
        <v>24030</v>
      </c>
      <c r="Q130" s="122">
        <v>8900</v>
      </c>
      <c r="R130" s="122">
        <v>180123</v>
      </c>
      <c r="S130" s="122">
        <v>163748</v>
      </c>
      <c r="T130" s="122">
        <v>60580</v>
      </c>
      <c r="U130" s="122">
        <v>22437</v>
      </c>
      <c r="V130" s="122">
        <v>875387</v>
      </c>
      <c r="W130" s="122">
        <f t="shared" si="2"/>
        <v>875388</v>
      </c>
      <c r="X130" s="122">
        <f t="shared" si="3"/>
        <v>1079524</v>
      </c>
      <c r="Y130" s="122"/>
      <c r="AA130" t="s">
        <v>54</v>
      </c>
      <c r="AB130" t="s">
        <v>405</v>
      </c>
      <c r="AC130" t="s">
        <v>137</v>
      </c>
      <c r="AD130" t="s">
        <v>405</v>
      </c>
      <c r="AE130" t="s">
        <v>137</v>
      </c>
      <c r="AF130">
        <v>5</v>
      </c>
      <c r="AG130">
        <v>454</v>
      </c>
      <c r="AH130">
        <v>681</v>
      </c>
      <c r="AI130" s="122">
        <v>27310</v>
      </c>
      <c r="AJ130" s="122">
        <v>24828</v>
      </c>
      <c r="AK130">
        <v>83</v>
      </c>
      <c r="AL130" s="122">
        <v>6985</v>
      </c>
      <c r="AM130" s="122">
        <v>2587</v>
      </c>
      <c r="AN130" s="122">
        <v>9148</v>
      </c>
      <c r="AO130" s="122">
        <v>3388</v>
      </c>
      <c r="AP130" s="122">
        <v>2241</v>
      </c>
      <c r="AQ130">
        <v>830</v>
      </c>
      <c r="AR130" s="122">
        <v>18391</v>
      </c>
      <c r="AS130" s="122">
        <v>16719</v>
      </c>
      <c r="AT130" s="122">
        <v>5174</v>
      </c>
      <c r="AU130" s="122">
        <v>1916</v>
      </c>
      <c r="AV130" s="122">
        <v>50268</v>
      </c>
    </row>
    <row r="131" spans="2:48">
      <c r="B131" t="s">
        <v>432</v>
      </c>
      <c r="C131" t="s">
        <v>58</v>
      </c>
      <c r="D131" t="s">
        <v>427</v>
      </c>
      <c r="E131" t="s">
        <v>427</v>
      </c>
      <c r="F131" s="122">
        <v>1</v>
      </c>
      <c r="G131" s="122">
        <v>81</v>
      </c>
      <c r="H131" s="122">
        <v>242</v>
      </c>
      <c r="I131" s="122">
        <v>9197</v>
      </c>
      <c r="J131" s="122">
        <v>8361</v>
      </c>
      <c r="K131" s="122">
        <v>65</v>
      </c>
      <c r="L131" s="122">
        <v>2214</v>
      </c>
      <c r="M131" s="122">
        <v>2013</v>
      </c>
      <c r="N131" s="122">
        <v>1597</v>
      </c>
      <c r="O131" s="122">
        <v>591</v>
      </c>
      <c r="P131" s="122">
        <v>351</v>
      </c>
      <c r="Q131" s="122">
        <v>130</v>
      </c>
      <c r="R131" s="122">
        <v>4164</v>
      </c>
      <c r="S131" s="122">
        <v>3785</v>
      </c>
      <c r="T131" s="122">
        <v>2185</v>
      </c>
      <c r="U131" s="122">
        <v>809</v>
      </c>
      <c r="V131" s="122">
        <v>15689</v>
      </c>
      <c r="W131" s="122">
        <f t="shared" si="2"/>
        <v>15689</v>
      </c>
      <c r="X131" s="122">
        <f t="shared" si="3"/>
        <v>19708</v>
      </c>
      <c r="Y131" s="122"/>
      <c r="AA131" t="s">
        <v>54</v>
      </c>
      <c r="AB131" t="s">
        <v>405</v>
      </c>
      <c r="AC131" t="s">
        <v>137</v>
      </c>
      <c r="AD131" t="s">
        <v>405</v>
      </c>
      <c r="AE131" t="s">
        <v>566</v>
      </c>
      <c r="AF131">
        <v>26</v>
      </c>
      <c r="AG131" s="122">
        <v>2297</v>
      </c>
      <c r="AH131" s="122">
        <v>3587</v>
      </c>
      <c r="AI131" s="122">
        <v>138754</v>
      </c>
      <c r="AJ131" s="122">
        <v>126140</v>
      </c>
      <c r="AK131">
        <v>85</v>
      </c>
      <c r="AL131" s="122">
        <v>31367</v>
      </c>
      <c r="AM131" s="122">
        <v>11617</v>
      </c>
      <c r="AN131" s="122">
        <v>46280</v>
      </c>
      <c r="AO131" s="122">
        <v>17141</v>
      </c>
      <c r="AP131" s="122">
        <v>11678</v>
      </c>
      <c r="AQ131" s="122">
        <v>4325</v>
      </c>
      <c r="AR131" s="122">
        <v>87673</v>
      </c>
      <c r="AS131" s="122">
        <v>79703</v>
      </c>
      <c r="AT131">
        <v>0</v>
      </c>
      <c r="AU131">
        <v>0</v>
      </c>
      <c r="AV131" s="122">
        <v>238926</v>
      </c>
    </row>
    <row r="132" spans="2:48">
      <c r="B132" t="s">
        <v>432</v>
      </c>
      <c r="C132" t="s">
        <v>58</v>
      </c>
      <c r="D132" t="s">
        <v>407</v>
      </c>
      <c r="E132" t="s">
        <v>407</v>
      </c>
      <c r="F132">
        <v>32</v>
      </c>
      <c r="G132" s="122">
        <v>2251</v>
      </c>
      <c r="H132" s="122">
        <v>7974</v>
      </c>
      <c r="I132" s="122">
        <v>274771</v>
      </c>
      <c r="J132" s="122">
        <v>249792</v>
      </c>
      <c r="K132" s="122">
        <v>77</v>
      </c>
      <c r="L132" s="122">
        <v>66980</v>
      </c>
      <c r="M132" s="122">
        <v>54772</v>
      </c>
      <c r="N132" s="122">
        <v>47805</v>
      </c>
      <c r="O132" s="122">
        <v>17705</v>
      </c>
      <c r="P132" s="122">
        <v>16244</v>
      </c>
      <c r="Q132" s="122">
        <v>6016</v>
      </c>
      <c r="R132" s="122">
        <v>127019</v>
      </c>
      <c r="S132" s="122">
        <v>115472</v>
      </c>
      <c r="T132" s="122">
        <v>28577</v>
      </c>
      <c r="U132" s="122">
        <v>10584</v>
      </c>
      <c r="V132" s="122">
        <v>454342</v>
      </c>
      <c r="W132" s="122">
        <f t="shared" si="2"/>
        <v>454341</v>
      </c>
      <c r="X132" s="122">
        <f t="shared" si="3"/>
        <v>561396</v>
      </c>
      <c r="Y132" s="122"/>
      <c r="AA132" t="s">
        <v>54</v>
      </c>
      <c r="AB132" t="s">
        <v>405</v>
      </c>
      <c r="AC132" t="s">
        <v>427</v>
      </c>
      <c r="AD132" t="s">
        <v>405</v>
      </c>
      <c r="AE132" t="s">
        <v>566</v>
      </c>
      <c r="AF132">
        <v>7</v>
      </c>
      <c r="AG132">
        <v>836</v>
      </c>
      <c r="AH132" s="122">
        <v>1024</v>
      </c>
      <c r="AI132" s="122">
        <v>59477</v>
      </c>
      <c r="AJ132" s="122">
        <v>54070</v>
      </c>
      <c r="AK132">
        <v>83</v>
      </c>
      <c r="AL132" s="122">
        <v>16998</v>
      </c>
      <c r="AM132" s="122">
        <v>15452</v>
      </c>
      <c r="AN132" s="122">
        <v>16068</v>
      </c>
      <c r="AO132" s="122">
        <v>5951</v>
      </c>
      <c r="AP132" s="122">
        <v>5954</v>
      </c>
      <c r="AQ132" s="122">
        <v>2205</v>
      </c>
      <c r="AR132" s="122">
        <v>24403</v>
      </c>
      <c r="AS132" s="122">
        <v>22185</v>
      </c>
      <c r="AT132">
        <v>0</v>
      </c>
      <c r="AU132">
        <v>0</v>
      </c>
      <c r="AV132" s="122">
        <v>99864</v>
      </c>
    </row>
    <row r="133" spans="2:48">
      <c r="B133" t="s">
        <v>432</v>
      </c>
      <c r="C133" t="s">
        <v>58</v>
      </c>
      <c r="D133" t="s">
        <v>556</v>
      </c>
      <c r="E133" t="s">
        <v>556</v>
      </c>
      <c r="F133">
        <v>2</v>
      </c>
      <c r="G133" s="122">
        <v>105</v>
      </c>
      <c r="H133" s="122">
        <v>567</v>
      </c>
      <c r="I133" s="122">
        <v>11752</v>
      </c>
      <c r="J133" s="122">
        <v>9794</v>
      </c>
      <c r="K133" s="122">
        <v>60</v>
      </c>
      <c r="L133" s="122">
        <v>2905</v>
      </c>
      <c r="M133" s="122">
        <v>1076</v>
      </c>
      <c r="N133" s="122">
        <v>1782</v>
      </c>
      <c r="O133">
        <v>660</v>
      </c>
      <c r="P133">
        <v>702</v>
      </c>
      <c r="Q133" s="122">
        <v>260</v>
      </c>
      <c r="R133" s="122">
        <v>8749</v>
      </c>
      <c r="S133" s="122">
        <v>7291</v>
      </c>
      <c r="T133" s="122">
        <v>3555</v>
      </c>
      <c r="U133" s="122">
        <v>1317</v>
      </c>
      <c r="V133" s="122">
        <v>20398</v>
      </c>
      <c r="W133" s="122">
        <f t="shared" si="2"/>
        <v>20398</v>
      </c>
      <c r="X133" s="122">
        <f t="shared" si="3"/>
        <v>29445</v>
      </c>
      <c r="Y133" s="122"/>
      <c r="AA133" t="s">
        <v>54</v>
      </c>
      <c r="AB133" t="s">
        <v>405</v>
      </c>
      <c r="AC133" t="s">
        <v>579</v>
      </c>
      <c r="AD133" t="s">
        <v>405</v>
      </c>
      <c r="AE133" t="s">
        <v>566</v>
      </c>
      <c r="AF133">
        <v>3</v>
      </c>
      <c r="AG133">
        <v>559</v>
      </c>
      <c r="AH133">
        <v>410</v>
      </c>
      <c r="AI133" s="122">
        <v>40706</v>
      </c>
      <c r="AJ133" s="122">
        <v>37006</v>
      </c>
      <c r="AK133">
        <v>86</v>
      </c>
      <c r="AL133" s="122">
        <v>7975</v>
      </c>
      <c r="AM133" s="122">
        <v>6646</v>
      </c>
      <c r="AN133" s="122">
        <v>10306</v>
      </c>
      <c r="AO133" s="122">
        <v>3817</v>
      </c>
      <c r="AP133" s="122">
        <v>1890</v>
      </c>
      <c r="AQ133">
        <v>700</v>
      </c>
      <c r="AR133" s="122">
        <v>16237</v>
      </c>
      <c r="AS133" s="122">
        <v>14761</v>
      </c>
      <c r="AT133">
        <v>0</v>
      </c>
      <c r="AU133">
        <v>0</v>
      </c>
      <c r="AV133" s="122">
        <v>62930</v>
      </c>
    </row>
    <row r="134" spans="2:48">
      <c r="B134" t="s">
        <v>432</v>
      </c>
      <c r="C134" t="s">
        <v>58</v>
      </c>
      <c r="D134" t="s">
        <v>426</v>
      </c>
      <c r="E134" t="s">
        <v>426</v>
      </c>
      <c r="F134">
        <v>6</v>
      </c>
      <c r="G134" s="122">
        <v>298</v>
      </c>
      <c r="H134" s="122">
        <v>1658</v>
      </c>
      <c r="I134" s="122">
        <v>44628</v>
      </c>
      <c r="J134" s="122">
        <v>40571</v>
      </c>
      <c r="K134" s="122">
        <v>60</v>
      </c>
      <c r="L134" s="122">
        <v>2436</v>
      </c>
      <c r="M134" s="122">
        <v>902</v>
      </c>
      <c r="N134" s="122">
        <v>6295</v>
      </c>
      <c r="O134" s="122">
        <v>2331</v>
      </c>
      <c r="P134" s="122">
        <v>2106</v>
      </c>
      <c r="Q134" s="122">
        <v>780</v>
      </c>
      <c r="R134" s="122">
        <v>25011</v>
      </c>
      <c r="S134" s="122">
        <v>22737</v>
      </c>
      <c r="T134" s="122">
        <v>11526</v>
      </c>
      <c r="U134" s="122">
        <v>4269</v>
      </c>
      <c r="V134" s="122">
        <v>71590</v>
      </c>
      <c r="W134" s="122">
        <f t="shared" si="2"/>
        <v>71590</v>
      </c>
      <c r="X134" s="122">
        <f t="shared" si="3"/>
        <v>92002</v>
      </c>
      <c r="Y134" s="122"/>
      <c r="AA134" t="s">
        <v>54</v>
      </c>
      <c r="AB134" t="s">
        <v>405</v>
      </c>
      <c r="AC134" t="s">
        <v>431</v>
      </c>
      <c r="AD134" t="s">
        <v>405</v>
      </c>
      <c r="AE134" t="s">
        <v>566</v>
      </c>
      <c r="AF134">
        <v>1</v>
      </c>
      <c r="AG134">
        <v>118</v>
      </c>
      <c r="AH134">
        <v>142</v>
      </c>
      <c r="AI134" s="122">
        <v>7979</v>
      </c>
      <c r="AJ134" s="122">
        <v>7253</v>
      </c>
      <c r="AK134">
        <v>82</v>
      </c>
      <c r="AL134" s="122">
        <v>2308</v>
      </c>
      <c r="AM134" s="122">
        <v>2098</v>
      </c>
      <c r="AN134" s="122">
        <v>2526</v>
      </c>
      <c r="AO134">
        <v>936</v>
      </c>
      <c r="AP134">
        <v>473</v>
      </c>
      <c r="AQ134">
        <v>175</v>
      </c>
      <c r="AR134" s="122">
        <v>3496</v>
      </c>
      <c r="AS134" s="122">
        <v>3178</v>
      </c>
      <c r="AT134">
        <v>0</v>
      </c>
      <c r="AU134">
        <v>0</v>
      </c>
      <c r="AV134" s="122">
        <v>13641</v>
      </c>
    </row>
    <row r="135" spans="2:48">
      <c r="B135" t="s">
        <v>432</v>
      </c>
      <c r="C135" t="s">
        <v>60</v>
      </c>
      <c r="F135" s="122">
        <v>14</v>
      </c>
      <c r="G135" s="122">
        <v>747</v>
      </c>
      <c r="H135" s="122">
        <v>4897</v>
      </c>
      <c r="I135" s="122"/>
      <c r="J135" s="122">
        <v>0</v>
      </c>
      <c r="K135" s="122"/>
      <c r="L135" s="122"/>
      <c r="M135" s="122">
        <v>0</v>
      </c>
      <c r="N135" s="122">
        <v>15370</v>
      </c>
      <c r="O135" s="122">
        <v>5693</v>
      </c>
      <c r="P135" s="122">
        <v>5589</v>
      </c>
      <c r="Q135" s="122">
        <v>2070</v>
      </c>
      <c r="R135" s="122"/>
      <c r="S135" s="122">
        <v>0</v>
      </c>
      <c r="T135" s="122">
        <v>0</v>
      </c>
      <c r="U135" s="122">
        <v>0</v>
      </c>
      <c r="V135" s="122">
        <v>7763</v>
      </c>
      <c r="W135" s="122">
        <f t="shared" ref="W135:W198" si="4">SUM(ABS(J135),ABS(M135),ABS(O135),ABS(Q135),ABS(S135),ABS(U135))</f>
        <v>7763</v>
      </c>
      <c r="X135" s="122">
        <f t="shared" ref="X135:X198" si="5">SUM(ABS(I135),ABS(N135),ABS(P135),ABS(R135),ABS(T135),ABS(L135))</f>
        <v>20959</v>
      </c>
      <c r="Y135" s="122"/>
      <c r="AA135" t="s">
        <v>54</v>
      </c>
      <c r="AB135" t="s">
        <v>405</v>
      </c>
      <c r="AC135" t="s">
        <v>426</v>
      </c>
      <c r="AD135" t="s">
        <v>405</v>
      </c>
      <c r="AE135" t="s">
        <v>137</v>
      </c>
      <c r="AF135">
        <v>1</v>
      </c>
      <c r="AG135">
        <v>109</v>
      </c>
      <c r="AH135">
        <v>139</v>
      </c>
      <c r="AI135" s="122">
        <v>4329</v>
      </c>
      <c r="AJ135" s="122">
        <v>3936</v>
      </c>
      <c r="AK135">
        <v>81</v>
      </c>
      <c r="AL135" s="122">
        <v>1236</v>
      </c>
      <c r="AM135" s="122">
        <v>1124</v>
      </c>
      <c r="AN135" s="122">
        <v>2658</v>
      </c>
      <c r="AO135">
        <v>984</v>
      </c>
      <c r="AP135">
        <v>473</v>
      </c>
      <c r="AQ135">
        <v>175</v>
      </c>
      <c r="AR135" s="122">
        <v>3891</v>
      </c>
      <c r="AS135" s="122">
        <v>3537</v>
      </c>
      <c r="AT135" s="122">
        <v>2542</v>
      </c>
      <c r="AU135">
        <v>941</v>
      </c>
      <c r="AV135" s="122">
        <v>10697</v>
      </c>
    </row>
    <row r="136" spans="2:48">
      <c r="B136" t="s">
        <v>432</v>
      </c>
      <c r="C136" t="s">
        <v>60</v>
      </c>
      <c r="D136" t="s">
        <v>405</v>
      </c>
      <c r="E136" t="s">
        <v>405</v>
      </c>
      <c r="F136">
        <v>2</v>
      </c>
      <c r="G136" s="122">
        <v>182</v>
      </c>
      <c r="H136" s="122">
        <v>668</v>
      </c>
      <c r="I136" s="122">
        <v>41117</v>
      </c>
      <c r="J136" s="122">
        <v>37379</v>
      </c>
      <c r="K136" s="122">
        <v>85</v>
      </c>
      <c r="L136" s="122">
        <v>10092</v>
      </c>
      <c r="M136" s="122">
        <v>9175</v>
      </c>
      <c r="N136" s="122">
        <v>3836</v>
      </c>
      <c r="O136" s="122">
        <v>1421</v>
      </c>
      <c r="P136">
        <v>824</v>
      </c>
      <c r="Q136" s="122">
        <v>305</v>
      </c>
      <c r="R136" s="122">
        <v>7891</v>
      </c>
      <c r="S136" s="122">
        <v>7173</v>
      </c>
      <c r="T136" s="122">
        <v>0</v>
      </c>
      <c r="U136" s="122">
        <v>0</v>
      </c>
      <c r="V136" s="122">
        <v>55452</v>
      </c>
      <c r="W136" s="122">
        <f t="shared" si="4"/>
        <v>55453</v>
      </c>
      <c r="X136" s="122">
        <f t="shared" si="5"/>
        <v>63760</v>
      </c>
      <c r="Y136" s="122"/>
      <c r="AA136" t="s">
        <v>54</v>
      </c>
      <c r="AB136" t="s">
        <v>405</v>
      </c>
      <c r="AC136" t="s">
        <v>426</v>
      </c>
      <c r="AD136" t="s">
        <v>405</v>
      </c>
      <c r="AE136" t="s">
        <v>566</v>
      </c>
      <c r="AF136">
        <v>17</v>
      </c>
      <c r="AG136" s="122">
        <v>1595</v>
      </c>
      <c r="AH136" s="122">
        <v>2364</v>
      </c>
      <c r="AI136" s="122">
        <v>103726</v>
      </c>
      <c r="AJ136" s="122">
        <v>94296</v>
      </c>
      <c r="AK136">
        <v>87</v>
      </c>
      <c r="AL136" s="122">
        <v>28450</v>
      </c>
      <c r="AM136" s="122">
        <v>25864</v>
      </c>
      <c r="AN136" s="122">
        <v>35569</v>
      </c>
      <c r="AO136" s="122">
        <v>13174</v>
      </c>
      <c r="AP136" s="122">
        <v>8384</v>
      </c>
      <c r="AQ136" s="122">
        <v>3105</v>
      </c>
      <c r="AR136" s="122">
        <v>64611</v>
      </c>
      <c r="AS136" s="122">
        <v>58737</v>
      </c>
      <c r="AT136">
        <v>0</v>
      </c>
      <c r="AU136">
        <v>0</v>
      </c>
      <c r="AV136" s="122">
        <v>195176</v>
      </c>
    </row>
    <row r="137" spans="2:48">
      <c r="B137" t="s">
        <v>432</v>
      </c>
      <c r="C137" t="s">
        <v>60</v>
      </c>
      <c r="D137" t="s">
        <v>137</v>
      </c>
      <c r="E137" t="s">
        <v>137</v>
      </c>
      <c r="F137">
        <v>302</v>
      </c>
      <c r="G137" s="122">
        <v>18869</v>
      </c>
      <c r="H137" s="122">
        <v>101428</v>
      </c>
      <c r="I137" s="122">
        <v>3568041</v>
      </c>
      <c r="J137" s="122">
        <v>1321497</v>
      </c>
      <c r="K137" s="122">
        <v>100</v>
      </c>
      <c r="L137" s="122">
        <v>496698</v>
      </c>
      <c r="M137" s="122">
        <v>227496</v>
      </c>
      <c r="N137" s="122">
        <v>398839</v>
      </c>
      <c r="O137" s="122">
        <v>147718</v>
      </c>
      <c r="P137" s="122">
        <v>4185</v>
      </c>
      <c r="Q137" s="122">
        <v>1550</v>
      </c>
      <c r="R137" s="122">
        <v>1845943</v>
      </c>
      <c r="S137" s="122">
        <v>683682</v>
      </c>
      <c r="T137" s="122">
        <v>12822</v>
      </c>
      <c r="U137" s="122">
        <v>4749</v>
      </c>
      <c r="V137" s="122">
        <v>2386692</v>
      </c>
      <c r="W137" s="122">
        <f t="shared" si="4"/>
        <v>2386692</v>
      </c>
      <c r="X137" s="122">
        <f t="shared" si="5"/>
        <v>6326528</v>
      </c>
      <c r="Y137" s="122"/>
      <c r="AA137" t="s">
        <v>54</v>
      </c>
      <c r="AB137" t="s">
        <v>405</v>
      </c>
      <c r="AC137" t="s">
        <v>566</v>
      </c>
      <c r="AD137" t="s">
        <v>425</v>
      </c>
      <c r="AE137" t="s">
        <v>566</v>
      </c>
      <c r="AF137">
        <v>1</v>
      </c>
      <c r="AG137">
        <v>86</v>
      </c>
      <c r="AH137">
        <v>137</v>
      </c>
      <c r="AI137" s="122">
        <v>3663</v>
      </c>
      <c r="AJ137" s="122">
        <v>3330</v>
      </c>
      <c r="AK137">
        <v>73</v>
      </c>
      <c r="AL137">
        <v>0</v>
      </c>
      <c r="AM137">
        <v>0</v>
      </c>
      <c r="AN137" s="122">
        <v>1461</v>
      </c>
      <c r="AO137">
        <v>541</v>
      </c>
      <c r="AP137">
        <v>473</v>
      </c>
      <c r="AQ137">
        <v>175</v>
      </c>
      <c r="AR137" s="122">
        <v>6163</v>
      </c>
      <c r="AS137" s="122">
        <v>5603</v>
      </c>
      <c r="AT137">
        <v>0</v>
      </c>
      <c r="AU137">
        <v>0</v>
      </c>
      <c r="AV137" s="122">
        <v>9649</v>
      </c>
    </row>
    <row r="138" spans="2:48">
      <c r="B138" t="s">
        <v>432</v>
      </c>
      <c r="C138" t="s">
        <v>60</v>
      </c>
      <c r="D138" t="s">
        <v>406</v>
      </c>
      <c r="E138" t="s">
        <v>137</v>
      </c>
      <c r="F138">
        <v>1</v>
      </c>
      <c r="G138" s="122">
        <v>63</v>
      </c>
      <c r="H138" s="122">
        <v>334</v>
      </c>
      <c r="I138" s="122">
        <v>12813</v>
      </c>
      <c r="J138" s="122">
        <v>11648</v>
      </c>
      <c r="K138" s="122">
        <v>85</v>
      </c>
      <c r="L138" s="122">
        <v>0</v>
      </c>
      <c r="M138" s="122">
        <v>0</v>
      </c>
      <c r="N138" s="122">
        <v>1428</v>
      </c>
      <c r="O138">
        <v>529</v>
      </c>
      <c r="P138">
        <v>621</v>
      </c>
      <c r="Q138" s="122">
        <v>230</v>
      </c>
      <c r="R138" s="122">
        <v>6165</v>
      </c>
      <c r="S138" s="122">
        <v>2283</v>
      </c>
      <c r="T138">
        <v>0</v>
      </c>
      <c r="U138" s="122">
        <v>0</v>
      </c>
      <c r="V138" s="122">
        <v>14690</v>
      </c>
      <c r="W138" s="122">
        <f t="shared" si="4"/>
        <v>14690</v>
      </c>
      <c r="X138" s="122">
        <f t="shared" si="5"/>
        <v>21027</v>
      </c>
      <c r="Y138" s="122"/>
      <c r="AA138" t="s">
        <v>54</v>
      </c>
      <c r="AB138" t="s">
        <v>405</v>
      </c>
      <c r="AC138" t="s">
        <v>566</v>
      </c>
      <c r="AD138" t="s">
        <v>405</v>
      </c>
      <c r="AE138" t="s">
        <v>137</v>
      </c>
      <c r="AF138">
        <v>9</v>
      </c>
      <c r="AG138">
        <v>685</v>
      </c>
      <c r="AH138" s="122">
        <v>1232</v>
      </c>
      <c r="AI138" s="122">
        <v>41986</v>
      </c>
      <c r="AJ138" s="122">
        <v>38169</v>
      </c>
      <c r="AK138">
        <v>88</v>
      </c>
      <c r="AL138">
        <v>0</v>
      </c>
      <c r="AM138">
        <v>489</v>
      </c>
      <c r="AN138" s="122">
        <v>14240</v>
      </c>
      <c r="AO138" s="122">
        <v>5274</v>
      </c>
      <c r="AP138" s="122">
        <v>4253</v>
      </c>
      <c r="AQ138" s="122">
        <v>1575</v>
      </c>
      <c r="AR138" s="122">
        <v>25148</v>
      </c>
      <c r="AS138" s="122">
        <v>22862</v>
      </c>
      <c r="AT138" s="122">
        <v>7480</v>
      </c>
      <c r="AU138" s="122">
        <v>2770</v>
      </c>
      <c r="AV138" s="122">
        <v>71138</v>
      </c>
    </row>
    <row r="139" spans="2:48">
      <c r="B139" t="s">
        <v>432</v>
      </c>
      <c r="C139" t="s">
        <v>60</v>
      </c>
      <c r="D139" t="s">
        <v>406</v>
      </c>
      <c r="E139" t="s">
        <v>406</v>
      </c>
      <c r="F139">
        <v>15</v>
      </c>
      <c r="G139" s="122">
        <v>1401</v>
      </c>
      <c r="H139" s="122">
        <v>5094</v>
      </c>
      <c r="I139" s="122">
        <v>299501</v>
      </c>
      <c r="J139" s="122">
        <v>272274</v>
      </c>
      <c r="K139" s="122">
        <v>77</v>
      </c>
      <c r="L139" s="122">
        <v>48235</v>
      </c>
      <c r="M139" s="122">
        <v>37572</v>
      </c>
      <c r="N139" s="122">
        <v>28684</v>
      </c>
      <c r="O139" s="122">
        <v>10624</v>
      </c>
      <c r="P139" s="122">
        <v>9045</v>
      </c>
      <c r="Q139" s="122">
        <v>3350</v>
      </c>
      <c r="R139" s="122">
        <v>70475</v>
      </c>
      <c r="S139" s="122">
        <v>64068</v>
      </c>
      <c r="T139" s="122">
        <v>21086</v>
      </c>
      <c r="U139" s="122">
        <v>7810</v>
      </c>
      <c r="V139" s="122">
        <v>395697</v>
      </c>
      <c r="W139" s="122">
        <f t="shared" si="4"/>
        <v>395698</v>
      </c>
      <c r="X139" s="122">
        <f t="shared" si="5"/>
        <v>477026</v>
      </c>
      <c r="Y139" s="122"/>
      <c r="AA139" t="s">
        <v>54</v>
      </c>
      <c r="AB139" t="s">
        <v>405</v>
      </c>
      <c r="AC139" t="s">
        <v>566</v>
      </c>
      <c r="AD139" t="s">
        <v>405</v>
      </c>
      <c r="AE139" t="s">
        <v>566</v>
      </c>
      <c r="AF139">
        <v>221</v>
      </c>
      <c r="AG139" s="122">
        <v>17026</v>
      </c>
      <c r="AH139" s="122">
        <v>30399</v>
      </c>
      <c r="AI139" s="122">
        <v>1135901</v>
      </c>
      <c r="AJ139" s="122">
        <v>1032637</v>
      </c>
      <c r="AK139">
        <v>85</v>
      </c>
      <c r="AL139">
        <v>0</v>
      </c>
      <c r="AM139" s="122">
        <v>2371</v>
      </c>
      <c r="AN139" s="122">
        <v>358113</v>
      </c>
      <c r="AO139" s="122">
        <v>132634</v>
      </c>
      <c r="AP139" s="122">
        <v>113791</v>
      </c>
      <c r="AQ139" s="122">
        <v>42145</v>
      </c>
      <c r="AR139" s="122">
        <v>738653</v>
      </c>
      <c r="AS139" s="122">
        <v>671503</v>
      </c>
      <c r="AT139">
        <v>0</v>
      </c>
      <c r="AU139">
        <v>0</v>
      </c>
      <c r="AV139" s="122">
        <v>1881291</v>
      </c>
    </row>
    <row r="140" spans="2:48">
      <c r="B140" t="s">
        <v>432</v>
      </c>
      <c r="C140" t="s">
        <v>60</v>
      </c>
      <c r="D140" t="s">
        <v>407</v>
      </c>
      <c r="E140" t="s">
        <v>407</v>
      </c>
      <c r="F140">
        <v>6</v>
      </c>
      <c r="G140" s="122">
        <v>406</v>
      </c>
      <c r="H140" s="122">
        <v>2069</v>
      </c>
      <c r="I140" s="122">
        <v>80157</v>
      </c>
      <c r="J140" s="122">
        <v>72870</v>
      </c>
      <c r="K140" s="122">
        <v>82</v>
      </c>
      <c r="L140" s="122">
        <v>23056</v>
      </c>
      <c r="M140" s="122">
        <v>20110</v>
      </c>
      <c r="N140" s="122">
        <v>9566</v>
      </c>
      <c r="O140" s="122">
        <v>3543</v>
      </c>
      <c r="P140" s="122">
        <v>2835</v>
      </c>
      <c r="Q140" s="122">
        <v>1050</v>
      </c>
      <c r="R140" s="122">
        <v>16096</v>
      </c>
      <c r="S140" s="122">
        <v>14633</v>
      </c>
      <c r="T140" s="122">
        <v>8638</v>
      </c>
      <c r="U140" s="122">
        <v>3199</v>
      </c>
      <c r="V140" s="122">
        <v>115405</v>
      </c>
      <c r="W140" s="122">
        <f t="shared" si="4"/>
        <v>115405</v>
      </c>
      <c r="X140" s="122">
        <f t="shared" si="5"/>
        <v>140348</v>
      </c>
      <c r="Y140" s="122"/>
      <c r="AA140" t="s">
        <v>54</v>
      </c>
      <c r="AB140" t="s">
        <v>405</v>
      </c>
      <c r="AC140" t="s">
        <v>566</v>
      </c>
      <c r="AD140" t="s">
        <v>407</v>
      </c>
      <c r="AE140" t="s">
        <v>566</v>
      </c>
      <c r="AF140">
        <v>1</v>
      </c>
      <c r="AG140">
        <v>67</v>
      </c>
      <c r="AH140">
        <v>142</v>
      </c>
      <c r="AI140" s="122">
        <v>5333</v>
      </c>
      <c r="AJ140" s="122">
        <v>4848</v>
      </c>
      <c r="AK140">
        <v>90</v>
      </c>
      <c r="AL140">
        <v>0</v>
      </c>
      <c r="AM140">
        <v>0</v>
      </c>
      <c r="AN140" s="122">
        <v>1636</v>
      </c>
      <c r="AO140">
        <v>606</v>
      </c>
      <c r="AP140">
        <v>473</v>
      </c>
      <c r="AQ140">
        <v>175</v>
      </c>
      <c r="AR140" s="122">
        <v>2116</v>
      </c>
      <c r="AS140" s="122">
        <v>1924</v>
      </c>
      <c r="AT140">
        <v>0</v>
      </c>
      <c r="AU140">
        <v>0</v>
      </c>
      <c r="AV140" s="122">
        <v>7553</v>
      </c>
    </row>
    <row r="141" spans="2:48">
      <c r="B141" t="s">
        <v>432</v>
      </c>
      <c r="C141" t="s">
        <v>60</v>
      </c>
      <c r="D141" t="s">
        <v>556</v>
      </c>
      <c r="E141" t="s">
        <v>556</v>
      </c>
      <c r="F141">
        <v>11</v>
      </c>
      <c r="G141">
        <v>546</v>
      </c>
      <c r="H141" s="122">
        <v>3666</v>
      </c>
      <c r="I141" s="122">
        <v>87865</v>
      </c>
      <c r="J141" s="122">
        <v>73221</v>
      </c>
      <c r="K141" s="122">
        <v>60</v>
      </c>
      <c r="L141" s="122">
        <v>11282</v>
      </c>
      <c r="M141" s="122">
        <v>4178</v>
      </c>
      <c r="N141" s="122">
        <v>10725</v>
      </c>
      <c r="O141" s="122">
        <v>3972</v>
      </c>
      <c r="P141" s="122">
        <v>3861</v>
      </c>
      <c r="Q141" s="122">
        <v>1430</v>
      </c>
      <c r="R141" s="122">
        <v>49091</v>
      </c>
      <c r="S141" s="122">
        <v>40909</v>
      </c>
      <c r="T141" s="122">
        <v>19670</v>
      </c>
      <c r="U141" s="122">
        <v>7285</v>
      </c>
      <c r="V141" s="122">
        <v>130995</v>
      </c>
      <c r="W141" s="122">
        <f t="shared" si="4"/>
        <v>130995</v>
      </c>
      <c r="X141" s="122">
        <f t="shared" si="5"/>
        <v>182494</v>
      </c>
      <c r="Y141" s="122"/>
      <c r="AA141" t="s">
        <v>54</v>
      </c>
      <c r="AB141" t="s">
        <v>137</v>
      </c>
      <c r="AC141" t="s">
        <v>425</v>
      </c>
      <c r="AD141" t="s">
        <v>137</v>
      </c>
      <c r="AE141" t="s">
        <v>566</v>
      </c>
      <c r="AF141">
        <v>1</v>
      </c>
      <c r="AG141">
        <v>281</v>
      </c>
      <c r="AH141">
        <v>140</v>
      </c>
      <c r="AI141" s="122">
        <v>22403</v>
      </c>
      <c r="AJ141" s="122">
        <v>8297</v>
      </c>
      <c r="AK141">
        <v>250</v>
      </c>
      <c r="AL141" s="122">
        <v>4024</v>
      </c>
      <c r="AM141" s="122">
        <v>3658</v>
      </c>
      <c r="AN141" s="122">
        <v>3837</v>
      </c>
      <c r="AO141" s="122">
        <v>1421</v>
      </c>
      <c r="AP141" s="122">
        <v>4623</v>
      </c>
      <c r="AQ141" s="122">
        <v>1712</v>
      </c>
      <c r="AR141" s="122">
        <v>4438</v>
      </c>
      <c r="AS141" s="122">
        <v>1644</v>
      </c>
      <c r="AT141">
        <v>0</v>
      </c>
      <c r="AU141">
        <v>0</v>
      </c>
      <c r="AV141" s="122">
        <v>16733</v>
      </c>
    </row>
    <row r="142" spans="2:48">
      <c r="B142" t="s">
        <v>432</v>
      </c>
      <c r="C142" t="s">
        <v>60</v>
      </c>
      <c r="D142" t="s">
        <v>426</v>
      </c>
      <c r="E142" t="s">
        <v>426</v>
      </c>
      <c r="F142" s="122">
        <v>4</v>
      </c>
      <c r="G142" s="122">
        <v>222</v>
      </c>
      <c r="H142" s="122">
        <v>1340</v>
      </c>
      <c r="I142" s="122">
        <v>42408</v>
      </c>
      <c r="J142" s="122">
        <v>38553</v>
      </c>
      <c r="K142" s="122">
        <v>58</v>
      </c>
      <c r="L142" s="122">
        <v>4163</v>
      </c>
      <c r="M142" s="122">
        <v>2902</v>
      </c>
      <c r="N142" s="122">
        <v>5087</v>
      </c>
      <c r="O142" s="122">
        <v>1884</v>
      </c>
      <c r="P142" s="122">
        <v>2025</v>
      </c>
      <c r="Q142" s="122">
        <v>750</v>
      </c>
      <c r="R142" s="122">
        <v>15870</v>
      </c>
      <c r="S142" s="122">
        <v>14427</v>
      </c>
      <c r="T142" s="122">
        <v>6656</v>
      </c>
      <c r="U142" s="122">
        <v>2465</v>
      </c>
      <c r="V142" s="122">
        <v>60982</v>
      </c>
      <c r="W142" s="122">
        <f t="shared" si="4"/>
        <v>60981</v>
      </c>
      <c r="X142" s="122">
        <f t="shared" si="5"/>
        <v>76209</v>
      </c>
      <c r="Y142" s="122"/>
      <c r="AA142" t="s">
        <v>54</v>
      </c>
      <c r="AB142" t="s">
        <v>137</v>
      </c>
      <c r="AC142" t="s">
        <v>137</v>
      </c>
      <c r="AD142" t="s">
        <v>137</v>
      </c>
      <c r="AE142" t="s">
        <v>137</v>
      </c>
      <c r="AF142">
        <v>34</v>
      </c>
      <c r="AG142" s="122">
        <v>2250</v>
      </c>
      <c r="AH142" s="122">
        <v>4675</v>
      </c>
      <c r="AI142" s="122">
        <v>65837</v>
      </c>
      <c r="AJ142" s="122">
        <v>24384</v>
      </c>
      <c r="AK142">
        <v>195</v>
      </c>
      <c r="AL142" s="122">
        <v>17741</v>
      </c>
      <c r="AM142" s="122">
        <v>6571</v>
      </c>
      <c r="AN142" s="122">
        <v>39974</v>
      </c>
      <c r="AO142" s="122">
        <v>14805</v>
      </c>
      <c r="AP142" s="122">
        <v>6056</v>
      </c>
      <c r="AQ142" s="122">
        <v>2243</v>
      </c>
      <c r="AR142" s="122">
        <v>151502</v>
      </c>
      <c r="AS142" s="122">
        <v>56112</v>
      </c>
      <c r="AT142" s="122">
        <v>29286</v>
      </c>
      <c r="AU142" s="122">
        <v>10847</v>
      </c>
      <c r="AV142" s="122">
        <v>114961</v>
      </c>
    </row>
    <row r="143" spans="2:48">
      <c r="B143" t="s">
        <v>432</v>
      </c>
      <c r="C143" t="s">
        <v>62</v>
      </c>
      <c r="E143" s="122"/>
      <c r="F143" s="122">
        <v>4</v>
      </c>
      <c r="G143" s="122">
        <v>128</v>
      </c>
      <c r="H143" s="122">
        <v>1697</v>
      </c>
      <c r="I143" s="122"/>
      <c r="J143" s="122">
        <v>0</v>
      </c>
      <c r="K143" s="122"/>
      <c r="L143" s="122"/>
      <c r="M143" s="122">
        <v>0</v>
      </c>
      <c r="N143" s="122">
        <v>2939</v>
      </c>
      <c r="O143" s="122">
        <v>1089</v>
      </c>
      <c r="P143" s="122">
        <v>2484</v>
      </c>
      <c r="Q143" s="122">
        <v>920</v>
      </c>
      <c r="R143" s="122"/>
      <c r="S143" s="122">
        <v>0</v>
      </c>
      <c r="T143" s="122">
        <v>0</v>
      </c>
      <c r="U143" s="122">
        <v>0</v>
      </c>
      <c r="V143" s="122">
        <v>2009</v>
      </c>
      <c r="W143" s="122">
        <f t="shared" si="4"/>
        <v>2009</v>
      </c>
      <c r="X143" s="122">
        <f t="shared" si="5"/>
        <v>5423</v>
      </c>
      <c r="Y143" s="122"/>
      <c r="AA143" t="s">
        <v>54</v>
      </c>
      <c r="AB143" t="s">
        <v>137</v>
      </c>
      <c r="AC143" t="s">
        <v>137</v>
      </c>
      <c r="AD143" t="s">
        <v>137</v>
      </c>
      <c r="AE143" t="s">
        <v>566</v>
      </c>
      <c r="AF143">
        <v>672</v>
      </c>
      <c r="AG143" s="122">
        <v>53080</v>
      </c>
      <c r="AH143" s="122">
        <v>94868</v>
      </c>
      <c r="AI143" s="122">
        <v>1748378</v>
      </c>
      <c r="AJ143" s="122">
        <v>647547</v>
      </c>
      <c r="AK143">
        <v>105</v>
      </c>
      <c r="AL143" s="122">
        <v>338761</v>
      </c>
      <c r="AM143" s="122">
        <v>125467</v>
      </c>
      <c r="AN143" s="122">
        <v>1035381</v>
      </c>
      <c r="AO143" s="122">
        <v>383474</v>
      </c>
      <c r="AP143" s="122">
        <v>23311</v>
      </c>
      <c r="AQ143" s="122">
        <v>8634</v>
      </c>
      <c r="AR143" s="122">
        <v>4343165</v>
      </c>
      <c r="AS143" s="122">
        <v>1608580</v>
      </c>
      <c r="AT143">
        <v>0</v>
      </c>
      <c r="AU143">
        <v>0</v>
      </c>
      <c r="AV143" s="122">
        <v>2773702</v>
      </c>
    </row>
    <row r="144" spans="2:48">
      <c r="B144" t="s">
        <v>432</v>
      </c>
      <c r="C144" t="s">
        <v>62</v>
      </c>
      <c r="D144" t="s">
        <v>137</v>
      </c>
      <c r="E144" t="s">
        <v>137</v>
      </c>
      <c r="F144">
        <v>77</v>
      </c>
      <c r="G144" s="122">
        <v>4851</v>
      </c>
      <c r="H144" s="122">
        <v>31779</v>
      </c>
      <c r="I144" s="122">
        <v>1242325</v>
      </c>
      <c r="J144" s="122">
        <v>460120</v>
      </c>
      <c r="K144" s="122">
        <v>100</v>
      </c>
      <c r="L144" s="122">
        <v>152642</v>
      </c>
      <c r="M144" s="122">
        <v>67108</v>
      </c>
      <c r="N144" s="122">
        <v>101997</v>
      </c>
      <c r="O144" s="122">
        <v>37777</v>
      </c>
      <c r="P144">
        <v>702</v>
      </c>
      <c r="Q144" s="122">
        <v>260</v>
      </c>
      <c r="R144" s="122">
        <v>499700</v>
      </c>
      <c r="S144" s="122">
        <v>185074</v>
      </c>
      <c r="T144" s="122">
        <v>1568</v>
      </c>
      <c r="U144" s="122">
        <v>581</v>
      </c>
      <c r="V144" s="122">
        <v>750919</v>
      </c>
      <c r="W144" s="122">
        <f t="shared" si="4"/>
        <v>750920</v>
      </c>
      <c r="X144" s="122">
        <f t="shared" si="5"/>
        <v>1998934</v>
      </c>
      <c r="Y144" s="122"/>
      <c r="AA144" t="s">
        <v>54</v>
      </c>
      <c r="AB144" t="s">
        <v>137</v>
      </c>
      <c r="AC144" t="s">
        <v>137</v>
      </c>
      <c r="AD144" t="s">
        <v>426</v>
      </c>
      <c r="AE144" t="s">
        <v>566</v>
      </c>
      <c r="AF144">
        <v>1</v>
      </c>
      <c r="AG144">
        <v>75</v>
      </c>
      <c r="AH144">
        <v>146</v>
      </c>
      <c r="AI144" s="122">
        <v>7208</v>
      </c>
      <c r="AJ144" s="122">
        <v>2670</v>
      </c>
      <c r="AK144">
        <v>100</v>
      </c>
      <c r="AL144">
        <v>0</v>
      </c>
      <c r="AM144">
        <v>0</v>
      </c>
      <c r="AN144" s="122">
        <v>1279</v>
      </c>
      <c r="AO144">
        <v>474</v>
      </c>
      <c r="AP144">
        <v>0</v>
      </c>
      <c r="AQ144">
        <v>0</v>
      </c>
      <c r="AR144" s="122">
        <v>2450</v>
      </c>
      <c r="AS144" s="122">
        <v>2227</v>
      </c>
      <c r="AT144">
        <v>0</v>
      </c>
      <c r="AU144">
        <v>0</v>
      </c>
      <c r="AV144" s="122">
        <v>5370</v>
      </c>
    </row>
    <row r="145" spans="2:48">
      <c r="B145" t="s">
        <v>432</v>
      </c>
      <c r="C145" t="s">
        <v>62</v>
      </c>
      <c r="D145" t="s">
        <v>137</v>
      </c>
      <c r="E145" t="s">
        <v>426</v>
      </c>
      <c r="F145">
        <v>1</v>
      </c>
      <c r="G145">
        <v>59</v>
      </c>
      <c r="H145" s="122">
        <v>418</v>
      </c>
      <c r="I145" s="122">
        <v>15219</v>
      </c>
      <c r="J145" s="122">
        <v>5637</v>
      </c>
      <c r="K145" s="122">
        <v>100</v>
      </c>
      <c r="L145" s="122">
        <v>1253</v>
      </c>
      <c r="M145" s="122">
        <v>1139</v>
      </c>
      <c r="N145" s="122">
        <v>1124</v>
      </c>
      <c r="O145" s="122">
        <v>416</v>
      </c>
      <c r="P145" s="122">
        <v>0</v>
      </c>
      <c r="Q145" s="122">
        <v>0</v>
      </c>
      <c r="R145" s="122">
        <v>4853</v>
      </c>
      <c r="S145" s="122">
        <v>4412</v>
      </c>
      <c r="T145" s="122">
        <v>2140</v>
      </c>
      <c r="U145" s="122">
        <v>793</v>
      </c>
      <c r="V145" s="122">
        <v>12396</v>
      </c>
      <c r="W145" s="122">
        <f t="shared" si="4"/>
        <v>12397</v>
      </c>
      <c r="X145" s="122">
        <f t="shared" si="5"/>
        <v>24589</v>
      </c>
      <c r="Y145" s="122"/>
      <c r="AA145" t="s">
        <v>54</v>
      </c>
      <c r="AB145" t="s">
        <v>137</v>
      </c>
      <c r="AC145" t="s">
        <v>580</v>
      </c>
      <c r="AD145" t="s">
        <v>137</v>
      </c>
      <c r="AE145" t="s">
        <v>566</v>
      </c>
      <c r="AF145">
        <v>2</v>
      </c>
      <c r="AG145">
        <v>119</v>
      </c>
      <c r="AH145">
        <v>267</v>
      </c>
      <c r="AI145" s="122">
        <v>2985</v>
      </c>
      <c r="AJ145" s="122">
        <v>1106</v>
      </c>
      <c r="AK145">
        <v>361</v>
      </c>
      <c r="AL145">
        <v>641</v>
      </c>
      <c r="AM145">
        <v>583</v>
      </c>
      <c r="AN145" s="122">
        <v>2731</v>
      </c>
      <c r="AO145" s="122">
        <v>1011</v>
      </c>
      <c r="AP145" s="122">
        <v>1242</v>
      </c>
      <c r="AQ145">
        <v>460</v>
      </c>
      <c r="AR145" s="122">
        <v>8306</v>
      </c>
      <c r="AS145" s="122">
        <v>3076</v>
      </c>
      <c r="AT145">
        <v>0</v>
      </c>
      <c r="AU145">
        <v>0</v>
      </c>
      <c r="AV145" s="122">
        <v>6236</v>
      </c>
    </row>
    <row r="146" spans="2:48">
      <c r="B146" t="s">
        <v>432</v>
      </c>
      <c r="C146" t="s">
        <v>62</v>
      </c>
      <c r="D146" t="s">
        <v>406</v>
      </c>
      <c r="E146" t="s">
        <v>137</v>
      </c>
      <c r="F146" s="122">
        <v>1</v>
      </c>
      <c r="G146" s="122">
        <v>115</v>
      </c>
      <c r="H146" s="122">
        <v>422</v>
      </c>
      <c r="I146" s="122">
        <v>30642</v>
      </c>
      <c r="J146" s="122">
        <v>27856</v>
      </c>
      <c r="K146" s="122">
        <v>86</v>
      </c>
      <c r="L146" s="122">
        <v>9238</v>
      </c>
      <c r="M146" s="122">
        <v>8398</v>
      </c>
      <c r="N146" s="122">
        <v>2557</v>
      </c>
      <c r="O146" s="122">
        <v>947</v>
      </c>
      <c r="P146">
        <v>621</v>
      </c>
      <c r="Q146" s="122">
        <v>230</v>
      </c>
      <c r="R146" s="122">
        <v>5596</v>
      </c>
      <c r="S146" s="122">
        <v>2073</v>
      </c>
      <c r="T146">
        <v>0</v>
      </c>
      <c r="U146" s="122">
        <v>0</v>
      </c>
      <c r="V146" s="122">
        <v>39504</v>
      </c>
      <c r="W146" s="122">
        <f t="shared" si="4"/>
        <v>39504</v>
      </c>
      <c r="X146" s="122">
        <f t="shared" si="5"/>
        <v>48654</v>
      </c>
      <c r="Y146" s="122"/>
      <c r="AA146" t="s">
        <v>54</v>
      </c>
      <c r="AB146" t="s">
        <v>137</v>
      </c>
      <c r="AC146" t="s">
        <v>580</v>
      </c>
      <c r="AD146" t="s">
        <v>406</v>
      </c>
      <c r="AE146" t="s">
        <v>566</v>
      </c>
      <c r="AF146">
        <v>1</v>
      </c>
      <c r="AG146">
        <v>199</v>
      </c>
      <c r="AH146">
        <v>134</v>
      </c>
      <c r="AI146" s="122">
        <v>16294</v>
      </c>
      <c r="AJ146" s="122">
        <v>6035</v>
      </c>
      <c r="AK146">
        <v>342</v>
      </c>
      <c r="AL146" s="122">
        <v>2061</v>
      </c>
      <c r="AM146" s="122">
        <v>1874</v>
      </c>
      <c r="AN146" s="122">
        <v>2427</v>
      </c>
      <c r="AO146">
        <v>899</v>
      </c>
      <c r="AP146">
        <v>972</v>
      </c>
      <c r="AQ146">
        <v>360</v>
      </c>
      <c r="AR146" s="122">
        <v>4936</v>
      </c>
      <c r="AS146" s="122">
        <v>4487</v>
      </c>
      <c r="AT146">
        <v>0</v>
      </c>
      <c r="AU146">
        <v>0</v>
      </c>
      <c r="AV146" s="122">
        <v>13655</v>
      </c>
    </row>
    <row r="147" spans="2:48">
      <c r="B147" t="s">
        <v>432</v>
      </c>
      <c r="C147" t="s">
        <v>62</v>
      </c>
      <c r="D147" t="s">
        <v>406</v>
      </c>
      <c r="E147" t="s">
        <v>406</v>
      </c>
      <c r="F147">
        <v>4</v>
      </c>
      <c r="G147">
        <v>275</v>
      </c>
      <c r="H147" s="122">
        <v>1637</v>
      </c>
      <c r="I147" s="122">
        <v>76620</v>
      </c>
      <c r="J147" s="122">
        <v>69655</v>
      </c>
      <c r="K147" s="122">
        <v>81</v>
      </c>
      <c r="L147" s="122">
        <v>18119</v>
      </c>
      <c r="M147" s="122">
        <v>11292</v>
      </c>
      <c r="N147" s="122">
        <v>6138</v>
      </c>
      <c r="O147" s="122">
        <v>2273</v>
      </c>
      <c r="P147" s="122">
        <v>2484</v>
      </c>
      <c r="Q147" s="122">
        <v>920</v>
      </c>
      <c r="R147" s="122">
        <v>12871</v>
      </c>
      <c r="S147" s="122">
        <v>11701</v>
      </c>
      <c r="T147" s="122">
        <v>8224</v>
      </c>
      <c r="U147" s="122">
        <v>3046</v>
      </c>
      <c r="V147" s="122">
        <v>98887</v>
      </c>
      <c r="W147" s="122">
        <f t="shared" si="4"/>
        <v>98887</v>
      </c>
      <c r="X147" s="122">
        <f t="shared" si="5"/>
        <v>124456</v>
      </c>
      <c r="Y147" s="122"/>
      <c r="AA147" t="s">
        <v>54</v>
      </c>
      <c r="AB147" t="s">
        <v>137</v>
      </c>
      <c r="AC147" t="s">
        <v>407</v>
      </c>
      <c r="AD147" t="s">
        <v>137</v>
      </c>
      <c r="AE147" t="s">
        <v>566</v>
      </c>
      <c r="AF147">
        <v>11</v>
      </c>
      <c r="AG147">
        <v>957</v>
      </c>
      <c r="AH147" s="122">
        <v>1519</v>
      </c>
      <c r="AI147" s="122">
        <v>47231</v>
      </c>
      <c r="AJ147" s="122">
        <v>17493</v>
      </c>
      <c r="AK147">
        <v>250</v>
      </c>
      <c r="AL147" s="122">
        <v>6027</v>
      </c>
      <c r="AM147" s="122">
        <v>5479</v>
      </c>
      <c r="AN147" s="122">
        <v>13934</v>
      </c>
      <c r="AO147" s="122">
        <v>5161</v>
      </c>
      <c r="AP147" s="122">
        <v>8349</v>
      </c>
      <c r="AQ147" s="122">
        <v>3092</v>
      </c>
      <c r="AR147" s="122">
        <v>56351</v>
      </c>
      <c r="AS147" s="122">
        <v>20871</v>
      </c>
      <c r="AT147">
        <v>0</v>
      </c>
      <c r="AU147">
        <v>0</v>
      </c>
      <c r="AV147" s="122">
        <v>52095</v>
      </c>
    </row>
    <row r="148" spans="2:48">
      <c r="B148" t="s">
        <v>432</v>
      </c>
      <c r="C148" t="s">
        <v>62</v>
      </c>
      <c r="D148" t="s">
        <v>407</v>
      </c>
      <c r="E148" t="s">
        <v>407</v>
      </c>
      <c r="F148" s="122">
        <v>2</v>
      </c>
      <c r="G148" s="122">
        <v>168</v>
      </c>
      <c r="H148" s="122">
        <v>818</v>
      </c>
      <c r="I148" s="122">
        <v>47671</v>
      </c>
      <c r="J148" s="122">
        <v>43337</v>
      </c>
      <c r="K148" s="122">
        <v>79</v>
      </c>
      <c r="L148" s="122">
        <v>4898</v>
      </c>
      <c r="M148" s="122">
        <v>4452</v>
      </c>
      <c r="N148" s="122">
        <v>3277</v>
      </c>
      <c r="O148" s="122">
        <v>1214</v>
      </c>
      <c r="P148" s="122">
        <v>945</v>
      </c>
      <c r="Q148" s="122">
        <v>350</v>
      </c>
      <c r="R148" s="122">
        <v>6886</v>
      </c>
      <c r="S148" s="122">
        <v>6260</v>
      </c>
      <c r="T148" s="122">
        <v>4101</v>
      </c>
      <c r="U148" s="122">
        <v>1519</v>
      </c>
      <c r="V148" s="122">
        <v>57132</v>
      </c>
      <c r="W148" s="122">
        <f t="shared" si="4"/>
        <v>57132</v>
      </c>
      <c r="X148" s="122">
        <f t="shared" si="5"/>
        <v>67778</v>
      </c>
      <c r="Y148" s="122"/>
      <c r="AA148" t="s">
        <v>54</v>
      </c>
      <c r="AB148" t="s">
        <v>137</v>
      </c>
      <c r="AC148" t="s">
        <v>579</v>
      </c>
      <c r="AD148" t="s">
        <v>137</v>
      </c>
      <c r="AE148" t="s">
        <v>566</v>
      </c>
      <c r="AF148">
        <v>22</v>
      </c>
      <c r="AG148" s="122">
        <v>1118</v>
      </c>
      <c r="AH148" s="122">
        <v>3101</v>
      </c>
      <c r="AI148" s="122">
        <v>32935</v>
      </c>
      <c r="AJ148" s="122">
        <v>12198</v>
      </c>
      <c r="AK148">
        <v>362</v>
      </c>
      <c r="AL148" s="122">
        <v>10550</v>
      </c>
      <c r="AM148" s="122">
        <v>8792</v>
      </c>
      <c r="AN148" s="122">
        <v>17367</v>
      </c>
      <c r="AO148" s="122">
        <v>6432</v>
      </c>
      <c r="AP148" s="122">
        <v>8192</v>
      </c>
      <c r="AQ148" s="122">
        <v>3034</v>
      </c>
      <c r="AR148" s="122">
        <v>87854</v>
      </c>
      <c r="AS148" s="122">
        <v>32539</v>
      </c>
      <c r="AT148">
        <v>0</v>
      </c>
      <c r="AU148">
        <v>0</v>
      </c>
      <c r="AV148" s="122">
        <v>62994</v>
      </c>
    </row>
    <row r="149" spans="2:48">
      <c r="B149" t="s">
        <v>432</v>
      </c>
      <c r="C149" t="s">
        <v>62</v>
      </c>
      <c r="D149" t="s">
        <v>556</v>
      </c>
      <c r="E149" t="s">
        <v>556</v>
      </c>
      <c r="F149" s="122">
        <v>5</v>
      </c>
      <c r="G149">
        <v>249</v>
      </c>
      <c r="H149" s="122">
        <v>2001</v>
      </c>
      <c r="I149" s="122">
        <v>58315</v>
      </c>
      <c r="J149" s="122">
        <v>48596</v>
      </c>
      <c r="K149" s="122">
        <v>63</v>
      </c>
      <c r="L149" s="122">
        <v>4336</v>
      </c>
      <c r="M149" s="122">
        <v>1606</v>
      </c>
      <c r="N149" s="122">
        <v>4960</v>
      </c>
      <c r="O149" s="122">
        <v>1837</v>
      </c>
      <c r="P149" s="122">
        <v>1755</v>
      </c>
      <c r="Q149" s="122">
        <v>650</v>
      </c>
      <c r="R149" s="122">
        <v>21144</v>
      </c>
      <c r="S149" s="122">
        <v>17620</v>
      </c>
      <c r="T149" s="122">
        <v>9149</v>
      </c>
      <c r="U149" s="122">
        <v>3388</v>
      </c>
      <c r="V149" s="122">
        <v>73697</v>
      </c>
      <c r="W149" s="122">
        <f t="shared" si="4"/>
        <v>73697</v>
      </c>
      <c r="X149" s="122">
        <f t="shared" si="5"/>
        <v>99659</v>
      </c>
      <c r="Y149" s="122"/>
      <c r="AA149" t="s">
        <v>54</v>
      </c>
      <c r="AB149" t="s">
        <v>137</v>
      </c>
      <c r="AC149" t="s">
        <v>426</v>
      </c>
      <c r="AD149" t="s">
        <v>137</v>
      </c>
      <c r="AE149" t="s">
        <v>566</v>
      </c>
      <c r="AF149">
        <v>28</v>
      </c>
      <c r="AG149" s="122">
        <v>2247</v>
      </c>
      <c r="AH149" s="122">
        <v>3919</v>
      </c>
      <c r="AI149" s="122">
        <v>92206</v>
      </c>
      <c r="AJ149" s="122">
        <v>34150</v>
      </c>
      <c r="AK149">
        <v>330</v>
      </c>
      <c r="AL149" s="122">
        <v>32189</v>
      </c>
      <c r="AM149" s="122">
        <v>29263</v>
      </c>
      <c r="AN149" s="122">
        <v>42129</v>
      </c>
      <c r="AO149" s="122">
        <v>15603</v>
      </c>
      <c r="AP149" s="122">
        <v>13924</v>
      </c>
      <c r="AQ149" s="122">
        <v>5157</v>
      </c>
      <c r="AR149" s="122">
        <v>135326</v>
      </c>
      <c r="AS149" s="122">
        <v>50121</v>
      </c>
      <c r="AT149">
        <v>0</v>
      </c>
      <c r="AU149">
        <v>0</v>
      </c>
      <c r="AV149" s="122">
        <v>134295</v>
      </c>
    </row>
    <row r="150" spans="2:48">
      <c r="B150" t="s">
        <v>432</v>
      </c>
      <c r="C150" t="s">
        <v>62</v>
      </c>
      <c r="D150" t="s">
        <v>426</v>
      </c>
      <c r="E150" t="s">
        <v>137</v>
      </c>
      <c r="F150" s="122">
        <v>1</v>
      </c>
      <c r="G150" s="122">
        <v>83</v>
      </c>
      <c r="H150" s="122">
        <v>394</v>
      </c>
      <c r="I150" s="122">
        <v>9444</v>
      </c>
      <c r="J150" s="122">
        <v>8586</v>
      </c>
      <c r="K150" s="122">
        <v>60</v>
      </c>
      <c r="L150" s="122">
        <v>2099</v>
      </c>
      <c r="M150" s="122">
        <v>1908</v>
      </c>
      <c r="N150" s="122">
        <v>1016</v>
      </c>
      <c r="O150" s="122">
        <v>376</v>
      </c>
      <c r="P150">
        <v>0</v>
      </c>
      <c r="Q150" s="122">
        <v>0</v>
      </c>
      <c r="R150" s="122">
        <v>20259</v>
      </c>
      <c r="S150" s="122">
        <v>7503</v>
      </c>
      <c r="T150">
        <v>0</v>
      </c>
      <c r="U150" s="122">
        <v>0</v>
      </c>
      <c r="V150" s="122">
        <v>18373</v>
      </c>
      <c r="W150" s="122">
        <f t="shared" si="4"/>
        <v>18373</v>
      </c>
      <c r="X150" s="122">
        <f t="shared" si="5"/>
        <v>32818</v>
      </c>
      <c r="Y150" s="122"/>
      <c r="AA150" t="s">
        <v>54</v>
      </c>
      <c r="AB150" t="s">
        <v>137</v>
      </c>
      <c r="AC150" t="s">
        <v>566</v>
      </c>
      <c r="AD150" t="s">
        <v>425</v>
      </c>
      <c r="AE150" t="s">
        <v>566</v>
      </c>
      <c r="AF150">
        <v>2</v>
      </c>
      <c r="AG150">
        <v>134</v>
      </c>
      <c r="AH150">
        <v>299</v>
      </c>
      <c r="AI150" s="122">
        <v>13817</v>
      </c>
      <c r="AJ150" s="122">
        <v>5118</v>
      </c>
      <c r="AK150">
        <v>100</v>
      </c>
      <c r="AL150">
        <v>0</v>
      </c>
      <c r="AM150">
        <v>0</v>
      </c>
      <c r="AN150" s="122">
        <v>1636</v>
      </c>
      <c r="AO150">
        <v>606</v>
      </c>
      <c r="AP150">
        <v>243</v>
      </c>
      <c r="AQ150">
        <v>90</v>
      </c>
      <c r="AR150" s="122">
        <v>4403</v>
      </c>
      <c r="AS150" s="122">
        <v>4003</v>
      </c>
      <c r="AT150">
        <v>0</v>
      </c>
      <c r="AU150">
        <v>0</v>
      </c>
      <c r="AV150" s="122">
        <v>9816</v>
      </c>
    </row>
    <row r="151" spans="2:48">
      <c r="B151" t="s">
        <v>432</v>
      </c>
      <c r="C151" t="s">
        <v>64</v>
      </c>
      <c r="F151" s="122">
        <v>3</v>
      </c>
      <c r="G151" s="122">
        <v>152</v>
      </c>
      <c r="H151" s="122">
        <v>1698</v>
      </c>
      <c r="I151" s="122"/>
      <c r="J151">
        <v>0</v>
      </c>
      <c r="K151" s="122"/>
      <c r="L151" s="122"/>
      <c r="M151" s="122">
        <v>0</v>
      </c>
      <c r="N151" s="122">
        <v>3214</v>
      </c>
      <c r="O151" s="122">
        <v>1190</v>
      </c>
      <c r="P151" s="122">
        <v>1863</v>
      </c>
      <c r="Q151" s="122">
        <v>690</v>
      </c>
      <c r="R151" s="122"/>
      <c r="S151" s="122">
        <v>0</v>
      </c>
      <c r="T151" s="122">
        <v>0</v>
      </c>
      <c r="U151" s="122">
        <v>0</v>
      </c>
      <c r="V151" s="122">
        <v>1880</v>
      </c>
      <c r="W151" s="122">
        <f t="shared" si="4"/>
        <v>1880</v>
      </c>
      <c r="X151" s="122">
        <f t="shared" si="5"/>
        <v>5077</v>
      </c>
      <c r="Y151" s="122"/>
      <c r="AA151" t="s">
        <v>54</v>
      </c>
      <c r="AB151" t="s">
        <v>137</v>
      </c>
      <c r="AC151" t="s">
        <v>566</v>
      </c>
      <c r="AD151" t="s">
        <v>405</v>
      </c>
      <c r="AE151" t="s">
        <v>566</v>
      </c>
      <c r="AF151">
        <v>1</v>
      </c>
      <c r="AG151">
        <v>49</v>
      </c>
      <c r="AH151">
        <v>143</v>
      </c>
      <c r="AI151" s="122">
        <v>3331</v>
      </c>
      <c r="AJ151" s="122">
        <v>1234</v>
      </c>
      <c r="AK151">
        <v>100</v>
      </c>
      <c r="AL151">
        <v>0</v>
      </c>
      <c r="AM151">
        <v>0</v>
      </c>
      <c r="AN151">
        <v>592</v>
      </c>
      <c r="AO151">
        <v>219</v>
      </c>
      <c r="AP151">
        <v>0</v>
      </c>
      <c r="AQ151">
        <v>0</v>
      </c>
      <c r="AR151" s="122">
        <v>3021</v>
      </c>
      <c r="AS151" s="122">
        <v>2746</v>
      </c>
      <c r="AT151">
        <v>0</v>
      </c>
      <c r="AU151">
        <v>0</v>
      </c>
      <c r="AV151" s="122">
        <v>4199</v>
      </c>
    </row>
    <row r="152" spans="2:48">
      <c r="B152" t="s">
        <v>432</v>
      </c>
      <c r="C152" t="s">
        <v>64</v>
      </c>
      <c r="D152" t="s">
        <v>405</v>
      </c>
      <c r="E152" t="s">
        <v>405</v>
      </c>
      <c r="F152" s="122">
        <v>2</v>
      </c>
      <c r="G152" s="122">
        <v>172</v>
      </c>
      <c r="H152" s="122">
        <v>949</v>
      </c>
      <c r="I152" s="122">
        <v>54820</v>
      </c>
      <c r="J152" s="122">
        <v>49837</v>
      </c>
      <c r="K152" s="122">
        <v>78</v>
      </c>
      <c r="L152" s="122">
        <v>9618</v>
      </c>
      <c r="M152" s="122">
        <v>8743</v>
      </c>
      <c r="N152" s="122">
        <v>4184</v>
      </c>
      <c r="O152" s="122">
        <v>1550</v>
      </c>
      <c r="P152">
        <v>945</v>
      </c>
      <c r="Q152" s="122">
        <v>350</v>
      </c>
      <c r="R152" s="122">
        <v>8041</v>
      </c>
      <c r="S152" s="122">
        <v>7310</v>
      </c>
      <c r="T152" s="122">
        <v>2727</v>
      </c>
      <c r="U152" s="122">
        <v>1010</v>
      </c>
      <c r="V152" s="122">
        <v>68799</v>
      </c>
      <c r="W152" s="122">
        <f t="shared" si="4"/>
        <v>68800</v>
      </c>
      <c r="X152" s="122">
        <f t="shared" si="5"/>
        <v>80335</v>
      </c>
      <c r="Y152" s="122"/>
      <c r="AA152" t="s">
        <v>54</v>
      </c>
      <c r="AB152" t="s">
        <v>137</v>
      </c>
      <c r="AC152" t="s">
        <v>566</v>
      </c>
      <c r="AD152" t="s">
        <v>137</v>
      </c>
      <c r="AE152" t="s">
        <v>137</v>
      </c>
      <c r="AF152">
        <v>15</v>
      </c>
      <c r="AG152">
        <v>996</v>
      </c>
      <c r="AH152" s="122">
        <v>2096</v>
      </c>
      <c r="AI152" s="122">
        <v>36876</v>
      </c>
      <c r="AJ152" s="122">
        <v>13658</v>
      </c>
      <c r="AK152">
        <v>118</v>
      </c>
      <c r="AL152">
        <v>0</v>
      </c>
      <c r="AM152">
        <v>99</v>
      </c>
      <c r="AN152" s="122">
        <v>16218</v>
      </c>
      <c r="AO152" s="122">
        <v>6007</v>
      </c>
      <c r="AP152">
        <v>702</v>
      </c>
      <c r="AQ152">
        <v>260</v>
      </c>
      <c r="AR152" s="122">
        <v>83715</v>
      </c>
      <c r="AS152" s="122">
        <v>31005</v>
      </c>
      <c r="AT152" s="122">
        <v>2206</v>
      </c>
      <c r="AU152">
        <v>817</v>
      </c>
      <c r="AV152" s="122">
        <v>51846</v>
      </c>
    </row>
    <row r="153" spans="2:48">
      <c r="B153" t="s">
        <v>432</v>
      </c>
      <c r="C153" t="s">
        <v>64</v>
      </c>
      <c r="D153" t="s">
        <v>137</v>
      </c>
      <c r="E153" t="s">
        <v>137</v>
      </c>
      <c r="F153" s="122">
        <v>128</v>
      </c>
      <c r="G153" s="122">
        <v>7259</v>
      </c>
      <c r="H153" s="122">
        <v>76021</v>
      </c>
      <c r="I153" s="122">
        <v>3098036</v>
      </c>
      <c r="J153" s="122">
        <v>1147421</v>
      </c>
      <c r="K153" s="122">
        <v>100</v>
      </c>
      <c r="L153" s="122">
        <v>287171</v>
      </c>
      <c r="M153" s="122">
        <v>140273</v>
      </c>
      <c r="N153" s="122">
        <v>150522</v>
      </c>
      <c r="O153" s="122">
        <v>55749</v>
      </c>
      <c r="P153">
        <v>0</v>
      </c>
      <c r="Q153" s="122">
        <v>0</v>
      </c>
      <c r="R153" s="122">
        <v>808573</v>
      </c>
      <c r="S153" s="122">
        <v>299472</v>
      </c>
      <c r="T153" s="122">
        <v>1455</v>
      </c>
      <c r="U153" s="122">
        <v>539</v>
      </c>
      <c r="V153" s="122">
        <v>1643453</v>
      </c>
      <c r="W153" s="122">
        <f t="shared" si="4"/>
        <v>1643454</v>
      </c>
      <c r="X153" s="122">
        <f t="shared" si="5"/>
        <v>4345757</v>
      </c>
      <c r="Y153" s="122"/>
      <c r="AA153" t="s">
        <v>54</v>
      </c>
      <c r="AB153" t="s">
        <v>137</v>
      </c>
      <c r="AC153" t="s">
        <v>566</v>
      </c>
      <c r="AD153" t="s">
        <v>137</v>
      </c>
      <c r="AE153" t="s">
        <v>566</v>
      </c>
      <c r="AF153">
        <v>322</v>
      </c>
      <c r="AG153" s="122">
        <v>22376</v>
      </c>
      <c r="AH153" s="122">
        <v>44814</v>
      </c>
      <c r="AI153" s="122">
        <v>877119</v>
      </c>
      <c r="AJ153" s="122">
        <v>324859</v>
      </c>
      <c r="AK153">
        <v>175</v>
      </c>
      <c r="AL153">
        <v>0</v>
      </c>
      <c r="AM153" s="122">
        <v>4629</v>
      </c>
      <c r="AN153" s="122">
        <v>361997</v>
      </c>
      <c r="AO153" s="122">
        <v>134073</v>
      </c>
      <c r="AP153" s="122">
        <v>36817</v>
      </c>
      <c r="AQ153" s="122">
        <v>13636</v>
      </c>
      <c r="AR153" s="122">
        <v>1846205</v>
      </c>
      <c r="AS153" s="122">
        <v>683780</v>
      </c>
      <c r="AT153">
        <v>0</v>
      </c>
      <c r="AU153">
        <v>0</v>
      </c>
      <c r="AV153" s="122">
        <v>1160977</v>
      </c>
    </row>
    <row r="154" spans="2:48">
      <c r="B154" t="s">
        <v>432</v>
      </c>
      <c r="C154" t="s">
        <v>64</v>
      </c>
      <c r="D154" t="s">
        <v>137</v>
      </c>
      <c r="E154" t="s">
        <v>556</v>
      </c>
      <c r="F154">
        <v>1</v>
      </c>
      <c r="G154">
        <v>60</v>
      </c>
      <c r="H154" s="122">
        <v>834</v>
      </c>
      <c r="I154" s="122">
        <v>33239</v>
      </c>
      <c r="J154" s="122">
        <v>12311</v>
      </c>
      <c r="K154" s="122">
        <v>100</v>
      </c>
      <c r="L154" s="122">
        <v>7797</v>
      </c>
      <c r="M154" s="122">
        <v>6497</v>
      </c>
      <c r="N154" s="122">
        <v>1099</v>
      </c>
      <c r="O154">
        <v>407</v>
      </c>
      <c r="P154">
        <v>0</v>
      </c>
      <c r="Q154" s="122">
        <v>0</v>
      </c>
      <c r="R154" s="122">
        <v>7981</v>
      </c>
      <c r="S154" s="122">
        <v>6651</v>
      </c>
      <c r="T154">
        <v>0</v>
      </c>
      <c r="U154" s="122">
        <v>0</v>
      </c>
      <c r="V154" s="122">
        <v>25866</v>
      </c>
      <c r="W154" s="122">
        <f t="shared" si="4"/>
        <v>25866</v>
      </c>
      <c r="X154" s="122">
        <f t="shared" si="5"/>
        <v>50116</v>
      </c>
      <c r="Y154" s="122"/>
      <c r="AA154" t="s">
        <v>54</v>
      </c>
      <c r="AB154" t="s">
        <v>137</v>
      </c>
      <c r="AC154" t="s">
        <v>566</v>
      </c>
      <c r="AD154" t="s">
        <v>406</v>
      </c>
      <c r="AE154" t="s">
        <v>566</v>
      </c>
      <c r="AF154">
        <v>20</v>
      </c>
      <c r="AG154" s="122">
        <v>1552</v>
      </c>
      <c r="AH154" s="122">
        <v>2828</v>
      </c>
      <c r="AI154" s="122">
        <v>111255</v>
      </c>
      <c r="AJ154" s="122">
        <v>41205</v>
      </c>
      <c r="AK154">
        <v>100</v>
      </c>
      <c r="AL154">
        <v>0</v>
      </c>
      <c r="AM154">
        <v>0</v>
      </c>
      <c r="AN154" s="122">
        <v>36983</v>
      </c>
      <c r="AO154" s="122">
        <v>13697</v>
      </c>
      <c r="AP154">
        <v>0</v>
      </c>
      <c r="AQ154">
        <v>0</v>
      </c>
      <c r="AR154" s="122">
        <v>71247</v>
      </c>
      <c r="AS154" s="122">
        <v>64770</v>
      </c>
      <c r="AT154">
        <v>0</v>
      </c>
      <c r="AU154">
        <v>0</v>
      </c>
      <c r="AV154" s="122">
        <v>119673</v>
      </c>
    </row>
    <row r="155" spans="2:48">
      <c r="B155" t="s">
        <v>432</v>
      </c>
      <c r="C155" t="s">
        <v>64</v>
      </c>
      <c r="D155" t="s">
        <v>406</v>
      </c>
      <c r="E155" t="s">
        <v>406</v>
      </c>
      <c r="F155" s="122">
        <v>4</v>
      </c>
      <c r="G155" s="122">
        <v>322</v>
      </c>
      <c r="H155" s="122">
        <v>2023</v>
      </c>
      <c r="I155" s="122">
        <v>119929</v>
      </c>
      <c r="J155" s="122">
        <v>109027</v>
      </c>
      <c r="K155" s="122">
        <v>77</v>
      </c>
      <c r="L155" s="122">
        <v>16346</v>
      </c>
      <c r="M155" s="122">
        <v>14606</v>
      </c>
      <c r="N155" s="122">
        <v>6572</v>
      </c>
      <c r="O155" s="122">
        <v>2434</v>
      </c>
      <c r="P155" s="122">
        <v>3186</v>
      </c>
      <c r="Q155" s="122">
        <v>1180</v>
      </c>
      <c r="R155" s="122">
        <v>17966</v>
      </c>
      <c r="S155" s="122">
        <v>16333</v>
      </c>
      <c r="T155" s="122">
        <v>3662</v>
      </c>
      <c r="U155" s="122">
        <v>1356</v>
      </c>
      <c r="V155" s="122">
        <v>144936</v>
      </c>
      <c r="W155" s="122">
        <f t="shared" si="4"/>
        <v>144936</v>
      </c>
      <c r="X155" s="122">
        <f t="shared" si="5"/>
        <v>167661</v>
      </c>
      <c r="Y155" s="122"/>
      <c r="AA155" t="s">
        <v>54</v>
      </c>
      <c r="AB155" t="s">
        <v>137</v>
      </c>
      <c r="AC155" t="s">
        <v>433</v>
      </c>
      <c r="AD155" t="s">
        <v>137</v>
      </c>
      <c r="AE155" t="s">
        <v>566</v>
      </c>
      <c r="AF155">
        <v>1</v>
      </c>
      <c r="AG155">
        <v>178</v>
      </c>
      <c r="AH155">
        <v>141</v>
      </c>
      <c r="AI155" s="122">
        <v>16813</v>
      </c>
      <c r="AJ155" s="122">
        <v>6227</v>
      </c>
      <c r="AK155">
        <v>250</v>
      </c>
      <c r="AL155" s="122">
        <v>2049</v>
      </c>
      <c r="AM155" s="122">
        <v>1863</v>
      </c>
      <c r="AN155" s="122">
        <v>2586</v>
      </c>
      <c r="AO155">
        <v>958</v>
      </c>
      <c r="AP155">
        <v>0</v>
      </c>
      <c r="AQ155">
        <v>0</v>
      </c>
      <c r="AR155" s="122">
        <v>8404</v>
      </c>
      <c r="AS155" s="122">
        <v>3113</v>
      </c>
      <c r="AT155">
        <v>0</v>
      </c>
      <c r="AU155">
        <v>0</v>
      </c>
      <c r="AV155" s="122">
        <v>12160</v>
      </c>
    </row>
    <row r="156" spans="2:48">
      <c r="B156" t="s">
        <v>432</v>
      </c>
      <c r="C156" t="s">
        <v>64</v>
      </c>
      <c r="D156" t="s">
        <v>427</v>
      </c>
      <c r="E156" t="s">
        <v>427</v>
      </c>
      <c r="F156">
        <v>1</v>
      </c>
      <c r="G156">
        <v>88</v>
      </c>
      <c r="H156" s="122">
        <v>703</v>
      </c>
      <c r="I156" s="122">
        <v>40407</v>
      </c>
      <c r="J156" s="122">
        <v>36734</v>
      </c>
      <c r="K156" s="122">
        <v>55</v>
      </c>
      <c r="L156" s="122">
        <v>6061</v>
      </c>
      <c r="M156" s="122">
        <v>2245</v>
      </c>
      <c r="N156" s="122">
        <v>2146</v>
      </c>
      <c r="O156">
        <v>795</v>
      </c>
      <c r="P156">
        <v>351</v>
      </c>
      <c r="Q156" s="122">
        <v>130</v>
      </c>
      <c r="R156" s="122">
        <v>8403</v>
      </c>
      <c r="S156" s="122">
        <v>7640</v>
      </c>
      <c r="T156" s="122">
        <v>4501</v>
      </c>
      <c r="U156" s="122">
        <v>1667</v>
      </c>
      <c r="V156" s="122">
        <v>49210</v>
      </c>
      <c r="W156" s="122">
        <f t="shared" si="4"/>
        <v>49211</v>
      </c>
      <c r="X156" s="122">
        <f t="shared" si="5"/>
        <v>61869</v>
      </c>
      <c r="Y156" s="122"/>
      <c r="AA156" t="s">
        <v>54</v>
      </c>
      <c r="AB156" t="s">
        <v>406</v>
      </c>
      <c r="AC156" t="s">
        <v>425</v>
      </c>
      <c r="AD156" t="s">
        <v>406</v>
      </c>
      <c r="AE156" t="s">
        <v>566</v>
      </c>
      <c r="AF156">
        <v>4</v>
      </c>
      <c r="AG156">
        <v>994</v>
      </c>
      <c r="AH156">
        <v>585</v>
      </c>
      <c r="AI156" s="122">
        <v>84463</v>
      </c>
      <c r="AJ156" s="122">
        <v>76785</v>
      </c>
      <c r="AK156">
        <v>91</v>
      </c>
      <c r="AL156" s="122">
        <v>19597</v>
      </c>
      <c r="AM156" s="122">
        <v>17815</v>
      </c>
      <c r="AN156" s="122">
        <v>18352</v>
      </c>
      <c r="AO156" s="122">
        <v>6797</v>
      </c>
      <c r="AP156" s="122">
        <v>2835</v>
      </c>
      <c r="AQ156" s="122">
        <v>1050</v>
      </c>
      <c r="AR156" s="122">
        <v>25555</v>
      </c>
      <c r="AS156" s="122">
        <v>23232</v>
      </c>
      <c r="AT156">
        <v>0</v>
      </c>
      <c r="AU156">
        <v>0</v>
      </c>
      <c r="AV156" s="122">
        <v>125679</v>
      </c>
    </row>
    <row r="157" spans="2:48">
      <c r="B157" t="s">
        <v>432</v>
      </c>
      <c r="C157" t="s">
        <v>64</v>
      </c>
      <c r="D157" t="s">
        <v>556</v>
      </c>
      <c r="E157" t="s">
        <v>556</v>
      </c>
      <c r="F157" s="122">
        <v>1</v>
      </c>
      <c r="G157" s="122">
        <v>47</v>
      </c>
      <c r="H157" s="122">
        <v>519</v>
      </c>
      <c r="I157" s="122">
        <v>17732</v>
      </c>
      <c r="J157" s="122">
        <v>14776</v>
      </c>
      <c r="K157" s="122">
        <v>55</v>
      </c>
      <c r="L157" s="122">
        <v>0</v>
      </c>
      <c r="M157" s="122">
        <v>0</v>
      </c>
      <c r="N157" s="122">
        <v>1141</v>
      </c>
      <c r="O157" s="122">
        <v>423</v>
      </c>
      <c r="P157">
        <v>351</v>
      </c>
      <c r="Q157" s="122">
        <v>130</v>
      </c>
      <c r="R157" s="122">
        <v>3843</v>
      </c>
      <c r="S157" s="122">
        <v>3202</v>
      </c>
      <c r="T157" s="122">
        <v>1255</v>
      </c>
      <c r="U157" s="122">
        <v>465</v>
      </c>
      <c r="V157" s="122">
        <v>18996</v>
      </c>
      <c r="W157" s="122">
        <f t="shared" si="4"/>
        <v>18996</v>
      </c>
      <c r="X157" s="122">
        <f t="shared" si="5"/>
        <v>24322</v>
      </c>
      <c r="Y157" s="122"/>
      <c r="AA157" t="s">
        <v>54</v>
      </c>
      <c r="AB157" t="s">
        <v>406</v>
      </c>
      <c r="AC157" t="s">
        <v>137</v>
      </c>
      <c r="AD157" t="s">
        <v>406</v>
      </c>
      <c r="AE157" t="s">
        <v>137</v>
      </c>
      <c r="AF157">
        <v>3</v>
      </c>
      <c r="AG157">
        <v>293</v>
      </c>
      <c r="AH157">
        <v>443</v>
      </c>
      <c r="AI157" s="122">
        <v>14597</v>
      </c>
      <c r="AJ157" s="122">
        <v>13270</v>
      </c>
      <c r="AK157">
        <v>94</v>
      </c>
      <c r="AL157" s="122">
        <v>3548</v>
      </c>
      <c r="AM157" s="122">
        <v>1314</v>
      </c>
      <c r="AN157" s="122">
        <v>6254</v>
      </c>
      <c r="AO157" s="122">
        <v>2316</v>
      </c>
      <c r="AP157" s="122">
        <v>1863</v>
      </c>
      <c r="AQ157">
        <v>690</v>
      </c>
      <c r="AR157" s="122">
        <v>9784</v>
      </c>
      <c r="AS157" s="122">
        <v>8895</v>
      </c>
      <c r="AT157" s="122">
        <v>7282</v>
      </c>
      <c r="AU157" s="122">
        <v>2697</v>
      </c>
      <c r="AV157" s="122">
        <v>29182</v>
      </c>
    </row>
    <row r="158" spans="2:48">
      <c r="B158" t="s">
        <v>432</v>
      </c>
      <c r="C158" t="s">
        <v>64</v>
      </c>
      <c r="D158" t="s">
        <v>426</v>
      </c>
      <c r="E158" t="s">
        <v>137</v>
      </c>
      <c r="F158" s="122">
        <v>3</v>
      </c>
      <c r="G158" s="122">
        <v>155</v>
      </c>
      <c r="H158" s="122">
        <v>2331</v>
      </c>
      <c r="I158" s="122">
        <v>101124</v>
      </c>
      <c r="J158" s="122">
        <v>91931</v>
      </c>
      <c r="K158" s="122">
        <v>40</v>
      </c>
      <c r="L158" s="122">
        <v>3965</v>
      </c>
      <c r="M158" s="122">
        <v>1468</v>
      </c>
      <c r="N158" s="122">
        <v>3581</v>
      </c>
      <c r="O158" s="122">
        <v>1326</v>
      </c>
      <c r="P158" s="122">
        <v>0</v>
      </c>
      <c r="Q158">
        <v>0</v>
      </c>
      <c r="R158" s="122">
        <v>15371</v>
      </c>
      <c r="S158" s="122">
        <v>5693</v>
      </c>
      <c r="T158" s="122">
        <v>0</v>
      </c>
      <c r="U158" s="122">
        <v>0</v>
      </c>
      <c r="V158" s="122">
        <v>100419</v>
      </c>
      <c r="W158" s="122">
        <f t="shared" si="4"/>
        <v>100418</v>
      </c>
      <c r="X158" s="122">
        <f t="shared" si="5"/>
        <v>124041</v>
      </c>
      <c r="Y158" s="122"/>
      <c r="AA158" t="s">
        <v>54</v>
      </c>
      <c r="AB158" t="s">
        <v>406</v>
      </c>
      <c r="AC158" t="s">
        <v>137</v>
      </c>
      <c r="AD158" t="s">
        <v>406</v>
      </c>
      <c r="AE158" t="s">
        <v>566</v>
      </c>
      <c r="AF158">
        <v>5</v>
      </c>
      <c r="AG158">
        <v>429</v>
      </c>
      <c r="AH158">
        <v>665</v>
      </c>
      <c r="AI158" s="122">
        <v>22469</v>
      </c>
      <c r="AJ158" s="122">
        <v>20427</v>
      </c>
      <c r="AK158">
        <v>89</v>
      </c>
      <c r="AL158" s="122">
        <v>5256</v>
      </c>
      <c r="AM158" s="122">
        <v>1947</v>
      </c>
      <c r="AN158" s="122">
        <v>8350</v>
      </c>
      <c r="AO158" s="122">
        <v>3092</v>
      </c>
      <c r="AP158" s="122">
        <v>3105</v>
      </c>
      <c r="AQ158" s="122">
        <v>1150</v>
      </c>
      <c r="AR158" s="122">
        <v>17403</v>
      </c>
      <c r="AS158" s="122">
        <v>15821</v>
      </c>
      <c r="AT158">
        <v>0</v>
      </c>
      <c r="AU158">
        <v>0</v>
      </c>
      <c r="AV158" s="122">
        <v>42437</v>
      </c>
    </row>
    <row r="159" spans="2:48">
      <c r="B159" t="s">
        <v>432</v>
      </c>
      <c r="C159" t="s">
        <v>64</v>
      </c>
      <c r="D159" t="s">
        <v>426</v>
      </c>
      <c r="E159" t="s">
        <v>426</v>
      </c>
      <c r="F159">
        <v>2</v>
      </c>
      <c r="G159">
        <v>111</v>
      </c>
      <c r="H159" s="122">
        <v>1220</v>
      </c>
      <c r="I159" s="122">
        <v>48084</v>
      </c>
      <c r="J159" s="122">
        <v>43713</v>
      </c>
      <c r="K159" s="122">
        <v>55</v>
      </c>
      <c r="L159" s="122">
        <v>2619</v>
      </c>
      <c r="M159" s="122">
        <v>970</v>
      </c>
      <c r="N159" s="122">
        <v>2693</v>
      </c>
      <c r="O159" s="122">
        <v>997</v>
      </c>
      <c r="P159">
        <v>702</v>
      </c>
      <c r="Q159" s="122">
        <v>260</v>
      </c>
      <c r="R159" s="122">
        <v>9149</v>
      </c>
      <c r="S159" s="122">
        <v>8317</v>
      </c>
      <c r="T159" s="122">
        <v>3909</v>
      </c>
      <c r="U159" s="122">
        <v>1448</v>
      </c>
      <c r="V159" s="122">
        <v>55705</v>
      </c>
      <c r="W159" s="122">
        <f t="shared" si="4"/>
        <v>55705</v>
      </c>
      <c r="X159" s="122">
        <f t="shared" si="5"/>
        <v>67156</v>
      </c>
      <c r="Y159" s="122"/>
      <c r="AA159" t="s">
        <v>54</v>
      </c>
      <c r="AB159" t="s">
        <v>406</v>
      </c>
      <c r="AC159" t="s">
        <v>580</v>
      </c>
      <c r="AD159" t="s">
        <v>406</v>
      </c>
      <c r="AE159" t="s">
        <v>137</v>
      </c>
      <c r="AF159">
        <v>1</v>
      </c>
      <c r="AG159">
        <v>306</v>
      </c>
      <c r="AH159">
        <v>141</v>
      </c>
      <c r="AI159" s="122">
        <v>23221</v>
      </c>
      <c r="AJ159" s="122">
        <v>21110</v>
      </c>
      <c r="AK159">
        <v>79</v>
      </c>
      <c r="AL159" s="122">
        <v>3225</v>
      </c>
      <c r="AM159" s="122">
        <v>2932</v>
      </c>
      <c r="AN159" s="122">
        <v>5773</v>
      </c>
      <c r="AO159" s="122">
        <v>2138</v>
      </c>
      <c r="AP159">
        <v>621</v>
      </c>
      <c r="AQ159">
        <v>230</v>
      </c>
      <c r="AR159" s="122">
        <v>5932</v>
      </c>
      <c r="AS159" s="122">
        <v>5392</v>
      </c>
      <c r="AT159" s="122">
        <v>4295</v>
      </c>
      <c r="AU159" s="122">
        <v>1591</v>
      </c>
      <c r="AV159" s="122">
        <v>33393</v>
      </c>
    </row>
    <row r="160" spans="2:48">
      <c r="B160" t="s">
        <v>434</v>
      </c>
      <c r="C160" t="s">
        <v>48</v>
      </c>
      <c r="F160" s="122">
        <v>7</v>
      </c>
      <c r="G160" s="122">
        <v>430</v>
      </c>
      <c r="H160" s="122">
        <v>375</v>
      </c>
      <c r="I160" s="122"/>
      <c r="J160" s="122">
        <v>0</v>
      </c>
      <c r="K160" s="122"/>
      <c r="L160" s="122"/>
      <c r="M160" s="122">
        <v>0</v>
      </c>
      <c r="N160" s="122">
        <v>5242</v>
      </c>
      <c r="O160" s="122">
        <v>1941</v>
      </c>
      <c r="P160" s="122">
        <v>2457</v>
      </c>
      <c r="Q160" s="122">
        <v>910</v>
      </c>
      <c r="R160" s="122"/>
      <c r="S160" s="122">
        <v>0</v>
      </c>
      <c r="T160" s="122">
        <v>0</v>
      </c>
      <c r="U160" s="122">
        <v>0</v>
      </c>
      <c r="V160" s="122">
        <v>2851</v>
      </c>
      <c r="W160" s="122">
        <f t="shared" si="4"/>
        <v>2851</v>
      </c>
      <c r="X160" s="122">
        <f t="shared" si="5"/>
        <v>7699</v>
      </c>
      <c r="Y160" s="122"/>
      <c r="AA160" t="s">
        <v>54</v>
      </c>
      <c r="AB160" t="s">
        <v>406</v>
      </c>
      <c r="AC160" t="s">
        <v>580</v>
      </c>
      <c r="AD160" t="s">
        <v>406</v>
      </c>
      <c r="AE160" t="s">
        <v>566</v>
      </c>
      <c r="AF160">
        <v>3</v>
      </c>
      <c r="AG160">
        <v>923</v>
      </c>
      <c r="AH160">
        <v>415</v>
      </c>
      <c r="AI160" s="122">
        <v>84297</v>
      </c>
      <c r="AJ160" s="122">
        <v>76633</v>
      </c>
      <c r="AK160">
        <v>84</v>
      </c>
      <c r="AL160" s="122">
        <v>11138</v>
      </c>
      <c r="AM160" s="122">
        <v>10126</v>
      </c>
      <c r="AN160" s="122">
        <v>17335</v>
      </c>
      <c r="AO160" s="122">
        <v>6420</v>
      </c>
      <c r="AP160" s="122">
        <v>3186</v>
      </c>
      <c r="AQ160" s="122">
        <v>1180</v>
      </c>
      <c r="AR160" s="122">
        <v>11513</v>
      </c>
      <c r="AS160" s="122">
        <v>10466</v>
      </c>
      <c r="AT160">
        <v>0</v>
      </c>
      <c r="AU160">
        <v>0</v>
      </c>
      <c r="AV160" s="122">
        <v>104826</v>
      </c>
    </row>
    <row r="161" spans="2:48">
      <c r="B161" t="s">
        <v>434</v>
      </c>
      <c r="C161" t="s">
        <v>48</v>
      </c>
      <c r="D161" t="s">
        <v>137</v>
      </c>
      <c r="E161" t="s">
        <v>137</v>
      </c>
      <c r="F161" s="122">
        <v>7</v>
      </c>
      <c r="G161" s="122">
        <v>520</v>
      </c>
      <c r="H161" s="122">
        <v>458</v>
      </c>
      <c r="I161" s="122">
        <v>4505</v>
      </c>
      <c r="J161" s="122">
        <v>1668</v>
      </c>
      <c r="K161" s="122">
        <v>437</v>
      </c>
      <c r="L161" s="122">
        <v>258</v>
      </c>
      <c r="M161" s="122">
        <v>234</v>
      </c>
      <c r="N161" s="122">
        <v>6341</v>
      </c>
      <c r="O161" s="122">
        <v>2349</v>
      </c>
      <c r="P161" s="122">
        <v>2457</v>
      </c>
      <c r="Q161" s="122">
        <v>910</v>
      </c>
      <c r="R161" s="122">
        <v>20171</v>
      </c>
      <c r="S161" s="122">
        <v>7471</v>
      </c>
      <c r="T161" s="122">
        <v>0</v>
      </c>
      <c r="U161" s="122">
        <v>0</v>
      </c>
      <c r="V161" s="122">
        <v>12632</v>
      </c>
      <c r="W161" s="122">
        <f t="shared" si="4"/>
        <v>12632</v>
      </c>
      <c r="X161" s="122">
        <f t="shared" si="5"/>
        <v>33732</v>
      </c>
      <c r="Y161" s="122"/>
      <c r="AA161" t="s">
        <v>54</v>
      </c>
      <c r="AB161" t="s">
        <v>406</v>
      </c>
      <c r="AC161" t="s">
        <v>580</v>
      </c>
      <c r="AD161" t="s">
        <v>426</v>
      </c>
      <c r="AE161" t="s">
        <v>566</v>
      </c>
      <c r="AF161">
        <v>1</v>
      </c>
      <c r="AG161">
        <v>270</v>
      </c>
      <c r="AH161">
        <v>139</v>
      </c>
      <c r="AI161" s="122">
        <v>18966</v>
      </c>
      <c r="AJ161" s="122">
        <v>17242</v>
      </c>
      <c r="AK161">
        <v>79</v>
      </c>
      <c r="AL161" s="122">
        <v>5268</v>
      </c>
      <c r="AM161" s="122">
        <v>4789</v>
      </c>
      <c r="AN161" s="122">
        <v>4276</v>
      </c>
      <c r="AO161" s="122">
        <v>1584</v>
      </c>
      <c r="AP161">
        <v>621</v>
      </c>
      <c r="AQ161">
        <v>230</v>
      </c>
      <c r="AR161" s="122">
        <v>8423</v>
      </c>
      <c r="AS161" s="122">
        <v>7658</v>
      </c>
      <c r="AT161">
        <v>0</v>
      </c>
      <c r="AU161">
        <v>0</v>
      </c>
      <c r="AV161" s="122">
        <v>31503</v>
      </c>
    </row>
    <row r="162" spans="2:48">
      <c r="B162" t="s">
        <v>434</v>
      </c>
      <c r="C162" t="s">
        <v>48</v>
      </c>
      <c r="D162" t="s">
        <v>137</v>
      </c>
      <c r="E162" t="s">
        <v>407</v>
      </c>
      <c r="F162" s="122">
        <v>9</v>
      </c>
      <c r="G162" s="122">
        <v>454</v>
      </c>
      <c r="H162" s="122">
        <v>350</v>
      </c>
      <c r="I162" s="122">
        <v>-6275</v>
      </c>
      <c r="J162" s="122">
        <v>-2324</v>
      </c>
      <c r="K162" s="122">
        <v>410</v>
      </c>
      <c r="L162" s="122">
        <v>-1684</v>
      </c>
      <c r="M162" s="122">
        <v>-1437</v>
      </c>
      <c r="N162" s="122">
        <v>8010</v>
      </c>
      <c r="O162" s="122">
        <v>2967</v>
      </c>
      <c r="P162" s="122">
        <v>4253</v>
      </c>
      <c r="Q162" s="122">
        <v>1575</v>
      </c>
      <c r="R162" s="122">
        <v>13371</v>
      </c>
      <c r="S162" s="122">
        <v>12155</v>
      </c>
      <c r="T162" s="122">
        <v>0</v>
      </c>
      <c r="U162" s="122">
        <v>0</v>
      </c>
      <c r="V162" s="122">
        <v>12935</v>
      </c>
      <c r="W162" s="122">
        <f t="shared" si="4"/>
        <v>20458</v>
      </c>
      <c r="X162" s="122">
        <f t="shared" si="5"/>
        <v>33593</v>
      </c>
      <c r="Y162" s="122"/>
      <c r="AA162" t="s">
        <v>54</v>
      </c>
      <c r="AB162" t="s">
        <v>406</v>
      </c>
      <c r="AC162" t="s">
        <v>427</v>
      </c>
      <c r="AD162" t="s">
        <v>406</v>
      </c>
      <c r="AE162" t="s">
        <v>137</v>
      </c>
      <c r="AF162">
        <v>1</v>
      </c>
      <c r="AG162">
        <v>123</v>
      </c>
      <c r="AH162">
        <v>150</v>
      </c>
      <c r="AI162" s="122">
        <v>8232</v>
      </c>
      <c r="AJ162" s="122">
        <v>7484</v>
      </c>
      <c r="AK162">
        <v>85</v>
      </c>
      <c r="AL162" s="122">
        <v>2592</v>
      </c>
      <c r="AM162" s="122">
        <v>2356</v>
      </c>
      <c r="AN162" s="122">
        <v>2023</v>
      </c>
      <c r="AO162">
        <v>749</v>
      </c>
      <c r="AP162">
        <v>621</v>
      </c>
      <c r="AQ162">
        <v>230</v>
      </c>
      <c r="AR162" s="122">
        <v>4921</v>
      </c>
      <c r="AS162" s="122">
        <v>4473</v>
      </c>
      <c r="AT162">
        <v>0</v>
      </c>
      <c r="AU162">
        <v>0</v>
      </c>
      <c r="AV162" s="122">
        <v>15293</v>
      </c>
    </row>
    <row r="163" spans="2:48">
      <c r="B163" t="s">
        <v>434</v>
      </c>
      <c r="C163" t="s">
        <v>48</v>
      </c>
      <c r="D163" t="s">
        <v>406</v>
      </c>
      <c r="E163" t="s">
        <v>406</v>
      </c>
      <c r="F163" s="122">
        <v>2</v>
      </c>
      <c r="G163" s="122">
        <v>176</v>
      </c>
      <c r="H163" s="122">
        <v>110</v>
      </c>
      <c r="I163" s="122">
        <v>-5674</v>
      </c>
      <c r="J163" s="122">
        <v>-5159</v>
      </c>
      <c r="K163" s="122">
        <v>75</v>
      </c>
      <c r="L163" s="122">
        <v>0</v>
      </c>
      <c r="M163" s="122">
        <v>0</v>
      </c>
      <c r="N163" s="122">
        <v>4296</v>
      </c>
      <c r="O163" s="122">
        <v>1591</v>
      </c>
      <c r="P163" s="122">
        <v>1242</v>
      </c>
      <c r="Q163" s="122">
        <v>460</v>
      </c>
      <c r="R163" s="122">
        <v>9912</v>
      </c>
      <c r="S163" s="122">
        <v>9011</v>
      </c>
      <c r="T163">
        <v>0</v>
      </c>
      <c r="U163" s="122">
        <v>0</v>
      </c>
      <c r="V163" s="122">
        <v>5903</v>
      </c>
      <c r="W163" s="122">
        <f t="shared" si="4"/>
        <v>16221</v>
      </c>
      <c r="X163" s="122">
        <f t="shared" si="5"/>
        <v>21124</v>
      </c>
      <c r="Y163" s="122"/>
      <c r="AA163" t="s">
        <v>54</v>
      </c>
      <c r="AB163" t="s">
        <v>406</v>
      </c>
      <c r="AC163" t="s">
        <v>427</v>
      </c>
      <c r="AD163" t="s">
        <v>406</v>
      </c>
      <c r="AE163" t="s">
        <v>566</v>
      </c>
      <c r="AF163">
        <v>10</v>
      </c>
      <c r="AG163" s="122">
        <v>1812</v>
      </c>
      <c r="AH163" s="122">
        <v>1417</v>
      </c>
      <c r="AI163" s="122">
        <v>148766</v>
      </c>
      <c r="AJ163" s="122">
        <v>135241</v>
      </c>
      <c r="AK163">
        <v>89</v>
      </c>
      <c r="AL163" s="122">
        <v>29113</v>
      </c>
      <c r="AM163" s="122">
        <v>26467</v>
      </c>
      <c r="AN163" s="122">
        <v>30467</v>
      </c>
      <c r="AO163" s="122">
        <v>11284</v>
      </c>
      <c r="AP163" s="122">
        <v>6912</v>
      </c>
      <c r="AQ163" s="122">
        <v>2560</v>
      </c>
      <c r="AR163" s="122">
        <v>55585</v>
      </c>
      <c r="AS163" s="122">
        <v>50532</v>
      </c>
      <c r="AT163">
        <v>0</v>
      </c>
      <c r="AU163">
        <v>0</v>
      </c>
      <c r="AV163" s="122">
        <v>226084</v>
      </c>
    </row>
    <row r="164" spans="2:48">
      <c r="B164" t="s">
        <v>434</v>
      </c>
      <c r="C164" t="s">
        <v>48</v>
      </c>
      <c r="D164" t="s">
        <v>407</v>
      </c>
      <c r="E164" t="s">
        <v>407</v>
      </c>
      <c r="F164" s="122">
        <v>8</v>
      </c>
      <c r="G164" s="122">
        <v>648</v>
      </c>
      <c r="H164" s="122">
        <v>489</v>
      </c>
      <c r="I164" s="122">
        <v>3268</v>
      </c>
      <c r="J164" s="122">
        <v>2971</v>
      </c>
      <c r="K164" s="122">
        <v>91</v>
      </c>
      <c r="L164" s="122">
        <v>0</v>
      </c>
      <c r="M164" s="122">
        <v>0</v>
      </c>
      <c r="N164" s="122">
        <v>7900</v>
      </c>
      <c r="O164" s="122">
        <v>2926</v>
      </c>
      <c r="P164" s="122">
        <v>6053</v>
      </c>
      <c r="Q164" s="122">
        <v>2242</v>
      </c>
      <c r="R164" s="122">
        <v>22057</v>
      </c>
      <c r="S164" s="122">
        <v>20052</v>
      </c>
      <c r="T164" s="122">
        <v>0</v>
      </c>
      <c r="U164" s="122">
        <v>0</v>
      </c>
      <c r="V164" s="122">
        <v>28191</v>
      </c>
      <c r="W164" s="122">
        <f t="shared" si="4"/>
        <v>28191</v>
      </c>
      <c r="X164" s="122">
        <f t="shared" si="5"/>
        <v>39278</v>
      </c>
      <c r="Y164" s="122"/>
      <c r="AA164" t="s">
        <v>54</v>
      </c>
      <c r="AB164" t="s">
        <v>406</v>
      </c>
      <c r="AC164" t="s">
        <v>579</v>
      </c>
      <c r="AD164" t="s">
        <v>406</v>
      </c>
      <c r="AE164" t="s">
        <v>137</v>
      </c>
      <c r="AF164">
        <v>2</v>
      </c>
      <c r="AG164">
        <v>345</v>
      </c>
      <c r="AH164">
        <v>269</v>
      </c>
      <c r="AI164" s="122">
        <v>24016</v>
      </c>
      <c r="AJ164" s="122">
        <v>21833</v>
      </c>
      <c r="AK164">
        <v>89</v>
      </c>
      <c r="AL164" s="122">
        <v>6618</v>
      </c>
      <c r="AM164" s="122">
        <v>5515</v>
      </c>
      <c r="AN164" s="122">
        <v>7386</v>
      </c>
      <c r="AO164" s="122">
        <v>2736</v>
      </c>
      <c r="AP164" s="122">
        <v>1242</v>
      </c>
      <c r="AQ164">
        <v>460</v>
      </c>
      <c r="AR164" s="122">
        <v>10413</v>
      </c>
      <c r="AS164" s="122">
        <v>9466</v>
      </c>
      <c r="AT164">
        <v>0</v>
      </c>
      <c r="AU164">
        <v>0</v>
      </c>
      <c r="AV164" s="122">
        <v>40010</v>
      </c>
    </row>
    <row r="165" spans="2:48">
      <c r="B165" t="s">
        <v>434</v>
      </c>
      <c r="C165" t="s">
        <v>48</v>
      </c>
      <c r="D165" t="s">
        <v>408</v>
      </c>
      <c r="E165" t="s">
        <v>408</v>
      </c>
      <c r="F165" s="122">
        <v>3</v>
      </c>
      <c r="G165" s="122">
        <v>144</v>
      </c>
      <c r="H165" s="122">
        <v>195</v>
      </c>
      <c r="I165" s="122">
        <v>-7017</v>
      </c>
      <c r="J165" s="122">
        <v>-6379</v>
      </c>
      <c r="K165" s="122">
        <v>65</v>
      </c>
      <c r="L165" s="122">
        <v>-1244</v>
      </c>
      <c r="M165" s="122">
        <v>-461</v>
      </c>
      <c r="N165" s="122">
        <v>3421</v>
      </c>
      <c r="O165" s="122">
        <v>1267</v>
      </c>
      <c r="P165" s="122">
        <v>1053</v>
      </c>
      <c r="Q165" s="122">
        <v>390</v>
      </c>
      <c r="R165" s="122">
        <v>13139</v>
      </c>
      <c r="S165" s="122">
        <v>11945</v>
      </c>
      <c r="T165">
        <v>0</v>
      </c>
      <c r="U165" s="122">
        <v>0</v>
      </c>
      <c r="V165" s="122">
        <v>6761</v>
      </c>
      <c r="W165" s="122">
        <f t="shared" si="4"/>
        <v>20442</v>
      </c>
      <c r="X165" s="122">
        <f t="shared" si="5"/>
        <v>25874</v>
      </c>
      <c r="Y165" s="122"/>
      <c r="AA165" t="s">
        <v>54</v>
      </c>
      <c r="AB165" t="s">
        <v>406</v>
      </c>
      <c r="AC165" t="s">
        <v>579</v>
      </c>
      <c r="AD165" t="s">
        <v>406</v>
      </c>
      <c r="AE165" t="s">
        <v>566</v>
      </c>
      <c r="AF165">
        <v>11</v>
      </c>
      <c r="AG165" s="122">
        <v>1861</v>
      </c>
      <c r="AH165" s="122">
        <v>1534</v>
      </c>
      <c r="AI165" s="122">
        <v>132504</v>
      </c>
      <c r="AJ165" s="122">
        <v>120458</v>
      </c>
      <c r="AK165">
        <v>90</v>
      </c>
      <c r="AL165" s="122">
        <v>27947</v>
      </c>
      <c r="AM165" s="122">
        <v>23289</v>
      </c>
      <c r="AN165" s="122">
        <v>36605</v>
      </c>
      <c r="AO165" s="122">
        <v>13558</v>
      </c>
      <c r="AP165" s="122">
        <v>7884</v>
      </c>
      <c r="AQ165" s="122">
        <v>2920</v>
      </c>
      <c r="AR165" s="122">
        <v>59807</v>
      </c>
      <c r="AS165" s="122">
        <v>54370</v>
      </c>
      <c r="AT165">
        <v>0</v>
      </c>
      <c r="AU165">
        <v>0</v>
      </c>
      <c r="AV165" s="122">
        <v>214595</v>
      </c>
    </row>
    <row r="166" spans="2:48">
      <c r="B166" t="s">
        <v>434</v>
      </c>
      <c r="C166" t="s">
        <v>50</v>
      </c>
      <c r="F166" s="122">
        <v>3</v>
      </c>
      <c r="G166" s="122">
        <v>235</v>
      </c>
      <c r="H166" s="122">
        <v>275</v>
      </c>
      <c r="I166" s="122"/>
      <c r="J166" s="122">
        <v>0</v>
      </c>
      <c r="K166" s="122"/>
      <c r="L166" s="122"/>
      <c r="M166" s="122">
        <v>0</v>
      </c>
      <c r="N166" s="122">
        <v>2867</v>
      </c>
      <c r="O166" s="122">
        <v>1062</v>
      </c>
      <c r="P166" s="122">
        <v>824</v>
      </c>
      <c r="Q166" s="122">
        <v>305</v>
      </c>
      <c r="R166" s="122"/>
      <c r="S166" s="122">
        <v>0</v>
      </c>
      <c r="T166" s="122">
        <v>0</v>
      </c>
      <c r="U166" s="122">
        <v>0</v>
      </c>
      <c r="V166" s="122">
        <v>1367</v>
      </c>
      <c r="W166" s="122">
        <f t="shared" si="4"/>
        <v>1367</v>
      </c>
      <c r="X166" s="122">
        <f t="shared" si="5"/>
        <v>3691</v>
      </c>
      <c r="Y166" s="122"/>
      <c r="AA166" t="s">
        <v>54</v>
      </c>
      <c r="AB166" t="s">
        <v>406</v>
      </c>
      <c r="AC166" t="s">
        <v>428</v>
      </c>
      <c r="AD166" t="s">
        <v>406</v>
      </c>
      <c r="AE166" t="s">
        <v>566</v>
      </c>
      <c r="AF166">
        <v>1</v>
      </c>
      <c r="AG166">
        <v>128</v>
      </c>
      <c r="AH166">
        <v>147</v>
      </c>
      <c r="AI166" s="122">
        <v>9726</v>
      </c>
      <c r="AJ166" s="122">
        <v>8841</v>
      </c>
      <c r="AK166">
        <v>98</v>
      </c>
      <c r="AL166" s="122">
        <v>3519</v>
      </c>
      <c r="AM166" s="122">
        <v>3199</v>
      </c>
      <c r="AN166" s="122">
        <v>2459</v>
      </c>
      <c r="AO166">
        <v>911</v>
      </c>
      <c r="AP166">
        <v>621</v>
      </c>
      <c r="AQ166">
        <v>230</v>
      </c>
      <c r="AR166" s="122">
        <v>2494</v>
      </c>
      <c r="AS166" s="122">
        <v>2267</v>
      </c>
      <c r="AT166">
        <v>0</v>
      </c>
      <c r="AU166">
        <v>0</v>
      </c>
      <c r="AV166" s="122">
        <v>15448</v>
      </c>
    </row>
    <row r="167" spans="2:48">
      <c r="B167" t="s">
        <v>434</v>
      </c>
      <c r="C167" t="s">
        <v>50</v>
      </c>
      <c r="D167" t="s">
        <v>137</v>
      </c>
      <c r="E167" s="122" t="s">
        <v>137</v>
      </c>
      <c r="F167" s="122">
        <v>22</v>
      </c>
      <c r="G167" s="122">
        <v>1227</v>
      </c>
      <c r="H167" s="122">
        <v>1773</v>
      </c>
      <c r="I167" s="122">
        <v>19967</v>
      </c>
      <c r="J167" s="122">
        <v>7395</v>
      </c>
      <c r="K167" s="122">
        <v>406</v>
      </c>
      <c r="L167" s="122">
        <v>4201</v>
      </c>
      <c r="M167" s="122">
        <v>3566</v>
      </c>
      <c r="N167" s="122">
        <v>14952</v>
      </c>
      <c r="O167" s="122">
        <v>5538</v>
      </c>
      <c r="P167" s="122">
        <v>11655</v>
      </c>
      <c r="Q167" s="122">
        <v>4317</v>
      </c>
      <c r="R167" s="122">
        <v>50544</v>
      </c>
      <c r="S167" s="122">
        <v>18720</v>
      </c>
      <c r="T167" s="122">
        <v>0</v>
      </c>
      <c r="U167" s="122">
        <v>0</v>
      </c>
      <c r="V167" s="122">
        <v>39535</v>
      </c>
      <c r="W167" s="122">
        <f t="shared" si="4"/>
        <v>39536</v>
      </c>
      <c r="X167" s="122">
        <f t="shared" si="5"/>
        <v>101319</v>
      </c>
      <c r="Y167" s="122"/>
      <c r="AA167" t="s">
        <v>54</v>
      </c>
      <c r="AB167" t="s">
        <v>406</v>
      </c>
      <c r="AC167" t="s">
        <v>426</v>
      </c>
      <c r="AD167" t="s">
        <v>137</v>
      </c>
      <c r="AE167" t="s">
        <v>566</v>
      </c>
      <c r="AF167">
        <v>1</v>
      </c>
      <c r="AG167">
        <v>167</v>
      </c>
      <c r="AH167">
        <v>145</v>
      </c>
      <c r="AI167" s="122">
        <v>9640</v>
      </c>
      <c r="AJ167" s="122">
        <v>8763</v>
      </c>
      <c r="AK167">
        <v>85</v>
      </c>
      <c r="AL167" s="122">
        <v>1401</v>
      </c>
      <c r="AM167" s="122">
        <v>1273</v>
      </c>
      <c r="AN167" s="122">
        <v>2029</v>
      </c>
      <c r="AO167">
        <v>751</v>
      </c>
      <c r="AP167">
        <v>0</v>
      </c>
      <c r="AQ167">
        <v>0</v>
      </c>
      <c r="AR167" s="122">
        <v>11034</v>
      </c>
      <c r="AS167" s="122">
        <v>4087</v>
      </c>
      <c r="AT167">
        <v>0</v>
      </c>
      <c r="AU167">
        <v>0</v>
      </c>
      <c r="AV167" s="122">
        <v>14875</v>
      </c>
    </row>
    <row r="168" spans="2:48">
      <c r="B168" t="s">
        <v>434</v>
      </c>
      <c r="C168" t="s">
        <v>50</v>
      </c>
      <c r="D168" t="s">
        <v>406</v>
      </c>
      <c r="E168" t="s">
        <v>406</v>
      </c>
      <c r="F168" s="122">
        <v>1</v>
      </c>
      <c r="G168" s="122">
        <v>79</v>
      </c>
      <c r="H168" s="122">
        <v>85</v>
      </c>
      <c r="I168" s="122">
        <v>1579</v>
      </c>
      <c r="J168" s="122">
        <v>1435</v>
      </c>
      <c r="K168" s="122">
        <v>75</v>
      </c>
      <c r="L168" s="122">
        <v>0</v>
      </c>
      <c r="M168" s="122">
        <v>0</v>
      </c>
      <c r="N168" s="122">
        <v>961</v>
      </c>
      <c r="O168" s="122">
        <v>356</v>
      </c>
      <c r="P168" s="122">
        <v>621</v>
      </c>
      <c r="Q168" s="122">
        <v>230</v>
      </c>
      <c r="R168" s="122">
        <v>3511</v>
      </c>
      <c r="S168" s="122">
        <v>3192</v>
      </c>
      <c r="T168">
        <v>0</v>
      </c>
      <c r="U168" s="122">
        <v>0</v>
      </c>
      <c r="V168" s="122">
        <v>5213</v>
      </c>
      <c r="W168" s="122">
        <f t="shared" si="4"/>
        <v>5213</v>
      </c>
      <c r="X168" s="122">
        <f t="shared" si="5"/>
        <v>6672</v>
      </c>
      <c r="Y168" s="122"/>
      <c r="AA168" t="s">
        <v>54</v>
      </c>
      <c r="AB168" t="s">
        <v>406</v>
      </c>
      <c r="AC168" t="s">
        <v>426</v>
      </c>
      <c r="AD168" t="s">
        <v>406</v>
      </c>
      <c r="AE168" t="s">
        <v>137</v>
      </c>
      <c r="AF168">
        <v>31</v>
      </c>
      <c r="AG168" s="122">
        <v>5830</v>
      </c>
      <c r="AH168" s="122">
        <v>4288</v>
      </c>
      <c r="AI168" s="122">
        <v>462961</v>
      </c>
      <c r="AJ168" s="122">
        <v>420873</v>
      </c>
      <c r="AK168">
        <v>91</v>
      </c>
      <c r="AL168" s="122">
        <v>86460</v>
      </c>
      <c r="AM168" s="122">
        <v>78600</v>
      </c>
      <c r="AN168" s="122">
        <v>110218</v>
      </c>
      <c r="AO168" s="122">
        <v>40822</v>
      </c>
      <c r="AP168" s="122">
        <v>19602</v>
      </c>
      <c r="AQ168" s="122">
        <v>7260</v>
      </c>
      <c r="AR168" s="122">
        <v>142779</v>
      </c>
      <c r="AS168" s="122">
        <v>129799</v>
      </c>
      <c r="AT168" s="122">
        <v>55088</v>
      </c>
      <c r="AU168" s="122">
        <v>20403</v>
      </c>
      <c r="AV168" s="122">
        <v>697757</v>
      </c>
    </row>
    <row r="169" spans="2:48">
      <c r="B169" t="s">
        <v>434</v>
      </c>
      <c r="C169" t="s">
        <v>50</v>
      </c>
      <c r="D169" t="s">
        <v>407</v>
      </c>
      <c r="E169" t="s">
        <v>407</v>
      </c>
      <c r="F169" s="122">
        <v>174</v>
      </c>
      <c r="G169" s="122">
        <v>16323</v>
      </c>
      <c r="H169" s="122">
        <v>15776</v>
      </c>
      <c r="I169" s="122">
        <v>550566</v>
      </c>
      <c r="J169" s="122">
        <v>500514</v>
      </c>
      <c r="K169" s="122">
        <v>90</v>
      </c>
      <c r="L169" s="122">
        <v>15896</v>
      </c>
      <c r="M169" s="122">
        <v>8012</v>
      </c>
      <c r="N169" s="122">
        <v>268330</v>
      </c>
      <c r="O169" s="122">
        <v>99381</v>
      </c>
      <c r="P169" s="122">
        <v>82566</v>
      </c>
      <c r="Q169" s="122">
        <v>30580</v>
      </c>
      <c r="R169" s="122">
        <v>546677</v>
      </c>
      <c r="S169" s="122">
        <v>496979</v>
      </c>
      <c r="T169" s="122">
        <v>3691</v>
      </c>
      <c r="U169" s="122">
        <v>1367</v>
      </c>
      <c r="V169" s="122">
        <v>1136834</v>
      </c>
      <c r="W169" s="122">
        <f t="shared" si="4"/>
        <v>1136833</v>
      </c>
      <c r="X169" s="122">
        <f t="shared" si="5"/>
        <v>1467726</v>
      </c>
      <c r="Y169" s="122"/>
      <c r="AA169" t="s">
        <v>54</v>
      </c>
      <c r="AB169" t="s">
        <v>406</v>
      </c>
      <c r="AC169" t="s">
        <v>426</v>
      </c>
      <c r="AD169" t="s">
        <v>406</v>
      </c>
      <c r="AE169" t="s">
        <v>566</v>
      </c>
      <c r="AF169">
        <v>84</v>
      </c>
      <c r="AG169" s="122">
        <v>13695</v>
      </c>
      <c r="AH169" s="122">
        <v>11823</v>
      </c>
      <c r="AI169" s="122">
        <v>1040918</v>
      </c>
      <c r="AJ169" s="122">
        <v>946289</v>
      </c>
      <c r="AK169">
        <v>91</v>
      </c>
      <c r="AL169" s="122">
        <v>214589</v>
      </c>
      <c r="AM169" s="122">
        <v>195081</v>
      </c>
      <c r="AN169" s="122">
        <v>259154</v>
      </c>
      <c r="AO169" s="122">
        <v>95983</v>
      </c>
      <c r="AP169" s="122">
        <v>59796</v>
      </c>
      <c r="AQ169" s="122">
        <v>22147</v>
      </c>
      <c r="AR169" s="122">
        <v>422019</v>
      </c>
      <c r="AS169" s="122">
        <v>383654</v>
      </c>
      <c r="AT169">
        <v>0</v>
      </c>
      <c r="AU169">
        <v>0</v>
      </c>
      <c r="AV169" s="122">
        <v>1643153</v>
      </c>
    </row>
    <row r="170" spans="2:48">
      <c r="B170" t="s">
        <v>434</v>
      </c>
      <c r="C170" t="s">
        <v>50</v>
      </c>
      <c r="D170" t="s">
        <v>408</v>
      </c>
      <c r="E170" t="s">
        <v>408</v>
      </c>
      <c r="F170">
        <v>1</v>
      </c>
      <c r="G170">
        <v>70</v>
      </c>
      <c r="H170" s="122">
        <v>78</v>
      </c>
      <c r="I170" s="122">
        <v>-845</v>
      </c>
      <c r="J170">
        <v>-768</v>
      </c>
      <c r="K170" s="122">
        <v>65</v>
      </c>
      <c r="L170" s="122">
        <v>-150</v>
      </c>
      <c r="M170" s="122">
        <v>-55</v>
      </c>
      <c r="N170" s="122">
        <v>1141</v>
      </c>
      <c r="O170">
        <v>423</v>
      </c>
      <c r="P170">
        <v>351</v>
      </c>
      <c r="Q170" s="122">
        <v>130</v>
      </c>
      <c r="R170" s="122">
        <v>4970</v>
      </c>
      <c r="S170" s="122">
        <v>4518</v>
      </c>
      <c r="T170">
        <v>0</v>
      </c>
      <c r="U170" s="122">
        <v>0</v>
      </c>
      <c r="V170" s="122">
        <v>4247</v>
      </c>
      <c r="W170" s="122">
        <f t="shared" si="4"/>
        <v>5894</v>
      </c>
      <c r="X170" s="122">
        <f t="shared" si="5"/>
        <v>7457</v>
      </c>
      <c r="Y170" s="122"/>
      <c r="AA170" t="s">
        <v>54</v>
      </c>
      <c r="AB170" t="s">
        <v>406</v>
      </c>
      <c r="AC170" t="s">
        <v>566</v>
      </c>
      <c r="AD170" t="s">
        <v>406</v>
      </c>
      <c r="AE170" t="s">
        <v>137</v>
      </c>
      <c r="AF170">
        <v>4</v>
      </c>
      <c r="AG170">
        <v>450</v>
      </c>
      <c r="AH170">
        <v>577</v>
      </c>
      <c r="AI170" s="122">
        <v>36909</v>
      </c>
      <c r="AJ170" s="122">
        <v>33554</v>
      </c>
      <c r="AK170">
        <v>88</v>
      </c>
      <c r="AL170">
        <v>0</v>
      </c>
      <c r="AM170">
        <v>0</v>
      </c>
      <c r="AN170" s="122">
        <v>7323</v>
      </c>
      <c r="AO170" s="122">
        <v>2712</v>
      </c>
      <c r="AP170" s="122">
        <v>2214</v>
      </c>
      <c r="AQ170">
        <v>820</v>
      </c>
      <c r="AR170" s="122">
        <v>14056</v>
      </c>
      <c r="AS170" s="122">
        <v>12778</v>
      </c>
      <c r="AT170" s="122">
        <v>7313</v>
      </c>
      <c r="AU170" s="122">
        <v>2709</v>
      </c>
      <c r="AV170" s="122">
        <v>52573</v>
      </c>
    </row>
    <row r="171" spans="2:48">
      <c r="B171" t="s">
        <v>434</v>
      </c>
      <c r="C171" t="s">
        <v>52</v>
      </c>
      <c r="F171" s="122">
        <v>18</v>
      </c>
      <c r="G171" s="122">
        <v>1760</v>
      </c>
      <c r="H171" s="122">
        <v>2090</v>
      </c>
      <c r="I171" s="122"/>
      <c r="J171" s="122">
        <v>0</v>
      </c>
      <c r="K171" s="122"/>
      <c r="L171" s="122"/>
      <c r="M171" s="122">
        <v>0</v>
      </c>
      <c r="N171" s="122">
        <v>40459</v>
      </c>
      <c r="O171" s="122">
        <v>14985</v>
      </c>
      <c r="P171" s="122">
        <v>1418</v>
      </c>
      <c r="Q171" s="122">
        <v>525</v>
      </c>
      <c r="R171" s="122"/>
      <c r="S171" s="122">
        <v>0</v>
      </c>
      <c r="T171" s="122">
        <v>0</v>
      </c>
      <c r="U171" s="122">
        <v>0</v>
      </c>
      <c r="V171" s="122">
        <v>15510</v>
      </c>
      <c r="W171" s="122">
        <f t="shared" si="4"/>
        <v>15510</v>
      </c>
      <c r="X171" s="122">
        <f t="shared" si="5"/>
        <v>41877</v>
      </c>
      <c r="Y171" s="122"/>
      <c r="AA171" t="s">
        <v>54</v>
      </c>
      <c r="AB171" t="s">
        <v>406</v>
      </c>
      <c r="AC171" t="s">
        <v>566</v>
      </c>
      <c r="AD171" t="s">
        <v>406</v>
      </c>
      <c r="AE171" t="s">
        <v>566</v>
      </c>
      <c r="AF171">
        <v>34</v>
      </c>
      <c r="AG171" s="122">
        <v>2737</v>
      </c>
      <c r="AH171" s="122">
        <v>4796</v>
      </c>
      <c r="AI171" s="122">
        <v>196410</v>
      </c>
      <c r="AJ171" s="122">
        <v>178555</v>
      </c>
      <c r="AK171">
        <v>88</v>
      </c>
      <c r="AL171">
        <v>0</v>
      </c>
      <c r="AM171">
        <v>0</v>
      </c>
      <c r="AN171" s="122">
        <v>56303</v>
      </c>
      <c r="AO171" s="122">
        <v>20853</v>
      </c>
      <c r="AP171" s="122">
        <v>21114</v>
      </c>
      <c r="AQ171" s="122">
        <v>7820</v>
      </c>
      <c r="AR171" s="122">
        <v>121764</v>
      </c>
      <c r="AS171" s="122">
        <v>110695</v>
      </c>
      <c r="AT171">
        <v>0</v>
      </c>
      <c r="AU171">
        <v>0</v>
      </c>
      <c r="AV171" s="122">
        <v>317923</v>
      </c>
    </row>
    <row r="172" spans="2:48">
      <c r="B172" t="s">
        <v>434</v>
      </c>
      <c r="C172" t="s">
        <v>52</v>
      </c>
      <c r="D172" t="s">
        <v>405</v>
      </c>
      <c r="E172" s="122" t="s">
        <v>405</v>
      </c>
      <c r="F172" s="122">
        <v>2</v>
      </c>
      <c r="G172" s="122">
        <v>284</v>
      </c>
      <c r="H172" s="122">
        <v>237</v>
      </c>
      <c r="I172" s="122">
        <v>21425</v>
      </c>
      <c r="J172" s="122">
        <v>19477</v>
      </c>
      <c r="K172" s="122">
        <v>82</v>
      </c>
      <c r="L172" s="122">
        <v>5822</v>
      </c>
      <c r="M172" s="122">
        <v>5293</v>
      </c>
      <c r="N172" s="122">
        <v>9058</v>
      </c>
      <c r="O172" s="122">
        <v>3355</v>
      </c>
      <c r="P172">
        <v>945</v>
      </c>
      <c r="Q172" s="122">
        <v>350</v>
      </c>
      <c r="R172" s="122">
        <v>8183</v>
      </c>
      <c r="S172" s="122">
        <v>7439</v>
      </c>
      <c r="T172" s="122">
        <v>2509</v>
      </c>
      <c r="U172" s="122">
        <v>929</v>
      </c>
      <c r="V172" s="122">
        <v>36843</v>
      </c>
      <c r="W172" s="122">
        <f t="shared" si="4"/>
        <v>36843</v>
      </c>
      <c r="X172" s="122">
        <f t="shared" si="5"/>
        <v>47942</v>
      </c>
      <c r="Y172" s="122"/>
      <c r="AA172" t="s">
        <v>54</v>
      </c>
      <c r="AB172" t="s">
        <v>406</v>
      </c>
      <c r="AC172" t="s">
        <v>433</v>
      </c>
      <c r="AD172" t="s">
        <v>406</v>
      </c>
      <c r="AE172" t="s">
        <v>137</v>
      </c>
      <c r="AF172">
        <v>3</v>
      </c>
      <c r="AG172">
        <v>557</v>
      </c>
      <c r="AH172">
        <v>433</v>
      </c>
      <c r="AI172" s="122">
        <v>45036</v>
      </c>
      <c r="AJ172" s="122">
        <v>40942</v>
      </c>
      <c r="AK172">
        <v>91</v>
      </c>
      <c r="AL172" s="122">
        <v>7094</v>
      </c>
      <c r="AM172" s="122">
        <v>6449</v>
      </c>
      <c r="AN172" s="122">
        <v>9535</v>
      </c>
      <c r="AO172" s="122">
        <v>3532</v>
      </c>
      <c r="AP172" s="122">
        <v>1863</v>
      </c>
      <c r="AQ172">
        <v>690</v>
      </c>
      <c r="AR172" s="122">
        <v>14398</v>
      </c>
      <c r="AS172" s="122">
        <v>13089</v>
      </c>
      <c r="AT172" s="122">
        <v>2497</v>
      </c>
      <c r="AU172">
        <v>925</v>
      </c>
      <c r="AV172" s="122">
        <v>65627</v>
      </c>
    </row>
    <row r="173" spans="2:48">
      <c r="B173" t="s">
        <v>434</v>
      </c>
      <c r="C173" t="s">
        <v>52</v>
      </c>
      <c r="D173" t="s">
        <v>137</v>
      </c>
      <c r="E173" t="s">
        <v>137</v>
      </c>
      <c r="F173" s="122">
        <v>138</v>
      </c>
      <c r="G173" s="122">
        <v>9222</v>
      </c>
      <c r="H173" s="122">
        <v>15360</v>
      </c>
      <c r="I173" s="122">
        <v>90185</v>
      </c>
      <c r="J173" s="122">
        <v>33402</v>
      </c>
      <c r="K173" s="122">
        <v>304</v>
      </c>
      <c r="L173" s="122">
        <v>7850</v>
      </c>
      <c r="M173" s="122">
        <v>6584</v>
      </c>
      <c r="N173" s="122">
        <v>112977</v>
      </c>
      <c r="O173" s="122">
        <v>41843</v>
      </c>
      <c r="P173" s="122">
        <v>28600</v>
      </c>
      <c r="Q173" s="122">
        <v>10593</v>
      </c>
      <c r="R173" s="122">
        <v>786967</v>
      </c>
      <c r="S173" s="122">
        <v>291469</v>
      </c>
      <c r="T173">
        <v>0</v>
      </c>
      <c r="U173" s="122">
        <v>0</v>
      </c>
      <c r="V173" s="122">
        <v>383891</v>
      </c>
      <c r="W173" s="122">
        <f t="shared" si="4"/>
        <v>383891</v>
      </c>
      <c r="X173" s="122">
        <f t="shared" si="5"/>
        <v>1026579</v>
      </c>
      <c r="Y173" s="122"/>
      <c r="AA173" t="s">
        <v>54</v>
      </c>
      <c r="AB173" t="s">
        <v>406</v>
      </c>
      <c r="AC173" t="s">
        <v>433</v>
      </c>
      <c r="AD173" t="s">
        <v>406</v>
      </c>
      <c r="AE173" t="s">
        <v>566</v>
      </c>
      <c r="AF173">
        <v>5</v>
      </c>
      <c r="AG173" s="122">
        <v>1037</v>
      </c>
      <c r="AH173">
        <v>704</v>
      </c>
      <c r="AI173" s="122">
        <v>77543</v>
      </c>
      <c r="AJ173" s="122">
        <v>70494</v>
      </c>
      <c r="AK173">
        <v>90</v>
      </c>
      <c r="AL173" s="122">
        <v>20095</v>
      </c>
      <c r="AM173" s="122">
        <v>18269</v>
      </c>
      <c r="AN173" s="122">
        <v>21842</v>
      </c>
      <c r="AO173" s="122">
        <v>8090</v>
      </c>
      <c r="AP173" s="122">
        <v>3105</v>
      </c>
      <c r="AQ173" s="122">
        <v>1150</v>
      </c>
      <c r="AR173" s="122">
        <v>29069</v>
      </c>
      <c r="AS173" s="122">
        <v>26426</v>
      </c>
      <c r="AT173">
        <v>0</v>
      </c>
      <c r="AU173">
        <v>0</v>
      </c>
      <c r="AV173" s="122">
        <v>124428</v>
      </c>
    </row>
    <row r="174" spans="2:48">
      <c r="B174" t="s">
        <v>434</v>
      </c>
      <c r="C174" t="s">
        <v>52</v>
      </c>
      <c r="D174" t="s">
        <v>407</v>
      </c>
      <c r="E174" s="122" t="s">
        <v>407</v>
      </c>
      <c r="F174" s="122">
        <v>256</v>
      </c>
      <c r="G174" s="122">
        <v>22434</v>
      </c>
      <c r="H174" s="122">
        <v>29222</v>
      </c>
      <c r="I174" s="122">
        <v>1056439</v>
      </c>
      <c r="J174" s="122">
        <v>960399</v>
      </c>
      <c r="K174" s="122">
        <v>87</v>
      </c>
      <c r="L174" s="122">
        <v>94427</v>
      </c>
      <c r="M174" s="122">
        <v>53749</v>
      </c>
      <c r="N174" s="122">
        <v>435640</v>
      </c>
      <c r="O174" s="122">
        <v>161348</v>
      </c>
      <c r="P174" s="122">
        <v>122568</v>
      </c>
      <c r="Q174" s="122">
        <v>45396</v>
      </c>
      <c r="R174" s="122">
        <v>846932</v>
      </c>
      <c r="S174" s="122">
        <v>769938</v>
      </c>
      <c r="T174" s="122">
        <v>0</v>
      </c>
      <c r="U174" s="122">
        <v>0</v>
      </c>
      <c r="V174" s="122">
        <v>1990830</v>
      </c>
      <c r="W174" s="122">
        <f t="shared" si="4"/>
        <v>1990830</v>
      </c>
      <c r="X174" s="122">
        <f t="shared" si="5"/>
        <v>2556006</v>
      </c>
      <c r="Y174" s="122"/>
      <c r="AA174" t="s">
        <v>54</v>
      </c>
      <c r="AB174" t="s">
        <v>407</v>
      </c>
      <c r="AC174" t="s">
        <v>137</v>
      </c>
      <c r="AD174" t="s">
        <v>407</v>
      </c>
      <c r="AE174" t="s">
        <v>137</v>
      </c>
      <c r="AF174">
        <v>291</v>
      </c>
      <c r="AG174" s="122">
        <v>24862</v>
      </c>
      <c r="AH174" s="122">
        <v>40553</v>
      </c>
      <c r="AI174" s="122">
        <v>1073558</v>
      </c>
      <c r="AJ174" s="122">
        <v>975962</v>
      </c>
      <c r="AK174">
        <v>81</v>
      </c>
      <c r="AL174" s="122">
        <v>292077</v>
      </c>
      <c r="AM174" s="122">
        <v>108177</v>
      </c>
      <c r="AN174" s="122">
        <v>496163</v>
      </c>
      <c r="AO174" s="122">
        <v>183764</v>
      </c>
      <c r="AP174" s="122">
        <v>138344</v>
      </c>
      <c r="AQ174" s="122">
        <v>51238</v>
      </c>
      <c r="AR174" s="122">
        <v>1069082</v>
      </c>
      <c r="AS174" s="122">
        <v>971892</v>
      </c>
      <c r="AT174" s="122">
        <v>390835</v>
      </c>
      <c r="AU174" s="122">
        <v>144754</v>
      </c>
      <c r="AV174" s="122">
        <v>2435787</v>
      </c>
    </row>
    <row r="175" spans="2:48">
      <c r="B175" t="s">
        <v>434</v>
      </c>
      <c r="C175" t="s">
        <v>54</v>
      </c>
      <c r="F175" s="122">
        <v>9</v>
      </c>
      <c r="G175" s="122">
        <v>999</v>
      </c>
      <c r="H175" s="122">
        <v>1224</v>
      </c>
      <c r="I175" s="122"/>
      <c r="J175" s="122">
        <v>0</v>
      </c>
      <c r="K175" s="122"/>
      <c r="L175" s="122"/>
      <c r="M175" s="122">
        <v>0</v>
      </c>
      <c r="N175" s="122">
        <v>20827</v>
      </c>
      <c r="O175" s="122">
        <v>7714</v>
      </c>
      <c r="P175" s="122">
        <v>2073</v>
      </c>
      <c r="Q175" s="122">
        <v>768</v>
      </c>
      <c r="R175" s="122"/>
      <c r="S175" s="122">
        <v>0</v>
      </c>
      <c r="T175" s="122">
        <v>1878</v>
      </c>
      <c r="U175" s="122">
        <v>695</v>
      </c>
      <c r="V175" s="122">
        <v>9177</v>
      </c>
      <c r="W175" s="122">
        <f t="shared" si="4"/>
        <v>9177</v>
      </c>
      <c r="X175" s="122">
        <f t="shared" si="5"/>
        <v>24778</v>
      </c>
      <c r="Y175" s="122"/>
      <c r="AA175" t="s">
        <v>54</v>
      </c>
      <c r="AB175" t="s">
        <v>407</v>
      </c>
      <c r="AC175" t="s">
        <v>137</v>
      </c>
      <c r="AD175" t="s">
        <v>407</v>
      </c>
      <c r="AE175" t="s">
        <v>566</v>
      </c>
      <c r="AF175" s="122">
        <v>1008</v>
      </c>
      <c r="AG175" s="122">
        <v>82809</v>
      </c>
      <c r="AH175" s="122">
        <v>139771</v>
      </c>
      <c r="AI175" s="122">
        <v>4214436</v>
      </c>
      <c r="AJ175" s="122">
        <v>3831305</v>
      </c>
      <c r="AK175">
        <v>82</v>
      </c>
      <c r="AL175" s="122">
        <v>1073879</v>
      </c>
      <c r="AM175" s="122">
        <v>397733</v>
      </c>
      <c r="AN175" s="122">
        <v>1679786</v>
      </c>
      <c r="AO175" s="122">
        <v>622143</v>
      </c>
      <c r="AP175" s="122">
        <v>505968</v>
      </c>
      <c r="AQ175" s="122">
        <v>187395</v>
      </c>
      <c r="AR175" s="122">
        <v>4033471</v>
      </c>
      <c r="AS175" s="122">
        <v>3666792</v>
      </c>
      <c r="AT175">
        <v>0</v>
      </c>
      <c r="AU175">
        <v>0</v>
      </c>
      <c r="AV175" s="122">
        <v>8705368</v>
      </c>
    </row>
    <row r="176" spans="2:48">
      <c r="B176" t="s">
        <v>434</v>
      </c>
      <c r="C176" t="s">
        <v>54</v>
      </c>
      <c r="D176" t="s">
        <v>405</v>
      </c>
      <c r="E176" t="s">
        <v>405</v>
      </c>
      <c r="F176">
        <v>2</v>
      </c>
      <c r="G176" s="122">
        <v>195</v>
      </c>
      <c r="H176" s="122">
        <v>267</v>
      </c>
      <c r="I176" s="122">
        <v>11487</v>
      </c>
      <c r="J176" s="122">
        <v>10443</v>
      </c>
      <c r="K176" s="122">
        <v>80</v>
      </c>
      <c r="L176" s="122">
        <v>0</v>
      </c>
      <c r="M176" s="122">
        <v>0</v>
      </c>
      <c r="N176" s="122">
        <v>4474</v>
      </c>
      <c r="O176" s="122">
        <v>1657</v>
      </c>
      <c r="P176">
        <v>945</v>
      </c>
      <c r="Q176" s="122">
        <v>350</v>
      </c>
      <c r="R176" s="122">
        <v>9148</v>
      </c>
      <c r="S176" s="122">
        <v>8316</v>
      </c>
      <c r="T176">
        <v>0</v>
      </c>
      <c r="U176" s="122">
        <v>0</v>
      </c>
      <c r="V176" s="122">
        <v>20766</v>
      </c>
      <c r="W176" s="122">
        <f t="shared" si="4"/>
        <v>20766</v>
      </c>
      <c r="X176" s="122">
        <f t="shared" si="5"/>
        <v>26054</v>
      </c>
      <c r="Y176" s="122"/>
      <c r="AA176" t="s">
        <v>54</v>
      </c>
      <c r="AB176" t="s">
        <v>407</v>
      </c>
      <c r="AC176" t="s">
        <v>427</v>
      </c>
      <c r="AD176" t="s">
        <v>407</v>
      </c>
      <c r="AE176" t="s">
        <v>137</v>
      </c>
      <c r="AF176">
        <v>16</v>
      </c>
      <c r="AG176" s="122">
        <v>1642</v>
      </c>
      <c r="AH176" s="122">
        <v>2117</v>
      </c>
      <c r="AI176" s="122">
        <v>82299</v>
      </c>
      <c r="AJ176" s="122">
        <v>74817</v>
      </c>
      <c r="AK176">
        <v>81</v>
      </c>
      <c r="AL176" s="122">
        <v>23522</v>
      </c>
      <c r="AM176" s="122">
        <v>21383</v>
      </c>
      <c r="AN176" s="122">
        <v>21546</v>
      </c>
      <c r="AO176" s="122">
        <v>7980</v>
      </c>
      <c r="AP176" s="122">
        <v>7560</v>
      </c>
      <c r="AQ176" s="122">
        <v>2800</v>
      </c>
      <c r="AR176" s="122">
        <v>44749</v>
      </c>
      <c r="AS176" s="122">
        <v>40681</v>
      </c>
      <c r="AT176" s="122">
        <v>37108</v>
      </c>
      <c r="AU176" s="122">
        <v>13744</v>
      </c>
      <c r="AV176" s="122">
        <v>161405</v>
      </c>
    </row>
    <row r="177" spans="2:48">
      <c r="B177" t="s">
        <v>434</v>
      </c>
      <c r="C177" t="s">
        <v>54</v>
      </c>
      <c r="D177" t="s">
        <v>137</v>
      </c>
      <c r="E177" t="s">
        <v>137</v>
      </c>
      <c r="F177" s="122">
        <v>92</v>
      </c>
      <c r="G177" s="122">
        <v>5779</v>
      </c>
      <c r="H177" s="122">
        <v>12534</v>
      </c>
      <c r="I177" s="122">
        <v>167405</v>
      </c>
      <c r="J177" s="122">
        <v>62002</v>
      </c>
      <c r="K177" s="122">
        <v>262</v>
      </c>
      <c r="L177" s="122">
        <v>9755</v>
      </c>
      <c r="M177" s="122">
        <v>8861</v>
      </c>
      <c r="N177" s="122">
        <v>80104</v>
      </c>
      <c r="O177" s="122">
        <v>29668</v>
      </c>
      <c r="P177" s="122">
        <v>12680</v>
      </c>
      <c r="Q177" s="122">
        <v>4696</v>
      </c>
      <c r="R177" s="122">
        <v>520528</v>
      </c>
      <c r="S177" s="122">
        <v>192788</v>
      </c>
      <c r="T177" s="122">
        <v>0</v>
      </c>
      <c r="U177" s="122">
        <v>0</v>
      </c>
      <c r="V177" s="122">
        <v>298015</v>
      </c>
      <c r="W177" s="122">
        <f t="shared" si="4"/>
        <v>298015</v>
      </c>
      <c r="X177" s="122">
        <f t="shared" si="5"/>
        <v>790472</v>
      </c>
      <c r="Y177" s="122"/>
      <c r="AA177" t="s">
        <v>54</v>
      </c>
      <c r="AB177" t="s">
        <v>407</v>
      </c>
      <c r="AC177" t="s">
        <v>427</v>
      </c>
      <c r="AD177" t="s">
        <v>407</v>
      </c>
      <c r="AE177" t="s">
        <v>566</v>
      </c>
      <c r="AF177">
        <v>13</v>
      </c>
      <c r="AG177" s="122">
        <v>1164</v>
      </c>
      <c r="AH177" s="122">
        <v>1848</v>
      </c>
      <c r="AI177" s="122">
        <v>62971</v>
      </c>
      <c r="AJ177" s="122">
        <v>57247</v>
      </c>
      <c r="AK177">
        <v>85</v>
      </c>
      <c r="AL177" s="122">
        <v>16842</v>
      </c>
      <c r="AM177" s="122">
        <v>15311</v>
      </c>
      <c r="AN177" s="122">
        <v>21760</v>
      </c>
      <c r="AO177" s="122">
        <v>8059</v>
      </c>
      <c r="AP177" s="122">
        <v>6143</v>
      </c>
      <c r="AQ177" s="122">
        <v>2275</v>
      </c>
      <c r="AR177" s="122">
        <v>56625</v>
      </c>
      <c r="AS177" s="122">
        <v>51477</v>
      </c>
      <c r="AT177">
        <v>0</v>
      </c>
      <c r="AU177">
        <v>0</v>
      </c>
      <c r="AV177" s="122">
        <v>134369</v>
      </c>
    </row>
    <row r="178" spans="2:48">
      <c r="B178" t="s">
        <v>434</v>
      </c>
      <c r="C178" t="s">
        <v>54</v>
      </c>
      <c r="D178" t="s">
        <v>406</v>
      </c>
      <c r="E178" t="s">
        <v>406</v>
      </c>
      <c r="F178">
        <v>2</v>
      </c>
      <c r="G178" s="122">
        <v>490</v>
      </c>
      <c r="H178" s="122">
        <v>270</v>
      </c>
      <c r="I178" s="122">
        <v>34657</v>
      </c>
      <c r="J178" s="122">
        <v>31506</v>
      </c>
      <c r="K178" s="122">
        <v>86</v>
      </c>
      <c r="L178" s="122">
        <v>7976</v>
      </c>
      <c r="M178" s="122">
        <v>7251</v>
      </c>
      <c r="N178" s="122">
        <v>11071</v>
      </c>
      <c r="O178" s="122">
        <v>4100</v>
      </c>
      <c r="P178" s="122">
        <v>1242</v>
      </c>
      <c r="Q178" s="122">
        <v>460</v>
      </c>
      <c r="R178" s="122">
        <v>12105</v>
      </c>
      <c r="S178" s="122">
        <v>11004</v>
      </c>
      <c r="T178" s="122">
        <v>0</v>
      </c>
      <c r="U178" s="122">
        <v>0</v>
      </c>
      <c r="V178" s="122">
        <v>54322</v>
      </c>
      <c r="W178" s="122">
        <f t="shared" si="4"/>
        <v>54321</v>
      </c>
      <c r="X178" s="122">
        <f t="shared" si="5"/>
        <v>67051</v>
      </c>
      <c r="Y178" s="122"/>
      <c r="AA178" t="s">
        <v>54</v>
      </c>
      <c r="AB178" t="s">
        <v>407</v>
      </c>
      <c r="AC178" t="s">
        <v>407</v>
      </c>
      <c r="AD178" t="s">
        <v>425</v>
      </c>
      <c r="AE178" t="s">
        <v>137</v>
      </c>
      <c r="AF178">
        <v>1</v>
      </c>
      <c r="AG178">
        <v>105</v>
      </c>
      <c r="AH178">
        <v>146</v>
      </c>
      <c r="AI178" s="122">
        <v>5011</v>
      </c>
      <c r="AJ178" s="122">
        <v>4555</v>
      </c>
      <c r="AK178">
        <v>80</v>
      </c>
      <c r="AL178" s="122">
        <v>1052</v>
      </c>
      <c r="AM178">
        <v>957</v>
      </c>
      <c r="AN178" s="122">
        <v>2382</v>
      </c>
      <c r="AO178">
        <v>882</v>
      </c>
      <c r="AP178">
        <v>473</v>
      </c>
      <c r="AQ178">
        <v>175</v>
      </c>
      <c r="AR178" s="122">
        <v>3908</v>
      </c>
      <c r="AS178" s="122">
        <v>3552</v>
      </c>
      <c r="AT178" s="122">
        <v>2485</v>
      </c>
      <c r="AU178">
        <v>920</v>
      </c>
      <c r="AV178" s="122">
        <v>11042</v>
      </c>
    </row>
    <row r="179" spans="2:48">
      <c r="B179" t="s">
        <v>434</v>
      </c>
      <c r="C179" t="s">
        <v>54</v>
      </c>
      <c r="D179" t="s">
        <v>407</v>
      </c>
      <c r="E179" s="122" t="s">
        <v>407</v>
      </c>
      <c r="F179" s="122">
        <v>387</v>
      </c>
      <c r="G179" s="122">
        <v>30490</v>
      </c>
      <c r="H179" s="122">
        <v>53835</v>
      </c>
      <c r="I179" s="122">
        <v>1924239</v>
      </c>
      <c r="J179" s="122">
        <v>1749308</v>
      </c>
      <c r="K179" s="122">
        <v>83</v>
      </c>
      <c r="L179" s="122">
        <v>173147</v>
      </c>
      <c r="M179" s="122">
        <v>111655</v>
      </c>
      <c r="N179" s="122">
        <v>591176</v>
      </c>
      <c r="O179" s="122">
        <v>218954</v>
      </c>
      <c r="P179" s="122">
        <v>189729</v>
      </c>
      <c r="Q179" s="122">
        <v>70270</v>
      </c>
      <c r="R179" s="122">
        <v>1345249</v>
      </c>
      <c r="S179" s="122">
        <v>1222954</v>
      </c>
      <c r="T179" s="122">
        <v>22108</v>
      </c>
      <c r="U179" s="122">
        <v>8188</v>
      </c>
      <c r="V179" s="122">
        <v>3381329</v>
      </c>
      <c r="W179" s="122">
        <f t="shared" si="4"/>
        <v>3381329</v>
      </c>
      <c r="X179" s="122">
        <f t="shared" si="5"/>
        <v>4245648</v>
      </c>
      <c r="Y179" s="122"/>
      <c r="AA179" t="s">
        <v>54</v>
      </c>
      <c r="AB179" t="s">
        <v>407</v>
      </c>
      <c r="AC179" t="s">
        <v>407</v>
      </c>
      <c r="AD179" t="s">
        <v>407</v>
      </c>
      <c r="AE179" t="s">
        <v>137</v>
      </c>
      <c r="AF179">
        <v>348</v>
      </c>
      <c r="AG179" s="122">
        <v>32207</v>
      </c>
      <c r="AH179" s="122">
        <v>48843</v>
      </c>
      <c r="AI179" s="122">
        <v>1685939</v>
      </c>
      <c r="AJ179" s="122">
        <v>1532672</v>
      </c>
      <c r="AK179">
        <v>81</v>
      </c>
      <c r="AL179" s="122">
        <v>274931</v>
      </c>
      <c r="AM179" s="122">
        <v>249937</v>
      </c>
      <c r="AN179" s="122">
        <v>620640</v>
      </c>
      <c r="AO179" s="122">
        <v>229867</v>
      </c>
      <c r="AP179" s="122">
        <v>164646</v>
      </c>
      <c r="AQ179" s="122">
        <v>60980</v>
      </c>
      <c r="AR179" s="122">
        <v>1327678</v>
      </c>
      <c r="AS179" s="122">
        <v>1206980</v>
      </c>
      <c r="AT179" s="122">
        <v>503459</v>
      </c>
      <c r="AU179" s="122">
        <v>186466</v>
      </c>
      <c r="AV179" s="122">
        <v>3466902</v>
      </c>
    </row>
    <row r="180" spans="2:48">
      <c r="B180" t="s">
        <v>434</v>
      </c>
      <c r="C180" t="s">
        <v>56</v>
      </c>
      <c r="F180" s="122">
        <v>6</v>
      </c>
      <c r="G180" s="122">
        <v>492</v>
      </c>
      <c r="H180" s="122">
        <v>1042</v>
      </c>
      <c r="I180" s="122"/>
      <c r="J180" s="122">
        <v>0</v>
      </c>
      <c r="K180" s="122"/>
      <c r="L180" s="122"/>
      <c r="M180" s="122">
        <v>0</v>
      </c>
      <c r="N180" s="122">
        <v>10064</v>
      </c>
      <c r="O180" s="122">
        <v>3727</v>
      </c>
      <c r="P180" s="122">
        <v>2271</v>
      </c>
      <c r="Q180" s="122">
        <v>841</v>
      </c>
      <c r="R180" s="122"/>
      <c r="S180" s="122">
        <v>0</v>
      </c>
      <c r="T180" s="122">
        <v>0</v>
      </c>
      <c r="U180" s="122">
        <v>0</v>
      </c>
      <c r="V180" s="122">
        <v>4568</v>
      </c>
      <c r="W180" s="122">
        <f t="shared" si="4"/>
        <v>4568</v>
      </c>
      <c r="X180" s="122">
        <f t="shared" si="5"/>
        <v>12335</v>
      </c>
      <c r="Y180" s="122"/>
      <c r="AA180" t="s">
        <v>54</v>
      </c>
      <c r="AB180" t="s">
        <v>407</v>
      </c>
      <c r="AC180" t="s">
        <v>407</v>
      </c>
      <c r="AD180" t="s">
        <v>407</v>
      </c>
      <c r="AE180" t="s">
        <v>566</v>
      </c>
      <c r="AF180" s="122">
        <v>1081</v>
      </c>
      <c r="AG180" s="122">
        <v>101499</v>
      </c>
      <c r="AH180" s="122">
        <v>150489</v>
      </c>
      <c r="AI180" s="122">
        <v>5772673</v>
      </c>
      <c r="AJ180" s="122">
        <v>5247884</v>
      </c>
      <c r="AK180">
        <v>83</v>
      </c>
      <c r="AL180" s="122">
        <v>1115881</v>
      </c>
      <c r="AM180" s="122">
        <v>1014438</v>
      </c>
      <c r="AN180" s="122">
        <v>2057667</v>
      </c>
      <c r="AO180" s="122">
        <v>762099</v>
      </c>
      <c r="AP180" s="122">
        <v>524770</v>
      </c>
      <c r="AQ180" s="122">
        <v>194359</v>
      </c>
      <c r="AR180" s="122">
        <v>4734389</v>
      </c>
      <c r="AS180" s="122">
        <v>4303990</v>
      </c>
      <c r="AT180">
        <v>0</v>
      </c>
      <c r="AU180">
        <v>0</v>
      </c>
      <c r="AV180" s="122">
        <v>11522770</v>
      </c>
    </row>
    <row r="181" spans="2:48">
      <c r="B181" t="s">
        <v>434</v>
      </c>
      <c r="C181" t="s">
        <v>56</v>
      </c>
      <c r="D181" t="s">
        <v>405</v>
      </c>
      <c r="E181" t="s">
        <v>405</v>
      </c>
      <c r="F181" s="122">
        <v>7</v>
      </c>
      <c r="G181" s="122">
        <v>397</v>
      </c>
      <c r="H181" s="122">
        <v>1284</v>
      </c>
      <c r="I181" s="122">
        <v>35789</v>
      </c>
      <c r="J181" s="122">
        <v>32535</v>
      </c>
      <c r="K181" s="122">
        <v>82</v>
      </c>
      <c r="L181" s="122">
        <v>0</v>
      </c>
      <c r="M181" s="122">
        <v>0</v>
      </c>
      <c r="N181" s="122">
        <v>9095</v>
      </c>
      <c r="O181" s="122">
        <v>3368</v>
      </c>
      <c r="P181" s="122">
        <v>3308</v>
      </c>
      <c r="Q181" s="122">
        <v>1225</v>
      </c>
      <c r="R181" s="122">
        <v>24329</v>
      </c>
      <c r="S181" s="122">
        <v>22117</v>
      </c>
      <c r="T181" s="122">
        <v>0</v>
      </c>
      <c r="U181" s="122">
        <v>0</v>
      </c>
      <c r="V181" s="122">
        <v>59246</v>
      </c>
      <c r="W181" s="122">
        <f t="shared" si="4"/>
        <v>59245</v>
      </c>
      <c r="X181" s="122">
        <f t="shared" si="5"/>
        <v>72521</v>
      </c>
      <c r="Y181" s="122"/>
      <c r="AA181" t="s">
        <v>54</v>
      </c>
      <c r="AB181" t="s">
        <v>407</v>
      </c>
      <c r="AC181" t="s">
        <v>407</v>
      </c>
      <c r="AD181" t="s">
        <v>429</v>
      </c>
      <c r="AE181" t="s">
        <v>566</v>
      </c>
      <c r="AF181">
        <v>1</v>
      </c>
      <c r="AG181">
        <v>104</v>
      </c>
      <c r="AH181">
        <v>139</v>
      </c>
      <c r="AI181" s="122">
        <v>4449</v>
      </c>
      <c r="AJ181" s="122">
        <v>4045</v>
      </c>
      <c r="AK181">
        <v>78</v>
      </c>
      <c r="AL181" s="122">
        <v>1102</v>
      </c>
      <c r="AM181" s="122">
        <v>1002</v>
      </c>
      <c r="AN181" s="122">
        <v>2531</v>
      </c>
      <c r="AO181">
        <v>937</v>
      </c>
      <c r="AP181">
        <v>473</v>
      </c>
      <c r="AQ181">
        <v>175</v>
      </c>
      <c r="AR181" s="122">
        <v>5908</v>
      </c>
      <c r="AS181" s="122">
        <v>5371</v>
      </c>
      <c r="AT181">
        <v>0</v>
      </c>
      <c r="AU181">
        <v>0</v>
      </c>
      <c r="AV181" s="122">
        <v>11529</v>
      </c>
    </row>
    <row r="182" spans="2:48">
      <c r="B182" t="s">
        <v>434</v>
      </c>
      <c r="C182" t="s">
        <v>56</v>
      </c>
      <c r="D182" t="s">
        <v>137</v>
      </c>
      <c r="E182" s="122" t="s">
        <v>137</v>
      </c>
      <c r="F182" s="122">
        <v>451</v>
      </c>
      <c r="G182" s="122">
        <v>31916</v>
      </c>
      <c r="H182" s="122">
        <v>87637</v>
      </c>
      <c r="I182" s="122">
        <v>2681673</v>
      </c>
      <c r="J182" s="122">
        <v>993212</v>
      </c>
      <c r="K182" s="122">
        <v>116</v>
      </c>
      <c r="L182" s="122">
        <v>177537</v>
      </c>
      <c r="M182" s="122">
        <v>93682</v>
      </c>
      <c r="N182" s="122">
        <v>531112</v>
      </c>
      <c r="O182" s="122">
        <v>196708</v>
      </c>
      <c r="P182" s="122">
        <v>3276</v>
      </c>
      <c r="Q182" s="122">
        <v>1213</v>
      </c>
      <c r="R182" s="122">
        <v>2803536</v>
      </c>
      <c r="S182" s="122">
        <v>1038347</v>
      </c>
      <c r="T182" s="122">
        <v>0</v>
      </c>
      <c r="U182" s="122">
        <v>0</v>
      </c>
      <c r="V182" s="122">
        <v>2323162</v>
      </c>
      <c r="W182" s="122">
        <f t="shared" si="4"/>
        <v>2323162</v>
      </c>
      <c r="X182" s="122">
        <f t="shared" si="5"/>
        <v>6197134</v>
      </c>
      <c r="Y182" s="122"/>
      <c r="AA182" t="s">
        <v>54</v>
      </c>
      <c r="AB182" t="s">
        <v>407</v>
      </c>
      <c r="AC182" t="s">
        <v>579</v>
      </c>
      <c r="AD182" t="s">
        <v>407</v>
      </c>
      <c r="AE182" t="s">
        <v>137</v>
      </c>
      <c r="AF182">
        <v>27</v>
      </c>
      <c r="AG182" s="122">
        <v>2729</v>
      </c>
      <c r="AH182" s="122">
        <v>3761</v>
      </c>
      <c r="AI182" s="122">
        <v>138085</v>
      </c>
      <c r="AJ182" s="122">
        <v>125532</v>
      </c>
      <c r="AK182">
        <v>86</v>
      </c>
      <c r="AL182" s="122">
        <v>38484</v>
      </c>
      <c r="AM182" s="122">
        <v>32070</v>
      </c>
      <c r="AN182" s="122">
        <v>51918</v>
      </c>
      <c r="AO182" s="122">
        <v>19229</v>
      </c>
      <c r="AP182" s="122">
        <v>12758</v>
      </c>
      <c r="AQ182" s="122">
        <v>4725</v>
      </c>
      <c r="AR182" s="122">
        <v>103553</v>
      </c>
      <c r="AS182" s="122">
        <v>94139</v>
      </c>
      <c r="AT182" s="122">
        <v>35051</v>
      </c>
      <c r="AU182" s="122">
        <v>12982</v>
      </c>
      <c r="AV182" s="122">
        <v>288676</v>
      </c>
    </row>
    <row r="183" spans="2:48">
      <c r="B183" t="s">
        <v>434</v>
      </c>
      <c r="C183" t="s">
        <v>56</v>
      </c>
      <c r="D183" t="s">
        <v>137</v>
      </c>
      <c r="E183" t="s">
        <v>407</v>
      </c>
      <c r="F183" s="122">
        <v>5</v>
      </c>
      <c r="G183" s="122">
        <v>327</v>
      </c>
      <c r="H183" s="122">
        <v>977</v>
      </c>
      <c r="I183" s="122">
        <v>37392</v>
      </c>
      <c r="J183" s="122">
        <v>13849</v>
      </c>
      <c r="K183" s="122">
        <v>100</v>
      </c>
      <c r="L183" s="122">
        <v>0</v>
      </c>
      <c r="M183" s="122">
        <v>0</v>
      </c>
      <c r="N183" s="122">
        <v>6316</v>
      </c>
      <c r="O183" s="122">
        <v>2339</v>
      </c>
      <c r="P183" s="122">
        <v>0</v>
      </c>
      <c r="Q183" s="122">
        <v>0</v>
      </c>
      <c r="R183" s="122">
        <v>20285</v>
      </c>
      <c r="S183" s="122">
        <v>18440</v>
      </c>
      <c r="T183" s="122">
        <v>0</v>
      </c>
      <c r="U183" s="122">
        <v>0</v>
      </c>
      <c r="V183" s="122">
        <v>34628</v>
      </c>
      <c r="W183" s="122">
        <f t="shared" si="4"/>
        <v>34628</v>
      </c>
      <c r="X183" s="122">
        <f t="shared" si="5"/>
        <v>63993</v>
      </c>
      <c r="Y183" s="122"/>
      <c r="AA183" t="s">
        <v>54</v>
      </c>
      <c r="AB183" t="s">
        <v>407</v>
      </c>
      <c r="AC183" t="s">
        <v>579</v>
      </c>
      <c r="AD183" t="s">
        <v>407</v>
      </c>
      <c r="AE183" t="s">
        <v>566</v>
      </c>
      <c r="AF183">
        <v>194</v>
      </c>
      <c r="AG183" s="122">
        <v>17894</v>
      </c>
      <c r="AH183" s="122">
        <v>27050</v>
      </c>
      <c r="AI183" s="122">
        <v>1051792</v>
      </c>
      <c r="AJ183" s="122">
        <v>956175</v>
      </c>
      <c r="AK183">
        <v>88</v>
      </c>
      <c r="AL183" s="122">
        <v>309420</v>
      </c>
      <c r="AM183" s="122">
        <v>257850</v>
      </c>
      <c r="AN183" s="122">
        <v>324299</v>
      </c>
      <c r="AO183" s="122">
        <v>120111</v>
      </c>
      <c r="AP183" s="122">
        <v>96875</v>
      </c>
      <c r="AQ183" s="122">
        <v>35880</v>
      </c>
      <c r="AR183" s="122">
        <v>741578</v>
      </c>
      <c r="AS183" s="122">
        <v>674162</v>
      </c>
      <c r="AT183">
        <v>0</v>
      </c>
      <c r="AU183">
        <v>0</v>
      </c>
      <c r="AV183" s="122">
        <v>2044177</v>
      </c>
    </row>
    <row r="184" spans="2:48">
      <c r="B184" t="s">
        <v>434</v>
      </c>
      <c r="C184" t="s">
        <v>56</v>
      </c>
      <c r="D184" t="s">
        <v>137</v>
      </c>
      <c r="E184" t="s">
        <v>426</v>
      </c>
      <c r="F184" s="122">
        <v>1</v>
      </c>
      <c r="G184" s="122">
        <v>57</v>
      </c>
      <c r="H184" s="122">
        <v>197</v>
      </c>
      <c r="I184" s="122">
        <v>8030</v>
      </c>
      <c r="J184" s="122">
        <v>2974</v>
      </c>
      <c r="K184" s="122">
        <v>100</v>
      </c>
      <c r="L184" s="122">
        <v>0</v>
      </c>
      <c r="M184" s="122">
        <v>0</v>
      </c>
      <c r="N184" s="122">
        <v>1035</v>
      </c>
      <c r="O184" s="122">
        <v>383</v>
      </c>
      <c r="P184" s="122">
        <v>0</v>
      </c>
      <c r="Q184" s="122">
        <v>0</v>
      </c>
      <c r="R184" s="122">
        <v>2082</v>
      </c>
      <c r="S184" s="122">
        <v>1893</v>
      </c>
      <c r="T184" s="122">
        <v>0</v>
      </c>
      <c r="U184" s="122">
        <v>0</v>
      </c>
      <c r="V184" s="122">
        <v>5250</v>
      </c>
      <c r="W184" s="122">
        <f t="shared" si="4"/>
        <v>5250</v>
      </c>
      <c r="X184" s="122">
        <f t="shared" si="5"/>
        <v>11147</v>
      </c>
      <c r="Y184" s="122"/>
      <c r="AA184" t="s">
        <v>54</v>
      </c>
      <c r="AB184" t="s">
        <v>407</v>
      </c>
      <c r="AC184" t="s">
        <v>426</v>
      </c>
      <c r="AD184" t="s">
        <v>407</v>
      </c>
      <c r="AE184" t="s">
        <v>137</v>
      </c>
      <c r="AF184">
        <v>67</v>
      </c>
      <c r="AG184" s="122">
        <v>6263</v>
      </c>
      <c r="AH184" s="122">
        <v>9518</v>
      </c>
      <c r="AI184" s="122">
        <v>332258</v>
      </c>
      <c r="AJ184" s="122">
        <v>302052</v>
      </c>
      <c r="AK184">
        <v>82</v>
      </c>
      <c r="AL184" s="122">
        <v>95250</v>
      </c>
      <c r="AM184" s="122">
        <v>86591</v>
      </c>
      <c r="AN184" s="122">
        <v>138304</v>
      </c>
      <c r="AO184" s="122">
        <v>51224</v>
      </c>
      <c r="AP184" s="122">
        <v>31658</v>
      </c>
      <c r="AQ184" s="122">
        <v>11725</v>
      </c>
      <c r="AR184" s="122">
        <v>275516</v>
      </c>
      <c r="AS184" s="122">
        <v>250469</v>
      </c>
      <c r="AT184" s="122">
        <v>14492</v>
      </c>
      <c r="AU184" s="122">
        <v>5368</v>
      </c>
      <c r="AV184" s="122">
        <v>707428</v>
      </c>
    </row>
    <row r="185" spans="2:48">
      <c r="B185" t="s">
        <v>434</v>
      </c>
      <c r="C185" t="s">
        <v>56</v>
      </c>
      <c r="D185" t="s">
        <v>406</v>
      </c>
      <c r="E185" t="s">
        <v>137</v>
      </c>
      <c r="F185">
        <v>1</v>
      </c>
      <c r="G185">
        <v>56</v>
      </c>
      <c r="H185" s="122">
        <v>211</v>
      </c>
      <c r="I185" s="122">
        <v>4674</v>
      </c>
      <c r="J185" s="122">
        <v>4249</v>
      </c>
      <c r="K185" s="122">
        <v>85</v>
      </c>
      <c r="L185" s="122">
        <v>1402</v>
      </c>
      <c r="M185" s="122">
        <v>1275</v>
      </c>
      <c r="N185" s="122">
        <v>680</v>
      </c>
      <c r="O185" s="122">
        <v>252</v>
      </c>
      <c r="P185">
        <v>621</v>
      </c>
      <c r="Q185" s="122">
        <v>230</v>
      </c>
      <c r="R185" s="122">
        <v>4420</v>
      </c>
      <c r="S185" s="122">
        <v>1637</v>
      </c>
      <c r="T185" s="122">
        <v>0</v>
      </c>
      <c r="U185" s="122">
        <v>0</v>
      </c>
      <c r="V185" s="122">
        <v>7643</v>
      </c>
      <c r="W185" s="122">
        <f t="shared" si="4"/>
        <v>7643</v>
      </c>
      <c r="X185" s="122">
        <f t="shared" si="5"/>
        <v>11797</v>
      </c>
      <c r="Y185" s="122"/>
      <c r="AA185" t="s">
        <v>54</v>
      </c>
      <c r="AB185" t="s">
        <v>407</v>
      </c>
      <c r="AC185" t="s">
        <v>426</v>
      </c>
      <c r="AD185" t="s">
        <v>407</v>
      </c>
      <c r="AE185" t="s">
        <v>566</v>
      </c>
      <c r="AF185">
        <v>121</v>
      </c>
      <c r="AG185" s="122">
        <v>11623</v>
      </c>
      <c r="AH185" s="122">
        <v>16981</v>
      </c>
      <c r="AI185" s="122">
        <v>676667</v>
      </c>
      <c r="AJ185" s="122">
        <v>615152</v>
      </c>
      <c r="AK185">
        <v>85</v>
      </c>
      <c r="AL185" s="122">
        <v>172566</v>
      </c>
      <c r="AM185" s="122">
        <v>156878</v>
      </c>
      <c r="AN185" s="122">
        <v>228753</v>
      </c>
      <c r="AO185" s="122">
        <v>84723</v>
      </c>
      <c r="AP185" s="122">
        <v>59195</v>
      </c>
      <c r="AQ185" s="122">
        <v>21924</v>
      </c>
      <c r="AR185" s="122">
        <v>512897</v>
      </c>
      <c r="AS185" s="122">
        <v>466270</v>
      </c>
      <c r="AT185">
        <v>0</v>
      </c>
      <c r="AU185">
        <v>0</v>
      </c>
      <c r="AV185" s="122">
        <v>1344948</v>
      </c>
    </row>
    <row r="186" spans="2:48" ht="13">
      <c r="B186" t="s">
        <v>434</v>
      </c>
      <c r="C186" t="s">
        <v>56</v>
      </c>
      <c r="D186" t="s">
        <v>406</v>
      </c>
      <c r="E186" t="s">
        <v>406</v>
      </c>
      <c r="F186" s="122">
        <v>11</v>
      </c>
      <c r="G186" s="122">
        <v>933</v>
      </c>
      <c r="H186" s="122">
        <v>2218</v>
      </c>
      <c r="I186" s="122">
        <v>91986</v>
      </c>
      <c r="J186" s="191">
        <v>83623</v>
      </c>
      <c r="K186" s="122">
        <v>88</v>
      </c>
      <c r="L186" s="122">
        <v>23781</v>
      </c>
      <c r="M186" s="122">
        <v>17439</v>
      </c>
      <c r="N186" s="122">
        <v>17684</v>
      </c>
      <c r="O186" s="122">
        <v>6549</v>
      </c>
      <c r="P186" s="122">
        <v>6831</v>
      </c>
      <c r="Q186" s="122">
        <v>2530</v>
      </c>
      <c r="R186" s="122">
        <v>41938</v>
      </c>
      <c r="S186" s="122">
        <v>38125</v>
      </c>
      <c r="T186" s="122">
        <v>4843</v>
      </c>
      <c r="U186" s="122">
        <v>1794</v>
      </c>
      <c r="V186" s="122">
        <v>150061</v>
      </c>
      <c r="W186" s="122">
        <f t="shared" si="4"/>
        <v>150060</v>
      </c>
      <c r="X186" s="122">
        <f t="shared" si="5"/>
        <v>187063</v>
      </c>
      <c r="Y186" s="122"/>
      <c r="AA186" t="s">
        <v>54</v>
      </c>
      <c r="AB186" t="s">
        <v>407</v>
      </c>
      <c r="AC186" t="s">
        <v>566</v>
      </c>
      <c r="AD186" t="s">
        <v>405</v>
      </c>
      <c r="AE186" t="s">
        <v>566</v>
      </c>
      <c r="AF186">
        <v>1</v>
      </c>
      <c r="AG186">
        <v>86</v>
      </c>
      <c r="AH186">
        <v>130</v>
      </c>
      <c r="AI186" s="122">
        <v>4877</v>
      </c>
      <c r="AJ186" s="122">
        <v>4433</v>
      </c>
      <c r="AK186">
        <v>91</v>
      </c>
      <c r="AL186">
        <v>0</v>
      </c>
      <c r="AM186">
        <v>0</v>
      </c>
      <c r="AN186" s="122">
        <v>1163</v>
      </c>
      <c r="AO186">
        <v>431</v>
      </c>
      <c r="AP186">
        <v>473</v>
      </c>
      <c r="AQ186">
        <v>175</v>
      </c>
      <c r="AR186" s="122">
        <v>4703</v>
      </c>
      <c r="AS186" s="122">
        <v>4276</v>
      </c>
      <c r="AT186">
        <v>0</v>
      </c>
      <c r="AU186">
        <v>0</v>
      </c>
      <c r="AV186" s="122">
        <v>9315</v>
      </c>
    </row>
    <row r="187" spans="2:48" ht="13">
      <c r="B187" t="s">
        <v>434</v>
      </c>
      <c r="C187" t="s">
        <v>56</v>
      </c>
      <c r="D187" t="s">
        <v>407</v>
      </c>
      <c r="E187" t="s">
        <v>137</v>
      </c>
      <c r="F187" s="122">
        <v>2</v>
      </c>
      <c r="G187" s="122">
        <v>85</v>
      </c>
      <c r="H187" s="122">
        <v>391</v>
      </c>
      <c r="I187" s="122">
        <v>7835</v>
      </c>
      <c r="J187" s="191">
        <v>7123</v>
      </c>
      <c r="K187" s="122">
        <v>79</v>
      </c>
      <c r="L187" s="122">
        <v>0</v>
      </c>
      <c r="M187" s="122">
        <v>0</v>
      </c>
      <c r="N187" s="122">
        <v>1709</v>
      </c>
      <c r="O187" s="122">
        <v>633</v>
      </c>
      <c r="P187" s="122">
        <v>945</v>
      </c>
      <c r="Q187" s="122">
        <v>350</v>
      </c>
      <c r="R187" s="122">
        <v>6139</v>
      </c>
      <c r="S187" s="122">
        <v>2274</v>
      </c>
      <c r="T187" s="122">
        <v>0</v>
      </c>
      <c r="U187" s="122">
        <v>0</v>
      </c>
      <c r="V187" s="122">
        <v>10379</v>
      </c>
      <c r="W187" s="122">
        <f t="shared" si="4"/>
        <v>10380</v>
      </c>
      <c r="X187" s="122">
        <f t="shared" si="5"/>
        <v>16628</v>
      </c>
      <c r="Y187" s="122"/>
      <c r="AA187" t="s">
        <v>54</v>
      </c>
      <c r="AB187" t="s">
        <v>407</v>
      </c>
      <c r="AC187" t="s">
        <v>566</v>
      </c>
      <c r="AD187" t="s">
        <v>137</v>
      </c>
      <c r="AE187" t="s">
        <v>566</v>
      </c>
      <c r="AF187">
        <v>2</v>
      </c>
      <c r="AG187">
        <v>234</v>
      </c>
      <c r="AH187">
        <v>297</v>
      </c>
      <c r="AI187" s="122">
        <v>16148</v>
      </c>
      <c r="AJ187" s="122">
        <v>14680</v>
      </c>
      <c r="AK187">
        <v>85</v>
      </c>
      <c r="AL187">
        <v>0</v>
      </c>
      <c r="AM187">
        <v>0</v>
      </c>
      <c r="AN187" s="122">
        <v>3456</v>
      </c>
      <c r="AO187" s="122">
        <v>1280</v>
      </c>
      <c r="AP187" s="122">
        <v>2473</v>
      </c>
      <c r="AQ187">
        <v>916</v>
      </c>
      <c r="AR187" s="122">
        <v>12699</v>
      </c>
      <c r="AS187" s="122">
        <v>4703</v>
      </c>
      <c r="AT187">
        <v>0</v>
      </c>
      <c r="AU187">
        <v>0</v>
      </c>
      <c r="AV187" s="122">
        <v>21580</v>
      </c>
    </row>
    <row r="188" spans="2:48" ht="13">
      <c r="B188" t="s">
        <v>434</v>
      </c>
      <c r="C188" t="s">
        <v>56</v>
      </c>
      <c r="D188" t="s">
        <v>407</v>
      </c>
      <c r="E188" t="s">
        <v>407</v>
      </c>
      <c r="F188" s="122">
        <v>803</v>
      </c>
      <c r="G188" s="122">
        <v>55488</v>
      </c>
      <c r="H188" s="122">
        <v>144351</v>
      </c>
      <c r="I188" s="122">
        <v>5080190</v>
      </c>
      <c r="J188" s="191">
        <v>4618354</v>
      </c>
      <c r="K188" s="122">
        <v>82</v>
      </c>
      <c r="L188" s="122">
        <v>539678</v>
      </c>
      <c r="M188" s="122">
        <v>370321</v>
      </c>
      <c r="N188" s="122">
        <v>1103158</v>
      </c>
      <c r="O188" s="122">
        <v>408577</v>
      </c>
      <c r="P188" s="122">
        <v>391084</v>
      </c>
      <c r="Q188" s="122">
        <v>144846</v>
      </c>
      <c r="R188" s="122">
        <v>2697105</v>
      </c>
      <c r="S188" s="122">
        <v>2451914</v>
      </c>
      <c r="T188" s="122">
        <v>102813</v>
      </c>
      <c r="U188" s="122">
        <v>38079</v>
      </c>
      <c r="V188" s="122">
        <v>8032091</v>
      </c>
      <c r="W188" s="122">
        <f t="shared" si="4"/>
        <v>8032091</v>
      </c>
      <c r="X188" s="122">
        <f t="shared" si="5"/>
        <v>9914028</v>
      </c>
      <c r="Y188" s="122"/>
      <c r="AA188" t="s">
        <v>54</v>
      </c>
      <c r="AB188" t="s">
        <v>407</v>
      </c>
      <c r="AC188" t="s">
        <v>566</v>
      </c>
      <c r="AD188" t="s">
        <v>407</v>
      </c>
      <c r="AE188" t="s">
        <v>137</v>
      </c>
      <c r="AF188" s="122">
        <v>1010</v>
      </c>
      <c r="AG188" s="122">
        <v>78659</v>
      </c>
      <c r="AH188" s="122">
        <v>140387</v>
      </c>
      <c r="AI188" s="122">
        <v>4216595</v>
      </c>
      <c r="AJ188" s="122">
        <v>3833268</v>
      </c>
      <c r="AK188">
        <v>82</v>
      </c>
      <c r="AL188">
        <v>0</v>
      </c>
      <c r="AM188" s="122">
        <v>15702</v>
      </c>
      <c r="AN188" s="122">
        <v>1531238</v>
      </c>
      <c r="AO188" s="122">
        <v>567125</v>
      </c>
      <c r="AP188" s="122">
        <v>495489</v>
      </c>
      <c r="AQ188" s="122">
        <v>183515</v>
      </c>
      <c r="AR188" s="122">
        <v>3495627</v>
      </c>
      <c r="AS188" s="122">
        <v>3177843</v>
      </c>
      <c r="AT188" s="122">
        <v>1241516</v>
      </c>
      <c r="AU188" s="122">
        <v>459821</v>
      </c>
      <c r="AV188" s="122">
        <v>8237274</v>
      </c>
    </row>
    <row r="189" spans="2:48" ht="13">
      <c r="B189" t="s">
        <v>434</v>
      </c>
      <c r="C189" t="s">
        <v>58</v>
      </c>
      <c r="F189" s="122">
        <v>3</v>
      </c>
      <c r="G189" s="122">
        <v>160</v>
      </c>
      <c r="H189" s="122">
        <v>791</v>
      </c>
      <c r="I189" s="122"/>
      <c r="J189" s="191">
        <v>0</v>
      </c>
      <c r="K189" s="122"/>
      <c r="L189" s="122"/>
      <c r="M189" s="122">
        <v>0</v>
      </c>
      <c r="N189" s="122">
        <v>3445</v>
      </c>
      <c r="O189" s="122">
        <v>1276</v>
      </c>
      <c r="P189">
        <v>473</v>
      </c>
      <c r="Q189" s="122">
        <v>175</v>
      </c>
      <c r="R189" s="122"/>
      <c r="S189">
        <v>0</v>
      </c>
      <c r="T189">
        <v>0</v>
      </c>
      <c r="U189" s="122">
        <v>0</v>
      </c>
      <c r="V189" s="122">
        <v>1451</v>
      </c>
      <c r="W189" s="122">
        <f t="shared" si="4"/>
        <v>1451</v>
      </c>
      <c r="X189" s="122">
        <f t="shared" si="5"/>
        <v>3918</v>
      </c>
      <c r="Y189" s="122"/>
      <c r="AA189" t="s">
        <v>54</v>
      </c>
      <c r="AB189" t="s">
        <v>407</v>
      </c>
      <c r="AC189" t="s">
        <v>566</v>
      </c>
      <c r="AD189" t="s">
        <v>407</v>
      </c>
      <c r="AE189" t="s">
        <v>566</v>
      </c>
      <c r="AF189" s="122">
        <v>6692</v>
      </c>
      <c r="AG189" s="122">
        <v>491909</v>
      </c>
      <c r="AH189" s="122">
        <v>923206</v>
      </c>
      <c r="AI189" s="122">
        <v>30748131</v>
      </c>
      <c r="AJ189" s="122">
        <v>27952846</v>
      </c>
      <c r="AK189">
        <v>84</v>
      </c>
      <c r="AL189">
        <v>0</v>
      </c>
      <c r="AM189" s="122">
        <v>47176</v>
      </c>
      <c r="AN189" s="122">
        <v>9968128</v>
      </c>
      <c r="AO189" s="122">
        <v>3691899</v>
      </c>
      <c r="AP189" s="122">
        <v>3440753</v>
      </c>
      <c r="AQ189" s="122">
        <v>1274353</v>
      </c>
      <c r="AR189" s="122">
        <v>23706210</v>
      </c>
      <c r="AS189" s="122">
        <v>21551100</v>
      </c>
      <c r="AT189">
        <v>0</v>
      </c>
      <c r="AU189">
        <v>0</v>
      </c>
      <c r="AV189" s="122">
        <v>54517374</v>
      </c>
    </row>
    <row r="190" spans="2:48" ht="13">
      <c r="B190" t="s">
        <v>434</v>
      </c>
      <c r="C190" t="s">
        <v>58</v>
      </c>
      <c r="D190" t="s">
        <v>137</v>
      </c>
      <c r="E190" t="s">
        <v>404</v>
      </c>
      <c r="F190">
        <v>1</v>
      </c>
      <c r="G190">
        <v>43</v>
      </c>
      <c r="H190" s="122">
        <v>258</v>
      </c>
      <c r="I190" s="122">
        <v>6189</v>
      </c>
      <c r="J190" s="191">
        <v>2292</v>
      </c>
      <c r="K190" s="122">
        <v>100</v>
      </c>
      <c r="L190" s="122">
        <v>0</v>
      </c>
      <c r="M190" s="122">
        <v>0</v>
      </c>
      <c r="N190" s="122">
        <v>526</v>
      </c>
      <c r="O190" s="122">
        <v>195</v>
      </c>
      <c r="P190" s="122">
        <v>0</v>
      </c>
      <c r="Q190" s="122">
        <v>0</v>
      </c>
      <c r="R190" s="122">
        <v>4445</v>
      </c>
      <c r="S190" s="122">
        <v>1646</v>
      </c>
      <c r="T190" s="122">
        <v>0</v>
      </c>
      <c r="U190" s="122">
        <v>0</v>
      </c>
      <c r="V190" s="122">
        <v>4133</v>
      </c>
      <c r="W190" s="122">
        <f t="shared" si="4"/>
        <v>4133</v>
      </c>
      <c r="X190" s="122">
        <f t="shared" si="5"/>
        <v>11160</v>
      </c>
      <c r="Y190" s="122"/>
      <c r="AA190" t="s">
        <v>54</v>
      </c>
      <c r="AB190" t="s">
        <v>407</v>
      </c>
      <c r="AC190" t="s">
        <v>481</v>
      </c>
      <c r="AD190" t="s">
        <v>407</v>
      </c>
      <c r="AE190" t="s">
        <v>566</v>
      </c>
      <c r="AF190">
        <v>1</v>
      </c>
      <c r="AG190">
        <v>184</v>
      </c>
      <c r="AH190">
        <v>126</v>
      </c>
      <c r="AI190" s="122">
        <v>13260</v>
      </c>
      <c r="AJ190" s="122">
        <v>12055</v>
      </c>
      <c r="AK190">
        <v>90</v>
      </c>
      <c r="AL190" s="122">
        <v>1751</v>
      </c>
      <c r="AM190" s="122">
        <v>1591</v>
      </c>
      <c r="AN190" s="122">
        <v>3052</v>
      </c>
      <c r="AO190" s="122">
        <v>1130</v>
      </c>
      <c r="AP190">
        <v>473</v>
      </c>
      <c r="AQ190">
        <v>175</v>
      </c>
      <c r="AR190" s="122">
        <v>4746</v>
      </c>
      <c r="AS190" s="122">
        <v>4315</v>
      </c>
      <c r="AT190">
        <v>0</v>
      </c>
      <c r="AU190">
        <v>0</v>
      </c>
      <c r="AV190" s="122">
        <v>19266</v>
      </c>
    </row>
    <row r="191" spans="2:48" ht="13">
      <c r="B191" t="s">
        <v>434</v>
      </c>
      <c r="C191" t="s">
        <v>58</v>
      </c>
      <c r="D191" t="s">
        <v>137</v>
      </c>
      <c r="E191" t="s">
        <v>137</v>
      </c>
      <c r="F191">
        <v>543</v>
      </c>
      <c r="G191" s="122">
        <v>35262</v>
      </c>
      <c r="H191" s="122">
        <v>141688</v>
      </c>
      <c r="I191" s="122">
        <v>4797154</v>
      </c>
      <c r="J191" s="191">
        <v>1776724</v>
      </c>
      <c r="K191" s="122">
        <v>100</v>
      </c>
      <c r="L191" s="122">
        <v>372666</v>
      </c>
      <c r="M191" s="122">
        <v>161719</v>
      </c>
      <c r="N191" s="122">
        <v>661910</v>
      </c>
      <c r="O191" s="122">
        <v>245152</v>
      </c>
      <c r="P191" s="122">
        <v>8195</v>
      </c>
      <c r="Q191" s="122">
        <v>3035</v>
      </c>
      <c r="R191" s="122">
        <v>3322790</v>
      </c>
      <c r="S191" s="122">
        <v>1230663</v>
      </c>
      <c r="T191" s="122">
        <v>4413</v>
      </c>
      <c r="U191" s="122">
        <v>1634</v>
      </c>
      <c r="V191" s="122">
        <v>3418927</v>
      </c>
      <c r="W191" s="122">
        <f t="shared" si="4"/>
        <v>3418927</v>
      </c>
      <c r="X191" s="122">
        <f t="shared" si="5"/>
        <v>9167128</v>
      </c>
      <c r="Y191" s="122"/>
      <c r="AA191" t="s">
        <v>54</v>
      </c>
      <c r="AB191" t="s">
        <v>407</v>
      </c>
      <c r="AC191" t="s">
        <v>433</v>
      </c>
      <c r="AD191" t="s">
        <v>407</v>
      </c>
      <c r="AE191" t="s">
        <v>566</v>
      </c>
      <c r="AF191">
        <v>11</v>
      </c>
      <c r="AG191">
        <v>800</v>
      </c>
      <c r="AH191" s="122">
        <v>1522</v>
      </c>
      <c r="AI191" s="122">
        <v>50573</v>
      </c>
      <c r="AJ191" s="122">
        <v>45976</v>
      </c>
      <c r="AK191">
        <v>90</v>
      </c>
      <c r="AL191" s="122">
        <v>8171</v>
      </c>
      <c r="AM191" s="122">
        <v>7428</v>
      </c>
      <c r="AN191" s="122">
        <v>12430</v>
      </c>
      <c r="AO191" s="122">
        <v>4604</v>
      </c>
      <c r="AP191" s="122">
        <v>5549</v>
      </c>
      <c r="AQ191" s="122">
        <v>2055</v>
      </c>
      <c r="AR191" s="122">
        <v>33880</v>
      </c>
      <c r="AS191" s="122">
        <v>30800</v>
      </c>
      <c r="AT191">
        <v>0</v>
      </c>
      <c r="AU191">
        <v>0</v>
      </c>
      <c r="AV191" s="122">
        <v>90863</v>
      </c>
    </row>
    <row r="192" spans="2:48" ht="13">
      <c r="B192" t="s">
        <v>434</v>
      </c>
      <c r="C192" t="s">
        <v>58</v>
      </c>
      <c r="D192" t="s">
        <v>137</v>
      </c>
      <c r="E192" t="s">
        <v>407</v>
      </c>
      <c r="F192">
        <v>1</v>
      </c>
      <c r="G192">
        <v>72</v>
      </c>
      <c r="H192" s="122">
        <v>229</v>
      </c>
      <c r="I192" s="122">
        <v>11332</v>
      </c>
      <c r="J192" s="191">
        <v>4197</v>
      </c>
      <c r="K192" s="122">
        <v>100</v>
      </c>
      <c r="L192" s="122">
        <v>0</v>
      </c>
      <c r="M192" s="122">
        <v>0</v>
      </c>
      <c r="N192" s="122">
        <v>1057</v>
      </c>
      <c r="O192">
        <v>392</v>
      </c>
      <c r="P192">
        <v>0</v>
      </c>
      <c r="Q192" s="122">
        <v>0</v>
      </c>
      <c r="R192" s="122">
        <v>4187</v>
      </c>
      <c r="S192" s="122">
        <v>3807</v>
      </c>
      <c r="T192">
        <v>0</v>
      </c>
      <c r="U192" s="122">
        <v>0</v>
      </c>
      <c r="V192" s="122">
        <v>8395</v>
      </c>
      <c r="W192" s="122">
        <f t="shared" si="4"/>
        <v>8396</v>
      </c>
      <c r="X192" s="122">
        <f t="shared" si="5"/>
        <v>16576</v>
      </c>
      <c r="Y192" s="122"/>
      <c r="AA192" t="s">
        <v>54</v>
      </c>
      <c r="AB192" t="s">
        <v>407</v>
      </c>
      <c r="AC192" t="s">
        <v>429</v>
      </c>
      <c r="AD192" t="s">
        <v>407</v>
      </c>
      <c r="AE192" t="s">
        <v>566</v>
      </c>
      <c r="AF192">
        <v>1</v>
      </c>
      <c r="AG192">
        <v>119</v>
      </c>
      <c r="AH192">
        <v>135</v>
      </c>
      <c r="AI192" s="122">
        <v>7742</v>
      </c>
      <c r="AJ192" s="122">
        <v>7039</v>
      </c>
      <c r="AK192">
        <v>90</v>
      </c>
      <c r="AL192" s="122">
        <v>1195</v>
      </c>
      <c r="AM192" s="122">
        <v>1086</v>
      </c>
      <c r="AN192" s="122">
        <v>2261</v>
      </c>
      <c r="AO192">
        <v>837</v>
      </c>
      <c r="AP192">
        <v>473</v>
      </c>
      <c r="AQ192">
        <v>175</v>
      </c>
      <c r="AR192" s="122">
        <v>4383</v>
      </c>
      <c r="AS192" s="122">
        <v>3985</v>
      </c>
      <c r="AT192">
        <v>0</v>
      </c>
      <c r="AU192">
        <v>0</v>
      </c>
      <c r="AV192" s="122">
        <v>13122</v>
      </c>
    </row>
    <row r="193" spans="2:48" ht="13">
      <c r="B193" t="s">
        <v>434</v>
      </c>
      <c r="C193" t="s">
        <v>58</v>
      </c>
      <c r="D193" t="s">
        <v>406</v>
      </c>
      <c r="E193" t="s">
        <v>406</v>
      </c>
      <c r="F193" s="122">
        <v>7</v>
      </c>
      <c r="G193" s="122">
        <v>924</v>
      </c>
      <c r="H193" s="122">
        <v>1914</v>
      </c>
      <c r="I193" s="122">
        <v>151595</v>
      </c>
      <c r="J193" s="191">
        <v>137813</v>
      </c>
      <c r="K193" s="122">
        <v>71</v>
      </c>
      <c r="L193" s="122">
        <v>29553</v>
      </c>
      <c r="M193" s="122">
        <v>25811</v>
      </c>
      <c r="N193" s="122">
        <v>17413</v>
      </c>
      <c r="O193" s="122">
        <v>6449</v>
      </c>
      <c r="P193" s="122">
        <v>4347</v>
      </c>
      <c r="Q193" s="122">
        <v>1610</v>
      </c>
      <c r="R193" s="122">
        <v>34667</v>
      </c>
      <c r="S193" s="122">
        <v>31515</v>
      </c>
      <c r="T193" s="122">
        <v>20458</v>
      </c>
      <c r="U193" s="122">
        <v>7577</v>
      </c>
      <c r="V193" s="122">
        <v>210776</v>
      </c>
      <c r="W193" s="122">
        <f t="shared" si="4"/>
        <v>210775</v>
      </c>
      <c r="X193" s="122">
        <f t="shared" si="5"/>
        <v>258033</v>
      </c>
      <c r="Y193" s="122"/>
      <c r="AA193" t="s">
        <v>54</v>
      </c>
      <c r="AB193" t="s">
        <v>426</v>
      </c>
      <c r="AC193" t="s">
        <v>566</v>
      </c>
      <c r="AD193" t="s">
        <v>426</v>
      </c>
      <c r="AE193" t="s">
        <v>137</v>
      </c>
      <c r="AF193">
        <v>1</v>
      </c>
      <c r="AG193">
        <v>218</v>
      </c>
      <c r="AH193">
        <v>140</v>
      </c>
      <c r="AI193" s="122">
        <v>21019</v>
      </c>
      <c r="AJ193" s="122">
        <v>19108</v>
      </c>
      <c r="AK193">
        <v>76</v>
      </c>
      <c r="AL193">
        <v>0</v>
      </c>
      <c r="AM193" s="122">
        <v>2482</v>
      </c>
      <c r="AN193" s="122">
        <v>3187</v>
      </c>
      <c r="AO193" s="122">
        <v>1180</v>
      </c>
      <c r="AP193">
        <v>0</v>
      </c>
      <c r="AQ193">
        <v>0</v>
      </c>
      <c r="AR193" s="122">
        <v>6358</v>
      </c>
      <c r="AS193" s="122">
        <v>5780</v>
      </c>
      <c r="AT193">
        <v>0</v>
      </c>
      <c r="AU193">
        <v>0</v>
      </c>
      <c r="AV193" s="122">
        <v>28551</v>
      </c>
    </row>
    <row r="194" spans="2:48" ht="13">
      <c r="B194" t="s">
        <v>434</v>
      </c>
      <c r="C194" t="s">
        <v>58</v>
      </c>
      <c r="D194" t="s">
        <v>407</v>
      </c>
      <c r="E194" t="s">
        <v>137</v>
      </c>
      <c r="F194" s="122">
        <v>10</v>
      </c>
      <c r="G194" s="122">
        <v>422</v>
      </c>
      <c r="H194" s="122">
        <v>2654</v>
      </c>
      <c r="I194" s="122">
        <v>65310</v>
      </c>
      <c r="J194" s="191">
        <v>59372</v>
      </c>
      <c r="K194" s="122">
        <v>82</v>
      </c>
      <c r="L194" s="122">
        <v>0</v>
      </c>
      <c r="M194" s="122">
        <v>0</v>
      </c>
      <c r="N194" s="122">
        <v>7466</v>
      </c>
      <c r="O194" s="122">
        <v>2765</v>
      </c>
      <c r="P194" s="122">
        <v>4725</v>
      </c>
      <c r="Q194" s="122">
        <v>1750</v>
      </c>
      <c r="R194" s="122">
        <v>34248</v>
      </c>
      <c r="S194" s="122">
        <v>12684</v>
      </c>
      <c r="T194" s="122">
        <v>0</v>
      </c>
      <c r="U194" s="122">
        <v>0</v>
      </c>
      <c r="V194" s="122">
        <v>76572</v>
      </c>
      <c r="W194" s="122">
        <f t="shared" si="4"/>
        <v>76571</v>
      </c>
      <c r="X194" s="122">
        <f t="shared" si="5"/>
        <v>111749</v>
      </c>
      <c r="Y194" s="122"/>
      <c r="AA194" t="s">
        <v>54</v>
      </c>
      <c r="AB194" t="s">
        <v>408</v>
      </c>
      <c r="AC194" t="s">
        <v>137</v>
      </c>
      <c r="AD194" t="s">
        <v>408</v>
      </c>
      <c r="AE194" t="s">
        <v>566</v>
      </c>
      <c r="AF194">
        <v>1</v>
      </c>
      <c r="AG194">
        <v>77</v>
      </c>
      <c r="AH194">
        <v>134</v>
      </c>
      <c r="AI194" s="122">
        <v>3730</v>
      </c>
      <c r="AJ194" s="122">
        <v>3391</v>
      </c>
      <c r="AK194">
        <v>75</v>
      </c>
      <c r="AL194" s="122">
        <v>1212</v>
      </c>
      <c r="AM194">
        <v>449</v>
      </c>
      <c r="AN194">
        <v>933</v>
      </c>
      <c r="AO194">
        <v>346</v>
      </c>
      <c r="AP194">
        <v>351</v>
      </c>
      <c r="AQ194">
        <v>130</v>
      </c>
      <c r="AR194" s="122">
        <v>4018</v>
      </c>
      <c r="AS194" s="122">
        <v>3653</v>
      </c>
      <c r="AT194">
        <v>0</v>
      </c>
      <c r="AU194">
        <v>0</v>
      </c>
      <c r="AV194" s="122">
        <v>7968</v>
      </c>
    </row>
    <row r="195" spans="2:48" ht="13">
      <c r="B195" t="s">
        <v>434</v>
      </c>
      <c r="C195" t="s">
        <v>58</v>
      </c>
      <c r="D195" t="s">
        <v>407</v>
      </c>
      <c r="E195" t="s">
        <v>407</v>
      </c>
      <c r="F195" s="122">
        <v>194</v>
      </c>
      <c r="G195" s="122">
        <v>11352</v>
      </c>
      <c r="H195" s="122">
        <v>50409</v>
      </c>
      <c r="I195" s="122">
        <v>1697585</v>
      </c>
      <c r="J195" s="191">
        <v>1543260</v>
      </c>
      <c r="K195" s="122">
        <v>81</v>
      </c>
      <c r="L195" s="122">
        <v>279813</v>
      </c>
      <c r="M195" s="122">
        <v>234373</v>
      </c>
      <c r="N195" s="122">
        <v>220473</v>
      </c>
      <c r="O195" s="122">
        <v>81657</v>
      </c>
      <c r="P195" s="122">
        <v>91713</v>
      </c>
      <c r="Q195" s="122">
        <v>33968</v>
      </c>
      <c r="R195" s="122">
        <v>604549</v>
      </c>
      <c r="S195" s="122">
        <v>549590</v>
      </c>
      <c r="T195" s="122">
        <v>62079</v>
      </c>
      <c r="U195" s="122">
        <v>22992</v>
      </c>
      <c r="V195" s="122">
        <v>2465839</v>
      </c>
      <c r="W195" s="122">
        <f t="shared" si="4"/>
        <v>2465840</v>
      </c>
      <c r="X195" s="122">
        <f t="shared" si="5"/>
        <v>2956212</v>
      </c>
      <c r="Y195" s="122"/>
      <c r="AA195" t="s">
        <v>54</v>
      </c>
      <c r="AB195" t="s">
        <v>408</v>
      </c>
      <c r="AC195" t="s">
        <v>407</v>
      </c>
      <c r="AD195" t="s">
        <v>408</v>
      </c>
      <c r="AE195" t="s">
        <v>566</v>
      </c>
      <c r="AF195">
        <v>60</v>
      </c>
      <c r="AG195" s="122">
        <v>3701</v>
      </c>
      <c r="AH195" s="122">
        <v>8065</v>
      </c>
      <c r="AI195" s="122">
        <v>197906</v>
      </c>
      <c r="AJ195" s="122">
        <v>179914</v>
      </c>
      <c r="AK195">
        <v>75</v>
      </c>
      <c r="AL195" s="122">
        <v>20876</v>
      </c>
      <c r="AM195" s="122">
        <v>18978</v>
      </c>
      <c r="AN195" s="122">
        <v>45092</v>
      </c>
      <c r="AO195" s="122">
        <v>16701</v>
      </c>
      <c r="AP195" s="122">
        <v>21060</v>
      </c>
      <c r="AQ195" s="122">
        <v>7800</v>
      </c>
      <c r="AR195" s="122">
        <v>211344</v>
      </c>
      <c r="AS195" s="122">
        <v>192131</v>
      </c>
      <c r="AT195">
        <v>0</v>
      </c>
      <c r="AU195">
        <v>0</v>
      </c>
      <c r="AV195" s="122">
        <v>415524</v>
      </c>
    </row>
    <row r="196" spans="2:48" ht="13">
      <c r="B196" t="s">
        <v>434</v>
      </c>
      <c r="C196" t="s">
        <v>60</v>
      </c>
      <c r="F196" s="122">
        <v>4</v>
      </c>
      <c r="G196" s="122">
        <v>233</v>
      </c>
      <c r="H196" s="122">
        <v>1395</v>
      </c>
      <c r="I196" s="122"/>
      <c r="J196" s="191">
        <v>0</v>
      </c>
      <c r="K196" s="122"/>
      <c r="L196" s="122"/>
      <c r="M196" s="122">
        <v>0</v>
      </c>
      <c r="N196" s="122">
        <v>4749</v>
      </c>
      <c r="O196" s="122">
        <v>1759</v>
      </c>
      <c r="P196" s="122">
        <v>473</v>
      </c>
      <c r="Q196" s="122">
        <v>175</v>
      </c>
      <c r="R196" s="122"/>
      <c r="S196">
        <v>0</v>
      </c>
      <c r="T196">
        <v>0</v>
      </c>
      <c r="U196" s="122">
        <v>0</v>
      </c>
      <c r="V196" s="122">
        <v>1934</v>
      </c>
      <c r="W196" s="122">
        <f t="shared" si="4"/>
        <v>1934</v>
      </c>
      <c r="X196" s="122">
        <f t="shared" si="5"/>
        <v>5222</v>
      </c>
      <c r="Y196" s="122"/>
      <c r="AA196" t="s">
        <v>54</v>
      </c>
      <c r="AB196" t="s">
        <v>408</v>
      </c>
      <c r="AC196" t="s">
        <v>566</v>
      </c>
      <c r="AD196" t="s">
        <v>407</v>
      </c>
      <c r="AE196" t="s">
        <v>566</v>
      </c>
      <c r="AF196">
        <v>1</v>
      </c>
      <c r="AG196">
        <v>73</v>
      </c>
      <c r="AH196">
        <v>131</v>
      </c>
      <c r="AI196" s="122">
        <v>4548</v>
      </c>
      <c r="AJ196" s="122">
        <v>4135</v>
      </c>
      <c r="AK196">
        <v>75</v>
      </c>
      <c r="AL196">
        <v>0</v>
      </c>
      <c r="AM196">
        <v>0</v>
      </c>
      <c r="AN196">
        <v>892</v>
      </c>
      <c r="AO196">
        <v>330</v>
      </c>
      <c r="AP196">
        <v>0</v>
      </c>
      <c r="AQ196">
        <v>0</v>
      </c>
      <c r="AR196" s="122">
        <v>4135</v>
      </c>
      <c r="AS196" s="122">
        <v>3759</v>
      </c>
      <c r="AT196">
        <v>0</v>
      </c>
      <c r="AU196">
        <v>0</v>
      </c>
      <c r="AV196" s="122">
        <v>8224</v>
      </c>
    </row>
    <row r="197" spans="2:48" ht="13">
      <c r="B197" t="s">
        <v>434</v>
      </c>
      <c r="C197" t="s">
        <v>60</v>
      </c>
      <c r="D197" t="s">
        <v>137</v>
      </c>
      <c r="E197" t="s">
        <v>137</v>
      </c>
      <c r="F197" s="122">
        <v>313</v>
      </c>
      <c r="G197" s="122">
        <v>18003</v>
      </c>
      <c r="H197" s="122">
        <v>105057</v>
      </c>
      <c r="I197" s="122">
        <v>3607023</v>
      </c>
      <c r="J197" s="191">
        <v>1335935</v>
      </c>
      <c r="K197" s="122">
        <v>100</v>
      </c>
      <c r="L197" s="122">
        <v>289046</v>
      </c>
      <c r="M197" s="122">
        <v>129073</v>
      </c>
      <c r="N197" s="122">
        <v>355851</v>
      </c>
      <c r="O197" s="122">
        <v>131797</v>
      </c>
      <c r="P197" s="122">
        <v>4944</v>
      </c>
      <c r="Q197" s="122">
        <v>1831</v>
      </c>
      <c r="R197" s="122">
        <v>1782214</v>
      </c>
      <c r="S197" s="122">
        <v>660079</v>
      </c>
      <c r="T197" s="122">
        <v>1017</v>
      </c>
      <c r="U197" s="122">
        <v>377</v>
      </c>
      <c r="V197" s="122">
        <v>2259091</v>
      </c>
      <c r="W197" s="122">
        <f t="shared" si="4"/>
        <v>2259092</v>
      </c>
      <c r="X197" s="122">
        <f t="shared" si="5"/>
        <v>6040095</v>
      </c>
      <c r="Y197" s="122"/>
      <c r="AA197" t="s">
        <v>54</v>
      </c>
      <c r="AB197" t="s">
        <v>408</v>
      </c>
      <c r="AC197" t="s">
        <v>566</v>
      </c>
      <c r="AD197" t="s">
        <v>408</v>
      </c>
      <c r="AE197" t="s">
        <v>566</v>
      </c>
      <c r="AF197">
        <v>5</v>
      </c>
      <c r="AG197">
        <v>347</v>
      </c>
      <c r="AH197">
        <v>694</v>
      </c>
      <c r="AI197" s="122">
        <v>19036</v>
      </c>
      <c r="AJ197" s="122">
        <v>17305</v>
      </c>
      <c r="AK197">
        <v>75</v>
      </c>
      <c r="AL197">
        <v>0</v>
      </c>
      <c r="AM197">
        <v>0</v>
      </c>
      <c r="AN197" s="122">
        <v>8448</v>
      </c>
      <c r="AO197" s="122">
        <v>3129</v>
      </c>
      <c r="AP197" s="122">
        <v>1755</v>
      </c>
      <c r="AQ197">
        <v>650</v>
      </c>
      <c r="AR197" s="122">
        <v>18903</v>
      </c>
      <c r="AS197" s="122">
        <v>17185</v>
      </c>
      <c r="AT197">
        <v>0</v>
      </c>
      <c r="AU197">
        <v>0</v>
      </c>
      <c r="AV197" s="122">
        <v>38269</v>
      </c>
    </row>
    <row r="198" spans="2:48" ht="13">
      <c r="B198" t="s">
        <v>434</v>
      </c>
      <c r="C198" t="s">
        <v>60</v>
      </c>
      <c r="D198" t="s">
        <v>137</v>
      </c>
      <c r="E198" t="s">
        <v>556</v>
      </c>
      <c r="F198">
        <v>1</v>
      </c>
      <c r="G198" s="122">
        <v>72</v>
      </c>
      <c r="H198" s="122">
        <v>358</v>
      </c>
      <c r="I198" s="122">
        <v>15032</v>
      </c>
      <c r="J198" s="191">
        <v>5567</v>
      </c>
      <c r="K198" s="122">
        <v>100</v>
      </c>
      <c r="L198" s="122">
        <v>2570</v>
      </c>
      <c r="M198" s="122">
        <v>2141</v>
      </c>
      <c r="N198" s="122">
        <v>1745</v>
      </c>
      <c r="O198" s="122">
        <v>646</v>
      </c>
      <c r="P198">
        <v>0</v>
      </c>
      <c r="Q198" s="122">
        <v>0</v>
      </c>
      <c r="R198" s="122">
        <v>4652</v>
      </c>
      <c r="S198" s="122">
        <v>3877</v>
      </c>
      <c r="T198" s="122">
        <v>1607</v>
      </c>
      <c r="U198" s="122">
        <v>595</v>
      </c>
      <c r="V198" s="122">
        <v>12827</v>
      </c>
      <c r="W198" s="122">
        <f t="shared" si="4"/>
        <v>12826</v>
      </c>
      <c r="X198" s="122">
        <f t="shared" si="5"/>
        <v>25606</v>
      </c>
      <c r="Y198" s="122"/>
      <c r="AA198" t="s">
        <v>56</v>
      </c>
      <c r="AC198" t="s">
        <v>566</v>
      </c>
      <c r="AE198" t="s">
        <v>566</v>
      </c>
      <c r="AF198" s="122">
        <v>1474</v>
      </c>
      <c r="AG198" s="122">
        <v>89665</v>
      </c>
      <c r="AH198" s="122">
        <v>270301</v>
      </c>
      <c r="AJ198">
        <v>0</v>
      </c>
      <c r="AM198">
        <v>0</v>
      </c>
      <c r="AN198" s="122">
        <v>1796467</v>
      </c>
      <c r="AO198" s="122">
        <v>665358</v>
      </c>
      <c r="AP198" s="122">
        <v>307789</v>
      </c>
      <c r="AQ198" s="122">
        <v>113996</v>
      </c>
      <c r="AS198">
        <v>0</v>
      </c>
      <c r="AT198" s="122">
        <v>191991</v>
      </c>
      <c r="AU198" s="122">
        <v>71108</v>
      </c>
      <c r="AV198" s="122">
        <v>850462</v>
      </c>
    </row>
    <row r="199" spans="2:48" ht="13">
      <c r="B199" t="s">
        <v>434</v>
      </c>
      <c r="C199" t="s">
        <v>60</v>
      </c>
      <c r="D199" t="s">
        <v>406</v>
      </c>
      <c r="E199" s="122" t="s">
        <v>406</v>
      </c>
      <c r="F199" s="122">
        <v>5</v>
      </c>
      <c r="G199" s="122">
        <v>358</v>
      </c>
      <c r="H199" s="122">
        <v>1724</v>
      </c>
      <c r="I199" s="122">
        <v>89166</v>
      </c>
      <c r="J199" s="191">
        <v>81060</v>
      </c>
      <c r="K199" s="122">
        <v>72</v>
      </c>
      <c r="L199" s="122">
        <v>13795</v>
      </c>
      <c r="M199" s="122">
        <v>11782</v>
      </c>
      <c r="N199" s="122">
        <v>7565</v>
      </c>
      <c r="O199" s="122">
        <v>2802</v>
      </c>
      <c r="P199" s="122">
        <v>3105</v>
      </c>
      <c r="Q199" s="122">
        <v>1150</v>
      </c>
      <c r="R199" s="122">
        <v>21865</v>
      </c>
      <c r="S199" s="122">
        <v>19877</v>
      </c>
      <c r="T199" s="122">
        <v>6201</v>
      </c>
      <c r="U199" s="122">
        <v>2297</v>
      </c>
      <c r="V199" s="122">
        <v>118968</v>
      </c>
      <c r="W199" s="122">
        <f t="shared" ref="W199:W262" si="6">SUM(ABS(J199),ABS(M199),ABS(O199),ABS(Q199),ABS(S199),ABS(U199))</f>
        <v>118968</v>
      </c>
      <c r="X199" s="122">
        <f t="shared" ref="X199:X262" si="7">SUM(ABS(I199),ABS(N199),ABS(P199),ABS(R199),ABS(T199),ABS(L199))</f>
        <v>141697</v>
      </c>
      <c r="Y199" s="122"/>
      <c r="AA199" t="s">
        <v>56</v>
      </c>
      <c r="AB199" t="s">
        <v>403</v>
      </c>
      <c r="AC199" t="s">
        <v>137</v>
      </c>
      <c r="AD199" t="s">
        <v>137</v>
      </c>
      <c r="AE199" t="s">
        <v>566</v>
      </c>
      <c r="AF199">
        <v>1</v>
      </c>
      <c r="AG199">
        <v>73</v>
      </c>
      <c r="AH199">
        <v>199</v>
      </c>
      <c r="AI199" s="122">
        <v>5633</v>
      </c>
      <c r="AJ199" s="122">
        <v>2086</v>
      </c>
      <c r="AK199">
        <v>100</v>
      </c>
      <c r="AL199" s="122">
        <v>1408</v>
      </c>
      <c r="AM199">
        <v>522</v>
      </c>
      <c r="AN199" s="122">
        <v>1416</v>
      </c>
      <c r="AO199">
        <v>524</v>
      </c>
      <c r="AP199">
        <v>0</v>
      </c>
      <c r="AQ199">
        <v>0</v>
      </c>
      <c r="AR199" s="122">
        <v>5990</v>
      </c>
      <c r="AS199" s="122">
        <v>2219</v>
      </c>
      <c r="AT199">
        <v>0</v>
      </c>
      <c r="AU199">
        <v>0</v>
      </c>
      <c r="AV199" s="122">
        <v>5351</v>
      </c>
    </row>
    <row r="200" spans="2:48" ht="13">
      <c r="B200" t="s">
        <v>434</v>
      </c>
      <c r="C200" t="s">
        <v>60</v>
      </c>
      <c r="D200" t="s">
        <v>407</v>
      </c>
      <c r="E200" t="s">
        <v>137</v>
      </c>
      <c r="F200" s="122">
        <v>10</v>
      </c>
      <c r="G200" s="122">
        <v>438</v>
      </c>
      <c r="H200" s="122">
        <v>3415</v>
      </c>
      <c r="I200" s="122">
        <v>86563</v>
      </c>
      <c r="J200" s="191">
        <v>78693</v>
      </c>
      <c r="K200" s="122">
        <v>79</v>
      </c>
      <c r="L200" s="122">
        <v>4662</v>
      </c>
      <c r="M200" s="122">
        <v>1727</v>
      </c>
      <c r="N200" s="122">
        <v>10112</v>
      </c>
      <c r="O200" s="122">
        <v>3745</v>
      </c>
      <c r="P200" s="122">
        <v>4604</v>
      </c>
      <c r="Q200" s="122">
        <v>1705</v>
      </c>
      <c r="R200" s="122">
        <v>42271</v>
      </c>
      <c r="S200" s="122">
        <v>15656</v>
      </c>
      <c r="T200">
        <v>0</v>
      </c>
      <c r="U200" s="122">
        <v>0</v>
      </c>
      <c r="V200" s="122">
        <v>101526</v>
      </c>
      <c r="W200" s="122">
        <f t="shared" si="6"/>
        <v>101526</v>
      </c>
      <c r="X200" s="122">
        <f t="shared" si="7"/>
        <v>148212</v>
      </c>
      <c r="Y200" s="122"/>
      <c r="AA200" t="s">
        <v>56</v>
      </c>
      <c r="AB200" t="s">
        <v>425</v>
      </c>
      <c r="AC200" t="s">
        <v>578</v>
      </c>
      <c r="AD200" t="s">
        <v>425</v>
      </c>
      <c r="AE200" t="s">
        <v>137</v>
      </c>
      <c r="AF200">
        <v>1</v>
      </c>
      <c r="AG200">
        <v>137</v>
      </c>
      <c r="AH200">
        <v>170</v>
      </c>
      <c r="AI200" s="122">
        <v>12153</v>
      </c>
      <c r="AJ200" s="122">
        <v>11048</v>
      </c>
      <c r="AK200">
        <v>80</v>
      </c>
      <c r="AL200" s="122">
        <v>1579</v>
      </c>
      <c r="AM200" s="122">
        <v>1435</v>
      </c>
      <c r="AN200" s="122">
        <v>2747</v>
      </c>
      <c r="AO200" s="122">
        <v>1017</v>
      </c>
      <c r="AP200">
        <v>351</v>
      </c>
      <c r="AQ200">
        <v>130</v>
      </c>
      <c r="AR200" s="122">
        <v>3726</v>
      </c>
      <c r="AS200" s="122">
        <v>3387</v>
      </c>
      <c r="AT200" s="122">
        <v>2880</v>
      </c>
      <c r="AU200" s="122">
        <v>1067</v>
      </c>
      <c r="AV200" s="122">
        <v>18084</v>
      </c>
    </row>
    <row r="201" spans="2:48" ht="13">
      <c r="B201" t="s">
        <v>434</v>
      </c>
      <c r="C201" t="s">
        <v>60</v>
      </c>
      <c r="D201" t="s">
        <v>407</v>
      </c>
      <c r="E201" t="s">
        <v>407</v>
      </c>
      <c r="F201" s="122">
        <v>77</v>
      </c>
      <c r="G201" s="122">
        <v>4747</v>
      </c>
      <c r="H201" s="122">
        <v>25295</v>
      </c>
      <c r="I201" s="122">
        <v>939423</v>
      </c>
      <c r="J201" s="191">
        <v>854021</v>
      </c>
      <c r="K201" s="122">
        <v>81</v>
      </c>
      <c r="L201" s="122">
        <v>200122</v>
      </c>
      <c r="M201" s="122">
        <v>142495</v>
      </c>
      <c r="N201" s="122">
        <v>91456</v>
      </c>
      <c r="O201" s="122">
        <v>33873</v>
      </c>
      <c r="P201" s="122">
        <v>36383</v>
      </c>
      <c r="Q201" s="122">
        <v>13475</v>
      </c>
      <c r="R201" s="122">
        <v>249462</v>
      </c>
      <c r="S201" s="122">
        <v>226783</v>
      </c>
      <c r="T201" s="122">
        <v>44616</v>
      </c>
      <c r="U201" s="122">
        <v>16524</v>
      </c>
      <c r="V201" s="122">
        <v>1287171</v>
      </c>
      <c r="W201" s="122">
        <f t="shared" si="6"/>
        <v>1287171</v>
      </c>
      <c r="X201" s="122">
        <f t="shared" si="7"/>
        <v>1561462</v>
      </c>
      <c r="Y201" s="122"/>
      <c r="AA201" t="s">
        <v>56</v>
      </c>
      <c r="AB201" t="s">
        <v>425</v>
      </c>
      <c r="AC201" t="s">
        <v>425</v>
      </c>
      <c r="AD201" t="s">
        <v>425</v>
      </c>
      <c r="AE201" t="s">
        <v>137</v>
      </c>
      <c r="AF201">
        <v>1</v>
      </c>
      <c r="AG201">
        <v>63</v>
      </c>
      <c r="AH201">
        <v>166</v>
      </c>
      <c r="AI201" s="122">
        <v>3902</v>
      </c>
      <c r="AJ201" s="122">
        <v>3547</v>
      </c>
      <c r="AK201">
        <v>90</v>
      </c>
      <c r="AL201">
        <v>979</v>
      </c>
      <c r="AM201">
        <v>890</v>
      </c>
      <c r="AN201" s="122">
        <v>1465</v>
      </c>
      <c r="AO201">
        <v>543</v>
      </c>
      <c r="AP201">
        <v>473</v>
      </c>
      <c r="AQ201">
        <v>175</v>
      </c>
      <c r="AR201" s="122">
        <v>3561</v>
      </c>
      <c r="AS201" s="122">
        <v>3237</v>
      </c>
      <c r="AT201">
        <v>0</v>
      </c>
      <c r="AU201">
        <v>0</v>
      </c>
      <c r="AV201" s="122">
        <v>8392</v>
      </c>
    </row>
    <row r="202" spans="2:48" ht="13">
      <c r="B202" t="s">
        <v>434</v>
      </c>
      <c r="C202" t="s">
        <v>60</v>
      </c>
      <c r="D202" t="s">
        <v>556</v>
      </c>
      <c r="E202" t="s">
        <v>556</v>
      </c>
      <c r="F202">
        <v>1</v>
      </c>
      <c r="G202" s="122">
        <v>47</v>
      </c>
      <c r="H202" s="122">
        <v>364</v>
      </c>
      <c r="I202" s="122">
        <v>7135</v>
      </c>
      <c r="J202" s="191">
        <v>5946</v>
      </c>
      <c r="K202" s="122">
        <v>55</v>
      </c>
      <c r="L202" s="122">
        <v>981</v>
      </c>
      <c r="M202" s="122">
        <v>363</v>
      </c>
      <c r="N202" s="122">
        <v>1141</v>
      </c>
      <c r="O202" s="122">
        <v>423</v>
      </c>
      <c r="P202" s="122">
        <v>351</v>
      </c>
      <c r="Q202" s="122">
        <v>130</v>
      </c>
      <c r="R202" s="122">
        <v>5304</v>
      </c>
      <c r="S202" s="122">
        <v>4420</v>
      </c>
      <c r="T202" s="122">
        <v>2146</v>
      </c>
      <c r="U202" s="122">
        <v>795</v>
      </c>
      <c r="V202" s="122">
        <v>12077</v>
      </c>
      <c r="W202" s="122">
        <f t="shared" si="6"/>
        <v>12077</v>
      </c>
      <c r="X202" s="122">
        <f t="shared" si="7"/>
        <v>17058</v>
      </c>
      <c r="Y202" s="122"/>
      <c r="AA202" t="s">
        <v>56</v>
      </c>
      <c r="AB202" t="s">
        <v>425</v>
      </c>
      <c r="AC202" t="s">
        <v>425</v>
      </c>
      <c r="AD202" t="s">
        <v>425</v>
      </c>
      <c r="AE202" t="s">
        <v>566</v>
      </c>
      <c r="AF202">
        <v>3</v>
      </c>
      <c r="AG202">
        <v>227</v>
      </c>
      <c r="AH202">
        <v>537</v>
      </c>
      <c r="AI202" s="122">
        <v>20632</v>
      </c>
      <c r="AJ202" s="122">
        <v>18757</v>
      </c>
      <c r="AK202">
        <v>86</v>
      </c>
      <c r="AL202" s="122">
        <v>3750</v>
      </c>
      <c r="AM202" s="122">
        <v>3410</v>
      </c>
      <c r="AN202" s="122">
        <v>2771</v>
      </c>
      <c r="AO202" s="122">
        <v>1026</v>
      </c>
      <c r="AP202" s="122">
        <v>1418</v>
      </c>
      <c r="AQ202">
        <v>525</v>
      </c>
      <c r="AR202" s="122">
        <v>11999</v>
      </c>
      <c r="AS202" s="122">
        <v>10908</v>
      </c>
      <c r="AT202">
        <v>0</v>
      </c>
      <c r="AU202">
        <v>0</v>
      </c>
      <c r="AV202" s="122">
        <v>34625</v>
      </c>
    </row>
    <row r="203" spans="2:48" ht="13">
      <c r="B203" t="s">
        <v>434</v>
      </c>
      <c r="C203" t="s">
        <v>60</v>
      </c>
      <c r="D203" t="s">
        <v>426</v>
      </c>
      <c r="E203" t="s">
        <v>426</v>
      </c>
      <c r="F203" s="122">
        <v>2</v>
      </c>
      <c r="G203" s="122">
        <v>142</v>
      </c>
      <c r="H203" s="122">
        <v>695</v>
      </c>
      <c r="I203" s="122">
        <v>28044</v>
      </c>
      <c r="J203" s="191">
        <v>25494</v>
      </c>
      <c r="K203" s="122">
        <v>60</v>
      </c>
      <c r="L203" s="122">
        <v>5770</v>
      </c>
      <c r="M203" s="122">
        <v>4371</v>
      </c>
      <c r="N203" s="122">
        <v>2601</v>
      </c>
      <c r="O203">
        <v>963</v>
      </c>
      <c r="P203">
        <v>702</v>
      </c>
      <c r="Q203" s="122">
        <v>260</v>
      </c>
      <c r="R203" s="122">
        <v>10695</v>
      </c>
      <c r="S203" s="122">
        <v>9722</v>
      </c>
      <c r="T203" s="122">
        <v>1642</v>
      </c>
      <c r="U203" s="122">
        <v>608</v>
      </c>
      <c r="V203" s="122">
        <v>41419</v>
      </c>
      <c r="W203" s="122">
        <f t="shared" si="6"/>
        <v>41418</v>
      </c>
      <c r="X203" s="122">
        <f t="shared" si="7"/>
        <v>49454</v>
      </c>
      <c r="Y203" s="122"/>
      <c r="AA203" t="s">
        <v>56</v>
      </c>
      <c r="AB203" t="s">
        <v>425</v>
      </c>
      <c r="AC203" t="s">
        <v>137</v>
      </c>
      <c r="AD203" t="s">
        <v>425</v>
      </c>
      <c r="AE203" t="s">
        <v>137</v>
      </c>
      <c r="AF203">
        <v>1</v>
      </c>
      <c r="AG203">
        <v>59</v>
      </c>
      <c r="AH203">
        <v>192</v>
      </c>
      <c r="AI203" s="122">
        <v>3849</v>
      </c>
      <c r="AJ203" s="122">
        <v>3499</v>
      </c>
      <c r="AK203">
        <v>89</v>
      </c>
      <c r="AL203" s="122">
        <v>2102</v>
      </c>
      <c r="AM203">
        <v>779</v>
      </c>
      <c r="AN203">
        <v>848</v>
      </c>
      <c r="AO203">
        <v>314</v>
      </c>
      <c r="AP203">
        <v>473</v>
      </c>
      <c r="AQ203">
        <v>175</v>
      </c>
      <c r="AR203" s="122">
        <v>4119</v>
      </c>
      <c r="AS203" s="122">
        <v>3745</v>
      </c>
      <c r="AT203">
        <v>0</v>
      </c>
      <c r="AU203">
        <v>0</v>
      </c>
      <c r="AV203" s="122">
        <v>8511</v>
      </c>
    </row>
    <row r="204" spans="2:48" ht="13">
      <c r="B204" t="s">
        <v>434</v>
      </c>
      <c r="C204" t="s">
        <v>60</v>
      </c>
      <c r="D204" t="s">
        <v>433</v>
      </c>
      <c r="E204" t="s">
        <v>137</v>
      </c>
      <c r="F204">
        <v>1</v>
      </c>
      <c r="G204" s="122">
        <v>87</v>
      </c>
      <c r="H204" s="122">
        <v>346</v>
      </c>
      <c r="I204" s="122">
        <v>18075</v>
      </c>
      <c r="J204" s="191">
        <v>16432</v>
      </c>
      <c r="K204" s="122">
        <v>65</v>
      </c>
      <c r="L204" s="122">
        <v>4747</v>
      </c>
      <c r="M204" s="122">
        <v>3956</v>
      </c>
      <c r="N204" s="122">
        <v>1861</v>
      </c>
      <c r="O204">
        <v>689</v>
      </c>
      <c r="P204">
        <v>0</v>
      </c>
      <c r="Q204" s="122">
        <v>0</v>
      </c>
      <c r="R204" s="122">
        <v>5505</v>
      </c>
      <c r="S204" s="122">
        <v>2039</v>
      </c>
      <c r="T204">
        <v>0</v>
      </c>
      <c r="U204" s="122">
        <v>0</v>
      </c>
      <c r="V204" s="122">
        <v>23116</v>
      </c>
      <c r="W204" s="122">
        <f t="shared" si="6"/>
        <v>23116</v>
      </c>
      <c r="X204" s="122">
        <f t="shared" si="7"/>
        <v>30188</v>
      </c>
      <c r="Y204" s="122"/>
      <c r="AA204" t="s">
        <v>56</v>
      </c>
      <c r="AB204" t="s">
        <v>425</v>
      </c>
      <c r="AC204" t="s">
        <v>137</v>
      </c>
      <c r="AD204" t="s">
        <v>425</v>
      </c>
      <c r="AE204" t="s">
        <v>566</v>
      </c>
      <c r="AF204">
        <v>1</v>
      </c>
      <c r="AG204">
        <v>110</v>
      </c>
      <c r="AH204">
        <v>189</v>
      </c>
      <c r="AI204" s="122">
        <v>10696</v>
      </c>
      <c r="AJ204" s="122">
        <v>9724</v>
      </c>
      <c r="AK204">
        <v>79</v>
      </c>
      <c r="AL204" s="122">
        <v>2182</v>
      </c>
      <c r="AM204">
        <v>808</v>
      </c>
      <c r="AN204" s="122">
        <v>2095</v>
      </c>
      <c r="AO204">
        <v>776</v>
      </c>
      <c r="AP204">
        <v>473</v>
      </c>
      <c r="AQ204">
        <v>175</v>
      </c>
      <c r="AR204" s="122">
        <v>5338</v>
      </c>
      <c r="AS204" s="122">
        <v>4853</v>
      </c>
      <c r="AT204">
        <v>0</v>
      </c>
      <c r="AU204">
        <v>0</v>
      </c>
      <c r="AV204" s="122">
        <v>16335</v>
      </c>
    </row>
    <row r="205" spans="2:48" ht="13">
      <c r="B205" t="s">
        <v>434</v>
      </c>
      <c r="C205" t="s">
        <v>62</v>
      </c>
      <c r="F205" s="122">
        <v>2</v>
      </c>
      <c r="G205" s="122">
        <v>105</v>
      </c>
      <c r="H205" s="122">
        <v>830</v>
      </c>
      <c r="I205" s="122"/>
      <c r="J205" s="191">
        <v>0</v>
      </c>
      <c r="K205" s="122"/>
      <c r="L205" s="122"/>
      <c r="M205" s="122">
        <v>0</v>
      </c>
      <c r="N205" s="122">
        <v>1717</v>
      </c>
      <c r="O205" s="122">
        <v>636</v>
      </c>
      <c r="P205" s="122">
        <v>473</v>
      </c>
      <c r="Q205" s="122">
        <v>175</v>
      </c>
      <c r="R205" s="122"/>
      <c r="S205" s="122">
        <v>0</v>
      </c>
      <c r="T205" s="122">
        <v>0</v>
      </c>
      <c r="U205" s="122">
        <v>0</v>
      </c>
      <c r="V205">
        <v>811</v>
      </c>
      <c r="W205" s="122">
        <f t="shared" si="6"/>
        <v>811</v>
      </c>
      <c r="X205" s="122">
        <f t="shared" si="7"/>
        <v>2190</v>
      </c>
      <c r="Y205" s="122"/>
      <c r="AA205" t="s">
        <v>56</v>
      </c>
      <c r="AB205" t="s">
        <v>425</v>
      </c>
      <c r="AC205" t="s">
        <v>427</v>
      </c>
      <c r="AD205" t="s">
        <v>425</v>
      </c>
      <c r="AE205" t="s">
        <v>137</v>
      </c>
      <c r="AF205">
        <v>1</v>
      </c>
      <c r="AG205">
        <v>61</v>
      </c>
      <c r="AH205">
        <v>214</v>
      </c>
      <c r="AI205" s="122">
        <v>4463</v>
      </c>
      <c r="AJ205" s="122">
        <v>4057</v>
      </c>
      <c r="AK205">
        <v>93</v>
      </c>
      <c r="AL205" s="122">
        <v>1461</v>
      </c>
      <c r="AM205" s="122">
        <v>1328</v>
      </c>
      <c r="AN205" s="122">
        <v>1413</v>
      </c>
      <c r="AO205">
        <v>523</v>
      </c>
      <c r="AP205">
        <v>473</v>
      </c>
      <c r="AQ205">
        <v>175</v>
      </c>
      <c r="AR205" s="122">
        <v>3044</v>
      </c>
      <c r="AS205" s="122">
        <v>2767</v>
      </c>
      <c r="AT205" s="122">
        <v>2167</v>
      </c>
      <c r="AU205">
        <v>803</v>
      </c>
      <c r="AV205" s="122">
        <v>9654</v>
      </c>
    </row>
    <row r="206" spans="2:48" ht="13">
      <c r="B206" t="s">
        <v>434</v>
      </c>
      <c r="C206" t="s">
        <v>62</v>
      </c>
      <c r="D206" t="s">
        <v>137</v>
      </c>
      <c r="E206" t="s">
        <v>137</v>
      </c>
      <c r="F206">
        <v>103</v>
      </c>
      <c r="G206" s="122">
        <v>5102</v>
      </c>
      <c r="H206" s="122">
        <v>42581</v>
      </c>
      <c r="I206" s="122">
        <v>1303809</v>
      </c>
      <c r="J206" s="191">
        <v>482892</v>
      </c>
      <c r="K206" s="122">
        <v>100</v>
      </c>
      <c r="L206" s="122">
        <v>162639</v>
      </c>
      <c r="M206" s="122">
        <v>76538</v>
      </c>
      <c r="N206" s="122">
        <v>98135</v>
      </c>
      <c r="O206" s="122">
        <v>36346</v>
      </c>
      <c r="P206" s="122">
        <v>1053</v>
      </c>
      <c r="Q206" s="122">
        <v>390</v>
      </c>
      <c r="R206" s="122">
        <v>533040</v>
      </c>
      <c r="S206" s="122">
        <v>197422</v>
      </c>
      <c r="T206" s="122">
        <v>5351</v>
      </c>
      <c r="U206" s="122">
        <v>1982</v>
      </c>
      <c r="V206" s="122">
        <v>795571</v>
      </c>
      <c r="W206" s="122">
        <f t="shared" si="6"/>
        <v>795570</v>
      </c>
      <c r="X206" s="122">
        <f t="shared" si="7"/>
        <v>2104027</v>
      </c>
      <c r="Y206" s="122"/>
      <c r="AA206" t="s">
        <v>56</v>
      </c>
      <c r="AB206" t="s">
        <v>425</v>
      </c>
      <c r="AC206" t="s">
        <v>579</v>
      </c>
      <c r="AD206" t="s">
        <v>405</v>
      </c>
      <c r="AE206" t="s">
        <v>137</v>
      </c>
      <c r="AF206">
        <v>1</v>
      </c>
      <c r="AG206">
        <v>82</v>
      </c>
      <c r="AH206">
        <v>208</v>
      </c>
      <c r="AI206" s="122">
        <v>7532</v>
      </c>
      <c r="AJ206" s="122">
        <v>6847</v>
      </c>
      <c r="AK206">
        <v>73</v>
      </c>
      <c r="AL206" s="122">
        <v>1056</v>
      </c>
      <c r="AM206">
        <v>880</v>
      </c>
      <c r="AN206" s="122">
        <v>1602</v>
      </c>
      <c r="AO206">
        <v>593</v>
      </c>
      <c r="AP206">
        <v>473</v>
      </c>
      <c r="AQ206">
        <v>175</v>
      </c>
      <c r="AR206" s="122">
        <v>4074</v>
      </c>
      <c r="AS206" s="122">
        <v>3704</v>
      </c>
      <c r="AT206" s="122">
        <v>2329</v>
      </c>
      <c r="AU206">
        <v>863</v>
      </c>
      <c r="AV206" s="122">
        <v>13062</v>
      </c>
    </row>
    <row r="207" spans="2:48" ht="13">
      <c r="B207" t="s">
        <v>434</v>
      </c>
      <c r="C207" t="s">
        <v>62</v>
      </c>
      <c r="D207" t="s">
        <v>406</v>
      </c>
      <c r="E207" t="s">
        <v>137</v>
      </c>
      <c r="F207">
        <v>2</v>
      </c>
      <c r="G207">
        <v>62</v>
      </c>
      <c r="H207" s="122">
        <v>838</v>
      </c>
      <c r="I207" s="122">
        <v>18051</v>
      </c>
      <c r="J207" s="191">
        <v>16410</v>
      </c>
      <c r="K207" s="122">
        <v>70</v>
      </c>
      <c r="L207" s="122">
        <v>0</v>
      </c>
      <c r="M207" s="122">
        <v>0</v>
      </c>
      <c r="N207" s="122">
        <v>1515</v>
      </c>
      <c r="O207">
        <v>561</v>
      </c>
      <c r="P207" s="122">
        <v>1242</v>
      </c>
      <c r="Q207" s="122">
        <v>460</v>
      </c>
      <c r="R207" s="122">
        <v>5257</v>
      </c>
      <c r="S207" s="122">
        <v>1947</v>
      </c>
      <c r="T207">
        <v>0</v>
      </c>
      <c r="U207" s="122">
        <v>0</v>
      </c>
      <c r="V207" s="122">
        <v>19378</v>
      </c>
      <c r="W207" s="122">
        <f t="shared" si="6"/>
        <v>19378</v>
      </c>
      <c r="X207" s="122">
        <f t="shared" si="7"/>
        <v>26065</v>
      </c>
      <c r="Y207" s="122"/>
      <c r="AA207" t="s">
        <v>56</v>
      </c>
      <c r="AB207" t="s">
        <v>425</v>
      </c>
      <c r="AC207" t="s">
        <v>426</v>
      </c>
      <c r="AD207" t="s">
        <v>425</v>
      </c>
      <c r="AE207" t="s">
        <v>137</v>
      </c>
      <c r="AF207">
        <v>2</v>
      </c>
      <c r="AG207">
        <v>190</v>
      </c>
      <c r="AH207">
        <v>397</v>
      </c>
      <c r="AI207" s="122">
        <v>16793</v>
      </c>
      <c r="AJ207" s="122">
        <v>15266</v>
      </c>
      <c r="AK207">
        <v>91</v>
      </c>
      <c r="AL207" s="122">
        <v>3965</v>
      </c>
      <c r="AM207" s="122">
        <v>3604</v>
      </c>
      <c r="AN207" s="122">
        <v>3556</v>
      </c>
      <c r="AO207" s="122">
        <v>1317</v>
      </c>
      <c r="AP207">
        <v>945</v>
      </c>
      <c r="AQ207">
        <v>350</v>
      </c>
      <c r="AR207" s="122">
        <v>8120</v>
      </c>
      <c r="AS207" s="122">
        <v>7382</v>
      </c>
      <c r="AT207" s="122">
        <v>4661</v>
      </c>
      <c r="AU207" s="122">
        <v>1726</v>
      </c>
      <c r="AV207" s="122">
        <v>29647</v>
      </c>
    </row>
    <row r="208" spans="2:48" ht="13">
      <c r="B208" t="s">
        <v>434</v>
      </c>
      <c r="C208" t="s">
        <v>62</v>
      </c>
      <c r="D208" t="s">
        <v>406</v>
      </c>
      <c r="E208" t="s">
        <v>406</v>
      </c>
      <c r="F208" s="122">
        <v>3</v>
      </c>
      <c r="G208" s="122">
        <v>325</v>
      </c>
      <c r="H208" s="122">
        <v>1239</v>
      </c>
      <c r="I208" s="122">
        <v>90862</v>
      </c>
      <c r="J208" s="191">
        <v>82602</v>
      </c>
      <c r="K208" s="122">
        <v>85</v>
      </c>
      <c r="L208" s="122">
        <v>19700</v>
      </c>
      <c r="M208" s="122">
        <v>16894</v>
      </c>
      <c r="N208" s="122">
        <v>6763</v>
      </c>
      <c r="O208" s="122">
        <v>2505</v>
      </c>
      <c r="P208" s="122">
        <v>1863</v>
      </c>
      <c r="Q208" s="122">
        <v>690</v>
      </c>
      <c r="R208" s="122">
        <v>10461</v>
      </c>
      <c r="S208" s="122">
        <v>9510</v>
      </c>
      <c r="T208" s="122">
        <v>4436</v>
      </c>
      <c r="U208" s="122">
        <v>1643</v>
      </c>
      <c r="V208" s="122">
        <v>113844</v>
      </c>
      <c r="W208" s="122">
        <f t="shared" si="6"/>
        <v>113844</v>
      </c>
      <c r="X208" s="122">
        <f t="shared" si="7"/>
        <v>134085</v>
      </c>
      <c r="Y208" s="122"/>
      <c r="AA208" t="s">
        <v>56</v>
      </c>
      <c r="AB208" t="s">
        <v>425</v>
      </c>
      <c r="AC208" t="s">
        <v>426</v>
      </c>
      <c r="AD208" t="s">
        <v>425</v>
      </c>
      <c r="AE208" t="s">
        <v>566</v>
      </c>
      <c r="AF208">
        <v>3</v>
      </c>
      <c r="AG208">
        <v>306</v>
      </c>
      <c r="AH208">
        <v>535</v>
      </c>
      <c r="AI208" s="122">
        <v>32006</v>
      </c>
      <c r="AJ208" s="122">
        <v>29096</v>
      </c>
      <c r="AK208">
        <v>91</v>
      </c>
      <c r="AL208" s="122">
        <v>4878</v>
      </c>
      <c r="AM208" s="122">
        <v>4435</v>
      </c>
      <c r="AN208" s="122">
        <v>5256</v>
      </c>
      <c r="AO208" s="122">
        <v>1947</v>
      </c>
      <c r="AP208" s="122">
        <v>1769</v>
      </c>
      <c r="AQ208">
        <v>655</v>
      </c>
      <c r="AR208" s="122">
        <v>10321</v>
      </c>
      <c r="AS208" s="122">
        <v>9383</v>
      </c>
      <c r="AT208">
        <v>0</v>
      </c>
      <c r="AU208">
        <v>0</v>
      </c>
      <c r="AV208" s="122">
        <v>45515</v>
      </c>
    </row>
    <row r="209" spans="2:48" ht="13">
      <c r="B209" t="s">
        <v>434</v>
      </c>
      <c r="C209" t="s">
        <v>62</v>
      </c>
      <c r="D209" t="s">
        <v>407</v>
      </c>
      <c r="E209" t="s">
        <v>137</v>
      </c>
      <c r="F209">
        <v>3</v>
      </c>
      <c r="G209">
        <v>120</v>
      </c>
      <c r="H209" s="122">
        <v>1236</v>
      </c>
      <c r="I209" s="122">
        <v>33998</v>
      </c>
      <c r="J209" s="191">
        <v>30907</v>
      </c>
      <c r="K209" s="122">
        <v>74</v>
      </c>
      <c r="L209" s="122">
        <v>1947</v>
      </c>
      <c r="M209" s="122">
        <v>721</v>
      </c>
      <c r="N209" s="122">
        <v>2561</v>
      </c>
      <c r="O209">
        <v>948</v>
      </c>
      <c r="P209" s="122">
        <v>1418</v>
      </c>
      <c r="Q209" s="122">
        <v>525</v>
      </c>
      <c r="R209" s="122">
        <v>9393</v>
      </c>
      <c r="S209" s="122">
        <v>3479</v>
      </c>
      <c r="T209">
        <v>0</v>
      </c>
      <c r="U209" s="122">
        <v>0</v>
      </c>
      <c r="V209" s="122">
        <v>36581</v>
      </c>
      <c r="W209" s="122">
        <f t="shared" si="6"/>
        <v>36580</v>
      </c>
      <c r="X209" s="122">
        <f t="shared" si="7"/>
        <v>49317</v>
      </c>
      <c r="Y209" s="122"/>
      <c r="AA209" t="s">
        <v>56</v>
      </c>
      <c r="AB209" t="s">
        <v>425</v>
      </c>
      <c r="AC209" t="s">
        <v>566</v>
      </c>
      <c r="AD209" t="s">
        <v>425</v>
      </c>
      <c r="AE209" t="s">
        <v>137</v>
      </c>
      <c r="AF209">
        <v>5</v>
      </c>
      <c r="AG209">
        <v>378</v>
      </c>
      <c r="AH209" s="122">
        <v>1002</v>
      </c>
      <c r="AI209" s="122">
        <v>36427</v>
      </c>
      <c r="AJ209" s="122">
        <v>33115</v>
      </c>
      <c r="AK209">
        <v>81</v>
      </c>
      <c r="AL209">
        <v>0</v>
      </c>
      <c r="AM209">
        <v>0</v>
      </c>
      <c r="AN209" s="122">
        <v>6810</v>
      </c>
      <c r="AO209" s="122">
        <v>2522</v>
      </c>
      <c r="AP209" s="122">
        <v>2363</v>
      </c>
      <c r="AQ209">
        <v>875</v>
      </c>
      <c r="AR209" s="122">
        <v>19553</v>
      </c>
      <c r="AS209" s="122">
        <v>17775</v>
      </c>
      <c r="AT209" s="122">
        <v>9713</v>
      </c>
      <c r="AU209" s="122">
        <v>3598</v>
      </c>
      <c r="AV209" s="122">
        <v>57885</v>
      </c>
    </row>
    <row r="210" spans="2:48" ht="13">
      <c r="B210" t="s">
        <v>434</v>
      </c>
      <c r="C210" t="s">
        <v>62</v>
      </c>
      <c r="D210" t="s">
        <v>407</v>
      </c>
      <c r="E210" t="s">
        <v>407</v>
      </c>
      <c r="F210">
        <v>33</v>
      </c>
      <c r="G210" s="122">
        <v>1839</v>
      </c>
      <c r="H210" s="122">
        <v>13511</v>
      </c>
      <c r="I210" s="122">
        <v>465378</v>
      </c>
      <c r="J210" s="191">
        <v>423071</v>
      </c>
      <c r="K210" s="122">
        <v>78</v>
      </c>
      <c r="L210" s="122">
        <v>103688</v>
      </c>
      <c r="M210" s="122">
        <v>91115</v>
      </c>
      <c r="N210" s="122">
        <v>41315</v>
      </c>
      <c r="O210" s="122">
        <v>15302</v>
      </c>
      <c r="P210" s="122">
        <v>15120</v>
      </c>
      <c r="Q210" s="122">
        <v>5600</v>
      </c>
      <c r="R210" s="122">
        <v>119503</v>
      </c>
      <c r="S210" s="122">
        <v>108639</v>
      </c>
      <c r="T210" s="122">
        <v>20334</v>
      </c>
      <c r="U210" s="122">
        <v>7531</v>
      </c>
      <c r="V210" s="122">
        <v>651258</v>
      </c>
      <c r="W210" s="122">
        <f t="shared" si="6"/>
        <v>651258</v>
      </c>
      <c r="X210" s="122">
        <f t="shared" si="7"/>
        <v>765338</v>
      </c>
      <c r="Y210" s="122"/>
      <c r="AA210" t="s">
        <v>56</v>
      </c>
      <c r="AB210" t="s">
        <v>425</v>
      </c>
      <c r="AC210" t="s">
        <v>566</v>
      </c>
      <c r="AD210" t="s">
        <v>425</v>
      </c>
      <c r="AE210" t="s">
        <v>566</v>
      </c>
      <c r="AF210">
        <v>9</v>
      </c>
      <c r="AG210">
        <v>673</v>
      </c>
      <c r="AH210" s="122">
        <v>1656</v>
      </c>
      <c r="AI210" s="122">
        <v>73992</v>
      </c>
      <c r="AJ210" s="122">
        <v>67266</v>
      </c>
      <c r="AK210">
        <v>85</v>
      </c>
      <c r="AL210">
        <v>0</v>
      </c>
      <c r="AM210" s="122">
        <v>1063</v>
      </c>
      <c r="AN210" s="122">
        <v>13724</v>
      </c>
      <c r="AO210" s="122">
        <v>5083</v>
      </c>
      <c r="AP210" s="122">
        <v>4253</v>
      </c>
      <c r="AQ210" s="122">
        <v>1575</v>
      </c>
      <c r="AR210" s="122">
        <v>30988</v>
      </c>
      <c r="AS210" s="122">
        <v>28171</v>
      </c>
      <c r="AT210">
        <v>0</v>
      </c>
      <c r="AU210">
        <v>0</v>
      </c>
      <c r="AV210" s="122">
        <v>103157</v>
      </c>
    </row>
    <row r="211" spans="2:48" ht="13">
      <c r="B211" t="s">
        <v>434</v>
      </c>
      <c r="C211" t="s">
        <v>64</v>
      </c>
      <c r="F211" s="122">
        <v>3</v>
      </c>
      <c r="G211" s="122">
        <v>121</v>
      </c>
      <c r="H211" s="122">
        <v>1747</v>
      </c>
      <c r="I211" s="122"/>
      <c r="J211" s="66">
        <v>0</v>
      </c>
      <c r="K211" s="122"/>
      <c r="L211" s="122"/>
      <c r="M211" s="122">
        <v>0</v>
      </c>
      <c r="N211" s="122">
        <v>1985</v>
      </c>
      <c r="O211" s="122">
        <v>735</v>
      </c>
      <c r="P211" s="122">
        <v>0</v>
      </c>
      <c r="Q211" s="122">
        <v>0</v>
      </c>
      <c r="R211" s="122"/>
      <c r="S211" s="122">
        <v>0</v>
      </c>
      <c r="T211" s="122">
        <v>0</v>
      </c>
      <c r="U211" s="122">
        <v>0</v>
      </c>
      <c r="V211">
        <v>735</v>
      </c>
      <c r="W211" s="122">
        <f t="shared" si="6"/>
        <v>735</v>
      </c>
      <c r="X211" s="122">
        <f t="shared" si="7"/>
        <v>1985</v>
      </c>
      <c r="Y211" s="122"/>
      <c r="AA211" t="s">
        <v>56</v>
      </c>
      <c r="AB211" t="s">
        <v>425</v>
      </c>
      <c r="AC211" t="s">
        <v>566</v>
      </c>
      <c r="AD211" t="s">
        <v>407</v>
      </c>
      <c r="AE211" t="s">
        <v>566</v>
      </c>
      <c r="AF211">
        <v>3</v>
      </c>
      <c r="AG211">
        <v>130</v>
      </c>
      <c r="AH211">
        <v>486</v>
      </c>
      <c r="AI211" s="122">
        <v>9867</v>
      </c>
      <c r="AJ211" s="122">
        <v>8970</v>
      </c>
      <c r="AK211">
        <v>91</v>
      </c>
      <c r="AL211">
        <v>0</v>
      </c>
      <c r="AM211">
        <v>0</v>
      </c>
      <c r="AN211" s="122">
        <v>3156</v>
      </c>
      <c r="AO211" s="122">
        <v>1169</v>
      </c>
      <c r="AP211" s="122">
        <v>1418</v>
      </c>
      <c r="AQ211">
        <v>525</v>
      </c>
      <c r="AR211" s="122">
        <v>6519</v>
      </c>
      <c r="AS211" s="122">
        <v>5927</v>
      </c>
      <c r="AT211">
        <v>0</v>
      </c>
      <c r="AU211">
        <v>0</v>
      </c>
      <c r="AV211" s="122">
        <v>16590</v>
      </c>
    </row>
    <row r="212" spans="2:48" ht="13">
      <c r="B212" t="s">
        <v>434</v>
      </c>
      <c r="C212" t="s">
        <v>64</v>
      </c>
      <c r="D212" t="s">
        <v>137</v>
      </c>
      <c r="E212" t="s">
        <v>137</v>
      </c>
      <c r="F212">
        <v>202</v>
      </c>
      <c r="G212" s="122">
        <v>9910</v>
      </c>
      <c r="H212" s="122">
        <v>122733</v>
      </c>
      <c r="I212" s="122">
        <v>4348268</v>
      </c>
      <c r="J212" s="191">
        <v>1610470</v>
      </c>
      <c r="K212" s="122">
        <v>100</v>
      </c>
      <c r="L212" s="122">
        <v>428739</v>
      </c>
      <c r="M212" s="122">
        <v>259139</v>
      </c>
      <c r="N212" s="122">
        <v>208831</v>
      </c>
      <c r="O212" s="122">
        <v>77345</v>
      </c>
      <c r="P212" s="122">
        <v>2042</v>
      </c>
      <c r="Q212" s="122">
        <v>756</v>
      </c>
      <c r="R212" s="122">
        <v>1015038</v>
      </c>
      <c r="S212" s="122">
        <v>375940</v>
      </c>
      <c r="T212" s="122">
        <v>0</v>
      </c>
      <c r="U212" s="122">
        <v>0</v>
      </c>
      <c r="V212" s="122">
        <v>2323649</v>
      </c>
      <c r="W212" s="122">
        <f t="shared" si="6"/>
        <v>2323650</v>
      </c>
      <c r="X212" s="122">
        <f t="shared" si="7"/>
        <v>6002918</v>
      </c>
      <c r="Y212" s="122"/>
      <c r="AA212" t="s">
        <v>56</v>
      </c>
      <c r="AB212" t="s">
        <v>405</v>
      </c>
      <c r="AC212" t="s">
        <v>425</v>
      </c>
      <c r="AD212" t="s">
        <v>405</v>
      </c>
      <c r="AE212" t="s">
        <v>137</v>
      </c>
      <c r="AF212">
        <v>2</v>
      </c>
      <c r="AG212">
        <v>212</v>
      </c>
      <c r="AH212">
        <v>361</v>
      </c>
      <c r="AI212" s="122">
        <v>21305</v>
      </c>
      <c r="AJ212" s="122">
        <v>19368</v>
      </c>
      <c r="AK212">
        <v>84</v>
      </c>
      <c r="AL212" s="122">
        <v>1081</v>
      </c>
      <c r="AM212">
        <v>983</v>
      </c>
      <c r="AN212" s="122">
        <v>4643</v>
      </c>
      <c r="AO212" s="122">
        <v>1720</v>
      </c>
      <c r="AP212">
        <v>945</v>
      </c>
      <c r="AQ212">
        <v>350</v>
      </c>
      <c r="AR212" s="122">
        <v>7339</v>
      </c>
      <c r="AS212" s="122">
        <v>6672</v>
      </c>
      <c r="AT212">
        <v>0</v>
      </c>
      <c r="AU212">
        <v>0</v>
      </c>
      <c r="AV212" s="122">
        <v>29093</v>
      </c>
    </row>
    <row r="213" spans="2:48" ht="13">
      <c r="B213" t="s">
        <v>434</v>
      </c>
      <c r="C213" t="s">
        <v>64</v>
      </c>
      <c r="D213" t="s">
        <v>406</v>
      </c>
      <c r="E213" t="s">
        <v>406</v>
      </c>
      <c r="F213" s="122">
        <v>1</v>
      </c>
      <c r="G213" s="122">
        <v>117</v>
      </c>
      <c r="H213" s="122">
        <v>522</v>
      </c>
      <c r="I213" s="122">
        <v>48347</v>
      </c>
      <c r="J213" s="191">
        <v>43952</v>
      </c>
      <c r="K213" s="122">
        <v>70</v>
      </c>
      <c r="L213" s="122">
        <v>11908</v>
      </c>
      <c r="M213" s="122">
        <v>10825</v>
      </c>
      <c r="N213" s="122">
        <v>2528</v>
      </c>
      <c r="O213">
        <v>936</v>
      </c>
      <c r="P213">
        <v>972</v>
      </c>
      <c r="Q213" s="122">
        <v>360</v>
      </c>
      <c r="R213" s="122">
        <v>5279</v>
      </c>
      <c r="S213" s="122">
        <v>4799</v>
      </c>
      <c r="T213" s="122">
        <v>3157</v>
      </c>
      <c r="U213" s="122">
        <v>1169</v>
      </c>
      <c r="V213" s="122">
        <v>62042</v>
      </c>
      <c r="W213" s="122">
        <f t="shared" si="6"/>
        <v>62041</v>
      </c>
      <c r="X213" s="122">
        <f t="shared" si="7"/>
        <v>72191</v>
      </c>
      <c r="Y213" s="122"/>
      <c r="AA213" t="s">
        <v>56</v>
      </c>
      <c r="AB213" t="s">
        <v>405</v>
      </c>
      <c r="AC213" t="s">
        <v>425</v>
      </c>
      <c r="AD213" t="s">
        <v>405</v>
      </c>
      <c r="AE213" t="s">
        <v>566</v>
      </c>
      <c r="AF213">
        <v>3</v>
      </c>
      <c r="AG213">
        <v>229</v>
      </c>
      <c r="AH213">
        <v>577</v>
      </c>
      <c r="AI213" s="122">
        <v>27349</v>
      </c>
      <c r="AJ213" s="122">
        <v>24862</v>
      </c>
      <c r="AK213">
        <v>83</v>
      </c>
      <c r="AL213" s="122">
        <v>3818</v>
      </c>
      <c r="AM213" s="122">
        <v>3471</v>
      </c>
      <c r="AN213" s="122">
        <v>3633</v>
      </c>
      <c r="AO213" s="122">
        <v>1346</v>
      </c>
      <c r="AP213" s="122">
        <v>1418</v>
      </c>
      <c r="AQ213">
        <v>525</v>
      </c>
      <c r="AR213" s="122">
        <v>7828</v>
      </c>
      <c r="AS213" s="122">
        <v>7116</v>
      </c>
      <c r="AT213">
        <v>0</v>
      </c>
      <c r="AU213">
        <v>0</v>
      </c>
      <c r="AV213" s="122">
        <v>37320</v>
      </c>
    </row>
    <row r="214" spans="2:48" ht="13">
      <c r="B214" t="s">
        <v>434</v>
      </c>
      <c r="C214" t="s">
        <v>64</v>
      </c>
      <c r="D214" t="s">
        <v>407</v>
      </c>
      <c r="E214" t="s">
        <v>137</v>
      </c>
      <c r="F214" s="122">
        <v>2</v>
      </c>
      <c r="G214" s="122">
        <v>86</v>
      </c>
      <c r="H214" s="122">
        <v>1038</v>
      </c>
      <c r="I214" s="122">
        <v>29799</v>
      </c>
      <c r="J214" s="191">
        <v>27090</v>
      </c>
      <c r="K214" s="122">
        <v>67</v>
      </c>
      <c r="L214" s="122">
        <v>2845</v>
      </c>
      <c r="M214" s="122">
        <v>1054</v>
      </c>
      <c r="N214" s="122">
        <v>1941</v>
      </c>
      <c r="O214" s="122">
        <v>719</v>
      </c>
      <c r="P214" s="122">
        <v>824</v>
      </c>
      <c r="Q214" s="122">
        <v>305</v>
      </c>
      <c r="R214" s="122">
        <v>9467</v>
      </c>
      <c r="S214" s="122">
        <v>3506</v>
      </c>
      <c r="T214" s="122">
        <v>0</v>
      </c>
      <c r="U214" s="122">
        <v>0</v>
      </c>
      <c r="V214" s="122">
        <v>32674</v>
      </c>
      <c r="W214" s="122">
        <f t="shared" si="6"/>
        <v>32674</v>
      </c>
      <c r="X214" s="122">
        <f t="shared" si="7"/>
        <v>44876</v>
      </c>
      <c r="Y214" s="122"/>
      <c r="AA214" t="s">
        <v>56</v>
      </c>
      <c r="AB214" t="s">
        <v>405</v>
      </c>
      <c r="AC214" t="s">
        <v>405</v>
      </c>
      <c r="AD214" t="s">
        <v>425</v>
      </c>
      <c r="AE214" t="s">
        <v>137</v>
      </c>
      <c r="AF214">
        <v>1</v>
      </c>
      <c r="AG214">
        <v>117</v>
      </c>
      <c r="AH214">
        <v>209</v>
      </c>
      <c r="AI214" s="122">
        <v>12617</v>
      </c>
      <c r="AJ214" s="122">
        <v>11470</v>
      </c>
      <c r="AK214">
        <v>78</v>
      </c>
      <c r="AL214" s="122">
        <v>2308</v>
      </c>
      <c r="AM214" s="122">
        <v>2099</v>
      </c>
      <c r="AN214" s="122">
        <v>2642</v>
      </c>
      <c r="AO214">
        <v>978</v>
      </c>
      <c r="AP214">
        <v>473</v>
      </c>
      <c r="AQ214">
        <v>175</v>
      </c>
      <c r="AR214" s="122">
        <v>6434</v>
      </c>
      <c r="AS214" s="122">
        <v>5849</v>
      </c>
      <c r="AT214">
        <v>0</v>
      </c>
      <c r="AU214">
        <v>0</v>
      </c>
      <c r="AV214" s="122">
        <v>20571</v>
      </c>
    </row>
    <row r="215" spans="2:48" ht="13">
      <c r="B215" t="s">
        <v>434</v>
      </c>
      <c r="C215" t="s">
        <v>64</v>
      </c>
      <c r="D215" t="s">
        <v>407</v>
      </c>
      <c r="E215" t="s">
        <v>407</v>
      </c>
      <c r="F215">
        <v>12</v>
      </c>
      <c r="G215">
        <v>616</v>
      </c>
      <c r="H215" s="122">
        <v>6430</v>
      </c>
      <c r="I215" s="122">
        <v>234790</v>
      </c>
      <c r="J215" s="191">
        <v>213446</v>
      </c>
      <c r="K215" s="122">
        <v>70</v>
      </c>
      <c r="L215" s="122">
        <v>19600</v>
      </c>
      <c r="M215" s="122">
        <v>14254</v>
      </c>
      <c r="N215" s="122">
        <v>13532</v>
      </c>
      <c r="O215" s="122">
        <v>5012</v>
      </c>
      <c r="P215" s="122">
        <v>5549</v>
      </c>
      <c r="Q215" s="122">
        <v>2055</v>
      </c>
      <c r="R215" s="122">
        <v>46075</v>
      </c>
      <c r="S215" s="122">
        <v>41886</v>
      </c>
      <c r="T215" s="122">
        <v>7755</v>
      </c>
      <c r="U215" s="122">
        <v>2872</v>
      </c>
      <c r="V215" s="122">
        <v>279525</v>
      </c>
      <c r="W215" s="122">
        <f t="shared" si="6"/>
        <v>279525</v>
      </c>
      <c r="X215" s="122">
        <f t="shared" si="7"/>
        <v>327301</v>
      </c>
      <c r="Y215" s="122"/>
      <c r="AA215" t="s">
        <v>56</v>
      </c>
      <c r="AB215" t="s">
        <v>405</v>
      </c>
      <c r="AC215" t="s">
        <v>405</v>
      </c>
      <c r="AD215" t="s">
        <v>405</v>
      </c>
      <c r="AE215" t="s">
        <v>137</v>
      </c>
      <c r="AF215">
        <v>27</v>
      </c>
      <c r="AG215" s="122">
        <v>2245</v>
      </c>
      <c r="AH215" s="122">
        <v>5196</v>
      </c>
      <c r="AI215" s="122">
        <v>188074</v>
      </c>
      <c r="AJ215" s="122">
        <v>170976</v>
      </c>
      <c r="AK215">
        <v>79</v>
      </c>
      <c r="AL215" s="122">
        <v>39681</v>
      </c>
      <c r="AM215" s="122">
        <v>36074</v>
      </c>
      <c r="AN215" s="122">
        <v>46817</v>
      </c>
      <c r="AO215" s="122">
        <v>17340</v>
      </c>
      <c r="AP215" s="122">
        <v>12636</v>
      </c>
      <c r="AQ215" s="122">
        <v>4680</v>
      </c>
      <c r="AR215" s="122">
        <v>117122</v>
      </c>
      <c r="AS215" s="122">
        <v>106475</v>
      </c>
      <c r="AT215" s="122">
        <v>24198</v>
      </c>
      <c r="AU215" s="122">
        <v>8962</v>
      </c>
      <c r="AV215" s="122">
        <v>344507</v>
      </c>
    </row>
    <row r="216" spans="2:48" ht="13">
      <c r="B216" t="s">
        <v>434</v>
      </c>
      <c r="C216" t="s">
        <v>64</v>
      </c>
      <c r="D216" t="s">
        <v>556</v>
      </c>
      <c r="E216" t="s">
        <v>137</v>
      </c>
      <c r="F216" s="122">
        <v>2</v>
      </c>
      <c r="G216" s="122">
        <v>94</v>
      </c>
      <c r="H216" s="122">
        <v>1393</v>
      </c>
      <c r="I216" s="122">
        <v>41679</v>
      </c>
      <c r="J216" s="191">
        <v>34732</v>
      </c>
      <c r="K216" s="122">
        <v>43</v>
      </c>
      <c r="L216" s="122">
        <v>4558</v>
      </c>
      <c r="M216" s="122">
        <v>1688</v>
      </c>
      <c r="N216" s="122">
        <v>1516</v>
      </c>
      <c r="O216" s="122">
        <v>561</v>
      </c>
      <c r="P216" s="122">
        <v>351</v>
      </c>
      <c r="Q216" s="122">
        <v>130</v>
      </c>
      <c r="R216" s="122">
        <v>12682</v>
      </c>
      <c r="S216" s="122">
        <v>4697</v>
      </c>
      <c r="T216" s="122">
        <v>0</v>
      </c>
      <c r="U216" s="122">
        <v>0</v>
      </c>
      <c r="V216" s="122">
        <v>41809</v>
      </c>
      <c r="W216" s="122">
        <f t="shared" si="6"/>
        <v>41808</v>
      </c>
      <c r="X216" s="122">
        <f t="shared" si="7"/>
        <v>60786</v>
      </c>
      <c r="Y216" s="122"/>
      <c r="AA216" t="s">
        <v>56</v>
      </c>
      <c r="AB216" t="s">
        <v>405</v>
      </c>
      <c r="AC216" t="s">
        <v>405</v>
      </c>
      <c r="AD216" t="s">
        <v>405</v>
      </c>
      <c r="AE216" t="s">
        <v>566</v>
      </c>
      <c r="AF216">
        <v>85</v>
      </c>
      <c r="AG216" s="122">
        <v>8121</v>
      </c>
      <c r="AH216" s="122">
        <v>15930</v>
      </c>
      <c r="AI216" s="122">
        <v>744333</v>
      </c>
      <c r="AJ216" s="122">
        <v>676666</v>
      </c>
      <c r="AK216">
        <v>81</v>
      </c>
      <c r="AL216" s="122">
        <v>219176</v>
      </c>
      <c r="AM216" s="122">
        <v>199251</v>
      </c>
      <c r="AN216" s="122">
        <v>154925</v>
      </c>
      <c r="AO216" s="122">
        <v>57380</v>
      </c>
      <c r="AP216" s="122">
        <v>40001</v>
      </c>
      <c r="AQ216" s="122">
        <v>14815</v>
      </c>
      <c r="AR216" s="122">
        <v>353793</v>
      </c>
      <c r="AS216" s="122">
        <v>321630</v>
      </c>
      <c r="AT216">
        <v>0</v>
      </c>
      <c r="AU216">
        <v>0</v>
      </c>
      <c r="AV216" s="122">
        <v>1269741</v>
      </c>
    </row>
    <row r="217" spans="2:48" ht="13">
      <c r="B217" t="s">
        <v>434</v>
      </c>
      <c r="C217" t="s">
        <v>64</v>
      </c>
      <c r="D217" t="s">
        <v>556</v>
      </c>
      <c r="E217" t="s">
        <v>556</v>
      </c>
      <c r="F217">
        <v>1</v>
      </c>
      <c r="G217">
        <v>72</v>
      </c>
      <c r="H217" s="122">
        <v>710</v>
      </c>
      <c r="I217" s="122">
        <v>37537</v>
      </c>
      <c r="J217" s="191">
        <v>31281</v>
      </c>
      <c r="K217" s="122">
        <v>30</v>
      </c>
      <c r="L217" s="122">
        <v>0</v>
      </c>
      <c r="M217" s="122">
        <v>0</v>
      </c>
      <c r="N217" s="122">
        <v>873</v>
      </c>
      <c r="O217" s="122">
        <v>323</v>
      </c>
      <c r="P217">
        <v>351</v>
      </c>
      <c r="Q217" s="122">
        <v>130</v>
      </c>
      <c r="R217" s="122">
        <v>12095</v>
      </c>
      <c r="S217" s="122">
        <v>10079</v>
      </c>
      <c r="T217">
        <v>0</v>
      </c>
      <c r="U217" s="122">
        <v>0</v>
      </c>
      <c r="V217" s="122">
        <v>41813</v>
      </c>
      <c r="W217" s="122">
        <f t="shared" si="6"/>
        <v>41813</v>
      </c>
      <c r="X217" s="122">
        <f t="shared" si="7"/>
        <v>50856</v>
      </c>
      <c r="Y217" s="122"/>
      <c r="AA217" t="s">
        <v>56</v>
      </c>
      <c r="AB217" t="s">
        <v>405</v>
      </c>
      <c r="AC217" t="s">
        <v>405</v>
      </c>
      <c r="AD217" t="s">
        <v>137</v>
      </c>
      <c r="AE217" t="s">
        <v>566</v>
      </c>
      <c r="AF217">
        <v>1</v>
      </c>
      <c r="AG217">
        <v>96</v>
      </c>
      <c r="AH217">
        <v>181</v>
      </c>
      <c r="AI217" s="122">
        <v>7612</v>
      </c>
      <c r="AJ217" s="122">
        <v>6920</v>
      </c>
      <c r="AK217">
        <v>83</v>
      </c>
      <c r="AL217">
        <v>702</v>
      </c>
      <c r="AM217">
        <v>638</v>
      </c>
      <c r="AN217" s="122">
        <v>1516</v>
      </c>
      <c r="AO217">
        <v>561</v>
      </c>
      <c r="AP217">
        <v>473</v>
      </c>
      <c r="AQ217">
        <v>175</v>
      </c>
      <c r="AR217" s="122">
        <v>7035</v>
      </c>
      <c r="AS217" s="122">
        <v>2605</v>
      </c>
      <c r="AT217">
        <v>0</v>
      </c>
      <c r="AU217">
        <v>0</v>
      </c>
      <c r="AV217" s="122">
        <v>10900</v>
      </c>
    </row>
    <row r="218" spans="2:48" ht="13">
      <c r="B218" t="s">
        <v>434</v>
      </c>
      <c r="C218" t="s">
        <v>64</v>
      </c>
      <c r="D218" t="s">
        <v>426</v>
      </c>
      <c r="E218" t="s">
        <v>426</v>
      </c>
      <c r="F218" s="122">
        <v>2</v>
      </c>
      <c r="G218" s="122">
        <v>82</v>
      </c>
      <c r="H218" s="122">
        <v>1110</v>
      </c>
      <c r="I218" s="122">
        <v>22036</v>
      </c>
      <c r="J218" s="191">
        <v>20033</v>
      </c>
      <c r="K218" s="122">
        <v>53</v>
      </c>
      <c r="L218" s="122">
        <v>6342</v>
      </c>
      <c r="M218" s="122">
        <v>2349</v>
      </c>
      <c r="N218" s="122">
        <v>1532</v>
      </c>
      <c r="O218">
        <v>568</v>
      </c>
      <c r="P218">
        <v>351</v>
      </c>
      <c r="Q218" s="122">
        <v>130</v>
      </c>
      <c r="R218" s="122">
        <v>12874</v>
      </c>
      <c r="S218" s="122">
        <v>11704</v>
      </c>
      <c r="T218" s="122">
        <v>1661</v>
      </c>
      <c r="U218" s="122">
        <v>615</v>
      </c>
      <c r="V218" s="122">
        <v>35399</v>
      </c>
      <c r="W218" s="122">
        <f t="shared" si="6"/>
        <v>35399</v>
      </c>
      <c r="X218" s="122">
        <f t="shared" si="7"/>
        <v>44796</v>
      </c>
      <c r="Y218" s="122"/>
      <c r="AA218" t="s">
        <v>56</v>
      </c>
      <c r="AB218" t="s">
        <v>405</v>
      </c>
      <c r="AC218" t="s">
        <v>137</v>
      </c>
      <c r="AD218" t="s">
        <v>405</v>
      </c>
      <c r="AE218" t="s">
        <v>137</v>
      </c>
      <c r="AF218">
        <v>29</v>
      </c>
      <c r="AG218" s="122">
        <v>2230</v>
      </c>
      <c r="AH218" s="122">
        <v>5295</v>
      </c>
      <c r="AI218" s="122">
        <v>173507</v>
      </c>
      <c r="AJ218" s="122">
        <v>157733</v>
      </c>
      <c r="AK218">
        <v>80</v>
      </c>
      <c r="AL218" s="122">
        <v>48563</v>
      </c>
      <c r="AM218" s="122">
        <v>17986</v>
      </c>
      <c r="AN218" s="122">
        <v>45157</v>
      </c>
      <c r="AO218" s="122">
        <v>16725</v>
      </c>
      <c r="AP218" s="122">
        <v>13203</v>
      </c>
      <c r="AQ218" s="122">
        <v>4890</v>
      </c>
      <c r="AR218" s="122">
        <v>95926</v>
      </c>
      <c r="AS218" s="122">
        <v>87206</v>
      </c>
      <c r="AT218" s="122">
        <v>38182</v>
      </c>
      <c r="AU218" s="122">
        <v>14141</v>
      </c>
      <c r="AV218" s="122">
        <v>298681</v>
      </c>
    </row>
    <row r="219" spans="2:48" ht="13">
      <c r="B219" t="s">
        <v>435</v>
      </c>
      <c r="C219" t="s">
        <v>48</v>
      </c>
      <c r="D219" t="s">
        <v>137</v>
      </c>
      <c r="E219" t="s">
        <v>137</v>
      </c>
      <c r="F219">
        <v>28</v>
      </c>
      <c r="G219" s="122">
        <v>2471</v>
      </c>
      <c r="H219" s="122">
        <v>1619</v>
      </c>
      <c r="I219" s="122">
        <v>-13557</v>
      </c>
      <c r="J219" s="191">
        <v>-5021</v>
      </c>
      <c r="K219" s="122">
        <v>466</v>
      </c>
      <c r="L219" s="122">
        <v>673</v>
      </c>
      <c r="M219" s="122">
        <v>528</v>
      </c>
      <c r="N219" s="122">
        <v>31852</v>
      </c>
      <c r="O219" s="122">
        <v>11797</v>
      </c>
      <c r="P219" s="122">
        <v>19874</v>
      </c>
      <c r="Q219" s="122">
        <v>7361</v>
      </c>
      <c r="R219" s="122">
        <v>99898</v>
      </c>
      <c r="S219" s="122">
        <v>36999</v>
      </c>
      <c r="T219">
        <v>0</v>
      </c>
      <c r="U219" s="122">
        <v>0</v>
      </c>
      <c r="V219" s="122">
        <v>51664</v>
      </c>
      <c r="W219" s="122">
        <f t="shared" si="6"/>
        <v>61706</v>
      </c>
      <c r="X219" s="122">
        <f t="shared" si="7"/>
        <v>165854</v>
      </c>
      <c r="Y219" s="122"/>
      <c r="AA219" t="s">
        <v>56</v>
      </c>
      <c r="AB219" t="s">
        <v>405</v>
      </c>
      <c r="AC219" t="s">
        <v>137</v>
      </c>
      <c r="AD219" t="s">
        <v>405</v>
      </c>
      <c r="AE219" t="s">
        <v>566</v>
      </c>
      <c r="AF219">
        <v>98</v>
      </c>
      <c r="AG219" s="122">
        <v>6972</v>
      </c>
      <c r="AH219" s="122">
        <v>18012</v>
      </c>
      <c r="AI219" s="122">
        <v>630530</v>
      </c>
      <c r="AJ219" s="122">
        <v>573209</v>
      </c>
      <c r="AK219">
        <v>83</v>
      </c>
      <c r="AL219" s="122">
        <v>159312</v>
      </c>
      <c r="AM219" s="122">
        <v>59004</v>
      </c>
      <c r="AN219" s="122">
        <v>134868</v>
      </c>
      <c r="AO219" s="122">
        <v>49951</v>
      </c>
      <c r="AP219" s="122">
        <v>41148</v>
      </c>
      <c r="AQ219" s="122">
        <v>15240</v>
      </c>
      <c r="AR219" s="122">
        <v>303130</v>
      </c>
      <c r="AS219" s="122">
        <v>275573</v>
      </c>
      <c r="AT219">
        <v>0</v>
      </c>
      <c r="AU219">
        <v>0</v>
      </c>
      <c r="AV219" s="122">
        <v>972977</v>
      </c>
    </row>
    <row r="220" spans="2:48" ht="13">
      <c r="B220" t="s">
        <v>435</v>
      </c>
      <c r="C220" t="s">
        <v>48</v>
      </c>
      <c r="D220" t="s">
        <v>406</v>
      </c>
      <c r="E220" t="s">
        <v>406</v>
      </c>
      <c r="F220" s="122">
        <v>1</v>
      </c>
      <c r="G220" s="122">
        <v>263</v>
      </c>
      <c r="H220" s="122">
        <v>70</v>
      </c>
      <c r="I220" s="122">
        <v>5667</v>
      </c>
      <c r="J220" s="191">
        <v>5151</v>
      </c>
      <c r="K220" s="122">
        <v>95</v>
      </c>
      <c r="L220" s="122">
        <v>777</v>
      </c>
      <c r="M220" s="122">
        <v>707</v>
      </c>
      <c r="N220" s="122">
        <v>6404</v>
      </c>
      <c r="O220" s="122">
        <v>2372</v>
      </c>
      <c r="P220" s="122">
        <v>621</v>
      </c>
      <c r="Q220" s="122">
        <v>230</v>
      </c>
      <c r="R220" s="122">
        <v>4996</v>
      </c>
      <c r="S220" s="122">
        <v>4542</v>
      </c>
      <c r="T220" s="122">
        <v>0</v>
      </c>
      <c r="U220" s="122">
        <v>0</v>
      </c>
      <c r="V220" s="122">
        <v>13001</v>
      </c>
      <c r="W220" s="122">
        <f t="shared" si="6"/>
        <v>13002</v>
      </c>
      <c r="X220" s="122">
        <f t="shared" si="7"/>
        <v>18465</v>
      </c>
      <c r="Y220" s="122"/>
      <c r="AA220" t="s">
        <v>56</v>
      </c>
      <c r="AB220" t="s">
        <v>405</v>
      </c>
      <c r="AC220" t="s">
        <v>427</v>
      </c>
      <c r="AD220" t="s">
        <v>405</v>
      </c>
      <c r="AE220" t="s">
        <v>566</v>
      </c>
      <c r="AF220">
        <v>6</v>
      </c>
      <c r="AG220">
        <v>738</v>
      </c>
      <c r="AH220" s="122">
        <v>1072</v>
      </c>
      <c r="AI220" s="122">
        <v>68079</v>
      </c>
      <c r="AJ220" s="122">
        <v>61890</v>
      </c>
      <c r="AK220">
        <v>92</v>
      </c>
      <c r="AL220" s="122">
        <v>22113</v>
      </c>
      <c r="AM220" s="122">
        <v>20103</v>
      </c>
      <c r="AN220" s="122">
        <v>15031</v>
      </c>
      <c r="AO220" s="122">
        <v>5567</v>
      </c>
      <c r="AP220" s="122">
        <v>5738</v>
      </c>
      <c r="AQ220" s="122">
        <v>2125</v>
      </c>
      <c r="AR220" s="122">
        <v>18991</v>
      </c>
      <c r="AS220" s="122">
        <v>17265</v>
      </c>
      <c r="AT220">
        <v>0</v>
      </c>
      <c r="AU220">
        <v>0</v>
      </c>
      <c r="AV220" s="122">
        <v>106950</v>
      </c>
    </row>
    <row r="221" spans="2:48" ht="13">
      <c r="B221" t="s">
        <v>435</v>
      </c>
      <c r="C221" t="s">
        <v>48</v>
      </c>
      <c r="D221" t="s">
        <v>407</v>
      </c>
      <c r="E221" t="s">
        <v>407</v>
      </c>
      <c r="F221">
        <v>37</v>
      </c>
      <c r="G221" s="122">
        <v>2656</v>
      </c>
      <c r="H221" s="122">
        <v>2011</v>
      </c>
      <c r="I221" s="122">
        <v>15551</v>
      </c>
      <c r="J221" s="191">
        <v>14138</v>
      </c>
      <c r="K221" s="122">
        <v>90</v>
      </c>
      <c r="L221" s="122">
        <v>0</v>
      </c>
      <c r="M221" s="122">
        <v>0</v>
      </c>
      <c r="N221" s="122">
        <v>32361</v>
      </c>
      <c r="O221" s="122">
        <v>11986</v>
      </c>
      <c r="P221" s="122">
        <v>17483</v>
      </c>
      <c r="Q221" s="122">
        <v>6475</v>
      </c>
      <c r="R221" s="122">
        <v>79914</v>
      </c>
      <c r="S221" s="122">
        <v>72649</v>
      </c>
      <c r="T221">
        <v>0</v>
      </c>
      <c r="U221" s="122">
        <v>0</v>
      </c>
      <c r="V221" s="122">
        <v>105247</v>
      </c>
      <c r="W221" s="122">
        <f t="shared" si="6"/>
        <v>105248</v>
      </c>
      <c r="X221" s="122">
        <f t="shared" si="7"/>
        <v>145309</v>
      </c>
      <c r="Y221" s="122"/>
      <c r="AA221" t="s">
        <v>56</v>
      </c>
      <c r="AB221" t="s">
        <v>405</v>
      </c>
      <c r="AC221" t="s">
        <v>579</v>
      </c>
      <c r="AD221" t="s">
        <v>405</v>
      </c>
      <c r="AE221" t="s">
        <v>137</v>
      </c>
      <c r="AF221">
        <v>4</v>
      </c>
      <c r="AG221">
        <v>294</v>
      </c>
      <c r="AH221">
        <v>712</v>
      </c>
      <c r="AI221" s="122">
        <v>20145</v>
      </c>
      <c r="AJ221" s="122">
        <v>18313</v>
      </c>
      <c r="AK221">
        <v>86</v>
      </c>
      <c r="AL221" s="122">
        <v>5734</v>
      </c>
      <c r="AM221" s="122">
        <v>4778</v>
      </c>
      <c r="AN221" s="122">
        <v>6219</v>
      </c>
      <c r="AO221" s="122">
        <v>2304</v>
      </c>
      <c r="AP221" s="122">
        <v>1890</v>
      </c>
      <c r="AQ221">
        <v>700</v>
      </c>
      <c r="AR221" s="122">
        <v>13637</v>
      </c>
      <c r="AS221" s="122">
        <v>12398</v>
      </c>
      <c r="AT221" s="122">
        <v>4686</v>
      </c>
      <c r="AU221" s="122">
        <v>1736</v>
      </c>
      <c r="AV221" s="122">
        <v>40228</v>
      </c>
    </row>
    <row r="222" spans="2:48" ht="13">
      <c r="B222" t="s">
        <v>435</v>
      </c>
      <c r="C222" t="s">
        <v>50</v>
      </c>
      <c r="F222" s="122">
        <v>18</v>
      </c>
      <c r="G222" s="122">
        <v>1088</v>
      </c>
      <c r="H222" s="122">
        <v>1603</v>
      </c>
      <c r="I222" s="122"/>
      <c r="J222" s="191">
        <v>0</v>
      </c>
      <c r="K222" s="122"/>
      <c r="L222" s="122"/>
      <c r="M222" s="122">
        <v>0</v>
      </c>
      <c r="N222" s="122">
        <v>15493</v>
      </c>
      <c r="O222" s="122">
        <v>5738</v>
      </c>
      <c r="P222" s="122">
        <v>6561</v>
      </c>
      <c r="Q222" s="122">
        <v>2430</v>
      </c>
      <c r="R222" s="122"/>
      <c r="S222">
        <v>0</v>
      </c>
      <c r="T222" s="122">
        <v>25015</v>
      </c>
      <c r="U222" s="122">
        <v>9265</v>
      </c>
      <c r="V222" s="122">
        <v>17433</v>
      </c>
      <c r="W222" s="122">
        <f t="shared" si="6"/>
        <v>17433</v>
      </c>
      <c r="X222" s="122">
        <f t="shared" si="7"/>
        <v>47069</v>
      </c>
      <c r="Y222" s="122"/>
      <c r="AA222" t="s">
        <v>56</v>
      </c>
      <c r="AB222" t="s">
        <v>405</v>
      </c>
      <c r="AC222" t="s">
        <v>579</v>
      </c>
      <c r="AD222" t="s">
        <v>405</v>
      </c>
      <c r="AE222" t="s">
        <v>566</v>
      </c>
      <c r="AF222">
        <v>32</v>
      </c>
      <c r="AG222" s="122">
        <v>2157</v>
      </c>
      <c r="AH222" s="122">
        <v>6116</v>
      </c>
      <c r="AI222" s="122">
        <v>201434</v>
      </c>
      <c r="AJ222" s="122">
        <v>183122</v>
      </c>
      <c r="AK222">
        <v>82</v>
      </c>
      <c r="AL222" s="122">
        <v>58109</v>
      </c>
      <c r="AM222" s="122">
        <v>48424</v>
      </c>
      <c r="AN222" s="122">
        <v>37749</v>
      </c>
      <c r="AO222" s="122">
        <v>13981</v>
      </c>
      <c r="AP222" s="122">
        <v>14270</v>
      </c>
      <c r="AQ222" s="122">
        <v>5285</v>
      </c>
      <c r="AR222" s="122">
        <v>100077</v>
      </c>
      <c r="AS222" s="122">
        <v>90979</v>
      </c>
      <c r="AT222">
        <v>0</v>
      </c>
      <c r="AU222">
        <v>0</v>
      </c>
      <c r="AV222" s="122">
        <v>341791</v>
      </c>
    </row>
    <row r="223" spans="2:48" ht="13">
      <c r="B223" t="s">
        <v>435</v>
      </c>
      <c r="C223" t="s">
        <v>50</v>
      </c>
      <c r="D223" t="s">
        <v>137</v>
      </c>
      <c r="E223" t="s">
        <v>137</v>
      </c>
      <c r="F223">
        <v>4</v>
      </c>
      <c r="G223">
        <v>777</v>
      </c>
      <c r="H223" s="122">
        <v>352</v>
      </c>
      <c r="I223" s="122">
        <v>25369</v>
      </c>
      <c r="J223" s="191">
        <v>9396</v>
      </c>
      <c r="K223" s="122">
        <v>400</v>
      </c>
      <c r="L223" s="122">
        <v>2933</v>
      </c>
      <c r="M223" s="122">
        <v>2666</v>
      </c>
      <c r="N223" s="122">
        <v>13750</v>
      </c>
      <c r="O223" s="122">
        <v>5093</v>
      </c>
      <c r="P223" s="122">
        <v>3639</v>
      </c>
      <c r="Q223" s="122">
        <v>1348</v>
      </c>
      <c r="R223" s="122">
        <v>20756</v>
      </c>
      <c r="S223" s="122">
        <v>7687</v>
      </c>
      <c r="T223">
        <v>0</v>
      </c>
      <c r="U223" s="122">
        <v>0</v>
      </c>
      <c r="V223" s="122">
        <v>26189</v>
      </c>
      <c r="W223" s="122">
        <f t="shared" si="6"/>
        <v>26190</v>
      </c>
      <c r="X223" s="122">
        <f t="shared" si="7"/>
        <v>66447</v>
      </c>
      <c r="Y223" s="122"/>
      <c r="AA223" t="s">
        <v>56</v>
      </c>
      <c r="AB223" t="s">
        <v>405</v>
      </c>
      <c r="AC223" t="s">
        <v>579</v>
      </c>
      <c r="AD223" t="s">
        <v>137</v>
      </c>
      <c r="AE223" t="s">
        <v>566</v>
      </c>
      <c r="AF223">
        <v>1</v>
      </c>
      <c r="AG223">
        <v>92</v>
      </c>
      <c r="AH223">
        <v>216</v>
      </c>
      <c r="AI223" s="122">
        <v>7340</v>
      </c>
      <c r="AJ223" s="122">
        <v>6672</v>
      </c>
      <c r="AK223">
        <v>81</v>
      </c>
      <c r="AL223" s="122">
        <v>2292</v>
      </c>
      <c r="AM223" s="122">
        <v>1910</v>
      </c>
      <c r="AN223" s="122">
        <v>2230</v>
      </c>
      <c r="AO223">
        <v>826</v>
      </c>
      <c r="AP223">
        <v>473</v>
      </c>
      <c r="AQ223">
        <v>175</v>
      </c>
      <c r="AR223" s="122">
        <v>7396</v>
      </c>
      <c r="AS223" s="122">
        <v>2739</v>
      </c>
      <c r="AT223">
        <v>0</v>
      </c>
      <c r="AU223">
        <v>0</v>
      </c>
      <c r="AV223" s="122">
        <v>12323</v>
      </c>
    </row>
    <row r="224" spans="2:48" ht="13">
      <c r="B224" t="s">
        <v>435</v>
      </c>
      <c r="C224" t="s">
        <v>50</v>
      </c>
      <c r="D224" t="s">
        <v>406</v>
      </c>
      <c r="E224" t="s">
        <v>406</v>
      </c>
      <c r="F224" s="122">
        <v>2</v>
      </c>
      <c r="G224" s="122">
        <v>464</v>
      </c>
      <c r="H224" s="122">
        <v>184</v>
      </c>
      <c r="I224" s="122">
        <v>17983</v>
      </c>
      <c r="J224" s="191">
        <v>16348</v>
      </c>
      <c r="K224" s="122">
        <v>94</v>
      </c>
      <c r="L224" s="122">
        <v>2117</v>
      </c>
      <c r="M224" s="122">
        <v>1764</v>
      </c>
      <c r="N224" s="122">
        <v>6922</v>
      </c>
      <c r="O224" s="122">
        <v>2564</v>
      </c>
      <c r="P224" s="122">
        <v>4065</v>
      </c>
      <c r="Q224" s="122">
        <v>1506</v>
      </c>
      <c r="R224" s="122">
        <v>11277</v>
      </c>
      <c r="S224" s="122">
        <v>10251</v>
      </c>
      <c r="T224" s="122">
        <v>0</v>
      </c>
      <c r="U224" s="122">
        <v>0</v>
      </c>
      <c r="V224" s="122">
        <v>32433</v>
      </c>
      <c r="W224" s="122">
        <f t="shared" si="6"/>
        <v>32433</v>
      </c>
      <c r="X224" s="122">
        <f t="shared" si="7"/>
        <v>42364</v>
      </c>
      <c r="Y224" s="122"/>
      <c r="AA224" t="s">
        <v>56</v>
      </c>
      <c r="AB224" t="s">
        <v>405</v>
      </c>
      <c r="AC224" t="s">
        <v>428</v>
      </c>
      <c r="AD224" t="s">
        <v>405</v>
      </c>
      <c r="AE224" t="s">
        <v>566</v>
      </c>
      <c r="AF224">
        <v>4</v>
      </c>
      <c r="AG224">
        <v>375</v>
      </c>
      <c r="AH224">
        <v>702</v>
      </c>
      <c r="AI224" s="122">
        <v>29532</v>
      </c>
      <c r="AJ224" s="122">
        <v>26847</v>
      </c>
      <c r="AK224">
        <v>83</v>
      </c>
      <c r="AL224" s="122">
        <v>8839</v>
      </c>
      <c r="AM224" s="122">
        <v>8035</v>
      </c>
      <c r="AN224" s="122">
        <v>8346</v>
      </c>
      <c r="AO224" s="122">
        <v>3091</v>
      </c>
      <c r="AP224" s="122">
        <v>1890</v>
      </c>
      <c r="AQ224">
        <v>700</v>
      </c>
      <c r="AR224" s="122">
        <v>16839</v>
      </c>
      <c r="AS224" s="122">
        <v>15308</v>
      </c>
      <c r="AT224">
        <v>0</v>
      </c>
      <c r="AU224">
        <v>0</v>
      </c>
      <c r="AV224" s="122">
        <v>53981</v>
      </c>
    </row>
    <row r="225" spans="2:48" ht="13">
      <c r="B225" t="s">
        <v>435</v>
      </c>
      <c r="C225" t="s">
        <v>50</v>
      </c>
      <c r="D225" t="s">
        <v>407</v>
      </c>
      <c r="E225" t="s">
        <v>407</v>
      </c>
      <c r="F225" s="122">
        <v>183</v>
      </c>
      <c r="G225" s="122">
        <v>14652</v>
      </c>
      <c r="H225" s="122">
        <v>17013</v>
      </c>
      <c r="I225" s="122">
        <v>421920</v>
      </c>
      <c r="J225" s="191">
        <v>383564</v>
      </c>
      <c r="K225" s="122">
        <v>90</v>
      </c>
      <c r="L225" s="122">
        <v>2476</v>
      </c>
      <c r="M225" s="122">
        <v>2401</v>
      </c>
      <c r="N225" s="122">
        <v>292499</v>
      </c>
      <c r="O225" s="122">
        <v>108333</v>
      </c>
      <c r="P225" s="122">
        <v>91158</v>
      </c>
      <c r="Q225" s="122">
        <v>33762</v>
      </c>
      <c r="R225" s="122">
        <v>552093</v>
      </c>
      <c r="S225" s="122">
        <v>501903</v>
      </c>
      <c r="T225" s="122">
        <v>2102</v>
      </c>
      <c r="U225" s="122">
        <v>778</v>
      </c>
      <c r="V225" s="122">
        <v>1030741</v>
      </c>
      <c r="W225" s="122">
        <f t="shared" si="6"/>
        <v>1030741</v>
      </c>
      <c r="X225" s="122">
        <f t="shared" si="7"/>
        <v>1362248</v>
      </c>
      <c r="Y225" s="122"/>
      <c r="AA225" t="s">
        <v>56</v>
      </c>
      <c r="AB225" t="s">
        <v>405</v>
      </c>
      <c r="AC225" t="s">
        <v>426</v>
      </c>
      <c r="AD225" t="s">
        <v>405</v>
      </c>
      <c r="AE225" t="s">
        <v>137</v>
      </c>
      <c r="AF225">
        <v>23</v>
      </c>
      <c r="AG225" s="122">
        <v>2345</v>
      </c>
      <c r="AH225" s="122">
        <v>4330</v>
      </c>
      <c r="AI225" s="122">
        <v>205956</v>
      </c>
      <c r="AJ225" s="122">
        <v>187233</v>
      </c>
      <c r="AK225">
        <v>80</v>
      </c>
      <c r="AL225" s="122">
        <v>48431</v>
      </c>
      <c r="AM225" s="122">
        <v>44028</v>
      </c>
      <c r="AN225" s="122">
        <v>47490</v>
      </c>
      <c r="AO225" s="122">
        <v>17589</v>
      </c>
      <c r="AP225" s="122">
        <v>10625</v>
      </c>
      <c r="AQ225" s="122">
        <v>3935</v>
      </c>
      <c r="AR225" s="122">
        <v>99776</v>
      </c>
      <c r="AS225" s="122">
        <v>90705</v>
      </c>
      <c r="AT225" s="122">
        <v>33055</v>
      </c>
      <c r="AU225" s="122">
        <v>12243</v>
      </c>
      <c r="AV225" s="122">
        <v>355733</v>
      </c>
    </row>
    <row r="226" spans="2:48" ht="13">
      <c r="B226" t="s">
        <v>435</v>
      </c>
      <c r="C226" t="s">
        <v>52</v>
      </c>
      <c r="F226" s="122">
        <v>39</v>
      </c>
      <c r="G226" s="122">
        <v>2896</v>
      </c>
      <c r="H226" s="122">
        <v>4301</v>
      </c>
      <c r="I226" s="122"/>
      <c r="J226" s="191">
        <v>0</v>
      </c>
      <c r="K226" s="122"/>
      <c r="L226" s="122"/>
      <c r="M226" s="122">
        <v>0</v>
      </c>
      <c r="N226" s="122">
        <v>55839</v>
      </c>
      <c r="O226" s="122">
        <v>20681</v>
      </c>
      <c r="P226" s="122">
        <v>14656</v>
      </c>
      <c r="Q226" s="122">
        <v>5428</v>
      </c>
      <c r="R226" s="122"/>
      <c r="S226" s="122">
        <v>0</v>
      </c>
      <c r="T226" s="122">
        <v>35417</v>
      </c>
      <c r="U226" s="122">
        <v>13117</v>
      </c>
      <c r="V226" s="122">
        <v>39227</v>
      </c>
      <c r="W226" s="122">
        <f t="shared" si="6"/>
        <v>39226</v>
      </c>
      <c r="X226" s="122">
        <f t="shared" si="7"/>
        <v>105912</v>
      </c>
      <c r="Y226" s="122"/>
      <c r="AA226" t="s">
        <v>56</v>
      </c>
      <c r="AB226" t="s">
        <v>405</v>
      </c>
      <c r="AC226" t="s">
        <v>426</v>
      </c>
      <c r="AD226" t="s">
        <v>405</v>
      </c>
      <c r="AE226" t="s">
        <v>566</v>
      </c>
      <c r="AF226">
        <v>36</v>
      </c>
      <c r="AG226" s="122">
        <v>3498</v>
      </c>
      <c r="AH226" s="122">
        <v>6788</v>
      </c>
      <c r="AI226" s="122">
        <v>346462</v>
      </c>
      <c r="AJ226" s="122">
        <v>314966</v>
      </c>
      <c r="AK226">
        <v>82</v>
      </c>
      <c r="AL226" s="122">
        <v>86254</v>
      </c>
      <c r="AM226" s="122">
        <v>78413</v>
      </c>
      <c r="AN226" s="122">
        <v>69243</v>
      </c>
      <c r="AO226" s="122">
        <v>25646</v>
      </c>
      <c r="AP226" s="122">
        <v>17942</v>
      </c>
      <c r="AQ226" s="122">
        <v>6645</v>
      </c>
      <c r="AR226" s="122">
        <v>135657</v>
      </c>
      <c r="AS226" s="122">
        <v>123324</v>
      </c>
      <c r="AT226">
        <v>0</v>
      </c>
      <c r="AU226">
        <v>0</v>
      </c>
      <c r="AV226" s="122">
        <v>548994</v>
      </c>
    </row>
    <row r="227" spans="2:48" ht="13">
      <c r="B227" t="s">
        <v>435</v>
      </c>
      <c r="C227" t="s">
        <v>52</v>
      </c>
      <c r="D227" t="s">
        <v>425</v>
      </c>
      <c r="E227" t="s">
        <v>425</v>
      </c>
      <c r="F227" s="122">
        <v>2</v>
      </c>
      <c r="G227" s="122">
        <v>209</v>
      </c>
      <c r="H227" s="122">
        <v>242</v>
      </c>
      <c r="I227" s="122">
        <v>12392</v>
      </c>
      <c r="J227" s="191">
        <v>11266</v>
      </c>
      <c r="K227" s="122">
        <v>81</v>
      </c>
      <c r="L227" s="122">
        <v>0</v>
      </c>
      <c r="M227" s="122">
        <v>0</v>
      </c>
      <c r="N227" s="122">
        <v>4122</v>
      </c>
      <c r="O227" s="122">
        <v>1527</v>
      </c>
      <c r="P227" s="122">
        <v>945</v>
      </c>
      <c r="Q227" s="122">
        <v>350</v>
      </c>
      <c r="R227" s="122">
        <v>7753</v>
      </c>
      <c r="S227" s="122">
        <v>7048</v>
      </c>
      <c r="T227" s="122">
        <v>0</v>
      </c>
      <c r="U227" s="122">
        <v>0</v>
      </c>
      <c r="V227" s="122">
        <v>20191</v>
      </c>
      <c r="W227" s="122">
        <f t="shared" si="6"/>
        <v>20191</v>
      </c>
      <c r="X227" s="122">
        <f t="shared" si="7"/>
        <v>25212</v>
      </c>
      <c r="Y227" s="122"/>
      <c r="AA227" t="s">
        <v>56</v>
      </c>
      <c r="AB227" t="s">
        <v>405</v>
      </c>
      <c r="AC227" t="s">
        <v>566</v>
      </c>
      <c r="AD227" t="s">
        <v>425</v>
      </c>
      <c r="AE227" t="s">
        <v>566</v>
      </c>
      <c r="AF227">
        <v>2</v>
      </c>
      <c r="AG227">
        <v>132</v>
      </c>
      <c r="AH227">
        <v>391</v>
      </c>
      <c r="AI227" s="122">
        <v>13577</v>
      </c>
      <c r="AJ227" s="122">
        <v>12343</v>
      </c>
      <c r="AK227">
        <v>82</v>
      </c>
      <c r="AL227">
        <v>0</v>
      </c>
      <c r="AM227">
        <v>0</v>
      </c>
      <c r="AN227" s="122">
        <v>2791</v>
      </c>
      <c r="AO227" s="122">
        <v>1034</v>
      </c>
      <c r="AP227">
        <v>945</v>
      </c>
      <c r="AQ227">
        <v>350</v>
      </c>
      <c r="AR227" s="122">
        <v>9217</v>
      </c>
      <c r="AS227" s="122">
        <v>8379</v>
      </c>
      <c r="AT227">
        <v>0</v>
      </c>
      <c r="AU227">
        <v>0</v>
      </c>
      <c r="AV227" s="122">
        <v>22105</v>
      </c>
    </row>
    <row r="228" spans="2:48" ht="13">
      <c r="B228" t="s">
        <v>435</v>
      </c>
      <c r="C228" t="s">
        <v>52</v>
      </c>
      <c r="D228" t="s">
        <v>405</v>
      </c>
      <c r="E228" t="s">
        <v>405</v>
      </c>
      <c r="F228" s="122">
        <v>3</v>
      </c>
      <c r="G228" s="122">
        <v>387</v>
      </c>
      <c r="H228" s="122">
        <v>352</v>
      </c>
      <c r="I228" s="122">
        <v>18632</v>
      </c>
      <c r="J228" s="191">
        <v>16938</v>
      </c>
      <c r="K228" s="122">
        <v>85</v>
      </c>
      <c r="L228">
        <v>979</v>
      </c>
      <c r="M228" s="122">
        <v>362</v>
      </c>
      <c r="N228" s="122">
        <v>8328</v>
      </c>
      <c r="O228" s="122">
        <v>3084</v>
      </c>
      <c r="P228" s="122">
        <v>1418</v>
      </c>
      <c r="Q228">
        <v>525</v>
      </c>
      <c r="R228" s="122">
        <v>16291</v>
      </c>
      <c r="S228" s="122">
        <v>14810</v>
      </c>
      <c r="T228" s="122">
        <v>0</v>
      </c>
      <c r="U228" s="122">
        <v>0</v>
      </c>
      <c r="V228" s="122">
        <v>35720</v>
      </c>
      <c r="W228" s="122">
        <f t="shared" si="6"/>
        <v>35719</v>
      </c>
      <c r="X228" s="122">
        <f t="shared" si="7"/>
        <v>45648</v>
      </c>
      <c r="Y228" s="122"/>
      <c r="AA228" t="s">
        <v>56</v>
      </c>
      <c r="AB228" t="s">
        <v>405</v>
      </c>
      <c r="AC228" t="s">
        <v>566</v>
      </c>
      <c r="AD228" t="s">
        <v>405</v>
      </c>
      <c r="AE228" t="s">
        <v>137</v>
      </c>
      <c r="AF228">
        <v>79</v>
      </c>
      <c r="AG228" s="122">
        <v>5082</v>
      </c>
      <c r="AH228" s="122">
        <v>15028</v>
      </c>
      <c r="AI228" s="122">
        <v>492300</v>
      </c>
      <c r="AJ228" s="122">
        <v>447546</v>
      </c>
      <c r="AK228">
        <v>85</v>
      </c>
      <c r="AL228">
        <v>0</v>
      </c>
      <c r="AM228">
        <v>0</v>
      </c>
      <c r="AN228" s="122">
        <v>107448</v>
      </c>
      <c r="AO228" s="122">
        <v>39795</v>
      </c>
      <c r="AP228" s="122">
        <v>25272</v>
      </c>
      <c r="AQ228" s="122">
        <v>9360</v>
      </c>
      <c r="AR228" s="122">
        <v>213803</v>
      </c>
      <c r="AS228" s="122">
        <v>194366</v>
      </c>
      <c r="AT228" s="122">
        <v>113731</v>
      </c>
      <c r="AU228" s="122">
        <v>42123</v>
      </c>
      <c r="AV228" s="122">
        <v>733190</v>
      </c>
    </row>
    <row r="229" spans="2:48" ht="13">
      <c r="B229" t="s">
        <v>435</v>
      </c>
      <c r="C229" t="s">
        <v>52</v>
      </c>
      <c r="D229" t="s">
        <v>137</v>
      </c>
      <c r="E229" t="s">
        <v>137</v>
      </c>
      <c r="F229" s="122">
        <v>16</v>
      </c>
      <c r="G229" s="122">
        <v>1691</v>
      </c>
      <c r="H229" s="122">
        <v>1888</v>
      </c>
      <c r="I229" s="122">
        <v>69417</v>
      </c>
      <c r="J229" s="191">
        <v>25710</v>
      </c>
      <c r="K229" s="122">
        <v>167</v>
      </c>
      <c r="L229" s="122">
        <v>1603</v>
      </c>
      <c r="M229" s="122">
        <v>1457</v>
      </c>
      <c r="N229" s="122">
        <v>22296</v>
      </c>
      <c r="O229" s="122">
        <v>8258</v>
      </c>
      <c r="P229" s="122">
        <v>1292</v>
      </c>
      <c r="Q229" s="122">
        <v>479</v>
      </c>
      <c r="R229" s="122">
        <v>108161</v>
      </c>
      <c r="S229" s="122">
        <v>40059</v>
      </c>
      <c r="T229" s="122">
        <v>0</v>
      </c>
      <c r="U229" s="122">
        <v>0</v>
      </c>
      <c r="V229" s="122">
        <v>75963</v>
      </c>
      <c r="W229" s="122">
        <f t="shared" si="6"/>
        <v>75963</v>
      </c>
      <c r="X229" s="122">
        <f t="shared" si="7"/>
        <v>202769</v>
      </c>
      <c r="Y229" s="122"/>
      <c r="AA229" t="s">
        <v>56</v>
      </c>
      <c r="AB229" t="s">
        <v>405</v>
      </c>
      <c r="AC229" t="s">
        <v>566</v>
      </c>
      <c r="AD229" t="s">
        <v>405</v>
      </c>
      <c r="AE229" t="s">
        <v>566</v>
      </c>
      <c r="AF229">
        <v>552</v>
      </c>
      <c r="AG229" s="122">
        <v>36311</v>
      </c>
      <c r="AH229" s="122">
        <v>97978</v>
      </c>
      <c r="AI229" s="122">
        <v>3684438</v>
      </c>
      <c r="AJ229" s="122">
        <v>3349489</v>
      </c>
      <c r="AK229">
        <v>82</v>
      </c>
      <c r="AL229">
        <v>0</v>
      </c>
      <c r="AM229">
        <v>699</v>
      </c>
      <c r="AN229" s="122">
        <v>727602</v>
      </c>
      <c r="AO229" s="122">
        <v>269482</v>
      </c>
      <c r="AP229" s="122">
        <v>268531</v>
      </c>
      <c r="AQ229" s="122">
        <v>99456</v>
      </c>
      <c r="AR229" s="122">
        <v>1738343</v>
      </c>
      <c r="AS229" s="122">
        <v>1580311</v>
      </c>
      <c r="AT229">
        <v>0</v>
      </c>
      <c r="AU229">
        <v>0</v>
      </c>
      <c r="AV229" s="122">
        <v>5299437</v>
      </c>
    </row>
    <row r="230" spans="2:48" ht="13">
      <c r="B230" t="s">
        <v>435</v>
      </c>
      <c r="C230" t="s">
        <v>52</v>
      </c>
      <c r="D230" t="s">
        <v>406</v>
      </c>
      <c r="E230" t="s">
        <v>406</v>
      </c>
      <c r="F230" s="122">
        <v>9</v>
      </c>
      <c r="G230" s="122">
        <v>1743</v>
      </c>
      <c r="H230" s="122">
        <v>1038</v>
      </c>
      <c r="I230" s="122">
        <v>112722</v>
      </c>
      <c r="J230" s="191">
        <v>102475</v>
      </c>
      <c r="K230" s="122">
        <v>94</v>
      </c>
      <c r="L230" s="122">
        <v>12241</v>
      </c>
      <c r="M230" s="122">
        <v>11128</v>
      </c>
      <c r="N230" s="122">
        <v>27987</v>
      </c>
      <c r="O230" s="122">
        <v>10366</v>
      </c>
      <c r="P230" s="122">
        <v>6993</v>
      </c>
      <c r="Q230" s="122">
        <v>2590</v>
      </c>
      <c r="R230" s="122">
        <v>40199</v>
      </c>
      <c r="S230" s="122">
        <v>36544</v>
      </c>
      <c r="T230" s="122">
        <v>0</v>
      </c>
      <c r="U230" s="122">
        <v>0</v>
      </c>
      <c r="V230" s="122">
        <v>163102</v>
      </c>
      <c r="W230" s="122">
        <f t="shared" si="6"/>
        <v>163103</v>
      </c>
      <c r="X230" s="122">
        <f t="shared" si="7"/>
        <v>200142</v>
      </c>
      <c r="Y230" s="122"/>
      <c r="AA230" t="s">
        <v>56</v>
      </c>
      <c r="AB230" t="s">
        <v>405</v>
      </c>
      <c r="AC230" t="s">
        <v>566</v>
      </c>
      <c r="AD230" t="s">
        <v>137</v>
      </c>
      <c r="AE230" t="s">
        <v>566</v>
      </c>
      <c r="AF230">
        <v>8</v>
      </c>
      <c r="AG230">
        <v>732</v>
      </c>
      <c r="AH230" s="122">
        <v>1514</v>
      </c>
      <c r="AI230" s="122">
        <v>70252</v>
      </c>
      <c r="AJ230" s="122">
        <v>63866</v>
      </c>
      <c r="AK230">
        <v>81</v>
      </c>
      <c r="AL230">
        <v>0</v>
      </c>
      <c r="AM230">
        <v>0</v>
      </c>
      <c r="AN230" s="122">
        <v>17844</v>
      </c>
      <c r="AO230" s="122">
        <v>6609</v>
      </c>
      <c r="AP230" s="122">
        <v>3780</v>
      </c>
      <c r="AQ230" s="122">
        <v>1400</v>
      </c>
      <c r="AR230" s="122">
        <v>45264</v>
      </c>
      <c r="AS230" s="122">
        <v>16764</v>
      </c>
      <c r="AT230">
        <v>0</v>
      </c>
      <c r="AU230">
        <v>0</v>
      </c>
      <c r="AV230" s="122">
        <v>88639</v>
      </c>
    </row>
    <row r="231" spans="2:48" ht="13">
      <c r="B231" t="s">
        <v>435</v>
      </c>
      <c r="C231" t="s">
        <v>52</v>
      </c>
      <c r="D231" t="s">
        <v>407</v>
      </c>
      <c r="E231" t="s">
        <v>407</v>
      </c>
      <c r="F231">
        <v>544</v>
      </c>
      <c r="G231" s="122">
        <v>46546</v>
      </c>
      <c r="H231" s="122">
        <v>62479</v>
      </c>
      <c r="I231" s="122">
        <v>2227464</v>
      </c>
      <c r="J231" s="191">
        <v>2024967</v>
      </c>
      <c r="K231" s="122">
        <v>86</v>
      </c>
      <c r="L231" s="122">
        <v>71577</v>
      </c>
      <c r="M231" s="122">
        <v>51869</v>
      </c>
      <c r="N231" s="122">
        <v>925389</v>
      </c>
      <c r="O231" s="122">
        <v>342737</v>
      </c>
      <c r="P231" s="122">
        <v>273300</v>
      </c>
      <c r="Q231" s="122">
        <v>101222</v>
      </c>
      <c r="R231" s="122">
        <v>1822402</v>
      </c>
      <c r="S231" s="122">
        <v>1656729</v>
      </c>
      <c r="T231" s="122">
        <v>12262</v>
      </c>
      <c r="U231" s="122">
        <v>4541</v>
      </c>
      <c r="V231" s="122">
        <v>4182065</v>
      </c>
      <c r="W231" s="122">
        <f t="shared" si="6"/>
        <v>4182065</v>
      </c>
      <c r="X231" s="122">
        <f t="shared" si="7"/>
        <v>5332394</v>
      </c>
      <c r="Y231" s="122"/>
      <c r="AA231" t="s">
        <v>56</v>
      </c>
      <c r="AB231" t="s">
        <v>405</v>
      </c>
      <c r="AC231" t="s">
        <v>433</v>
      </c>
      <c r="AD231" t="s">
        <v>405</v>
      </c>
      <c r="AE231" t="s">
        <v>137</v>
      </c>
      <c r="AF231">
        <v>1</v>
      </c>
      <c r="AG231">
        <v>91</v>
      </c>
      <c r="AH231">
        <v>182</v>
      </c>
      <c r="AI231" s="122">
        <v>6864</v>
      </c>
      <c r="AJ231" s="122">
        <v>6240</v>
      </c>
      <c r="AK231">
        <v>93</v>
      </c>
      <c r="AL231" s="122">
        <v>2247</v>
      </c>
      <c r="AM231" s="122">
        <v>2043</v>
      </c>
      <c r="AN231" s="122">
        <v>1656</v>
      </c>
      <c r="AO231">
        <v>613</v>
      </c>
      <c r="AP231">
        <v>473</v>
      </c>
      <c r="AQ231">
        <v>175</v>
      </c>
      <c r="AR231" s="122">
        <v>2790</v>
      </c>
      <c r="AS231" s="122">
        <v>2536</v>
      </c>
      <c r="AT231" s="122">
        <v>2440</v>
      </c>
      <c r="AU231">
        <v>904</v>
      </c>
      <c r="AV231" s="122">
        <v>12511</v>
      </c>
    </row>
    <row r="232" spans="2:48" ht="13">
      <c r="B232" t="s">
        <v>435</v>
      </c>
      <c r="C232" t="s">
        <v>54</v>
      </c>
      <c r="F232" s="122">
        <v>28</v>
      </c>
      <c r="G232" s="122">
        <v>2048</v>
      </c>
      <c r="H232" s="122">
        <v>3835</v>
      </c>
      <c r="I232" s="122"/>
      <c r="J232" s="66">
        <v>0</v>
      </c>
      <c r="K232" s="122"/>
      <c r="L232" s="122"/>
      <c r="M232" s="122">
        <v>0</v>
      </c>
      <c r="N232" s="122">
        <v>38691</v>
      </c>
      <c r="O232" s="122">
        <v>14330</v>
      </c>
      <c r="P232" s="122">
        <v>11087</v>
      </c>
      <c r="Q232" s="122">
        <v>4106</v>
      </c>
      <c r="R232" s="122"/>
      <c r="S232" s="122">
        <v>0</v>
      </c>
      <c r="T232" s="122">
        <v>5143</v>
      </c>
      <c r="U232" s="122">
        <v>1905</v>
      </c>
      <c r="V232" s="122">
        <v>20341</v>
      </c>
      <c r="W232" s="122">
        <f t="shared" si="6"/>
        <v>20341</v>
      </c>
      <c r="X232" s="122">
        <f t="shared" si="7"/>
        <v>54921</v>
      </c>
      <c r="Y232" s="122"/>
      <c r="AA232" t="s">
        <v>56</v>
      </c>
      <c r="AB232" t="s">
        <v>405</v>
      </c>
      <c r="AC232" t="s">
        <v>433</v>
      </c>
      <c r="AD232" t="s">
        <v>405</v>
      </c>
      <c r="AE232" t="s">
        <v>566</v>
      </c>
      <c r="AF232">
        <v>7</v>
      </c>
      <c r="AG232">
        <v>612</v>
      </c>
      <c r="AH232" s="122">
        <v>1215</v>
      </c>
      <c r="AI232" s="122">
        <v>64062</v>
      </c>
      <c r="AJ232" s="122">
        <v>58238</v>
      </c>
      <c r="AK232">
        <v>80</v>
      </c>
      <c r="AL232" s="122">
        <v>8537</v>
      </c>
      <c r="AM232" s="122">
        <v>7761</v>
      </c>
      <c r="AN232" s="122">
        <v>9723</v>
      </c>
      <c r="AO232" s="122">
        <v>3601</v>
      </c>
      <c r="AP232" s="122">
        <v>1553</v>
      </c>
      <c r="AQ232">
        <v>575</v>
      </c>
      <c r="AR232" s="122">
        <v>23125</v>
      </c>
      <c r="AS232" s="122">
        <v>21023</v>
      </c>
      <c r="AT232">
        <v>0</v>
      </c>
      <c r="AU232">
        <v>0</v>
      </c>
      <c r="AV232" s="122">
        <v>91198</v>
      </c>
    </row>
    <row r="233" spans="2:48" ht="13">
      <c r="B233" t="s">
        <v>435</v>
      </c>
      <c r="C233" t="s">
        <v>54</v>
      </c>
      <c r="D233" t="s">
        <v>405</v>
      </c>
      <c r="E233" t="s">
        <v>405</v>
      </c>
      <c r="F233">
        <v>12</v>
      </c>
      <c r="G233" s="122">
        <v>1439</v>
      </c>
      <c r="H233" s="122">
        <v>1665</v>
      </c>
      <c r="I233" s="122">
        <v>92669</v>
      </c>
      <c r="J233" s="191">
        <v>84244</v>
      </c>
      <c r="K233" s="122">
        <v>80</v>
      </c>
      <c r="L233" s="122">
        <v>10036</v>
      </c>
      <c r="M233" s="122">
        <v>8887</v>
      </c>
      <c r="N233" s="122">
        <v>28730</v>
      </c>
      <c r="O233" s="122">
        <v>10641</v>
      </c>
      <c r="P233" s="122">
        <v>7304</v>
      </c>
      <c r="Q233" s="122">
        <v>2705</v>
      </c>
      <c r="R233" s="122">
        <v>59907</v>
      </c>
      <c r="S233" s="122">
        <v>54461</v>
      </c>
      <c r="T233">
        <v>0</v>
      </c>
      <c r="U233" s="122">
        <v>0</v>
      </c>
      <c r="V233" s="122">
        <v>160938</v>
      </c>
      <c r="W233" s="122">
        <f t="shared" si="6"/>
        <v>160938</v>
      </c>
      <c r="X233" s="122">
        <f t="shared" si="7"/>
        <v>198646</v>
      </c>
      <c r="Y233" s="122"/>
      <c r="AA233" t="s">
        <v>56</v>
      </c>
      <c r="AB233" t="s">
        <v>137</v>
      </c>
      <c r="AC233" t="s">
        <v>425</v>
      </c>
      <c r="AD233" t="s">
        <v>137</v>
      </c>
      <c r="AE233" t="s">
        <v>566</v>
      </c>
      <c r="AF233">
        <v>4</v>
      </c>
      <c r="AG233">
        <v>376</v>
      </c>
      <c r="AH233">
        <v>847</v>
      </c>
      <c r="AI233" s="122">
        <v>35815</v>
      </c>
      <c r="AJ233" s="122">
        <v>13265</v>
      </c>
      <c r="AK233">
        <v>100</v>
      </c>
      <c r="AL233" s="122">
        <v>3697</v>
      </c>
      <c r="AM233" s="122">
        <v>3361</v>
      </c>
      <c r="AN233" s="122">
        <v>5739</v>
      </c>
      <c r="AO233" s="122">
        <v>2125</v>
      </c>
      <c r="AP233">
        <v>0</v>
      </c>
      <c r="AQ233">
        <v>0</v>
      </c>
      <c r="AR233" s="122">
        <v>34141</v>
      </c>
      <c r="AS233" s="122">
        <v>12645</v>
      </c>
      <c r="AT233">
        <v>0</v>
      </c>
      <c r="AU233">
        <v>0</v>
      </c>
      <c r="AV233" s="122">
        <v>31396</v>
      </c>
    </row>
    <row r="234" spans="2:48" ht="13">
      <c r="B234" t="s">
        <v>435</v>
      </c>
      <c r="C234" t="s">
        <v>54</v>
      </c>
      <c r="D234" t="s">
        <v>405</v>
      </c>
      <c r="E234" t="s">
        <v>407</v>
      </c>
      <c r="F234" s="122">
        <v>1</v>
      </c>
      <c r="G234" s="122">
        <v>67</v>
      </c>
      <c r="H234" s="122">
        <v>142</v>
      </c>
      <c r="I234" s="122">
        <v>5333</v>
      </c>
      <c r="J234" s="191">
        <v>4848</v>
      </c>
      <c r="K234" s="122">
        <v>90</v>
      </c>
      <c r="L234" s="122">
        <v>0</v>
      </c>
      <c r="M234" s="122">
        <v>0</v>
      </c>
      <c r="N234" s="122">
        <v>1636</v>
      </c>
      <c r="O234" s="122">
        <v>606</v>
      </c>
      <c r="P234" s="122">
        <v>473</v>
      </c>
      <c r="Q234" s="122">
        <v>175</v>
      </c>
      <c r="R234" s="122">
        <v>2116</v>
      </c>
      <c r="S234" s="122">
        <v>1924</v>
      </c>
      <c r="T234" s="122">
        <v>0</v>
      </c>
      <c r="U234" s="122">
        <v>0</v>
      </c>
      <c r="V234" s="122">
        <v>7553</v>
      </c>
      <c r="W234" s="122">
        <f t="shared" si="6"/>
        <v>7553</v>
      </c>
      <c r="X234" s="122">
        <f t="shared" si="7"/>
        <v>9558</v>
      </c>
      <c r="Y234" s="122"/>
      <c r="AA234" t="s">
        <v>56</v>
      </c>
      <c r="AB234" t="s">
        <v>137</v>
      </c>
      <c r="AC234" t="s">
        <v>405</v>
      </c>
      <c r="AD234" t="s">
        <v>137</v>
      </c>
      <c r="AE234" t="s">
        <v>566</v>
      </c>
      <c r="AF234">
        <v>2</v>
      </c>
      <c r="AG234">
        <v>283</v>
      </c>
      <c r="AH234">
        <v>393</v>
      </c>
      <c r="AI234" s="122">
        <v>32580</v>
      </c>
      <c r="AJ234" s="122">
        <v>12067</v>
      </c>
      <c r="AK234">
        <v>100</v>
      </c>
      <c r="AL234" s="122">
        <v>2341</v>
      </c>
      <c r="AM234" s="122">
        <v>2128</v>
      </c>
      <c r="AN234" s="122">
        <v>3445</v>
      </c>
      <c r="AO234" s="122">
        <v>1276</v>
      </c>
      <c r="AP234">
        <v>0</v>
      </c>
      <c r="AQ234">
        <v>0</v>
      </c>
      <c r="AR234" s="122">
        <v>17181</v>
      </c>
      <c r="AS234" s="122">
        <v>6363</v>
      </c>
      <c r="AT234">
        <v>0</v>
      </c>
      <c r="AU234">
        <v>0</v>
      </c>
      <c r="AV234" s="122">
        <v>21834</v>
      </c>
    </row>
    <row r="235" spans="2:48" ht="13">
      <c r="B235" t="s">
        <v>435</v>
      </c>
      <c r="C235" t="s">
        <v>54</v>
      </c>
      <c r="D235" t="s">
        <v>137</v>
      </c>
      <c r="E235" t="s">
        <v>137</v>
      </c>
      <c r="F235" s="122">
        <v>40</v>
      </c>
      <c r="G235" s="122">
        <v>3128</v>
      </c>
      <c r="H235" s="122">
        <v>5573</v>
      </c>
      <c r="I235" s="122">
        <v>124375</v>
      </c>
      <c r="J235" s="191">
        <v>46065</v>
      </c>
      <c r="K235" s="122">
        <v>134</v>
      </c>
      <c r="L235" s="122">
        <v>14773</v>
      </c>
      <c r="M235" s="122">
        <v>9637</v>
      </c>
      <c r="N235" s="122">
        <v>47229</v>
      </c>
      <c r="O235" s="122">
        <v>17492</v>
      </c>
      <c r="P235" s="122">
        <v>4951</v>
      </c>
      <c r="Q235" s="122">
        <v>1834</v>
      </c>
      <c r="R235" s="122">
        <v>246879</v>
      </c>
      <c r="S235" s="122">
        <v>91437</v>
      </c>
      <c r="T235" s="122">
        <v>0</v>
      </c>
      <c r="U235" s="122">
        <v>0</v>
      </c>
      <c r="V235" s="122">
        <v>166464</v>
      </c>
      <c r="W235" s="122">
        <f t="shared" si="6"/>
        <v>166465</v>
      </c>
      <c r="X235" s="122">
        <f t="shared" si="7"/>
        <v>438207</v>
      </c>
      <c r="Y235" s="122"/>
      <c r="AA235" t="s">
        <v>56</v>
      </c>
      <c r="AB235" t="s">
        <v>137</v>
      </c>
      <c r="AC235" t="s">
        <v>137</v>
      </c>
      <c r="AD235" t="s">
        <v>403</v>
      </c>
      <c r="AE235" t="s">
        <v>566</v>
      </c>
      <c r="AF235">
        <v>2</v>
      </c>
      <c r="AG235">
        <v>126</v>
      </c>
      <c r="AH235">
        <v>383</v>
      </c>
      <c r="AI235" s="122">
        <v>8249</v>
      </c>
      <c r="AJ235" s="122">
        <v>3055</v>
      </c>
      <c r="AK235">
        <v>100</v>
      </c>
      <c r="AL235" s="122">
        <v>1495</v>
      </c>
      <c r="AM235">
        <v>554</v>
      </c>
      <c r="AN235" s="122">
        <v>2219</v>
      </c>
      <c r="AO235">
        <v>822</v>
      </c>
      <c r="AP235">
        <v>0</v>
      </c>
      <c r="AQ235">
        <v>0</v>
      </c>
      <c r="AR235" s="122">
        <v>12097</v>
      </c>
      <c r="AS235" s="122">
        <v>4480</v>
      </c>
      <c r="AT235">
        <v>0</v>
      </c>
      <c r="AU235">
        <v>0</v>
      </c>
      <c r="AV235" s="122">
        <v>8911</v>
      </c>
    </row>
    <row r="236" spans="2:48" ht="13">
      <c r="B236" t="s">
        <v>435</v>
      </c>
      <c r="C236" t="s">
        <v>54</v>
      </c>
      <c r="D236" t="s">
        <v>406</v>
      </c>
      <c r="E236" t="s">
        <v>137</v>
      </c>
      <c r="F236" s="122">
        <v>1</v>
      </c>
      <c r="G236" s="122">
        <v>167</v>
      </c>
      <c r="H236" s="122">
        <v>145</v>
      </c>
      <c r="I236" s="122">
        <v>9640</v>
      </c>
      <c r="J236" s="191">
        <v>8763</v>
      </c>
      <c r="K236" s="122">
        <v>85</v>
      </c>
      <c r="L236" s="122">
        <v>1401</v>
      </c>
      <c r="M236" s="122">
        <v>1273</v>
      </c>
      <c r="N236" s="122">
        <v>2029</v>
      </c>
      <c r="O236" s="122">
        <v>751</v>
      </c>
      <c r="P236" s="122">
        <v>0</v>
      </c>
      <c r="Q236" s="122">
        <v>0</v>
      </c>
      <c r="R236" s="122">
        <v>11034</v>
      </c>
      <c r="S236" s="122">
        <v>4087</v>
      </c>
      <c r="T236">
        <v>0</v>
      </c>
      <c r="U236" s="122">
        <v>0</v>
      </c>
      <c r="V236" s="122">
        <v>14875</v>
      </c>
      <c r="W236" s="122">
        <f t="shared" si="6"/>
        <v>14874</v>
      </c>
      <c r="X236" s="122">
        <f t="shared" si="7"/>
        <v>24104</v>
      </c>
      <c r="Y236" s="122"/>
      <c r="AA236" t="s">
        <v>56</v>
      </c>
      <c r="AB236" t="s">
        <v>137</v>
      </c>
      <c r="AC236" t="s">
        <v>137</v>
      </c>
      <c r="AD236" t="s">
        <v>405</v>
      </c>
      <c r="AE236" t="s">
        <v>566</v>
      </c>
      <c r="AF236">
        <v>1</v>
      </c>
      <c r="AG236">
        <v>49</v>
      </c>
      <c r="AH236">
        <v>152</v>
      </c>
      <c r="AI236" s="122">
        <v>3414</v>
      </c>
      <c r="AJ236" s="122">
        <v>1265</v>
      </c>
      <c r="AK236">
        <v>100</v>
      </c>
      <c r="AL236">
        <v>379</v>
      </c>
      <c r="AM236">
        <v>141</v>
      </c>
      <c r="AN236">
        <v>592</v>
      </c>
      <c r="AO236">
        <v>219</v>
      </c>
      <c r="AP236">
        <v>0</v>
      </c>
      <c r="AQ236">
        <v>0</v>
      </c>
      <c r="AR236" s="122">
        <v>3021</v>
      </c>
      <c r="AS236" s="122">
        <v>2746</v>
      </c>
      <c r="AT236">
        <v>0</v>
      </c>
      <c r="AU236">
        <v>0</v>
      </c>
      <c r="AV236" s="122">
        <v>4371</v>
      </c>
    </row>
    <row r="237" spans="2:48" ht="13">
      <c r="B237" t="s">
        <v>435</v>
      </c>
      <c r="C237" t="s">
        <v>54</v>
      </c>
      <c r="D237" t="s">
        <v>406</v>
      </c>
      <c r="E237" t="s">
        <v>406</v>
      </c>
      <c r="F237">
        <v>22</v>
      </c>
      <c r="G237" s="122">
        <v>2756</v>
      </c>
      <c r="H237" s="122">
        <v>3082</v>
      </c>
      <c r="I237" s="122">
        <v>200151</v>
      </c>
      <c r="J237" s="191">
        <v>181955</v>
      </c>
      <c r="K237" s="122">
        <v>90</v>
      </c>
      <c r="L237" s="122">
        <v>36292</v>
      </c>
      <c r="M237" s="122">
        <v>31907</v>
      </c>
      <c r="N237" s="122">
        <v>60431</v>
      </c>
      <c r="O237" s="122">
        <v>22382</v>
      </c>
      <c r="P237" s="122">
        <v>17075</v>
      </c>
      <c r="Q237" s="122">
        <v>6324</v>
      </c>
      <c r="R237" s="122">
        <v>92878</v>
      </c>
      <c r="S237" s="122">
        <v>84435</v>
      </c>
      <c r="T237" s="122">
        <v>0</v>
      </c>
      <c r="U237" s="122">
        <v>0</v>
      </c>
      <c r="V237" s="122">
        <v>327003</v>
      </c>
      <c r="W237" s="122">
        <f t="shared" si="6"/>
        <v>327003</v>
      </c>
      <c r="X237" s="122">
        <f t="shared" si="7"/>
        <v>406827</v>
      </c>
      <c r="Y237" s="122"/>
      <c r="AA237" t="s">
        <v>56</v>
      </c>
      <c r="AB237" t="s">
        <v>137</v>
      </c>
      <c r="AC237" t="s">
        <v>137</v>
      </c>
      <c r="AD237" t="s">
        <v>137</v>
      </c>
      <c r="AE237" t="s">
        <v>137</v>
      </c>
      <c r="AF237">
        <v>416</v>
      </c>
      <c r="AG237" s="122">
        <v>31606</v>
      </c>
      <c r="AH237" s="122">
        <v>81452</v>
      </c>
      <c r="AI237" s="122">
        <v>2455003</v>
      </c>
      <c r="AJ237" s="122">
        <v>909260</v>
      </c>
      <c r="AK237">
        <v>101</v>
      </c>
      <c r="AL237" s="122">
        <v>360731</v>
      </c>
      <c r="AM237" s="122">
        <v>133604</v>
      </c>
      <c r="AN237" s="122">
        <v>615412</v>
      </c>
      <c r="AO237" s="122">
        <v>227930</v>
      </c>
      <c r="AP237" s="122">
        <v>10478</v>
      </c>
      <c r="AQ237" s="122">
        <v>3881</v>
      </c>
      <c r="AR237" s="122">
        <v>2612733</v>
      </c>
      <c r="AS237" s="122">
        <v>967679</v>
      </c>
      <c r="AT237" s="122">
        <v>143382</v>
      </c>
      <c r="AU237" s="122">
        <v>53104</v>
      </c>
      <c r="AV237" s="122">
        <v>2295459</v>
      </c>
    </row>
    <row r="238" spans="2:48" ht="13">
      <c r="B238" t="s">
        <v>435</v>
      </c>
      <c r="C238" t="s">
        <v>54</v>
      </c>
      <c r="D238" t="s">
        <v>407</v>
      </c>
      <c r="E238" t="s">
        <v>407</v>
      </c>
      <c r="F238">
        <v>878</v>
      </c>
      <c r="G238" s="122">
        <v>69680</v>
      </c>
      <c r="H238" s="122">
        <v>121952</v>
      </c>
      <c r="I238" s="122">
        <v>4566196</v>
      </c>
      <c r="J238" s="191">
        <v>4151088</v>
      </c>
      <c r="K238" s="122">
        <v>83</v>
      </c>
      <c r="L238" s="122">
        <v>318573</v>
      </c>
      <c r="M238" s="122">
        <v>224025</v>
      </c>
      <c r="N238" s="122">
        <v>1419903</v>
      </c>
      <c r="O238" s="122">
        <v>525890</v>
      </c>
      <c r="P238" s="122">
        <v>430323</v>
      </c>
      <c r="Q238" s="122">
        <v>159379</v>
      </c>
      <c r="R238" s="122">
        <v>2944028</v>
      </c>
      <c r="S238" s="122">
        <v>2676389</v>
      </c>
      <c r="T238" s="122">
        <v>47962</v>
      </c>
      <c r="U238" s="122">
        <v>17764</v>
      </c>
      <c r="V238" s="122">
        <v>7754534</v>
      </c>
      <c r="W238" s="122">
        <f t="shared" si="6"/>
        <v>7754535</v>
      </c>
      <c r="X238" s="122">
        <f t="shared" si="7"/>
        <v>9726985</v>
      </c>
      <c r="Y238" s="122"/>
      <c r="AA238" t="s">
        <v>56</v>
      </c>
      <c r="AB238" t="s">
        <v>137</v>
      </c>
      <c r="AC238" t="s">
        <v>137</v>
      </c>
      <c r="AD238" t="s">
        <v>137</v>
      </c>
      <c r="AE238" t="s">
        <v>566</v>
      </c>
      <c r="AF238" s="122">
        <v>11630</v>
      </c>
      <c r="AG238" s="122">
        <v>823236</v>
      </c>
      <c r="AH238" s="122">
        <v>2265086</v>
      </c>
      <c r="AI238" s="122">
        <v>59910217</v>
      </c>
      <c r="AJ238" s="122">
        <v>22188969</v>
      </c>
      <c r="AK238">
        <v>102</v>
      </c>
      <c r="AL238" s="122">
        <v>10982986</v>
      </c>
      <c r="AM238" s="122">
        <v>4067772</v>
      </c>
      <c r="AN238" s="122">
        <v>16585932</v>
      </c>
      <c r="AO238" s="122">
        <v>6142938</v>
      </c>
      <c r="AP238" s="122">
        <v>356535</v>
      </c>
      <c r="AQ238" s="122">
        <v>132050</v>
      </c>
      <c r="AR238" s="122">
        <v>72535178</v>
      </c>
      <c r="AS238" s="122">
        <v>26864881</v>
      </c>
      <c r="AT238">
        <v>0</v>
      </c>
      <c r="AU238">
        <v>0</v>
      </c>
      <c r="AV238" s="122">
        <v>59396609</v>
      </c>
    </row>
    <row r="239" spans="2:48" ht="13">
      <c r="B239" t="s">
        <v>435</v>
      </c>
      <c r="C239" t="s">
        <v>54</v>
      </c>
      <c r="D239" t="s">
        <v>426</v>
      </c>
      <c r="E239" t="s">
        <v>426</v>
      </c>
      <c r="F239">
        <v>1</v>
      </c>
      <c r="G239" s="122">
        <v>218</v>
      </c>
      <c r="H239" s="122">
        <v>140</v>
      </c>
      <c r="I239" s="122">
        <v>21019</v>
      </c>
      <c r="J239" s="191">
        <v>19108</v>
      </c>
      <c r="K239" s="122">
        <v>76</v>
      </c>
      <c r="L239" s="122">
        <v>0</v>
      </c>
      <c r="M239" s="122">
        <v>2482</v>
      </c>
      <c r="N239" s="122">
        <v>3187</v>
      </c>
      <c r="O239" s="122">
        <v>1180</v>
      </c>
      <c r="P239">
        <v>0</v>
      </c>
      <c r="Q239" s="122">
        <v>0</v>
      </c>
      <c r="R239" s="122">
        <v>6358</v>
      </c>
      <c r="S239" s="122">
        <v>5780</v>
      </c>
      <c r="T239" s="122">
        <v>0</v>
      </c>
      <c r="U239" s="122">
        <v>0</v>
      </c>
      <c r="V239" s="122">
        <v>28551</v>
      </c>
      <c r="W239" s="122">
        <f t="shared" si="6"/>
        <v>28550</v>
      </c>
      <c r="X239" s="122">
        <f t="shared" si="7"/>
        <v>30564</v>
      </c>
      <c r="Y239" s="122"/>
      <c r="AA239" t="s">
        <v>56</v>
      </c>
      <c r="AB239" t="s">
        <v>137</v>
      </c>
      <c r="AC239" t="s">
        <v>137</v>
      </c>
      <c r="AD239" t="s">
        <v>407</v>
      </c>
      <c r="AE239" t="s">
        <v>566</v>
      </c>
      <c r="AF239">
        <v>6</v>
      </c>
      <c r="AG239">
        <v>753</v>
      </c>
      <c r="AH239" s="122">
        <v>1177</v>
      </c>
      <c r="AI239" s="122">
        <v>81211</v>
      </c>
      <c r="AJ239" s="122">
        <v>30078</v>
      </c>
      <c r="AK239">
        <v>100</v>
      </c>
      <c r="AL239" s="122">
        <v>17875</v>
      </c>
      <c r="AM239" s="122">
        <v>6620</v>
      </c>
      <c r="AN239" s="122">
        <v>18118</v>
      </c>
      <c r="AO239" s="122">
        <v>6710</v>
      </c>
      <c r="AP239">
        <v>0</v>
      </c>
      <c r="AQ239">
        <v>0</v>
      </c>
      <c r="AR239" s="122">
        <v>29579</v>
      </c>
      <c r="AS239" s="122">
        <v>26890</v>
      </c>
      <c r="AT239">
        <v>0</v>
      </c>
      <c r="AU239">
        <v>0</v>
      </c>
      <c r="AV239" s="122">
        <v>70299</v>
      </c>
    </row>
    <row r="240" spans="2:48" ht="13">
      <c r="B240" t="s">
        <v>435</v>
      </c>
      <c r="C240" t="s">
        <v>56</v>
      </c>
      <c r="F240" s="122">
        <v>46</v>
      </c>
      <c r="G240" s="122">
        <v>3078</v>
      </c>
      <c r="H240" s="122">
        <v>8191</v>
      </c>
      <c r="I240" s="122"/>
      <c r="J240" s="191">
        <v>0</v>
      </c>
      <c r="K240" s="122"/>
      <c r="L240" s="122"/>
      <c r="M240" s="122">
        <v>0</v>
      </c>
      <c r="N240" s="122">
        <v>54897</v>
      </c>
      <c r="O240" s="122">
        <v>20332</v>
      </c>
      <c r="P240" s="122">
        <v>10196</v>
      </c>
      <c r="Q240" s="122">
        <v>3776</v>
      </c>
      <c r="R240" s="122"/>
      <c r="S240">
        <v>0</v>
      </c>
      <c r="T240">
        <v>0</v>
      </c>
      <c r="U240" s="122">
        <v>0</v>
      </c>
      <c r="V240" s="122">
        <v>24109</v>
      </c>
      <c r="W240" s="122">
        <f t="shared" si="6"/>
        <v>24108</v>
      </c>
      <c r="X240" s="122">
        <f t="shared" si="7"/>
        <v>65093</v>
      </c>
      <c r="Y240" s="122"/>
      <c r="AA240" t="s">
        <v>56</v>
      </c>
      <c r="AB240" t="s">
        <v>137</v>
      </c>
      <c r="AC240" t="s">
        <v>137</v>
      </c>
      <c r="AD240" t="s">
        <v>426</v>
      </c>
      <c r="AE240" t="s">
        <v>566</v>
      </c>
      <c r="AF240">
        <v>2</v>
      </c>
      <c r="AG240">
        <v>137</v>
      </c>
      <c r="AH240">
        <v>378</v>
      </c>
      <c r="AI240" s="122">
        <v>14132</v>
      </c>
      <c r="AJ240" s="122">
        <v>5234</v>
      </c>
      <c r="AK240">
        <v>100</v>
      </c>
      <c r="AL240" s="122">
        <v>3533</v>
      </c>
      <c r="AM240" s="122">
        <v>1309</v>
      </c>
      <c r="AN240" s="122">
        <v>3269</v>
      </c>
      <c r="AO240" s="122">
        <v>1211</v>
      </c>
      <c r="AP240">
        <v>0</v>
      </c>
      <c r="AQ240">
        <v>0</v>
      </c>
      <c r="AR240" s="122">
        <v>4964</v>
      </c>
      <c r="AS240" s="122">
        <v>4513</v>
      </c>
      <c r="AT240">
        <v>0</v>
      </c>
      <c r="AU240">
        <v>0</v>
      </c>
      <c r="AV240" s="122">
        <v>12266</v>
      </c>
    </row>
    <row r="241" spans="2:48" ht="13">
      <c r="B241" t="s">
        <v>435</v>
      </c>
      <c r="C241" t="s">
        <v>56</v>
      </c>
      <c r="D241" t="s">
        <v>425</v>
      </c>
      <c r="E241" s="122" t="s">
        <v>425</v>
      </c>
      <c r="F241" s="122">
        <v>1</v>
      </c>
      <c r="G241" s="122">
        <v>93</v>
      </c>
      <c r="H241" s="122">
        <v>160</v>
      </c>
      <c r="I241" s="122">
        <v>7647</v>
      </c>
      <c r="J241" s="191">
        <v>6952</v>
      </c>
      <c r="K241" s="122">
        <v>91</v>
      </c>
      <c r="L241" s="122">
        <v>0</v>
      </c>
      <c r="M241" s="122">
        <v>0</v>
      </c>
      <c r="N241" s="122">
        <v>2262</v>
      </c>
      <c r="O241" s="122">
        <v>838</v>
      </c>
      <c r="P241" s="122">
        <v>473</v>
      </c>
      <c r="Q241" s="122">
        <v>175</v>
      </c>
      <c r="R241" s="122">
        <v>2321</v>
      </c>
      <c r="S241" s="122">
        <v>2110</v>
      </c>
      <c r="T241" s="122">
        <v>2113</v>
      </c>
      <c r="U241" s="122">
        <v>782</v>
      </c>
      <c r="V241" s="122">
        <v>10857</v>
      </c>
      <c r="W241" s="122">
        <f t="shared" si="6"/>
        <v>10857</v>
      </c>
      <c r="X241" s="122">
        <f t="shared" si="7"/>
        <v>14816</v>
      </c>
      <c r="Y241" s="122"/>
      <c r="AA241" t="s">
        <v>56</v>
      </c>
      <c r="AB241" t="s">
        <v>137</v>
      </c>
      <c r="AC241" t="s">
        <v>427</v>
      </c>
      <c r="AD241" t="s">
        <v>137</v>
      </c>
      <c r="AE241" t="s">
        <v>566</v>
      </c>
      <c r="AF241">
        <v>16</v>
      </c>
      <c r="AG241" s="122">
        <v>1412</v>
      </c>
      <c r="AH241" s="122">
        <v>3192</v>
      </c>
      <c r="AI241" s="122">
        <v>131122</v>
      </c>
      <c r="AJ241" s="122">
        <v>48564</v>
      </c>
      <c r="AK241">
        <v>100</v>
      </c>
      <c r="AL241" s="122">
        <v>24329</v>
      </c>
      <c r="AM241" s="122">
        <v>22117</v>
      </c>
      <c r="AN241" s="122">
        <v>24775</v>
      </c>
      <c r="AO241" s="122">
        <v>9176</v>
      </c>
      <c r="AP241">
        <v>0</v>
      </c>
      <c r="AQ241">
        <v>0</v>
      </c>
      <c r="AR241" s="122">
        <v>105180</v>
      </c>
      <c r="AS241" s="122">
        <v>38955</v>
      </c>
      <c r="AT241">
        <v>0</v>
      </c>
      <c r="AU241">
        <v>0</v>
      </c>
      <c r="AV241" s="122">
        <v>118812</v>
      </c>
    </row>
    <row r="242" spans="2:48" ht="13">
      <c r="B242" t="s">
        <v>435</v>
      </c>
      <c r="C242" t="s">
        <v>56</v>
      </c>
      <c r="D242" t="s">
        <v>405</v>
      </c>
      <c r="E242" t="s">
        <v>425</v>
      </c>
      <c r="F242" s="122">
        <v>1</v>
      </c>
      <c r="G242" s="122">
        <v>46</v>
      </c>
      <c r="H242" s="122">
        <v>176</v>
      </c>
      <c r="I242" s="122">
        <v>4799</v>
      </c>
      <c r="J242" s="191">
        <v>4363</v>
      </c>
      <c r="K242" s="122">
        <v>90</v>
      </c>
      <c r="L242" s="122">
        <v>0</v>
      </c>
      <c r="M242" s="122">
        <v>0</v>
      </c>
      <c r="N242" s="122">
        <v>1121</v>
      </c>
      <c r="O242" s="122">
        <v>415</v>
      </c>
      <c r="P242">
        <v>473</v>
      </c>
      <c r="Q242" s="122">
        <v>175</v>
      </c>
      <c r="R242" s="122">
        <v>1705</v>
      </c>
      <c r="S242" s="122">
        <v>1550</v>
      </c>
      <c r="T242" s="122">
        <v>0</v>
      </c>
      <c r="U242" s="122">
        <v>0</v>
      </c>
      <c r="V242" s="122">
        <v>6503</v>
      </c>
      <c r="W242" s="122">
        <f t="shared" si="6"/>
        <v>6503</v>
      </c>
      <c r="X242" s="122">
        <f t="shared" si="7"/>
        <v>8098</v>
      </c>
      <c r="Y242" s="122"/>
      <c r="AA242" t="s">
        <v>56</v>
      </c>
      <c r="AB242" t="s">
        <v>137</v>
      </c>
      <c r="AC242" t="s">
        <v>407</v>
      </c>
      <c r="AD242" t="s">
        <v>137</v>
      </c>
      <c r="AE242" t="s">
        <v>566</v>
      </c>
      <c r="AF242">
        <v>26</v>
      </c>
      <c r="AG242" s="122">
        <v>1828</v>
      </c>
      <c r="AH242" s="122">
        <v>5076</v>
      </c>
      <c r="AI242" s="122">
        <v>144522</v>
      </c>
      <c r="AJ242" s="122">
        <v>53527</v>
      </c>
      <c r="AK242">
        <v>106</v>
      </c>
      <c r="AL242" s="122">
        <v>15071</v>
      </c>
      <c r="AM242" s="122">
        <v>13701</v>
      </c>
      <c r="AN242" s="122">
        <v>37659</v>
      </c>
      <c r="AO242" s="122">
        <v>13948</v>
      </c>
      <c r="AP242" s="122">
        <v>1233</v>
      </c>
      <c r="AQ242">
        <v>457</v>
      </c>
      <c r="AR242" s="122">
        <v>164896</v>
      </c>
      <c r="AS242" s="122">
        <v>61072</v>
      </c>
      <c r="AT242">
        <v>0</v>
      </c>
      <c r="AU242">
        <v>0</v>
      </c>
      <c r="AV242" s="122">
        <v>142704</v>
      </c>
    </row>
    <row r="243" spans="2:48" ht="13">
      <c r="B243" t="s">
        <v>435</v>
      </c>
      <c r="C243" t="s">
        <v>56</v>
      </c>
      <c r="D243" t="s">
        <v>405</v>
      </c>
      <c r="E243" t="s">
        <v>405</v>
      </c>
      <c r="F243">
        <v>19</v>
      </c>
      <c r="G243" s="122">
        <v>1297</v>
      </c>
      <c r="H243" s="122">
        <v>3385</v>
      </c>
      <c r="I243" s="122">
        <v>120953</v>
      </c>
      <c r="J243" s="191">
        <v>109957</v>
      </c>
      <c r="K243" s="122">
        <v>81</v>
      </c>
      <c r="L243" s="122">
        <v>12012</v>
      </c>
      <c r="M243" s="122">
        <v>9478</v>
      </c>
      <c r="N243" s="122">
        <v>23496</v>
      </c>
      <c r="O243" s="122">
        <v>8702</v>
      </c>
      <c r="P243" s="122">
        <v>8978</v>
      </c>
      <c r="Q243" s="122">
        <v>3325</v>
      </c>
      <c r="R243" s="122">
        <v>60787</v>
      </c>
      <c r="S243" s="122">
        <v>55261</v>
      </c>
      <c r="T243" s="122">
        <v>4157</v>
      </c>
      <c r="U243" s="122">
        <v>1540</v>
      </c>
      <c r="V243" s="122">
        <v>188264</v>
      </c>
      <c r="W243" s="122">
        <f t="shared" si="6"/>
        <v>188263</v>
      </c>
      <c r="X243" s="122">
        <f t="shared" si="7"/>
        <v>230383</v>
      </c>
      <c r="Y243" s="122"/>
      <c r="AA243" t="s">
        <v>56</v>
      </c>
      <c r="AB243" t="s">
        <v>137</v>
      </c>
      <c r="AC243" t="s">
        <v>407</v>
      </c>
      <c r="AD243" t="s">
        <v>407</v>
      </c>
      <c r="AE243" t="s">
        <v>566</v>
      </c>
      <c r="AF243">
        <v>1</v>
      </c>
      <c r="AG243">
        <v>106</v>
      </c>
      <c r="AH243">
        <v>172</v>
      </c>
      <c r="AI243" s="122">
        <v>8425</v>
      </c>
      <c r="AJ243" s="122">
        <v>3121</v>
      </c>
      <c r="AK243">
        <v>250</v>
      </c>
      <c r="AL243" s="122">
        <v>1106</v>
      </c>
      <c r="AM243" s="122">
        <v>1006</v>
      </c>
      <c r="AN243" s="122">
        <v>2526</v>
      </c>
      <c r="AO243">
        <v>935</v>
      </c>
      <c r="AP243" s="122">
        <v>1810</v>
      </c>
      <c r="AQ243">
        <v>670</v>
      </c>
      <c r="AR243" s="122">
        <v>4369</v>
      </c>
      <c r="AS243" s="122">
        <v>3972</v>
      </c>
      <c r="AT243">
        <v>0</v>
      </c>
      <c r="AU243">
        <v>0</v>
      </c>
      <c r="AV243" s="122">
        <v>9704</v>
      </c>
    </row>
    <row r="244" spans="2:48" ht="13">
      <c r="B244" t="s">
        <v>435</v>
      </c>
      <c r="C244" t="s">
        <v>56</v>
      </c>
      <c r="D244" t="s">
        <v>137</v>
      </c>
      <c r="E244" t="s">
        <v>137</v>
      </c>
      <c r="F244">
        <v>739</v>
      </c>
      <c r="G244" s="122">
        <v>55129</v>
      </c>
      <c r="H244" s="122">
        <v>144796</v>
      </c>
      <c r="I244" s="122">
        <v>4609089</v>
      </c>
      <c r="J244" s="191">
        <v>1707070</v>
      </c>
      <c r="K244" s="122">
        <v>109</v>
      </c>
      <c r="L244" s="122">
        <v>391223</v>
      </c>
      <c r="M244" s="122">
        <v>149631</v>
      </c>
      <c r="N244" s="122">
        <v>1033541</v>
      </c>
      <c r="O244" s="122">
        <v>382793</v>
      </c>
      <c r="P244" s="122">
        <v>28592</v>
      </c>
      <c r="Q244" s="122">
        <v>10590</v>
      </c>
      <c r="R244" s="122">
        <v>4775705</v>
      </c>
      <c r="S244" s="122">
        <v>1768780</v>
      </c>
      <c r="T244" s="122">
        <v>5761</v>
      </c>
      <c r="U244" s="122">
        <v>2134</v>
      </c>
      <c r="V244" s="122">
        <v>4020997</v>
      </c>
      <c r="W244" s="122">
        <f t="shared" si="6"/>
        <v>4020998</v>
      </c>
      <c r="X244" s="122">
        <f t="shared" si="7"/>
        <v>10843911</v>
      </c>
      <c r="Y244" s="122"/>
      <c r="AA244" t="s">
        <v>56</v>
      </c>
      <c r="AB244" t="s">
        <v>137</v>
      </c>
      <c r="AC244" t="s">
        <v>579</v>
      </c>
      <c r="AD244" t="s">
        <v>137</v>
      </c>
      <c r="AE244" t="s">
        <v>137</v>
      </c>
      <c r="AF244">
        <v>3</v>
      </c>
      <c r="AG244">
        <v>264</v>
      </c>
      <c r="AH244">
        <v>617</v>
      </c>
      <c r="AI244" s="122">
        <v>24307</v>
      </c>
      <c r="AJ244" s="122">
        <v>9002</v>
      </c>
      <c r="AK244">
        <v>100</v>
      </c>
      <c r="AL244" s="122">
        <v>2643</v>
      </c>
      <c r="AM244" s="122">
        <v>2203</v>
      </c>
      <c r="AN244" s="122">
        <v>5315</v>
      </c>
      <c r="AO244" s="122">
        <v>1968</v>
      </c>
      <c r="AP244">
        <v>0</v>
      </c>
      <c r="AQ244">
        <v>0</v>
      </c>
      <c r="AR244" s="122">
        <v>21867</v>
      </c>
      <c r="AS244" s="122">
        <v>8099</v>
      </c>
      <c r="AT244">
        <v>0</v>
      </c>
      <c r="AU244">
        <v>0</v>
      </c>
      <c r="AV244" s="122">
        <v>21272</v>
      </c>
    </row>
    <row r="245" spans="2:48" ht="13">
      <c r="B245" t="s">
        <v>435</v>
      </c>
      <c r="C245" t="s">
        <v>56</v>
      </c>
      <c r="D245" t="s">
        <v>137</v>
      </c>
      <c r="E245" t="s">
        <v>407</v>
      </c>
      <c r="F245">
        <v>2</v>
      </c>
      <c r="G245" s="122">
        <v>138</v>
      </c>
      <c r="H245" s="122">
        <v>444</v>
      </c>
      <c r="I245" s="122">
        <v>22364</v>
      </c>
      <c r="J245" s="191">
        <v>8283</v>
      </c>
      <c r="K245" s="122">
        <v>100</v>
      </c>
      <c r="L245" s="122">
        <v>0</v>
      </c>
      <c r="M245" s="122">
        <v>0</v>
      </c>
      <c r="N245" s="122">
        <v>1678</v>
      </c>
      <c r="O245" s="122">
        <v>622</v>
      </c>
      <c r="P245">
        <v>0</v>
      </c>
      <c r="Q245" s="122">
        <v>0</v>
      </c>
      <c r="R245" s="122">
        <v>2963</v>
      </c>
      <c r="S245" s="122">
        <v>2694</v>
      </c>
      <c r="T245" s="122">
        <v>3582</v>
      </c>
      <c r="U245" s="122">
        <v>1327</v>
      </c>
      <c r="V245" s="122">
        <v>12925</v>
      </c>
      <c r="W245" s="122">
        <f t="shared" si="6"/>
        <v>12926</v>
      </c>
      <c r="X245" s="122">
        <f t="shared" si="7"/>
        <v>30587</v>
      </c>
      <c r="Y245" s="122"/>
      <c r="AA245" t="s">
        <v>56</v>
      </c>
      <c r="AB245" t="s">
        <v>137</v>
      </c>
      <c r="AC245" t="s">
        <v>579</v>
      </c>
      <c r="AD245" t="s">
        <v>137</v>
      </c>
      <c r="AE245" t="s">
        <v>566</v>
      </c>
      <c r="AF245">
        <v>132</v>
      </c>
      <c r="AG245" s="122">
        <v>9753</v>
      </c>
      <c r="AH245" s="122">
        <v>26907</v>
      </c>
      <c r="AI245" s="122">
        <v>776726</v>
      </c>
      <c r="AJ245" s="122">
        <v>287676</v>
      </c>
      <c r="AK245">
        <v>102</v>
      </c>
      <c r="AL245" s="122">
        <v>158453</v>
      </c>
      <c r="AM245" s="122">
        <v>132044</v>
      </c>
      <c r="AN245" s="122">
        <v>188048</v>
      </c>
      <c r="AO245" s="122">
        <v>69647</v>
      </c>
      <c r="AP245">
        <v>905</v>
      </c>
      <c r="AQ245">
        <v>335</v>
      </c>
      <c r="AR245" s="122">
        <v>853576</v>
      </c>
      <c r="AS245" s="122">
        <v>316139</v>
      </c>
      <c r="AT245">
        <v>0</v>
      </c>
      <c r="AU245">
        <v>0</v>
      </c>
      <c r="AV245" s="122">
        <v>805842</v>
      </c>
    </row>
    <row r="246" spans="2:48" ht="13">
      <c r="B246" t="s">
        <v>435</v>
      </c>
      <c r="C246" t="s">
        <v>56</v>
      </c>
      <c r="D246" t="s">
        <v>406</v>
      </c>
      <c r="E246" t="s">
        <v>137</v>
      </c>
      <c r="F246" s="122">
        <v>1</v>
      </c>
      <c r="G246" s="122">
        <v>46</v>
      </c>
      <c r="H246" s="122">
        <v>190</v>
      </c>
      <c r="I246" s="122">
        <v>4313</v>
      </c>
      <c r="J246" s="191">
        <v>3921</v>
      </c>
      <c r="K246" s="122">
        <v>93</v>
      </c>
      <c r="L246" s="122">
        <v>0</v>
      </c>
      <c r="M246" s="122">
        <v>0</v>
      </c>
      <c r="N246" s="122">
        <v>559</v>
      </c>
      <c r="O246" s="122">
        <v>207</v>
      </c>
      <c r="P246">
        <v>621</v>
      </c>
      <c r="Q246" s="122">
        <v>230</v>
      </c>
      <c r="R246" s="122">
        <v>3195</v>
      </c>
      <c r="S246" s="122">
        <v>1183</v>
      </c>
      <c r="T246">
        <v>0</v>
      </c>
      <c r="U246" s="122">
        <v>0</v>
      </c>
      <c r="V246" s="122">
        <v>5541</v>
      </c>
      <c r="W246" s="122">
        <f t="shared" si="6"/>
        <v>5541</v>
      </c>
      <c r="X246" s="122">
        <f t="shared" si="7"/>
        <v>8688</v>
      </c>
      <c r="Y246" s="122"/>
      <c r="AA246" t="s">
        <v>56</v>
      </c>
      <c r="AB246" t="s">
        <v>137</v>
      </c>
      <c r="AC246" t="s">
        <v>579</v>
      </c>
      <c r="AD246" t="s">
        <v>579</v>
      </c>
      <c r="AE246" t="s">
        <v>137</v>
      </c>
      <c r="AF246">
        <v>1</v>
      </c>
      <c r="AG246">
        <v>41</v>
      </c>
      <c r="AH246">
        <v>197</v>
      </c>
      <c r="AI246" s="122">
        <v>1800</v>
      </c>
      <c r="AJ246">
        <v>667</v>
      </c>
      <c r="AK246">
        <v>356</v>
      </c>
      <c r="AL246">
        <v>487</v>
      </c>
      <c r="AM246">
        <v>406</v>
      </c>
      <c r="AN246">
        <v>493</v>
      </c>
      <c r="AO246">
        <v>183</v>
      </c>
      <c r="AP246">
        <v>164</v>
      </c>
      <c r="AQ246">
        <v>61</v>
      </c>
      <c r="AR246" s="122">
        <v>3554</v>
      </c>
      <c r="AS246" s="122">
        <v>2962</v>
      </c>
      <c r="AT246" s="122">
        <v>1473</v>
      </c>
      <c r="AU246">
        <v>546</v>
      </c>
      <c r="AV246" s="122">
        <v>4823</v>
      </c>
    </row>
    <row r="247" spans="2:48" ht="13">
      <c r="B247" t="s">
        <v>435</v>
      </c>
      <c r="C247" t="s">
        <v>56</v>
      </c>
      <c r="D247" t="s">
        <v>406</v>
      </c>
      <c r="E247" t="s">
        <v>406</v>
      </c>
      <c r="F247" s="122">
        <v>110</v>
      </c>
      <c r="G247" s="122">
        <v>11884</v>
      </c>
      <c r="H247" s="122">
        <v>20895</v>
      </c>
      <c r="I247" s="122">
        <v>1209726</v>
      </c>
      <c r="J247" s="191">
        <v>1099751</v>
      </c>
      <c r="K247" s="122">
        <v>88</v>
      </c>
      <c r="L247" s="122">
        <v>263212</v>
      </c>
      <c r="M247" s="122">
        <v>229317</v>
      </c>
      <c r="N247" s="122">
        <v>239362</v>
      </c>
      <c r="O247" s="122">
        <v>88653</v>
      </c>
      <c r="P247" s="122">
        <v>71469</v>
      </c>
      <c r="Q247" s="122">
        <v>26470</v>
      </c>
      <c r="R247" s="122">
        <v>477444</v>
      </c>
      <c r="S247" s="122">
        <v>434040</v>
      </c>
      <c r="T247" s="122">
        <v>56687</v>
      </c>
      <c r="U247" s="122">
        <v>20995</v>
      </c>
      <c r="V247" s="122">
        <v>1899226</v>
      </c>
      <c r="W247" s="122">
        <f t="shared" si="6"/>
        <v>1899226</v>
      </c>
      <c r="X247" s="122">
        <f t="shared" si="7"/>
        <v>2317900</v>
      </c>
      <c r="Y247" s="122"/>
      <c r="AA247" t="s">
        <v>56</v>
      </c>
      <c r="AB247" t="s">
        <v>137</v>
      </c>
      <c r="AC247" t="s">
        <v>428</v>
      </c>
      <c r="AD247" t="s">
        <v>137</v>
      </c>
      <c r="AE247" t="s">
        <v>566</v>
      </c>
      <c r="AF247">
        <v>3</v>
      </c>
      <c r="AG247">
        <v>186</v>
      </c>
      <c r="AH247">
        <v>612</v>
      </c>
      <c r="AI247" s="122">
        <v>14814</v>
      </c>
      <c r="AJ247" s="122">
        <v>5487</v>
      </c>
      <c r="AK247">
        <v>100</v>
      </c>
      <c r="AL247" s="122">
        <v>3048</v>
      </c>
      <c r="AM247" s="122">
        <v>2771</v>
      </c>
      <c r="AN247" s="122">
        <v>2673</v>
      </c>
      <c r="AO247">
        <v>990</v>
      </c>
      <c r="AP247">
        <v>0</v>
      </c>
      <c r="AQ247">
        <v>0</v>
      </c>
      <c r="AR247" s="122">
        <v>17147</v>
      </c>
      <c r="AS247" s="122">
        <v>6351</v>
      </c>
      <c r="AT247">
        <v>0</v>
      </c>
      <c r="AU247">
        <v>0</v>
      </c>
      <c r="AV247" s="122">
        <v>15598</v>
      </c>
    </row>
    <row r="248" spans="2:48" ht="13">
      <c r="B248" t="s">
        <v>435</v>
      </c>
      <c r="C248" t="s">
        <v>56</v>
      </c>
      <c r="D248" t="s">
        <v>407</v>
      </c>
      <c r="E248" t="s">
        <v>137</v>
      </c>
      <c r="F248" s="122">
        <v>2</v>
      </c>
      <c r="G248" s="122">
        <v>97</v>
      </c>
      <c r="H248" s="122">
        <v>379</v>
      </c>
      <c r="I248" s="122">
        <v>5561</v>
      </c>
      <c r="J248" s="191">
        <v>5055</v>
      </c>
      <c r="K248" s="122">
        <v>79</v>
      </c>
      <c r="L248" s="122">
        <v>784</v>
      </c>
      <c r="M248" s="122">
        <v>290</v>
      </c>
      <c r="N248" s="122">
        <v>1658</v>
      </c>
      <c r="O248" s="122">
        <v>614</v>
      </c>
      <c r="P248" s="122">
        <v>945</v>
      </c>
      <c r="Q248" s="122">
        <v>350</v>
      </c>
      <c r="R248" s="122">
        <v>9652</v>
      </c>
      <c r="S248" s="122">
        <v>3575</v>
      </c>
      <c r="T248">
        <v>0</v>
      </c>
      <c r="U248" s="122">
        <v>0</v>
      </c>
      <c r="V248" s="122">
        <v>9884</v>
      </c>
      <c r="W248" s="122">
        <f t="shared" si="6"/>
        <v>9884</v>
      </c>
      <c r="X248" s="122">
        <f t="shared" si="7"/>
        <v>18600</v>
      </c>
      <c r="Y248" s="122"/>
      <c r="AA248" t="s">
        <v>56</v>
      </c>
      <c r="AB248" t="s">
        <v>137</v>
      </c>
      <c r="AC248" t="s">
        <v>431</v>
      </c>
      <c r="AD248" t="s">
        <v>137</v>
      </c>
      <c r="AE248" t="s">
        <v>566</v>
      </c>
      <c r="AF248">
        <v>3</v>
      </c>
      <c r="AG248">
        <v>157</v>
      </c>
      <c r="AH248">
        <v>630</v>
      </c>
      <c r="AI248" s="122">
        <v>7100</v>
      </c>
      <c r="AJ248" s="122">
        <v>2630</v>
      </c>
      <c r="AK248">
        <v>100</v>
      </c>
      <c r="AL248">
        <v>851</v>
      </c>
      <c r="AM248">
        <v>773</v>
      </c>
      <c r="AN248" s="122">
        <v>2634</v>
      </c>
      <c r="AO248">
        <v>976</v>
      </c>
      <c r="AP248">
        <v>0</v>
      </c>
      <c r="AQ248">
        <v>0</v>
      </c>
      <c r="AR248" s="122">
        <v>22383</v>
      </c>
      <c r="AS248" s="122">
        <v>8290</v>
      </c>
      <c r="AT248">
        <v>0</v>
      </c>
      <c r="AU248">
        <v>0</v>
      </c>
      <c r="AV248" s="122">
        <v>12669</v>
      </c>
    </row>
    <row r="249" spans="2:48" ht="13">
      <c r="B249" t="s">
        <v>435</v>
      </c>
      <c r="C249" t="s">
        <v>56</v>
      </c>
      <c r="D249" t="s">
        <v>407</v>
      </c>
      <c r="E249" t="s">
        <v>407</v>
      </c>
      <c r="F249" s="122">
        <v>1384</v>
      </c>
      <c r="G249" s="122">
        <v>97361</v>
      </c>
      <c r="H249" s="122">
        <v>244480</v>
      </c>
      <c r="I249" s="122">
        <v>8920058</v>
      </c>
      <c r="J249" s="191">
        <v>8109143</v>
      </c>
      <c r="K249" s="122">
        <v>81</v>
      </c>
      <c r="L249" s="122">
        <v>746684</v>
      </c>
      <c r="M249" s="122">
        <v>554299</v>
      </c>
      <c r="N249" s="122">
        <v>2015462</v>
      </c>
      <c r="O249" s="122">
        <v>746468</v>
      </c>
      <c r="P249" s="122">
        <v>661338</v>
      </c>
      <c r="Q249" s="122">
        <v>244940</v>
      </c>
      <c r="R249" s="122">
        <v>4647826</v>
      </c>
      <c r="S249" s="122">
        <v>4225297</v>
      </c>
      <c r="T249" s="122">
        <v>181519</v>
      </c>
      <c r="U249" s="122">
        <v>67229</v>
      </c>
      <c r="V249" s="122">
        <v>13947376</v>
      </c>
      <c r="W249" s="122">
        <f t="shared" si="6"/>
        <v>13947376</v>
      </c>
      <c r="X249" s="122">
        <f t="shared" si="7"/>
        <v>17172887</v>
      </c>
      <c r="Y249" s="122"/>
      <c r="AA249" t="s">
        <v>56</v>
      </c>
      <c r="AB249" t="s">
        <v>137</v>
      </c>
      <c r="AC249" t="s">
        <v>426</v>
      </c>
      <c r="AD249" t="s">
        <v>137</v>
      </c>
      <c r="AE249" t="s">
        <v>137</v>
      </c>
      <c r="AF249">
        <v>4</v>
      </c>
      <c r="AG249">
        <v>322</v>
      </c>
      <c r="AH249">
        <v>873</v>
      </c>
      <c r="AI249" s="122">
        <v>37412</v>
      </c>
      <c r="AJ249" s="122">
        <v>13856</v>
      </c>
      <c r="AK249">
        <v>100</v>
      </c>
      <c r="AL249" s="122">
        <v>5645</v>
      </c>
      <c r="AM249" s="122">
        <v>5132</v>
      </c>
      <c r="AN249" s="122">
        <v>7600</v>
      </c>
      <c r="AO249" s="122">
        <v>2815</v>
      </c>
      <c r="AP249">
        <v>0</v>
      </c>
      <c r="AQ249">
        <v>0</v>
      </c>
      <c r="AR249" s="122">
        <v>27955</v>
      </c>
      <c r="AS249" s="122">
        <v>10354</v>
      </c>
      <c r="AT249" s="122">
        <v>1985</v>
      </c>
      <c r="AU249">
        <v>735</v>
      </c>
      <c r="AV249" s="122">
        <v>32892</v>
      </c>
    </row>
    <row r="250" spans="2:48" ht="13">
      <c r="B250" t="s">
        <v>435</v>
      </c>
      <c r="C250" t="s">
        <v>56</v>
      </c>
      <c r="D250" t="s">
        <v>408</v>
      </c>
      <c r="E250" s="122" t="s">
        <v>408</v>
      </c>
      <c r="F250" s="122">
        <v>1</v>
      </c>
      <c r="G250" s="122">
        <v>136</v>
      </c>
      <c r="H250" s="122">
        <v>211</v>
      </c>
      <c r="I250" s="122">
        <v>18756</v>
      </c>
      <c r="J250" s="191">
        <v>17051</v>
      </c>
      <c r="K250" s="122">
        <v>85</v>
      </c>
      <c r="L250" s="122">
        <v>2684</v>
      </c>
      <c r="M250" s="122">
        <v>2237</v>
      </c>
      <c r="N250" s="122">
        <v>1652</v>
      </c>
      <c r="O250" s="122">
        <v>612</v>
      </c>
      <c r="P250" s="122">
        <v>351</v>
      </c>
      <c r="Q250" s="122">
        <v>130</v>
      </c>
      <c r="R250" s="122">
        <v>5136</v>
      </c>
      <c r="S250" s="122">
        <v>4669</v>
      </c>
      <c r="T250" s="122">
        <v>0</v>
      </c>
      <c r="U250" s="122">
        <v>0</v>
      </c>
      <c r="V250" s="122">
        <v>24699</v>
      </c>
      <c r="W250" s="122">
        <f t="shared" si="6"/>
        <v>24699</v>
      </c>
      <c r="X250" s="122">
        <f t="shared" si="7"/>
        <v>28579</v>
      </c>
      <c r="Y250" s="122"/>
      <c r="AA250" t="s">
        <v>56</v>
      </c>
      <c r="AB250" t="s">
        <v>137</v>
      </c>
      <c r="AC250" t="s">
        <v>426</v>
      </c>
      <c r="AD250" t="s">
        <v>137</v>
      </c>
      <c r="AE250" t="s">
        <v>566</v>
      </c>
      <c r="AF250">
        <v>124</v>
      </c>
      <c r="AG250" s="122">
        <v>9482</v>
      </c>
      <c r="AH250" s="122">
        <v>25145</v>
      </c>
      <c r="AI250" s="122">
        <v>811480</v>
      </c>
      <c r="AJ250" s="122">
        <v>300548</v>
      </c>
      <c r="AK250">
        <v>135</v>
      </c>
      <c r="AL250" s="122">
        <v>137892</v>
      </c>
      <c r="AM250" s="122">
        <v>125356</v>
      </c>
      <c r="AN250" s="122">
        <v>187041</v>
      </c>
      <c r="AO250" s="122">
        <v>69274</v>
      </c>
      <c r="AP250" s="122">
        <v>9645</v>
      </c>
      <c r="AQ250" s="122">
        <v>3572</v>
      </c>
      <c r="AR250" s="122">
        <v>793281</v>
      </c>
      <c r="AS250" s="122">
        <v>293808</v>
      </c>
      <c r="AT250">
        <v>0</v>
      </c>
      <c r="AU250">
        <v>0</v>
      </c>
      <c r="AV250" s="122">
        <v>792559</v>
      </c>
    </row>
    <row r="251" spans="2:48" ht="13">
      <c r="B251" t="s">
        <v>435</v>
      </c>
      <c r="C251" t="s">
        <v>58</v>
      </c>
      <c r="F251" s="122">
        <v>14</v>
      </c>
      <c r="G251" s="122">
        <v>689</v>
      </c>
      <c r="H251" s="122">
        <v>3779</v>
      </c>
      <c r="I251" s="122"/>
      <c r="J251" s="66">
        <v>0</v>
      </c>
      <c r="K251" s="122"/>
      <c r="L251" s="122"/>
      <c r="M251" s="122">
        <v>0</v>
      </c>
      <c r="N251" s="122">
        <v>13473</v>
      </c>
      <c r="O251" s="122">
        <v>4990</v>
      </c>
      <c r="P251" s="122">
        <v>2390</v>
      </c>
      <c r="Q251" s="122">
        <v>885</v>
      </c>
      <c r="R251" s="122"/>
      <c r="S251" s="122">
        <v>0</v>
      </c>
      <c r="T251" s="122">
        <v>7510</v>
      </c>
      <c r="U251" s="122">
        <v>2781</v>
      </c>
      <c r="V251" s="122">
        <v>8656</v>
      </c>
      <c r="W251" s="122">
        <f t="shared" si="6"/>
        <v>8656</v>
      </c>
      <c r="X251" s="122">
        <f t="shared" si="7"/>
        <v>23373</v>
      </c>
      <c r="Y251" s="122"/>
      <c r="AA251" t="s">
        <v>56</v>
      </c>
      <c r="AB251" t="s">
        <v>137</v>
      </c>
      <c r="AC251" t="s">
        <v>566</v>
      </c>
      <c r="AD251" t="s">
        <v>425</v>
      </c>
      <c r="AE251" t="s">
        <v>566</v>
      </c>
      <c r="AF251">
        <v>4</v>
      </c>
      <c r="AG251">
        <v>291</v>
      </c>
      <c r="AH251">
        <v>674</v>
      </c>
      <c r="AI251" s="122">
        <v>36243</v>
      </c>
      <c r="AJ251" s="122">
        <v>13423</v>
      </c>
      <c r="AK251">
        <v>100</v>
      </c>
      <c r="AL251">
        <v>0</v>
      </c>
      <c r="AM251">
        <v>0</v>
      </c>
      <c r="AN251" s="122">
        <v>3547</v>
      </c>
      <c r="AO251" s="122">
        <v>1314</v>
      </c>
      <c r="AP251">
        <v>486</v>
      </c>
      <c r="AQ251">
        <v>180</v>
      </c>
      <c r="AR251" s="122">
        <v>8785</v>
      </c>
      <c r="AS251" s="122">
        <v>7986</v>
      </c>
      <c r="AT251">
        <v>0</v>
      </c>
      <c r="AU251">
        <v>0</v>
      </c>
      <c r="AV251" s="122">
        <v>22903</v>
      </c>
    </row>
    <row r="252" spans="2:48" ht="13">
      <c r="B252" t="s">
        <v>435</v>
      </c>
      <c r="C252" t="s">
        <v>58</v>
      </c>
      <c r="D252" t="s">
        <v>425</v>
      </c>
      <c r="E252" t="s">
        <v>425</v>
      </c>
      <c r="F252" s="122">
        <v>1</v>
      </c>
      <c r="G252" s="122">
        <v>90</v>
      </c>
      <c r="H252" s="122">
        <v>235</v>
      </c>
      <c r="I252" s="122">
        <v>10768</v>
      </c>
      <c r="J252" s="191">
        <v>9789</v>
      </c>
      <c r="K252" s="122">
        <v>80</v>
      </c>
      <c r="L252" s="122">
        <v>3043</v>
      </c>
      <c r="M252" s="122">
        <v>2766</v>
      </c>
      <c r="N252" s="122">
        <v>2197</v>
      </c>
      <c r="O252" s="122">
        <v>814</v>
      </c>
      <c r="P252" s="122">
        <v>351</v>
      </c>
      <c r="Q252" s="122">
        <v>130</v>
      </c>
      <c r="R252" s="122">
        <v>4819</v>
      </c>
      <c r="S252" s="122">
        <v>4381</v>
      </c>
      <c r="T252" s="122">
        <v>0</v>
      </c>
      <c r="U252" s="122">
        <v>0</v>
      </c>
      <c r="V252" s="122">
        <v>17880</v>
      </c>
      <c r="W252" s="122">
        <f t="shared" si="6"/>
        <v>17880</v>
      </c>
      <c r="X252" s="122">
        <f t="shared" si="7"/>
        <v>21178</v>
      </c>
      <c r="Y252" s="122"/>
      <c r="AA252" t="s">
        <v>56</v>
      </c>
      <c r="AB252" t="s">
        <v>137</v>
      </c>
      <c r="AC252" t="s">
        <v>566</v>
      </c>
      <c r="AD252" t="s">
        <v>405</v>
      </c>
      <c r="AE252" t="s">
        <v>566</v>
      </c>
      <c r="AF252">
        <v>1</v>
      </c>
      <c r="AG252">
        <v>72</v>
      </c>
      <c r="AH252">
        <v>214</v>
      </c>
      <c r="AI252" s="122">
        <v>10036</v>
      </c>
      <c r="AJ252" s="122">
        <v>3717</v>
      </c>
      <c r="AK252">
        <v>100</v>
      </c>
      <c r="AL252">
        <v>0</v>
      </c>
      <c r="AM252">
        <v>0</v>
      </c>
      <c r="AN252" s="122">
        <v>1559</v>
      </c>
      <c r="AO252">
        <v>578</v>
      </c>
      <c r="AP252">
        <v>0</v>
      </c>
      <c r="AQ252">
        <v>0</v>
      </c>
      <c r="AR252" s="122">
        <v>3875</v>
      </c>
      <c r="AS252" s="122">
        <v>3522</v>
      </c>
      <c r="AT252">
        <v>0</v>
      </c>
      <c r="AU252">
        <v>0</v>
      </c>
      <c r="AV252" s="122">
        <v>7817</v>
      </c>
    </row>
    <row r="253" spans="2:48" ht="13">
      <c r="B253" t="s">
        <v>435</v>
      </c>
      <c r="C253" t="s">
        <v>58</v>
      </c>
      <c r="D253" t="s">
        <v>405</v>
      </c>
      <c r="E253" t="s">
        <v>405</v>
      </c>
      <c r="F253" s="122">
        <v>6</v>
      </c>
      <c r="G253" s="122">
        <v>486</v>
      </c>
      <c r="H253" s="122">
        <v>1539</v>
      </c>
      <c r="I253" s="122">
        <v>65205</v>
      </c>
      <c r="J253" s="191">
        <v>59278</v>
      </c>
      <c r="K253" s="122">
        <v>79</v>
      </c>
      <c r="L253" s="122">
        <v>16832</v>
      </c>
      <c r="M253" s="122">
        <v>15301</v>
      </c>
      <c r="N253" s="122">
        <v>10598</v>
      </c>
      <c r="O253" s="122">
        <v>3925</v>
      </c>
      <c r="P253" s="122">
        <v>2714</v>
      </c>
      <c r="Q253" s="122">
        <v>1005</v>
      </c>
      <c r="R253" s="122">
        <v>22477</v>
      </c>
      <c r="S253" s="122">
        <v>20434</v>
      </c>
      <c r="T253" s="122">
        <v>5897</v>
      </c>
      <c r="U253" s="122">
        <v>2184</v>
      </c>
      <c r="V253" s="122">
        <v>102127</v>
      </c>
      <c r="W253" s="122">
        <f t="shared" si="6"/>
        <v>102127</v>
      </c>
      <c r="X253" s="122">
        <f t="shared" si="7"/>
        <v>123723</v>
      </c>
      <c r="Y253" s="122"/>
      <c r="AA253" t="s">
        <v>56</v>
      </c>
      <c r="AB253" t="s">
        <v>137</v>
      </c>
      <c r="AC253" t="s">
        <v>566</v>
      </c>
      <c r="AD253" t="s">
        <v>137</v>
      </c>
      <c r="AE253" t="s">
        <v>137</v>
      </c>
      <c r="AF253">
        <v>108</v>
      </c>
      <c r="AG253" s="122">
        <v>7490</v>
      </c>
      <c r="AH253" s="122">
        <v>21363</v>
      </c>
      <c r="AI253" s="122">
        <v>635576</v>
      </c>
      <c r="AJ253" s="122">
        <v>235398</v>
      </c>
      <c r="AK253">
        <v>100</v>
      </c>
      <c r="AL253">
        <v>0</v>
      </c>
      <c r="AM253" s="122">
        <v>3422</v>
      </c>
      <c r="AN253" s="122">
        <v>142754</v>
      </c>
      <c r="AO253" s="122">
        <v>52872</v>
      </c>
      <c r="AP253" s="122">
        <v>2649</v>
      </c>
      <c r="AQ253">
        <v>981</v>
      </c>
      <c r="AR253" s="122">
        <v>642547</v>
      </c>
      <c r="AS253" s="122">
        <v>237980</v>
      </c>
      <c r="AT253" s="122">
        <v>65065</v>
      </c>
      <c r="AU253" s="122">
        <v>24098</v>
      </c>
      <c r="AV253" s="122">
        <v>554752</v>
      </c>
    </row>
    <row r="254" spans="2:48" ht="13">
      <c r="B254" t="s">
        <v>435</v>
      </c>
      <c r="C254" t="s">
        <v>58</v>
      </c>
      <c r="D254" t="s">
        <v>137</v>
      </c>
      <c r="E254" t="s">
        <v>403</v>
      </c>
      <c r="F254" s="122">
        <v>1</v>
      </c>
      <c r="G254" s="122">
        <v>76</v>
      </c>
      <c r="H254" s="122">
        <v>266</v>
      </c>
      <c r="I254" s="122">
        <v>8923</v>
      </c>
      <c r="J254" s="191">
        <v>3305</v>
      </c>
      <c r="K254" s="122">
        <v>100</v>
      </c>
      <c r="L254" s="122">
        <v>0</v>
      </c>
      <c r="M254" s="122">
        <v>0</v>
      </c>
      <c r="N254" s="122">
        <v>1846</v>
      </c>
      <c r="O254" s="122">
        <v>684</v>
      </c>
      <c r="P254">
        <v>351</v>
      </c>
      <c r="Q254" s="122">
        <v>130</v>
      </c>
      <c r="R254" s="122">
        <v>6759</v>
      </c>
      <c r="S254" s="122">
        <v>2503</v>
      </c>
      <c r="T254" s="122">
        <v>2242</v>
      </c>
      <c r="U254" s="122">
        <v>830</v>
      </c>
      <c r="V254" s="122">
        <v>7452</v>
      </c>
      <c r="W254" s="122">
        <f t="shared" si="6"/>
        <v>7452</v>
      </c>
      <c r="X254" s="122">
        <f t="shared" si="7"/>
        <v>20121</v>
      </c>
      <c r="Y254" s="122"/>
      <c r="AA254" t="s">
        <v>56</v>
      </c>
      <c r="AB254" t="s">
        <v>137</v>
      </c>
      <c r="AC254" t="s">
        <v>566</v>
      </c>
      <c r="AD254" t="s">
        <v>137</v>
      </c>
      <c r="AE254" t="s">
        <v>566</v>
      </c>
      <c r="AF254" s="122">
        <v>4836</v>
      </c>
      <c r="AG254" s="122">
        <v>337229</v>
      </c>
      <c r="AH254" s="122">
        <v>945108</v>
      </c>
      <c r="AI254" s="122">
        <v>29263099</v>
      </c>
      <c r="AJ254" s="122">
        <v>10838185</v>
      </c>
      <c r="AK254">
        <v>108</v>
      </c>
      <c r="AL254">
        <v>647</v>
      </c>
      <c r="AM254" s="122">
        <v>250342</v>
      </c>
      <c r="AN254" s="122">
        <v>6444063</v>
      </c>
      <c r="AO254" s="122">
        <v>2386690</v>
      </c>
      <c r="AP254" s="122">
        <v>194593</v>
      </c>
      <c r="AQ254" s="122">
        <v>72071</v>
      </c>
      <c r="AR254" s="122">
        <v>30012117</v>
      </c>
      <c r="AS254" s="122">
        <v>11115599</v>
      </c>
      <c r="AT254">
        <v>0</v>
      </c>
      <c r="AU254">
        <v>0</v>
      </c>
      <c r="AV254" s="122">
        <v>24662887</v>
      </c>
    </row>
    <row r="255" spans="2:48" ht="13">
      <c r="B255" t="s">
        <v>435</v>
      </c>
      <c r="C255" t="s">
        <v>58</v>
      </c>
      <c r="D255" t="s">
        <v>137</v>
      </c>
      <c r="E255" t="s">
        <v>137</v>
      </c>
      <c r="F255" s="122">
        <v>1013</v>
      </c>
      <c r="G255" s="122">
        <v>69155</v>
      </c>
      <c r="H255" s="122">
        <v>265774</v>
      </c>
      <c r="I255" s="122">
        <v>9407315</v>
      </c>
      <c r="J255" s="191">
        <v>3484191</v>
      </c>
      <c r="K255" s="122">
        <v>100</v>
      </c>
      <c r="L255" s="122">
        <v>967470</v>
      </c>
      <c r="M255" s="122">
        <v>391071</v>
      </c>
      <c r="N255" s="122">
        <v>1376378</v>
      </c>
      <c r="O255" s="122">
        <v>509770</v>
      </c>
      <c r="P255" s="122">
        <v>24134</v>
      </c>
      <c r="Q255" s="122">
        <v>8939</v>
      </c>
      <c r="R255" s="122">
        <v>6407504</v>
      </c>
      <c r="S255" s="122">
        <v>2373149</v>
      </c>
      <c r="T255" s="122">
        <v>9324</v>
      </c>
      <c r="U255" s="122">
        <v>3453</v>
      </c>
      <c r="V255" s="122">
        <v>6770573</v>
      </c>
      <c r="W255" s="122">
        <f t="shared" si="6"/>
        <v>6770573</v>
      </c>
      <c r="X255" s="122">
        <f t="shared" si="7"/>
        <v>18192125</v>
      </c>
      <c r="Y255" s="122"/>
      <c r="AA255" t="s">
        <v>56</v>
      </c>
      <c r="AB255" t="s">
        <v>137</v>
      </c>
      <c r="AC255" t="s">
        <v>566</v>
      </c>
      <c r="AD255" t="s">
        <v>406</v>
      </c>
      <c r="AE255" t="s">
        <v>566</v>
      </c>
      <c r="AF255">
        <v>53</v>
      </c>
      <c r="AG255" s="122">
        <v>4100</v>
      </c>
      <c r="AH255" s="122">
        <v>10116</v>
      </c>
      <c r="AI255" s="122">
        <v>494325</v>
      </c>
      <c r="AJ255" s="122">
        <v>183083</v>
      </c>
      <c r="AK255">
        <v>100</v>
      </c>
      <c r="AL255">
        <v>0</v>
      </c>
      <c r="AM255">
        <v>0</v>
      </c>
      <c r="AN255" s="122">
        <v>98594</v>
      </c>
      <c r="AO255" s="122">
        <v>36516</v>
      </c>
      <c r="AP255">
        <v>0</v>
      </c>
      <c r="AQ255">
        <v>0</v>
      </c>
      <c r="AR255" s="122">
        <v>189706</v>
      </c>
      <c r="AS255" s="122">
        <v>172460</v>
      </c>
      <c r="AT255">
        <v>0</v>
      </c>
      <c r="AU255">
        <v>0</v>
      </c>
      <c r="AV255" s="122">
        <v>392059</v>
      </c>
    </row>
    <row r="256" spans="2:48" ht="13">
      <c r="B256" t="s">
        <v>435</v>
      </c>
      <c r="C256" t="s">
        <v>58</v>
      </c>
      <c r="D256" t="s">
        <v>406</v>
      </c>
      <c r="E256" t="s">
        <v>137</v>
      </c>
      <c r="F256" s="122">
        <v>3</v>
      </c>
      <c r="G256" s="122">
        <v>161</v>
      </c>
      <c r="H256" s="122">
        <v>780</v>
      </c>
      <c r="I256" s="122">
        <v>17690</v>
      </c>
      <c r="J256" s="191">
        <v>16082</v>
      </c>
      <c r="K256" s="122">
        <v>79</v>
      </c>
      <c r="L256" s="122">
        <v>883</v>
      </c>
      <c r="M256" s="122">
        <v>327</v>
      </c>
      <c r="N256" s="122">
        <v>3573</v>
      </c>
      <c r="O256" s="122">
        <v>1323</v>
      </c>
      <c r="P256" s="122">
        <v>1863</v>
      </c>
      <c r="Q256" s="122">
        <v>690</v>
      </c>
      <c r="R256" s="122">
        <v>17032</v>
      </c>
      <c r="S256" s="122">
        <v>6308</v>
      </c>
      <c r="T256" s="122">
        <v>0</v>
      </c>
      <c r="U256" s="122">
        <v>0</v>
      </c>
      <c r="V256" s="122">
        <v>24730</v>
      </c>
      <c r="W256" s="122">
        <f t="shared" si="6"/>
        <v>24730</v>
      </c>
      <c r="X256" s="122">
        <f t="shared" si="7"/>
        <v>41041</v>
      </c>
      <c r="Y256" s="122"/>
      <c r="AA256" t="s">
        <v>56</v>
      </c>
      <c r="AB256" t="s">
        <v>137</v>
      </c>
      <c r="AC256" t="s">
        <v>566</v>
      </c>
      <c r="AD256" t="s">
        <v>407</v>
      </c>
      <c r="AE256" t="s">
        <v>137</v>
      </c>
      <c r="AF256">
        <v>2</v>
      </c>
      <c r="AG256">
        <v>138</v>
      </c>
      <c r="AH256">
        <v>444</v>
      </c>
      <c r="AI256" s="122">
        <v>22364</v>
      </c>
      <c r="AJ256" s="122">
        <v>8283</v>
      </c>
      <c r="AK256">
        <v>100</v>
      </c>
      <c r="AL256">
        <v>0</v>
      </c>
      <c r="AM256">
        <v>0</v>
      </c>
      <c r="AN256" s="122">
        <v>1678</v>
      </c>
      <c r="AO256">
        <v>622</v>
      </c>
      <c r="AP256">
        <v>0</v>
      </c>
      <c r="AQ256">
        <v>0</v>
      </c>
      <c r="AR256" s="122">
        <v>2963</v>
      </c>
      <c r="AS256" s="122">
        <v>2694</v>
      </c>
      <c r="AT256" s="122">
        <v>3582</v>
      </c>
      <c r="AU256" s="122">
        <v>1327</v>
      </c>
      <c r="AV256" s="122">
        <v>12925</v>
      </c>
    </row>
    <row r="257" spans="2:48" ht="13">
      <c r="B257" t="s">
        <v>435</v>
      </c>
      <c r="C257" t="s">
        <v>58</v>
      </c>
      <c r="D257" t="s">
        <v>406</v>
      </c>
      <c r="E257" t="s">
        <v>406</v>
      </c>
      <c r="F257">
        <v>67</v>
      </c>
      <c r="G257" s="122">
        <v>6298</v>
      </c>
      <c r="H257" s="122">
        <v>17280</v>
      </c>
      <c r="I257" s="122">
        <v>931325</v>
      </c>
      <c r="J257" s="191">
        <v>846659</v>
      </c>
      <c r="K257" s="122">
        <v>83</v>
      </c>
      <c r="L257" s="122">
        <v>203214</v>
      </c>
      <c r="M257" s="122">
        <v>176482</v>
      </c>
      <c r="N257" s="122">
        <v>124281</v>
      </c>
      <c r="O257" s="122">
        <v>46030</v>
      </c>
      <c r="P257" s="122">
        <v>42930</v>
      </c>
      <c r="Q257" s="122">
        <v>15900</v>
      </c>
      <c r="R257" s="122">
        <v>293883</v>
      </c>
      <c r="S257" s="122">
        <v>267166</v>
      </c>
      <c r="T257" s="122">
        <v>56765</v>
      </c>
      <c r="U257" s="122">
        <v>21024</v>
      </c>
      <c r="V257" s="122">
        <v>1373262</v>
      </c>
      <c r="W257" s="122">
        <f t="shared" si="6"/>
        <v>1373261</v>
      </c>
      <c r="X257" s="122">
        <f t="shared" si="7"/>
        <v>1652398</v>
      </c>
      <c r="Y257" s="122"/>
      <c r="AA257" t="s">
        <v>56</v>
      </c>
      <c r="AB257" t="s">
        <v>137</v>
      </c>
      <c r="AC257" t="s">
        <v>566</v>
      </c>
      <c r="AD257" t="s">
        <v>407</v>
      </c>
      <c r="AE257" t="s">
        <v>566</v>
      </c>
      <c r="AF257">
        <v>7</v>
      </c>
      <c r="AG257">
        <v>474</v>
      </c>
      <c r="AH257" s="122">
        <v>1382</v>
      </c>
      <c r="AI257" s="122">
        <v>58521</v>
      </c>
      <c r="AJ257" s="122">
        <v>21675</v>
      </c>
      <c r="AK257">
        <v>100</v>
      </c>
      <c r="AL257">
        <v>0</v>
      </c>
      <c r="AM257">
        <v>0</v>
      </c>
      <c r="AN257" s="122">
        <v>8486</v>
      </c>
      <c r="AO257" s="122">
        <v>3143</v>
      </c>
      <c r="AP257">
        <v>594</v>
      </c>
      <c r="AQ257">
        <v>220</v>
      </c>
      <c r="AR257" s="122">
        <v>26182</v>
      </c>
      <c r="AS257" s="122">
        <v>23802</v>
      </c>
      <c r="AT257">
        <v>0</v>
      </c>
      <c r="AU257">
        <v>0</v>
      </c>
      <c r="AV257" s="122">
        <v>48839</v>
      </c>
    </row>
    <row r="258" spans="2:48" ht="13">
      <c r="B258" t="s">
        <v>435</v>
      </c>
      <c r="C258" t="s">
        <v>58</v>
      </c>
      <c r="D258" t="s">
        <v>407</v>
      </c>
      <c r="E258" t="s">
        <v>137</v>
      </c>
      <c r="F258">
        <v>2</v>
      </c>
      <c r="G258" s="122">
        <v>98</v>
      </c>
      <c r="H258" s="122">
        <v>516</v>
      </c>
      <c r="I258" s="122">
        <v>12901</v>
      </c>
      <c r="J258" s="191">
        <v>11728</v>
      </c>
      <c r="K258" s="122">
        <v>78</v>
      </c>
      <c r="L258" s="122">
        <v>1190</v>
      </c>
      <c r="M258" s="122">
        <v>1082</v>
      </c>
      <c r="N258" s="122">
        <v>2382</v>
      </c>
      <c r="O258" s="122">
        <v>882</v>
      </c>
      <c r="P258" s="122">
        <v>945</v>
      </c>
      <c r="Q258" s="122">
        <v>350</v>
      </c>
      <c r="R258" s="122">
        <v>7982</v>
      </c>
      <c r="S258" s="122">
        <v>2956</v>
      </c>
      <c r="T258" s="122">
        <v>0</v>
      </c>
      <c r="U258" s="122">
        <v>0</v>
      </c>
      <c r="V258" s="122">
        <v>16998</v>
      </c>
      <c r="W258" s="122">
        <f t="shared" si="6"/>
        <v>16998</v>
      </c>
      <c r="X258" s="122">
        <f t="shared" si="7"/>
        <v>25400</v>
      </c>
      <c r="Y258" s="122"/>
      <c r="AA258" t="s">
        <v>56</v>
      </c>
      <c r="AB258" t="s">
        <v>137</v>
      </c>
      <c r="AC258" t="s">
        <v>566</v>
      </c>
      <c r="AD258" t="s">
        <v>426</v>
      </c>
      <c r="AE258" t="s">
        <v>566</v>
      </c>
      <c r="AF258">
        <v>2</v>
      </c>
      <c r="AG258">
        <v>102</v>
      </c>
      <c r="AH258">
        <v>381</v>
      </c>
      <c r="AI258" s="122">
        <v>13343</v>
      </c>
      <c r="AJ258" s="122">
        <v>4942</v>
      </c>
      <c r="AK258">
        <v>100</v>
      </c>
      <c r="AL258">
        <v>0</v>
      </c>
      <c r="AM258">
        <v>0</v>
      </c>
      <c r="AN258" s="122">
        <v>2090</v>
      </c>
      <c r="AO258">
        <v>774</v>
      </c>
      <c r="AP258">
        <v>0</v>
      </c>
      <c r="AQ258">
        <v>0</v>
      </c>
      <c r="AR258" s="122">
        <v>4104</v>
      </c>
      <c r="AS258" s="122">
        <v>3731</v>
      </c>
      <c r="AT258">
        <v>0</v>
      </c>
      <c r="AU258">
        <v>0</v>
      </c>
      <c r="AV258" s="122">
        <v>9447</v>
      </c>
    </row>
    <row r="259" spans="2:48" ht="13">
      <c r="B259" t="s">
        <v>435</v>
      </c>
      <c r="C259" t="s">
        <v>58</v>
      </c>
      <c r="D259" t="s">
        <v>407</v>
      </c>
      <c r="E259" s="122" t="s">
        <v>407</v>
      </c>
      <c r="F259" s="122">
        <v>225</v>
      </c>
      <c r="G259" s="122">
        <v>13490</v>
      </c>
      <c r="H259" s="122">
        <v>58260</v>
      </c>
      <c r="I259" s="122">
        <v>1943902</v>
      </c>
      <c r="J259" s="191">
        <v>1767183</v>
      </c>
      <c r="K259" s="122">
        <v>80</v>
      </c>
      <c r="L259" s="122">
        <v>265289</v>
      </c>
      <c r="M259" s="122">
        <v>205255</v>
      </c>
      <c r="N259" s="122">
        <v>264638</v>
      </c>
      <c r="O259" s="122">
        <v>98014</v>
      </c>
      <c r="P259" s="122">
        <v>107811</v>
      </c>
      <c r="Q259" s="122">
        <v>39930</v>
      </c>
      <c r="R259" s="122">
        <v>837171</v>
      </c>
      <c r="S259" s="122">
        <v>761064</v>
      </c>
      <c r="T259" s="122">
        <v>83222</v>
      </c>
      <c r="U259" s="122">
        <v>30823</v>
      </c>
      <c r="V259" s="122">
        <v>2902270</v>
      </c>
      <c r="W259" s="122">
        <f t="shared" si="6"/>
        <v>2902269</v>
      </c>
      <c r="X259" s="122">
        <f t="shared" si="7"/>
        <v>3502033</v>
      </c>
      <c r="Y259" s="122"/>
      <c r="AA259" t="s">
        <v>56</v>
      </c>
      <c r="AB259" t="s">
        <v>137</v>
      </c>
      <c r="AC259" t="s">
        <v>481</v>
      </c>
      <c r="AD259" t="s">
        <v>137</v>
      </c>
      <c r="AE259" t="s">
        <v>566</v>
      </c>
      <c r="AF259">
        <v>1</v>
      </c>
      <c r="AG259">
        <v>69</v>
      </c>
      <c r="AH259">
        <v>157</v>
      </c>
      <c r="AI259" s="122">
        <v>3262</v>
      </c>
      <c r="AJ259" s="122">
        <v>1208</v>
      </c>
      <c r="AK259">
        <v>100</v>
      </c>
      <c r="AL259">
        <v>202</v>
      </c>
      <c r="AM259">
        <v>184</v>
      </c>
      <c r="AN259" s="122">
        <v>1583</v>
      </c>
      <c r="AO259">
        <v>586</v>
      </c>
      <c r="AP259">
        <v>0</v>
      </c>
      <c r="AQ259">
        <v>0</v>
      </c>
      <c r="AR259" s="122">
        <v>5859</v>
      </c>
      <c r="AS259" s="122">
        <v>2170</v>
      </c>
      <c r="AT259">
        <v>0</v>
      </c>
      <c r="AU259">
        <v>0</v>
      </c>
      <c r="AV259" s="122">
        <v>4148</v>
      </c>
    </row>
    <row r="260" spans="2:48" ht="13">
      <c r="B260" t="s">
        <v>435</v>
      </c>
      <c r="C260" t="s">
        <v>58</v>
      </c>
      <c r="D260" t="s">
        <v>407</v>
      </c>
      <c r="E260" t="s">
        <v>433</v>
      </c>
      <c r="F260">
        <v>1</v>
      </c>
      <c r="G260" s="122">
        <v>45</v>
      </c>
      <c r="H260" s="122">
        <v>247</v>
      </c>
      <c r="I260" s="122">
        <v>6302</v>
      </c>
      <c r="J260" s="191">
        <v>5729</v>
      </c>
      <c r="K260" s="122">
        <v>90</v>
      </c>
      <c r="L260" s="122">
        <v>760</v>
      </c>
      <c r="M260" s="122">
        <v>691</v>
      </c>
      <c r="N260" s="122">
        <v>550</v>
      </c>
      <c r="O260" s="122">
        <v>204</v>
      </c>
      <c r="P260">
        <v>473</v>
      </c>
      <c r="Q260" s="122">
        <v>175</v>
      </c>
      <c r="R260" s="122">
        <v>3041</v>
      </c>
      <c r="S260" s="122">
        <v>2764</v>
      </c>
      <c r="T260">
        <v>0</v>
      </c>
      <c r="U260" s="122">
        <v>0</v>
      </c>
      <c r="V260" s="122">
        <v>9563</v>
      </c>
      <c r="W260" s="122">
        <f t="shared" si="6"/>
        <v>9563</v>
      </c>
      <c r="X260" s="122">
        <f t="shared" si="7"/>
        <v>11126</v>
      </c>
      <c r="Y260" s="122"/>
      <c r="AA260" t="s">
        <v>56</v>
      </c>
      <c r="AB260" t="s">
        <v>137</v>
      </c>
      <c r="AC260" t="s">
        <v>433</v>
      </c>
      <c r="AD260" t="s">
        <v>137</v>
      </c>
      <c r="AE260" t="s">
        <v>137</v>
      </c>
      <c r="AF260">
        <v>1</v>
      </c>
      <c r="AG260">
        <v>49</v>
      </c>
      <c r="AH260">
        <v>196</v>
      </c>
      <c r="AI260" s="122">
        <v>3492</v>
      </c>
      <c r="AJ260" s="122">
        <v>1293</v>
      </c>
      <c r="AK260">
        <v>100</v>
      </c>
      <c r="AL260">
        <v>527</v>
      </c>
      <c r="AM260">
        <v>479</v>
      </c>
      <c r="AN260">
        <v>597</v>
      </c>
      <c r="AO260">
        <v>221</v>
      </c>
      <c r="AP260">
        <v>0</v>
      </c>
      <c r="AQ260">
        <v>0</v>
      </c>
      <c r="AR260" s="122">
        <v>4980</v>
      </c>
      <c r="AS260" s="122">
        <v>1844</v>
      </c>
      <c r="AT260">
        <v>0</v>
      </c>
      <c r="AU260">
        <v>0</v>
      </c>
      <c r="AV260" s="122">
        <v>3838</v>
      </c>
    </row>
    <row r="261" spans="2:48" ht="13">
      <c r="B261" t="s">
        <v>435</v>
      </c>
      <c r="C261" t="s">
        <v>58</v>
      </c>
      <c r="D261" t="s">
        <v>426</v>
      </c>
      <c r="E261" t="s">
        <v>426</v>
      </c>
      <c r="F261" s="122">
        <v>9</v>
      </c>
      <c r="G261" s="122">
        <v>555</v>
      </c>
      <c r="H261" s="122">
        <v>2435</v>
      </c>
      <c r="I261" s="122">
        <v>66605</v>
      </c>
      <c r="J261" s="191">
        <v>60550</v>
      </c>
      <c r="K261" s="122">
        <v>61</v>
      </c>
      <c r="L261" s="122">
        <v>7256</v>
      </c>
      <c r="M261" s="122">
        <v>4923</v>
      </c>
      <c r="N261" s="122">
        <v>12392</v>
      </c>
      <c r="O261" s="122">
        <v>4589</v>
      </c>
      <c r="P261" s="122">
        <v>3429</v>
      </c>
      <c r="Q261" s="122">
        <v>1270</v>
      </c>
      <c r="R261" s="122">
        <v>42256</v>
      </c>
      <c r="S261" s="122">
        <v>38414</v>
      </c>
      <c r="T261" s="122">
        <v>14745</v>
      </c>
      <c r="U261" s="122">
        <v>5461</v>
      </c>
      <c r="V261" s="122">
        <v>115208</v>
      </c>
      <c r="W261" s="122">
        <f t="shared" si="6"/>
        <v>115207</v>
      </c>
      <c r="X261" s="122">
        <f t="shared" si="7"/>
        <v>146683</v>
      </c>
      <c r="Y261" s="122"/>
      <c r="AA261" t="s">
        <v>56</v>
      </c>
      <c r="AB261" t="s">
        <v>137</v>
      </c>
      <c r="AC261" t="s">
        <v>433</v>
      </c>
      <c r="AD261" t="s">
        <v>137</v>
      </c>
      <c r="AE261" t="s">
        <v>566</v>
      </c>
      <c r="AF261">
        <v>4</v>
      </c>
      <c r="AG261">
        <v>248</v>
      </c>
      <c r="AH261">
        <v>819</v>
      </c>
      <c r="AI261" s="122">
        <v>20202</v>
      </c>
      <c r="AJ261" s="122">
        <v>7482</v>
      </c>
      <c r="AK261">
        <v>166</v>
      </c>
      <c r="AL261" s="122">
        <v>3045</v>
      </c>
      <c r="AM261" s="122">
        <v>2768</v>
      </c>
      <c r="AN261" s="122">
        <v>4538</v>
      </c>
      <c r="AO261" s="122">
        <v>1681</v>
      </c>
      <c r="AP261">
        <v>351</v>
      </c>
      <c r="AQ261">
        <v>130</v>
      </c>
      <c r="AR261" s="122">
        <v>22486</v>
      </c>
      <c r="AS261" s="122">
        <v>8328</v>
      </c>
      <c r="AT261">
        <v>0</v>
      </c>
      <c r="AU261">
        <v>0</v>
      </c>
      <c r="AV261" s="122">
        <v>20389</v>
      </c>
    </row>
    <row r="262" spans="2:48" ht="13">
      <c r="B262" t="s">
        <v>435</v>
      </c>
      <c r="C262" t="s">
        <v>58</v>
      </c>
      <c r="D262" t="s">
        <v>433</v>
      </c>
      <c r="E262" s="122" t="s">
        <v>433</v>
      </c>
      <c r="F262" s="122">
        <v>1</v>
      </c>
      <c r="G262" s="122">
        <v>45</v>
      </c>
      <c r="H262" s="122">
        <v>266</v>
      </c>
      <c r="I262" s="122">
        <v>5533</v>
      </c>
      <c r="J262" s="191">
        <v>5030</v>
      </c>
      <c r="K262" s="122">
        <v>65</v>
      </c>
      <c r="L262" s="122">
        <v>981</v>
      </c>
      <c r="M262" s="122">
        <v>363</v>
      </c>
      <c r="N262" s="122">
        <v>545</v>
      </c>
      <c r="O262" s="122">
        <v>202</v>
      </c>
      <c r="P262" s="122">
        <v>351</v>
      </c>
      <c r="Q262" s="122">
        <v>130</v>
      </c>
      <c r="R262" s="122">
        <v>2817</v>
      </c>
      <c r="S262" s="122">
        <v>2561</v>
      </c>
      <c r="T262" s="122">
        <v>1670</v>
      </c>
      <c r="U262" s="122">
        <v>619</v>
      </c>
      <c r="V262" s="122">
        <v>8905</v>
      </c>
      <c r="W262" s="122">
        <f t="shared" si="6"/>
        <v>8905</v>
      </c>
      <c r="X262" s="122">
        <f t="shared" si="7"/>
        <v>11897</v>
      </c>
      <c r="Y262" s="122"/>
      <c r="AA262" t="s">
        <v>56</v>
      </c>
      <c r="AB262" t="s">
        <v>430</v>
      </c>
      <c r="AC262" t="s">
        <v>137</v>
      </c>
      <c r="AD262" t="s">
        <v>137</v>
      </c>
      <c r="AE262" t="s">
        <v>566</v>
      </c>
      <c r="AF262">
        <v>1</v>
      </c>
      <c r="AG262">
        <v>62</v>
      </c>
      <c r="AH262">
        <v>207</v>
      </c>
      <c r="AI262" s="122">
        <v>5372</v>
      </c>
      <c r="AJ262" s="122">
        <v>1990</v>
      </c>
      <c r="AK262">
        <v>100</v>
      </c>
      <c r="AL262">
        <v>948</v>
      </c>
      <c r="AM262">
        <v>351</v>
      </c>
      <c r="AN262">
        <v>863</v>
      </c>
      <c r="AO262">
        <v>319</v>
      </c>
      <c r="AP262">
        <v>0</v>
      </c>
      <c r="AQ262">
        <v>0</v>
      </c>
      <c r="AR262" s="122">
        <v>5681</v>
      </c>
      <c r="AS262" s="122">
        <v>2104</v>
      </c>
      <c r="AT262">
        <v>0</v>
      </c>
      <c r="AU262">
        <v>0</v>
      </c>
      <c r="AV262" s="122">
        <v>4764</v>
      </c>
    </row>
    <row r="263" spans="2:48" ht="13">
      <c r="B263" t="s">
        <v>435</v>
      </c>
      <c r="C263" t="s">
        <v>60</v>
      </c>
      <c r="F263" s="122">
        <v>5</v>
      </c>
      <c r="G263" s="122">
        <v>230</v>
      </c>
      <c r="H263" s="122">
        <v>1766</v>
      </c>
      <c r="I263" s="122"/>
      <c r="J263" s="66">
        <v>0</v>
      </c>
      <c r="K263" s="122"/>
      <c r="L263" s="122"/>
      <c r="M263" s="122">
        <v>0</v>
      </c>
      <c r="N263" s="122">
        <v>4598</v>
      </c>
      <c r="O263" s="122">
        <v>1703</v>
      </c>
      <c r="P263">
        <v>473</v>
      </c>
      <c r="Q263" s="122">
        <v>175</v>
      </c>
      <c r="R263" s="122"/>
      <c r="S263">
        <v>0</v>
      </c>
      <c r="T263">
        <v>0</v>
      </c>
      <c r="U263" s="122">
        <v>0</v>
      </c>
      <c r="V263" s="122">
        <v>1878</v>
      </c>
      <c r="W263" s="122">
        <f t="shared" ref="W263:W326" si="8">SUM(ABS(J263),ABS(M263),ABS(O263),ABS(Q263),ABS(S263),ABS(U263))</f>
        <v>1878</v>
      </c>
      <c r="X263" s="122">
        <f t="shared" ref="X263:X326" si="9">SUM(ABS(I263),ABS(N263),ABS(P263),ABS(R263),ABS(T263),ABS(L263))</f>
        <v>5071</v>
      </c>
      <c r="Y263" s="122"/>
      <c r="AA263" t="s">
        <v>56</v>
      </c>
      <c r="AB263" t="s">
        <v>406</v>
      </c>
      <c r="AC263" t="s">
        <v>578</v>
      </c>
      <c r="AD263" t="s">
        <v>406</v>
      </c>
      <c r="AE263" t="s">
        <v>137</v>
      </c>
      <c r="AF263">
        <v>1</v>
      </c>
      <c r="AG263">
        <v>173</v>
      </c>
      <c r="AH263">
        <v>198</v>
      </c>
      <c r="AI263" s="122">
        <v>17442</v>
      </c>
      <c r="AJ263" s="122">
        <v>15856</v>
      </c>
      <c r="AK263">
        <v>95</v>
      </c>
      <c r="AL263" s="122">
        <v>5820</v>
      </c>
      <c r="AM263" s="122">
        <v>5291</v>
      </c>
      <c r="AN263" s="122">
        <v>3159</v>
      </c>
      <c r="AO263" s="122">
        <v>1170</v>
      </c>
      <c r="AP263">
        <v>621</v>
      </c>
      <c r="AQ263">
        <v>230</v>
      </c>
      <c r="AR263" s="122">
        <v>3993</v>
      </c>
      <c r="AS263" s="122">
        <v>3630</v>
      </c>
      <c r="AT263" s="122">
        <v>3261</v>
      </c>
      <c r="AU263" s="122">
        <v>1208</v>
      </c>
      <c r="AV263" s="122">
        <v>27386</v>
      </c>
    </row>
    <row r="264" spans="2:48" ht="13">
      <c r="B264" t="s">
        <v>435</v>
      </c>
      <c r="C264" t="s">
        <v>60</v>
      </c>
      <c r="D264" t="s">
        <v>405</v>
      </c>
      <c r="E264" t="s">
        <v>405</v>
      </c>
      <c r="F264" s="122">
        <v>1</v>
      </c>
      <c r="G264" s="122">
        <v>93</v>
      </c>
      <c r="H264" s="122">
        <v>375</v>
      </c>
      <c r="I264" s="122">
        <v>27218</v>
      </c>
      <c r="J264" s="191">
        <v>24743</v>
      </c>
      <c r="K264" s="122">
        <v>70</v>
      </c>
      <c r="L264" s="122">
        <v>0</v>
      </c>
      <c r="M264" s="122">
        <v>0</v>
      </c>
      <c r="N264" s="122">
        <v>2278</v>
      </c>
      <c r="O264" s="122">
        <v>844</v>
      </c>
      <c r="P264">
        <v>972</v>
      </c>
      <c r="Q264" s="122">
        <v>360</v>
      </c>
      <c r="R264" s="122">
        <v>4599</v>
      </c>
      <c r="S264" s="122">
        <v>4181</v>
      </c>
      <c r="T264">
        <v>0</v>
      </c>
      <c r="U264" s="122">
        <v>0</v>
      </c>
      <c r="V264" s="122">
        <v>30128</v>
      </c>
      <c r="W264" s="122">
        <f t="shared" si="8"/>
        <v>30128</v>
      </c>
      <c r="X264" s="122">
        <f t="shared" si="9"/>
        <v>35067</v>
      </c>
      <c r="Y264" s="122"/>
      <c r="AA264" t="s">
        <v>56</v>
      </c>
      <c r="AB264" t="s">
        <v>406</v>
      </c>
      <c r="AC264" t="s">
        <v>425</v>
      </c>
      <c r="AD264" t="s">
        <v>406</v>
      </c>
      <c r="AE264" t="s">
        <v>137</v>
      </c>
      <c r="AF264">
        <v>11</v>
      </c>
      <c r="AG264" s="122">
        <v>1904</v>
      </c>
      <c r="AH264" s="122">
        <v>2218</v>
      </c>
      <c r="AI264" s="122">
        <v>222572</v>
      </c>
      <c r="AJ264" s="122">
        <v>202338</v>
      </c>
      <c r="AK264">
        <v>78</v>
      </c>
      <c r="AL264" s="122">
        <v>41835</v>
      </c>
      <c r="AM264" s="122">
        <v>38032</v>
      </c>
      <c r="AN264" s="122">
        <v>38038</v>
      </c>
      <c r="AO264" s="122">
        <v>14088</v>
      </c>
      <c r="AP264" s="122">
        <v>7182</v>
      </c>
      <c r="AQ264" s="122">
        <v>2660</v>
      </c>
      <c r="AR264" s="122">
        <v>55192</v>
      </c>
      <c r="AS264" s="122">
        <v>50175</v>
      </c>
      <c r="AT264" s="122">
        <v>17714</v>
      </c>
      <c r="AU264" s="122">
        <v>6561</v>
      </c>
      <c r="AV264" s="122">
        <v>313854</v>
      </c>
    </row>
    <row r="265" spans="2:48" ht="13">
      <c r="B265" t="s">
        <v>435</v>
      </c>
      <c r="C265" t="s">
        <v>60</v>
      </c>
      <c r="D265" t="s">
        <v>137</v>
      </c>
      <c r="E265" t="s">
        <v>137</v>
      </c>
      <c r="F265" s="122">
        <v>650</v>
      </c>
      <c r="G265" s="122">
        <v>38815</v>
      </c>
      <c r="H265" s="122">
        <v>219182</v>
      </c>
      <c r="I265" s="122">
        <v>7679988</v>
      </c>
      <c r="J265" s="191">
        <v>2844440</v>
      </c>
      <c r="K265" s="122">
        <v>100</v>
      </c>
      <c r="L265" s="122">
        <v>733923</v>
      </c>
      <c r="M265" s="122">
        <v>335898</v>
      </c>
      <c r="N265" s="122">
        <v>790181</v>
      </c>
      <c r="O265" s="122">
        <v>292660</v>
      </c>
      <c r="P265" s="122">
        <v>17616</v>
      </c>
      <c r="Q265" s="122">
        <v>6524</v>
      </c>
      <c r="R265" s="122">
        <v>3863957</v>
      </c>
      <c r="S265" s="122">
        <v>1431095</v>
      </c>
      <c r="T265" s="122">
        <v>12485</v>
      </c>
      <c r="U265" s="122">
        <v>4624</v>
      </c>
      <c r="V265" s="122">
        <v>4915241</v>
      </c>
      <c r="W265" s="122">
        <f t="shared" si="8"/>
        <v>4915241</v>
      </c>
      <c r="X265" s="122">
        <f t="shared" si="9"/>
        <v>13098150</v>
      </c>
      <c r="Y265" s="122"/>
      <c r="AA265" t="s">
        <v>56</v>
      </c>
      <c r="AB265" t="s">
        <v>406</v>
      </c>
      <c r="AC265" t="s">
        <v>425</v>
      </c>
      <c r="AD265" t="s">
        <v>406</v>
      </c>
      <c r="AE265" t="s">
        <v>566</v>
      </c>
      <c r="AF265">
        <v>10</v>
      </c>
      <c r="AG265" s="122">
        <v>1765</v>
      </c>
      <c r="AH265" s="122">
        <v>1887</v>
      </c>
      <c r="AI265" s="122">
        <v>182192</v>
      </c>
      <c r="AJ265" s="122">
        <v>165629</v>
      </c>
      <c r="AK265">
        <v>86</v>
      </c>
      <c r="AL265" s="122">
        <v>67448</v>
      </c>
      <c r="AM265" s="122">
        <v>61317</v>
      </c>
      <c r="AN265" s="122">
        <v>35338</v>
      </c>
      <c r="AO265" s="122">
        <v>13088</v>
      </c>
      <c r="AP265" s="122">
        <v>6210</v>
      </c>
      <c r="AQ265" s="122">
        <v>2300</v>
      </c>
      <c r="AR265" s="122">
        <v>59632</v>
      </c>
      <c r="AS265" s="122">
        <v>54211</v>
      </c>
      <c r="AT265">
        <v>0</v>
      </c>
      <c r="AU265">
        <v>0</v>
      </c>
      <c r="AV265" s="122">
        <v>296545</v>
      </c>
    </row>
    <row r="266" spans="2:48" ht="13">
      <c r="B266" t="s">
        <v>435</v>
      </c>
      <c r="C266" t="s">
        <v>60</v>
      </c>
      <c r="D266" t="s">
        <v>137</v>
      </c>
      <c r="E266" s="122" t="s">
        <v>427</v>
      </c>
      <c r="F266" s="122">
        <v>1</v>
      </c>
      <c r="G266" s="122">
        <v>45</v>
      </c>
      <c r="H266" s="122">
        <v>365</v>
      </c>
      <c r="I266" s="122">
        <v>8133</v>
      </c>
      <c r="J266" s="191">
        <v>3012</v>
      </c>
      <c r="K266" s="122">
        <v>100</v>
      </c>
      <c r="L266" s="122">
        <v>736</v>
      </c>
      <c r="M266" s="122">
        <v>669</v>
      </c>
      <c r="N266" s="122">
        <v>769</v>
      </c>
      <c r="O266" s="122">
        <v>285</v>
      </c>
      <c r="P266" s="122">
        <v>0</v>
      </c>
      <c r="Q266" s="122">
        <v>0</v>
      </c>
      <c r="R266" s="122">
        <v>6819</v>
      </c>
      <c r="S266" s="122">
        <v>6199</v>
      </c>
      <c r="T266" s="122">
        <v>0</v>
      </c>
      <c r="U266" s="122">
        <v>0</v>
      </c>
      <c r="V266" s="122">
        <v>10165</v>
      </c>
      <c r="W266" s="122">
        <f t="shared" si="8"/>
        <v>10165</v>
      </c>
      <c r="X266" s="122">
        <f t="shared" si="9"/>
        <v>16457</v>
      </c>
      <c r="Y266" s="122"/>
      <c r="AA266" t="s">
        <v>56</v>
      </c>
      <c r="AB266" t="s">
        <v>406</v>
      </c>
      <c r="AC266" t="s">
        <v>405</v>
      </c>
      <c r="AD266" t="s">
        <v>406</v>
      </c>
      <c r="AE266" t="s">
        <v>566</v>
      </c>
      <c r="AF266">
        <v>2</v>
      </c>
      <c r="AG266">
        <v>243</v>
      </c>
      <c r="AH266">
        <v>364</v>
      </c>
      <c r="AI266" s="122">
        <v>24946</v>
      </c>
      <c r="AJ266" s="122">
        <v>22678</v>
      </c>
      <c r="AK266">
        <v>93</v>
      </c>
      <c r="AL266" s="122">
        <v>5241</v>
      </c>
      <c r="AM266" s="122">
        <v>4764</v>
      </c>
      <c r="AN266" s="122">
        <v>4441</v>
      </c>
      <c r="AO266" s="122">
        <v>1645</v>
      </c>
      <c r="AP266" s="122">
        <v>1242</v>
      </c>
      <c r="AQ266">
        <v>460</v>
      </c>
      <c r="AR266" s="122">
        <v>8342</v>
      </c>
      <c r="AS266" s="122">
        <v>7584</v>
      </c>
      <c r="AT266">
        <v>0</v>
      </c>
      <c r="AU266">
        <v>0</v>
      </c>
      <c r="AV266" s="122">
        <v>37131</v>
      </c>
    </row>
    <row r="267" spans="2:48" ht="13">
      <c r="B267" t="s">
        <v>435</v>
      </c>
      <c r="C267" t="s">
        <v>60</v>
      </c>
      <c r="D267" t="s">
        <v>137</v>
      </c>
      <c r="E267" t="s">
        <v>407</v>
      </c>
      <c r="F267">
        <v>1</v>
      </c>
      <c r="G267">
        <v>76</v>
      </c>
      <c r="H267" s="122">
        <v>375</v>
      </c>
      <c r="I267" s="122">
        <v>19663</v>
      </c>
      <c r="J267" s="191">
        <v>7283</v>
      </c>
      <c r="K267" s="122">
        <v>100</v>
      </c>
      <c r="L267" s="122">
        <v>4005</v>
      </c>
      <c r="M267" s="122">
        <v>3641</v>
      </c>
      <c r="N267" s="122">
        <v>1765</v>
      </c>
      <c r="O267">
        <v>654</v>
      </c>
      <c r="P267">
        <v>0</v>
      </c>
      <c r="Q267" s="122">
        <v>0</v>
      </c>
      <c r="R267" s="122">
        <v>3190</v>
      </c>
      <c r="S267" s="122">
        <v>2900</v>
      </c>
      <c r="T267">
        <v>0</v>
      </c>
      <c r="U267" s="122">
        <v>0</v>
      </c>
      <c r="V267" s="122">
        <v>14478</v>
      </c>
      <c r="W267" s="122">
        <f t="shared" si="8"/>
        <v>14478</v>
      </c>
      <c r="X267" s="122">
        <f t="shared" si="9"/>
        <v>28623</v>
      </c>
      <c r="Y267" s="122"/>
      <c r="AA267" t="s">
        <v>56</v>
      </c>
      <c r="AB267" t="s">
        <v>406</v>
      </c>
      <c r="AC267" t="s">
        <v>137</v>
      </c>
      <c r="AD267" t="s">
        <v>137</v>
      </c>
      <c r="AE267" t="s">
        <v>566</v>
      </c>
      <c r="AF267">
        <v>2</v>
      </c>
      <c r="AG267">
        <v>171</v>
      </c>
      <c r="AH267">
        <v>405</v>
      </c>
      <c r="AI267" s="122">
        <v>16675</v>
      </c>
      <c r="AJ267" s="122">
        <v>15159</v>
      </c>
      <c r="AK267">
        <v>82</v>
      </c>
      <c r="AL267" s="122">
        <v>3530</v>
      </c>
      <c r="AM267" s="122">
        <v>1307</v>
      </c>
      <c r="AN267" s="122">
        <v>3339</v>
      </c>
      <c r="AO267" s="122">
        <v>1237</v>
      </c>
      <c r="AP267" s="122">
        <v>1242</v>
      </c>
      <c r="AQ267">
        <v>460</v>
      </c>
      <c r="AR267" s="122">
        <v>9504</v>
      </c>
      <c r="AS267" s="122">
        <v>3520</v>
      </c>
      <c r="AT267">
        <v>0</v>
      </c>
      <c r="AU267">
        <v>0</v>
      </c>
      <c r="AV267" s="122">
        <v>21683</v>
      </c>
    </row>
    <row r="268" spans="2:48" ht="13">
      <c r="B268" t="s">
        <v>435</v>
      </c>
      <c r="C268" t="s">
        <v>60</v>
      </c>
      <c r="D268" t="s">
        <v>406</v>
      </c>
      <c r="E268" s="122" t="s">
        <v>137</v>
      </c>
      <c r="F268" s="122">
        <v>6</v>
      </c>
      <c r="G268" s="122">
        <v>423</v>
      </c>
      <c r="H268" s="122">
        <v>1987</v>
      </c>
      <c r="I268" s="122">
        <v>82788</v>
      </c>
      <c r="J268" s="191">
        <v>75262</v>
      </c>
      <c r="K268" s="122">
        <v>79</v>
      </c>
      <c r="L268" s="122">
        <v>6802</v>
      </c>
      <c r="M268" s="122">
        <v>6184</v>
      </c>
      <c r="N268" s="122">
        <v>7916</v>
      </c>
      <c r="O268" s="122">
        <v>2932</v>
      </c>
      <c r="P268" s="122">
        <v>3726</v>
      </c>
      <c r="Q268" s="122">
        <v>1380</v>
      </c>
      <c r="R268" s="122">
        <v>40195</v>
      </c>
      <c r="S268" s="122">
        <v>14887</v>
      </c>
      <c r="T268" s="122">
        <v>0</v>
      </c>
      <c r="U268" s="122">
        <v>0</v>
      </c>
      <c r="V268" s="122">
        <v>100644</v>
      </c>
      <c r="W268" s="122">
        <f t="shared" si="8"/>
        <v>100645</v>
      </c>
      <c r="X268" s="122">
        <f t="shared" si="9"/>
        <v>141427</v>
      </c>
      <c r="Y268" s="122"/>
      <c r="AA268" t="s">
        <v>56</v>
      </c>
      <c r="AB268" t="s">
        <v>406</v>
      </c>
      <c r="AC268" t="s">
        <v>137</v>
      </c>
      <c r="AD268" t="s">
        <v>406</v>
      </c>
      <c r="AE268" t="s">
        <v>137</v>
      </c>
      <c r="AF268">
        <v>57</v>
      </c>
      <c r="AG268" s="122">
        <v>4992</v>
      </c>
      <c r="AH268" s="122">
        <v>11236</v>
      </c>
      <c r="AI268" s="122">
        <v>453231</v>
      </c>
      <c r="AJ268" s="122">
        <v>412028</v>
      </c>
      <c r="AK268">
        <v>85</v>
      </c>
      <c r="AL268" s="122">
        <v>115161</v>
      </c>
      <c r="AM268" s="122">
        <v>42652</v>
      </c>
      <c r="AN268" s="122">
        <v>103949</v>
      </c>
      <c r="AO268" s="122">
        <v>38500</v>
      </c>
      <c r="AP268" s="122">
        <v>38585</v>
      </c>
      <c r="AQ268" s="122">
        <v>14291</v>
      </c>
      <c r="AR268" s="122">
        <v>213438</v>
      </c>
      <c r="AS268" s="122">
        <v>194035</v>
      </c>
      <c r="AT268" s="122">
        <v>95958</v>
      </c>
      <c r="AU268" s="122">
        <v>35540</v>
      </c>
      <c r="AV268" s="122">
        <v>737045</v>
      </c>
    </row>
    <row r="269" spans="2:48" ht="13">
      <c r="B269" t="s">
        <v>435</v>
      </c>
      <c r="C269" t="s">
        <v>60</v>
      </c>
      <c r="D269" t="s">
        <v>406</v>
      </c>
      <c r="E269" t="s">
        <v>406</v>
      </c>
      <c r="F269">
        <v>40</v>
      </c>
      <c r="G269" s="122">
        <v>3646</v>
      </c>
      <c r="H269" s="122">
        <v>13720</v>
      </c>
      <c r="I269" s="122">
        <v>792039</v>
      </c>
      <c r="J269" s="191">
        <v>720035</v>
      </c>
      <c r="K269" s="122">
        <v>81</v>
      </c>
      <c r="L269" s="122">
        <v>153493</v>
      </c>
      <c r="M269" s="122">
        <v>133426</v>
      </c>
      <c r="N269" s="122">
        <v>75461</v>
      </c>
      <c r="O269" s="122">
        <v>27949</v>
      </c>
      <c r="P269" s="122">
        <v>26244</v>
      </c>
      <c r="Q269" s="122">
        <v>9720</v>
      </c>
      <c r="R269" s="122">
        <v>163018</v>
      </c>
      <c r="S269" s="122">
        <v>148198</v>
      </c>
      <c r="T269" s="122">
        <v>63817</v>
      </c>
      <c r="U269" s="122">
        <v>23636</v>
      </c>
      <c r="V269" s="122">
        <v>1062964</v>
      </c>
      <c r="W269" s="122">
        <f t="shared" si="8"/>
        <v>1062964</v>
      </c>
      <c r="X269" s="122">
        <f t="shared" si="9"/>
        <v>1274072</v>
      </c>
      <c r="Y269" s="122"/>
      <c r="AA269" t="s">
        <v>56</v>
      </c>
      <c r="AB269" t="s">
        <v>406</v>
      </c>
      <c r="AC269" t="s">
        <v>137</v>
      </c>
      <c r="AD269" t="s">
        <v>406</v>
      </c>
      <c r="AE269" t="s">
        <v>566</v>
      </c>
      <c r="AF269">
        <v>63</v>
      </c>
      <c r="AG269" s="122">
        <v>6037</v>
      </c>
      <c r="AH269" s="122">
        <v>11638</v>
      </c>
      <c r="AI269" s="122">
        <v>516276</v>
      </c>
      <c r="AJ269" s="122">
        <v>469342</v>
      </c>
      <c r="AK269">
        <v>86</v>
      </c>
      <c r="AL269" s="122">
        <v>136301</v>
      </c>
      <c r="AM269" s="122">
        <v>50482</v>
      </c>
      <c r="AN269" s="122">
        <v>119888</v>
      </c>
      <c r="AO269" s="122">
        <v>44403</v>
      </c>
      <c r="AP269" s="122">
        <v>39906</v>
      </c>
      <c r="AQ269" s="122">
        <v>14780</v>
      </c>
      <c r="AR269" s="122">
        <v>303877</v>
      </c>
      <c r="AS269" s="122">
        <v>276252</v>
      </c>
      <c r="AT269">
        <v>0</v>
      </c>
      <c r="AU269">
        <v>0</v>
      </c>
      <c r="AV269" s="122">
        <v>855259</v>
      </c>
    </row>
    <row r="270" spans="2:48" ht="13">
      <c r="B270" t="s">
        <v>435</v>
      </c>
      <c r="C270" t="s">
        <v>60</v>
      </c>
      <c r="D270" t="s">
        <v>427</v>
      </c>
      <c r="E270" t="s">
        <v>427</v>
      </c>
      <c r="F270">
        <v>5</v>
      </c>
      <c r="G270" s="122">
        <v>239</v>
      </c>
      <c r="H270" s="122">
        <v>1714</v>
      </c>
      <c r="I270" s="122">
        <v>37165</v>
      </c>
      <c r="J270" s="191">
        <v>33786</v>
      </c>
      <c r="K270" s="122">
        <v>55</v>
      </c>
      <c r="L270" s="122">
        <v>5575</v>
      </c>
      <c r="M270" s="122">
        <v>2065</v>
      </c>
      <c r="N270" s="122">
        <v>5507</v>
      </c>
      <c r="O270" s="122">
        <v>2040</v>
      </c>
      <c r="P270" s="122">
        <v>1755</v>
      </c>
      <c r="Q270" s="122">
        <v>650</v>
      </c>
      <c r="R270" s="122">
        <v>21573</v>
      </c>
      <c r="S270" s="122">
        <v>19611</v>
      </c>
      <c r="T270" s="122">
        <v>9996</v>
      </c>
      <c r="U270" s="122">
        <v>3702</v>
      </c>
      <c r="V270" s="122">
        <v>61854</v>
      </c>
      <c r="W270" s="122">
        <f t="shared" si="8"/>
        <v>61854</v>
      </c>
      <c r="X270" s="122">
        <f t="shared" si="9"/>
        <v>81571</v>
      </c>
      <c r="Y270" s="122"/>
      <c r="AA270" t="s">
        <v>56</v>
      </c>
      <c r="AB270" t="s">
        <v>406</v>
      </c>
      <c r="AC270" t="s">
        <v>580</v>
      </c>
      <c r="AD270" t="s">
        <v>406</v>
      </c>
      <c r="AE270" t="s">
        <v>137</v>
      </c>
      <c r="AF270">
        <v>6</v>
      </c>
      <c r="AG270">
        <v>800</v>
      </c>
      <c r="AH270" s="122">
        <v>1203</v>
      </c>
      <c r="AI270" s="122">
        <v>89344</v>
      </c>
      <c r="AJ270" s="122">
        <v>81222</v>
      </c>
      <c r="AK270">
        <v>83</v>
      </c>
      <c r="AL270" s="122">
        <v>10486</v>
      </c>
      <c r="AM270" s="122">
        <v>9532</v>
      </c>
      <c r="AN270" s="122">
        <v>14505</v>
      </c>
      <c r="AO270" s="122">
        <v>5372</v>
      </c>
      <c r="AP270" s="122">
        <v>4347</v>
      </c>
      <c r="AQ270" s="122">
        <v>1610</v>
      </c>
      <c r="AR270" s="122">
        <v>22546</v>
      </c>
      <c r="AS270" s="122">
        <v>20496</v>
      </c>
      <c r="AT270" s="122">
        <v>16859</v>
      </c>
      <c r="AU270" s="122">
        <v>6244</v>
      </c>
      <c r="AV270" s="122">
        <v>124477</v>
      </c>
    </row>
    <row r="271" spans="2:48" ht="13">
      <c r="B271" t="s">
        <v>435</v>
      </c>
      <c r="C271" t="s">
        <v>60</v>
      </c>
      <c r="D271" t="s">
        <v>407</v>
      </c>
      <c r="E271" t="s">
        <v>137</v>
      </c>
      <c r="F271" s="122">
        <v>5</v>
      </c>
      <c r="G271" s="122">
        <v>192</v>
      </c>
      <c r="H271" s="122">
        <v>1704</v>
      </c>
      <c r="I271" s="122">
        <v>40222</v>
      </c>
      <c r="J271" s="191">
        <v>36566</v>
      </c>
      <c r="K271" s="122">
        <v>70</v>
      </c>
      <c r="L271" s="122">
        <v>3611</v>
      </c>
      <c r="M271" s="122">
        <v>2234</v>
      </c>
      <c r="N271" s="122">
        <v>4061</v>
      </c>
      <c r="O271" s="122">
        <v>1504</v>
      </c>
      <c r="P271" s="122">
        <v>1418</v>
      </c>
      <c r="Q271" s="122">
        <v>525</v>
      </c>
      <c r="R271" s="122">
        <v>17114</v>
      </c>
      <c r="S271" s="122">
        <v>6339</v>
      </c>
      <c r="T271">
        <v>0</v>
      </c>
      <c r="U271" s="122">
        <v>0</v>
      </c>
      <c r="V271" s="122">
        <v>47167</v>
      </c>
      <c r="W271" s="122">
        <f t="shared" si="8"/>
        <v>47168</v>
      </c>
      <c r="X271" s="122">
        <f t="shared" si="9"/>
        <v>66426</v>
      </c>
      <c r="Y271" s="122"/>
      <c r="AA271" t="s">
        <v>56</v>
      </c>
      <c r="AB271" t="s">
        <v>406</v>
      </c>
      <c r="AC271" t="s">
        <v>580</v>
      </c>
      <c r="AD271" t="s">
        <v>406</v>
      </c>
      <c r="AE271" t="s">
        <v>566</v>
      </c>
      <c r="AF271">
        <v>11</v>
      </c>
      <c r="AG271" s="122">
        <v>1714</v>
      </c>
      <c r="AH271" s="122">
        <v>2129</v>
      </c>
      <c r="AI271" s="122">
        <v>198182</v>
      </c>
      <c r="AJ271" s="122">
        <v>180166</v>
      </c>
      <c r="AK271">
        <v>82</v>
      </c>
      <c r="AL271" s="122">
        <v>27460</v>
      </c>
      <c r="AM271" s="122">
        <v>24964</v>
      </c>
      <c r="AN271" s="122">
        <v>33787</v>
      </c>
      <c r="AO271" s="122">
        <v>12514</v>
      </c>
      <c r="AP271" s="122">
        <v>7425</v>
      </c>
      <c r="AQ271" s="122">
        <v>2750</v>
      </c>
      <c r="AR271" s="122">
        <v>71399</v>
      </c>
      <c r="AS271" s="122">
        <v>64908</v>
      </c>
      <c r="AT271">
        <v>0</v>
      </c>
      <c r="AU271">
        <v>0</v>
      </c>
      <c r="AV271" s="122">
        <v>285302</v>
      </c>
    </row>
    <row r="272" spans="2:48" ht="13">
      <c r="B272" t="s">
        <v>435</v>
      </c>
      <c r="C272" t="s">
        <v>60</v>
      </c>
      <c r="D272" t="s">
        <v>407</v>
      </c>
      <c r="E272" t="s">
        <v>407</v>
      </c>
      <c r="F272" s="122">
        <v>62</v>
      </c>
      <c r="G272" s="122">
        <v>3649</v>
      </c>
      <c r="H272" s="122">
        <v>20752</v>
      </c>
      <c r="I272" s="122">
        <v>711005</v>
      </c>
      <c r="J272" s="191">
        <v>646369</v>
      </c>
      <c r="K272" s="122">
        <v>79</v>
      </c>
      <c r="L272" s="122">
        <v>111522</v>
      </c>
      <c r="M272" s="122">
        <v>92089</v>
      </c>
      <c r="N272" s="122">
        <v>79479</v>
      </c>
      <c r="O272" s="122">
        <v>29437</v>
      </c>
      <c r="P272" s="122">
        <v>30699</v>
      </c>
      <c r="Q272" s="122">
        <v>11370</v>
      </c>
      <c r="R272" s="122">
        <v>249445</v>
      </c>
      <c r="S272" s="122">
        <v>226768</v>
      </c>
      <c r="T272" s="122">
        <v>41842</v>
      </c>
      <c r="U272" s="122">
        <v>15497</v>
      </c>
      <c r="V272" s="122">
        <v>1021530</v>
      </c>
      <c r="W272" s="122">
        <f t="shared" si="8"/>
        <v>1021530</v>
      </c>
      <c r="X272" s="122">
        <f t="shared" si="9"/>
        <v>1223992</v>
      </c>
      <c r="Y272" s="122"/>
      <c r="AA272" t="s">
        <v>56</v>
      </c>
      <c r="AB272" t="s">
        <v>406</v>
      </c>
      <c r="AC272" s="58" t="s">
        <v>580</v>
      </c>
      <c r="AD272" t="s">
        <v>579</v>
      </c>
      <c r="AE272" t="s">
        <v>566</v>
      </c>
      <c r="AF272">
        <v>1</v>
      </c>
      <c r="AG272">
        <v>94</v>
      </c>
      <c r="AH272">
        <v>159</v>
      </c>
      <c r="AI272" s="122">
        <v>7480</v>
      </c>
      <c r="AJ272" s="122">
        <v>6800</v>
      </c>
      <c r="AK272">
        <v>85</v>
      </c>
      <c r="AL272" s="122">
        <v>1032</v>
      </c>
      <c r="AM272">
        <v>938</v>
      </c>
      <c r="AN272" s="122">
        <v>1150</v>
      </c>
      <c r="AO272">
        <v>426</v>
      </c>
      <c r="AP272">
        <v>621</v>
      </c>
      <c r="AQ272">
        <v>230</v>
      </c>
      <c r="AR272" s="122">
        <v>4687</v>
      </c>
      <c r="AS272" s="122">
        <v>3906</v>
      </c>
      <c r="AT272">
        <v>0</v>
      </c>
      <c r="AU272">
        <v>0</v>
      </c>
      <c r="AV272" s="122">
        <v>12299</v>
      </c>
    </row>
    <row r="273" spans="2:48" ht="13">
      <c r="B273" t="s">
        <v>435</v>
      </c>
      <c r="C273" t="s">
        <v>60</v>
      </c>
      <c r="D273" t="s">
        <v>426</v>
      </c>
      <c r="E273" s="122" t="s">
        <v>137</v>
      </c>
      <c r="F273" s="122">
        <v>1</v>
      </c>
      <c r="G273" s="122">
        <v>61</v>
      </c>
      <c r="H273" s="122">
        <v>306</v>
      </c>
      <c r="I273" s="122">
        <v>6426</v>
      </c>
      <c r="J273" s="191">
        <v>5841</v>
      </c>
      <c r="K273" s="122">
        <v>50</v>
      </c>
      <c r="L273">
        <v>832</v>
      </c>
      <c r="M273" s="122">
        <v>308</v>
      </c>
      <c r="N273" s="122">
        <v>1486</v>
      </c>
      <c r="O273">
        <v>550</v>
      </c>
      <c r="P273">
        <v>351</v>
      </c>
      <c r="Q273" s="122">
        <v>130</v>
      </c>
      <c r="R273" s="122">
        <v>9539</v>
      </c>
      <c r="S273" s="122">
        <v>3533</v>
      </c>
      <c r="T273">
        <v>0</v>
      </c>
      <c r="U273" s="122">
        <v>0</v>
      </c>
      <c r="V273" s="122">
        <v>10363</v>
      </c>
      <c r="W273" s="122">
        <f t="shared" si="8"/>
        <v>10362</v>
      </c>
      <c r="X273" s="122">
        <f t="shared" si="9"/>
        <v>18634</v>
      </c>
      <c r="Y273" s="122"/>
      <c r="AA273" t="s">
        <v>56</v>
      </c>
      <c r="AB273" t="s">
        <v>406</v>
      </c>
      <c r="AC273" t="s">
        <v>427</v>
      </c>
      <c r="AD273" t="s">
        <v>137</v>
      </c>
      <c r="AE273" t="s">
        <v>566</v>
      </c>
      <c r="AF273">
        <v>1</v>
      </c>
      <c r="AG273">
        <v>56</v>
      </c>
      <c r="AH273">
        <v>211</v>
      </c>
      <c r="AI273" s="122">
        <v>4674</v>
      </c>
      <c r="AJ273" s="122">
        <v>4249</v>
      </c>
      <c r="AK273">
        <v>85</v>
      </c>
      <c r="AL273" s="122">
        <v>1402</v>
      </c>
      <c r="AM273" s="122">
        <v>1275</v>
      </c>
      <c r="AN273">
        <v>680</v>
      </c>
      <c r="AO273">
        <v>252</v>
      </c>
      <c r="AP273">
        <v>621</v>
      </c>
      <c r="AQ273">
        <v>230</v>
      </c>
      <c r="AR273" s="122">
        <v>4420</v>
      </c>
      <c r="AS273" s="122">
        <v>1637</v>
      </c>
      <c r="AT273">
        <v>0</v>
      </c>
      <c r="AU273">
        <v>0</v>
      </c>
      <c r="AV273" s="122">
        <v>7643</v>
      </c>
    </row>
    <row r="274" spans="2:48" ht="13">
      <c r="B274" t="s">
        <v>435</v>
      </c>
      <c r="C274" t="s">
        <v>60</v>
      </c>
      <c r="D274" t="s">
        <v>426</v>
      </c>
      <c r="E274" t="s">
        <v>426</v>
      </c>
      <c r="F274" s="122">
        <v>9</v>
      </c>
      <c r="G274" s="122">
        <v>430</v>
      </c>
      <c r="H274" s="122">
        <v>3027</v>
      </c>
      <c r="I274" s="122">
        <v>72918</v>
      </c>
      <c r="J274" s="191">
        <v>66289</v>
      </c>
      <c r="K274" s="122">
        <v>55</v>
      </c>
      <c r="L274" s="122">
        <v>2463</v>
      </c>
      <c r="M274" s="122">
        <v>2239</v>
      </c>
      <c r="N274" s="122">
        <v>10192</v>
      </c>
      <c r="O274" s="122">
        <v>3775</v>
      </c>
      <c r="P274" s="122">
        <v>3159</v>
      </c>
      <c r="Q274" s="122">
        <v>1170</v>
      </c>
      <c r="R274" s="122">
        <v>38484</v>
      </c>
      <c r="S274" s="122">
        <v>34986</v>
      </c>
      <c r="T274" s="122">
        <v>16893</v>
      </c>
      <c r="U274" s="122">
        <v>6257</v>
      </c>
      <c r="V274" s="122">
        <v>114716</v>
      </c>
      <c r="W274" s="122">
        <f t="shared" si="8"/>
        <v>114716</v>
      </c>
      <c r="X274" s="122">
        <f t="shared" si="9"/>
        <v>144109</v>
      </c>
      <c r="Y274" s="122"/>
      <c r="AA274" t="s">
        <v>56</v>
      </c>
      <c r="AB274" t="s">
        <v>406</v>
      </c>
      <c r="AC274" t="s">
        <v>427</v>
      </c>
      <c r="AD274" t="s">
        <v>406</v>
      </c>
      <c r="AE274" t="s">
        <v>137</v>
      </c>
      <c r="AF274">
        <v>37</v>
      </c>
      <c r="AG274" s="122">
        <v>5211</v>
      </c>
      <c r="AH274" s="122">
        <v>7102</v>
      </c>
      <c r="AI274" s="122">
        <v>540107</v>
      </c>
      <c r="AJ274" s="122">
        <v>491006</v>
      </c>
      <c r="AK274">
        <v>84</v>
      </c>
      <c r="AL274" s="122">
        <v>117800</v>
      </c>
      <c r="AM274" s="122">
        <v>107091</v>
      </c>
      <c r="AN274" s="122">
        <v>107996</v>
      </c>
      <c r="AO274" s="122">
        <v>39999</v>
      </c>
      <c r="AP274" s="122">
        <v>23409</v>
      </c>
      <c r="AQ274" s="122">
        <v>8670</v>
      </c>
      <c r="AR274" s="122">
        <v>178835</v>
      </c>
      <c r="AS274" s="122">
        <v>162577</v>
      </c>
      <c r="AT274" s="122">
        <v>58300</v>
      </c>
      <c r="AU274" s="122">
        <v>21592</v>
      </c>
      <c r="AV274" s="122">
        <v>830935</v>
      </c>
    </row>
    <row r="275" spans="2:48" ht="13">
      <c r="B275" t="s">
        <v>435</v>
      </c>
      <c r="C275" t="s">
        <v>62</v>
      </c>
      <c r="F275" s="122">
        <v>3</v>
      </c>
      <c r="G275" s="122">
        <v>135</v>
      </c>
      <c r="H275" s="122">
        <v>1212</v>
      </c>
      <c r="I275" s="122"/>
      <c r="J275" s="66">
        <v>0</v>
      </c>
      <c r="K275" s="122"/>
      <c r="L275" s="122"/>
      <c r="M275" s="122">
        <v>0</v>
      </c>
      <c r="N275" s="122">
        <v>3191</v>
      </c>
      <c r="O275" s="122">
        <v>1182</v>
      </c>
      <c r="P275">
        <v>824</v>
      </c>
      <c r="Q275" s="122">
        <v>305</v>
      </c>
      <c r="R275" s="122"/>
      <c r="S275">
        <v>0</v>
      </c>
      <c r="T275">
        <v>0</v>
      </c>
      <c r="U275" s="122">
        <v>0</v>
      </c>
      <c r="V275" s="122">
        <v>1487</v>
      </c>
      <c r="W275" s="122">
        <f t="shared" si="8"/>
        <v>1487</v>
      </c>
      <c r="X275" s="122">
        <f t="shared" si="9"/>
        <v>4015</v>
      </c>
      <c r="Y275" s="122"/>
      <c r="AA275" t="s">
        <v>56</v>
      </c>
      <c r="AB275" t="s">
        <v>406</v>
      </c>
      <c r="AC275" t="s">
        <v>427</v>
      </c>
      <c r="AD275" t="s">
        <v>406</v>
      </c>
      <c r="AE275" t="s">
        <v>566</v>
      </c>
      <c r="AF275">
        <v>50</v>
      </c>
      <c r="AG275" s="122">
        <v>6081</v>
      </c>
      <c r="AH275" s="122">
        <v>9403</v>
      </c>
      <c r="AI275" s="122">
        <v>606594</v>
      </c>
      <c r="AJ275" s="122">
        <v>551449</v>
      </c>
      <c r="AK275">
        <v>86</v>
      </c>
      <c r="AL275" s="122">
        <v>140210</v>
      </c>
      <c r="AM275" s="122">
        <v>127464</v>
      </c>
      <c r="AN275" s="122">
        <v>122428</v>
      </c>
      <c r="AO275" s="122">
        <v>45344</v>
      </c>
      <c r="AP275" s="122">
        <v>33858</v>
      </c>
      <c r="AQ275" s="122">
        <v>12540</v>
      </c>
      <c r="AR275" s="122">
        <v>248356</v>
      </c>
      <c r="AS275" s="122">
        <v>225778</v>
      </c>
      <c r="AT275">
        <v>0</v>
      </c>
      <c r="AU275">
        <v>0</v>
      </c>
      <c r="AV275" s="122">
        <v>962575</v>
      </c>
    </row>
    <row r="276" spans="2:48" ht="13">
      <c r="B276" t="s">
        <v>435</v>
      </c>
      <c r="C276" t="s">
        <v>62</v>
      </c>
      <c r="D276" t="s">
        <v>137</v>
      </c>
      <c r="E276" t="s">
        <v>137</v>
      </c>
      <c r="F276">
        <v>263</v>
      </c>
      <c r="G276" s="122">
        <v>14049</v>
      </c>
      <c r="H276" s="122">
        <v>108935</v>
      </c>
      <c r="I276" s="122">
        <v>3704416</v>
      </c>
      <c r="J276" s="191">
        <v>1372006</v>
      </c>
      <c r="K276" s="122">
        <v>100</v>
      </c>
      <c r="L276" s="122">
        <v>410502</v>
      </c>
      <c r="M276" s="122">
        <v>193136</v>
      </c>
      <c r="N276" s="122">
        <v>287483</v>
      </c>
      <c r="O276" s="122">
        <v>106475</v>
      </c>
      <c r="P276" s="122">
        <v>4479</v>
      </c>
      <c r="Q276" s="122">
        <v>1659</v>
      </c>
      <c r="R276" s="122">
        <v>1419446</v>
      </c>
      <c r="S276" s="122">
        <v>525721</v>
      </c>
      <c r="T276" s="122">
        <v>10349</v>
      </c>
      <c r="U276" s="122">
        <v>3833</v>
      </c>
      <c r="V276" s="122">
        <v>2202830</v>
      </c>
      <c r="W276" s="122">
        <f t="shared" si="8"/>
        <v>2202830</v>
      </c>
      <c r="X276" s="122">
        <f t="shared" si="9"/>
        <v>5836675</v>
      </c>
      <c r="Y276" s="122"/>
      <c r="AA276" t="s">
        <v>56</v>
      </c>
      <c r="AB276" t="s">
        <v>406</v>
      </c>
      <c r="AC276" t="s">
        <v>407</v>
      </c>
      <c r="AD276" t="s">
        <v>406</v>
      </c>
      <c r="AE276" t="s">
        <v>566</v>
      </c>
      <c r="AF276">
        <v>3</v>
      </c>
      <c r="AG276">
        <v>366</v>
      </c>
      <c r="AH276">
        <v>596</v>
      </c>
      <c r="AI276" s="122">
        <v>36683</v>
      </c>
      <c r="AJ276" s="122">
        <v>33348</v>
      </c>
      <c r="AK276">
        <v>91</v>
      </c>
      <c r="AL276" s="122">
        <v>10432</v>
      </c>
      <c r="AM276" s="122">
        <v>9483</v>
      </c>
      <c r="AN276" s="122">
        <v>7578</v>
      </c>
      <c r="AO276" s="122">
        <v>2807</v>
      </c>
      <c r="AP276" s="122">
        <v>1863</v>
      </c>
      <c r="AQ276">
        <v>690</v>
      </c>
      <c r="AR276" s="122">
        <v>15736</v>
      </c>
      <c r="AS276" s="122">
        <v>14305</v>
      </c>
      <c r="AT276">
        <v>0</v>
      </c>
      <c r="AU276">
        <v>0</v>
      </c>
      <c r="AV276" s="122">
        <v>60633</v>
      </c>
    </row>
    <row r="277" spans="2:48" ht="13">
      <c r="B277" t="s">
        <v>435</v>
      </c>
      <c r="C277" t="s">
        <v>62</v>
      </c>
      <c r="D277" t="s">
        <v>406</v>
      </c>
      <c r="E277" t="s">
        <v>137</v>
      </c>
      <c r="F277">
        <v>1</v>
      </c>
      <c r="G277">
        <v>103</v>
      </c>
      <c r="H277" s="122">
        <v>446</v>
      </c>
      <c r="I277" s="122">
        <v>28243</v>
      </c>
      <c r="J277" s="191">
        <v>25676</v>
      </c>
      <c r="K277" s="122">
        <v>65</v>
      </c>
      <c r="L277" s="122">
        <v>7052</v>
      </c>
      <c r="M277" s="122">
        <v>5877</v>
      </c>
      <c r="N277" s="122">
        <v>2498</v>
      </c>
      <c r="O277" s="122">
        <v>925</v>
      </c>
      <c r="P277">
        <v>621</v>
      </c>
      <c r="Q277" s="122">
        <v>230</v>
      </c>
      <c r="R277" s="122">
        <v>7317</v>
      </c>
      <c r="S277" s="122">
        <v>2710</v>
      </c>
      <c r="T277">
        <v>0</v>
      </c>
      <c r="U277" s="122">
        <v>0</v>
      </c>
      <c r="V277" s="122">
        <v>35418</v>
      </c>
      <c r="W277" s="122">
        <f t="shared" si="8"/>
        <v>35418</v>
      </c>
      <c r="X277" s="122">
        <f t="shared" si="9"/>
        <v>45731</v>
      </c>
      <c r="Y277" s="122"/>
      <c r="AA277" t="s">
        <v>56</v>
      </c>
      <c r="AB277" t="s">
        <v>406</v>
      </c>
      <c r="AC277" t="s">
        <v>579</v>
      </c>
      <c r="AD277" t="s">
        <v>137</v>
      </c>
      <c r="AE277" t="s">
        <v>566</v>
      </c>
      <c r="AF277">
        <v>4</v>
      </c>
      <c r="AG277">
        <v>213</v>
      </c>
      <c r="AH277">
        <v>781</v>
      </c>
      <c r="AI277" s="122">
        <v>20095</v>
      </c>
      <c r="AJ277" s="122">
        <v>18269</v>
      </c>
      <c r="AK277">
        <v>85</v>
      </c>
      <c r="AL277">
        <v>0</v>
      </c>
      <c r="AM277">
        <v>0</v>
      </c>
      <c r="AN277" s="122">
        <v>2589</v>
      </c>
      <c r="AO277">
        <v>959</v>
      </c>
      <c r="AP277" s="122">
        <v>2484</v>
      </c>
      <c r="AQ277">
        <v>920</v>
      </c>
      <c r="AR277" s="122">
        <v>16320</v>
      </c>
      <c r="AS277" s="122">
        <v>6045</v>
      </c>
      <c r="AT277">
        <v>0</v>
      </c>
      <c r="AU277">
        <v>0</v>
      </c>
      <c r="AV277" s="122">
        <v>26192</v>
      </c>
    </row>
    <row r="278" spans="2:48" ht="13">
      <c r="B278" t="s">
        <v>435</v>
      </c>
      <c r="C278" t="s">
        <v>62</v>
      </c>
      <c r="D278" t="s">
        <v>406</v>
      </c>
      <c r="E278" t="s">
        <v>406</v>
      </c>
      <c r="F278" s="122">
        <v>18</v>
      </c>
      <c r="G278" s="122">
        <v>1622</v>
      </c>
      <c r="H278" s="122">
        <v>7290</v>
      </c>
      <c r="I278" s="122">
        <v>422147</v>
      </c>
      <c r="J278" s="191">
        <v>383770</v>
      </c>
      <c r="K278" s="122">
        <v>78</v>
      </c>
      <c r="L278" s="122">
        <v>74518</v>
      </c>
      <c r="M278" s="122">
        <v>65891</v>
      </c>
      <c r="N278" s="122">
        <v>36365</v>
      </c>
      <c r="O278" s="122">
        <v>13469</v>
      </c>
      <c r="P278" s="122">
        <v>11178</v>
      </c>
      <c r="Q278" s="122">
        <v>4140</v>
      </c>
      <c r="R278" s="122">
        <v>88925</v>
      </c>
      <c r="S278" s="122">
        <v>80841</v>
      </c>
      <c r="T278" s="122">
        <v>25038</v>
      </c>
      <c r="U278" s="122">
        <v>9273</v>
      </c>
      <c r="V278" s="122">
        <v>557383</v>
      </c>
      <c r="W278" s="122">
        <f t="shared" si="8"/>
        <v>557384</v>
      </c>
      <c r="X278" s="122">
        <f t="shared" si="9"/>
        <v>658171</v>
      </c>
      <c r="Y278" s="122"/>
      <c r="AA278" t="s">
        <v>56</v>
      </c>
      <c r="AB278" t="s">
        <v>406</v>
      </c>
      <c r="AC278" t="s">
        <v>579</v>
      </c>
      <c r="AD278" t="s">
        <v>406</v>
      </c>
      <c r="AE278" t="s">
        <v>137</v>
      </c>
      <c r="AF278">
        <v>78</v>
      </c>
      <c r="AG278" s="122">
        <v>8294</v>
      </c>
      <c r="AH278" s="122">
        <v>15278</v>
      </c>
      <c r="AI278" s="122">
        <v>797225</v>
      </c>
      <c r="AJ278" s="122">
        <v>724750</v>
      </c>
      <c r="AK278">
        <v>86</v>
      </c>
      <c r="AL278" s="122">
        <v>198144</v>
      </c>
      <c r="AM278" s="122">
        <v>165120</v>
      </c>
      <c r="AN278" s="122">
        <v>166574</v>
      </c>
      <c r="AO278" s="122">
        <v>61694</v>
      </c>
      <c r="AP278" s="122">
        <v>49221</v>
      </c>
      <c r="AQ278" s="122">
        <v>18230</v>
      </c>
      <c r="AR278" s="122">
        <v>308814</v>
      </c>
      <c r="AS278" s="122">
        <v>280740</v>
      </c>
      <c r="AT278" s="122">
        <v>161842</v>
      </c>
      <c r="AU278" s="122">
        <v>59941</v>
      </c>
      <c r="AV278" s="122">
        <v>1310476</v>
      </c>
    </row>
    <row r="279" spans="2:48" ht="13">
      <c r="B279" t="s">
        <v>435</v>
      </c>
      <c r="C279" t="s">
        <v>62</v>
      </c>
      <c r="D279" t="s">
        <v>407</v>
      </c>
      <c r="E279" t="s">
        <v>407</v>
      </c>
      <c r="F279" s="122">
        <v>23</v>
      </c>
      <c r="G279" s="122">
        <v>1293</v>
      </c>
      <c r="H279" s="122">
        <v>9542</v>
      </c>
      <c r="I279" s="122">
        <v>351762</v>
      </c>
      <c r="J279" s="191">
        <v>319784</v>
      </c>
      <c r="K279" s="122">
        <v>78</v>
      </c>
      <c r="L279" s="122">
        <v>33878</v>
      </c>
      <c r="M279" s="122">
        <v>28217</v>
      </c>
      <c r="N279" s="122">
        <v>29831</v>
      </c>
      <c r="O279" s="122">
        <v>11049</v>
      </c>
      <c r="P279" s="122">
        <v>11570</v>
      </c>
      <c r="Q279" s="122">
        <v>4285</v>
      </c>
      <c r="R279" s="122">
        <v>91837</v>
      </c>
      <c r="S279" s="122">
        <v>83488</v>
      </c>
      <c r="T279" s="122">
        <v>19706</v>
      </c>
      <c r="U279" s="122">
        <v>7299</v>
      </c>
      <c r="V279" s="122">
        <v>454121</v>
      </c>
      <c r="W279" s="122">
        <f t="shared" si="8"/>
        <v>454122</v>
      </c>
      <c r="X279" s="122">
        <f t="shared" si="9"/>
        <v>538584</v>
      </c>
      <c r="Y279" s="122"/>
      <c r="AA279" t="s">
        <v>56</v>
      </c>
      <c r="AB279" t="s">
        <v>406</v>
      </c>
      <c r="AC279" t="s">
        <v>579</v>
      </c>
      <c r="AD279" t="s">
        <v>406</v>
      </c>
      <c r="AE279" t="s">
        <v>566</v>
      </c>
      <c r="AF279">
        <v>89</v>
      </c>
      <c r="AG279" s="122">
        <v>10796</v>
      </c>
      <c r="AH279" s="122">
        <v>16796</v>
      </c>
      <c r="AI279" s="122">
        <v>1081693</v>
      </c>
      <c r="AJ279" s="122">
        <v>983357</v>
      </c>
      <c r="AK279">
        <v>89</v>
      </c>
      <c r="AL279" s="122">
        <v>273902</v>
      </c>
      <c r="AM279" s="122">
        <v>228252</v>
      </c>
      <c r="AN279" s="122">
        <v>211507</v>
      </c>
      <c r="AO279" s="122">
        <v>78336</v>
      </c>
      <c r="AP279" s="122">
        <v>60588</v>
      </c>
      <c r="AQ279" s="122">
        <v>22440</v>
      </c>
      <c r="AR279" s="122">
        <v>459733</v>
      </c>
      <c r="AS279" s="122">
        <v>417939</v>
      </c>
      <c r="AT279">
        <v>0</v>
      </c>
      <c r="AU279">
        <v>0</v>
      </c>
      <c r="AV279" s="122">
        <v>1730324</v>
      </c>
    </row>
    <row r="280" spans="2:48" ht="13">
      <c r="B280" t="s">
        <v>435</v>
      </c>
      <c r="C280" t="s">
        <v>62</v>
      </c>
      <c r="D280" t="s">
        <v>426</v>
      </c>
      <c r="E280" s="122" t="s">
        <v>137</v>
      </c>
      <c r="F280" s="122">
        <v>1</v>
      </c>
      <c r="G280" s="122">
        <v>46</v>
      </c>
      <c r="H280" s="122">
        <v>436</v>
      </c>
      <c r="I280" s="122">
        <v>13552</v>
      </c>
      <c r="J280" s="191">
        <v>12320</v>
      </c>
      <c r="K280" s="122">
        <v>60</v>
      </c>
      <c r="L280" s="122">
        <v>2218</v>
      </c>
      <c r="M280" s="122">
        <v>821</v>
      </c>
      <c r="N280" s="122">
        <v>1125</v>
      </c>
      <c r="O280" s="122">
        <v>417</v>
      </c>
      <c r="P280" s="122">
        <v>0</v>
      </c>
      <c r="Q280" s="122">
        <v>0</v>
      </c>
      <c r="R280" s="122">
        <v>3208</v>
      </c>
      <c r="S280" s="122">
        <v>1188</v>
      </c>
      <c r="T280" s="122">
        <v>0</v>
      </c>
      <c r="U280" s="122">
        <v>0</v>
      </c>
      <c r="V280" s="122">
        <v>14746</v>
      </c>
      <c r="W280" s="122">
        <f t="shared" si="8"/>
        <v>14746</v>
      </c>
      <c r="X280" s="122">
        <f t="shared" si="9"/>
        <v>20103</v>
      </c>
      <c r="Y280" s="122"/>
      <c r="AA280" t="s">
        <v>56</v>
      </c>
      <c r="AB280" t="s">
        <v>406</v>
      </c>
      <c r="AC280" t="s">
        <v>428</v>
      </c>
      <c r="AD280" t="s">
        <v>406</v>
      </c>
      <c r="AE280" t="s">
        <v>137</v>
      </c>
      <c r="AF280">
        <v>3</v>
      </c>
      <c r="AG280">
        <v>326</v>
      </c>
      <c r="AH280">
        <v>582</v>
      </c>
      <c r="AI280" s="122">
        <v>33840</v>
      </c>
      <c r="AJ280" s="122">
        <v>30764</v>
      </c>
      <c r="AK280">
        <v>89</v>
      </c>
      <c r="AL280" s="122">
        <v>5925</v>
      </c>
      <c r="AM280" s="122">
        <v>5386</v>
      </c>
      <c r="AN280" s="122">
        <v>5027</v>
      </c>
      <c r="AO280" s="122">
        <v>1862</v>
      </c>
      <c r="AP280" s="122">
        <v>1863</v>
      </c>
      <c r="AQ280">
        <v>690</v>
      </c>
      <c r="AR280" s="122">
        <v>11223</v>
      </c>
      <c r="AS280" s="122">
        <v>10203</v>
      </c>
      <c r="AT280" s="122">
        <v>4857</v>
      </c>
      <c r="AU280" s="122">
        <v>1799</v>
      </c>
      <c r="AV280" s="122">
        <v>50703</v>
      </c>
    </row>
    <row r="281" spans="2:48" ht="13">
      <c r="B281" t="s">
        <v>435</v>
      </c>
      <c r="C281" t="s">
        <v>62</v>
      </c>
      <c r="D281" t="s">
        <v>426</v>
      </c>
      <c r="E281" t="s">
        <v>426</v>
      </c>
      <c r="F281" s="122">
        <v>3</v>
      </c>
      <c r="G281" s="122">
        <v>145</v>
      </c>
      <c r="H281" s="122">
        <v>1240</v>
      </c>
      <c r="I281" s="122">
        <v>36395</v>
      </c>
      <c r="J281" s="191">
        <v>33087</v>
      </c>
      <c r="K281" s="122">
        <v>53</v>
      </c>
      <c r="L281" s="122">
        <v>1936</v>
      </c>
      <c r="M281" s="122">
        <v>717</v>
      </c>
      <c r="N281" s="122">
        <v>3531</v>
      </c>
      <c r="O281" s="122">
        <v>1308</v>
      </c>
      <c r="P281">
        <v>702</v>
      </c>
      <c r="Q281" s="122">
        <v>260</v>
      </c>
      <c r="R281" s="122">
        <v>15870</v>
      </c>
      <c r="S281" s="122">
        <v>14427</v>
      </c>
      <c r="T281" s="122">
        <v>1524</v>
      </c>
      <c r="U281" s="122">
        <v>564</v>
      </c>
      <c r="V281" s="122">
        <v>50363</v>
      </c>
      <c r="W281" s="122">
        <f t="shared" si="8"/>
        <v>50363</v>
      </c>
      <c r="X281" s="122">
        <f t="shared" si="9"/>
        <v>59958</v>
      </c>
      <c r="Y281" s="122"/>
      <c r="AA281" t="s">
        <v>56</v>
      </c>
      <c r="AB281" t="s">
        <v>406</v>
      </c>
      <c r="AC281" t="s">
        <v>428</v>
      </c>
      <c r="AD281" t="s">
        <v>407</v>
      </c>
      <c r="AE281" t="s">
        <v>137</v>
      </c>
      <c r="AF281">
        <v>1</v>
      </c>
      <c r="AG281">
        <v>116</v>
      </c>
      <c r="AH281">
        <v>207</v>
      </c>
      <c r="AI281" s="122">
        <v>10659</v>
      </c>
      <c r="AJ281" s="122">
        <v>9690</v>
      </c>
      <c r="AK281">
        <v>86</v>
      </c>
      <c r="AL281" s="122">
        <v>3206</v>
      </c>
      <c r="AM281" s="122">
        <v>2914</v>
      </c>
      <c r="AN281" s="122">
        <v>2535</v>
      </c>
      <c r="AO281">
        <v>939</v>
      </c>
      <c r="AP281">
        <v>621</v>
      </c>
      <c r="AQ281">
        <v>230</v>
      </c>
      <c r="AR281" s="122">
        <v>4049</v>
      </c>
      <c r="AS281" s="122">
        <v>3681</v>
      </c>
      <c r="AT281" s="122">
        <v>2889</v>
      </c>
      <c r="AU281" s="122">
        <v>1070</v>
      </c>
      <c r="AV281" s="122">
        <v>18525</v>
      </c>
    </row>
    <row r="282" spans="2:48" ht="13">
      <c r="B282" t="s">
        <v>435</v>
      </c>
      <c r="C282" t="s">
        <v>64</v>
      </c>
      <c r="E282" s="122"/>
      <c r="F282" s="122">
        <v>6</v>
      </c>
      <c r="G282" s="122">
        <v>364</v>
      </c>
      <c r="H282" s="122">
        <v>3016</v>
      </c>
      <c r="I282" s="122"/>
      <c r="J282" s="66">
        <v>0</v>
      </c>
      <c r="K282" s="122"/>
      <c r="L282" s="122"/>
      <c r="M282" s="122">
        <v>0</v>
      </c>
      <c r="N282" s="122">
        <v>8254</v>
      </c>
      <c r="O282" s="122">
        <v>3057</v>
      </c>
      <c r="P282" s="122">
        <v>702</v>
      </c>
      <c r="Q282" s="122">
        <v>260</v>
      </c>
      <c r="R282" s="122"/>
      <c r="S282" s="122">
        <v>0</v>
      </c>
      <c r="T282" s="122">
        <v>0</v>
      </c>
      <c r="U282" s="122">
        <v>0</v>
      </c>
      <c r="V282" s="122">
        <v>3317</v>
      </c>
      <c r="W282" s="122">
        <f t="shared" si="8"/>
        <v>3317</v>
      </c>
      <c r="X282" s="122">
        <f t="shared" si="9"/>
        <v>8956</v>
      </c>
      <c r="Y282" s="122"/>
      <c r="AA282" t="s">
        <v>56</v>
      </c>
      <c r="AB282" t="s">
        <v>406</v>
      </c>
      <c r="AC282" t="s">
        <v>431</v>
      </c>
      <c r="AD282" t="s">
        <v>406</v>
      </c>
      <c r="AE282" t="s">
        <v>137</v>
      </c>
      <c r="AF282">
        <v>4</v>
      </c>
      <c r="AG282">
        <v>678</v>
      </c>
      <c r="AH282">
        <v>717</v>
      </c>
      <c r="AI282" s="122">
        <v>69575</v>
      </c>
      <c r="AJ282" s="122">
        <v>63250</v>
      </c>
      <c r="AK282">
        <v>90</v>
      </c>
      <c r="AL282" s="122">
        <v>14560</v>
      </c>
      <c r="AM282" s="122">
        <v>13236</v>
      </c>
      <c r="AN282" s="122">
        <v>13728</v>
      </c>
      <c r="AO282" s="122">
        <v>5084</v>
      </c>
      <c r="AP282" s="122">
        <v>2214</v>
      </c>
      <c r="AQ282">
        <v>820</v>
      </c>
      <c r="AR282" s="122">
        <v>18663</v>
      </c>
      <c r="AS282" s="122">
        <v>16967</v>
      </c>
      <c r="AT282" s="122">
        <v>9759</v>
      </c>
      <c r="AU282" s="122">
        <v>3614</v>
      </c>
      <c r="AV282" s="122">
        <v>102972</v>
      </c>
    </row>
    <row r="283" spans="2:48" ht="13">
      <c r="B283" t="s">
        <v>435</v>
      </c>
      <c r="C283" t="s">
        <v>64</v>
      </c>
      <c r="D283" t="s">
        <v>405</v>
      </c>
      <c r="E283" t="s">
        <v>405</v>
      </c>
      <c r="F283">
        <v>3</v>
      </c>
      <c r="G283">
        <v>126</v>
      </c>
      <c r="H283" s="122">
        <v>1484</v>
      </c>
      <c r="I283" s="122">
        <v>27409</v>
      </c>
      <c r="J283" s="191">
        <v>24917</v>
      </c>
      <c r="K283" s="122">
        <v>79</v>
      </c>
      <c r="L283" s="122">
        <v>7016</v>
      </c>
      <c r="M283" s="122">
        <v>5457</v>
      </c>
      <c r="N283" s="122">
        <v>3069</v>
      </c>
      <c r="O283" s="122">
        <v>1137</v>
      </c>
      <c r="P283" s="122">
        <v>1418</v>
      </c>
      <c r="Q283" s="122">
        <v>525</v>
      </c>
      <c r="R283" s="122">
        <v>22249</v>
      </c>
      <c r="S283" s="122">
        <v>20226</v>
      </c>
      <c r="T283" s="122">
        <v>0</v>
      </c>
      <c r="U283" s="122">
        <v>0</v>
      </c>
      <c r="V283" s="122">
        <v>52262</v>
      </c>
      <c r="W283" s="122">
        <f t="shared" si="8"/>
        <v>52262</v>
      </c>
      <c r="X283" s="122">
        <f t="shared" si="9"/>
        <v>61161</v>
      </c>
      <c r="Y283" s="122"/>
      <c r="AA283" t="s">
        <v>56</v>
      </c>
      <c r="AB283" t="s">
        <v>406</v>
      </c>
      <c r="AC283" t="s">
        <v>431</v>
      </c>
      <c r="AD283" t="s">
        <v>427</v>
      </c>
      <c r="AE283" t="s">
        <v>137</v>
      </c>
      <c r="AF283">
        <v>1</v>
      </c>
      <c r="AG283">
        <v>155</v>
      </c>
      <c r="AH283">
        <v>221</v>
      </c>
      <c r="AI283" s="122">
        <v>26450</v>
      </c>
      <c r="AJ283" s="122">
        <v>24046</v>
      </c>
      <c r="AK283">
        <v>70</v>
      </c>
      <c r="AL283" s="122">
        <v>6515</v>
      </c>
      <c r="AM283" s="122">
        <v>5922</v>
      </c>
      <c r="AN283" s="122">
        <v>4813</v>
      </c>
      <c r="AO283" s="122">
        <v>1782</v>
      </c>
      <c r="AP283">
        <v>351</v>
      </c>
      <c r="AQ283">
        <v>130</v>
      </c>
      <c r="AR283" s="122">
        <v>8765</v>
      </c>
      <c r="AS283" s="122">
        <v>7968</v>
      </c>
      <c r="AT283">
        <v>0</v>
      </c>
      <c r="AU283">
        <v>0</v>
      </c>
      <c r="AV283" s="122">
        <v>39848</v>
      </c>
    </row>
    <row r="284" spans="2:48" ht="13">
      <c r="B284" t="s">
        <v>435</v>
      </c>
      <c r="C284" t="s">
        <v>64</v>
      </c>
      <c r="D284" t="s">
        <v>137</v>
      </c>
      <c r="E284" t="s">
        <v>137</v>
      </c>
      <c r="F284">
        <v>367</v>
      </c>
      <c r="G284" s="122">
        <v>19094</v>
      </c>
      <c r="H284" s="122">
        <v>221952</v>
      </c>
      <c r="I284" s="122">
        <v>8228286</v>
      </c>
      <c r="J284" s="191">
        <v>3047513</v>
      </c>
      <c r="K284" s="122">
        <v>100</v>
      </c>
      <c r="L284" s="122">
        <v>898857</v>
      </c>
      <c r="M284" s="122">
        <v>555048</v>
      </c>
      <c r="N284" s="122">
        <v>405101</v>
      </c>
      <c r="O284" s="122">
        <v>150037</v>
      </c>
      <c r="P284" s="122">
        <v>3924</v>
      </c>
      <c r="Q284" s="122">
        <v>1453</v>
      </c>
      <c r="R284" s="122">
        <v>2055244</v>
      </c>
      <c r="S284" s="122">
        <v>761201</v>
      </c>
      <c r="T284" s="122">
        <v>14859</v>
      </c>
      <c r="U284" s="122">
        <v>5503</v>
      </c>
      <c r="V284" s="122">
        <v>4520756</v>
      </c>
      <c r="W284" s="122">
        <f t="shared" si="8"/>
        <v>4520755</v>
      </c>
      <c r="X284" s="122">
        <f t="shared" si="9"/>
        <v>11606271</v>
      </c>
      <c r="Y284" s="122"/>
      <c r="AA284" t="s">
        <v>56</v>
      </c>
      <c r="AB284" t="s">
        <v>406</v>
      </c>
      <c r="AC284" t="s">
        <v>426</v>
      </c>
      <c r="AD284" t="s">
        <v>137</v>
      </c>
      <c r="AE284" t="s">
        <v>566</v>
      </c>
      <c r="AF284">
        <v>1</v>
      </c>
      <c r="AG284">
        <v>96</v>
      </c>
      <c r="AH284">
        <v>187</v>
      </c>
      <c r="AI284" s="122">
        <v>8000</v>
      </c>
      <c r="AJ284" s="122">
        <v>7273</v>
      </c>
      <c r="AK284">
        <v>85</v>
      </c>
      <c r="AL284" s="122">
        <v>1196</v>
      </c>
      <c r="AM284" s="122">
        <v>1087</v>
      </c>
      <c r="AN284" s="122">
        <v>1988</v>
      </c>
      <c r="AO284">
        <v>736</v>
      </c>
      <c r="AP284">
        <v>621</v>
      </c>
      <c r="AQ284">
        <v>230</v>
      </c>
      <c r="AR284" s="122">
        <v>6188</v>
      </c>
      <c r="AS284" s="122">
        <v>2292</v>
      </c>
      <c r="AT284">
        <v>0</v>
      </c>
      <c r="AU284">
        <v>0</v>
      </c>
      <c r="AV284" s="122">
        <v>11618</v>
      </c>
    </row>
    <row r="285" spans="2:48" ht="13">
      <c r="B285" t="s">
        <v>435</v>
      </c>
      <c r="C285" t="s">
        <v>64</v>
      </c>
      <c r="D285" t="s">
        <v>137</v>
      </c>
      <c r="E285" t="s">
        <v>426</v>
      </c>
      <c r="F285">
        <v>1</v>
      </c>
      <c r="G285" s="122">
        <v>78</v>
      </c>
      <c r="H285" s="122">
        <v>590</v>
      </c>
      <c r="I285" s="122">
        <v>30662</v>
      </c>
      <c r="J285" s="191">
        <v>11356</v>
      </c>
      <c r="K285" s="122">
        <v>100</v>
      </c>
      <c r="L285" s="122">
        <v>2776</v>
      </c>
      <c r="M285" s="122">
        <v>2524</v>
      </c>
      <c r="N285" s="122">
        <v>1896</v>
      </c>
      <c r="O285" s="122">
        <v>702</v>
      </c>
      <c r="P285">
        <v>0</v>
      </c>
      <c r="Q285" s="122">
        <v>0</v>
      </c>
      <c r="R285" s="122">
        <v>7249</v>
      </c>
      <c r="S285" s="122">
        <v>6590</v>
      </c>
      <c r="T285" s="122">
        <v>3295</v>
      </c>
      <c r="U285" s="122">
        <v>1220</v>
      </c>
      <c r="V285" s="122">
        <v>22392</v>
      </c>
      <c r="W285" s="122">
        <f t="shared" si="8"/>
        <v>22392</v>
      </c>
      <c r="X285" s="122">
        <f t="shared" si="9"/>
        <v>45878</v>
      </c>
      <c r="Y285" s="122"/>
      <c r="AA285" t="s">
        <v>56</v>
      </c>
      <c r="AB285" t="s">
        <v>406</v>
      </c>
      <c r="AC285" t="s">
        <v>426</v>
      </c>
      <c r="AD285" t="s">
        <v>406</v>
      </c>
      <c r="AE285" t="s">
        <v>137</v>
      </c>
      <c r="AF285">
        <v>351</v>
      </c>
      <c r="AG285" s="122">
        <v>44886</v>
      </c>
      <c r="AH285" s="122">
        <v>68955</v>
      </c>
      <c r="AI285" s="122">
        <v>4697384</v>
      </c>
      <c r="AJ285" s="122">
        <v>4270349</v>
      </c>
      <c r="AK285">
        <v>85</v>
      </c>
      <c r="AL285" s="122">
        <v>1008248</v>
      </c>
      <c r="AM285" s="122">
        <v>916589</v>
      </c>
      <c r="AN285" s="122">
        <v>919270</v>
      </c>
      <c r="AO285" s="122">
        <v>340470</v>
      </c>
      <c r="AP285" s="122">
        <v>227679</v>
      </c>
      <c r="AQ285" s="122">
        <v>84326</v>
      </c>
      <c r="AR285" s="122">
        <v>1486239</v>
      </c>
      <c r="AS285" s="122">
        <v>1351127</v>
      </c>
      <c r="AT285" s="122">
        <v>821385</v>
      </c>
      <c r="AU285" s="122">
        <v>304217</v>
      </c>
      <c r="AV285" s="122">
        <v>7267078</v>
      </c>
    </row>
    <row r="286" spans="2:48" ht="13">
      <c r="B286" t="s">
        <v>435</v>
      </c>
      <c r="C286" t="s">
        <v>64</v>
      </c>
      <c r="D286" t="s">
        <v>406</v>
      </c>
      <c r="E286" s="122" t="s">
        <v>137</v>
      </c>
      <c r="F286" s="122">
        <v>2</v>
      </c>
      <c r="G286" s="122">
        <v>72</v>
      </c>
      <c r="H286" s="122">
        <v>979</v>
      </c>
      <c r="I286" s="122">
        <v>22955</v>
      </c>
      <c r="J286" s="191">
        <v>20868</v>
      </c>
      <c r="K286" s="122">
        <v>65</v>
      </c>
      <c r="L286" s="122">
        <v>3869</v>
      </c>
      <c r="M286" s="122">
        <v>1433</v>
      </c>
      <c r="N286" s="122">
        <v>1229</v>
      </c>
      <c r="O286" s="122">
        <v>455</v>
      </c>
      <c r="P286" s="122">
        <v>1242</v>
      </c>
      <c r="Q286" s="122">
        <v>460</v>
      </c>
      <c r="R286" s="122">
        <v>5937</v>
      </c>
      <c r="S286" s="122">
        <v>2199</v>
      </c>
      <c r="T286">
        <v>0</v>
      </c>
      <c r="U286" s="122">
        <v>0</v>
      </c>
      <c r="V286" s="122">
        <v>25415</v>
      </c>
      <c r="W286" s="122">
        <f t="shared" si="8"/>
        <v>25415</v>
      </c>
      <c r="X286" s="122">
        <f t="shared" si="9"/>
        <v>35232</v>
      </c>
      <c r="Y286" s="122"/>
      <c r="AA286" t="s">
        <v>56</v>
      </c>
      <c r="AB286" t="s">
        <v>406</v>
      </c>
      <c r="AC286" t="s">
        <v>426</v>
      </c>
      <c r="AD286" t="s">
        <v>406</v>
      </c>
      <c r="AE286" t="s">
        <v>566</v>
      </c>
      <c r="AF286">
        <v>397</v>
      </c>
      <c r="AG286" s="122">
        <v>51109</v>
      </c>
      <c r="AH286" s="122">
        <v>73680</v>
      </c>
      <c r="AI286" s="122">
        <v>5214614</v>
      </c>
      <c r="AJ286" s="122">
        <v>4740558</v>
      </c>
      <c r="AK286">
        <v>87</v>
      </c>
      <c r="AL286" s="122">
        <v>1152835</v>
      </c>
      <c r="AM286" s="122">
        <v>1048031</v>
      </c>
      <c r="AN286" s="122">
        <v>1016481</v>
      </c>
      <c r="AO286" s="122">
        <v>376474</v>
      </c>
      <c r="AP286" s="122">
        <v>266031</v>
      </c>
      <c r="AQ286" s="122">
        <v>98530</v>
      </c>
      <c r="AR286" s="122">
        <v>2072799</v>
      </c>
      <c r="AS286" s="122">
        <v>1884363</v>
      </c>
      <c r="AT286">
        <v>0</v>
      </c>
      <c r="AU286">
        <v>0</v>
      </c>
      <c r="AV286" s="122">
        <v>8147957</v>
      </c>
    </row>
    <row r="287" spans="2:48" ht="13">
      <c r="B287" t="s">
        <v>435</v>
      </c>
      <c r="C287" t="s">
        <v>64</v>
      </c>
      <c r="D287" t="s">
        <v>406</v>
      </c>
      <c r="E287" t="s">
        <v>406</v>
      </c>
      <c r="F287" s="122">
        <v>21</v>
      </c>
      <c r="G287" s="122">
        <v>1984</v>
      </c>
      <c r="H287" s="122">
        <v>11322</v>
      </c>
      <c r="I287" s="122">
        <v>747068</v>
      </c>
      <c r="J287" s="191">
        <v>679153</v>
      </c>
      <c r="K287" s="122">
        <v>72</v>
      </c>
      <c r="L287" s="122">
        <v>151977</v>
      </c>
      <c r="M287" s="122">
        <v>139310</v>
      </c>
      <c r="N287" s="122">
        <v>43022</v>
      </c>
      <c r="O287" s="122">
        <v>15934</v>
      </c>
      <c r="P287" s="122">
        <v>13041</v>
      </c>
      <c r="Q287" s="122">
        <v>4830</v>
      </c>
      <c r="R287" s="122">
        <v>89514</v>
      </c>
      <c r="S287" s="122">
        <v>81376</v>
      </c>
      <c r="T287" s="122">
        <v>33687</v>
      </c>
      <c r="U287" s="122">
        <v>12476</v>
      </c>
      <c r="V287" s="122">
        <v>933079</v>
      </c>
      <c r="W287" s="122">
        <f t="shared" si="8"/>
        <v>933079</v>
      </c>
      <c r="X287" s="122">
        <f t="shared" si="9"/>
        <v>1078309</v>
      </c>
      <c r="Y287" s="122"/>
      <c r="AA287" t="s">
        <v>56</v>
      </c>
      <c r="AB287" t="s">
        <v>406</v>
      </c>
      <c r="AC287" t="s">
        <v>426</v>
      </c>
      <c r="AD287" t="s">
        <v>426</v>
      </c>
      <c r="AE287" t="s">
        <v>137</v>
      </c>
      <c r="AF287">
        <v>1</v>
      </c>
      <c r="AG287">
        <v>259</v>
      </c>
      <c r="AH287">
        <v>215</v>
      </c>
      <c r="AI287" s="122">
        <v>30710</v>
      </c>
      <c r="AJ287" s="122">
        <v>27918</v>
      </c>
      <c r="AK287">
        <v>86</v>
      </c>
      <c r="AL287" s="122">
        <v>5555</v>
      </c>
      <c r="AM287" s="122">
        <v>5050</v>
      </c>
      <c r="AN287" s="122">
        <v>6323</v>
      </c>
      <c r="AO287" s="122">
        <v>2342</v>
      </c>
      <c r="AP287">
        <v>621</v>
      </c>
      <c r="AQ287">
        <v>230</v>
      </c>
      <c r="AR287" s="122">
        <v>8388</v>
      </c>
      <c r="AS287" s="122">
        <v>7626</v>
      </c>
      <c r="AT287" s="122">
        <v>4273</v>
      </c>
      <c r="AU287" s="122">
        <v>1583</v>
      </c>
      <c r="AV287" s="122">
        <v>44749</v>
      </c>
    </row>
    <row r="288" spans="2:48" ht="13">
      <c r="B288" t="s">
        <v>435</v>
      </c>
      <c r="C288" t="s">
        <v>64</v>
      </c>
      <c r="D288" t="s">
        <v>406</v>
      </c>
      <c r="E288" s="122" t="s">
        <v>426</v>
      </c>
      <c r="F288" s="122">
        <v>1</v>
      </c>
      <c r="G288" s="122">
        <v>190</v>
      </c>
      <c r="H288" s="122">
        <v>513</v>
      </c>
      <c r="I288" s="122">
        <v>72579</v>
      </c>
      <c r="J288" s="191">
        <v>65981</v>
      </c>
      <c r="K288" s="122">
        <v>65</v>
      </c>
      <c r="L288" s="122">
        <v>8306</v>
      </c>
      <c r="M288" s="122">
        <v>7551</v>
      </c>
      <c r="N288" s="122">
        <v>3351</v>
      </c>
      <c r="O288" s="122">
        <v>1241</v>
      </c>
      <c r="P288" s="122">
        <v>621</v>
      </c>
      <c r="Q288" s="122">
        <v>230</v>
      </c>
      <c r="R288" s="122">
        <v>8788</v>
      </c>
      <c r="S288" s="122">
        <v>7989</v>
      </c>
      <c r="T288" s="122">
        <v>3694</v>
      </c>
      <c r="U288" s="122">
        <v>1368</v>
      </c>
      <c r="V288" s="122">
        <v>84361</v>
      </c>
      <c r="W288" s="122">
        <f t="shared" si="8"/>
        <v>84360</v>
      </c>
      <c r="X288" s="122">
        <f t="shared" si="9"/>
        <v>97339</v>
      </c>
      <c r="Y288" s="122"/>
      <c r="AA288" t="s">
        <v>56</v>
      </c>
      <c r="AB288" t="s">
        <v>406</v>
      </c>
      <c r="AC288" t="s">
        <v>566</v>
      </c>
      <c r="AD288" t="s">
        <v>137</v>
      </c>
      <c r="AE288" t="s">
        <v>566</v>
      </c>
      <c r="AF288">
        <v>16</v>
      </c>
      <c r="AG288">
        <v>997</v>
      </c>
      <c r="AH288" s="122">
        <v>3218</v>
      </c>
      <c r="AI288" s="122">
        <v>84018</v>
      </c>
      <c r="AJ288" s="122">
        <v>76380</v>
      </c>
      <c r="AK288">
        <v>85</v>
      </c>
      <c r="AL288">
        <v>0</v>
      </c>
      <c r="AM288">
        <v>0</v>
      </c>
      <c r="AN288" s="122">
        <v>18848</v>
      </c>
      <c r="AO288" s="122">
        <v>6981</v>
      </c>
      <c r="AP288" s="122">
        <v>9315</v>
      </c>
      <c r="AQ288" s="122">
        <v>3450</v>
      </c>
      <c r="AR288" s="122">
        <v>87586</v>
      </c>
      <c r="AS288" s="122">
        <v>32439</v>
      </c>
      <c r="AT288">
        <v>0</v>
      </c>
      <c r="AU288">
        <v>0</v>
      </c>
      <c r="AV288" s="122">
        <v>119250</v>
      </c>
    </row>
    <row r="289" spans="2:48" ht="13">
      <c r="B289" t="s">
        <v>435</v>
      </c>
      <c r="C289" t="s">
        <v>64</v>
      </c>
      <c r="D289" t="s">
        <v>427</v>
      </c>
      <c r="E289" t="s">
        <v>137</v>
      </c>
      <c r="F289">
        <v>2</v>
      </c>
      <c r="G289">
        <v>130</v>
      </c>
      <c r="H289" s="122">
        <v>1543</v>
      </c>
      <c r="I289" s="122">
        <v>70198</v>
      </c>
      <c r="J289" s="191">
        <v>63817</v>
      </c>
      <c r="K289" s="122">
        <v>43</v>
      </c>
      <c r="L289" s="122">
        <v>11949</v>
      </c>
      <c r="M289" s="122">
        <v>10013</v>
      </c>
      <c r="N289" s="122">
        <v>3178</v>
      </c>
      <c r="O289" s="122">
        <v>1177</v>
      </c>
      <c r="P289">
        <v>351</v>
      </c>
      <c r="Q289" s="122">
        <v>130</v>
      </c>
      <c r="R289" s="122">
        <v>12363</v>
      </c>
      <c r="S289" s="122">
        <v>4579</v>
      </c>
      <c r="T289">
        <v>0</v>
      </c>
      <c r="U289" s="122">
        <v>0</v>
      </c>
      <c r="V289" s="122">
        <v>79716</v>
      </c>
      <c r="W289" s="122">
        <f t="shared" si="8"/>
        <v>79716</v>
      </c>
      <c r="X289" s="122">
        <f t="shared" si="9"/>
        <v>98039</v>
      </c>
      <c r="Y289" s="122"/>
      <c r="AA289" t="s">
        <v>56</v>
      </c>
      <c r="AB289" t="s">
        <v>406</v>
      </c>
      <c r="AC289" t="s">
        <v>566</v>
      </c>
      <c r="AD289" t="s">
        <v>406</v>
      </c>
      <c r="AE289" t="s">
        <v>137</v>
      </c>
      <c r="AF289">
        <v>96</v>
      </c>
      <c r="AG289" s="122">
        <v>6239</v>
      </c>
      <c r="AH289" s="122">
        <v>19527</v>
      </c>
      <c r="AI289" s="122">
        <v>608307</v>
      </c>
      <c r="AJ289" s="122">
        <v>553006</v>
      </c>
      <c r="AK289">
        <v>84</v>
      </c>
      <c r="AL289">
        <v>0</v>
      </c>
      <c r="AM289" s="122">
        <v>3206</v>
      </c>
      <c r="AN289" s="122">
        <v>122777</v>
      </c>
      <c r="AO289" s="122">
        <v>45473</v>
      </c>
      <c r="AP289" s="122">
        <v>59265</v>
      </c>
      <c r="AQ289" s="122">
        <v>21950</v>
      </c>
      <c r="AR289" s="122">
        <v>319230</v>
      </c>
      <c r="AS289" s="122">
        <v>290209</v>
      </c>
      <c r="AT289" s="122">
        <v>164704</v>
      </c>
      <c r="AU289" s="122">
        <v>61001</v>
      </c>
      <c r="AV289" s="122">
        <v>974846</v>
      </c>
    </row>
    <row r="290" spans="2:48" ht="13">
      <c r="B290" t="s">
        <v>435</v>
      </c>
      <c r="C290" t="s">
        <v>64</v>
      </c>
      <c r="D290" t="s">
        <v>427</v>
      </c>
      <c r="E290" t="s">
        <v>427</v>
      </c>
      <c r="F290" s="122">
        <v>3</v>
      </c>
      <c r="G290" s="122">
        <v>160</v>
      </c>
      <c r="H290" s="122">
        <v>1947</v>
      </c>
      <c r="I290" s="122">
        <v>72565</v>
      </c>
      <c r="J290" s="191">
        <v>65968</v>
      </c>
      <c r="K290" s="122">
        <v>55</v>
      </c>
      <c r="L290" s="122">
        <v>13663</v>
      </c>
      <c r="M290" s="122">
        <v>12421</v>
      </c>
      <c r="N290" s="122">
        <v>2816</v>
      </c>
      <c r="O290" s="122">
        <v>1043</v>
      </c>
      <c r="P290" s="122">
        <v>1053</v>
      </c>
      <c r="Q290" s="122">
        <v>390</v>
      </c>
      <c r="R290" s="122">
        <v>12610</v>
      </c>
      <c r="S290" s="122">
        <v>11464</v>
      </c>
      <c r="T290" s="122">
        <v>3488</v>
      </c>
      <c r="U290" s="122">
        <v>1292</v>
      </c>
      <c r="V290" s="122">
        <v>92578</v>
      </c>
      <c r="W290" s="122">
        <f t="shared" si="8"/>
        <v>92578</v>
      </c>
      <c r="X290" s="122">
        <f t="shared" si="9"/>
        <v>106195</v>
      </c>
      <c r="Y290" s="122"/>
      <c r="AA290" t="s">
        <v>56</v>
      </c>
      <c r="AB290" t="s">
        <v>406</v>
      </c>
      <c r="AC290" t="s">
        <v>566</v>
      </c>
      <c r="AD290" t="s">
        <v>406</v>
      </c>
      <c r="AE290" t="s">
        <v>566</v>
      </c>
      <c r="AF290">
        <v>139</v>
      </c>
      <c r="AG290" s="122">
        <v>9496</v>
      </c>
      <c r="AH290" s="122">
        <v>25605</v>
      </c>
      <c r="AI290" s="122">
        <v>986359</v>
      </c>
      <c r="AJ290" s="122">
        <v>896690</v>
      </c>
      <c r="AK290">
        <v>86</v>
      </c>
      <c r="AL290">
        <v>0</v>
      </c>
      <c r="AM290" s="122">
        <v>7812</v>
      </c>
      <c r="AN290" s="122">
        <v>181202</v>
      </c>
      <c r="AO290" s="122">
        <v>67112</v>
      </c>
      <c r="AP290" s="122">
        <v>83214</v>
      </c>
      <c r="AQ290" s="122">
        <v>30820</v>
      </c>
      <c r="AR290" s="122">
        <v>512362</v>
      </c>
      <c r="AS290" s="122">
        <v>465783</v>
      </c>
      <c r="AT290">
        <v>0</v>
      </c>
      <c r="AU290">
        <v>0</v>
      </c>
      <c r="AV290" s="122">
        <v>1468217</v>
      </c>
    </row>
    <row r="291" spans="2:48" ht="13">
      <c r="B291" t="s">
        <v>435</v>
      </c>
      <c r="C291" t="s">
        <v>64</v>
      </c>
      <c r="D291" t="s">
        <v>407</v>
      </c>
      <c r="E291" t="s">
        <v>407</v>
      </c>
      <c r="F291" s="122">
        <v>12</v>
      </c>
      <c r="G291" s="122">
        <v>812</v>
      </c>
      <c r="H291" s="122">
        <v>5991</v>
      </c>
      <c r="I291" s="122">
        <v>281835</v>
      </c>
      <c r="J291" s="191">
        <v>256213</v>
      </c>
      <c r="K291" s="122">
        <v>75</v>
      </c>
      <c r="L291" s="122">
        <v>53028</v>
      </c>
      <c r="M291" s="122">
        <v>47525</v>
      </c>
      <c r="N291" s="122">
        <v>18706</v>
      </c>
      <c r="O291" s="122">
        <v>6928</v>
      </c>
      <c r="P291" s="122">
        <v>5549</v>
      </c>
      <c r="Q291" s="122">
        <v>2055</v>
      </c>
      <c r="R291" s="122">
        <v>54850</v>
      </c>
      <c r="S291" s="122">
        <v>49863</v>
      </c>
      <c r="T291" s="122">
        <v>11743</v>
      </c>
      <c r="U291" s="122">
        <v>4349</v>
      </c>
      <c r="V291" s="122">
        <v>366934</v>
      </c>
      <c r="W291" s="122">
        <f t="shared" si="8"/>
        <v>366933</v>
      </c>
      <c r="X291" s="122">
        <f t="shared" si="9"/>
        <v>425711</v>
      </c>
      <c r="Y291" s="122"/>
      <c r="AA291" t="s">
        <v>56</v>
      </c>
      <c r="AB291" t="s">
        <v>406</v>
      </c>
      <c r="AC291" t="s">
        <v>481</v>
      </c>
      <c r="AD291" t="s">
        <v>406</v>
      </c>
      <c r="AE291" t="s">
        <v>566</v>
      </c>
      <c r="AF291">
        <v>2</v>
      </c>
      <c r="AG291">
        <v>248</v>
      </c>
      <c r="AH291">
        <v>376</v>
      </c>
      <c r="AI291" s="122">
        <v>26743</v>
      </c>
      <c r="AJ291" s="122">
        <v>24312</v>
      </c>
      <c r="AK291">
        <v>91</v>
      </c>
      <c r="AL291" s="122">
        <v>4161</v>
      </c>
      <c r="AM291" s="122">
        <v>3783</v>
      </c>
      <c r="AN291" s="122">
        <v>3525</v>
      </c>
      <c r="AO291" s="122">
        <v>1306</v>
      </c>
      <c r="AP291" s="122">
        <v>1242</v>
      </c>
      <c r="AQ291">
        <v>460</v>
      </c>
      <c r="AR291" s="122">
        <v>10525</v>
      </c>
      <c r="AS291" s="122">
        <v>9568</v>
      </c>
      <c r="AT291">
        <v>0</v>
      </c>
      <c r="AU291">
        <v>0</v>
      </c>
      <c r="AV291" s="122">
        <v>39428</v>
      </c>
    </row>
    <row r="292" spans="2:48" ht="13">
      <c r="B292" t="s">
        <v>435</v>
      </c>
      <c r="C292" t="s">
        <v>64</v>
      </c>
      <c r="D292" t="s">
        <v>556</v>
      </c>
      <c r="E292" t="s">
        <v>556</v>
      </c>
      <c r="F292">
        <v>1</v>
      </c>
      <c r="G292">
        <v>76</v>
      </c>
      <c r="H292" s="122">
        <v>746</v>
      </c>
      <c r="I292" s="122">
        <v>40768</v>
      </c>
      <c r="J292" s="191">
        <v>33973</v>
      </c>
      <c r="K292" s="122">
        <v>55</v>
      </c>
      <c r="L292" s="122">
        <v>5606</v>
      </c>
      <c r="M292" s="122">
        <v>2076</v>
      </c>
      <c r="N292" s="122">
        <v>1675</v>
      </c>
      <c r="O292">
        <v>620</v>
      </c>
      <c r="P292">
        <v>351</v>
      </c>
      <c r="Q292" s="122">
        <v>130</v>
      </c>
      <c r="R292" s="122">
        <v>5988</v>
      </c>
      <c r="S292" s="122">
        <v>4990</v>
      </c>
      <c r="T292" s="122">
        <v>2563</v>
      </c>
      <c r="U292" s="122">
        <v>949</v>
      </c>
      <c r="V292" s="122">
        <v>42739</v>
      </c>
      <c r="W292" s="122">
        <f t="shared" si="8"/>
        <v>42738</v>
      </c>
      <c r="X292" s="122">
        <f t="shared" si="9"/>
        <v>56951</v>
      </c>
      <c r="Y292" s="122"/>
      <c r="AA292" t="s">
        <v>56</v>
      </c>
      <c r="AB292" t="s">
        <v>406</v>
      </c>
      <c r="AC292" t="s">
        <v>433</v>
      </c>
      <c r="AD292" t="s">
        <v>406</v>
      </c>
      <c r="AE292" t="s">
        <v>137</v>
      </c>
      <c r="AF292">
        <v>17</v>
      </c>
      <c r="AG292" s="122">
        <v>2411</v>
      </c>
      <c r="AH292" s="122">
        <v>3239</v>
      </c>
      <c r="AI292" s="122">
        <v>239125</v>
      </c>
      <c r="AJ292" s="122">
        <v>217386</v>
      </c>
      <c r="AK292">
        <v>87</v>
      </c>
      <c r="AL292" s="122">
        <v>50998</v>
      </c>
      <c r="AM292" s="122">
        <v>46362</v>
      </c>
      <c r="AN292" s="122">
        <v>44939</v>
      </c>
      <c r="AO292" s="122">
        <v>16644</v>
      </c>
      <c r="AP292" s="122">
        <v>10287</v>
      </c>
      <c r="AQ292" s="122">
        <v>3810</v>
      </c>
      <c r="AR292" s="122">
        <v>68145</v>
      </c>
      <c r="AS292" s="122">
        <v>61950</v>
      </c>
      <c r="AT292" s="122">
        <v>41621</v>
      </c>
      <c r="AU292" s="122">
        <v>15415</v>
      </c>
      <c r="AV292" s="122">
        <v>361568</v>
      </c>
    </row>
    <row r="293" spans="2:48" ht="13">
      <c r="B293" t="s">
        <v>435</v>
      </c>
      <c r="C293" t="s">
        <v>64</v>
      </c>
      <c r="D293" t="s">
        <v>426</v>
      </c>
      <c r="E293" t="s">
        <v>137</v>
      </c>
      <c r="F293" s="122">
        <v>7</v>
      </c>
      <c r="G293" s="122">
        <v>400</v>
      </c>
      <c r="H293" s="122">
        <v>5295</v>
      </c>
      <c r="I293" s="122">
        <v>218834</v>
      </c>
      <c r="J293" s="191">
        <v>198940</v>
      </c>
      <c r="K293" s="122">
        <v>43</v>
      </c>
      <c r="L293" s="122">
        <v>26155</v>
      </c>
      <c r="M293" s="122">
        <v>9687</v>
      </c>
      <c r="N293" s="122">
        <v>9742</v>
      </c>
      <c r="O293" s="122">
        <v>3608</v>
      </c>
      <c r="P293" s="122">
        <v>0</v>
      </c>
      <c r="Q293" s="122">
        <v>0</v>
      </c>
      <c r="R293" s="122">
        <v>34711</v>
      </c>
      <c r="S293" s="122">
        <v>12856</v>
      </c>
      <c r="T293" s="122">
        <v>0</v>
      </c>
      <c r="U293" s="122">
        <v>0</v>
      </c>
      <c r="V293" s="122">
        <v>225091</v>
      </c>
      <c r="W293" s="122">
        <f t="shared" si="8"/>
        <v>225091</v>
      </c>
      <c r="X293" s="122">
        <f t="shared" si="9"/>
        <v>289442</v>
      </c>
      <c r="Y293" s="122"/>
      <c r="AA293" t="s">
        <v>56</v>
      </c>
      <c r="AB293" t="s">
        <v>406</v>
      </c>
      <c r="AC293" t="s">
        <v>433</v>
      </c>
      <c r="AD293" t="s">
        <v>406</v>
      </c>
      <c r="AE293" t="s">
        <v>566</v>
      </c>
      <c r="AF293">
        <v>19</v>
      </c>
      <c r="AG293" s="122">
        <v>2198</v>
      </c>
      <c r="AH293" s="122">
        <v>3550</v>
      </c>
      <c r="AI293" s="122">
        <v>220356</v>
      </c>
      <c r="AJ293" s="122">
        <v>200323</v>
      </c>
      <c r="AK293">
        <v>86</v>
      </c>
      <c r="AL293" s="122">
        <v>45463</v>
      </c>
      <c r="AM293" s="122">
        <v>41330</v>
      </c>
      <c r="AN293" s="122">
        <v>42357</v>
      </c>
      <c r="AO293" s="122">
        <v>15688</v>
      </c>
      <c r="AP293" s="122">
        <v>13203</v>
      </c>
      <c r="AQ293" s="122">
        <v>4890</v>
      </c>
      <c r="AR293" s="122">
        <v>91539</v>
      </c>
      <c r="AS293" s="122">
        <v>83217</v>
      </c>
      <c r="AT293">
        <v>0</v>
      </c>
      <c r="AU293">
        <v>0</v>
      </c>
      <c r="AV293" s="122">
        <v>345448</v>
      </c>
    </row>
    <row r="294" spans="2:48" ht="13">
      <c r="B294" t="s">
        <v>435</v>
      </c>
      <c r="C294" t="s">
        <v>64</v>
      </c>
      <c r="D294" t="s">
        <v>426</v>
      </c>
      <c r="E294" s="122" t="s">
        <v>426</v>
      </c>
      <c r="F294" s="122">
        <v>9</v>
      </c>
      <c r="G294" s="122">
        <v>443</v>
      </c>
      <c r="H294" s="122">
        <v>6069</v>
      </c>
      <c r="I294" s="122">
        <v>210182</v>
      </c>
      <c r="J294" s="191">
        <v>191074</v>
      </c>
      <c r="K294" s="122">
        <v>52</v>
      </c>
      <c r="L294">
        <v>0</v>
      </c>
      <c r="M294" s="122">
        <v>0</v>
      </c>
      <c r="N294" s="122">
        <v>10511</v>
      </c>
      <c r="O294" s="122">
        <v>3893</v>
      </c>
      <c r="P294" s="122">
        <v>2808</v>
      </c>
      <c r="Q294" s="122">
        <v>1040</v>
      </c>
      <c r="R294" s="122">
        <v>40863</v>
      </c>
      <c r="S294" s="122">
        <v>37148</v>
      </c>
      <c r="T294" s="122">
        <v>17619</v>
      </c>
      <c r="U294" s="122">
        <v>6526</v>
      </c>
      <c r="V294" s="122">
        <v>239681</v>
      </c>
      <c r="W294" s="122">
        <f t="shared" si="8"/>
        <v>239681</v>
      </c>
      <c r="X294" s="122">
        <f t="shared" si="9"/>
        <v>281983</v>
      </c>
      <c r="Y294" s="122"/>
      <c r="AA294" t="s">
        <v>56</v>
      </c>
      <c r="AB294" t="s">
        <v>406</v>
      </c>
      <c r="AC294" t="s">
        <v>429</v>
      </c>
      <c r="AD294" t="s">
        <v>406</v>
      </c>
      <c r="AE294" t="s">
        <v>137</v>
      </c>
      <c r="AF294">
        <v>2</v>
      </c>
      <c r="AG294">
        <v>169</v>
      </c>
      <c r="AH294">
        <v>430</v>
      </c>
      <c r="AI294" s="122">
        <v>20931</v>
      </c>
      <c r="AJ294" s="122">
        <v>19028</v>
      </c>
      <c r="AK294">
        <v>86</v>
      </c>
      <c r="AL294" s="122">
        <v>2910</v>
      </c>
      <c r="AM294" s="122">
        <v>2646</v>
      </c>
      <c r="AN294" s="122">
        <v>3066</v>
      </c>
      <c r="AO294" s="122">
        <v>1136</v>
      </c>
      <c r="AP294" s="122">
        <v>1242</v>
      </c>
      <c r="AQ294">
        <v>460</v>
      </c>
      <c r="AR294" s="122">
        <v>6225</v>
      </c>
      <c r="AS294" s="122">
        <v>5659</v>
      </c>
      <c r="AT294" s="122">
        <v>2258</v>
      </c>
      <c r="AU294">
        <v>836</v>
      </c>
      <c r="AV294" s="122">
        <v>29764</v>
      </c>
    </row>
    <row r="295" spans="2:48" ht="13">
      <c r="B295" t="s">
        <v>435</v>
      </c>
      <c r="C295" t="s">
        <v>64</v>
      </c>
      <c r="D295" t="s">
        <v>408</v>
      </c>
      <c r="E295" t="s">
        <v>408</v>
      </c>
      <c r="F295" s="122">
        <v>1</v>
      </c>
      <c r="G295" s="122">
        <v>117</v>
      </c>
      <c r="H295" s="122">
        <v>598</v>
      </c>
      <c r="I295" s="122">
        <v>46602</v>
      </c>
      <c r="J295" s="191">
        <v>42365</v>
      </c>
      <c r="K295" s="122">
        <v>65</v>
      </c>
      <c r="L295" s="122">
        <v>11219</v>
      </c>
      <c r="M295" s="122">
        <v>10199</v>
      </c>
      <c r="N295" s="122">
        <v>2853</v>
      </c>
      <c r="O295" s="122">
        <v>1057</v>
      </c>
      <c r="P295" s="122">
        <v>351</v>
      </c>
      <c r="Q295" s="122">
        <v>130</v>
      </c>
      <c r="R295" s="122">
        <v>5650</v>
      </c>
      <c r="S295" s="122">
        <v>5136</v>
      </c>
      <c r="T295" s="122">
        <v>3353</v>
      </c>
      <c r="U295" s="122">
        <v>1242</v>
      </c>
      <c r="V295" s="122">
        <v>60129</v>
      </c>
      <c r="W295" s="122">
        <f t="shared" si="8"/>
        <v>60129</v>
      </c>
      <c r="X295" s="122">
        <f t="shared" si="9"/>
        <v>70028</v>
      </c>
      <c r="Y295" s="122"/>
      <c r="AA295" t="s">
        <v>56</v>
      </c>
      <c r="AB295" t="s">
        <v>406</v>
      </c>
      <c r="AC295" t="s">
        <v>429</v>
      </c>
      <c r="AD295" t="s">
        <v>406</v>
      </c>
      <c r="AE295" t="s">
        <v>566</v>
      </c>
      <c r="AF295">
        <v>1</v>
      </c>
      <c r="AG295">
        <v>37</v>
      </c>
      <c r="AH295">
        <v>202</v>
      </c>
      <c r="AI295" s="122">
        <v>7730</v>
      </c>
      <c r="AJ295" s="122">
        <v>7027</v>
      </c>
      <c r="AK295">
        <v>83</v>
      </c>
      <c r="AL295" s="122">
        <v>1041</v>
      </c>
      <c r="AM295">
        <v>947</v>
      </c>
      <c r="AN295" s="122">
        <v>1335</v>
      </c>
      <c r="AO295">
        <v>495</v>
      </c>
      <c r="AP295">
        <v>621</v>
      </c>
      <c r="AQ295">
        <v>230</v>
      </c>
      <c r="AR295" s="122">
        <v>4025</v>
      </c>
      <c r="AS295" s="122">
        <v>3659</v>
      </c>
      <c r="AT295">
        <v>0</v>
      </c>
      <c r="AU295">
        <v>0</v>
      </c>
      <c r="AV295" s="122">
        <v>12357</v>
      </c>
    </row>
    <row r="296" spans="2:48" ht="13">
      <c r="B296" t="s">
        <v>436</v>
      </c>
      <c r="C296" t="s">
        <v>48</v>
      </c>
      <c r="E296" s="122"/>
      <c r="F296" s="122">
        <v>1</v>
      </c>
      <c r="G296" s="122">
        <v>54</v>
      </c>
      <c r="H296" s="122">
        <v>36</v>
      </c>
      <c r="I296" s="122"/>
      <c r="J296" s="191">
        <v>0</v>
      </c>
      <c r="K296" s="122"/>
      <c r="L296" s="122"/>
      <c r="M296" s="122">
        <v>0</v>
      </c>
      <c r="N296" s="122">
        <v>1250</v>
      </c>
      <c r="O296" s="122">
        <v>463</v>
      </c>
      <c r="P296" s="122">
        <v>0</v>
      </c>
      <c r="Q296" s="122">
        <v>0</v>
      </c>
      <c r="R296" s="122"/>
      <c r="S296" s="122">
        <v>0</v>
      </c>
      <c r="T296" s="122">
        <v>0</v>
      </c>
      <c r="U296" s="122">
        <v>0</v>
      </c>
      <c r="V296">
        <v>463</v>
      </c>
      <c r="W296" s="122">
        <f t="shared" si="8"/>
        <v>463</v>
      </c>
      <c r="X296" s="122">
        <f t="shared" si="9"/>
        <v>1250</v>
      </c>
      <c r="Y296" s="122"/>
      <c r="AA296" t="s">
        <v>56</v>
      </c>
      <c r="AB296" t="s">
        <v>407</v>
      </c>
      <c r="AC296" t="s">
        <v>578</v>
      </c>
      <c r="AD296" t="s">
        <v>407</v>
      </c>
      <c r="AE296" t="s">
        <v>137</v>
      </c>
      <c r="AF296">
        <v>1</v>
      </c>
      <c r="AG296">
        <v>67</v>
      </c>
      <c r="AH296">
        <v>162</v>
      </c>
      <c r="AI296" s="122">
        <v>5507</v>
      </c>
      <c r="AJ296" s="122">
        <v>5007</v>
      </c>
      <c r="AK296">
        <v>91</v>
      </c>
      <c r="AL296" s="122">
        <v>1764</v>
      </c>
      <c r="AM296" s="122">
        <v>1604</v>
      </c>
      <c r="AN296">
        <v>923</v>
      </c>
      <c r="AO296">
        <v>342</v>
      </c>
      <c r="AP296">
        <v>473</v>
      </c>
      <c r="AQ296">
        <v>175</v>
      </c>
      <c r="AR296" s="122">
        <v>2204</v>
      </c>
      <c r="AS296" s="122">
        <v>2004</v>
      </c>
      <c r="AT296">
        <v>0</v>
      </c>
      <c r="AU296">
        <v>0</v>
      </c>
      <c r="AV296" s="122">
        <v>9131</v>
      </c>
    </row>
    <row r="297" spans="2:48" ht="13">
      <c r="B297" t="s">
        <v>436</v>
      </c>
      <c r="C297" t="s">
        <v>48</v>
      </c>
      <c r="D297" t="s">
        <v>405</v>
      </c>
      <c r="E297" t="s">
        <v>405</v>
      </c>
      <c r="F297">
        <v>1</v>
      </c>
      <c r="G297" s="122">
        <v>80</v>
      </c>
      <c r="H297" s="122">
        <v>71</v>
      </c>
      <c r="I297" s="122">
        <v>1196</v>
      </c>
      <c r="J297" s="191">
        <v>1088</v>
      </c>
      <c r="K297" s="122">
        <v>92</v>
      </c>
      <c r="L297" s="122">
        <v>0</v>
      </c>
      <c r="M297" s="122">
        <v>0</v>
      </c>
      <c r="N297">
        <v>975</v>
      </c>
      <c r="O297">
        <v>361</v>
      </c>
      <c r="P297">
        <v>351</v>
      </c>
      <c r="Q297" s="122">
        <v>130</v>
      </c>
      <c r="R297" s="122">
        <v>3144</v>
      </c>
      <c r="S297" s="122">
        <v>2858</v>
      </c>
      <c r="T297">
        <v>0</v>
      </c>
      <c r="U297" s="122">
        <v>0</v>
      </c>
      <c r="V297" s="122">
        <v>4437</v>
      </c>
      <c r="W297" s="122">
        <f t="shared" si="8"/>
        <v>4437</v>
      </c>
      <c r="X297" s="122">
        <f t="shared" si="9"/>
        <v>5666</v>
      </c>
      <c r="Y297" s="122"/>
      <c r="AA297" t="s">
        <v>56</v>
      </c>
      <c r="AB297" t="s">
        <v>407</v>
      </c>
      <c r="AC297" t="s">
        <v>578</v>
      </c>
      <c r="AD297" t="s">
        <v>407</v>
      </c>
      <c r="AE297" t="s">
        <v>566</v>
      </c>
      <c r="AF297">
        <v>1</v>
      </c>
      <c r="AG297">
        <v>61</v>
      </c>
      <c r="AH297">
        <v>216</v>
      </c>
      <c r="AI297" s="122">
        <v>6217</v>
      </c>
      <c r="AJ297" s="122">
        <v>5652</v>
      </c>
      <c r="AK297">
        <v>93</v>
      </c>
      <c r="AL297" s="122">
        <v>2146</v>
      </c>
      <c r="AM297" s="122">
        <v>1951</v>
      </c>
      <c r="AN297" s="122">
        <v>1328</v>
      </c>
      <c r="AO297">
        <v>492</v>
      </c>
      <c r="AP297">
        <v>473</v>
      </c>
      <c r="AQ297">
        <v>175</v>
      </c>
      <c r="AR297" s="122">
        <v>2939</v>
      </c>
      <c r="AS297" s="122">
        <v>2671</v>
      </c>
      <c r="AT297">
        <v>0</v>
      </c>
      <c r="AU297">
        <v>0</v>
      </c>
      <c r="AV297" s="122">
        <v>10941</v>
      </c>
    </row>
    <row r="298" spans="2:48" ht="13">
      <c r="B298" t="s">
        <v>436</v>
      </c>
      <c r="C298" t="s">
        <v>48</v>
      </c>
      <c r="D298" t="s">
        <v>137</v>
      </c>
      <c r="E298" t="s">
        <v>137</v>
      </c>
      <c r="F298">
        <v>4</v>
      </c>
      <c r="G298">
        <v>263</v>
      </c>
      <c r="H298" s="122">
        <v>235</v>
      </c>
      <c r="I298" s="122">
        <v>-8578</v>
      </c>
      <c r="J298" s="191">
        <v>-3177</v>
      </c>
      <c r="K298" s="122">
        <v>454</v>
      </c>
      <c r="L298" s="122">
        <v>0</v>
      </c>
      <c r="M298" s="122">
        <v>0</v>
      </c>
      <c r="N298" s="122">
        <v>4672</v>
      </c>
      <c r="O298" s="122">
        <v>1730</v>
      </c>
      <c r="P298" s="122">
        <v>1404</v>
      </c>
      <c r="Q298" s="122">
        <v>520</v>
      </c>
      <c r="R298" s="122">
        <v>17910</v>
      </c>
      <c r="S298" s="122">
        <v>6633</v>
      </c>
      <c r="T298">
        <v>0</v>
      </c>
      <c r="U298" s="122">
        <v>0</v>
      </c>
      <c r="V298" s="122">
        <v>5706</v>
      </c>
      <c r="W298" s="122">
        <f t="shared" si="8"/>
        <v>12060</v>
      </c>
      <c r="X298" s="122">
        <f t="shared" si="9"/>
        <v>32564</v>
      </c>
      <c r="Y298" s="122"/>
      <c r="AA298" t="s">
        <v>56</v>
      </c>
      <c r="AB298" t="s">
        <v>407</v>
      </c>
      <c r="AC298" t="s">
        <v>425</v>
      </c>
      <c r="AD298" t="s">
        <v>407</v>
      </c>
      <c r="AE298" t="s">
        <v>137</v>
      </c>
      <c r="AF298">
        <v>1</v>
      </c>
      <c r="AG298">
        <v>72</v>
      </c>
      <c r="AH298">
        <v>223</v>
      </c>
      <c r="AI298" s="122">
        <v>7557</v>
      </c>
      <c r="AJ298" s="122">
        <v>6870</v>
      </c>
      <c r="AK298">
        <v>80</v>
      </c>
      <c r="AL298" s="122">
        <v>1014</v>
      </c>
      <c r="AM298">
        <v>922</v>
      </c>
      <c r="AN298" s="122">
        <v>1754</v>
      </c>
      <c r="AO298">
        <v>650</v>
      </c>
      <c r="AP298">
        <v>473</v>
      </c>
      <c r="AQ298">
        <v>175</v>
      </c>
      <c r="AR298" s="122">
        <v>3321</v>
      </c>
      <c r="AS298" s="122">
        <v>3019</v>
      </c>
      <c r="AT298" s="122">
        <v>1968</v>
      </c>
      <c r="AU298">
        <v>729</v>
      </c>
      <c r="AV298" s="122">
        <v>12364</v>
      </c>
    </row>
    <row r="299" spans="2:48" ht="13">
      <c r="B299" t="s">
        <v>436</v>
      </c>
      <c r="C299" t="s">
        <v>50</v>
      </c>
      <c r="F299">
        <v>1</v>
      </c>
      <c r="G299" s="122">
        <v>66</v>
      </c>
      <c r="H299" s="122">
        <v>78</v>
      </c>
      <c r="I299" s="122"/>
      <c r="J299" s="191">
        <v>0</v>
      </c>
      <c r="K299" s="122"/>
      <c r="L299" s="122"/>
      <c r="M299" s="122">
        <v>0</v>
      </c>
      <c r="N299" s="122">
        <v>962</v>
      </c>
      <c r="O299" s="122">
        <v>356</v>
      </c>
      <c r="P299" s="122">
        <v>0</v>
      </c>
      <c r="Q299" s="122">
        <v>0</v>
      </c>
      <c r="R299" s="122"/>
      <c r="S299" s="122">
        <v>0</v>
      </c>
      <c r="T299" s="122">
        <v>0</v>
      </c>
      <c r="U299" s="122">
        <v>0</v>
      </c>
      <c r="V299">
        <v>356</v>
      </c>
      <c r="W299" s="122">
        <f t="shared" si="8"/>
        <v>356</v>
      </c>
      <c r="X299" s="122">
        <f t="shared" si="9"/>
        <v>962</v>
      </c>
      <c r="Y299" s="122"/>
      <c r="AA299" t="s">
        <v>56</v>
      </c>
      <c r="AB299" t="s">
        <v>407</v>
      </c>
      <c r="AC299" t="s">
        <v>425</v>
      </c>
      <c r="AD299" t="s">
        <v>407</v>
      </c>
      <c r="AE299" t="s">
        <v>566</v>
      </c>
      <c r="AF299">
        <v>1</v>
      </c>
      <c r="AG299">
        <v>68</v>
      </c>
      <c r="AH299">
        <v>215</v>
      </c>
      <c r="AI299" s="122">
        <v>6834</v>
      </c>
      <c r="AJ299" s="122">
        <v>6213</v>
      </c>
      <c r="AK299">
        <v>79</v>
      </c>
      <c r="AL299" s="122">
        <v>1420</v>
      </c>
      <c r="AM299" s="122">
        <v>1291</v>
      </c>
      <c r="AN299">
        <v>829</v>
      </c>
      <c r="AO299">
        <v>307</v>
      </c>
      <c r="AP299">
        <v>473</v>
      </c>
      <c r="AQ299">
        <v>175</v>
      </c>
      <c r="AR299" s="122">
        <v>5102</v>
      </c>
      <c r="AS299" s="122">
        <v>4638</v>
      </c>
      <c r="AT299">
        <v>0</v>
      </c>
      <c r="AU299">
        <v>0</v>
      </c>
      <c r="AV299" s="122">
        <v>12624</v>
      </c>
    </row>
    <row r="300" spans="2:48" ht="13">
      <c r="B300" t="s">
        <v>436</v>
      </c>
      <c r="C300" t="s">
        <v>50</v>
      </c>
      <c r="D300" t="s">
        <v>405</v>
      </c>
      <c r="E300" t="s">
        <v>405</v>
      </c>
      <c r="F300" s="122">
        <v>23</v>
      </c>
      <c r="G300" s="122">
        <v>1911</v>
      </c>
      <c r="H300" s="122">
        <v>2100</v>
      </c>
      <c r="I300" s="122">
        <v>66927</v>
      </c>
      <c r="J300" s="191">
        <v>60843</v>
      </c>
      <c r="K300" s="122">
        <v>90</v>
      </c>
      <c r="L300" s="122">
        <v>1451</v>
      </c>
      <c r="M300" s="122">
        <v>537</v>
      </c>
      <c r="N300" s="122">
        <v>28036</v>
      </c>
      <c r="O300" s="122">
        <v>10384</v>
      </c>
      <c r="P300" s="122">
        <v>9718</v>
      </c>
      <c r="Q300" s="122">
        <v>3599</v>
      </c>
      <c r="R300" s="122">
        <v>68138</v>
      </c>
      <c r="S300" s="122">
        <v>61943</v>
      </c>
      <c r="T300">
        <v>0</v>
      </c>
      <c r="U300" s="122">
        <v>0</v>
      </c>
      <c r="V300" s="122">
        <v>137306</v>
      </c>
      <c r="W300" s="122">
        <f t="shared" si="8"/>
        <v>137306</v>
      </c>
      <c r="X300" s="122">
        <f t="shared" si="9"/>
        <v>174270</v>
      </c>
      <c r="Y300" s="122"/>
      <c r="AA300" t="s">
        <v>56</v>
      </c>
      <c r="AB300" t="s">
        <v>407</v>
      </c>
      <c r="AC300" t="s">
        <v>405</v>
      </c>
      <c r="AD300" t="s">
        <v>407</v>
      </c>
      <c r="AE300" t="s">
        <v>137</v>
      </c>
      <c r="AF300">
        <v>2</v>
      </c>
      <c r="AG300">
        <v>148</v>
      </c>
      <c r="AH300">
        <v>392</v>
      </c>
      <c r="AI300" s="122">
        <v>13219</v>
      </c>
      <c r="AJ300" s="122">
        <v>12017</v>
      </c>
      <c r="AK300">
        <v>75</v>
      </c>
      <c r="AL300" s="122">
        <v>1599</v>
      </c>
      <c r="AM300" s="122">
        <v>1454</v>
      </c>
      <c r="AN300" s="122">
        <v>3145</v>
      </c>
      <c r="AO300" s="122">
        <v>1165</v>
      </c>
      <c r="AP300">
        <v>945</v>
      </c>
      <c r="AQ300">
        <v>350</v>
      </c>
      <c r="AR300" s="122">
        <v>8009</v>
      </c>
      <c r="AS300" s="122">
        <v>7281</v>
      </c>
      <c r="AT300" s="122">
        <v>2305</v>
      </c>
      <c r="AU300">
        <v>854</v>
      </c>
      <c r="AV300" s="122">
        <v>23121</v>
      </c>
    </row>
    <row r="301" spans="2:48" ht="13">
      <c r="B301" t="s">
        <v>436</v>
      </c>
      <c r="C301" t="s">
        <v>50</v>
      </c>
      <c r="D301" t="s">
        <v>406</v>
      </c>
      <c r="E301" s="122" t="s">
        <v>406</v>
      </c>
      <c r="F301" s="122">
        <v>9</v>
      </c>
      <c r="G301" s="122">
        <v>794</v>
      </c>
      <c r="H301" s="122">
        <v>858</v>
      </c>
      <c r="I301" s="122">
        <v>37855</v>
      </c>
      <c r="J301" s="191">
        <v>34413</v>
      </c>
      <c r="K301" s="122">
        <v>93</v>
      </c>
      <c r="L301" s="122">
        <v>1064</v>
      </c>
      <c r="M301" s="122">
        <v>967</v>
      </c>
      <c r="N301" s="122">
        <v>9670</v>
      </c>
      <c r="O301" s="122">
        <v>3582</v>
      </c>
      <c r="P301" s="122">
        <v>5589</v>
      </c>
      <c r="Q301" s="122">
        <v>2070</v>
      </c>
      <c r="R301" s="122">
        <v>21511</v>
      </c>
      <c r="S301" s="122">
        <v>19555</v>
      </c>
      <c r="T301" s="122">
        <v>0</v>
      </c>
      <c r="U301" s="122">
        <v>0</v>
      </c>
      <c r="V301" s="122">
        <v>60587</v>
      </c>
      <c r="W301" s="122">
        <f t="shared" si="8"/>
        <v>60587</v>
      </c>
      <c r="X301" s="122">
        <f t="shared" si="9"/>
        <v>75689</v>
      </c>
      <c r="Y301" s="122"/>
      <c r="AA301" t="s">
        <v>56</v>
      </c>
      <c r="AB301" t="s">
        <v>407</v>
      </c>
      <c r="AC301" t="s">
        <v>137</v>
      </c>
      <c r="AD301" t="s">
        <v>405</v>
      </c>
      <c r="AE301" t="s">
        <v>566</v>
      </c>
      <c r="AF301">
        <v>1</v>
      </c>
      <c r="AG301">
        <v>69</v>
      </c>
      <c r="AH301">
        <v>199</v>
      </c>
      <c r="AI301" s="122">
        <v>5455</v>
      </c>
      <c r="AJ301" s="122">
        <v>4960</v>
      </c>
      <c r="AK301">
        <v>79</v>
      </c>
      <c r="AL301" s="122">
        <v>1177</v>
      </c>
      <c r="AM301">
        <v>436</v>
      </c>
      <c r="AN301" s="122">
        <v>1671</v>
      </c>
      <c r="AO301">
        <v>619</v>
      </c>
      <c r="AP301">
        <v>473</v>
      </c>
      <c r="AQ301">
        <v>175</v>
      </c>
      <c r="AR301" s="122">
        <v>4833</v>
      </c>
      <c r="AS301" s="122">
        <v>4394</v>
      </c>
      <c r="AT301">
        <v>0</v>
      </c>
      <c r="AU301">
        <v>0</v>
      </c>
      <c r="AV301" s="122">
        <v>10583</v>
      </c>
    </row>
    <row r="302" spans="2:48" ht="13">
      <c r="B302" t="s">
        <v>436</v>
      </c>
      <c r="C302" t="s">
        <v>52</v>
      </c>
      <c r="F302" s="122">
        <v>38</v>
      </c>
      <c r="G302" s="122">
        <v>1739</v>
      </c>
      <c r="H302" s="122">
        <v>4570</v>
      </c>
      <c r="I302" s="122"/>
      <c r="J302" s="191">
        <v>0</v>
      </c>
      <c r="K302" s="122"/>
      <c r="L302" s="122"/>
      <c r="M302" s="122">
        <v>0</v>
      </c>
      <c r="N302" s="122">
        <v>21440</v>
      </c>
      <c r="O302" s="122">
        <v>7941</v>
      </c>
      <c r="P302" s="122">
        <v>1242</v>
      </c>
      <c r="Q302" s="122">
        <v>460</v>
      </c>
      <c r="R302" s="122"/>
      <c r="S302">
        <v>0</v>
      </c>
      <c r="T302">
        <v>0</v>
      </c>
      <c r="U302" s="122">
        <v>0</v>
      </c>
      <c r="V302" s="122">
        <v>8401</v>
      </c>
      <c r="W302" s="122">
        <f t="shared" si="8"/>
        <v>8401</v>
      </c>
      <c r="X302" s="122">
        <f t="shared" si="9"/>
        <v>22682</v>
      </c>
      <c r="Y302" s="122"/>
      <c r="AA302" t="s">
        <v>56</v>
      </c>
      <c r="AB302" t="s">
        <v>407</v>
      </c>
      <c r="AC302" t="s">
        <v>137</v>
      </c>
      <c r="AD302" t="s">
        <v>137</v>
      </c>
      <c r="AE302" t="s">
        <v>566</v>
      </c>
      <c r="AF302">
        <v>11</v>
      </c>
      <c r="AG302">
        <v>654</v>
      </c>
      <c r="AH302" s="122">
        <v>2241</v>
      </c>
      <c r="AI302" s="122">
        <v>37002</v>
      </c>
      <c r="AJ302" s="122">
        <v>33638</v>
      </c>
      <c r="AK302">
        <v>80</v>
      </c>
      <c r="AL302" s="122">
        <v>9555</v>
      </c>
      <c r="AM302" s="122">
        <v>3539</v>
      </c>
      <c r="AN302" s="122">
        <v>12790</v>
      </c>
      <c r="AO302" s="122">
        <v>4737</v>
      </c>
      <c r="AP302" s="122">
        <v>4253</v>
      </c>
      <c r="AQ302" s="122">
        <v>1575</v>
      </c>
      <c r="AR302" s="122">
        <v>70209</v>
      </c>
      <c r="AS302" s="122">
        <v>26003</v>
      </c>
      <c r="AT302">
        <v>0</v>
      </c>
      <c r="AU302">
        <v>0</v>
      </c>
      <c r="AV302" s="122">
        <v>69492</v>
      </c>
    </row>
    <row r="303" spans="2:48" ht="13">
      <c r="B303" t="s">
        <v>436</v>
      </c>
      <c r="C303" t="s">
        <v>52</v>
      </c>
      <c r="D303" t="s">
        <v>405</v>
      </c>
      <c r="E303" t="s">
        <v>405</v>
      </c>
      <c r="F303">
        <v>62</v>
      </c>
      <c r="G303" s="122">
        <v>5186</v>
      </c>
      <c r="H303" s="122">
        <v>7077</v>
      </c>
      <c r="I303" s="122">
        <v>279540</v>
      </c>
      <c r="J303" s="191">
        <v>254127</v>
      </c>
      <c r="K303" s="122">
        <v>86</v>
      </c>
      <c r="L303" s="122">
        <v>5469</v>
      </c>
      <c r="M303" s="122">
        <v>4123</v>
      </c>
      <c r="N303" s="122">
        <v>98580</v>
      </c>
      <c r="O303" s="122">
        <v>36511</v>
      </c>
      <c r="P303" s="122">
        <v>27851</v>
      </c>
      <c r="Q303" s="122">
        <v>10315</v>
      </c>
      <c r="R303" s="122">
        <v>181617</v>
      </c>
      <c r="S303" s="122">
        <v>165107</v>
      </c>
      <c r="T303">
        <v>0</v>
      </c>
      <c r="U303" s="122">
        <v>0</v>
      </c>
      <c r="V303" s="122">
        <v>470183</v>
      </c>
      <c r="W303" s="122">
        <f t="shared" si="8"/>
        <v>470183</v>
      </c>
      <c r="X303" s="122">
        <f t="shared" si="9"/>
        <v>593057</v>
      </c>
      <c r="Y303" s="122"/>
      <c r="AA303" t="s">
        <v>56</v>
      </c>
      <c r="AB303" t="s">
        <v>407</v>
      </c>
      <c r="AC303" t="s">
        <v>137</v>
      </c>
      <c r="AD303" t="s">
        <v>407</v>
      </c>
      <c r="AE303" t="s">
        <v>137</v>
      </c>
      <c r="AF303" s="122">
        <v>1084</v>
      </c>
      <c r="AG303" s="122">
        <v>81830</v>
      </c>
      <c r="AH303" s="122">
        <v>201553</v>
      </c>
      <c r="AI303" s="122">
        <v>5854488</v>
      </c>
      <c r="AJ303" s="122">
        <v>5322262</v>
      </c>
      <c r="AK303">
        <v>80</v>
      </c>
      <c r="AL303" s="122">
        <v>1501163</v>
      </c>
      <c r="AM303" s="122">
        <v>555986</v>
      </c>
      <c r="AN303" s="122">
        <v>1695862</v>
      </c>
      <c r="AO303" s="122">
        <v>628097</v>
      </c>
      <c r="AP303" s="122">
        <v>516698</v>
      </c>
      <c r="AQ303" s="122">
        <v>191370</v>
      </c>
      <c r="AR303" s="122">
        <v>4000701</v>
      </c>
      <c r="AS303" s="122">
        <v>3637001</v>
      </c>
      <c r="AT303" s="122">
        <v>1658549</v>
      </c>
      <c r="AU303" s="122">
        <v>614278</v>
      </c>
      <c r="AV303" s="122">
        <v>10948993</v>
      </c>
    </row>
    <row r="304" spans="2:48" ht="13">
      <c r="B304" t="s">
        <v>436</v>
      </c>
      <c r="C304" t="s">
        <v>52</v>
      </c>
      <c r="D304" t="s">
        <v>137</v>
      </c>
      <c r="E304" s="122" t="s">
        <v>137</v>
      </c>
      <c r="F304" s="122">
        <v>1</v>
      </c>
      <c r="G304" s="122">
        <v>207</v>
      </c>
      <c r="H304" s="122">
        <v>107</v>
      </c>
      <c r="I304" s="122">
        <v>7858</v>
      </c>
      <c r="J304" s="191">
        <v>2910</v>
      </c>
      <c r="K304" s="122">
        <v>320</v>
      </c>
      <c r="L304">
        <v>0</v>
      </c>
      <c r="M304">
        <v>0</v>
      </c>
      <c r="N304" s="122">
        <v>3783</v>
      </c>
      <c r="O304" s="122">
        <v>1401</v>
      </c>
      <c r="P304">
        <v>702</v>
      </c>
      <c r="Q304" s="122">
        <v>260</v>
      </c>
      <c r="R304" s="122">
        <v>9849</v>
      </c>
      <c r="S304" s="122">
        <v>3648</v>
      </c>
      <c r="T304">
        <v>0</v>
      </c>
      <c r="U304" s="122">
        <v>0</v>
      </c>
      <c r="V304" s="122">
        <v>8219</v>
      </c>
      <c r="W304" s="122">
        <f t="shared" si="8"/>
        <v>8219</v>
      </c>
      <c r="X304" s="122">
        <f t="shared" si="9"/>
        <v>22192</v>
      </c>
      <c r="Y304" s="122"/>
      <c r="AA304" t="s">
        <v>56</v>
      </c>
      <c r="AB304" t="s">
        <v>407</v>
      </c>
      <c r="AC304" t="s">
        <v>137</v>
      </c>
      <c r="AD304" t="s">
        <v>407</v>
      </c>
      <c r="AE304" t="s">
        <v>566</v>
      </c>
      <c r="AF304" s="122">
        <v>2162</v>
      </c>
      <c r="AG304" s="122">
        <v>155177</v>
      </c>
      <c r="AH304" s="122">
        <v>390237</v>
      </c>
      <c r="AI304" s="122">
        <v>11663182</v>
      </c>
      <c r="AJ304" s="122">
        <v>10602893</v>
      </c>
      <c r="AK304">
        <v>81</v>
      </c>
      <c r="AL304" s="122">
        <v>2929294</v>
      </c>
      <c r="AM304" s="122">
        <v>1084924</v>
      </c>
      <c r="AN304" s="122">
        <v>3231006</v>
      </c>
      <c r="AO304" s="122">
        <v>1196669</v>
      </c>
      <c r="AP304" s="122">
        <v>1057512</v>
      </c>
      <c r="AQ304" s="122">
        <v>391671</v>
      </c>
      <c r="AR304" s="122">
        <v>8986383</v>
      </c>
      <c r="AS304" s="122">
        <v>8169439</v>
      </c>
      <c r="AT304">
        <v>0</v>
      </c>
      <c r="AU304">
        <v>0</v>
      </c>
      <c r="AV304" s="122">
        <v>21445595</v>
      </c>
    </row>
    <row r="305" spans="2:48" ht="13">
      <c r="B305" t="s">
        <v>436</v>
      </c>
      <c r="C305" t="s">
        <v>52</v>
      </c>
      <c r="D305" t="s">
        <v>406</v>
      </c>
      <c r="E305" t="s">
        <v>406</v>
      </c>
      <c r="F305">
        <v>9</v>
      </c>
      <c r="G305" s="122">
        <v>714</v>
      </c>
      <c r="H305" s="122">
        <v>1003</v>
      </c>
      <c r="I305" s="122">
        <v>38856</v>
      </c>
      <c r="J305" s="191">
        <v>35324</v>
      </c>
      <c r="K305" s="122">
        <v>93</v>
      </c>
      <c r="L305" s="122">
        <v>3643</v>
      </c>
      <c r="M305" s="122">
        <v>2645</v>
      </c>
      <c r="N305" s="122">
        <v>9262</v>
      </c>
      <c r="O305" s="122">
        <v>3431</v>
      </c>
      <c r="P305" s="122">
        <v>5589</v>
      </c>
      <c r="Q305" s="122">
        <v>2070</v>
      </c>
      <c r="R305" s="122">
        <v>21410</v>
      </c>
      <c r="S305" s="122">
        <v>19464</v>
      </c>
      <c r="T305">
        <v>0</v>
      </c>
      <c r="U305" s="122">
        <v>0</v>
      </c>
      <c r="V305" s="122">
        <v>62933</v>
      </c>
      <c r="W305" s="122">
        <f t="shared" si="8"/>
        <v>62934</v>
      </c>
      <c r="X305" s="122">
        <f t="shared" si="9"/>
        <v>78760</v>
      </c>
      <c r="Y305" s="122"/>
      <c r="AA305" t="s">
        <v>56</v>
      </c>
      <c r="AB305" t="s">
        <v>407</v>
      </c>
      <c r="AC305" t="s">
        <v>580</v>
      </c>
      <c r="AD305" t="s">
        <v>407</v>
      </c>
      <c r="AE305" t="s">
        <v>137</v>
      </c>
      <c r="AF305">
        <v>2</v>
      </c>
      <c r="AG305">
        <v>207</v>
      </c>
      <c r="AH305">
        <v>373</v>
      </c>
      <c r="AI305" s="122">
        <v>16556</v>
      </c>
      <c r="AJ305" s="122">
        <v>15051</v>
      </c>
      <c r="AK305">
        <v>85</v>
      </c>
      <c r="AL305" s="122">
        <v>4988</v>
      </c>
      <c r="AM305" s="122">
        <v>4535</v>
      </c>
      <c r="AN305" s="122">
        <v>3934</v>
      </c>
      <c r="AO305" s="122">
        <v>1457</v>
      </c>
      <c r="AP305">
        <v>945</v>
      </c>
      <c r="AQ305">
        <v>350</v>
      </c>
      <c r="AR305" s="122">
        <v>6680</v>
      </c>
      <c r="AS305" s="122">
        <v>6073</v>
      </c>
      <c r="AT305" s="122">
        <v>4806</v>
      </c>
      <c r="AU305" s="122">
        <v>1780</v>
      </c>
      <c r="AV305" s="122">
        <v>29246</v>
      </c>
    </row>
    <row r="306" spans="2:48" ht="13">
      <c r="B306" t="s">
        <v>436</v>
      </c>
      <c r="C306" t="s">
        <v>52</v>
      </c>
      <c r="D306" t="s">
        <v>407</v>
      </c>
      <c r="E306" t="s">
        <v>407</v>
      </c>
      <c r="F306">
        <v>2</v>
      </c>
      <c r="G306">
        <v>196</v>
      </c>
      <c r="H306" s="122">
        <v>235</v>
      </c>
      <c r="I306" s="122">
        <v>8267</v>
      </c>
      <c r="J306" s="191">
        <v>7516</v>
      </c>
      <c r="K306" s="122">
        <v>77</v>
      </c>
      <c r="L306" s="122">
        <v>1576</v>
      </c>
      <c r="M306" s="122">
        <v>1433</v>
      </c>
      <c r="N306" s="122">
        <v>4469</v>
      </c>
      <c r="O306" s="122">
        <v>1655</v>
      </c>
      <c r="P306">
        <v>945</v>
      </c>
      <c r="Q306" s="122">
        <v>350</v>
      </c>
      <c r="R306" s="122">
        <v>7731</v>
      </c>
      <c r="S306" s="122">
        <v>7028</v>
      </c>
      <c r="T306">
        <v>0</v>
      </c>
      <c r="U306" s="122">
        <v>0</v>
      </c>
      <c r="V306" s="122">
        <v>17982</v>
      </c>
      <c r="W306" s="122">
        <f t="shared" si="8"/>
        <v>17982</v>
      </c>
      <c r="X306" s="122">
        <f t="shared" si="9"/>
        <v>22988</v>
      </c>
      <c r="Y306" s="122"/>
      <c r="AA306" t="s">
        <v>56</v>
      </c>
      <c r="AB306" t="s">
        <v>407</v>
      </c>
      <c r="AC306" t="s">
        <v>427</v>
      </c>
      <c r="AD306" t="s">
        <v>407</v>
      </c>
      <c r="AE306" t="s">
        <v>137</v>
      </c>
      <c r="AF306">
        <v>41</v>
      </c>
      <c r="AG306" s="122">
        <v>3656</v>
      </c>
      <c r="AH306" s="122">
        <v>7945</v>
      </c>
      <c r="AI306" s="122">
        <v>298902</v>
      </c>
      <c r="AJ306" s="122">
        <v>271729</v>
      </c>
      <c r="AK306">
        <v>81</v>
      </c>
      <c r="AL306" s="122">
        <v>80838</v>
      </c>
      <c r="AM306" s="122">
        <v>73489</v>
      </c>
      <c r="AN306" s="122">
        <v>75055</v>
      </c>
      <c r="AO306" s="122">
        <v>27798</v>
      </c>
      <c r="AP306" s="122">
        <v>19893</v>
      </c>
      <c r="AQ306" s="122">
        <v>7368</v>
      </c>
      <c r="AR306" s="122">
        <v>163611</v>
      </c>
      <c r="AS306" s="122">
        <v>148737</v>
      </c>
      <c r="AT306" s="122">
        <v>64678</v>
      </c>
      <c r="AU306" s="122">
        <v>23955</v>
      </c>
      <c r="AV306" s="122">
        <v>553077</v>
      </c>
    </row>
    <row r="307" spans="2:48" ht="13">
      <c r="B307" t="s">
        <v>436</v>
      </c>
      <c r="C307" t="s">
        <v>54</v>
      </c>
      <c r="E307" s="122"/>
      <c r="F307" s="122">
        <v>31</v>
      </c>
      <c r="G307" s="122">
        <v>1320</v>
      </c>
      <c r="H307" s="122">
        <v>4050</v>
      </c>
      <c r="I307" s="122"/>
      <c r="J307" s="66">
        <v>0</v>
      </c>
      <c r="K307" s="122"/>
      <c r="L307" s="122"/>
      <c r="M307" s="122">
        <v>0</v>
      </c>
      <c r="N307" s="122">
        <v>18221</v>
      </c>
      <c r="O307" s="122">
        <v>6748</v>
      </c>
      <c r="P307" s="122">
        <v>6210</v>
      </c>
      <c r="Q307" s="122">
        <v>2300</v>
      </c>
      <c r="R307" s="122"/>
      <c r="S307" s="122">
        <v>0</v>
      </c>
      <c r="T307" s="122">
        <v>0</v>
      </c>
      <c r="U307" s="122">
        <v>0</v>
      </c>
      <c r="V307" s="122">
        <v>9048</v>
      </c>
      <c r="W307" s="122">
        <f t="shared" si="8"/>
        <v>9048</v>
      </c>
      <c r="X307" s="122">
        <f t="shared" si="9"/>
        <v>24431</v>
      </c>
      <c r="Y307" s="122"/>
      <c r="AA307" t="s">
        <v>56</v>
      </c>
      <c r="AB307" t="s">
        <v>407</v>
      </c>
      <c r="AC307" t="s">
        <v>427</v>
      </c>
      <c r="AD307" t="s">
        <v>407</v>
      </c>
      <c r="AE307" t="s">
        <v>566</v>
      </c>
      <c r="AF307">
        <v>104</v>
      </c>
      <c r="AG307" s="122">
        <v>7630</v>
      </c>
      <c r="AH307" s="122">
        <v>19141</v>
      </c>
      <c r="AI307" s="122">
        <v>549686</v>
      </c>
      <c r="AJ307" s="122">
        <v>499715</v>
      </c>
      <c r="AK307">
        <v>84</v>
      </c>
      <c r="AL307" s="122">
        <v>161953</v>
      </c>
      <c r="AM307" s="122">
        <v>147230</v>
      </c>
      <c r="AN307" s="122">
        <v>151257</v>
      </c>
      <c r="AO307" s="122">
        <v>56021</v>
      </c>
      <c r="AP307" s="122">
        <v>49019</v>
      </c>
      <c r="AQ307" s="122">
        <v>18155</v>
      </c>
      <c r="AR307" s="122">
        <v>476380</v>
      </c>
      <c r="AS307" s="122">
        <v>433073</v>
      </c>
      <c r="AT307">
        <v>0</v>
      </c>
      <c r="AU307">
        <v>0</v>
      </c>
      <c r="AV307" s="122">
        <v>1154194</v>
      </c>
    </row>
    <row r="308" spans="2:48" ht="13">
      <c r="B308" t="s">
        <v>436</v>
      </c>
      <c r="C308" t="s">
        <v>54</v>
      </c>
      <c r="D308" t="s">
        <v>425</v>
      </c>
      <c r="E308" t="s">
        <v>425</v>
      </c>
      <c r="F308" s="122">
        <v>1</v>
      </c>
      <c r="G308" s="122">
        <v>77</v>
      </c>
      <c r="H308" s="122">
        <v>141</v>
      </c>
      <c r="I308" s="122">
        <v>5999</v>
      </c>
      <c r="J308" s="191">
        <v>5454</v>
      </c>
      <c r="K308" s="122">
        <v>88</v>
      </c>
      <c r="L308" s="122">
        <v>0</v>
      </c>
      <c r="M308" s="122">
        <v>0</v>
      </c>
      <c r="N308" s="122">
        <v>1881</v>
      </c>
      <c r="O308" s="122">
        <v>697</v>
      </c>
      <c r="P308" s="122">
        <v>473</v>
      </c>
      <c r="Q308" s="122">
        <v>175</v>
      </c>
      <c r="R308" s="122">
        <v>2493</v>
      </c>
      <c r="S308" s="122">
        <v>2267</v>
      </c>
      <c r="T308" s="122">
        <v>0</v>
      </c>
      <c r="U308" s="122">
        <v>0</v>
      </c>
      <c r="V308" s="122">
        <v>8592</v>
      </c>
      <c r="W308" s="122">
        <f t="shared" si="8"/>
        <v>8593</v>
      </c>
      <c r="X308" s="122">
        <f t="shared" si="9"/>
        <v>10846</v>
      </c>
      <c r="Y308" s="122"/>
      <c r="AA308" t="s">
        <v>56</v>
      </c>
      <c r="AB308" t="s">
        <v>407</v>
      </c>
      <c r="AC308" t="s">
        <v>407</v>
      </c>
      <c r="AD308" t="s">
        <v>405</v>
      </c>
      <c r="AE308" t="s">
        <v>137</v>
      </c>
      <c r="AF308">
        <v>3</v>
      </c>
      <c r="AG308">
        <v>263</v>
      </c>
      <c r="AH308">
        <v>525</v>
      </c>
      <c r="AI308" s="122">
        <v>20314</v>
      </c>
      <c r="AJ308" s="122">
        <v>18467</v>
      </c>
      <c r="AK308">
        <v>87</v>
      </c>
      <c r="AL308" s="122">
        <v>3300</v>
      </c>
      <c r="AM308" s="122">
        <v>3000</v>
      </c>
      <c r="AN308" s="122">
        <v>6317</v>
      </c>
      <c r="AO308" s="122">
        <v>2340</v>
      </c>
      <c r="AP308" s="122">
        <v>1418</v>
      </c>
      <c r="AQ308">
        <v>525</v>
      </c>
      <c r="AR308" s="122">
        <v>8302</v>
      </c>
      <c r="AS308" s="122">
        <v>7547</v>
      </c>
      <c r="AT308" s="122">
        <v>6622</v>
      </c>
      <c r="AU308" s="122">
        <v>2453</v>
      </c>
      <c r="AV308" s="122">
        <v>34332</v>
      </c>
    </row>
    <row r="309" spans="2:48" ht="13">
      <c r="B309" t="s">
        <v>436</v>
      </c>
      <c r="C309" t="s">
        <v>54</v>
      </c>
      <c r="D309" t="s">
        <v>405</v>
      </c>
      <c r="E309" s="122" t="s">
        <v>405</v>
      </c>
      <c r="F309" s="122">
        <v>67</v>
      </c>
      <c r="G309" s="122">
        <v>5341</v>
      </c>
      <c r="H309" s="122">
        <v>9271</v>
      </c>
      <c r="I309" s="122">
        <v>375493</v>
      </c>
      <c r="J309" s="191">
        <v>341358</v>
      </c>
      <c r="K309" s="122">
        <v>83</v>
      </c>
      <c r="L309" s="122">
        <v>25469</v>
      </c>
      <c r="M309" s="122">
        <v>20891</v>
      </c>
      <c r="N309" s="122">
        <v>107141</v>
      </c>
      <c r="O309" s="122">
        <v>39682</v>
      </c>
      <c r="P309" s="122">
        <v>30200</v>
      </c>
      <c r="Q309" s="122">
        <v>11185</v>
      </c>
      <c r="R309" s="122">
        <v>203174</v>
      </c>
      <c r="S309" s="122">
        <v>184703</v>
      </c>
      <c r="T309" s="122">
        <v>4505</v>
      </c>
      <c r="U309" s="122">
        <v>1669</v>
      </c>
      <c r="V309" s="122">
        <v>599487</v>
      </c>
      <c r="W309" s="122">
        <f t="shared" si="8"/>
        <v>599488</v>
      </c>
      <c r="X309" s="122">
        <f t="shared" si="9"/>
        <v>745982</v>
      </c>
      <c r="Y309" s="122"/>
      <c r="AA309" t="s">
        <v>56</v>
      </c>
      <c r="AB309" t="s">
        <v>407</v>
      </c>
      <c r="AC309" t="s">
        <v>407</v>
      </c>
      <c r="AD309" t="s">
        <v>405</v>
      </c>
      <c r="AE309" t="s">
        <v>566</v>
      </c>
      <c r="AF309">
        <v>1</v>
      </c>
      <c r="AG309">
        <v>40</v>
      </c>
      <c r="AH309">
        <v>153</v>
      </c>
      <c r="AI309">
        <v>983</v>
      </c>
      <c r="AJ309">
        <v>894</v>
      </c>
      <c r="AK309">
        <v>80</v>
      </c>
      <c r="AL309">
        <v>121</v>
      </c>
      <c r="AM309">
        <v>110</v>
      </c>
      <c r="AN309">
        <v>489</v>
      </c>
      <c r="AO309">
        <v>181</v>
      </c>
      <c r="AP309">
        <v>473</v>
      </c>
      <c r="AQ309">
        <v>175</v>
      </c>
      <c r="AR309" s="122">
        <v>4088</v>
      </c>
      <c r="AS309" s="122">
        <v>3716</v>
      </c>
      <c r="AT309">
        <v>0</v>
      </c>
      <c r="AU309">
        <v>0</v>
      </c>
      <c r="AV309" s="122">
        <v>5076</v>
      </c>
    </row>
    <row r="310" spans="2:48" ht="13">
      <c r="B310" t="s">
        <v>436</v>
      </c>
      <c r="C310" t="s">
        <v>54</v>
      </c>
      <c r="D310" t="s">
        <v>137</v>
      </c>
      <c r="E310" t="s">
        <v>137</v>
      </c>
      <c r="F310" s="122">
        <v>9</v>
      </c>
      <c r="G310" s="122">
        <v>715</v>
      </c>
      <c r="H310" s="122">
        <v>1292</v>
      </c>
      <c r="I310" s="122">
        <v>39415</v>
      </c>
      <c r="J310" s="191">
        <v>14598</v>
      </c>
      <c r="K310" s="122">
        <v>100</v>
      </c>
      <c r="L310" s="122">
        <v>1859</v>
      </c>
      <c r="M310" s="122">
        <v>689</v>
      </c>
      <c r="N310" s="122">
        <v>15783</v>
      </c>
      <c r="O310" s="122">
        <v>5845</v>
      </c>
      <c r="P310">
        <v>0</v>
      </c>
      <c r="Q310" s="122">
        <v>0</v>
      </c>
      <c r="R310" s="122">
        <v>45659</v>
      </c>
      <c r="S310" s="122">
        <v>16911</v>
      </c>
      <c r="T310">
        <v>0</v>
      </c>
      <c r="U310" s="122">
        <v>0</v>
      </c>
      <c r="V310" s="122">
        <v>38043</v>
      </c>
      <c r="W310" s="122">
        <f t="shared" si="8"/>
        <v>38043</v>
      </c>
      <c r="X310" s="122">
        <f t="shared" si="9"/>
        <v>102716</v>
      </c>
      <c r="Y310" s="122"/>
      <c r="AA310" t="s">
        <v>56</v>
      </c>
      <c r="AB310" t="s">
        <v>407</v>
      </c>
      <c r="AC310" t="s">
        <v>407</v>
      </c>
      <c r="AD310" t="s">
        <v>137</v>
      </c>
      <c r="AE310" t="s">
        <v>137</v>
      </c>
      <c r="AF310">
        <v>1</v>
      </c>
      <c r="AG310">
        <v>92</v>
      </c>
      <c r="AH310">
        <v>217</v>
      </c>
      <c r="AI310" s="122">
        <v>7582</v>
      </c>
      <c r="AJ310" s="122">
        <v>6892</v>
      </c>
      <c r="AK310">
        <v>90</v>
      </c>
      <c r="AL310" s="122">
        <v>1902</v>
      </c>
      <c r="AM310" s="122">
        <v>1729</v>
      </c>
      <c r="AN310" s="122">
        <v>2233</v>
      </c>
      <c r="AO310">
        <v>827</v>
      </c>
      <c r="AP310">
        <v>473</v>
      </c>
      <c r="AQ310">
        <v>175</v>
      </c>
      <c r="AR310" s="122">
        <v>7732</v>
      </c>
      <c r="AS310" s="122">
        <v>2864</v>
      </c>
      <c r="AT310">
        <v>0</v>
      </c>
      <c r="AU310">
        <v>0</v>
      </c>
      <c r="AV310" s="122">
        <v>12487</v>
      </c>
    </row>
    <row r="311" spans="2:48" ht="13">
      <c r="B311" t="s">
        <v>436</v>
      </c>
      <c r="C311" t="s">
        <v>54</v>
      </c>
      <c r="D311" t="s">
        <v>406</v>
      </c>
      <c r="E311" t="s">
        <v>406</v>
      </c>
      <c r="F311">
        <v>24</v>
      </c>
      <c r="G311" s="122">
        <v>2314</v>
      </c>
      <c r="H311" s="122">
        <v>3360</v>
      </c>
      <c r="I311" s="122">
        <v>152693</v>
      </c>
      <c r="J311" s="191">
        <v>138812</v>
      </c>
      <c r="K311" s="122">
        <v>89</v>
      </c>
      <c r="L311" s="122">
        <v>23047</v>
      </c>
      <c r="M311" s="122">
        <v>19850</v>
      </c>
      <c r="N311" s="122">
        <v>42450</v>
      </c>
      <c r="O311" s="122">
        <v>15722</v>
      </c>
      <c r="P311" s="122">
        <v>14904</v>
      </c>
      <c r="Q311" s="122">
        <v>5520</v>
      </c>
      <c r="R311" s="122">
        <v>87176</v>
      </c>
      <c r="S311" s="122">
        <v>79251</v>
      </c>
      <c r="T311" s="122">
        <v>2698</v>
      </c>
      <c r="U311" s="122">
        <v>999</v>
      </c>
      <c r="V311" s="122">
        <v>260154</v>
      </c>
      <c r="W311" s="122">
        <f t="shared" si="8"/>
        <v>260154</v>
      </c>
      <c r="X311" s="122">
        <f t="shared" si="9"/>
        <v>322968</v>
      </c>
      <c r="Y311" s="122"/>
      <c r="AA311" t="s">
        <v>56</v>
      </c>
      <c r="AB311" t="s">
        <v>407</v>
      </c>
      <c r="AC311" t="s">
        <v>407</v>
      </c>
      <c r="AD311" t="s">
        <v>137</v>
      </c>
      <c r="AE311" t="s">
        <v>566</v>
      </c>
      <c r="AF311">
        <v>11</v>
      </c>
      <c r="AG311">
        <v>940</v>
      </c>
      <c r="AH311" s="122">
        <v>2162</v>
      </c>
      <c r="AI311" s="122">
        <v>52826</v>
      </c>
      <c r="AJ311" s="122">
        <v>48024</v>
      </c>
      <c r="AK311">
        <v>77</v>
      </c>
      <c r="AL311" s="122">
        <v>8889</v>
      </c>
      <c r="AM311" s="122">
        <v>8081</v>
      </c>
      <c r="AN311" s="122">
        <v>17942</v>
      </c>
      <c r="AO311" s="122">
        <v>6645</v>
      </c>
      <c r="AP311" s="122">
        <v>5076</v>
      </c>
      <c r="AQ311" s="122">
        <v>1880</v>
      </c>
      <c r="AR311" s="122">
        <v>101135</v>
      </c>
      <c r="AS311" s="122">
        <v>37457</v>
      </c>
      <c r="AT311">
        <v>0</v>
      </c>
      <c r="AU311">
        <v>0</v>
      </c>
      <c r="AV311" s="122">
        <v>102088</v>
      </c>
    </row>
    <row r="312" spans="2:48" ht="13">
      <c r="B312" t="s">
        <v>436</v>
      </c>
      <c r="C312" t="s">
        <v>54</v>
      </c>
      <c r="D312" t="s">
        <v>407</v>
      </c>
      <c r="E312" t="s">
        <v>407</v>
      </c>
      <c r="F312" s="122">
        <v>3</v>
      </c>
      <c r="G312" s="122">
        <v>242</v>
      </c>
      <c r="H312" s="122">
        <v>398</v>
      </c>
      <c r="I312" s="122">
        <v>10946</v>
      </c>
      <c r="J312" s="191">
        <v>9951</v>
      </c>
      <c r="K312" s="122">
        <v>77</v>
      </c>
      <c r="L312" s="122">
        <v>1123</v>
      </c>
      <c r="M312" s="122">
        <v>641</v>
      </c>
      <c r="N312" s="122">
        <v>4666</v>
      </c>
      <c r="O312" s="122">
        <v>1728</v>
      </c>
      <c r="P312" s="122">
        <v>1418</v>
      </c>
      <c r="Q312" s="122">
        <v>525</v>
      </c>
      <c r="R312" s="122">
        <v>14087</v>
      </c>
      <c r="S312" s="122">
        <v>12806</v>
      </c>
      <c r="T312" s="122">
        <v>0</v>
      </c>
      <c r="U312" s="122">
        <v>0</v>
      </c>
      <c r="V312" s="122">
        <v>25651</v>
      </c>
      <c r="W312" s="122">
        <f t="shared" si="8"/>
        <v>25651</v>
      </c>
      <c r="X312" s="122">
        <f t="shared" si="9"/>
        <v>32240</v>
      </c>
      <c r="Y312" s="122"/>
      <c r="AA312" t="s">
        <v>56</v>
      </c>
      <c r="AB312" t="s">
        <v>407</v>
      </c>
      <c r="AC312" t="s">
        <v>407</v>
      </c>
      <c r="AD312" t="s">
        <v>407</v>
      </c>
      <c r="AE312" t="s">
        <v>137</v>
      </c>
      <c r="AF312" s="122">
        <v>1959</v>
      </c>
      <c r="AG312" s="122">
        <v>160554</v>
      </c>
      <c r="AH312" s="122">
        <v>369601</v>
      </c>
      <c r="AI312" s="122">
        <v>12363247</v>
      </c>
      <c r="AJ312" s="122">
        <v>11239315</v>
      </c>
      <c r="AK312">
        <v>78</v>
      </c>
      <c r="AL312" s="122">
        <v>2548216</v>
      </c>
      <c r="AM312" s="122">
        <v>2316560</v>
      </c>
      <c r="AN312" s="122">
        <v>3388423</v>
      </c>
      <c r="AO312" s="122">
        <v>1254971</v>
      </c>
      <c r="AP312" s="122">
        <v>917244</v>
      </c>
      <c r="AQ312" s="122">
        <v>339720</v>
      </c>
      <c r="AR312" s="122">
        <v>7531191</v>
      </c>
      <c r="AS312" s="122">
        <v>6846537</v>
      </c>
      <c r="AT312" s="122">
        <v>3662004</v>
      </c>
      <c r="AU312" s="122">
        <v>1356298</v>
      </c>
      <c r="AV312" s="122">
        <v>23353402</v>
      </c>
    </row>
    <row r="313" spans="2:48" ht="13">
      <c r="B313" t="s">
        <v>436</v>
      </c>
      <c r="C313" t="s">
        <v>56</v>
      </c>
      <c r="F313" s="122">
        <v>49</v>
      </c>
      <c r="G313" s="122">
        <v>2214</v>
      </c>
      <c r="H313" s="122">
        <v>9163</v>
      </c>
      <c r="I313" s="122"/>
      <c r="J313" s="191">
        <v>0</v>
      </c>
      <c r="K313" s="122"/>
      <c r="L313" s="122"/>
      <c r="M313" s="122">
        <v>0</v>
      </c>
      <c r="N313" s="122">
        <v>41268</v>
      </c>
      <c r="O313" s="122">
        <v>15284</v>
      </c>
      <c r="P313" s="122">
        <v>27054</v>
      </c>
      <c r="Q313" s="122">
        <v>10020</v>
      </c>
      <c r="R313" s="122"/>
      <c r="S313" s="122">
        <v>0</v>
      </c>
      <c r="T313" s="122">
        <v>0</v>
      </c>
      <c r="U313" s="122">
        <v>0</v>
      </c>
      <c r="V313" s="122">
        <v>25304</v>
      </c>
      <c r="W313" s="122">
        <f t="shared" si="8"/>
        <v>25304</v>
      </c>
      <c r="X313" s="122">
        <f t="shared" si="9"/>
        <v>68322</v>
      </c>
      <c r="Y313" s="122"/>
      <c r="AA313" t="s">
        <v>56</v>
      </c>
      <c r="AB313" t="s">
        <v>407</v>
      </c>
      <c r="AC313" t="s">
        <v>407</v>
      </c>
      <c r="AD313" t="s">
        <v>407</v>
      </c>
      <c r="AE313" t="s">
        <v>566</v>
      </c>
      <c r="AF313" s="122">
        <v>3076</v>
      </c>
      <c r="AG313" s="122">
        <v>262414</v>
      </c>
      <c r="AH313" s="122">
        <v>559027</v>
      </c>
      <c r="AI313" s="122">
        <v>21353182</v>
      </c>
      <c r="AJ313" s="122">
        <v>19411983</v>
      </c>
      <c r="AK313">
        <v>80</v>
      </c>
      <c r="AL313" s="122">
        <v>4828591</v>
      </c>
      <c r="AM313" s="122">
        <v>4389628</v>
      </c>
      <c r="AN313" s="122">
        <v>5477399</v>
      </c>
      <c r="AO313" s="122">
        <v>2028666</v>
      </c>
      <c r="AP313" s="122">
        <v>1458979</v>
      </c>
      <c r="AQ313" s="122">
        <v>540363</v>
      </c>
      <c r="AR313" s="122">
        <v>14638374</v>
      </c>
      <c r="AS313" s="122">
        <v>13307613</v>
      </c>
      <c r="AT313">
        <v>0</v>
      </c>
      <c r="AU313">
        <v>0</v>
      </c>
      <c r="AV313" s="122">
        <v>39678253</v>
      </c>
    </row>
    <row r="314" spans="2:48" ht="13">
      <c r="B314" t="s">
        <v>436</v>
      </c>
      <c r="C314" t="s">
        <v>56</v>
      </c>
      <c r="D314" t="s">
        <v>425</v>
      </c>
      <c r="E314" t="s">
        <v>425</v>
      </c>
      <c r="F314">
        <v>4</v>
      </c>
      <c r="G314" s="122">
        <v>304</v>
      </c>
      <c r="H314" s="122">
        <v>723</v>
      </c>
      <c r="I314" s="122">
        <v>28563</v>
      </c>
      <c r="J314" s="191">
        <v>25966</v>
      </c>
      <c r="K314" s="122">
        <v>84</v>
      </c>
      <c r="L314" s="122">
        <v>2102</v>
      </c>
      <c r="M314" s="122">
        <v>779</v>
      </c>
      <c r="N314" s="122">
        <v>5596</v>
      </c>
      <c r="O314" s="122">
        <v>2073</v>
      </c>
      <c r="P314" s="122">
        <v>1890</v>
      </c>
      <c r="Q314" s="122">
        <v>700</v>
      </c>
      <c r="R314" s="122">
        <v>17232</v>
      </c>
      <c r="S314" s="122">
        <v>15665</v>
      </c>
      <c r="T314" s="122">
        <v>0</v>
      </c>
      <c r="U314" s="122">
        <v>0</v>
      </c>
      <c r="V314" s="122">
        <v>45183</v>
      </c>
      <c r="W314" s="122">
        <f t="shared" si="8"/>
        <v>45183</v>
      </c>
      <c r="X314" s="122">
        <f t="shared" si="9"/>
        <v>55383</v>
      </c>
      <c r="Y314" s="122"/>
      <c r="AA314" t="s">
        <v>56</v>
      </c>
      <c r="AB314" t="s">
        <v>407</v>
      </c>
      <c r="AC314" t="s">
        <v>407</v>
      </c>
      <c r="AD314" t="s">
        <v>579</v>
      </c>
      <c r="AE314" t="s">
        <v>566</v>
      </c>
      <c r="AF314">
        <v>1</v>
      </c>
      <c r="AG314">
        <v>113</v>
      </c>
      <c r="AH314">
        <v>162</v>
      </c>
      <c r="AI314" s="122">
        <v>8806</v>
      </c>
      <c r="AJ314" s="122">
        <v>8006</v>
      </c>
      <c r="AK314">
        <v>73</v>
      </c>
      <c r="AL314" s="122">
        <v>2264</v>
      </c>
      <c r="AM314" s="122">
        <v>2058</v>
      </c>
      <c r="AN314" s="122">
        <v>2511</v>
      </c>
      <c r="AO314">
        <v>930</v>
      </c>
      <c r="AP314">
        <v>473</v>
      </c>
      <c r="AQ314">
        <v>175</v>
      </c>
      <c r="AR314" s="122">
        <v>4156</v>
      </c>
      <c r="AS314" s="122">
        <v>3463</v>
      </c>
      <c r="AT314">
        <v>0</v>
      </c>
      <c r="AU314">
        <v>0</v>
      </c>
      <c r="AV314" s="122">
        <v>14632</v>
      </c>
    </row>
    <row r="315" spans="2:48" ht="13">
      <c r="B315" t="s">
        <v>436</v>
      </c>
      <c r="C315" t="s">
        <v>56</v>
      </c>
      <c r="D315" t="s">
        <v>405</v>
      </c>
      <c r="E315" t="s">
        <v>405</v>
      </c>
      <c r="F315" s="122">
        <v>361</v>
      </c>
      <c r="G315" s="122">
        <v>24042</v>
      </c>
      <c r="H315" s="122">
        <v>66321</v>
      </c>
      <c r="I315" s="122">
        <v>2566274</v>
      </c>
      <c r="J315" s="191">
        <v>2332976</v>
      </c>
      <c r="K315" s="122">
        <v>82</v>
      </c>
      <c r="L315" s="122">
        <v>190191</v>
      </c>
      <c r="M315" s="122">
        <v>135871</v>
      </c>
      <c r="N315" s="122">
        <v>456312</v>
      </c>
      <c r="O315" s="122">
        <v>169004</v>
      </c>
      <c r="P315" s="122">
        <v>153254</v>
      </c>
      <c r="Q315" s="122">
        <v>56761</v>
      </c>
      <c r="R315" s="122">
        <v>962200</v>
      </c>
      <c r="S315" s="122">
        <v>874727</v>
      </c>
      <c r="T315" s="122">
        <v>72164</v>
      </c>
      <c r="U315" s="122">
        <v>26727</v>
      </c>
      <c r="V315" s="122">
        <v>3596067</v>
      </c>
      <c r="W315" s="122">
        <f t="shared" si="8"/>
        <v>3596066</v>
      </c>
      <c r="X315" s="122">
        <f t="shared" si="9"/>
        <v>4400395</v>
      </c>
      <c r="Y315" s="122"/>
      <c r="AA315" t="s">
        <v>56</v>
      </c>
      <c r="AB315" t="s">
        <v>407</v>
      </c>
      <c r="AC315" t="s">
        <v>579</v>
      </c>
      <c r="AD315" t="s">
        <v>405</v>
      </c>
      <c r="AE315" t="s">
        <v>566</v>
      </c>
      <c r="AF315">
        <v>1</v>
      </c>
      <c r="AG315">
        <v>66</v>
      </c>
      <c r="AH315">
        <v>158</v>
      </c>
      <c r="AI315" s="122">
        <v>3766</v>
      </c>
      <c r="AJ315" s="122">
        <v>3424</v>
      </c>
      <c r="AK315">
        <v>91</v>
      </c>
      <c r="AL315" s="122">
        <v>1386</v>
      </c>
      <c r="AM315" s="122">
        <v>1155</v>
      </c>
      <c r="AN315" s="122">
        <v>1484</v>
      </c>
      <c r="AO315">
        <v>550</v>
      </c>
      <c r="AP315">
        <v>473</v>
      </c>
      <c r="AQ315">
        <v>175</v>
      </c>
      <c r="AR315" s="122">
        <v>3221</v>
      </c>
      <c r="AS315" s="122">
        <v>2929</v>
      </c>
      <c r="AT315">
        <v>0</v>
      </c>
      <c r="AU315">
        <v>0</v>
      </c>
      <c r="AV315" s="122">
        <v>8233</v>
      </c>
    </row>
    <row r="316" spans="2:48" ht="13">
      <c r="B316" t="s">
        <v>436</v>
      </c>
      <c r="C316" t="s">
        <v>56</v>
      </c>
      <c r="D316" t="s">
        <v>405</v>
      </c>
      <c r="E316" s="122" t="s">
        <v>137</v>
      </c>
      <c r="F316" s="122">
        <v>1</v>
      </c>
      <c r="G316" s="122">
        <v>92</v>
      </c>
      <c r="H316" s="122">
        <v>216</v>
      </c>
      <c r="I316" s="122">
        <v>7340</v>
      </c>
      <c r="J316" s="191">
        <v>6672</v>
      </c>
      <c r="K316" s="122">
        <v>81</v>
      </c>
      <c r="L316" s="122">
        <v>2292</v>
      </c>
      <c r="M316" s="122">
        <v>1910</v>
      </c>
      <c r="N316" s="122">
        <v>2230</v>
      </c>
      <c r="O316" s="122">
        <v>826</v>
      </c>
      <c r="P316" s="122">
        <v>473</v>
      </c>
      <c r="Q316" s="122">
        <v>175</v>
      </c>
      <c r="R316" s="122">
        <v>7396</v>
      </c>
      <c r="S316" s="122">
        <v>2739</v>
      </c>
      <c r="T316" s="122">
        <v>0</v>
      </c>
      <c r="U316" s="122">
        <v>0</v>
      </c>
      <c r="V316" s="122">
        <v>12323</v>
      </c>
      <c r="W316" s="122">
        <f t="shared" si="8"/>
        <v>12322</v>
      </c>
      <c r="X316" s="122">
        <f t="shared" si="9"/>
        <v>19731</v>
      </c>
      <c r="Y316" s="122"/>
      <c r="AA316" t="s">
        <v>56</v>
      </c>
      <c r="AB316" t="s">
        <v>407</v>
      </c>
      <c r="AC316" t="s">
        <v>579</v>
      </c>
      <c r="AD316" t="s">
        <v>407</v>
      </c>
      <c r="AE316" t="s">
        <v>137</v>
      </c>
      <c r="AF316">
        <v>331</v>
      </c>
      <c r="AG316" s="122">
        <v>27420</v>
      </c>
      <c r="AH316" s="122">
        <v>64563</v>
      </c>
      <c r="AI316" s="122">
        <v>2186414</v>
      </c>
      <c r="AJ316" s="122">
        <v>1987649</v>
      </c>
      <c r="AK316">
        <v>81</v>
      </c>
      <c r="AL316" s="122">
        <v>615156</v>
      </c>
      <c r="AM316" s="122">
        <v>512630</v>
      </c>
      <c r="AN316" s="122">
        <v>524611</v>
      </c>
      <c r="AO316" s="122">
        <v>194300</v>
      </c>
      <c r="AP316" s="122">
        <v>156357</v>
      </c>
      <c r="AQ316" s="122">
        <v>57910</v>
      </c>
      <c r="AR316" s="122">
        <v>1275139</v>
      </c>
      <c r="AS316" s="122">
        <v>1159217</v>
      </c>
      <c r="AT316" s="122">
        <v>590632</v>
      </c>
      <c r="AU316" s="122">
        <v>218753</v>
      </c>
      <c r="AV316" s="122">
        <v>4130459</v>
      </c>
    </row>
    <row r="317" spans="2:48" ht="13">
      <c r="B317" t="s">
        <v>436</v>
      </c>
      <c r="C317" t="s">
        <v>56</v>
      </c>
      <c r="D317" t="s">
        <v>137</v>
      </c>
      <c r="E317" t="s">
        <v>137</v>
      </c>
      <c r="F317" s="122">
        <v>164</v>
      </c>
      <c r="G317" s="122">
        <v>11363</v>
      </c>
      <c r="H317" s="122">
        <v>32396</v>
      </c>
      <c r="I317" s="122">
        <v>986977</v>
      </c>
      <c r="J317" s="191">
        <v>365547</v>
      </c>
      <c r="K317" s="122">
        <v>100</v>
      </c>
      <c r="L317" s="122">
        <v>55534</v>
      </c>
      <c r="M317" s="122">
        <v>20818</v>
      </c>
      <c r="N317" s="122">
        <v>247565</v>
      </c>
      <c r="O317" s="122">
        <v>91691</v>
      </c>
      <c r="P317" s="122">
        <v>1053</v>
      </c>
      <c r="Q317" s="122">
        <v>390</v>
      </c>
      <c r="R317" s="122">
        <v>944788</v>
      </c>
      <c r="S317" s="122">
        <v>349921</v>
      </c>
      <c r="T317">
        <v>0</v>
      </c>
      <c r="U317" s="122">
        <v>0</v>
      </c>
      <c r="V317" s="122">
        <v>828367</v>
      </c>
      <c r="W317" s="122">
        <f t="shared" si="8"/>
        <v>828367</v>
      </c>
      <c r="X317" s="122">
        <f t="shared" si="9"/>
        <v>2235917</v>
      </c>
      <c r="Y317" s="122"/>
      <c r="AA317" t="s">
        <v>56</v>
      </c>
      <c r="AB317" t="s">
        <v>407</v>
      </c>
      <c r="AC317" t="s">
        <v>579</v>
      </c>
      <c r="AD317" t="s">
        <v>407</v>
      </c>
      <c r="AE317" t="s">
        <v>566</v>
      </c>
      <c r="AF317">
        <v>817</v>
      </c>
      <c r="AG317" s="122">
        <v>64037</v>
      </c>
      <c r="AH317" s="122">
        <v>155733</v>
      </c>
      <c r="AI317" s="122">
        <v>5516290</v>
      </c>
      <c r="AJ317" s="122">
        <v>5014809</v>
      </c>
      <c r="AK317">
        <v>85</v>
      </c>
      <c r="AL317" s="122">
        <v>1671608</v>
      </c>
      <c r="AM317" s="122">
        <v>1393007</v>
      </c>
      <c r="AN317" s="122">
        <v>1232801</v>
      </c>
      <c r="AO317" s="122">
        <v>456593</v>
      </c>
      <c r="AP317" s="122">
        <v>393511</v>
      </c>
      <c r="AQ317" s="122">
        <v>145745</v>
      </c>
      <c r="AR317" s="122">
        <v>3312774</v>
      </c>
      <c r="AS317" s="122">
        <v>3011613</v>
      </c>
      <c r="AT317">
        <v>0</v>
      </c>
      <c r="AU317">
        <v>0</v>
      </c>
      <c r="AV317" s="122">
        <v>10021767</v>
      </c>
    </row>
    <row r="318" spans="2:48" ht="13">
      <c r="B318" t="s">
        <v>436</v>
      </c>
      <c r="C318" t="s">
        <v>56</v>
      </c>
      <c r="D318" t="s">
        <v>406</v>
      </c>
      <c r="E318" t="s">
        <v>137</v>
      </c>
      <c r="F318" s="122">
        <v>11</v>
      </c>
      <c r="G318" s="122">
        <v>665</v>
      </c>
      <c r="H318" s="122">
        <v>2223</v>
      </c>
      <c r="I318" s="122">
        <v>60273</v>
      </c>
      <c r="J318" s="191">
        <v>54793</v>
      </c>
      <c r="K318" s="122">
        <v>85</v>
      </c>
      <c r="L318" s="122">
        <v>1687</v>
      </c>
      <c r="M318" s="122">
        <v>625</v>
      </c>
      <c r="N318" s="122">
        <v>11086</v>
      </c>
      <c r="O318" s="122">
        <v>4106</v>
      </c>
      <c r="P318" s="122">
        <v>6831</v>
      </c>
      <c r="Q318" s="122">
        <v>2530</v>
      </c>
      <c r="R318" s="122">
        <v>55888</v>
      </c>
      <c r="S318" s="122">
        <v>20699</v>
      </c>
      <c r="T318" s="122">
        <v>0</v>
      </c>
      <c r="U318" s="122">
        <v>0</v>
      </c>
      <c r="V318" s="122">
        <v>82753</v>
      </c>
      <c r="W318" s="122">
        <f t="shared" si="8"/>
        <v>82753</v>
      </c>
      <c r="X318" s="122">
        <f t="shared" si="9"/>
        <v>135765</v>
      </c>
      <c r="Y318" s="122"/>
      <c r="AA318" t="s">
        <v>56</v>
      </c>
      <c r="AB318" t="s">
        <v>407</v>
      </c>
      <c r="AC318" t="s">
        <v>428</v>
      </c>
      <c r="AD318" t="s">
        <v>407</v>
      </c>
      <c r="AE318" t="s">
        <v>137</v>
      </c>
      <c r="AF318">
        <v>25</v>
      </c>
      <c r="AG318" s="122">
        <v>1500</v>
      </c>
      <c r="AH318" s="122">
        <v>5294</v>
      </c>
      <c r="AI318" s="122">
        <v>125321</v>
      </c>
      <c r="AJ318" s="122">
        <v>113928</v>
      </c>
      <c r="AK318">
        <v>79</v>
      </c>
      <c r="AL318" s="122">
        <v>32960</v>
      </c>
      <c r="AM318" s="122">
        <v>29963</v>
      </c>
      <c r="AN318" s="122">
        <v>21449</v>
      </c>
      <c r="AO318" s="122">
        <v>7944</v>
      </c>
      <c r="AP318" s="122">
        <v>11813</v>
      </c>
      <c r="AQ318" s="122">
        <v>4375</v>
      </c>
      <c r="AR318" s="122">
        <v>76028</v>
      </c>
      <c r="AS318" s="122">
        <v>69116</v>
      </c>
      <c r="AT318" s="122">
        <v>49919</v>
      </c>
      <c r="AU318" s="122">
        <v>18489</v>
      </c>
      <c r="AV318" s="122">
        <v>243815</v>
      </c>
    </row>
    <row r="319" spans="2:48" ht="13">
      <c r="B319" t="s">
        <v>436</v>
      </c>
      <c r="C319" t="s">
        <v>56</v>
      </c>
      <c r="D319" t="s">
        <v>406</v>
      </c>
      <c r="E319" s="122" t="s">
        <v>406</v>
      </c>
      <c r="F319" s="122">
        <v>176</v>
      </c>
      <c r="G319" s="122">
        <v>15164</v>
      </c>
      <c r="H319" s="122">
        <v>33035</v>
      </c>
      <c r="I319" s="122">
        <v>1460019</v>
      </c>
      <c r="J319" s="191">
        <v>1327290</v>
      </c>
      <c r="K319" s="122">
        <v>86</v>
      </c>
      <c r="L319" s="122">
        <v>220659</v>
      </c>
      <c r="M319" s="122">
        <v>194114</v>
      </c>
      <c r="N319" s="122">
        <v>304918</v>
      </c>
      <c r="O319" s="122">
        <v>112932</v>
      </c>
      <c r="P319" s="122">
        <v>110633</v>
      </c>
      <c r="Q319" s="122">
        <v>40975</v>
      </c>
      <c r="R319" s="122">
        <v>675840</v>
      </c>
      <c r="S319" s="122">
        <v>614400</v>
      </c>
      <c r="T319" s="122">
        <v>133366</v>
      </c>
      <c r="U319" s="122">
        <v>49395</v>
      </c>
      <c r="V319" s="122">
        <v>2339106</v>
      </c>
      <c r="W319" s="122">
        <f t="shared" si="8"/>
        <v>2339106</v>
      </c>
      <c r="X319" s="122">
        <f t="shared" si="9"/>
        <v>2905435</v>
      </c>
      <c r="Y319" s="122"/>
      <c r="AA319" t="s">
        <v>56</v>
      </c>
      <c r="AB319" t="s">
        <v>407</v>
      </c>
      <c r="AC319" t="s">
        <v>428</v>
      </c>
      <c r="AD319" t="s">
        <v>407</v>
      </c>
      <c r="AE319" t="s">
        <v>566</v>
      </c>
      <c r="AF319">
        <v>10</v>
      </c>
      <c r="AG319">
        <v>617</v>
      </c>
      <c r="AH319" s="122">
        <v>2129</v>
      </c>
      <c r="AI319" s="122">
        <v>58577</v>
      </c>
      <c r="AJ319" s="122">
        <v>53252</v>
      </c>
      <c r="AK319">
        <v>83</v>
      </c>
      <c r="AL319" s="122">
        <v>17330</v>
      </c>
      <c r="AM319" s="122">
        <v>15754</v>
      </c>
      <c r="AN319" s="122">
        <v>12029</v>
      </c>
      <c r="AO319" s="122">
        <v>4455</v>
      </c>
      <c r="AP319" s="122">
        <v>4725</v>
      </c>
      <c r="AQ319" s="122">
        <v>1750</v>
      </c>
      <c r="AR319" s="122">
        <v>37807</v>
      </c>
      <c r="AS319" s="122">
        <v>34370</v>
      </c>
      <c r="AT319">
        <v>0</v>
      </c>
      <c r="AU319">
        <v>0</v>
      </c>
      <c r="AV319" s="122">
        <v>109581</v>
      </c>
    </row>
    <row r="320" spans="2:48" ht="13">
      <c r="B320" t="s">
        <v>436</v>
      </c>
      <c r="C320" t="s">
        <v>56</v>
      </c>
      <c r="D320" t="s">
        <v>407</v>
      </c>
      <c r="E320" t="s">
        <v>407</v>
      </c>
      <c r="F320" s="122">
        <v>17</v>
      </c>
      <c r="G320" s="122">
        <v>1251</v>
      </c>
      <c r="H320" s="122">
        <v>3073</v>
      </c>
      <c r="I320" s="122">
        <v>114894</v>
      </c>
      <c r="J320" s="191">
        <v>104449</v>
      </c>
      <c r="K320" s="122">
        <v>81</v>
      </c>
      <c r="L320" s="122">
        <v>18786</v>
      </c>
      <c r="M320" s="122">
        <v>16039</v>
      </c>
      <c r="N320" s="122">
        <v>23254</v>
      </c>
      <c r="O320" s="122">
        <v>8613</v>
      </c>
      <c r="P320" s="122">
        <v>8033</v>
      </c>
      <c r="Q320" s="122">
        <v>2975</v>
      </c>
      <c r="R320" s="122">
        <v>49421</v>
      </c>
      <c r="S320" s="122">
        <v>44929</v>
      </c>
      <c r="T320" s="122">
        <v>10948</v>
      </c>
      <c r="U320" s="122">
        <v>4055</v>
      </c>
      <c r="V320" s="122">
        <v>181059</v>
      </c>
      <c r="W320" s="122">
        <f t="shared" si="8"/>
        <v>181060</v>
      </c>
      <c r="X320" s="122">
        <f t="shared" si="9"/>
        <v>225336</v>
      </c>
      <c r="Y320" s="122"/>
      <c r="AA320" t="s">
        <v>56</v>
      </c>
      <c r="AB320" t="s">
        <v>407</v>
      </c>
      <c r="AC320" t="s">
        <v>431</v>
      </c>
      <c r="AD320" t="s">
        <v>407</v>
      </c>
      <c r="AE320" t="s">
        <v>566</v>
      </c>
      <c r="AF320">
        <v>1</v>
      </c>
      <c r="AG320">
        <v>55</v>
      </c>
      <c r="AH320">
        <v>161</v>
      </c>
      <c r="AI320" s="122">
        <v>3395</v>
      </c>
      <c r="AJ320" s="122">
        <v>3087</v>
      </c>
      <c r="AK320">
        <v>90</v>
      </c>
      <c r="AL320" s="122">
        <v>1134</v>
      </c>
      <c r="AM320" s="122">
        <v>1031</v>
      </c>
      <c r="AN320">
        <v>673</v>
      </c>
      <c r="AO320">
        <v>249</v>
      </c>
      <c r="AP320">
        <v>473</v>
      </c>
      <c r="AQ320">
        <v>175</v>
      </c>
      <c r="AR320" s="122">
        <v>3237</v>
      </c>
      <c r="AS320" s="122">
        <v>2943</v>
      </c>
      <c r="AT320">
        <v>0</v>
      </c>
      <c r="AU320">
        <v>0</v>
      </c>
      <c r="AV320" s="122">
        <v>7485</v>
      </c>
    </row>
    <row r="321" spans="2:48" ht="13">
      <c r="B321" t="s">
        <v>436</v>
      </c>
      <c r="C321" t="s">
        <v>56</v>
      </c>
      <c r="D321" t="s">
        <v>556</v>
      </c>
      <c r="E321" t="s">
        <v>556</v>
      </c>
      <c r="F321" s="122">
        <v>1</v>
      </c>
      <c r="G321" s="122">
        <v>74</v>
      </c>
      <c r="H321" s="122">
        <v>215</v>
      </c>
      <c r="I321" s="122">
        <v>8259</v>
      </c>
      <c r="J321" s="191">
        <v>6882</v>
      </c>
      <c r="K321" s="122">
        <v>65</v>
      </c>
      <c r="L321" s="122">
        <v>0</v>
      </c>
      <c r="M321" s="122">
        <v>0</v>
      </c>
      <c r="N321" s="122">
        <v>907</v>
      </c>
      <c r="O321" s="122">
        <v>336</v>
      </c>
      <c r="P321" s="122">
        <v>351</v>
      </c>
      <c r="Q321" s="122">
        <v>130</v>
      </c>
      <c r="R321" s="122">
        <v>4411</v>
      </c>
      <c r="S321" s="122">
        <v>3675</v>
      </c>
      <c r="T321" s="122">
        <v>2090</v>
      </c>
      <c r="U321" s="122">
        <v>774</v>
      </c>
      <c r="V321" s="122">
        <v>11798</v>
      </c>
      <c r="W321" s="122">
        <f t="shared" si="8"/>
        <v>11797</v>
      </c>
      <c r="X321" s="122">
        <f t="shared" si="9"/>
        <v>16018</v>
      </c>
      <c r="Y321" s="122"/>
      <c r="AA321" t="s">
        <v>56</v>
      </c>
      <c r="AB321" t="s">
        <v>407</v>
      </c>
      <c r="AC321" t="s">
        <v>426</v>
      </c>
      <c r="AD321" t="s">
        <v>407</v>
      </c>
      <c r="AE321" t="s">
        <v>137</v>
      </c>
      <c r="AF321">
        <v>216</v>
      </c>
      <c r="AG321" s="122">
        <v>17202</v>
      </c>
      <c r="AH321" s="122">
        <v>40583</v>
      </c>
      <c r="AI321" s="122">
        <v>1339805</v>
      </c>
      <c r="AJ321" s="122">
        <v>1218005</v>
      </c>
      <c r="AK321">
        <v>82</v>
      </c>
      <c r="AL321" s="122">
        <v>359228</v>
      </c>
      <c r="AM321" s="122">
        <v>326571</v>
      </c>
      <c r="AN321" s="122">
        <v>347722</v>
      </c>
      <c r="AO321" s="122">
        <v>128786</v>
      </c>
      <c r="AP321" s="122">
        <v>102357</v>
      </c>
      <c r="AQ321" s="122">
        <v>37910</v>
      </c>
      <c r="AR321" s="122">
        <v>798522</v>
      </c>
      <c r="AS321" s="122">
        <v>725929</v>
      </c>
      <c r="AT321" s="122">
        <v>306471</v>
      </c>
      <c r="AU321" s="122">
        <v>113508</v>
      </c>
      <c r="AV321" s="122">
        <v>2550708</v>
      </c>
    </row>
    <row r="322" spans="2:48" ht="13">
      <c r="B322" t="s">
        <v>436</v>
      </c>
      <c r="C322" t="s">
        <v>56</v>
      </c>
      <c r="D322" t="s">
        <v>426</v>
      </c>
      <c r="E322" t="s">
        <v>426</v>
      </c>
      <c r="F322">
        <v>2</v>
      </c>
      <c r="G322">
        <v>264</v>
      </c>
      <c r="H322" s="122">
        <v>396</v>
      </c>
      <c r="I322" s="122">
        <v>30815</v>
      </c>
      <c r="J322" s="191">
        <v>28014</v>
      </c>
      <c r="K322" s="122">
        <v>60</v>
      </c>
      <c r="L322" s="122">
        <v>1061</v>
      </c>
      <c r="M322" s="122">
        <v>965</v>
      </c>
      <c r="N322" s="122">
        <v>3219</v>
      </c>
      <c r="O322" s="122">
        <v>1192</v>
      </c>
      <c r="P322">
        <v>702</v>
      </c>
      <c r="Q322" s="122">
        <v>260</v>
      </c>
      <c r="R322" s="122">
        <v>12906</v>
      </c>
      <c r="S322" s="122">
        <v>11733</v>
      </c>
      <c r="T322" s="122">
        <v>2606</v>
      </c>
      <c r="U322" s="122">
        <v>965</v>
      </c>
      <c r="V322" s="122">
        <v>43129</v>
      </c>
      <c r="W322" s="122">
        <f t="shared" si="8"/>
        <v>43129</v>
      </c>
      <c r="X322" s="122">
        <f t="shared" si="9"/>
        <v>51309</v>
      </c>
      <c r="Y322" s="122"/>
      <c r="AA322" t="s">
        <v>56</v>
      </c>
      <c r="AB322" t="s">
        <v>407</v>
      </c>
      <c r="AC322" t="s">
        <v>426</v>
      </c>
      <c r="AD322" t="s">
        <v>407</v>
      </c>
      <c r="AE322" t="s">
        <v>566</v>
      </c>
      <c r="AF322">
        <v>372</v>
      </c>
      <c r="AG322" s="122">
        <v>29398</v>
      </c>
      <c r="AH322" s="122">
        <v>69953</v>
      </c>
      <c r="AI322" s="122">
        <v>2456928</v>
      </c>
      <c r="AJ322" s="122">
        <v>2233571</v>
      </c>
      <c r="AK322">
        <v>83</v>
      </c>
      <c r="AL322" s="122">
        <v>676108</v>
      </c>
      <c r="AM322" s="122">
        <v>614643</v>
      </c>
      <c r="AN322" s="122">
        <v>585285</v>
      </c>
      <c r="AO322" s="122">
        <v>216772</v>
      </c>
      <c r="AP322" s="122">
        <v>178502</v>
      </c>
      <c r="AQ322" s="122">
        <v>66112</v>
      </c>
      <c r="AR322" s="122">
        <v>1630045</v>
      </c>
      <c r="AS322" s="122">
        <v>1481859</v>
      </c>
      <c r="AT322">
        <v>0</v>
      </c>
      <c r="AU322">
        <v>0</v>
      </c>
      <c r="AV322" s="122">
        <v>4612958</v>
      </c>
    </row>
    <row r="323" spans="2:48" ht="13">
      <c r="B323" t="s">
        <v>436</v>
      </c>
      <c r="C323" t="s">
        <v>58</v>
      </c>
      <c r="F323" s="122">
        <v>26</v>
      </c>
      <c r="G323" s="122">
        <v>1363</v>
      </c>
      <c r="H323" s="122">
        <v>6788</v>
      </c>
      <c r="I323" s="122"/>
      <c r="J323" s="66">
        <v>0</v>
      </c>
      <c r="K323" s="122"/>
      <c r="L323" s="122"/>
      <c r="M323" s="122">
        <v>0</v>
      </c>
      <c r="N323" s="122">
        <v>29213</v>
      </c>
      <c r="O323" s="122">
        <v>10820</v>
      </c>
      <c r="P323" s="122">
        <v>10368</v>
      </c>
      <c r="Q323" s="122">
        <v>3840</v>
      </c>
      <c r="R323" s="122"/>
      <c r="S323" s="122">
        <v>0</v>
      </c>
      <c r="T323" s="122">
        <v>0</v>
      </c>
      <c r="U323" s="122">
        <v>0</v>
      </c>
      <c r="V323" s="122">
        <v>14660</v>
      </c>
      <c r="W323" s="122">
        <f t="shared" si="8"/>
        <v>14660</v>
      </c>
      <c r="X323" s="122">
        <f t="shared" si="9"/>
        <v>39581</v>
      </c>
      <c r="Y323" s="122"/>
      <c r="AA323" t="s">
        <v>56</v>
      </c>
      <c r="AB323" t="s">
        <v>407</v>
      </c>
      <c r="AC323" t="s">
        <v>566</v>
      </c>
      <c r="AD323" t="s">
        <v>425</v>
      </c>
      <c r="AE323" t="s">
        <v>566</v>
      </c>
      <c r="AF323">
        <v>1</v>
      </c>
      <c r="AG323">
        <v>64</v>
      </c>
      <c r="AH323">
        <v>183</v>
      </c>
      <c r="AI323" s="122">
        <v>6441</v>
      </c>
      <c r="AJ323" s="122">
        <v>5856</v>
      </c>
      <c r="AK323">
        <v>91</v>
      </c>
      <c r="AL323">
        <v>0</v>
      </c>
      <c r="AM323">
        <v>0</v>
      </c>
      <c r="AN323" s="122">
        <v>1553</v>
      </c>
      <c r="AO323">
        <v>575</v>
      </c>
      <c r="AP323">
        <v>473</v>
      </c>
      <c r="AQ323">
        <v>175</v>
      </c>
      <c r="AR323" s="122">
        <v>3188</v>
      </c>
      <c r="AS323" s="122">
        <v>2898</v>
      </c>
      <c r="AT323">
        <v>0</v>
      </c>
      <c r="AU323">
        <v>0</v>
      </c>
      <c r="AV323" s="122">
        <v>9504</v>
      </c>
    </row>
    <row r="324" spans="2:48" ht="13">
      <c r="B324" t="s">
        <v>436</v>
      </c>
      <c r="C324" t="s">
        <v>58</v>
      </c>
      <c r="D324" t="s">
        <v>425</v>
      </c>
      <c r="E324" t="s">
        <v>405</v>
      </c>
      <c r="F324" s="122">
        <v>2</v>
      </c>
      <c r="G324" s="122">
        <v>100</v>
      </c>
      <c r="H324" s="122">
        <v>552</v>
      </c>
      <c r="I324" s="122">
        <v>15937</v>
      </c>
      <c r="J324" s="191">
        <v>14488</v>
      </c>
      <c r="K324" s="122">
        <v>65</v>
      </c>
      <c r="L324" s="122">
        <v>0</v>
      </c>
      <c r="M324" s="122">
        <v>0</v>
      </c>
      <c r="N324" s="122">
        <v>1339</v>
      </c>
      <c r="O324" s="122">
        <v>496</v>
      </c>
      <c r="P324" s="122">
        <v>945</v>
      </c>
      <c r="Q324" s="122">
        <v>350</v>
      </c>
      <c r="R324" s="122">
        <v>5889</v>
      </c>
      <c r="S324" s="122">
        <v>5354</v>
      </c>
      <c r="T324" s="122">
        <v>3309</v>
      </c>
      <c r="U324" s="122">
        <v>1226</v>
      </c>
      <c r="V324" s="122">
        <v>21913</v>
      </c>
      <c r="W324" s="122">
        <f t="shared" si="8"/>
        <v>21914</v>
      </c>
      <c r="X324" s="122">
        <f t="shared" si="9"/>
        <v>27419</v>
      </c>
      <c r="Y324" s="122"/>
      <c r="AA324" t="s">
        <v>56</v>
      </c>
      <c r="AB324" t="s">
        <v>407</v>
      </c>
      <c r="AC324" t="s">
        <v>566</v>
      </c>
      <c r="AD324" t="s">
        <v>405</v>
      </c>
      <c r="AE324" t="s">
        <v>566</v>
      </c>
      <c r="AF324">
        <v>1</v>
      </c>
      <c r="AG324">
        <v>60</v>
      </c>
      <c r="AH324">
        <v>162</v>
      </c>
      <c r="AI324" s="122">
        <v>5761</v>
      </c>
      <c r="AJ324" s="122">
        <v>5237</v>
      </c>
      <c r="AK324">
        <v>79</v>
      </c>
      <c r="AL324">
        <v>0</v>
      </c>
      <c r="AM324">
        <v>0</v>
      </c>
      <c r="AN324" s="122">
        <v>1099</v>
      </c>
      <c r="AO324">
        <v>407</v>
      </c>
      <c r="AP324">
        <v>473</v>
      </c>
      <c r="AQ324">
        <v>175</v>
      </c>
      <c r="AR324" s="122">
        <v>2391</v>
      </c>
      <c r="AS324" s="122">
        <v>2174</v>
      </c>
      <c r="AT324">
        <v>0</v>
      </c>
      <c r="AU324">
        <v>0</v>
      </c>
      <c r="AV324" s="122">
        <v>7993</v>
      </c>
    </row>
    <row r="325" spans="2:48" ht="13">
      <c r="B325" t="s">
        <v>436</v>
      </c>
      <c r="C325" t="s">
        <v>58</v>
      </c>
      <c r="D325" t="s">
        <v>405</v>
      </c>
      <c r="E325" t="s">
        <v>405</v>
      </c>
      <c r="F325">
        <v>76</v>
      </c>
      <c r="G325" s="122">
        <v>4331</v>
      </c>
      <c r="H325" s="122">
        <v>19458</v>
      </c>
      <c r="I325" s="122">
        <v>724170</v>
      </c>
      <c r="J325" s="191">
        <v>658336</v>
      </c>
      <c r="K325" s="122">
        <v>76</v>
      </c>
      <c r="L325" s="122">
        <v>49454</v>
      </c>
      <c r="M325" s="122">
        <v>37096</v>
      </c>
      <c r="N325" s="122">
        <v>86878</v>
      </c>
      <c r="O325" s="122">
        <v>32177</v>
      </c>
      <c r="P325" s="122">
        <v>34466</v>
      </c>
      <c r="Q325" s="122">
        <v>12765</v>
      </c>
      <c r="R325" s="122">
        <v>201249</v>
      </c>
      <c r="S325" s="122">
        <v>182954</v>
      </c>
      <c r="T325" s="122">
        <v>5808</v>
      </c>
      <c r="U325" s="122">
        <v>2151</v>
      </c>
      <c r="V325" s="122">
        <v>925479</v>
      </c>
      <c r="W325" s="122">
        <f t="shared" si="8"/>
        <v>925479</v>
      </c>
      <c r="X325" s="122">
        <f t="shared" si="9"/>
        <v>1102025</v>
      </c>
      <c r="Y325" s="122"/>
      <c r="AA325" t="s">
        <v>56</v>
      </c>
      <c r="AB325" t="s">
        <v>407</v>
      </c>
      <c r="AC325" t="s">
        <v>566</v>
      </c>
      <c r="AD325" t="s">
        <v>137</v>
      </c>
      <c r="AE325" t="s">
        <v>137</v>
      </c>
      <c r="AF325">
        <v>1</v>
      </c>
      <c r="AG325">
        <v>42</v>
      </c>
      <c r="AH325">
        <v>200</v>
      </c>
      <c r="AI325" s="122">
        <v>1413</v>
      </c>
      <c r="AJ325" s="122">
        <v>1285</v>
      </c>
      <c r="AK325">
        <v>68</v>
      </c>
      <c r="AL325">
        <v>0</v>
      </c>
      <c r="AM325">
        <v>92</v>
      </c>
      <c r="AN325">
        <v>517</v>
      </c>
      <c r="AO325">
        <v>192</v>
      </c>
      <c r="AP325">
        <v>473</v>
      </c>
      <c r="AQ325">
        <v>175</v>
      </c>
      <c r="AR325" s="122">
        <v>6106</v>
      </c>
      <c r="AS325" s="122">
        <v>2261</v>
      </c>
      <c r="AT325">
        <v>0</v>
      </c>
      <c r="AU325">
        <v>0</v>
      </c>
      <c r="AV325" s="122">
        <v>4005</v>
      </c>
    </row>
    <row r="326" spans="2:48" ht="13">
      <c r="B326" t="s">
        <v>436</v>
      </c>
      <c r="C326" t="s">
        <v>58</v>
      </c>
      <c r="D326" t="s">
        <v>405</v>
      </c>
      <c r="E326" t="s">
        <v>406</v>
      </c>
      <c r="F326" s="122">
        <v>1</v>
      </c>
      <c r="G326" s="122">
        <v>67</v>
      </c>
      <c r="H326" s="122">
        <v>267</v>
      </c>
      <c r="I326" s="122">
        <v>10597</v>
      </c>
      <c r="J326" s="191">
        <v>9633</v>
      </c>
      <c r="K326" s="122">
        <v>78</v>
      </c>
      <c r="L326" s="122">
        <v>3181</v>
      </c>
      <c r="M326" s="122">
        <v>2651</v>
      </c>
      <c r="N326" s="122">
        <v>1224</v>
      </c>
      <c r="O326">
        <v>453</v>
      </c>
      <c r="P326">
        <v>351</v>
      </c>
      <c r="Q326" s="122">
        <v>130</v>
      </c>
      <c r="R326" s="122">
        <v>2563</v>
      </c>
      <c r="S326" s="122">
        <v>2330</v>
      </c>
      <c r="T326">
        <v>0</v>
      </c>
      <c r="U326" s="122">
        <v>0</v>
      </c>
      <c r="V326" s="122">
        <v>15198</v>
      </c>
      <c r="W326" s="122">
        <f t="shared" si="8"/>
        <v>15197</v>
      </c>
      <c r="X326" s="122">
        <f t="shared" si="9"/>
        <v>17916</v>
      </c>
      <c r="Y326" s="122"/>
      <c r="AA326" t="s">
        <v>56</v>
      </c>
      <c r="AB326" t="s">
        <v>407</v>
      </c>
      <c r="AC326" t="s">
        <v>566</v>
      </c>
      <c r="AD326" t="s">
        <v>137</v>
      </c>
      <c r="AE326" t="s">
        <v>566</v>
      </c>
      <c r="AF326">
        <v>104</v>
      </c>
      <c r="AG326" s="122">
        <v>6371</v>
      </c>
      <c r="AH326" s="122">
        <v>20134</v>
      </c>
      <c r="AI326" s="122">
        <v>445217</v>
      </c>
      <c r="AJ326" s="122">
        <v>404743</v>
      </c>
      <c r="AK326">
        <v>81</v>
      </c>
      <c r="AL326">
        <v>0</v>
      </c>
      <c r="AM326">
        <v>721</v>
      </c>
      <c r="AN326" s="122">
        <v>129313</v>
      </c>
      <c r="AO326" s="122">
        <v>47894</v>
      </c>
      <c r="AP326" s="122">
        <v>48303</v>
      </c>
      <c r="AQ326" s="122">
        <v>17890</v>
      </c>
      <c r="AR326" s="122">
        <v>612681</v>
      </c>
      <c r="AS326" s="122">
        <v>226919</v>
      </c>
      <c r="AT326">
        <v>0</v>
      </c>
      <c r="AU326">
        <v>0</v>
      </c>
      <c r="AV326" s="122">
        <v>698167</v>
      </c>
    </row>
    <row r="327" spans="2:48" ht="13">
      <c r="B327" t="s">
        <v>436</v>
      </c>
      <c r="C327" t="s">
        <v>58</v>
      </c>
      <c r="D327" t="s">
        <v>137</v>
      </c>
      <c r="E327" t="s">
        <v>137</v>
      </c>
      <c r="F327" s="122">
        <v>287</v>
      </c>
      <c r="G327" s="122">
        <v>17868</v>
      </c>
      <c r="H327" s="122">
        <v>75998</v>
      </c>
      <c r="I327" s="122">
        <v>2520158</v>
      </c>
      <c r="J327" s="191">
        <v>933392</v>
      </c>
      <c r="K327" s="122">
        <v>100</v>
      </c>
      <c r="L327" s="122">
        <v>196751</v>
      </c>
      <c r="M327" s="122">
        <v>76257</v>
      </c>
      <c r="N327" s="122">
        <v>367644</v>
      </c>
      <c r="O327" s="122">
        <v>136164</v>
      </c>
      <c r="P327" s="122">
        <v>1967</v>
      </c>
      <c r="Q327" s="122">
        <v>729</v>
      </c>
      <c r="R327" s="122">
        <v>1626457</v>
      </c>
      <c r="S327" s="122">
        <v>602391</v>
      </c>
      <c r="T327">
        <v>0</v>
      </c>
      <c r="U327" s="122">
        <v>0</v>
      </c>
      <c r="V327" s="122">
        <v>1748933</v>
      </c>
      <c r="W327" s="122">
        <f t="shared" ref="W327:W390" si="10">SUM(ABS(J327),ABS(M327),ABS(O327),ABS(Q327),ABS(S327),ABS(U327))</f>
        <v>1748933</v>
      </c>
      <c r="X327" s="122">
        <f t="shared" ref="X327:X390" si="11">SUM(ABS(I327),ABS(N327),ABS(P327),ABS(R327),ABS(T327),ABS(L327))</f>
        <v>4712977</v>
      </c>
      <c r="Y327" s="122"/>
      <c r="AA327" t="s">
        <v>56</v>
      </c>
      <c r="AB327" t="s">
        <v>407</v>
      </c>
      <c r="AC327" t="s">
        <v>566</v>
      </c>
      <c r="AD327" t="s">
        <v>407</v>
      </c>
      <c r="AE327" t="s">
        <v>137</v>
      </c>
      <c r="AF327" s="122">
        <v>3288</v>
      </c>
      <c r="AG327" s="122">
        <v>225337</v>
      </c>
      <c r="AH327" s="122">
        <v>604250</v>
      </c>
      <c r="AI327" s="122">
        <v>18369766</v>
      </c>
      <c r="AJ327" s="122">
        <v>16699787</v>
      </c>
      <c r="AK327">
        <v>79</v>
      </c>
      <c r="AL327">
        <v>0</v>
      </c>
      <c r="AM327" s="122">
        <v>211817</v>
      </c>
      <c r="AN327" s="122">
        <v>4600208</v>
      </c>
      <c r="AO327" s="122">
        <v>1703781</v>
      </c>
      <c r="AP327" s="122">
        <v>1557196</v>
      </c>
      <c r="AQ327" s="122">
        <v>576739</v>
      </c>
      <c r="AR327" s="122">
        <v>11341827</v>
      </c>
      <c r="AS327" s="122">
        <v>10310752</v>
      </c>
      <c r="AT327" s="122">
        <v>5421130</v>
      </c>
      <c r="AU327" s="122">
        <v>2007826</v>
      </c>
      <c r="AV327" s="122">
        <v>31510702</v>
      </c>
    </row>
    <row r="328" spans="2:48" ht="13">
      <c r="B328" t="s">
        <v>436</v>
      </c>
      <c r="C328" t="s">
        <v>58</v>
      </c>
      <c r="D328" t="s">
        <v>406</v>
      </c>
      <c r="E328" t="s">
        <v>137</v>
      </c>
      <c r="F328">
        <v>13</v>
      </c>
      <c r="G328" s="122">
        <v>649</v>
      </c>
      <c r="H328" s="122">
        <v>3473</v>
      </c>
      <c r="I328" s="122">
        <v>78520</v>
      </c>
      <c r="J328" s="191">
        <v>71382</v>
      </c>
      <c r="K328" s="122">
        <v>80</v>
      </c>
      <c r="L328" s="122">
        <v>2579</v>
      </c>
      <c r="M328" s="122">
        <v>1750</v>
      </c>
      <c r="N328" s="122">
        <v>15040</v>
      </c>
      <c r="O328" s="122">
        <v>5571</v>
      </c>
      <c r="P328" s="122">
        <v>8073</v>
      </c>
      <c r="Q328" s="122">
        <v>2990</v>
      </c>
      <c r="R328" s="122">
        <v>70166</v>
      </c>
      <c r="S328" s="122">
        <v>25987</v>
      </c>
      <c r="T328">
        <v>0</v>
      </c>
      <c r="U328" s="122">
        <v>0</v>
      </c>
      <c r="V328" s="122">
        <v>107680</v>
      </c>
      <c r="W328" s="122">
        <f t="shared" si="10"/>
        <v>107680</v>
      </c>
      <c r="X328" s="122">
        <f t="shared" si="11"/>
        <v>174378</v>
      </c>
      <c r="Y328" s="122"/>
      <c r="AA328" t="s">
        <v>56</v>
      </c>
      <c r="AB328" t="s">
        <v>407</v>
      </c>
      <c r="AC328" t="s">
        <v>566</v>
      </c>
      <c r="AD328" t="s">
        <v>407</v>
      </c>
      <c r="AE328" t="s">
        <v>566</v>
      </c>
      <c r="AF328" s="122">
        <v>10450</v>
      </c>
      <c r="AG328" s="122">
        <v>691192</v>
      </c>
      <c r="AH328" s="122">
        <v>1867717</v>
      </c>
      <c r="AI328" s="122">
        <v>63948306</v>
      </c>
      <c r="AJ328" s="122">
        <v>58134823</v>
      </c>
      <c r="AK328">
        <v>81</v>
      </c>
      <c r="AL328" s="122">
        <v>1411</v>
      </c>
      <c r="AM328" s="122">
        <v>64161</v>
      </c>
      <c r="AN328" s="122">
        <v>14255365</v>
      </c>
      <c r="AO328" s="122">
        <v>5279764</v>
      </c>
      <c r="AP328" s="122">
        <v>5143253</v>
      </c>
      <c r="AQ328" s="122">
        <v>1904909</v>
      </c>
      <c r="AR328" s="122">
        <v>39496166</v>
      </c>
      <c r="AS328" s="122">
        <v>35905605</v>
      </c>
      <c r="AT328">
        <v>0</v>
      </c>
      <c r="AU328">
        <v>0</v>
      </c>
      <c r="AV328" s="122">
        <v>101289261</v>
      </c>
    </row>
    <row r="329" spans="2:48" ht="13">
      <c r="B329" t="s">
        <v>436</v>
      </c>
      <c r="C329" t="s">
        <v>58</v>
      </c>
      <c r="D329" t="s">
        <v>406</v>
      </c>
      <c r="E329" t="s">
        <v>406</v>
      </c>
      <c r="F329" s="122">
        <v>76</v>
      </c>
      <c r="G329" s="122">
        <v>6094</v>
      </c>
      <c r="H329" s="122">
        <v>19627</v>
      </c>
      <c r="I329" s="122">
        <v>869901</v>
      </c>
      <c r="J329" s="191">
        <v>790820</v>
      </c>
      <c r="K329" s="122">
        <v>82</v>
      </c>
      <c r="L329" s="122">
        <v>142623</v>
      </c>
      <c r="M329" s="122">
        <v>116207</v>
      </c>
      <c r="N329" s="122">
        <v>124471</v>
      </c>
      <c r="O329" s="122">
        <v>46101</v>
      </c>
      <c r="P329" s="122">
        <v>47979</v>
      </c>
      <c r="Q329" s="122">
        <v>17770</v>
      </c>
      <c r="R329" s="122">
        <v>311444</v>
      </c>
      <c r="S329" s="122">
        <v>283131</v>
      </c>
      <c r="T329" s="122">
        <v>100094</v>
      </c>
      <c r="U329" s="122">
        <v>37072</v>
      </c>
      <c r="V329" s="122">
        <v>1291099</v>
      </c>
      <c r="W329" s="122">
        <f t="shared" si="10"/>
        <v>1291101</v>
      </c>
      <c r="X329" s="122">
        <f t="shared" si="11"/>
        <v>1596512</v>
      </c>
      <c r="Y329" s="122"/>
      <c r="AA329" t="s">
        <v>56</v>
      </c>
      <c r="AB329" t="s">
        <v>407</v>
      </c>
      <c r="AC329" t="s">
        <v>566</v>
      </c>
      <c r="AD329" t="s">
        <v>426</v>
      </c>
      <c r="AE329" t="s">
        <v>137</v>
      </c>
      <c r="AF329">
        <v>1</v>
      </c>
      <c r="AG329">
        <v>67</v>
      </c>
      <c r="AH329">
        <v>157</v>
      </c>
      <c r="AI329" s="122">
        <v>3191</v>
      </c>
      <c r="AJ329" s="122">
        <v>2901</v>
      </c>
      <c r="AK329">
        <v>69</v>
      </c>
      <c r="AL329">
        <v>0</v>
      </c>
      <c r="AM329">
        <v>0</v>
      </c>
      <c r="AN329" s="122">
        <v>1141</v>
      </c>
      <c r="AO329">
        <v>423</v>
      </c>
      <c r="AP329">
        <v>473</v>
      </c>
      <c r="AQ329">
        <v>175</v>
      </c>
      <c r="AR329" s="122">
        <v>5706</v>
      </c>
      <c r="AS329" s="122">
        <v>5187</v>
      </c>
      <c r="AT329">
        <v>0</v>
      </c>
      <c r="AU329">
        <v>0</v>
      </c>
      <c r="AV329" s="122">
        <v>8685</v>
      </c>
    </row>
    <row r="330" spans="2:48" ht="13">
      <c r="B330" t="s">
        <v>436</v>
      </c>
      <c r="C330" t="s">
        <v>58</v>
      </c>
      <c r="D330" t="s">
        <v>407</v>
      </c>
      <c r="E330" t="s">
        <v>407</v>
      </c>
      <c r="F330" s="122">
        <v>3</v>
      </c>
      <c r="G330" s="122">
        <v>209</v>
      </c>
      <c r="H330" s="122">
        <v>734</v>
      </c>
      <c r="I330" s="122">
        <v>28885</v>
      </c>
      <c r="J330" s="191">
        <v>26259</v>
      </c>
      <c r="K330" s="122">
        <v>74</v>
      </c>
      <c r="L330" s="122">
        <v>5431</v>
      </c>
      <c r="M330" s="122">
        <v>4754</v>
      </c>
      <c r="N330" s="122">
        <v>4377</v>
      </c>
      <c r="O330" s="122">
        <v>1621</v>
      </c>
      <c r="P330" s="122">
        <v>1418</v>
      </c>
      <c r="Q330" s="122">
        <v>525</v>
      </c>
      <c r="R330" s="122">
        <v>11131</v>
      </c>
      <c r="S330" s="122">
        <v>10119</v>
      </c>
      <c r="T330">
        <v>0</v>
      </c>
      <c r="U330" s="122">
        <v>0</v>
      </c>
      <c r="V330" s="122">
        <v>43279</v>
      </c>
      <c r="W330" s="122">
        <f t="shared" si="10"/>
        <v>43278</v>
      </c>
      <c r="X330" s="122">
        <f t="shared" si="11"/>
        <v>51242</v>
      </c>
      <c r="Y330" s="122"/>
      <c r="AA330" t="s">
        <v>56</v>
      </c>
      <c r="AB330" t="s">
        <v>407</v>
      </c>
      <c r="AC330" t="s">
        <v>481</v>
      </c>
      <c r="AD330" t="s">
        <v>407</v>
      </c>
      <c r="AE330" t="s">
        <v>566</v>
      </c>
      <c r="AF330">
        <v>1</v>
      </c>
      <c r="AG330">
        <v>119</v>
      </c>
      <c r="AH330">
        <v>184</v>
      </c>
      <c r="AI330" s="122">
        <v>10327</v>
      </c>
      <c r="AJ330" s="122">
        <v>9388</v>
      </c>
      <c r="AK330">
        <v>79</v>
      </c>
      <c r="AL330" s="122">
        <v>2869</v>
      </c>
      <c r="AM330" s="122">
        <v>2608</v>
      </c>
      <c r="AN330" s="122">
        <v>1854</v>
      </c>
      <c r="AO330">
        <v>687</v>
      </c>
      <c r="AP330">
        <v>473</v>
      </c>
      <c r="AQ330">
        <v>175</v>
      </c>
      <c r="AR330" s="122">
        <v>6395</v>
      </c>
      <c r="AS330" s="122">
        <v>5814</v>
      </c>
      <c r="AT330">
        <v>0</v>
      </c>
      <c r="AU330">
        <v>0</v>
      </c>
      <c r="AV330" s="122">
        <v>18672</v>
      </c>
    </row>
    <row r="331" spans="2:48" ht="13">
      <c r="B331" t="s">
        <v>436</v>
      </c>
      <c r="C331" t="s">
        <v>58</v>
      </c>
      <c r="D331" t="s">
        <v>426</v>
      </c>
      <c r="E331" t="s">
        <v>426</v>
      </c>
      <c r="F331" s="122">
        <v>3</v>
      </c>
      <c r="G331" s="122">
        <v>399</v>
      </c>
      <c r="H331" s="122">
        <v>825</v>
      </c>
      <c r="I331" s="122">
        <v>68297</v>
      </c>
      <c r="J331" s="191">
        <v>62088</v>
      </c>
      <c r="K331" s="122">
        <v>65</v>
      </c>
      <c r="L331" s="122">
        <v>5770</v>
      </c>
      <c r="M331" s="122">
        <v>5246</v>
      </c>
      <c r="N331" s="122">
        <v>9366</v>
      </c>
      <c r="O331" s="122">
        <v>3469</v>
      </c>
      <c r="P331" s="122">
        <v>2943</v>
      </c>
      <c r="Q331" s="122">
        <v>1090</v>
      </c>
      <c r="R331" s="122">
        <v>14005</v>
      </c>
      <c r="S331" s="122">
        <v>12732</v>
      </c>
      <c r="T331" s="122">
        <v>8288</v>
      </c>
      <c r="U331" s="122">
        <v>3070</v>
      </c>
      <c r="V331" s="122">
        <v>87694</v>
      </c>
      <c r="W331" s="122">
        <f t="shared" si="10"/>
        <v>87695</v>
      </c>
      <c r="X331" s="122">
        <f t="shared" si="11"/>
        <v>108669</v>
      </c>
      <c r="Y331" s="122"/>
      <c r="AA331" t="s">
        <v>56</v>
      </c>
      <c r="AB331" t="s">
        <v>407</v>
      </c>
      <c r="AC331" t="s">
        <v>433</v>
      </c>
      <c r="AD331" t="s">
        <v>407</v>
      </c>
      <c r="AE331" t="s">
        <v>137</v>
      </c>
      <c r="AF331">
        <v>3</v>
      </c>
      <c r="AG331">
        <v>251</v>
      </c>
      <c r="AH331">
        <v>564</v>
      </c>
      <c r="AI331" s="122">
        <v>18374</v>
      </c>
      <c r="AJ331" s="122">
        <v>16704</v>
      </c>
      <c r="AK331">
        <v>83</v>
      </c>
      <c r="AL331" s="122">
        <v>4847</v>
      </c>
      <c r="AM331" s="122">
        <v>4406</v>
      </c>
      <c r="AN331" s="122">
        <v>5494</v>
      </c>
      <c r="AO331" s="122">
        <v>2035</v>
      </c>
      <c r="AP331" s="122">
        <v>1296</v>
      </c>
      <c r="AQ331">
        <v>480</v>
      </c>
      <c r="AR331" s="122">
        <v>14877</v>
      </c>
      <c r="AS331" s="122">
        <v>13524</v>
      </c>
      <c r="AT331" s="122">
        <v>2206</v>
      </c>
      <c r="AU331">
        <v>817</v>
      </c>
      <c r="AV331" s="122">
        <v>37966</v>
      </c>
    </row>
    <row r="332" spans="2:48" ht="13">
      <c r="B332" t="s">
        <v>436</v>
      </c>
      <c r="C332" t="s">
        <v>60</v>
      </c>
      <c r="F332" s="122">
        <v>7</v>
      </c>
      <c r="G332" s="122">
        <v>426</v>
      </c>
      <c r="H332" s="122">
        <v>2336</v>
      </c>
      <c r="I332" s="122"/>
      <c r="J332" s="191">
        <v>0</v>
      </c>
      <c r="K332" s="122"/>
      <c r="L332" s="122"/>
      <c r="M332" s="122">
        <v>0</v>
      </c>
      <c r="N332" s="122">
        <v>8929</v>
      </c>
      <c r="O332" s="122">
        <v>3307</v>
      </c>
      <c r="P332" s="122">
        <v>3807</v>
      </c>
      <c r="Q332" s="122">
        <v>1410</v>
      </c>
      <c r="R332" s="122"/>
      <c r="S332">
        <v>0</v>
      </c>
      <c r="T332">
        <v>0</v>
      </c>
      <c r="U332" s="122">
        <v>0</v>
      </c>
      <c r="V332" s="122">
        <v>4717</v>
      </c>
      <c r="W332" s="122">
        <f t="shared" si="10"/>
        <v>4717</v>
      </c>
      <c r="X332" s="122">
        <f t="shared" si="11"/>
        <v>12736</v>
      </c>
      <c r="Y332" s="122"/>
      <c r="AA332" t="s">
        <v>56</v>
      </c>
      <c r="AB332" t="s">
        <v>407</v>
      </c>
      <c r="AC332" t="s">
        <v>433</v>
      </c>
      <c r="AD332" t="s">
        <v>407</v>
      </c>
      <c r="AE332" t="s">
        <v>566</v>
      </c>
      <c r="AF332">
        <v>48</v>
      </c>
      <c r="AG332" s="122">
        <v>3555</v>
      </c>
      <c r="AH332" s="122">
        <v>8663</v>
      </c>
      <c r="AI332" s="122">
        <v>307463</v>
      </c>
      <c r="AJ332" s="122">
        <v>279512</v>
      </c>
      <c r="AK332">
        <v>88</v>
      </c>
      <c r="AL332" s="122">
        <v>76914</v>
      </c>
      <c r="AM332" s="122">
        <v>69922</v>
      </c>
      <c r="AN332" s="122">
        <v>61762</v>
      </c>
      <c r="AO332" s="122">
        <v>22875</v>
      </c>
      <c r="AP332" s="122">
        <v>23306</v>
      </c>
      <c r="AQ332" s="122">
        <v>8632</v>
      </c>
      <c r="AR332" s="122">
        <v>175166</v>
      </c>
      <c r="AS332" s="122">
        <v>159242</v>
      </c>
      <c r="AT332">
        <v>0</v>
      </c>
      <c r="AU332">
        <v>0</v>
      </c>
      <c r="AV332" s="122">
        <v>540183</v>
      </c>
    </row>
    <row r="333" spans="2:48" ht="13">
      <c r="B333" t="s">
        <v>436</v>
      </c>
      <c r="C333" t="s">
        <v>60</v>
      </c>
      <c r="D333" t="s">
        <v>405</v>
      </c>
      <c r="E333" t="s">
        <v>405</v>
      </c>
      <c r="F333" s="122">
        <v>21</v>
      </c>
      <c r="G333" s="122">
        <v>1168</v>
      </c>
      <c r="H333" s="122">
        <v>7105</v>
      </c>
      <c r="I333" s="122">
        <v>305357</v>
      </c>
      <c r="J333" s="191">
        <v>277597</v>
      </c>
      <c r="K333" s="122">
        <v>75</v>
      </c>
      <c r="L333" s="122">
        <v>5941</v>
      </c>
      <c r="M333" s="122">
        <v>5401</v>
      </c>
      <c r="N333" s="122">
        <v>23051</v>
      </c>
      <c r="O333" s="122">
        <v>8537</v>
      </c>
      <c r="P333" s="122">
        <v>9801</v>
      </c>
      <c r="Q333" s="122">
        <v>3630</v>
      </c>
      <c r="R333" s="122">
        <v>50954</v>
      </c>
      <c r="S333" s="122">
        <v>46322</v>
      </c>
      <c r="T333" s="122">
        <v>3213</v>
      </c>
      <c r="U333" s="122">
        <v>1190</v>
      </c>
      <c r="V333" s="122">
        <v>342677</v>
      </c>
      <c r="W333" s="122">
        <f t="shared" si="10"/>
        <v>342677</v>
      </c>
      <c r="X333" s="122">
        <f t="shared" si="11"/>
        <v>398317</v>
      </c>
      <c r="Y333" s="122"/>
      <c r="AA333" t="s">
        <v>56</v>
      </c>
      <c r="AB333" t="s">
        <v>407</v>
      </c>
      <c r="AC333" t="s">
        <v>429</v>
      </c>
      <c r="AD333" t="s">
        <v>407</v>
      </c>
      <c r="AE333" t="s">
        <v>566</v>
      </c>
      <c r="AF333">
        <v>2</v>
      </c>
      <c r="AG333">
        <v>200</v>
      </c>
      <c r="AH333">
        <v>383</v>
      </c>
      <c r="AI333" s="122">
        <v>19480</v>
      </c>
      <c r="AJ333" s="122">
        <v>17709</v>
      </c>
      <c r="AK333">
        <v>90</v>
      </c>
      <c r="AL333" s="122">
        <v>2859</v>
      </c>
      <c r="AM333" s="122">
        <v>2599</v>
      </c>
      <c r="AN333" s="122">
        <v>4268</v>
      </c>
      <c r="AO333" s="122">
        <v>1581</v>
      </c>
      <c r="AP333">
        <v>945</v>
      </c>
      <c r="AQ333">
        <v>350</v>
      </c>
      <c r="AR333" s="122">
        <v>9869</v>
      </c>
      <c r="AS333" s="122">
        <v>8972</v>
      </c>
      <c r="AT333">
        <v>0</v>
      </c>
      <c r="AU333">
        <v>0</v>
      </c>
      <c r="AV333" s="122">
        <v>31211</v>
      </c>
    </row>
    <row r="334" spans="2:48" ht="13">
      <c r="B334" t="s">
        <v>436</v>
      </c>
      <c r="C334" t="s">
        <v>60</v>
      </c>
      <c r="D334" t="s">
        <v>137</v>
      </c>
      <c r="E334" t="s">
        <v>137</v>
      </c>
      <c r="F334">
        <v>222</v>
      </c>
      <c r="G334" s="122">
        <v>13054</v>
      </c>
      <c r="H334" s="122">
        <v>75114</v>
      </c>
      <c r="I334" s="122">
        <v>2566716</v>
      </c>
      <c r="J334" s="191">
        <v>950636</v>
      </c>
      <c r="K334" s="122">
        <v>100</v>
      </c>
      <c r="L334" s="122">
        <v>271098</v>
      </c>
      <c r="M334" s="122">
        <v>118781</v>
      </c>
      <c r="N334" s="122">
        <v>265709</v>
      </c>
      <c r="O334" s="122">
        <v>98411</v>
      </c>
      <c r="P334" s="122">
        <v>3510</v>
      </c>
      <c r="Q334" s="122">
        <v>1300</v>
      </c>
      <c r="R334" s="122">
        <v>1301466</v>
      </c>
      <c r="S334" s="122">
        <v>482025</v>
      </c>
      <c r="T334">
        <v>0</v>
      </c>
      <c r="U334" s="122">
        <v>0</v>
      </c>
      <c r="V334" s="122">
        <v>1651152</v>
      </c>
      <c r="W334" s="122">
        <f t="shared" si="10"/>
        <v>1651153</v>
      </c>
      <c r="X334" s="122">
        <f t="shared" si="11"/>
        <v>4408499</v>
      </c>
      <c r="Y334" s="122"/>
      <c r="AA334" t="s">
        <v>56</v>
      </c>
      <c r="AB334" t="s">
        <v>579</v>
      </c>
      <c r="AC334" t="s">
        <v>566</v>
      </c>
      <c r="AD334" t="s">
        <v>579</v>
      </c>
      <c r="AE334" t="s">
        <v>137</v>
      </c>
      <c r="AF334">
        <v>1</v>
      </c>
      <c r="AG334">
        <v>74</v>
      </c>
      <c r="AH334">
        <v>215</v>
      </c>
      <c r="AI334" s="122">
        <v>8259</v>
      </c>
      <c r="AJ334" s="122">
        <v>6882</v>
      </c>
      <c r="AK334">
        <v>65</v>
      </c>
      <c r="AL334">
        <v>0</v>
      </c>
      <c r="AM334">
        <v>0</v>
      </c>
      <c r="AN334">
        <v>907</v>
      </c>
      <c r="AO334">
        <v>336</v>
      </c>
      <c r="AP334">
        <v>351</v>
      </c>
      <c r="AQ334">
        <v>130</v>
      </c>
      <c r="AR334" s="122">
        <v>4411</v>
      </c>
      <c r="AS334" s="122">
        <v>3675</v>
      </c>
      <c r="AT334" s="122">
        <v>2090</v>
      </c>
      <c r="AU334">
        <v>774</v>
      </c>
      <c r="AV334" s="122">
        <v>11798</v>
      </c>
    </row>
    <row r="335" spans="2:48" ht="13">
      <c r="B335" t="s">
        <v>436</v>
      </c>
      <c r="C335" t="s">
        <v>60</v>
      </c>
      <c r="D335" t="s">
        <v>406</v>
      </c>
      <c r="E335" s="122" t="s">
        <v>137</v>
      </c>
      <c r="F335" s="122">
        <v>7</v>
      </c>
      <c r="G335" s="122">
        <v>353</v>
      </c>
      <c r="H335" s="122">
        <v>2171</v>
      </c>
      <c r="I335" s="122">
        <v>42235</v>
      </c>
      <c r="J335" s="191">
        <v>38395</v>
      </c>
      <c r="K335" s="122">
        <v>80</v>
      </c>
      <c r="L335" s="122">
        <v>6875</v>
      </c>
      <c r="M335" s="122">
        <v>4096</v>
      </c>
      <c r="N335" s="122">
        <v>8190</v>
      </c>
      <c r="O335" s="122">
        <v>3033</v>
      </c>
      <c r="P335" s="122">
        <v>4347</v>
      </c>
      <c r="Q335" s="122">
        <v>1610</v>
      </c>
      <c r="R335" s="122">
        <v>47986</v>
      </c>
      <c r="S335" s="122">
        <v>17773</v>
      </c>
      <c r="T335" s="122">
        <v>0</v>
      </c>
      <c r="U335" s="122">
        <v>0</v>
      </c>
      <c r="V335" s="122">
        <v>64907</v>
      </c>
      <c r="W335" s="122">
        <f t="shared" si="10"/>
        <v>64907</v>
      </c>
      <c r="X335" s="122">
        <f t="shared" si="11"/>
        <v>109633</v>
      </c>
      <c r="Y335" s="122"/>
      <c r="AA335" t="s">
        <v>56</v>
      </c>
      <c r="AB335" t="s">
        <v>431</v>
      </c>
      <c r="AC335" t="s">
        <v>566</v>
      </c>
      <c r="AD335" t="s">
        <v>431</v>
      </c>
      <c r="AE335" t="s">
        <v>137</v>
      </c>
      <c r="AF335">
        <v>1</v>
      </c>
      <c r="AG335">
        <v>69</v>
      </c>
      <c r="AH335">
        <v>194</v>
      </c>
      <c r="AI335" s="122">
        <v>5574</v>
      </c>
      <c r="AJ335" s="122">
        <v>5067</v>
      </c>
      <c r="AK335">
        <v>65</v>
      </c>
      <c r="AL335">
        <v>0</v>
      </c>
      <c r="AM335">
        <v>0</v>
      </c>
      <c r="AN335" s="122">
        <v>1616</v>
      </c>
      <c r="AO335">
        <v>599</v>
      </c>
      <c r="AP335">
        <v>351</v>
      </c>
      <c r="AQ335">
        <v>130</v>
      </c>
      <c r="AR335" s="122">
        <v>3893</v>
      </c>
      <c r="AS335" s="122">
        <v>3539</v>
      </c>
      <c r="AT335" s="122">
        <v>1973</v>
      </c>
      <c r="AU335">
        <v>731</v>
      </c>
      <c r="AV335" s="122">
        <v>10066</v>
      </c>
    </row>
    <row r="336" spans="2:48" ht="13">
      <c r="B336" t="s">
        <v>436</v>
      </c>
      <c r="C336" t="s">
        <v>60</v>
      </c>
      <c r="D336" t="s">
        <v>406</v>
      </c>
      <c r="E336" t="s">
        <v>406</v>
      </c>
      <c r="F336" s="122">
        <v>29</v>
      </c>
      <c r="G336" s="122">
        <v>2556</v>
      </c>
      <c r="H336" s="122">
        <v>9844</v>
      </c>
      <c r="I336" s="122">
        <v>564219</v>
      </c>
      <c r="J336" s="191">
        <v>512926</v>
      </c>
      <c r="K336" s="122">
        <v>79</v>
      </c>
      <c r="L336" s="122">
        <v>84298</v>
      </c>
      <c r="M336" s="122">
        <v>72818</v>
      </c>
      <c r="N336" s="122">
        <v>54254</v>
      </c>
      <c r="O336" s="122">
        <v>20094</v>
      </c>
      <c r="P336" s="122">
        <v>18792</v>
      </c>
      <c r="Q336" s="122">
        <v>6960</v>
      </c>
      <c r="R336" s="122">
        <v>123702</v>
      </c>
      <c r="S336" s="122">
        <v>112456</v>
      </c>
      <c r="T336" s="122">
        <v>52951</v>
      </c>
      <c r="U336" s="122">
        <v>19612</v>
      </c>
      <c r="V336" s="122">
        <v>744866</v>
      </c>
      <c r="W336" s="122">
        <f t="shared" si="10"/>
        <v>744866</v>
      </c>
      <c r="X336" s="122">
        <f t="shared" si="11"/>
        <v>898216</v>
      </c>
      <c r="Y336" s="122"/>
      <c r="AA336" t="s">
        <v>56</v>
      </c>
      <c r="AB336" t="s">
        <v>426</v>
      </c>
      <c r="AC336" t="s">
        <v>137</v>
      </c>
      <c r="AD336" t="s">
        <v>137</v>
      </c>
      <c r="AE336" t="s">
        <v>566</v>
      </c>
      <c r="AF336">
        <v>2</v>
      </c>
      <c r="AG336">
        <v>141</v>
      </c>
      <c r="AH336">
        <v>409</v>
      </c>
      <c r="AI336" s="122">
        <v>11631</v>
      </c>
      <c r="AJ336" s="122">
        <v>10574</v>
      </c>
      <c r="AK336">
        <v>63</v>
      </c>
      <c r="AL336" s="122">
        <v>2013</v>
      </c>
      <c r="AM336">
        <v>746</v>
      </c>
      <c r="AN336" s="122">
        <v>2919</v>
      </c>
      <c r="AO336" s="122">
        <v>1081</v>
      </c>
      <c r="AP336">
        <v>351</v>
      </c>
      <c r="AQ336">
        <v>130</v>
      </c>
      <c r="AR336" s="122">
        <v>12335</v>
      </c>
      <c r="AS336" s="122">
        <v>4569</v>
      </c>
      <c r="AT336">
        <v>0</v>
      </c>
      <c r="AU336">
        <v>0</v>
      </c>
      <c r="AV336" s="122">
        <v>17099</v>
      </c>
    </row>
    <row r="337" spans="2:48" ht="13">
      <c r="B337" t="s">
        <v>436</v>
      </c>
      <c r="C337" t="s">
        <v>60</v>
      </c>
      <c r="D337" t="s">
        <v>407</v>
      </c>
      <c r="E337" t="s">
        <v>407</v>
      </c>
      <c r="F337" s="122">
        <v>3</v>
      </c>
      <c r="G337" s="122">
        <v>194</v>
      </c>
      <c r="H337" s="122">
        <v>1027</v>
      </c>
      <c r="I337" s="122">
        <v>46983</v>
      </c>
      <c r="J337" s="191">
        <v>42712</v>
      </c>
      <c r="K337" s="122">
        <v>75</v>
      </c>
      <c r="L337" s="122">
        <v>1543</v>
      </c>
      <c r="M337" s="122">
        <v>1403</v>
      </c>
      <c r="N337" s="122">
        <v>4190</v>
      </c>
      <c r="O337" s="122">
        <v>1552</v>
      </c>
      <c r="P337" s="122">
        <v>1418</v>
      </c>
      <c r="Q337" s="122">
        <v>525</v>
      </c>
      <c r="R337" s="122">
        <v>9640</v>
      </c>
      <c r="S337" s="122">
        <v>8763</v>
      </c>
      <c r="T337" s="122">
        <v>2691</v>
      </c>
      <c r="U337" s="122">
        <v>997</v>
      </c>
      <c r="V337" s="122">
        <v>55951</v>
      </c>
      <c r="W337" s="122">
        <f t="shared" si="10"/>
        <v>55952</v>
      </c>
      <c r="X337" s="122">
        <f t="shared" si="11"/>
        <v>66465</v>
      </c>
      <c r="Y337" s="122"/>
      <c r="AA337" t="s">
        <v>56</v>
      </c>
      <c r="AB337" t="s">
        <v>426</v>
      </c>
      <c r="AC337" t="s">
        <v>137</v>
      </c>
      <c r="AD337" t="s">
        <v>426</v>
      </c>
      <c r="AE337" t="s">
        <v>137</v>
      </c>
      <c r="AF337">
        <v>5</v>
      </c>
      <c r="AG337">
        <v>500</v>
      </c>
      <c r="AH337" s="122">
        <v>1047</v>
      </c>
      <c r="AI337" s="122">
        <v>49172</v>
      </c>
      <c r="AJ337" s="122">
        <v>44702</v>
      </c>
      <c r="AK337">
        <v>65</v>
      </c>
      <c r="AL337" s="122">
        <v>8673</v>
      </c>
      <c r="AM337" s="122">
        <v>3212</v>
      </c>
      <c r="AN337" s="122">
        <v>8468</v>
      </c>
      <c r="AO337" s="122">
        <v>3136</v>
      </c>
      <c r="AP337" s="122">
        <v>1755</v>
      </c>
      <c r="AQ337">
        <v>650</v>
      </c>
      <c r="AR337" s="122">
        <v>23045</v>
      </c>
      <c r="AS337" s="122">
        <v>20950</v>
      </c>
      <c r="AT337" s="122">
        <v>12460</v>
      </c>
      <c r="AU337" s="122">
        <v>4615</v>
      </c>
      <c r="AV337" s="122">
        <v>77265</v>
      </c>
    </row>
    <row r="338" spans="2:48" ht="13">
      <c r="B338" t="s">
        <v>436</v>
      </c>
      <c r="C338" t="s">
        <v>62</v>
      </c>
      <c r="F338" s="122">
        <v>5</v>
      </c>
      <c r="G338" s="122">
        <v>237</v>
      </c>
      <c r="H338" s="122">
        <v>2085</v>
      </c>
      <c r="I338" s="122"/>
      <c r="J338" s="191">
        <v>0</v>
      </c>
      <c r="K338" s="122"/>
      <c r="L338" s="122"/>
      <c r="M338" s="122">
        <v>0</v>
      </c>
      <c r="N338" s="122">
        <v>5128</v>
      </c>
      <c r="O338" s="122">
        <v>1899</v>
      </c>
      <c r="P338" s="122">
        <v>2916</v>
      </c>
      <c r="Q338" s="122">
        <v>1080</v>
      </c>
      <c r="R338" s="122"/>
      <c r="S338" s="122">
        <v>0</v>
      </c>
      <c r="T338" s="122">
        <v>0</v>
      </c>
      <c r="U338" s="122">
        <v>0</v>
      </c>
      <c r="V338" s="122">
        <v>2979</v>
      </c>
      <c r="W338" s="122">
        <f t="shared" si="10"/>
        <v>2979</v>
      </c>
      <c r="X338" s="122">
        <f t="shared" si="11"/>
        <v>8044</v>
      </c>
      <c r="Y338" s="122"/>
      <c r="AA338" t="s">
        <v>56</v>
      </c>
      <c r="AB338" t="s">
        <v>426</v>
      </c>
      <c r="AC338" t="s">
        <v>580</v>
      </c>
      <c r="AD338" t="s">
        <v>426</v>
      </c>
      <c r="AE338" t="s">
        <v>566</v>
      </c>
      <c r="AF338">
        <v>1</v>
      </c>
      <c r="AG338">
        <v>111</v>
      </c>
      <c r="AH338">
        <v>222</v>
      </c>
      <c r="AI338" s="122">
        <v>13721</v>
      </c>
      <c r="AJ338" s="122">
        <v>12473</v>
      </c>
      <c r="AK338">
        <v>55</v>
      </c>
      <c r="AL338" s="122">
        <v>1061</v>
      </c>
      <c r="AM338">
        <v>965</v>
      </c>
      <c r="AN338" s="122">
        <v>1356</v>
      </c>
      <c r="AO338">
        <v>502</v>
      </c>
      <c r="AP338">
        <v>351</v>
      </c>
      <c r="AQ338">
        <v>130</v>
      </c>
      <c r="AR338" s="122">
        <v>8206</v>
      </c>
      <c r="AS338" s="122">
        <v>7460</v>
      </c>
      <c r="AT338">
        <v>0</v>
      </c>
      <c r="AU338">
        <v>0</v>
      </c>
      <c r="AV338" s="122">
        <v>21530</v>
      </c>
    </row>
    <row r="339" spans="2:48" ht="13">
      <c r="B339" t="s">
        <v>436</v>
      </c>
      <c r="C339" t="s">
        <v>62</v>
      </c>
      <c r="D339" t="s">
        <v>405</v>
      </c>
      <c r="E339" t="s">
        <v>405</v>
      </c>
      <c r="F339" s="122">
        <v>6</v>
      </c>
      <c r="G339" s="122">
        <v>286</v>
      </c>
      <c r="H339" s="122">
        <v>2430</v>
      </c>
      <c r="I339" s="122">
        <v>92818</v>
      </c>
      <c r="J339" s="191">
        <v>84380</v>
      </c>
      <c r="K339" s="122">
        <v>73</v>
      </c>
      <c r="L339" s="122">
        <v>0</v>
      </c>
      <c r="M339" s="122">
        <v>0</v>
      </c>
      <c r="N339" s="122">
        <v>5999</v>
      </c>
      <c r="O339" s="122">
        <v>2222</v>
      </c>
      <c r="P339" s="122">
        <v>2714</v>
      </c>
      <c r="Q339" s="122">
        <v>1005</v>
      </c>
      <c r="R339" s="122">
        <v>13402</v>
      </c>
      <c r="S339" s="122">
        <v>12184</v>
      </c>
      <c r="T339" s="122">
        <v>0</v>
      </c>
      <c r="U339" s="122">
        <v>0</v>
      </c>
      <c r="V339" s="122">
        <v>99791</v>
      </c>
      <c r="W339" s="122">
        <f t="shared" si="10"/>
        <v>99791</v>
      </c>
      <c r="X339" s="122">
        <f t="shared" si="11"/>
        <v>114933</v>
      </c>
      <c r="Y339" s="122"/>
      <c r="AA339" t="s">
        <v>56</v>
      </c>
      <c r="AB339" t="s">
        <v>426</v>
      </c>
      <c r="AC339" t="s">
        <v>566</v>
      </c>
      <c r="AD339" t="s">
        <v>137</v>
      </c>
      <c r="AE339" t="s">
        <v>566</v>
      </c>
      <c r="AF339">
        <v>1</v>
      </c>
      <c r="AG339">
        <v>50</v>
      </c>
      <c r="AH339">
        <v>177</v>
      </c>
      <c r="AI339" s="122">
        <v>2462</v>
      </c>
      <c r="AJ339" s="122">
        <v>2238</v>
      </c>
      <c r="AK339">
        <v>100</v>
      </c>
      <c r="AL339">
        <v>0</v>
      </c>
      <c r="AM339">
        <v>0</v>
      </c>
      <c r="AN339" s="122">
        <v>1211</v>
      </c>
      <c r="AO339">
        <v>448</v>
      </c>
      <c r="AP339">
        <v>0</v>
      </c>
      <c r="AQ339">
        <v>0</v>
      </c>
      <c r="AR339" s="122">
        <v>5144</v>
      </c>
      <c r="AS339" s="122">
        <v>1905</v>
      </c>
      <c r="AT339">
        <v>0</v>
      </c>
      <c r="AU339">
        <v>0</v>
      </c>
      <c r="AV339" s="122">
        <v>4592</v>
      </c>
    </row>
    <row r="340" spans="2:48" ht="13">
      <c r="B340" t="s">
        <v>436</v>
      </c>
      <c r="C340" t="s">
        <v>62</v>
      </c>
      <c r="D340" t="s">
        <v>137</v>
      </c>
      <c r="E340" t="s">
        <v>137</v>
      </c>
      <c r="F340" s="122">
        <v>67</v>
      </c>
      <c r="G340" s="122">
        <v>3492</v>
      </c>
      <c r="H340" s="122">
        <v>27454</v>
      </c>
      <c r="I340" s="122">
        <v>927001</v>
      </c>
      <c r="J340" s="191">
        <v>343334</v>
      </c>
      <c r="K340" s="122">
        <v>100</v>
      </c>
      <c r="L340" s="122">
        <v>78387</v>
      </c>
      <c r="M340" s="122">
        <v>30735</v>
      </c>
      <c r="N340" s="122">
        <v>70918</v>
      </c>
      <c r="O340" s="122">
        <v>26266</v>
      </c>
      <c r="P340" s="122">
        <v>0</v>
      </c>
      <c r="Q340" s="122">
        <v>0</v>
      </c>
      <c r="R340" s="122">
        <v>351922</v>
      </c>
      <c r="S340" s="122">
        <v>130341</v>
      </c>
      <c r="T340" s="122">
        <v>0</v>
      </c>
      <c r="U340" s="122">
        <v>0</v>
      </c>
      <c r="V340" s="122">
        <v>530676</v>
      </c>
      <c r="W340" s="122">
        <f t="shared" si="10"/>
        <v>530676</v>
      </c>
      <c r="X340" s="122">
        <f t="shared" si="11"/>
        <v>1428228</v>
      </c>
      <c r="Y340" s="122"/>
      <c r="AA340" t="s">
        <v>56</v>
      </c>
      <c r="AB340" t="s">
        <v>426</v>
      </c>
      <c r="AC340" t="s">
        <v>566</v>
      </c>
      <c r="AD340" t="s">
        <v>426</v>
      </c>
      <c r="AE340" t="s">
        <v>137</v>
      </c>
      <c r="AF340">
        <v>6</v>
      </c>
      <c r="AG340">
        <v>478</v>
      </c>
      <c r="AH340" s="122">
        <v>1261</v>
      </c>
      <c r="AI340" s="122">
        <v>54371</v>
      </c>
      <c r="AJ340" s="122">
        <v>49428</v>
      </c>
      <c r="AK340">
        <v>67</v>
      </c>
      <c r="AL340">
        <v>0</v>
      </c>
      <c r="AM340">
        <v>0</v>
      </c>
      <c r="AN340" s="122">
        <v>8118</v>
      </c>
      <c r="AO340" s="122">
        <v>3007</v>
      </c>
      <c r="AP340" s="122">
        <v>2789</v>
      </c>
      <c r="AQ340" s="122">
        <v>1033</v>
      </c>
      <c r="AR340" s="122">
        <v>22961</v>
      </c>
      <c r="AS340" s="122">
        <v>20873</v>
      </c>
      <c r="AT340" s="122">
        <v>12500</v>
      </c>
      <c r="AU340" s="122">
        <v>4630</v>
      </c>
      <c r="AV340" s="122">
        <v>78971</v>
      </c>
    </row>
    <row r="341" spans="2:48" ht="13">
      <c r="B341" t="s">
        <v>436</v>
      </c>
      <c r="C341" t="s">
        <v>62</v>
      </c>
      <c r="D341" t="s">
        <v>406</v>
      </c>
      <c r="E341" t="s">
        <v>406</v>
      </c>
      <c r="F341" s="122">
        <v>16</v>
      </c>
      <c r="G341" s="122">
        <v>1140</v>
      </c>
      <c r="H341" s="122">
        <v>6756</v>
      </c>
      <c r="I341" s="122">
        <v>312867</v>
      </c>
      <c r="J341" s="191">
        <v>284424</v>
      </c>
      <c r="K341" s="122">
        <v>80</v>
      </c>
      <c r="L341" s="122">
        <v>42019</v>
      </c>
      <c r="M341" s="122">
        <v>36477</v>
      </c>
      <c r="N341" s="122">
        <v>25077</v>
      </c>
      <c r="O341" s="122">
        <v>9288</v>
      </c>
      <c r="P341" s="122">
        <v>9936</v>
      </c>
      <c r="Q341" s="122">
        <v>3680</v>
      </c>
      <c r="R341" s="122">
        <v>62385</v>
      </c>
      <c r="S341" s="122">
        <v>56714</v>
      </c>
      <c r="T341" s="122">
        <v>27457</v>
      </c>
      <c r="U341" s="122">
        <v>10169</v>
      </c>
      <c r="V341" s="122">
        <v>400752</v>
      </c>
      <c r="W341" s="122">
        <f t="shared" si="10"/>
        <v>400752</v>
      </c>
      <c r="X341" s="122">
        <f t="shared" si="11"/>
        <v>479741</v>
      </c>
      <c r="Y341" s="122"/>
      <c r="AA341" t="s">
        <v>56</v>
      </c>
      <c r="AB341" t="s">
        <v>408</v>
      </c>
      <c r="AC341" t="s">
        <v>427</v>
      </c>
      <c r="AD341" t="s">
        <v>137</v>
      </c>
      <c r="AE341" t="s">
        <v>566</v>
      </c>
      <c r="AF341">
        <v>1</v>
      </c>
      <c r="AG341">
        <v>68</v>
      </c>
      <c r="AH341">
        <v>205</v>
      </c>
      <c r="AI341" s="122">
        <v>5410</v>
      </c>
      <c r="AJ341" s="122">
        <v>4918</v>
      </c>
      <c r="AK341">
        <v>85</v>
      </c>
      <c r="AL341" s="122">
        <v>1703</v>
      </c>
      <c r="AM341" s="122">
        <v>1548</v>
      </c>
      <c r="AN341" s="122">
        <v>1645</v>
      </c>
      <c r="AO341">
        <v>609</v>
      </c>
      <c r="AP341">
        <v>351</v>
      </c>
      <c r="AQ341">
        <v>130</v>
      </c>
      <c r="AR341" s="122">
        <v>4696</v>
      </c>
      <c r="AS341" s="122">
        <v>1739</v>
      </c>
      <c r="AT341">
        <v>0</v>
      </c>
      <c r="AU341">
        <v>0</v>
      </c>
      <c r="AV341" s="122">
        <v>8945</v>
      </c>
    </row>
    <row r="342" spans="2:48" ht="13">
      <c r="B342" t="s">
        <v>436</v>
      </c>
      <c r="C342" t="s">
        <v>62</v>
      </c>
      <c r="D342" t="s">
        <v>427</v>
      </c>
      <c r="E342" t="s">
        <v>427</v>
      </c>
      <c r="F342">
        <v>1</v>
      </c>
      <c r="G342">
        <v>55</v>
      </c>
      <c r="H342" s="122">
        <v>446</v>
      </c>
      <c r="I342" s="122">
        <v>14396</v>
      </c>
      <c r="J342" s="191">
        <v>13088</v>
      </c>
      <c r="K342" s="122">
        <v>55</v>
      </c>
      <c r="L342" s="122">
        <v>0</v>
      </c>
      <c r="M342" s="122">
        <v>0</v>
      </c>
      <c r="N342" s="122">
        <v>669</v>
      </c>
      <c r="O342">
        <v>248</v>
      </c>
      <c r="P342">
        <v>351</v>
      </c>
      <c r="Q342" s="122">
        <v>130</v>
      </c>
      <c r="R342" s="122">
        <v>6111</v>
      </c>
      <c r="S342" s="122">
        <v>5555</v>
      </c>
      <c r="T342" s="122">
        <v>2976</v>
      </c>
      <c r="U342" s="122">
        <v>1102</v>
      </c>
      <c r="V342" s="122">
        <v>20123</v>
      </c>
      <c r="W342" s="122">
        <f t="shared" si="10"/>
        <v>20123</v>
      </c>
      <c r="X342" s="122">
        <f t="shared" si="11"/>
        <v>24503</v>
      </c>
      <c r="Y342" s="122"/>
      <c r="AA342" t="s">
        <v>56</v>
      </c>
      <c r="AB342" t="s">
        <v>408</v>
      </c>
      <c r="AC342" t="s">
        <v>407</v>
      </c>
      <c r="AD342" t="s">
        <v>408</v>
      </c>
      <c r="AE342" t="s">
        <v>566</v>
      </c>
      <c r="AF342">
        <v>14</v>
      </c>
      <c r="AG342">
        <v>660</v>
      </c>
      <c r="AH342" s="122">
        <v>2201</v>
      </c>
      <c r="AI342" s="122">
        <v>41644</v>
      </c>
      <c r="AJ342" s="122">
        <v>37858</v>
      </c>
      <c r="AK342">
        <v>75</v>
      </c>
      <c r="AL342" s="122">
        <v>4393</v>
      </c>
      <c r="AM342" s="122">
        <v>3993</v>
      </c>
      <c r="AN342" s="122">
        <v>8040</v>
      </c>
      <c r="AO342" s="122">
        <v>2978</v>
      </c>
      <c r="AP342" s="122">
        <v>4914</v>
      </c>
      <c r="AQ342" s="122">
        <v>1820</v>
      </c>
      <c r="AR342" s="122">
        <v>44621</v>
      </c>
      <c r="AS342" s="122">
        <v>40564</v>
      </c>
      <c r="AT342">
        <v>0</v>
      </c>
      <c r="AU342">
        <v>0</v>
      </c>
      <c r="AV342" s="122">
        <v>87214</v>
      </c>
    </row>
    <row r="343" spans="2:48" ht="13">
      <c r="B343" t="s">
        <v>436</v>
      </c>
      <c r="C343" t="s">
        <v>62</v>
      </c>
      <c r="D343" t="s">
        <v>556</v>
      </c>
      <c r="E343" t="s">
        <v>556</v>
      </c>
      <c r="F343" s="122">
        <v>2</v>
      </c>
      <c r="G343" s="122">
        <v>88</v>
      </c>
      <c r="H343" s="122">
        <v>819</v>
      </c>
      <c r="I343" s="122">
        <v>19607</v>
      </c>
      <c r="J343" s="191">
        <v>16339</v>
      </c>
      <c r="K343" s="122">
        <v>55</v>
      </c>
      <c r="L343" s="122">
        <v>0</v>
      </c>
      <c r="M343" s="122">
        <v>0</v>
      </c>
      <c r="N343" s="122">
        <v>1715</v>
      </c>
      <c r="O343" s="122">
        <v>635</v>
      </c>
      <c r="P343" s="122">
        <v>702</v>
      </c>
      <c r="Q343" s="122">
        <v>260</v>
      </c>
      <c r="R343" s="122">
        <v>10109</v>
      </c>
      <c r="S343" s="122">
        <v>8424</v>
      </c>
      <c r="T343" s="122">
        <v>3987</v>
      </c>
      <c r="U343" s="122">
        <v>1477</v>
      </c>
      <c r="V343" s="122">
        <v>27135</v>
      </c>
      <c r="W343" s="122">
        <f t="shared" si="10"/>
        <v>27135</v>
      </c>
      <c r="X343" s="122">
        <f t="shared" si="11"/>
        <v>36120</v>
      </c>
      <c r="Y343" s="122"/>
      <c r="AA343" t="s">
        <v>56</v>
      </c>
      <c r="AB343" t="s">
        <v>408</v>
      </c>
      <c r="AC343" t="s">
        <v>579</v>
      </c>
      <c r="AD343" t="s">
        <v>408</v>
      </c>
      <c r="AE343" t="s">
        <v>566</v>
      </c>
      <c r="AF343">
        <v>2</v>
      </c>
      <c r="AG343">
        <v>271</v>
      </c>
      <c r="AH343">
        <v>384</v>
      </c>
      <c r="AI343" s="122">
        <v>30471</v>
      </c>
      <c r="AJ343" s="122">
        <v>27701</v>
      </c>
      <c r="AK343">
        <v>85</v>
      </c>
      <c r="AL343" s="122">
        <v>6717</v>
      </c>
      <c r="AM343" s="122">
        <v>5597</v>
      </c>
      <c r="AN343" s="122">
        <v>3308</v>
      </c>
      <c r="AO343" s="122">
        <v>1225</v>
      </c>
      <c r="AP343">
        <v>702</v>
      </c>
      <c r="AQ343">
        <v>260</v>
      </c>
      <c r="AR343" s="122">
        <v>10856</v>
      </c>
      <c r="AS343" s="122">
        <v>9869</v>
      </c>
      <c r="AT343">
        <v>0</v>
      </c>
      <c r="AU343">
        <v>0</v>
      </c>
      <c r="AV343" s="122">
        <v>44653</v>
      </c>
    </row>
    <row r="344" spans="2:48" ht="13">
      <c r="B344" t="s">
        <v>436</v>
      </c>
      <c r="C344" t="s">
        <v>62</v>
      </c>
      <c r="D344" t="s">
        <v>426</v>
      </c>
      <c r="E344" s="122" t="s">
        <v>426</v>
      </c>
      <c r="F344" s="122">
        <v>2</v>
      </c>
      <c r="G344" s="122">
        <v>192</v>
      </c>
      <c r="H344" s="122">
        <v>879</v>
      </c>
      <c r="I344" s="122">
        <v>56784</v>
      </c>
      <c r="J344" s="191">
        <v>51622</v>
      </c>
      <c r="K344" s="122">
        <v>60</v>
      </c>
      <c r="L344" s="122">
        <v>8116</v>
      </c>
      <c r="M344" s="122">
        <v>3886</v>
      </c>
      <c r="N344" s="122">
        <v>3829</v>
      </c>
      <c r="O344" s="122">
        <v>1418</v>
      </c>
      <c r="P344">
        <v>702</v>
      </c>
      <c r="Q344" s="122">
        <v>260</v>
      </c>
      <c r="R344" s="122">
        <v>10493</v>
      </c>
      <c r="S344" s="122">
        <v>9539</v>
      </c>
      <c r="T344" s="122">
        <v>5265</v>
      </c>
      <c r="U344" s="122">
        <v>1950</v>
      </c>
      <c r="V344" s="122">
        <v>68674</v>
      </c>
      <c r="W344" s="122">
        <f t="shared" si="10"/>
        <v>68675</v>
      </c>
      <c r="X344" s="122">
        <f t="shared" si="11"/>
        <v>85189</v>
      </c>
      <c r="Y344" s="122"/>
      <c r="AA344" t="s">
        <v>56</v>
      </c>
      <c r="AB344" t="s">
        <v>408</v>
      </c>
      <c r="AC344" t="s">
        <v>566</v>
      </c>
      <c r="AD344" t="s">
        <v>137</v>
      </c>
      <c r="AE344" t="s">
        <v>566</v>
      </c>
      <c r="AF344">
        <v>2</v>
      </c>
      <c r="AG344">
        <v>150</v>
      </c>
      <c r="AH344">
        <v>373</v>
      </c>
      <c r="AI344" s="122">
        <v>13390</v>
      </c>
      <c r="AJ344" s="122">
        <v>12173</v>
      </c>
      <c r="AK344">
        <v>77</v>
      </c>
      <c r="AL344">
        <v>0</v>
      </c>
      <c r="AM344">
        <v>0</v>
      </c>
      <c r="AN344" s="122">
        <v>2522</v>
      </c>
      <c r="AO344">
        <v>934</v>
      </c>
      <c r="AP344">
        <v>702</v>
      </c>
      <c r="AQ344">
        <v>260</v>
      </c>
      <c r="AR344" s="122">
        <v>11437</v>
      </c>
      <c r="AS344" s="122">
        <v>4236</v>
      </c>
      <c r="AT344">
        <v>0</v>
      </c>
      <c r="AU344">
        <v>0</v>
      </c>
      <c r="AV344" s="122">
        <v>17603</v>
      </c>
    </row>
    <row r="345" spans="2:48" ht="13">
      <c r="B345" t="s">
        <v>436</v>
      </c>
      <c r="C345" t="s">
        <v>64</v>
      </c>
      <c r="F345" s="122">
        <v>4</v>
      </c>
      <c r="G345" s="122">
        <v>151</v>
      </c>
      <c r="H345" s="122">
        <v>2058</v>
      </c>
      <c r="I345" s="122"/>
      <c r="J345" s="66">
        <v>0</v>
      </c>
      <c r="K345" s="122"/>
      <c r="L345" s="122"/>
      <c r="M345" s="122">
        <v>0</v>
      </c>
      <c r="N345" s="122">
        <v>2413</v>
      </c>
      <c r="O345" s="122">
        <v>894</v>
      </c>
      <c r="P345" s="122">
        <v>2484</v>
      </c>
      <c r="Q345" s="122">
        <v>920</v>
      </c>
      <c r="R345" s="122"/>
      <c r="S345" s="122">
        <v>0</v>
      </c>
      <c r="T345" s="122">
        <v>0</v>
      </c>
      <c r="U345" s="122">
        <v>0</v>
      </c>
      <c r="V345" s="122">
        <v>1814</v>
      </c>
      <c r="W345" s="122">
        <f t="shared" si="10"/>
        <v>1814</v>
      </c>
      <c r="X345" s="122">
        <f t="shared" si="11"/>
        <v>4897</v>
      </c>
      <c r="Y345" s="122"/>
      <c r="AA345" t="s">
        <v>56</v>
      </c>
      <c r="AB345" t="s">
        <v>408</v>
      </c>
      <c r="AC345" t="s">
        <v>566</v>
      </c>
      <c r="AD345" t="s">
        <v>408</v>
      </c>
      <c r="AE345" t="s">
        <v>137</v>
      </c>
      <c r="AF345">
        <v>1</v>
      </c>
      <c r="AG345">
        <v>88</v>
      </c>
      <c r="AH345">
        <v>185</v>
      </c>
      <c r="AI345" s="122">
        <v>9729</v>
      </c>
      <c r="AJ345" s="122">
        <v>8844</v>
      </c>
      <c r="AK345">
        <v>93</v>
      </c>
      <c r="AL345">
        <v>0</v>
      </c>
      <c r="AM345">
        <v>0</v>
      </c>
      <c r="AN345" s="122">
        <v>1072</v>
      </c>
      <c r="AO345">
        <v>397</v>
      </c>
      <c r="AP345">
        <v>351</v>
      </c>
      <c r="AQ345">
        <v>130</v>
      </c>
      <c r="AR345" s="122">
        <v>2544</v>
      </c>
      <c r="AS345" s="122">
        <v>2313</v>
      </c>
      <c r="AT345" s="122">
        <v>2539</v>
      </c>
      <c r="AU345">
        <v>941</v>
      </c>
      <c r="AV345" s="122">
        <v>12625</v>
      </c>
    </row>
    <row r="346" spans="2:48" ht="13">
      <c r="B346" t="s">
        <v>436</v>
      </c>
      <c r="C346" t="s">
        <v>64</v>
      </c>
      <c r="D346" t="s">
        <v>405</v>
      </c>
      <c r="E346" t="s">
        <v>405</v>
      </c>
      <c r="F346" s="122">
        <v>1</v>
      </c>
      <c r="G346" s="122">
        <v>50</v>
      </c>
      <c r="H346" s="122">
        <v>481</v>
      </c>
      <c r="I346" s="122">
        <v>17405</v>
      </c>
      <c r="J346" s="191">
        <v>15823</v>
      </c>
      <c r="K346" s="122">
        <v>73</v>
      </c>
      <c r="L346" s="122">
        <v>0</v>
      </c>
      <c r="M346" s="122">
        <v>0</v>
      </c>
      <c r="N346" s="122">
        <v>1120</v>
      </c>
      <c r="O346" s="122">
        <v>415</v>
      </c>
      <c r="P346">
        <v>473</v>
      </c>
      <c r="Q346" s="122">
        <v>175</v>
      </c>
      <c r="R346" s="122">
        <v>5044</v>
      </c>
      <c r="S346" s="122">
        <v>4585</v>
      </c>
      <c r="T346" s="122">
        <v>0</v>
      </c>
      <c r="U346" s="122">
        <v>0</v>
      </c>
      <c r="V346" s="122">
        <v>20998</v>
      </c>
      <c r="W346" s="122">
        <f t="shared" si="10"/>
        <v>20998</v>
      </c>
      <c r="X346" s="122">
        <f t="shared" si="11"/>
        <v>24042</v>
      </c>
      <c r="Y346" s="122"/>
      <c r="AA346" t="s">
        <v>56</v>
      </c>
      <c r="AB346" t="s">
        <v>408</v>
      </c>
      <c r="AC346" t="s">
        <v>566</v>
      </c>
      <c r="AD346" t="s">
        <v>408</v>
      </c>
      <c r="AE346" t="s">
        <v>566</v>
      </c>
      <c r="AF346">
        <v>13</v>
      </c>
      <c r="AG346">
        <v>901</v>
      </c>
      <c r="AH346" s="122">
        <v>2330</v>
      </c>
      <c r="AI346" s="122">
        <v>85840</v>
      </c>
      <c r="AJ346" s="122">
        <v>78036</v>
      </c>
      <c r="AK346">
        <v>75</v>
      </c>
      <c r="AL346">
        <v>0</v>
      </c>
      <c r="AM346">
        <v>0</v>
      </c>
      <c r="AN346" s="122">
        <v>21965</v>
      </c>
      <c r="AO346" s="122">
        <v>8135</v>
      </c>
      <c r="AP346" s="122">
        <v>4563</v>
      </c>
      <c r="AQ346" s="122">
        <v>1690</v>
      </c>
      <c r="AR346" s="122">
        <v>49148</v>
      </c>
      <c r="AS346" s="122">
        <v>44680</v>
      </c>
      <c r="AT346">
        <v>0</v>
      </c>
      <c r="AU346">
        <v>0</v>
      </c>
      <c r="AV346" s="122">
        <v>132542</v>
      </c>
    </row>
    <row r="347" spans="2:48" ht="13">
      <c r="B347" t="s">
        <v>436</v>
      </c>
      <c r="C347" t="s">
        <v>64</v>
      </c>
      <c r="D347" t="s">
        <v>137</v>
      </c>
      <c r="E347" t="s">
        <v>137</v>
      </c>
      <c r="F347" s="122">
        <v>83</v>
      </c>
      <c r="G347" s="122">
        <v>4304</v>
      </c>
      <c r="H347" s="122">
        <v>50061</v>
      </c>
      <c r="I347" s="122">
        <v>1827916</v>
      </c>
      <c r="J347" s="191">
        <v>677006</v>
      </c>
      <c r="K347" s="122">
        <v>100</v>
      </c>
      <c r="L347" s="122">
        <v>254770</v>
      </c>
      <c r="M347" s="122">
        <v>161946</v>
      </c>
      <c r="N347" s="122">
        <v>91141</v>
      </c>
      <c r="O347" s="122">
        <v>33756</v>
      </c>
      <c r="P347">
        <v>702</v>
      </c>
      <c r="Q347" s="122">
        <v>260</v>
      </c>
      <c r="R347" s="122">
        <v>418432</v>
      </c>
      <c r="S347" s="122">
        <v>154975</v>
      </c>
      <c r="T347" s="122">
        <v>0</v>
      </c>
      <c r="U347" s="122">
        <v>0</v>
      </c>
      <c r="V347" s="122">
        <v>1027942</v>
      </c>
      <c r="W347" s="122">
        <f t="shared" si="10"/>
        <v>1027943</v>
      </c>
      <c r="X347" s="122">
        <f t="shared" si="11"/>
        <v>2592961</v>
      </c>
      <c r="Y347" s="122"/>
      <c r="AA347" t="s">
        <v>58</v>
      </c>
      <c r="AC347" t="s">
        <v>566</v>
      </c>
      <c r="AE347" t="s">
        <v>566</v>
      </c>
      <c r="AF347">
        <v>596</v>
      </c>
      <c r="AG347" s="122">
        <v>31349</v>
      </c>
      <c r="AH347" s="122">
        <v>152323</v>
      </c>
      <c r="AJ347">
        <v>0</v>
      </c>
      <c r="AM347">
        <v>0</v>
      </c>
      <c r="AN347" s="122">
        <v>644453</v>
      </c>
      <c r="AO347" s="122">
        <v>238686</v>
      </c>
      <c r="AP347" s="122">
        <v>121937</v>
      </c>
      <c r="AQ347" s="122">
        <v>45162</v>
      </c>
      <c r="AS347">
        <v>0</v>
      </c>
      <c r="AT347" s="122">
        <v>178953</v>
      </c>
      <c r="AU347" s="122">
        <v>66279</v>
      </c>
      <c r="AV347" s="122">
        <v>350127</v>
      </c>
    </row>
    <row r="348" spans="2:48" ht="13">
      <c r="B348" t="s">
        <v>436</v>
      </c>
      <c r="C348" t="s">
        <v>64</v>
      </c>
      <c r="D348" t="s">
        <v>137</v>
      </c>
      <c r="E348" s="122" t="s">
        <v>426</v>
      </c>
      <c r="F348" s="122">
        <v>1</v>
      </c>
      <c r="G348" s="122">
        <v>40</v>
      </c>
      <c r="H348" s="122">
        <v>640</v>
      </c>
      <c r="I348" s="122">
        <v>15720</v>
      </c>
      <c r="J348" s="191">
        <v>5822</v>
      </c>
      <c r="K348" s="122">
        <v>100</v>
      </c>
      <c r="L348" s="122">
        <v>1581</v>
      </c>
      <c r="M348" s="122">
        <v>1438</v>
      </c>
      <c r="N348" s="122">
        <v>772</v>
      </c>
      <c r="O348" s="122">
        <v>286</v>
      </c>
      <c r="P348" s="122">
        <v>0</v>
      </c>
      <c r="Q348" s="122">
        <v>0</v>
      </c>
      <c r="R348" s="122">
        <v>5420</v>
      </c>
      <c r="S348" s="122">
        <v>4927</v>
      </c>
      <c r="T348" s="122">
        <v>1861</v>
      </c>
      <c r="U348" s="122">
        <v>689</v>
      </c>
      <c r="V348" s="122">
        <v>13162</v>
      </c>
      <c r="W348" s="122">
        <f t="shared" si="10"/>
        <v>13162</v>
      </c>
      <c r="X348" s="122">
        <f t="shared" si="11"/>
        <v>25354</v>
      </c>
      <c r="Y348" s="122"/>
      <c r="AA348" t="s">
        <v>58</v>
      </c>
      <c r="AB348" t="s">
        <v>403</v>
      </c>
      <c r="AC348" t="s">
        <v>137</v>
      </c>
      <c r="AD348" t="s">
        <v>137</v>
      </c>
      <c r="AE348" t="s">
        <v>566</v>
      </c>
      <c r="AF348">
        <v>1</v>
      </c>
      <c r="AG348">
        <v>58</v>
      </c>
      <c r="AH348">
        <v>299</v>
      </c>
      <c r="AI348" s="122">
        <v>9406</v>
      </c>
      <c r="AJ348" s="122">
        <v>3484</v>
      </c>
      <c r="AK348">
        <v>100</v>
      </c>
      <c r="AL348" s="122">
        <v>2352</v>
      </c>
      <c r="AM348">
        <v>871</v>
      </c>
      <c r="AN348" s="122">
        <v>1210</v>
      </c>
      <c r="AO348">
        <v>448</v>
      </c>
      <c r="AP348">
        <v>0</v>
      </c>
      <c r="AQ348">
        <v>0</v>
      </c>
      <c r="AR348" s="122">
        <v>4279</v>
      </c>
      <c r="AS348" s="122">
        <v>1585</v>
      </c>
      <c r="AT348">
        <v>0</v>
      </c>
      <c r="AU348">
        <v>0</v>
      </c>
      <c r="AV348" s="122">
        <v>6388</v>
      </c>
    </row>
    <row r="349" spans="2:48" ht="13">
      <c r="B349" t="s">
        <v>436</v>
      </c>
      <c r="C349" t="s">
        <v>64</v>
      </c>
      <c r="D349" t="s">
        <v>406</v>
      </c>
      <c r="E349" t="s">
        <v>137</v>
      </c>
      <c r="F349" s="122">
        <v>1</v>
      </c>
      <c r="G349" s="122">
        <v>67</v>
      </c>
      <c r="H349" s="122">
        <v>526</v>
      </c>
      <c r="I349" s="122">
        <v>22216</v>
      </c>
      <c r="J349" s="191">
        <v>20196</v>
      </c>
      <c r="K349" s="122">
        <v>70</v>
      </c>
      <c r="L349" s="122">
        <v>5472</v>
      </c>
      <c r="M349" s="122">
        <v>4974</v>
      </c>
      <c r="N349" s="122">
        <v>1499</v>
      </c>
      <c r="O349">
        <v>555</v>
      </c>
      <c r="P349">
        <v>621</v>
      </c>
      <c r="Q349" s="122">
        <v>230</v>
      </c>
      <c r="R349" s="122">
        <v>5345</v>
      </c>
      <c r="S349" s="122">
        <v>1979</v>
      </c>
      <c r="T349" s="122">
        <v>0</v>
      </c>
      <c r="U349" s="122">
        <v>0</v>
      </c>
      <c r="V349" s="122">
        <v>27935</v>
      </c>
      <c r="W349" s="122">
        <f t="shared" si="10"/>
        <v>27934</v>
      </c>
      <c r="X349" s="122">
        <f t="shared" si="11"/>
        <v>35153</v>
      </c>
      <c r="Y349" s="122"/>
      <c r="AA349" t="s">
        <v>58</v>
      </c>
      <c r="AB349" t="s">
        <v>425</v>
      </c>
      <c r="AC349" t="s">
        <v>425</v>
      </c>
      <c r="AD349" t="s">
        <v>425</v>
      </c>
      <c r="AE349" t="s">
        <v>137</v>
      </c>
      <c r="AF349">
        <v>1</v>
      </c>
      <c r="AG349">
        <v>64</v>
      </c>
      <c r="AH349">
        <v>239</v>
      </c>
      <c r="AI349" s="122">
        <v>5638</v>
      </c>
      <c r="AJ349" s="122">
        <v>5126</v>
      </c>
      <c r="AK349">
        <v>93</v>
      </c>
      <c r="AL349" s="122">
        <v>2772</v>
      </c>
      <c r="AM349" s="122">
        <v>2520</v>
      </c>
      <c r="AN349">
        <v>871</v>
      </c>
      <c r="AO349">
        <v>323</v>
      </c>
      <c r="AP349">
        <v>473</v>
      </c>
      <c r="AQ349">
        <v>175</v>
      </c>
      <c r="AR349" s="122">
        <v>3256</v>
      </c>
      <c r="AS349" s="122">
        <v>2960</v>
      </c>
      <c r="AT349" s="122">
        <v>2398</v>
      </c>
      <c r="AU349">
        <v>888</v>
      </c>
      <c r="AV349" s="122">
        <v>11991</v>
      </c>
    </row>
    <row r="350" spans="2:48" ht="13">
      <c r="B350" t="s">
        <v>436</v>
      </c>
      <c r="C350" t="s">
        <v>64</v>
      </c>
      <c r="D350" t="s">
        <v>406</v>
      </c>
      <c r="E350" s="122" t="s">
        <v>406</v>
      </c>
      <c r="F350" s="122">
        <v>21</v>
      </c>
      <c r="G350" s="122">
        <v>1526</v>
      </c>
      <c r="H350" s="122">
        <v>11539</v>
      </c>
      <c r="I350" s="122">
        <v>577977</v>
      </c>
      <c r="J350" s="191">
        <v>525434</v>
      </c>
      <c r="K350" s="122">
        <v>73</v>
      </c>
      <c r="L350" s="122">
        <v>90902</v>
      </c>
      <c r="M350" s="122">
        <v>78755</v>
      </c>
      <c r="N350" s="122">
        <v>33302</v>
      </c>
      <c r="O350" s="122">
        <v>12334</v>
      </c>
      <c r="P350" s="122">
        <v>12974</v>
      </c>
      <c r="Q350" s="122">
        <v>4805</v>
      </c>
      <c r="R350" s="122">
        <v>80692</v>
      </c>
      <c r="S350" s="122">
        <v>73356</v>
      </c>
      <c r="T350" s="122">
        <v>28972</v>
      </c>
      <c r="U350" s="122">
        <v>10730</v>
      </c>
      <c r="V350" s="122">
        <v>705415</v>
      </c>
      <c r="W350" s="122">
        <f t="shared" si="10"/>
        <v>705414</v>
      </c>
      <c r="X350" s="122">
        <f t="shared" si="11"/>
        <v>824819</v>
      </c>
      <c r="Y350" s="122"/>
      <c r="AA350" t="s">
        <v>58</v>
      </c>
      <c r="AB350" t="s">
        <v>425</v>
      </c>
      <c r="AC350" t="s">
        <v>405</v>
      </c>
      <c r="AD350" t="s">
        <v>405</v>
      </c>
      <c r="AE350" t="s">
        <v>137</v>
      </c>
      <c r="AF350">
        <v>2</v>
      </c>
      <c r="AG350">
        <v>100</v>
      </c>
      <c r="AH350">
        <v>552</v>
      </c>
      <c r="AI350" s="122">
        <v>15937</v>
      </c>
      <c r="AJ350" s="122">
        <v>14488</v>
      </c>
      <c r="AK350">
        <v>65</v>
      </c>
      <c r="AL350">
        <v>0</v>
      </c>
      <c r="AM350">
        <v>0</v>
      </c>
      <c r="AN350" s="122">
        <v>1339</v>
      </c>
      <c r="AO350">
        <v>496</v>
      </c>
      <c r="AP350">
        <v>945</v>
      </c>
      <c r="AQ350">
        <v>350</v>
      </c>
      <c r="AR350" s="122">
        <v>5889</v>
      </c>
      <c r="AS350" s="122">
        <v>5354</v>
      </c>
      <c r="AT350" s="122">
        <v>3309</v>
      </c>
      <c r="AU350" s="122">
        <v>1226</v>
      </c>
      <c r="AV350" s="122">
        <v>21913</v>
      </c>
    </row>
    <row r="351" spans="2:48" ht="13">
      <c r="B351" t="s">
        <v>436</v>
      </c>
      <c r="C351" t="s">
        <v>64</v>
      </c>
      <c r="D351" t="s">
        <v>427</v>
      </c>
      <c r="E351" t="s">
        <v>427</v>
      </c>
      <c r="F351" s="122">
        <v>2</v>
      </c>
      <c r="G351" s="122">
        <v>94</v>
      </c>
      <c r="H351" s="122">
        <v>1147</v>
      </c>
      <c r="I351" s="122">
        <v>40922</v>
      </c>
      <c r="J351" s="191">
        <v>37202</v>
      </c>
      <c r="K351" s="122">
        <v>55</v>
      </c>
      <c r="L351" s="122">
        <v>0</v>
      </c>
      <c r="M351" s="122">
        <v>0</v>
      </c>
      <c r="N351" s="122">
        <v>1746</v>
      </c>
      <c r="O351">
        <v>647</v>
      </c>
      <c r="P351">
        <v>702</v>
      </c>
      <c r="Q351" s="122">
        <v>260</v>
      </c>
      <c r="R351" s="122">
        <v>7054</v>
      </c>
      <c r="S351" s="122">
        <v>6413</v>
      </c>
      <c r="T351" s="122">
        <v>2516</v>
      </c>
      <c r="U351" s="122">
        <v>932</v>
      </c>
      <c r="V351" s="122">
        <v>45454</v>
      </c>
      <c r="W351" s="122">
        <f t="shared" si="10"/>
        <v>45454</v>
      </c>
      <c r="X351" s="122">
        <f t="shared" si="11"/>
        <v>52940</v>
      </c>
      <c r="Y351" s="122"/>
      <c r="AA351" t="s">
        <v>58</v>
      </c>
      <c r="AB351" t="s">
        <v>425</v>
      </c>
      <c r="AC351" t="s">
        <v>137</v>
      </c>
      <c r="AD351" t="s">
        <v>425</v>
      </c>
      <c r="AE351" t="s">
        <v>137</v>
      </c>
      <c r="AF351">
        <v>1</v>
      </c>
      <c r="AG351">
        <v>96</v>
      </c>
      <c r="AH351">
        <v>294</v>
      </c>
      <c r="AI351" s="122">
        <v>15876</v>
      </c>
      <c r="AJ351" s="122">
        <v>14433</v>
      </c>
      <c r="AK351">
        <v>73</v>
      </c>
      <c r="AL351" s="122">
        <v>3005</v>
      </c>
      <c r="AM351" s="122">
        <v>1113</v>
      </c>
      <c r="AN351" s="122">
        <v>1970</v>
      </c>
      <c r="AO351">
        <v>730</v>
      </c>
      <c r="AP351">
        <v>473</v>
      </c>
      <c r="AQ351">
        <v>175</v>
      </c>
      <c r="AR351" s="122">
        <v>4285</v>
      </c>
      <c r="AS351" s="122">
        <v>3896</v>
      </c>
      <c r="AT351" s="122">
        <v>2506</v>
      </c>
      <c r="AU351">
        <v>928</v>
      </c>
      <c r="AV351" s="122">
        <v>21274</v>
      </c>
    </row>
    <row r="352" spans="2:48" ht="13">
      <c r="B352" t="s">
        <v>436</v>
      </c>
      <c r="C352" t="s">
        <v>64</v>
      </c>
      <c r="D352" t="s">
        <v>407</v>
      </c>
      <c r="E352" t="s">
        <v>407</v>
      </c>
      <c r="F352" s="122">
        <v>1</v>
      </c>
      <c r="G352" s="122">
        <v>42</v>
      </c>
      <c r="H352" s="122">
        <v>655</v>
      </c>
      <c r="I352" s="122">
        <v>22089</v>
      </c>
      <c r="J352" s="191">
        <v>20081</v>
      </c>
      <c r="K352" s="122">
        <v>79</v>
      </c>
      <c r="L352" s="122">
        <v>0</v>
      </c>
      <c r="M352" s="122">
        <v>0</v>
      </c>
      <c r="N352" s="122">
        <v>1014</v>
      </c>
      <c r="O352" s="122">
        <v>375</v>
      </c>
      <c r="P352" s="122">
        <v>473</v>
      </c>
      <c r="Q352" s="122">
        <v>175</v>
      </c>
      <c r="R352" s="122">
        <v>2506</v>
      </c>
      <c r="S352" s="122">
        <v>2278</v>
      </c>
      <c r="T352" s="122">
        <v>1178</v>
      </c>
      <c r="U352" s="122">
        <v>436</v>
      </c>
      <c r="V352" s="122">
        <v>23347</v>
      </c>
      <c r="W352" s="122">
        <f t="shared" si="10"/>
        <v>23345</v>
      </c>
      <c r="X352" s="122">
        <f t="shared" si="11"/>
        <v>27260</v>
      </c>
      <c r="Y352" s="122"/>
      <c r="AA352" t="s">
        <v>58</v>
      </c>
      <c r="AB352" t="s">
        <v>425</v>
      </c>
      <c r="AC352" t="s">
        <v>137</v>
      </c>
      <c r="AD352" t="s">
        <v>425</v>
      </c>
      <c r="AE352" t="s">
        <v>566</v>
      </c>
      <c r="AF352">
        <v>2</v>
      </c>
      <c r="AG352">
        <v>129</v>
      </c>
      <c r="AH352">
        <v>496</v>
      </c>
      <c r="AI352" s="122">
        <v>18038</v>
      </c>
      <c r="AJ352" s="122">
        <v>16398</v>
      </c>
      <c r="AK352">
        <v>83</v>
      </c>
      <c r="AL352" s="122">
        <v>5652</v>
      </c>
      <c r="AM352" s="122">
        <v>2093</v>
      </c>
      <c r="AN352" s="122">
        <v>2336</v>
      </c>
      <c r="AO352">
        <v>865</v>
      </c>
      <c r="AP352" s="122">
        <v>1296</v>
      </c>
      <c r="AQ352">
        <v>480</v>
      </c>
      <c r="AR352" s="122">
        <v>4804</v>
      </c>
      <c r="AS352" s="122">
        <v>4367</v>
      </c>
      <c r="AT352">
        <v>0</v>
      </c>
      <c r="AU352">
        <v>0</v>
      </c>
      <c r="AV352" s="122">
        <v>24204</v>
      </c>
    </row>
    <row r="353" spans="2:48" ht="13">
      <c r="B353" t="s">
        <v>436</v>
      </c>
      <c r="C353" t="s">
        <v>64</v>
      </c>
      <c r="D353" t="s">
        <v>556</v>
      </c>
      <c r="E353" t="s">
        <v>137</v>
      </c>
      <c r="F353" s="122">
        <v>1</v>
      </c>
      <c r="G353" s="122">
        <v>67</v>
      </c>
      <c r="H353" s="122">
        <v>451</v>
      </c>
      <c r="I353" s="122">
        <v>22746</v>
      </c>
      <c r="J353" s="191">
        <v>18955</v>
      </c>
      <c r="K353" s="122">
        <v>30</v>
      </c>
      <c r="L353" s="122">
        <v>1706</v>
      </c>
      <c r="M353" s="122">
        <v>632</v>
      </c>
      <c r="N353" s="122">
        <v>1623</v>
      </c>
      <c r="O353">
        <v>601</v>
      </c>
      <c r="P353">
        <v>0</v>
      </c>
      <c r="Q353" s="122">
        <v>0</v>
      </c>
      <c r="R353" s="122">
        <v>3959</v>
      </c>
      <c r="S353" s="122">
        <v>1466</v>
      </c>
      <c r="T353">
        <v>0</v>
      </c>
      <c r="U353" s="122">
        <v>0</v>
      </c>
      <c r="V353" s="122">
        <v>21654</v>
      </c>
      <c r="W353" s="122">
        <f t="shared" si="10"/>
        <v>21654</v>
      </c>
      <c r="X353" s="122">
        <f t="shared" si="11"/>
        <v>30034</v>
      </c>
      <c r="Y353" s="122"/>
      <c r="AA353" t="s">
        <v>58</v>
      </c>
      <c r="AB353" t="s">
        <v>425</v>
      </c>
      <c r="AC353" t="s">
        <v>427</v>
      </c>
      <c r="AD353" t="s">
        <v>425</v>
      </c>
      <c r="AE353" t="s">
        <v>137</v>
      </c>
      <c r="AF353">
        <v>1</v>
      </c>
      <c r="AG353">
        <v>61</v>
      </c>
      <c r="AH353">
        <v>225</v>
      </c>
      <c r="AI353" s="122">
        <v>4508</v>
      </c>
      <c r="AJ353" s="122">
        <v>4098</v>
      </c>
      <c r="AK353">
        <v>73</v>
      </c>
      <c r="AL353" s="122">
        <v>1159</v>
      </c>
      <c r="AM353" s="122">
        <v>1053</v>
      </c>
      <c r="AN353" s="122">
        <v>1480</v>
      </c>
      <c r="AO353">
        <v>548</v>
      </c>
      <c r="AP353">
        <v>473</v>
      </c>
      <c r="AQ353">
        <v>175</v>
      </c>
      <c r="AR353" s="122">
        <v>3882</v>
      </c>
      <c r="AS353" s="122">
        <v>3529</v>
      </c>
      <c r="AT353" s="122">
        <v>2167</v>
      </c>
      <c r="AU353">
        <v>803</v>
      </c>
      <c r="AV353" s="122">
        <v>10206</v>
      </c>
    </row>
    <row r="354" spans="2:48" ht="13">
      <c r="B354" t="s">
        <v>436</v>
      </c>
      <c r="C354" t="s">
        <v>64</v>
      </c>
      <c r="D354" t="s">
        <v>556</v>
      </c>
      <c r="E354" t="s">
        <v>556</v>
      </c>
      <c r="F354" s="122">
        <v>3</v>
      </c>
      <c r="G354" s="122">
        <v>128</v>
      </c>
      <c r="H354" s="122">
        <v>1672</v>
      </c>
      <c r="I354" s="122">
        <v>44653</v>
      </c>
      <c r="J354" s="191">
        <v>37211</v>
      </c>
      <c r="K354" s="122">
        <v>55</v>
      </c>
      <c r="L354" s="122">
        <v>6140</v>
      </c>
      <c r="M354" s="122">
        <v>2274</v>
      </c>
      <c r="N354" s="122">
        <v>2628</v>
      </c>
      <c r="O354" s="122">
        <v>973</v>
      </c>
      <c r="P354" s="122">
        <v>1053</v>
      </c>
      <c r="Q354" s="122">
        <v>390</v>
      </c>
      <c r="R354" s="122">
        <v>13121</v>
      </c>
      <c r="S354" s="122">
        <v>10934</v>
      </c>
      <c r="T354" s="122">
        <v>4736</v>
      </c>
      <c r="U354" s="122">
        <v>1754</v>
      </c>
      <c r="V354" s="122">
        <v>53536</v>
      </c>
      <c r="W354" s="122">
        <f t="shared" si="10"/>
        <v>53536</v>
      </c>
      <c r="X354" s="122">
        <f t="shared" si="11"/>
        <v>72331</v>
      </c>
      <c r="Y354" s="122"/>
      <c r="AA354" t="s">
        <v>58</v>
      </c>
      <c r="AB354" t="s">
        <v>425</v>
      </c>
      <c r="AC354" t="s">
        <v>579</v>
      </c>
      <c r="AD354" t="s">
        <v>406</v>
      </c>
      <c r="AE354" t="s">
        <v>137</v>
      </c>
      <c r="AF354">
        <v>1</v>
      </c>
      <c r="AG354">
        <v>138</v>
      </c>
      <c r="AH354">
        <v>247</v>
      </c>
      <c r="AI354" s="122">
        <v>26167</v>
      </c>
      <c r="AJ354" s="122">
        <v>23788</v>
      </c>
      <c r="AK354">
        <v>60</v>
      </c>
      <c r="AL354" s="122">
        <v>6026</v>
      </c>
      <c r="AM354" s="122">
        <v>5022</v>
      </c>
      <c r="AN354" s="122">
        <v>3427</v>
      </c>
      <c r="AO354" s="122">
        <v>1269</v>
      </c>
      <c r="AP354">
        <v>621</v>
      </c>
      <c r="AQ354">
        <v>230</v>
      </c>
      <c r="AR354" s="122">
        <v>7220</v>
      </c>
      <c r="AS354" s="122">
        <v>6563</v>
      </c>
      <c r="AT354" s="122">
        <v>3888</v>
      </c>
      <c r="AU354" s="122">
        <v>1440</v>
      </c>
      <c r="AV354" s="122">
        <v>38313</v>
      </c>
    </row>
    <row r="355" spans="2:48" ht="13">
      <c r="B355" t="s">
        <v>436</v>
      </c>
      <c r="C355" t="s">
        <v>64</v>
      </c>
      <c r="D355" t="s">
        <v>426</v>
      </c>
      <c r="E355" t="s">
        <v>426</v>
      </c>
      <c r="F355">
        <v>2</v>
      </c>
      <c r="G355">
        <v>86</v>
      </c>
      <c r="H355" s="122">
        <v>979</v>
      </c>
      <c r="I355" s="122">
        <v>26845</v>
      </c>
      <c r="J355" s="191">
        <v>24405</v>
      </c>
      <c r="K355" s="122">
        <v>55</v>
      </c>
      <c r="L355" s="122">
        <v>0</v>
      </c>
      <c r="M355" s="122">
        <v>0</v>
      </c>
      <c r="N355" s="122">
        <v>1829</v>
      </c>
      <c r="O355">
        <v>677</v>
      </c>
      <c r="P355">
        <v>702</v>
      </c>
      <c r="Q355" s="122">
        <v>260</v>
      </c>
      <c r="R355" s="122">
        <v>8616</v>
      </c>
      <c r="S355" s="122">
        <v>7833</v>
      </c>
      <c r="T355" s="122">
        <v>3555</v>
      </c>
      <c r="U355" s="122">
        <v>1317</v>
      </c>
      <c r="V355" s="122">
        <v>34491</v>
      </c>
      <c r="W355" s="122">
        <f t="shared" si="10"/>
        <v>34492</v>
      </c>
      <c r="X355" s="122">
        <f t="shared" si="11"/>
        <v>41547</v>
      </c>
      <c r="Y355" s="122"/>
      <c r="AA355" t="s">
        <v>58</v>
      </c>
      <c r="AB355" t="s">
        <v>425</v>
      </c>
      <c r="AC355" t="s">
        <v>426</v>
      </c>
      <c r="AD355" t="s">
        <v>425</v>
      </c>
      <c r="AE355" t="s">
        <v>137</v>
      </c>
      <c r="AF355">
        <v>2</v>
      </c>
      <c r="AG355">
        <v>141</v>
      </c>
      <c r="AH355">
        <v>490</v>
      </c>
      <c r="AI355" s="122">
        <v>15532</v>
      </c>
      <c r="AJ355" s="122">
        <v>14120</v>
      </c>
      <c r="AK355">
        <v>87</v>
      </c>
      <c r="AL355" s="122">
        <v>4603</v>
      </c>
      <c r="AM355" s="122">
        <v>4184</v>
      </c>
      <c r="AN355" s="122">
        <v>3345</v>
      </c>
      <c r="AO355" s="122">
        <v>1239</v>
      </c>
      <c r="AP355">
        <v>824</v>
      </c>
      <c r="AQ355">
        <v>305</v>
      </c>
      <c r="AR355" s="122">
        <v>7724</v>
      </c>
      <c r="AS355" s="122">
        <v>7022</v>
      </c>
      <c r="AT355" s="122">
        <v>2020</v>
      </c>
      <c r="AU355">
        <v>748</v>
      </c>
      <c r="AV355" s="122">
        <v>27619</v>
      </c>
    </row>
    <row r="356" spans="2:48" ht="13">
      <c r="B356" t="s">
        <v>437</v>
      </c>
      <c r="C356" t="s">
        <v>48</v>
      </c>
      <c r="D356" t="s">
        <v>137</v>
      </c>
      <c r="E356" t="s">
        <v>137</v>
      </c>
      <c r="F356" s="122">
        <v>15</v>
      </c>
      <c r="G356" s="122">
        <v>1076</v>
      </c>
      <c r="H356" s="122">
        <v>858</v>
      </c>
      <c r="I356" s="122">
        <v>-2208</v>
      </c>
      <c r="J356" s="191">
        <v>-818</v>
      </c>
      <c r="K356" s="122">
        <v>510</v>
      </c>
      <c r="L356" s="122">
        <v>841</v>
      </c>
      <c r="M356" s="122">
        <v>311</v>
      </c>
      <c r="N356" s="122">
        <v>13532</v>
      </c>
      <c r="O356" s="122">
        <v>5012</v>
      </c>
      <c r="P356" s="122">
        <v>7249</v>
      </c>
      <c r="Q356" s="122">
        <v>2685</v>
      </c>
      <c r="R356" s="122">
        <v>39800</v>
      </c>
      <c r="S356" s="122">
        <v>14741</v>
      </c>
      <c r="T356" s="122">
        <v>0</v>
      </c>
      <c r="U356" s="122">
        <v>0</v>
      </c>
      <c r="V356" s="122">
        <v>21931</v>
      </c>
      <c r="W356" s="122">
        <f t="shared" si="10"/>
        <v>23567</v>
      </c>
      <c r="X356" s="122">
        <f t="shared" si="11"/>
        <v>63630</v>
      </c>
      <c r="Y356" s="122"/>
      <c r="AA356" t="s">
        <v>58</v>
      </c>
      <c r="AB356" t="s">
        <v>425</v>
      </c>
      <c r="AC356" t="s">
        <v>426</v>
      </c>
      <c r="AD356" t="s">
        <v>425</v>
      </c>
      <c r="AE356" t="s">
        <v>566</v>
      </c>
      <c r="AF356">
        <v>2</v>
      </c>
      <c r="AG356">
        <v>114</v>
      </c>
      <c r="AH356">
        <v>568</v>
      </c>
      <c r="AI356" s="122">
        <v>21324</v>
      </c>
      <c r="AJ356" s="122">
        <v>19386</v>
      </c>
      <c r="AK356">
        <v>91</v>
      </c>
      <c r="AL356" s="122">
        <v>4499</v>
      </c>
      <c r="AM356" s="122">
        <v>4090</v>
      </c>
      <c r="AN356" s="122">
        <v>1934</v>
      </c>
      <c r="AO356">
        <v>716</v>
      </c>
      <c r="AP356">
        <v>945</v>
      </c>
      <c r="AQ356">
        <v>350</v>
      </c>
      <c r="AR356" s="122">
        <v>3287</v>
      </c>
      <c r="AS356" s="122">
        <v>2989</v>
      </c>
      <c r="AT356">
        <v>0</v>
      </c>
      <c r="AU356">
        <v>0</v>
      </c>
      <c r="AV356" s="122">
        <v>27531</v>
      </c>
    </row>
    <row r="357" spans="2:48" ht="13">
      <c r="B357" t="s">
        <v>437</v>
      </c>
      <c r="C357" t="s">
        <v>48</v>
      </c>
      <c r="D357" t="s">
        <v>407</v>
      </c>
      <c r="E357" t="s">
        <v>407</v>
      </c>
      <c r="F357" s="122">
        <v>106</v>
      </c>
      <c r="G357" s="122">
        <v>6169</v>
      </c>
      <c r="H357" s="122">
        <v>6179</v>
      </c>
      <c r="I357" s="122">
        <v>35213</v>
      </c>
      <c r="J357" s="191">
        <v>32011</v>
      </c>
      <c r="K357" s="122">
        <v>91</v>
      </c>
      <c r="L357" s="122">
        <v>1193</v>
      </c>
      <c r="M357" s="122">
        <v>442</v>
      </c>
      <c r="N357" s="122">
        <v>75332</v>
      </c>
      <c r="O357" s="122">
        <v>27901</v>
      </c>
      <c r="P357" s="122">
        <v>50085</v>
      </c>
      <c r="Q357" s="122">
        <v>18550</v>
      </c>
      <c r="R357" s="122">
        <v>135726</v>
      </c>
      <c r="S357" s="122">
        <v>123387</v>
      </c>
      <c r="T357" s="122">
        <v>64763</v>
      </c>
      <c r="U357" s="122">
        <v>23986</v>
      </c>
      <c r="V357" s="122">
        <v>226277</v>
      </c>
      <c r="W357" s="122">
        <f t="shared" si="10"/>
        <v>226277</v>
      </c>
      <c r="X357" s="122">
        <f t="shared" si="11"/>
        <v>362312</v>
      </c>
      <c r="Y357" s="122"/>
      <c r="AA357" t="s">
        <v>58</v>
      </c>
      <c r="AB357" t="s">
        <v>425</v>
      </c>
      <c r="AC357" t="s">
        <v>426</v>
      </c>
      <c r="AD357" t="s">
        <v>137</v>
      </c>
      <c r="AE357" t="s">
        <v>566</v>
      </c>
      <c r="AF357">
        <v>1</v>
      </c>
      <c r="AG357">
        <v>101</v>
      </c>
      <c r="AH357">
        <v>264</v>
      </c>
      <c r="AI357" s="122">
        <v>15789</v>
      </c>
      <c r="AJ357" s="122">
        <v>14353</v>
      </c>
      <c r="AK357">
        <v>69</v>
      </c>
      <c r="AL357" s="122">
        <v>1915</v>
      </c>
      <c r="AM357" s="122">
        <v>1741</v>
      </c>
      <c r="AN357" s="122">
        <v>2235</v>
      </c>
      <c r="AO357">
        <v>828</v>
      </c>
      <c r="AP357">
        <v>351</v>
      </c>
      <c r="AQ357">
        <v>130</v>
      </c>
      <c r="AR357" s="122">
        <v>6356</v>
      </c>
      <c r="AS357" s="122">
        <v>2354</v>
      </c>
      <c r="AT357">
        <v>0</v>
      </c>
      <c r="AU357">
        <v>0</v>
      </c>
      <c r="AV357" s="122">
        <v>19406</v>
      </c>
    </row>
    <row r="358" spans="2:48" ht="13">
      <c r="B358" t="s">
        <v>437</v>
      </c>
      <c r="C358" t="s">
        <v>50</v>
      </c>
      <c r="F358">
        <v>93</v>
      </c>
      <c r="G358" s="122">
        <v>7555</v>
      </c>
      <c r="H358" s="122">
        <v>8707</v>
      </c>
      <c r="I358" s="122"/>
      <c r="J358" s="66">
        <v>0</v>
      </c>
      <c r="K358" s="122"/>
      <c r="L358" s="122"/>
      <c r="M358" s="122">
        <v>0</v>
      </c>
      <c r="N358" s="122">
        <v>130969</v>
      </c>
      <c r="O358" s="122">
        <v>48507</v>
      </c>
      <c r="P358" s="122">
        <v>20730</v>
      </c>
      <c r="Q358" s="122">
        <v>7678</v>
      </c>
      <c r="R358" s="122"/>
      <c r="S358" s="122">
        <v>0</v>
      </c>
      <c r="T358" s="122">
        <v>8859</v>
      </c>
      <c r="U358" s="122">
        <v>3281</v>
      </c>
      <c r="V358" s="122">
        <v>59466</v>
      </c>
      <c r="W358" s="122">
        <f t="shared" si="10"/>
        <v>59466</v>
      </c>
      <c r="X358" s="122">
        <f t="shared" si="11"/>
        <v>160558</v>
      </c>
      <c r="Y358" s="122"/>
      <c r="AA358" t="s">
        <v>58</v>
      </c>
      <c r="AB358" t="s">
        <v>425</v>
      </c>
      <c r="AC358" t="s">
        <v>426</v>
      </c>
      <c r="AD358" t="s">
        <v>406</v>
      </c>
      <c r="AE358" t="s">
        <v>137</v>
      </c>
      <c r="AF358">
        <v>1</v>
      </c>
      <c r="AG358">
        <v>136</v>
      </c>
      <c r="AH358">
        <v>277</v>
      </c>
      <c r="AI358" s="122">
        <v>22585</v>
      </c>
      <c r="AJ358" s="122">
        <v>20532</v>
      </c>
      <c r="AK358">
        <v>79</v>
      </c>
      <c r="AL358" s="122">
        <v>2896</v>
      </c>
      <c r="AM358" s="122">
        <v>2632</v>
      </c>
      <c r="AN358" s="122">
        <v>2872</v>
      </c>
      <c r="AO358" s="122">
        <v>1064</v>
      </c>
      <c r="AP358">
        <v>621</v>
      </c>
      <c r="AQ358">
        <v>230</v>
      </c>
      <c r="AR358" s="122">
        <v>5142</v>
      </c>
      <c r="AS358" s="122">
        <v>4675</v>
      </c>
      <c r="AT358" s="122">
        <v>3579</v>
      </c>
      <c r="AU358" s="122">
        <v>1325</v>
      </c>
      <c r="AV358" s="122">
        <v>30458</v>
      </c>
    </row>
    <row r="359" spans="2:48" ht="13">
      <c r="B359" t="s">
        <v>437</v>
      </c>
      <c r="C359" t="s">
        <v>50</v>
      </c>
      <c r="D359" t="s">
        <v>407</v>
      </c>
      <c r="E359" s="122" t="s">
        <v>407</v>
      </c>
      <c r="F359" s="122">
        <v>59</v>
      </c>
      <c r="G359" s="122">
        <v>4021</v>
      </c>
      <c r="H359" s="122">
        <v>5328</v>
      </c>
      <c r="I359" s="122">
        <v>107427</v>
      </c>
      <c r="J359" s="191">
        <v>97661</v>
      </c>
      <c r="K359" s="122">
        <v>90</v>
      </c>
      <c r="L359" s="122">
        <v>2101</v>
      </c>
      <c r="M359" s="122">
        <v>778</v>
      </c>
      <c r="N359" s="122">
        <v>65345</v>
      </c>
      <c r="O359" s="122">
        <v>24202</v>
      </c>
      <c r="P359" s="122">
        <v>28023</v>
      </c>
      <c r="Q359" s="122">
        <v>10379</v>
      </c>
      <c r="R359" s="122">
        <v>154024</v>
      </c>
      <c r="S359" s="122">
        <v>140022</v>
      </c>
      <c r="T359" s="122">
        <v>7062</v>
      </c>
      <c r="U359" s="122">
        <v>2616</v>
      </c>
      <c r="V359" s="122">
        <v>275658</v>
      </c>
      <c r="W359" s="122">
        <f t="shared" si="10"/>
        <v>275658</v>
      </c>
      <c r="X359" s="122">
        <f t="shared" si="11"/>
        <v>363982</v>
      </c>
      <c r="Y359" s="122"/>
      <c r="AA359" t="s">
        <v>58</v>
      </c>
      <c r="AB359" t="s">
        <v>425</v>
      </c>
      <c r="AC359" t="s">
        <v>566</v>
      </c>
      <c r="AD359" t="s">
        <v>425</v>
      </c>
      <c r="AE359" t="s">
        <v>566</v>
      </c>
      <c r="AF359">
        <v>2</v>
      </c>
      <c r="AG359">
        <v>132</v>
      </c>
      <c r="AH359">
        <v>521</v>
      </c>
      <c r="AI359" s="122">
        <v>24897</v>
      </c>
      <c r="AJ359" s="122">
        <v>22634</v>
      </c>
      <c r="AK359">
        <v>87</v>
      </c>
      <c r="AL359">
        <v>0</v>
      </c>
      <c r="AM359" s="122">
        <v>1394</v>
      </c>
      <c r="AN359" s="122">
        <v>1913</v>
      </c>
      <c r="AO359">
        <v>709</v>
      </c>
      <c r="AP359">
        <v>945</v>
      </c>
      <c r="AQ359">
        <v>350</v>
      </c>
      <c r="AR359" s="122">
        <v>6614</v>
      </c>
      <c r="AS359" s="122">
        <v>6013</v>
      </c>
      <c r="AT359">
        <v>0</v>
      </c>
      <c r="AU359">
        <v>0</v>
      </c>
      <c r="AV359" s="122">
        <v>31099</v>
      </c>
    </row>
    <row r="360" spans="2:48" ht="13">
      <c r="B360" t="s">
        <v>437</v>
      </c>
      <c r="C360" t="s">
        <v>52</v>
      </c>
      <c r="F360" s="122">
        <v>239</v>
      </c>
      <c r="G360" s="122">
        <v>20054</v>
      </c>
      <c r="H360" s="122">
        <v>26720</v>
      </c>
      <c r="I360" s="122"/>
      <c r="J360" s="191">
        <v>0</v>
      </c>
      <c r="K360" s="122"/>
      <c r="L360" s="122"/>
      <c r="M360" s="122">
        <v>0</v>
      </c>
      <c r="N360" s="122">
        <v>445865</v>
      </c>
      <c r="O360" s="122">
        <v>165135</v>
      </c>
      <c r="P360" s="122">
        <v>25624</v>
      </c>
      <c r="Q360" s="122">
        <v>9490</v>
      </c>
      <c r="R360" s="122"/>
      <c r="S360" s="122">
        <v>0</v>
      </c>
      <c r="T360" s="122">
        <v>17905</v>
      </c>
      <c r="U360" s="122">
        <v>6631</v>
      </c>
      <c r="V360" s="122">
        <v>181257</v>
      </c>
      <c r="W360" s="122">
        <f t="shared" si="10"/>
        <v>181256</v>
      </c>
      <c r="X360" s="122">
        <f t="shared" si="11"/>
        <v>489394</v>
      </c>
      <c r="Y360" s="122"/>
      <c r="AA360" t="s">
        <v>58</v>
      </c>
      <c r="AB360" t="s">
        <v>405</v>
      </c>
      <c r="AC360" t="s">
        <v>405</v>
      </c>
      <c r="AD360" t="s">
        <v>405</v>
      </c>
      <c r="AE360" t="s">
        <v>137</v>
      </c>
      <c r="AF360">
        <v>8</v>
      </c>
      <c r="AG360">
        <v>585</v>
      </c>
      <c r="AH360" s="122">
        <v>2189</v>
      </c>
      <c r="AI360" s="122">
        <v>73163</v>
      </c>
      <c r="AJ360" s="122">
        <v>66512</v>
      </c>
      <c r="AK360">
        <v>75</v>
      </c>
      <c r="AL360" s="122">
        <v>22362</v>
      </c>
      <c r="AM360" s="122">
        <v>20329</v>
      </c>
      <c r="AN360" s="122">
        <v>12262</v>
      </c>
      <c r="AO360" s="122">
        <v>4541</v>
      </c>
      <c r="AP360" s="122">
        <v>3659</v>
      </c>
      <c r="AQ360" s="122">
        <v>1355</v>
      </c>
      <c r="AR360" s="122">
        <v>30992</v>
      </c>
      <c r="AS360" s="122">
        <v>28175</v>
      </c>
      <c r="AT360" s="122">
        <v>18344</v>
      </c>
      <c r="AU360" s="122">
        <v>6794</v>
      </c>
      <c r="AV360" s="122">
        <v>127706</v>
      </c>
    </row>
    <row r="361" spans="2:48" ht="13">
      <c r="B361" t="s">
        <v>437</v>
      </c>
      <c r="C361" t="s">
        <v>52</v>
      </c>
      <c r="D361" t="s">
        <v>137</v>
      </c>
      <c r="E361" t="s">
        <v>137</v>
      </c>
      <c r="F361">
        <v>4</v>
      </c>
      <c r="G361" s="122">
        <v>282</v>
      </c>
      <c r="H361" s="122">
        <v>473</v>
      </c>
      <c r="I361" s="122">
        <v>5566</v>
      </c>
      <c r="J361" s="191">
        <v>2061</v>
      </c>
      <c r="K361" s="122">
        <v>100</v>
      </c>
      <c r="L361" s="122">
        <v>743</v>
      </c>
      <c r="M361" s="122">
        <v>275</v>
      </c>
      <c r="N361" s="122">
        <v>4355</v>
      </c>
      <c r="O361" s="122">
        <v>1613</v>
      </c>
      <c r="P361">
        <v>0</v>
      </c>
      <c r="Q361" s="122">
        <v>0</v>
      </c>
      <c r="R361" s="122">
        <v>22594</v>
      </c>
      <c r="S361" s="122">
        <v>8368</v>
      </c>
      <c r="T361" s="122">
        <v>0</v>
      </c>
      <c r="U361" s="122">
        <v>0</v>
      </c>
      <c r="V361" s="122">
        <v>12318</v>
      </c>
      <c r="W361" s="122">
        <f t="shared" si="10"/>
        <v>12317</v>
      </c>
      <c r="X361" s="122">
        <f t="shared" si="11"/>
        <v>33258</v>
      </c>
      <c r="Y361" s="122"/>
      <c r="AA361" t="s">
        <v>58</v>
      </c>
      <c r="AB361" t="s">
        <v>405</v>
      </c>
      <c r="AC361" t="s">
        <v>405</v>
      </c>
      <c r="AD361" t="s">
        <v>405</v>
      </c>
      <c r="AE361" t="s">
        <v>566</v>
      </c>
      <c r="AF361">
        <v>35</v>
      </c>
      <c r="AG361" s="122">
        <v>2547</v>
      </c>
      <c r="AH361" s="122">
        <v>8549</v>
      </c>
      <c r="AI361" s="122">
        <v>332732</v>
      </c>
      <c r="AJ361" s="122">
        <v>302483</v>
      </c>
      <c r="AK361">
        <v>78</v>
      </c>
      <c r="AL361" s="122">
        <v>107813</v>
      </c>
      <c r="AM361" s="122">
        <v>98011</v>
      </c>
      <c r="AN361" s="122">
        <v>56775</v>
      </c>
      <c r="AO361" s="122">
        <v>21028</v>
      </c>
      <c r="AP361" s="122">
        <v>16295</v>
      </c>
      <c r="AQ361" s="122">
        <v>6035</v>
      </c>
      <c r="AR361" s="122">
        <v>109899</v>
      </c>
      <c r="AS361" s="122">
        <v>99908</v>
      </c>
      <c r="AT361">
        <v>0</v>
      </c>
      <c r="AU361">
        <v>0</v>
      </c>
      <c r="AV361" s="122">
        <v>527466</v>
      </c>
    </row>
    <row r="362" spans="2:48" ht="13">
      <c r="B362" t="s">
        <v>437</v>
      </c>
      <c r="C362" t="s">
        <v>52</v>
      </c>
      <c r="D362" t="s">
        <v>137</v>
      </c>
      <c r="E362" t="s">
        <v>426</v>
      </c>
      <c r="F362" s="122">
        <v>1</v>
      </c>
      <c r="G362" s="122">
        <v>69</v>
      </c>
      <c r="H362" s="122">
        <v>107</v>
      </c>
      <c r="I362" s="122">
        <v>3546</v>
      </c>
      <c r="J362" s="191">
        <v>1313</v>
      </c>
      <c r="K362" s="122">
        <v>100</v>
      </c>
      <c r="L362" s="122">
        <v>394</v>
      </c>
      <c r="M362" s="122">
        <v>146</v>
      </c>
      <c r="N362" s="122">
        <v>1013</v>
      </c>
      <c r="O362" s="122">
        <v>375</v>
      </c>
      <c r="P362" s="122">
        <v>0</v>
      </c>
      <c r="Q362" s="122">
        <v>0</v>
      </c>
      <c r="R362" s="122">
        <v>2494</v>
      </c>
      <c r="S362" s="122">
        <v>2267</v>
      </c>
      <c r="T362" s="122">
        <v>0</v>
      </c>
      <c r="U362" s="122">
        <v>0</v>
      </c>
      <c r="V362" s="122">
        <v>4102</v>
      </c>
      <c r="W362" s="122">
        <f t="shared" si="10"/>
        <v>4101</v>
      </c>
      <c r="X362" s="122">
        <f t="shared" si="11"/>
        <v>7447</v>
      </c>
      <c r="Y362" s="122"/>
      <c r="AA362" t="s">
        <v>58</v>
      </c>
      <c r="AB362" t="s">
        <v>405</v>
      </c>
      <c r="AC362" t="s">
        <v>137</v>
      </c>
      <c r="AD362" t="s">
        <v>405</v>
      </c>
      <c r="AE362" t="s">
        <v>137</v>
      </c>
      <c r="AF362">
        <v>7</v>
      </c>
      <c r="AG362">
        <v>456</v>
      </c>
      <c r="AH362" s="122">
        <v>1858</v>
      </c>
      <c r="AI362" s="122">
        <v>52632</v>
      </c>
      <c r="AJ362" s="122">
        <v>47847</v>
      </c>
      <c r="AK362">
        <v>79</v>
      </c>
      <c r="AL362" s="122">
        <v>14127</v>
      </c>
      <c r="AM362" s="122">
        <v>5232</v>
      </c>
      <c r="AN362" s="122">
        <v>8923</v>
      </c>
      <c r="AO362" s="122">
        <v>3305</v>
      </c>
      <c r="AP362" s="122">
        <v>3186</v>
      </c>
      <c r="AQ362" s="122">
        <v>1180</v>
      </c>
      <c r="AR362" s="122">
        <v>25508</v>
      </c>
      <c r="AS362" s="122">
        <v>23189</v>
      </c>
      <c r="AT362" s="122">
        <v>12535</v>
      </c>
      <c r="AU362" s="122">
        <v>4643</v>
      </c>
      <c r="AV362" s="122">
        <v>85395</v>
      </c>
    </row>
    <row r="363" spans="2:48" ht="13">
      <c r="B363" t="s">
        <v>437</v>
      </c>
      <c r="C363" t="s">
        <v>52</v>
      </c>
      <c r="D363" t="s">
        <v>407</v>
      </c>
      <c r="E363" t="s">
        <v>407</v>
      </c>
      <c r="F363">
        <v>119</v>
      </c>
      <c r="G363" s="122">
        <v>8244</v>
      </c>
      <c r="H363" s="122">
        <v>13643</v>
      </c>
      <c r="I363" s="122">
        <v>331701</v>
      </c>
      <c r="J363" s="191">
        <v>301547</v>
      </c>
      <c r="K363" s="122">
        <v>86</v>
      </c>
      <c r="L363" s="122">
        <v>16581</v>
      </c>
      <c r="M363" s="122">
        <v>10813</v>
      </c>
      <c r="N363" s="122">
        <v>156858</v>
      </c>
      <c r="O363" s="122">
        <v>58096</v>
      </c>
      <c r="P363" s="122">
        <v>51962</v>
      </c>
      <c r="Q363" s="122">
        <v>19245</v>
      </c>
      <c r="R363" s="122">
        <v>380222</v>
      </c>
      <c r="S363" s="122">
        <v>345656</v>
      </c>
      <c r="T363" s="122">
        <v>5845</v>
      </c>
      <c r="U363" s="122">
        <v>2165</v>
      </c>
      <c r="V363" s="122">
        <v>737521</v>
      </c>
      <c r="W363" s="122">
        <f t="shared" si="10"/>
        <v>737522</v>
      </c>
      <c r="X363" s="122">
        <f t="shared" si="11"/>
        <v>943169</v>
      </c>
      <c r="Y363" s="122"/>
      <c r="AA363" t="s">
        <v>58</v>
      </c>
      <c r="AB363" t="s">
        <v>405</v>
      </c>
      <c r="AC363" t="s">
        <v>137</v>
      </c>
      <c r="AD363" t="s">
        <v>405</v>
      </c>
      <c r="AE363" t="s">
        <v>566</v>
      </c>
      <c r="AF363">
        <v>12</v>
      </c>
      <c r="AG363">
        <v>747</v>
      </c>
      <c r="AH363" s="122">
        <v>2906</v>
      </c>
      <c r="AI363" s="122">
        <v>95923</v>
      </c>
      <c r="AJ363" s="122">
        <v>87202</v>
      </c>
      <c r="AK363">
        <v>79</v>
      </c>
      <c r="AL363" s="122">
        <v>22644</v>
      </c>
      <c r="AM363" s="122">
        <v>8387</v>
      </c>
      <c r="AN363" s="122">
        <v>15730</v>
      </c>
      <c r="AO363" s="122">
        <v>5826</v>
      </c>
      <c r="AP363" s="122">
        <v>4752</v>
      </c>
      <c r="AQ363" s="122">
        <v>1760</v>
      </c>
      <c r="AR363" s="122">
        <v>41300</v>
      </c>
      <c r="AS363" s="122">
        <v>37545</v>
      </c>
      <c r="AT363">
        <v>0</v>
      </c>
      <c r="AU363">
        <v>0</v>
      </c>
      <c r="AV363" s="122">
        <v>140720</v>
      </c>
    </row>
    <row r="364" spans="2:48" ht="13">
      <c r="B364" t="s">
        <v>437</v>
      </c>
      <c r="C364" t="s">
        <v>54</v>
      </c>
      <c r="F364">
        <v>225</v>
      </c>
      <c r="G364" s="122">
        <v>17952</v>
      </c>
      <c r="H364" s="122">
        <v>30709</v>
      </c>
      <c r="I364" s="122"/>
      <c r="J364" s="66">
        <v>0</v>
      </c>
      <c r="K364" s="122"/>
      <c r="L364" s="122"/>
      <c r="M364" s="122">
        <v>0</v>
      </c>
      <c r="N364" s="122">
        <v>401266</v>
      </c>
      <c r="O364" s="122">
        <v>148617</v>
      </c>
      <c r="P364" s="122">
        <v>28012</v>
      </c>
      <c r="Q364" s="122">
        <v>10375</v>
      </c>
      <c r="R364" s="122"/>
      <c r="S364" s="122">
        <v>0</v>
      </c>
      <c r="T364" s="122">
        <v>30266</v>
      </c>
      <c r="U364" s="122">
        <v>11210</v>
      </c>
      <c r="V364" s="122">
        <v>170202</v>
      </c>
      <c r="W364" s="122">
        <f t="shared" si="10"/>
        <v>170202</v>
      </c>
      <c r="X364" s="122">
        <f t="shared" si="11"/>
        <v>459544</v>
      </c>
      <c r="Y364" s="122"/>
      <c r="AA364" t="s">
        <v>58</v>
      </c>
      <c r="AB364" t="s">
        <v>405</v>
      </c>
      <c r="AC364" t="s">
        <v>427</v>
      </c>
      <c r="AD364" t="s">
        <v>405</v>
      </c>
      <c r="AE364" t="s">
        <v>137</v>
      </c>
      <c r="AF364">
        <v>1</v>
      </c>
      <c r="AG364">
        <v>66</v>
      </c>
      <c r="AH364">
        <v>270</v>
      </c>
      <c r="AI364" s="122">
        <v>6783</v>
      </c>
      <c r="AJ364" s="122">
        <v>6167</v>
      </c>
      <c r="AK364">
        <v>87</v>
      </c>
      <c r="AL364" s="122">
        <v>2068</v>
      </c>
      <c r="AM364" s="122">
        <v>1880</v>
      </c>
      <c r="AN364" s="122">
        <v>1598</v>
      </c>
      <c r="AO364">
        <v>592</v>
      </c>
      <c r="AP364">
        <v>473</v>
      </c>
      <c r="AQ364">
        <v>175</v>
      </c>
      <c r="AR364" s="122">
        <v>6769</v>
      </c>
      <c r="AS364" s="122">
        <v>6154</v>
      </c>
      <c r="AT364">
        <v>0</v>
      </c>
      <c r="AU364">
        <v>0</v>
      </c>
      <c r="AV364" s="122">
        <v>14967</v>
      </c>
    </row>
    <row r="365" spans="2:48" ht="13">
      <c r="B365" t="s">
        <v>437</v>
      </c>
      <c r="C365" t="s">
        <v>54</v>
      </c>
      <c r="D365" t="s">
        <v>137</v>
      </c>
      <c r="E365" t="s">
        <v>137</v>
      </c>
      <c r="F365" s="122">
        <v>33</v>
      </c>
      <c r="G365" s="122">
        <v>2454</v>
      </c>
      <c r="H365" s="122">
        <v>4675</v>
      </c>
      <c r="I365" s="122">
        <v>83616</v>
      </c>
      <c r="J365" s="191">
        <v>30969</v>
      </c>
      <c r="K365" s="122">
        <v>100</v>
      </c>
      <c r="L365" s="122">
        <v>12739</v>
      </c>
      <c r="M365" s="122">
        <v>4718</v>
      </c>
      <c r="N365" s="122">
        <v>45199</v>
      </c>
      <c r="O365" s="122">
        <v>16740</v>
      </c>
      <c r="P365" s="122">
        <v>351</v>
      </c>
      <c r="Q365" s="122">
        <v>130</v>
      </c>
      <c r="R365" s="122">
        <v>203893</v>
      </c>
      <c r="S365" s="122">
        <v>75516</v>
      </c>
      <c r="T365" s="122">
        <v>2206</v>
      </c>
      <c r="U365" s="122">
        <v>817</v>
      </c>
      <c r="V365" s="122">
        <v>128890</v>
      </c>
      <c r="W365" s="122">
        <f t="shared" si="10"/>
        <v>128890</v>
      </c>
      <c r="X365" s="122">
        <f t="shared" si="11"/>
        <v>348004</v>
      </c>
      <c r="Y365" s="122"/>
      <c r="AA365" t="s">
        <v>58</v>
      </c>
      <c r="AB365" t="s">
        <v>405</v>
      </c>
      <c r="AC365" t="s">
        <v>427</v>
      </c>
      <c r="AD365" t="s">
        <v>405</v>
      </c>
      <c r="AE365" t="s">
        <v>566</v>
      </c>
      <c r="AF365">
        <v>1</v>
      </c>
      <c r="AG365">
        <v>69</v>
      </c>
      <c r="AH365">
        <v>273</v>
      </c>
      <c r="AI365" s="122">
        <v>8809</v>
      </c>
      <c r="AJ365" s="122">
        <v>8008</v>
      </c>
      <c r="AK365">
        <v>90</v>
      </c>
      <c r="AL365" s="122">
        <v>2995</v>
      </c>
      <c r="AM365" s="122">
        <v>2723</v>
      </c>
      <c r="AN365" s="122">
        <v>1671</v>
      </c>
      <c r="AO365">
        <v>619</v>
      </c>
      <c r="AP365">
        <v>473</v>
      </c>
      <c r="AQ365">
        <v>175</v>
      </c>
      <c r="AR365" s="122">
        <v>4764</v>
      </c>
      <c r="AS365" s="122">
        <v>4331</v>
      </c>
      <c r="AT365">
        <v>0</v>
      </c>
      <c r="AU365">
        <v>0</v>
      </c>
      <c r="AV365" s="122">
        <v>15856</v>
      </c>
    </row>
    <row r="366" spans="2:48" ht="13">
      <c r="B366" t="s">
        <v>437</v>
      </c>
      <c r="C366" t="s">
        <v>54</v>
      </c>
      <c r="D366" t="s">
        <v>407</v>
      </c>
      <c r="E366" t="s">
        <v>407</v>
      </c>
      <c r="F366" s="122">
        <v>167</v>
      </c>
      <c r="G366" s="122">
        <v>11123</v>
      </c>
      <c r="H366" s="122">
        <v>23081</v>
      </c>
      <c r="I366" s="122">
        <v>613272</v>
      </c>
      <c r="J366" s="191">
        <v>557520</v>
      </c>
      <c r="K366" s="122">
        <v>84</v>
      </c>
      <c r="L366" s="122">
        <v>27116</v>
      </c>
      <c r="M366" s="122">
        <v>17496</v>
      </c>
      <c r="N366" s="122">
        <v>223663</v>
      </c>
      <c r="O366" s="122">
        <v>82838</v>
      </c>
      <c r="P366" s="122">
        <v>75013</v>
      </c>
      <c r="Q366" s="122">
        <v>27783</v>
      </c>
      <c r="R366" s="122">
        <v>563167</v>
      </c>
      <c r="S366" s="122">
        <v>511970</v>
      </c>
      <c r="T366" s="122">
        <v>34637</v>
      </c>
      <c r="U366" s="122">
        <v>12828</v>
      </c>
      <c r="V366" s="122">
        <v>1210434</v>
      </c>
      <c r="W366" s="122">
        <f t="shared" si="10"/>
        <v>1210435</v>
      </c>
      <c r="X366" s="122">
        <f t="shared" si="11"/>
        <v>1536868</v>
      </c>
      <c r="Y366" s="122"/>
      <c r="AA366" t="s">
        <v>58</v>
      </c>
      <c r="AB366" t="s">
        <v>405</v>
      </c>
      <c r="AC366" t="s">
        <v>579</v>
      </c>
      <c r="AD366" t="s">
        <v>405</v>
      </c>
      <c r="AE366" t="s">
        <v>137</v>
      </c>
      <c r="AF366">
        <v>9</v>
      </c>
      <c r="AG366">
        <v>651</v>
      </c>
      <c r="AH366" s="122">
        <v>2435</v>
      </c>
      <c r="AI366" s="122">
        <v>81014</v>
      </c>
      <c r="AJ366" s="122">
        <v>73649</v>
      </c>
      <c r="AK366">
        <v>79</v>
      </c>
      <c r="AL366" s="122">
        <v>24159</v>
      </c>
      <c r="AM366" s="122">
        <v>20133</v>
      </c>
      <c r="AN366" s="122">
        <v>13711</v>
      </c>
      <c r="AO366" s="122">
        <v>5078</v>
      </c>
      <c r="AP366" s="122">
        <v>4253</v>
      </c>
      <c r="AQ366" s="122">
        <v>1575</v>
      </c>
      <c r="AR366" s="122">
        <v>34924</v>
      </c>
      <c r="AS366" s="122">
        <v>31749</v>
      </c>
      <c r="AT366" s="122">
        <v>19641</v>
      </c>
      <c r="AU366" s="122">
        <v>7274</v>
      </c>
      <c r="AV366" s="122">
        <v>139458</v>
      </c>
    </row>
    <row r="367" spans="2:48" ht="13">
      <c r="B367" t="s">
        <v>437</v>
      </c>
      <c r="C367" t="s">
        <v>56</v>
      </c>
      <c r="F367" s="122">
        <v>313</v>
      </c>
      <c r="G367" s="122">
        <v>20582</v>
      </c>
      <c r="H367" s="122">
        <v>56403</v>
      </c>
      <c r="I367" s="122"/>
      <c r="J367" s="191">
        <v>0</v>
      </c>
      <c r="K367" s="122"/>
      <c r="L367" s="122"/>
      <c r="M367" s="122">
        <v>0</v>
      </c>
      <c r="N367" s="122">
        <v>447625</v>
      </c>
      <c r="O367" s="122">
        <v>165787</v>
      </c>
      <c r="P367" s="122">
        <v>46791</v>
      </c>
      <c r="Q367" s="122">
        <v>17330</v>
      </c>
      <c r="R367" s="122"/>
      <c r="S367" s="122">
        <v>0</v>
      </c>
      <c r="T367" s="122">
        <v>35817</v>
      </c>
      <c r="U367" s="122">
        <v>13266</v>
      </c>
      <c r="V367" s="122">
        <v>196383</v>
      </c>
      <c r="W367" s="122">
        <f t="shared" si="10"/>
        <v>196383</v>
      </c>
      <c r="X367" s="122">
        <f t="shared" si="11"/>
        <v>530233</v>
      </c>
      <c r="Y367" s="122"/>
      <c r="AA367" t="s">
        <v>58</v>
      </c>
      <c r="AB367" t="s">
        <v>405</v>
      </c>
      <c r="AC367" t="s">
        <v>579</v>
      </c>
      <c r="AD367" t="s">
        <v>405</v>
      </c>
      <c r="AE367" t="s">
        <v>566</v>
      </c>
      <c r="AF367">
        <v>7</v>
      </c>
      <c r="AG367">
        <v>406</v>
      </c>
      <c r="AH367" s="122">
        <v>1730</v>
      </c>
      <c r="AI367" s="122">
        <v>50688</v>
      </c>
      <c r="AJ367" s="122">
        <v>46080</v>
      </c>
      <c r="AK367">
        <v>81</v>
      </c>
      <c r="AL367" s="122">
        <v>13941</v>
      </c>
      <c r="AM367" s="122">
        <v>11617</v>
      </c>
      <c r="AN367" s="122">
        <v>6604</v>
      </c>
      <c r="AO367" s="122">
        <v>2446</v>
      </c>
      <c r="AP367" s="122">
        <v>3335</v>
      </c>
      <c r="AQ367" s="122">
        <v>1235</v>
      </c>
      <c r="AR367" s="122">
        <v>25768</v>
      </c>
      <c r="AS367" s="122">
        <v>23425</v>
      </c>
      <c r="AT367">
        <v>0</v>
      </c>
      <c r="AU367">
        <v>0</v>
      </c>
      <c r="AV367" s="122">
        <v>84803</v>
      </c>
    </row>
    <row r="368" spans="2:48" ht="13">
      <c r="B368" t="s">
        <v>437</v>
      </c>
      <c r="C368" t="s">
        <v>56</v>
      </c>
      <c r="D368" t="s">
        <v>137</v>
      </c>
      <c r="E368" t="s">
        <v>137</v>
      </c>
      <c r="F368">
        <v>969</v>
      </c>
      <c r="G368" s="122">
        <v>60801</v>
      </c>
      <c r="H368" s="122">
        <v>189583</v>
      </c>
      <c r="I368" s="122">
        <v>4608639</v>
      </c>
      <c r="J368" s="191">
        <v>1706903</v>
      </c>
      <c r="K368" s="122">
        <v>100</v>
      </c>
      <c r="L368" s="122">
        <v>432160</v>
      </c>
      <c r="M368" s="122">
        <v>164049</v>
      </c>
      <c r="N368" s="122">
        <v>1151537</v>
      </c>
      <c r="O368" s="122">
        <v>426495</v>
      </c>
      <c r="P368" s="122">
        <v>11543</v>
      </c>
      <c r="Q368" s="122">
        <v>4275</v>
      </c>
      <c r="R368" s="122">
        <v>5639831</v>
      </c>
      <c r="S368" s="122">
        <v>2088826</v>
      </c>
      <c r="T368" s="122">
        <v>2772</v>
      </c>
      <c r="U368" s="122">
        <v>1027</v>
      </c>
      <c r="V368" s="122">
        <v>4391576</v>
      </c>
      <c r="W368" s="122">
        <f t="shared" si="10"/>
        <v>4391575</v>
      </c>
      <c r="X368" s="122">
        <f t="shared" si="11"/>
        <v>11846482</v>
      </c>
      <c r="Y368" s="122"/>
      <c r="AA368" t="s">
        <v>58</v>
      </c>
      <c r="AB368" t="s">
        <v>405</v>
      </c>
      <c r="AC368" t="s">
        <v>579</v>
      </c>
      <c r="AD368" t="s">
        <v>406</v>
      </c>
      <c r="AE368" t="s">
        <v>566</v>
      </c>
      <c r="AF368">
        <v>1</v>
      </c>
      <c r="AG368">
        <v>67</v>
      </c>
      <c r="AH368">
        <v>267</v>
      </c>
      <c r="AI368" s="122">
        <v>10597</v>
      </c>
      <c r="AJ368" s="122">
        <v>9633</v>
      </c>
      <c r="AK368">
        <v>78</v>
      </c>
      <c r="AL368" s="122">
        <v>3181</v>
      </c>
      <c r="AM368" s="122">
        <v>2651</v>
      </c>
      <c r="AN368" s="122">
        <v>1224</v>
      </c>
      <c r="AO368">
        <v>453</v>
      </c>
      <c r="AP368">
        <v>351</v>
      </c>
      <c r="AQ368">
        <v>130</v>
      </c>
      <c r="AR368" s="122">
        <v>2563</v>
      </c>
      <c r="AS368" s="122">
        <v>2330</v>
      </c>
      <c r="AT368">
        <v>0</v>
      </c>
      <c r="AU368">
        <v>0</v>
      </c>
      <c r="AV368" s="122">
        <v>15198</v>
      </c>
    </row>
    <row r="369" spans="2:48" ht="13">
      <c r="B369" t="s">
        <v>437</v>
      </c>
      <c r="C369" t="s">
        <v>56</v>
      </c>
      <c r="D369" t="s">
        <v>407</v>
      </c>
      <c r="E369" t="s">
        <v>137</v>
      </c>
      <c r="F369">
        <v>3</v>
      </c>
      <c r="G369" s="122">
        <v>136</v>
      </c>
      <c r="H369" s="122">
        <v>554</v>
      </c>
      <c r="I369" s="122">
        <v>8387</v>
      </c>
      <c r="J369" s="191">
        <v>7624</v>
      </c>
      <c r="K369" s="122">
        <v>80</v>
      </c>
      <c r="L369" s="122">
        <v>0</v>
      </c>
      <c r="M369" s="122">
        <v>0</v>
      </c>
      <c r="N369" s="122">
        <v>2206</v>
      </c>
      <c r="O369">
        <v>817</v>
      </c>
      <c r="P369" s="122">
        <v>1175</v>
      </c>
      <c r="Q369" s="122">
        <v>435</v>
      </c>
      <c r="R369" s="122">
        <v>13351</v>
      </c>
      <c r="S369" s="122">
        <v>4945</v>
      </c>
      <c r="T369" s="122">
        <v>0</v>
      </c>
      <c r="U369" s="122">
        <v>0</v>
      </c>
      <c r="V369" s="122">
        <v>13821</v>
      </c>
      <c r="W369" s="122">
        <f t="shared" si="10"/>
        <v>13821</v>
      </c>
      <c r="X369" s="122">
        <f t="shared" si="11"/>
        <v>25119</v>
      </c>
      <c r="Y369" s="122"/>
      <c r="AA369" t="s">
        <v>58</v>
      </c>
      <c r="AB369" t="s">
        <v>405</v>
      </c>
      <c r="AC369" t="s">
        <v>426</v>
      </c>
      <c r="AD369" t="s">
        <v>405</v>
      </c>
      <c r="AE369" t="s">
        <v>137</v>
      </c>
      <c r="AF369">
        <v>15</v>
      </c>
      <c r="AG369" s="122">
        <v>1262</v>
      </c>
      <c r="AH369" s="122">
        <v>3868</v>
      </c>
      <c r="AI369" s="122">
        <v>164003</v>
      </c>
      <c r="AJ369" s="122">
        <v>149093</v>
      </c>
      <c r="AK369">
        <v>72</v>
      </c>
      <c r="AL369" s="122">
        <v>31226</v>
      </c>
      <c r="AM369" s="122">
        <v>28387</v>
      </c>
      <c r="AN369" s="122">
        <v>27284</v>
      </c>
      <c r="AO369" s="122">
        <v>10105</v>
      </c>
      <c r="AP369" s="122">
        <v>6480</v>
      </c>
      <c r="AQ369" s="122">
        <v>2400</v>
      </c>
      <c r="AR369" s="122">
        <v>57665</v>
      </c>
      <c r="AS369" s="122">
        <v>52423</v>
      </c>
      <c r="AT369" s="122">
        <v>31154</v>
      </c>
      <c r="AU369" s="122">
        <v>11538</v>
      </c>
      <c r="AV369" s="122">
        <v>253946</v>
      </c>
    </row>
    <row r="370" spans="2:48" ht="13">
      <c r="B370" t="s">
        <v>437</v>
      </c>
      <c r="C370" t="s">
        <v>56</v>
      </c>
      <c r="D370" t="s">
        <v>407</v>
      </c>
      <c r="E370" t="s">
        <v>407</v>
      </c>
      <c r="F370" s="122">
        <v>396</v>
      </c>
      <c r="G370" s="122">
        <v>23815</v>
      </c>
      <c r="H370" s="122">
        <v>72441</v>
      </c>
      <c r="I370" s="122">
        <v>1966478</v>
      </c>
      <c r="J370" s="191">
        <v>1787707</v>
      </c>
      <c r="K370" s="122">
        <v>82</v>
      </c>
      <c r="L370" s="122">
        <v>150439</v>
      </c>
      <c r="M370" s="122">
        <v>96324</v>
      </c>
      <c r="N370" s="122">
        <v>480571</v>
      </c>
      <c r="O370" s="122">
        <v>177989</v>
      </c>
      <c r="P370" s="122">
        <v>196008</v>
      </c>
      <c r="Q370" s="122">
        <v>72596</v>
      </c>
      <c r="R370" s="122">
        <v>1399035</v>
      </c>
      <c r="S370" s="122">
        <v>1271850</v>
      </c>
      <c r="T370" s="122">
        <v>150842</v>
      </c>
      <c r="U370" s="122">
        <v>55868</v>
      </c>
      <c r="V370" s="122">
        <v>3462333</v>
      </c>
      <c r="W370" s="122">
        <f t="shared" si="10"/>
        <v>3462334</v>
      </c>
      <c r="X370" s="122">
        <f t="shared" si="11"/>
        <v>4343373</v>
      </c>
      <c r="Y370" s="122"/>
      <c r="AA370" t="s">
        <v>58</v>
      </c>
      <c r="AB370" t="s">
        <v>405</v>
      </c>
      <c r="AC370" t="s">
        <v>426</v>
      </c>
      <c r="AD370" t="s">
        <v>405</v>
      </c>
      <c r="AE370" t="s">
        <v>566</v>
      </c>
      <c r="AF370">
        <v>9</v>
      </c>
      <c r="AG370">
        <v>771</v>
      </c>
      <c r="AH370" s="122">
        <v>2391</v>
      </c>
      <c r="AI370" s="122">
        <v>115159</v>
      </c>
      <c r="AJ370" s="122">
        <v>104690</v>
      </c>
      <c r="AK370">
        <v>76</v>
      </c>
      <c r="AL370" s="122">
        <v>26153</v>
      </c>
      <c r="AM370" s="122">
        <v>23775</v>
      </c>
      <c r="AN370" s="122">
        <v>16345</v>
      </c>
      <c r="AO370" s="122">
        <v>6054</v>
      </c>
      <c r="AP370" s="122">
        <v>4253</v>
      </c>
      <c r="AQ370" s="122">
        <v>1575</v>
      </c>
      <c r="AR370" s="122">
        <v>42192</v>
      </c>
      <c r="AS370" s="122">
        <v>38356</v>
      </c>
      <c r="AT370">
        <v>0</v>
      </c>
      <c r="AU370">
        <v>0</v>
      </c>
      <c r="AV370" s="122">
        <v>174451</v>
      </c>
    </row>
    <row r="371" spans="2:48" ht="13">
      <c r="B371" t="s">
        <v>437</v>
      </c>
      <c r="C371" t="s">
        <v>58</v>
      </c>
      <c r="F371">
        <v>91</v>
      </c>
      <c r="G371" s="122">
        <v>5187</v>
      </c>
      <c r="H371" s="122">
        <v>23023</v>
      </c>
      <c r="I371" s="122"/>
      <c r="J371" s="66">
        <v>0</v>
      </c>
      <c r="K371" s="122"/>
      <c r="L371" s="122"/>
      <c r="M371" s="122">
        <v>0</v>
      </c>
      <c r="N371" s="122">
        <v>114549</v>
      </c>
      <c r="O371" s="122">
        <v>42426</v>
      </c>
      <c r="P371" s="122">
        <v>10862</v>
      </c>
      <c r="Q371" s="122">
        <v>4023</v>
      </c>
      <c r="R371" s="122"/>
      <c r="S371" s="122">
        <v>0</v>
      </c>
      <c r="T371" s="122">
        <v>10078</v>
      </c>
      <c r="U371" s="122">
        <v>3733</v>
      </c>
      <c r="V371" s="122">
        <v>50181</v>
      </c>
      <c r="W371" s="122">
        <f t="shared" si="10"/>
        <v>50182</v>
      </c>
      <c r="X371" s="122">
        <f t="shared" si="11"/>
        <v>135489</v>
      </c>
      <c r="Y371" s="122"/>
      <c r="AA371" t="s">
        <v>58</v>
      </c>
      <c r="AB371" t="s">
        <v>405</v>
      </c>
      <c r="AC371" t="s">
        <v>566</v>
      </c>
      <c r="AD371" t="s">
        <v>405</v>
      </c>
      <c r="AE371" t="s">
        <v>137</v>
      </c>
      <c r="AF371">
        <v>9</v>
      </c>
      <c r="AG371">
        <v>539</v>
      </c>
      <c r="AH371" s="122">
        <v>2299</v>
      </c>
      <c r="AI371" s="122">
        <v>79031</v>
      </c>
      <c r="AJ371" s="122">
        <v>71846</v>
      </c>
      <c r="AK371">
        <v>80</v>
      </c>
      <c r="AL371">
        <v>0</v>
      </c>
      <c r="AM371">
        <v>0</v>
      </c>
      <c r="AN371" s="122">
        <v>9938</v>
      </c>
      <c r="AO371" s="122">
        <v>3681</v>
      </c>
      <c r="AP371" s="122">
        <v>3416</v>
      </c>
      <c r="AQ371" s="122">
        <v>1265</v>
      </c>
      <c r="AR371" s="122">
        <v>28483</v>
      </c>
      <c r="AS371" s="122">
        <v>25894</v>
      </c>
      <c r="AT371" s="122">
        <v>17557</v>
      </c>
      <c r="AU371" s="122">
        <v>6503</v>
      </c>
      <c r="AV371" s="122">
        <v>109188</v>
      </c>
    </row>
    <row r="372" spans="2:48" ht="13">
      <c r="B372" t="s">
        <v>437</v>
      </c>
      <c r="C372" t="s">
        <v>58</v>
      </c>
      <c r="D372" t="s">
        <v>137</v>
      </c>
      <c r="E372" t="s">
        <v>137</v>
      </c>
      <c r="F372" s="122">
        <v>1297</v>
      </c>
      <c r="G372" s="122">
        <v>72136</v>
      </c>
      <c r="H372" s="122">
        <v>339998</v>
      </c>
      <c r="I372" s="122">
        <v>9109834</v>
      </c>
      <c r="J372" s="191">
        <v>3374013</v>
      </c>
      <c r="K372" s="122">
        <v>100</v>
      </c>
      <c r="L372" s="122">
        <v>999490</v>
      </c>
      <c r="M372" s="122">
        <v>379230</v>
      </c>
      <c r="N372" s="122">
        <v>1459501</v>
      </c>
      <c r="O372" s="122">
        <v>540556</v>
      </c>
      <c r="P372" s="122">
        <v>17151</v>
      </c>
      <c r="Q372" s="122">
        <v>6352</v>
      </c>
      <c r="R372" s="122">
        <v>7315019</v>
      </c>
      <c r="S372" s="122">
        <v>2709266</v>
      </c>
      <c r="T372" s="122">
        <v>4031</v>
      </c>
      <c r="U372" s="122">
        <v>1493</v>
      </c>
      <c r="V372" s="122">
        <v>7010910</v>
      </c>
      <c r="W372" s="122">
        <f t="shared" si="10"/>
        <v>7010910</v>
      </c>
      <c r="X372" s="122">
        <f t="shared" si="11"/>
        <v>18905026</v>
      </c>
      <c r="Y372" s="122"/>
      <c r="AA372" t="s">
        <v>58</v>
      </c>
      <c r="AB372" t="s">
        <v>405</v>
      </c>
      <c r="AC372" t="s">
        <v>566</v>
      </c>
      <c r="AD372" t="s">
        <v>405</v>
      </c>
      <c r="AE372" t="s">
        <v>566</v>
      </c>
      <c r="AF372">
        <v>94</v>
      </c>
      <c r="AG372" s="122">
        <v>5365</v>
      </c>
      <c r="AH372" s="122">
        <v>23879</v>
      </c>
      <c r="AI372" s="122">
        <v>920846</v>
      </c>
      <c r="AJ372" s="122">
        <v>837133</v>
      </c>
      <c r="AK372">
        <v>78</v>
      </c>
      <c r="AL372">
        <v>0</v>
      </c>
      <c r="AM372">
        <v>0</v>
      </c>
      <c r="AN372" s="122">
        <v>104409</v>
      </c>
      <c r="AO372" s="122">
        <v>38670</v>
      </c>
      <c r="AP372" s="122">
        <v>43106</v>
      </c>
      <c r="AQ372" s="122">
        <v>15965</v>
      </c>
      <c r="AR372" s="122">
        <v>285258</v>
      </c>
      <c r="AS372" s="122">
        <v>259325</v>
      </c>
      <c r="AT372">
        <v>0</v>
      </c>
      <c r="AU372">
        <v>0</v>
      </c>
      <c r="AV372" s="122">
        <v>1151093</v>
      </c>
    </row>
    <row r="373" spans="2:48" ht="13">
      <c r="B373" t="s">
        <v>437</v>
      </c>
      <c r="C373" t="s">
        <v>58</v>
      </c>
      <c r="D373" t="s">
        <v>407</v>
      </c>
      <c r="E373" t="s">
        <v>137</v>
      </c>
      <c r="F373">
        <v>8</v>
      </c>
      <c r="G373" s="122">
        <v>391</v>
      </c>
      <c r="H373" s="122">
        <v>2145</v>
      </c>
      <c r="I373" s="122">
        <v>48240</v>
      </c>
      <c r="J373" s="191">
        <v>43855</v>
      </c>
      <c r="K373" s="122">
        <v>82</v>
      </c>
      <c r="L373" s="122">
        <v>4032</v>
      </c>
      <c r="M373" s="122">
        <v>3530</v>
      </c>
      <c r="N373" s="122">
        <v>8422</v>
      </c>
      <c r="O373" s="122">
        <v>3119</v>
      </c>
      <c r="P373" s="122">
        <v>2714</v>
      </c>
      <c r="Q373" s="122">
        <v>1005</v>
      </c>
      <c r="R373" s="122">
        <v>41720</v>
      </c>
      <c r="S373" s="122">
        <v>15452</v>
      </c>
      <c r="T373" s="122">
        <v>0</v>
      </c>
      <c r="U373" s="122">
        <v>0</v>
      </c>
      <c r="V373" s="122">
        <v>66961</v>
      </c>
      <c r="W373" s="122">
        <f t="shared" si="10"/>
        <v>66961</v>
      </c>
      <c r="X373" s="122">
        <f t="shared" si="11"/>
        <v>105128</v>
      </c>
      <c r="Y373" s="122"/>
      <c r="AA373" t="s">
        <v>58</v>
      </c>
      <c r="AB373" t="s">
        <v>137</v>
      </c>
      <c r="AC373" t="s">
        <v>578</v>
      </c>
      <c r="AD373" t="s">
        <v>137</v>
      </c>
      <c r="AE373" t="s">
        <v>566</v>
      </c>
      <c r="AF373">
        <v>3</v>
      </c>
      <c r="AG373">
        <v>196</v>
      </c>
      <c r="AH373">
        <v>801</v>
      </c>
      <c r="AI373" s="122">
        <v>27599</v>
      </c>
      <c r="AJ373" s="122">
        <v>10222</v>
      </c>
      <c r="AK373">
        <v>100</v>
      </c>
      <c r="AL373" s="122">
        <v>3265</v>
      </c>
      <c r="AM373" s="122">
        <v>2968</v>
      </c>
      <c r="AN373" s="122">
        <v>4034</v>
      </c>
      <c r="AO373" s="122">
        <v>1494</v>
      </c>
      <c r="AP373">
        <v>0</v>
      </c>
      <c r="AQ373">
        <v>0</v>
      </c>
      <c r="AR373" s="122">
        <v>17465</v>
      </c>
      <c r="AS373" s="122">
        <v>6469</v>
      </c>
      <c r="AT373">
        <v>0</v>
      </c>
      <c r="AU373">
        <v>0</v>
      </c>
      <c r="AV373" s="122">
        <v>21153</v>
      </c>
    </row>
    <row r="374" spans="2:48" ht="13">
      <c r="B374" t="s">
        <v>437</v>
      </c>
      <c r="C374" t="s">
        <v>58</v>
      </c>
      <c r="D374" t="s">
        <v>407</v>
      </c>
      <c r="E374" t="s">
        <v>407</v>
      </c>
      <c r="F374" s="122">
        <v>149</v>
      </c>
      <c r="G374" s="122">
        <v>8099</v>
      </c>
      <c r="H374" s="122">
        <v>38539</v>
      </c>
      <c r="I374" s="122">
        <v>1087878</v>
      </c>
      <c r="J374" s="191">
        <v>988980</v>
      </c>
      <c r="K374" s="122">
        <v>81</v>
      </c>
      <c r="L374" s="122">
        <v>116192</v>
      </c>
      <c r="M374" s="122">
        <v>87844</v>
      </c>
      <c r="N374" s="122">
        <v>178052</v>
      </c>
      <c r="O374" s="122">
        <v>65945</v>
      </c>
      <c r="P374" s="122">
        <v>75361</v>
      </c>
      <c r="Q374" s="122">
        <v>27912</v>
      </c>
      <c r="R374" s="122">
        <v>545454</v>
      </c>
      <c r="S374" s="122">
        <v>495867</v>
      </c>
      <c r="T374" s="122">
        <v>90988</v>
      </c>
      <c r="U374" s="122">
        <v>33699</v>
      </c>
      <c r="V374" s="122">
        <v>1700247</v>
      </c>
      <c r="W374" s="122">
        <f t="shared" si="10"/>
        <v>1700247</v>
      </c>
      <c r="X374" s="122">
        <f t="shared" si="11"/>
        <v>2093925</v>
      </c>
      <c r="Y374" s="122"/>
      <c r="AA374" t="s">
        <v>58</v>
      </c>
      <c r="AB374" t="s">
        <v>137</v>
      </c>
      <c r="AC374" t="s">
        <v>425</v>
      </c>
      <c r="AD374" t="s">
        <v>137</v>
      </c>
      <c r="AE374" t="s">
        <v>566</v>
      </c>
      <c r="AF374">
        <v>22</v>
      </c>
      <c r="AG374" s="122">
        <v>1787</v>
      </c>
      <c r="AH374" s="122">
        <v>6059</v>
      </c>
      <c r="AI374" s="122">
        <v>277363</v>
      </c>
      <c r="AJ374" s="122">
        <v>102727</v>
      </c>
      <c r="AK374">
        <v>100</v>
      </c>
      <c r="AL374" s="122">
        <v>34601</v>
      </c>
      <c r="AM374" s="122">
        <v>31455</v>
      </c>
      <c r="AN374" s="122">
        <v>37637</v>
      </c>
      <c r="AO374" s="122">
        <v>13940</v>
      </c>
      <c r="AP374">
        <v>0</v>
      </c>
      <c r="AQ374">
        <v>0</v>
      </c>
      <c r="AR374" s="122">
        <v>141656</v>
      </c>
      <c r="AS374" s="122">
        <v>52465</v>
      </c>
      <c r="AT374">
        <v>0</v>
      </c>
      <c r="AU374">
        <v>0</v>
      </c>
      <c r="AV374" s="122">
        <v>200587</v>
      </c>
    </row>
    <row r="375" spans="2:48" ht="13">
      <c r="B375" t="s">
        <v>437</v>
      </c>
      <c r="C375" t="s">
        <v>60</v>
      </c>
      <c r="E375" s="122"/>
      <c r="F375" s="122">
        <v>25</v>
      </c>
      <c r="G375" s="122">
        <v>1271</v>
      </c>
      <c r="H375" s="122">
        <v>8304</v>
      </c>
      <c r="I375" s="122"/>
      <c r="J375" s="66">
        <v>0</v>
      </c>
      <c r="K375" s="122"/>
      <c r="L375" s="122"/>
      <c r="M375" s="122">
        <v>0</v>
      </c>
      <c r="N375" s="122">
        <v>25531</v>
      </c>
      <c r="O375" s="122">
        <v>9456</v>
      </c>
      <c r="P375" s="122">
        <v>3645</v>
      </c>
      <c r="Q375" s="122">
        <v>1350</v>
      </c>
      <c r="R375" s="122"/>
      <c r="S375" s="122">
        <v>0</v>
      </c>
      <c r="T375" s="122">
        <v>4289</v>
      </c>
      <c r="U375" s="122">
        <v>1589</v>
      </c>
      <c r="V375" s="122">
        <v>12395</v>
      </c>
      <c r="W375" s="122">
        <f t="shared" si="10"/>
        <v>12395</v>
      </c>
      <c r="X375" s="122">
        <f t="shared" si="11"/>
        <v>33465</v>
      </c>
      <c r="Y375" s="122"/>
      <c r="AA375" t="s">
        <v>58</v>
      </c>
      <c r="AB375" t="s">
        <v>137</v>
      </c>
      <c r="AC375" t="s">
        <v>405</v>
      </c>
      <c r="AD375" t="s">
        <v>137</v>
      </c>
      <c r="AE375" t="s">
        <v>137</v>
      </c>
      <c r="AF375">
        <v>1</v>
      </c>
      <c r="AG375">
        <v>77</v>
      </c>
      <c r="AH375">
        <v>252</v>
      </c>
      <c r="AI375" s="122">
        <v>10995</v>
      </c>
      <c r="AJ375" s="122">
        <v>4072</v>
      </c>
      <c r="AK375">
        <v>100</v>
      </c>
      <c r="AL375" s="122">
        <v>1244</v>
      </c>
      <c r="AM375" s="122">
        <v>1131</v>
      </c>
      <c r="AN375">
        <v>934</v>
      </c>
      <c r="AO375">
        <v>346</v>
      </c>
      <c r="AP375">
        <v>0</v>
      </c>
      <c r="AQ375">
        <v>0</v>
      </c>
      <c r="AR375" s="122">
        <v>6158</v>
      </c>
      <c r="AS375" s="122">
        <v>2281</v>
      </c>
      <c r="AT375">
        <v>0</v>
      </c>
      <c r="AU375">
        <v>0</v>
      </c>
      <c r="AV375" s="122">
        <v>7830</v>
      </c>
    </row>
    <row r="376" spans="2:48" ht="13">
      <c r="B376" t="s">
        <v>437</v>
      </c>
      <c r="C376" t="s">
        <v>60</v>
      </c>
      <c r="D376" t="s">
        <v>137</v>
      </c>
      <c r="E376" t="s">
        <v>137</v>
      </c>
      <c r="F376">
        <v>697</v>
      </c>
      <c r="G376" s="122">
        <v>35272</v>
      </c>
      <c r="H376" s="122">
        <v>234744</v>
      </c>
      <c r="I376" s="122">
        <v>6660879</v>
      </c>
      <c r="J376" s="191">
        <v>2466992</v>
      </c>
      <c r="K376" s="122">
        <v>100</v>
      </c>
      <c r="L376" s="122">
        <v>669358</v>
      </c>
      <c r="M376" s="122">
        <v>291418</v>
      </c>
      <c r="N376" s="122">
        <v>711057</v>
      </c>
      <c r="O376" s="122">
        <v>263354</v>
      </c>
      <c r="P376" s="122">
        <v>8235</v>
      </c>
      <c r="Q376" s="122">
        <v>3050</v>
      </c>
      <c r="R376" s="122">
        <v>3820480</v>
      </c>
      <c r="S376" s="122">
        <v>1414993</v>
      </c>
      <c r="T376" s="122">
        <v>3232</v>
      </c>
      <c r="U376" s="122">
        <v>1197</v>
      </c>
      <c r="V376" s="122">
        <v>4441004</v>
      </c>
      <c r="W376" s="122">
        <f t="shared" si="10"/>
        <v>4441004</v>
      </c>
      <c r="X376" s="122">
        <f t="shared" si="11"/>
        <v>11873241</v>
      </c>
      <c r="Y376" s="122"/>
      <c r="AA376" t="s">
        <v>58</v>
      </c>
      <c r="AB376" t="s">
        <v>137</v>
      </c>
      <c r="AC376" t="s">
        <v>405</v>
      </c>
      <c r="AD376" t="s">
        <v>137</v>
      </c>
      <c r="AE376" t="s">
        <v>566</v>
      </c>
      <c r="AF376">
        <v>7</v>
      </c>
      <c r="AG376">
        <v>496</v>
      </c>
      <c r="AH376" s="122">
        <v>1954</v>
      </c>
      <c r="AI376" s="122">
        <v>77767</v>
      </c>
      <c r="AJ376" s="122">
        <v>28802</v>
      </c>
      <c r="AK376">
        <v>100</v>
      </c>
      <c r="AL376" s="122">
        <v>10626</v>
      </c>
      <c r="AM376" s="122">
        <v>9660</v>
      </c>
      <c r="AN376" s="122">
        <v>6746</v>
      </c>
      <c r="AO376" s="122">
        <v>2499</v>
      </c>
      <c r="AP376">
        <v>0</v>
      </c>
      <c r="AQ376">
        <v>0</v>
      </c>
      <c r="AR376" s="122">
        <v>42021</v>
      </c>
      <c r="AS376" s="122">
        <v>15563</v>
      </c>
      <c r="AT376">
        <v>0</v>
      </c>
      <c r="AU376">
        <v>0</v>
      </c>
      <c r="AV376" s="122">
        <v>56524</v>
      </c>
    </row>
    <row r="377" spans="2:48" ht="13">
      <c r="B377" t="s">
        <v>437</v>
      </c>
      <c r="C377" t="s">
        <v>60</v>
      </c>
      <c r="D377" t="s">
        <v>406</v>
      </c>
      <c r="E377" t="s">
        <v>137</v>
      </c>
      <c r="F377" s="122">
        <v>5</v>
      </c>
      <c r="G377" s="122">
        <v>248</v>
      </c>
      <c r="H377" s="122">
        <v>1781</v>
      </c>
      <c r="I377" s="122">
        <v>53567</v>
      </c>
      <c r="J377" s="191">
        <v>48697</v>
      </c>
      <c r="K377" s="122">
        <v>79</v>
      </c>
      <c r="L377" s="122">
        <v>0</v>
      </c>
      <c r="M377" s="122">
        <v>0</v>
      </c>
      <c r="N377" s="122">
        <v>6053</v>
      </c>
      <c r="O377" s="122">
        <v>2242</v>
      </c>
      <c r="P377" s="122">
        <v>1755</v>
      </c>
      <c r="Q377" s="122">
        <v>650</v>
      </c>
      <c r="R377" s="122">
        <v>26786</v>
      </c>
      <c r="S377" s="122">
        <v>9921</v>
      </c>
      <c r="T377" s="122">
        <v>0</v>
      </c>
      <c r="U377" s="122">
        <v>0</v>
      </c>
      <c r="V377" s="122">
        <v>61510</v>
      </c>
      <c r="W377" s="122">
        <f t="shared" si="10"/>
        <v>61510</v>
      </c>
      <c r="X377" s="122">
        <f t="shared" si="11"/>
        <v>88161</v>
      </c>
      <c r="Y377" s="122"/>
      <c r="AA377" t="s">
        <v>58</v>
      </c>
      <c r="AB377" t="s">
        <v>137</v>
      </c>
      <c r="AC377" t="s">
        <v>137</v>
      </c>
      <c r="AD377" t="s">
        <v>403</v>
      </c>
      <c r="AE377" t="s">
        <v>566</v>
      </c>
      <c r="AF377">
        <v>1</v>
      </c>
      <c r="AG377">
        <v>42</v>
      </c>
      <c r="AH377">
        <v>231</v>
      </c>
      <c r="AI377" s="122">
        <v>3508</v>
      </c>
      <c r="AJ377" s="122">
        <v>1299</v>
      </c>
      <c r="AK377">
        <v>100</v>
      </c>
      <c r="AL377">
        <v>390</v>
      </c>
      <c r="AM377">
        <v>144</v>
      </c>
      <c r="AN377" s="122">
        <v>1029</v>
      </c>
      <c r="AO377">
        <v>381</v>
      </c>
      <c r="AP377">
        <v>0</v>
      </c>
      <c r="AQ377">
        <v>0</v>
      </c>
      <c r="AR377" s="122">
        <v>4814</v>
      </c>
      <c r="AS377" s="122">
        <v>1783</v>
      </c>
      <c r="AT377">
        <v>0</v>
      </c>
      <c r="AU377">
        <v>0</v>
      </c>
      <c r="AV377" s="122">
        <v>3608</v>
      </c>
    </row>
    <row r="378" spans="2:48" ht="13">
      <c r="B378" t="s">
        <v>437</v>
      </c>
      <c r="C378" t="s">
        <v>60</v>
      </c>
      <c r="D378" t="s">
        <v>406</v>
      </c>
      <c r="E378" t="s">
        <v>406</v>
      </c>
      <c r="F378">
        <v>1</v>
      </c>
      <c r="G378" s="122">
        <v>141</v>
      </c>
      <c r="H378" s="122">
        <v>342</v>
      </c>
      <c r="I378" s="122">
        <v>36652</v>
      </c>
      <c r="J378" s="191">
        <v>33320</v>
      </c>
      <c r="K378" s="122">
        <v>76</v>
      </c>
      <c r="L378" s="122">
        <v>0</v>
      </c>
      <c r="M378" s="122">
        <v>0</v>
      </c>
      <c r="N378" s="122">
        <v>3426</v>
      </c>
      <c r="O378" s="122">
        <v>1269</v>
      </c>
      <c r="P378">
        <v>621</v>
      </c>
      <c r="Q378" s="122">
        <v>230</v>
      </c>
      <c r="R378" s="122">
        <v>4483</v>
      </c>
      <c r="S378" s="122">
        <v>4075</v>
      </c>
      <c r="T378" s="122">
        <v>2826</v>
      </c>
      <c r="U378" s="122">
        <v>1047</v>
      </c>
      <c r="V378" s="122">
        <v>39941</v>
      </c>
      <c r="W378" s="122">
        <f t="shared" si="10"/>
        <v>39941</v>
      </c>
      <c r="X378" s="122">
        <f t="shared" si="11"/>
        <v>48008</v>
      </c>
      <c r="Y378" s="122"/>
      <c r="AA378" t="s">
        <v>58</v>
      </c>
      <c r="AB378" t="s">
        <v>137</v>
      </c>
      <c r="AC378" t="s">
        <v>137</v>
      </c>
      <c r="AD378" t="s">
        <v>404</v>
      </c>
      <c r="AE378" t="s">
        <v>566</v>
      </c>
      <c r="AF378">
        <v>1</v>
      </c>
      <c r="AG378">
        <v>188</v>
      </c>
      <c r="AH378">
        <v>226</v>
      </c>
      <c r="AI378" s="122">
        <v>24085</v>
      </c>
      <c r="AJ378" s="122">
        <v>8920</v>
      </c>
      <c r="AK378">
        <v>100</v>
      </c>
      <c r="AL378" s="122">
        <v>2676</v>
      </c>
      <c r="AM378">
        <v>991</v>
      </c>
      <c r="AN378" s="122">
        <v>4359</v>
      </c>
      <c r="AO378" s="122">
        <v>1614</v>
      </c>
      <c r="AP378">
        <v>702</v>
      </c>
      <c r="AQ378">
        <v>260</v>
      </c>
      <c r="AR378" s="122">
        <v>10747</v>
      </c>
      <c r="AS378" s="122">
        <v>3981</v>
      </c>
      <c r="AT378">
        <v>0</v>
      </c>
      <c r="AU378">
        <v>0</v>
      </c>
      <c r="AV378" s="122">
        <v>15766</v>
      </c>
    </row>
    <row r="379" spans="2:48" ht="13">
      <c r="B379" t="s">
        <v>437</v>
      </c>
      <c r="C379" t="s">
        <v>60</v>
      </c>
      <c r="D379" t="s">
        <v>407</v>
      </c>
      <c r="E379" t="s">
        <v>137</v>
      </c>
      <c r="F379">
        <v>8</v>
      </c>
      <c r="G379" s="122">
        <v>327</v>
      </c>
      <c r="H379" s="122">
        <v>2846</v>
      </c>
      <c r="I379" s="122">
        <v>63676</v>
      </c>
      <c r="J379" s="191">
        <v>57887</v>
      </c>
      <c r="K379" s="122">
        <v>79</v>
      </c>
      <c r="L379" s="122">
        <v>6260</v>
      </c>
      <c r="M379" s="122">
        <v>4009</v>
      </c>
      <c r="N379" s="122">
        <v>7767</v>
      </c>
      <c r="O379" s="122">
        <v>2877</v>
      </c>
      <c r="P379" s="122">
        <v>3308</v>
      </c>
      <c r="Q379" s="122">
        <v>1225</v>
      </c>
      <c r="R379" s="122">
        <v>35424</v>
      </c>
      <c r="S379" s="122">
        <v>13120</v>
      </c>
      <c r="T379">
        <v>0</v>
      </c>
      <c r="U379" s="122">
        <v>0</v>
      </c>
      <c r="V379" s="122">
        <v>79118</v>
      </c>
      <c r="W379" s="122">
        <f t="shared" si="10"/>
        <v>79118</v>
      </c>
      <c r="X379" s="122">
        <f t="shared" si="11"/>
        <v>116435</v>
      </c>
      <c r="Y379" s="122"/>
      <c r="AA379" t="s">
        <v>58</v>
      </c>
      <c r="AB379" t="s">
        <v>137</v>
      </c>
      <c r="AC379" t="s">
        <v>137</v>
      </c>
      <c r="AD379" t="s">
        <v>137</v>
      </c>
      <c r="AE379" t="s">
        <v>137</v>
      </c>
      <c r="AF379">
        <v>608</v>
      </c>
      <c r="AG379" s="122">
        <v>41586</v>
      </c>
      <c r="AH379" s="122">
        <v>159551</v>
      </c>
      <c r="AI379" s="122">
        <v>5413378</v>
      </c>
      <c r="AJ379" s="122">
        <v>2004955</v>
      </c>
      <c r="AK379">
        <v>100</v>
      </c>
      <c r="AL379" s="122">
        <v>776871</v>
      </c>
      <c r="AM379" s="122">
        <v>287730</v>
      </c>
      <c r="AN379" s="122">
        <v>819447</v>
      </c>
      <c r="AO379" s="122">
        <v>303499</v>
      </c>
      <c r="AP379" s="122">
        <v>14430</v>
      </c>
      <c r="AQ379" s="122">
        <v>5344</v>
      </c>
      <c r="AR379" s="122">
        <v>3752640</v>
      </c>
      <c r="AS379" s="122">
        <v>1389867</v>
      </c>
      <c r="AT379" s="122">
        <v>120046</v>
      </c>
      <c r="AU379" s="122">
        <v>44461</v>
      </c>
      <c r="AV379" s="122">
        <v>4035856</v>
      </c>
    </row>
    <row r="380" spans="2:48" ht="13">
      <c r="B380" t="s">
        <v>437</v>
      </c>
      <c r="C380" t="s">
        <v>60</v>
      </c>
      <c r="D380" t="s">
        <v>407</v>
      </c>
      <c r="E380" t="s">
        <v>407</v>
      </c>
      <c r="F380" s="122">
        <v>76</v>
      </c>
      <c r="G380" s="122">
        <v>4193</v>
      </c>
      <c r="H380" s="122">
        <v>25076</v>
      </c>
      <c r="I380" s="122">
        <v>841189</v>
      </c>
      <c r="J380" s="191">
        <v>764717</v>
      </c>
      <c r="K380" s="122">
        <v>78</v>
      </c>
      <c r="L380" s="122">
        <v>80397</v>
      </c>
      <c r="M380" s="122">
        <v>61380</v>
      </c>
      <c r="N380" s="122">
        <v>93540</v>
      </c>
      <c r="O380" s="122">
        <v>34644</v>
      </c>
      <c r="P380" s="122">
        <v>35789</v>
      </c>
      <c r="Q380" s="122">
        <v>13255</v>
      </c>
      <c r="R380" s="122">
        <v>291677</v>
      </c>
      <c r="S380" s="122">
        <v>265161</v>
      </c>
      <c r="T380" s="122">
        <v>75206</v>
      </c>
      <c r="U380" s="122">
        <v>27854</v>
      </c>
      <c r="V380" s="122">
        <v>1167012</v>
      </c>
      <c r="W380" s="122">
        <f t="shared" si="10"/>
        <v>1167011</v>
      </c>
      <c r="X380" s="122">
        <f t="shared" si="11"/>
        <v>1417798</v>
      </c>
      <c r="Y380" s="122"/>
      <c r="AA380" t="s">
        <v>58</v>
      </c>
      <c r="AB380" t="s">
        <v>137</v>
      </c>
      <c r="AC380" t="s">
        <v>137</v>
      </c>
      <c r="AD380" t="s">
        <v>137</v>
      </c>
      <c r="AE380" t="s">
        <v>566</v>
      </c>
      <c r="AF380" s="122">
        <v>14491</v>
      </c>
      <c r="AG380" s="122">
        <v>930980</v>
      </c>
      <c r="AH380" s="122">
        <v>3789248</v>
      </c>
      <c r="AI380" s="122">
        <v>116222081</v>
      </c>
      <c r="AJ380" s="122">
        <v>43045215</v>
      </c>
      <c r="AK380">
        <v>100</v>
      </c>
      <c r="AL380" s="122">
        <v>20646785</v>
      </c>
      <c r="AM380" s="122">
        <v>7646957</v>
      </c>
      <c r="AN380" s="122">
        <v>18872584</v>
      </c>
      <c r="AO380" s="122">
        <v>6989845</v>
      </c>
      <c r="AP380" s="122">
        <v>233223</v>
      </c>
      <c r="AQ380" s="122">
        <v>86379</v>
      </c>
      <c r="AR380" s="122">
        <v>87623782</v>
      </c>
      <c r="AS380" s="122">
        <v>32453252</v>
      </c>
      <c r="AT380">
        <v>0</v>
      </c>
      <c r="AU380">
        <v>0</v>
      </c>
      <c r="AV380" s="122">
        <v>90221648</v>
      </c>
    </row>
    <row r="381" spans="2:48" ht="13">
      <c r="B381" t="s">
        <v>437</v>
      </c>
      <c r="C381" t="s">
        <v>62</v>
      </c>
      <c r="F381" s="122">
        <v>11</v>
      </c>
      <c r="G381" s="122">
        <v>462</v>
      </c>
      <c r="H381" s="122">
        <v>4480</v>
      </c>
      <c r="I381" s="122"/>
      <c r="J381" s="66">
        <v>0</v>
      </c>
      <c r="K381" s="122"/>
      <c r="L381" s="122"/>
      <c r="M381" s="122">
        <v>0</v>
      </c>
      <c r="N381" s="122">
        <v>7783</v>
      </c>
      <c r="O381" s="122">
        <v>2882</v>
      </c>
      <c r="P381" s="122">
        <v>1418</v>
      </c>
      <c r="Q381" s="122">
        <v>525</v>
      </c>
      <c r="R381" s="122"/>
      <c r="S381">
        <v>0</v>
      </c>
      <c r="T381" s="122">
        <v>4730</v>
      </c>
      <c r="U381" s="122">
        <v>1752</v>
      </c>
      <c r="V381" s="122">
        <v>5159</v>
      </c>
      <c r="W381" s="122">
        <f t="shared" si="10"/>
        <v>5159</v>
      </c>
      <c r="X381" s="122">
        <f t="shared" si="11"/>
        <v>13931</v>
      </c>
      <c r="Y381" s="122"/>
      <c r="AA381" t="s">
        <v>58</v>
      </c>
      <c r="AB381" t="s">
        <v>137</v>
      </c>
      <c r="AC381" t="s">
        <v>137</v>
      </c>
      <c r="AD381" t="s">
        <v>407</v>
      </c>
      <c r="AE381" t="s">
        <v>566</v>
      </c>
      <c r="AF381">
        <v>12</v>
      </c>
      <c r="AG381">
        <v>895</v>
      </c>
      <c r="AH381" s="122">
        <v>3266</v>
      </c>
      <c r="AI381" s="122">
        <v>143416</v>
      </c>
      <c r="AJ381" s="122">
        <v>53117</v>
      </c>
      <c r="AK381">
        <v>100</v>
      </c>
      <c r="AL381" s="122">
        <v>35854</v>
      </c>
      <c r="AM381" s="122">
        <v>13279</v>
      </c>
      <c r="AN381" s="122">
        <v>21227</v>
      </c>
      <c r="AO381" s="122">
        <v>7862</v>
      </c>
      <c r="AP381">
        <v>0</v>
      </c>
      <c r="AQ381">
        <v>0</v>
      </c>
      <c r="AR381" s="122">
        <v>43202</v>
      </c>
      <c r="AS381" s="122">
        <v>39274</v>
      </c>
      <c r="AT381">
        <v>0</v>
      </c>
      <c r="AU381">
        <v>0</v>
      </c>
      <c r="AV381" s="122">
        <v>113532</v>
      </c>
    </row>
    <row r="382" spans="2:48" ht="13">
      <c r="B382" t="s">
        <v>437</v>
      </c>
      <c r="C382" t="s">
        <v>62</v>
      </c>
      <c r="D382" t="s">
        <v>137</v>
      </c>
      <c r="E382" t="s">
        <v>137</v>
      </c>
      <c r="F382" s="122">
        <v>207</v>
      </c>
      <c r="G382" s="122">
        <v>9534</v>
      </c>
      <c r="H382" s="122">
        <v>85006</v>
      </c>
      <c r="I382" s="122">
        <v>2383215</v>
      </c>
      <c r="J382" s="191">
        <v>882672</v>
      </c>
      <c r="K382" s="122">
        <v>100</v>
      </c>
      <c r="L382" s="122">
        <v>246886</v>
      </c>
      <c r="M382" s="122">
        <v>106251</v>
      </c>
      <c r="N382" s="122">
        <v>192624</v>
      </c>
      <c r="O382" s="122">
        <v>71342</v>
      </c>
      <c r="P382" s="122">
        <v>1607</v>
      </c>
      <c r="Q382" s="122">
        <v>595</v>
      </c>
      <c r="R382" s="122">
        <v>1086129</v>
      </c>
      <c r="S382" s="122">
        <v>402270</v>
      </c>
      <c r="T382" s="122">
        <v>0</v>
      </c>
      <c r="U382" s="122">
        <v>0</v>
      </c>
      <c r="V382" s="122">
        <v>1463131</v>
      </c>
      <c r="W382" s="122">
        <f t="shared" si="10"/>
        <v>1463130</v>
      </c>
      <c r="X382" s="122">
        <f t="shared" si="11"/>
        <v>3910461</v>
      </c>
      <c r="Y382" s="122"/>
      <c r="AA382" t="s">
        <v>58</v>
      </c>
      <c r="AB382" t="s">
        <v>137</v>
      </c>
      <c r="AC382" t="s">
        <v>137</v>
      </c>
      <c r="AD382" t="s">
        <v>426</v>
      </c>
      <c r="AE382" t="s">
        <v>566</v>
      </c>
      <c r="AF382">
        <v>1</v>
      </c>
      <c r="AG382">
        <v>60</v>
      </c>
      <c r="AH382">
        <v>293</v>
      </c>
      <c r="AI382" s="122">
        <v>10691</v>
      </c>
      <c r="AJ382" s="122">
        <v>3960</v>
      </c>
      <c r="AK382">
        <v>100</v>
      </c>
      <c r="AL382" s="122">
        <v>2673</v>
      </c>
      <c r="AM382">
        <v>990</v>
      </c>
      <c r="AN382" s="122">
        <v>1132</v>
      </c>
      <c r="AO382">
        <v>419</v>
      </c>
      <c r="AP382">
        <v>0</v>
      </c>
      <c r="AQ382">
        <v>0</v>
      </c>
      <c r="AR382" s="122">
        <v>2941</v>
      </c>
      <c r="AS382" s="122">
        <v>2674</v>
      </c>
      <c r="AT382">
        <v>0</v>
      </c>
      <c r="AU382">
        <v>0</v>
      </c>
      <c r="AV382" s="122">
        <v>8043</v>
      </c>
    </row>
    <row r="383" spans="2:48" ht="13">
      <c r="B383" t="s">
        <v>437</v>
      </c>
      <c r="C383" t="s">
        <v>62</v>
      </c>
      <c r="D383" t="s">
        <v>137</v>
      </c>
      <c r="E383" t="s">
        <v>407</v>
      </c>
      <c r="F383" s="122">
        <v>3</v>
      </c>
      <c r="G383" s="122">
        <v>282</v>
      </c>
      <c r="H383" s="122">
        <v>1239</v>
      </c>
      <c r="I383" s="122">
        <v>91968</v>
      </c>
      <c r="J383" s="191">
        <v>34062</v>
      </c>
      <c r="K383" s="122">
        <v>100</v>
      </c>
      <c r="L383" s="122">
        <v>7150</v>
      </c>
      <c r="M383" s="122">
        <v>6500</v>
      </c>
      <c r="N383" s="122">
        <v>4739</v>
      </c>
      <c r="O383" s="122">
        <v>1755</v>
      </c>
      <c r="P383" s="122">
        <v>473</v>
      </c>
      <c r="Q383" s="122">
        <v>175</v>
      </c>
      <c r="R383" s="122">
        <v>11861</v>
      </c>
      <c r="S383" s="122">
        <v>10783</v>
      </c>
      <c r="T383" s="122">
        <v>3715</v>
      </c>
      <c r="U383" s="122">
        <v>1376</v>
      </c>
      <c r="V383" s="122">
        <v>54651</v>
      </c>
      <c r="W383" s="122">
        <f t="shared" si="10"/>
        <v>54651</v>
      </c>
      <c r="X383" s="122">
        <f t="shared" si="11"/>
        <v>119906</v>
      </c>
      <c r="Y383" s="122"/>
      <c r="AA383" t="s">
        <v>58</v>
      </c>
      <c r="AB383" t="s">
        <v>137</v>
      </c>
      <c r="AC383" t="s">
        <v>580</v>
      </c>
      <c r="AD383" t="s">
        <v>137</v>
      </c>
      <c r="AE383" t="s">
        <v>566</v>
      </c>
      <c r="AF383">
        <v>2</v>
      </c>
      <c r="AG383">
        <v>164</v>
      </c>
      <c r="AH383">
        <v>530</v>
      </c>
      <c r="AI383" s="122">
        <v>24312</v>
      </c>
      <c r="AJ383" s="122">
        <v>9004</v>
      </c>
      <c r="AK383">
        <v>100</v>
      </c>
      <c r="AL383" s="122">
        <v>2691</v>
      </c>
      <c r="AM383" s="122">
        <v>2447</v>
      </c>
      <c r="AN383" s="122">
        <v>2318</v>
      </c>
      <c r="AO383">
        <v>858</v>
      </c>
      <c r="AP383">
        <v>0</v>
      </c>
      <c r="AQ383">
        <v>0</v>
      </c>
      <c r="AR383" s="122">
        <v>13267</v>
      </c>
      <c r="AS383" s="122">
        <v>4914</v>
      </c>
      <c r="AT383">
        <v>0</v>
      </c>
      <c r="AU383">
        <v>0</v>
      </c>
      <c r="AV383" s="122">
        <v>17223</v>
      </c>
    </row>
    <row r="384" spans="2:48" ht="13">
      <c r="B384" t="s">
        <v>437</v>
      </c>
      <c r="C384" t="s">
        <v>62</v>
      </c>
      <c r="D384" t="s">
        <v>406</v>
      </c>
      <c r="E384" t="s">
        <v>137</v>
      </c>
      <c r="F384" s="122">
        <v>4</v>
      </c>
      <c r="G384" s="122">
        <v>164</v>
      </c>
      <c r="H384" s="122">
        <v>1705</v>
      </c>
      <c r="I384" s="122">
        <v>46527</v>
      </c>
      <c r="J384" s="191">
        <v>42297</v>
      </c>
      <c r="K384" s="122">
        <v>80</v>
      </c>
      <c r="L384" s="122">
        <v>0</v>
      </c>
      <c r="M384" s="122">
        <v>0</v>
      </c>
      <c r="N384" s="122">
        <v>3865</v>
      </c>
      <c r="O384" s="122">
        <v>1431</v>
      </c>
      <c r="P384" s="122">
        <v>1944</v>
      </c>
      <c r="Q384" s="122">
        <v>720</v>
      </c>
      <c r="R384" s="122">
        <v>17362</v>
      </c>
      <c r="S384" s="122">
        <v>6430</v>
      </c>
      <c r="T384">
        <v>0</v>
      </c>
      <c r="U384" s="122">
        <v>0</v>
      </c>
      <c r="V384" s="122">
        <v>50879</v>
      </c>
      <c r="W384" s="122">
        <f t="shared" si="10"/>
        <v>50878</v>
      </c>
      <c r="X384" s="122">
        <f t="shared" si="11"/>
        <v>69698</v>
      </c>
      <c r="Y384" s="122"/>
      <c r="AA384" t="s">
        <v>58</v>
      </c>
      <c r="AB384" t="s">
        <v>137</v>
      </c>
      <c r="AC384" t="s">
        <v>427</v>
      </c>
      <c r="AD384" t="s">
        <v>137</v>
      </c>
      <c r="AE384" t="s">
        <v>137</v>
      </c>
      <c r="AF384">
        <v>1</v>
      </c>
      <c r="AG384">
        <v>63</v>
      </c>
      <c r="AH384">
        <v>239</v>
      </c>
      <c r="AI384" s="122">
        <v>6156</v>
      </c>
      <c r="AJ384" s="122">
        <v>2280</v>
      </c>
      <c r="AK384">
        <v>100</v>
      </c>
      <c r="AL384" s="122">
        <v>1140</v>
      </c>
      <c r="AM384" s="122">
        <v>1036</v>
      </c>
      <c r="AN384" s="122">
        <v>1353</v>
      </c>
      <c r="AO384">
        <v>501</v>
      </c>
      <c r="AP384">
        <v>206</v>
      </c>
      <c r="AQ384">
        <v>76</v>
      </c>
      <c r="AR384" s="122">
        <v>6280</v>
      </c>
      <c r="AS384" s="122">
        <v>2326</v>
      </c>
      <c r="AT384">
        <v>0</v>
      </c>
      <c r="AU384">
        <v>0</v>
      </c>
      <c r="AV384" s="122">
        <v>6219</v>
      </c>
    </row>
    <row r="385" spans="2:48" ht="13">
      <c r="B385" t="s">
        <v>437</v>
      </c>
      <c r="C385" t="s">
        <v>62</v>
      </c>
      <c r="D385" t="s">
        <v>407</v>
      </c>
      <c r="E385" t="s">
        <v>137</v>
      </c>
      <c r="F385">
        <v>5</v>
      </c>
      <c r="G385">
        <v>244</v>
      </c>
      <c r="H385" s="122">
        <v>2035</v>
      </c>
      <c r="I385" s="122">
        <v>68142</v>
      </c>
      <c r="J385" s="191">
        <v>61947</v>
      </c>
      <c r="K385" s="122">
        <v>77</v>
      </c>
      <c r="L385" s="122">
        <v>0</v>
      </c>
      <c r="M385" s="122">
        <v>0</v>
      </c>
      <c r="N385" s="122">
        <v>5359</v>
      </c>
      <c r="O385" s="122">
        <v>1985</v>
      </c>
      <c r="P385" s="122">
        <v>1890</v>
      </c>
      <c r="Q385" s="122">
        <v>700</v>
      </c>
      <c r="R385" s="122">
        <v>23771</v>
      </c>
      <c r="S385" s="122">
        <v>8804</v>
      </c>
      <c r="T385" s="122">
        <v>0</v>
      </c>
      <c r="U385" s="122">
        <v>0</v>
      </c>
      <c r="V385" s="122">
        <v>73436</v>
      </c>
      <c r="W385" s="122">
        <f t="shared" si="10"/>
        <v>73436</v>
      </c>
      <c r="X385" s="122">
        <f t="shared" si="11"/>
        <v>99162</v>
      </c>
      <c r="Y385" s="122"/>
      <c r="AA385" t="s">
        <v>58</v>
      </c>
      <c r="AB385" t="s">
        <v>137</v>
      </c>
      <c r="AC385" t="s">
        <v>427</v>
      </c>
      <c r="AD385" t="s">
        <v>137</v>
      </c>
      <c r="AE385" t="s">
        <v>566</v>
      </c>
      <c r="AF385">
        <v>114</v>
      </c>
      <c r="AG385" s="122">
        <v>7998</v>
      </c>
      <c r="AH385" s="122">
        <v>30940</v>
      </c>
      <c r="AI385" s="122">
        <v>1096842</v>
      </c>
      <c r="AJ385" s="122">
        <v>406238</v>
      </c>
      <c r="AK385">
        <v>100</v>
      </c>
      <c r="AL385" s="122">
        <v>164228</v>
      </c>
      <c r="AM385" s="122">
        <v>149298</v>
      </c>
      <c r="AN385" s="122">
        <v>162773</v>
      </c>
      <c r="AO385" s="122">
        <v>60286</v>
      </c>
      <c r="AP385" s="122">
        <v>1932</v>
      </c>
      <c r="AQ385">
        <v>715</v>
      </c>
      <c r="AR385" s="122">
        <v>743388</v>
      </c>
      <c r="AS385" s="122">
        <v>275329</v>
      </c>
      <c r="AT385">
        <v>0</v>
      </c>
      <c r="AU385">
        <v>0</v>
      </c>
      <c r="AV385" s="122">
        <v>891867</v>
      </c>
    </row>
    <row r="386" spans="2:48" ht="13">
      <c r="B386" t="s">
        <v>437</v>
      </c>
      <c r="C386" t="s">
        <v>62</v>
      </c>
      <c r="D386" t="s">
        <v>407</v>
      </c>
      <c r="E386" s="122" t="s">
        <v>407</v>
      </c>
      <c r="F386" s="122">
        <v>18</v>
      </c>
      <c r="G386" s="122">
        <v>992</v>
      </c>
      <c r="H386" s="122">
        <v>7403</v>
      </c>
      <c r="I386" s="122">
        <v>259223</v>
      </c>
      <c r="J386" s="191">
        <v>235657</v>
      </c>
      <c r="K386" s="122">
        <v>77</v>
      </c>
      <c r="L386" s="122">
        <v>40275</v>
      </c>
      <c r="M386" s="122">
        <v>31404</v>
      </c>
      <c r="N386" s="122">
        <v>21471</v>
      </c>
      <c r="O386" s="122">
        <v>7952</v>
      </c>
      <c r="P386" s="122">
        <v>8505</v>
      </c>
      <c r="Q386" s="122">
        <v>3150</v>
      </c>
      <c r="R386" s="122">
        <v>74164</v>
      </c>
      <c r="S386" s="122">
        <v>67422</v>
      </c>
      <c r="T386" s="122">
        <v>5029</v>
      </c>
      <c r="U386" s="122">
        <v>1863</v>
      </c>
      <c r="V386" s="122">
        <v>347448</v>
      </c>
      <c r="W386" s="122">
        <f t="shared" si="10"/>
        <v>347448</v>
      </c>
      <c r="X386" s="122">
        <f t="shared" si="11"/>
        <v>408667</v>
      </c>
      <c r="Y386" s="122"/>
      <c r="AA386" t="s">
        <v>58</v>
      </c>
      <c r="AB386" t="s">
        <v>137</v>
      </c>
      <c r="AC386" t="s">
        <v>407</v>
      </c>
      <c r="AD386" t="s">
        <v>137</v>
      </c>
      <c r="AE386" t="s">
        <v>137</v>
      </c>
      <c r="AF386">
        <v>1</v>
      </c>
      <c r="AG386">
        <v>116</v>
      </c>
      <c r="AH386">
        <v>278</v>
      </c>
      <c r="AI386" s="122">
        <v>20212</v>
      </c>
      <c r="AJ386" s="122">
        <v>7486</v>
      </c>
      <c r="AK386">
        <v>100</v>
      </c>
      <c r="AL386" s="122">
        <v>1452</v>
      </c>
      <c r="AM386" s="122">
        <v>1320</v>
      </c>
      <c r="AN386" s="122">
        <v>2823</v>
      </c>
      <c r="AO386" s="122">
        <v>1046</v>
      </c>
      <c r="AP386">
        <v>0</v>
      </c>
      <c r="AQ386">
        <v>0</v>
      </c>
      <c r="AR386" s="122">
        <v>7684</v>
      </c>
      <c r="AS386" s="122">
        <v>2846</v>
      </c>
      <c r="AT386">
        <v>0</v>
      </c>
      <c r="AU386">
        <v>0</v>
      </c>
      <c r="AV386" s="122">
        <v>12698</v>
      </c>
    </row>
    <row r="387" spans="2:48" ht="13">
      <c r="B387" t="s">
        <v>437</v>
      </c>
      <c r="C387" t="s">
        <v>62</v>
      </c>
      <c r="D387" t="s">
        <v>556</v>
      </c>
      <c r="E387" t="s">
        <v>137</v>
      </c>
      <c r="F387" s="122">
        <v>1</v>
      </c>
      <c r="G387" s="122">
        <v>141</v>
      </c>
      <c r="H387" s="122">
        <v>449</v>
      </c>
      <c r="I387" s="122">
        <v>43804</v>
      </c>
      <c r="J387" s="191">
        <v>36503</v>
      </c>
      <c r="K387" s="122">
        <v>30</v>
      </c>
      <c r="L387" s="122">
        <v>5476</v>
      </c>
      <c r="M387" s="122">
        <v>4563</v>
      </c>
      <c r="N387" s="122">
        <v>3022</v>
      </c>
      <c r="O387" s="122">
        <v>1119</v>
      </c>
      <c r="P387">
        <v>0</v>
      </c>
      <c r="Q387" s="122">
        <v>0</v>
      </c>
      <c r="R387" s="122">
        <v>11004</v>
      </c>
      <c r="S387" s="122">
        <v>4076</v>
      </c>
      <c r="T387">
        <v>0</v>
      </c>
      <c r="U387" s="122">
        <v>0</v>
      </c>
      <c r="V387" s="122">
        <v>46261</v>
      </c>
      <c r="W387" s="122">
        <f t="shared" si="10"/>
        <v>46261</v>
      </c>
      <c r="X387" s="122">
        <f t="shared" si="11"/>
        <v>63306</v>
      </c>
      <c r="Y387" s="122"/>
      <c r="AA387" t="s">
        <v>58</v>
      </c>
      <c r="AB387" t="s">
        <v>137</v>
      </c>
      <c r="AC387" t="s">
        <v>407</v>
      </c>
      <c r="AD387" t="s">
        <v>137</v>
      </c>
      <c r="AE387" t="s">
        <v>566</v>
      </c>
      <c r="AF387">
        <v>47</v>
      </c>
      <c r="AG387" s="122">
        <v>3141</v>
      </c>
      <c r="AH387" s="122">
        <v>12372</v>
      </c>
      <c r="AI387" s="122">
        <v>423090</v>
      </c>
      <c r="AJ387" s="122">
        <v>156700</v>
      </c>
      <c r="AK387">
        <v>100</v>
      </c>
      <c r="AL387" s="122">
        <v>51869</v>
      </c>
      <c r="AM387" s="122">
        <v>47153</v>
      </c>
      <c r="AN387" s="122">
        <v>67795</v>
      </c>
      <c r="AO387" s="122">
        <v>25109</v>
      </c>
      <c r="AP387" s="122">
        <v>1971</v>
      </c>
      <c r="AQ387">
        <v>730</v>
      </c>
      <c r="AR387" s="122">
        <v>288551</v>
      </c>
      <c r="AS387" s="122">
        <v>106871</v>
      </c>
      <c r="AT387">
        <v>0</v>
      </c>
      <c r="AU387">
        <v>0</v>
      </c>
      <c r="AV387" s="122">
        <v>336563</v>
      </c>
    </row>
    <row r="388" spans="2:48" ht="13">
      <c r="B388" t="s">
        <v>437</v>
      </c>
      <c r="C388" t="s">
        <v>64</v>
      </c>
      <c r="F388" s="122">
        <v>14</v>
      </c>
      <c r="G388" s="122">
        <v>618</v>
      </c>
      <c r="H388" s="122">
        <v>7642</v>
      </c>
      <c r="I388" s="122"/>
      <c r="J388" s="191">
        <v>0</v>
      </c>
      <c r="K388" s="122"/>
      <c r="L388" s="122"/>
      <c r="M388" s="122">
        <v>0</v>
      </c>
      <c r="N388" s="122">
        <v>10799</v>
      </c>
      <c r="O388" s="122">
        <v>4000</v>
      </c>
      <c r="P388" s="122">
        <v>2192</v>
      </c>
      <c r="Q388" s="122">
        <v>812</v>
      </c>
      <c r="R388" s="122"/>
      <c r="S388" s="122">
        <v>0</v>
      </c>
      <c r="T388" s="122">
        <v>3212</v>
      </c>
      <c r="U388" s="122">
        <v>1190</v>
      </c>
      <c r="V388" s="122">
        <v>6001</v>
      </c>
      <c r="W388" s="122">
        <f t="shared" si="10"/>
        <v>6002</v>
      </c>
      <c r="X388" s="122">
        <f t="shared" si="11"/>
        <v>16203</v>
      </c>
      <c r="Y388" s="122"/>
      <c r="AA388" t="s">
        <v>58</v>
      </c>
      <c r="AB388" t="s">
        <v>137</v>
      </c>
      <c r="AC388" t="s">
        <v>407</v>
      </c>
      <c r="AD388" t="s">
        <v>407</v>
      </c>
      <c r="AE388" t="s">
        <v>566</v>
      </c>
      <c r="AF388">
        <v>1</v>
      </c>
      <c r="AG388">
        <v>94</v>
      </c>
      <c r="AH388">
        <v>265</v>
      </c>
      <c r="AI388" s="122">
        <v>16458</v>
      </c>
      <c r="AJ388" s="122">
        <v>6096</v>
      </c>
      <c r="AK388">
        <v>100</v>
      </c>
      <c r="AL388" s="122">
        <v>1183</v>
      </c>
      <c r="AM388" s="122">
        <v>1075</v>
      </c>
      <c r="AN388" s="122">
        <v>2300</v>
      </c>
      <c r="AO388">
        <v>852</v>
      </c>
      <c r="AP388">
        <v>490</v>
      </c>
      <c r="AQ388">
        <v>182</v>
      </c>
      <c r="AR388" s="122">
        <v>4608</v>
      </c>
      <c r="AS388" s="122">
        <v>4189</v>
      </c>
      <c r="AT388">
        <v>0</v>
      </c>
      <c r="AU388">
        <v>0</v>
      </c>
      <c r="AV388" s="122">
        <v>12393</v>
      </c>
    </row>
    <row r="389" spans="2:48" ht="13">
      <c r="B389" t="s">
        <v>437</v>
      </c>
      <c r="C389" t="s">
        <v>64</v>
      </c>
      <c r="D389" t="s">
        <v>137</v>
      </c>
      <c r="E389" t="s">
        <v>137</v>
      </c>
      <c r="F389">
        <v>213</v>
      </c>
      <c r="G389" s="122">
        <v>9771</v>
      </c>
      <c r="H389" s="122">
        <v>124474</v>
      </c>
      <c r="I389" s="122">
        <v>3983308</v>
      </c>
      <c r="J389" s="191">
        <v>1475299</v>
      </c>
      <c r="K389" s="122">
        <v>100</v>
      </c>
      <c r="L389" s="122">
        <v>336120</v>
      </c>
      <c r="M389" s="122">
        <v>135774</v>
      </c>
      <c r="N389" s="122">
        <v>203321</v>
      </c>
      <c r="O389" s="122">
        <v>75304</v>
      </c>
      <c r="P389" s="122">
        <v>3668</v>
      </c>
      <c r="Q389" s="122">
        <v>1359</v>
      </c>
      <c r="R389" s="122">
        <v>1163214</v>
      </c>
      <c r="S389" s="122">
        <v>430820</v>
      </c>
      <c r="T389" s="122">
        <v>1546</v>
      </c>
      <c r="U389" s="122">
        <v>572</v>
      </c>
      <c r="V389" s="122">
        <v>2119129</v>
      </c>
      <c r="W389" s="122">
        <f t="shared" si="10"/>
        <v>2119128</v>
      </c>
      <c r="X389" s="122">
        <f t="shared" si="11"/>
        <v>5691177</v>
      </c>
      <c r="Y389" s="122"/>
      <c r="AA389" t="s">
        <v>58</v>
      </c>
      <c r="AB389" t="s">
        <v>137</v>
      </c>
      <c r="AC389" t="s">
        <v>579</v>
      </c>
      <c r="AD389" t="s">
        <v>137</v>
      </c>
      <c r="AE389" t="s">
        <v>137</v>
      </c>
      <c r="AF389">
        <v>10</v>
      </c>
      <c r="AG389">
        <v>693</v>
      </c>
      <c r="AH389" s="122">
        <v>2654</v>
      </c>
      <c r="AI389" s="122">
        <v>85269</v>
      </c>
      <c r="AJ389" s="122">
        <v>31581</v>
      </c>
      <c r="AK389">
        <v>100</v>
      </c>
      <c r="AL389" s="122">
        <v>15468</v>
      </c>
      <c r="AM389" s="122">
        <v>12890</v>
      </c>
      <c r="AN389" s="122">
        <v>13368</v>
      </c>
      <c r="AO389" s="122">
        <v>4951</v>
      </c>
      <c r="AP389">
        <v>0</v>
      </c>
      <c r="AQ389">
        <v>0</v>
      </c>
      <c r="AR389" s="122">
        <v>66532</v>
      </c>
      <c r="AS389" s="122">
        <v>24642</v>
      </c>
      <c r="AT389" s="122">
        <v>2210</v>
      </c>
      <c r="AU389">
        <v>819</v>
      </c>
      <c r="AV389" s="122">
        <v>74882</v>
      </c>
    </row>
    <row r="390" spans="2:48" ht="13">
      <c r="B390" t="s">
        <v>437</v>
      </c>
      <c r="C390" t="s">
        <v>64</v>
      </c>
      <c r="D390" t="s">
        <v>406</v>
      </c>
      <c r="E390" t="s">
        <v>137</v>
      </c>
      <c r="F390" s="122">
        <v>1</v>
      </c>
      <c r="G390" s="122">
        <v>51</v>
      </c>
      <c r="H390" s="122">
        <v>599</v>
      </c>
      <c r="I390" s="122">
        <v>16207</v>
      </c>
      <c r="J390" s="191">
        <v>14734</v>
      </c>
      <c r="K390" s="122">
        <v>79</v>
      </c>
      <c r="L390" s="122">
        <v>4446</v>
      </c>
      <c r="M390" s="122">
        <v>3705</v>
      </c>
      <c r="N390" s="122">
        <v>1231</v>
      </c>
      <c r="O390" s="122">
        <v>456</v>
      </c>
      <c r="P390" s="122">
        <v>351</v>
      </c>
      <c r="Q390" s="122">
        <v>130</v>
      </c>
      <c r="R390" s="122">
        <v>8015</v>
      </c>
      <c r="S390" s="122">
        <v>2969</v>
      </c>
      <c r="T390" s="122">
        <v>0</v>
      </c>
      <c r="U390" s="122">
        <v>0</v>
      </c>
      <c r="V390" s="122">
        <v>21993</v>
      </c>
      <c r="W390" s="122">
        <f t="shared" si="10"/>
        <v>21994</v>
      </c>
      <c r="X390" s="122">
        <f t="shared" si="11"/>
        <v>30250</v>
      </c>
      <c r="Y390" s="122"/>
      <c r="AA390" t="s">
        <v>58</v>
      </c>
      <c r="AB390" t="s">
        <v>137</v>
      </c>
      <c r="AC390" t="s">
        <v>579</v>
      </c>
      <c r="AD390" t="s">
        <v>137</v>
      </c>
      <c r="AE390" t="s">
        <v>566</v>
      </c>
      <c r="AF390">
        <v>434</v>
      </c>
      <c r="AG390" s="122">
        <v>27609</v>
      </c>
      <c r="AH390" s="122">
        <v>116459</v>
      </c>
      <c r="AI390" s="122">
        <v>3463446</v>
      </c>
      <c r="AJ390" s="122">
        <v>1282758</v>
      </c>
      <c r="AK390">
        <v>100</v>
      </c>
      <c r="AL390" s="122">
        <v>689719</v>
      </c>
      <c r="AM390" s="122">
        <v>574766</v>
      </c>
      <c r="AN390" s="122">
        <v>541524</v>
      </c>
      <c r="AO390" s="122">
        <v>200564</v>
      </c>
      <c r="AP390" s="122">
        <v>2106</v>
      </c>
      <c r="AQ390">
        <v>780</v>
      </c>
      <c r="AR390" s="122">
        <v>2724764</v>
      </c>
      <c r="AS390" s="122">
        <v>1009172</v>
      </c>
      <c r="AT390">
        <v>0</v>
      </c>
      <c r="AU390">
        <v>0</v>
      </c>
      <c r="AV390" s="122">
        <v>3068039</v>
      </c>
    </row>
    <row r="391" spans="2:48" ht="13">
      <c r="B391" t="s">
        <v>437</v>
      </c>
      <c r="C391" t="s">
        <v>64</v>
      </c>
      <c r="D391" t="s">
        <v>406</v>
      </c>
      <c r="E391" t="s">
        <v>406</v>
      </c>
      <c r="F391" s="122">
        <v>1</v>
      </c>
      <c r="G391" s="122">
        <v>125</v>
      </c>
      <c r="H391" s="122">
        <v>530</v>
      </c>
      <c r="I391" s="122">
        <v>42483</v>
      </c>
      <c r="J391" s="191">
        <v>38620</v>
      </c>
      <c r="K391" s="122">
        <v>65</v>
      </c>
      <c r="L391" s="122">
        <v>9724</v>
      </c>
      <c r="M391" s="122">
        <v>8840</v>
      </c>
      <c r="N391" s="122">
        <v>2960</v>
      </c>
      <c r="O391" s="122">
        <v>1096</v>
      </c>
      <c r="P391">
        <v>621</v>
      </c>
      <c r="Q391" s="122">
        <v>230</v>
      </c>
      <c r="R391" s="122">
        <v>6675</v>
      </c>
      <c r="S391" s="122">
        <v>6068</v>
      </c>
      <c r="T391" s="122">
        <v>3896</v>
      </c>
      <c r="U391" s="122">
        <v>1443</v>
      </c>
      <c r="V391" s="122">
        <v>56297</v>
      </c>
      <c r="W391" s="122">
        <f t="shared" ref="W391:W454" si="12">SUM(ABS(J391),ABS(M391),ABS(O391),ABS(Q391),ABS(S391),ABS(U391))</f>
        <v>56297</v>
      </c>
      <c r="X391" s="122">
        <f t="shared" ref="X391:X454" si="13">SUM(ABS(I391),ABS(N391),ABS(P391),ABS(R391),ABS(T391),ABS(L391))</f>
        <v>66359</v>
      </c>
      <c r="Y391" s="122"/>
      <c r="AA391" t="s">
        <v>58</v>
      </c>
      <c r="AB391" t="s">
        <v>137</v>
      </c>
      <c r="AC391" t="s">
        <v>579</v>
      </c>
      <c r="AD391" t="s">
        <v>579</v>
      </c>
      <c r="AE391" t="s">
        <v>137</v>
      </c>
      <c r="AF391">
        <v>4</v>
      </c>
      <c r="AG391">
        <v>189</v>
      </c>
      <c r="AH391">
        <v>985</v>
      </c>
      <c r="AI391" s="122">
        <v>15231</v>
      </c>
      <c r="AJ391" s="122">
        <v>5641</v>
      </c>
      <c r="AK391">
        <v>202</v>
      </c>
      <c r="AL391" s="122">
        <v>2643</v>
      </c>
      <c r="AM391" s="122">
        <v>2203</v>
      </c>
      <c r="AN391" s="122">
        <v>2889</v>
      </c>
      <c r="AO391" s="122">
        <v>1070</v>
      </c>
      <c r="AP391">
        <v>672</v>
      </c>
      <c r="AQ391">
        <v>249</v>
      </c>
      <c r="AR391" s="122">
        <v>18168</v>
      </c>
      <c r="AS391" s="122">
        <v>15140</v>
      </c>
      <c r="AT391" s="122">
        <v>7174</v>
      </c>
      <c r="AU391" s="122">
        <v>2657</v>
      </c>
      <c r="AV391" s="122">
        <v>26959</v>
      </c>
    </row>
    <row r="392" spans="2:48" ht="13">
      <c r="B392" t="s">
        <v>437</v>
      </c>
      <c r="C392" t="s">
        <v>64</v>
      </c>
      <c r="D392" t="s">
        <v>407</v>
      </c>
      <c r="E392" t="s">
        <v>137</v>
      </c>
      <c r="F392" s="122">
        <v>3</v>
      </c>
      <c r="G392" s="122">
        <v>143</v>
      </c>
      <c r="H392" s="122">
        <v>1714</v>
      </c>
      <c r="I392" s="122">
        <v>52172</v>
      </c>
      <c r="J392" s="191">
        <v>47429</v>
      </c>
      <c r="K392" s="122">
        <v>73</v>
      </c>
      <c r="L392" s="122">
        <v>14849</v>
      </c>
      <c r="M392" s="122">
        <v>12374</v>
      </c>
      <c r="N392" s="122">
        <v>3494</v>
      </c>
      <c r="O392" s="122">
        <v>1294</v>
      </c>
      <c r="P392">
        <v>945</v>
      </c>
      <c r="Q392" s="122">
        <v>350</v>
      </c>
      <c r="R392" s="122">
        <v>10152</v>
      </c>
      <c r="S392" s="122">
        <v>3760</v>
      </c>
      <c r="T392">
        <v>0</v>
      </c>
      <c r="U392" s="122">
        <v>0</v>
      </c>
      <c r="V392" s="122">
        <v>65207</v>
      </c>
      <c r="W392" s="122">
        <f t="shared" si="12"/>
        <v>65207</v>
      </c>
      <c r="X392" s="122">
        <f t="shared" si="13"/>
        <v>81612</v>
      </c>
      <c r="Y392" s="122"/>
      <c r="AA392" t="s">
        <v>58</v>
      </c>
      <c r="AB392" t="s">
        <v>137</v>
      </c>
      <c r="AC392" t="s">
        <v>428</v>
      </c>
      <c r="AD392" t="s">
        <v>137</v>
      </c>
      <c r="AE392" t="s">
        <v>566</v>
      </c>
      <c r="AF392">
        <v>12</v>
      </c>
      <c r="AG392">
        <v>805</v>
      </c>
      <c r="AH392" s="122">
        <v>3206</v>
      </c>
      <c r="AI392" s="122">
        <v>111035</v>
      </c>
      <c r="AJ392" s="122">
        <v>41124</v>
      </c>
      <c r="AK392">
        <v>100</v>
      </c>
      <c r="AL392" s="122">
        <v>18295</v>
      </c>
      <c r="AM392" s="122">
        <v>16632</v>
      </c>
      <c r="AN392" s="122">
        <v>13467</v>
      </c>
      <c r="AO392" s="122">
        <v>4988</v>
      </c>
      <c r="AP392">
        <v>0</v>
      </c>
      <c r="AQ392">
        <v>0</v>
      </c>
      <c r="AR392" s="122">
        <v>69969</v>
      </c>
      <c r="AS392" s="122">
        <v>25914</v>
      </c>
      <c r="AT392">
        <v>0</v>
      </c>
      <c r="AU392">
        <v>0</v>
      </c>
      <c r="AV392" s="122">
        <v>88659</v>
      </c>
    </row>
    <row r="393" spans="2:48" ht="13">
      <c r="B393" t="s">
        <v>437</v>
      </c>
      <c r="C393" t="s">
        <v>64</v>
      </c>
      <c r="D393" t="s">
        <v>407</v>
      </c>
      <c r="E393" t="s">
        <v>407</v>
      </c>
      <c r="F393" s="122">
        <v>16</v>
      </c>
      <c r="G393" s="122">
        <v>845</v>
      </c>
      <c r="H393" s="122">
        <v>8556</v>
      </c>
      <c r="I393" s="122">
        <v>296309</v>
      </c>
      <c r="J393" s="191">
        <v>269372</v>
      </c>
      <c r="K393" s="122">
        <v>74</v>
      </c>
      <c r="L393" s="122">
        <v>50697</v>
      </c>
      <c r="M393" s="122">
        <v>41243</v>
      </c>
      <c r="N393" s="122">
        <v>18746</v>
      </c>
      <c r="O393" s="122">
        <v>6943</v>
      </c>
      <c r="P393" s="122">
        <v>7560</v>
      </c>
      <c r="Q393" s="122">
        <v>2800</v>
      </c>
      <c r="R393" s="122">
        <v>68867</v>
      </c>
      <c r="S393" s="122">
        <v>62607</v>
      </c>
      <c r="T393" s="122">
        <v>13190</v>
      </c>
      <c r="U393" s="122">
        <v>4885</v>
      </c>
      <c r="V393" s="122">
        <v>387850</v>
      </c>
      <c r="W393" s="122">
        <f t="shared" si="12"/>
        <v>387850</v>
      </c>
      <c r="X393" s="122">
        <f t="shared" si="13"/>
        <v>455369</v>
      </c>
      <c r="Y393" s="122"/>
      <c r="AA393" t="s">
        <v>58</v>
      </c>
      <c r="AB393" t="s">
        <v>137</v>
      </c>
      <c r="AC393" t="s">
        <v>426</v>
      </c>
      <c r="AD393" t="s">
        <v>137</v>
      </c>
      <c r="AE393" t="s">
        <v>137</v>
      </c>
      <c r="AF393">
        <v>31</v>
      </c>
      <c r="AG393" s="122">
        <v>2135</v>
      </c>
      <c r="AH393" s="122">
        <v>8447</v>
      </c>
      <c r="AI393" s="122">
        <v>308774</v>
      </c>
      <c r="AJ393" s="122">
        <v>114361</v>
      </c>
      <c r="AK393">
        <v>100</v>
      </c>
      <c r="AL393" s="122">
        <v>44888</v>
      </c>
      <c r="AM393" s="122">
        <v>40807</v>
      </c>
      <c r="AN393" s="122">
        <v>39704</v>
      </c>
      <c r="AO393" s="122">
        <v>14705</v>
      </c>
      <c r="AP393" s="122">
        <v>2624</v>
      </c>
      <c r="AQ393">
        <v>972</v>
      </c>
      <c r="AR393" s="122">
        <v>175052</v>
      </c>
      <c r="AS393" s="122">
        <v>64834</v>
      </c>
      <c r="AT393" s="122">
        <v>7577</v>
      </c>
      <c r="AU393" s="122">
        <v>2806</v>
      </c>
      <c r="AV393" s="122">
        <v>238485</v>
      </c>
    </row>
    <row r="394" spans="2:48" ht="13">
      <c r="B394" t="s">
        <v>437</v>
      </c>
      <c r="C394" t="s">
        <v>64</v>
      </c>
      <c r="D394" t="s">
        <v>556</v>
      </c>
      <c r="E394" t="s">
        <v>137</v>
      </c>
      <c r="F394" s="122">
        <v>2</v>
      </c>
      <c r="G394" s="122">
        <v>282</v>
      </c>
      <c r="H394" s="122">
        <v>1630</v>
      </c>
      <c r="I394" s="122">
        <v>176751</v>
      </c>
      <c r="J394" s="191">
        <v>147293</v>
      </c>
      <c r="K394" s="122">
        <v>30</v>
      </c>
      <c r="L394" s="122">
        <v>29827</v>
      </c>
      <c r="M394" s="122">
        <v>11047</v>
      </c>
      <c r="N394" s="122">
        <v>5717</v>
      </c>
      <c r="O394" s="122">
        <v>2118</v>
      </c>
      <c r="P394" s="122">
        <v>0</v>
      </c>
      <c r="Q394" s="122">
        <v>0</v>
      </c>
      <c r="R394" s="122">
        <v>17418</v>
      </c>
      <c r="S394" s="122">
        <v>6451</v>
      </c>
      <c r="T394" s="122">
        <v>0</v>
      </c>
      <c r="U394" s="122">
        <v>0</v>
      </c>
      <c r="V394" s="122">
        <v>166908</v>
      </c>
      <c r="W394" s="122">
        <f t="shared" si="12"/>
        <v>166909</v>
      </c>
      <c r="X394" s="122">
        <f t="shared" si="13"/>
        <v>229713</v>
      </c>
      <c r="Y394" s="122"/>
      <c r="AA394" t="s">
        <v>58</v>
      </c>
      <c r="AB394" t="s">
        <v>137</v>
      </c>
      <c r="AC394" t="s">
        <v>426</v>
      </c>
      <c r="AD394" t="s">
        <v>137</v>
      </c>
      <c r="AE394" t="s">
        <v>566</v>
      </c>
      <c r="AF394">
        <v>441</v>
      </c>
      <c r="AG394" s="122">
        <v>30517</v>
      </c>
      <c r="AH394" s="122">
        <v>119539</v>
      </c>
      <c r="AI394" s="122">
        <v>4168817</v>
      </c>
      <c r="AJ394" s="122">
        <v>1544006</v>
      </c>
      <c r="AK394">
        <v>100</v>
      </c>
      <c r="AL394" s="122">
        <v>678297</v>
      </c>
      <c r="AM394" s="122">
        <v>616634</v>
      </c>
      <c r="AN394" s="122">
        <v>618611</v>
      </c>
      <c r="AO394" s="122">
        <v>229115</v>
      </c>
      <c r="AP394" s="122">
        <v>13832</v>
      </c>
      <c r="AQ394" s="122">
        <v>5123</v>
      </c>
      <c r="AR394" s="122">
        <v>2823809</v>
      </c>
      <c r="AS394" s="122">
        <v>1045855</v>
      </c>
      <c r="AT394">
        <v>0</v>
      </c>
      <c r="AU394">
        <v>0</v>
      </c>
      <c r="AV394" s="122">
        <v>3440733</v>
      </c>
    </row>
    <row r="395" spans="2:48" ht="13">
      <c r="B395" t="s">
        <v>438</v>
      </c>
      <c r="C395" t="s">
        <v>48</v>
      </c>
      <c r="F395">
        <v>240</v>
      </c>
      <c r="G395" s="122">
        <v>22825</v>
      </c>
      <c r="H395" s="122">
        <v>11774</v>
      </c>
      <c r="I395" s="122"/>
      <c r="J395" s="66">
        <v>0</v>
      </c>
      <c r="K395" s="122"/>
      <c r="L395" s="122"/>
      <c r="M395" s="122">
        <v>0</v>
      </c>
      <c r="N395" s="122">
        <v>299139</v>
      </c>
      <c r="O395" s="122">
        <v>110792</v>
      </c>
      <c r="P395" s="122">
        <v>203567</v>
      </c>
      <c r="Q395" s="122">
        <v>75395</v>
      </c>
      <c r="R395" s="122"/>
      <c r="S395" s="122">
        <v>0</v>
      </c>
      <c r="T395" s="122">
        <v>0</v>
      </c>
      <c r="U395" s="122">
        <v>0</v>
      </c>
      <c r="V395" s="122">
        <v>186187</v>
      </c>
      <c r="W395" s="122">
        <f t="shared" si="12"/>
        <v>186187</v>
      </c>
      <c r="X395" s="122">
        <f t="shared" si="13"/>
        <v>502706</v>
      </c>
      <c r="Y395" s="122"/>
      <c r="AA395" t="s">
        <v>58</v>
      </c>
      <c r="AB395" t="s">
        <v>137</v>
      </c>
      <c r="AC395" t="s">
        <v>426</v>
      </c>
      <c r="AD395" t="s">
        <v>407</v>
      </c>
      <c r="AE395" t="s">
        <v>137</v>
      </c>
      <c r="AF395">
        <v>1</v>
      </c>
      <c r="AG395">
        <v>37</v>
      </c>
      <c r="AH395">
        <v>291</v>
      </c>
      <c r="AI395" s="122">
        <v>5000</v>
      </c>
      <c r="AJ395" s="122">
        <v>1852</v>
      </c>
      <c r="AK395">
        <v>100</v>
      </c>
      <c r="AL395">
        <v>754</v>
      </c>
      <c r="AM395">
        <v>686</v>
      </c>
      <c r="AN395">
        <v>451</v>
      </c>
      <c r="AO395">
        <v>167</v>
      </c>
      <c r="AP395">
        <v>0</v>
      </c>
      <c r="AQ395">
        <v>0</v>
      </c>
      <c r="AR395" s="122">
        <v>4558</v>
      </c>
      <c r="AS395" s="122">
        <v>4144</v>
      </c>
      <c r="AT395">
        <v>0</v>
      </c>
      <c r="AU395">
        <v>0</v>
      </c>
      <c r="AV395" s="122">
        <v>6848</v>
      </c>
    </row>
    <row r="396" spans="2:48" ht="13">
      <c r="B396" t="s">
        <v>438</v>
      </c>
      <c r="C396" t="s">
        <v>48</v>
      </c>
      <c r="D396" t="s">
        <v>404</v>
      </c>
      <c r="E396" s="122" t="s">
        <v>137</v>
      </c>
      <c r="F396" s="122">
        <v>1</v>
      </c>
      <c r="G396" s="122">
        <v>98</v>
      </c>
      <c r="H396" s="122">
        <v>57</v>
      </c>
      <c r="I396" s="122">
        <v>11</v>
      </c>
      <c r="J396" s="191">
        <v>4</v>
      </c>
      <c r="K396" s="122">
        <v>377</v>
      </c>
      <c r="L396" s="122">
        <v>0</v>
      </c>
      <c r="M396" s="122">
        <v>0</v>
      </c>
      <c r="N396" s="122">
        <v>1197</v>
      </c>
      <c r="O396" s="122">
        <v>443</v>
      </c>
      <c r="P396" s="122">
        <v>351</v>
      </c>
      <c r="Q396" s="122">
        <v>130</v>
      </c>
      <c r="R396" s="122">
        <v>4034</v>
      </c>
      <c r="S396" s="122">
        <v>1494</v>
      </c>
      <c r="T396" s="122">
        <v>0</v>
      </c>
      <c r="U396" s="122">
        <v>0</v>
      </c>
      <c r="V396" s="122">
        <v>2072</v>
      </c>
      <c r="W396" s="122">
        <f t="shared" si="12"/>
        <v>2071</v>
      </c>
      <c r="X396" s="122">
        <f t="shared" si="13"/>
        <v>5593</v>
      </c>
      <c r="Y396" s="122"/>
      <c r="AA396" t="s">
        <v>58</v>
      </c>
      <c r="AB396" t="s">
        <v>137</v>
      </c>
      <c r="AC396" t="s">
        <v>426</v>
      </c>
      <c r="AD396" t="s">
        <v>426</v>
      </c>
      <c r="AE396" t="s">
        <v>566</v>
      </c>
      <c r="AF396">
        <v>1</v>
      </c>
      <c r="AG396">
        <v>74</v>
      </c>
      <c r="AH396">
        <v>283</v>
      </c>
      <c r="AI396" s="122">
        <v>13708</v>
      </c>
      <c r="AJ396" s="122">
        <v>5077</v>
      </c>
      <c r="AK396">
        <v>100</v>
      </c>
      <c r="AL396" s="122">
        <v>2068</v>
      </c>
      <c r="AM396" s="122">
        <v>1880</v>
      </c>
      <c r="AN396" s="122">
        <v>1813</v>
      </c>
      <c r="AO396">
        <v>672</v>
      </c>
      <c r="AP396">
        <v>0</v>
      </c>
      <c r="AQ396">
        <v>0</v>
      </c>
      <c r="AR396" s="122">
        <v>3460</v>
      </c>
      <c r="AS396" s="122">
        <v>3146</v>
      </c>
      <c r="AT396">
        <v>0</v>
      </c>
      <c r="AU396">
        <v>0</v>
      </c>
      <c r="AV396" s="122">
        <v>10775</v>
      </c>
    </row>
    <row r="397" spans="2:48" ht="13">
      <c r="B397" t="s">
        <v>438</v>
      </c>
      <c r="C397" t="s">
        <v>48</v>
      </c>
      <c r="D397" t="s">
        <v>137</v>
      </c>
      <c r="E397" t="s">
        <v>137</v>
      </c>
      <c r="F397" s="122">
        <v>45</v>
      </c>
      <c r="G397" s="122">
        <v>3570</v>
      </c>
      <c r="H397" s="122">
        <v>2557</v>
      </c>
      <c r="I397" s="122">
        <v>-22029</v>
      </c>
      <c r="J397" s="191">
        <v>-8159</v>
      </c>
      <c r="K397" s="122">
        <v>478</v>
      </c>
      <c r="L397" s="122">
        <v>0</v>
      </c>
      <c r="M397" s="122">
        <v>0</v>
      </c>
      <c r="N397" s="122">
        <v>43497</v>
      </c>
      <c r="O397" s="122">
        <v>16110</v>
      </c>
      <c r="P397" s="122">
        <v>15795</v>
      </c>
      <c r="Q397" s="122">
        <v>5850</v>
      </c>
      <c r="R397" s="122">
        <v>164185</v>
      </c>
      <c r="S397" s="122">
        <v>60809</v>
      </c>
      <c r="T397" s="122">
        <v>0</v>
      </c>
      <c r="U397" s="122">
        <v>0</v>
      </c>
      <c r="V397" s="122">
        <v>74611</v>
      </c>
      <c r="W397" s="122">
        <f t="shared" si="12"/>
        <v>90928</v>
      </c>
      <c r="X397" s="122">
        <f t="shared" si="13"/>
        <v>245506</v>
      </c>
      <c r="Y397" s="122"/>
      <c r="AA397" t="s">
        <v>58</v>
      </c>
      <c r="AB397" t="s">
        <v>137</v>
      </c>
      <c r="AC397" t="s">
        <v>566</v>
      </c>
      <c r="AD397" t="s">
        <v>403</v>
      </c>
      <c r="AE397" t="s">
        <v>137</v>
      </c>
      <c r="AF397">
        <v>1</v>
      </c>
      <c r="AG397">
        <v>76</v>
      </c>
      <c r="AH397">
        <v>266</v>
      </c>
      <c r="AI397" s="122">
        <v>8923</v>
      </c>
      <c r="AJ397" s="122">
        <v>3305</v>
      </c>
      <c r="AK397">
        <v>100</v>
      </c>
      <c r="AL397">
        <v>0</v>
      </c>
      <c r="AM397">
        <v>0</v>
      </c>
      <c r="AN397" s="122">
        <v>1846</v>
      </c>
      <c r="AO397">
        <v>684</v>
      </c>
      <c r="AP397">
        <v>351</v>
      </c>
      <c r="AQ397">
        <v>130</v>
      </c>
      <c r="AR397" s="122">
        <v>6759</v>
      </c>
      <c r="AS397" s="122">
        <v>2503</v>
      </c>
      <c r="AT397" s="122">
        <v>2242</v>
      </c>
      <c r="AU397">
        <v>830</v>
      </c>
      <c r="AV397" s="122">
        <v>7452</v>
      </c>
    </row>
    <row r="398" spans="2:48" ht="13">
      <c r="B398" t="s">
        <v>438</v>
      </c>
      <c r="C398" t="s">
        <v>48</v>
      </c>
      <c r="D398" t="s">
        <v>407</v>
      </c>
      <c r="E398" t="s">
        <v>407</v>
      </c>
      <c r="F398" s="122">
        <v>95</v>
      </c>
      <c r="G398" s="122">
        <v>7807</v>
      </c>
      <c r="H398" s="122">
        <v>4405</v>
      </c>
      <c r="I398" s="122">
        <v>-136146</v>
      </c>
      <c r="J398" s="191">
        <v>-123769</v>
      </c>
      <c r="K398" s="122">
        <v>90</v>
      </c>
      <c r="L398" s="122">
        <v>0</v>
      </c>
      <c r="M398" s="122">
        <v>0</v>
      </c>
      <c r="N398" s="122">
        <v>95113</v>
      </c>
      <c r="O398" s="122">
        <v>35227</v>
      </c>
      <c r="P398" s="122">
        <v>114028</v>
      </c>
      <c r="Q398" s="122">
        <v>42232</v>
      </c>
      <c r="R398" s="122">
        <v>287765</v>
      </c>
      <c r="S398" s="122">
        <v>261604</v>
      </c>
      <c r="T398">
        <v>0</v>
      </c>
      <c r="U398" s="122">
        <v>0</v>
      </c>
      <c r="V398" s="122">
        <v>215295</v>
      </c>
      <c r="W398" s="122">
        <f t="shared" si="12"/>
        <v>462832</v>
      </c>
      <c r="X398" s="122">
        <f t="shared" si="13"/>
        <v>633052</v>
      </c>
      <c r="Y398" s="122"/>
      <c r="AA398" t="s">
        <v>58</v>
      </c>
      <c r="AB398" t="s">
        <v>137</v>
      </c>
      <c r="AC398" t="s">
        <v>566</v>
      </c>
      <c r="AD398" t="s">
        <v>404</v>
      </c>
      <c r="AE398" t="s">
        <v>566</v>
      </c>
      <c r="AF398">
        <v>1</v>
      </c>
      <c r="AG398">
        <v>43</v>
      </c>
      <c r="AH398">
        <v>258</v>
      </c>
      <c r="AI398" s="122">
        <v>6189</v>
      </c>
      <c r="AJ398" s="122">
        <v>2292</v>
      </c>
      <c r="AK398">
        <v>100</v>
      </c>
      <c r="AL398">
        <v>0</v>
      </c>
      <c r="AM398">
        <v>0</v>
      </c>
      <c r="AN398">
        <v>526</v>
      </c>
      <c r="AO398">
        <v>195</v>
      </c>
      <c r="AP398">
        <v>0</v>
      </c>
      <c r="AQ398">
        <v>0</v>
      </c>
      <c r="AR398" s="122">
        <v>4445</v>
      </c>
      <c r="AS398" s="122">
        <v>1646</v>
      </c>
      <c r="AT398">
        <v>0</v>
      </c>
      <c r="AU398">
        <v>0</v>
      </c>
      <c r="AV398" s="122">
        <v>4133</v>
      </c>
    </row>
    <row r="399" spans="2:48" ht="13">
      <c r="B399" t="s">
        <v>438</v>
      </c>
      <c r="C399" t="s">
        <v>50</v>
      </c>
      <c r="F399" s="122">
        <v>66</v>
      </c>
      <c r="G399" s="122">
        <v>4609</v>
      </c>
      <c r="H399" s="122">
        <v>5695</v>
      </c>
      <c r="I399" s="122"/>
      <c r="J399" s="191">
        <v>0</v>
      </c>
      <c r="K399" s="122"/>
      <c r="L399" s="122"/>
      <c r="M399" s="122">
        <v>0</v>
      </c>
      <c r="N399" s="122">
        <v>74074</v>
      </c>
      <c r="O399" s="122">
        <v>27435</v>
      </c>
      <c r="P399" s="122">
        <v>20577</v>
      </c>
      <c r="Q399" s="122">
        <v>7621</v>
      </c>
      <c r="R399" s="122"/>
      <c r="S399">
        <v>0</v>
      </c>
      <c r="T399" s="122">
        <v>4174</v>
      </c>
      <c r="U399" s="122">
        <v>1546</v>
      </c>
      <c r="V399" s="122">
        <v>36602</v>
      </c>
      <c r="W399" s="122">
        <f t="shared" si="12"/>
        <v>36602</v>
      </c>
      <c r="X399" s="122">
        <f t="shared" si="13"/>
        <v>98825</v>
      </c>
      <c r="Y399" s="122"/>
      <c r="AA399" t="s">
        <v>58</v>
      </c>
      <c r="AB399" t="s">
        <v>137</v>
      </c>
      <c r="AC399" t="s">
        <v>566</v>
      </c>
      <c r="AD399" t="s">
        <v>425</v>
      </c>
      <c r="AE399" t="s">
        <v>566</v>
      </c>
      <c r="AF399">
        <v>1</v>
      </c>
      <c r="AG399">
        <v>48</v>
      </c>
      <c r="AH399">
        <v>280</v>
      </c>
      <c r="AI399" s="122">
        <v>11194</v>
      </c>
      <c r="AJ399" s="122">
        <v>4146</v>
      </c>
      <c r="AK399">
        <v>100</v>
      </c>
      <c r="AL399">
        <v>0</v>
      </c>
      <c r="AM399">
        <v>0</v>
      </c>
      <c r="AN399">
        <v>582</v>
      </c>
      <c r="AO399">
        <v>215</v>
      </c>
      <c r="AP399">
        <v>122</v>
      </c>
      <c r="AQ399">
        <v>45</v>
      </c>
      <c r="AR399" s="122">
        <v>1474</v>
      </c>
      <c r="AS399" s="122">
        <v>1340</v>
      </c>
      <c r="AT399">
        <v>0</v>
      </c>
      <c r="AU399">
        <v>0</v>
      </c>
      <c r="AV399" s="122">
        <v>5746</v>
      </c>
    </row>
    <row r="400" spans="2:48" ht="13">
      <c r="B400" t="s">
        <v>438</v>
      </c>
      <c r="C400" t="s">
        <v>50</v>
      </c>
      <c r="D400" t="s">
        <v>137</v>
      </c>
      <c r="E400" t="s">
        <v>137</v>
      </c>
      <c r="F400" s="122">
        <v>8</v>
      </c>
      <c r="G400" s="122">
        <v>611</v>
      </c>
      <c r="H400" s="122">
        <v>733</v>
      </c>
      <c r="I400" s="122">
        <v>11739</v>
      </c>
      <c r="J400" s="191">
        <v>4348</v>
      </c>
      <c r="K400" s="122">
        <v>350</v>
      </c>
      <c r="L400" s="122">
        <v>0</v>
      </c>
      <c r="M400" s="122">
        <v>0</v>
      </c>
      <c r="N400" s="122">
        <v>7438</v>
      </c>
      <c r="O400" s="122">
        <v>2755</v>
      </c>
      <c r="P400" s="122">
        <v>6241</v>
      </c>
      <c r="Q400" s="122">
        <v>2311</v>
      </c>
      <c r="R400" s="122">
        <v>30606</v>
      </c>
      <c r="S400" s="122">
        <v>11336</v>
      </c>
      <c r="T400" s="122">
        <v>0</v>
      </c>
      <c r="U400" s="122">
        <v>0</v>
      </c>
      <c r="V400" s="122">
        <v>20750</v>
      </c>
      <c r="W400" s="122">
        <f t="shared" si="12"/>
        <v>20750</v>
      </c>
      <c r="X400" s="122">
        <f t="shared" si="13"/>
        <v>56024</v>
      </c>
      <c r="Y400" s="122"/>
      <c r="AA400" t="s">
        <v>58</v>
      </c>
      <c r="AB400" t="s">
        <v>137</v>
      </c>
      <c r="AC400" t="s">
        <v>566</v>
      </c>
      <c r="AD400" t="s">
        <v>405</v>
      </c>
      <c r="AE400" t="s">
        <v>566</v>
      </c>
      <c r="AF400">
        <v>20</v>
      </c>
      <c r="AG400" s="122">
        <v>1194</v>
      </c>
      <c r="AH400" s="122">
        <v>5318</v>
      </c>
      <c r="AI400" s="122">
        <v>208618</v>
      </c>
      <c r="AJ400" s="122">
        <v>77266</v>
      </c>
      <c r="AK400">
        <v>100</v>
      </c>
      <c r="AL400">
        <v>0</v>
      </c>
      <c r="AM400">
        <v>0</v>
      </c>
      <c r="AN400" s="122">
        <v>22339</v>
      </c>
      <c r="AO400" s="122">
        <v>8274</v>
      </c>
      <c r="AP400">
        <v>0</v>
      </c>
      <c r="AQ400">
        <v>0</v>
      </c>
      <c r="AR400" s="122">
        <v>84862</v>
      </c>
      <c r="AS400" s="122">
        <v>77148</v>
      </c>
      <c r="AT400">
        <v>0</v>
      </c>
      <c r="AU400">
        <v>0</v>
      </c>
      <c r="AV400" s="122">
        <v>162687</v>
      </c>
    </row>
    <row r="401" spans="2:48" ht="13">
      <c r="B401" t="s">
        <v>438</v>
      </c>
      <c r="C401" t="s">
        <v>50</v>
      </c>
      <c r="D401" t="s">
        <v>407</v>
      </c>
      <c r="E401" t="s">
        <v>407</v>
      </c>
      <c r="F401">
        <v>46</v>
      </c>
      <c r="G401" s="122">
        <v>4725</v>
      </c>
      <c r="H401" s="122">
        <v>4389</v>
      </c>
      <c r="I401" s="122">
        <v>95044</v>
      </c>
      <c r="J401" s="191">
        <v>86404</v>
      </c>
      <c r="K401" s="122">
        <v>84</v>
      </c>
      <c r="L401" s="122">
        <v>12636</v>
      </c>
      <c r="M401" s="122">
        <v>4680</v>
      </c>
      <c r="N401" s="122">
        <v>106936</v>
      </c>
      <c r="O401" s="122">
        <v>39606</v>
      </c>
      <c r="P401" s="122">
        <v>31793</v>
      </c>
      <c r="Q401" s="122">
        <v>11775</v>
      </c>
      <c r="R401" s="122">
        <v>204071</v>
      </c>
      <c r="S401" s="122">
        <v>185520</v>
      </c>
      <c r="T401">
        <v>0</v>
      </c>
      <c r="U401" s="122">
        <v>0</v>
      </c>
      <c r="V401" s="122">
        <v>327984</v>
      </c>
      <c r="W401" s="122">
        <f t="shared" si="12"/>
        <v>327985</v>
      </c>
      <c r="X401" s="122">
        <f t="shared" si="13"/>
        <v>450480</v>
      </c>
      <c r="Y401" s="122"/>
      <c r="AA401" t="s">
        <v>58</v>
      </c>
      <c r="AB401" t="s">
        <v>137</v>
      </c>
      <c r="AC401" t="s">
        <v>566</v>
      </c>
      <c r="AD401" t="s">
        <v>137</v>
      </c>
      <c r="AE401" t="s">
        <v>137</v>
      </c>
      <c r="AF401">
        <v>223</v>
      </c>
      <c r="AG401" s="122">
        <v>14314</v>
      </c>
      <c r="AH401" s="122">
        <v>58626</v>
      </c>
      <c r="AI401" s="122">
        <v>2067061</v>
      </c>
      <c r="AJ401" s="122">
        <v>765578</v>
      </c>
      <c r="AK401">
        <v>100</v>
      </c>
      <c r="AL401">
        <v>0</v>
      </c>
      <c r="AM401" s="122">
        <v>21022</v>
      </c>
      <c r="AN401" s="122">
        <v>266575</v>
      </c>
      <c r="AO401" s="122">
        <v>98731</v>
      </c>
      <c r="AP401" s="122">
        <v>11075</v>
      </c>
      <c r="AQ401" s="122">
        <v>4102</v>
      </c>
      <c r="AR401" s="122">
        <v>1353885</v>
      </c>
      <c r="AS401" s="122">
        <v>501439</v>
      </c>
      <c r="AT401" s="122">
        <v>54599</v>
      </c>
      <c r="AU401" s="122">
        <v>20222</v>
      </c>
      <c r="AV401" s="122">
        <v>1411095</v>
      </c>
    </row>
    <row r="402" spans="2:48" ht="13">
      <c r="B402" t="s">
        <v>438</v>
      </c>
      <c r="C402" t="s">
        <v>52</v>
      </c>
      <c r="F402" s="122">
        <v>43</v>
      </c>
      <c r="G402" s="122">
        <v>2933</v>
      </c>
      <c r="H402" s="122">
        <v>4851</v>
      </c>
      <c r="I402" s="122"/>
      <c r="J402" s="191">
        <v>0</v>
      </c>
      <c r="K402" s="122"/>
      <c r="L402" s="122"/>
      <c r="M402" s="122">
        <v>0</v>
      </c>
      <c r="N402" s="122">
        <v>61451</v>
      </c>
      <c r="O402" s="122">
        <v>22760</v>
      </c>
      <c r="P402" s="122">
        <v>7403</v>
      </c>
      <c r="Q402" s="122">
        <v>2742</v>
      </c>
      <c r="R402" s="122"/>
      <c r="S402" s="122">
        <v>0</v>
      </c>
      <c r="T402" s="122">
        <v>3511</v>
      </c>
      <c r="U402" s="122">
        <v>1300</v>
      </c>
      <c r="V402" s="122">
        <v>26801</v>
      </c>
      <c r="W402" s="122">
        <f t="shared" si="12"/>
        <v>26802</v>
      </c>
      <c r="X402" s="122">
        <f t="shared" si="13"/>
        <v>72365</v>
      </c>
      <c r="Y402" s="122"/>
      <c r="AA402" t="s">
        <v>58</v>
      </c>
      <c r="AB402" t="s">
        <v>137</v>
      </c>
      <c r="AC402" t="s">
        <v>566</v>
      </c>
      <c r="AD402" t="s">
        <v>137</v>
      </c>
      <c r="AE402" t="s">
        <v>566</v>
      </c>
      <c r="AF402" s="122">
        <v>6658</v>
      </c>
      <c r="AG402" s="122">
        <v>429283</v>
      </c>
      <c r="AH402" s="122">
        <v>1748740</v>
      </c>
      <c r="AI402" s="122">
        <v>63195405</v>
      </c>
      <c r="AJ402" s="122">
        <v>23405705</v>
      </c>
      <c r="AK402">
        <v>101</v>
      </c>
      <c r="AL402" s="122">
        <v>2746</v>
      </c>
      <c r="AM402" s="122">
        <v>367216</v>
      </c>
      <c r="AN402" s="122">
        <v>8542602</v>
      </c>
      <c r="AO402" s="122">
        <v>3163927</v>
      </c>
      <c r="AP402" s="122">
        <v>169304</v>
      </c>
      <c r="AQ402" s="122">
        <v>62705</v>
      </c>
      <c r="AR402" s="122">
        <v>40995430</v>
      </c>
      <c r="AS402" s="122">
        <v>15183492</v>
      </c>
      <c r="AT402">
        <v>0</v>
      </c>
      <c r="AU402">
        <v>0</v>
      </c>
      <c r="AV402" s="122">
        <v>42183045</v>
      </c>
    </row>
    <row r="403" spans="2:48" ht="13">
      <c r="B403" t="s">
        <v>438</v>
      </c>
      <c r="C403" t="s">
        <v>52</v>
      </c>
      <c r="D403" t="s">
        <v>425</v>
      </c>
      <c r="E403" t="s">
        <v>407</v>
      </c>
      <c r="F403">
        <v>1</v>
      </c>
      <c r="G403" s="122">
        <v>63</v>
      </c>
      <c r="H403" s="122">
        <v>102</v>
      </c>
      <c r="I403" s="122">
        <v>1794</v>
      </c>
      <c r="J403" s="191">
        <v>1631</v>
      </c>
      <c r="K403" s="122">
        <v>91</v>
      </c>
      <c r="L403" s="122">
        <v>0</v>
      </c>
      <c r="M403" s="122">
        <v>0</v>
      </c>
      <c r="N403" s="122">
        <v>1530</v>
      </c>
      <c r="O403">
        <v>567</v>
      </c>
      <c r="P403">
        <v>473</v>
      </c>
      <c r="Q403" s="122">
        <v>175</v>
      </c>
      <c r="R403" s="122">
        <v>2577</v>
      </c>
      <c r="S403" s="122">
        <v>2343</v>
      </c>
      <c r="T403">
        <v>0</v>
      </c>
      <c r="U403" s="122">
        <v>0</v>
      </c>
      <c r="V403" s="122">
        <v>4715</v>
      </c>
      <c r="W403" s="122">
        <f t="shared" si="12"/>
        <v>4716</v>
      </c>
      <c r="X403" s="122">
        <f t="shared" si="13"/>
        <v>6374</v>
      </c>
      <c r="Y403" s="122"/>
      <c r="AA403" t="s">
        <v>58</v>
      </c>
      <c r="AB403" t="s">
        <v>137</v>
      </c>
      <c r="AC403" t="s">
        <v>566</v>
      </c>
      <c r="AD403" t="s">
        <v>406</v>
      </c>
      <c r="AE403" t="s">
        <v>137</v>
      </c>
      <c r="AF403">
        <v>1</v>
      </c>
      <c r="AG403">
        <v>53</v>
      </c>
      <c r="AH403">
        <v>242</v>
      </c>
      <c r="AI403" s="122">
        <v>7224</v>
      </c>
      <c r="AJ403" s="122">
        <v>2676</v>
      </c>
      <c r="AK403">
        <v>100</v>
      </c>
      <c r="AL403">
        <v>0</v>
      </c>
      <c r="AM403">
        <v>0</v>
      </c>
      <c r="AN403" s="122">
        <v>1301</v>
      </c>
      <c r="AO403">
        <v>482</v>
      </c>
      <c r="AP403">
        <v>0</v>
      </c>
      <c r="AQ403">
        <v>0</v>
      </c>
      <c r="AR403" s="122">
        <v>4407</v>
      </c>
      <c r="AS403" s="122">
        <v>4006</v>
      </c>
      <c r="AT403">
        <v>0</v>
      </c>
      <c r="AU403">
        <v>0</v>
      </c>
      <c r="AV403" s="122">
        <v>7164</v>
      </c>
    </row>
    <row r="404" spans="2:48" ht="13">
      <c r="B404" t="s">
        <v>438</v>
      </c>
      <c r="C404" t="s">
        <v>52</v>
      </c>
      <c r="D404" t="s">
        <v>137</v>
      </c>
      <c r="E404" t="s">
        <v>137</v>
      </c>
      <c r="F404">
        <v>12</v>
      </c>
      <c r="G404" s="122">
        <v>606</v>
      </c>
      <c r="H404" s="122">
        <v>1334</v>
      </c>
      <c r="I404" s="122">
        <v>11433</v>
      </c>
      <c r="J404" s="191">
        <v>4234</v>
      </c>
      <c r="K404" s="122">
        <v>340</v>
      </c>
      <c r="L404" s="122">
        <v>0</v>
      </c>
      <c r="M404" s="122">
        <v>0</v>
      </c>
      <c r="N404" s="122">
        <v>7383</v>
      </c>
      <c r="O404" s="122">
        <v>2734</v>
      </c>
      <c r="P404" s="122">
        <v>9102</v>
      </c>
      <c r="Q404" s="122">
        <v>3371</v>
      </c>
      <c r="R404" s="122">
        <v>39010</v>
      </c>
      <c r="S404" s="122">
        <v>14448</v>
      </c>
      <c r="T404">
        <v>0</v>
      </c>
      <c r="U404" s="122">
        <v>0</v>
      </c>
      <c r="V404" s="122">
        <v>24788</v>
      </c>
      <c r="W404" s="122">
        <f t="shared" si="12"/>
        <v>24787</v>
      </c>
      <c r="X404" s="122">
        <f t="shared" si="13"/>
        <v>66928</v>
      </c>
      <c r="Y404" s="122"/>
      <c r="AA404" t="s">
        <v>58</v>
      </c>
      <c r="AB404" t="s">
        <v>137</v>
      </c>
      <c r="AC404" t="s">
        <v>566</v>
      </c>
      <c r="AD404" t="s">
        <v>406</v>
      </c>
      <c r="AE404" t="s">
        <v>566</v>
      </c>
      <c r="AF404">
        <v>2</v>
      </c>
      <c r="AG404">
        <v>157</v>
      </c>
      <c r="AH404">
        <v>455</v>
      </c>
      <c r="AI404" s="122">
        <v>24024</v>
      </c>
      <c r="AJ404" s="122">
        <v>8898</v>
      </c>
      <c r="AK404">
        <v>100</v>
      </c>
      <c r="AL404">
        <v>0</v>
      </c>
      <c r="AM404">
        <v>0</v>
      </c>
      <c r="AN404" s="122">
        <v>3516</v>
      </c>
      <c r="AO404" s="122">
        <v>1302</v>
      </c>
      <c r="AP404">
        <v>0</v>
      </c>
      <c r="AQ404">
        <v>0</v>
      </c>
      <c r="AR404" s="122">
        <v>8208</v>
      </c>
      <c r="AS404" s="122">
        <v>7462</v>
      </c>
      <c r="AT404">
        <v>0</v>
      </c>
      <c r="AU404">
        <v>0</v>
      </c>
      <c r="AV404" s="122">
        <v>17662</v>
      </c>
    </row>
    <row r="405" spans="2:48" ht="13">
      <c r="B405" t="s">
        <v>438</v>
      </c>
      <c r="C405" t="s">
        <v>52</v>
      </c>
      <c r="D405" t="s">
        <v>407</v>
      </c>
      <c r="E405" t="s">
        <v>407</v>
      </c>
      <c r="F405" s="122">
        <v>175</v>
      </c>
      <c r="G405" s="122">
        <v>14479</v>
      </c>
      <c r="H405" s="122">
        <v>19945</v>
      </c>
      <c r="I405" s="122">
        <v>526270</v>
      </c>
      <c r="J405" s="191">
        <v>478427</v>
      </c>
      <c r="K405" s="122">
        <v>84</v>
      </c>
      <c r="L405" s="122">
        <v>32862</v>
      </c>
      <c r="M405" s="122">
        <v>15195</v>
      </c>
      <c r="N405" s="122">
        <v>309745</v>
      </c>
      <c r="O405" s="122">
        <v>114720</v>
      </c>
      <c r="P405" s="122">
        <v>97352</v>
      </c>
      <c r="Q405" s="122">
        <v>36056</v>
      </c>
      <c r="R405" s="122">
        <v>671292</v>
      </c>
      <c r="S405" s="122">
        <v>610265</v>
      </c>
      <c r="T405" s="122">
        <v>4329</v>
      </c>
      <c r="U405" s="122">
        <v>1603</v>
      </c>
      <c r="V405" s="122">
        <v>1256268</v>
      </c>
      <c r="W405" s="122">
        <f t="shared" si="12"/>
        <v>1256266</v>
      </c>
      <c r="X405" s="122">
        <f t="shared" si="13"/>
        <v>1641850</v>
      </c>
      <c r="Y405" s="122"/>
      <c r="AA405" t="s">
        <v>58</v>
      </c>
      <c r="AB405" t="s">
        <v>137</v>
      </c>
      <c r="AC405" t="s">
        <v>566</v>
      </c>
      <c r="AD405" t="s">
        <v>407</v>
      </c>
      <c r="AE405" t="s">
        <v>137</v>
      </c>
      <c r="AF405">
        <v>1</v>
      </c>
      <c r="AG405">
        <v>43</v>
      </c>
      <c r="AH405">
        <v>233</v>
      </c>
      <c r="AI405" s="122">
        <v>6074</v>
      </c>
      <c r="AJ405" s="122">
        <v>2249</v>
      </c>
      <c r="AK405">
        <v>100</v>
      </c>
      <c r="AL405">
        <v>0</v>
      </c>
      <c r="AM405">
        <v>0</v>
      </c>
      <c r="AN405">
        <v>659</v>
      </c>
      <c r="AO405">
        <v>244</v>
      </c>
      <c r="AP405">
        <v>0</v>
      </c>
      <c r="AQ405">
        <v>0</v>
      </c>
      <c r="AR405" s="122">
        <v>3377</v>
      </c>
      <c r="AS405" s="122">
        <v>3070</v>
      </c>
      <c r="AT405">
        <v>0</v>
      </c>
      <c r="AU405">
        <v>0</v>
      </c>
      <c r="AV405" s="122">
        <v>5564</v>
      </c>
    </row>
    <row r="406" spans="2:48" ht="13">
      <c r="B406" t="s">
        <v>438</v>
      </c>
      <c r="C406" t="s">
        <v>54</v>
      </c>
      <c r="F406" s="122">
        <v>45</v>
      </c>
      <c r="G406" s="122">
        <v>3265</v>
      </c>
      <c r="H406" s="122">
        <v>6152</v>
      </c>
      <c r="I406" s="122"/>
      <c r="J406" s="191">
        <v>0</v>
      </c>
      <c r="K406" s="122"/>
      <c r="L406" s="122"/>
      <c r="M406" s="122">
        <v>0</v>
      </c>
      <c r="N406" s="122">
        <v>67178</v>
      </c>
      <c r="O406" s="122">
        <v>24881</v>
      </c>
      <c r="P406" s="122">
        <v>5508</v>
      </c>
      <c r="Q406" s="122">
        <v>2040</v>
      </c>
      <c r="R406" s="122"/>
      <c r="S406" s="122">
        <v>0</v>
      </c>
      <c r="T406" s="122">
        <v>2022</v>
      </c>
      <c r="U406" s="122">
        <v>749</v>
      </c>
      <c r="V406" s="122">
        <v>27669</v>
      </c>
      <c r="W406" s="122">
        <f t="shared" si="12"/>
        <v>27670</v>
      </c>
      <c r="X406" s="122">
        <f t="shared" si="13"/>
        <v>74708</v>
      </c>
      <c r="Y406" s="122"/>
      <c r="AA406" t="s">
        <v>58</v>
      </c>
      <c r="AB406" t="s">
        <v>137</v>
      </c>
      <c r="AC406" t="s">
        <v>566</v>
      </c>
      <c r="AD406" t="s">
        <v>407</v>
      </c>
      <c r="AE406" t="s">
        <v>566</v>
      </c>
      <c r="AF406">
        <v>1</v>
      </c>
      <c r="AG406">
        <v>72</v>
      </c>
      <c r="AH406">
        <v>229</v>
      </c>
      <c r="AI406" s="122">
        <v>11332</v>
      </c>
      <c r="AJ406" s="122">
        <v>4197</v>
      </c>
      <c r="AK406">
        <v>100</v>
      </c>
      <c r="AL406">
        <v>0</v>
      </c>
      <c r="AM406">
        <v>0</v>
      </c>
      <c r="AN406" s="122">
        <v>1057</v>
      </c>
      <c r="AO406">
        <v>392</v>
      </c>
      <c r="AP406">
        <v>0</v>
      </c>
      <c r="AQ406">
        <v>0</v>
      </c>
      <c r="AR406" s="122">
        <v>4187</v>
      </c>
      <c r="AS406" s="122">
        <v>3807</v>
      </c>
      <c r="AT406">
        <v>0</v>
      </c>
      <c r="AU406">
        <v>0</v>
      </c>
      <c r="AV406" s="122">
        <v>8395</v>
      </c>
    </row>
    <row r="407" spans="2:48" ht="13">
      <c r="B407" t="s">
        <v>438</v>
      </c>
      <c r="C407" t="s">
        <v>54</v>
      </c>
      <c r="D407" t="s">
        <v>137</v>
      </c>
      <c r="E407" t="s">
        <v>137</v>
      </c>
      <c r="F407" s="122">
        <v>20</v>
      </c>
      <c r="G407" s="122">
        <v>1558</v>
      </c>
      <c r="H407" s="122">
        <v>2823</v>
      </c>
      <c r="I407" s="122">
        <v>50836</v>
      </c>
      <c r="J407" s="191">
        <v>18828</v>
      </c>
      <c r="K407" s="122">
        <v>100</v>
      </c>
      <c r="L407" s="122">
        <v>7443</v>
      </c>
      <c r="M407" s="122">
        <v>2856</v>
      </c>
      <c r="N407" s="122">
        <v>32234</v>
      </c>
      <c r="O407" s="122">
        <v>11938</v>
      </c>
      <c r="P407">
        <v>0</v>
      </c>
      <c r="Q407" s="122">
        <v>0</v>
      </c>
      <c r="R407" s="122">
        <v>129786</v>
      </c>
      <c r="S407" s="122">
        <v>48069</v>
      </c>
      <c r="T407">
        <v>0</v>
      </c>
      <c r="U407" s="122">
        <v>0</v>
      </c>
      <c r="V407" s="122">
        <v>81691</v>
      </c>
      <c r="W407" s="122">
        <f t="shared" si="12"/>
        <v>81691</v>
      </c>
      <c r="X407" s="122">
        <f t="shared" si="13"/>
        <v>220299</v>
      </c>
      <c r="Y407" s="122"/>
      <c r="AA407" t="s">
        <v>58</v>
      </c>
      <c r="AB407" t="s">
        <v>137</v>
      </c>
      <c r="AC407" t="s">
        <v>566</v>
      </c>
      <c r="AD407" t="s">
        <v>426</v>
      </c>
      <c r="AE407" t="s">
        <v>566</v>
      </c>
      <c r="AF407">
        <v>2</v>
      </c>
      <c r="AG407">
        <v>94</v>
      </c>
      <c r="AH407">
        <v>579</v>
      </c>
      <c r="AI407" s="122">
        <v>21894</v>
      </c>
      <c r="AJ407" s="122">
        <v>8109</v>
      </c>
      <c r="AK407">
        <v>100</v>
      </c>
      <c r="AL407">
        <v>0</v>
      </c>
      <c r="AM407">
        <v>0</v>
      </c>
      <c r="AN407" s="122">
        <v>1836</v>
      </c>
      <c r="AO407">
        <v>680</v>
      </c>
      <c r="AP407">
        <v>0</v>
      </c>
      <c r="AQ407">
        <v>0</v>
      </c>
      <c r="AR407" s="122">
        <v>3549</v>
      </c>
      <c r="AS407" s="122">
        <v>3227</v>
      </c>
      <c r="AT407">
        <v>0</v>
      </c>
      <c r="AU407">
        <v>0</v>
      </c>
      <c r="AV407" s="122">
        <v>12015</v>
      </c>
    </row>
    <row r="408" spans="2:48" ht="13">
      <c r="B408" t="s">
        <v>438</v>
      </c>
      <c r="C408" t="s">
        <v>54</v>
      </c>
      <c r="D408" t="s">
        <v>407</v>
      </c>
      <c r="E408" t="s">
        <v>407</v>
      </c>
      <c r="F408" s="122">
        <v>188</v>
      </c>
      <c r="G408" s="122">
        <v>13322</v>
      </c>
      <c r="H408" s="122">
        <v>25741</v>
      </c>
      <c r="I408" s="122">
        <v>783052</v>
      </c>
      <c r="J408" s="191">
        <v>711866</v>
      </c>
      <c r="K408" s="122">
        <v>85</v>
      </c>
      <c r="L408" s="122">
        <v>24697</v>
      </c>
      <c r="M408" s="122">
        <v>14712</v>
      </c>
      <c r="N408" s="122">
        <v>273125</v>
      </c>
      <c r="O408" s="122">
        <v>101157</v>
      </c>
      <c r="P408" s="122">
        <v>103459</v>
      </c>
      <c r="Q408" s="122">
        <v>38318</v>
      </c>
      <c r="R408" s="122">
        <v>629399</v>
      </c>
      <c r="S408" s="122">
        <v>572181</v>
      </c>
      <c r="T408" s="122">
        <v>10140</v>
      </c>
      <c r="U408" s="122">
        <v>3755</v>
      </c>
      <c r="V408" s="122">
        <v>1441990</v>
      </c>
      <c r="W408" s="122">
        <f t="shared" si="12"/>
        <v>1441989</v>
      </c>
      <c r="X408" s="122">
        <f t="shared" si="13"/>
        <v>1823872</v>
      </c>
      <c r="Y408" s="122"/>
      <c r="AA408" t="s">
        <v>58</v>
      </c>
      <c r="AB408" t="s">
        <v>137</v>
      </c>
      <c r="AC408" t="s">
        <v>433</v>
      </c>
      <c r="AD408" t="s">
        <v>137</v>
      </c>
      <c r="AE408" t="s">
        <v>137</v>
      </c>
      <c r="AF408">
        <v>3</v>
      </c>
      <c r="AG408">
        <v>181</v>
      </c>
      <c r="AH408">
        <v>826</v>
      </c>
      <c r="AI408" s="122">
        <v>24962</v>
      </c>
      <c r="AJ408" s="122">
        <v>9245</v>
      </c>
      <c r="AK408">
        <v>100</v>
      </c>
      <c r="AL408" s="122">
        <v>3767</v>
      </c>
      <c r="AM408" s="122">
        <v>3424</v>
      </c>
      <c r="AN408" s="122">
        <v>4418</v>
      </c>
      <c r="AO408" s="122">
        <v>1636</v>
      </c>
      <c r="AP408">
        <v>0</v>
      </c>
      <c r="AQ408">
        <v>0</v>
      </c>
      <c r="AR408" s="122">
        <v>17009</v>
      </c>
      <c r="AS408" s="122">
        <v>6300</v>
      </c>
      <c r="AT408">
        <v>0</v>
      </c>
      <c r="AU408">
        <v>0</v>
      </c>
      <c r="AV408" s="122">
        <v>20605</v>
      </c>
    </row>
    <row r="409" spans="2:48" ht="13">
      <c r="B409" t="s">
        <v>438</v>
      </c>
      <c r="C409" t="s">
        <v>56</v>
      </c>
      <c r="F409">
        <v>76</v>
      </c>
      <c r="G409" s="122">
        <v>4874</v>
      </c>
      <c r="H409" s="122">
        <v>13891</v>
      </c>
      <c r="I409" s="122"/>
      <c r="J409" s="66">
        <v>0</v>
      </c>
      <c r="K409" s="122"/>
      <c r="L409" s="122"/>
      <c r="M409" s="122">
        <v>0</v>
      </c>
      <c r="N409" s="122">
        <v>94527</v>
      </c>
      <c r="O409" s="122">
        <v>35010</v>
      </c>
      <c r="P409" s="122">
        <v>16160</v>
      </c>
      <c r="Q409" s="122">
        <v>5985</v>
      </c>
      <c r="R409" s="122"/>
      <c r="S409">
        <v>0</v>
      </c>
      <c r="T409" s="122">
        <v>6416</v>
      </c>
      <c r="U409" s="122">
        <v>2376</v>
      </c>
      <c r="V409" s="122">
        <v>43371</v>
      </c>
      <c r="W409" s="122">
        <f t="shared" si="12"/>
        <v>43371</v>
      </c>
      <c r="X409" s="122">
        <f t="shared" si="13"/>
        <v>117103</v>
      </c>
      <c r="Y409" s="122"/>
      <c r="AA409" t="s">
        <v>58</v>
      </c>
      <c r="AB409" t="s">
        <v>137</v>
      </c>
      <c r="AC409" t="s">
        <v>433</v>
      </c>
      <c r="AD409" t="s">
        <v>137</v>
      </c>
      <c r="AE409" t="s">
        <v>566</v>
      </c>
      <c r="AF409">
        <v>20</v>
      </c>
      <c r="AG409" s="122">
        <v>1350</v>
      </c>
      <c r="AH409" s="122">
        <v>5296</v>
      </c>
      <c r="AI409" s="122">
        <v>178486</v>
      </c>
      <c r="AJ409" s="122">
        <v>66106</v>
      </c>
      <c r="AK409">
        <v>100</v>
      </c>
      <c r="AL409" s="122">
        <v>29112</v>
      </c>
      <c r="AM409" s="122">
        <v>26466</v>
      </c>
      <c r="AN409" s="122">
        <v>27301</v>
      </c>
      <c r="AO409" s="122">
        <v>10111</v>
      </c>
      <c r="AP409">
        <v>760</v>
      </c>
      <c r="AQ409">
        <v>282</v>
      </c>
      <c r="AR409" s="122">
        <v>125868</v>
      </c>
      <c r="AS409" s="122">
        <v>46618</v>
      </c>
      <c r="AT409">
        <v>0</v>
      </c>
      <c r="AU409">
        <v>0</v>
      </c>
      <c r="AV409" s="122">
        <v>149582</v>
      </c>
    </row>
    <row r="410" spans="2:48" ht="13">
      <c r="B410" t="s">
        <v>438</v>
      </c>
      <c r="C410" t="s">
        <v>56</v>
      </c>
      <c r="D410" t="s">
        <v>425</v>
      </c>
      <c r="E410" t="s">
        <v>407</v>
      </c>
      <c r="F410" s="122">
        <v>1</v>
      </c>
      <c r="G410" s="122">
        <v>44</v>
      </c>
      <c r="H410" s="122">
        <v>159</v>
      </c>
      <c r="I410" s="122">
        <v>3208</v>
      </c>
      <c r="J410" s="191">
        <v>2917</v>
      </c>
      <c r="K410" s="122">
        <v>91</v>
      </c>
      <c r="L410" s="122">
        <v>0</v>
      </c>
      <c r="M410" s="122">
        <v>0</v>
      </c>
      <c r="N410" s="122">
        <v>1060</v>
      </c>
      <c r="O410" s="122">
        <v>393</v>
      </c>
      <c r="P410" s="122">
        <v>473</v>
      </c>
      <c r="Q410" s="122">
        <v>175</v>
      </c>
      <c r="R410" s="122">
        <v>2180</v>
      </c>
      <c r="S410" s="122">
        <v>1982</v>
      </c>
      <c r="T410">
        <v>0</v>
      </c>
      <c r="U410" s="122">
        <v>0</v>
      </c>
      <c r="V410" s="122">
        <v>5466</v>
      </c>
      <c r="W410" s="122">
        <f t="shared" si="12"/>
        <v>5467</v>
      </c>
      <c r="X410" s="122">
        <f t="shared" si="13"/>
        <v>6921</v>
      </c>
      <c r="Y410" s="122"/>
      <c r="AA410" t="s">
        <v>58</v>
      </c>
      <c r="AB410" t="s">
        <v>137</v>
      </c>
      <c r="AC410" t="s">
        <v>429</v>
      </c>
      <c r="AD410" t="s">
        <v>137</v>
      </c>
      <c r="AE410" t="s">
        <v>137</v>
      </c>
      <c r="AF410">
        <v>1</v>
      </c>
      <c r="AG410">
        <v>68</v>
      </c>
      <c r="AH410">
        <v>285</v>
      </c>
      <c r="AI410" s="122">
        <v>11651</v>
      </c>
      <c r="AJ410" s="122">
        <v>4315</v>
      </c>
      <c r="AK410">
        <v>100</v>
      </c>
      <c r="AL410">
        <v>811</v>
      </c>
      <c r="AM410">
        <v>738</v>
      </c>
      <c r="AN410">
        <v>829</v>
      </c>
      <c r="AO410">
        <v>307</v>
      </c>
      <c r="AP410">
        <v>0</v>
      </c>
      <c r="AQ410">
        <v>0</v>
      </c>
      <c r="AR410" s="122">
        <v>6067</v>
      </c>
      <c r="AS410" s="122">
        <v>2247</v>
      </c>
      <c r="AT410">
        <v>0</v>
      </c>
      <c r="AU410">
        <v>0</v>
      </c>
      <c r="AV410" s="122">
        <v>7607</v>
      </c>
    </row>
    <row r="411" spans="2:48" ht="13">
      <c r="B411" t="s">
        <v>438</v>
      </c>
      <c r="C411" t="s">
        <v>56</v>
      </c>
      <c r="D411" t="s">
        <v>137</v>
      </c>
      <c r="E411" t="s">
        <v>403</v>
      </c>
      <c r="F411" s="122">
        <v>1</v>
      </c>
      <c r="G411" s="122">
        <v>68</v>
      </c>
      <c r="H411" s="122">
        <v>190</v>
      </c>
      <c r="I411" s="122">
        <v>4164</v>
      </c>
      <c r="J411" s="191">
        <v>1542</v>
      </c>
      <c r="K411" s="122">
        <v>100</v>
      </c>
      <c r="L411" s="122">
        <v>1041</v>
      </c>
      <c r="M411" s="122">
        <v>386</v>
      </c>
      <c r="N411" s="122">
        <v>1241</v>
      </c>
      <c r="O411" s="122">
        <v>460</v>
      </c>
      <c r="P411" s="122">
        <v>0</v>
      </c>
      <c r="Q411" s="122">
        <v>0</v>
      </c>
      <c r="R411" s="122">
        <v>6466</v>
      </c>
      <c r="S411" s="122">
        <v>2395</v>
      </c>
      <c r="T411" s="122">
        <v>0</v>
      </c>
      <c r="U411" s="122">
        <v>0</v>
      </c>
      <c r="V411" s="122">
        <v>4782</v>
      </c>
      <c r="W411" s="122">
        <f t="shared" si="12"/>
        <v>4783</v>
      </c>
      <c r="X411" s="122">
        <f t="shared" si="13"/>
        <v>12912</v>
      </c>
      <c r="Y411" s="122"/>
      <c r="AA411" t="s">
        <v>58</v>
      </c>
      <c r="AB411" t="s">
        <v>137</v>
      </c>
      <c r="AC411" t="s">
        <v>429</v>
      </c>
      <c r="AD411" t="s">
        <v>137</v>
      </c>
      <c r="AE411" t="s">
        <v>566</v>
      </c>
      <c r="AF411">
        <v>5</v>
      </c>
      <c r="AG411">
        <v>400</v>
      </c>
      <c r="AH411" s="122">
        <v>1249</v>
      </c>
      <c r="AI411" s="122">
        <v>55419</v>
      </c>
      <c r="AJ411" s="122">
        <v>20526</v>
      </c>
      <c r="AK411">
        <v>100</v>
      </c>
      <c r="AL411" s="122">
        <v>3945</v>
      </c>
      <c r="AM411" s="122">
        <v>3586</v>
      </c>
      <c r="AN411" s="122">
        <v>6540</v>
      </c>
      <c r="AO411" s="122">
        <v>2422</v>
      </c>
      <c r="AP411">
        <v>351</v>
      </c>
      <c r="AQ411">
        <v>130</v>
      </c>
      <c r="AR411" s="122">
        <v>32580</v>
      </c>
      <c r="AS411" s="122">
        <v>12067</v>
      </c>
      <c r="AT411">
        <v>0</v>
      </c>
      <c r="AU411">
        <v>0</v>
      </c>
      <c r="AV411" s="122">
        <v>38730</v>
      </c>
    </row>
    <row r="412" spans="2:48" ht="13">
      <c r="B412" t="s">
        <v>438</v>
      </c>
      <c r="C412" t="s">
        <v>56</v>
      </c>
      <c r="D412" t="s">
        <v>137</v>
      </c>
      <c r="E412" t="s">
        <v>137</v>
      </c>
      <c r="F412">
        <v>492</v>
      </c>
      <c r="G412" s="122">
        <v>31367</v>
      </c>
      <c r="H412" s="122">
        <v>96297</v>
      </c>
      <c r="I412" s="122">
        <v>2225755</v>
      </c>
      <c r="J412" s="191">
        <v>824354</v>
      </c>
      <c r="K412" s="122">
        <v>100</v>
      </c>
      <c r="L412" s="122">
        <v>255564</v>
      </c>
      <c r="M412" s="122">
        <v>99298</v>
      </c>
      <c r="N412" s="122">
        <v>639788</v>
      </c>
      <c r="O412" s="122">
        <v>236958</v>
      </c>
      <c r="P412" s="122">
        <v>9851</v>
      </c>
      <c r="Q412" s="122">
        <v>3649</v>
      </c>
      <c r="R412" s="122">
        <v>2956936</v>
      </c>
      <c r="S412" s="122">
        <v>1095161</v>
      </c>
      <c r="T412" s="122">
        <v>7551</v>
      </c>
      <c r="U412" s="122">
        <v>2797</v>
      </c>
      <c r="V412" s="122">
        <v>2262217</v>
      </c>
      <c r="W412" s="122">
        <f t="shared" si="12"/>
        <v>2262217</v>
      </c>
      <c r="X412" s="122">
        <f t="shared" si="13"/>
        <v>6095445</v>
      </c>
      <c r="Y412" s="122"/>
      <c r="AA412" t="s">
        <v>58</v>
      </c>
      <c r="AB412" t="s">
        <v>406</v>
      </c>
      <c r="AC412" t="s">
        <v>578</v>
      </c>
      <c r="AD412" t="s">
        <v>406</v>
      </c>
      <c r="AE412" t="s">
        <v>137</v>
      </c>
      <c r="AF412">
        <v>1</v>
      </c>
      <c r="AG412">
        <v>109</v>
      </c>
      <c r="AH412">
        <v>265</v>
      </c>
      <c r="AI412" s="122">
        <v>15353</v>
      </c>
      <c r="AJ412" s="122">
        <v>13957</v>
      </c>
      <c r="AK412">
        <v>86</v>
      </c>
      <c r="AL412" s="122">
        <v>4623</v>
      </c>
      <c r="AM412" s="122">
        <v>4203</v>
      </c>
      <c r="AN412" s="122">
        <v>2660</v>
      </c>
      <c r="AO412">
        <v>985</v>
      </c>
      <c r="AP412">
        <v>621</v>
      </c>
      <c r="AQ412">
        <v>230</v>
      </c>
      <c r="AR412" s="122">
        <v>3140</v>
      </c>
      <c r="AS412" s="122">
        <v>2854</v>
      </c>
      <c r="AT412" s="122">
        <v>2543</v>
      </c>
      <c r="AU412">
        <v>942</v>
      </c>
      <c r="AV412" s="122">
        <v>23171</v>
      </c>
    </row>
    <row r="413" spans="2:48" ht="13">
      <c r="B413" t="s">
        <v>438</v>
      </c>
      <c r="C413" t="s">
        <v>56</v>
      </c>
      <c r="D413" t="s">
        <v>406</v>
      </c>
      <c r="E413" t="s">
        <v>406</v>
      </c>
      <c r="F413" s="122">
        <v>1</v>
      </c>
      <c r="G413" s="122">
        <v>97</v>
      </c>
      <c r="H413" s="122">
        <v>175</v>
      </c>
      <c r="I413" s="122">
        <v>8892</v>
      </c>
      <c r="J413" s="191">
        <v>8084</v>
      </c>
      <c r="K413" s="122">
        <v>75</v>
      </c>
      <c r="L413" s="122">
        <v>0</v>
      </c>
      <c r="M413" s="122">
        <v>0</v>
      </c>
      <c r="N413" s="122">
        <v>2354</v>
      </c>
      <c r="O413" s="122">
        <v>872</v>
      </c>
      <c r="P413" s="122">
        <v>621</v>
      </c>
      <c r="Q413" s="122">
        <v>230</v>
      </c>
      <c r="R413" s="122">
        <v>5039</v>
      </c>
      <c r="S413" s="122">
        <v>4581</v>
      </c>
      <c r="T413" s="122">
        <v>0</v>
      </c>
      <c r="U413" s="122">
        <v>0</v>
      </c>
      <c r="V413" s="122">
        <v>13767</v>
      </c>
      <c r="W413" s="122">
        <f t="shared" si="12"/>
        <v>13767</v>
      </c>
      <c r="X413" s="122">
        <f t="shared" si="13"/>
        <v>16906</v>
      </c>
      <c r="Y413" s="122"/>
      <c r="AA413" t="s">
        <v>58</v>
      </c>
      <c r="AB413" t="s">
        <v>406</v>
      </c>
      <c r="AC413" t="s">
        <v>425</v>
      </c>
      <c r="AD413" t="s">
        <v>406</v>
      </c>
      <c r="AE413" t="s">
        <v>137</v>
      </c>
      <c r="AF413">
        <v>13</v>
      </c>
      <c r="AG413" s="122">
        <v>1590</v>
      </c>
      <c r="AH413" s="122">
        <v>3580</v>
      </c>
      <c r="AI413" s="122">
        <v>251376</v>
      </c>
      <c r="AJ413" s="122">
        <v>228523</v>
      </c>
      <c r="AK413">
        <v>76</v>
      </c>
      <c r="AL413" s="122">
        <v>49759</v>
      </c>
      <c r="AM413" s="122">
        <v>45235</v>
      </c>
      <c r="AN413" s="122">
        <v>32671</v>
      </c>
      <c r="AO413" s="122">
        <v>12100</v>
      </c>
      <c r="AP413" s="122">
        <v>8073</v>
      </c>
      <c r="AQ413" s="122">
        <v>2990</v>
      </c>
      <c r="AR413" s="122">
        <v>64198</v>
      </c>
      <c r="AS413" s="122">
        <v>58362</v>
      </c>
      <c r="AT413" s="122">
        <v>31162</v>
      </c>
      <c r="AU413" s="122">
        <v>11541</v>
      </c>
      <c r="AV413" s="122">
        <v>358753</v>
      </c>
    </row>
    <row r="414" spans="2:48" ht="13">
      <c r="B414" t="s">
        <v>438</v>
      </c>
      <c r="C414" t="s">
        <v>56</v>
      </c>
      <c r="D414" t="s">
        <v>407</v>
      </c>
      <c r="E414" t="s">
        <v>137</v>
      </c>
      <c r="F414" s="122">
        <v>22</v>
      </c>
      <c r="G414" s="122">
        <v>1068</v>
      </c>
      <c r="H414" s="122">
        <v>4140</v>
      </c>
      <c r="I414" s="122">
        <v>76839</v>
      </c>
      <c r="J414" s="191">
        <v>69854</v>
      </c>
      <c r="K414" s="122">
        <v>85</v>
      </c>
      <c r="L414" s="122">
        <v>4048</v>
      </c>
      <c r="M414" s="122">
        <v>1592</v>
      </c>
      <c r="N414" s="122">
        <v>17698</v>
      </c>
      <c r="O414" s="122">
        <v>6555</v>
      </c>
      <c r="P414" s="122">
        <v>10395</v>
      </c>
      <c r="Q414" s="122">
        <v>3850</v>
      </c>
      <c r="R414" s="122">
        <v>92490</v>
      </c>
      <c r="S414" s="122">
        <v>34256</v>
      </c>
      <c r="T414" s="122">
        <v>0</v>
      </c>
      <c r="U414" s="122">
        <v>0</v>
      </c>
      <c r="V414" s="122">
        <v>116106</v>
      </c>
      <c r="W414" s="122">
        <f t="shared" si="12"/>
        <v>116107</v>
      </c>
      <c r="X414" s="122">
        <f t="shared" si="13"/>
        <v>201470</v>
      </c>
      <c r="Y414" s="122"/>
      <c r="AA414" t="s">
        <v>58</v>
      </c>
      <c r="AB414" t="s">
        <v>406</v>
      </c>
      <c r="AC414" t="s">
        <v>425</v>
      </c>
      <c r="AD414" t="s">
        <v>406</v>
      </c>
      <c r="AE414" t="s">
        <v>566</v>
      </c>
      <c r="AF414">
        <v>8</v>
      </c>
      <c r="AG414">
        <v>927</v>
      </c>
      <c r="AH414" s="122">
        <v>2228</v>
      </c>
      <c r="AI414" s="122">
        <v>148131</v>
      </c>
      <c r="AJ414" s="122">
        <v>134664</v>
      </c>
      <c r="AK414">
        <v>80</v>
      </c>
      <c r="AL414" s="122">
        <v>57206</v>
      </c>
      <c r="AM414" s="122">
        <v>52005</v>
      </c>
      <c r="AN414" s="122">
        <v>20457</v>
      </c>
      <c r="AO414" s="122">
        <v>7577</v>
      </c>
      <c r="AP414" s="122">
        <v>6723</v>
      </c>
      <c r="AQ414" s="122">
        <v>2490</v>
      </c>
      <c r="AR414" s="122">
        <v>38599</v>
      </c>
      <c r="AS414" s="122">
        <v>35090</v>
      </c>
      <c r="AT414">
        <v>0</v>
      </c>
      <c r="AU414">
        <v>0</v>
      </c>
      <c r="AV414" s="122">
        <v>231827</v>
      </c>
    </row>
    <row r="415" spans="2:48" ht="13">
      <c r="B415" t="s">
        <v>438</v>
      </c>
      <c r="C415" t="s">
        <v>56</v>
      </c>
      <c r="D415" t="s">
        <v>407</v>
      </c>
      <c r="E415" t="s">
        <v>407</v>
      </c>
      <c r="F415" s="122">
        <v>414</v>
      </c>
      <c r="G415" s="122">
        <v>25960</v>
      </c>
      <c r="H415" s="122">
        <v>77398</v>
      </c>
      <c r="I415" s="122">
        <v>2421921</v>
      </c>
      <c r="J415" s="191">
        <v>2201746</v>
      </c>
      <c r="K415" s="122">
        <v>84</v>
      </c>
      <c r="L415" s="122">
        <v>154456</v>
      </c>
      <c r="M415" s="122">
        <v>123875</v>
      </c>
      <c r="N415" s="122">
        <v>528419</v>
      </c>
      <c r="O415" s="122">
        <v>195711</v>
      </c>
      <c r="P415" s="122">
        <v>205102</v>
      </c>
      <c r="Q415" s="122">
        <v>75964</v>
      </c>
      <c r="R415" s="122">
        <v>1410949</v>
      </c>
      <c r="S415" s="122">
        <v>1282681</v>
      </c>
      <c r="T415" s="122">
        <v>109085</v>
      </c>
      <c r="U415" s="122">
        <v>40402</v>
      </c>
      <c r="V415" s="122">
        <v>3920378</v>
      </c>
      <c r="W415" s="122">
        <f t="shared" si="12"/>
        <v>3920379</v>
      </c>
      <c r="X415" s="122">
        <f t="shared" si="13"/>
        <v>4829932</v>
      </c>
      <c r="Y415" s="122"/>
      <c r="AA415" t="s">
        <v>58</v>
      </c>
      <c r="AB415" t="s">
        <v>406</v>
      </c>
      <c r="AC415" t="s">
        <v>405</v>
      </c>
      <c r="AD415" t="s">
        <v>406</v>
      </c>
      <c r="AE415" t="s">
        <v>137</v>
      </c>
      <c r="AF415">
        <v>1</v>
      </c>
      <c r="AG415">
        <v>64</v>
      </c>
      <c r="AH415">
        <v>226</v>
      </c>
      <c r="AI415" s="122">
        <v>5841</v>
      </c>
      <c r="AJ415" s="122">
        <v>5310</v>
      </c>
      <c r="AK415">
        <v>83</v>
      </c>
      <c r="AL415">
        <v>813</v>
      </c>
      <c r="AM415">
        <v>739</v>
      </c>
      <c r="AN415" s="122">
        <v>1172</v>
      </c>
      <c r="AO415">
        <v>434</v>
      </c>
      <c r="AP415">
        <v>621</v>
      </c>
      <c r="AQ415">
        <v>230</v>
      </c>
      <c r="AR415" s="122">
        <v>3647</v>
      </c>
      <c r="AS415" s="122">
        <v>3316</v>
      </c>
      <c r="AT415" s="122">
        <v>2394</v>
      </c>
      <c r="AU415">
        <v>887</v>
      </c>
      <c r="AV415" s="122">
        <v>10916</v>
      </c>
    </row>
    <row r="416" spans="2:48" ht="13">
      <c r="B416" t="s">
        <v>438</v>
      </c>
      <c r="C416" t="s">
        <v>58</v>
      </c>
      <c r="F416">
        <v>25</v>
      </c>
      <c r="G416" s="122">
        <v>1348</v>
      </c>
      <c r="H416" s="122">
        <v>6491</v>
      </c>
      <c r="I416" s="122"/>
      <c r="J416" s="66">
        <v>0</v>
      </c>
      <c r="K416" s="122"/>
      <c r="L416" s="122"/>
      <c r="M416" s="122">
        <v>0</v>
      </c>
      <c r="N416" s="122">
        <v>27995</v>
      </c>
      <c r="O416" s="122">
        <v>10369</v>
      </c>
      <c r="P416" s="122">
        <v>4928</v>
      </c>
      <c r="Q416" s="122">
        <v>1825</v>
      </c>
      <c r="R416" s="122"/>
      <c r="S416">
        <v>0</v>
      </c>
      <c r="T416">
        <v>0</v>
      </c>
      <c r="U416" s="122">
        <v>0</v>
      </c>
      <c r="V416" s="122">
        <v>12194</v>
      </c>
      <c r="W416" s="122">
        <f t="shared" si="12"/>
        <v>12194</v>
      </c>
      <c r="X416" s="122">
        <f t="shared" si="13"/>
        <v>32923</v>
      </c>
      <c r="Y416" s="122"/>
      <c r="AA416" t="s">
        <v>58</v>
      </c>
      <c r="AB416" t="s">
        <v>406</v>
      </c>
      <c r="AC416" t="s">
        <v>137</v>
      </c>
      <c r="AD416" t="s">
        <v>137</v>
      </c>
      <c r="AE416" t="s">
        <v>566</v>
      </c>
      <c r="AF416">
        <v>8</v>
      </c>
      <c r="AG416">
        <v>527</v>
      </c>
      <c r="AH416" s="122">
        <v>2172</v>
      </c>
      <c r="AI416" s="122">
        <v>78502</v>
      </c>
      <c r="AJ416" s="122">
        <v>71365</v>
      </c>
      <c r="AK416">
        <v>72</v>
      </c>
      <c r="AL416" s="122">
        <v>12912</v>
      </c>
      <c r="AM416" s="122">
        <v>4782</v>
      </c>
      <c r="AN416" s="122">
        <v>11054</v>
      </c>
      <c r="AO416" s="122">
        <v>4094</v>
      </c>
      <c r="AP416" s="122">
        <v>4347</v>
      </c>
      <c r="AQ416" s="122">
        <v>1610</v>
      </c>
      <c r="AR416" s="122">
        <v>37468</v>
      </c>
      <c r="AS416" s="122">
        <v>13877</v>
      </c>
      <c r="AT416">
        <v>0</v>
      </c>
      <c r="AU416">
        <v>0</v>
      </c>
      <c r="AV416" s="122">
        <v>95729</v>
      </c>
    </row>
    <row r="417" spans="2:48" ht="13">
      <c r="B417" t="s">
        <v>438</v>
      </c>
      <c r="C417" t="s">
        <v>58</v>
      </c>
      <c r="D417" t="s">
        <v>137</v>
      </c>
      <c r="E417" t="s">
        <v>137</v>
      </c>
      <c r="F417">
        <v>557</v>
      </c>
      <c r="G417" s="122">
        <v>31233</v>
      </c>
      <c r="H417" s="122">
        <v>144697</v>
      </c>
      <c r="I417" s="122">
        <v>3767883</v>
      </c>
      <c r="J417" s="191">
        <v>1395512</v>
      </c>
      <c r="K417" s="122">
        <v>100</v>
      </c>
      <c r="L417" s="122">
        <v>479632</v>
      </c>
      <c r="M417" s="122">
        <v>197535</v>
      </c>
      <c r="N417" s="122">
        <v>641637</v>
      </c>
      <c r="O417" s="122">
        <v>237643</v>
      </c>
      <c r="P417" s="122">
        <v>11410</v>
      </c>
      <c r="Q417" s="122">
        <v>4226</v>
      </c>
      <c r="R417" s="122">
        <v>3201403</v>
      </c>
      <c r="S417" s="122">
        <v>1185705</v>
      </c>
      <c r="T417" s="122">
        <v>1888</v>
      </c>
      <c r="U417" s="122">
        <v>699</v>
      </c>
      <c r="V417" s="122">
        <v>3021320</v>
      </c>
      <c r="W417" s="122">
        <f t="shared" si="12"/>
        <v>3021320</v>
      </c>
      <c r="X417" s="122">
        <f t="shared" si="13"/>
        <v>8103853</v>
      </c>
      <c r="Y417" s="122"/>
      <c r="AA417" t="s">
        <v>58</v>
      </c>
      <c r="AB417" t="s">
        <v>406</v>
      </c>
      <c r="AC417" t="s">
        <v>137</v>
      </c>
      <c r="AD417" t="s">
        <v>406</v>
      </c>
      <c r="AE417" t="s">
        <v>137</v>
      </c>
      <c r="AF417">
        <v>50</v>
      </c>
      <c r="AG417" s="122">
        <v>3697</v>
      </c>
      <c r="AH417" s="122">
        <v>13536</v>
      </c>
      <c r="AI417" s="122">
        <v>506487</v>
      </c>
      <c r="AJ417" s="122">
        <v>460442</v>
      </c>
      <c r="AK417">
        <v>81</v>
      </c>
      <c r="AL417" s="122">
        <v>120873</v>
      </c>
      <c r="AM417" s="122">
        <v>44768</v>
      </c>
      <c r="AN417" s="122">
        <v>74043</v>
      </c>
      <c r="AO417" s="122">
        <v>27423</v>
      </c>
      <c r="AP417" s="122">
        <v>31304</v>
      </c>
      <c r="AQ417" s="122">
        <v>11594</v>
      </c>
      <c r="AR417" s="122">
        <v>183094</v>
      </c>
      <c r="AS417" s="122">
        <v>166449</v>
      </c>
      <c r="AT417" s="122">
        <v>84414</v>
      </c>
      <c r="AU417" s="122">
        <v>31264</v>
      </c>
      <c r="AV417" s="122">
        <v>741941</v>
      </c>
    </row>
    <row r="418" spans="2:48" ht="13">
      <c r="B418" t="s">
        <v>438</v>
      </c>
      <c r="C418" t="s">
        <v>58</v>
      </c>
      <c r="D418" t="s">
        <v>407</v>
      </c>
      <c r="E418" t="s">
        <v>137</v>
      </c>
      <c r="F418" s="122">
        <v>28</v>
      </c>
      <c r="G418" s="122">
        <v>1299</v>
      </c>
      <c r="H418" s="122">
        <v>7425</v>
      </c>
      <c r="I418" s="122">
        <v>203946</v>
      </c>
      <c r="J418" s="191">
        <v>185405</v>
      </c>
      <c r="K418" s="122">
        <v>78</v>
      </c>
      <c r="L418" s="122">
        <v>1122</v>
      </c>
      <c r="M418" s="122">
        <v>416</v>
      </c>
      <c r="N418" s="122">
        <v>27494</v>
      </c>
      <c r="O418" s="122">
        <v>10183</v>
      </c>
      <c r="P418" s="122">
        <v>12758</v>
      </c>
      <c r="Q418" s="122">
        <v>4725</v>
      </c>
      <c r="R418" s="122">
        <v>99952</v>
      </c>
      <c r="S418" s="122">
        <v>37019</v>
      </c>
      <c r="T418">
        <v>0</v>
      </c>
      <c r="U418" s="122">
        <v>0</v>
      </c>
      <c r="V418" s="122">
        <v>237748</v>
      </c>
      <c r="W418" s="122">
        <f t="shared" si="12"/>
        <v>237748</v>
      </c>
      <c r="X418" s="122">
        <f t="shared" si="13"/>
        <v>345272</v>
      </c>
      <c r="Y418" s="122"/>
      <c r="AA418" t="s">
        <v>58</v>
      </c>
      <c r="AB418" t="s">
        <v>406</v>
      </c>
      <c r="AC418" t="s">
        <v>137</v>
      </c>
      <c r="AD418" t="s">
        <v>406</v>
      </c>
      <c r="AE418" t="s">
        <v>566</v>
      </c>
      <c r="AF418">
        <v>35</v>
      </c>
      <c r="AG418" s="122">
        <v>2658</v>
      </c>
      <c r="AH418" s="122">
        <v>8942</v>
      </c>
      <c r="AI418" s="122">
        <v>373862</v>
      </c>
      <c r="AJ418" s="122">
        <v>339874</v>
      </c>
      <c r="AK418">
        <v>83</v>
      </c>
      <c r="AL418" s="122">
        <v>92460</v>
      </c>
      <c r="AM418" s="122">
        <v>34244</v>
      </c>
      <c r="AN418" s="122">
        <v>52261</v>
      </c>
      <c r="AO418" s="122">
        <v>19356</v>
      </c>
      <c r="AP418" s="122">
        <v>22167</v>
      </c>
      <c r="AQ418" s="122">
        <v>8210</v>
      </c>
      <c r="AR418" s="122">
        <v>166367</v>
      </c>
      <c r="AS418" s="122">
        <v>151243</v>
      </c>
      <c r="AT418">
        <v>0</v>
      </c>
      <c r="AU418">
        <v>0</v>
      </c>
      <c r="AV418" s="122">
        <v>552928</v>
      </c>
    </row>
    <row r="419" spans="2:48" ht="13">
      <c r="B419" t="s">
        <v>438</v>
      </c>
      <c r="C419" t="s">
        <v>58</v>
      </c>
      <c r="D419" t="s">
        <v>407</v>
      </c>
      <c r="E419" s="122" t="s">
        <v>407</v>
      </c>
      <c r="F419" s="122">
        <v>173</v>
      </c>
      <c r="G419" s="122">
        <v>10760</v>
      </c>
      <c r="H419" s="122">
        <v>44859</v>
      </c>
      <c r="I419" s="122">
        <v>1573344</v>
      </c>
      <c r="J419" s="191">
        <v>1430313</v>
      </c>
      <c r="K419" s="122">
        <v>81</v>
      </c>
      <c r="L419" s="122">
        <v>181465</v>
      </c>
      <c r="M419" s="122">
        <v>152795</v>
      </c>
      <c r="N419" s="122">
        <v>221228</v>
      </c>
      <c r="O419" s="122">
        <v>81936</v>
      </c>
      <c r="P419" s="122">
        <v>88498</v>
      </c>
      <c r="Q419" s="122">
        <v>32777</v>
      </c>
      <c r="R419" s="122">
        <v>620079</v>
      </c>
      <c r="S419" s="122">
        <v>563708</v>
      </c>
      <c r="T419" s="122">
        <v>107472</v>
      </c>
      <c r="U419" s="122">
        <v>39804</v>
      </c>
      <c r="V419" s="122">
        <v>2301333</v>
      </c>
      <c r="W419" s="122">
        <f t="shared" si="12"/>
        <v>2301333</v>
      </c>
      <c r="X419" s="122">
        <f t="shared" si="13"/>
        <v>2792086</v>
      </c>
      <c r="Y419" s="122"/>
      <c r="AA419" t="s">
        <v>58</v>
      </c>
      <c r="AB419" t="s">
        <v>406</v>
      </c>
      <c r="AC419" t="s">
        <v>580</v>
      </c>
      <c r="AD419" t="s">
        <v>406</v>
      </c>
      <c r="AE419" t="s">
        <v>137</v>
      </c>
      <c r="AF419">
        <v>15</v>
      </c>
      <c r="AG419" s="122">
        <v>1830</v>
      </c>
      <c r="AH419" s="122">
        <v>3977</v>
      </c>
      <c r="AI419" s="122">
        <v>298976</v>
      </c>
      <c r="AJ419" s="122">
        <v>271796</v>
      </c>
      <c r="AK419">
        <v>79</v>
      </c>
      <c r="AL419" s="122">
        <v>38232</v>
      </c>
      <c r="AM419" s="122">
        <v>34757</v>
      </c>
      <c r="AN419" s="122">
        <v>34234</v>
      </c>
      <c r="AO419" s="122">
        <v>12679</v>
      </c>
      <c r="AP419" s="122">
        <v>10557</v>
      </c>
      <c r="AQ419" s="122">
        <v>3910</v>
      </c>
      <c r="AR419" s="122">
        <v>63668</v>
      </c>
      <c r="AS419" s="122">
        <v>57880</v>
      </c>
      <c r="AT419" s="122">
        <v>37414</v>
      </c>
      <c r="AU419" s="122">
        <v>13857</v>
      </c>
      <c r="AV419" s="122">
        <v>394880</v>
      </c>
    </row>
    <row r="420" spans="2:48" ht="13">
      <c r="B420" t="s">
        <v>438</v>
      </c>
      <c r="C420" t="s">
        <v>58</v>
      </c>
      <c r="D420" t="s">
        <v>556</v>
      </c>
      <c r="E420" t="s">
        <v>556</v>
      </c>
      <c r="F420" s="122">
        <v>1</v>
      </c>
      <c r="G420" s="122">
        <v>39</v>
      </c>
      <c r="H420" s="122">
        <v>291</v>
      </c>
      <c r="I420" s="122">
        <v>4475</v>
      </c>
      <c r="J420" s="191">
        <v>3729</v>
      </c>
      <c r="K420" s="122">
        <v>65</v>
      </c>
      <c r="L420" s="122">
        <v>0</v>
      </c>
      <c r="M420" s="122">
        <v>0</v>
      </c>
      <c r="N420" s="122">
        <v>953</v>
      </c>
      <c r="O420" s="122">
        <v>353</v>
      </c>
      <c r="P420" s="122">
        <v>351</v>
      </c>
      <c r="Q420" s="122">
        <v>130</v>
      </c>
      <c r="R420" s="122">
        <v>3575</v>
      </c>
      <c r="S420" s="122">
        <v>2979</v>
      </c>
      <c r="T420" s="122">
        <v>2032</v>
      </c>
      <c r="U420" s="122">
        <v>753</v>
      </c>
      <c r="V420" s="122">
        <v>7944</v>
      </c>
      <c r="W420" s="122">
        <f t="shared" si="12"/>
        <v>7944</v>
      </c>
      <c r="X420" s="122">
        <f t="shared" si="13"/>
        <v>11386</v>
      </c>
      <c r="Y420" s="122"/>
      <c r="AA420" t="s">
        <v>58</v>
      </c>
      <c r="AB420" t="s">
        <v>406</v>
      </c>
      <c r="AC420" t="s">
        <v>580</v>
      </c>
      <c r="AD420" t="s">
        <v>406</v>
      </c>
      <c r="AE420" t="s">
        <v>566</v>
      </c>
      <c r="AF420">
        <v>7</v>
      </c>
      <c r="AG420" s="122">
        <v>1285</v>
      </c>
      <c r="AH420" s="122">
        <v>1958</v>
      </c>
      <c r="AI420" s="122">
        <v>241189</v>
      </c>
      <c r="AJ420" s="122">
        <v>219262</v>
      </c>
      <c r="AK420">
        <v>83</v>
      </c>
      <c r="AL420" s="122">
        <v>41800</v>
      </c>
      <c r="AM420" s="122">
        <v>38000</v>
      </c>
      <c r="AN420" s="122">
        <v>26235</v>
      </c>
      <c r="AO420" s="122">
        <v>9717</v>
      </c>
      <c r="AP420" s="122">
        <v>8456</v>
      </c>
      <c r="AQ420" s="122">
        <v>3132</v>
      </c>
      <c r="AR420" s="122">
        <v>43564</v>
      </c>
      <c r="AS420" s="122">
        <v>39603</v>
      </c>
      <c r="AT420">
        <v>0</v>
      </c>
      <c r="AU420">
        <v>0</v>
      </c>
      <c r="AV420" s="122">
        <v>309714</v>
      </c>
    </row>
    <row r="421" spans="2:48" ht="13">
      <c r="B421" t="s">
        <v>438</v>
      </c>
      <c r="C421" t="s">
        <v>60</v>
      </c>
      <c r="F421" s="122">
        <v>8</v>
      </c>
      <c r="G421" s="122">
        <v>366</v>
      </c>
      <c r="H421" s="122">
        <v>2734</v>
      </c>
      <c r="I421" s="122"/>
      <c r="J421" s="191">
        <v>0</v>
      </c>
      <c r="K421" s="122"/>
      <c r="L421" s="122"/>
      <c r="M421" s="122">
        <v>0</v>
      </c>
      <c r="N421" s="122">
        <v>8056</v>
      </c>
      <c r="O421" s="122">
        <v>2984</v>
      </c>
      <c r="P421" s="122">
        <v>1175</v>
      </c>
      <c r="Q421" s="122">
        <v>435</v>
      </c>
      <c r="R421" s="122"/>
      <c r="S421" s="122">
        <v>0</v>
      </c>
      <c r="T421" s="122">
        <v>2223</v>
      </c>
      <c r="U421" s="122">
        <v>823</v>
      </c>
      <c r="V421" s="122">
        <v>4242</v>
      </c>
      <c r="W421" s="122">
        <f t="shared" si="12"/>
        <v>4242</v>
      </c>
      <c r="X421" s="122">
        <f t="shared" si="13"/>
        <v>11454</v>
      </c>
      <c r="Y421" s="122"/>
      <c r="AA421" t="s">
        <v>58</v>
      </c>
      <c r="AB421" t="s">
        <v>406</v>
      </c>
      <c r="AC421" t="s">
        <v>427</v>
      </c>
      <c r="AD421" t="s">
        <v>406</v>
      </c>
      <c r="AE421" t="s">
        <v>137</v>
      </c>
      <c r="AF421">
        <v>37</v>
      </c>
      <c r="AG421" s="122">
        <v>3274</v>
      </c>
      <c r="AH421" s="122">
        <v>9703</v>
      </c>
      <c r="AI421" s="122">
        <v>463696</v>
      </c>
      <c r="AJ421" s="122">
        <v>421542</v>
      </c>
      <c r="AK421">
        <v>83</v>
      </c>
      <c r="AL421" s="122">
        <v>108492</v>
      </c>
      <c r="AM421" s="122">
        <v>98629</v>
      </c>
      <c r="AN421" s="122">
        <v>66138</v>
      </c>
      <c r="AO421" s="122">
        <v>24496</v>
      </c>
      <c r="AP421" s="122">
        <v>23328</v>
      </c>
      <c r="AQ421" s="122">
        <v>8640</v>
      </c>
      <c r="AR421" s="122">
        <v>149119</v>
      </c>
      <c r="AS421" s="122">
        <v>135562</v>
      </c>
      <c r="AT421" s="122">
        <v>71800</v>
      </c>
      <c r="AU421" s="122">
        <v>26592</v>
      </c>
      <c r="AV421" s="122">
        <v>715461</v>
      </c>
    </row>
    <row r="422" spans="2:48" ht="13">
      <c r="B422" t="s">
        <v>438</v>
      </c>
      <c r="C422" t="s">
        <v>60</v>
      </c>
      <c r="D422" t="s">
        <v>137</v>
      </c>
      <c r="E422" t="s">
        <v>137</v>
      </c>
      <c r="F422">
        <v>315</v>
      </c>
      <c r="G422" s="122">
        <v>16908</v>
      </c>
      <c r="H422" s="122">
        <v>106366</v>
      </c>
      <c r="I422" s="122">
        <v>3159702</v>
      </c>
      <c r="J422" s="191">
        <v>1170260</v>
      </c>
      <c r="K422" s="122">
        <v>100</v>
      </c>
      <c r="L422" s="122">
        <v>399029</v>
      </c>
      <c r="M422" s="122">
        <v>167574</v>
      </c>
      <c r="N422" s="122">
        <v>357070</v>
      </c>
      <c r="O422" s="122">
        <v>132248</v>
      </c>
      <c r="P422" s="122">
        <v>5313</v>
      </c>
      <c r="Q422" s="122">
        <v>1968</v>
      </c>
      <c r="R422" s="122">
        <v>1792435</v>
      </c>
      <c r="S422" s="122">
        <v>663865</v>
      </c>
      <c r="T422">
        <v>0</v>
      </c>
      <c r="U422" s="122">
        <v>0</v>
      </c>
      <c r="V422" s="122">
        <v>2135916</v>
      </c>
      <c r="W422" s="122">
        <f t="shared" si="12"/>
        <v>2135915</v>
      </c>
      <c r="X422" s="122">
        <f t="shared" si="13"/>
        <v>5713549</v>
      </c>
      <c r="Y422" s="122"/>
      <c r="AA422" t="s">
        <v>58</v>
      </c>
      <c r="AB422" t="s">
        <v>406</v>
      </c>
      <c r="AC422" t="s">
        <v>427</v>
      </c>
      <c r="AD422" t="s">
        <v>406</v>
      </c>
      <c r="AE422" t="s">
        <v>566</v>
      </c>
      <c r="AF422">
        <v>27</v>
      </c>
      <c r="AG422" s="122">
        <v>2948</v>
      </c>
      <c r="AH422" s="122">
        <v>7259</v>
      </c>
      <c r="AI422" s="122">
        <v>453748</v>
      </c>
      <c r="AJ422" s="122">
        <v>412498</v>
      </c>
      <c r="AK422">
        <v>80</v>
      </c>
      <c r="AL422" s="122">
        <v>91540</v>
      </c>
      <c r="AM422" s="122">
        <v>83218</v>
      </c>
      <c r="AN422" s="122">
        <v>57671</v>
      </c>
      <c r="AO422" s="122">
        <v>21360</v>
      </c>
      <c r="AP422" s="122">
        <v>16497</v>
      </c>
      <c r="AQ422" s="122">
        <v>6110</v>
      </c>
      <c r="AR422" s="122">
        <v>163646</v>
      </c>
      <c r="AS422" s="122">
        <v>148769</v>
      </c>
      <c r="AT422">
        <v>0</v>
      </c>
      <c r="AU422">
        <v>0</v>
      </c>
      <c r="AV422" s="122">
        <v>671956</v>
      </c>
    </row>
    <row r="423" spans="2:48" ht="13">
      <c r="B423" t="s">
        <v>438</v>
      </c>
      <c r="C423" t="s">
        <v>60</v>
      </c>
      <c r="D423" t="s">
        <v>137</v>
      </c>
      <c r="E423" t="s">
        <v>407</v>
      </c>
      <c r="F423">
        <v>1</v>
      </c>
      <c r="G423" s="122">
        <v>67</v>
      </c>
      <c r="H423" s="122">
        <v>330</v>
      </c>
      <c r="I423" s="122">
        <v>15788</v>
      </c>
      <c r="J423" s="191">
        <v>5847</v>
      </c>
      <c r="K423" s="122">
        <v>100</v>
      </c>
      <c r="L423" s="122">
        <v>0</v>
      </c>
      <c r="M423" s="122">
        <v>0</v>
      </c>
      <c r="N423" s="122">
        <v>1637</v>
      </c>
      <c r="O423" s="122">
        <v>606</v>
      </c>
      <c r="P423">
        <v>122</v>
      </c>
      <c r="Q423" s="122">
        <v>45</v>
      </c>
      <c r="R423" s="122">
        <v>4601</v>
      </c>
      <c r="S423" s="122">
        <v>4183</v>
      </c>
      <c r="T423" s="122">
        <v>0</v>
      </c>
      <c r="U423" s="122">
        <v>0</v>
      </c>
      <c r="V423" s="122">
        <v>10682</v>
      </c>
      <c r="W423" s="122">
        <f t="shared" si="12"/>
        <v>10681</v>
      </c>
      <c r="X423" s="122">
        <f t="shared" si="13"/>
        <v>22148</v>
      </c>
      <c r="Y423" s="122"/>
      <c r="AA423" t="s">
        <v>58</v>
      </c>
      <c r="AB423" t="s">
        <v>406</v>
      </c>
      <c r="AC423" t="s">
        <v>407</v>
      </c>
      <c r="AD423" t="s">
        <v>406</v>
      </c>
      <c r="AE423" t="s">
        <v>137</v>
      </c>
      <c r="AF423">
        <v>2</v>
      </c>
      <c r="AG423">
        <v>304</v>
      </c>
      <c r="AH423">
        <v>579</v>
      </c>
      <c r="AI423" s="122">
        <v>52484</v>
      </c>
      <c r="AJ423" s="122">
        <v>47712</v>
      </c>
      <c r="AK423">
        <v>75</v>
      </c>
      <c r="AL423" s="122">
        <v>13910</v>
      </c>
      <c r="AM423" s="122">
        <v>12645</v>
      </c>
      <c r="AN423" s="122">
        <v>5729</v>
      </c>
      <c r="AO423" s="122">
        <v>2122</v>
      </c>
      <c r="AP423" s="122">
        <v>1242</v>
      </c>
      <c r="AQ423">
        <v>460</v>
      </c>
      <c r="AR423" s="122">
        <v>9191</v>
      </c>
      <c r="AS423" s="122">
        <v>8356</v>
      </c>
      <c r="AT423" s="122">
        <v>5641</v>
      </c>
      <c r="AU423" s="122">
        <v>2089</v>
      </c>
      <c r="AV423" s="122">
        <v>73384</v>
      </c>
    </row>
    <row r="424" spans="2:48" ht="13">
      <c r="B424" t="s">
        <v>438</v>
      </c>
      <c r="C424" t="s">
        <v>60</v>
      </c>
      <c r="D424" t="s">
        <v>137</v>
      </c>
      <c r="E424" t="s">
        <v>426</v>
      </c>
      <c r="F424">
        <v>1</v>
      </c>
      <c r="G424" s="122">
        <v>35</v>
      </c>
      <c r="H424" s="122">
        <v>322</v>
      </c>
      <c r="I424" s="122">
        <v>3511</v>
      </c>
      <c r="J424" s="191">
        <v>1300</v>
      </c>
      <c r="K424" s="122">
        <v>100</v>
      </c>
      <c r="L424" s="122">
        <v>505</v>
      </c>
      <c r="M424" s="122">
        <v>459</v>
      </c>
      <c r="N424" s="122">
        <v>704</v>
      </c>
      <c r="O424">
        <v>261</v>
      </c>
      <c r="P424">
        <v>0</v>
      </c>
      <c r="Q424" s="122">
        <v>0</v>
      </c>
      <c r="R424" s="122">
        <v>6435</v>
      </c>
      <c r="S424" s="122">
        <v>5850</v>
      </c>
      <c r="T424">
        <v>0</v>
      </c>
      <c r="U424" s="122">
        <v>0</v>
      </c>
      <c r="V424" s="122">
        <v>7870</v>
      </c>
      <c r="W424" s="122">
        <f t="shared" si="12"/>
        <v>7870</v>
      </c>
      <c r="X424" s="122">
        <f t="shared" si="13"/>
        <v>11155</v>
      </c>
      <c r="Y424" s="122"/>
      <c r="AA424" t="s">
        <v>58</v>
      </c>
      <c r="AB424" t="s">
        <v>406</v>
      </c>
      <c r="AC424" t="s">
        <v>407</v>
      </c>
      <c r="AD424" t="s">
        <v>406</v>
      </c>
      <c r="AE424" t="s">
        <v>566</v>
      </c>
      <c r="AF424">
        <v>2</v>
      </c>
      <c r="AG424">
        <v>255</v>
      </c>
      <c r="AH424">
        <v>472</v>
      </c>
      <c r="AI424" s="122">
        <v>28608</v>
      </c>
      <c r="AJ424" s="122">
        <v>26007</v>
      </c>
      <c r="AK424">
        <v>75</v>
      </c>
      <c r="AL424" s="122">
        <v>9501</v>
      </c>
      <c r="AM424" s="122">
        <v>8637</v>
      </c>
      <c r="AN424" s="122">
        <v>5979</v>
      </c>
      <c r="AO424" s="122">
        <v>2215</v>
      </c>
      <c r="AP424" s="122">
        <v>1593</v>
      </c>
      <c r="AQ424">
        <v>590</v>
      </c>
      <c r="AR424" s="122">
        <v>14486</v>
      </c>
      <c r="AS424" s="122">
        <v>13169</v>
      </c>
      <c r="AT424">
        <v>0</v>
      </c>
      <c r="AU424">
        <v>0</v>
      </c>
      <c r="AV424" s="122">
        <v>50618</v>
      </c>
    </row>
    <row r="425" spans="2:48" ht="13">
      <c r="B425" t="s">
        <v>438</v>
      </c>
      <c r="C425" t="s">
        <v>60</v>
      </c>
      <c r="D425" t="s">
        <v>407</v>
      </c>
      <c r="E425" t="s">
        <v>137</v>
      </c>
      <c r="F425" s="122">
        <v>27</v>
      </c>
      <c r="G425" s="122">
        <v>1260</v>
      </c>
      <c r="H425" s="122">
        <v>8901</v>
      </c>
      <c r="I425" s="122">
        <v>254277</v>
      </c>
      <c r="J425" s="191">
        <v>231161</v>
      </c>
      <c r="K425" s="122">
        <v>83</v>
      </c>
      <c r="L425" s="122">
        <v>10682</v>
      </c>
      <c r="M425" s="122">
        <v>6486</v>
      </c>
      <c r="N425" s="122">
        <v>21150</v>
      </c>
      <c r="O425" s="122">
        <v>7833</v>
      </c>
      <c r="P425" s="122">
        <v>12758</v>
      </c>
      <c r="Q425" s="122">
        <v>4725</v>
      </c>
      <c r="R425" s="122">
        <v>114509</v>
      </c>
      <c r="S425" s="122">
        <v>42411</v>
      </c>
      <c r="T425" s="122">
        <v>0</v>
      </c>
      <c r="U425" s="122">
        <v>0</v>
      </c>
      <c r="V425" s="122">
        <v>292616</v>
      </c>
      <c r="W425" s="122">
        <f t="shared" si="12"/>
        <v>292616</v>
      </c>
      <c r="X425" s="122">
        <f t="shared" si="13"/>
        <v>413376</v>
      </c>
      <c r="Y425" s="122"/>
      <c r="AA425" t="s">
        <v>58</v>
      </c>
      <c r="AB425" t="s">
        <v>406</v>
      </c>
      <c r="AC425" t="s">
        <v>579</v>
      </c>
      <c r="AD425" t="s">
        <v>137</v>
      </c>
      <c r="AE425" t="s">
        <v>566</v>
      </c>
      <c r="AF425">
        <v>4</v>
      </c>
      <c r="AG425">
        <v>259</v>
      </c>
      <c r="AH425" s="122">
        <v>1096</v>
      </c>
      <c r="AI425" s="122">
        <v>33773</v>
      </c>
      <c r="AJ425" s="122">
        <v>30703</v>
      </c>
      <c r="AK425">
        <v>78</v>
      </c>
      <c r="AL425" s="122">
        <v>6751</v>
      </c>
      <c r="AM425" s="122">
        <v>5626</v>
      </c>
      <c r="AN425" s="122">
        <v>6090</v>
      </c>
      <c r="AO425" s="122">
        <v>2255</v>
      </c>
      <c r="AP425" s="122">
        <v>2484</v>
      </c>
      <c r="AQ425">
        <v>920</v>
      </c>
      <c r="AR425" s="122">
        <v>20207</v>
      </c>
      <c r="AS425" s="122">
        <v>7484</v>
      </c>
      <c r="AT425">
        <v>0</v>
      </c>
      <c r="AU425">
        <v>0</v>
      </c>
      <c r="AV425" s="122">
        <v>46989</v>
      </c>
    </row>
    <row r="426" spans="2:48" ht="13">
      <c r="B426" t="s">
        <v>438</v>
      </c>
      <c r="C426" t="s">
        <v>60</v>
      </c>
      <c r="D426" t="s">
        <v>407</v>
      </c>
      <c r="E426" t="s">
        <v>407</v>
      </c>
      <c r="F426" s="122">
        <v>63</v>
      </c>
      <c r="G426" s="122">
        <v>3873</v>
      </c>
      <c r="H426" s="122">
        <v>21255</v>
      </c>
      <c r="I426" s="122">
        <v>787150</v>
      </c>
      <c r="J426" s="191">
        <v>715591</v>
      </c>
      <c r="K426" s="122">
        <v>76</v>
      </c>
      <c r="L426" s="122">
        <v>97597</v>
      </c>
      <c r="M426" s="122">
        <v>80892</v>
      </c>
      <c r="N426" s="122">
        <v>81870</v>
      </c>
      <c r="O426" s="122">
        <v>30322</v>
      </c>
      <c r="P426" s="122">
        <v>29552</v>
      </c>
      <c r="Q426" s="122">
        <v>10945</v>
      </c>
      <c r="R426" s="122">
        <v>259668</v>
      </c>
      <c r="S426" s="122">
        <v>236062</v>
      </c>
      <c r="T426" s="122">
        <v>46538</v>
      </c>
      <c r="U426" s="122">
        <v>17236</v>
      </c>
      <c r="V426" s="122">
        <v>1091048</v>
      </c>
      <c r="W426" s="122">
        <f t="shared" si="12"/>
        <v>1091048</v>
      </c>
      <c r="X426" s="122">
        <f t="shared" si="13"/>
        <v>1302375</v>
      </c>
      <c r="Y426" s="122"/>
      <c r="AA426" t="s">
        <v>58</v>
      </c>
      <c r="AB426" t="s">
        <v>406</v>
      </c>
      <c r="AC426" t="s">
        <v>579</v>
      </c>
      <c r="AD426" t="s">
        <v>406</v>
      </c>
      <c r="AE426" t="s">
        <v>137</v>
      </c>
      <c r="AF426">
        <v>93</v>
      </c>
      <c r="AG426" s="122">
        <v>10716</v>
      </c>
      <c r="AH426" s="122">
        <v>24078</v>
      </c>
      <c r="AI426" s="122">
        <v>1470419</v>
      </c>
      <c r="AJ426" s="122">
        <v>1336745</v>
      </c>
      <c r="AK426">
        <v>79</v>
      </c>
      <c r="AL426" s="122">
        <v>393363</v>
      </c>
      <c r="AM426" s="122">
        <v>327803</v>
      </c>
      <c r="AN426" s="122">
        <v>211834</v>
      </c>
      <c r="AO426" s="122">
        <v>78457</v>
      </c>
      <c r="AP426" s="122">
        <v>59675</v>
      </c>
      <c r="AQ426" s="122">
        <v>22102</v>
      </c>
      <c r="AR426" s="122">
        <v>431847</v>
      </c>
      <c r="AS426" s="122">
        <v>392588</v>
      </c>
      <c r="AT426" s="122">
        <v>217088</v>
      </c>
      <c r="AU426" s="122">
        <v>80403</v>
      </c>
      <c r="AV426" s="122">
        <v>2238098</v>
      </c>
    </row>
    <row r="427" spans="2:48" ht="13">
      <c r="B427" t="s">
        <v>438</v>
      </c>
      <c r="C427" t="s">
        <v>62</v>
      </c>
      <c r="F427">
        <v>1</v>
      </c>
      <c r="G427" s="122">
        <v>34</v>
      </c>
      <c r="H427" s="122">
        <v>385</v>
      </c>
      <c r="I427" s="122"/>
      <c r="J427" s="191">
        <v>0</v>
      </c>
      <c r="K427" s="122"/>
      <c r="L427" s="122"/>
      <c r="M427" s="122">
        <v>0</v>
      </c>
      <c r="N427" s="122">
        <v>540</v>
      </c>
      <c r="O427">
        <v>200</v>
      </c>
      <c r="P427">
        <v>473</v>
      </c>
      <c r="Q427" s="122">
        <v>175</v>
      </c>
      <c r="R427" s="122"/>
      <c r="S427" s="122">
        <v>0</v>
      </c>
      <c r="T427" s="122">
        <v>0</v>
      </c>
      <c r="U427" s="122">
        <v>0</v>
      </c>
      <c r="V427">
        <v>375</v>
      </c>
      <c r="W427" s="122">
        <f t="shared" si="12"/>
        <v>375</v>
      </c>
      <c r="X427" s="122">
        <f t="shared" si="13"/>
        <v>1013</v>
      </c>
      <c r="Y427" s="122"/>
      <c r="AA427" t="s">
        <v>58</v>
      </c>
      <c r="AB427" t="s">
        <v>406</v>
      </c>
      <c r="AC427" t="s">
        <v>579</v>
      </c>
      <c r="AD427" t="s">
        <v>406</v>
      </c>
      <c r="AE427" t="s">
        <v>566</v>
      </c>
      <c r="AF427">
        <v>39</v>
      </c>
      <c r="AG427" s="122">
        <v>4286</v>
      </c>
      <c r="AH427" s="122">
        <v>10181</v>
      </c>
      <c r="AI427" s="122">
        <v>655392</v>
      </c>
      <c r="AJ427" s="122">
        <v>595811</v>
      </c>
      <c r="AK427">
        <v>84</v>
      </c>
      <c r="AL427" s="122">
        <v>165842</v>
      </c>
      <c r="AM427" s="122">
        <v>138202</v>
      </c>
      <c r="AN427" s="122">
        <v>90201</v>
      </c>
      <c r="AO427" s="122">
        <v>33408</v>
      </c>
      <c r="AP427" s="122">
        <v>24341</v>
      </c>
      <c r="AQ427" s="122">
        <v>9015</v>
      </c>
      <c r="AR427" s="122">
        <v>229351</v>
      </c>
      <c r="AS427" s="122">
        <v>208501</v>
      </c>
      <c r="AT427">
        <v>0</v>
      </c>
      <c r="AU427">
        <v>0</v>
      </c>
      <c r="AV427" s="122">
        <v>984937</v>
      </c>
    </row>
    <row r="428" spans="2:48" ht="13">
      <c r="B428" t="s">
        <v>438</v>
      </c>
      <c r="C428" t="s">
        <v>62</v>
      </c>
      <c r="D428" t="s">
        <v>137</v>
      </c>
      <c r="E428" t="s">
        <v>137</v>
      </c>
      <c r="F428">
        <v>120</v>
      </c>
      <c r="G428" s="122">
        <v>6209</v>
      </c>
      <c r="H428" s="122">
        <v>49611</v>
      </c>
      <c r="I428" s="122">
        <v>1563781</v>
      </c>
      <c r="J428" s="191">
        <v>579178</v>
      </c>
      <c r="K428" s="122">
        <v>100</v>
      </c>
      <c r="L428" s="122">
        <v>230227</v>
      </c>
      <c r="M428" s="122">
        <v>116543</v>
      </c>
      <c r="N428" s="122">
        <v>126963</v>
      </c>
      <c r="O428" s="122">
        <v>47023</v>
      </c>
      <c r="P428" s="122">
        <v>1378</v>
      </c>
      <c r="Q428" s="122">
        <v>511</v>
      </c>
      <c r="R428" s="122">
        <v>639657</v>
      </c>
      <c r="S428" s="122">
        <v>236910</v>
      </c>
      <c r="T428" s="122">
        <v>1136</v>
      </c>
      <c r="U428" s="122">
        <v>421</v>
      </c>
      <c r="V428" s="122">
        <v>980586</v>
      </c>
      <c r="W428" s="122">
        <f t="shared" si="12"/>
        <v>980586</v>
      </c>
      <c r="X428" s="122">
        <f t="shared" si="13"/>
        <v>2563142</v>
      </c>
      <c r="Y428" s="122"/>
      <c r="AA428" t="s">
        <v>58</v>
      </c>
      <c r="AB428" t="s">
        <v>406</v>
      </c>
      <c r="AC428" t="s">
        <v>428</v>
      </c>
      <c r="AD428" t="s">
        <v>406</v>
      </c>
      <c r="AE428" t="s">
        <v>137</v>
      </c>
      <c r="AF428">
        <v>3</v>
      </c>
      <c r="AG428">
        <v>304</v>
      </c>
      <c r="AH428">
        <v>842</v>
      </c>
      <c r="AI428" s="122">
        <v>48392</v>
      </c>
      <c r="AJ428" s="122">
        <v>43993</v>
      </c>
      <c r="AK428">
        <v>76</v>
      </c>
      <c r="AL428" s="122">
        <v>10447</v>
      </c>
      <c r="AM428" s="122">
        <v>9497</v>
      </c>
      <c r="AN428" s="122">
        <v>6261</v>
      </c>
      <c r="AO428" s="122">
        <v>2319</v>
      </c>
      <c r="AP428" s="122">
        <v>1593</v>
      </c>
      <c r="AQ428">
        <v>590</v>
      </c>
      <c r="AR428" s="122">
        <v>16212</v>
      </c>
      <c r="AS428" s="122">
        <v>14738</v>
      </c>
      <c r="AT428" s="122">
        <v>2396</v>
      </c>
      <c r="AU428">
        <v>887</v>
      </c>
      <c r="AV428" s="122">
        <v>72025</v>
      </c>
    </row>
    <row r="429" spans="2:48" ht="13">
      <c r="B429" t="s">
        <v>438</v>
      </c>
      <c r="C429" t="s">
        <v>62</v>
      </c>
      <c r="D429" t="s">
        <v>407</v>
      </c>
      <c r="E429" t="s">
        <v>137</v>
      </c>
      <c r="F429" s="122">
        <v>10</v>
      </c>
      <c r="G429" s="122">
        <v>447</v>
      </c>
      <c r="H429" s="122">
        <v>4256</v>
      </c>
      <c r="I429" s="122">
        <v>138481</v>
      </c>
      <c r="J429" s="191">
        <v>125892</v>
      </c>
      <c r="K429" s="122">
        <v>76</v>
      </c>
      <c r="L429" s="122">
        <v>3325</v>
      </c>
      <c r="M429" s="122">
        <v>3023</v>
      </c>
      <c r="N429" s="122">
        <v>10307</v>
      </c>
      <c r="O429" s="122">
        <v>3817</v>
      </c>
      <c r="P429" s="122">
        <v>4725</v>
      </c>
      <c r="Q429" s="122">
        <v>1750</v>
      </c>
      <c r="R429" s="122">
        <v>32765</v>
      </c>
      <c r="S429" s="122">
        <v>12135</v>
      </c>
      <c r="T429">
        <v>0</v>
      </c>
      <c r="U429" s="122">
        <v>0</v>
      </c>
      <c r="V429" s="122">
        <v>146617</v>
      </c>
      <c r="W429" s="122">
        <f t="shared" si="12"/>
        <v>146617</v>
      </c>
      <c r="X429" s="122">
        <f t="shared" si="13"/>
        <v>189603</v>
      </c>
      <c r="Y429" s="122"/>
      <c r="AA429" t="s">
        <v>58</v>
      </c>
      <c r="AB429" t="s">
        <v>406</v>
      </c>
      <c r="AC429" t="s">
        <v>428</v>
      </c>
      <c r="AD429" t="s">
        <v>406</v>
      </c>
      <c r="AE429" t="s">
        <v>566</v>
      </c>
      <c r="AF429">
        <v>1</v>
      </c>
      <c r="AG429">
        <v>70</v>
      </c>
      <c r="AH429">
        <v>233</v>
      </c>
      <c r="AI429" s="122">
        <v>7371</v>
      </c>
      <c r="AJ429" s="122">
        <v>6701</v>
      </c>
      <c r="AK429">
        <v>85</v>
      </c>
      <c r="AL429" s="122">
        <v>2203</v>
      </c>
      <c r="AM429" s="122">
        <v>2003</v>
      </c>
      <c r="AN429" s="122">
        <v>1271</v>
      </c>
      <c r="AO429">
        <v>471</v>
      </c>
      <c r="AP429">
        <v>621</v>
      </c>
      <c r="AQ429">
        <v>230</v>
      </c>
      <c r="AR429" s="122">
        <v>4755</v>
      </c>
      <c r="AS429" s="122">
        <v>4323</v>
      </c>
      <c r="AT429">
        <v>0</v>
      </c>
      <c r="AU429">
        <v>0</v>
      </c>
      <c r="AV429" s="122">
        <v>13727</v>
      </c>
    </row>
    <row r="430" spans="2:48" ht="13">
      <c r="B430" t="s">
        <v>438</v>
      </c>
      <c r="C430" t="s">
        <v>62</v>
      </c>
      <c r="D430" t="s">
        <v>407</v>
      </c>
      <c r="E430" t="s">
        <v>407</v>
      </c>
      <c r="F430" s="122">
        <v>17</v>
      </c>
      <c r="G430" s="122">
        <v>1040</v>
      </c>
      <c r="H430" s="122">
        <v>6908</v>
      </c>
      <c r="I430" s="122">
        <v>265143</v>
      </c>
      <c r="J430" s="191">
        <v>241039</v>
      </c>
      <c r="K430" s="122">
        <v>78</v>
      </c>
      <c r="L430" s="122">
        <v>43752</v>
      </c>
      <c r="M430" s="122">
        <v>35711</v>
      </c>
      <c r="N430" s="122">
        <v>22016</v>
      </c>
      <c r="O430" s="122">
        <v>8154</v>
      </c>
      <c r="P430" s="122">
        <v>7911</v>
      </c>
      <c r="Q430" s="122">
        <v>2930</v>
      </c>
      <c r="R430" s="122">
        <v>65536</v>
      </c>
      <c r="S430" s="122">
        <v>59578</v>
      </c>
      <c r="T430" s="122">
        <v>17835</v>
      </c>
      <c r="U430" s="122">
        <v>6605</v>
      </c>
      <c r="V430" s="122">
        <v>354018</v>
      </c>
      <c r="W430" s="122">
        <f t="shared" si="12"/>
        <v>354017</v>
      </c>
      <c r="X430" s="122">
        <f t="shared" si="13"/>
        <v>422193</v>
      </c>
      <c r="Y430" s="122"/>
      <c r="AA430" t="s">
        <v>58</v>
      </c>
      <c r="AB430" t="s">
        <v>406</v>
      </c>
      <c r="AC430" t="s">
        <v>431</v>
      </c>
      <c r="AD430" t="s">
        <v>406</v>
      </c>
      <c r="AE430" t="s">
        <v>137</v>
      </c>
      <c r="AF430">
        <v>11</v>
      </c>
      <c r="AG430" s="122">
        <v>1049</v>
      </c>
      <c r="AH430" s="122">
        <v>3027</v>
      </c>
      <c r="AI430" s="122">
        <v>157637</v>
      </c>
      <c r="AJ430" s="122">
        <v>143306</v>
      </c>
      <c r="AK430">
        <v>86</v>
      </c>
      <c r="AL430" s="122">
        <v>33066</v>
      </c>
      <c r="AM430" s="122">
        <v>30060</v>
      </c>
      <c r="AN430" s="122">
        <v>20525</v>
      </c>
      <c r="AO430" s="122">
        <v>7602</v>
      </c>
      <c r="AP430" s="122">
        <v>6912</v>
      </c>
      <c r="AQ430" s="122">
        <v>2560</v>
      </c>
      <c r="AR430" s="122">
        <v>43033</v>
      </c>
      <c r="AS430" s="122">
        <v>39121</v>
      </c>
      <c r="AT430" s="122">
        <v>23363</v>
      </c>
      <c r="AU430" s="122">
        <v>8653</v>
      </c>
      <c r="AV430" s="122">
        <v>231302</v>
      </c>
    </row>
    <row r="431" spans="2:48" ht="13">
      <c r="B431" t="s">
        <v>438</v>
      </c>
      <c r="C431" t="s">
        <v>64</v>
      </c>
      <c r="F431">
        <v>4</v>
      </c>
      <c r="G431">
        <v>136</v>
      </c>
      <c r="H431" s="122">
        <v>2298</v>
      </c>
      <c r="I431" s="122"/>
      <c r="J431" s="191">
        <v>0</v>
      </c>
      <c r="K431" s="122"/>
      <c r="L431" s="122"/>
      <c r="M431" s="122">
        <v>0</v>
      </c>
      <c r="N431" s="122">
        <v>2648</v>
      </c>
      <c r="O431" s="122">
        <v>981</v>
      </c>
      <c r="P431">
        <v>473</v>
      </c>
      <c r="Q431" s="122">
        <v>175</v>
      </c>
      <c r="R431" s="122"/>
      <c r="S431">
        <v>0</v>
      </c>
      <c r="T431">
        <v>0</v>
      </c>
      <c r="U431" s="122">
        <v>0</v>
      </c>
      <c r="V431" s="122">
        <v>1156</v>
      </c>
      <c r="W431" s="122">
        <f t="shared" si="12"/>
        <v>1156</v>
      </c>
      <c r="X431" s="122">
        <f t="shared" si="13"/>
        <v>3121</v>
      </c>
      <c r="Y431" s="122"/>
      <c r="AA431" t="s">
        <v>58</v>
      </c>
      <c r="AB431" t="s">
        <v>406</v>
      </c>
      <c r="AC431" t="s">
        <v>431</v>
      </c>
      <c r="AD431" t="s">
        <v>406</v>
      </c>
      <c r="AE431" t="s">
        <v>566</v>
      </c>
      <c r="AF431">
        <v>2</v>
      </c>
      <c r="AG431">
        <v>212</v>
      </c>
      <c r="AH431">
        <v>499</v>
      </c>
      <c r="AI431" s="122">
        <v>31504</v>
      </c>
      <c r="AJ431" s="122">
        <v>28640</v>
      </c>
      <c r="AK431">
        <v>86</v>
      </c>
      <c r="AL431" s="122">
        <v>4983</v>
      </c>
      <c r="AM431" s="122">
        <v>4530</v>
      </c>
      <c r="AN431" s="122">
        <v>5020</v>
      </c>
      <c r="AO431" s="122">
        <v>1859</v>
      </c>
      <c r="AP431" s="122">
        <v>1674</v>
      </c>
      <c r="AQ431">
        <v>620</v>
      </c>
      <c r="AR431" s="122">
        <v>9990</v>
      </c>
      <c r="AS431" s="122">
        <v>9082</v>
      </c>
      <c r="AT431">
        <v>0</v>
      </c>
      <c r="AU431">
        <v>0</v>
      </c>
      <c r="AV431" s="122">
        <v>44731</v>
      </c>
    </row>
    <row r="432" spans="2:48" ht="13">
      <c r="B432" t="s">
        <v>438</v>
      </c>
      <c r="C432" t="s">
        <v>64</v>
      </c>
      <c r="D432" t="s">
        <v>137</v>
      </c>
      <c r="E432" t="s">
        <v>137</v>
      </c>
      <c r="F432" s="122">
        <v>112</v>
      </c>
      <c r="G432" s="122">
        <v>5879</v>
      </c>
      <c r="H432" s="122">
        <v>66362</v>
      </c>
      <c r="I432" s="122">
        <v>2381860</v>
      </c>
      <c r="J432" s="191">
        <v>882170</v>
      </c>
      <c r="K432" s="122">
        <v>100</v>
      </c>
      <c r="L432" s="122">
        <v>305328</v>
      </c>
      <c r="M432" s="122">
        <v>188614</v>
      </c>
      <c r="N432" s="122">
        <v>122492</v>
      </c>
      <c r="O432" s="122">
        <v>45367</v>
      </c>
      <c r="P432" s="122">
        <v>702</v>
      </c>
      <c r="Q432" s="122">
        <v>260</v>
      </c>
      <c r="R432" s="122">
        <v>687800</v>
      </c>
      <c r="S432" s="122">
        <v>254741</v>
      </c>
      <c r="T432" s="122">
        <v>0</v>
      </c>
      <c r="U432" s="122">
        <v>0</v>
      </c>
      <c r="V432" s="122">
        <v>1371152</v>
      </c>
      <c r="W432" s="122">
        <f t="shared" si="12"/>
        <v>1371152</v>
      </c>
      <c r="X432" s="122">
        <f t="shared" si="13"/>
        <v>3498182</v>
      </c>
      <c r="Y432" s="122"/>
      <c r="AA432" t="s">
        <v>58</v>
      </c>
      <c r="AB432" t="s">
        <v>406</v>
      </c>
      <c r="AC432" t="s">
        <v>426</v>
      </c>
      <c r="AD432" t="s">
        <v>137</v>
      </c>
      <c r="AE432" t="s">
        <v>137</v>
      </c>
      <c r="AF432">
        <v>1</v>
      </c>
      <c r="AG432">
        <v>67</v>
      </c>
      <c r="AH432">
        <v>297</v>
      </c>
      <c r="AI432" s="122">
        <v>7554</v>
      </c>
      <c r="AJ432" s="122">
        <v>6867</v>
      </c>
      <c r="AK432">
        <v>79</v>
      </c>
      <c r="AL432" s="122">
        <v>2098</v>
      </c>
      <c r="AM432" s="122">
        <v>1908</v>
      </c>
      <c r="AN432" s="122">
        <v>1554</v>
      </c>
      <c r="AO432">
        <v>576</v>
      </c>
      <c r="AP432">
        <v>621</v>
      </c>
      <c r="AQ432">
        <v>230</v>
      </c>
      <c r="AR432" s="122">
        <v>8015</v>
      </c>
      <c r="AS432" s="122">
        <v>2969</v>
      </c>
      <c r="AT432">
        <v>0</v>
      </c>
      <c r="AU432">
        <v>0</v>
      </c>
      <c r="AV432" s="122">
        <v>12549</v>
      </c>
    </row>
    <row r="433" spans="2:48" ht="13">
      <c r="B433" t="s">
        <v>438</v>
      </c>
      <c r="C433" t="s">
        <v>64</v>
      </c>
      <c r="D433" t="s">
        <v>407</v>
      </c>
      <c r="E433" s="122" t="s">
        <v>137</v>
      </c>
      <c r="F433" s="122">
        <v>7</v>
      </c>
      <c r="G433" s="122">
        <v>337</v>
      </c>
      <c r="H433" s="122">
        <v>3647</v>
      </c>
      <c r="I433" s="122">
        <v>118995</v>
      </c>
      <c r="J433" s="191">
        <v>108177</v>
      </c>
      <c r="K433" s="122">
        <v>76</v>
      </c>
      <c r="L433" s="122">
        <v>13467</v>
      </c>
      <c r="M433" s="122">
        <v>11650</v>
      </c>
      <c r="N433" s="122">
        <v>7524</v>
      </c>
      <c r="O433" s="122">
        <v>2787</v>
      </c>
      <c r="P433" s="122">
        <v>3186</v>
      </c>
      <c r="Q433" s="122">
        <v>1180</v>
      </c>
      <c r="R433" s="122">
        <v>31406</v>
      </c>
      <c r="S433" s="122">
        <v>11632</v>
      </c>
      <c r="T433" s="122">
        <v>0</v>
      </c>
      <c r="U433" s="122">
        <v>0</v>
      </c>
      <c r="V433" s="122">
        <v>135425</v>
      </c>
      <c r="W433" s="122">
        <f t="shared" si="12"/>
        <v>135426</v>
      </c>
      <c r="X433" s="122">
        <f t="shared" si="13"/>
        <v>174578</v>
      </c>
      <c r="Y433" s="122"/>
      <c r="AA433" t="s">
        <v>58</v>
      </c>
      <c r="AB433" t="s">
        <v>406</v>
      </c>
      <c r="AC433" t="s">
        <v>426</v>
      </c>
      <c r="AD433" t="s">
        <v>137</v>
      </c>
      <c r="AE433" t="s">
        <v>566</v>
      </c>
      <c r="AF433">
        <v>4</v>
      </c>
      <c r="AG433">
        <v>241</v>
      </c>
      <c r="AH433" s="122">
        <v>1172</v>
      </c>
      <c r="AI433" s="122">
        <v>33668</v>
      </c>
      <c r="AJ433" s="122">
        <v>30608</v>
      </c>
      <c r="AK433">
        <v>85</v>
      </c>
      <c r="AL433" s="122">
        <v>9311</v>
      </c>
      <c r="AM433" s="122">
        <v>8465</v>
      </c>
      <c r="AN433" s="122">
        <v>4150</v>
      </c>
      <c r="AO433" s="122">
        <v>1537</v>
      </c>
      <c r="AP433" s="122">
        <v>2484</v>
      </c>
      <c r="AQ433">
        <v>920</v>
      </c>
      <c r="AR433" s="122">
        <v>20107</v>
      </c>
      <c r="AS433" s="122">
        <v>7447</v>
      </c>
      <c r="AT433">
        <v>0</v>
      </c>
      <c r="AU433">
        <v>0</v>
      </c>
      <c r="AV433" s="122">
        <v>48976</v>
      </c>
    </row>
    <row r="434" spans="2:48" ht="13">
      <c r="B434" t="s">
        <v>438</v>
      </c>
      <c r="C434" t="s">
        <v>64</v>
      </c>
      <c r="D434" t="s">
        <v>407</v>
      </c>
      <c r="E434" t="s">
        <v>407</v>
      </c>
      <c r="F434" s="122">
        <v>9</v>
      </c>
      <c r="G434" s="122">
        <v>454</v>
      </c>
      <c r="H434" s="122">
        <v>4515</v>
      </c>
      <c r="I434" s="122">
        <v>137713</v>
      </c>
      <c r="J434" s="191">
        <v>125194</v>
      </c>
      <c r="K434" s="122">
        <v>76</v>
      </c>
      <c r="L434" s="122">
        <v>22656</v>
      </c>
      <c r="M434" s="122">
        <v>20044</v>
      </c>
      <c r="N434" s="122">
        <v>10200</v>
      </c>
      <c r="O434" s="122">
        <v>3778</v>
      </c>
      <c r="P434" s="122">
        <v>3780</v>
      </c>
      <c r="Q434" s="122">
        <v>1400</v>
      </c>
      <c r="R434" s="122">
        <v>34640</v>
      </c>
      <c r="S434" s="122">
        <v>31491</v>
      </c>
      <c r="T434" s="122">
        <v>15095</v>
      </c>
      <c r="U434" s="122">
        <v>5591</v>
      </c>
      <c r="V434" s="122">
        <v>187497</v>
      </c>
      <c r="W434" s="122">
        <f t="shared" si="12"/>
        <v>187498</v>
      </c>
      <c r="X434" s="122">
        <f t="shared" si="13"/>
        <v>224084</v>
      </c>
      <c r="Y434" s="122"/>
      <c r="AA434" t="s">
        <v>58</v>
      </c>
      <c r="AB434" t="s">
        <v>406</v>
      </c>
      <c r="AC434" t="s">
        <v>426</v>
      </c>
      <c r="AD434" t="s">
        <v>406</v>
      </c>
      <c r="AE434" t="s">
        <v>137</v>
      </c>
      <c r="AF434">
        <v>307</v>
      </c>
      <c r="AG434" s="122">
        <v>32135</v>
      </c>
      <c r="AH434" s="122">
        <v>80088</v>
      </c>
      <c r="AI434" s="122">
        <v>4730050</v>
      </c>
      <c r="AJ434" s="122">
        <v>4300046</v>
      </c>
      <c r="AK434">
        <v>81</v>
      </c>
      <c r="AL434" s="122">
        <v>987589</v>
      </c>
      <c r="AM434" s="122">
        <v>897808</v>
      </c>
      <c r="AN434" s="122">
        <v>665107</v>
      </c>
      <c r="AO434" s="122">
        <v>246336</v>
      </c>
      <c r="AP434" s="122">
        <v>201247</v>
      </c>
      <c r="AQ434" s="122">
        <v>74536</v>
      </c>
      <c r="AR434" s="122">
        <v>1289023</v>
      </c>
      <c r="AS434" s="122">
        <v>1171839</v>
      </c>
      <c r="AT434" s="122">
        <v>674495</v>
      </c>
      <c r="AU434" s="122">
        <v>249813</v>
      </c>
      <c r="AV434" s="122">
        <v>6940378</v>
      </c>
    </row>
    <row r="435" spans="2:48" ht="13">
      <c r="B435" t="s">
        <v>439</v>
      </c>
      <c r="C435" t="s">
        <v>48</v>
      </c>
      <c r="F435">
        <v>15</v>
      </c>
      <c r="G435" s="122">
        <v>1237</v>
      </c>
      <c r="H435" s="122">
        <v>969</v>
      </c>
      <c r="I435" s="122"/>
      <c r="J435" s="191">
        <v>0</v>
      </c>
      <c r="K435" s="122"/>
      <c r="L435" s="122"/>
      <c r="M435" s="122">
        <v>0</v>
      </c>
      <c r="N435" s="122">
        <v>15077</v>
      </c>
      <c r="O435" s="122">
        <v>5584</v>
      </c>
      <c r="P435" s="122">
        <v>10938</v>
      </c>
      <c r="Q435" s="122">
        <v>4051</v>
      </c>
      <c r="R435" s="122"/>
      <c r="S435" s="122">
        <v>0</v>
      </c>
      <c r="T435" s="122">
        <v>0</v>
      </c>
      <c r="U435" s="122">
        <v>0</v>
      </c>
      <c r="V435" s="122">
        <v>9635</v>
      </c>
      <c r="W435" s="122">
        <f t="shared" si="12"/>
        <v>9635</v>
      </c>
      <c r="X435" s="122">
        <f t="shared" si="13"/>
        <v>26015</v>
      </c>
      <c r="Y435" s="122"/>
      <c r="AA435" t="s">
        <v>58</v>
      </c>
      <c r="AB435" t="s">
        <v>406</v>
      </c>
      <c r="AC435" t="s">
        <v>426</v>
      </c>
      <c r="AD435" t="s">
        <v>406</v>
      </c>
      <c r="AE435" t="s">
        <v>566</v>
      </c>
      <c r="AF435">
        <v>146</v>
      </c>
      <c r="AG435" s="122">
        <v>14920</v>
      </c>
      <c r="AH435" s="122">
        <v>37513</v>
      </c>
      <c r="AI435" s="122">
        <v>2194216</v>
      </c>
      <c r="AJ435" s="122">
        <v>1994742</v>
      </c>
      <c r="AK435">
        <v>81</v>
      </c>
      <c r="AL435" s="122">
        <v>490528</v>
      </c>
      <c r="AM435" s="122">
        <v>445934</v>
      </c>
      <c r="AN435" s="122">
        <v>299302</v>
      </c>
      <c r="AO435" s="122">
        <v>110852</v>
      </c>
      <c r="AP435" s="122">
        <v>97335</v>
      </c>
      <c r="AQ435" s="122">
        <v>36050</v>
      </c>
      <c r="AR435" s="122">
        <v>823628</v>
      </c>
      <c r="AS435" s="122">
        <v>748752</v>
      </c>
      <c r="AT435">
        <v>0</v>
      </c>
      <c r="AU435">
        <v>0</v>
      </c>
      <c r="AV435" s="122">
        <v>3336331</v>
      </c>
    </row>
    <row r="436" spans="2:48" ht="13">
      <c r="B436" t="s">
        <v>439</v>
      </c>
      <c r="C436" t="s">
        <v>48</v>
      </c>
      <c r="D436" t="s">
        <v>137</v>
      </c>
      <c r="E436" t="s">
        <v>137</v>
      </c>
      <c r="F436" s="122">
        <v>1</v>
      </c>
      <c r="G436" s="122">
        <v>499</v>
      </c>
      <c r="H436" s="122">
        <v>40</v>
      </c>
      <c r="I436" s="122">
        <v>2966</v>
      </c>
      <c r="J436" s="191">
        <v>1098</v>
      </c>
      <c r="K436" s="122">
        <v>436</v>
      </c>
      <c r="L436" s="122">
        <v>813</v>
      </c>
      <c r="M436" s="122">
        <v>739</v>
      </c>
      <c r="N436" s="122">
        <v>6085</v>
      </c>
      <c r="O436" s="122">
        <v>2254</v>
      </c>
      <c r="P436" s="122">
        <v>5424</v>
      </c>
      <c r="Q436" s="122">
        <v>2009</v>
      </c>
      <c r="R436" s="122">
        <v>4730</v>
      </c>
      <c r="S436" s="122">
        <v>1752</v>
      </c>
      <c r="T436" s="122">
        <v>0</v>
      </c>
      <c r="U436" s="122">
        <v>0</v>
      </c>
      <c r="V436" s="122">
        <v>7852</v>
      </c>
      <c r="W436" s="122">
        <f t="shared" si="12"/>
        <v>7852</v>
      </c>
      <c r="X436" s="122">
        <f t="shared" si="13"/>
        <v>20018</v>
      </c>
      <c r="Y436" s="122"/>
      <c r="AA436" t="s">
        <v>58</v>
      </c>
      <c r="AB436" t="s">
        <v>406</v>
      </c>
      <c r="AC436" t="s">
        <v>426</v>
      </c>
      <c r="AD436" t="s">
        <v>427</v>
      </c>
      <c r="AE436" t="s">
        <v>137</v>
      </c>
      <c r="AF436">
        <v>1</v>
      </c>
      <c r="AG436">
        <v>114</v>
      </c>
      <c r="AH436">
        <v>285</v>
      </c>
      <c r="AI436" s="122">
        <v>20179</v>
      </c>
      <c r="AJ436" s="122">
        <v>18344</v>
      </c>
      <c r="AK436">
        <v>70</v>
      </c>
      <c r="AL436" s="122">
        <v>2485</v>
      </c>
      <c r="AM436" s="122">
        <v>2259</v>
      </c>
      <c r="AN436" s="122">
        <v>2768</v>
      </c>
      <c r="AO436" s="122">
        <v>1025</v>
      </c>
      <c r="AP436">
        <v>621</v>
      </c>
      <c r="AQ436">
        <v>230</v>
      </c>
      <c r="AR436" s="122">
        <v>3796</v>
      </c>
      <c r="AS436" s="122">
        <v>3451</v>
      </c>
      <c r="AT436" s="122">
        <v>2508</v>
      </c>
      <c r="AU436">
        <v>929</v>
      </c>
      <c r="AV436" s="122">
        <v>26238</v>
      </c>
    </row>
    <row r="437" spans="2:48" ht="13">
      <c r="B437" t="s">
        <v>439</v>
      </c>
      <c r="C437" t="s">
        <v>48</v>
      </c>
      <c r="D437" t="s">
        <v>137</v>
      </c>
      <c r="E437" t="s">
        <v>407</v>
      </c>
      <c r="F437" s="122">
        <v>2</v>
      </c>
      <c r="G437" s="122">
        <v>112</v>
      </c>
      <c r="H437" s="122">
        <v>43</v>
      </c>
      <c r="I437" s="122">
        <v>-6350</v>
      </c>
      <c r="J437" s="191">
        <v>-2352</v>
      </c>
      <c r="K437" s="122">
        <v>558</v>
      </c>
      <c r="L437" s="122">
        <v>0</v>
      </c>
      <c r="M437" s="122">
        <v>0</v>
      </c>
      <c r="N437" s="122">
        <v>1359</v>
      </c>
      <c r="O437" s="122">
        <v>503</v>
      </c>
      <c r="P437" s="122">
        <v>928</v>
      </c>
      <c r="Q437" s="122">
        <v>344</v>
      </c>
      <c r="R437" s="122">
        <v>6453</v>
      </c>
      <c r="S437" s="122">
        <v>5866</v>
      </c>
      <c r="T437" s="122">
        <v>0</v>
      </c>
      <c r="U437" s="122">
        <v>0</v>
      </c>
      <c r="V437" s="122">
        <v>4362</v>
      </c>
      <c r="W437" s="122">
        <f t="shared" si="12"/>
        <v>9065</v>
      </c>
      <c r="X437" s="122">
        <f t="shared" si="13"/>
        <v>15090</v>
      </c>
      <c r="Y437" s="122"/>
      <c r="AA437" t="s">
        <v>58</v>
      </c>
      <c r="AB437" t="s">
        <v>406</v>
      </c>
      <c r="AC437" t="s">
        <v>426</v>
      </c>
      <c r="AD437" t="s">
        <v>426</v>
      </c>
      <c r="AE437" t="s">
        <v>137</v>
      </c>
      <c r="AF437">
        <v>1</v>
      </c>
      <c r="AG437">
        <v>137</v>
      </c>
      <c r="AH437">
        <v>268</v>
      </c>
      <c r="AI437" s="122">
        <v>26911</v>
      </c>
      <c r="AJ437" s="122">
        <v>24465</v>
      </c>
      <c r="AK437">
        <v>70</v>
      </c>
      <c r="AL437" s="122">
        <v>3314</v>
      </c>
      <c r="AM437" s="122">
        <v>3013</v>
      </c>
      <c r="AN437" s="122">
        <v>2474</v>
      </c>
      <c r="AO437">
        <v>916</v>
      </c>
      <c r="AP437">
        <v>621</v>
      </c>
      <c r="AQ437">
        <v>230</v>
      </c>
      <c r="AR437" s="122">
        <v>2800</v>
      </c>
      <c r="AS437" s="122">
        <v>2546</v>
      </c>
      <c r="AT437">
        <v>617</v>
      </c>
      <c r="AU437">
        <v>229</v>
      </c>
      <c r="AV437" s="122">
        <v>31398</v>
      </c>
    </row>
    <row r="438" spans="2:48" ht="13">
      <c r="B438" t="s">
        <v>439</v>
      </c>
      <c r="C438" t="s">
        <v>50</v>
      </c>
      <c r="F438" s="122">
        <v>14</v>
      </c>
      <c r="G438" s="122">
        <v>959</v>
      </c>
      <c r="H438" s="122">
        <v>1297</v>
      </c>
      <c r="I438" s="122"/>
      <c r="J438" s="191">
        <v>0</v>
      </c>
      <c r="K438" s="122"/>
      <c r="L438" s="122"/>
      <c r="M438" s="122">
        <v>0</v>
      </c>
      <c r="N438" s="122">
        <v>19324</v>
      </c>
      <c r="O438" s="122">
        <v>7157</v>
      </c>
      <c r="P438" s="122">
        <v>2359</v>
      </c>
      <c r="Q438" s="122">
        <v>874</v>
      </c>
      <c r="R438" s="122"/>
      <c r="S438" s="122">
        <v>0</v>
      </c>
      <c r="T438" s="122">
        <v>0</v>
      </c>
      <c r="U438" s="122">
        <v>0</v>
      </c>
      <c r="V438" s="122">
        <v>8030</v>
      </c>
      <c r="W438" s="122">
        <f t="shared" si="12"/>
        <v>8031</v>
      </c>
      <c r="X438" s="122">
        <f t="shared" si="13"/>
        <v>21683</v>
      </c>
      <c r="Y438" s="122"/>
      <c r="AA438" t="s">
        <v>58</v>
      </c>
      <c r="AB438" t="s">
        <v>406</v>
      </c>
      <c r="AC438" t="s">
        <v>566</v>
      </c>
      <c r="AD438" t="s">
        <v>137</v>
      </c>
      <c r="AE438" t="s">
        <v>566</v>
      </c>
      <c r="AF438">
        <v>30</v>
      </c>
      <c r="AG438" s="122">
        <v>1483</v>
      </c>
      <c r="AH438" s="122">
        <v>7816</v>
      </c>
      <c r="AI438" s="122">
        <v>184722</v>
      </c>
      <c r="AJ438" s="122">
        <v>167929</v>
      </c>
      <c r="AK438">
        <v>83</v>
      </c>
      <c r="AL438">
        <v>0</v>
      </c>
      <c r="AM438">
        <v>0</v>
      </c>
      <c r="AN438" s="122">
        <v>31592</v>
      </c>
      <c r="AO438" s="122">
        <v>11701</v>
      </c>
      <c r="AP438" s="122">
        <v>18630</v>
      </c>
      <c r="AQ438" s="122">
        <v>6900</v>
      </c>
      <c r="AR438" s="122">
        <v>149614</v>
      </c>
      <c r="AS438" s="122">
        <v>55413</v>
      </c>
      <c r="AT438">
        <v>0</v>
      </c>
      <c r="AU438">
        <v>0</v>
      </c>
      <c r="AV438" s="122">
        <v>241942</v>
      </c>
    </row>
    <row r="439" spans="2:48" ht="13">
      <c r="B439" t="s">
        <v>439</v>
      </c>
      <c r="C439" t="s">
        <v>50</v>
      </c>
      <c r="D439" t="s">
        <v>407</v>
      </c>
      <c r="E439" t="s">
        <v>407</v>
      </c>
      <c r="F439">
        <v>3</v>
      </c>
      <c r="G439">
        <v>232</v>
      </c>
      <c r="H439" s="122">
        <v>266</v>
      </c>
      <c r="I439" s="122">
        <v>5258</v>
      </c>
      <c r="J439" s="191">
        <v>4780</v>
      </c>
      <c r="K439" s="122">
        <v>90</v>
      </c>
      <c r="L439" s="122">
        <v>1291</v>
      </c>
      <c r="M439" s="122">
        <v>478</v>
      </c>
      <c r="N439" s="122">
        <v>5652</v>
      </c>
      <c r="O439" s="122">
        <v>2093</v>
      </c>
      <c r="P439" s="122">
        <v>1418</v>
      </c>
      <c r="Q439" s="122">
        <v>525</v>
      </c>
      <c r="R439" s="122">
        <v>6930</v>
      </c>
      <c r="S439" s="122">
        <v>6300</v>
      </c>
      <c r="T439">
        <v>0</v>
      </c>
      <c r="U439" s="122">
        <v>0</v>
      </c>
      <c r="V439" s="122">
        <v>14176</v>
      </c>
      <c r="W439" s="122">
        <f t="shared" si="12"/>
        <v>14176</v>
      </c>
      <c r="X439" s="122">
        <f t="shared" si="13"/>
        <v>20549</v>
      </c>
      <c r="Y439" s="122"/>
      <c r="AA439" t="s">
        <v>58</v>
      </c>
      <c r="AB439" t="s">
        <v>406</v>
      </c>
      <c r="AC439" t="s">
        <v>566</v>
      </c>
      <c r="AD439" t="s">
        <v>406</v>
      </c>
      <c r="AE439" t="s">
        <v>137</v>
      </c>
      <c r="AF439">
        <v>102</v>
      </c>
      <c r="AG439" s="122">
        <v>6217</v>
      </c>
      <c r="AH439" s="122">
        <v>26559</v>
      </c>
      <c r="AI439" s="122">
        <v>932959</v>
      </c>
      <c r="AJ439" s="122">
        <v>848145</v>
      </c>
      <c r="AK439">
        <v>82</v>
      </c>
      <c r="AL439">
        <v>0</v>
      </c>
      <c r="AM439" s="122">
        <v>4137</v>
      </c>
      <c r="AN439" s="122">
        <v>128078</v>
      </c>
      <c r="AO439" s="122">
        <v>47436</v>
      </c>
      <c r="AP439" s="122">
        <v>61641</v>
      </c>
      <c r="AQ439" s="122">
        <v>22830</v>
      </c>
      <c r="AR439" s="122">
        <v>331163</v>
      </c>
      <c r="AS439" s="122">
        <v>301057</v>
      </c>
      <c r="AT439" s="122">
        <v>179051</v>
      </c>
      <c r="AU439" s="122">
        <v>66315</v>
      </c>
      <c r="AV439" s="122">
        <v>1289921</v>
      </c>
    </row>
    <row r="440" spans="2:48" ht="13">
      <c r="B440" t="s">
        <v>439</v>
      </c>
      <c r="C440" t="s">
        <v>52</v>
      </c>
      <c r="F440">
        <v>50</v>
      </c>
      <c r="G440" s="122">
        <v>3710</v>
      </c>
      <c r="H440" s="122">
        <v>5610</v>
      </c>
      <c r="I440" s="122"/>
      <c r="J440" s="191">
        <v>0</v>
      </c>
      <c r="K440" s="122"/>
      <c r="M440" s="122">
        <v>0</v>
      </c>
      <c r="N440" s="122">
        <v>79584</v>
      </c>
      <c r="O440" s="122">
        <v>29476</v>
      </c>
      <c r="P440" s="122">
        <v>6210</v>
      </c>
      <c r="Q440" s="122">
        <v>2300</v>
      </c>
      <c r="R440" s="122"/>
      <c r="S440">
        <v>0</v>
      </c>
      <c r="T440">
        <v>0</v>
      </c>
      <c r="U440" s="122">
        <v>0</v>
      </c>
      <c r="V440" s="122">
        <v>31776</v>
      </c>
      <c r="W440" s="122">
        <f t="shared" si="12"/>
        <v>31776</v>
      </c>
      <c r="X440" s="122">
        <f t="shared" si="13"/>
        <v>85794</v>
      </c>
      <c r="Y440" s="122"/>
      <c r="AA440" t="s">
        <v>58</v>
      </c>
      <c r="AB440" t="s">
        <v>406</v>
      </c>
      <c r="AC440" t="s">
        <v>566</v>
      </c>
      <c r="AD440" t="s">
        <v>406</v>
      </c>
      <c r="AE440" t="s">
        <v>566</v>
      </c>
      <c r="AF440">
        <v>59</v>
      </c>
      <c r="AG440" s="122">
        <v>3627</v>
      </c>
      <c r="AH440" s="122">
        <v>15600</v>
      </c>
      <c r="AI440" s="122">
        <v>589184</v>
      </c>
      <c r="AJ440" s="122">
        <v>535622</v>
      </c>
      <c r="AK440">
        <v>82</v>
      </c>
      <c r="AL440">
        <v>0</v>
      </c>
      <c r="AM440">
        <v>0</v>
      </c>
      <c r="AN440" s="122">
        <v>68350</v>
      </c>
      <c r="AO440" s="122">
        <v>25315</v>
      </c>
      <c r="AP440" s="122">
        <v>35046</v>
      </c>
      <c r="AQ440" s="122">
        <v>12980</v>
      </c>
      <c r="AR440" s="122">
        <v>258131</v>
      </c>
      <c r="AS440" s="122">
        <v>234665</v>
      </c>
      <c r="AT440">
        <v>0</v>
      </c>
      <c r="AU440">
        <v>0</v>
      </c>
      <c r="AV440" s="122">
        <v>808581</v>
      </c>
    </row>
    <row r="441" spans="2:48" ht="13">
      <c r="B441" t="s">
        <v>439</v>
      </c>
      <c r="C441" t="s">
        <v>52</v>
      </c>
      <c r="D441" t="s">
        <v>137</v>
      </c>
      <c r="E441" t="s">
        <v>137</v>
      </c>
      <c r="F441" s="122">
        <v>2</v>
      </c>
      <c r="G441" s="122">
        <v>127</v>
      </c>
      <c r="H441" s="122">
        <v>226</v>
      </c>
      <c r="I441" s="122">
        <v>2907</v>
      </c>
      <c r="J441" s="191">
        <v>1077</v>
      </c>
      <c r="K441" s="122">
        <v>192</v>
      </c>
      <c r="L441" s="122">
        <v>117</v>
      </c>
      <c r="M441" s="122">
        <v>43</v>
      </c>
      <c r="N441" s="122">
        <v>2496</v>
      </c>
      <c r="O441">
        <v>924</v>
      </c>
      <c r="P441">
        <v>351</v>
      </c>
      <c r="Q441" s="122">
        <v>130</v>
      </c>
      <c r="R441" s="122">
        <v>8623</v>
      </c>
      <c r="S441" s="122">
        <v>3194</v>
      </c>
      <c r="T441">
        <v>0</v>
      </c>
      <c r="U441" s="122">
        <v>0</v>
      </c>
      <c r="V441" s="122">
        <v>5368</v>
      </c>
      <c r="W441" s="122">
        <f t="shared" si="12"/>
        <v>5368</v>
      </c>
      <c r="X441" s="122">
        <f t="shared" si="13"/>
        <v>14494</v>
      </c>
      <c r="Y441" s="122"/>
      <c r="AA441" t="s">
        <v>58</v>
      </c>
      <c r="AB441" t="s">
        <v>406</v>
      </c>
      <c r="AC441" t="s">
        <v>481</v>
      </c>
      <c r="AD441" t="s">
        <v>406</v>
      </c>
      <c r="AE441" t="s">
        <v>137</v>
      </c>
      <c r="AF441">
        <v>1</v>
      </c>
      <c r="AG441">
        <v>68</v>
      </c>
      <c r="AH441">
        <v>281</v>
      </c>
      <c r="AI441" s="122">
        <v>10173</v>
      </c>
      <c r="AJ441" s="122">
        <v>9248</v>
      </c>
      <c r="AK441">
        <v>85</v>
      </c>
      <c r="AL441" s="122">
        <v>1403</v>
      </c>
      <c r="AM441" s="122">
        <v>1276</v>
      </c>
      <c r="AN441" s="122">
        <v>1365</v>
      </c>
      <c r="AO441">
        <v>505</v>
      </c>
      <c r="AP441">
        <v>621</v>
      </c>
      <c r="AQ441">
        <v>230</v>
      </c>
      <c r="AR441" s="122">
        <v>3345</v>
      </c>
      <c r="AS441" s="122">
        <v>3041</v>
      </c>
      <c r="AT441" s="122">
        <v>2178</v>
      </c>
      <c r="AU441">
        <v>807</v>
      </c>
      <c r="AV441" s="122">
        <v>15107</v>
      </c>
    </row>
    <row r="442" spans="2:48" ht="13">
      <c r="B442" t="s">
        <v>439</v>
      </c>
      <c r="C442" t="s">
        <v>52</v>
      </c>
      <c r="D442" t="s">
        <v>407</v>
      </c>
      <c r="E442" t="s">
        <v>407</v>
      </c>
      <c r="F442" s="122">
        <v>39</v>
      </c>
      <c r="G442" s="122">
        <v>2593</v>
      </c>
      <c r="H442" s="122">
        <v>4508</v>
      </c>
      <c r="I442" s="122">
        <v>123531</v>
      </c>
      <c r="J442" s="191">
        <v>112301</v>
      </c>
      <c r="K442" s="122">
        <v>89</v>
      </c>
      <c r="L442" s="122">
        <v>5690</v>
      </c>
      <c r="M442" s="122">
        <v>3172</v>
      </c>
      <c r="N442" s="122">
        <v>48274</v>
      </c>
      <c r="O442" s="122">
        <v>17879</v>
      </c>
      <c r="P442" s="122">
        <v>21214</v>
      </c>
      <c r="Q442" s="122">
        <v>7857</v>
      </c>
      <c r="R442" s="122">
        <v>94848</v>
      </c>
      <c r="S442" s="122">
        <v>86226</v>
      </c>
      <c r="T442" s="122">
        <v>7346</v>
      </c>
      <c r="U442" s="122">
        <v>2721</v>
      </c>
      <c r="V442" s="122">
        <v>230155</v>
      </c>
      <c r="W442" s="122">
        <f t="shared" si="12"/>
        <v>230156</v>
      </c>
      <c r="X442" s="122">
        <f t="shared" si="13"/>
        <v>300903</v>
      </c>
      <c r="Y442" s="122"/>
      <c r="AA442" t="s">
        <v>58</v>
      </c>
      <c r="AB442" t="s">
        <v>406</v>
      </c>
      <c r="AC442" t="s">
        <v>481</v>
      </c>
      <c r="AD442" t="s">
        <v>406</v>
      </c>
      <c r="AE442" t="s">
        <v>566</v>
      </c>
      <c r="AF442">
        <v>1</v>
      </c>
      <c r="AG442">
        <v>104</v>
      </c>
      <c r="AH442">
        <v>279</v>
      </c>
      <c r="AI442" s="122">
        <v>20662</v>
      </c>
      <c r="AJ442" s="122">
        <v>18784</v>
      </c>
      <c r="AK442">
        <v>94</v>
      </c>
      <c r="AL442" s="122">
        <v>3585</v>
      </c>
      <c r="AM442" s="122">
        <v>3259</v>
      </c>
      <c r="AN442" s="122">
        <v>1843</v>
      </c>
      <c r="AO442">
        <v>683</v>
      </c>
      <c r="AP442">
        <v>621</v>
      </c>
      <c r="AQ442">
        <v>230</v>
      </c>
      <c r="AR442" s="122">
        <v>2241</v>
      </c>
      <c r="AS442" s="122">
        <v>2038</v>
      </c>
      <c r="AT442">
        <v>0</v>
      </c>
      <c r="AU442">
        <v>0</v>
      </c>
      <c r="AV442" s="122">
        <v>24993</v>
      </c>
    </row>
    <row r="443" spans="2:48" ht="13">
      <c r="B443" t="s">
        <v>439</v>
      </c>
      <c r="C443" t="s">
        <v>54</v>
      </c>
      <c r="F443">
        <v>118</v>
      </c>
      <c r="G443" s="122">
        <v>8086</v>
      </c>
      <c r="H443" s="122">
        <v>16375</v>
      </c>
      <c r="I443" s="122"/>
      <c r="J443" s="191">
        <v>0</v>
      </c>
      <c r="K443" s="122"/>
      <c r="L443" s="122"/>
      <c r="M443" s="122">
        <v>0</v>
      </c>
      <c r="N443" s="122">
        <v>180194</v>
      </c>
      <c r="O443" s="122">
        <v>66738</v>
      </c>
      <c r="P443" s="122">
        <v>10473</v>
      </c>
      <c r="Q443" s="122">
        <v>3879</v>
      </c>
      <c r="R443" s="122"/>
      <c r="S443" s="122">
        <v>0</v>
      </c>
      <c r="T443" s="122">
        <v>0</v>
      </c>
      <c r="U443" s="122">
        <v>0</v>
      </c>
      <c r="V443" s="122">
        <v>70617</v>
      </c>
      <c r="W443" s="122">
        <f t="shared" si="12"/>
        <v>70617</v>
      </c>
      <c r="X443" s="122">
        <f t="shared" si="13"/>
        <v>190667</v>
      </c>
      <c r="Y443" s="122"/>
      <c r="AA443" t="s">
        <v>58</v>
      </c>
      <c r="AB443" t="s">
        <v>406</v>
      </c>
      <c r="AC443" t="s">
        <v>433</v>
      </c>
      <c r="AD443" t="s">
        <v>406</v>
      </c>
      <c r="AE443" t="s">
        <v>137</v>
      </c>
      <c r="AF443">
        <v>12</v>
      </c>
      <c r="AG443" s="122">
        <v>1354</v>
      </c>
      <c r="AH443" s="122">
        <v>3063</v>
      </c>
      <c r="AI443" s="122">
        <v>207547</v>
      </c>
      <c r="AJ443" s="122">
        <v>188679</v>
      </c>
      <c r="AK443">
        <v>79</v>
      </c>
      <c r="AL443" s="122">
        <v>33178</v>
      </c>
      <c r="AM443" s="122">
        <v>30162</v>
      </c>
      <c r="AN443" s="122">
        <v>22592</v>
      </c>
      <c r="AO443" s="122">
        <v>8367</v>
      </c>
      <c r="AP443" s="122">
        <v>7803</v>
      </c>
      <c r="AQ443" s="122">
        <v>2890</v>
      </c>
      <c r="AR443" s="122">
        <v>51690</v>
      </c>
      <c r="AS443" s="122">
        <v>46991</v>
      </c>
      <c r="AT443" s="122">
        <v>24172</v>
      </c>
      <c r="AU443" s="122">
        <v>8953</v>
      </c>
      <c r="AV443" s="122">
        <v>286042</v>
      </c>
    </row>
    <row r="444" spans="2:48" ht="13">
      <c r="B444" t="s">
        <v>439</v>
      </c>
      <c r="C444" t="s">
        <v>54</v>
      </c>
      <c r="D444" t="s">
        <v>137</v>
      </c>
      <c r="E444" t="s">
        <v>137</v>
      </c>
      <c r="F444" s="122">
        <v>15</v>
      </c>
      <c r="G444" s="122">
        <v>1328</v>
      </c>
      <c r="H444" s="122">
        <v>2108</v>
      </c>
      <c r="I444" s="122">
        <v>54170</v>
      </c>
      <c r="J444" s="191">
        <v>20063</v>
      </c>
      <c r="K444" s="122">
        <v>100</v>
      </c>
      <c r="L444" s="122">
        <v>3621</v>
      </c>
      <c r="M444" s="122">
        <v>1341</v>
      </c>
      <c r="N444" s="122">
        <v>22165</v>
      </c>
      <c r="O444" s="122">
        <v>8209</v>
      </c>
      <c r="P444" s="122">
        <v>0</v>
      </c>
      <c r="Q444" s="122">
        <v>0</v>
      </c>
      <c r="R444" s="122">
        <v>105462</v>
      </c>
      <c r="S444" s="122">
        <v>39060</v>
      </c>
      <c r="T444" s="122">
        <v>0</v>
      </c>
      <c r="U444" s="122">
        <v>0</v>
      </c>
      <c r="V444" s="122">
        <v>68673</v>
      </c>
      <c r="W444" s="122">
        <f t="shared" si="12"/>
        <v>68673</v>
      </c>
      <c r="X444" s="122">
        <f t="shared" si="13"/>
        <v>185418</v>
      </c>
      <c r="Y444" s="122"/>
      <c r="AA444" t="s">
        <v>58</v>
      </c>
      <c r="AB444" t="s">
        <v>406</v>
      </c>
      <c r="AC444" t="s">
        <v>433</v>
      </c>
      <c r="AD444" t="s">
        <v>406</v>
      </c>
      <c r="AE444" t="s">
        <v>566</v>
      </c>
      <c r="AF444">
        <v>9</v>
      </c>
      <c r="AG444">
        <v>988</v>
      </c>
      <c r="AH444" s="122">
        <v>2479</v>
      </c>
      <c r="AI444" s="122">
        <v>164398</v>
      </c>
      <c r="AJ444" s="122">
        <v>149453</v>
      </c>
      <c r="AK444">
        <v>77</v>
      </c>
      <c r="AL444" s="122">
        <v>33488</v>
      </c>
      <c r="AM444" s="122">
        <v>30444</v>
      </c>
      <c r="AN444" s="122">
        <v>18805</v>
      </c>
      <c r="AO444" s="122">
        <v>6965</v>
      </c>
      <c r="AP444" s="122">
        <v>5589</v>
      </c>
      <c r="AQ444" s="122">
        <v>2070</v>
      </c>
      <c r="AR444" s="122">
        <v>52873</v>
      </c>
      <c r="AS444" s="122">
        <v>48066</v>
      </c>
      <c r="AT444">
        <v>0</v>
      </c>
      <c r="AU444">
        <v>0</v>
      </c>
      <c r="AV444" s="122">
        <v>236998</v>
      </c>
    </row>
    <row r="445" spans="2:48" ht="13">
      <c r="B445" t="s">
        <v>439</v>
      </c>
      <c r="C445" t="s">
        <v>54</v>
      </c>
      <c r="D445" t="s">
        <v>407</v>
      </c>
      <c r="E445" t="s">
        <v>407</v>
      </c>
      <c r="F445" s="122">
        <v>89</v>
      </c>
      <c r="G445" s="122">
        <v>6770</v>
      </c>
      <c r="H445" s="122">
        <v>12427</v>
      </c>
      <c r="I445" s="122">
        <v>387926</v>
      </c>
      <c r="J445" s="191">
        <v>352660</v>
      </c>
      <c r="K445" s="122">
        <v>86</v>
      </c>
      <c r="L445" s="122">
        <v>38693</v>
      </c>
      <c r="M445" s="122">
        <v>23089</v>
      </c>
      <c r="N445" s="122">
        <v>145561</v>
      </c>
      <c r="O445" s="122">
        <v>53911</v>
      </c>
      <c r="P445" s="122">
        <v>41229</v>
      </c>
      <c r="Q445" s="122">
        <v>15270</v>
      </c>
      <c r="R445" s="122">
        <v>308406</v>
      </c>
      <c r="S445" s="122">
        <v>280369</v>
      </c>
      <c r="T445" s="122">
        <v>22580</v>
      </c>
      <c r="U445" s="122">
        <v>8363</v>
      </c>
      <c r="V445" s="122">
        <v>733662</v>
      </c>
      <c r="W445" s="122">
        <f t="shared" si="12"/>
        <v>733662</v>
      </c>
      <c r="X445" s="122">
        <f t="shared" si="13"/>
        <v>944395</v>
      </c>
      <c r="Y445" s="122"/>
      <c r="AA445" t="s">
        <v>58</v>
      </c>
      <c r="AB445" t="s">
        <v>406</v>
      </c>
      <c r="AC445" t="s">
        <v>429</v>
      </c>
      <c r="AD445" t="s">
        <v>406</v>
      </c>
      <c r="AE445" t="s">
        <v>566</v>
      </c>
      <c r="AF445">
        <v>1</v>
      </c>
      <c r="AG445">
        <v>185</v>
      </c>
      <c r="AH445">
        <v>295</v>
      </c>
      <c r="AI445" s="122">
        <v>36028</v>
      </c>
      <c r="AJ445" s="122">
        <v>32753</v>
      </c>
      <c r="AK445">
        <v>65</v>
      </c>
      <c r="AL445" s="122">
        <v>3806</v>
      </c>
      <c r="AM445" s="122">
        <v>3460</v>
      </c>
      <c r="AN445" s="122">
        <v>4314</v>
      </c>
      <c r="AO445" s="122">
        <v>1598</v>
      </c>
      <c r="AP445">
        <v>621</v>
      </c>
      <c r="AQ445">
        <v>230</v>
      </c>
      <c r="AR445" s="122">
        <v>9831</v>
      </c>
      <c r="AS445" s="122">
        <v>8938</v>
      </c>
      <c r="AT445">
        <v>0</v>
      </c>
      <c r="AU445">
        <v>0</v>
      </c>
      <c r="AV445" s="122">
        <v>46978</v>
      </c>
    </row>
    <row r="446" spans="2:48" ht="13">
      <c r="B446" t="s">
        <v>439</v>
      </c>
      <c r="C446" t="s">
        <v>56</v>
      </c>
      <c r="E446" s="122"/>
      <c r="F446" s="122">
        <v>156</v>
      </c>
      <c r="G446" s="122">
        <v>9347</v>
      </c>
      <c r="H446" s="122">
        <v>28250</v>
      </c>
      <c r="I446" s="122"/>
      <c r="J446" s="191">
        <v>0</v>
      </c>
      <c r="K446" s="122"/>
      <c r="L446" s="122"/>
      <c r="M446" s="122">
        <v>0</v>
      </c>
      <c r="N446" s="122">
        <v>203197</v>
      </c>
      <c r="O446" s="122">
        <v>75258</v>
      </c>
      <c r="P446" s="122">
        <v>15215</v>
      </c>
      <c r="Q446" s="122">
        <v>5635</v>
      </c>
      <c r="R446" s="122"/>
      <c r="S446" s="122">
        <v>0</v>
      </c>
      <c r="T446" s="122">
        <v>3404</v>
      </c>
      <c r="U446" s="122">
        <v>1261</v>
      </c>
      <c r="V446" s="122">
        <v>82154</v>
      </c>
      <c r="W446" s="122">
        <f t="shared" si="12"/>
        <v>82154</v>
      </c>
      <c r="X446" s="122">
        <f t="shared" si="13"/>
        <v>221816</v>
      </c>
      <c r="Y446" s="122"/>
      <c r="AA446" t="s">
        <v>58</v>
      </c>
      <c r="AB446" t="s">
        <v>427</v>
      </c>
      <c r="AC446" t="s">
        <v>137</v>
      </c>
      <c r="AD446" t="s">
        <v>137</v>
      </c>
      <c r="AE446" t="s">
        <v>566</v>
      </c>
      <c r="AF446">
        <v>1</v>
      </c>
      <c r="AG446">
        <v>91</v>
      </c>
      <c r="AH446">
        <v>278</v>
      </c>
      <c r="AI446" s="122">
        <v>13959</v>
      </c>
      <c r="AJ446" s="122">
        <v>12690</v>
      </c>
      <c r="AK446">
        <v>30</v>
      </c>
      <c r="AL446" s="122">
        <v>2570</v>
      </c>
      <c r="AM446">
        <v>952</v>
      </c>
      <c r="AN446" s="122">
        <v>2226</v>
      </c>
      <c r="AO446">
        <v>824</v>
      </c>
      <c r="AP446">
        <v>0</v>
      </c>
      <c r="AQ446">
        <v>0</v>
      </c>
      <c r="AR446" s="122">
        <v>6613</v>
      </c>
      <c r="AS446" s="122">
        <v>2449</v>
      </c>
      <c r="AT446">
        <v>0</v>
      </c>
      <c r="AU446">
        <v>0</v>
      </c>
      <c r="AV446" s="122">
        <v>16915</v>
      </c>
    </row>
    <row r="447" spans="2:48" ht="13">
      <c r="B447" t="s">
        <v>439</v>
      </c>
      <c r="C447" t="s">
        <v>56</v>
      </c>
      <c r="D447" t="s">
        <v>137</v>
      </c>
      <c r="E447" t="s">
        <v>137</v>
      </c>
      <c r="F447" s="122">
        <v>246</v>
      </c>
      <c r="G447" s="122">
        <v>17517</v>
      </c>
      <c r="H447" s="122">
        <v>47827</v>
      </c>
      <c r="I447" s="122">
        <v>1379798</v>
      </c>
      <c r="J447" s="191">
        <v>511036</v>
      </c>
      <c r="K447" s="122">
        <v>100</v>
      </c>
      <c r="L447" s="122">
        <v>120798</v>
      </c>
      <c r="M447" s="122">
        <v>47120</v>
      </c>
      <c r="N447" s="122">
        <v>355810</v>
      </c>
      <c r="O447" s="122">
        <v>131781</v>
      </c>
      <c r="P447" s="122">
        <v>4474</v>
      </c>
      <c r="Q447" s="122">
        <v>1657</v>
      </c>
      <c r="R447" s="122">
        <v>1539865</v>
      </c>
      <c r="S447" s="122">
        <v>570320</v>
      </c>
      <c r="T447" s="122">
        <v>2164</v>
      </c>
      <c r="U447" s="122">
        <v>801</v>
      </c>
      <c r="V447" s="122">
        <v>1262716</v>
      </c>
      <c r="W447" s="122">
        <f t="shared" si="12"/>
        <v>1262715</v>
      </c>
      <c r="X447" s="122">
        <f t="shared" si="13"/>
        <v>3402909</v>
      </c>
      <c r="Y447" s="122"/>
      <c r="AA447" t="s">
        <v>58</v>
      </c>
      <c r="AB447" t="s">
        <v>427</v>
      </c>
      <c r="AC447" t="s">
        <v>137</v>
      </c>
      <c r="AD447" t="s">
        <v>427</v>
      </c>
      <c r="AE447" t="s">
        <v>566</v>
      </c>
      <c r="AF447">
        <v>2</v>
      </c>
      <c r="AG447">
        <v>141</v>
      </c>
      <c r="AH447">
        <v>585</v>
      </c>
      <c r="AI447" s="122">
        <v>19018</v>
      </c>
      <c r="AJ447" s="122">
        <v>17289</v>
      </c>
      <c r="AK447">
        <v>55</v>
      </c>
      <c r="AL447" s="122">
        <v>2853</v>
      </c>
      <c r="AM447" s="122">
        <v>1057</v>
      </c>
      <c r="AN447" s="122">
        <v>2132</v>
      </c>
      <c r="AO447">
        <v>790</v>
      </c>
      <c r="AP447">
        <v>702</v>
      </c>
      <c r="AQ447">
        <v>260</v>
      </c>
      <c r="AR447" s="122">
        <v>16607</v>
      </c>
      <c r="AS447" s="122">
        <v>15097</v>
      </c>
      <c r="AT447">
        <v>0</v>
      </c>
      <c r="AU447">
        <v>0</v>
      </c>
      <c r="AV447" s="122">
        <v>34493</v>
      </c>
    </row>
    <row r="448" spans="2:48" ht="13">
      <c r="B448" t="s">
        <v>439</v>
      </c>
      <c r="C448" t="s">
        <v>56</v>
      </c>
      <c r="D448" t="s">
        <v>137</v>
      </c>
      <c r="E448" t="s">
        <v>407</v>
      </c>
      <c r="F448">
        <v>1</v>
      </c>
      <c r="G448">
        <v>77</v>
      </c>
      <c r="H448" s="122">
        <v>202</v>
      </c>
      <c r="I448" s="122">
        <v>9713</v>
      </c>
      <c r="J448" s="191">
        <v>3597</v>
      </c>
      <c r="K448" s="122">
        <v>100</v>
      </c>
      <c r="L448" s="122">
        <v>0</v>
      </c>
      <c r="M448" s="122">
        <v>0</v>
      </c>
      <c r="N448" s="122">
        <v>1864</v>
      </c>
      <c r="O448">
        <v>690</v>
      </c>
      <c r="P448">
        <v>0</v>
      </c>
      <c r="Q448" s="122">
        <v>0</v>
      </c>
      <c r="R448" s="122">
        <v>3848</v>
      </c>
      <c r="S448" s="122">
        <v>3498</v>
      </c>
      <c r="T448">
        <v>0</v>
      </c>
      <c r="U448" s="122">
        <v>0</v>
      </c>
      <c r="V448" s="122">
        <v>7786</v>
      </c>
      <c r="W448" s="122">
        <f t="shared" si="12"/>
        <v>7785</v>
      </c>
      <c r="X448" s="122">
        <f t="shared" si="13"/>
        <v>15425</v>
      </c>
      <c r="Y448" s="122"/>
      <c r="AA448" t="s">
        <v>58</v>
      </c>
      <c r="AB448" t="s">
        <v>427</v>
      </c>
      <c r="AC448" t="s">
        <v>427</v>
      </c>
      <c r="AD448" t="s">
        <v>427</v>
      </c>
      <c r="AE448" t="s">
        <v>137</v>
      </c>
      <c r="AF448">
        <v>1</v>
      </c>
      <c r="AG448">
        <v>81</v>
      </c>
      <c r="AH448">
        <v>242</v>
      </c>
      <c r="AI448" s="122">
        <v>9197</v>
      </c>
      <c r="AJ448" s="122">
        <v>8361</v>
      </c>
      <c r="AK448">
        <v>65</v>
      </c>
      <c r="AL448" s="122">
        <v>2214</v>
      </c>
      <c r="AM448" s="122">
        <v>2013</v>
      </c>
      <c r="AN448" s="122">
        <v>1597</v>
      </c>
      <c r="AO448">
        <v>591</v>
      </c>
      <c r="AP448">
        <v>351</v>
      </c>
      <c r="AQ448">
        <v>130</v>
      </c>
      <c r="AR448" s="122">
        <v>4164</v>
      </c>
      <c r="AS448" s="122">
        <v>3785</v>
      </c>
      <c r="AT448" s="122">
        <v>2185</v>
      </c>
      <c r="AU448">
        <v>809</v>
      </c>
      <c r="AV448" s="122">
        <v>15689</v>
      </c>
    </row>
    <row r="449" spans="2:48" ht="13">
      <c r="B449" t="s">
        <v>439</v>
      </c>
      <c r="C449" t="s">
        <v>56</v>
      </c>
      <c r="D449" t="s">
        <v>137</v>
      </c>
      <c r="E449" t="s">
        <v>426</v>
      </c>
      <c r="F449">
        <v>1</v>
      </c>
      <c r="G449" s="122">
        <v>46</v>
      </c>
      <c r="H449" s="122">
        <v>184</v>
      </c>
      <c r="I449" s="122">
        <v>5313</v>
      </c>
      <c r="J449" s="191">
        <v>1968</v>
      </c>
      <c r="K449" s="122">
        <v>100</v>
      </c>
      <c r="L449" s="122">
        <v>0</v>
      </c>
      <c r="M449" s="122">
        <v>0</v>
      </c>
      <c r="N449" s="122">
        <v>1055</v>
      </c>
      <c r="O449">
        <v>391</v>
      </c>
      <c r="P449">
        <v>0</v>
      </c>
      <c r="Q449" s="122">
        <v>0</v>
      </c>
      <c r="R449" s="122">
        <v>2022</v>
      </c>
      <c r="S449" s="122">
        <v>1838</v>
      </c>
      <c r="T449">
        <v>0</v>
      </c>
      <c r="U449" s="122">
        <v>0</v>
      </c>
      <c r="V449" s="122">
        <v>4197</v>
      </c>
      <c r="W449" s="122">
        <f t="shared" si="12"/>
        <v>4197</v>
      </c>
      <c r="X449" s="122">
        <f t="shared" si="13"/>
        <v>8390</v>
      </c>
      <c r="Y449" s="122"/>
      <c r="AA449" t="s">
        <v>58</v>
      </c>
      <c r="AB449" t="s">
        <v>427</v>
      </c>
      <c r="AC449" t="s">
        <v>431</v>
      </c>
      <c r="AD449" t="s">
        <v>427</v>
      </c>
      <c r="AE449" t="s">
        <v>566</v>
      </c>
      <c r="AF449">
        <v>1</v>
      </c>
      <c r="AG449">
        <v>88</v>
      </c>
      <c r="AH449">
        <v>271</v>
      </c>
      <c r="AI449" s="122">
        <v>13413</v>
      </c>
      <c r="AJ449" s="122">
        <v>12193</v>
      </c>
      <c r="AK449">
        <v>65</v>
      </c>
      <c r="AL449" s="122">
        <v>2768</v>
      </c>
      <c r="AM449" s="122">
        <v>2516</v>
      </c>
      <c r="AN449" s="122">
        <v>1078</v>
      </c>
      <c r="AO449">
        <v>399</v>
      </c>
      <c r="AP449">
        <v>351</v>
      </c>
      <c r="AQ449">
        <v>130</v>
      </c>
      <c r="AR449" s="122">
        <v>6391</v>
      </c>
      <c r="AS449" s="122">
        <v>5810</v>
      </c>
      <c r="AT449">
        <v>0</v>
      </c>
      <c r="AU449">
        <v>0</v>
      </c>
      <c r="AV449" s="122">
        <v>21049</v>
      </c>
    </row>
    <row r="450" spans="2:48" ht="13">
      <c r="B450" t="s">
        <v>439</v>
      </c>
      <c r="C450" t="s">
        <v>56</v>
      </c>
      <c r="D450" t="s">
        <v>406</v>
      </c>
      <c r="E450" t="s">
        <v>406</v>
      </c>
      <c r="F450" s="122">
        <v>1</v>
      </c>
      <c r="G450" s="122">
        <v>42</v>
      </c>
      <c r="H450" s="122">
        <v>224</v>
      </c>
      <c r="I450" s="122">
        <v>3903</v>
      </c>
      <c r="J450" s="191">
        <v>3549</v>
      </c>
      <c r="K450" s="122">
        <v>79</v>
      </c>
      <c r="L450" s="122">
        <v>0</v>
      </c>
      <c r="M450" s="122">
        <v>0</v>
      </c>
      <c r="N450" s="122">
        <v>514</v>
      </c>
      <c r="O450" s="122">
        <v>190</v>
      </c>
      <c r="P450" s="122">
        <v>621</v>
      </c>
      <c r="Q450" s="122">
        <v>230</v>
      </c>
      <c r="R450" s="122">
        <v>4400</v>
      </c>
      <c r="S450" s="122">
        <v>4000</v>
      </c>
      <c r="T450" s="122">
        <v>0</v>
      </c>
      <c r="U450" s="122">
        <v>0</v>
      </c>
      <c r="V450" s="122">
        <v>7969</v>
      </c>
      <c r="W450" s="122">
        <f t="shared" si="12"/>
        <v>7969</v>
      </c>
      <c r="X450" s="122">
        <f t="shared" si="13"/>
        <v>9438</v>
      </c>
      <c r="Y450" s="122"/>
      <c r="AA450" t="s">
        <v>58</v>
      </c>
      <c r="AB450" t="s">
        <v>407</v>
      </c>
      <c r="AC450" t="s">
        <v>425</v>
      </c>
      <c r="AD450" t="s">
        <v>407</v>
      </c>
      <c r="AE450" t="s">
        <v>566</v>
      </c>
      <c r="AF450">
        <v>2</v>
      </c>
      <c r="AG450">
        <v>101</v>
      </c>
      <c r="AH450">
        <v>524</v>
      </c>
      <c r="AI450" s="122">
        <v>14530</v>
      </c>
      <c r="AJ450" s="122">
        <v>13209</v>
      </c>
      <c r="AK450">
        <v>74</v>
      </c>
      <c r="AL450" s="122">
        <v>2785</v>
      </c>
      <c r="AM450" s="122">
        <v>2532</v>
      </c>
      <c r="AN450" s="122">
        <v>1540</v>
      </c>
      <c r="AO450">
        <v>570</v>
      </c>
      <c r="AP450">
        <v>945</v>
      </c>
      <c r="AQ450">
        <v>350</v>
      </c>
      <c r="AR450" s="122">
        <v>6795</v>
      </c>
      <c r="AS450" s="122">
        <v>6177</v>
      </c>
      <c r="AT450">
        <v>0</v>
      </c>
      <c r="AU450">
        <v>0</v>
      </c>
      <c r="AV450" s="122">
        <v>22839</v>
      </c>
    </row>
    <row r="451" spans="2:48" ht="13">
      <c r="B451" t="s">
        <v>439</v>
      </c>
      <c r="C451" t="s">
        <v>56</v>
      </c>
      <c r="D451" t="s">
        <v>407</v>
      </c>
      <c r="E451" t="s">
        <v>137</v>
      </c>
      <c r="F451" s="122">
        <v>6</v>
      </c>
      <c r="G451" s="122">
        <v>290</v>
      </c>
      <c r="H451" s="122">
        <v>1213</v>
      </c>
      <c r="I451" s="122">
        <v>23031</v>
      </c>
      <c r="J451" s="191">
        <v>20938</v>
      </c>
      <c r="K451" s="122">
        <v>76</v>
      </c>
      <c r="L451" s="122">
        <v>0</v>
      </c>
      <c r="M451" s="122">
        <v>0</v>
      </c>
      <c r="N451" s="122">
        <v>5693</v>
      </c>
      <c r="O451" s="122">
        <v>2109</v>
      </c>
      <c r="P451" s="122">
        <v>2363</v>
      </c>
      <c r="Q451" s="122">
        <v>875</v>
      </c>
      <c r="R451" s="122">
        <v>28087</v>
      </c>
      <c r="S451" s="122">
        <v>10403</v>
      </c>
      <c r="T451" s="122">
        <v>0</v>
      </c>
      <c r="U451" s="122">
        <v>0</v>
      </c>
      <c r="V451" s="122">
        <v>34324</v>
      </c>
      <c r="W451" s="122">
        <f t="shared" si="12"/>
        <v>34325</v>
      </c>
      <c r="X451" s="122">
        <f t="shared" si="13"/>
        <v>59174</v>
      </c>
      <c r="Y451" s="122"/>
      <c r="AA451" t="s">
        <v>58</v>
      </c>
      <c r="AB451" t="s">
        <v>407</v>
      </c>
      <c r="AC451" t="s">
        <v>137</v>
      </c>
      <c r="AD451" t="s">
        <v>137</v>
      </c>
      <c r="AE451" t="s">
        <v>566</v>
      </c>
      <c r="AF451">
        <v>10</v>
      </c>
      <c r="AG451">
        <v>506</v>
      </c>
      <c r="AH451" s="122">
        <v>2445</v>
      </c>
      <c r="AI451" s="122">
        <v>48922</v>
      </c>
      <c r="AJ451" s="122">
        <v>44475</v>
      </c>
      <c r="AK451">
        <v>75</v>
      </c>
      <c r="AL451" s="122">
        <v>9632</v>
      </c>
      <c r="AM451" s="122">
        <v>3568</v>
      </c>
      <c r="AN451" s="122">
        <v>11184</v>
      </c>
      <c r="AO451" s="122">
        <v>4142</v>
      </c>
      <c r="AP451" s="122">
        <v>2012</v>
      </c>
      <c r="AQ451">
        <v>745</v>
      </c>
      <c r="AR451" s="122">
        <v>52000</v>
      </c>
      <c r="AS451" s="122">
        <v>19259</v>
      </c>
      <c r="AT451">
        <v>0</v>
      </c>
      <c r="AU451">
        <v>0</v>
      </c>
      <c r="AV451" s="122">
        <v>72188</v>
      </c>
    </row>
    <row r="452" spans="2:48" ht="13">
      <c r="B452" t="s">
        <v>439</v>
      </c>
      <c r="C452" t="s">
        <v>56</v>
      </c>
      <c r="D452" t="s">
        <v>407</v>
      </c>
      <c r="E452" t="s">
        <v>407</v>
      </c>
      <c r="F452" s="122">
        <v>373</v>
      </c>
      <c r="G452" s="122">
        <v>25219</v>
      </c>
      <c r="H452" s="122">
        <v>69738</v>
      </c>
      <c r="I452" s="122">
        <v>2211854</v>
      </c>
      <c r="J452" s="191">
        <v>2010777</v>
      </c>
      <c r="K452" s="122">
        <v>81</v>
      </c>
      <c r="L452" s="122">
        <v>170161</v>
      </c>
      <c r="M452" s="122">
        <v>134152</v>
      </c>
      <c r="N452" s="122">
        <v>524691</v>
      </c>
      <c r="O452" s="122">
        <v>194330</v>
      </c>
      <c r="P452" s="122">
        <v>173381</v>
      </c>
      <c r="Q452" s="122">
        <v>64215</v>
      </c>
      <c r="R452" s="122">
        <v>1399483</v>
      </c>
      <c r="S452" s="122">
        <v>1272258</v>
      </c>
      <c r="T452" s="122">
        <v>236036</v>
      </c>
      <c r="U452" s="122">
        <v>87421</v>
      </c>
      <c r="V452" s="122">
        <v>3763153</v>
      </c>
      <c r="W452" s="122">
        <f t="shared" si="12"/>
        <v>3763153</v>
      </c>
      <c r="X452" s="122">
        <f t="shared" si="13"/>
        <v>4715606</v>
      </c>
      <c r="Y452" s="122"/>
      <c r="AA452" t="s">
        <v>58</v>
      </c>
      <c r="AB452" t="s">
        <v>407</v>
      </c>
      <c r="AC452" t="s">
        <v>137</v>
      </c>
      <c r="AD452" t="s">
        <v>407</v>
      </c>
      <c r="AE452" t="s">
        <v>137</v>
      </c>
      <c r="AF452">
        <v>216</v>
      </c>
      <c r="AG452" s="122">
        <v>13331</v>
      </c>
      <c r="AH452" s="122">
        <v>54625</v>
      </c>
      <c r="AI452" s="122">
        <v>1484678</v>
      </c>
      <c r="AJ452" s="122">
        <v>1349708</v>
      </c>
      <c r="AK452">
        <v>77</v>
      </c>
      <c r="AL452" s="122">
        <v>343082</v>
      </c>
      <c r="AM452" s="122">
        <v>127068</v>
      </c>
      <c r="AN452" s="122">
        <v>273737</v>
      </c>
      <c r="AO452" s="122">
        <v>101384</v>
      </c>
      <c r="AP452" s="122">
        <v>101588</v>
      </c>
      <c r="AQ452" s="122">
        <v>37625</v>
      </c>
      <c r="AR452" s="122">
        <v>811791</v>
      </c>
      <c r="AS452" s="122">
        <v>737992</v>
      </c>
      <c r="AT452" s="122">
        <v>366834</v>
      </c>
      <c r="AU452" s="122">
        <v>135864</v>
      </c>
      <c r="AV452" s="122">
        <v>2489640</v>
      </c>
    </row>
    <row r="453" spans="2:48" ht="13">
      <c r="B453" t="s">
        <v>439</v>
      </c>
      <c r="C453" t="s">
        <v>58</v>
      </c>
      <c r="F453">
        <v>38</v>
      </c>
      <c r="G453" s="122">
        <v>2080</v>
      </c>
      <c r="H453" s="122">
        <v>9438</v>
      </c>
      <c r="I453" s="122"/>
      <c r="J453" s="66">
        <v>0</v>
      </c>
      <c r="K453" s="122"/>
      <c r="L453" s="122"/>
      <c r="M453" s="122">
        <v>0</v>
      </c>
      <c r="N453" s="122">
        <v>41470</v>
      </c>
      <c r="O453" s="122">
        <v>15359</v>
      </c>
      <c r="P453" s="122">
        <v>3429</v>
      </c>
      <c r="Q453" s="122">
        <v>1270</v>
      </c>
      <c r="R453" s="122"/>
      <c r="S453" s="122">
        <v>0</v>
      </c>
      <c r="T453" s="122">
        <v>2638</v>
      </c>
      <c r="U453" s="122">
        <v>977</v>
      </c>
      <c r="V453" s="122">
        <v>17607</v>
      </c>
      <c r="W453" s="122">
        <f t="shared" si="12"/>
        <v>17606</v>
      </c>
      <c r="X453" s="122">
        <f t="shared" si="13"/>
        <v>47537</v>
      </c>
      <c r="Y453" s="122"/>
      <c r="AA453" t="s">
        <v>58</v>
      </c>
      <c r="AB453" t="s">
        <v>407</v>
      </c>
      <c r="AC453" t="s">
        <v>137</v>
      </c>
      <c r="AD453" t="s">
        <v>407</v>
      </c>
      <c r="AE453" t="s">
        <v>566</v>
      </c>
      <c r="AF453">
        <v>316</v>
      </c>
      <c r="AG453" s="122">
        <v>18871</v>
      </c>
      <c r="AH453" s="122">
        <v>79940</v>
      </c>
      <c r="AI453" s="122">
        <v>2300052</v>
      </c>
      <c r="AJ453" s="122">
        <v>2090957</v>
      </c>
      <c r="AK453">
        <v>80</v>
      </c>
      <c r="AL453" s="122">
        <v>610208</v>
      </c>
      <c r="AM453" s="122">
        <v>226003</v>
      </c>
      <c r="AN453" s="122">
        <v>391107</v>
      </c>
      <c r="AO453" s="122">
        <v>144854</v>
      </c>
      <c r="AP453" s="122">
        <v>157067</v>
      </c>
      <c r="AQ453" s="122">
        <v>58173</v>
      </c>
      <c r="AR453" s="122">
        <v>1296714</v>
      </c>
      <c r="AS453" s="122">
        <v>1178831</v>
      </c>
      <c r="AT453">
        <v>0</v>
      </c>
      <c r="AU453">
        <v>0</v>
      </c>
      <c r="AV453" s="122">
        <v>3698818</v>
      </c>
    </row>
    <row r="454" spans="2:48" ht="13">
      <c r="B454" t="s">
        <v>439</v>
      </c>
      <c r="C454" t="s">
        <v>58</v>
      </c>
      <c r="D454" t="s">
        <v>405</v>
      </c>
      <c r="E454" t="s">
        <v>405</v>
      </c>
      <c r="F454">
        <v>1</v>
      </c>
      <c r="G454" s="122">
        <v>66</v>
      </c>
      <c r="H454" s="122">
        <v>270</v>
      </c>
      <c r="I454" s="122">
        <v>6783</v>
      </c>
      <c r="J454" s="191">
        <v>6167</v>
      </c>
      <c r="K454" s="122">
        <v>87</v>
      </c>
      <c r="L454" s="122">
        <v>2068</v>
      </c>
      <c r="M454" s="122">
        <v>1880</v>
      </c>
      <c r="N454" s="122">
        <v>1598</v>
      </c>
      <c r="O454">
        <v>592</v>
      </c>
      <c r="P454">
        <v>473</v>
      </c>
      <c r="Q454" s="122">
        <v>175</v>
      </c>
      <c r="R454" s="122">
        <v>6769</v>
      </c>
      <c r="S454" s="122">
        <v>6154</v>
      </c>
      <c r="T454" s="122">
        <v>0</v>
      </c>
      <c r="U454" s="122">
        <v>0</v>
      </c>
      <c r="V454" s="122">
        <v>14967</v>
      </c>
      <c r="W454" s="122">
        <f t="shared" si="12"/>
        <v>14968</v>
      </c>
      <c r="X454" s="122">
        <f t="shared" si="13"/>
        <v>17691</v>
      </c>
      <c r="Y454" s="122"/>
      <c r="AA454" t="s">
        <v>58</v>
      </c>
      <c r="AB454" t="s">
        <v>407</v>
      </c>
      <c r="AC454" t="s">
        <v>580</v>
      </c>
      <c r="AD454" t="s">
        <v>407</v>
      </c>
      <c r="AE454" t="s">
        <v>137</v>
      </c>
      <c r="AF454">
        <v>3</v>
      </c>
      <c r="AG454">
        <v>219</v>
      </c>
      <c r="AH454">
        <v>820</v>
      </c>
      <c r="AI454" s="122">
        <v>30401</v>
      </c>
      <c r="AJ454" s="122">
        <v>27637</v>
      </c>
      <c r="AK454">
        <v>78</v>
      </c>
      <c r="AL454" s="122">
        <v>4663</v>
      </c>
      <c r="AM454" s="122">
        <v>4239</v>
      </c>
      <c r="AN454" s="122">
        <v>3654</v>
      </c>
      <c r="AO454" s="122">
        <v>1353</v>
      </c>
      <c r="AP454" s="122">
        <v>1418</v>
      </c>
      <c r="AQ454">
        <v>525</v>
      </c>
      <c r="AR454" s="122">
        <v>11061</v>
      </c>
      <c r="AS454" s="122">
        <v>10056</v>
      </c>
      <c r="AT454" s="122">
        <v>7223</v>
      </c>
      <c r="AU454" s="122">
        <v>2675</v>
      </c>
      <c r="AV454" s="122">
        <v>46485</v>
      </c>
    </row>
    <row r="455" spans="2:48" ht="13">
      <c r="B455" t="s">
        <v>439</v>
      </c>
      <c r="C455" t="s">
        <v>58</v>
      </c>
      <c r="D455" t="s">
        <v>137</v>
      </c>
      <c r="E455" t="s">
        <v>137</v>
      </c>
      <c r="F455" s="122">
        <v>369</v>
      </c>
      <c r="G455" s="122">
        <v>23331</v>
      </c>
      <c r="H455" s="122">
        <v>96788</v>
      </c>
      <c r="I455" s="122">
        <v>3149178</v>
      </c>
      <c r="J455" s="191">
        <v>1166362</v>
      </c>
      <c r="K455" s="122">
        <v>100</v>
      </c>
      <c r="L455" s="122">
        <v>284756</v>
      </c>
      <c r="M455" s="122">
        <v>124947</v>
      </c>
      <c r="N455" s="122">
        <v>494135</v>
      </c>
      <c r="O455" s="122">
        <v>183013</v>
      </c>
      <c r="P455" s="122">
        <v>8807</v>
      </c>
      <c r="Q455" s="122">
        <v>3262</v>
      </c>
      <c r="R455" s="122">
        <v>2178768</v>
      </c>
      <c r="S455" s="122">
        <v>806951</v>
      </c>
      <c r="T455" s="122">
        <v>3856</v>
      </c>
      <c r="U455" s="122">
        <v>1428</v>
      </c>
      <c r="V455" s="122">
        <v>2285963</v>
      </c>
      <c r="W455" s="122">
        <f t="shared" ref="W455:W518" si="14">SUM(ABS(J455),ABS(M455),ABS(O455),ABS(Q455),ABS(S455),ABS(U455))</f>
        <v>2285963</v>
      </c>
      <c r="X455" s="122">
        <f t="shared" ref="X455:X518" si="15">SUM(ABS(I455),ABS(N455),ABS(P455),ABS(R455),ABS(T455),ABS(L455))</f>
        <v>6119500</v>
      </c>
      <c r="Y455" s="122"/>
      <c r="AA455" t="s">
        <v>58</v>
      </c>
      <c r="AB455" t="s">
        <v>407</v>
      </c>
      <c r="AC455" t="s">
        <v>427</v>
      </c>
      <c r="AD455" t="s">
        <v>137</v>
      </c>
      <c r="AE455" t="s">
        <v>566</v>
      </c>
      <c r="AF455">
        <v>1</v>
      </c>
      <c r="AG455">
        <v>60</v>
      </c>
      <c r="AH455">
        <v>234</v>
      </c>
      <c r="AI455" s="122">
        <v>5134</v>
      </c>
      <c r="AJ455" s="122">
        <v>4667</v>
      </c>
      <c r="AK455">
        <v>80</v>
      </c>
      <c r="AL455" s="122">
        <v>1438</v>
      </c>
      <c r="AM455" s="122">
        <v>1307</v>
      </c>
      <c r="AN455" s="122">
        <v>1326</v>
      </c>
      <c r="AO455">
        <v>491</v>
      </c>
      <c r="AP455">
        <v>473</v>
      </c>
      <c r="AQ455">
        <v>175</v>
      </c>
      <c r="AR455" s="122">
        <v>5766</v>
      </c>
      <c r="AS455" s="122">
        <v>2135</v>
      </c>
      <c r="AT455">
        <v>0</v>
      </c>
      <c r="AU455">
        <v>0</v>
      </c>
      <c r="AV455" s="122">
        <v>8776</v>
      </c>
    </row>
    <row r="456" spans="2:48" ht="13">
      <c r="B456" t="s">
        <v>439</v>
      </c>
      <c r="C456" t="s">
        <v>58</v>
      </c>
      <c r="D456" t="s">
        <v>137</v>
      </c>
      <c r="E456" t="s">
        <v>407</v>
      </c>
      <c r="F456" s="122">
        <v>1</v>
      </c>
      <c r="G456" s="122">
        <v>94</v>
      </c>
      <c r="H456" s="122">
        <v>265</v>
      </c>
      <c r="I456" s="122">
        <v>16458</v>
      </c>
      <c r="J456" s="191">
        <v>6096</v>
      </c>
      <c r="K456" s="122">
        <v>100</v>
      </c>
      <c r="L456" s="122">
        <v>1183</v>
      </c>
      <c r="M456" s="122">
        <v>1075</v>
      </c>
      <c r="N456" s="122">
        <v>2300</v>
      </c>
      <c r="O456">
        <v>852</v>
      </c>
      <c r="P456">
        <v>490</v>
      </c>
      <c r="Q456" s="122">
        <v>182</v>
      </c>
      <c r="R456" s="122">
        <v>4608</v>
      </c>
      <c r="S456" s="122">
        <v>4189</v>
      </c>
      <c r="T456" s="122">
        <v>0</v>
      </c>
      <c r="U456" s="122">
        <v>0</v>
      </c>
      <c r="V456" s="122">
        <v>12393</v>
      </c>
      <c r="W456" s="122">
        <f t="shared" si="14"/>
        <v>12394</v>
      </c>
      <c r="X456" s="122">
        <f t="shared" si="15"/>
        <v>25039</v>
      </c>
      <c r="Y456" s="122"/>
      <c r="AA456" t="s">
        <v>58</v>
      </c>
      <c r="AB456" t="s">
        <v>407</v>
      </c>
      <c r="AC456" t="s">
        <v>427</v>
      </c>
      <c r="AD456" t="s">
        <v>407</v>
      </c>
      <c r="AE456" t="s">
        <v>137</v>
      </c>
      <c r="AF456">
        <v>40</v>
      </c>
      <c r="AG456" s="122">
        <v>3029</v>
      </c>
      <c r="AH456" s="122">
        <v>10708</v>
      </c>
      <c r="AI456" s="122">
        <v>376088</v>
      </c>
      <c r="AJ456" s="122">
        <v>341898</v>
      </c>
      <c r="AK456">
        <v>77</v>
      </c>
      <c r="AL456" s="122">
        <v>102292</v>
      </c>
      <c r="AM456" s="122">
        <v>92993</v>
      </c>
      <c r="AN456" s="122">
        <v>64328</v>
      </c>
      <c r="AO456" s="122">
        <v>23825</v>
      </c>
      <c r="AP456" s="122">
        <v>19130</v>
      </c>
      <c r="AQ456" s="122">
        <v>7085</v>
      </c>
      <c r="AR456" s="122">
        <v>165020</v>
      </c>
      <c r="AS456" s="122">
        <v>150019</v>
      </c>
      <c r="AT456" s="122">
        <v>79415</v>
      </c>
      <c r="AU456" s="122">
        <v>29413</v>
      </c>
      <c r="AV456" s="122">
        <v>645233</v>
      </c>
    </row>
    <row r="457" spans="2:48" ht="13">
      <c r="B457" t="s">
        <v>439</v>
      </c>
      <c r="C457" t="s">
        <v>58</v>
      </c>
      <c r="D457" t="s">
        <v>406</v>
      </c>
      <c r="E457" t="s">
        <v>406</v>
      </c>
      <c r="F457" s="122">
        <v>1</v>
      </c>
      <c r="G457" s="122">
        <v>32</v>
      </c>
      <c r="H457" s="122">
        <v>299</v>
      </c>
      <c r="I457" s="122">
        <v>3563</v>
      </c>
      <c r="J457" s="191">
        <v>3239</v>
      </c>
      <c r="K457" s="122">
        <v>79</v>
      </c>
      <c r="L457" s="122">
        <v>0</v>
      </c>
      <c r="M457" s="122">
        <v>0</v>
      </c>
      <c r="N457">
        <v>553</v>
      </c>
      <c r="O457">
        <v>205</v>
      </c>
      <c r="P457">
        <v>621</v>
      </c>
      <c r="Q457" s="122">
        <v>230</v>
      </c>
      <c r="R457" s="122">
        <v>4965</v>
      </c>
      <c r="S457" s="122">
        <v>4513</v>
      </c>
      <c r="T457">
        <v>0</v>
      </c>
      <c r="U457" s="122">
        <v>0</v>
      </c>
      <c r="V457" s="122">
        <v>8187</v>
      </c>
      <c r="W457" s="122">
        <f t="shared" si="14"/>
        <v>8187</v>
      </c>
      <c r="X457" s="122">
        <f t="shared" si="15"/>
        <v>9702</v>
      </c>
      <c r="Y457" s="122"/>
      <c r="AA457" t="s">
        <v>58</v>
      </c>
      <c r="AB457" t="s">
        <v>407</v>
      </c>
      <c r="AC457" t="s">
        <v>427</v>
      </c>
      <c r="AD457" t="s">
        <v>407</v>
      </c>
      <c r="AE457" t="s">
        <v>566</v>
      </c>
      <c r="AF457">
        <v>77</v>
      </c>
      <c r="AG457" s="122">
        <v>4734</v>
      </c>
      <c r="AH457" s="122">
        <v>19977</v>
      </c>
      <c r="AI457" s="122">
        <v>577322</v>
      </c>
      <c r="AJ457" s="122">
        <v>524838</v>
      </c>
      <c r="AK457">
        <v>80</v>
      </c>
      <c r="AL457" s="122">
        <v>173861</v>
      </c>
      <c r="AM457" s="122">
        <v>158055</v>
      </c>
      <c r="AN457" s="122">
        <v>100832</v>
      </c>
      <c r="AO457" s="122">
        <v>37345</v>
      </c>
      <c r="AP457" s="122">
        <v>36734</v>
      </c>
      <c r="AQ457" s="122">
        <v>13605</v>
      </c>
      <c r="AR457" s="122">
        <v>359172</v>
      </c>
      <c r="AS457" s="122">
        <v>326520</v>
      </c>
      <c r="AT457">
        <v>0</v>
      </c>
      <c r="AU457">
        <v>0</v>
      </c>
      <c r="AV457" s="122">
        <v>1060363</v>
      </c>
    </row>
    <row r="458" spans="2:48" ht="13">
      <c r="B458" t="s">
        <v>439</v>
      </c>
      <c r="C458" t="s">
        <v>58</v>
      </c>
      <c r="D458" t="s">
        <v>407</v>
      </c>
      <c r="E458" t="s">
        <v>137</v>
      </c>
      <c r="F458" s="122">
        <v>2</v>
      </c>
      <c r="G458" s="122">
        <v>111</v>
      </c>
      <c r="H458" s="122">
        <v>539</v>
      </c>
      <c r="I458" s="122">
        <v>15713</v>
      </c>
      <c r="J458" s="191">
        <v>14284</v>
      </c>
      <c r="K458" s="122">
        <v>71</v>
      </c>
      <c r="L458" s="122">
        <v>1102</v>
      </c>
      <c r="M458" s="122">
        <v>408</v>
      </c>
      <c r="N458" s="122">
        <v>2696</v>
      </c>
      <c r="O458">
        <v>999</v>
      </c>
      <c r="P458">
        <v>0</v>
      </c>
      <c r="Q458" s="122">
        <v>0</v>
      </c>
      <c r="R458" s="122">
        <v>10347</v>
      </c>
      <c r="S458" s="122">
        <v>3832</v>
      </c>
      <c r="T458">
        <v>0</v>
      </c>
      <c r="U458" s="122">
        <v>0</v>
      </c>
      <c r="V458" s="122">
        <v>19523</v>
      </c>
      <c r="W458" s="122">
        <f t="shared" si="14"/>
        <v>19523</v>
      </c>
      <c r="X458" s="122">
        <f t="shared" si="15"/>
        <v>29858</v>
      </c>
      <c r="Y458" s="122"/>
      <c r="AA458" t="s">
        <v>58</v>
      </c>
      <c r="AB458" t="s">
        <v>407</v>
      </c>
      <c r="AC458" t="s">
        <v>407</v>
      </c>
      <c r="AD458" t="s">
        <v>405</v>
      </c>
      <c r="AE458" t="s">
        <v>566</v>
      </c>
      <c r="AF458">
        <v>1</v>
      </c>
      <c r="AG458">
        <v>75</v>
      </c>
      <c r="AH458">
        <v>259</v>
      </c>
      <c r="AI458" s="122">
        <v>8971</v>
      </c>
      <c r="AJ458" s="122">
        <v>8156</v>
      </c>
      <c r="AK458">
        <v>80</v>
      </c>
      <c r="AL458" s="122">
        <v>3768</v>
      </c>
      <c r="AM458" s="122">
        <v>3425</v>
      </c>
      <c r="AN458">
        <v>919</v>
      </c>
      <c r="AO458">
        <v>340</v>
      </c>
      <c r="AP458">
        <v>473</v>
      </c>
      <c r="AQ458">
        <v>175</v>
      </c>
      <c r="AR458" s="122">
        <v>5427</v>
      </c>
      <c r="AS458" s="122">
        <v>4934</v>
      </c>
      <c r="AT458">
        <v>0</v>
      </c>
      <c r="AU458">
        <v>0</v>
      </c>
      <c r="AV458" s="122">
        <v>17030</v>
      </c>
    </row>
    <row r="459" spans="2:48" ht="13">
      <c r="B459" t="s">
        <v>439</v>
      </c>
      <c r="C459" t="s">
        <v>58</v>
      </c>
      <c r="D459" t="s">
        <v>407</v>
      </c>
      <c r="E459" t="s">
        <v>407</v>
      </c>
      <c r="F459" s="122">
        <v>162</v>
      </c>
      <c r="G459" s="122">
        <v>9858</v>
      </c>
      <c r="H459" s="122">
        <v>41501</v>
      </c>
      <c r="I459" s="122">
        <v>1231571</v>
      </c>
      <c r="J459" s="191">
        <v>1119610</v>
      </c>
      <c r="K459" s="122">
        <v>80</v>
      </c>
      <c r="L459" s="122">
        <v>209617</v>
      </c>
      <c r="M459" s="122">
        <v>170229</v>
      </c>
      <c r="N459" s="122">
        <v>205745</v>
      </c>
      <c r="O459" s="122">
        <v>76202</v>
      </c>
      <c r="P459" s="122">
        <v>75924</v>
      </c>
      <c r="Q459" s="122">
        <v>28120</v>
      </c>
      <c r="R459" s="122">
        <v>642614</v>
      </c>
      <c r="S459" s="122">
        <v>584194</v>
      </c>
      <c r="T459" s="122">
        <v>172328</v>
      </c>
      <c r="U459" s="122">
        <v>63825</v>
      </c>
      <c r="V459" s="122">
        <v>2042181</v>
      </c>
      <c r="W459" s="122">
        <f t="shared" si="14"/>
        <v>2042180</v>
      </c>
      <c r="X459" s="122">
        <f t="shared" si="15"/>
        <v>2537799</v>
      </c>
      <c r="Y459" s="122"/>
      <c r="AA459" t="s">
        <v>58</v>
      </c>
      <c r="AB459" t="s">
        <v>407</v>
      </c>
      <c r="AC459" t="s">
        <v>407</v>
      </c>
      <c r="AD459" t="s">
        <v>137</v>
      </c>
      <c r="AE459" t="s">
        <v>566</v>
      </c>
      <c r="AF459">
        <v>8</v>
      </c>
      <c r="AG459">
        <v>447</v>
      </c>
      <c r="AH459" s="122">
        <v>2157</v>
      </c>
      <c r="AI459" s="122">
        <v>46066</v>
      </c>
      <c r="AJ459" s="122">
        <v>41878</v>
      </c>
      <c r="AK459">
        <v>82</v>
      </c>
      <c r="AL459" s="122">
        <v>9394</v>
      </c>
      <c r="AM459" s="122">
        <v>8540</v>
      </c>
      <c r="AN459" s="122">
        <v>9911</v>
      </c>
      <c r="AO459" s="122">
        <v>3671</v>
      </c>
      <c r="AP459" s="122">
        <v>3780</v>
      </c>
      <c r="AQ459" s="122">
        <v>1400</v>
      </c>
      <c r="AR459" s="122">
        <v>50182</v>
      </c>
      <c r="AS459" s="122">
        <v>18586</v>
      </c>
      <c r="AT459">
        <v>0</v>
      </c>
      <c r="AU459">
        <v>0</v>
      </c>
      <c r="AV459" s="122">
        <v>74075</v>
      </c>
    </row>
    <row r="460" spans="2:48" ht="13">
      <c r="B460" t="s">
        <v>439</v>
      </c>
      <c r="C460" t="s">
        <v>58</v>
      </c>
      <c r="D460" t="s">
        <v>556</v>
      </c>
      <c r="E460" t="s">
        <v>137</v>
      </c>
      <c r="F460" s="122">
        <v>1</v>
      </c>
      <c r="G460" s="122">
        <v>33</v>
      </c>
      <c r="H460" s="122">
        <v>290</v>
      </c>
      <c r="I460" s="122">
        <v>2800</v>
      </c>
      <c r="J460" s="191">
        <v>2334</v>
      </c>
      <c r="K460" s="122">
        <v>30</v>
      </c>
      <c r="L460" s="122">
        <v>700</v>
      </c>
      <c r="M460" s="122">
        <v>259</v>
      </c>
      <c r="N460" s="122">
        <v>474</v>
      </c>
      <c r="O460" s="122">
        <v>176</v>
      </c>
      <c r="P460">
        <v>0</v>
      </c>
      <c r="Q460" s="122">
        <v>0</v>
      </c>
      <c r="R460" s="122">
        <v>5610</v>
      </c>
      <c r="S460" s="122">
        <v>2078</v>
      </c>
      <c r="T460">
        <v>0</v>
      </c>
      <c r="U460" s="122">
        <v>0</v>
      </c>
      <c r="V460" s="122">
        <v>4847</v>
      </c>
      <c r="W460" s="122">
        <f t="shared" si="14"/>
        <v>4847</v>
      </c>
      <c r="X460" s="122">
        <f t="shared" si="15"/>
        <v>9584</v>
      </c>
      <c r="Y460" s="122"/>
      <c r="AA460" t="s">
        <v>58</v>
      </c>
      <c r="AB460" t="s">
        <v>407</v>
      </c>
      <c r="AC460" t="s">
        <v>407</v>
      </c>
      <c r="AD460" t="s">
        <v>407</v>
      </c>
      <c r="AE460" t="s">
        <v>137</v>
      </c>
      <c r="AF460">
        <v>834</v>
      </c>
      <c r="AG460" s="122">
        <v>59069</v>
      </c>
      <c r="AH460" s="122">
        <v>214255</v>
      </c>
      <c r="AI460" s="122">
        <v>6793930</v>
      </c>
      <c r="AJ460" s="122">
        <v>6176300</v>
      </c>
      <c r="AK460">
        <v>74</v>
      </c>
      <c r="AL460" s="122">
        <v>1791284</v>
      </c>
      <c r="AM460" s="122">
        <v>1628440</v>
      </c>
      <c r="AN460" s="122">
        <v>1249454</v>
      </c>
      <c r="AO460" s="122">
        <v>462761</v>
      </c>
      <c r="AP460" s="122">
        <v>387005</v>
      </c>
      <c r="AQ460" s="122">
        <v>143335</v>
      </c>
      <c r="AR460" s="122">
        <v>3323083</v>
      </c>
      <c r="AS460" s="122">
        <v>3020984</v>
      </c>
      <c r="AT460" s="122">
        <v>1703115</v>
      </c>
      <c r="AU460" s="122">
        <v>630783</v>
      </c>
      <c r="AV460" s="122">
        <v>12062603</v>
      </c>
    </row>
    <row r="461" spans="2:48" ht="13">
      <c r="B461" t="s">
        <v>439</v>
      </c>
      <c r="C461" t="s">
        <v>60</v>
      </c>
      <c r="F461" s="122">
        <v>9</v>
      </c>
      <c r="G461" s="122">
        <v>450</v>
      </c>
      <c r="H461" s="122">
        <v>3028</v>
      </c>
      <c r="I461" s="122"/>
      <c r="J461" s="191">
        <v>0</v>
      </c>
      <c r="K461" s="122"/>
      <c r="L461" s="122"/>
      <c r="M461" s="122">
        <v>0</v>
      </c>
      <c r="N461" s="122">
        <v>7931</v>
      </c>
      <c r="O461" s="122">
        <v>2937</v>
      </c>
      <c r="P461" s="122">
        <v>1445</v>
      </c>
      <c r="Q461" s="122">
        <v>535</v>
      </c>
      <c r="R461" s="122"/>
      <c r="S461" s="122">
        <v>0</v>
      </c>
      <c r="T461" s="122">
        <v>7696</v>
      </c>
      <c r="U461" s="122">
        <v>2851</v>
      </c>
      <c r="V461" s="122">
        <v>6323</v>
      </c>
      <c r="W461" s="122">
        <f t="shared" si="14"/>
        <v>6323</v>
      </c>
      <c r="X461" s="122">
        <f t="shared" si="15"/>
        <v>17072</v>
      </c>
      <c r="Y461" s="122"/>
      <c r="AA461" t="s">
        <v>58</v>
      </c>
      <c r="AB461" t="s">
        <v>407</v>
      </c>
      <c r="AC461" t="s">
        <v>407</v>
      </c>
      <c r="AD461" t="s">
        <v>407</v>
      </c>
      <c r="AE461" t="s">
        <v>566</v>
      </c>
      <c r="AF461">
        <v>672</v>
      </c>
      <c r="AG461" s="122">
        <v>48789</v>
      </c>
      <c r="AH461" s="122">
        <v>170943</v>
      </c>
      <c r="AI461" s="122">
        <v>6047175</v>
      </c>
      <c r="AJ461" s="122">
        <v>5497432</v>
      </c>
      <c r="AK461">
        <v>77</v>
      </c>
      <c r="AL461" s="122">
        <v>1621899</v>
      </c>
      <c r="AM461" s="122">
        <v>1474453</v>
      </c>
      <c r="AN461" s="122">
        <v>1054990</v>
      </c>
      <c r="AO461" s="122">
        <v>390737</v>
      </c>
      <c r="AP461" s="122">
        <v>318749</v>
      </c>
      <c r="AQ461" s="122">
        <v>118055</v>
      </c>
      <c r="AR461" s="122">
        <v>3373119</v>
      </c>
      <c r="AS461" s="122">
        <v>3066472</v>
      </c>
      <c r="AT461">
        <v>0</v>
      </c>
      <c r="AU461">
        <v>0</v>
      </c>
      <c r="AV461" s="122">
        <v>10547149</v>
      </c>
    </row>
    <row r="462" spans="2:48" ht="13">
      <c r="B462" t="s">
        <v>439</v>
      </c>
      <c r="C462" t="s">
        <v>60</v>
      </c>
      <c r="D462" t="s">
        <v>137</v>
      </c>
      <c r="E462" t="s">
        <v>137</v>
      </c>
      <c r="F462" s="122">
        <v>280</v>
      </c>
      <c r="G462" s="122">
        <v>15424</v>
      </c>
      <c r="H462" s="122">
        <v>95078</v>
      </c>
      <c r="I462" s="122">
        <v>3036948</v>
      </c>
      <c r="J462" s="191">
        <v>1124796</v>
      </c>
      <c r="K462" s="122">
        <v>100</v>
      </c>
      <c r="L462" s="122">
        <v>321757</v>
      </c>
      <c r="M462" s="122">
        <v>161532</v>
      </c>
      <c r="N462" s="122">
        <v>323784</v>
      </c>
      <c r="O462" s="122">
        <v>119920</v>
      </c>
      <c r="P462" s="122">
        <v>3187</v>
      </c>
      <c r="Q462" s="122">
        <v>1180</v>
      </c>
      <c r="R462" s="122">
        <v>1573809</v>
      </c>
      <c r="S462" s="122">
        <v>582892</v>
      </c>
      <c r="T462" s="122">
        <v>5663</v>
      </c>
      <c r="U462" s="122">
        <v>2097</v>
      </c>
      <c r="V462" s="122">
        <v>1992417</v>
      </c>
      <c r="W462" s="122">
        <f t="shared" si="14"/>
        <v>1992417</v>
      </c>
      <c r="X462" s="122">
        <f t="shared" si="15"/>
        <v>5265148</v>
      </c>
      <c r="Y462" s="122"/>
      <c r="AA462" t="s">
        <v>58</v>
      </c>
      <c r="AB462" t="s">
        <v>407</v>
      </c>
      <c r="AC462" t="s">
        <v>579</v>
      </c>
      <c r="AD462" t="s">
        <v>137</v>
      </c>
      <c r="AE462" t="s">
        <v>566</v>
      </c>
      <c r="AF462">
        <v>3</v>
      </c>
      <c r="AG462">
        <v>178</v>
      </c>
      <c r="AH462">
        <v>868</v>
      </c>
      <c r="AI462" s="122">
        <v>23747</v>
      </c>
      <c r="AJ462" s="122">
        <v>21588</v>
      </c>
      <c r="AK462">
        <v>73</v>
      </c>
      <c r="AL462" s="122">
        <v>6891</v>
      </c>
      <c r="AM462" s="122">
        <v>5742</v>
      </c>
      <c r="AN462" s="122">
        <v>3929</v>
      </c>
      <c r="AO462" s="122">
        <v>1455</v>
      </c>
      <c r="AP462">
        <v>945</v>
      </c>
      <c r="AQ462">
        <v>350</v>
      </c>
      <c r="AR462" s="122">
        <v>15327</v>
      </c>
      <c r="AS462" s="122">
        <v>5677</v>
      </c>
      <c r="AT462">
        <v>0</v>
      </c>
      <c r="AU462">
        <v>0</v>
      </c>
      <c r="AV462" s="122">
        <v>34812</v>
      </c>
    </row>
    <row r="463" spans="2:48" ht="13">
      <c r="B463" t="s">
        <v>439</v>
      </c>
      <c r="C463" t="s">
        <v>60</v>
      </c>
      <c r="D463" t="s">
        <v>406</v>
      </c>
      <c r="E463" t="s">
        <v>406</v>
      </c>
      <c r="F463">
        <v>2</v>
      </c>
      <c r="G463" s="122">
        <v>101</v>
      </c>
      <c r="H463" s="122">
        <v>680</v>
      </c>
      <c r="I463" s="122">
        <v>15957</v>
      </c>
      <c r="J463" s="191">
        <v>14506</v>
      </c>
      <c r="K463" s="122">
        <v>68</v>
      </c>
      <c r="L463" s="122">
        <v>3405</v>
      </c>
      <c r="M463" s="122">
        <v>2586</v>
      </c>
      <c r="N463" s="122">
        <v>1929</v>
      </c>
      <c r="O463">
        <v>715</v>
      </c>
      <c r="P463" s="122">
        <v>1242</v>
      </c>
      <c r="Q463" s="122">
        <v>460</v>
      </c>
      <c r="R463" s="122">
        <v>9788</v>
      </c>
      <c r="S463" s="122">
        <v>8898</v>
      </c>
      <c r="T463" s="122">
        <v>2621</v>
      </c>
      <c r="U463" s="122">
        <v>971</v>
      </c>
      <c r="V463" s="122">
        <v>28136</v>
      </c>
      <c r="W463" s="122">
        <f t="shared" si="14"/>
        <v>28136</v>
      </c>
      <c r="X463" s="122">
        <f t="shared" si="15"/>
        <v>34942</v>
      </c>
      <c r="Y463" s="122"/>
      <c r="AA463" t="s">
        <v>58</v>
      </c>
      <c r="AB463" t="s">
        <v>407</v>
      </c>
      <c r="AC463" t="s">
        <v>579</v>
      </c>
      <c r="AD463" t="s">
        <v>407</v>
      </c>
      <c r="AE463" t="s">
        <v>137</v>
      </c>
      <c r="AF463">
        <v>378</v>
      </c>
      <c r="AG463" s="122">
        <v>26154</v>
      </c>
      <c r="AH463" s="122">
        <v>98094</v>
      </c>
      <c r="AI463" s="122">
        <v>3104493</v>
      </c>
      <c r="AJ463" s="122">
        <v>2822266</v>
      </c>
      <c r="AK463">
        <v>78</v>
      </c>
      <c r="AL463" s="122">
        <v>892066</v>
      </c>
      <c r="AM463" s="122">
        <v>743388</v>
      </c>
      <c r="AN463" s="122">
        <v>540922</v>
      </c>
      <c r="AO463" s="122">
        <v>200342</v>
      </c>
      <c r="AP463" s="122">
        <v>178821</v>
      </c>
      <c r="AQ463" s="122">
        <v>66230</v>
      </c>
      <c r="AR463" s="122">
        <v>1432960</v>
      </c>
      <c r="AS463" s="122">
        <v>1302691</v>
      </c>
      <c r="AT463" s="122">
        <v>682805</v>
      </c>
      <c r="AU463" s="122">
        <v>252891</v>
      </c>
      <c r="AV463" s="122">
        <v>5387808</v>
      </c>
    </row>
    <row r="464" spans="2:48" ht="13">
      <c r="B464" t="s">
        <v>439</v>
      </c>
      <c r="C464" t="s">
        <v>60</v>
      </c>
      <c r="D464" t="s">
        <v>407</v>
      </c>
      <c r="E464" t="s">
        <v>137</v>
      </c>
      <c r="F464">
        <v>4</v>
      </c>
      <c r="G464" s="122">
        <v>156</v>
      </c>
      <c r="H464" s="122">
        <v>1333</v>
      </c>
      <c r="I464" s="122">
        <v>27066</v>
      </c>
      <c r="J464" s="191">
        <v>24606</v>
      </c>
      <c r="K464" s="122">
        <v>80</v>
      </c>
      <c r="L464" s="122">
        <v>3773</v>
      </c>
      <c r="M464" s="122">
        <v>3430</v>
      </c>
      <c r="N464" s="122">
        <v>3579</v>
      </c>
      <c r="O464" s="122">
        <v>1326</v>
      </c>
      <c r="P464" s="122">
        <v>1890</v>
      </c>
      <c r="Q464" s="122">
        <v>700</v>
      </c>
      <c r="R464" s="122">
        <v>15982</v>
      </c>
      <c r="S464" s="122">
        <v>5919</v>
      </c>
      <c r="T464">
        <v>0</v>
      </c>
      <c r="U464" s="122">
        <v>0</v>
      </c>
      <c r="V464" s="122">
        <v>35981</v>
      </c>
      <c r="W464" s="122">
        <f t="shared" si="14"/>
        <v>35981</v>
      </c>
      <c r="X464" s="122">
        <f t="shared" si="15"/>
        <v>52290</v>
      </c>
      <c r="Y464" s="122"/>
      <c r="AA464" t="s">
        <v>58</v>
      </c>
      <c r="AB464" t="s">
        <v>407</v>
      </c>
      <c r="AC464" t="s">
        <v>579</v>
      </c>
      <c r="AD464" t="s">
        <v>407</v>
      </c>
      <c r="AE464" t="s">
        <v>566</v>
      </c>
      <c r="AF464">
        <v>479</v>
      </c>
      <c r="AG464" s="122">
        <v>31537</v>
      </c>
      <c r="AH464" s="122">
        <v>123865</v>
      </c>
      <c r="AI464" s="122">
        <v>4147014</v>
      </c>
      <c r="AJ464" s="122">
        <v>3770012</v>
      </c>
      <c r="AK464">
        <v>83</v>
      </c>
      <c r="AL464" s="122">
        <v>1246403</v>
      </c>
      <c r="AM464" s="122">
        <v>1038669</v>
      </c>
      <c r="AN464" s="122">
        <v>618273</v>
      </c>
      <c r="AO464" s="122">
        <v>228990</v>
      </c>
      <c r="AP464" s="122">
        <v>227796</v>
      </c>
      <c r="AQ464" s="122">
        <v>84369</v>
      </c>
      <c r="AR464" s="122">
        <v>1931807</v>
      </c>
      <c r="AS464" s="122">
        <v>1756188</v>
      </c>
      <c r="AT464">
        <v>0</v>
      </c>
      <c r="AU464">
        <v>0</v>
      </c>
      <c r="AV464" s="122">
        <v>6878228</v>
      </c>
    </row>
    <row r="465" spans="2:48" ht="13">
      <c r="B465" t="s">
        <v>439</v>
      </c>
      <c r="C465" t="s">
        <v>60</v>
      </c>
      <c r="D465" t="s">
        <v>407</v>
      </c>
      <c r="E465" s="122" t="s">
        <v>407</v>
      </c>
      <c r="F465" s="122">
        <v>68</v>
      </c>
      <c r="G465" s="122">
        <v>4480</v>
      </c>
      <c r="H465" s="122">
        <v>22916</v>
      </c>
      <c r="I465" s="122">
        <v>854071</v>
      </c>
      <c r="J465" s="191">
        <v>776429</v>
      </c>
      <c r="K465" s="122">
        <v>76</v>
      </c>
      <c r="L465" s="122">
        <v>167605</v>
      </c>
      <c r="M465" s="122">
        <v>144631</v>
      </c>
      <c r="N465" s="122">
        <v>95759</v>
      </c>
      <c r="O465" s="122">
        <v>35466</v>
      </c>
      <c r="P465" s="122">
        <v>31401</v>
      </c>
      <c r="Q465" s="122">
        <v>11630</v>
      </c>
      <c r="R465" s="122">
        <v>293377</v>
      </c>
      <c r="S465" s="122">
        <v>266706</v>
      </c>
      <c r="T465" s="122">
        <v>89402</v>
      </c>
      <c r="U465" s="122">
        <v>33112</v>
      </c>
      <c r="V465" s="122">
        <v>1267974</v>
      </c>
      <c r="W465" s="122">
        <f t="shared" si="14"/>
        <v>1267974</v>
      </c>
      <c r="X465" s="122">
        <f t="shared" si="15"/>
        <v>1531615</v>
      </c>
      <c r="Y465" s="122"/>
      <c r="AA465" t="s">
        <v>58</v>
      </c>
      <c r="AB465" t="s">
        <v>407</v>
      </c>
      <c r="AC465" t="s">
        <v>579</v>
      </c>
      <c r="AD465" t="s">
        <v>579</v>
      </c>
      <c r="AE465" t="s">
        <v>137</v>
      </c>
      <c r="AF465">
        <v>1</v>
      </c>
      <c r="AG465">
        <v>79</v>
      </c>
      <c r="AH465">
        <v>270</v>
      </c>
      <c r="AI465" s="122">
        <v>11159</v>
      </c>
      <c r="AJ465" s="122">
        <v>10145</v>
      </c>
      <c r="AK465">
        <v>79</v>
      </c>
      <c r="AL465" s="122">
        <v>3386</v>
      </c>
      <c r="AM465" s="122">
        <v>2822</v>
      </c>
      <c r="AN465" s="122">
        <v>1318</v>
      </c>
      <c r="AO465">
        <v>488</v>
      </c>
      <c r="AP465">
        <v>473</v>
      </c>
      <c r="AQ465">
        <v>175</v>
      </c>
      <c r="AR465" s="122">
        <v>5006</v>
      </c>
      <c r="AS465" s="122">
        <v>4172</v>
      </c>
      <c r="AT465">
        <v>0</v>
      </c>
      <c r="AU465">
        <v>0</v>
      </c>
      <c r="AV465" s="122">
        <v>17802</v>
      </c>
    </row>
    <row r="466" spans="2:48" ht="13">
      <c r="B466" t="s">
        <v>439</v>
      </c>
      <c r="C466" t="s">
        <v>62</v>
      </c>
      <c r="F466" s="122">
        <v>6</v>
      </c>
      <c r="G466" s="122">
        <v>234</v>
      </c>
      <c r="H466" s="122">
        <v>2513</v>
      </c>
      <c r="I466" s="122"/>
      <c r="J466" s="191">
        <v>0</v>
      </c>
      <c r="K466" s="122"/>
      <c r="L466" s="122"/>
      <c r="M466" s="122">
        <v>0</v>
      </c>
      <c r="N466" s="122">
        <v>5171</v>
      </c>
      <c r="O466" s="122">
        <v>1915</v>
      </c>
      <c r="P466" s="122">
        <v>0</v>
      </c>
      <c r="Q466" s="122">
        <v>0</v>
      </c>
      <c r="R466" s="122"/>
      <c r="S466" s="122">
        <v>0</v>
      </c>
      <c r="T466" s="122">
        <v>0</v>
      </c>
      <c r="U466" s="122">
        <v>0</v>
      </c>
      <c r="V466" s="122">
        <v>1915</v>
      </c>
      <c r="W466" s="122">
        <f t="shared" si="14"/>
        <v>1915</v>
      </c>
      <c r="X466" s="122">
        <f t="shared" si="15"/>
        <v>5171</v>
      </c>
      <c r="Y466" s="122"/>
      <c r="AA466" t="s">
        <v>58</v>
      </c>
      <c r="AB466" t="s">
        <v>407</v>
      </c>
      <c r="AC466" t="s">
        <v>428</v>
      </c>
      <c r="AD466" t="s">
        <v>407</v>
      </c>
      <c r="AE466" t="s">
        <v>137</v>
      </c>
      <c r="AF466">
        <v>3</v>
      </c>
      <c r="AG466">
        <v>351</v>
      </c>
      <c r="AH466">
        <v>822</v>
      </c>
      <c r="AI466" s="122">
        <v>58546</v>
      </c>
      <c r="AJ466" s="122">
        <v>53223</v>
      </c>
      <c r="AK466">
        <v>82</v>
      </c>
      <c r="AL466" s="122">
        <v>10020</v>
      </c>
      <c r="AM466" s="122">
        <v>9109</v>
      </c>
      <c r="AN466" s="122">
        <v>4282</v>
      </c>
      <c r="AO466" s="122">
        <v>1586</v>
      </c>
      <c r="AP466" s="122">
        <v>1418</v>
      </c>
      <c r="AQ466">
        <v>525</v>
      </c>
      <c r="AR466" s="122">
        <v>12421</v>
      </c>
      <c r="AS466" s="122">
        <v>11292</v>
      </c>
      <c r="AT466" s="122">
        <v>8500</v>
      </c>
      <c r="AU466" s="122">
        <v>3148</v>
      </c>
      <c r="AV466" s="122">
        <v>78883</v>
      </c>
    </row>
    <row r="467" spans="2:48" ht="13">
      <c r="B467" t="s">
        <v>439</v>
      </c>
      <c r="C467" t="s">
        <v>62</v>
      </c>
      <c r="D467" t="s">
        <v>137</v>
      </c>
      <c r="E467" t="s">
        <v>137</v>
      </c>
      <c r="F467">
        <v>128</v>
      </c>
      <c r="G467" s="122">
        <v>6625</v>
      </c>
      <c r="H467" s="122">
        <v>52860</v>
      </c>
      <c r="I467" s="122">
        <v>1735842</v>
      </c>
      <c r="J467" s="191">
        <v>642904</v>
      </c>
      <c r="K467" s="122">
        <v>100</v>
      </c>
      <c r="L467" s="122">
        <v>167947</v>
      </c>
      <c r="M467" s="122">
        <v>91646</v>
      </c>
      <c r="N467" s="122">
        <v>137382</v>
      </c>
      <c r="O467" s="122">
        <v>50882</v>
      </c>
      <c r="P467" s="122">
        <v>1458</v>
      </c>
      <c r="Q467" s="122">
        <v>540</v>
      </c>
      <c r="R467" s="122">
        <v>698799</v>
      </c>
      <c r="S467" s="122">
        <v>258815</v>
      </c>
      <c r="T467">
        <v>0</v>
      </c>
      <c r="U467" s="122">
        <v>0</v>
      </c>
      <c r="V467" s="122">
        <v>1044787</v>
      </c>
      <c r="W467" s="122">
        <f t="shared" si="14"/>
        <v>1044787</v>
      </c>
      <c r="X467" s="122">
        <f t="shared" si="15"/>
        <v>2741428</v>
      </c>
      <c r="Y467" s="122"/>
      <c r="AA467" t="s">
        <v>58</v>
      </c>
      <c r="AB467" t="s">
        <v>407</v>
      </c>
      <c r="AC467" t="s">
        <v>428</v>
      </c>
      <c r="AD467" t="s">
        <v>407</v>
      </c>
      <c r="AE467" t="s">
        <v>566</v>
      </c>
      <c r="AF467">
        <v>5</v>
      </c>
      <c r="AG467">
        <v>334</v>
      </c>
      <c r="AH467" s="122">
        <v>1265</v>
      </c>
      <c r="AI467" s="122">
        <v>43220</v>
      </c>
      <c r="AJ467" s="122">
        <v>39291</v>
      </c>
      <c r="AK467">
        <v>86</v>
      </c>
      <c r="AL467" s="122">
        <v>11415</v>
      </c>
      <c r="AM467" s="122">
        <v>10378</v>
      </c>
      <c r="AN467" s="122">
        <v>6635</v>
      </c>
      <c r="AO467" s="122">
        <v>2457</v>
      </c>
      <c r="AP467" s="122">
        <v>2363</v>
      </c>
      <c r="AQ467">
        <v>875</v>
      </c>
      <c r="AR467" s="122">
        <v>19796</v>
      </c>
      <c r="AS467" s="122">
        <v>17997</v>
      </c>
      <c r="AT467">
        <v>0</v>
      </c>
      <c r="AU467">
        <v>0</v>
      </c>
      <c r="AV467" s="122">
        <v>70998</v>
      </c>
    </row>
    <row r="468" spans="2:48" ht="13">
      <c r="B468" t="s">
        <v>439</v>
      </c>
      <c r="C468" t="s">
        <v>62</v>
      </c>
      <c r="D468" t="s">
        <v>406</v>
      </c>
      <c r="E468" s="122" t="s">
        <v>406</v>
      </c>
      <c r="F468" s="122">
        <v>2</v>
      </c>
      <c r="G468" s="122">
        <v>194</v>
      </c>
      <c r="H468" s="122">
        <v>812</v>
      </c>
      <c r="I468" s="122">
        <v>59481</v>
      </c>
      <c r="J468" s="191">
        <v>54074</v>
      </c>
      <c r="K468" s="122">
        <v>75</v>
      </c>
      <c r="L468" s="122">
        <v>0</v>
      </c>
      <c r="M468" s="122">
        <v>0</v>
      </c>
      <c r="N468" s="122">
        <v>4728</v>
      </c>
      <c r="O468" s="122">
        <v>1751</v>
      </c>
      <c r="P468" s="122">
        <v>1242</v>
      </c>
      <c r="Q468" s="122">
        <v>460</v>
      </c>
      <c r="R468" s="122">
        <v>7900</v>
      </c>
      <c r="S468" s="122">
        <v>7182</v>
      </c>
      <c r="T468" s="122">
        <v>4395</v>
      </c>
      <c r="U468" s="122">
        <v>1628</v>
      </c>
      <c r="V468" s="122">
        <v>65095</v>
      </c>
      <c r="W468" s="122">
        <f t="shared" si="14"/>
        <v>65095</v>
      </c>
      <c r="X468" s="122">
        <f t="shared" si="15"/>
        <v>77746</v>
      </c>
      <c r="Y468" s="122"/>
      <c r="AA468" t="s">
        <v>58</v>
      </c>
      <c r="AB468" t="s">
        <v>407</v>
      </c>
      <c r="AC468" t="s">
        <v>426</v>
      </c>
      <c r="AD468" t="s">
        <v>137</v>
      </c>
      <c r="AE468" t="s">
        <v>566</v>
      </c>
      <c r="AF468">
        <v>2</v>
      </c>
      <c r="AG468">
        <v>138</v>
      </c>
      <c r="AH468">
        <v>580</v>
      </c>
      <c r="AI468" s="122">
        <v>18028</v>
      </c>
      <c r="AJ468" s="122">
        <v>16389</v>
      </c>
      <c r="AK468">
        <v>84</v>
      </c>
      <c r="AL468" s="122">
        <v>5258</v>
      </c>
      <c r="AM468" s="122">
        <v>4780</v>
      </c>
      <c r="AN468" s="122">
        <v>3143</v>
      </c>
      <c r="AO468" s="122">
        <v>1164</v>
      </c>
      <c r="AP468">
        <v>945</v>
      </c>
      <c r="AQ468">
        <v>350</v>
      </c>
      <c r="AR468" s="122">
        <v>12608</v>
      </c>
      <c r="AS468" s="122">
        <v>4670</v>
      </c>
      <c r="AT468">
        <v>0</v>
      </c>
      <c r="AU468">
        <v>0</v>
      </c>
      <c r="AV468" s="122">
        <v>27352</v>
      </c>
    </row>
    <row r="469" spans="2:48" ht="13">
      <c r="B469" t="s">
        <v>439</v>
      </c>
      <c r="C469" t="s">
        <v>62</v>
      </c>
      <c r="D469" t="s">
        <v>407</v>
      </c>
      <c r="E469" t="s">
        <v>137</v>
      </c>
      <c r="F469">
        <v>2</v>
      </c>
      <c r="G469" s="122">
        <v>101</v>
      </c>
      <c r="H469" s="122">
        <v>851</v>
      </c>
      <c r="I469" s="122">
        <v>29116</v>
      </c>
      <c r="J469" s="191">
        <v>26469</v>
      </c>
      <c r="K469" s="122">
        <v>72</v>
      </c>
      <c r="L469" s="122">
        <v>3274</v>
      </c>
      <c r="M469" s="122">
        <v>2976</v>
      </c>
      <c r="N469" s="122">
        <v>2149</v>
      </c>
      <c r="O469" s="122">
        <v>796</v>
      </c>
      <c r="P469">
        <v>945</v>
      </c>
      <c r="Q469" s="122">
        <v>350</v>
      </c>
      <c r="R469" s="122">
        <v>6458</v>
      </c>
      <c r="S469" s="122">
        <v>2392</v>
      </c>
      <c r="T469" s="122">
        <v>1099</v>
      </c>
      <c r="U469" s="122">
        <v>407</v>
      </c>
      <c r="V469" s="122">
        <v>33390</v>
      </c>
      <c r="W469" s="122">
        <f t="shared" si="14"/>
        <v>33390</v>
      </c>
      <c r="X469" s="122">
        <f t="shared" si="15"/>
        <v>43041</v>
      </c>
      <c r="Y469" s="122"/>
      <c r="AA469" t="s">
        <v>58</v>
      </c>
      <c r="AB469" t="s">
        <v>407</v>
      </c>
      <c r="AC469" t="s">
        <v>426</v>
      </c>
      <c r="AD469" t="s">
        <v>407</v>
      </c>
      <c r="AE469" t="s">
        <v>137</v>
      </c>
      <c r="AF469">
        <v>176</v>
      </c>
      <c r="AG469" s="122">
        <v>12129</v>
      </c>
      <c r="AH469" s="122">
        <v>46311</v>
      </c>
      <c r="AI469" s="122">
        <v>1478871</v>
      </c>
      <c r="AJ469" s="122">
        <v>1344428</v>
      </c>
      <c r="AK469">
        <v>78</v>
      </c>
      <c r="AL469" s="122">
        <v>378540</v>
      </c>
      <c r="AM469" s="122">
        <v>344127</v>
      </c>
      <c r="AN469" s="122">
        <v>249119</v>
      </c>
      <c r="AO469" s="122">
        <v>92266</v>
      </c>
      <c r="AP469" s="122">
        <v>82796</v>
      </c>
      <c r="AQ469" s="122">
        <v>30665</v>
      </c>
      <c r="AR469" s="122">
        <v>695349</v>
      </c>
      <c r="AS469" s="122">
        <v>632135</v>
      </c>
      <c r="AT469" s="122">
        <v>321116</v>
      </c>
      <c r="AU469" s="122">
        <v>118932</v>
      </c>
      <c r="AV469" s="122">
        <v>2562553</v>
      </c>
    </row>
    <row r="470" spans="2:48" ht="13">
      <c r="B470" t="s">
        <v>439</v>
      </c>
      <c r="C470" t="s">
        <v>62</v>
      </c>
      <c r="D470" t="s">
        <v>407</v>
      </c>
      <c r="E470" t="s">
        <v>407</v>
      </c>
      <c r="F470">
        <v>19</v>
      </c>
      <c r="G470" s="122">
        <v>973</v>
      </c>
      <c r="H470" s="122">
        <v>7924</v>
      </c>
      <c r="I470" s="122">
        <v>235622</v>
      </c>
      <c r="J470" s="191">
        <v>214202</v>
      </c>
      <c r="K470" s="122">
        <v>82</v>
      </c>
      <c r="L470" s="122">
        <v>50621</v>
      </c>
      <c r="M470" s="122">
        <v>44592</v>
      </c>
      <c r="N470" s="122">
        <v>17923</v>
      </c>
      <c r="O470" s="122">
        <v>6638</v>
      </c>
      <c r="P470" s="122">
        <v>8856</v>
      </c>
      <c r="Q470" s="122">
        <v>3280</v>
      </c>
      <c r="R470" s="122">
        <v>68244</v>
      </c>
      <c r="S470" s="122">
        <v>62040</v>
      </c>
      <c r="T470" s="122">
        <v>25661</v>
      </c>
      <c r="U470" s="122">
        <v>9504</v>
      </c>
      <c r="V470" s="122">
        <v>340256</v>
      </c>
      <c r="W470" s="122">
        <f t="shared" si="14"/>
        <v>340256</v>
      </c>
      <c r="X470" s="122">
        <f t="shared" si="15"/>
        <v>406927</v>
      </c>
      <c r="Y470" s="122"/>
      <c r="AA470" t="s">
        <v>58</v>
      </c>
      <c r="AB470" t="s">
        <v>407</v>
      </c>
      <c r="AC470" t="s">
        <v>426</v>
      </c>
      <c r="AD470" t="s">
        <v>407</v>
      </c>
      <c r="AE470" t="s">
        <v>566</v>
      </c>
      <c r="AF470">
        <v>225</v>
      </c>
      <c r="AG470" s="122">
        <v>14857</v>
      </c>
      <c r="AH470" s="122">
        <v>58409</v>
      </c>
      <c r="AI470" s="122">
        <v>1943626</v>
      </c>
      <c r="AJ470" s="122">
        <v>1766932</v>
      </c>
      <c r="AK470">
        <v>81</v>
      </c>
      <c r="AL470" s="122">
        <v>535015</v>
      </c>
      <c r="AM470" s="122">
        <v>486378</v>
      </c>
      <c r="AN470" s="122">
        <v>312373</v>
      </c>
      <c r="AO470" s="122">
        <v>115694</v>
      </c>
      <c r="AP470" s="122">
        <v>106799</v>
      </c>
      <c r="AQ470" s="122">
        <v>39555</v>
      </c>
      <c r="AR470" s="122">
        <v>997117</v>
      </c>
      <c r="AS470" s="122">
        <v>906470</v>
      </c>
      <c r="AT470">
        <v>0</v>
      </c>
      <c r="AU470">
        <v>0</v>
      </c>
      <c r="AV470" s="122">
        <v>3315028</v>
      </c>
    </row>
    <row r="471" spans="2:48" ht="13">
      <c r="B471" t="s">
        <v>439</v>
      </c>
      <c r="C471" t="s">
        <v>62</v>
      </c>
      <c r="D471" t="s">
        <v>426</v>
      </c>
      <c r="E471" t="s">
        <v>137</v>
      </c>
      <c r="F471" s="122">
        <v>1</v>
      </c>
      <c r="G471" s="122">
        <v>34</v>
      </c>
      <c r="H471" s="122">
        <v>412</v>
      </c>
      <c r="I471" s="122">
        <v>6531</v>
      </c>
      <c r="J471" s="191">
        <v>5937</v>
      </c>
      <c r="K471" s="122">
        <v>65</v>
      </c>
      <c r="L471" s="122">
        <v>2605</v>
      </c>
      <c r="M471" s="122">
        <v>965</v>
      </c>
      <c r="N471" s="122">
        <v>819</v>
      </c>
      <c r="O471">
        <v>303</v>
      </c>
      <c r="P471">
        <v>0</v>
      </c>
      <c r="Q471" s="122">
        <v>0</v>
      </c>
      <c r="R471" s="122">
        <v>3882</v>
      </c>
      <c r="S471" s="122">
        <v>1438</v>
      </c>
      <c r="T471">
        <v>0</v>
      </c>
      <c r="U471" s="122">
        <v>0</v>
      </c>
      <c r="V471" s="122">
        <v>8643</v>
      </c>
      <c r="W471" s="122">
        <f t="shared" si="14"/>
        <v>8643</v>
      </c>
      <c r="X471" s="122">
        <f t="shared" si="15"/>
        <v>13837</v>
      </c>
      <c r="Y471" s="122"/>
      <c r="AA471" t="s">
        <v>58</v>
      </c>
      <c r="AB471" t="s">
        <v>407</v>
      </c>
      <c r="AC471" t="s">
        <v>566</v>
      </c>
      <c r="AD471" t="s">
        <v>137</v>
      </c>
      <c r="AE471" t="s">
        <v>137</v>
      </c>
      <c r="AF471">
        <v>2</v>
      </c>
      <c r="AG471">
        <v>178</v>
      </c>
      <c r="AH471">
        <v>493</v>
      </c>
      <c r="AI471" s="122">
        <v>26047</v>
      </c>
      <c r="AJ471" s="122">
        <v>23679</v>
      </c>
      <c r="AK471">
        <v>79</v>
      </c>
      <c r="AL471">
        <v>0</v>
      </c>
      <c r="AM471">
        <v>0</v>
      </c>
      <c r="AN471" s="122">
        <v>3205</v>
      </c>
      <c r="AO471" s="122">
        <v>1187</v>
      </c>
      <c r="AP471">
        <v>945</v>
      </c>
      <c r="AQ471">
        <v>350</v>
      </c>
      <c r="AR471" s="122">
        <v>10817</v>
      </c>
      <c r="AS471" s="122">
        <v>4006</v>
      </c>
      <c r="AT471" s="122">
        <v>1958</v>
      </c>
      <c r="AU471">
        <v>725</v>
      </c>
      <c r="AV471" s="122">
        <v>29948</v>
      </c>
    </row>
    <row r="472" spans="2:48" ht="13">
      <c r="B472" t="s">
        <v>439</v>
      </c>
      <c r="C472" t="s">
        <v>64</v>
      </c>
      <c r="F472">
        <v>2</v>
      </c>
      <c r="G472" s="122">
        <v>76</v>
      </c>
      <c r="H472" s="122">
        <v>1116</v>
      </c>
      <c r="I472" s="122"/>
      <c r="J472" s="66">
        <v>0</v>
      </c>
      <c r="K472" s="122"/>
      <c r="L472" s="122"/>
      <c r="M472" s="122">
        <v>0</v>
      </c>
      <c r="N472" s="122">
        <v>1733</v>
      </c>
      <c r="O472">
        <v>642</v>
      </c>
      <c r="P472" s="122">
        <v>1296</v>
      </c>
      <c r="Q472" s="122">
        <v>480</v>
      </c>
      <c r="R472" s="122"/>
      <c r="S472">
        <v>0</v>
      </c>
      <c r="T472">
        <v>0</v>
      </c>
      <c r="U472" s="122">
        <v>0</v>
      </c>
      <c r="V472" s="122">
        <v>1122</v>
      </c>
      <c r="W472" s="122">
        <f t="shared" si="14"/>
        <v>1122</v>
      </c>
      <c r="X472" s="122">
        <f t="shared" si="15"/>
        <v>3029</v>
      </c>
      <c r="Y472" s="122"/>
      <c r="AA472" t="s">
        <v>58</v>
      </c>
      <c r="AB472" t="s">
        <v>407</v>
      </c>
      <c r="AC472" t="s">
        <v>566</v>
      </c>
      <c r="AD472" t="s">
        <v>137</v>
      </c>
      <c r="AE472" t="s">
        <v>566</v>
      </c>
      <c r="AF472">
        <v>81</v>
      </c>
      <c r="AG472" s="122">
        <v>3812</v>
      </c>
      <c r="AH472" s="122">
        <v>21172</v>
      </c>
      <c r="AI472" s="122">
        <v>545371</v>
      </c>
      <c r="AJ472" s="122">
        <v>495792</v>
      </c>
      <c r="AK472">
        <v>79</v>
      </c>
      <c r="AL472">
        <v>0</v>
      </c>
      <c r="AM472" s="122">
        <v>1255</v>
      </c>
      <c r="AN472" s="122">
        <v>79267</v>
      </c>
      <c r="AO472" s="122">
        <v>29358</v>
      </c>
      <c r="AP472" s="122">
        <v>35316</v>
      </c>
      <c r="AQ472" s="122">
        <v>13080</v>
      </c>
      <c r="AR472" s="122">
        <v>339907</v>
      </c>
      <c r="AS472" s="122">
        <v>125891</v>
      </c>
      <c r="AT472">
        <v>0</v>
      </c>
      <c r="AU472">
        <v>0</v>
      </c>
      <c r="AV472" s="122">
        <v>665376</v>
      </c>
    </row>
    <row r="473" spans="2:48" ht="13">
      <c r="B473" t="s">
        <v>439</v>
      </c>
      <c r="C473" t="s">
        <v>64</v>
      </c>
      <c r="D473" t="s">
        <v>137</v>
      </c>
      <c r="E473" t="s">
        <v>137</v>
      </c>
      <c r="F473" s="122">
        <v>122</v>
      </c>
      <c r="G473" s="122">
        <v>5477</v>
      </c>
      <c r="H473" s="122">
        <v>77038</v>
      </c>
      <c r="I473" s="122">
        <v>2464963</v>
      </c>
      <c r="J473" s="191">
        <v>912949</v>
      </c>
      <c r="K473" s="122">
        <v>100</v>
      </c>
      <c r="L473" s="122">
        <v>212710</v>
      </c>
      <c r="M473" s="122">
        <v>130961</v>
      </c>
      <c r="N473" s="122">
        <v>112303</v>
      </c>
      <c r="O473" s="122">
        <v>41594</v>
      </c>
      <c r="P473">
        <v>351</v>
      </c>
      <c r="Q473" s="122">
        <v>130</v>
      </c>
      <c r="R473" s="122">
        <v>690928</v>
      </c>
      <c r="S473" s="122">
        <v>255899</v>
      </c>
      <c r="T473">
        <v>0</v>
      </c>
      <c r="U473" s="122">
        <v>0</v>
      </c>
      <c r="V473" s="122">
        <v>1341533</v>
      </c>
      <c r="W473" s="122">
        <f t="shared" si="14"/>
        <v>1341533</v>
      </c>
      <c r="X473" s="122">
        <f t="shared" si="15"/>
        <v>3481255</v>
      </c>
      <c r="Y473" s="122"/>
      <c r="AA473" t="s">
        <v>58</v>
      </c>
      <c r="AB473" t="s">
        <v>407</v>
      </c>
      <c r="AC473" t="s">
        <v>566</v>
      </c>
      <c r="AD473" t="s">
        <v>407</v>
      </c>
      <c r="AE473" t="s">
        <v>137</v>
      </c>
      <c r="AF473">
        <v>840</v>
      </c>
      <c r="AG473" s="122">
        <v>48057</v>
      </c>
      <c r="AH473" s="122">
        <v>214131</v>
      </c>
      <c r="AI473" s="122">
        <v>6392087</v>
      </c>
      <c r="AJ473" s="122">
        <v>5810988</v>
      </c>
      <c r="AK473">
        <v>77</v>
      </c>
      <c r="AL473">
        <v>0</v>
      </c>
      <c r="AM473" s="122">
        <v>22398</v>
      </c>
      <c r="AN473" s="122">
        <v>982900</v>
      </c>
      <c r="AO473" s="122">
        <v>364037</v>
      </c>
      <c r="AP473" s="122">
        <v>395305</v>
      </c>
      <c r="AQ473" s="122">
        <v>146409</v>
      </c>
      <c r="AR473" s="122">
        <v>2981003</v>
      </c>
      <c r="AS473" s="122">
        <v>2710002</v>
      </c>
      <c r="AT473" s="122">
        <v>1460278</v>
      </c>
      <c r="AU473" s="122">
        <v>540844</v>
      </c>
      <c r="AV473" s="122">
        <v>9594679</v>
      </c>
    </row>
    <row r="474" spans="2:48" ht="13">
      <c r="B474" t="s">
        <v>439</v>
      </c>
      <c r="C474" t="s">
        <v>64</v>
      </c>
      <c r="D474" t="s">
        <v>407</v>
      </c>
      <c r="E474" t="s">
        <v>137</v>
      </c>
      <c r="F474">
        <v>1</v>
      </c>
      <c r="G474" s="122">
        <v>47</v>
      </c>
      <c r="H474" s="122">
        <v>521</v>
      </c>
      <c r="I474" s="122">
        <v>9399</v>
      </c>
      <c r="J474" s="191">
        <v>8545</v>
      </c>
      <c r="K474" s="122">
        <v>76</v>
      </c>
      <c r="L474" s="122">
        <v>3974</v>
      </c>
      <c r="M474" s="122">
        <v>3613</v>
      </c>
      <c r="N474" s="122">
        <v>1136</v>
      </c>
      <c r="O474">
        <v>421</v>
      </c>
      <c r="P474">
        <v>473</v>
      </c>
      <c r="Q474" s="122">
        <v>175</v>
      </c>
      <c r="R474" s="122">
        <v>9313</v>
      </c>
      <c r="S474" s="122">
        <v>3449</v>
      </c>
      <c r="T474" s="122">
        <v>0</v>
      </c>
      <c r="U474" s="122">
        <v>0</v>
      </c>
      <c r="V474" s="122">
        <v>16202</v>
      </c>
      <c r="W474" s="122">
        <f t="shared" si="14"/>
        <v>16203</v>
      </c>
      <c r="X474" s="122">
        <f t="shared" si="15"/>
        <v>24295</v>
      </c>
      <c r="Y474" s="122"/>
      <c r="AA474" t="s">
        <v>58</v>
      </c>
      <c r="AB474" t="s">
        <v>407</v>
      </c>
      <c r="AC474" t="s">
        <v>566</v>
      </c>
      <c r="AD474" t="s">
        <v>407</v>
      </c>
      <c r="AE474" t="s">
        <v>566</v>
      </c>
      <c r="AF474" s="122">
        <v>1372</v>
      </c>
      <c r="AG474" s="122">
        <v>76039</v>
      </c>
      <c r="AH474" s="122">
        <v>347775</v>
      </c>
      <c r="AI474" s="122">
        <v>11878206</v>
      </c>
      <c r="AJ474" s="122">
        <v>10798369</v>
      </c>
      <c r="AK474">
        <v>80</v>
      </c>
      <c r="AL474" s="122">
        <v>5767</v>
      </c>
      <c r="AM474" s="122">
        <v>252939</v>
      </c>
      <c r="AN474" s="122">
        <v>1553058</v>
      </c>
      <c r="AO474" s="122">
        <v>575207</v>
      </c>
      <c r="AP474" s="122">
        <v>664474</v>
      </c>
      <c r="AQ474" s="122">
        <v>246102</v>
      </c>
      <c r="AR474" s="122">
        <v>5144309</v>
      </c>
      <c r="AS474" s="122">
        <v>4676645</v>
      </c>
      <c r="AT474">
        <v>0</v>
      </c>
      <c r="AU474">
        <v>0</v>
      </c>
      <c r="AV474" s="122">
        <v>16549261</v>
      </c>
    </row>
    <row r="475" spans="2:48" ht="13">
      <c r="B475" t="s">
        <v>439</v>
      </c>
      <c r="C475" t="s">
        <v>64</v>
      </c>
      <c r="D475" t="s">
        <v>407</v>
      </c>
      <c r="E475" t="s">
        <v>407</v>
      </c>
      <c r="F475">
        <v>23</v>
      </c>
      <c r="G475" s="122">
        <v>1125</v>
      </c>
      <c r="H475" s="122">
        <v>12429</v>
      </c>
      <c r="I475" s="122">
        <v>359776</v>
      </c>
      <c r="J475" s="191">
        <v>327069</v>
      </c>
      <c r="K475" s="122">
        <v>75</v>
      </c>
      <c r="L475" s="122">
        <v>82677</v>
      </c>
      <c r="M475" s="122">
        <v>71608</v>
      </c>
      <c r="N475" s="122">
        <v>24302</v>
      </c>
      <c r="O475" s="122">
        <v>9001</v>
      </c>
      <c r="P475" s="122">
        <v>10868</v>
      </c>
      <c r="Q475" s="122">
        <v>4025</v>
      </c>
      <c r="R475" s="122">
        <v>93028</v>
      </c>
      <c r="S475" s="122">
        <v>84571</v>
      </c>
      <c r="T475" s="122">
        <v>28317</v>
      </c>
      <c r="U475" s="122">
        <v>10488</v>
      </c>
      <c r="V475" s="122">
        <v>506763</v>
      </c>
      <c r="W475" s="122">
        <f t="shared" si="14"/>
        <v>506762</v>
      </c>
      <c r="X475" s="122">
        <f t="shared" si="15"/>
        <v>598968</v>
      </c>
      <c r="Y475" s="122"/>
      <c r="AA475" t="s">
        <v>58</v>
      </c>
      <c r="AB475" t="s">
        <v>407</v>
      </c>
      <c r="AC475" t="s">
        <v>433</v>
      </c>
      <c r="AD475" t="s">
        <v>407</v>
      </c>
      <c r="AE475" t="s">
        <v>137</v>
      </c>
      <c r="AF475">
        <v>2</v>
      </c>
      <c r="AG475">
        <v>155</v>
      </c>
      <c r="AH475">
        <v>494</v>
      </c>
      <c r="AI475" s="122">
        <v>21446</v>
      </c>
      <c r="AJ475" s="122">
        <v>19497</v>
      </c>
      <c r="AK475">
        <v>88</v>
      </c>
      <c r="AL475" s="122">
        <v>2570</v>
      </c>
      <c r="AM475" s="122">
        <v>2336</v>
      </c>
      <c r="AN475" s="122">
        <v>2845</v>
      </c>
      <c r="AO475" s="122">
        <v>1054</v>
      </c>
      <c r="AP475">
        <v>945</v>
      </c>
      <c r="AQ475">
        <v>350</v>
      </c>
      <c r="AR475" s="122">
        <v>8312</v>
      </c>
      <c r="AS475" s="122">
        <v>7556</v>
      </c>
      <c r="AT475" s="122">
        <v>2185</v>
      </c>
      <c r="AU475">
        <v>809</v>
      </c>
      <c r="AV475" s="122">
        <v>31602</v>
      </c>
    </row>
    <row r="476" spans="2:48" ht="13">
      <c r="B476" t="s">
        <v>439</v>
      </c>
      <c r="C476" t="s">
        <v>64</v>
      </c>
      <c r="D476" t="s">
        <v>556</v>
      </c>
      <c r="E476" t="s">
        <v>137</v>
      </c>
      <c r="F476">
        <v>1</v>
      </c>
      <c r="G476">
        <v>44</v>
      </c>
      <c r="H476" s="122">
        <v>457</v>
      </c>
      <c r="I476" s="122">
        <v>13121</v>
      </c>
      <c r="J476" s="191">
        <v>10935</v>
      </c>
      <c r="K476" s="122">
        <v>30</v>
      </c>
      <c r="L476" s="122">
        <v>984</v>
      </c>
      <c r="M476" s="122">
        <v>364</v>
      </c>
      <c r="N476" s="122">
        <v>1061</v>
      </c>
      <c r="O476">
        <v>393</v>
      </c>
      <c r="P476">
        <v>0</v>
      </c>
      <c r="Q476" s="122">
        <v>0</v>
      </c>
      <c r="R476" s="122">
        <v>4737</v>
      </c>
      <c r="S476" s="122">
        <v>1755</v>
      </c>
      <c r="T476">
        <v>0</v>
      </c>
      <c r="U476" s="122">
        <v>0</v>
      </c>
      <c r="V476" s="122">
        <v>13447</v>
      </c>
      <c r="W476" s="122">
        <f t="shared" si="14"/>
        <v>13447</v>
      </c>
      <c r="X476" s="122">
        <f t="shared" si="15"/>
        <v>19903</v>
      </c>
      <c r="Y476" s="122"/>
      <c r="AA476" t="s">
        <v>58</v>
      </c>
      <c r="AB476" t="s">
        <v>407</v>
      </c>
      <c r="AC476" t="s">
        <v>433</v>
      </c>
      <c r="AD476" t="s">
        <v>407</v>
      </c>
      <c r="AE476" t="s">
        <v>566</v>
      </c>
      <c r="AF476">
        <v>24</v>
      </c>
      <c r="AG476" s="122">
        <v>2278</v>
      </c>
      <c r="AH476" s="122">
        <v>6475</v>
      </c>
      <c r="AI476" s="122">
        <v>354330</v>
      </c>
      <c r="AJ476" s="122">
        <v>322118</v>
      </c>
      <c r="AK476">
        <v>85</v>
      </c>
      <c r="AL476" s="122">
        <v>98998</v>
      </c>
      <c r="AM476" s="122">
        <v>89998</v>
      </c>
      <c r="AN476" s="122">
        <v>43756</v>
      </c>
      <c r="AO476" s="122">
        <v>16206</v>
      </c>
      <c r="AP476" s="122">
        <v>11219</v>
      </c>
      <c r="AQ476" s="122">
        <v>4155</v>
      </c>
      <c r="AR476" s="122">
        <v>112743</v>
      </c>
      <c r="AS476" s="122">
        <v>102494</v>
      </c>
      <c r="AT476">
        <v>0</v>
      </c>
      <c r="AU476">
        <v>0</v>
      </c>
      <c r="AV476" s="122">
        <v>534971</v>
      </c>
    </row>
    <row r="477" spans="2:48" ht="13">
      <c r="B477" t="s">
        <v>439</v>
      </c>
      <c r="C477" t="s">
        <v>64</v>
      </c>
      <c r="D477" t="s">
        <v>426</v>
      </c>
      <c r="E477" t="s">
        <v>137</v>
      </c>
      <c r="F477" s="122">
        <v>1</v>
      </c>
      <c r="G477" s="122">
        <v>68</v>
      </c>
      <c r="H477" s="122">
        <v>987</v>
      </c>
      <c r="I477" s="122">
        <v>55300</v>
      </c>
      <c r="J477" s="191">
        <v>50272</v>
      </c>
      <c r="K477" s="122">
        <v>30</v>
      </c>
      <c r="L477" s="122">
        <v>4525</v>
      </c>
      <c r="M477" s="122">
        <v>1676</v>
      </c>
      <c r="N477" s="122">
        <v>1667</v>
      </c>
      <c r="O477" s="122">
        <v>617</v>
      </c>
      <c r="P477" s="122">
        <v>0</v>
      </c>
      <c r="Q477" s="122">
        <v>0</v>
      </c>
      <c r="R477" s="122">
        <v>6049</v>
      </c>
      <c r="S477" s="122">
        <v>2240</v>
      </c>
      <c r="T477" s="122">
        <v>0</v>
      </c>
      <c r="U477" s="122">
        <v>0</v>
      </c>
      <c r="V477" s="122">
        <v>54806</v>
      </c>
      <c r="W477" s="122">
        <f t="shared" si="14"/>
        <v>54805</v>
      </c>
      <c r="X477" s="122">
        <f t="shared" si="15"/>
        <v>67541</v>
      </c>
      <c r="Y477" s="122"/>
      <c r="AA477" t="s">
        <v>58</v>
      </c>
      <c r="AB477" t="s">
        <v>407</v>
      </c>
      <c r="AC477" t="s">
        <v>433</v>
      </c>
      <c r="AD477" t="s">
        <v>433</v>
      </c>
      <c r="AE477" t="s">
        <v>566</v>
      </c>
      <c r="AF477">
        <v>1</v>
      </c>
      <c r="AG477">
        <v>45</v>
      </c>
      <c r="AH477">
        <v>247</v>
      </c>
      <c r="AI477" s="122">
        <v>6302</v>
      </c>
      <c r="AJ477" s="122">
        <v>5729</v>
      </c>
      <c r="AK477">
        <v>90</v>
      </c>
      <c r="AL477">
        <v>760</v>
      </c>
      <c r="AM477">
        <v>691</v>
      </c>
      <c r="AN477">
        <v>550</v>
      </c>
      <c r="AO477">
        <v>204</v>
      </c>
      <c r="AP477">
        <v>473</v>
      </c>
      <c r="AQ477">
        <v>175</v>
      </c>
      <c r="AR477" s="122">
        <v>3041</v>
      </c>
      <c r="AS477" s="122">
        <v>2764</v>
      </c>
      <c r="AT477">
        <v>0</v>
      </c>
      <c r="AU477">
        <v>0</v>
      </c>
      <c r="AV477" s="122">
        <v>9563</v>
      </c>
    </row>
    <row r="478" spans="2:48" ht="13">
      <c r="B478" t="s">
        <v>440</v>
      </c>
      <c r="C478" t="s">
        <v>48</v>
      </c>
      <c r="F478" s="122">
        <v>115</v>
      </c>
      <c r="G478" s="122">
        <v>14536</v>
      </c>
      <c r="H478" s="122">
        <v>6147</v>
      </c>
      <c r="I478" s="122"/>
      <c r="J478" s="191">
        <v>0</v>
      </c>
      <c r="K478" s="122"/>
      <c r="L478" s="122"/>
      <c r="M478" s="122">
        <v>0</v>
      </c>
      <c r="N478" s="122">
        <v>180817</v>
      </c>
      <c r="O478" s="122">
        <v>66969</v>
      </c>
      <c r="P478" s="122">
        <v>147050</v>
      </c>
      <c r="Q478" s="122">
        <v>54463</v>
      </c>
      <c r="R478" s="122"/>
      <c r="S478">
        <v>0</v>
      </c>
      <c r="T478">
        <v>0</v>
      </c>
      <c r="U478" s="122">
        <v>0</v>
      </c>
      <c r="V478" s="122">
        <v>121432</v>
      </c>
      <c r="W478" s="122">
        <f t="shared" si="14"/>
        <v>121432</v>
      </c>
      <c r="X478" s="122">
        <f t="shared" si="15"/>
        <v>327867</v>
      </c>
      <c r="Y478" s="122"/>
      <c r="AA478" t="s">
        <v>58</v>
      </c>
      <c r="AB478" t="s">
        <v>579</v>
      </c>
      <c r="AC478" t="s">
        <v>137</v>
      </c>
      <c r="AD478" t="s">
        <v>137</v>
      </c>
      <c r="AE478" t="s">
        <v>566</v>
      </c>
      <c r="AF478">
        <v>3</v>
      </c>
      <c r="AG478">
        <v>142</v>
      </c>
      <c r="AH478">
        <v>861</v>
      </c>
      <c r="AI478" s="122">
        <v>17902</v>
      </c>
      <c r="AJ478" s="122">
        <v>14919</v>
      </c>
      <c r="AK478">
        <v>48</v>
      </c>
      <c r="AL478" s="122">
        <v>2895</v>
      </c>
      <c r="AM478" s="122">
        <v>1072</v>
      </c>
      <c r="AN478" s="122">
        <v>2969</v>
      </c>
      <c r="AO478" s="122">
        <v>1100</v>
      </c>
      <c r="AP478">
        <v>351</v>
      </c>
      <c r="AQ478">
        <v>130</v>
      </c>
      <c r="AR478" s="122">
        <v>16732</v>
      </c>
      <c r="AS478" s="122">
        <v>6197</v>
      </c>
      <c r="AT478">
        <v>0</v>
      </c>
      <c r="AU478">
        <v>0</v>
      </c>
      <c r="AV478" s="122">
        <v>23417</v>
      </c>
    </row>
    <row r="479" spans="2:48" ht="13">
      <c r="B479" t="s">
        <v>440</v>
      </c>
      <c r="C479" t="s">
        <v>48</v>
      </c>
      <c r="D479" t="s">
        <v>407</v>
      </c>
      <c r="E479" t="s">
        <v>407</v>
      </c>
      <c r="F479">
        <v>46</v>
      </c>
      <c r="G479" s="122">
        <v>4479</v>
      </c>
      <c r="H479" s="122">
        <v>2691</v>
      </c>
      <c r="I479" s="122">
        <v>16978</v>
      </c>
      <c r="J479" s="191">
        <v>15434</v>
      </c>
      <c r="K479" s="122">
        <v>90</v>
      </c>
      <c r="L479" s="122">
        <v>1528</v>
      </c>
      <c r="M479" s="122">
        <v>1187</v>
      </c>
      <c r="N479" s="122">
        <v>56811</v>
      </c>
      <c r="O479" s="122">
        <v>21041</v>
      </c>
      <c r="P479" s="122">
        <v>41049</v>
      </c>
      <c r="Q479" s="122">
        <v>15203</v>
      </c>
      <c r="R479" s="122">
        <v>144401</v>
      </c>
      <c r="S479" s="122">
        <v>131273</v>
      </c>
      <c r="T479">
        <v>0</v>
      </c>
      <c r="U479" s="122">
        <v>0</v>
      </c>
      <c r="V479" s="122">
        <v>184140</v>
      </c>
      <c r="W479" s="122">
        <f t="shared" si="14"/>
        <v>184138</v>
      </c>
      <c r="X479" s="122">
        <f t="shared" si="15"/>
        <v>260767</v>
      </c>
      <c r="Y479" s="122"/>
      <c r="AA479" t="s">
        <v>58</v>
      </c>
      <c r="AB479" t="s">
        <v>579</v>
      </c>
      <c r="AC479" t="s">
        <v>137</v>
      </c>
      <c r="AD479" t="s">
        <v>579</v>
      </c>
      <c r="AE479" t="s">
        <v>137</v>
      </c>
      <c r="AF479">
        <v>14</v>
      </c>
      <c r="AG479">
        <v>708</v>
      </c>
      <c r="AH479" s="122">
        <v>3845</v>
      </c>
      <c r="AI479" s="122">
        <v>80146</v>
      </c>
      <c r="AJ479" s="122">
        <v>66788</v>
      </c>
      <c r="AK479">
        <v>63</v>
      </c>
      <c r="AL479" s="122">
        <v>13569</v>
      </c>
      <c r="AM479" s="122">
        <v>5025</v>
      </c>
      <c r="AN479" s="122">
        <v>12708</v>
      </c>
      <c r="AO479" s="122">
        <v>4707</v>
      </c>
      <c r="AP479" s="122">
        <v>4914</v>
      </c>
      <c r="AQ479" s="122">
        <v>1820</v>
      </c>
      <c r="AR479" s="122">
        <v>60562</v>
      </c>
      <c r="AS479" s="122">
        <v>50468</v>
      </c>
      <c r="AT479" s="122">
        <v>22696</v>
      </c>
      <c r="AU479" s="122">
        <v>8406</v>
      </c>
      <c r="AV479" s="122">
        <v>137215</v>
      </c>
    </row>
    <row r="480" spans="2:48" ht="13">
      <c r="B480" t="s">
        <v>440</v>
      </c>
      <c r="C480" t="s">
        <v>50</v>
      </c>
      <c r="D480" t="s">
        <v>407</v>
      </c>
      <c r="E480" t="s">
        <v>407</v>
      </c>
      <c r="F480" s="122">
        <v>45</v>
      </c>
      <c r="G480" s="122">
        <v>4649</v>
      </c>
      <c r="H480" s="122">
        <v>4255</v>
      </c>
      <c r="I480" s="122">
        <v>148037</v>
      </c>
      <c r="J480" s="191">
        <v>134579</v>
      </c>
      <c r="K480" s="122">
        <v>85</v>
      </c>
      <c r="L480" s="122">
        <v>21035</v>
      </c>
      <c r="M480" s="122">
        <v>15644</v>
      </c>
      <c r="N480" s="122">
        <v>88636</v>
      </c>
      <c r="O480" s="122">
        <v>32828</v>
      </c>
      <c r="P480" s="122">
        <v>29709</v>
      </c>
      <c r="Q480" s="122">
        <v>11003</v>
      </c>
      <c r="R480" s="122">
        <v>150906</v>
      </c>
      <c r="S480" s="122">
        <v>137188</v>
      </c>
      <c r="T480" s="122">
        <v>0</v>
      </c>
      <c r="U480" s="122">
        <v>0</v>
      </c>
      <c r="V480" s="122">
        <v>331242</v>
      </c>
      <c r="W480" s="122">
        <f t="shared" si="14"/>
        <v>331242</v>
      </c>
      <c r="X480" s="122">
        <f t="shared" si="15"/>
        <v>438323</v>
      </c>
      <c r="Y480" s="122"/>
      <c r="AA480" t="s">
        <v>58</v>
      </c>
      <c r="AB480" t="s">
        <v>579</v>
      </c>
      <c r="AC480" t="s">
        <v>137</v>
      </c>
      <c r="AD480" t="s">
        <v>579</v>
      </c>
      <c r="AE480" t="s">
        <v>566</v>
      </c>
      <c r="AF480">
        <v>1</v>
      </c>
      <c r="AG480">
        <v>44</v>
      </c>
      <c r="AH480">
        <v>267</v>
      </c>
      <c r="AI480" s="122">
        <v>6445</v>
      </c>
      <c r="AJ480" s="122">
        <v>5371</v>
      </c>
      <c r="AK480">
        <v>60</v>
      </c>
      <c r="AL480">
        <v>967</v>
      </c>
      <c r="AM480">
        <v>358</v>
      </c>
      <c r="AN480">
        <v>532</v>
      </c>
      <c r="AO480">
        <v>197</v>
      </c>
      <c r="AP480">
        <v>0</v>
      </c>
      <c r="AQ480">
        <v>0</v>
      </c>
      <c r="AR480" s="122">
        <v>3712</v>
      </c>
      <c r="AS480" s="122">
        <v>3094</v>
      </c>
      <c r="AT480">
        <v>0</v>
      </c>
      <c r="AU480">
        <v>0</v>
      </c>
      <c r="AV480" s="122">
        <v>9020</v>
      </c>
    </row>
    <row r="481" spans="2:48" ht="13">
      <c r="B481" t="s">
        <v>440</v>
      </c>
      <c r="C481" t="s">
        <v>50</v>
      </c>
      <c r="D481" t="s">
        <v>408</v>
      </c>
      <c r="E481" t="s">
        <v>408</v>
      </c>
      <c r="F481">
        <v>1</v>
      </c>
      <c r="G481" s="122">
        <v>98</v>
      </c>
      <c r="H481" s="122">
        <v>95</v>
      </c>
      <c r="I481" s="122">
        <v>3070</v>
      </c>
      <c r="J481" s="191">
        <v>2791</v>
      </c>
      <c r="K481" s="122">
        <v>75</v>
      </c>
      <c r="L481" s="122">
        <v>324</v>
      </c>
      <c r="M481" s="122">
        <v>294</v>
      </c>
      <c r="N481" s="122">
        <v>1192</v>
      </c>
      <c r="O481">
        <v>441</v>
      </c>
      <c r="P481">
        <v>351</v>
      </c>
      <c r="Q481" s="122">
        <v>130</v>
      </c>
      <c r="R481" s="122">
        <v>4331</v>
      </c>
      <c r="S481" s="122">
        <v>3937</v>
      </c>
      <c r="T481" s="122">
        <v>0</v>
      </c>
      <c r="U481" s="122">
        <v>0</v>
      </c>
      <c r="V481" s="122">
        <v>7594</v>
      </c>
      <c r="W481" s="122">
        <f t="shared" si="14"/>
        <v>7593</v>
      </c>
      <c r="X481" s="122">
        <f t="shared" si="15"/>
        <v>9268</v>
      </c>
      <c r="Y481" s="122"/>
      <c r="AA481" t="s">
        <v>58</v>
      </c>
      <c r="AB481" t="s">
        <v>579</v>
      </c>
      <c r="AC481" t="s">
        <v>579</v>
      </c>
      <c r="AD481" t="s">
        <v>579</v>
      </c>
      <c r="AE481" t="s">
        <v>137</v>
      </c>
      <c r="AF481">
        <v>2</v>
      </c>
      <c r="AG481">
        <v>183</v>
      </c>
      <c r="AH481">
        <v>534</v>
      </c>
      <c r="AI481" s="122">
        <v>25691</v>
      </c>
      <c r="AJ481" s="122">
        <v>21409</v>
      </c>
      <c r="AK481">
        <v>60</v>
      </c>
      <c r="AL481" s="122">
        <v>4283</v>
      </c>
      <c r="AM481" s="122">
        <v>3570</v>
      </c>
      <c r="AN481" s="122">
        <v>3295</v>
      </c>
      <c r="AO481" s="122">
        <v>1220</v>
      </c>
      <c r="AP481">
        <v>702</v>
      </c>
      <c r="AQ481">
        <v>260</v>
      </c>
      <c r="AR481" s="122">
        <v>10315</v>
      </c>
      <c r="AS481" s="122">
        <v>8596</v>
      </c>
      <c r="AT481" s="122">
        <v>4630</v>
      </c>
      <c r="AU481" s="122">
        <v>1715</v>
      </c>
      <c r="AV481" s="122">
        <v>36770</v>
      </c>
    </row>
    <row r="482" spans="2:48" ht="13">
      <c r="B482" t="s">
        <v>440</v>
      </c>
      <c r="C482" t="s">
        <v>52</v>
      </c>
      <c r="F482" s="122">
        <v>15</v>
      </c>
      <c r="G482" s="122">
        <v>1082</v>
      </c>
      <c r="H482" s="122">
        <v>1682</v>
      </c>
      <c r="J482" s="191">
        <v>0</v>
      </c>
      <c r="K482" s="122"/>
      <c r="M482">
        <v>0</v>
      </c>
      <c r="N482" s="122">
        <v>22961</v>
      </c>
      <c r="O482" s="122">
        <v>8504</v>
      </c>
      <c r="P482" s="122">
        <v>6348</v>
      </c>
      <c r="Q482" s="122">
        <v>2351</v>
      </c>
      <c r="S482">
        <v>0</v>
      </c>
      <c r="T482">
        <v>0</v>
      </c>
      <c r="U482">
        <v>0</v>
      </c>
      <c r="V482" s="122">
        <v>10855</v>
      </c>
      <c r="W482" s="122">
        <f t="shared" si="14"/>
        <v>10855</v>
      </c>
      <c r="X482" s="122">
        <f t="shared" si="15"/>
        <v>29309</v>
      </c>
      <c r="Y482" s="122"/>
      <c r="AA482" t="s">
        <v>58</v>
      </c>
      <c r="AB482" t="s">
        <v>579</v>
      </c>
      <c r="AC482" t="s">
        <v>566</v>
      </c>
      <c r="AD482" t="s">
        <v>579</v>
      </c>
      <c r="AE482" t="s">
        <v>137</v>
      </c>
      <c r="AF482">
        <v>28</v>
      </c>
      <c r="AG482" s="122">
        <v>1851</v>
      </c>
      <c r="AH482" s="122">
        <v>7656</v>
      </c>
      <c r="AI482" s="122">
        <v>259504</v>
      </c>
      <c r="AJ482" s="122">
        <v>216253</v>
      </c>
      <c r="AK482">
        <v>57</v>
      </c>
      <c r="AL482">
        <v>0</v>
      </c>
      <c r="AM482">
        <v>0</v>
      </c>
      <c r="AN482" s="122">
        <v>35249</v>
      </c>
      <c r="AO482" s="122">
        <v>13055</v>
      </c>
      <c r="AP482" s="122">
        <v>9828</v>
      </c>
      <c r="AQ482" s="122">
        <v>3640</v>
      </c>
      <c r="AR482" s="122">
        <v>143404</v>
      </c>
      <c r="AS482" s="122">
        <v>119504</v>
      </c>
      <c r="AT482" s="122">
        <v>57835</v>
      </c>
      <c r="AU482" s="122">
        <v>21421</v>
      </c>
      <c r="AV482" s="122">
        <v>373873</v>
      </c>
    </row>
    <row r="483" spans="2:48" ht="13">
      <c r="B483" t="s">
        <v>440</v>
      </c>
      <c r="C483" t="s">
        <v>52</v>
      </c>
      <c r="D483" t="s">
        <v>137</v>
      </c>
      <c r="E483" t="s">
        <v>137</v>
      </c>
      <c r="F483">
        <v>2</v>
      </c>
      <c r="G483">
        <v>144</v>
      </c>
      <c r="H483">
        <v>240</v>
      </c>
      <c r="I483" s="122">
        <v>1899</v>
      </c>
      <c r="J483" s="66">
        <v>703</v>
      </c>
      <c r="K483" s="122">
        <v>100</v>
      </c>
      <c r="L483">
        <v>387</v>
      </c>
      <c r="M483">
        <v>143</v>
      </c>
      <c r="N483" s="122">
        <v>2330</v>
      </c>
      <c r="O483">
        <v>863</v>
      </c>
      <c r="P483">
        <v>0</v>
      </c>
      <c r="Q483">
        <v>0</v>
      </c>
      <c r="R483" s="122">
        <v>12585</v>
      </c>
      <c r="S483" s="122">
        <v>4661</v>
      </c>
      <c r="T483">
        <v>0</v>
      </c>
      <c r="U483">
        <v>0</v>
      </c>
      <c r="V483" s="122">
        <v>6371</v>
      </c>
      <c r="W483" s="122">
        <f t="shared" si="14"/>
        <v>6370</v>
      </c>
      <c r="X483" s="122">
        <f t="shared" si="15"/>
        <v>17201</v>
      </c>
      <c r="Y483" s="122"/>
      <c r="AA483" t="s">
        <v>58</v>
      </c>
      <c r="AB483" t="s">
        <v>428</v>
      </c>
      <c r="AC483" t="s">
        <v>137</v>
      </c>
      <c r="AD483" t="s">
        <v>137</v>
      </c>
      <c r="AE483" t="s">
        <v>137</v>
      </c>
      <c r="AF483">
        <v>1</v>
      </c>
      <c r="AG483">
        <v>50</v>
      </c>
      <c r="AH483">
        <v>244</v>
      </c>
      <c r="AI483" s="122">
        <v>4940</v>
      </c>
      <c r="AJ483" s="122">
        <v>4491</v>
      </c>
      <c r="AK483">
        <v>30</v>
      </c>
      <c r="AL483">
        <v>404</v>
      </c>
      <c r="AM483">
        <v>150</v>
      </c>
      <c r="AN483" s="122">
        <v>1224</v>
      </c>
      <c r="AO483">
        <v>453</v>
      </c>
      <c r="AP483">
        <v>0</v>
      </c>
      <c r="AQ483">
        <v>0</v>
      </c>
      <c r="AR483" s="122">
        <v>5708</v>
      </c>
      <c r="AS483" s="122">
        <v>2114</v>
      </c>
      <c r="AT483">
        <v>0</v>
      </c>
      <c r="AU483">
        <v>0</v>
      </c>
      <c r="AV483" s="122">
        <v>7209</v>
      </c>
    </row>
    <row r="484" spans="2:48" ht="13">
      <c r="B484" t="s">
        <v>440</v>
      </c>
      <c r="C484" t="s">
        <v>52</v>
      </c>
      <c r="D484" t="s">
        <v>407</v>
      </c>
      <c r="E484" t="s">
        <v>407</v>
      </c>
      <c r="F484">
        <v>149</v>
      </c>
      <c r="G484" s="122">
        <v>12319</v>
      </c>
      <c r="H484" s="122">
        <v>17293</v>
      </c>
      <c r="I484" s="122">
        <v>541297</v>
      </c>
      <c r="J484" s="191">
        <v>492088</v>
      </c>
      <c r="K484" s="122">
        <v>85</v>
      </c>
      <c r="L484" s="122">
        <v>42971</v>
      </c>
      <c r="M484" s="122">
        <v>32619</v>
      </c>
      <c r="N484" s="122">
        <v>236090</v>
      </c>
      <c r="O484" s="122">
        <v>87441</v>
      </c>
      <c r="P484" s="122">
        <v>74511</v>
      </c>
      <c r="Q484" s="122">
        <v>27597</v>
      </c>
      <c r="R484" s="122">
        <v>507370</v>
      </c>
      <c r="S484" s="122">
        <v>461246</v>
      </c>
      <c r="T484" s="122">
        <v>27746</v>
      </c>
      <c r="U484" s="122">
        <v>10276</v>
      </c>
      <c r="V484" s="122">
        <v>1111266</v>
      </c>
      <c r="W484" s="122">
        <f t="shared" si="14"/>
        <v>1111267</v>
      </c>
      <c r="X484" s="122">
        <f t="shared" si="15"/>
        <v>1429985</v>
      </c>
      <c r="Y484" s="122"/>
      <c r="AA484" t="s">
        <v>58</v>
      </c>
      <c r="AB484" t="s">
        <v>428</v>
      </c>
      <c r="AC484" t="s">
        <v>566</v>
      </c>
      <c r="AD484" t="s">
        <v>137</v>
      </c>
      <c r="AE484" t="s">
        <v>566</v>
      </c>
      <c r="AF484">
        <v>1</v>
      </c>
      <c r="AG484">
        <v>46</v>
      </c>
      <c r="AH484">
        <v>268</v>
      </c>
      <c r="AI484" s="122">
        <v>6101</v>
      </c>
      <c r="AJ484" s="122">
        <v>5546</v>
      </c>
      <c r="AK484">
        <v>60</v>
      </c>
      <c r="AL484">
        <v>0</v>
      </c>
      <c r="AM484">
        <v>0</v>
      </c>
      <c r="AN484">
        <v>684</v>
      </c>
      <c r="AO484">
        <v>253</v>
      </c>
      <c r="AP484">
        <v>0</v>
      </c>
      <c r="AQ484">
        <v>0</v>
      </c>
      <c r="AR484" s="122">
        <v>5521</v>
      </c>
      <c r="AS484" s="122">
        <v>2045</v>
      </c>
      <c r="AT484">
        <v>0</v>
      </c>
      <c r="AU484">
        <v>0</v>
      </c>
      <c r="AV484" s="122">
        <v>7845</v>
      </c>
    </row>
    <row r="485" spans="2:48" ht="13">
      <c r="B485" t="s">
        <v>440</v>
      </c>
      <c r="C485" t="s">
        <v>52</v>
      </c>
      <c r="D485" t="s">
        <v>408</v>
      </c>
      <c r="E485" t="s">
        <v>408</v>
      </c>
      <c r="F485" s="122">
        <v>69</v>
      </c>
      <c r="G485" s="122">
        <v>5408</v>
      </c>
      <c r="H485" s="122">
        <v>7825</v>
      </c>
      <c r="I485" s="122">
        <v>228057</v>
      </c>
      <c r="J485" s="191">
        <v>207324</v>
      </c>
      <c r="K485" s="122">
        <v>75</v>
      </c>
      <c r="L485" s="122">
        <v>24057</v>
      </c>
      <c r="M485" s="122">
        <v>21870</v>
      </c>
      <c r="N485" s="122">
        <v>65891</v>
      </c>
      <c r="O485" s="122">
        <v>24404</v>
      </c>
      <c r="P485" s="122">
        <v>24219</v>
      </c>
      <c r="Q485" s="122">
        <v>8970</v>
      </c>
      <c r="R485" s="122">
        <v>269067</v>
      </c>
      <c r="S485" s="122">
        <v>244606</v>
      </c>
      <c r="T485">
        <v>0</v>
      </c>
      <c r="U485">
        <v>0</v>
      </c>
      <c r="V485" s="122">
        <v>507174</v>
      </c>
      <c r="W485" s="122">
        <f t="shared" si="14"/>
        <v>507174</v>
      </c>
      <c r="X485" s="122">
        <f t="shared" si="15"/>
        <v>611291</v>
      </c>
      <c r="Y485" s="122"/>
      <c r="AA485" t="s">
        <v>58</v>
      </c>
      <c r="AB485" t="s">
        <v>426</v>
      </c>
      <c r="AC485" t="s">
        <v>137</v>
      </c>
      <c r="AD485" t="s">
        <v>137</v>
      </c>
      <c r="AE485" t="s">
        <v>137</v>
      </c>
      <c r="AF485">
        <v>1</v>
      </c>
      <c r="AG485">
        <v>53</v>
      </c>
      <c r="AH485">
        <v>299</v>
      </c>
      <c r="AI485" s="122">
        <v>4115</v>
      </c>
      <c r="AJ485" s="122">
        <v>3741</v>
      </c>
      <c r="AK485">
        <v>100</v>
      </c>
      <c r="AL485" s="122">
        <v>5941</v>
      </c>
      <c r="AM485" s="122">
        <v>2200</v>
      </c>
      <c r="AN485">
        <v>646</v>
      </c>
      <c r="AO485">
        <v>239</v>
      </c>
      <c r="AP485">
        <v>0</v>
      </c>
      <c r="AQ485">
        <v>0</v>
      </c>
      <c r="AR485" s="122">
        <v>5154</v>
      </c>
      <c r="AS485" s="122">
        <v>1909</v>
      </c>
      <c r="AT485">
        <v>0</v>
      </c>
      <c r="AU485">
        <v>0</v>
      </c>
      <c r="AV485" s="122">
        <v>8089</v>
      </c>
    </row>
    <row r="486" spans="2:48" ht="13">
      <c r="B486" t="s">
        <v>440</v>
      </c>
      <c r="C486" t="s">
        <v>54</v>
      </c>
      <c r="F486" s="122">
        <v>34</v>
      </c>
      <c r="G486" s="122">
        <v>2509</v>
      </c>
      <c r="H486" s="122">
        <v>4652</v>
      </c>
      <c r="J486" s="191">
        <v>0</v>
      </c>
      <c r="K486" s="122"/>
      <c r="M486">
        <v>0</v>
      </c>
      <c r="N486" s="122">
        <v>51226</v>
      </c>
      <c r="O486" s="122">
        <v>18972</v>
      </c>
      <c r="P486" s="122">
        <v>12219</v>
      </c>
      <c r="Q486" s="122">
        <v>4526</v>
      </c>
      <c r="S486">
        <v>0</v>
      </c>
      <c r="T486">
        <v>0</v>
      </c>
      <c r="U486">
        <v>0</v>
      </c>
      <c r="V486" s="122">
        <v>23498</v>
      </c>
      <c r="W486" s="122">
        <f t="shared" si="14"/>
        <v>23498</v>
      </c>
      <c r="X486" s="122">
        <f t="shared" si="15"/>
        <v>63445</v>
      </c>
      <c r="Y486" s="122"/>
      <c r="AA486" t="s">
        <v>58</v>
      </c>
      <c r="AB486" t="s">
        <v>426</v>
      </c>
      <c r="AC486" t="s">
        <v>137</v>
      </c>
      <c r="AD486" t="s">
        <v>137</v>
      </c>
      <c r="AE486" t="s">
        <v>566</v>
      </c>
      <c r="AF486">
        <v>8</v>
      </c>
      <c r="AG486">
        <v>381</v>
      </c>
      <c r="AH486" s="122">
        <v>2224</v>
      </c>
      <c r="AI486" s="122">
        <v>45329</v>
      </c>
      <c r="AJ486" s="122">
        <v>41208</v>
      </c>
      <c r="AK486">
        <v>76</v>
      </c>
      <c r="AL486" s="122">
        <v>22223</v>
      </c>
      <c r="AM486" s="122">
        <v>8231</v>
      </c>
      <c r="AN486" s="122">
        <v>7248</v>
      </c>
      <c r="AO486" s="122">
        <v>2684</v>
      </c>
      <c r="AP486">
        <v>702</v>
      </c>
      <c r="AQ486">
        <v>260</v>
      </c>
      <c r="AR486" s="122">
        <v>36112</v>
      </c>
      <c r="AS486" s="122">
        <v>13375</v>
      </c>
      <c r="AT486">
        <v>0</v>
      </c>
      <c r="AU486">
        <v>0</v>
      </c>
      <c r="AV486" s="122">
        <v>65758</v>
      </c>
    </row>
    <row r="487" spans="2:48" ht="13">
      <c r="B487" t="s">
        <v>440</v>
      </c>
      <c r="C487" t="s">
        <v>54</v>
      </c>
      <c r="D487" t="s">
        <v>425</v>
      </c>
      <c r="E487" t="s">
        <v>407</v>
      </c>
      <c r="F487" s="122">
        <v>1</v>
      </c>
      <c r="G487" s="122">
        <v>49</v>
      </c>
      <c r="H487" s="122">
        <v>126</v>
      </c>
      <c r="I487" s="122">
        <v>2233</v>
      </c>
      <c r="J487" s="191">
        <v>2030</v>
      </c>
      <c r="K487" s="122">
        <v>91</v>
      </c>
      <c r="L487">
        <v>0</v>
      </c>
      <c r="M487">
        <v>0</v>
      </c>
      <c r="N487" s="122">
        <v>1201</v>
      </c>
      <c r="O487">
        <v>445</v>
      </c>
      <c r="P487">
        <v>473</v>
      </c>
      <c r="Q487">
        <v>175</v>
      </c>
      <c r="R487" s="122">
        <v>2301</v>
      </c>
      <c r="S487" s="122">
        <v>2092</v>
      </c>
      <c r="T487">
        <v>0</v>
      </c>
      <c r="U487">
        <v>0</v>
      </c>
      <c r="V487" s="122">
        <v>4742</v>
      </c>
      <c r="W487" s="122">
        <f t="shared" si="14"/>
        <v>4742</v>
      </c>
      <c r="X487" s="122">
        <f t="shared" si="15"/>
        <v>6208</v>
      </c>
      <c r="Y487" s="122"/>
      <c r="AA487" t="s">
        <v>58</v>
      </c>
      <c r="AB487" t="s">
        <v>426</v>
      </c>
      <c r="AC487" t="s">
        <v>137</v>
      </c>
      <c r="AD487" t="s">
        <v>426</v>
      </c>
      <c r="AE487" t="s">
        <v>137</v>
      </c>
      <c r="AF487">
        <v>18</v>
      </c>
      <c r="AG487" s="122">
        <v>1119</v>
      </c>
      <c r="AH487" s="122">
        <v>4849</v>
      </c>
      <c r="AI487" s="122">
        <v>141035</v>
      </c>
      <c r="AJ487" s="122">
        <v>128213</v>
      </c>
      <c r="AK487">
        <v>61</v>
      </c>
      <c r="AL487" s="122">
        <v>23353</v>
      </c>
      <c r="AM487" s="122">
        <v>8649</v>
      </c>
      <c r="AN487" s="122">
        <v>22834</v>
      </c>
      <c r="AO487" s="122">
        <v>8457</v>
      </c>
      <c r="AP487" s="122">
        <v>6318</v>
      </c>
      <c r="AQ487" s="122">
        <v>2340</v>
      </c>
      <c r="AR487" s="122">
        <v>77030</v>
      </c>
      <c r="AS487" s="122">
        <v>70027</v>
      </c>
      <c r="AT487" s="122">
        <v>32371</v>
      </c>
      <c r="AU487" s="122">
        <v>11989</v>
      </c>
      <c r="AV487" s="122">
        <v>229676</v>
      </c>
    </row>
    <row r="488" spans="2:48" ht="13">
      <c r="B488" t="s">
        <v>440</v>
      </c>
      <c r="C488" t="s">
        <v>54</v>
      </c>
      <c r="D488" t="s">
        <v>137</v>
      </c>
      <c r="E488" t="s">
        <v>137</v>
      </c>
      <c r="F488">
        <v>10</v>
      </c>
      <c r="G488">
        <v>719</v>
      </c>
      <c r="H488" s="122">
        <v>1421</v>
      </c>
      <c r="I488" s="122">
        <v>23540</v>
      </c>
      <c r="J488" s="191">
        <v>8719</v>
      </c>
      <c r="K488" s="122">
        <v>100</v>
      </c>
      <c r="L488" s="122">
        <v>2876</v>
      </c>
      <c r="M488" s="122">
        <v>1065</v>
      </c>
      <c r="N488" s="122">
        <v>12853</v>
      </c>
      <c r="O488" s="122">
        <v>4760</v>
      </c>
      <c r="P488">
        <v>707</v>
      </c>
      <c r="Q488">
        <v>262</v>
      </c>
      <c r="R488" s="122">
        <v>62156</v>
      </c>
      <c r="S488" s="122">
        <v>23021</v>
      </c>
      <c r="T488">
        <v>0</v>
      </c>
      <c r="U488">
        <v>0</v>
      </c>
      <c r="V488" s="122">
        <v>37827</v>
      </c>
      <c r="W488" s="122">
        <f t="shared" si="14"/>
        <v>37827</v>
      </c>
      <c r="X488" s="122">
        <f t="shared" si="15"/>
        <v>102132</v>
      </c>
      <c r="Y488" s="122"/>
      <c r="AA488" t="s">
        <v>58</v>
      </c>
      <c r="AB488" t="s">
        <v>426</v>
      </c>
      <c r="AC488" t="s">
        <v>137</v>
      </c>
      <c r="AD488" t="s">
        <v>426</v>
      </c>
      <c r="AE488" t="s">
        <v>566</v>
      </c>
      <c r="AF488">
        <v>3</v>
      </c>
      <c r="AG488">
        <v>159</v>
      </c>
      <c r="AH488">
        <v>860</v>
      </c>
      <c r="AI488" s="122">
        <v>23357</v>
      </c>
      <c r="AJ488" s="122">
        <v>21234</v>
      </c>
      <c r="AK488">
        <v>58</v>
      </c>
      <c r="AL488" s="122">
        <v>3604</v>
      </c>
      <c r="AM488" s="122">
        <v>1335</v>
      </c>
      <c r="AN488" s="122">
        <v>3539</v>
      </c>
      <c r="AO488" s="122">
        <v>1311</v>
      </c>
      <c r="AP488" s="122">
        <v>1053</v>
      </c>
      <c r="AQ488">
        <v>390</v>
      </c>
      <c r="AR488" s="122">
        <v>14015</v>
      </c>
      <c r="AS488" s="122">
        <v>12741</v>
      </c>
      <c r="AT488">
        <v>0</v>
      </c>
      <c r="AU488">
        <v>0</v>
      </c>
      <c r="AV488" s="122">
        <v>37010</v>
      </c>
    </row>
    <row r="489" spans="2:48" ht="13">
      <c r="B489" t="s">
        <v>440</v>
      </c>
      <c r="C489" t="s">
        <v>54</v>
      </c>
      <c r="D489" t="s">
        <v>406</v>
      </c>
      <c r="E489" t="s">
        <v>406</v>
      </c>
      <c r="F489">
        <v>2</v>
      </c>
      <c r="G489">
        <v>132</v>
      </c>
      <c r="H489">
        <v>281</v>
      </c>
      <c r="I489" s="122">
        <v>7350</v>
      </c>
      <c r="J489" s="191">
        <v>6681</v>
      </c>
      <c r="K489" s="122">
        <v>94</v>
      </c>
      <c r="L489">
        <v>0</v>
      </c>
      <c r="M489">
        <v>0</v>
      </c>
      <c r="N489" s="122">
        <v>2729</v>
      </c>
      <c r="O489" s="122">
        <v>1011</v>
      </c>
      <c r="P489" s="122">
        <v>1242</v>
      </c>
      <c r="Q489">
        <v>460</v>
      </c>
      <c r="R489" s="122">
        <v>7303</v>
      </c>
      <c r="S489" s="122">
        <v>6639</v>
      </c>
      <c r="T489">
        <v>0</v>
      </c>
      <c r="U489">
        <v>0</v>
      </c>
      <c r="V489" s="122">
        <v>14791</v>
      </c>
      <c r="W489" s="122">
        <f t="shared" si="14"/>
        <v>14791</v>
      </c>
      <c r="X489" s="122">
        <f t="shared" si="15"/>
        <v>18624</v>
      </c>
      <c r="Y489" s="122"/>
      <c r="AA489" t="s">
        <v>58</v>
      </c>
      <c r="AB489" t="s">
        <v>426</v>
      </c>
      <c r="AC489" t="s">
        <v>580</v>
      </c>
      <c r="AD489" t="s">
        <v>426</v>
      </c>
      <c r="AE489" t="s">
        <v>137</v>
      </c>
      <c r="AF489">
        <v>7</v>
      </c>
      <c r="AG489" s="122">
        <v>1045</v>
      </c>
      <c r="AH489" s="122">
        <v>1829</v>
      </c>
      <c r="AI489" s="122">
        <v>176996</v>
      </c>
      <c r="AJ489" s="122">
        <v>160905</v>
      </c>
      <c r="AK489">
        <v>68</v>
      </c>
      <c r="AL489" s="122">
        <v>19490</v>
      </c>
      <c r="AM489" s="122">
        <v>17718</v>
      </c>
      <c r="AN489" s="122">
        <v>22680</v>
      </c>
      <c r="AO489" s="122">
        <v>8400</v>
      </c>
      <c r="AP489" s="122">
        <v>5697</v>
      </c>
      <c r="AQ489" s="122">
        <v>2110</v>
      </c>
      <c r="AR489" s="122">
        <v>40876</v>
      </c>
      <c r="AS489" s="122">
        <v>37160</v>
      </c>
      <c r="AT489" s="122">
        <v>21187</v>
      </c>
      <c r="AU489" s="122">
        <v>7847</v>
      </c>
      <c r="AV489" s="122">
        <v>234140</v>
      </c>
    </row>
    <row r="490" spans="2:48" ht="13">
      <c r="B490" t="s">
        <v>440</v>
      </c>
      <c r="C490" t="s">
        <v>54</v>
      </c>
      <c r="D490" t="s">
        <v>407</v>
      </c>
      <c r="E490" t="s">
        <v>407</v>
      </c>
      <c r="F490">
        <v>353</v>
      </c>
      <c r="G490" s="122">
        <v>27941</v>
      </c>
      <c r="H490" s="122">
        <v>49226</v>
      </c>
      <c r="I490" s="122">
        <v>1465624</v>
      </c>
      <c r="J490" s="191">
        <v>1332386</v>
      </c>
      <c r="K490" s="122">
        <v>83</v>
      </c>
      <c r="L490" s="122">
        <v>139527</v>
      </c>
      <c r="M490" s="122">
        <v>105984</v>
      </c>
      <c r="N490" s="122">
        <v>591211</v>
      </c>
      <c r="O490" s="122">
        <v>218967</v>
      </c>
      <c r="P490" s="122">
        <v>172553</v>
      </c>
      <c r="Q490" s="122">
        <v>63909</v>
      </c>
      <c r="R490" s="122">
        <v>1315065</v>
      </c>
      <c r="S490" s="122">
        <v>1195513</v>
      </c>
      <c r="T490" s="122">
        <v>216622</v>
      </c>
      <c r="U490" s="122">
        <v>80230</v>
      </c>
      <c r="V490" s="122">
        <v>2996989</v>
      </c>
      <c r="W490" s="122">
        <f t="shared" si="14"/>
        <v>2996989</v>
      </c>
      <c r="X490" s="122">
        <f t="shared" si="15"/>
        <v>3900602</v>
      </c>
      <c r="Y490" s="122"/>
      <c r="AA490" t="s">
        <v>58</v>
      </c>
      <c r="AB490" t="s">
        <v>426</v>
      </c>
      <c r="AC490" t="s">
        <v>426</v>
      </c>
      <c r="AD490" t="s">
        <v>426</v>
      </c>
      <c r="AE490" t="s">
        <v>137</v>
      </c>
      <c r="AF490">
        <v>18</v>
      </c>
      <c r="AG490" s="122">
        <v>1458</v>
      </c>
      <c r="AH490" s="122">
        <v>4991</v>
      </c>
      <c r="AI490" s="122">
        <v>218928</v>
      </c>
      <c r="AJ490" s="122">
        <v>199026</v>
      </c>
      <c r="AK490">
        <v>60</v>
      </c>
      <c r="AL490" s="122">
        <v>37877</v>
      </c>
      <c r="AM490" s="122">
        <v>34433</v>
      </c>
      <c r="AN490" s="122">
        <v>32094</v>
      </c>
      <c r="AO490" s="122">
        <v>11887</v>
      </c>
      <c r="AP490" s="122">
        <v>6939</v>
      </c>
      <c r="AQ490" s="122">
        <v>2570</v>
      </c>
      <c r="AR490" s="122">
        <v>83652</v>
      </c>
      <c r="AS490" s="122">
        <v>76047</v>
      </c>
      <c r="AT490" s="122">
        <v>41550</v>
      </c>
      <c r="AU490" s="122">
        <v>15389</v>
      </c>
      <c r="AV490" s="122">
        <v>339352</v>
      </c>
    </row>
    <row r="491" spans="2:48" ht="13">
      <c r="B491" t="s">
        <v>440</v>
      </c>
      <c r="C491" t="s">
        <v>54</v>
      </c>
      <c r="D491" t="s">
        <v>407</v>
      </c>
      <c r="E491" t="s">
        <v>429</v>
      </c>
      <c r="F491" s="122">
        <v>1</v>
      </c>
      <c r="G491" s="122">
        <v>104</v>
      </c>
      <c r="H491" s="122">
        <v>139</v>
      </c>
      <c r="I491" s="122">
        <v>4449</v>
      </c>
      <c r="J491" s="191">
        <v>4045</v>
      </c>
      <c r="K491" s="122">
        <v>78</v>
      </c>
      <c r="L491" s="122">
        <v>1102</v>
      </c>
      <c r="M491" s="122">
        <v>1002</v>
      </c>
      <c r="N491" s="122">
        <v>2531</v>
      </c>
      <c r="O491">
        <v>937</v>
      </c>
      <c r="P491">
        <v>473</v>
      </c>
      <c r="Q491">
        <v>175</v>
      </c>
      <c r="R491" s="122">
        <v>5908</v>
      </c>
      <c r="S491" s="122">
        <v>5371</v>
      </c>
      <c r="T491">
        <v>0</v>
      </c>
      <c r="U491">
        <v>0</v>
      </c>
      <c r="V491" s="122">
        <v>11529</v>
      </c>
      <c r="W491" s="122">
        <f t="shared" si="14"/>
        <v>11530</v>
      </c>
      <c r="X491" s="122">
        <f t="shared" si="15"/>
        <v>14463</v>
      </c>
      <c r="Y491" s="122"/>
      <c r="AA491" t="s">
        <v>58</v>
      </c>
      <c r="AB491" t="s">
        <v>426</v>
      </c>
      <c r="AC491" t="s">
        <v>426</v>
      </c>
      <c r="AD491" t="s">
        <v>426</v>
      </c>
      <c r="AE491" t="s">
        <v>566</v>
      </c>
      <c r="AF491">
        <v>1</v>
      </c>
      <c r="AG491">
        <v>98</v>
      </c>
      <c r="AH491">
        <v>300</v>
      </c>
      <c r="AI491" s="122">
        <v>17512</v>
      </c>
      <c r="AJ491" s="122">
        <v>15920</v>
      </c>
      <c r="AK491">
        <v>60</v>
      </c>
      <c r="AL491" s="122">
        <v>3892</v>
      </c>
      <c r="AM491" s="122">
        <v>3538</v>
      </c>
      <c r="AN491" s="122">
        <v>1189</v>
      </c>
      <c r="AO491">
        <v>440</v>
      </c>
      <c r="AP491">
        <v>351</v>
      </c>
      <c r="AQ491">
        <v>130</v>
      </c>
      <c r="AR491" s="122">
        <v>6324</v>
      </c>
      <c r="AS491" s="122">
        <v>5749</v>
      </c>
      <c r="AT491">
        <v>0</v>
      </c>
      <c r="AU491">
        <v>0</v>
      </c>
      <c r="AV491" s="122">
        <v>25777</v>
      </c>
    </row>
    <row r="492" spans="2:48" ht="13">
      <c r="B492" t="s">
        <v>440</v>
      </c>
      <c r="C492" t="s">
        <v>54</v>
      </c>
      <c r="D492" t="s">
        <v>408</v>
      </c>
      <c r="E492" t="s">
        <v>407</v>
      </c>
      <c r="F492">
        <v>1</v>
      </c>
      <c r="G492" s="122">
        <v>73</v>
      </c>
      <c r="H492" s="122">
        <v>131</v>
      </c>
      <c r="I492" s="122">
        <v>4548</v>
      </c>
      <c r="J492" s="191">
        <v>4135</v>
      </c>
      <c r="K492" s="122">
        <v>75</v>
      </c>
      <c r="L492">
        <v>0</v>
      </c>
      <c r="M492">
        <v>0</v>
      </c>
      <c r="N492">
        <v>892</v>
      </c>
      <c r="O492">
        <v>330</v>
      </c>
      <c r="P492">
        <v>0</v>
      </c>
      <c r="Q492">
        <v>0</v>
      </c>
      <c r="R492" s="122">
        <v>4135</v>
      </c>
      <c r="S492" s="122">
        <v>3759</v>
      </c>
      <c r="T492">
        <v>0</v>
      </c>
      <c r="U492">
        <v>0</v>
      </c>
      <c r="V492" s="122">
        <v>8224</v>
      </c>
      <c r="W492" s="122">
        <f t="shared" si="14"/>
        <v>8224</v>
      </c>
      <c r="X492" s="122">
        <f t="shared" si="15"/>
        <v>9575</v>
      </c>
      <c r="Y492" s="122"/>
      <c r="AA492" t="s">
        <v>58</v>
      </c>
      <c r="AB492" t="s">
        <v>426</v>
      </c>
      <c r="AC492" t="s">
        <v>566</v>
      </c>
      <c r="AD492" t="s">
        <v>426</v>
      </c>
      <c r="AE492" t="s">
        <v>137</v>
      </c>
      <c r="AF492">
        <v>45</v>
      </c>
      <c r="AG492" s="122">
        <v>2390</v>
      </c>
      <c r="AH492" s="122">
        <v>12117</v>
      </c>
      <c r="AI492" s="122">
        <v>327039</v>
      </c>
      <c r="AJ492" s="122">
        <v>297308</v>
      </c>
      <c r="AK492">
        <v>63</v>
      </c>
      <c r="AL492">
        <v>0</v>
      </c>
      <c r="AM492">
        <v>0</v>
      </c>
      <c r="AN492" s="122">
        <v>45677</v>
      </c>
      <c r="AO492" s="122">
        <v>16918</v>
      </c>
      <c r="AP492" s="122">
        <v>15795</v>
      </c>
      <c r="AQ492" s="122">
        <v>5850</v>
      </c>
      <c r="AR492" s="122">
        <v>174864</v>
      </c>
      <c r="AS492" s="122">
        <v>158968</v>
      </c>
      <c r="AT492" s="122">
        <v>87624</v>
      </c>
      <c r="AU492" s="122">
        <v>32453</v>
      </c>
      <c r="AV492" s="122">
        <v>511497</v>
      </c>
    </row>
    <row r="493" spans="2:48" ht="13">
      <c r="B493" t="s">
        <v>440</v>
      </c>
      <c r="C493" t="s">
        <v>54</v>
      </c>
      <c r="D493" t="s">
        <v>408</v>
      </c>
      <c r="E493" t="s">
        <v>408</v>
      </c>
      <c r="F493" s="122">
        <v>60</v>
      </c>
      <c r="G493" s="122">
        <v>3701</v>
      </c>
      <c r="H493" s="122">
        <v>8065</v>
      </c>
      <c r="I493" s="122">
        <v>197906</v>
      </c>
      <c r="J493" s="191">
        <v>179914</v>
      </c>
      <c r="K493" s="122">
        <v>75</v>
      </c>
      <c r="L493" s="122">
        <v>20876</v>
      </c>
      <c r="M493" s="122">
        <v>18978</v>
      </c>
      <c r="N493" s="122">
        <v>45092</v>
      </c>
      <c r="O493" s="122">
        <v>16701</v>
      </c>
      <c r="P493" s="122">
        <v>21060</v>
      </c>
      <c r="Q493" s="122">
        <v>7800</v>
      </c>
      <c r="R493" s="122">
        <v>211344</v>
      </c>
      <c r="S493" s="122">
        <v>192131</v>
      </c>
      <c r="T493">
        <v>0</v>
      </c>
      <c r="U493">
        <v>0</v>
      </c>
      <c r="V493" s="122">
        <v>415524</v>
      </c>
      <c r="W493" s="122">
        <f t="shared" si="14"/>
        <v>415524</v>
      </c>
      <c r="X493" s="122">
        <f t="shared" si="15"/>
        <v>496278</v>
      </c>
      <c r="Y493" s="122"/>
      <c r="AA493" t="s">
        <v>58</v>
      </c>
      <c r="AB493" t="s">
        <v>426</v>
      </c>
      <c r="AC493" t="s">
        <v>566</v>
      </c>
      <c r="AD493" t="s">
        <v>426</v>
      </c>
      <c r="AE493" t="s">
        <v>566</v>
      </c>
      <c r="AF493">
        <v>2</v>
      </c>
      <c r="AG493">
        <v>179</v>
      </c>
      <c r="AH493">
        <v>525</v>
      </c>
      <c r="AI493" s="122">
        <v>31169</v>
      </c>
      <c r="AJ493" s="122">
        <v>28335</v>
      </c>
      <c r="AK493">
        <v>65</v>
      </c>
      <c r="AL493">
        <v>0</v>
      </c>
      <c r="AM493">
        <v>641</v>
      </c>
      <c r="AN493" s="122">
        <v>3169</v>
      </c>
      <c r="AO493" s="122">
        <v>1174</v>
      </c>
      <c r="AP493">
        <v>702</v>
      </c>
      <c r="AQ493">
        <v>260</v>
      </c>
      <c r="AR493" s="122">
        <v>12496</v>
      </c>
      <c r="AS493" s="122">
        <v>11360</v>
      </c>
      <c r="AT493">
        <v>0</v>
      </c>
      <c r="AU493">
        <v>0</v>
      </c>
      <c r="AV493" s="122">
        <v>41770</v>
      </c>
    </row>
    <row r="494" spans="2:48" ht="13">
      <c r="B494" t="s">
        <v>440</v>
      </c>
      <c r="C494" t="s">
        <v>56</v>
      </c>
      <c r="F494">
        <v>129</v>
      </c>
      <c r="G494" s="122">
        <v>10118</v>
      </c>
      <c r="H494" s="122">
        <v>23354</v>
      </c>
      <c r="J494" s="191">
        <v>0</v>
      </c>
      <c r="K494" s="122"/>
      <c r="M494">
        <v>0</v>
      </c>
      <c r="N494" s="122">
        <v>190239</v>
      </c>
      <c r="O494" s="122">
        <v>70459</v>
      </c>
      <c r="P494" s="122">
        <v>31438</v>
      </c>
      <c r="Q494" s="122">
        <v>11644</v>
      </c>
      <c r="S494">
        <v>0</v>
      </c>
      <c r="T494" s="122">
        <v>8082</v>
      </c>
      <c r="U494" s="122">
        <v>2993</v>
      </c>
      <c r="V494" s="122">
        <v>85096</v>
      </c>
      <c r="W494" s="122">
        <f t="shared" si="14"/>
        <v>85096</v>
      </c>
      <c r="X494" s="122">
        <f t="shared" si="15"/>
        <v>229759</v>
      </c>
      <c r="Y494" s="122"/>
      <c r="AA494" t="s">
        <v>58</v>
      </c>
      <c r="AB494" t="s">
        <v>433</v>
      </c>
      <c r="AC494" t="s">
        <v>137</v>
      </c>
      <c r="AD494" t="s">
        <v>433</v>
      </c>
      <c r="AE494" t="s">
        <v>137</v>
      </c>
      <c r="AF494">
        <v>1</v>
      </c>
      <c r="AG494">
        <v>45</v>
      </c>
      <c r="AH494">
        <v>266</v>
      </c>
      <c r="AI494" s="122">
        <v>5533</v>
      </c>
      <c r="AJ494" s="122">
        <v>5030</v>
      </c>
      <c r="AK494">
        <v>65</v>
      </c>
      <c r="AL494">
        <v>981</v>
      </c>
      <c r="AM494">
        <v>363</v>
      </c>
      <c r="AN494">
        <v>545</v>
      </c>
      <c r="AO494">
        <v>202</v>
      </c>
      <c r="AP494">
        <v>351</v>
      </c>
      <c r="AQ494">
        <v>130</v>
      </c>
      <c r="AR494" s="122">
        <v>2817</v>
      </c>
      <c r="AS494" s="122">
        <v>2561</v>
      </c>
      <c r="AT494" s="122">
        <v>1670</v>
      </c>
      <c r="AU494">
        <v>619</v>
      </c>
      <c r="AV494" s="122">
        <v>8905</v>
      </c>
    </row>
    <row r="495" spans="2:48" ht="13">
      <c r="B495" t="s">
        <v>440</v>
      </c>
      <c r="C495" t="s">
        <v>56</v>
      </c>
      <c r="D495" t="s">
        <v>425</v>
      </c>
      <c r="E495" t="s">
        <v>407</v>
      </c>
      <c r="F495">
        <v>2</v>
      </c>
      <c r="G495">
        <v>86</v>
      </c>
      <c r="H495" s="122">
        <v>327</v>
      </c>
      <c r="I495" s="122">
        <v>6659</v>
      </c>
      <c r="J495" s="191">
        <v>6053</v>
      </c>
      <c r="K495" s="122">
        <v>91</v>
      </c>
      <c r="L495">
        <v>0</v>
      </c>
      <c r="M495">
        <v>0</v>
      </c>
      <c r="N495" s="122">
        <v>2096</v>
      </c>
      <c r="O495">
        <v>776</v>
      </c>
      <c r="P495">
        <v>945</v>
      </c>
      <c r="Q495">
        <v>350</v>
      </c>
      <c r="R495" s="122">
        <v>4339</v>
      </c>
      <c r="S495" s="122">
        <v>3945</v>
      </c>
      <c r="T495">
        <v>0</v>
      </c>
      <c r="U495">
        <v>0</v>
      </c>
      <c r="V495" s="122">
        <v>11124</v>
      </c>
      <c r="W495" s="122">
        <f t="shared" si="14"/>
        <v>11124</v>
      </c>
      <c r="X495" s="122">
        <f t="shared" si="15"/>
        <v>14039</v>
      </c>
      <c r="Y495" s="122"/>
      <c r="AA495" t="s">
        <v>58</v>
      </c>
      <c r="AB495" t="s">
        <v>408</v>
      </c>
      <c r="AC495" t="s">
        <v>580</v>
      </c>
      <c r="AD495" t="s">
        <v>408</v>
      </c>
      <c r="AE495" t="s">
        <v>137</v>
      </c>
      <c r="AF495">
        <v>1</v>
      </c>
      <c r="AG495">
        <v>175</v>
      </c>
      <c r="AH495">
        <v>248</v>
      </c>
      <c r="AI495" s="122">
        <v>28320</v>
      </c>
      <c r="AJ495" s="122">
        <v>25745</v>
      </c>
      <c r="AK495">
        <v>77</v>
      </c>
      <c r="AL495" s="122">
        <v>3475</v>
      </c>
      <c r="AM495" s="122">
        <v>3159</v>
      </c>
      <c r="AN495" s="122">
        <v>3129</v>
      </c>
      <c r="AO495" s="122">
        <v>1159</v>
      </c>
      <c r="AP495">
        <v>972</v>
      </c>
      <c r="AQ495">
        <v>360</v>
      </c>
      <c r="AR495" s="122">
        <v>4089</v>
      </c>
      <c r="AS495" s="122">
        <v>3717</v>
      </c>
      <c r="AT495" s="122">
        <v>3280</v>
      </c>
      <c r="AU495" s="122">
        <v>1215</v>
      </c>
      <c r="AV495" s="122">
        <v>35355</v>
      </c>
    </row>
    <row r="496" spans="2:48" ht="13">
      <c r="B496" t="s">
        <v>440</v>
      </c>
      <c r="C496" t="s">
        <v>56</v>
      </c>
      <c r="D496" t="s">
        <v>405</v>
      </c>
      <c r="E496" t="s">
        <v>405</v>
      </c>
      <c r="F496">
        <v>2</v>
      </c>
      <c r="G496">
        <v>106</v>
      </c>
      <c r="H496" s="122">
        <v>441</v>
      </c>
      <c r="I496" s="122">
        <v>16097</v>
      </c>
      <c r="J496" s="191">
        <v>14634</v>
      </c>
      <c r="K496" s="122">
        <v>82</v>
      </c>
      <c r="L496">
        <v>0</v>
      </c>
      <c r="M496">
        <v>0</v>
      </c>
      <c r="N496" s="122">
        <v>1685</v>
      </c>
      <c r="O496">
        <v>624</v>
      </c>
      <c r="P496">
        <v>824</v>
      </c>
      <c r="Q496">
        <v>305</v>
      </c>
      <c r="R496" s="122">
        <v>4721</v>
      </c>
      <c r="S496" s="122">
        <v>4292</v>
      </c>
      <c r="T496">
        <v>0</v>
      </c>
      <c r="U496">
        <v>0</v>
      </c>
      <c r="V496" s="122">
        <v>19854</v>
      </c>
      <c r="W496" s="122">
        <f t="shared" si="14"/>
        <v>19855</v>
      </c>
      <c r="X496" s="122">
        <f t="shared" si="15"/>
        <v>23327</v>
      </c>
      <c r="Y496" s="122"/>
      <c r="AA496" t="s">
        <v>58</v>
      </c>
      <c r="AB496" t="s">
        <v>408</v>
      </c>
      <c r="AC496" t="s">
        <v>426</v>
      </c>
      <c r="AD496" t="s">
        <v>137</v>
      </c>
      <c r="AE496" t="s">
        <v>566</v>
      </c>
      <c r="AF496">
        <v>1</v>
      </c>
      <c r="AG496">
        <v>174</v>
      </c>
      <c r="AH496">
        <v>267</v>
      </c>
      <c r="AI496" s="122">
        <v>33693</v>
      </c>
      <c r="AJ496" s="122">
        <v>30630</v>
      </c>
      <c r="AK496">
        <v>65</v>
      </c>
      <c r="AL496" s="122">
        <v>3744</v>
      </c>
      <c r="AM496" s="122">
        <v>3403</v>
      </c>
      <c r="AN496" s="122">
        <v>2900</v>
      </c>
      <c r="AO496" s="122">
        <v>1074</v>
      </c>
      <c r="AP496">
        <v>351</v>
      </c>
      <c r="AQ496">
        <v>130</v>
      </c>
      <c r="AR496" s="122">
        <v>5640</v>
      </c>
      <c r="AS496" s="122">
        <v>2089</v>
      </c>
      <c r="AT496">
        <v>0</v>
      </c>
      <c r="AU496">
        <v>0</v>
      </c>
      <c r="AV496" s="122">
        <v>37327</v>
      </c>
    </row>
    <row r="497" spans="2:48" ht="13">
      <c r="B497" t="s">
        <v>440</v>
      </c>
      <c r="C497" t="s">
        <v>56</v>
      </c>
      <c r="D497" t="s">
        <v>137</v>
      </c>
      <c r="E497" t="s">
        <v>137</v>
      </c>
      <c r="F497">
        <v>455</v>
      </c>
      <c r="G497" s="122">
        <v>30413</v>
      </c>
      <c r="H497" s="122">
        <v>90324</v>
      </c>
      <c r="I497" s="122">
        <v>2324685</v>
      </c>
      <c r="J497" s="191">
        <v>860995</v>
      </c>
      <c r="K497" s="122">
        <v>100</v>
      </c>
      <c r="L497" s="122">
        <v>297000</v>
      </c>
      <c r="M497" s="122">
        <v>131186</v>
      </c>
      <c r="N497" s="122">
        <v>615456</v>
      </c>
      <c r="O497" s="122">
        <v>227947</v>
      </c>
      <c r="P497" s="122">
        <v>10054</v>
      </c>
      <c r="Q497" s="122">
        <v>3724</v>
      </c>
      <c r="R497" s="122">
        <v>2767296</v>
      </c>
      <c r="S497" s="122">
        <v>1024925</v>
      </c>
      <c r="T497" s="122">
        <v>7893</v>
      </c>
      <c r="U497" s="122">
        <v>2923</v>
      </c>
      <c r="V497" s="122">
        <v>2251699</v>
      </c>
      <c r="W497" s="122">
        <f t="shared" si="14"/>
        <v>2251700</v>
      </c>
      <c r="X497" s="122">
        <f t="shared" si="15"/>
        <v>6022384</v>
      </c>
      <c r="Y497" s="122"/>
      <c r="AA497" t="s">
        <v>58</v>
      </c>
      <c r="AB497" t="s">
        <v>408</v>
      </c>
      <c r="AC497" t="s">
        <v>433</v>
      </c>
      <c r="AD497" t="s">
        <v>137</v>
      </c>
      <c r="AE497" t="s">
        <v>566</v>
      </c>
      <c r="AF497">
        <v>1</v>
      </c>
      <c r="AG497">
        <v>67</v>
      </c>
      <c r="AH497">
        <v>284</v>
      </c>
      <c r="AI497" s="122">
        <v>14305</v>
      </c>
      <c r="AJ497" s="122">
        <v>13005</v>
      </c>
      <c r="AK497">
        <v>90</v>
      </c>
      <c r="AL497">
        <v>0</v>
      </c>
      <c r="AM497">
        <v>0</v>
      </c>
      <c r="AN497">
        <v>820</v>
      </c>
      <c r="AO497">
        <v>304</v>
      </c>
      <c r="AP497">
        <v>0</v>
      </c>
      <c r="AQ497">
        <v>0</v>
      </c>
      <c r="AR497" s="122">
        <v>3983</v>
      </c>
      <c r="AS497" s="122">
        <v>1475</v>
      </c>
      <c r="AT497">
        <v>0</v>
      </c>
      <c r="AU497">
        <v>0</v>
      </c>
      <c r="AV497" s="122">
        <v>14784</v>
      </c>
    </row>
    <row r="498" spans="2:48" ht="13">
      <c r="B498" t="s">
        <v>440</v>
      </c>
      <c r="C498" t="s">
        <v>56</v>
      </c>
      <c r="D498" t="s">
        <v>406</v>
      </c>
      <c r="E498" t="s">
        <v>406</v>
      </c>
      <c r="F498" s="122">
        <v>10</v>
      </c>
      <c r="G498" s="122">
        <v>745</v>
      </c>
      <c r="H498" s="122">
        <v>1968</v>
      </c>
      <c r="I498" s="122">
        <v>74331</v>
      </c>
      <c r="J498" s="191">
        <v>67574</v>
      </c>
      <c r="K498" s="122">
        <v>91</v>
      </c>
      <c r="L498" s="122">
        <v>8333</v>
      </c>
      <c r="M498" s="122">
        <v>6457</v>
      </c>
      <c r="N498" s="122">
        <v>14080</v>
      </c>
      <c r="O498" s="122">
        <v>5215</v>
      </c>
      <c r="P498" s="122">
        <v>6210</v>
      </c>
      <c r="Q498" s="122">
        <v>2300</v>
      </c>
      <c r="R498" s="122">
        <v>41924</v>
      </c>
      <c r="S498" s="122">
        <v>38112</v>
      </c>
      <c r="T498" s="122">
        <v>2226</v>
      </c>
      <c r="U498">
        <v>824</v>
      </c>
      <c r="V498" s="122">
        <v>120483</v>
      </c>
      <c r="W498" s="122">
        <f t="shared" si="14"/>
        <v>120482</v>
      </c>
      <c r="X498" s="122">
        <f t="shared" si="15"/>
        <v>147104</v>
      </c>
      <c r="Y498" s="122"/>
      <c r="AA498" t="s">
        <v>58</v>
      </c>
      <c r="AB498" t="s">
        <v>408</v>
      </c>
      <c r="AC498" t="s">
        <v>433</v>
      </c>
      <c r="AD498" t="s">
        <v>408</v>
      </c>
      <c r="AE498" t="s">
        <v>137</v>
      </c>
      <c r="AF498">
        <v>1</v>
      </c>
      <c r="AG498">
        <v>108</v>
      </c>
      <c r="AH498">
        <v>280</v>
      </c>
      <c r="AI498" s="122">
        <v>19050</v>
      </c>
      <c r="AJ498" s="122">
        <v>17318</v>
      </c>
      <c r="AK498">
        <v>93</v>
      </c>
      <c r="AL498" s="122">
        <v>3135</v>
      </c>
      <c r="AM498" s="122">
        <v>2850</v>
      </c>
      <c r="AN498" s="122">
        <v>2016</v>
      </c>
      <c r="AO498">
        <v>747</v>
      </c>
      <c r="AP498">
        <v>351</v>
      </c>
      <c r="AQ498">
        <v>130</v>
      </c>
      <c r="AR498" s="122">
        <v>3207</v>
      </c>
      <c r="AS498" s="122">
        <v>2915</v>
      </c>
      <c r="AT498" s="122">
        <v>2530</v>
      </c>
      <c r="AU498">
        <v>937</v>
      </c>
      <c r="AV498" s="122">
        <v>24897</v>
      </c>
    </row>
    <row r="499" spans="2:48" ht="13">
      <c r="B499" t="s">
        <v>440</v>
      </c>
      <c r="C499" t="s">
        <v>56</v>
      </c>
      <c r="D499" t="s">
        <v>407</v>
      </c>
      <c r="E499" t="s">
        <v>137</v>
      </c>
      <c r="F499">
        <v>2</v>
      </c>
      <c r="G499" s="122">
        <v>155</v>
      </c>
      <c r="H499" s="122">
        <v>369</v>
      </c>
      <c r="I499" s="122">
        <v>5549</v>
      </c>
      <c r="J499" s="191">
        <v>5045</v>
      </c>
      <c r="K499" s="122">
        <v>77</v>
      </c>
      <c r="L499">
        <v>414</v>
      </c>
      <c r="M499">
        <v>376</v>
      </c>
      <c r="N499" s="122">
        <v>3225</v>
      </c>
      <c r="O499" s="122">
        <v>1194</v>
      </c>
      <c r="P499">
        <v>702</v>
      </c>
      <c r="Q499">
        <v>260</v>
      </c>
      <c r="R499" s="122">
        <v>18702</v>
      </c>
      <c r="S499" s="122">
        <v>6926</v>
      </c>
      <c r="T499">
        <v>0</v>
      </c>
      <c r="U499">
        <v>0</v>
      </c>
      <c r="V499" s="122">
        <v>13802</v>
      </c>
      <c r="W499" s="122">
        <f t="shared" si="14"/>
        <v>13801</v>
      </c>
      <c r="X499" s="122">
        <f t="shared" si="15"/>
        <v>28592</v>
      </c>
      <c r="Y499" s="122"/>
      <c r="AA499" t="s">
        <v>60</v>
      </c>
      <c r="AC499" t="s">
        <v>566</v>
      </c>
      <c r="AE499" t="s">
        <v>566</v>
      </c>
      <c r="AF499">
        <v>272</v>
      </c>
      <c r="AG499" s="122">
        <v>13228</v>
      </c>
      <c r="AH499" s="122">
        <v>91659</v>
      </c>
      <c r="AJ499">
        <v>0</v>
      </c>
      <c r="AM499">
        <v>0</v>
      </c>
      <c r="AN499" s="122">
        <v>265162</v>
      </c>
      <c r="AO499" s="122">
        <v>98208</v>
      </c>
      <c r="AP499" s="122">
        <v>48077</v>
      </c>
      <c r="AQ499" s="122">
        <v>17806</v>
      </c>
      <c r="AS499">
        <v>0</v>
      </c>
      <c r="AT499" s="122">
        <v>74828</v>
      </c>
      <c r="AU499" s="122">
        <v>27714</v>
      </c>
      <c r="AV499" s="122">
        <v>143728</v>
      </c>
    </row>
    <row r="500" spans="2:48" ht="13">
      <c r="B500" t="s">
        <v>440</v>
      </c>
      <c r="C500" t="s">
        <v>56</v>
      </c>
      <c r="D500" t="s">
        <v>407</v>
      </c>
      <c r="E500" t="s">
        <v>407</v>
      </c>
      <c r="F500" s="122">
        <v>1064</v>
      </c>
      <c r="G500" s="122">
        <v>83432</v>
      </c>
      <c r="H500" s="122">
        <v>195656</v>
      </c>
      <c r="I500" s="122">
        <v>6842655</v>
      </c>
      <c r="J500" s="191">
        <v>6220596</v>
      </c>
      <c r="K500" s="122">
        <v>81</v>
      </c>
      <c r="L500" s="122">
        <v>901949</v>
      </c>
      <c r="M500" s="122">
        <v>737469</v>
      </c>
      <c r="N500" s="122">
        <v>1820455</v>
      </c>
      <c r="O500" s="122">
        <v>674243</v>
      </c>
      <c r="P500" s="122">
        <v>510712</v>
      </c>
      <c r="Q500" s="122">
        <v>189153</v>
      </c>
      <c r="R500" s="122">
        <v>4346666</v>
      </c>
      <c r="S500" s="122">
        <v>3951514</v>
      </c>
      <c r="T500" s="122">
        <v>915029</v>
      </c>
      <c r="U500" s="122">
        <v>338900</v>
      </c>
      <c r="V500" s="122">
        <v>12111874</v>
      </c>
      <c r="W500" s="122">
        <f t="shared" si="14"/>
        <v>12111875</v>
      </c>
      <c r="X500" s="122">
        <f t="shared" si="15"/>
        <v>15337466</v>
      </c>
      <c r="Y500" s="122"/>
      <c r="AA500" t="s">
        <v>60</v>
      </c>
      <c r="AB500" t="s">
        <v>578</v>
      </c>
      <c r="AC500" t="s">
        <v>137</v>
      </c>
      <c r="AD500" t="s">
        <v>137</v>
      </c>
      <c r="AE500" t="s">
        <v>566</v>
      </c>
      <c r="AF500">
        <v>2</v>
      </c>
      <c r="AG500">
        <v>106</v>
      </c>
      <c r="AH500">
        <v>714</v>
      </c>
      <c r="AI500" s="122">
        <v>19940</v>
      </c>
      <c r="AJ500" s="122">
        <v>18127</v>
      </c>
      <c r="AK500">
        <v>77</v>
      </c>
      <c r="AL500" s="122">
        <v>4187</v>
      </c>
      <c r="AM500" s="122">
        <v>1551</v>
      </c>
      <c r="AN500" s="122">
        <v>1958</v>
      </c>
      <c r="AO500">
        <v>725</v>
      </c>
      <c r="AP500">
        <v>0</v>
      </c>
      <c r="AQ500">
        <v>0</v>
      </c>
      <c r="AR500" s="122">
        <v>11663</v>
      </c>
      <c r="AS500" s="122">
        <v>4320</v>
      </c>
      <c r="AT500">
        <v>0</v>
      </c>
      <c r="AU500">
        <v>0</v>
      </c>
      <c r="AV500" s="122">
        <v>24723</v>
      </c>
    </row>
    <row r="501" spans="2:48" ht="13">
      <c r="B501" t="s">
        <v>440</v>
      </c>
      <c r="C501" t="s">
        <v>56</v>
      </c>
      <c r="D501" t="s">
        <v>407</v>
      </c>
      <c r="E501" t="s">
        <v>426</v>
      </c>
      <c r="F501">
        <v>1</v>
      </c>
      <c r="G501">
        <v>67</v>
      </c>
      <c r="H501" s="122">
        <v>157</v>
      </c>
      <c r="I501" s="122">
        <v>3191</v>
      </c>
      <c r="J501" s="191">
        <v>2901</v>
      </c>
      <c r="K501" s="122">
        <v>69</v>
      </c>
      <c r="L501">
        <v>0</v>
      </c>
      <c r="M501">
        <v>0</v>
      </c>
      <c r="N501" s="122">
        <v>1141</v>
      </c>
      <c r="O501">
        <v>423</v>
      </c>
      <c r="P501">
        <v>473</v>
      </c>
      <c r="Q501">
        <v>175</v>
      </c>
      <c r="R501" s="122">
        <v>5706</v>
      </c>
      <c r="S501" s="122">
        <v>5187</v>
      </c>
      <c r="T501">
        <v>0</v>
      </c>
      <c r="U501">
        <v>0</v>
      </c>
      <c r="V501" s="122">
        <v>8685</v>
      </c>
      <c r="W501" s="122">
        <f t="shared" si="14"/>
        <v>8686</v>
      </c>
      <c r="X501" s="122">
        <f t="shared" si="15"/>
        <v>10511</v>
      </c>
      <c r="Y501" s="122"/>
      <c r="AA501" t="s">
        <v>60</v>
      </c>
      <c r="AB501" t="s">
        <v>425</v>
      </c>
      <c r="AC501" t="s">
        <v>425</v>
      </c>
      <c r="AD501" t="s">
        <v>425</v>
      </c>
      <c r="AE501" t="s">
        <v>137</v>
      </c>
      <c r="AF501">
        <v>1</v>
      </c>
      <c r="AG501">
        <v>60</v>
      </c>
      <c r="AH501">
        <v>307</v>
      </c>
      <c r="AI501" s="122">
        <v>8772</v>
      </c>
      <c r="AJ501" s="122">
        <v>7975</v>
      </c>
      <c r="AK501">
        <v>65</v>
      </c>
      <c r="AL501" s="122">
        <v>3012</v>
      </c>
      <c r="AM501" s="122">
        <v>2738</v>
      </c>
      <c r="AN501" s="122">
        <v>1473</v>
      </c>
      <c r="AO501">
        <v>545</v>
      </c>
      <c r="AP501">
        <v>473</v>
      </c>
      <c r="AQ501">
        <v>175</v>
      </c>
      <c r="AR501" s="122">
        <v>3399</v>
      </c>
      <c r="AS501" s="122">
        <v>3090</v>
      </c>
      <c r="AT501" s="122">
        <v>1451</v>
      </c>
      <c r="AU501">
        <v>537</v>
      </c>
      <c r="AV501" s="122">
        <v>15061</v>
      </c>
    </row>
    <row r="502" spans="2:48" ht="13">
      <c r="B502" t="s">
        <v>440</v>
      </c>
      <c r="C502" t="s">
        <v>56</v>
      </c>
      <c r="D502" t="s">
        <v>408</v>
      </c>
      <c r="E502" t="s">
        <v>408</v>
      </c>
      <c r="F502" s="122">
        <v>14</v>
      </c>
      <c r="G502" s="122">
        <v>660</v>
      </c>
      <c r="H502" s="122">
        <v>2201</v>
      </c>
      <c r="I502" s="122">
        <v>41644</v>
      </c>
      <c r="J502" s="191">
        <v>37858</v>
      </c>
      <c r="K502" s="122">
        <v>75</v>
      </c>
      <c r="L502" s="122">
        <v>4393</v>
      </c>
      <c r="M502" s="122">
        <v>3993</v>
      </c>
      <c r="N502" s="122">
        <v>8040</v>
      </c>
      <c r="O502" s="122">
        <v>2978</v>
      </c>
      <c r="P502" s="122">
        <v>4914</v>
      </c>
      <c r="Q502" s="122">
        <v>1820</v>
      </c>
      <c r="R502" s="122">
        <v>44621</v>
      </c>
      <c r="S502" s="122">
        <v>40564</v>
      </c>
      <c r="T502">
        <v>0</v>
      </c>
      <c r="U502">
        <v>0</v>
      </c>
      <c r="V502" s="122">
        <v>87214</v>
      </c>
      <c r="W502" s="122">
        <f t="shared" si="14"/>
        <v>87213</v>
      </c>
      <c r="X502" s="122">
        <f t="shared" si="15"/>
        <v>103612</v>
      </c>
      <c r="Y502" s="122"/>
      <c r="AA502" t="s">
        <v>60</v>
      </c>
      <c r="AB502" t="s">
        <v>425</v>
      </c>
      <c r="AC502" t="s">
        <v>427</v>
      </c>
      <c r="AD502" t="s">
        <v>425</v>
      </c>
      <c r="AE502" t="s">
        <v>137</v>
      </c>
      <c r="AF502">
        <v>1</v>
      </c>
      <c r="AG502">
        <v>50</v>
      </c>
      <c r="AH502">
        <v>332</v>
      </c>
      <c r="AI502" s="122">
        <v>8508</v>
      </c>
      <c r="AJ502" s="122">
        <v>7735</v>
      </c>
      <c r="AK502">
        <v>72</v>
      </c>
      <c r="AL502" s="122">
        <v>2155</v>
      </c>
      <c r="AM502" s="122">
        <v>1960</v>
      </c>
      <c r="AN502" s="122">
        <v>1104</v>
      </c>
      <c r="AO502">
        <v>409</v>
      </c>
      <c r="AP502">
        <v>473</v>
      </c>
      <c r="AQ502">
        <v>175</v>
      </c>
      <c r="AR502" s="122">
        <v>2879</v>
      </c>
      <c r="AS502" s="122">
        <v>2617</v>
      </c>
      <c r="AT502" s="122">
        <v>1294</v>
      </c>
      <c r="AU502">
        <v>479</v>
      </c>
      <c r="AV502" s="122">
        <v>13375</v>
      </c>
    </row>
    <row r="503" spans="2:48" ht="13">
      <c r="B503" t="s">
        <v>440</v>
      </c>
      <c r="C503" t="s">
        <v>58</v>
      </c>
      <c r="F503">
        <v>37</v>
      </c>
      <c r="G503" s="122">
        <v>2767</v>
      </c>
      <c r="H503" s="122">
        <v>9624</v>
      </c>
      <c r="J503" s="191">
        <v>0</v>
      </c>
      <c r="K503" s="122"/>
      <c r="M503">
        <v>0</v>
      </c>
      <c r="N503" s="122">
        <v>55247</v>
      </c>
      <c r="O503" s="122">
        <v>20462</v>
      </c>
      <c r="P503" s="122">
        <v>5956</v>
      </c>
      <c r="Q503" s="122">
        <v>2206</v>
      </c>
      <c r="S503">
        <v>0</v>
      </c>
      <c r="T503" s="122">
        <v>5075</v>
      </c>
      <c r="U503" s="122">
        <v>1879</v>
      </c>
      <c r="V503" s="122">
        <v>24547</v>
      </c>
      <c r="W503" s="122">
        <f t="shared" si="14"/>
        <v>24547</v>
      </c>
      <c r="X503" s="122">
        <f t="shared" si="15"/>
        <v>66278</v>
      </c>
      <c r="Y503" s="122"/>
      <c r="AA503" t="s">
        <v>60</v>
      </c>
      <c r="AB503" t="s">
        <v>425</v>
      </c>
      <c r="AC503" t="s">
        <v>427</v>
      </c>
      <c r="AD503" t="s">
        <v>406</v>
      </c>
      <c r="AE503" t="s">
        <v>137</v>
      </c>
      <c r="AF503">
        <v>1</v>
      </c>
      <c r="AG503">
        <v>67</v>
      </c>
      <c r="AH503">
        <v>354</v>
      </c>
      <c r="AI503" s="122">
        <v>13216</v>
      </c>
      <c r="AJ503" s="122">
        <v>12014</v>
      </c>
      <c r="AK503">
        <v>79</v>
      </c>
      <c r="AL503" s="122">
        <v>3671</v>
      </c>
      <c r="AM503" s="122">
        <v>3337</v>
      </c>
      <c r="AN503" s="122">
        <v>1224</v>
      </c>
      <c r="AO503">
        <v>454</v>
      </c>
      <c r="AP503">
        <v>621</v>
      </c>
      <c r="AQ503">
        <v>230</v>
      </c>
      <c r="AR503" s="122">
        <v>2849</v>
      </c>
      <c r="AS503" s="122">
        <v>2590</v>
      </c>
      <c r="AT503" s="122">
        <v>2166</v>
      </c>
      <c r="AU503">
        <v>802</v>
      </c>
      <c r="AV503" s="122">
        <v>19427</v>
      </c>
    </row>
    <row r="504" spans="2:48" ht="13">
      <c r="B504" t="s">
        <v>440</v>
      </c>
      <c r="C504" t="s">
        <v>58</v>
      </c>
      <c r="D504" t="s">
        <v>137</v>
      </c>
      <c r="E504" t="s">
        <v>137</v>
      </c>
      <c r="F504">
        <v>742</v>
      </c>
      <c r="G504" s="122">
        <v>47266</v>
      </c>
      <c r="H504" s="122">
        <v>193909</v>
      </c>
      <c r="I504" s="122">
        <v>5874261</v>
      </c>
      <c r="J504" s="191">
        <v>2175652</v>
      </c>
      <c r="K504" s="122">
        <v>100</v>
      </c>
      <c r="L504" s="122">
        <v>762370</v>
      </c>
      <c r="M504" s="122">
        <v>343729</v>
      </c>
      <c r="N504" s="122">
        <v>978750</v>
      </c>
      <c r="O504" s="122">
        <v>362500</v>
      </c>
      <c r="P504" s="122">
        <v>10301</v>
      </c>
      <c r="Q504" s="122">
        <v>3815</v>
      </c>
      <c r="R504" s="122">
        <v>4670024</v>
      </c>
      <c r="S504" s="122">
        <v>1729639</v>
      </c>
      <c r="T504" s="122">
        <v>7741</v>
      </c>
      <c r="U504" s="122">
        <v>2867</v>
      </c>
      <c r="V504" s="122">
        <v>4618202</v>
      </c>
      <c r="W504" s="122">
        <f t="shared" si="14"/>
        <v>4618202</v>
      </c>
      <c r="X504" s="122">
        <f t="shared" si="15"/>
        <v>12303447</v>
      </c>
      <c r="Y504" s="122"/>
      <c r="AA504" t="s">
        <v>60</v>
      </c>
      <c r="AB504" t="s">
        <v>425</v>
      </c>
      <c r="AC504" t="s">
        <v>579</v>
      </c>
      <c r="AD504" t="s">
        <v>425</v>
      </c>
      <c r="AE504" t="s">
        <v>566</v>
      </c>
      <c r="AF504">
        <v>1</v>
      </c>
      <c r="AG504">
        <v>86</v>
      </c>
      <c r="AH504">
        <v>331</v>
      </c>
      <c r="AI504" s="122">
        <v>20123</v>
      </c>
      <c r="AJ504" s="122">
        <v>18293</v>
      </c>
      <c r="AK504">
        <v>73</v>
      </c>
      <c r="AL504" s="122">
        <v>2821</v>
      </c>
      <c r="AM504" s="122">
        <v>2351</v>
      </c>
      <c r="AN504" s="122">
        <v>1991</v>
      </c>
      <c r="AO504">
        <v>737</v>
      </c>
      <c r="AP504">
        <v>473</v>
      </c>
      <c r="AQ504">
        <v>175</v>
      </c>
      <c r="AR504" s="122">
        <v>3216</v>
      </c>
      <c r="AS504" s="122">
        <v>2923</v>
      </c>
      <c r="AT504">
        <v>0</v>
      </c>
      <c r="AU504">
        <v>0</v>
      </c>
      <c r="AV504" s="122">
        <v>24480</v>
      </c>
    </row>
    <row r="505" spans="2:48" ht="13">
      <c r="B505" t="s">
        <v>440</v>
      </c>
      <c r="C505" t="s">
        <v>58</v>
      </c>
      <c r="D505" t="s">
        <v>137</v>
      </c>
      <c r="E505" t="s">
        <v>407</v>
      </c>
      <c r="F505">
        <v>1</v>
      </c>
      <c r="G505">
        <v>37</v>
      </c>
      <c r="H505" s="122">
        <v>291</v>
      </c>
      <c r="I505" s="122">
        <v>5000</v>
      </c>
      <c r="J505" s="191">
        <v>1852</v>
      </c>
      <c r="K505" s="122">
        <v>100</v>
      </c>
      <c r="L505">
        <v>754</v>
      </c>
      <c r="M505">
        <v>686</v>
      </c>
      <c r="N505">
        <v>451</v>
      </c>
      <c r="O505">
        <v>167</v>
      </c>
      <c r="P505">
        <v>0</v>
      </c>
      <c r="Q505">
        <v>0</v>
      </c>
      <c r="R505" s="122">
        <v>4558</v>
      </c>
      <c r="S505" s="122">
        <v>4144</v>
      </c>
      <c r="T505">
        <v>0</v>
      </c>
      <c r="U505">
        <v>0</v>
      </c>
      <c r="V505" s="122">
        <v>6848</v>
      </c>
      <c r="W505" s="122">
        <f t="shared" si="14"/>
        <v>6849</v>
      </c>
      <c r="X505" s="122">
        <f t="shared" si="15"/>
        <v>10763</v>
      </c>
      <c r="Y505" s="122"/>
      <c r="AA505" t="s">
        <v>60</v>
      </c>
      <c r="AB505" t="s">
        <v>425</v>
      </c>
      <c r="AC505" t="s">
        <v>426</v>
      </c>
      <c r="AD505" t="s">
        <v>425</v>
      </c>
      <c r="AE505" t="s">
        <v>137</v>
      </c>
      <c r="AF505">
        <v>2</v>
      </c>
      <c r="AG505">
        <v>90</v>
      </c>
      <c r="AH505">
        <v>716</v>
      </c>
      <c r="AI505" s="122">
        <v>20389</v>
      </c>
      <c r="AJ505" s="122">
        <v>18536</v>
      </c>
      <c r="AK505">
        <v>67</v>
      </c>
      <c r="AL505" s="122">
        <v>4721</v>
      </c>
      <c r="AM505" s="122">
        <v>4292</v>
      </c>
      <c r="AN505" s="122">
        <v>1903</v>
      </c>
      <c r="AO505">
        <v>705</v>
      </c>
      <c r="AP505">
        <v>945</v>
      </c>
      <c r="AQ505">
        <v>350</v>
      </c>
      <c r="AR505" s="122">
        <v>6959</v>
      </c>
      <c r="AS505" s="122">
        <v>6326</v>
      </c>
      <c r="AT505" s="122">
        <v>2043</v>
      </c>
      <c r="AU505">
        <v>757</v>
      </c>
      <c r="AV505" s="122">
        <v>30965</v>
      </c>
    </row>
    <row r="506" spans="2:48" ht="13">
      <c r="B506" t="s">
        <v>440</v>
      </c>
      <c r="C506" t="s">
        <v>58</v>
      </c>
      <c r="D506" t="s">
        <v>406</v>
      </c>
      <c r="E506" t="s">
        <v>137</v>
      </c>
      <c r="F506">
        <v>2</v>
      </c>
      <c r="G506">
        <v>137</v>
      </c>
      <c r="H506">
        <v>576</v>
      </c>
      <c r="I506" s="122">
        <v>21903</v>
      </c>
      <c r="J506" s="191">
        <v>19912</v>
      </c>
      <c r="K506">
        <v>79</v>
      </c>
      <c r="L506">
        <v>374</v>
      </c>
      <c r="M506">
        <v>139</v>
      </c>
      <c r="N506" s="122">
        <v>2921</v>
      </c>
      <c r="O506" s="122">
        <v>1082</v>
      </c>
      <c r="P506" s="122">
        <v>1242</v>
      </c>
      <c r="Q506">
        <v>460</v>
      </c>
      <c r="R506" s="122">
        <v>12752</v>
      </c>
      <c r="S506" s="122">
        <v>4723</v>
      </c>
      <c r="T506">
        <v>0</v>
      </c>
      <c r="U506">
        <v>0</v>
      </c>
      <c r="V506" s="122">
        <v>26316</v>
      </c>
      <c r="W506" s="122">
        <f t="shared" si="14"/>
        <v>26316</v>
      </c>
      <c r="X506" s="122">
        <f t="shared" si="15"/>
        <v>39192</v>
      </c>
      <c r="Y506" s="122"/>
      <c r="AA506" t="s">
        <v>60</v>
      </c>
      <c r="AB506" t="s">
        <v>425</v>
      </c>
      <c r="AC506" t="s">
        <v>426</v>
      </c>
      <c r="AD506" t="s">
        <v>425</v>
      </c>
      <c r="AE506" t="s">
        <v>566</v>
      </c>
      <c r="AF506">
        <v>1</v>
      </c>
      <c r="AG506">
        <v>52</v>
      </c>
      <c r="AH506">
        <v>341</v>
      </c>
      <c r="AI506" s="122">
        <v>12461</v>
      </c>
      <c r="AJ506" s="122">
        <v>11328</v>
      </c>
      <c r="AK506">
        <v>91</v>
      </c>
      <c r="AL506" s="122">
        <v>1996</v>
      </c>
      <c r="AM506" s="122">
        <v>1815</v>
      </c>
      <c r="AN506">
        <v>954</v>
      </c>
      <c r="AO506">
        <v>353</v>
      </c>
      <c r="AP506">
        <v>473</v>
      </c>
      <c r="AQ506">
        <v>175</v>
      </c>
      <c r="AR506" s="122">
        <v>1902</v>
      </c>
      <c r="AS506" s="122">
        <v>1729</v>
      </c>
      <c r="AT506">
        <v>0</v>
      </c>
      <c r="AU506">
        <v>0</v>
      </c>
      <c r="AV506" s="122">
        <v>15400</v>
      </c>
    </row>
    <row r="507" spans="2:48" ht="13">
      <c r="B507" t="s">
        <v>440</v>
      </c>
      <c r="C507" t="s">
        <v>58</v>
      </c>
      <c r="D507" t="s">
        <v>406</v>
      </c>
      <c r="E507" t="s">
        <v>406</v>
      </c>
      <c r="F507" s="122">
        <v>7</v>
      </c>
      <c r="G507" s="122">
        <v>413</v>
      </c>
      <c r="H507" s="122">
        <v>1791</v>
      </c>
      <c r="I507" s="122">
        <v>54081</v>
      </c>
      <c r="J507" s="191">
        <v>49165</v>
      </c>
      <c r="K507" s="122">
        <v>77</v>
      </c>
      <c r="L507" s="122">
        <v>1678</v>
      </c>
      <c r="M507">
        <v>621</v>
      </c>
      <c r="N507" s="122">
        <v>9303</v>
      </c>
      <c r="O507" s="122">
        <v>3446</v>
      </c>
      <c r="P507" s="122">
        <v>4347</v>
      </c>
      <c r="Q507" s="122">
        <v>1610</v>
      </c>
      <c r="R507" s="122">
        <v>21068</v>
      </c>
      <c r="S507" s="122">
        <v>19152</v>
      </c>
      <c r="T507" s="122">
        <v>13602</v>
      </c>
      <c r="U507" s="122">
        <v>5038</v>
      </c>
      <c r="V507" s="122">
        <v>79032</v>
      </c>
      <c r="W507" s="122">
        <f t="shared" si="14"/>
        <v>79032</v>
      </c>
      <c r="X507" s="122">
        <f t="shared" si="15"/>
        <v>104079</v>
      </c>
      <c r="Y507" s="122"/>
      <c r="AA507" t="s">
        <v>60</v>
      </c>
      <c r="AB507" t="s">
        <v>425</v>
      </c>
      <c r="AC507" t="s">
        <v>566</v>
      </c>
      <c r="AD507" t="s">
        <v>425</v>
      </c>
      <c r="AE507" t="s">
        <v>566</v>
      </c>
      <c r="AF507">
        <v>1</v>
      </c>
      <c r="AG507">
        <v>68</v>
      </c>
      <c r="AH507">
        <v>310</v>
      </c>
      <c r="AI507" s="122">
        <v>16642</v>
      </c>
      <c r="AJ507" s="122">
        <v>15129</v>
      </c>
      <c r="AK507">
        <v>73</v>
      </c>
      <c r="AL507">
        <v>0</v>
      </c>
      <c r="AM507">
        <v>0</v>
      </c>
      <c r="AN507" s="122">
        <v>1028</v>
      </c>
      <c r="AO507">
        <v>381</v>
      </c>
      <c r="AP507">
        <v>473</v>
      </c>
      <c r="AQ507">
        <v>175</v>
      </c>
      <c r="AR507" s="122">
        <v>2758</v>
      </c>
      <c r="AS507" s="122">
        <v>2507</v>
      </c>
      <c r="AT507">
        <v>0</v>
      </c>
      <c r="AU507">
        <v>0</v>
      </c>
      <c r="AV507" s="122">
        <v>18192</v>
      </c>
    </row>
    <row r="508" spans="2:48" ht="13">
      <c r="B508" t="s">
        <v>440</v>
      </c>
      <c r="C508" t="s">
        <v>58</v>
      </c>
      <c r="D508" t="s">
        <v>407</v>
      </c>
      <c r="E508" t="s">
        <v>137</v>
      </c>
      <c r="F508" s="122">
        <v>6</v>
      </c>
      <c r="G508" s="122">
        <v>321</v>
      </c>
      <c r="H508" s="122">
        <v>1534</v>
      </c>
      <c r="I508" s="122">
        <v>36867</v>
      </c>
      <c r="J508" s="191">
        <v>33515</v>
      </c>
      <c r="K508" s="122">
        <v>82</v>
      </c>
      <c r="L508" s="122">
        <v>1571</v>
      </c>
      <c r="M508" s="122">
        <v>1027</v>
      </c>
      <c r="N508" s="122">
        <v>6324</v>
      </c>
      <c r="O508" s="122">
        <v>2342</v>
      </c>
      <c r="P508" s="122">
        <v>2835</v>
      </c>
      <c r="Q508" s="122">
        <v>1050</v>
      </c>
      <c r="R508" s="122">
        <v>33166</v>
      </c>
      <c r="S508" s="122">
        <v>12284</v>
      </c>
      <c r="T508">
        <v>0</v>
      </c>
      <c r="U508">
        <v>0</v>
      </c>
      <c r="V508" s="122">
        <v>50218</v>
      </c>
      <c r="W508" s="122">
        <f t="shared" si="14"/>
        <v>50218</v>
      </c>
      <c r="X508" s="122">
        <f t="shared" si="15"/>
        <v>80763</v>
      </c>
      <c r="Y508" s="122"/>
      <c r="AA508" t="s">
        <v>60</v>
      </c>
      <c r="AB508" t="s">
        <v>425</v>
      </c>
      <c r="AC508" t="s">
        <v>566</v>
      </c>
      <c r="AD508" t="s">
        <v>405</v>
      </c>
      <c r="AE508" t="s">
        <v>137</v>
      </c>
      <c r="AF508">
        <v>1</v>
      </c>
      <c r="AG508">
        <v>44</v>
      </c>
      <c r="AH508">
        <v>372</v>
      </c>
      <c r="AI508" s="122">
        <v>11779</v>
      </c>
      <c r="AJ508" s="122">
        <v>10708</v>
      </c>
      <c r="AK508">
        <v>90</v>
      </c>
      <c r="AL508">
        <v>0</v>
      </c>
      <c r="AM508">
        <v>0</v>
      </c>
      <c r="AN508">
        <v>641</v>
      </c>
      <c r="AO508">
        <v>237</v>
      </c>
      <c r="AP508">
        <v>473</v>
      </c>
      <c r="AQ508">
        <v>175</v>
      </c>
      <c r="AR508" s="122">
        <v>2224</v>
      </c>
      <c r="AS508" s="122">
        <v>2021</v>
      </c>
      <c r="AT508" s="122">
        <v>1211</v>
      </c>
      <c r="AU508">
        <v>449</v>
      </c>
      <c r="AV508" s="122">
        <v>13591</v>
      </c>
    </row>
    <row r="509" spans="2:48" ht="13">
      <c r="B509" t="s">
        <v>440</v>
      </c>
      <c r="C509" t="s">
        <v>58</v>
      </c>
      <c r="D509" t="s">
        <v>407</v>
      </c>
      <c r="E509" t="s">
        <v>407</v>
      </c>
      <c r="F509">
        <v>532</v>
      </c>
      <c r="G509" s="122">
        <v>37343</v>
      </c>
      <c r="H509" s="122">
        <v>137787</v>
      </c>
      <c r="I509" s="122">
        <v>4915154</v>
      </c>
      <c r="J509" s="191">
        <v>4468322</v>
      </c>
      <c r="K509" s="122">
        <v>78</v>
      </c>
      <c r="L509" s="122">
        <v>907503</v>
      </c>
      <c r="M509" s="122">
        <v>781860</v>
      </c>
      <c r="N509" s="122">
        <v>803859</v>
      </c>
      <c r="O509" s="122">
        <v>297726</v>
      </c>
      <c r="P509" s="122">
        <v>255931</v>
      </c>
      <c r="Q509" s="122">
        <v>94789</v>
      </c>
      <c r="R509" s="122">
        <v>2253968</v>
      </c>
      <c r="S509" s="122">
        <v>2049062</v>
      </c>
      <c r="T509" s="122">
        <v>490755</v>
      </c>
      <c r="U509" s="122">
        <v>181761</v>
      </c>
      <c r="V509" s="122">
        <v>7873519</v>
      </c>
      <c r="W509" s="122">
        <f t="shared" si="14"/>
        <v>7873520</v>
      </c>
      <c r="X509" s="122">
        <f t="shared" si="15"/>
        <v>9627170</v>
      </c>
      <c r="Y509" s="122"/>
      <c r="AA509" t="s">
        <v>60</v>
      </c>
      <c r="AB509" t="s">
        <v>405</v>
      </c>
      <c r="AC509" t="s">
        <v>427</v>
      </c>
      <c r="AD509" t="s">
        <v>137</v>
      </c>
      <c r="AE509" t="s">
        <v>566</v>
      </c>
      <c r="AF509">
        <v>1</v>
      </c>
      <c r="AG509">
        <v>60</v>
      </c>
      <c r="AH509">
        <v>305</v>
      </c>
      <c r="AI509" s="122">
        <v>5242</v>
      </c>
      <c r="AJ509" s="122">
        <v>4766</v>
      </c>
      <c r="AK509">
        <v>87</v>
      </c>
      <c r="AL509" s="122">
        <v>1610</v>
      </c>
      <c r="AM509" s="122">
        <v>1463</v>
      </c>
      <c r="AN509" s="122">
        <v>1382</v>
      </c>
      <c r="AO509">
        <v>512</v>
      </c>
      <c r="AP509">
        <v>473</v>
      </c>
      <c r="AQ509">
        <v>175</v>
      </c>
      <c r="AR509" s="122">
        <v>9522</v>
      </c>
      <c r="AS509" s="122">
        <v>3527</v>
      </c>
      <c r="AT509">
        <v>0</v>
      </c>
      <c r="AU509">
        <v>0</v>
      </c>
      <c r="AV509" s="122">
        <v>10442</v>
      </c>
    </row>
    <row r="510" spans="2:48" ht="13">
      <c r="B510" t="s">
        <v>440</v>
      </c>
      <c r="C510" t="s">
        <v>60</v>
      </c>
      <c r="F510">
        <v>22</v>
      </c>
      <c r="G510" s="122">
        <v>1258</v>
      </c>
      <c r="H510" s="122">
        <v>7530</v>
      </c>
      <c r="J510" s="66">
        <v>0</v>
      </c>
      <c r="K510" s="122"/>
      <c r="M510">
        <v>0</v>
      </c>
      <c r="N510" s="122">
        <v>22946</v>
      </c>
      <c r="O510" s="122">
        <v>8498</v>
      </c>
      <c r="P510">
        <v>824</v>
      </c>
      <c r="Q510">
        <v>305</v>
      </c>
      <c r="S510">
        <v>0</v>
      </c>
      <c r="T510" s="122">
        <v>11732</v>
      </c>
      <c r="U510" s="122">
        <v>4345</v>
      </c>
      <c r="V510" s="122">
        <v>13148</v>
      </c>
      <c r="W510" s="122">
        <f t="shared" si="14"/>
        <v>13148</v>
      </c>
      <c r="X510" s="122">
        <f t="shared" si="15"/>
        <v>35502</v>
      </c>
      <c r="Y510" s="122"/>
      <c r="AA510" t="s">
        <v>60</v>
      </c>
      <c r="AB510" t="s">
        <v>405</v>
      </c>
      <c r="AC510" t="s">
        <v>579</v>
      </c>
      <c r="AD510" t="s">
        <v>405</v>
      </c>
      <c r="AE510" t="s">
        <v>137</v>
      </c>
      <c r="AF510">
        <v>5</v>
      </c>
      <c r="AG510">
        <v>272</v>
      </c>
      <c r="AH510" s="122">
        <v>1551</v>
      </c>
      <c r="AI510" s="122">
        <v>39123</v>
      </c>
      <c r="AJ510" s="122">
        <v>35567</v>
      </c>
      <c r="AK510">
        <v>73</v>
      </c>
      <c r="AL510" s="122">
        <v>10855</v>
      </c>
      <c r="AM510" s="122">
        <v>9045</v>
      </c>
      <c r="AN510" s="122">
        <v>5952</v>
      </c>
      <c r="AO510" s="122">
        <v>2204</v>
      </c>
      <c r="AP510" s="122">
        <v>2363</v>
      </c>
      <c r="AQ510">
        <v>875</v>
      </c>
      <c r="AR510" s="122">
        <v>17277</v>
      </c>
      <c r="AS510" s="122">
        <v>15707</v>
      </c>
      <c r="AT510" s="122">
        <v>8855</v>
      </c>
      <c r="AU510" s="122">
        <v>3280</v>
      </c>
      <c r="AV510" s="122">
        <v>66678</v>
      </c>
    </row>
    <row r="511" spans="2:48" ht="13">
      <c r="B511" t="s">
        <v>440</v>
      </c>
      <c r="C511" t="s">
        <v>60</v>
      </c>
      <c r="D511" t="s">
        <v>137</v>
      </c>
      <c r="E511" t="s">
        <v>137</v>
      </c>
      <c r="F511">
        <v>424</v>
      </c>
      <c r="G511" s="122">
        <v>25224</v>
      </c>
      <c r="H511" s="122">
        <v>142781</v>
      </c>
      <c r="I511" s="122">
        <v>4637541</v>
      </c>
      <c r="J511" s="191">
        <v>1717608</v>
      </c>
      <c r="K511" s="122">
        <v>100</v>
      </c>
      <c r="L511" s="122">
        <v>616580</v>
      </c>
      <c r="M511" s="122">
        <v>326952</v>
      </c>
      <c r="N511" s="122">
        <v>527666</v>
      </c>
      <c r="O511" s="122">
        <v>195432</v>
      </c>
      <c r="P511" s="122">
        <v>7874</v>
      </c>
      <c r="Q511" s="122">
        <v>2916</v>
      </c>
      <c r="R511" s="122">
        <v>2675565</v>
      </c>
      <c r="S511" s="122">
        <v>990950</v>
      </c>
      <c r="T511" s="122">
        <v>1752</v>
      </c>
      <c r="U511">
        <v>649</v>
      </c>
      <c r="V511" s="122">
        <v>3234507</v>
      </c>
      <c r="W511" s="122">
        <f t="shared" si="14"/>
        <v>3234507</v>
      </c>
      <c r="X511" s="122">
        <f t="shared" si="15"/>
        <v>8466978</v>
      </c>
      <c r="Y511" s="122"/>
      <c r="AA511" t="s">
        <v>60</v>
      </c>
      <c r="AB511" t="s">
        <v>405</v>
      </c>
      <c r="AC511" t="s">
        <v>579</v>
      </c>
      <c r="AD511" t="s">
        <v>405</v>
      </c>
      <c r="AE511" t="s">
        <v>566</v>
      </c>
      <c r="AF511">
        <v>1</v>
      </c>
      <c r="AG511">
        <v>73</v>
      </c>
      <c r="AH511">
        <v>308</v>
      </c>
      <c r="AI511" s="122">
        <v>10884</v>
      </c>
      <c r="AJ511" s="122">
        <v>9895</v>
      </c>
      <c r="AK511">
        <v>68</v>
      </c>
      <c r="AL511" s="122">
        <v>2841</v>
      </c>
      <c r="AM511" s="122">
        <v>2367</v>
      </c>
      <c r="AN511" s="122">
        <v>1702</v>
      </c>
      <c r="AO511">
        <v>630</v>
      </c>
      <c r="AP511">
        <v>473</v>
      </c>
      <c r="AQ511">
        <v>175</v>
      </c>
      <c r="AR511" s="122">
        <v>6539</v>
      </c>
      <c r="AS511" s="122">
        <v>5945</v>
      </c>
      <c r="AT511">
        <v>0</v>
      </c>
      <c r="AU511">
        <v>0</v>
      </c>
      <c r="AV511" s="122">
        <v>19012</v>
      </c>
    </row>
    <row r="512" spans="2:48" ht="13">
      <c r="B512" t="s">
        <v>440</v>
      </c>
      <c r="C512" t="s">
        <v>60</v>
      </c>
      <c r="D512" t="s">
        <v>137</v>
      </c>
      <c r="E512" t="s">
        <v>407</v>
      </c>
      <c r="F512">
        <v>3</v>
      </c>
      <c r="G512">
        <v>193</v>
      </c>
      <c r="H512" s="122">
        <v>1028</v>
      </c>
      <c r="I512" s="122">
        <v>44033</v>
      </c>
      <c r="J512" s="191">
        <v>16308</v>
      </c>
      <c r="K512" s="122">
        <v>100</v>
      </c>
      <c r="L512" s="122">
        <v>5672</v>
      </c>
      <c r="M512" s="122">
        <v>2855</v>
      </c>
      <c r="N512" s="122">
        <v>4701</v>
      </c>
      <c r="O512" s="122">
        <v>1741</v>
      </c>
      <c r="P512">
        <v>122</v>
      </c>
      <c r="Q512">
        <v>45</v>
      </c>
      <c r="R512" s="122">
        <v>11783</v>
      </c>
      <c r="S512" s="122">
        <v>10712</v>
      </c>
      <c r="T512">
        <v>0</v>
      </c>
      <c r="U512">
        <v>0</v>
      </c>
      <c r="V512" s="122">
        <v>31661</v>
      </c>
      <c r="W512" s="122">
        <f t="shared" si="14"/>
        <v>31661</v>
      </c>
      <c r="X512" s="122">
        <f t="shared" si="15"/>
        <v>66311</v>
      </c>
      <c r="Y512" s="122"/>
      <c r="AA512" t="s">
        <v>60</v>
      </c>
      <c r="AB512" t="s">
        <v>405</v>
      </c>
      <c r="AC512" t="s">
        <v>426</v>
      </c>
      <c r="AD512" t="s">
        <v>405</v>
      </c>
      <c r="AE512" t="s">
        <v>137</v>
      </c>
      <c r="AF512">
        <v>5</v>
      </c>
      <c r="AG512">
        <v>412</v>
      </c>
      <c r="AH512" s="122">
        <v>1676</v>
      </c>
      <c r="AI512" s="122">
        <v>78967</v>
      </c>
      <c r="AJ512" s="122">
        <v>71788</v>
      </c>
      <c r="AK512">
        <v>75</v>
      </c>
      <c r="AL512" s="122">
        <v>20046</v>
      </c>
      <c r="AM512" s="122">
        <v>18223</v>
      </c>
      <c r="AN512" s="122">
        <v>8539</v>
      </c>
      <c r="AO512" s="122">
        <v>3163</v>
      </c>
      <c r="AP512" s="122">
        <v>2363</v>
      </c>
      <c r="AQ512">
        <v>875</v>
      </c>
      <c r="AR512" s="122">
        <v>17579</v>
      </c>
      <c r="AS512" s="122">
        <v>15981</v>
      </c>
      <c r="AT512" s="122">
        <v>9971</v>
      </c>
      <c r="AU512" s="122">
        <v>3693</v>
      </c>
      <c r="AV512" s="122">
        <v>113723</v>
      </c>
    </row>
    <row r="513" spans="2:48" ht="13">
      <c r="B513" t="s">
        <v>440</v>
      </c>
      <c r="C513" t="s">
        <v>60</v>
      </c>
      <c r="D513" t="s">
        <v>406</v>
      </c>
      <c r="E513" t="s">
        <v>406</v>
      </c>
      <c r="F513" s="122">
        <v>5</v>
      </c>
      <c r="G513" s="122">
        <v>261</v>
      </c>
      <c r="H513" s="122">
        <v>1653</v>
      </c>
      <c r="I513" s="122">
        <v>49883</v>
      </c>
      <c r="J513" s="191">
        <v>45348</v>
      </c>
      <c r="K513" s="122">
        <v>78</v>
      </c>
      <c r="L513" s="122">
        <v>1489</v>
      </c>
      <c r="M513">
        <v>551</v>
      </c>
      <c r="N513" s="122">
        <v>5859</v>
      </c>
      <c r="O513" s="122">
        <v>2170</v>
      </c>
      <c r="P513" s="122">
        <v>3105</v>
      </c>
      <c r="Q513" s="122">
        <v>1150</v>
      </c>
      <c r="R513" s="122">
        <v>19522</v>
      </c>
      <c r="S513" s="122">
        <v>17747</v>
      </c>
      <c r="T513" s="122">
        <v>6322</v>
      </c>
      <c r="U513" s="122">
        <v>2342</v>
      </c>
      <c r="V513" s="122">
        <v>69308</v>
      </c>
      <c r="W513" s="122">
        <f t="shared" si="14"/>
        <v>69308</v>
      </c>
      <c r="X513" s="122">
        <f t="shared" si="15"/>
        <v>86180</v>
      </c>
      <c r="Y513" s="122"/>
      <c r="AA513" t="s">
        <v>60</v>
      </c>
      <c r="AB513" t="s">
        <v>405</v>
      </c>
      <c r="AC513" t="s">
        <v>426</v>
      </c>
      <c r="AD513" t="s">
        <v>405</v>
      </c>
      <c r="AE513" t="s">
        <v>566</v>
      </c>
      <c r="AF513">
        <v>3</v>
      </c>
      <c r="AG513">
        <v>291</v>
      </c>
      <c r="AH513" s="122">
        <v>1018</v>
      </c>
      <c r="AI513" s="122">
        <v>60677</v>
      </c>
      <c r="AJ513" s="122">
        <v>55161</v>
      </c>
      <c r="AK513">
        <v>81</v>
      </c>
      <c r="AL513" s="122">
        <v>18017</v>
      </c>
      <c r="AM513" s="122">
        <v>16379</v>
      </c>
      <c r="AN513" s="122">
        <v>5320</v>
      </c>
      <c r="AO513" s="122">
        <v>1970</v>
      </c>
      <c r="AP513" s="122">
        <v>1296</v>
      </c>
      <c r="AQ513">
        <v>480</v>
      </c>
      <c r="AR513" s="122">
        <v>15541</v>
      </c>
      <c r="AS513" s="122">
        <v>14129</v>
      </c>
      <c r="AT513">
        <v>0</v>
      </c>
      <c r="AU513">
        <v>0</v>
      </c>
      <c r="AV513" s="122">
        <v>88119</v>
      </c>
    </row>
    <row r="514" spans="2:48" ht="13">
      <c r="B514" t="s">
        <v>440</v>
      </c>
      <c r="C514" t="s">
        <v>60</v>
      </c>
      <c r="D514" t="s">
        <v>407</v>
      </c>
      <c r="E514" t="s">
        <v>137</v>
      </c>
      <c r="F514">
        <v>6</v>
      </c>
      <c r="G514">
        <v>417</v>
      </c>
      <c r="H514" s="122">
        <v>1959</v>
      </c>
      <c r="I514" s="122">
        <v>79566</v>
      </c>
      <c r="J514" s="191">
        <v>72333</v>
      </c>
      <c r="K514" s="122">
        <v>84</v>
      </c>
      <c r="L514" s="122">
        <v>12534</v>
      </c>
      <c r="M514" s="122">
        <v>9747</v>
      </c>
      <c r="N514" s="122">
        <v>8765</v>
      </c>
      <c r="O514" s="122">
        <v>3246</v>
      </c>
      <c r="P514" s="122">
        <v>2835</v>
      </c>
      <c r="Q514" s="122">
        <v>1050</v>
      </c>
      <c r="R514" s="122">
        <v>37229</v>
      </c>
      <c r="S514" s="122">
        <v>13788</v>
      </c>
      <c r="T514">
        <v>0</v>
      </c>
      <c r="U514">
        <v>0</v>
      </c>
      <c r="V514" s="122">
        <v>100165</v>
      </c>
      <c r="W514" s="122">
        <f t="shared" si="14"/>
        <v>100164</v>
      </c>
      <c r="X514" s="122">
        <f t="shared" si="15"/>
        <v>140929</v>
      </c>
      <c r="Y514" s="122"/>
      <c r="AA514" t="s">
        <v>60</v>
      </c>
      <c r="AB514" t="s">
        <v>405</v>
      </c>
      <c r="AC514" t="s">
        <v>566</v>
      </c>
      <c r="AD514" t="s">
        <v>405</v>
      </c>
      <c r="AE514" t="s">
        <v>137</v>
      </c>
      <c r="AF514">
        <v>2</v>
      </c>
      <c r="AG514">
        <v>103</v>
      </c>
      <c r="AH514">
        <v>649</v>
      </c>
      <c r="AI514" s="122">
        <v>22322</v>
      </c>
      <c r="AJ514" s="122">
        <v>20292</v>
      </c>
      <c r="AK514">
        <v>83</v>
      </c>
      <c r="AL514">
        <v>0</v>
      </c>
      <c r="AM514">
        <v>0</v>
      </c>
      <c r="AN514" s="122">
        <v>2272</v>
      </c>
      <c r="AO514">
        <v>841</v>
      </c>
      <c r="AP514">
        <v>945</v>
      </c>
      <c r="AQ514">
        <v>350</v>
      </c>
      <c r="AR514" s="122">
        <v>4559</v>
      </c>
      <c r="AS514" s="122">
        <v>4145</v>
      </c>
      <c r="AT514" s="122">
        <v>3213</v>
      </c>
      <c r="AU514" s="122">
        <v>1190</v>
      </c>
      <c r="AV514" s="122">
        <v>26818</v>
      </c>
    </row>
    <row r="515" spans="2:48" ht="13">
      <c r="B515" t="s">
        <v>440</v>
      </c>
      <c r="C515" t="s">
        <v>60</v>
      </c>
      <c r="D515" t="s">
        <v>407</v>
      </c>
      <c r="E515" t="s">
        <v>407</v>
      </c>
      <c r="F515">
        <v>222</v>
      </c>
      <c r="G515" s="122">
        <v>14093</v>
      </c>
      <c r="H515" s="122">
        <v>75118</v>
      </c>
      <c r="I515" s="122">
        <v>2744670</v>
      </c>
      <c r="J515" s="191">
        <v>2495154</v>
      </c>
      <c r="K515" s="122">
        <v>76</v>
      </c>
      <c r="L515" s="122">
        <v>495665</v>
      </c>
      <c r="M515" s="122">
        <v>425311</v>
      </c>
      <c r="N515" s="122">
        <v>296238</v>
      </c>
      <c r="O515" s="122">
        <v>109718</v>
      </c>
      <c r="P515" s="122">
        <v>105152</v>
      </c>
      <c r="Q515" s="122">
        <v>38945</v>
      </c>
      <c r="R515" s="122">
        <v>910464</v>
      </c>
      <c r="S515" s="122">
        <v>827695</v>
      </c>
      <c r="T515" s="122">
        <v>206909</v>
      </c>
      <c r="U515" s="122">
        <v>76633</v>
      </c>
      <c r="V515" s="122">
        <v>3973456</v>
      </c>
      <c r="W515" s="122">
        <f t="shared" si="14"/>
        <v>3973456</v>
      </c>
      <c r="X515" s="122">
        <f t="shared" si="15"/>
        <v>4759098</v>
      </c>
      <c r="Y515" s="122"/>
      <c r="AA515" t="s">
        <v>60</v>
      </c>
      <c r="AB515" t="s">
        <v>405</v>
      </c>
      <c r="AC515" t="s">
        <v>566</v>
      </c>
      <c r="AD515" t="s">
        <v>405</v>
      </c>
      <c r="AE515" t="s">
        <v>566</v>
      </c>
      <c r="AF515">
        <v>25</v>
      </c>
      <c r="AG515" s="122">
        <v>1333</v>
      </c>
      <c r="AH515" s="122">
        <v>8509</v>
      </c>
      <c r="AI515" s="122">
        <v>355024</v>
      </c>
      <c r="AJ515" s="122">
        <v>322749</v>
      </c>
      <c r="AK515">
        <v>74</v>
      </c>
      <c r="AL515">
        <v>0</v>
      </c>
      <c r="AM515">
        <v>0</v>
      </c>
      <c r="AN515" s="122">
        <v>27280</v>
      </c>
      <c r="AO515" s="122">
        <v>10104</v>
      </c>
      <c r="AP515" s="122">
        <v>12191</v>
      </c>
      <c r="AQ515" s="122">
        <v>4515</v>
      </c>
      <c r="AR515" s="122">
        <v>63423</v>
      </c>
      <c r="AS515" s="122">
        <v>57657</v>
      </c>
      <c r="AT515">
        <v>0</v>
      </c>
      <c r="AU515">
        <v>0</v>
      </c>
      <c r="AV515" s="122">
        <v>395024</v>
      </c>
    </row>
    <row r="516" spans="2:48" ht="13">
      <c r="B516" t="s">
        <v>440</v>
      </c>
      <c r="C516" t="s">
        <v>62</v>
      </c>
      <c r="F516" s="122">
        <v>28</v>
      </c>
      <c r="G516" s="122">
        <v>1431</v>
      </c>
      <c r="H516" s="122">
        <v>11618</v>
      </c>
      <c r="J516" s="191">
        <v>0</v>
      </c>
      <c r="K516" s="122"/>
      <c r="M516">
        <v>0</v>
      </c>
      <c r="N516" s="122">
        <v>25240</v>
      </c>
      <c r="O516" s="122">
        <v>9348</v>
      </c>
      <c r="P516" s="122">
        <v>2295</v>
      </c>
      <c r="Q516">
        <v>850</v>
      </c>
      <c r="S516">
        <v>0</v>
      </c>
      <c r="T516" s="122">
        <v>12166</v>
      </c>
      <c r="U516" s="122">
        <v>4506</v>
      </c>
      <c r="V516" s="122">
        <v>14704</v>
      </c>
      <c r="W516" s="122">
        <f t="shared" si="14"/>
        <v>14704</v>
      </c>
      <c r="X516" s="122">
        <f t="shared" si="15"/>
        <v>39701</v>
      </c>
      <c r="Y516" s="122"/>
      <c r="AA516" t="s">
        <v>60</v>
      </c>
      <c r="AB516" t="s">
        <v>137</v>
      </c>
      <c r="AC516" t="s">
        <v>578</v>
      </c>
      <c r="AD516" t="s">
        <v>137</v>
      </c>
      <c r="AE516" t="s">
        <v>566</v>
      </c>
      <c r="AF516">
        <v>2</v>
      </c>
      <c r="AG516">
        <v>119</v>
      </c>
      <c r="AH516">
        <v>655</v>
      </c>
      <c r="AI516" s="122">
        <v>21612</v>
      </c>
      <c r="AJ516" s="122">
        <v>8004</v>
      </c>
      <c r="AK516">
        <v>100</v>
      </c>
      <c r="AL516" s="122">
        <v>4583</v>
      </c>
      <c r="AM516" s="122">
        <v>4166</v>
      </c>
      <c r="AN516" s="122">
        <v>1982</v>
      </c>
      <c r="AO516">
        <v>734</v>
      </c>
      <c r="AP516">
        <v>0</v>
      </c>
      <c r="AQ516">
        <v>0</v>
      </c>
      <c r="AR516" s="122">
        <v>11114</v>
      </c>
      <c r="AS516" s="122">
        <v>4116</v>
      </c>
      <c r="AT516">
        <v>0</v>
      </c>
      <c r="AU516">
        <v>0</v>
      </c>
      <c r="AV516" s="122">
        <v>17021</v>
      </c>
    </row>
    <row r="517" spans="2:48" ht="13">
      <c r="B517" t="s">
        <v>440</v>
      </c>
      <c r="C517" t="s">
        <v>62</v>
      </c>
      <c r="D517" t="s">
        <v>137</v>
      </c>
      <c r="E517" t="s">
        <v>137</v>
      </c>
      <c r="F517" s="122">
        <v>145</v>
      </c>
      <c r="G517" s="122">
        <v>7774</v>
      </c>
      <c r="H517" s="122">
        <v>59603</v>
      </c>
      <c r="I517" s="122">
        <v>1864808</v>
      </c>
      <c r="J517" s="191">
        <v>690670</v>
      </c>
      <c r="K517" s="122">
        <v>100</v>
      </c>
      <c r="L517" s="122">
        <v>267748</v>
      </c>
      <c r="M517" s="122">
        <v>155327</v>
      </c>
      <c r="N517" s="122">
        <v>163062</v>
      </c>
      <c r="O517" s="122">
        <v>60394</v>
      </c>
      <c r="P517">
        <v>351</v>
      </c>
      <c r="Q517">
        <v>130</v>
      </c>
      <c r="R517" s="122">
        <v>895347</v>
      </c>
      <c r="S517" s="122">
        <v>331610</v>
      </c>
      <c r="T517">
        <v>0</v>
      </c>
      <c r="U517">
        <v>0</v>
      </c>
      <c r="V517" s="122">
        <v>1238131</v>
      </c>
      <c r="W517" s="122">
        <f t="shared" si="14"/>
        <v>1238131</v>
      </c>
      <c r="X517" s="122">
        <f t="shared" si="15"/>
        <v>3191316</v>
      </c>
      <c r="Y517" s="122"/>
      <c r="AA517" t="s">
        <v>60</v>
      </c>
      <c r="AB517" t="s">
        <v>137</v>
      </c>
      <c r="AC517" t="s">
        <v>425</v>
      </c>
      <c r="AD517" t="s">
        <v>425</v>
      </c>
      <c r="AE517" t="s">
        <v>566</v>
      </c>
      <c r="AF517">
        <v>1</v>
      </c>
      <c r="AG517">
        <v>89</v>
      </c>
      <c r="AH517">
        <v>337</v>
      </c>
      <c r="AI517" s="122">
        <v>20995</v>
      </c>
      <c r="AJ517" s="122">
        <v>7776</v>
      </c>
      <c r="AK517">
        <v>100</v>
      </c>
      <c r="AL517" s="122">
        <v>1819</v>
      </c>
      <c r="AM517" s="122">
        <v>1653</v>
      </c>
      <c r="AN517" s="122">
        <v>1439</v>
      </c>
      <c r="AO517">
        <v>533</v>
      </c>
      <c r="AP517">
        <v>473</v>
      </c>
      <c r="AQ517">
        <v>175</v>
      </c>
      <c r="AR517" s="122">
        <v>5211</v>
      </c>
      <c r="AS517" s="122">
        <v>4737</v>
      </c>
      <c r="AT517">
        <v>0</v>
      </c>
      <c r="AU517">
        <v>0</v>
      </c>
      <c r="AV517" s="122">
        <v>14874</v>
      </c>
    </row>
    <row r="518" spans="2:48" ht="13">
      <c r="B518" t="s">
        <v>440</v>
      </c>
      <c r="C518" t="s">
        <v>62</v>
      </c>
      <c r="D518" t="s">
        <v>406</v>
      </c>
      <c r="E518" t="s">
        <v>406</v>
      </c>
      <c r="F518" s="122">
        <v>3</v>
      </c>
      <c r="G518" s="122">
        <v>459</v>
      </c>
      <c r="H518" s="122">
        <v>1243</v>
      </c>
      <c r="I518" s="122">
        <v>129713</v>
      </c>
      <c r="J518" s="191">
        <v>117921</v>
      </c>
      <c r="K518" s="122">
        <v>72</v>
      </c>
      <c r="L518" s="122">
        <v>27345</v>
      </c>
      <c r="M518" s="122">
        <v>23528</v>
      </c>
      <c r="N518" s="122">
        <v>9190</v>
      </c>
      <c r="O518" s="122">
        <v>3404</v>
      </c>
      <c r="P518" s="122">
        <v>1863</v>
      </c>
      <c r="Q518">
        <v>690</v>
      </c>
      <c r="R518" s="122">
        <v>18057</v>
      </c>
      <c r="S518" s="122">
        <v>16416</v>
      </c>
      <c r="T518" s="122">
        <v>6624</v>
      </c>
      <c r="U518" s="122">
        <v>2453</v>
      </c>
      <c r="V518" s="122">
        <v>164411</v>
      </c>
      <c r="W518" s="122">
        <f t="shared" si="14"/>
        <v>164412</v>
      </c>
      <c r="X518" s="122">
        <f t="shared" si="15"/>
        <v>192792</v>
      </c>
      <c r="Y518" s="122"/>
      <c r="AA518" t="s">
        <v>60</v>
      </c>
      <c r="AB518" t="s">
        <v>137</v>
      </c>
      <c r="AC518" t="s">
        <v>425</v>
      </c>
      <c r="AD518" t="s">
        <v>137</v>
      </c>
      <c r="AE518" t="s">
        <v>566</v>
      </c>
      <c r="AF518">
        <v>22</v>
      </c>
      <c r="AG518" s="122">
        <v>1579</v>
      </c>
      <c r="AH518" s="122">
        <v>7544</v>
      </c>
      <c r="AI518" s="122">
        <v>318524</v>
      </c>
      <c r="AJ518" s="122">
        <v>117972</v>
      </c>
      <c r="AK518">
        <v>100</v>
      </c>
      <c r="AL518" s="122">
        <v>62781</v>
      </c>
      <c r="AM518" s="122">
        <v>57073</v>
      </c>
      <c r="AN518" s="122">
        <v>35163</v>
      </c>
      <c r="AO518" s="122">
        <v>13023</v>
      </c>
      <c r="AP518">
        <v>0</v>
      </c>
      <c r="AQ518">
        <v>0</v>
      </c>
      <c r="AR518" s="122">
        <v>135734</v>
      </c>
      <c r="AS518" s="122">
        <v>50272</v>
      </c>
      <c r="AT518">
        <v>0</v>
      </c>
      <c r="AU518">
        <v>0</v>
      </c>
      <c r="AV518" s="122">
        <v>238340</v>
      </c>
    </row>
    <row r="519" spans="2:48" ht="13">
      <c r="B519" t="s">
        <v>440</v>
      </c>
      <c r="C519" t="s">
        <v>62</v>
      </c>
      <c r="D519" t="s">
        <v>407</v>
      </c>
      <c r="E519" t="s">
        <v>137</v>
      </c>
      <c r="F519" s="122">
        <v>4</v>
      </c>
      <c r="G519" s="122">
        <v>167</v>
      </c>
      <c r="H519" s="122">
        <v>1647</v>
      </c>
      <c r="I519" s="122">
        <v>42728</v>
      </c>
      <c r="J519" s="191">
        <v>38844</v>
      </c>
      <c r="K519" s="122">
        <v>77</v>
      </c>
      <c r="L519" s="122">
        <v>1277</v>
      </c>
      <c r="M519">
        <v>473</v>
      </c>
      <c r="N519" s="122">
        <v>3185</v>
      </c>
      <c r="O519" s="122">
        <v>1180</v>
      </c>
      <c r="P519">
        <v>945</v>
      </c>
      <c r="Q519">
        <v>350</v>
      </c>
      <c r="R519" s="122">
        <v>20735</v>
      </c>
      <c r="S519" s="122">
        <v>7680</v>
      </c>
      <c r="T519">
        <v>0</v>
      </c>
      <c r="U519">
        <v>0</v>
      </c>
      <c r="V519" s="122">
        <v>48526</v>
      </c>
      <c r="W519" s="122">
        <f t="shared" ref="W519:W582" si="16">SUM(ABS(J519),ABS(M519),ABS(O519),ABS(Q519),ABS(S519),ABS(U519))</f>
        <v>48527</v>
      </c>
      <c r="X519" s="122">
        <f t="shared" ref="X519:X582" si="17">SUM(ABS(I519),ABS(N519),ABS(P519),ABS(R519),ABS(T519),ABS(L519))</f>
        <v>68870</v>
      </c>
      <c r="Y519" s="122"/>
      <c r="AA519" t="s">
        <v>60</v>
      </c>
      <c r="AB519" t="s">
        <v>137</v>
      </c>
      <c r="AC519" t="s">
        <v>405</v>
      </c>
      <c r="AD519" t="s">
        <v>137</v>
      </c>
      <c r="AE519" t="s">
        <v>566</v>
      </c>
      <c r="AF519">
        <v>6</v>
      </c>
      <c r="AG519">
        <v>375</v>
      </c>
      <c r="AH519" s="122">
        <v>1964</v>
      </c>
      <c r="AI519" s="122">
        <v>74255</v>
      </c>
      <c r="AJ519" s="122">
        <v>27502</v>
      </c>
      <c r="AK519">
        <v>100</v>
      </c>
      <c r="AL519" s="122">
        <v>6974</v>
      </c>
      <c r="AM519" s="122">
        <v>6340</v>
      </c>
      <c r="AN519" s="122">
        <v>5430</v>
      </c>
      <c r="AO519" s="122">
        <v>2011</v>
      </c>
      <c r="AP519">
        <v>0</v>
      </c>
      <c r="AQ519">
        <v>0</v>
      </c>
      <c r="AR519" s="122">
        <v>35483</v>
      </c>
      <c r="AS519" s="122">
        <v>13142</v>
      </c>
      <c r="AT519">
        <v>0</v>
      </c>
      <c r="AU519">
        <v>0</v>
      </c>
      <c r="AV519" s="122">
        <v>48994</v>
      </c>
    </row>
    <row r="520" spans="2:48" ht="13">
      <c r="B520" t="s">
        <v>440</v>
      </c>
      <c r="C520" t="s">
        <v>62</v>
      </c>
      <c r="D520" t="s">
        <v>407</v>
      </c>
      <c r="E520" t="s">
        <v>407</v>
      </c>
      <c r="F520" s="122">
        <v>82</v>
      </c>
      <c r="G520" s="122">
        <v>5310</v>
      </c>
      <c r="H520" s="122">
        <v>33847</v>
      </c>
      <c r="I520" s="122">
        <v>1344437</v>
      </c>
      <c r="J520" s="191">
        <v>1222215</v>
      </c>
      <c r="K520" s="122">
        <v>75</v>
      </c>
      <c r="L520" s="122">
        <v>251531</v>
      </c>
      <c r="M520" s="122">
        <v>203996</v>
      </c>
      <c r="N520" s="122">
        <v>115519</v>
      </c>
      <c r="O520" s="122">
        <v>42785</v>
      </c>
      <c r="P520" s="122">
        <v>38381</v>
      </c>
      <c r="Q520" s="122">
        <v>14215</v>
      </c>
      <c r="R520" s="122">
        <v>364007</v>
      </c>
      <c r="S520" s="122">
        <v>330916</v>
      </c>
      <c r="T520" s="122">
        <v>82732</v>
      </c>
      <c r="U520" s="122">
        <v>30641</v>
      </c>
      <c r="V520" s="122">
        <v>1844768</v>
      </c>
      <c r="W520" s="122">
        <f t="shared" si="16"/>
        <v>1844768</v>
      </c>
      <c r="X520" s="122">
        <f t="shared" si="17"/>
        <v>2196607</v>
      </c>
      <c r="Y520" s="122"/>
      <c r="AA520" t="s">
        <v>60</v>
      </c>
      <c r="AB520" t="s">
        <v>137</v>
      </c>
      <c r="AC520" t="s">
        <v>137</v>
      </c>
      <c r="AD520" t="s">
        <v>137</v>
      </c>
      <c r="AE520" t="s">
        <v>137</v>
      </c>
      <c r="AF520">
        <v>337</v>
      </c>
      <c r="AG520" s="122">
        <v>20084</v>
      </c>
      <c r="AH520" s="122">
        <v>114075</v>
      </c>
      <c r="AI520" s="122">
        <v>3805891</v>
      </c>
      <c r="AJ520" s="122">
        <v>1409589</v>
      </c>
      <c r="AK520">
        <v>100</v>
      </c>
      <c r="AL520" s="122">
        <v>538978</v>
      </c>
      <c r="AM520" s="122">
        <v>199621</v>
      </c>
      <c r="AN520" s="122">
        <v>391281</v>
      </c>
      <c r="AO520" s="122">
        <v>144919</v>
      </c>
      <c r="AP520" s="122">
        <v>11641</v>
      </c>
      <c r="AQ520" s="122">
        <v>4311</v>
      </c>
      <c r="AR520" s="122">
        <v>1970988</v>
      </c>
      <c r="AS520" s="122">
        <v>729996</v>
      </c>
      <c r="AT520" s="122">
        <v>67612</v>
      </c>
      <c r="AU520" s="122">
        <v>25041</v>
      </c>
      <c r="AV520" s="122">
        <v>2513478</v>
      </c>
    </row>
    <row r="521" spans="2:48" ht="13">
      <c r="B521" t="s">
        <v>440</v>
      </c>
      <c r="C521" t="s">
        <v>62</v>
      </c>
      <c r="D521" t="s">
        <v>556</v>
      </c>
      <c r="E521" t="s">
        <v>137</v>
      </c>
      <c r="F521" s="122">
        <v>1</v>
      </c>
      <c r="G521" s="122">
        <v>38</v>
      </c>
      <c r="H521" s="122">
        <v>398</v>
      </c>
      <c r="I521" s="122">
        <v>7820</v>
      </c>
      <c r="J521" s="191">
        <v>6517</v>
      </c>
      <c r="K521" s="122">
        <v>30</v>
      </c>
      <c r="L521">
        <v>586</v>
      </c>
      <c r="M521">
        <v>217</v>
      </c>
      <c r="N521">
        <v>928</v>
      </c>
      <c r="O521">
        <v>344</v>
      </c>
      <c r="P521">
        <v>0</v>
      </c>
      <c r="Q521">
        <v>0</v>
      </c>
      <c r="R521" s="122">
        <v>5842</v>
      </c>
      <c r="S521" s="122">
        <v>2164</v>
      </c>
      <c r="T521">
        <v>0</v>
      </c>
      <c r="U521">
        <v>0</v>
      </c>
      <c r="V521" s="122">
        <v>9241</v>
      </c>
      <c r="W521" s="122">
        <f t="shared" si="16"/>
        <v>9242</v>
      </c>
      <c r="X521" s="122">
        <f t="shared" si="17"/>
        <v>15176</v>
      </c>
      <c r="Y521" s="122"/>
      <c r="AA521" t="s">
        <v>60</v>
      </c>
      <c r="AB521" t="s">
        <v>137</v>
      </c>
      <c r="AC521" t="s">
        <v>137</v>
      </c>
      <c r="AD521" t="s">
        <v>137</v>
      </c>
      <c r="AE521" t="s">
        <v>566</v>
      </c>
      <c r="AF521" s="122">
        <v>7216</v>
      </c>
      <c r="AG521" s="122">
        <v>424801</v>
      </c>
      <c r="AH521" s="122">
        <v>2418370</v>
      </c>
      <c r="AI521" s="122">
        <v>77828529</v>
      </c>
      <c r="AJ521" s="122">
        <v>28825381</v>
      </c>
      <c r="AK521">
        <v>100</v>
      </c>
      <c r="AL521" s="122">
        <v>13540130</v>
      </c>
      <c r="AM521" s="122">
        <v>5014863</v>
      </c>
      <c r="AN521" s="122">
        <v>8757405</v>
      </c>
      <c r="AO521" s="122">
        <v>3243483</v>
      </c>
      <c r="AP521" s="122">
        <v>97244</v>
      </c>
      <c r="AQ521" s="122">
        <v>36016</v>
      </c>
      <c r="AR521" s="122">
        <v>42253881</v>
      </c>
      <c r="AS521" s="122">
        <v>15649585</v>
      </c>
      <c r="AT521">
        <v>0</v>
      </c>
      <c r="AU521">
        <v>0</v>
      </c>
      <c r="AV521" s="122">
        <v>52769329</v>
      </c>
    </row>
    <row r="522" spans="2:48" ht="13">
      <c r="B522" t="s">
        <v>440</v>
      </c>
      <c r="C522" t="s">
        <v>64</v>
      </c>
      <c r="F522">
        <v>19</v>
      </c>
      <c r="G522">
        <v>875</v>
      </c>
      <c r="H522" s="122">
        <v>10151</v>
      </c>
      <c r="J522" s="66">
        <v>0</v>
      </c>
      <c r="M522">
        <v>0</v>
      </c>
      <c r="N522" s="122">
        <v>17356</v>
      </c>
      <c r="O522" s="122">
        <v>6428</v>
      </c>
      <c r="P522" s="122">
        <v>2390</v>
      </c>
      <c r="Q522">
        <v>885</v>
      </c>
      <c r="S522">
        <v>0</v>
      </c>
      <c r="T522" s="122">
        <v>9600</v>
      </c>
      <c r="U522" s="122">
        <v>3556</v>
      </c>
      <c r="V522" s="122">
        <v>10869</v>
      </c>
      <c r="W522" s="122">
        <f t="shared" si="16"/>
        <v>10869</v>
      </c>
      <c r="X522" s="122">
        <f t="shared" si="17"/>
        <v>29346</v>
      </c>
      <c r="Y522" s="122"/>
      <c r="AA522" t="s">
        <v>60</v>
      </c>
      <c r="AB522" t="s">
        <v>137</v>
      </c>
      <c r="AC522" t="s">
        <v>137</v>
      </c>
      <c r="AD522" t="s">
        <v>407</v>
      </c>
      <c r="AE522" t="s">
        <v>566</v>
      </c>
      <c r="AF522">
        <v>1</v>
      </c>
      <c r="AG522">
        <v>74</v>
      </c>
      <c r="AH522">
        <v>355</v>
      </c>
      <c r="AI522" s="122">
        <v>16176</v>
      </c>
      <c r="AJ522" s="122">
        <v>5991</v>
      </c>
      <c r="AK522">
        <v>100</v>
      </c>
      <c r="AL522" s="122">
        <v>4044</v>
      </c>
      <c r="AM522" s="122">
        <v>1498</v>
      </c>
      <c r="AN522" s="122">
        <v>1814</v>
      </c>
      <c r="AO522">
        <v>672</v>
      </c>
      <c r="AP522">
        <v>0</v>
      </c>
      <c r="AQ522">
        <v>0</v>
      </c>
      <c r="AR522" s="122">
        <v>4415</v>
      </c>
      <c r="AS522" s="122">
        <v>4014</v>
      </c>
      <c r="AT522">
        <v>0</v>
      </c>
      <c r="AU522">
        <v>0</v>
      </c>
      <c r="AV522" s="122">
        <v>12174</v>
      </c>
    </row>
    <row r="523" spans="2:48" ht="13">
      <c r="B523" t="s">
        <v>440</v>
      </c>
      <c r="C523" t="s">
        <v>64</v>
      </c>
      <c r="D523" t="s">
        <v>137</v>
      </c>
      <c r="E523" t="s">
        <v>137</v>
      </c>
      <c r="F523">
        <v>129</v>
      </c>
      <c r="G523" s="122">
        <v>6538</v>
      </c>
      <c r="H523" s="122">
        <v>74719</v>
      </c>
      <c r="I523" s="122">
        <v>2568168</v>
      </c>
      <c r="J523" s="191">
        <v>951173</v>
      </c>
      <c r="K523" s="122">
        <v>100</v>
      </c>
      <c r="L523" s="122">
        <v>319434</v>
      </c>
      <c r="M523" s="122">
        <v>206114</v>
      </c>
      <c r="N523" s="122">
        <v>138925</v>
      </c>
      <c r="O523" s="122">
        <v>51454</v>
      </c>
      <c r="P523" s="122">
        <v>2228</v>
      </c>
      <c r="Q523">
        <v>825</v>
      </c>
      <c r="R523" s="122">
        <v>797847</v>
      </c>
      <c r="S523" s="122">
        <v>295499</v>
      </c>
      <c r="T523" s="122">
        <v>2256</v>
      </c>
      <c r="U523">
        <v>836</v>
      </c>
      <c r="V523" s="122">
        <v>1505901</v>
      </c>
      <c r="W523" s="122">
        <f t="shared" si="16"/>
        <v>1505901</v>
      </c>
      <c r="X523" s="122">
        <f t="shared" si="17"/>
        <v>3828858</v>
      </c>
      <c r="Y523" s="122"/>
      <c r="AA523" t="s">
        <v>60</v>
      </c>
      <c r="AB523" t="s">
        <v>137</v>
      </c>
      <c r="AC523" t="s">
        <v>137</v>
      </c>
      <c r="AD523" t="s">
        <v>426</v>
      </c>
      <c r="AE523" t="s">
        <v>137</v>
      </c>
      <c r="AF523">
        <v>1</v>
      </c>
      <c r="AG523">
        <v>56</v>
      </c>
      <c r="AH523">
        <v>361</v>
      </c>
      <c r="AI523" s="122">
        <v>14941</v>
      </c>
      <c r="AJ523" s="122">
        <v>5534</v>
      </c>
      <c r="AK523">
        <v>100</v>
      </c>
      <c r="AL523" s="122">
        <v>1660</v>
      </c>
      <c r="AM523">
        <v>615</v>
      </c>
      <c r="AN523" s="122">
        <v>1353</v>
      </c>
      <c r="AO523">
        <v>501</v>
      </c>
      <c r="AP523">
        <v>0</v>
      </c>
      <c r="AQ523">
        <v>0</v>
      </c>
      <c r="AR523" s="122">
        <v>2104</v>
      </c>
      <c r="AS523" s="122">
        <v>1913</v>
      </c>
      <c r="AT523">
        <v>0</v>
      </c>
      <c r="AU523">
        <v>0</v>
      </c>
      <c r="AV523" s="122">
        <v>8562</v>
      </c>
    </row>
    <row r="524" spans="2:48" ht="13">
      <c r="B524" t="s">
        <v>440</v>
      </c>
      <c r="C524" t="s">
        <v>64</v>
      </c>
      <c r="D524" t="s">
        <v>427</v>
      </c>
      <c r="E524" t="s">
        <v>137</v>
      </c>
      <c r="F524" s="122">
        <v>2</v>
      </c>
      <c r="G524" s="122">
        <v>135</v>
      </c>
      <c r="H524" s="122">
        <v>1320</v>
      </c>
      <c r="I524" s="122">
        <v>67692</v>
      </c>
      <c r="J524" s="191">
        <v>61538</v>
      </c>
      <c r="K524" s="122">
        <v>30</v>
      </c>
      <c r="L524" s="122">
        <v>2500</v>
      </c>
      <c r="M524" s="122">
        <v>2273</v>
      </c>
      <c r="N524" s="122">
        <v>3288</v>
      </c>
      <c r="O524" s="122">
        <v>1218</v>
      </c>
      <c r="P524">
        <v>0</v>
      </c>
      <c r="Q524">
        <v>0</v>
      </c>
      <c r="R524" s="122">
        <v>16407</v>
      </c>
      <c r="S524" s="122">
        <v>6077</v>
      </c>
      <c r="T524">
        <v>0</v>
      </c>
      <c r="U524">
        <v>0</v>
      </c>
      <c r="V524" s="122">
        <v>71105</v>
      </c>
      <c r="W524" s="122">
        <f t="shared" si="16"/>
        <v>71106</v>
      </c>
      <c r="X524" s="122">
        <f t="shared" si="17"/>
        <v>89887</v>
      </c>
      <c r="Y524" s="122"/>
      <c r="AA524" t="s">
        <v>60</v>
      </c>
      <c r="AB524" t="s">
        <v>137</v>
      </c>
      <c r="AC524" t="s">
        <v>580</v>
      </c>
      <c r="AD524" t="s">
        <v>137</v>
      </c>
      <c r="AE524" t="s">
        <v>566</v>
      </c>
      <c r="AF524">
        <v>1</v>
      </c>
      <c r="AG524">
        <v>58</v>
      </c>
      <c r="AH524">
        <v>378</v>
      </c>
      <c r="AI524" s="122">
        <v>12885</v>
      </c>
      <c r="AJ524" s="122">
        <v>4772</v>
      </c>
      <c r="AK524">
        <v>100</v>
      </c>
      <c r="AL524" s="122">
        <v>1944</v>
      </c>
      <c r="AM524" s="122">
        <v>1767</v>
      </c>
      <c r="AN524" s="122">
        <v>1024</v>
      </c>
      <c r="AO524">
        <v>379</v>
      </c>
      <c r="AP524">
        <v>0</v>
      </c>
      <c r="AQ524">
        <v>0</v>
      </c>
      <c r="AR524" s="122">
        <v>6046</v>
      </c>
      <c r="AS524" s="122">
        <v>2239</v>
      </c>
      <c r="AT524">
        <v>0</v>
      </c>
      <c r="AU524">
        <v>0</v>
      </c>
      <c r="AV524" s="122">
        <v>9158</v>
      </c>
    </row>
    <row r="525" spans="2:48" ht="13">
      <c r="B525" t="s">
        <v>440</v>
      </c>
      <c r="C525" t="s">
        <v>64</v>
      </c>
      <c r="D525" t="s">
        <v>407</v>
      </c>
      <c r="E525" t="s">
        <v>137</v>
      </c>
      <c r="F525" s="122">
        <v>4</v>
      </c>
      <c r="G525" s="122">
        <v>183</v>
      </c>
      <c r="H525" s="122">
        <v>2337</v>
      </c>
      <c r="I525" s="122">
        <v>62395</v>
      </c>
      <c r="J525" s="191">
        <v>56723</v>
      </c>
      <c r="K525" s="122">
        <v>72</v>
      </c>
      <c r="L525" s="122">
        <v>10013</v>
      </c>
      <c r="M525" s="122">
        <v>7492</v>
      </c>
      <c r="N525" s="122">
        <v>4154</v>
      </c>
      <c r="O525" s="122">
        <v>1539</v>
      </c>
      <c r="P525" s="122">
        <v>1418</v>
      </c>
      <c r="Q525">
        <v>525</v>
      </c>
      <c r="R525" s="122">
        <v>29263</v>
      </c>
      <c r="S525" s="122">
        <v>10838</v>
      </c>
      <c r="T525">
        <v>0</v>
      </c>
      <c r="U525">
        <v>0</v>
      </c>
      <c r="V525" s="122">
        <v>77116</v>
      </c>
      <c r="W525" s="122">
        <f t="shared" si="16"/>
        <v>77117</v>
      </c>
      <c r="X525" s="122">
        <f t="shared" si="17"/>
        <v>107243</v>
      </c>
      <c r="Y525" s="122"/>
      <c r="AA525" t="s">
        <v>60</v>
      </c>
      <c r="AB525" t="s">
        <v>137</v>
      </c>
      <c r="AC525" t="s">
        <v>427</v>
      </c>
      <c r="AD525" t="s">
        <v>137</v>
      </c>
      <c r="AE525" t="s">
        <v>137</v>
      </c>
      <c r="AF525">
        <v>13</v>
      </c>
      <c r="AG525">
        <v>799</v>
      </c>
      <c r="AH525" s="122">
        <v>4391</v>
      </c>
      <c r="AI525" s="122">
        <v>154594</v>
      </c>
      <c r="AJ525" s="122">
        <v>57257</v>
      </c>
      <c r="AK525">
        <v>100</v>
      </c>
      <c r="AL525" s="122">
        <v>22481</v>
      </c>
      <c r="AM525" s="122">
        <v>20438</v>
      </c>
      <c r="AN525" s="122">
        <v>14985</v>
      </c>
      <c r="AO525" s="122">
        <v>5550</v>
      </c>
      <c r="AP525">
        <v>216</v>
      </c>
      <c r="AQ525">
        <v>80</v>
      </c>
      <c r="AR525" s="122">
        <v>70797</v>
      </c>
      <c r="AS525" s="122">
        <v>26221</v>
      </c>
      <c r="AT525" s="122">
        <v>5259</v>
      </c>
      <c r="AU525" s="122">
        <v>1948</v>
      </c>
      <c r="AV525" s="122">
        <v>111494</v>
      </c>
    </row>
    <row r="526" spans="2:48" ht="13">
      <c r="B526" t="s">
        <v>440</v>
      </c>
      <c r="C526" t="s">
        <v>64</v>
      </c>
      <c r="D526" t="s">
        <v>407</v>
      </c>
      <c r="E526" t="s">
        <v>407</v>
      </c>
      <c r="F526" s="122">
        <v>43</v>
      </c>
      <c r="G526" s="122">
        <v>2374</v>
      </c>
      <c r="H526" s="122">
        <v>22159</v>
      </c>
      <c r="I526" s="122">
        <v>777343</v>
      </c>
      <c r="J526" s="191">
        <v>706675</v>
      </c>
      <c r="K526" s="122">
        <v>74</v>
      </c>
      <c r="L526" s="122">
        <v>130297</v>
      </c>
      <c r="M526" s="122">
        <v>115612</v>
      </c>
      <c r="N526" s="122">
        <v>50912</v>
      </c>
      <c r="O526" s="122">
        <v>18856</v>
      </c>
      <c r="P526" s="122">
        <v>20318</v>
      </c>
      <c r="Q526" s="122">
        <v>7525</v>
      </c>
      <c r="R526" s="122">
        <v>184245</v>
      </c>
      <c r="S526" s="122">
        <v>167496</v>
      </c>
      <c r="T526" s="122">
        <v>46518</v>
      </c>
      <c r="U526" s="122">
        <v>17229</v>
      </c>
      <c r="V526" s="122">
        <v>1033393</v>
      </c>
      <c r="W526" s="122">
        <f t="shared" si="16"/>
        <v>1033393</v>
      </c>
      <c r="X526" s="122">
        <f t="shared" si="17"/>
        <v>1209633</v>
      </c>
      <c r="Y526" s="122"/>
      <c r="AA526" t="s">
        <v>60</v>
      </c>
      <c r="AB526" t="s">
        <v>137</v>
      </c>
      <c r="AC526" t="s">
        <v>427</v>
      </c>
      <c r="AD526" t="s">
        <v>137</v>
      </c>
      <c r="AE526" t="s">
        <v>566</v>
      </c>
      <c r="AF526">
        <v>149</v>
      </c>
      <c r="AG526" s="122">
        <v>9326</v>
      </c>
      <c r="AH526" s="122">
        <v>50958</v>
      </c>
      <c r="AI526" s="122">
        <v>1747579</v>
      </c>
      <c r="AJ526" s="122">
        <v>647251</v>
      </c>
      <c r="AK526">
        <v>100</v>
      </c>
      <c r="AL526" s="122">
        <v>272265</v>
      </c>
      <c r="AM526" s="122">
        <v>247514</v>
      </c>
      <c r="AN526" s="122">
        <v>196125</v>
      </c>
      <c r="AO526" s="122">
        <v>72639</v>
      </c>
      <c r="AP526" s="122">
        <v>4192</v>
      </c>
      <c r="AQ526" s="122">
        <v>1552</v>
      </c>
      <c r="AR526" s="122">
        <v>964050</v>
      </c>
      <c r="AS526" s="122">
        <v>357056</v>
      </c>
      <c r="AT526">
        <v>0</v>
      </c>
      <c r="AU526">
        <v>0</v>
      </c>
      <c r="AV526" s="122">
        <v>1326012</v>
      </c>
    </row>
    <row r="527" spans="2:48" ht="13">
      <c r="B527" t="s">
        <v>440</v>
      </c>
      <c r="C527" t="s">
        <v>64</v>
      </c>
      <c r="D527" t="s">
        <v>426</v>
      </c>
      <c r="E527" t="s">
        <v>137</v>
      </c>
      <c r="F527">
        <v>2</v>
      </c>
      <c r="G527" s="122">
        <v>148</v>
      </c>
      <c r="H527" s="122">
        <v>1468</v>
      </c>
      <c r="I527" s="122">
        <v>89605</v>
      </c>
      <c r="J527" s="191">
        <v>81459</v>
      </c>
      <c r="K527" s="122">
        <v>30</v>
      </c>
      <c r="L527" s="122">
        <v>2439</v>
      </c>
      <c r="M527">
        <v>903</v>
      </c>
      <c r="N527" s="122">
        <v>2488</v>
      </c>
      <c r="O527">
        <v>921</v>
      </c>
      <c r="P527">
        <v>351</v>
      </c>
      <c r="Q527">
        <v>130</v>
      </c>
      <c r="R527" s="122">
        <v>13950</v>
      </c>
      <c r="S527" s="122">
        <v>5167</v>
      </c>
      <c r="T527">
        <v>0</v>
      </c>
      <c r="U527">
        <v>0</v>
      </c>
      <c r="V527" s="122">
        <v>88580</v>
      </c>
      <c r="W527" s="122">
        <f t="shared" si="16"/>
        <v>88580</v>
      </c>
      <c r="X527" s="122">
        <f t="shared" si="17"/>
        <v>108833</v>
      </c>
      <c r="Y527" s="122"/>
      <c r="AA527" t="s">
        <v>60</v>
      </c>
      <c r="AB527" t="s">
        <v>137</v>
      </c>
      <c r="AC527" t="s">
        <v>427</v>
      </c>
      <c r="AD527" t="s">
        <v>427</v>
      </c>
      <c r="AE527" t="s">
        <v>137</v>
      </c>
      <c r="AF527">
        <v>2</v>
      </c>
      <c r="AG527">
        <v>116</v>
      </c>
      <c r="AH527">
        <v>709</v>
      </c>
      <c r="AI527" s="122">
        <v>21547</v>
      </c>
      <c r="AJ527" s="122">
        <v>7980</v>
      </c>
      <c r="AK527">
        <v>100</v>
      </c>
      <c r="AL527" s="122">
        <v>1951</v>
      </c>
      <c r="AM527" s="122">
        <v>1773</v>
      </c>
      <c r="AN527" s="122">
        <v>2173</v>
      </c>
      <c r="AO527">
        <v>805</v>
      </c>
      <c r="AP527">
        <v>0</v>
      </c>
      <c r="AQ527">
        <v>0</v>
      </c>
      <c r="AR527" s="122">
        <v>12738</v>
      </c>
      <c r="AS527" s="122">
        <v>11580</v>
      </c>
      <c r="AT527" s="122">
        <v>2491</v>
      </c>
      <c r="AU527">
        <v>922</v>
      </c>
      <c r="AV527" s="122">
        <v>23060</v>
      </c>
    </row>
    <row r="528" spans="2:48" ht="13">
      <c r="B528" t="s">
        <v>441</v>
      </c>
      <c r="C528" t="s">
        <v>48</v>
      </c>
      <c r="F528">
        <v>35</v>
      </c>
      <c r="G528" s="122">
        <v>2753</v>
      </c>
      <c r="H528" s="122">
        <v>2359</v>
      </c>
      <c r="J528" s="191">
        <v>0</v>
      </c>
      <c r="K528" s="122"/>
      <c r="M528">
        <v>0</v>
      </c>
      <c r="N528" s="122">
        <v>38115</v>
      </c>
      <c r="O528" s="122">
        <v>14117</v>
      </c>
      <c r="P528" s="122">
        <v>29950</v>
      </c>
      <c r="Q528" s="122">
        <v>11093</v>
      </c>
      <c r="S528">
        <v>0</v>
      </c>
      <c r="T528">
        <v>0</v>
      </c>
      <c r="U528">
        <v>0</v>
      </c>
      <c r="V528" s="122">
        <v>25209</v>
      </c>
      <c r="W528" s="122">
        <f t="shared" si="16"/>
        <v>25210</v>
      </c>
      <c r="X528" s="122">
        <f t="shared" si="17"/>
        <v>68065</v>
      </c>
      <c r="Y528" s="122"/>
      <c r="AA528" t="s">
        <v>60</v>
      </c>
      <c r="AB528" t="s">
        <v>137</v>
      </c>
      <c r="AC528" t="s">
        <v>407</v>
      </c>
      <c r="AD528" t="s">
        <v>137</v>
      </c>
      <c r="AE528" t="s">
        <v>137</v>
      </c>
      <c r="AF528">
        <v>2</v>
      </c>
      <c r="AG528">
        <v>111</v>
      </c>
      <c r="AH528">
        <v>696</v>
      </c>
      <c r="AI528" s="122">
        <v>20399</v>
      </c>
      <c r="AJ528" s="122">
        <v>7555</v>
      </c>
      <c r="AK528">
        <v>100</v>
      </c>
      <c r="AL528" s="122">
        <v>2453</v>
      </c>
      <c r="AM528" s="122">
        <v>2230</v>
      </c>
      <c r="AN528" s="122">
        <v>2476</v>
      </c>
      <c r="AO528">
        <v>917</v>
      </c>
      <c r="AP528">
        <v>0</v>
      </c>
      <c r="AQ528">
        <v>0</v>
      </c>
      <c r="AR528" s="122">
        <v>13212</v>
      </c>
      <c r="AS528" s="122">
        <v>4893</v>
      </c>
      <c r="AT528">
        <v>0</v>
      </c>
      <c r="AU528">
        <v>0</v>
      </c>
      <c r="AV528" s="122">
        <v>15596</v>
      </c>
    </row>
    <row r="529" spans="2:48" ht="13">
      <c r="B529" t="s">
        <v>441</v>
      </c>
      <c r="C529" t="s">
        <v>48</v>
      </c>
      <c r="D529" t="s">
        <v>137</v>
      </c>
      <c r="E529" t="s">
        <v>137</v>
      </c>
      <c r="F529" s="122">
        <v>71</v>
      </c>
      <c r="G529" s="122">
        <v>6287</v>
      </c>
      <c r="H529" s="122">
        <v>3403</v>
      </c>
      <c r="I529" s="122">
        <v>31098</v>
      </c>
      <c r="J529" s="191">
        <v>11518</v>
      </c>
      <c r="K529" s="122">
        <v>100</v>
      </c>
      <c r="L529">
        <v>0</v>
      </c>
      <c r="M529">
        <v>0</v>
      </c>
      <c r="N529" s="122">
        <v>76604</v>
      </c>
      <c r="O529" s="122">
        <v>28372</v>
      </c>
      <c r="P529" s="122">
        <v>55846</v>
      </c>
      <c r="Q529" s="122">
        <v>20684</v>
      </c>
      <c r="R529" s="122">
        <v>138212</v>
      </c>
      <c r="S529" s="122">
        <v>51190</v>
      </c>
      <c r="T529">
        <v>0</v>
      </c>
      <c r="U529">
        <v>0</v>
      </c>
      <c r="V529" s="122">
        <v>111763</v>
      </c>
      <c r="W529" s="122">
        <f t="shared" si="16"/>
        <v>111764</v>
      </c>
      <c r="X529" s="122">
        <f t="shared" si="17"/>
        <v>301760</v>
      </c>
      <c r="Y529" s="122"/>
      <c r="AA529" t="s">
        <v>60</v>
      </c>
      <c r="AB529" t="s">
        <v>137</v>
      </c>
      <c r="AC529" t="s">
        <v>407</v>
      </c>
      <c r="AD529" t="s">
        <v>137</v>
      </c>
      <c r="AE529" t="s">
        <v>566</v>
      </c>
      <c r="AF529">
        <v>63</v>
      </c>
      <c r="AG529" s="122">
        <v>4090</v>
      </c>
      <c r="AH529" s="122">
        <v>21634</v>
      </c>
      <c r="AI529" s="122">
        <v>788639</v>
      </c>
      <c r="AJ529" s="122">
        <v>292088</v>
      </c>
      <c r="AK529">
        <v>100</v>
      </c>
      <c r="AL529" s="122">
        <v>116725</v>
      </c>
      <c r="AM529" s="122">
        <v>106114</v>
      </c>
      <c r="AN529" s="122">
        <v>89706</v>
      </c>
      <c r="AO529" s="122">
        <v>33224</v>
      </c>
      <c r="AP529" s="122">
        <v>2012</v>
      </c>
      <c r="AQ529">
        <v>745</v>
      </c>
      <c r="AR529" s="122">
        <v>402773</v>
      </c>
      <c r="AS529" s="122">
        <v>149175</v>
      </c>
      <c r="AT529">
        <v>0</v>
      </c>
      <c r="AU529">
        <v>0</v>
      </c>
      <c r="AV529" s="122">
        <v>581347</v>
      </c>
    </row>
    <row r="530" spans="2:48" ht="13">
      <c r="B530" t="s">
        <v>441</v>
      </c>
      <c r="C530" t="s">
        <v>48</v>
      </c>
      <c r="D530" t="s">
        <v>407</v>
      </c>
      <c r="E530" t="s">
        <v>407</v>
      </c>
      <c r="F530">
        <v>40</v>
      </c>
      <c r="G530" s="122">
        <v>2113</v>
      </c>
      <c r="H530" s="122">
        <v>2516</v>
      </c>
      <c r="I530" s="122">
        <v>16057</v>
      </c>
      <c r="J530" s="191">
        <v>14598</v>
      </c>
      <c r="K530" s="122">
        <v>90</v>
      </c>
      <c r="L530">
        <v>0</v>
      </c>
      <c r="M530">
        <v>0</v>
      </c>
      <c r="N530" s="122">
        <v>25748</v>
      </c>
      <c r="O530" s="122">
        <v>9536</v>
      </c>
      <c r="P530" s="122">
        <v>18900</v>
      </c>
      <c r="Q530" s="122">
        <v>7000</v>
      </c>
      <c r="R530" s="122">
        <v>72211</v>
      </c>
      <c r="S530" s="122">
        <v>65646</v>
      </c>
      <c r="T530">
        <v>0</v>
      </c>
      <c r="U530">
        <v>0</v>
      </c>
      <c r="V530" s="122">
        <v>96780</v>
      </c>
      <c r="W530" s="122">
        <f t="shared" si="16"/>
        <v>96780</v>
      </c>
      <c r="X530" s="122">
        <f t="shared" si="17"/>
        <v>132916</v>
      </c>
      <c r="Y530" s="122"/>
      <c r="AA530" t="s">
        <v>60</v>
      </c>
      <c r="AB530" t="s">
        <v>137</v>
      </c>
      <c r="AC530" t="s">
        <v>407</v>
      </c>
      <c r="AD530" t="s">
        <v>407</v>
      </c>
      <c r="AE530" t="s">
        <v>566</v>
      </c>
      <c r="AF530">
        <v>1</v>
      </c>
      <c r="AG530">
        <v>76</v>
      </c>
      <c r="AH530">
        <v>375</v>
      </c>
      <c r="AI530" s="122">
        <v>19663</v>
      </c>
      <c r="AJ530" s="122">
        <v>7283</v>
      </c>
      <c r="AK530">
        <v>100</v>
      </c>
      <c r="AL530" s="122">
        <v>4005</v>
      </c>
      <c r="AM530" s="122">
        <v>3641</v>
      </c>
      <c r="AN530" s="122">
        <v>1765</v>
      </c>
      <c r="AO530">
        <v>654</v>
      </c>
      <c r="AP530">
        <v>0</v>
      </c>
      <c r="AQ530">
        <v>0</v>
      </c>
      <c r="AR530" s="122">
        <v>3190</v>
      </c>
      <c r="AS530" s="122">
        <v>2900</v>
      </c>
      <c r="AT530">
        <v>0</v>
      </c>
      <c r="AU530">
        <v>0</v>
      </c>
      <c r="AV530" s="122">
        <v>14478</v>
      </c>
    </row>
    <row r="531" spans="2:48" ht="13">
      <c r="B531" t="s">
        <v>441</v>
      </c>
      <c r="C531" t="s">
        <v>50</v>
      </c>
      <c r="F531">
        <v>74</v>
      </c>
      <c r="G531" s="122">
        <v>5605</v>
      </c>
      <c r="H531" s="122">
        <v>6361</v>
      </c>
      <c r="J531" s="191">
        <v>0</v>
      </c>
      <c r="K531" s="122"/>
      <c r="M531">
        <v>0</v>
      </c>
      <c r="N531" s="122">
        <v>83097</v>
      </c>
      <c r="O531" s="122">
        <v>30777</v>
      </c>
      <c r="P531" s="122">
        <v>42245</v>
      </c>
      <c r="Q531" s="122">
        <v>15646</v>
      </c>
      <c r="S531">
        <v>0</v>
      </c>
      <c r="T531">
        <v>0</v>
      </c>
      <c r="U531">
        <v>0</v>
      </c>
      <c r="V531" s="122">
        <v>46423</v>
      </c>
      <c r="W531" s="122">
        <f t="shared" si="16"/>
        <v>46423</v>
      </c>
      <c r="X531" s="122">
        <f t="shared" si="17"/>
        <v>125342</v>
      </c>
      <c r="Y531" s="122"/>
      <c r="AA531" t="s">
        <v>60</v>
      </c>
      <c r="AB531" t="s">
        <v>137</v>
      </c>
      <c r="AC531" t="s">
        <v>579</v>
      </c>
      <c r="AD531" t="s">
        <v>137</v>
      </c>
      <c r="AE531" t="s">
        <v>137</v>
      </c>
      <c r="AF531">
        <v>12</v>
      </c>
      <c r="AG531">
        <v>639</v>
      </c>
      <c r="AH531" s="122">
        <v>4055</v>
      </c>
      <c r="AI531" s="122">
        <v>104217</v>
      </c>
      <c r="AJ531" s="122">
        <v>38599</v>
      </c>
      <c r="AK531">
        <v>100</v>
      </c>
      <c r="AL531" s="122">
        <v>17522</v>
      </c>
      <c r="AM531" s="122">
        <v>14602</v>
      </c>
      <c r="AN531" s="122">
        <v>12346</v>
      </c>
      <c r="AO531" s="122">
        <v>4573</v>
      </c>
      <c r="AP531" s="122">
        <v>1404</v>
      </c>
      <c r="AQ531">
        <v>520</v>
      </c>
      <c r="AR531" s="122">
        <v>76352</v>
      </c>
      <c r="AS531" s="122">
        <v>28279</v>
      </c>
      <c r="AT531" s="122">
        <v>4453</v>
      </c>
      <c r="AU531" s="122">
        <v>1649</v>
      </c>
      <c r="AV531" s="122">
        <v>88221</v>
      </c>
    </row>
    <row r="532" spans="2:48" ht="13">
      <c r="B532" t="s">
        <v>441</v>
      </c>
      <c r="C532" t="s">
        <v>50</v>
      </c>
      <c r="D532" t="s">
        <v>137</v>
      </c>
      <c r="E532" t="s">
        <v>137</v>
      </c>
      <c r="F532">
        <v>4</v>
      </c>
      <c r="G532">
        <v>433</v>
      </c>
      <c r="H532" s="122">
        <v>359</v>
      </c>
      <c r="I532" s="122">
        <v>18863</v>
      </c>
      <c r="J532" s="191">
        <v>6986</v>
      </c>
      <c r="K532" s="122">
        <v>282</v>
      </c>
      <c r="L532">
        <v>0</v>
      </c>
      <c r="M532">
        <v>0</v>
      </c>
      <c r="N532" s="122">
        <v>5974</v>
      </c>
      <c r="O532" s="122">
        <v>2212</v>
      </c>
      <c r="P532" s="122">
        <v>1404</v>
      </c>
      <c r="Q532">
        <v>520</v>
      </c>
      <c r="R532" s="122">
        <v>12647</v>
      </c>
      <c r="S532" s="122">
        <v>4684</v>
      </c>
      <c r="T532">
        <v>0</v>
      </c>
      <c r="U532">
        <v>0</v>
      </c>
      <c r="V532" s="122">
        <v>14403</v>
      </c>
      <c r="W532" s="122">
        <f t="shared" si="16"/>
        <v>14402</v>
      </c>
      <c r="X532" s="122">
        <f t="shared" si="17"/>
        <v>38888</v>
      </c>
      <c r="Y532" s="122"/>
      <c r="AA532" t="s">
        <v>60</v>
      </c>
      <c r="AB532" t="s">
        <v>137</v>
      </c>
      <c r="AC532" t="s">
        <v>579</v>
      </c>
      <c r="AD532" t="s">
        <v>137</v>
      </c>
      <c r="AE532" t="s">
        <v>566</v>
      </c>
      <c r="AF532">
        <v>488</v>
      </c>
      <c r="AG532" s="122">
        <v>27374</v>
      </c>
      <c r="AH532" s="122">
        <v>165999</v>
      </c>
      <c r="AI532" s="122">
        <v>4783804</v>
      </c>
      <c r="AJ532" s="122">
        <v>1771779</v>
      </c>
      <c r="AK532">
        <v>100</v>
      </c>
      <c r="AL532" s="122">
        <v>985555</v>
      </c>
      <c r="AM532" s="122">
        <v>821296</v>
      </c>
      <c r="AN532" s="122">
        <v>548329</v>
      </c>
      <c r="AO532" s="122">
        <v>203085</v>
      </c>
      <c r="AP532" s="122">
        <v>4721</v>
      </c>
      <c r="AQ532" s="122">
        <v>1749</v>
      </c>
      <c r="AR532" s="122">
        <v>2967725</v>
      </c>
      <c r="AS532" s="122">
        <v>1099157</v>
      </c>
      <c r="AT532">
        <v>0</v>
      </c>
      <c r="AU532">
        <v>0</v>
      </c>
      <c r="AV532" s="122">
        <v>3897066</v>
      </c>
    </row>
    <row r="533" spans="2:48" ht="13">
      <c r="B533" t="s">
        <v>441</v>
      </c>
      <c r="C533" t="s">
        <v>50</v>
      </c>
      <c r="D533" t="s">
        <v>407</v>
      </c>
      <c r="E533" t="s">
        <v>407</v>
      </c>
      <c r="F533">
        <v>10</v>
      </c>
      <c r="G533">
        <v>694</v>
      </c>
      <c r="H533" s="122">
        <v>822</v>
      </c>
      <c r="I533" s="122">
        <v>18713</v>
      </c>
      <c r="J533" s="191">
        <v>17012</v>
      </c>
      <c r="K533" s="122">
        <v>89</v>
      </c>
      <c r="L533">
        <v>0</v>
      </c>
      <c r="M533">
        <v>0</v>
      </c>
      <c r="N533" s="122">
        <v>9012</v>
      </c>
      <c r="O533" s="122">
        <v>3338</v>
      </c>
      <c r="P533" s="122">
        <v>4725</v>
      </c>
      <c r="Q533" s="122">
        <v>1750</v>
      </c>
      <c r="R533" s="122">
        <v>24993</v>
      </c>
      <c r="S533" s="122">
        <v>22721</v>
      </c>
      <c r="T533">
        <v>0</v>
      </c>
      <c r="U533">
        <v>0</v>
      </c>
      <c r="V533" s="122">
        <v>44821</v>
      </c>
      <c r="W533" s="122">
        <f t="shared" si="16"/>
        <v>44821</v>
      </c>
      <c r="X533" s="122">
        <f t="shared" si="17"/>
        <v>57443</v>
      </c>
      <c r="Y533" s="122"/>
      <c r="AA533" t="s">
        <v>60</v>
      </c>
      <c r="AB533" t="s">
        <v>137</v>
      </c>
      <c r="AC533" t="s">
        <v>579</v>
      </c>
      <c r="AD533" t="s">
        <v>407</v>
      </c>
      <c r="AE533" t="s">
        <v>566</v>
      </c>
      <c r="AF533">
        <v>1</v>
      </c>
      <c r="AG533">
        <v>42</v>
      </c>
      <c r="AH533">
        <v>337</v>
      </c>
      <c r="AI533" s="122">
        <v>9892</v>
      </c>
      <c r="AJ533" s="122">
        <v>3664</v>
      </c>
      <c r="AK533">
        <v>100</v>
      </c>
      <c r="AL533" s="122">
        <v>1628</v>
      </c>
      <c r="AM533" s="122">
        <v>1357</v>
      </c>
      <c r="AN533" s="122">
        <v>1011</v>
      </c>
      <c r="AO533">
        <v>375</v>
      </c>
      <c r="AP533">
        <v>0</v>
      </c>
      <c r="AQ533">
        <v>0</v>
      </c>
      <c r="AR533" s="122">
        <v>1452</v>
      </c>
      <c r="AS533" s="122">
        <v>1320</v>
      </c>
      <c r="AT533">
        <v>0</v>
      </c>
      <c r="AU533">
        <v>0</v>
      </c>
      <c r="AV533" s="122">
        <v>6715</v>
      </c>
    </row>
    <row r="534" spans="2:48" ht="13">
      <c r="B534" t="s">
        <v>441</v>
      </c>
      <c r="C534" t="s">
        <v>52</v>
      </c>
      <c r="F534">
        <v>40</v>
      </c>
      <c r="G534" s="122">
        <v>2717</v>
      </c>
      <c r="H534" s="122">
        <v>4454</v>
      </c>
      <c r="J534" s="66">
        <v>0</v>
      </c>
      <c r="K534" s="122"/>
      <c r="M534">
        <v>0</v>
      </c>
      <c r="N534" s="122">
        <v>49344</v>
      </c>
      <c r="O534" s="122">
        <v>18276</v>
      </c>
      <c r="P534" s="122">
        <v>10224</v>
      </c>
      <c r="Q534" s="122">
        <v>3787</v>
      </c>
      <c r="S534">
        <v>0</v>
      </c>
      <c r="T534">
        <v>0</v>
      </c>
      <c r="U534">
        <v>0</v>
      </c>
      <c r="V534" s="122">
        <v>22062</v>
      </c>
      <c r="W534" s="122">
        <f t="shared" si="16"/>
        <v>22063</v>
      </c>
      <c r="X534" s="122">
        <f t="shared" si="17"/>
        <v>59568</v>
      </c>
      <c r="Y534" s="122"/>
      <c r="AA534" t="s">
        <v>60</v>
      </c>
      <c r="AB534" t="s">
        <v>137</v>
      </c>
      <c r="AC534" t="s">
        <v>579</v>
      </c>
      <c r="AD534" t="s">
        <v>579</v>
      </c>
      <c r="AE534" t="s">
        <v>137</v>
      </c>
      <c r="AF534">
        <v>1</v>
      </c>
      <c r="AG534">
        <v>72</v>
      </c>
      <c r="AH534">
        <v>358</v>
      </c>
      <c r="AI534" s="122">
        <v>15032</v>
      </c>
      <c r="AJ534" s="122">
        <v>5567</v>
      </c>
      <c r="AK534">
        <v>100</v>
      </c>
      <c r="AL534" s="122">
        <v>2570</v>
      </c>
      <c r="AM534" s="122">
        <v>2141</v>
      </c>
      <c r="AN534" s="122">
        <v>1745</v>
      </c>
      <c r="AO534">
        <v>646</v>
      </c>
      <c r="AP534">
        <v>0</v>
      </c>
      <c r="AQ534">
        <v>0</v>
      </c>
      <c r="AR534" s="122">
        <v>4652</v>
      </c>
      <c r="AS534" s="122">
        <v>3877</v>
      </c>
      <c r="AT534" s="122">
        <v>1607</v>
      </c>
      <c r="AU534">
        <v>595</v>
      </c>
      <c r="AV534" s="122">
        <v>12827</v>
      </c>
    </row>
    <row r="535" spans="2:48" ht="13">
      <c r="B535" t="s">
        <v>441</v>
      </c>
      <c r="C535" t="s">
        <v>52</v>
      </c>
      <c r="D535" t="s">
        <v>137</v>
      </c>
      <c r="E535" t="s">
        <v>137</v>
      </c>
      <c r="F535" s="122">
        <v>9</v>
      </c>
      <c r="G535" s="122">
        <v>414</v>
      </c>
      <c r="H535" s="122">
        <v>1050</v>
      </c>
      <c r="I535" s="122">
        <v>10633</v>
      </c>
      <c r="J535" s="191">
        <v>3938</v>
      </c>
      <c r="K535" s="122">
        <v>347</v>
      </c>
      <c r="L535" s="122">
        <v>2653</v>
      </c>
      <c r="M535">
        <v>982</v>
      </c>
      <c r="N535" s="122">
        <v>5102</v>
      </c>
      <c r="O535" s="122">
        <v>1890</v>
      </c>
      <c r="P535" s="122">
        <v>3159</v>
      </c>
      <c r="Q535" s="122">
        <v>1170</v>
      </c>
      <c r="R535" s="122">
        <v>13297</v>
      </c>
      <c r="S535" s="122">
        <v>4925</v>
      </c>
      <c r="T535" s="122">
        <v>13371</v>
      </c>
      <c r="U535" s="122">
        <v>4952</v>
      </c>
      <c r="V535" s="122">
        <v>17857</v>
      </c>
      <c r="W535" s="122">
        <f t="shared" si="16"/>
        <v>17857</v>
      </c>
      <c r="X535" s="122">
        <f t="shared" si="17"/>
        <v>48215</v>
      </c>
      <c r="Y535" s="122"/>
      <c r="AA535" t="s">
        <v>60</v>
      </c>
      <c r="AB535" t="s">
        <v>137</v>
      </c>
      <c r="AC535" t="s">
        <v>428</v>
      </c>
      <c r="AD535" t="s">
        <v>137</v>
      </c>
      <c r="AE535" t="s">
        <v>137</v>
      </c>
      <c r="AF535">
        <v>1</v>
      </c>
      <c r="AG535">
        <v>59</v>
      </c>
      <c r="AH535">
        <v>376</v>
      </c>
      <c r="AI535" s="122">
        <v>13181</v>
      </c>
      <c r="AJ535" s="122">
        <v>4882</v>
      </c>
      <c r="AK535">
        <v>100</v>
      </c>
      <c r="AL535" s="122">
        <v>1193</v>
      </c>
      <c r="AM535" s="122">
        <v>1085</v>
      </c>
      <c r="AN535" s="122">
        <v>1366</v>
      </c>
      <c r="AO535">
        <v>506</v>
      </c>
      <c r="AP535">
        <v>351</v>
      </c>
      <c r="AQ535">
        <v>130</v>
      </c>
      <c r="AR535" s="122">
        <v>4279</v>
      </c>
      <c r="AS535" s="122">
        <v>1585</v>
      </c>
      <c r="AT535" s="122">
        <v>1787</v>
      </c>
      <c r="AU535">
        <v>662</v>
      </c>
      <c r="AV535" s="122">
        <v>8849</v>
      </c>
    </row>
    <row r="536" spans="2:48" ht="13">
      <c r="B536" t="s">
        <v>441</v>
      </c>
      <c r="C536" t="s">
        <v>52</v>
      </c>
      <c r="D536" t="s">
        <v>407</v>
      </c>
      <c r="E536" t="s">
        <v>407</v>
      </c>
      <c r="F536">
        <v>59</v>
      </c>
      <c r="G536" s="122">
        <v>4750</v>
      </c>
      <c r="H536" s="122">
        <v>6729</v>
      </c>
      <c r="I536" s="122">
        <v>192450</v>
      </c>
      <c r="J536" s="191">
        <v>174955</v>
      </c>
      <c r="K536" s="122">
        <v>85</v>
      </c>
      <c r="L536" s="122">
        <v>1262</v>
      </c>
      <c r="M536">
        <v>467</v>
      </c>
      <c r="N536" s="122">
        <v>97519</v>
      </c>
      <c r="O536" s="122">
        <v>36118</v>
      </c>
      <c r="P536" s="122">
        <v>27392</v>
      </c>
      <c r="Q536" s="122">
        <v>10145</v>
      </c>
      <c r="R536" s="122">
        <v>220746</v>
      </c>
      <c r="S536" s="122">
        <v>200678</v>
      </c>
      <c r="T536">
        <v>0</v>
      </c>
      <c r="U536">
        <v>0</v>
      </c>
      <c r="V536" s="122">
        <v>422363</v>
      </c>
      <c r="W536" s="122">
        <f t="shared" si="16"/>
        <v>422363</v>
      </c>
      <c r="X536" s="122">
        <f t="shared" si="17"/>
        <v>539369</v>
      </c>
      <c r="Y536" s="122"/>
      <c r="AA536" t="s">
        <v>60</v>
      </c>
      <c r="AB536" t="s">
        <v>137</v>
      </c>
      <c r="AC536" t="s">
        <v>428</v>
      </c>
      <c r="AD536" t="s">
        <v>137</v>
      </c>
      <c r="AE536" t="s">
        <v>566</v>
      </c>
      <c r="AF536">
        <v>21</v>
      </c>
      <c r="AG536" s="122">
        <v>1233</v>
      </c>
      <c r="AH536" s="122">
        <v>7208</v>
      </c>
      <c r="AI536" s="122">
        <v>234672</v>
      </c>
      <c r="AJ536" s="122">
        <v>86916</v>
      </c>
      <c r="AK536">
        <v>100</v>
      </c>
      <c r="AL536" s="122">
        <v>32838</v>
      </c>
      <c r="AM536" s="122">
        <v>29853</v>
      </c>
      <c r="AN536" s="122">
        <v>25948</v>
      </c>
      <c r="AO536" s="122">
        <v>9611</v>
      </c>
      <c r="AP536" s="122">
        <v>1053</v>
      </c>
      <c r="AQ536">
        <v>390</v>
      </c>
      <c r="AR536" s="122">
        <v>127573</v>
      </c>
      <c r="AS536" s="122">
        <v>47249</v>
      </c>
      <c r="AT536">
        <v>0</v>
      </c>
      <c r="AU536">
        <v>0</v>
      </c>
      <c r="AV536" s="122">
        <v>174018</v>
      </c>
    </row>
    <row r="537" spans="2:48" ht="13">
      <c r="B537" t="s">
        <v>441</v>
      </c>
      <c r="C537" t="s">
        <v>54</v>
      </c>
      <c r="F537">
        <v>30</v>
      </c>
      <c r="G537" s="122">
        <v>1824</v>
      </c>
      <c r="H537" s="122">
        <v>4054</v>
      </c>
      <c r="J537" s="191">
        <v>0</v>
      </c>
      <c r="K537" s="122"/>
      <c r="M537">
        <v>0</v>
      </c>
      <c r="N537" s="122">
        <v>39359</v>
      </c>
      <c r="O537" s="122">
        <v>14577</v>
      </c>
      <c r="P537">
        <v>554</v>
      </c>
      <c r="Q537">
        <v>205</v>
      </c>
      <c r="S537">
        <v>0</v>
      </c>
      <c r="T537">
        <v>0</v>
      </c>
      <c r="U537">
        <v>0</v>
      </c>
      <c r="V537" s="122">
        <v>14782</v>
      </c>
      <c r="W537" s="122">
        <f t="shared" si="16"/>
        <v>14782</v>
      </c>
      <c r="X537" s="122">
        <f t="shared" si="17"/>
        <v>39913</v>
      </c>
      <c r="Y537" s="122"/>
      <c r="AA537" t="s">
        <v>60</v>
      </c>
      <c r="AB537" t="s">
        <v>137</v>
      </c>
      <c r="AC537" t="s">
        <v>426</v>
      </c>
      <c r="AD537" t="s">
        <v>137</v>
      </c>
      <c r="AE537" t="s">
        <v>137</v>
      </c>
      <c r="AF537">
        <v>31</v>
      </c>
      <c r="AG537" s="122">
        <v>1951</v>
      </c>
      <c r="AH537" s="122">
        <v>10559</v>
      </c>
      <c r="AI537" s="122">
        <v>378898</v>
      </c>
      <c r="AJ537" s="122">
        <v>140333</v>
      </c>
      <c r="AK537">
        <v>100</v>
      </c>
      <c r="AL537" s="122">
        <v>55455</v>
      </c>
      <c r="AM537" s="122">
        <v>50414</v>
      </c>
      <c r="AN537" s="122">
        <v>37893</v>
      </c>
      <c r="AO537" s="122">
        <v>14034</v>
      </c>
      <c r="AP537" s="122">
        <v>1925</v>
      </c>
      <c r="AQ537">
        <v>713</v>
      </c>
      <c r="AR537" s="122">
        <v>197810</v>
      </c>
      <c r="AS537" s="122">
        <v>73263</v>
      </c>
      <c r="AT537" s="122">
        <v>4337</v>
      </c>
      <c r="AU537" s="122">
        <v>1606</v>
      </c>
      <c r="AV537" s="122">
        <v>280362</v>
      </c>
    </row>
    <row r="538" spans="2:48" ht="13">
      <c r="B538" t="s">
        <v>441</v>
      </c>
      <c r="C538" t="s">
        <v>54</v>
      </c>
      <c r="D538" t="s">
        <v>405</v>
      </c>
      <c r="E538" t="s">
        <v>405</v>
      </c>
      <c r="F538">
        <v>1</v>
      </c>
      <c r="G538">
        <v>72</v>
      </c>
      <c r="H538" s="122">
        <v>143</v>
      </c>
      <c r="I538" s="122">
        <v>3639</v>
      </c>
      <c r="J538" s="191">
        <v>3308</v>
      </c>
      <c r="K538" s="122">
        <v>90</v>
      </c>
      <c r="L538" s="122">
        <v>2012</v>
      </c>
      <c r="M538">
        <v>745</v>
      </c>
      <c r="N538">
        <v>874</v>
      </c>
      <c r="O538">
        <v>324</v>
      </c>
      <c r="P538">
        <v>473</v>
      </c>
      <c r="Q538">
        <v>175</v>
      </c>
      <c r="R538" s="122">
        <v>3253</v>
      </c>
      <c r="S538" s="122">
        <v>2958</v>
      </c>
      <c r="T538">
        <v>0</v>
      </c>
      <c r="U538">
        <v>0</v>
      </c>
      <c r="V538" s="122">
        <v>7509</v>
      </c>
      <c r="W538" s="122">
        <f t="shared" si="16"/>
        <v>7510</v>
      </c>
      <c r="X538" s="122">
        <f t="shared" si="17"/>
        <v>10251</v>
      </c>
      <c r="Y538" s="122"/>
      <c r="AA538" t="s">
        <v>60</v>
      </c>
      <c r="AB538" t="s">
        <v>137</v>
      </c>
      <c r="AC538" t="s">
        <v>426</v>
      </c>
      <c r="AD538" t="s">
        <v>137</v>
      </c>
      <c r="AE538" t="s">
        <v>566</v>
      </c>
      <c r="AF538">
        <v>553</v>
      </c>
      <c r="AG538" s="122">
        <v>33921</v>
      </c>
      <c r="AH538" s="122">
        <v>188024</v>
      </c>
      <c r="AI538" s="122">
        <v>6386013</v>
      </c>
      <c r="AJ538" s="122">
        <v>2365190</v>
      </c>
      <c r="AK538">
        <v>100</v>
      </c>
      <c r="AL538" s="122">
        <v>1038895</v>
      </c>
      <c r="AM538" s="122">
        <v>944450</v>
      </c>
      <c r="AN538" s="122">
        <v>713110</v>
      </c>
      <c r="AO538" s="122">
        <v>264115</v>
      </c>
      <c r="AP538" s="122">
        <v>17174</v>
      </c>
      <c r="AQ538" s="122">
        <v>6361</v>
      </c>
      <c r="AR538" s="122">
        <v>3448723</v>
      </c>
      <c r="AS538" s="122">
        <v>1277305</v>
      </c>
      <c r="AT538">
        <v>0</v>
      </c>
      <c r="AU538">
        <v>0</v>
      </c>
      <c r="AV538" s="122">
        <v>4857421</v>
      </c>
    </row>
    <row r="539" spans="2:48" ht="13">
      <c r="B539" t="s">
        <v>441</v>
      </c>
      <c r="C539" t="s">
        <v>54</v>
      </c>
      <c r="D539" t="s">
        <v>137</v>
      </c>
      <c r="E539" t="s">
        <v>137</v>
      </c>
      <c r="F539">
        <v>15</v>
      </c>
      <c r="G539">
        <v>777</v>
      </c>
      <c r="H539" s="122">
        <v>2057</v>
      </c>
      <c r="I539" s="122">
        <v>23810</v>
      </c>
      <c r="J539" s="191">
        <v>8819</v>
      </c>
      <c r="K539">
        <v>304</v>
      </c>
      <c r="L539" s="122">
        <v>8283</v>
      </c>
      <c r="M539" s="122">
        <v>3068</v>
      </c>
      <c r="N539" s="122">
        <v>10971</v>
      </c>
      <c r="O539" s="122">
        <v>4063</v>
      </c>
      <c r="P539" s="122">
        <v>4212</v>
      </c>
      <c r="Q539" s="122">
        <v>1560</v>
      </c>
      <c r="R539" s="122">
        <v>39576</v>
      </c>
      <c r="S539" s="122">
        <v>14658</v>
      </c>
      <c r="T539" s="122">
        <v>20060</v>
      </c>
      <c r="U539" s="122">
        <v>7430</v>
      </c>
      <c r="V539" s="122">
        <v>39597</v>
      </c>
      <c r="W539" s="122">
        <f t="shared" si="16"/>
        <v>39598</v>
      </c>
      <c r="X539" s="122">
        <f t="shared" si="17"/>
        <v>106912</v>
      </c>
      <c r="Y539" s="122"/>
      <c r="AA539" t="s">
        <v>60</v>
      </c>
      <c r="AB539" t="s">
        <v>137</v>
      </c>
      <c r="AC539" t="s">
        <v>426</v>
      </c>
      <c r="AD539" t="s">
        <v>426</v>
      </c>
      <c r="AE539" t="s">
        <v>137</v>
      </c>
      <c r="AF539">
        <v>4</v>
      </c>
      <c r="AG539">
        <v>214</v>
      </c>
      <c r="AH539" s="122">
        <v>1385</v>
      </c>
      <c r="AI539" s="122">
        <v>40724</v>
      </c>
      <c r="AJ539" s="122">
        <v>15083</v>
      </c>
      <c r="AK539">
        <v>100</v>
      </c>
      <c r="AL539" s="122">
        <v>4097</v>
      </c>
      <c r="AM539" s="122">
        <v>3724</v>
      </c>
      <c r="AN539" s="122">
        <v>3446</v>
      </c>
      <c r="AO539" s="122">
        <v>1276</v>
      </c>
      <c r="AP539">
        <v>702</v>
      </c>
      <c r="AQ539">
        <v>260</v>
      </c>
      <c r="AR539" s="122">
        <v>20270</v>
      </c>
      <c r="AS539" s="122">
        <v>18428</v>
      </c>
      <c r="AT539" s="122">
        <v>3994</v>
      </c>
      <c r="AU539" s="122">
        <v>1479</v>
      </c>
      <c r="AV539" s="122">
        <v>40251</v>
      </c>
    </row>
    <row r="540" spans="2:48" ht="13">
      <c r="B540" t="s">
        <v>441</v>
      </c>
      <c r="C540" t="s">
        <v>54</v>
      </c>
      <c r="D540" t="s">
        <v>407</v>
      </c>
      <c r="E540" t="s">
        <v>407</v>
      </c>
      <c r="F540" s="122">
        <v>76</v>
      </c>
      <c r="G540" s="122">
        <v>5084</v>
      </c>
      <c r="H540" s="122">
        <v>10436</v>
      </c>
      <c r="I540" s="122">
        <v>258273</v>
      </c>
      <c r="J540" s="191">
        <v>234794</v>
      </c>
      <c r="K540" s="122">
        <v>83</v>
      </c>
      <c r="L540" s="122">
        <v>11824</v>
      </c>
      <c r="M540" s="122">
        <v>8481</v>
      </c>
      <c r="N540" s="122">
        <v>104354</v>
      </c>
      <c r="O540" s="122">
        <v>38650</v>
      </c>
      <c r="P540" s="122">
        <v>35789</v>
      </c>
      <c r="Q540" s="122">
        <v>13255</v>
      </c>
      <c r="R540" s="122">
        <v>281466</v>
      </c>
      <c r="S540" s="122">
        <v>255878</v>
      </c>
      <c r="T540" s="122">
        <v>6570</v>
      </c>
      <c r="U540" s="122">
        <v>2433</v>
      </c>
      <c r="V540" s="122">
        <v>553491</v>
      </c>
      <c r="W540" s="122">
        <f t="shared" si="16"/>
        <v>553491</v>
      </c>
      <c r="X540" s="122">
        <f t="shared" si="17"/>
        <v>698276</v>
      </c>
      <c r="Y540" s="122"/>
      <c r="AA540" t="s">
        <v>60</v>
      </c>
      <c r="AB540" t="s">
        <v>137</v>
      </c>
      <c r="AC540" t="s">
        <v>426</v>
      </c>
      <c r="AD540" t="s">
        <v>426</v>
      </c>
      <c r="AE540" t="s">
        <v>566</v>
      </c>
      <c r="AF540">
        <v>1</v>
      </c>
      <c r="AG540">
        <v>35</v>
      </c>
      <c r="AH540">
        <v>322</v>
      </c>
      <c r="AI540" s="122">
        <v>3511</v>
      </c>
      <c r="AJ540" s="122">
        <v>1300</v>
      </c>
      <c r="AK540">
        <v>100</v>
      </c>
      <c r="AL540">
        <v>505</v>
      </c>
      <c r="AM540">
        <v>459</v>
      </c>
      <c r="AN540">
        <v>704</v>
      </c>
      <c r="AO540">
        <v>261</v>
      </c>
      <c r="AP540">
        <v>0</v>
      </c>
      <c r="AQ540">
        <v>0</v>
      </c>
      <c r="AR540" s="122">
        <v>6435</v>
      </c>
      <c r="AS540" s="122">
        <v>5850</v>
      </c>
      <c r="AT540">
        <v>0</v>
      </c>
      <c r="AU540">
        <v>0</v>
      </c>
      <c r="AV540" s="122">
        <v>7870</v>
      </c>
    </row>
    <row r="541" spans="2:48" ht="13">
      <c r="B541" t="s">
        <v>441</v>
      </c>
      <c r="C541" t="s">
        <v>56</v>
      </c>
      <c r="F541">
        <v>69</v>
      </c>
      <c r="G541" s="122">
        <v>3768</v>
      </c>
      <c r="H541" s="122">
        <v>12909</v>
      </c>
      <c r="J541" s="191">
        <v>0</v>
      </c>
      <c r="K541" s="122"/>
      <c r="M541">
        <v>0</v>
      </c>
      <c r="N541" s="122">
        <v>67871</v>
      </c>
      <c r="O541" s="122">
        <v>25137</v>
      </c>
      <c r="P541" s="122">
        <v>6089</v>
      </c>
      <c r="Q541" s="122">
        <v>2255</v>
      </c>
      <c r="S541">
        <v>0</v>
      </c>
      <c r="T541" s="122">
        <v>10823</v>
      </c>
      <c r="U541" s="122">
        <v>4009</v>
      </c>
      <c r="V541" s="122">
        <v>31401</v>
      </c>
      <c r="W541" s="122">
        <f t="shared" si="16"/>
        <v>31401</v>
      </c>
      <c r="X541" s="122">
        <f t="shared" si="17"/>
        <v>84783</v>
      </c>
      <c r="Y541" s="122"/>
      <c r="AA541" t="s">
        <v>60</v>
      </c>
      <c r="AB541" t="s">
        <v>137</v>
      </c>
      <c r="AC541" t="s">
        <v>566</v>
      </c>
      <c r="AD541" t="s">
        <v>405</v>
      </c>
      <c r="AE541" t="s">
        <v>566</v>
      </c>
      <c r="AF541">
        <v>2</v>
      </c>
      <c r="AG541">
        <v>126</v>
      </c>
      <c r="AH541">
        <v>684</v>
      </c>
      <c r="AI541" s="122">
        <v>30969</v>
      </c>
      <c r="AJ541" s="122">
        <v>11470</v>
      </c>
      <c r="AK541">
        <v>100</v>
      </c>
      <c r="AL541">
        <v>0</v>
      </c>
      <c r="AM541">
        <v>0</v>
      </c>
      <c r="AN541" s="122">
        <v>2311</v>
      </c>
      <c r="AO541">
        <v>856</v>
      </c>
      <c r="AP541">
        <v>0</v>
      </c>
      <c r="AQ541">
        <v>0</v>
      </c>
      <c r="AR541" s="122">
        <v>9057</v>
      </c>
      <c r="AS541" s="122">
        <v>8233</v>
      </c>
      <c r="AT541">
        <v>0</v>
      </c>
      <c r="AU541">
        <v>0</v>
      </c>
      <c r="AV541" s="122">
        <v>20559</v>
      </c>
    </row>
    <row r="542" spans="2:48" ht="13">
      <c r="B542" t="s">
        <v>441</v>
      </c>
      <c r="C542" t="s">
        <v>56</v>
      </c>
      <c r="D542" t="s">
        <v>405</v>
      </c>
      <c r="E542" t="s">
        <v>405</v>
      </c>
      <c r="F542">
        <v>2</v>
      </c>
      <c r="G542">
        <v>124</v>
      </c>
      <c r="H542" s="122">
        <v>369</v>
      </c>
      <c r="I542" s="122">
        <v>9691</v>
      </c>
      <c r="J542" s="191">
        <v>8810</v>
      </c>
      <c r="K542" s="122">
        <v>88</v>
      </c>
      <c r="L542" s="122">
        <v>2762</v>
      </c>
      <c r="M542" s="122">
        <v>2038</v>
      </c>
      <c r="N542" s="122">
        <v>3027</v>
      </c>
      <c r="O542" s="122">
        <v>1121</v>
      </c>
      <c r="P542">
        <v>945</v>
      </c>
      <c r="Q542">
        <v>350</v>
      </c>
      <c r="R542" s="122">
        <v>6496</v>
      </c>
      <c r="S542" s="122">
        <v>5905</v>
      </c>
      <c r="T542">
        <v>0</v>
      </c>
      <c r="U542">
        <v>0</v>
      </c>
      <c r="V542" s="122">
        <v>18225</v>
      </c>
      <c r="W542" s="122">
        <f t="shared" si="16"/>
        <v>18224</v>
      </c>
      <c r="X542" s="122">
        <f t="shared" si="17"/>
        <v>22921</v>
      </c>
      <c r="Y542" s="122"/>
      <c r="AA542" t="s">
        <v>60</v>
      </c>
      <c r="AB542" t="s">
        <v>137</v>
      </c>
      <c r="AC542" t="s">
        <v>566</v>
      </c>
      <c r="AD542" t="s">
        <v>137</v>
      </c>
      <c r="AE542" t="s">
        <v>137</v>
      </c>
      <c r="AF542">
        <v>158</v>
      </c>
      <c r="AG542" s="122">
        <v>9267</v>
      </c>
      <c r="AH542" s="122">
        <v>53717</v>
      </c>
      <c r="AI542" s="122">
        <v>1958911</v>
      </c>
      <c r="AJ542" s="122">
        <v>725523</v>
      </c>
      <c r="AK542">
        <v>100</v>
      </c>
      <c r="AL542">
        <v>0</v>
      </c>
      <c r="AM542" s="122">
        <v>33529</v>
      </c>
      <c r="AN542" s="122">
        <v>165324</v>
      </c>
      <c r="AO542" s="122">
        <v>61231</v>
      </c>
      <c r="AP542" s="122">
        <v>8546</v>
      </c>
      <c r="AQ542" s="122">
        <v>3165</v>
      </c>
      <c r="AR542" s="122">
        <v>962050</v>
      </c>
      <c r="AS542" s="122">
        <v>356315</v>
      </c>
      <c r="AT542" s="122">
        <v>44497</v>
      </c>
      <c r="AU542" s="122">
        <v>16480</v>
      </c>
      <c r="AV542" s="122">
        <v>1196243</v>
      </c>
    </row>
    <row r="543" spans="2:48" ht="13">
      <c r="B543" t="s">
        <v>441</v>
      </c>
      <c r="C543" t="s">
        <v>56</v>
      </c>
      <c r="D543" t="s">
        <v>137</v>
      </c>
      <c r="E543" t="s">
        <v>137</v>
      </c>
      <c r="F543">
        <v>38</v>
      </c>
      <c r="G543" s="122">
        <v>2730</v>
      </c>
      <c r="H543" s="122">
        <v>7414</v>
      </c>
      <c r="I543" s="122">
        <v>206794</v>
      </c>
      <c r="J543" s="191">
        <v>76590</v>
      </c>
      <c r="K543" s="122">
        <v>100</v>
      </c>
      <c r="L543" s="122">
        <v>31328</v>
      </c>
      <c r="M543" s="122">
        <v>12181</v>
      </c>
      <c r="N543" s="122">
        <v>54748</v>
      </c>
      <c r="O543" s="122">
        <v>20277</v>
      </c>
      <c r="P543">
        <v>0</v>
      </c>
      <c r="Q543">
        <v>0</v>
      </c>
      <c r="R543" s="122">
        <v>239334</v>
      </c>
      <c r="S543" s="122">
        <v>88642</v>
      </c>
      <c r="T543">
        <v>0</v>
      </c>
      <c r="U543">
        <v>0</v>
      </c>
      <c r="V543" s="122">
        <v>197690</v>
      </c>
      <c r="W543" s="122">
        <f t="shared" si="16"/>
        <v>197690</v>
      </c>
      <c r="X543" s="122">
        <f t="shared" si="17"/>
        <v>532204</v>
      </c>
      <c r="Y543" s="122"/>
      <c r="AA543" t="s">
        <v>60</v>
      </c>
      <c r="AB543" t="s">
        <v>137</v>
      </c>
      <c r="AC543" t="s">
        <v>566</v>
      </c>
      <c r="AD543" t="s">
        <v>137</v>
      </c>
      <c r="AE543" t="s">
        <v>566</v>
      </c>
      <c r="AF543" s="122">
        <v>3617</v>
      </c>
      <c r="AG543" s="122">
        <v>209236</v>
      </c>
      <c r="AH543" s="122">
        <v>1219564</v>
      </c>
      <c r="AI543" s="122">
        <v>44789050</v>
      </c>
      <c r="AJ543" s="122">
        <v>16588537</v>
      </c>
      <c r="AK543">
        <v>100</v>
      </c>
      <c r="AL543" s="122">
        <v>2500</v>
      </c>
      <c r="AM543" s="122">
        <v>3952598</v>
      </c>
      <c r="AN543" s="122">
        <v>4278816</v>
      </c>
      <c r="AO543" s="122">
        <v>1584746</v>
      </c>
      <c r="AP543" s="122">
        <v>86641</v>
      </c>
      <c r="AQ543" s="122">
        <v>32089</v>
      </c>
      <c r="AR543" s="122">
        <v>21476679</v>
      </c>
      <c r="AS543" s="122">
        <v>7954326</v>
      </c>
      <c r="AT543">
        <v>0</v>
      </c>
      <c r="AU543">
        <v>0</v>
      </c>
      <c r="AV543" s="122">
        <v>30112297</v>
      </c>
    </row>
    <row r="544" spans="2:48" ht="13">
      <c r="B544" t="s">
        <v>441</v>
      </c>
      <c r="C544" t="s">
        <v>56</v>
      </c>
      <c r="D544" t="s">
        <v>406</v>
      </c>
      <c r="E544" t="s">
        <v>406</v>
      </c>
      <c r="F544">
        <v>1</v>
      </c>
      <c r="G544" s="122">
        <v>108</v>
      </c>
      <c r="H544" s="122">
        <v>199</v>
      </c>
      <c r="I544" s="122">
        <v>11510</v>
      </c>
      <c r="J544" s="191">
        <v>10464</v>
      </c>
      <c r="K544" s="122">
        <v>95</v>
      </c>
      <c r="L544" s="122">
        <v>6674</v>
      </c>
      <c r="M544" s="122">
        <v>2472</v>
      </c>
      <c r="N544" s="122">
        <v>2442</v>
      </c>
      <c r="O544">
        <v>904</v>
      </c>
      <c r="P544">
        <v>621</v>
      </c>
      <c r="Q544">
        <v>230</v>
      </c>
      <c r="R544" s="122">
        <v>2690</v>
      </c>
      <c r="S544" s="122">
        <v>2445</v>
      </c>
      <c r="T544">
        <v>0</v>
      </c>
      <c r="U544">
        <v>0</v>
      </c>
      <c r="V544" s="122">
        <v>16515</v>
      </c>
      <c r="W544" s="122">
        <f t="shared" si="16"/>
        <v>16515</v>
      </c>
      <c r="X544" s="122">
        <f t="shared" si="17"/>
        <v>23937</v>
      </c>
      <c r="Y544" s="122"/>
      <c r="AA544" t="s">
        <v>60</v>
      </c>
      <c r="AB544" t="s">
        <v>137</v>
      </c>
      <c r="AC544" t="s">
        <v>566</v>
      </c>
      <c r="AD544" t="s">
        <v>406</v>
      </c>
      <c r="AE544" t="s">
        <v>137</v>
      </c>
      <c r="AF544">
        <v>1</v>
      </c>
      <c r="AG544">
        <v>54</v>
      </c>
      <c r="AH544">
        <v>314</v>
      </c>
      <c r="AI544" s="122">
        <v>9596</v>
      </c>
      <c r="AJ544" s="122">
        <v>3554</v>
      </c>
      <c r="AK544">
        <v>100</v>
      </c>
      <c r="AL544">
        <v>0</v>
      </c>
      <c r="AM544">
        <v>0</v>
      </c>
      <c r="AN544" s="122">
        <v>1281</v>
      </c>
      <c r="AO544">
        <v>475</v>
      </c>
      <c r="AP544">
        <v>0</v>
      </c>
      <c r="AQ544">
        <v>0</v>
      </c>
      <c r="AR544" s="122">
        <v>4048</v>
      </c>
      <c r="AS544" s="122">
        <v>3680</v>
      </c>
      <c r="AT544" s="122">
        <v>2168</v>
      </c>
      <c r="AU544">
        <v>803</v>
      </c>
      <c r="AV544" s="122">
        <v>8512</v>
      </c>
    </row>
    <row r="545" spans="2:48" ht="13">
      <c r="B545" t="s">
        <v>441</v>
      </c>
      <c r="C545" t="s">
        <v>56</v>
      </c>
      <c r="D545" t="s">
        <v>407</v>
      </c>
      <c r="E545" t="s">
        <v>407</v>
      </c>
      <c r="F545">
        <v>175</v>
      </c>
      <c r="G545" s="122">
        <v>12252</v>
      </c>
      <c r="H545" s="122">
        <v>32544</v>
      </c>
      <c r="I545" s="122">
        <v>1053330</v>
      </c>
      <c r="J545" s="191">
        <v>957573</v>
      </c>
      <c r="K545" s="122">
        <v>81</v>
      </c>
      <c r="L545" s="122">
        <v>86155</v>
      </c>
      <c r="M545" s="122">
        <v>68150</v>
      </c>
      <c r="N545" s="122">
        <v>251164</v>
      </c>
      <c r="O545" s="122">
        <v>93024</v>
      </c>
      <c r="P545" s="122">
        <v>83087</v>
      </c>
      <c r="Q545" s="122">
        <v>30773</v>
      </c>
      <c r="R545" s="122">
        <v>715867</v>
      </c>
      <c r="S545" s="122">
        <v>650788</v>
      </c>
      <c r="T545" s="122">
        <v>103265</v>
      </c>
      <c r="U545" s="122">
        <v>38246</v>
      </c>
      <c r="V545" s="122">
        <v>1838554</v>
      </c>
      <c r="W545" s="122">
        <f t="shared" si="16"/>
        <v>1838554</v>
      </c>
      <c r="X545" s="122">
        <f t="shared" si="17"/>
        <v>2292868</v>
      </c>
      <c r="Y545" s="122"/>
      <c r="AA545" t="s">
        <v>60</v>
      </c>
      <c r="AB545" t="s">
        <v>137</v>
      </c>
      <c r="AC545" t="s">
        <v>566</v>
      </c>
      <c r="AD545" t="s">
        <v>407</v>
      </c>
      <c r="AE545" t="s">
        <v>137</v>
      </c>
      <c r="AF545">
        <v>2</v>
      </c>
      <c r="AG545">
        <v>144</v>
      </c>
      <c r="AH545">
        <v>666</v>
      </c>
      <c r="AI545" s="122">
        <v>33753</v>
      </c>
      <c r="AJ545" s="122">
        <v>12501</v>
      </c>
      <c r="AK545">
        <v>100</v>
      </c>
      <c r="AL545">
        <v>0</v>
      </c>
      <c r="AM545">
        <v>0</v>
      </c>
      <c r="AN545" s="122">
        <v>3514</v>
      </c>
      <c r="AO545" s="122">
        <v>1301</v>
      </c>
      <c r="AP545">
        <v>243</v>
      </c>
      <c r="AQ545">
        <v>90</v>
      </c>
      <c r="AR545" s="122">
        <v>10517</v>
      </c>
      <c r="AS545" s="122">
        <v>9561</v>
      </c>
      <c r="AT545">
        <v>0</v>
      </c>
      <c r="AU545">
        <v>0</v>
      </c>
      <c r="AV545" s="122">
        <v>23453</v>
      </c>
    </row>
    <row r="546" spans="2:48" ht="13">
      <c r="B546" t="s">
        <v>441</v>
      </c>
      <c r="C546" t="s">
        <v>58</v>
      </c>
      <c r="F546">
        <v>6</v>
      </c>
      <c r="G546">
        <v>376</v>
      </c>
      <c r="H546" s="122">
        <v>1388</v>
      </c>
      <c r="J546" s="191">
        <v>0</v>
      </c>
      <c r="K546" s="122"/>
      <c r="M546">
        <v>0</v>
      </c>
      <c r="N546" s="122">
        <v>8644</v>
      </c>
      <c r="O546" s="122">
        <v>3201</v>
      </c>
      <c r="P546">
        <v>0</v>
      </c>
      <c r="Q546">
        <v>0</v>
      </c>
      <c r="S546">
        <v>0</v>
      </c>
      <c r="T546">
        <v>0</v>
      </c>
      <c r="U546">
        <v>0</v>
      </c>
      <c r="V546" s="122">
        <v>3201</v>
      </c>
      <c r="W546" s="122">
        <f t="shared" si="16"/>
        <v>3201</v>
      </c>
      <c r="X546" s="122">
        <f t="shared" si="17"/>
        <v>8644</v>
      </c>
      <c r="Y546" s="122"/>
      <c r="AA546" t="s">
        <v>60</v>
      </c>
      <c r="AB546" t="s">
        <v>137</v>
      </c>
      <c r="AC546" t="s">
        <v>566</v>
      </c>
      <c r="AD546" t="s">
        <v>407</v>
      </c>
      <c r="AE546" t="s">
        <v>566</v>
      </c>
      <c r="AF546">
        <v>1</v>
      </c>
      <c r="AG546">
        <v>50</v>
      </c>
      <c r="AH546">
        <v>379</v>
      </c>
      <c r="AI546" s="122">
        <v>15817</v>
      </c>
      <c r="AJ546" s="122">
        <v>5858</v>
      </c>
      <c r="AK546">
        <v>100</v>
      </c>
      <c r="AL546">
        <v>0</v>
      </c>
      <c r="AM546">
        <v>0</v>
      </c>
      <c r="AN546">
        <v>609</v>
      </c>
      <c r="AO546">
        <v>226</v>
      </c>
      <c r="AP546">
        <v>351</v>
      </c>
      <c r="AQ546">
        <v>130</v>
      </c>
      <c r="AR546" s="122">
        <v>2156</v>
      </c>
      <c r="AS546" s="122">
        <v>1960</v>
      </c>
      <c r="AT546">
        <v>0</v>
      </c>
      <c r="AU546">
        <v>0</v>
      </c>
      <c r="AV546" s="122">
        <v>8174</v>
      </c>
    </row>
    <row r="547" spans="2:48" ht="13">
      <c r="B547" t="s">
        <v>441</v>
      </c>
      <c r="C547" t="s">
        <v>58</v>
      </c>
      <c r="D547" t="s">
        <v>405</v>
      </c>
      <c r="E547" t="s">
        <v>405</v>
      </c>
      <c r="F547">
        <v>1</v>
      </c>
      <c r="G547">
        <v>69</v>
      </c>
      <c r="H547" s="122">
        <v>273</v>
      </c>
      <c r="I547" s="122">
        <v>8809</v>
      </c>
      <c r="J547" s="191">
        <v>8008</v>
      </c>
      <c r="K547" s="122">
        <v>90</v>
      </c>
      <c r="L547" s="122">
        <v>2995</v>
      </c>
      <c r="M547" s="122">
        <v>2723</v>
      </c>
      <c r="N547" s="122">
        <v>1671</v>
      </c>
      <c r="O547">
        <v>619</v>
      </c>
      <c r="P547">
        <v>473</v>
      </c>
      <c r="Q547">
        <v>175</v>
      </c>
      <c r="R547" s="122">
        <v>4764</v>
      </c>
      <c r="S547" s="122">
        <v>4331</v>
      </c>
      <c r="T547">
        <v>0</v>
      </c>
      <c r="U547">
        <v>0</v>
      </c>
      <c r="V547" s="122">
        <v>15856</v>
      </c>
      <c r="W547" s="122">
        <f t="shared" si="16"/>
        <v>15856</v>
      </c>
      <c r="X547" s="122">
        <f t="shared" si="17"/>
        <v>18712</v>
      </c>
      <c r="Y547" s="122"/>
      <c r="AA547" t="s">
        <v>60</v>
      </c>
      <c r="AB547" t="s">
        <v>137</v>
      </c>
      <c r="AC547" t="s">
        <v>566</v>
      </c>
      <c r="AD547" t="s">
        <v>426</v>
      </c>
      <c r="AE547" t="s">
        <v>566</v>
      </c>
      <c r="AF547">
        <v>1</v>
      </c>
      <c r="AG547">
        <v>35</v>
      </c>
      <c r="AH547">
        <v>362</v>
      </c>
      <c r="AI547" s="122">
        <v>7076</v>
      </c>
      <c r="AJ547" s="122">
        <v>2621</v>
      </c>
      <c r="AK547">
        <v>100</v>
      </c>
      <c r="AL547">
        <v>0</v>
      </c>
      <c r="AM547">
        <v>0</v>
      </c>
      <c r="AN547">
        <v>844</v>
      </c>
      <c r="AO547">
        <v>313</v>
      </c>
      <c r="AP547">
        <v>0</v>
      </c>
      <c r="AQ547">
        <v>0</v>
      </c>
      <c r="AR547" s="122">
        <v>4626</v>
      </c>
      <c r="AS547" s="122">
        <v>4206</v>
      </c>
      <c r="AT547">
        <v>0</v>
      </c>
      <c r="AU547">
        <v>0</v>
      </c>
      <c r="AV547" s="122">
        <v>7139</v>
      </c>
    </row>
    <row r="548" spans="2:48" ht="13">
      <c r="B548" t="s">
        <v>441</v>
      </c>
      <c r="C548" t="s">
        <v>58</v>
      </c>
      <c r="D548" t="s">
        <v>137</v>
      </c>
      <c r="E548" t="s">
        <v>137</v>
      </c>
      <c r="F548" s="122">
        <v>89</v>
      </c>
      <c r="G548" s="122">
        <v>5421</v>
      </c>
      <c r="H548" s="122">
        <v>23328</v>
      </c>
      <c r="I548" s="122">
        <v>673451</v>
      </c>
      <c r="J548" s="191">
        <v>249426</v>
      </c>
      <c r="K548" s="122">
        <v>100</v>
      </c>
      <c r="L548" s="122">
        <v>111150</v>
      </c>
      <c r="M548" s="122">
        <v>45921</v>
      </c>
      <c r="N548" s="122">
        <v>103263</v>
      </c>
      <c r="O548" s="122">
        <v>38246</v>
      </c>
      <c r="P548">
        <v>702</v>
      </c>
      <c r="Q548">
        <v>260</v>
      </c>
      <c r="R548" s="122">
        <v>524630</v>
      </c>
      <c r="S548" s="122">
        <v>194307</v>
      </c>
      <c r="T548">
        <v>0</v>
      </c>
      <c r="U548">
        <v>0</v>
      </c>
      <c r="V548" s="122">
        <v>528160</v>
      </c>
      <c r="W548" s="122">
        <f t="shared" si="16"/>
        <v>528160</v>
      </c>
      <c r="X548" s="122">
        <f t="shared" si="17"/>
        <v>1413196</v>
      </c>
      <c r="Y548" s="122"/>
      <c r="AA548" t="s">
        <v>60</v>
      </c>
      <c r="AB548" t="s">
        <v>137</v>
      </c>
      <c r="AC548" t="s">
        <v>433</v>
      </c>
      <c r="AD548" t="s">
        <v>137</v>
      </c>
      <c r="AE548" t="s">
        <v>137</v>
      </c>
      <c r="AF548">
        <v>1</v>
      </c>
      <c r="AG548">
        <v>59</v>
      </c>
      <c r="AH548">
        <v>367</v>
      </c>
      <c r="AI548" s="122">
        <v>13488</v>
      </c>
      <c r="AJ548" s="122">
        <v>4996</v>
      </c>
      <c r="AK548">
        <v>100</v>
      </c>
      <c r="AL548">
        <v>872</v>
      </c>
      <c r="AM548">
        <v>793</v>
      </c>
      <c r="AN548" s="122">
        <v>1072</v>
      </c>
      <c r="AO548">
        <v>397</v>
      </c>
      <c r="AP548">
        <v>0</v>
      </c>
      <c r="AQ548">
        <v>0</v>
      </c>
      <c r="AR548" s="122">
        <v>6073</v>
      </c>
      <c r="AS548" s="122">
        <v>2249</v>
      </c>
      <c r="AT548">
        <v>0</v>
      </c>
      <c r="AU548">
        <v>0</v>
      </c>
      <c r="AV548" s="122">
        <v>8435</v>
      </c>
    </row>
    <row r="549" spans="2:48" ht="13">
      <c r="B549" t="s">
        <v>441</v>
      </c>
      <c r="C549" t="s">
        <v>58</v>
      </c>
      <c r="D549" t="s">
        <v>406</v>
      </c>
      <c r="E549" t="s">
        <v>406</v>
      </c>
      <c r="F549">
        <v>1</v>
      </c>
      <c r="G549">
        <v>86</v>
      </c>
      <c r="H549">
        <v>286</v>
      </c>
      <c r="I549" s="122">
        <v>12250</v>
      </c>
      <c r="J549" s="191">
        <v>11137</v>
      </c>
      <c r="K549" s="122">
        <v>79</v>
      </c>
      <c r="L549" s="122">
        <v>3403</v>
      </c>
      <c r="M549" s="122">
        <v>3094</v>
      </c>
      <c r="N549" s="122">
        <v>1667</v>
      </c>
      <c r="O549">
        <v>617</v>
      </c>
      <c r="P549">
        <v>621</v>
      </c>
      <c r="Q549">
        <v>230</v>
      </c>
      <c r="R549" s="122">
        <v>3960</v>
      </c>
      <c r="S549" s="122">
        <v>3600</v>
      </c>
      <c r="T549" s="122">
        <v>2506</v>
      </c>
      <c r="U549">
        <v>928</v>
      </c>
      <c r="V549" s="122">
        <v>19606</v>
      </c>
      <c r="W549" s="122">
        <f t="shared" si="16"/>
        <v>19606</v>
      </c>
      <c r="X549" s="122">
        <f t="shared" si="17"/>
        <v>24407</v>
      </c>
      <c r="Y549" s="122"/>
      <c r="AA549" t="s">
        <v>60</v>
      </c>
      <c r="AB549" t="s">
        <v>137</v>
      </c>
      <c r="AC549" t="s">
        <v>433</v>
      </c>
      <c r="AD549" t="s">
        <v>137</v>
      </c>
      <c r="AE549" t="s">
        <v>566</v>
      </c>
      <c r="AF549">
        <v>24</v>
      </c>
      <c r="AG549" s="122">
        <v>1424</v>
      </c>
      <c r="AH549" s="122">
        <v>8444</v>
      </c>
      <c r="AI549" s="122">
        <v>284370</v>
      </c>
      <c r="AJ549" s="122">
        <v>105322</v>
      </c>
      <c r="AK549">
        <v>100</v>
      </c>
      <c r="AL549" s="122">
        <v>42803</v>
      </c>
      <c r="AM549" s="122">
        <v>38912</v>
      </c>
      <c r="AN549" s="122">
        <v>24146</v>
      </c>
      <c r="AO549" s="122">
        <v>8943</v>
      </c>
      <c r="AP549">
        <v>0</v>
      </c>
      <c r="AQ549">
        <v>0</v>
      </c>
      <c r="AR549" s="122">
        <v>148986</v>
      </c>
      <c r="AS549" s="122">
        <v>55180</v>
      </c>
      <c r="AT549">
        <v>0</v>
      </c>
      <c r="AU549">
        <v>0</v>
      </c>
      <c r="AV549" s="122">
        <v>208357</v>
      </c>
    </row>
    <row r="550" spans="2:48" ht="13">
      <c r="B550" t="s">
        <v>441</v>
      </c>
      <c r="C550" t="s">
        <v>58</v>
      </c>
      <c r="D550" t="s">
        <v>407</v>
      </c>
      <c r="E550" t="s">
        <v>407</v>
      </c>
      <c r="F550">
        <v>54</v>
      </c>
      <c r="G550" s="122">
        <v>3805</v>
      </c>
      <c r="H550" s="122">
        <v>13974</v>
      </c>
      <c r="I550" s="122">
        <v>521016</v>
      </c>
      <c r="J550" s="191">
        <v>473651</v>
      </c>
      <c r="K550" s="122">
        <v>77</v>
      </c>
      <c r="L550" s="122">
        <v>78047</v>
      </c>
      <c r="M550" s="122">
        <v>62439</v>
      </c>
      <c r="N550" s="122">
        <v>72082</v>
      </c>
      <c r="O550" s="122">
        <v>26697</v>
      </c>
      <c r="P550" s="122">
        <v>25151</v>
      </c>
      <c r="Q550" s="122">
        <v>9315</v>
      </c>
      <c r="R550" s="122">
        <v>236566</v>
      </c>
      <c r="S550" s="122">
        <v>215060</v>
      </c>
      <c r="T550" s="122">
        <v>58647</v>
      </c>
      <c r="U550" s="122">
        <v>21721</v>
      </c>
      <c r="V550" s="122">
        <v>808883</v>
      </c>
      <c r="W550" s="122">
        <f t="shared" si="16"/>
        <v>808883</v>
      </c>
      <c r="X550" s="122">
        <f t="shared" si="17"/>
        <v>991509</v>
      </c>
      <c r="Y550" s="122"/>
      <c r="AA550" t="s">
        <v>60</v>
      </c>
      <c r="AB550" t="s">
        <v>137</v>
      </c>
      <c r="AC550" t="s">
        <v>429</v>
      </c>
      <c r="AD550" t="s">
        <v>137</v>
      </c>
      <c r="AE550" t="s">
        <v>566</v>
      </c>
      <c r="AF550">
        <v>3</v>
      </c>
      <c r="AG550">
        <v>186</v>
      </c>
      <c r="AH550" s="122">
        <v>1013</v>
      </c>
      <c r="AI550" s="122">
        <v>35106</v>
      </c>
      <c r="AJ550" s="122">
        <v>13002</v>
      </c>
      <c r="AK550">
        <v>100</v>
      </c>
      <c r="AL550" s="122">
        <v>4002</v>
      </c>
      <c r="AM550" s="122">
        <v>3638</v>
      </c>
      <c r="AN550" s="122">
        <v>3261</v>
      </c>
      <c r="AO550" s="122">
        <v>1208</v>
      </c>
      <c r="AP550">
        <v>0</v>
      </c>
      <c r="AQ550">
        <v>0</v>
      </c>
      <c r="AR550" s="122">
        <v>19315</v>
      </c>
      <c r="AS550" s="122">
        <v>7154</v>
      </c>
      <c r="AT550">
        <v>0</v>
      </c>
      <c r="AU550">
        <v>0</v>
      </c>
      <c r="AV550" s="122">
        <v>25001</v>
      </c>
    </row>
    <row r="551" spans="2:48" ht="13">
      <c r="B551" t="s">
        <v>441</v>
      </c>
      <c r="C551" t="s">
        <v>58</v>
      </c>
      <c r="D551" t="s">
        <v>426</v>
      </c>
      <c r="E551" t="s">
        <v>426</v>
      </c>
      <c r="F551">
        <v>1</v>
      </c>
      <c r="G551">
        <v>61</v>
      </c>
      <c r="H551" s="122">
        <v>281</v>
      </c>
      <c r="I551" s="122">
        <v>7837</v>
      </c>
      <c r="J551" s="191">
        <v>7125</v>
      </c>
      <c r="K551" s="122">
        <v>55</v>
      </c>
      <c r="L551" s="122">
        <v>1176</v>
      </c>
      <c r="M551">
        <v>435</v>
      </c>
      <c r="N551" s="122">
        <v>1401</v>
      </c>
      <c r="O551">
        <v>519</v>
      </c>
      <c r="P551">
        <v>351</v>
      </c>
      <c r="Q551">
        <v>130</v>
      </c>
      <c r="R551" s="122">
        <v>4073</v>
      </c>
      <c r="S551" s="122">
        <v>3703</v>
      </c>
      <c r="T551" s="122">
        <v>2165</v>
      </c>
      <c r="U551">
        <v>802</v>
      </c>
      <c r="V551" s="122">
        <v>12714</v>
      </c>
      <c r="W551" s="122">
        <f t="shared" si="16"/>
        <v>12714</v>
      </c>
      <c r="X551" s="122">
        <f t="shared" si="17"/>
        <v>17003</v>
      </c>
      <c r="Y551" s="122"/>
      <c r="AA551" t="s">
        <v>60</v>
      </c>
      <c r="AB551" t="s">
        <v>406</v>
      </c>
      <c r="AC551" t="s">
        <v>425</v>
      </c>
      <c r="AD551" t="s">
        <v>137</v>
      </c>
      <c r="AE551" t="s">
        <v>566</v>
      </c>
      <c r="AF551">
        <v>1</v>
      </c>
      <c r="AG551">
        <v>112</v>
      </c>
      <c r="AH551">
        <v>337</v>
      </c>
      <c r="AI551" s="122">
        <v>20968</v>
      </c>
      <c r="AJ551" s="122">
        <v>19062</v>
      </c>
      <c r="AK551">
        <v>70</v>
      </c>
      <c r="AL551" s="122">
        <v>7747</v>
      </c>
      <c r="AM551" s="122">
        <v>7042</v>
      </c>
      <c r="AN551" s="122">
        <v>2669</v>
      </c>
      <c r="AO551">
        <v>989</v>
      </c>
      <c r="AP551">
        <v>621</v>
      </c>
      <c r="AQ551">
        <v>230</v>
      </c>
      <c r="AR551" s="122">
        <v>5683</v>
      </c>
      <c r="AS551" s="122">
        <v>2105</v>
      </c>
      <c r="AT551">
        <v>0</v>
      </c>
      <c r="AU551">
        <v>0</v>
      </c>
      <c r="AV551" s="122">
        <v>29428</v>
      </c>
    </row>
    <row r="552" spans="2:48" ht="13">
      <c r="B552" t="s">
        <v>441</v>
      </c>
      <c r="C552" t="s">
        <v>60</v>
      </c>
      <c r="F552" s="122">
        <v>4</v>
      </c>
      <c r="G552" s="122">
        <v>247</v>
      </c>
      <c r="H552" s="122">
        <v>1394</v>
      </c>
      <c r="J552" s="191">
        <v>0</v>
      </c>
      <c r="K552" s="122"/>
      <c r="M552">
        <v>0</v>
      </c>
      <c r="N552" s="122">
        <v>3005</v>
      </c>
      <c r="O552" s="122">
        <v>1113</v>
      </c>
      <c r="P552">
        <v>0</v>
      </c>
      <c r="Q552">
        <v>0</v>
      </c>
      <c r="S552">
        <v>0</v>
      </c>
      <c r="T552">
        <v>0</v>
      </c>
      <c r="U552">
        <v>0</v>
      </c>
      <c r="V552" s="122">
        <v>1113</v>
      </c>
      <c r="W552" s="122">
        <f t="shared" si="16"/>
        <v>1113</v>
      </c>
      <c r="X552" s="122">
        <f t="shared" si="17"/>
        <v>3005</v>
      </c>
      <c r="Y552" s="122"/>
      <c r="AA552" t="s">
        <v>60</v>
      </c>
      <c r="AB552" t="s">
        <v>406</v>
      </c>
      <c r="AC552" t="s">
        <v>425</v>
      </c>
      <c r="AD552" t="s">
        <v>406</v>
      </c>
      <c r="AE552" t="s">
        <v>137</v>
      </c>
      <c r="AF552">
        <v>5</v>
      </c>
      <c r="AG552">
        <v>531</v>
      </c>
      <c r="AH552" s="122">
        <v>1701</v>
      </c>
      <c r="AI552" s="122">
        <v>101606</v>
      </c>
      <c r="AJ552" s="122">
        <v>92369</v>
      </c>
      <c r="AK552">
        <v>74</v>
      </c>
      <c r="AL552" s="122">
        <v>22915</v>
      </c>
      <c r="AM552" s="122">
        <v>20831</v>
      </c>
      <c r="AN552" s="122">
        <v>11643</v>
      </c>
      <c r="AO552" s="122">
        <v>4312</v>
      </c>
      <c r="AP552" s="122">
        <v>3105</v>
      </c>
      <c r="AQ552" s="122">
        <v>1150</v>
      </c>
      <c r="AR552" s="122">
        <v>24612</v>
      </c>
      <c r="AS552" s="122">
        <v>22375</v>
      </c>
      <c r="AT552" s="122">
        <v>14988</v>
      </c>
      <c r="AU552" s="122">
        <v>5551</v>
      </c>
      <c r="AV552" s="122">
        <v>146589</v>
      </c>
    </row>
    <row r="553" spans="2:48" ht="13">
      <c r="B553" t="s">
        <v>441</v>
      </c>
      <c r="C553" t="s">
        <v>60</v>
      </c>
      <c r="D553" t="s">
        <v>137</v>
      </c>
      <c r="E553" t="s">
        <v>137</v>
      </c>
      <c r="F553" s="122">
        <v>65</v>
      </c>
      <c r="G553" s="122">
        <v>3301</v>
      </c>
      <c r="H553" s="122">
        <v>22188</v>
      </c>
      <c r="I553" s="122">
        <v>581985</v>
      </c>
      <c r="J553" s="191">
        <v>215550</v>
      </c>
      <c r="K553" s="122">
        <v>100</v>
      </c>
      <c r="L553" s="122">
        <v>82935</v>
      </c>
      <c r="M553" s="122">
        <v>45527</v>
      </c>
      <c r="N553" s="122">
        <v>66896</v>
      </c>
      <c r="O553" s="122">
        <v>24776</v>
      </c>
      <c r="P553">
        <v>702</v>
      </c>
      <c r="Q553">
        <v>260</v>
      </c>
      <c r="R553" s="122">
        <v>392300</v>
      </c>
      <c r="S553" s="122">
        <v>145296</v>
      </c>
      <c r="T553" s="122">
        <v>1955</v>
      </c>
      <c r="U553">
        <v>724</v>
      </c>
      <c r="V553" s="122">
        <v>432134</v>
      </c>
      <c r="W553" s="122">
        <f t="shared" si="16"/>
        <v>432133</v>
      </c>
      <c r="X553" s="122">
        <f t="shared" si="17"/>
        <v>1126773</v>
      </c>
      <c r="Y553" s="122"/>
      <c r="AA553" t="s">
        <v>60</v>
      </c>
      <c r="AB553" t="s">
        <v>406</v>
      </c>
      <c r="AC553" t="s">
        <v>425</v>
      </c>
      <c r="AD553" t="s">
        <v>406</v>
      </c>
      <c r="AE553" t="s">
        <v>566</v>
      </c>
      <c r="AF553">
        <v>2</v>
      </c>
      <c r="AG553">
        <v>182</v>
      </c>
      <c r="AH553">
        <v>692</v>
      </c>
      <c r="AI553" s="122">
        <v>36359</v>
      </c>
      <c r="AJ553" s="122">
        <v>33053</v>
      </c>
      <c r="AK553">
        <v>73</v>
      </c>
      <c r="AL553" s="122">
        <v>6977</v>
      </c>
      <c r="AM553" s="122">
        <v>6343</v>
      </c>
      <c r="AN553" s="122">
        <v>3536</v>
      </c>
      <c r="AO553" s="122">
        <v>1310</v>
      </c>
      <c r="AP553" s="122">
        <v>1242</v>
      </c>
      <c r="AQ553">
        <v>460</v>
      </c>
      <c r="AR553" s="122">
        <v>14315</v>
      </c>
      <c r="AS553" s="122">
        <v>13013</v>
      </c>
      <c r="AT553">
        <v>0</v>
      </c>
      <c r="AU553">
        <v>0</v>
      </c>
      <c r="AV553" s="122">
        <v>54179</v>
      </c>
    </row>
    <row r="554" spans="2:48" ht="13">
      <c r="B554" t="s">
        <v>441</v>
      </c>
      <c r="C554" t="s">
        <v>60</v>
      </c>
      <c r="D554" t="s">
        <v>406</v>
      </c>
      <c r="E554" t="s">
        <v>406</v>
      </c>
      <c r="F554" s="122">
        <v>2</v>
      </c>
      <c r="G554" s="122">
        <v>264</v>
      </c>
      <c r="H554" s="122">
        <v>665</v>
      </c>
      <c r="I554" s="122">
        <v>55620</v>
      </c>
      <c r="J554" s="191">
        <v>50563</v>
      </c>
      <c r="K554" s="122">
        <v>85</v>
      </c>
      <c r="L554" s="122">
        <v>14608</v>
      </c>
      <c r="M554" s="122">
        <v>8690</v>
      </c>
      <c r="N554" s="122">
        <v>6565</v>
      </c>
      <c r="O554" s="122">
        <v>2432</v>
      </c>
      <c r="P554" s="122">
        <v>1242</v>
      </c>
      <c r="Q554">
        <v>460</v>
      </c>
      <c r="R554" s="122">
        <v>9156</v>
      </c>
      <c r="S554" s="122">
        <v>8324</v>
      </c>
      <c r="T554" s="122">
        <v>6805</v>
      </c>
      <c r="U554" s="122">
        <v>2520</v>
      </c>
      <c r="V554" s="122">
        <v>72989</v>
      </c>
      <c r="W554" s="122">
        <f t="shared" si="16"/>
        <v>72989</v>
      </c>
      <c r="X554" s="122">
        <f t="shared" si="17"/>
        <v>93996</v>
      </c>
      <c r="Y554" s="122"/>
      <c r="AA554" t="s">
        <v>60</v>
      </c>
      <c r="AB554" t="s">
        <v>406</v>
      </c>
      <c r="AC554" t="s">
        <v>137</v>
      </c>
      <c r="AD554" t="s">
        <v>137</v>
      </c>
      <c r="AE554" t="s">
        <v>566</v>
      </c>
      <c r="AF554">
        <v>8</v>
      </c>
      <c r="AG554">
        <v>330</v>
      </c>
      <c r="AH554" s="122">
        <v>2638</v>
      </c>
      <c r="AI554" s="122">
        <v>54092</v>
      </c>
      <c r="AJ554" s="122">
        <v>49174</v>
      </c>
      <c r="AK554">
        <v>80</v>
      </c>
      <c r="AL554" s="122">
        <v>12383</v>
      </c>
      <c r="AM554" s="122">
        <v>4586</v>
      </c>
      <c r="AN554" s="122">
        <v>7354</v>
      </c>
      <c r="AO554" s="122">
        <v>2724</v>
      </c>
      <c r="AP554" s="122">
        <v>4968</v>
      </c>
      <c r="AQ554" s="122">
        <v>1840</v>
      </c>
      <c r="AR554" s="122">
        <v>29466</v>
      </c>
      <c r="AS554" s="122">
        <v>10913</v>
      </c>
      <c r="AT554">
        <v>0</v>
      </c>
      <c r="AU554">
        <v>0</v>
      </c>
      <c r="AV554" s="122">
        <v>69238</v>
      </c>
    </row>
    <row r="555" spans="2:48" ht="13">
      <c r="B555" t="s">
        <v>441</v>
      </c>
      <c r="C555" t="s">
        <v>60</v>
      </c>
      <c r="D555" t="s">
        <v>407</v>
      </c>
      <c r="E555" t="s">
        <v>407</v>
      </c>
      <c r="F555">
        <v>42</v>
      </c>
      <c r="G555" s="122">
        <v>2948</v>
      </c>
      <c r="H555" s="122">
        <v>13989</v>
      </c>
      <c r="I555" s="122">
        <v>542614</v>
      </c>
      <c r="J555" s="191">
        <v>493285</v>
      </c>
      <c r="K555" s="122">
        <v>74</v>
      </c>
      <c r="L555" s="122">
        <v>112848</v>
      </c>
      <c r="M555" s="122">
        <v>96719</v>
      </c>
      <c r="N555" s="122">
        <v>56220</v>
      </c>
      <c r="O555" s="122">
        <v>20822</v>
      </c>
      <c r="P555" s="122">
        <v>19116</v>
      </c>
      <c r="Q555" s="122">
        <v>7080</v>
      </c>
      <c r="R555" s="122">
        <v>201920</v>
      </c>
      <c r="S555" s="122">
        <v>183564</v>
      </c>
      <c r="T555" s="122">
        <v>49873</v>
      </c>
      <c r="U555" s="122">
        <v>18471</v>
      </c>
      <c r="V555" s="122">
        <v>819942</v>
      </c>
      <c r="W555" s="122">
        <f t="shared" si="16"/>
        <v>819941</v>
      </c>
      <c r="X555" s="122">
        <f t="shared" si="17"/>
        <v>982591</v>
      </c>
      <c r="Y555" s="122"/>
      <c r="AA555" t="s">
        <v>60</v>
      </c>
      <c r="AB555" t="s">
        <v>406</v>
      </c>
      <c r="AC555" t="s">
        <v>137</v>
      </c>
      <c r="AD555" t="s">
        <v>406</v>
      </c>
      <c r="AE555" t="s">
        <v>137</v>
      </c>
      <c r="AF555">
        <v>26</v>
      </c>
      <c r="AG555" s="122">
        <v>2271</v>
      </c>
      <c r="AH555" s="122">
        <v>8939</v>
      </c>
      <c r="AI555" s="122">
        <v>455596</v>
      </c>
      <c r="AJ555" s="122">
        <v>414178</v>
      </c>
      <c r="AK555">
        <v>75</v>
      </c>
      <c r="AL555" s="122">
        <v>107494</v>
      </c>
      <c r="AM555" s="122">
        <v>39813</v>
      </c>
      <c r="AN555" s="122">
        <v>50005</v>
      </c>
      <c r="AO555" s="122">
        <v>18521</v>
      </c>
      <c r="AP555" s="122">
        <v>16146</v>
      </c>
      <c r="AQ555" s="122">
        <v>5980</v>
      </c>
      <c r="AR555" s="122">
        <v>114496</v>
      </c>
      <c r="AS555" s="122">
        <v>104087</v>
      </c>
      <c r="AT555" s="122">
        <v>50886</v>
      </c>
      <c r="AU555" s="122">
        <v>18847</v>
      </c>
      <c r="AV555" s="122">
        <v>601425</v>
      </c>
    </row>
    <row r="556" spans="2:48" ht="13">
      <c r="B556" t="s">
        <v>441</v>
      </c>
      <c r="C556" t="s">
        <v>62</v>
      </c>
      <c r="F556" s="122">
        <v>2</v>
      </c>
      <c r="G556" s="122">
        <v>122</v>
      </c>
      <c r="H556" s="122">
        <v>778</v>
      </c>
      <c r="J556" s="191">
        <v>0</v>
      </c>
      <c r="K556" s="122"/>
      <c r="M556">
        <v>0</v>
      </c>
      <c r="N556" s="122">
        <v>1489</v>
      </c>
      <c r="O556">
        <v>552</v>
      </c>
      <c r="P556">
        <v>0</v>
      </c>
      <c r="Q556">
        <v>0</v>
      </c>
      <c r="S556">
        <v>0</v>
      </c>
      <c r="T556">
        <v>0</v>
      </c>
      <c r="U556">
        <v>0</v>
      </c>
      <c r="V556">
        <v>552</v>
      </c>
      <c r="W556" s="122">
        <f t="shared" si="16"/>
        <v>552</v>
      </c>
      <c r="X556" s="122">
        <f t="shared" si="17"/>
        <v>1489</v>
      </c>
      <c r="Y556" s="122"/>
      <c r="AA556" t="s">
        <v>60</v>
      </c>
      <c r="AB556" t="s">
        <v>406</v>
      </c>
      <c r="AC556" t="s">
        <v>137</v>
      </c>
      <c r="AD556" t="s">
        <v>406</v>
      </c>
      <c r="AE556" t="s">
        <v>566</v>
      </c>
      <c r="AF556">
        <v>18</v>
      </c>
      <c r="AG556" s="122">
        <v>1212</v>
      </c>
      <c r="AH556" s="122">
        <v>6043</v>
      </c>
      <c r="AI556" s="122">
        <v>219157</v>
      </c>
      <c r="AJ556" s="122">
        <v>199234</v>
      </c>
      <c r="AK556">
        <v>80</v>
      </c>
      <c r="AL556" s="122">
        <v>58808</v>
      </c>
      <c r="AM556" s="122">
        <v>21781</v>
      </c>
      <c r="AN556" s="122">
        <v>25162</v>
      </c>
      <c r="AO556" s="122">
        <v>9319</v>
      </c>
      <c r="AP556" s="122">
        <v>11178</v>
      </c>
      <c r="AQ556" s="122">
        <v>4140</v>
      </c>
      <c r="AR556" s="122">
        <v>89173</v>
      </c>
      <c r="AS556" s="122">
        <v>81067</v>
      </c>
      <c r="AT556">
        <v>0</v>
      </c>
      <c r="AU556">
        <v>0</v>
      </c>
      <c r="AV556" s="122">
        <v>315541</v>
      </c>
    </row>
    <row r="557" spans="2:48" ht="13">
      <c r="B557" t="s">
        <v>441</v>
      </c>
      <c r="C557" t="s">
        <v>62</v>
      </c>
      <c r="D557" t="s">
        <v>137</v>
      </c>
      <c r="E557" t="s">
        <v>137</v>
      </c>
      <c r="F557" s="122">
        <v>14</v>
      </c>
      <c r="G557" s="122">
        <v>605</v>
      </c>
      <c r="H557" s="122">
        <v>5888</v>
      </c>
      <c r="I557" s="122">
        <v>144164</v>
      </c>
      <c r="J557" s="191">
        <v>53394</v>
      </c>
      <c r="K557" s="122">
        <v>100</v>
      </c>
      <c r="L557" s="122">
        <v>13062</v>
      </c>
      <c r="M557" s="122">
        <v>7582</v>
      </c>
      <c r="N557" s="122">
        <v>12249</v>
      </c>
      <c r="O557" s="122">
        <v>4537</v>
      </c>
      <c r="P557">
        <v>0</v>
      </c>
      <c r="Q557">
        <v>0</v>
      </c>
      <c r="R557" s="122">
        <v>86388</v>
      </c>
      <c r="S557" s="122">
        <v>31995</v>
      </c>
      <c r="T557">
        <v>0</v>
      </c>
      <c r="U557">
        <v>0</v>
      </c>
      <c r="V557" s="122">
        <v>97509</v>
      </c>
      <c r="W557" s="122">
        <f t="shared" si="16"/>
        <v>97508</v>
      </c>
      <c r="X557" s="122">
        <f t="shared" si="17"/>
        <v>255863</v>
      </c>
      <c r="Y557" s="122"/>
      <c r="AA557" t="s">
        <v>60</v>
      </c>
      <c r="AB557" t="s">
        <v>406</v>
      </c>
      <c r="AC557" t="s">
        <v>580</v>
      </c>
      <c r="AD557" t="s">
        <v>406</v>
      </c>
      <c r="AE557" t="s">
        <v>137</v>
      </c>
      <c r="AF557">
        <v>8</v>
      </c>
      <c r="AG557" s="122">
        <v>1205</v>
      </c>
      <c r="AH557" s="122">
        <v>2571</v>
      </c>
      <c r="AI557" s="122">
        <v>253640</v>
      </c>
      <c r="AJ557" s="122">
        <v>230582</v>
      </c>
      <c r="AK557">
        <v>76</v>
      </c>
      <c r="AL557" s="122">
        <v>36873</v>
      </c>
      <c r="AM557" s="122">
        <v>33521</v>
      </c>
      <c r="AN557" s="122">
        <v>26305</v>
      </c>
      <c r="AO557" s="122">
        <v>9743</v>
      </c>
      <c r="AP557" s="122">
        <v>4968</v>
      </c>
      <c r="AQ557" s="122">
        <v>1840</v>
      </c>
      <c r="AR557" s="122">
        <v>40844</v>
      </c>
      <c r="AS557" s="122">
        <v>37131</v>
      </c>
      <c r="AT557" s="122">
        <v>24649</v>
      </c>
      <c r="AU557" s="122">
        <v>9129</v>
      </c>
      <c r="AV557" s="122">
        <v>321946</v>
      </c>
    </row>
    <row r="558" spans="2:48" ht="13">
      <c r="B558" t="s">
        <v>441</v>
      </c>
      <c r="C558" t="s">
        <v>62</v>
      </c>
      <c r="D558" t="s">
        <v>406</v>
      </c>
      <c r="E558" t="s">
        <v>406</v>
      </c>
      <c r="F558">
        <v>1</v>
      </c>
      <c r="G558" s="122">
        <v>112</v>
      </c>
      <c r="H558" s="122">
        <v>406</v>
      </c>
      <c r="I558" s="122">
        <v>30035</v>
      </c>
      <c r="J558" s="191">
        <v>27305</v>
      </c>
      <c r="K558" s="122">
        <v>65</v>
      </c>
      <c r="L558" s="122">
        <v>6875</v>
      </c>
      <c r="M558" s="122">
        <v>6250</v>
      </c>
      <c r="N558" s="122">
        <v>2282</v>
      </c>
      <c r="O558">
        <v>845</v>
      </c>
      <c r="P558">
        <v>621</v>
      </c>
      <c r="Q558">
        <v>230</v>
      </c>
      <c r="R558" s="122">
        <v>3587</v>
      </c>
      <c r="S558" s="122">
        <v>3261</v>
      </c>
      <c r="T558" s="122">
        <v>2134</v>
      </c>
      <c r="U558">
        <v>790</v>
      </c>
      <c r="V558" s="122">
        <v>38680</v>
      </c>
      <c r="W558" s="122">
        <f t="shared" si="16"/>
        <v>38681</v>
      </c>
      <c r="X558" s="122">
        <f t="shared" si="17"/>
        <v>45534</v>
      </c>
      <c r="Y558" s="122"/>
      <c r="AA558" t="s">
        <v>60</v>
      </c>
      <c r="AB558" t="s">
        <v>406</v>
      </c>
      <c r="AC558" t="s">
        <v>580</v>
      </c>
      <c r="AD558" t="s">
        <v>406</v>
      </c>
      <c r="AE558" t="s">
        <v>566</v>
      </c>
      <c r="AF558">
        <v>3</v>
      </c>
      <c r="AG558">
        <v>432</v>
      </c>
      <c r="AH558" s="122">
        <v>1055</v>
      </c>
      <c r="AI558" s="122">
        <v>106929</v>
      </c>
      <c r="AJ558" s="122">
        <v>97208</v>
      </c>
      <c r="AK558">
        <v>78</v>
      </c>
      <c r="AL558" s="122">
        <v>16003</v>
      </c>
      <c r="AM558" s="122">
        <v>14548</v>
      </c>
      <c r="AN558" s="122">
        <v>8512</v>
      </c>
      <c r="AO558" s="122">
        <v>3153</v>
      </c>
      <c r="AP558" s="122">
        <v>2214</v>
      </c>
      <c r="AQ558">
        <v>820</v>
      </c>
      <c r="AR558" s="122">
        <v>18989</v>
      </c>
      <c r="AS558" s="122">
        <v>17263</v>
      </c>
      <c r="AT558">
        <v>0</v>
      </c>
      <c r="AU558">
        <v>0</v>
      </c>
      <c r="AV558" s="122">
        <v>132991</v>
      </c>
    </row>
    <row r="559" spans="2:48" ht="13">
      <c r="B559" t="s">
        <v>441</v>
      </c>
      <c r="C559" t="s">
        <v>62</v>
      </c>
      <c r="D559" t="s">
        <v>407</v>
      </c>
      <c r="E559" t="s">
        <v>407</v>
      </c>
      <c r="F559" s="122">
        <v>9</v>
      </c>
      <c r="G559" s="122">
        <v>763</v>
      </c>
      <c r="H559" s="122">
        <v>3573</v>
      </c>
      <c r="I559" s="122">
        <v>187423</v>
      </c>
      <c r="J559" s="191">
        <v>170384</v>
      </c>
      <c r="K559" s="122">
        <v>71</v>
      </c>
      <c r="L559" s="122">
        <v>32677</v>
      </c>
      <c r="M559" s="122">
        <v>29035</v>
      </c>
      <c r="N559" s="122">
        <v>16379</v>
      </c>
      <c r="O559" s="122">
        <v>6066</v>
      </c>
      <c r="P559" s="122">
        <v>4010</v>
      </c>
      <c r="Q559" s="122">
        <v>1485</v>
      </c>
      <c r="R559" s="122">
        <v>44920</v>
      </c>
      <c r="S559" s="122">
        <v>40837</v>
      </c>
      <c r="T559" s="122">
        <v>16079</v>
      </c>
      <c r="U559" s="122">
        <v>5955</v>
      </c>
      <c r="V559" s="122">
        <v>253763</v>
      </c>
      <c r="W559" s="122">
        <f t="shared" si="16"/>
        <v>253762</v>
      </c>
      <c r="X559" s="122">
        <f t="shared" si="17"/>
        <v>301488</v>
      </c>
      <c r="Y559" s="122"/>
      <c r="AA559" t="s">
        <v>60</v>
      </c>
      <c r="AB559" t="s">
        <v>406</v>
      </c>
      <c r="AC559" t="s">
        <v>427</v>
      </c>
      <c r="AD559" t="s">
        <v>405</v>
      </c>
      <c r="AE559" t="s">
        <v>566</v>
      </c>
      <c r="AF559">
        <v>1</v>
      </c>
      <c r="AG559">
        <v>103</v>
      </c>
      <c r="AH559">
        <v>344</v>
      </c>
      <c r="AI559" s="122">
        <v>19255</v>
      </c>
      <c r="AJ559" s="122">
        <v>17504</v>
      </c>
      <c r="AK559">
        <v>83</v>
      </c>
      <c r="AL559" s="122">
        <v>5620</v>
      </c>
      <c r="AM559" s="122">
        <v>5109</v>
      </c>
      <c r="AN559" s="122">
        <v>1470</v>
      </c>
      <c r="AO559">
        <v>544</v>
      </c>
      <c r="AP559">
        <v>621</v>
      </c>
      <c r="AQ559">
        <v>230</v>
      </c>
      <c r="AR559" s="122">
        <v>8531</v>
      </c>
      <c r="AS559" s="122">
        <v>7755</v>
      </c>
      <c r="AT559">
        <v>0</v>
      </c>
      <c r="AU559">
        <v>0</v>
      </c>
      <c r="AV559" s="122">
        <v>31143</v>
      </c>
    </row>
    <row r="560" spans="2:48" ht="13">
      <c r="B560" t="s">
        <v>441</v>
      </c>
      <c r="C560" t="s">
        <v>64</v>
      </c>
      <c r="F560">
        <v>2</v>
      </c>
      <c r="G560" s="122">
        <v>148</v>
      </c>
      <c r="H560" s="122">
        <v>1243</v>
      </c>
      <c r="J560" s="191">
        <v>0</v>
      </c>
      <c r="K560" s="122"/>
      <c r="M560">
        <v>0</v>
      </c>
      <c r="N560" s="122">
        <v>1805</v>
      </c>
      <c r="O560">
        <v>669</v>
      </c>
      <c r="P560">
        <v>0</v>
      </c>
      <c r="Q560">
        <v>0</v>
      </c>
      <c r="S560">
        <v>0</v>
      </c>
      <c r="T560">
        <v>0</v>
      </c>
      <c r="U560">
        <v>0</v>
      </c>
      <c r="V560">
        <v>669</v>
      </c>
      <c r="W560" s="122">
        <f t="shared" si="16"/>
        <v>669</v>
      </c>
      <c r="X560" s="122">
        <f t="shared" si="17"/>
        <v>1805</v>
      </c>
      <c r="Y560" s="122"/>
      <c r="AA560" t="s">
        <v>60</v>
      </c>
      <c r="AB560" t="s">
        <v>406</v>
      </c>
      <c r="AC560" t="s">
        <v>427</v>
      </c>
      <c r="AD560" t="s">
        <v>137</v>
      </c>
      <c r="AE560" t="s">
        <v>566</v>
      </c>
      <c r="AF560">
        <v>1</v>
      </c>
      <c r="AG560">
        <v>62</v>
      </c>
      <c r="AH560">
        <v>371</v>
      </c>
      <c r="AI560" s="122">
        <v>11284</v>
      </c>
      <c r="AJ560" s="122">
        <v>10259</v>
      </c>
      <c r="AK560">
        <v>85</v>
      </c>
      <c r="AL560" s="122">
        <v>3565</v>
      </c>
      <c r="AM560" s="122">
        <v>3241</v>
      </c>
      <c r="AN560" s="122">
        <v>1293</v>
      </c>
      <c r="AO560">
        <v>479</v>
      </c>
      <c r="AP560">
        <v>621</v>
      </c>
      <c r="AQ560">
        <v>230</v>
      </c>
      <c r="AR560" s="122">
        <v>6097</v>
      </c>
      <c r="AS560" s="122">
        <v>2258</v>
      </c>
      <c r="AT560">
        <v>0</v>
      </c>
      <c r="AU560">
        <v>0</v>
      </c>
      <c r="AV560" s="122">
        <v>16466</v>
      </c>
    </row>
    <row r="561" spans="2:48" ht="13">
      <c r="B561" t="s">
        <v>441</v>
      </c>
      <c r="C561" t="s">
        <v>64</v>
      </c>
      <c r="D561" t="s">
        <v>137</v>
      </c>
      <c r="E561" t="s">
        <v>137</v>
      </c>
      <c r="F561" s="122">
        <v>21</v>
      </c>
      <c r="G561" s="122">
        <v>858</v>
      </c>
      <c r="H561" s="122">
        <v>12472</v>
      </c>
      <c r="I561" s="122">
        <v>335736</v>
      </c>
      <c r="J561" s="191">
        <v>124347</v>
      </c>
      <c r="K561" s="122">
        <v>100</v>
      </c>
      <c r="L561" s="122">
        <v>35571</v>
      </c>
      <c r="M561" s="122">
        <v>22883</v>
      </c>
      <c r="N561" s="122">
        <v>17270</v>
      </c>
      <c r="O561" s="122">
        <v>6396</v>
      </c>
      <c r="P561">
        <v>0</v>
      </c>
      <c r="Q561">
        <v>0</v>
      </c>
      <c r="R561" s="122">
        <v>132613</v>
      </c>
      <c r="S561" s="122">
        <v>49116</v>
      </c>
      <c r="T561">
        <v>0</v>
      </c>
      <c r="U561">
        <v>0</v>
      </c>
      <c r="V561" s="122">
        <v>202742</v>
      </c>
      <c r="W561" s="122">
        <f t="shared" si="16"/>
        <v>202742</v>
      </c>
      <c r="X561" s="122">
        <f t="shared" si="17"/>
        <v>521190</v>
      </c>
      <c r="Y561" s="122"/>
      <c r="AA561" t="s">
        <v>60</v>
      </c>
      <c r="AB561" t="s">
        <v>406</v>
      </c>
      <c r="AC561" t="s">
        <v>427</v>
      </c>
      <c r="AD561" t="s">
        <v>406</v>
      </c>
      <c r="AE561" t="s">
        <v>137</v>
      </c>
      <c r="AF561">
        <v>29</v>
      </c>
      <c r="AG561" s="122">
        <v>2923</v>
      </c>
      <c r="AH561" s="122">
        <v>9798</v>
      </c>
      <c r="AI561" s="122">
        <v>621021</v>
      </c>
      <c r="AJ561" s="122">
        <v>564565</v>
      </c>
      <c r="AK561">
        <v>80</v>
      </c>
      <c r="AL561" s="122">
        <v>133396</v>
      </c>
      <c r="AM561" s="122">
        <v>121269</v>
      </c>
      <c r="AN561" s="122">
        <v>52676</v>
      </c>
      <c r="AO561" s="122">
        <v>19509</v>
      </c>
      <c r="AP561" s="122">
        <v>18090</v>
      </c>
      <c r="AQ561" s="122">
        <v>6700</v>
      </c>
      <c r="AR561" s="122">
        <v>111918</v>
      </c>
      <c r="AS561" s="122">
        <v>101744</v>
      </c>
      <c r="AT561" s="122">
        <v>58532</v>
      </c>
      <c r="AU561" s="122">
        <v>21678</v>
      </c>
      <c r="AV561" s="122">
        <v>835466</v>
      </c>
    </row>
    <row r="562" spans="2:48" ht="13">
      <c r="B562" t="s">
        <v>441</v>
      </c>
      <c r="C562" t="s">
        <v>64</v>
      </c>
      <c r="D562" t="s">
        <v>427</v>
      </c>
      <c r="E562" t="s">
        <v>137</v>
      </c>
      <c r="F562">
        <v>2</v>
      </c>
      <c r="G562" s="122">
        <v>68</v>
      </c>
      <c r="H562" s="122">
        <v>1574</v>
      </c>
      <c r="I562" s="122">
        <v>21267</v>
      </c>
      <c r="J562" s="191">
        <v>19333</v>
      </c>
      <c r="K562" s="122">
        <v>30</v>
      </c>
      <c r="L562" s="122">
        <v>1740</v>
      </c>
      <c r="M562">
        <v>644</v>
      </c>
      <c r="N562" s="122">
        <v>1651</v>
      </c>
      <c r="O562">
        <v>612</v>
      </c>
      <c r="P562">
        <v>0</v>
      </c>
      <c r="Q562">
        <v>0</v>
      </c>
      <c r="R562" s="122">
        <v>28206</v>
      </c>
      <c r="S562" s="122">
        <v>10447</v>
      </c>
      <c r="T562">
        <v>0</v>
      </c>
      <c r="U562">
        <v>0</v>
      </c>
      <c r="V562" s="122">
        <v>31036</v>
      </c>
      <c r="W562" s="122">
        <f t="shared" si="16"/>
        <v>31036</v>
      </c>
      <c r="X562" s="122">
        <f t="shared" si="17"/>
        <v>52864</v>
      </c>
      <c r="Y562" s="122"/>
      <c r="AA562" t="s">
        <v>60</v>
      </c>
      <c r="AB562" t="s">
        <v>406</v>
      </c>
      <c r="AC562" t="s">
        <v>427</v>
      </c>
      <c r="AD562" t="s">
        <v>406</v>
      </c>
      <c r="AE562" t="s">
        <v>566</v>
      </c>
      <c r="AF562">
        <v>9</v>
      </c>
      <c r="AG562">
        <v>772</v>
      </c>
      <c r="AH562" s="122">
        <v>2990</v>
      </c>
      <c r="AI562" s="122">
        <v>147599</v>
      </c>
      <c r="AJ562" s="122">
        <v>134181</v>
      </c>
      <c r="AK562">
        <v>79</v>
      </c>
      <c r="AL562" s="122">
        <v>36151</v>
      </c>
      <c r="AM562" s="122">
        <v>32864</v>
      </c>
      <c r="AN562" s="122">
        <v>15048</v>
      </c>
      <c r="AO562" s="122">
        <v>5573</v>
      </c>
      <c r="AP562" s="122">
        <v>5711</v>
      </c>
      <c r="AQ562" s="122">
        <v>2115</v>
      </c>
      <c r="AR562" s="122">
        <v>50790</v>
      </c>
      <c r="AS562" s="122">
        <v>46173</v>
      </c>
      <c r="AT562">
        <v>0</v>
      </c>
      <c r="AU562">
        <v>0</v>
      </c>
      <c r="AV562" s="122">
        <v>220906</v>
      </c>
    </row>
    <row r="563" spans="2:48" ht="13">
      <c r="B563" t="s">
        <v>441</v>
      </c>
      <c r="C563" t="s">
        <v>64</v>
      </c>
      <c r="D563" t="s">
        <v>407</v>
      </c>
      <c r="E563" t="s">
        <v>137</v>
      </c>
      <c r="F563">
        <v>1</v>
      </c>
      <c r="G563" s="122">
        <v>40</v>
      </c>
      <c r="H563" s="122">
        <v>485</v>
      </c>
      <c r="I563" s="122">
        <v>14750</v>
      </c>
      <c r="J563" s="191">
        <v>13409</v>
      </c>
      <c r="K563" s="122">
        <v>78</v>
      </c>
      <c r="L563">
        <v>0</v>
      </c>
      <c r="M563">
        <v>0</v>
      </c>
      <c r="N563">
        <v>690</v>
      </c>
      <c r="O563">
        <v>255</v>
      </c>
      <c r="P563">
        <v>473</v>
      </c>
      <c r="Q563">
        <v>175</v>
      </c>
      <c r="R563" s="122">
        <v>3702</v>
      </c>
      <c r="S563" s="122">
        <v>1371</v>
      </c>
      <c r="T563">
        <v>0</v>
      </c>
      <c r="U563">
        <v>0</v>
      </c>
      <c r="V563" s="122">
        <v>15210</v>
      </c>
      <c r="W563" s="122">
        <f t="shared" si="16"/>
        <v>15210</v>
      </c>
      <c r="X563" s="122">
        <f t="shared" si="17"/>
        <v>19615</v>
      </c>
      <c r="Y563" s="122"/>
      <c r="AA563" t="s">
        <v>60</v>
      </c>
      <c r="AB563" t="s">
        <v>406</v>
      </c>
      <c r="AC563" t="s">
        <v>407</v>
      </c>
      <c r="AD563" t="s">
        <v>406</v>
      </c>
      <c r="AE563" t="s">
        <v>137</v>
      </c>
      <c r="AF563">
        <v>3</v>
      </c>
      <c r="AG563">
        <v>356</v>
      </c>
      <c r="AH563">
        <v>961</v>
      </c>
      <c r="AI563" s="122">
        <v>59786</v>
      </c>
      <c r="AJ563" s="122">
        <v>54351</v>
      </c>
      <c r="AK563">
        <v>75</v>
      </c>
      <c r="AL563" s="122">
        <v>20669</v>
      </c>
      <c r="AM563" s="122">
        <v>18790</v>
      </c>
      <c r="AN563" s="122">
        <v>6216</v>
      </c>
      <c r="AO563" s="122">
        <v>2302</v>
      </c>
      <c r="AP563" s="122">
        <v>1863</v>
      </c>
      <c r="AQ563">
        <v>690</v>
      </c>
      <c r="AR563" s="122">
        <v>15651</v>
      </c>
      <c r="AS563" s="122">
        <v>14228</v>
      </c>
      <c r="AT563" s="122">
        <v>9838</v>
      </c>
      <c r="AU563" s="122">
        <v>3644</v>
      </c>
      <c r="AV563" s="122">
        <v>94005</v>
      </c>
    </row>
    <row r="564" spans="2:48" ht="13">
      <c r="B564" t="s">
        <v>441</v>
      </c>
      <c r="C564" t="s">
        <v>64</v>
      </c>
      <c r="D564" t="s">
        <v>407</v>
      </c>
      <c r="E564" t="s">
        <v>407</v>
      </c>
      <c r="F564">
        <v>9</v>
      </c>
      <c r="G564" s="122">
        <v>788</v>
      </c>
      <c r="H564" s="122">
        <v>4633</v>
      </c>
      <c r="I564" s="122">
        <v>268545</v>
      </c>
      <c r="J564" s="191">
        <v>244131</v>
      </c>
      <c r="K564" s="122">
        <v>71</v>
      </c>
      <c r="L564" s="122">
        <v>50377</v>
      </c>
      <c r="M564" s="122">
        <v>43876</v>
      </c>
      <c r="N564" s="122">
        <v>16548</v>
      </c>
      <c r="O564" s="122">
        <v>6129</v>
      </c>
      <c r="P564" s="122">
        <v>4131</v>
      </c>
      <c r="Q564" s="122">
        <v>1530</v>
      </c>
      <c r="R564" s="122">
        <v>44134</v>
      </c>
      <c r="S564" s="122">
        <v>40122</v>
      </c>
      <c r="T564" s="122">
        <v>16575</v>
      </c>
      <c r="U564" s="122">
        <v>6139</v>
      </c>
      <c r="V564" s="122">
        <v>341928</v>
      </c>
      <c r="W564" s="122">
        <f t="shared" si="16"/>
        <v>341927</v>
      </c>
      <c r="X564" s="122">
        <f t="shared" si="17"/>
        <v>400310</v>
      </c>
      <c r="Y564" s="122"/>
      <c r="AA564" t="s">
        <v>60</v>
      </c>
      <c r="AB564" t="s">
        <v>406</v>
      </c>
      <c r="AC564" t="s">
        <v>579</v>
      </c>
      <c r="AD564" t="s">
        <v>137</v>
      </c>
      <c r="AE564" t="s">
        <v>566</v>
      </c>
      <c r="AF564">
        <v>1</v>
      </c>
      <c r="AG564">
        <v>64</v>
      </c>
      <c r="AH564">
        <v>332</v>
      </c>
      <c r="AI564" s="122">
        <v>11757</v>
      </c>
      <c r="AJ564" s="122">
        <v>10688</v>
      </c>
      <c r="AK564">
        <v>92</v>
      </c>
      <c r="AL564" s="122">
        <v>2076</v>
      </c>
      <c r="AM564" s="122">
        <v>1730</v>
      </c>
      <c r="AN564" s="122">
        <v>1567</v>
      </c>
      <c r="AO564">
        <v>580</v>
      </c>
      <c r="AP564">
        <v>743</v>
      </c>
      <c r="AQ564">
        <v>275</v>
      </c>
      <c r="AR564" s="122">
        <v>5218</v>
      </c>
      <c r="AS564" s="122">
        <v>1933</v>
      </c>
      <c r="AT564">
        <v>0</v>
      </c>
      <c r="AU564">
        <v>0</v>
      </c>
      <c r="AV564" s="122">
        <v>15206</v>
      </c>
    </row>
    <row r="565" spans="2:48" ht="13">
      <c r="B565" t="s">
        <v>441</v>
      </c>
      <c r="C565" t="s">
        <v>64</v>
      </c>
      <c r="D565" t="s">
        <v>426</v>
      </c>
      <c r="E565" t="s">
        <v>137</v>
      </c>
      <c r="F565">
        <v>1</v>
      </c>
      <c r="G565" s="122">
        <v>62</v>
      </c>
      <c r="H565" s="122">
        <v>1648</v>
      </c>
      <c r="I565" s="122">
        <v>63323</v>
      </c>
      <c r="J565" s="191">
        <v>57566</v>
      </c>
      <c r="K565" s="122">
        <v>30</v>
      </c>
      <c r="L565" s="122">
        <v>11657</v>
      </c>
      <c r="M565" s="122">
        <v>4317</v>
      </c>
      <c r="N565" s="122">
        <v>1322</v>
      </c>
      <c r="O565">
        <v>490</v>
      </c>
      <c r="P565">
        <v>0</v>
      </c>
      <c r="Q565">
        <v>0</v>
      </c>
      <c r="R565" s="122">
        <v>25857</v>
      </c>
      <c r="S565" s="122">
        <v>9577</v>
      </c>
      <c r="T565">
        <v>0</v>
      </c>
      <c r="U565">
        <v>0</v>
      </c>
      <c r="V565" s="122">
        <v>71950</v>
      </c>
      <c r="W565" s="122">
        <f t="shared" si="16"/>
        <v>71950</v>
      </c>
      <c r="X565" s="122">
        <f t="shared" si="17"/>
        <v>102159</v>
      </c>
      <c r="Y565" s="122"/>
      <c r="AA565" t="s">
        <v>60</v>
      </c>
      <c r="AB565" t="s">
        <v>406</v>
      </c>
      <c r="AC565" t="s">
        <v>579</v>
      </c>
      <c r="AD565" t="s">
        <v>406</v>
      </c>
      <c r="AE565" t="s">
        <v>137</v>
      </c>
      <c r="AF565">
        <v>37</v>
      </c>
      <c r="AG565" s="122">
        <v>3766</v>
      </c>
      <c r="AH565" s="122">
        <v>12450</v>
      </c>
      <c r="AI565" s="122">
        <v>802390</v>
      </c>
      <c r="AJ565" s="122">
        <v>729446</v>
      </c>
      <c r="AK565">
        <v>75</v>
      </c>
      <c r="AL565" s="122">
        <v>177136</v>
      </c>
      <c r="AM565" s="122">
        <v>147613</v>
      </c>
      <c r="AN565" s="122">
        <v>80552</v>
      </c>
      <c r="AO565" s="122">
        <v>29834</v>
      </c>
      <c r="AP565" s="122">
        <v>23180</v>
      </c>
      <c r="AQ565" s="122">
        <v>8585</v>
      </c>
      <c r="AR565" s="122">
        <v>174216</v>
      </c>
      <c r="AS565" s="122">
        <v>158378</v>
      </c>
      <c r="AT565" s="122">
        <v>79946</v>
      </c>
      <c r="AU565" s="122">
        <v>29610</v>
      </c>
      <c r="AV565" s="122">
        <v>1103466</v>
      </c>
    </row>
    <row r="566" spans="2:48" ht="13">
      <c r="B566" t="s">
        <v>442</v>
      </c>
      <c r="C566" t="s">
        <v>48</v>
      </c>
      <c r="F566">
        <v>105</v>
      </c>
      <c r="G566" s="122">
        <v>9468</v>
      </c>
      <c r="H566" s="122">
        <v>5600</v>
      </c>
      <c r="J566" s="191">
        <v>0</v>
      </c>
      <c r="K566" s="122"/>
      <c r="M566">
        <v>0</v>
      </c>
      <c r="N566" s="122">
        <v>117617</v>
      </c>
      <c r="O566" s="122">
        <v>43562</v>
      </c>
      <c r="P566" s="122">
        <v>91492</v>
      </c>
      <c r="Q566" s="122">
        <v>33886</v>
      </c>
      <c r="S566">
        <v>0</v>
      </c>
      <c r="T566">
        <v>0</v>
      </c>
      <c r="U566">
        <v>0</v>
      </c>
      <c r="V566" s="122">
        <v>77448</v>
      </c>
      <c r="W566" s="122">
        <f t="shared" si="16"/>
        <v>77448</v>
      </c>
      <c r="X566" s="122">
        <f t="shared" si="17"/>
        <v>209109</v>
      </c>
      <c r="Y566" s="122"/>
      <c r="AA566" t="s">
        <v>60</v>
      </c>
      <c r="AB566" t="s">
        <v>406</v>
      </c>
      <c r="AC566" t="s">
        <v>579</v>
      </c>
      <c r="AD566" t="s">
        <v>406</v>
      </c>
      <c r="AE566" t="s">
        <v>566</v>
      </c>
      <c r="AF566">
        <v>14</v>
      </c>
      <c r="AG566" s="122">
        <v>1394</v>
      </c>
      <c r="AH566" s="122">
        <v>4710</v>
      </c>
      <c r="AI566" s="122">
        <v>279247</v>
      </c>
      <c r="AJ566" s="122">
        <v>253861</v>
      </c>
      <c r="AK566">
        <v>81</v>
      </c>
      <c r="AL566" s="122">
        <v>65460</v>
      </c>
      <c r="AM566" s="122">
        <v>54550</v>
      </c>
      <c r="AN566" s="122">
        <v>28733</v>
      </c>
      <c r="AO566" s="122">
        <v>10642</v>
      </c>
      <c r="AP566" s="122">
        <v>8897</v>
      </c>
      <c r="AQ566" s="122">
        <v>3295</v>
      </c>
      <c r="AR566" s="122">
        <v>82205</v>
      </c>
      <c r="AS566" s="122">
        <v>74732</v>
      </c>
      <c r="AT566">
        <v>0</v>
      </c>
      <c r="AU566">
        <v>0</v>
      </c>
      <c r="AV566" s="122">
        <v>397080</v>
      </c>
    </row>
    <row r="567" spans="2:48" ht="13">
      <c r="B567" t="s">
        <v>442</v>
      </c>
      <c r="C567" t="s">
        <v>48</v>
      </c>
      <c r="D567" t="s">
        <v>137</v>
      </c>
      <c r="E567" t="s">
        <v>137</v>
      </c>
      <c r="F567" s="122">
        <v>9</v>
      </c>
      <c r="G567" s="122">
        <v>748</v>
      </c>
      <c r="H567">
        <v>540</v>
      </c>
      <c r="I567" s="122">
        <v>7517</v>
      </c>
      <c r="J567" s="191">
        <v>2784</v>
      </c>
      <c r="K567" s="122">
        <v>510</v>
      </c>
      <c r="L567">
        <v>0</v>
      </c>
      <c r="M567">
        <v>0</v>
      </c>
      <c r="N567" s="122">
        <v>9114</v>
      </c>
      <c r="O567" s="122">
        <v>3376</v>
      </c>
      <c r="P567" s="122">
        <v>8479</v>
      </c>
      <c r="Q567" s="122">
        <v>3140</v>
      </c>
      <c r="R567" s="122">
        <v>19670</v>
      </c>
      <c r="S567" s="122">
        <v>7285</v>
      </c>
      <c r="T567">
        <v>0</v>
      </c>
      <c r="U567">
        <v>0</v>
      </c>
      <c r="V567" s="122">
        <v>16585</v>
      </c>
      <c r="W567" s="122">
        <f t="shared" si="16"/>
        <v>16585</v>
      </c>
      <c r="X567" s="122">
        <f t="shared" si="17"/>
        <v>44780</v>
      </c>
      <c r="Y567" s="122"/>
      <c r="AA567" t="s">
        <v>60</v>
      </c>
      <c r="AB567" t="s">
        <v>406</v>
      </c>
      <c r="AC567" t="s">
        <v>428</v>
      </c>
      <c r="AD567" t="s">
        <v>406</v>
      </c>
      <c r="AE567" t="s">
        <v>137</v>
      </c>
      <c r="AF567">
        <v>1</v>
      </c>
      <c r="AG567">
        <v>109</v>
      </c>
      <c r="AH567">
        <v>326</v>
      </c>
      <c r="AI567" s="122">
        <v>19689</v>
      </c>
      <c r="AJ567" s="122">
        <v>17899</v>
      </c>
      <c r="AK567">
        <v>85</v>
      </c>
      <c r="AL567" s="122">
        <v>5885</v>
      </c>
      <c r="AM567" s="122">
        <v>5350</v>
      </c>
      <c r="AN567" s="122">
        <v>2122</v>
      </c>
      <c r="AO567">
        <v>786</v>
      </c>
      <c r="AP567">
        <v>621</v>
      </c>
      <c r="AQ567">
        <v>230</v>
      </c>
      <c r="AR567" s="122">
        <v>4170</v>
      </c>
      <c r="AS567" s="122">
        <v>3791</v>
      </c>
      <c r="AT567" s="122">
        <v>2984</v>
      </c>
      <c r="AU567" s="122">
        <v>1105</v>
      </c>
      <c r="AV567" s="122">
        <v>29161</v>
      </c>
    </row>
    <row r="568" spans="2:48" ht="13">
      <c r="B568" t="s">
        <v>442</v>
      </c>
      <c r="C568" t="s">
        <v>48</v>
      </c>
      <c r="D568" t="s">
        <v>407</v>
      </c>
      <c r="E568" t="s">
        <v>407</v>
      </c>
      <c r="F568">
        <v>10</v>
      </c>
      <c r="G568" s="122">
        <v>1567</v>
      </c>
      <c r="H568" s="122">
        <v>531</v>
      </c>
      <c r="I568" s="122">
        <v>6948</v>
      </c>
      <c r="J568" s="191">
        <v>6316</v>
      </c>
      <c r="K568" s="122">
        <v>90</v>
      </c>
      <c r="L568" s="122">
        <v>1041</v>
      </c>
      <c r="M568">
        <v>587</v>
      </c>
      <c r="N568" s="122">
        <v>19089</v>
      </c>
      <c r="O568" s="122">
        <v>7070</v>
      </c>
      <c r="P568" s="122">
        <v>18740</v>
      </c>
      <c r="Q568" s="122">
        <v>6941</v>
      </c>
      <c r="R568" s="122">
        <v>37351</v>
      </c>
      <c r="S568" s="122">
        <v>33955</v>
      </c>
      <c r="T568">
        <v>0</v>
      </c>
      <c r="U568">
        <v>0</v>
      </c>
      <c r="V568" s="122">
        <v>54869</v>
      </c>
      <c r="W568" s="122">
        <f t="shared" si="16"/>
        <v>54869</v>
      </c>
      <c r="X568" s="122">
        <f t="shared" si="17"/>
        <v>83169</v>
      </c>
      <c r="Y568" s="122"/>
      <c r="AA568" t="s">
        <v>60</v>
      </c>
      <c r="AB568" t="s">
        <v>406</v>
      </c>
      <c r="AC568" t="s">
        <v>428</v>
      </c>
      <c r="AD568" t="s">
        <v>406</v>
      </c>
      <c r="AE568" t="s">
        <v>566</v>
      </c>
      <c r="AF568">
        <v>3</v>
      </c>
      <c r="AG568">
        <v>226</v>
      </c>
      <c r="AH568">
        <v>996</v>
      </c>
      <c r="AI568" s="122">
        <v>43150</v>
      </c>
      <c r="AJ568" s="122">
        <v>39227</v>
      </c>
      <c r="AK568">
        <v>80</v>
      </c>
      <c r="AL568" s="122">
        <v>8086</v>
      </c>
      <c r="AM568" s="122">
        <v>7351</v>
      </c>
      <c r="AN568" s="122">
        <v>4808</v>
      </c>
      <c r="AO568" s="122">
        <v>1781</v>
      </c>
      <c r="AP568" s="122">
        <v>1863</v>
      </c>
      <c r="AQ568">
        <v>690</v>
      </c>
      <c r="AR568" s="122">
        <v>16503</v>
      </c>
      <c r="AS568" s="122">
        <v>15002</v>
      </c>
      <c r="AT568">
        <v>0</v>
      </c>
      <c r="AU568">
        <v>0</v>
      </c>
      <c r="AV568" s="122">
        <v>64052</v>
      </c>
    </row>
    <row r="569" spans="2:48" ht="13">
      <c r="B569" t="s">
        <v>442</v>
      </c>
      <c r="C569" t="s">
        <v>50</v>
      </c>
      <c r="F569">
        <v>25</v>
      </c>
      <c r="G569" s="122">
        <v>1718</v>
      </c>
      <c r="H569" s="122">
        <v>2178</v>
      </c>
      <c r="J569" s="66">
        <v>0</v>
      </c>
      <c r="K569" s="122"/>
      <c r="M569">
        <v>0</v>
      </c>
      <c r="N569" s="122">
        <v>25358</v>
      </c>
      <c r="O569" s="122">
        <v>9392</v>
      </c>
      <c r="P569">
        <v>0</v>
      </c>
      <c r="Q569">
        <v>0</v>
      </c>
      <c r="S569">
        <v>0</v>
      </c>
      <c r="T569">
        <v>0</v>
      </c>
      <c r="U569">
        <v>0</v>
      </c>
      <c r="V569" s="122">
        <v>9392</v>
      </c>
      <c r="W569" s="122">
        <f t="shared" si="16"/>
        <v>9392</v>
      </c>
      <c r="X569" s="122">
        <f t="shared" si="17"/>
        <v>25358</v>
      </c>
      <c r="Y569" s="122"/>
      <c r="AA569" t="s">
        <v>60</v>
      </c>
      <c r="AB569" t="s">
        <v>406</v>
      </c>
      <c r="AC569" t="s">
        <v>431</v>
      </c>
      <c r="AD569" t="s">
        <v>406</v>
      </c>
      <c r="AE569" t="s">
        <v>137</v>
      </c>
      <c r="AF569">
        <v>3</v>
      </c>
      <c r="AG569">
        <v>324</v>
      </c>
      <c r="AH569" s="122">
        <v>1026</v>
      </c>
      <c r="AI569" s="122">
        <v>66818</v>
      </c>
      <c r="AJ569" s="122">
        <v>60744</v>
      </c>
      <c r="AK569">
        <v>68</v>
      </c>
      <c r="AL569" s="122">
        <v>12527</v>
      </c>
      <c r="AM569" s="122">
        <v>11388</v>
      </c>
      <c r="AN569" s="122">
        <v>7155</v>
      </c>
      <c r="AO569" s="122">
        <v>2650</v>
      </c>
      <c r="AP569" s="122">
        <v>2214</v>
      </c>
      <c r="AQ569">
        <v>820</v>
      </c>
      <c r="AR569" s="122">
        <v>14196</v>
      </c>
      <c r="AS569" s="122">
        <v>12906</v>
      </c>
      <c r="AT569" s="122">
        <v>7481</v>
      </c>
      <c r="AU569" s="122">
        <v>2771</v>
      </c>
      <c r="AV569" s="122">
        <v>91278</v>
      </c>
    </row>
    <row r="570" spans="2:48" ht="13">
      <c r="B570" t="s">
        <v>442</v>
      </c>
      <c r="C570" t="s">
        <v>50</v>
      </c>
      <c r="D570" t="s">
        <v>407</v>
      </c>
      <c r="E570" t="s">
        <v>407</v>
      </c>
      <c r="F570" s="122">
        <v>38</v>
      </c>
      <c r="G570" s="122">
        <v>3592</v>
      </c>
      <c r="H570" s="122">
        <v>3572</v>
      </c>
      <c r="I570" s="122">
        <v>68510</v>
      </c>
      <c r="J570" s="191">
        <v>62282</v>
      </c>
      <c r="K570" s="122">
        <v>80</v>
      </c>
      <c r="L570">
        <v>949</v>
      </c>
      <c r="M570">
        <v>352</v>
      </c>
      <c r="N570" s="122">
        <v>85466</v>
      </c>
      <c r="O570" s="122">
        <v>31654</v>
      </c>
      <c r="P570" s="122">
        <v>17955</v>
      </c>
      <c r="Q570" s="122">
        <v>6650</v>
      </c>
      <c r="R570" s="122">
        <v>165104</v>
      </c>
      <c r="S570" s="122">
        <v>150095</v>
      </c>
      <c r="T570">
        <v>0</v>
      </c>
      <c r="U570">
        <v>0</v>
      </c>
      <c r="V570" s="122">
        <v>251033</v>
      </c>
      <c r="W570" s="122">
        <f t="shared" si="16"/>
        <v>251033</v>
      </c>
      <c r="X570" s="122">
        <f t="shared" si="17"/>
        <v>337984</v>
      </c>
      <c r="Y570" s="122"/>
      <c r="AA570" t="s">
        <v>60</v>
      </c>
      <c r="AB570" t="s">
        <v>406</v>
      </c>
      <c r="AC570" t="s">
        <v>426</v>
      </c>
      <c r="AD570" t="s">
        <v>137</v>
      </c>
      <c r="AE570" t="s">
        <v>566</v>
      </c>
      <c r="AF570">
        <v>11</v>
      </c>
      <c r="AG570" s="122">
        <v>1008</v>
      </c>
      <c r="AH570" s="122">
        <v>3779</v>
      </c>
      <c r="AI570" s="122">
        <v>206282</v>
      </c>
      <c r="AJ570" s="122">
        <v>187529</v>
      </c>
      <c r="AK570">
        <v>80</v>
      </c>
      <c r="AL570" s="122">
        <v>40164</v>
      </c>
      <c r="AM570" s="122">
        <v>36513</v>
      </c>
      <c r="AN570" s="122">
        <v>20087</v>
      </c>
      <c r="AO570" s="122">
        <v>7440</v>
      </c>
      <c r="AP570" s="122">
        <v>7182</v>
      </c>
      <c r="AQ570" s="122">
        <v>2660</v>
      </c>
      <c r="AR570" s="122">
        <v>77062</v>
      </c>
      <c r="AS570" s="122">
        <v>28541</v>
      </c>
      <c r="AT570">
        <v>0</v>
      </c>
      <c r="AU570">
        <v>0</v>
      </c>
      <c r="AV570" s="122">
        <v>262683</v>
      </c>
    </row>
    <row r="571" spans="2:48" ht="13">
      <c r="B571" t="s">
        <v>442</v>
      </c>
      <c r="C571" t="s">
        <v>52</v>
      </c>
      <c r="F571">
        <v>13</v>
      </c>
      <c r="G571" s="122">
        <v>1033</v>
      </c>
      <c r="H571" s="122">
        <v>1489</v>
      </c>
      <c r="J571" s="191">
        <v>0</v>
      </c>
      <c r="K571" s="122"/>
      <c r="M571">
        <v>0</v>
      </c>
      <c r="N571" s="122">
        <v>20215</v>
      </c>
      <c r="O571" s="122">
        <v>7487</v>
      </c>
      <c r="P571" s="122">
        <v>1053</v>
      </c>
      <c r="Q571">
        <v>390</v>
      </c>
      <c r="S571">
        <v>0</v>
      </c>
      <c r="T571">
        <v>0</v>
      </c>
      <c r="U571">
        <v>0</v>
      </c>
      <c r="V571" s="122">
        <v>7877</v>
      </c>
      <c r="W571" s="122">
        <f t="shared" si="16"/>
        <v>7877</v>
      </c>
      <c r="X571" s="122">
        <f t="shared" si="17"/>
        <v>21268</v>
      </c>
      <c r="Y571" s="122"/>
      <c r="AA571" t="s">
        <v>60</v>
      </c>
      <c r="AB571" t="s">
        <v>406</v>
      </c>
      <c r="AC571" t="s">
        <v>426</v>
      </c>
      <c r="AD571" t="s">
        <v>406</v>
      </c>
      <c r="AE571" t="s">
        <v>137</v>
      </c>
      <c r="AF571">
        <v>144</v>
      </c>
      <c r="AG571" s="122">
        <v>14600</v>
      </c>
      <c r="AH571" s="122">
        <v>49059</v>
      </c>
      <c r="AI571" s="122">
        <v>3059527</v>
      </c>
      <c r="AJ571" s="122">
        <v>2781388</v>
      </c>
      <c r="AK571">
        <v>77</v>
      </c>
      <c r="AL571" s="122">
        <v>589407</v>
      </c>
      <c r="AM571" s="122">
        <v>535824</v>
      </c>
      <c r="AN571" s="122">
        <v>301837</v>
      </c>
      <c r="AO571" s="122">
        <v>111791</v>
      </c>
      <c r="AP571" s="122">
        <v>93251</v>
      </c>
      <c r="AQ571" s="122">
        <v>34538</v>
      </c>
      <c r="AR571" s="122">
        <v>631174</v>
      </c>
      <c r="AS571" s="122">
        <v>573795</v>
      </c>
      <c r="AT571" s="122">
        <v>327604</v>
      </c>
      <c r="AU571" s="122">
        <v>121335</v>
      </c>
      <c r="AV571" s="122">
        <v>4158671</v>
      </c>
    </row>
    <row r="572" spans="2:48" ht="13">
      <c r="B572" t="s">
        <v>442</v>
      </c>
      <c r="C572" t="s">
        <v>52</v>
      </c>
      <c r="D572" t="s">
        <v>425</v>
      </c>
      <c r="E572" t="s">
        <v>407</v>
      </c>
      <c r="F572" s="122">
        <v>1</v>
      </c>
      <c r="G572" s="122">
        <v>83</v>
      </c>
      <c r="H572" s="122">
        <v>103</v>
      </c>
      <c r="I572" s="122">
        <v>1438</v>
      </c>
      <c r="J572" s="191">
        <v>1307</v>
      </c>
      <c r="K572" s="122">
        <v>73</v>
      </c>
      <c r="L572">
        <v>0</v>
      </c>
      <c r="M572">
        <v>0</v>
      </c>
      <c r="N572" s="122">
        <v>2031</v>
      </c>
      <c r="O572">
        <v>752</v>
      </c>
      <c r="P572">
        <v>473</v>
      </c>
      <c r="Q572">
        <v>175</v>
      </c>
      <c r="R572" s="122">
        <v>4658</v>
      </c>
      <c r="S572" s="122">
        <v>4235</v>
      </c>
      <c r="T572">
        <v>0</v>
      </c>
      <c r="U572">
        <v>0</v>
      </c>
      <c r="V572" s="122">
        <v>6469</v>
      </c>
      <c r="W572" s="122">
        <f t="shared" si="16"/>
        <v>6469</v>
      </c>
      <c r="X572" s="122">
        <f t="shared" si="17"/>
        <v>8600</v>
      </c>
      <c r="Y572" s="122"/>
      <c r="AA572" t="s">
        <v>60</v>
      </c>
      <c r="AB572" t="s">
        <v>406</v>
      </c>
      <c r="AC572" t="s">
        <v>426</v>
      </c>
      <c r="AD572" t="s">
        <v>406</v>
      </c>
      <c r="AE572" t="s">
        <v>566</v>
      </c>
      <c r="AF572">
        <v>53</v>
      </c>
      <c r="AG572" s="122">
        <v>6095</v>
      </c>
      <c r="AH572" s="122">
        <v>17716</v>
      </c>
      <c r="AI572" s="122">
        <v>1299014</v>
      </c>
      <c r="AJ572" s="122">
        <v>1180922</v>
      </c>
      <c r="AK572">
        <v>79</v>
      </c>
      <c r="AL572" s="122">
        <v>283293</v>
      </c>
      <c r="AM572" s="122">
        <v>257539</v>
      </c>
      <c r="AN572" s="122">
        <v>130165</v>
      </c>
      <c r="AO572" s="122">
        <v>48209</v>
      </c>
      <c r="AP572" s="122">
        <v>35100</v>
      </c>
      <c r="AQ572" s="122">
        <v>13000</v>
      </c>
      <c r="AR572" s="122">
        <v>315433</v>
      </c>
      <c r="AS572" s="122">
        <v>286757</v>
      </c>
      <c r="AT572">
        <v>0</v>
      </c>
      <c r="AU572">
        <v>0</v>
      </c>
      <c r="AV572" s="122">
        <v>1786428</v>
      </c>
    </row>
    <row r="573" spans="2:48" ht="13">
      <c r="B573" t="s">
        <v>442</v>
      </c>
      <c r="C573" t="s">
        <v>52</v>
      </c>
      <c r="D573" t="s">
        <v>137</v>
      </c>
      <c r="E573" t="s">
        <v>137</v>
      </c>
      <c r="F573" s="122">
        <v>1</v>
      </c>
      <c r="G573" s="122">
        <v>146</v>
      </c>
      <c r="H573">
        <v>109</v>
      </c>
      <c r="I573" s="122">
        <v>4843</v>
      </c>
      <c r="J573" s="191">
        <v>1794</v>
      </c>
      <c r="K573" s="122">
        <v>398</v>
      </c>
      <c r="L573">
        <v>954</v>
      </c>
      <c r="M573">
        <v>795</v>
      </c>
      <c r="N573" s="122">
        <v>2578</v>
      </c>
      <c r="O573">
        <v>955</v>
      </c>
      <c r="P573">
        <v>351</v>
      </c>
      <c r="Q573">
        <v>130</v>
      </c>
      <c r="R573" s="122">
        <v>7221</v>
      </c>
      <c r="S573" s="122">
        <v>2674</v>
      </c>
      <c r="T573">
        <v>0</v>
      </c>
      <c r="U573">
        <v>0</v>
      </c>
      <c r="V573" s="122">
        <v>6348</v>
      </c>
      <c r="W573" s="122">
        <f t="shared" si="16"/>
        <v>6348</v>
      </c>
      <c r="X573" s="122">
        <f t="shared" si="17"/>
        <v>15947</v>
      </c>
      <c r="Y573" s="122"/>
      <c r="AA573" t="s">
        <v>60</v>
      </c>
      <c r="AB573" t="s">
        <v>406</v>
      </c>
      <c r="AC573" t="s">
        <v>426</v>
      </c>
      <c r="AD573" t="s">
        <v>426</v>
      </c>
      <c r="AE573" t="s">
        <v>137</v>
      </c>
      <c r="AF573">
        <v>1</v>
      </c>
      <c r="AG573">
        <v>80</v>
      </c>
      <c r="AH573">
        <v>369</v>
      </c>
      <c r="AI573" s="122">
        <v>19569</v>
      </c>
      <c r="AJ573" s="122">
        <v>17790</v>
      </c>
      <c r="AK573">
        <v>65</v>
      </c>
      <c r="AL573" s="122">
        <v>2067</v>
      </c>
      <c r="AM573" s="122">
        <v>1879</v>
      </c>
      <c r="AN573" s="122">
        <v>1835</v>
      </c>
      <c r="AO573">
        <v>680</v>
      </c>
      <c r="AP573">
        <v>621</v>
      </c>
      <c r="AQ573">
        <v>230</v>
      </c>
      <c r="AR573" s="122">
        <v>3567</v>
      </c>
      <c r="AS573" s="122">
        <v>3243</v>
      </c>
      <c r="AT573" s="122">
        <v>1716</v>
      </c>
      <c r="AU573">
        <v>636</v>
      </c>
      <c r="AV573" s="122">
        <v>24457</v>
      </c>
    </row>
    <row r="574" spans="2:48" ht="13">
      <c r="B574" t="s">
        <v>442</v>
      </c>
      <c r="C574" t="s">
        <v>52</v>
      </c>
      <c r="D574" t="s">
        <v>407</v>
      </c>
      <c r="E574" t="s">
        <v>407</v>
      </c>
      <c r="F574">
        <v>113</v>
      </c>
      <c r="G574" s="122">
        <v>9640</v>
      </c>
      <c r="H574" s="122">
        <v>12931</v>
      </c>
      <c r="I574" s="122">
        <v>342520</v>
      </c>
      <c r="J574" s="191">
        <v>311382</v>
      </c>
      <c r="K574" s="122">
        <v>80</v>
      </c>
      <c r="L574" s="122">
        <v>10037</v>
      </c>
      <c r="M574" s="122">
        <v>8589</v>
      </c>
      <c r="N574" s="122">
        <v>225745</v>
      </c>
      <c r="O574" s="122">
        <v>83609</v>
      </c>
      <c r="P574" s="122">
        <v>52986</v>
      </c>
      <c r="Q574" s="122">
        <v>19625</v>
      </c>
      <c r="R574" s="122">
        <v>460493</v>
      </c>
      <c r="S574" s="122">
        <v>418630</v>
      </c>
      <c r="T574" s="122">
        <v>11143</v>
      </c>
      <c r="U574" s="122">
        <v>4127</v>
      </c>
      <c r="V574" s="122">
        <v>845962</v>
      </c>
      <c r="W574" s="122">
        <f t="shared" si="16"/>
        <v>845962</v>
      </c>
      <c r="X574" s="122">
        <f t="shared" si="17"/>
        <v>1102924</v>
      </c>
      <c r="Y574" s="122"/>
      <c r="AA574" t="s">
        <v>60</v>
      </c>
      <c r="AB574" t="s">
        <v>406</v>
      </c>
      <c r="AC574" t="s">
        <v>566</v>
      </c>
      <c r="AD574" t="s">
        <v>137</v>
      </c>
      <c r="AE574" t="s">
        <v>566</v>
      </c>
      <c r="AF574">
        <v>28</v>
      </c>
      <c r="AG574" s="122">
        <v>1353</v>
      </c>
      <c r="AH574" s="122">
        <v>9477</v>
      </c>
      <c r="AI574" s="122">
        <v>262324</v>
      </c>
      <c r="AJ574" s="122">
        <v>238477</v>
      </c>
      <c r="AK574">
        <v>80</v>
      </c>
      <c r="AL574">
        <v>0</v>
      </c>
      <c r="AM574" s="122">
        <v>11400</v>
      </c>
      <c r="AN574" s="122">
        <v>29039</v>
      </c>
      <c r="AO574" s="122">
        <v>10755</v>
      </c>
      <c r="AP574" s="122">
        <v>14796</v>
      </c>
      <c r="AQ574" s="122">
        <v>5480</v>
      </c>
      <c r="AR574" s="122">
        <v>151992</v>
      </c>
      <c r="AS574" s="122">
        <v>56293</v>
      </c>
      <c r="AT574">
        <v>0</v>
      </c>
      <c r="AU574">
        <v>0</v>
      </c>
      <c r="AV574" s="122">
        <v>322405</v>
      </c>
    </row>
    <row r="575" spans="2:48" ht="13">
      <c r="B575" t="s">
        <v>442</v>
      </c>
      <c r="C575" t="s">
        <v>54</v>
      </c>
      <c r="F575" s="122">
        <v>6</v>
      </c>
      <c r="G575" s="122">
        <v>507</v>
      </c>
      <c r="H575" s="122">
        <v>829</v>
      </c>
      <c r="J575" s="191">
        <v>0</v>
      </c>
      <c r="K575" s="122"/>
      <c r="M575">
        <v>0</v>
      </c>
      <c r="N575" s="122">
        <v>10521</v>
      </c>
      <c r="O575" s="122">
        <v>3897</v>
      </c>
      <c r="P575" s="122">
        <v>1404</v>
      </c>
      <c r="Q575">
        <v>520</v>
      </c>
      <c r="S575">
        <v>0</v>
      </c>
      <c r="T575">
        <v>0</v>
      </c>
      <c r="U575">
        <v>0</v>
      </c>
      <c r="V575" s="122">
        <v>4417</v>
      </c>
      <c r="W575" s="122">
        <f t="shared" si="16"/>
        <v>4417</v>
      </c>
      <c r="X575" s="122">
        <f t="shared" si="17"/>
        <v>11925</v>
      </c>
      <c r="Y575" s="122"/>
      <c r="AA575" t="s">
        <v>60</v>
      </c>
      <c r="AB575" t="s">
        <v>406</v>
      </c>
      <c r="AC575" t="s">
        <v>566</v>
      </c>
      <c r="AD575" t="s">
        <v>406</v>
      </c>
      <c r="AE575" t="s">
        <v>137</v>
      </c>
      <c r="AF575">
        <v>65</v>
      </c>
      <c r="AG575" s="122">
        <v>4214</v>
      </c>
      <c r="AH575" s="122">
        <v>21914</v>
      </c>
      <c r="AI575" s="122">
        <v>933340</v>
      </c>
      <c r="AJ575" s="122">
        <v>848490</v>
      </c>
      <c r="AK575">
        <v>78</v>
      </c>
      <c r="AL575">
        <v>0</v>
      </c>
      <c r="AM575" s="122">
        <v>4708</v>
      </c>
      <c r="AN575" s="122">
        <v>93292</v>
      </c>
      <c r="AO575" s="122">
        <v>34553</v>
      </c>
      <c r="AP575" s="122">
        <v>38934</v>
      </c>
      <c r="AQ575" s="122">
        <v>14420</v>
      </c>
      <c r="AR575" s="122">
        <v>243063</v>
      </c>
      <c r="AS575" s="122">
        <v>220966</v>
      </c>
      <c r="AT575" s="122">
        <v>118042</v>
      </c>
      <c r="AU575" s="122">
        <v>43719</v>
      </c>
      <c r="AV575" s="122">
        <v>1166856</v>
      </c>
    </row>
    <row r="576" spans="2:48" ht="13">
      <c r="B576" t="s">
        <v>442</v>
      </c>
      <c r="C576" t="s">
        <v>54</v>
      </c>
      <c r="D576" t="s">
        <v>137</v>
      </c>
      <c r="E576" t="s">
        <v>137</v>
      </c>
      <c r="F576" s="122">
        <v>5</v>
      </c>
      <c r="G576" s="122">
        <v>405</v>
      </c>
      <c r="H576">
        <v>715</v>
      </c>
      <c r="I576" s="122">
        <v>19339</v>
      </c>
      <c r="J576" s="191">
        <v>7163</v>
      </c>
      <c r="K576" s="122">
        <v>130</v>
      </c>
      <c r="L576">
        <v>0</v>
      </c>
      <c r="M576">
        <v>0</v>
      </c>
      <c r="N576" s="122">
        <v>7583</v>
      </c>
      <c r="O576" s="122">
        <v>2808</v>
      </c>
      <c r="P576">
        <v>351</v>
      </c>
      <c r="Q576">
        <v>130</v>
      </c>
      <c r="R576" s="122">
        <v>30794</v>
      </c>
      <c r="S576" s="122">
        <v>11405</v>
      </c>
      <c r="T576">
        <v>0</v>
      </c>
      <c r="U576">
        <v>0</v>
      </c>
      <c r="V576" s="122">
        <v>21506</v>
      </c>
      <c r="W576" s="122">
        <f t="shared" si="16"/>
        <v>21506</v>
      </c>
      <c r="X576" s="122">
        <f t="shared" si="17"/>
        <v>58067</v>
      </c>
      <c r="Y576" s="122"/>
      <c r="AA576" t="s">
        <v>60</v>
      </c>
      <c r="AB576" t="s">
        <v>406</v>
      </c>
      <c r="AC576" t="s">
        <v>566</v>
      </c>
      <c r="AD576" t="s">
        <v>406</v>
      </c>
      <c r="AE576" t="s">
        <v>566</v>
      </c>
      <c r="AF576">
        <v>34</v>
      </c>
      <c r="AG576" s="122">
        <v>1946</v>
      </c>
      <c r="AH576" s="122">
        <v>11574</v>
      </c>
      <c r="AI576" s="122">
        <v>445734</v>
      </c>
      <c r="AJ576" s="122">
        <v>405213</v>
      </c>
      <c r="AK576">
        <v>79</v>
      </c>
      <c r="AL576">
        <v>0</v>
      </c>
      <c r="AM576">
        <v>0</v>
      </c>
      <c r="AN576" s="122">
        <v>35758</v>
      </c>
      <c r="AO576" s="122">
        <v>13244</v>
      </c>
      <c r="AP576" s="122">
        <v>19953</v>
      </c>
      <c r="AQ576" s="122">
        <v>7390</v>
      </c>
      <c r="AR576" s="122">
        <v>158884</v>
      </c>
      <c r="AS576" s="122">
        <v>144440</v>
      </c>
      <c r="AT576">
        <v>0</v>
      </c>
      <c r="AU576">
        <v>0</v>
      </c>
      <c r="AV576" s="122">
        <v>570287</v>
      </c>
    </row>
    <row r="577" spans="2:48" ht="13">
      <c r="B577" t="s">
        <v>442</v>
      </c>
      <c r="C577" t="s">
        <v>54</v>
      </c>
      <c r="D577" t="s">
        <v>407</v>
      </c>
      <c r="E577" t="s">
        <v>407</v>
      </c>
      <c r="F577" s="122">
        <v>146</v>
      </c>
      <c r="G577" s="122">
        <v>10987</v>
      </c>
      <c r="H577" s="122">
        <v>20267</v>
      </c>
      <c r="I577" s="122">
        <v>594072</v>
      </c>
      <c r="J577" s="191">
        <v>540066</v>
      </c>
      <c r="K577" s="122">
        <v>82</v>
      </c>
      <c r="L577" s="122">
        <v>44186</v>
      </c>
      <c r="M577" s="122">
        <v>38461</v>
      </c>
      <c r="N577" s="122">
        <v>238920</v>
      </c>
      <c r="O577" s="122">
        <v>88489</v>
      </c>
      <c r="P577" s="122">
        <v>70778</v>
      </c>
      <c r="Q577" s="122">
        <v>26214</v>
      </c>
      <c r="R577" s="122">
        <v>568091</v>
      </c>
      <c r="S577" s="122">
        <v>516447</v>
      </c>
      <c r="T577" s="122">
        <v>12698</v>
      </c>
      <c r="U577" s="122">
        <v>4703</v>
      </c>
      <c r="V577" s="122">
        <v>1214379</v>
      </c>
      <c r="W577" s="122">
        <f t="shared" si="16"/>
        <v>1214380</v>
      </c>
      <c r="X577" s="122">
        <f t="shared" si="17"/>
        <v>1528745</v>
      </c>
      <c r="Y577" s="122"/>
      <c r="AA577" t="s">
        <v>60</v>
      </c>
      <c r="AB577" t="s">
        <v>406</v>
      </c>
      <c r="AC577" t="s">
        <v>566</v>
      </c>
      <c r="AD577" t="s">
        <v>407</v>
      </c>
      <c r="AE577" t="s">
        <v>137</v>
      </c>
      <c r="AF577">
        <v>1</v>
      </c>
      <c r="AG577">
        <v>133</v>
      </c>
      <c r="AH577">
        <v>337</v>
      </c>
      <c r="AI577" s="122">
        <v>33636</v>
      </c>
      <c r="AJ577" s="122">
        <v>30578</v>
      </c>
      <c r="AK577">
        <v>85</v>
      </c>
      <c r="AL577">
        <v>0</v>
      </c>
      <c r="AM577">
        <v>0</v>
      </c>
      <c r="AN577" s="122">
        <v>2488</v>
      </c>
      <c r="AO577">
        <v>921</v>
      </c>
      <c r="AP577">
        <v>743</v>
      </c>
      <c r="AQ577">
        <v>275</v>
      </c>
      <c r="AR577" s="122">
        <v>5486</v>
      </c>
      <c r="AS577" s="122">
        <v>4987</v>
      </c>
      <c r="AT577" s="122">
        <v>2378</v>
      </c>
      <c r="AU577">
        <v>881</v>
      </c>
      <c r="AV577" s="122">
        <v>37643</v>
      </c>
    </row>
    <row r="578" spans="2:48" ht="13">
      <c r="B578" t="s">
        <v>442</v>
      </c>
      <c r="C578" t="s">
        <v>56</v>
      </c>
      <c r="F578">
        <v>34</v>
      </c>
      <c r="G578" s="122">
        <v>1684</v>
      </c>
      <c r="H578" s="122">
        <v>6948</v>
      </c>
      <c r="J578" s="191">
        <v>0</v>
      </c>
      <c r="K578" s="122"/>
      <c r="M578">
        <v>0</v>
      </c>
      <c r="N578" s="122">
        <v>32737</v>
      </c>
      <c r="O578" s="122">
        <v>12125</v>
      </c>
      <c r="P578" s="122">
        <v>3321</v>
      </c>
      <c r="Q578" s="122">
        <v>1230</v>
      </c>
      <c r="S578">
        <v>0</v>
      </c>
      <c r="T578" s="122">
        <v>13262</v>
      </c>
      <c r="U578" s="122">
        <v>4912</v>
      </c>
      <c r="V578" s="122">
        <v>18267</v>
      </c>
      <c r="W578" s="122">
        <f t="shared" si="16"/>
        <v>18267</v>
      </c>
      <c r="X578" s="122">
        <f t="shared" si="17"/>
        <v>49320</v>
      </c>
      <c r="Y578" s="122"/>
      <c r="AA578" t="s">
        <v>60</v>
      </c>
      <c r="AB578" t="s">
        <v>406</v>
      </c>
      <c r="AC578" t="s">
        <v>433</v>
      </c>
      <c r="AD578" t="s">
        <v>137</v>
      </c>
      <c r="AE578" t="s">
        <v>566</v>
      </c>
      <c r="AF578">
        <v>1</v>
      </c>
      <c r="AG578">
        <v>72</v>
      </c>
      <c r="AH578">
        <v>328</v>
      </c>
      <c r="AI578" s="122">
        <v>15230</v>
      </c>
      <c r="AJ578" s="122">
        <v>13845</v>
      </c>
      <c r="AK578">
        <v>85</v>
      </c>
      <c r="AL578" s="122">
        <v>1848</v>
      </c>
      <c r="AM578" s="122">
        <v>1680</v>
      </c>
      <c r="AN578" s="122">
        <v>1751</v>
      </c>
      <c r="AO578">
        <v>649</v>
      </c>
      <c r="AP578">
        <v>621</v>
      </c>
      <c r="AQ578">
        <v>230</v>
      </c>
      <c r="AR578" s="122">
        <v>4146</v>
      </c>
      <c r="AS578" s="122">
        <v>1535</v>
      </c>
      <c r="AT578">
        <v>0</v>
      </c>
      <c r="AU578">
        <v>0</v>
      </c>
      <c r="AV578" s="122">
        <v>17939</v>
      </c>
    </row>
    <row r="579" spans="2:48" ht="13">
      <c r="B579" t="s">
        <v>442</v>
      </c>
      <c r="C579" t="s">
        <v>56</v>
      </c>
      <c r="D579" t="s">
        <v>405</v>
      </c>
      <c r="E579" t="s">
        <v>405</v>
      </c>
      <c r="F579" s="122">
        <v>1</v>
      </c>
      <c r="G579" s="122">
        <v>83</v>
      </c>
      <c r="H579" s="122">
        <v>189</v>
      </c>
      <c r="I579" s="122">
        <v>5307</v>
      </c>
      <c r="J579" s="191">
        <v>4824</v>
      </c>
      <c r="K579" s="122">
        <v>93</v>
      </c>
      <c r="L579" s="122">
        <v>1272</v>
      </c>
      <c r="M579">
        <v>471</v>
      </c>
      <c r="N579" s="122">
        <v>1958</v>
      </c>
      <c r="O579">
        <v>725</v>
      </c>
      <c r="P579">
        <v>473</v>
      </c>
      <c r="Q579">
        <v>175</v>
      </c>
      <c r="R579" s="122">
        <v>3769</v>
      </c>
      <c r="S579" s="122">
        <v>3426</v>
      </c>
      <c r="T579" s="122">
        <v>2917</v>
      </c>
      <c r="U579" s="122">
        <v>1080</v>
      </c>
      <c r="V579" s="122">
        <v>10702</v>
      </c>
      <c r="W579" s="122">
        <f t="shared" si="16"/>
        <v>10701</v>
      </c>
      <c r="X579" s="122">
        <f t="shared" si="17"/>
        <v>15696</v>
      </c>
      <c r="Y579" s="122"/>
      <c r="AA579" t="s">
        <v>60</v>
      </c>
      <c r="AB579" t="s">
        <v>406</v>
      </c>
      <c r="AC579" t="s">
        <v>433</v>
      </c>
      <c r="AD579" t="s">
        <v>406</v>
      </c>
      <c r="AE579" t="s">
        <v>137</v>
      </c>
      <c r="AF579">
        <v>3</v>
      </c>
      <c r="AG579">
        <v>268</v>
      </c>
      <c r="AH579" s="122">
        <v>1017</v>
      </c>
      <c r="AI579" s="122">
        <v>62222</v>
      </c>
      <c r="AJ579" s="122">
        <v>56565</v>
      </c>
      <c r="AK579">
        <v>81</v>
      </c>
      <c r="AL579" s="122">
        <v>9606</v>
      </c>
      <c r="AM579" s="122">
        <v>8732</v>
      </c>
      <c r="AN579" s="122">
        <v>5602</v>
      </c>
      <c r="AO579" s="122">
        <v>2075</v>
      </c>
      <c r="AP579" s="122">
        <v>1863</v>
      </c>
      <c r="AQ579">
        <v>690</v>
      </c>
      <c r="AR579" s="122">
        <v>7746</v>
      </c>
      <c r="AS579" s="122">
        <v>7041</v>
      </c>
      <c r="AT579" s="122">
        <v>3967</v>
      </c>
      <c r="AU579" s="122">
        <v>1469</v>
      </c>
      <c r="AV579" s="122">
        <v>76573</v>
      </c>
    </row>
    <row r="580" spans="2:48" ht="13">
      <c r="B580" t="s">
        <v>442</v>
      </c>
      <c r="C580" t="s">
        <v>56</v>
      </c>
      <c r="D580" t="s">
        <v>137</v>
      </c>
      <c r="E580" t="s">
        <v>403</v>
      </c>
      <c r="F580" s="122">
        <v>1</v>
      </c>
      <c r="G580" s="122">
        <v>58</v>
      </c>
      <c r="H580">
        <v>193</v>
      </c>
      <c r="I580" s="122">
        <v>4085</v>
      </c>
      <c r="J580" s="191">
        <v>1513</v>
      </c>
      <c r="K580" s="122">
        <v>100</v>
      </c>
      <c r="L580">
        <v>454</v>
      </c>
      <c r="M580">
        <v>168</v>
      </c>
      <c r="N580">
        <v>978</v>
      </c>
      <c r="O580">
        <v>362</v>
      </c>
      <c r="P580">
        <v>0</v>
      </c>
      <c r="Q580">
        <v>0</v>
      </c>
      <c r="R580" s="122">
        <v>5631</v>
      </c>
      <c r="S580" s="122">
        <v>2085</v>
      </c>
      <c r="T580">
        <v>0</v>
      </c>
      <c r="U580">
        <v>0</v>
      </c>
      <c r="V580" s="122">
        <v>4129</v>
      </c>
      <c r="W580" s="122">
        <f t="shared" si="16"/>
        <v>4128</v>
      </c>
      <c r="X580" s="122">
        <f t="shared" si="17"/>
        <v>11148</v>
      </c>
      <c r="Y580" s="122"/>
      <c r="AA580" t="s">
        <v>60</v>
      </c>
      <c r="AB580" t="s">
        <v>406</v>
      </c>
      <c r="AC580" t="s">
        <v>433</v>
      </c>
      <c r="AD580" t="s">
        <v>406</v>
      </c>
      <c r="AE580" t="s">
        <v>566</v>
      </c>
      <c r="AF580">
        <v>4</v>
      </c>
      <c r="AG580">
        <v>467</v>
      </c>
      <c r="AH580" s="122">
        <v>1347</v>
      </c>
      <c r="AI580" s="122">
        <v>102379</v>
      </c>
      <c r="AJ580" s="122">
        <v>93072</v>
      </c>
      <c r="AK580">
        <v>79</v>
      </c>
      <c r="AL580" s="122">
        <v>16814</v>
      </c>
      <c r="AM580" s="122">
        <v>15286</v>
      </c>
      <c r="AN580" s="122">
        <v>9044</v>
      </c>
      <c r="AO580" s="122">
        <v>3350</v>
      </c>
      <c r="AP580" s="122">
        <v>2484</v>
      </c>
      <c r="AQ580">
        <v>920</v>
      </c>
      <c r="AR580" s="122">
        <v>26031</v>
      </c>
      <c r="AS580" s="122">
        <v>23664</v>
      </c>
      <c r="AT580">
        <v>0</v>
      </c>
      <c r="AU580">
        <v>0</v>
      </c>
      <c r="AV580" s="122">
        <v>136292</v>
      </c>
    </row>
    <row r="581" spans="2:48" ht="13">
      <c r="B581" t="s">
        <v>442</v>
      </c>
      <c r="C581" t="s">
        <v>56</v>
      </c>
      <c r="D581" t="s">
        <v>137</v>
      </c>
      <c r="E581" t="s">
        <v>137</v>
      </c>
      <c r="F581">
        <v>259</v>
      </c>
      <c r="G581" s="122">
        <v>15611</v>
      </c>
      <c r="H581" s="122">
        <v>50922</v>
      </c>
      <c r="I581" s="122">
        <v>1184721</v>
      </c>
      <c r="J581" s="191">
        <v>438785</v>
      </c>
      <c r="K581" s="122">
        <v>134</v>
      </c>
      <c r="L581" s="122">
        <v>106723</v>
      </c>
      <c r="M581" s="122">
        <v>59480</v>
      </c>
      <c r="N581" s="122">
        <v>310887</v>
      </c>
      <c r="O581" s="122">
        <v>115143</v>
      </c>
      <c r="P581" s="122">
        <v>40749</v>
      </c>
      <c r="Q581" s="122">
        <v>15092</v>
      </c>
      <c r="R581" s="122">
        <v>1449108</v>
      </c>
      <c r="S581" s="122">
        <v>536707</v>
      </c>
      <c r="T581">
        <v>0</v>
      </c>
      <c r="U581">
        <v>0</v>
      </c>
      <c r="V581" s="122">
        <v>1165208</v>
      </c>
      <c r="W581" s="122">
        <f t="shared" si="16"/>
        <v>1165207</v>
      </c>
      <c r="X581" s="122">
        <f t="shared" si="17"/>
        <v>3092188</v>
      </c>
      <c r="Y581" s="122"/>
      <c r="AA581" t="s">
        <v>60</v>
      </c>
      <c r="AB581" t="s">
        <v>427</v>
      </c>
      <c r="AC581" t="s">
        <v>137</v>
      </c>
      <c r="AD581" t="s">
        <v>137</v>
      </c>
      <c r="AE581" t="s">
        <v>566</v>
      </c>
      <c r="AF581">
        <v>1</v>
      </c>
      <c r="AG581">
        <v>36</v>
      </c>
      <c r="AH581">
        <v>335</v>
      </c>
      <c r="AI581" s="122">
        <v>5129</v>
      </c>
      <c r="AJ581" s="122">
        <v>4663</v>
      </c>
      <c r="AK581">
        <v>60</v>
      </c>
      <c r="AL581">
        <v>839</v>
      </c>
      <c r="AM581">
        <v>311</v>
      </c>
      <c r="AN581">
        <v>716</v>
      </c>
      <c r="AO581">
        <v>265</v>
      </c>
      <c r="AP581">
        <v>0</v>
      </c>
      <c r="AQ581">
        <v>0</v>
      </c>
      <c r="AR581" s="122">
        <v>5490</v>
      </c>
      <c r="AS581" s="122">
        <v>2033</v>
      </c>
      <c r="AT581">
        <v>0</v>
      </c>
      <c r="AU581">
        <v>0</v>
      </c>
      <c r="AV581" s="122">
        <v>7272</v>
      </c>
    </row>
    <row r="582" spans="2:48" ht="13">
      <c r="B582" t="s">
        <v>442</v>
      </c>
      <c r="C582" t="s">
        <v>56</v>
      </c>
      <c r="D582" t="s">
        <v>406</v>
      </c>
      <c r="E582" s="122" t="s">
        <v>406</v>
      </c>
      <c r="F582" s="122">
        <v>2</v>
      </c>
      <c r="G582" s="122">
        <v>170</v>
      </c>
      <c r="H582" s="122">
        <v>434</v>
      </c>
      <c r="I582" s="122">
        <v>16783</v>
      </c>
      <c r="J582" s="191">
        <v>15257</v>
      </c>
      <c r="K582" s="122">
        <v>81</v>
      </c>
      <c r="L582" s="122">
        <v>4860</v>
      </c>
      <c r="M582" s="122">
        <v>4418</v>
      </c>
      <c r="N582" s="122">
        <v>3085</v>
      </c>
      <c r="O582" s="122">
        <v>1143</v>
      </c>
      <c r="P582" s="122">
        <v>1242</v>
      </c>
      <c r="Q582">
        <v>460</v>
      </c>
      <c r="R582" s="122">
        <v>10932</v>
      </c>
      <c r="S582" s="122">
        <v>9938</v>
      </c>
      <c r="T582">
        <v>0</v>
      </c>
      <c r="U582">
        <v>0</v>
      </c>
      <c r="V582" s="122">
        <v>31216</v>
      </c>
      <c r="W582" s="122">
        <f t="shared" si="16"/>
        <v>31216</v>
      </c>
      <c r="X582" s="122">
        <f t="shared" si="17"/>
        <v>36902</v>
      </c>
      <c r="Y582" s="122"/>
      <c r="AA582" t="s">
        <v>60</v>
      </c>
      <c r="AB582" t="s">
        <v>427</v>
      </c>
      <c r="AC582" t="s">
        <v>137</v>
      </c>
      <c r="AD582" t="s">
        <v>427</v>
      </c>
      <c r="AE582" t="s">
        <v>137</v>
      </c>
      <c r="AF582">
        <v>5</v>
      </c>
      <c r="AG582">
        <v>239</v>
      </c>
      <c r="AH582" s="122">
        <v>1714</v>
      </c>
      <c r="AI582" s="122">
        <v>37165</v>
      </c>
      <c r="AJ582" s="122">
        <v>33786</v>
      </c>
      <c r="AK582">
        <v>55</v>
      </c>
      <c r="AL582" s="122">
        <v>5575</v>
      </c>
      <c r="AM582" s="122">
        <v>2065</v>
      </c>
      <c r="AN582" s="122">
        <v>5507</v>
      </c>
      <c r="AO582" s="122">
        <v>2040</v>
      </c>
      <c r="AP582" s="122">
        <v>1755</v>
      </c>
      <c r="AQ582">
        <v>650</v>
      </c>
      <c r="AR582" s="122">
        <v>21573</v>
      </c>
      <c r="AS582" s="122">
        <v>19611</v>
      </c>
      <c r="AT582" s="122">
        <v>9996</v>
      </c>
      <c r="AU582" s="122">
        <v>3702</v>
      </c>
      <c r="AV582" s="122">
        <v>61854</v>
      </c>
    </row>
    <row r="583" spans="2:48" ht="13">
      <c r="B583" t="s">
        <v>442</v>
      </c>
      <c r="C583" t="s">
        <v>56</v>
      </c>
      <c r="D583" t="s">
        <v>407</v>
      </c>
      <c r="E583" t="s">
        <v>137</v>
      </c>
      <c r="F583" s="122">
        <v>1</v>
      </c>
      <c r="G583" s="122">
        <v>37</v>
      </c>
      <c r="H583" s="122">
        <v>222</v>
      </c>
      <c r="I583" s="122">
        <v>3140</v>
      </c>
      <c r="J583" s="191">
        <v>2854</v>
      </c>
      <c r="K583" s="122">
        <v>91</v>
      </c>
      <c r="L583">
        <v>0</v>
      </c>
      <c r="M583">
        <v>0</v>
      </c>
      <c r="N583">
        <v>864</v>
      </c>
      <c r="O583">
        <v>320</v>
      </c>
      <c r="P583">
        <v>473</v>
      </c>
      <c r="Q583">
        <v>175</v>
      </c>
      <c r="R583" s="122">
        <v>3733</v>
      </c>
      <c r="S583" s="122">
        <v>1383</v>
      </c>
      <c r="T583">
        <v>0</v>
      </c>
      <c r="U583">
        <v>0</v>
      </c>
      <c r="V583" s="122">
        <v>4732</v>
      </c>
      <c r="W583" s="122">
        <f t="shared" ref="W583:W646" si="18">SUM(ABS(J583),ABS(M583),ABS(O583),ABS(Q583),ABS(S583),ABS(U583))</f>
        <v>4732</v>
      </c>
      <c r="X583" s="122">
        <f t="shared" ref="X583:X646" si="19">SUM(ABS(I583),ABS(N583),ABS(P583),ABS(R583),ABS(T583),ABS(L583))</f>
        <v>8210</v>
      </c>
      <c r="Y583" s="122"/>
      <c r="AA583" t="s">
        <v>60</v>
      </c>
      <c r="AB583" t="s">
        <v>427</v>
      </c>
      <c r="AC583" t="s">
        <v>427</v>
      </c>
      <c r="AD583" t="s">
        <v>427</v>
      </c>
      <c r="AE583" t="s">
        <v>137</v>
      </c>
      <c r="AF583">
        <v>1</v>
      </c>
      <c r="AG583">
        <v>195</v>
      </c>
      <c r="AH583">
        <v>339</v>
      </c>
      <c r="AI583" s="122">
        <v>47012</v>
      </c>
      <c r="AJ583" s="122">
        <v>42739</v>
      </c>
      <c r="AK583">
        <v>75</v>
      </c>
      <c r="AL583" s="122">
        <v>7123</v>
      </c>
      <c r="AM583" s="122">
        <v>6476</v>
      </c>
      <c r="AN583" s="122">
        <v>2965</v>
      </c>
      <c r="AO583" s="122">
        <v>1098</v>
      </c>
      <c r="AP583">
        <v>351</v>
      </c>
      <c r="AQ583">
        <v>130</v>
      </c>
      <c r="AR583" s="122">
        <v>5030</v>
      </c>
      <c r="AS583" s="122">
        <v>4573</v>
      </c>
      <c r="AT583" s="122">
        <v>3474</v>
      </c>
      <c r="AU583" s="122">
        <v>1287</v>
      </c>
      <c r="AV583" s="122">
        <v>56301</v>
      </c>
    </row>
    <row r="584" spans="2:48" ht="13">
      <c r="B584" t="s">
        <v>442</v>
      </c>
      <c r="C584" t="s">
        <v>56</v>
      </c>
      <c r="D584" t="s">
        <v>407</v>
      </c>
      <c r="E584" s="122" t="s">
        <v>407</v>
      </c>
      <c r="F584" s="122">
        <v>403</v>
      </c>
      <c r="G584" s="122">
        <v>28429</v>
      </c>
      <c r="H584" s="122">
        <v>74133</v>
      </c>
      <c r="I584" s="122">
        <v>2456212</v>
      </c>
      <c r="J584" s="191">
        <v>2232920</v>
      </c>
      <c r="K584" s="122">
        <v>82</v>
      </c>
      <c r="L584" s="122">
        <v>268585</v>
      </c>
      <c r="M584" s="122">
        <v>228507</v>
      </c>
      <c r="N584" s="122">
        <v>602240</v>
      </c>
      <c r="O584" s="122">
        <v>223052</v>
      </c>
      <c r="P584" s="122">
        <v>210076</v>
      </c>
      <c r="Q584" s="122">
        <v>77806</v>
      </c>
      <c r="R584" s="122">
        <v>1521784</v>
      </c>
      <c r="S584" s="122">
        <v>1383440</v>
      </c>
      <c r="T584" s="122">
        <v>175726</v>
      </c>
      <c r="U584" s="122">
        <v>65084</v>
      </c>
      <c r="V584" s="122">
        <v>4210809</v>
      </c>
      <c r="W584" s="122">
        <f t="shared" si="18"/>
        <v>4210809</v>
      </c>
      <c r="X584" s="122">
        <f t="shared" si="19"/>
        <v>5234623</v>
      </c>
      <c r="Y584" s="122"/>
      <c r="AA584" t="s">
        <v>60</v>
      </c>
      <c r="AB584" t="s">
        <v>427</v>
      </c>
      <c r="AC584" t="s">
        <v>566</v>
      </c>
      <c r="AD584" t="s">
        <v>427</v>
      </c>
      <c r="AE584" t="s">
        <v>137</v>
      </c>
      <c r="AF584">
        <v>9</v>
      </c>
      <c r="AG584">
        <v>437</v>
      </c>
      <c r="AH584" s="122">
        <v>2984</v>
      </c>
      <c r="AI584" s="122">
        <v>70173</v>
      </c>
      <c r="AJ584" s="122">
        <v>63793</v>
      </c>
      <c r="AK584">
        <v>54</v>
      </c>
      <c r="AL584">
        <v>0</v>
      </c>
      <c r="AM584">
        <v>0</v>
      </c>
      <c r="AN584" s="122">
        <v>9062</v>
      </c>
      <c r="AO584" s="122">
        <v>3356</v>
      </c>
      <c r="AP584" s="122">
        <v>3159</v>
      </c>
      <c r="AQ584" s="122">
        <v>1170</v>
      </c>
      <c r="AR584" s="122">
        <v>43589</v>
      </c>
      <c r="AS584" s="122">
        <v>39627</v>
      </c>
      <c r="AT584" s="122">
        <v>18910</v>
      </c>
      <c r="AU584" s="122">
        <v>7004</v>
      </c>
      <c r="AV584" s="122">
        <v>114950</v>
      </c>
    </row>
    <row r="585" spans="2:48" ht="13">
      <c r="B585" t="s">
        <v>442</v>
      </c>
      <c r="C585" t="s">
        <v>58</v>
      </c>
      <c r="F585">
        <v>39</v>
      </c>
      <c r="G585" s="122">
        <v>1747</v>
      </c>
      <c r="H585" s="122">
        <v>9928</v>
      </c>
      <c r="J585" s="66">
        <v>0</v>
      </c>
      <c r="K585" s="122"/>
      <c r="M585">
        <v>0</v>
      </c>
      <c r="N585" s="122">
        <v>35223</v>
      </c>
      <c r="O585" s="122">
        <v>13046</v>
      </c>
      <c r="P585" s="122">
        <v>5238</v>
      </c>
      <c r="Q585" s="122">
        <v>1940</v>
      </c>
      <c r="S585">
        <v>0</v>
      </c>
      <c r="T585" s="122">
        <v>8173</v>
      </c>
      <c r="U585" s="122">
        <v>3027</v>
      </c>
      <c r="V585" s="122">
        <v>18013</v>
      </c>
      <c r="W585" s="122">
        <f t="shared" si="18"/>
        <v>18013</v>
      </c>
      <c r="X585" s="122">
        <f t="shared" si="19"/>
        <v>48634</v>
      </c>
      <c r="Y585" s="122"/>
      <c r="AA585" t="s">
        <v>60</v>
      </c>
      <c r="AB585" t="s">
        <v>407</v>
      </c>
      <c r="AC585" t="s">
        <v>137</v>
      </c>
      <c r="AD585" t="s">
        <v>137</v>
      </c>
      <c r="AE585" t="s">
        <v>566</v>
      </c>
      <c r="AF585">
        <v>19</v>
      </c>
      <c r="AG585">
        <v>920</v>
      </c>
      <c r="AH585" s="122">
        <v>6189</v>
      </c>
      <c r="AI585" s="122">
        <v>165498</v>
      </c>
      <c r="AJ585" s="122">
        <v>150452</v>
      </c>
      <c r="AK585">
        <v>72</v>
      </c>
      <c r="AL585" s="122">
        <v>31491</v>
      </c>
      <c r="AM585" s="122">
        <v>11663</v>
      </c>
      <c r="AN585" s="122">
        <v>19986</v>
      </c>
      <c r="AO585" s="122">
        <v>7402</v>
      </c>
      <c r="AP585" s="122">
        <v>5319</v>
      </c>
      <c r="AQ585" s="122">
        <v>1970</v>
      </c>
      <c r="AR585" s="122">
        <v>83618</v>
      </c>
      <c r="AS585" s="122">
        <v>30970</v>
      </c>
      <c r="AT585">
        <v>0</v>
      </c>
      <c r="AU585">
        <v>0</v>
      </c>
      <c r="AV585" s="122">
        <v>202458</v>
      </c>
    </row>
    <row r="586" spans="2:48" ht="13">
      <c r="B586" t="s">
        <v>442</v>
      </c>
      <c r="C586" t="s">
        <v>58</v>
      </c>
      <c r="D586" t="s">
        <v>137</v>
      </c>
      <c r="E586" t="s">
        <v>137</v>
      </c>
      <c r="F586">
        <v>467</v>
      </c>
      <c r="G586" s="122">
        <v>26655</v>
      </c>
      <c r="H586" s="122">
        <v>124964</v>
      </c>
      <c r="I586" s="122">
        <v>3416922</v>
      </c>
      <c r="J586" s="191">
        <v>1265527</v>
      </c>
      <c r="K586" s="122">
        <v>100</v>
      </c>
      <c r="L586" s="122">
        <v>436496</v>
      </c>
      <c r="M586" s="122">
        <v>308089</v>
      </c>
      <c r="N586" s="122">
        <v>548602</v>
      </c>
      <c r="O586" s="122">
        <v>203186</v>
      </c>
      <c r="P586" s="122">
        <v>9218</v>
      </c>
      <c r="Q586" s="122">
        <v>3414</v>
      </c>
      <c r="R586" s="122">
        <v>2752174</v>
      </c>
      <c r="S586" s="122">
        <v>1019324</v>
      </c>
      <c r="T586" s="122">
        <v>11782</v>
      </c>
      <c r="U586" s="122">
        <v>4364</v>
      </c>
      <c r="V586" s="122">
        <v>2803904</v>
      </c>
      <c r="W586" s="122">
        <f t="shared" si="18"/>
        <v>2803904</v>
      </c>
      <c r="X586" s="122">
        <f t="shared" si="19"/>
        <v>7175194</v>
      </c>
      <c r="Y586" s="122"/>
      <c r="AA586" t="s">
        <v>60</v>
      </c>
      <c r="AB586" t="s">
        <v>407</v>
      </c>
      <c r="AC586" t="s">
        <v>137</v>
      </c>
      <c r="AD586" t="s">
        <v>406</v>
      </c>
      <c r="AE586" t="s">
        <v>566</v>
      </c>
      <c r="AF586">
        <v>1</v>
      </c>
      <c r="AG586">
        <v>86</v>
      </c>
      <c r="AH586">
        <v>347</v>
      </c>
      <c r="AI586" s="122">
        <v>15455</v>
      </c>
      <c r="AJ586" s="122">
        <v>14050</v>
      </c>
      <c r="AK586">
        <v>86</v>
      </c>
      <c r="AL586" s="122">
        <v>7748</v>
      </c>
      <c r="AM586" s="122">
        <v>2870</v>
      </c>
      <c r="AN586" s="122">
        <v>1671</v>
      </c>
      <c r="AO586">
        <v>619</v>
      </c>
      <c r="AP586">
        <v>473</v>
      </c>
      <c r="AQ586">
        <v>175</v>
      </c>
      <c r="AR586" s="122">
        <v>4357</v>
      </c>
      <c r="AS586" s="122">
        <v>3961</v>
      </c>
      <c r="AT586">
        <v>0</v>
      </c>
      <c r="AU586">
        <v>0</v>
      </c>
      <c r="AV586" s="122">
        <v>21675</v>
      </c>
    </row>
    <row r="587" spans="2:48" ht="13">
      <c r="B587" t="s">
        <v>442</v>
      </c>
      <c r="C587" t="s">
        <v>58</v>
      </c>
      <c r="D587" t="s">
        <v>406</v>
      </c>
      <c r="E587" s="122" t="s">
        <v>406</v>
      </c>
      <c r="F587" s="122">
        <v>5</v>
      </c>
      <c r="G587" s="122">
        <v>291</v>
      </c>
      <c r="H587" s="122">
        <v>1305</v>
      </c>
      <c r="I587" s="122">
        <v>37355</v>
      </c>
      <c r="J587" s="191">
        <v>33959</v>
      </c>
      <c r="K587" s="122">
        <v>86</v>
      </c>
      <c r="L587" s="122">
        <v>10234</v>
      </c>
      <c r="M587" s="122">
        <v>7428</v>
      </c>
      <c r="N587" s="122">
        <v>6753</v>
      </c>
      <c r="O587" s="122">
        <v>2501</v>
      </c>
      <c r="P587" s="122">
        <v>3105</v>
      </c>
      <c r="Q587" s="122">
        <v>1150</v>
      </c>
      <c r="R587" s="122">
        <v>17125</v>
      </c>
      <c r="S587" s="122">
        <v>15568</v>
      </c>
      <c r="T587">
        <v>0</v>
      </c>
      <c r="U587">
        <v>0</v>
      </c>
      <c r="V587" s="122">
        <v>60606</v>
      </c>
      <c r="W587" s="122">
        <f t="shared" si="18"/>
        <v>60606</v>
      </c>
      <c r="X587" s="122">
        <f t="shared" si="19"/>
        <v>74572</v>
      </c>
      <c r="Y587" s="122"/>
      <c r="AA587" t="s">
        <v>60</v>
      </c>
      <c r="AB587" t="s">
        <v>407</v>
      </c>
      <c r="AC587" t="s">
        <v>137</v>
      </c>
      <c r="AD587" t="s">
        <v>407</v>
      </c>
      <c r="AE587" t="s">
        <v>137</v>
      </c>
      <c r="AF587">
        <v>70</v>
      </c>
      <c r="AG587" s="122">
        <v>4176</v>
      </c>
      <c r="AH587" s="122">
        <v>23561</v>
      </c>
      <c r="AI587" s="122">
        <v>731331</v>
      </c>
      <c r="AJ587" s="122">
        <v>664846</v>
      </c>
      <c r="AK587">
        <v>76</v>
      </c>
      <c r="AL587" s="122">
        <v>176756</v>
      </c>
      <c r="AM587" s="122">
        <v>65465</v>
      </c>
      <c r="AN587" s="122">
        <v>83444</v>
      </c>
      <c r="AO587" s="122">
        <v>30905</v>
      </c>
      <c r="AP587" s="122">
        <v>34133</v>
      </c>
      <c r="AQ587" s="122">
        <v>12642</v>
      </c>
      <c r="AR587" s="122">
        <v>257293</v>
      </c>
      <c r="AS587" s="122">
        <v>233902</v>
      </c>
      <c r="AT587" s="122">
        <v>119096</v>
      </c>
      <c r="AU587" s="122">
        <v>44110</v>
      </c>
      <c r="AV587" s="122">
        <v>1051870</v>
      </c>
    </row>
    <row r="588" spans="2:48" ht="13">
      <c r="B588" t="s">
        <v>442</v>
      </c>
      <c r="C588" t="s">
        <v>58</v>
      </c>
      <c r="D588" t="s">
        <v>407</v>
      </c>
      <c r="E588" t="s">
        <v>137</v>
      </c>
      <c r="F588" s="122">
        <v>6</v>
      </c>
      <c r="G588" s="122">
        <v>320</v>
      </c>
      <c r="H588" s="122">
        <v>1631</v>
      </c>
      <c r="I588" s="122">
        <v>43197</v>
      </c>
      <c r="J588" s="191">
        <v>39270</v>
      </c>
      <c r="K588" s="122">
        <v>81</v>
      </c>
      <c r="L588" s="122">
        <v>5251</v>
      </c>
      <c r="M588" s="122">
        <v>4774</v>
      </c>
      <c r="N588" s="122">
        <v>7370</v>
      </c>
      <c r="O588" s="122">
        <v>2730</v>
      </c>
      <c r="P588" s="122">
        <v>2835</v>
      </c>
      <c r="Q588" s="122">
        <v>1050</v>
      </c>
      <c r="R588" s="122">
        <v>28276</v>
      </c>
      <c r="S588" s="122">
        <v>10472</v>
      </c>
      <c r="T588">
        <v>0</v>
      </c>
      <c r="U588">
        <v>0</v>
      </c>
      <c r="V588" s="122">
        <v>58295</v>
      </c>
      <c r="W588" s="122">
        <f t="shared" si="18"/>
        <v>58296</v>
      </c>
      <c r="X588" s="122">
        <f t="shared" si="19"/>
        <v>86929</v>
      </c>
      <c r="Y588" s="122"/>
      <c r="AA588" t="s">
        <v>60</v>
      </c>
      <c r="AB588" t="s">
        <v>407</v>
      </c>
      <c r="AC588" t="s">
        <v>137</v>
      </c>
      <c r="AD588" t="s">
        <v>407</v>
      </c>
      <c r="AE588" t="s">
        <v>566</v>
      </c>
      <c r="AF588">
        <v>57</v>
      </c>
      <c r="AG588" s="122">
        <v>3413</v>
      </c>
      <c r="AH588" s="122">
        <v>18792</v>
      </c>
      <c r="AI588" s="122">
        <v>639307</v>
      </c>
      <c r="AJ588" s="122">
        <v>581188</v>
      </c>
      <c r="AK588">
        <v>80</v>
      </c>
      <c r="AL588" s="122">
        <v>185551</v>
      </c>
      <c r="AM588" s="122">
        <v>68723</v>
      </c>
      <c r="AN588" s="122">
        <v>66581</v>
      </c>
      <c r="AO588" s="122">
        <v>24660</v>
      </c>
      <c r="AP588" s="122">
        <v>26730</v>
      </c>
      <c r="AQ588" s="122">
        <v>9900</v>
      </c>
      <c r="AR588" s="122">
        <v>210995</v>
      </c>
      <c r="AS588" s="122">
        <v>191814</v>
      </c>
      <c r="AT588">
        <v>0</v>
      </c>
      <c r="AU588">
        <v>0</v>
      </c>
      <c r="AV588" s="122">
        <v>876285</v>
      </c>
    </row>
    <row r="589" spans="2:48" ht="13">
      <c r="B589" t="s">
        <v>442</v>
      </c>
      <c r="C589" t="s">
        <v>58</v>
      </c>
      <c r="D589" t="s">
        <v>407</v>
      </c>
      <c r="E589" t="s">
        <v>407</v>
      </c>
      <c r="F589" s="122">
        <v>259</v>
      </c>
      <c r="G589" s="122">
        <v>15865</v>
      </c>
      <c r="H589" s="122">
        <v>67367</v>
      </c>
      <c r="I589" s="122">
        <v>2068824</v>
      </c>
      <c r="J589" s="191">
        <v>1880749</v>
      </c>
      <c r="K589" s="122">
        <v>79</v>
      </c>
      <c r="L589" s="122">
        <v>367066</v>
      </c>
      <c r="M589" s="122">
        <v>316405</v>
      </c>
      <c r="N589" s="122">
        <v>325588</v>
      </c>
      <c r="O589" s="122">
        <v>120588</v>
      </c>
      <c r="P589" s="122">
        <v>122532</v>
      </c>
      <c r="Q589" s="122">
        <v>45382</v>
      </c>
      <c r="R589" s="122">
        <v>1025130</v>
      </c>
      <c r="S589" s="122">
        <v>931936</v>
      </c>
      <c r="T589" s="122">
        <v>242631</v>
      </c>
      <c r="U589" s="122">
        <v>89863</v>
      </c>
      <c r="V589" s="122">
        <v>3384924</v>
      </c>
      <c r="W589" s="122">
        <f t="shared" si="18"/>
        <v>3384923</v>
      </c>
      <c r="X589" s="122">
        <f t="shared" si="19"/>
        <v>4151771</v>
      </c>
      <c r="Y589" s="122"/>
      <c r="AA589" t="s">
        <v>60</v>
      </c>
      <c r="AB589" t="s">
        <v>407</v>
      </c>
      <c r="AC589" t="s">
        <v>580</v>
      </c>
      <c r="AD589" t="s">
        <v>407</v>
      </c>
      <c r="AE589" t="s">
        <v>566</v>
      </c>
      <c r="AF589">
        <v>1</v>
      </c>
      <c r="AG589">
        <v>60</v>
      </c>
      <c r="AH589">
        <v>372</v>
      </c>
      <c r="AI589" s="122">
        <v>14321</v>
      </c>
      <c r="AJ589" s="122">
        <v>13019</v>
      </c>
      <c r="AK589">
        <v>90</v>
      </c>
      <c r="AL589" s="122">
        <v>2384</v>
      </c>
      <c r="AM589" s="122">
        <v>2167</v>
      </c>
      <c r="AN589" s="122">
        <v>1129</v>
      </c>
      <c r="AO589">
        <v>418</v>
      </c>
      <c r="AP589">
        <v>473</v>
      </c>
      <c r="AQ589">
        <v>175</v>
      </c>
      <c r="AR589" s="122">
        <v>3949</v>
      </c>
      <c r="AS589" s="122">
        <v>3590</v>
      </c>
      <c r="AT589">
        <v>0</v>
      </c>
      <c r="AU589">
        <v>0</v>
      </c>
      <c r="AV589" s="122">
        <v>19370</v>
      </c>
    </row>
    <row r="590" spans="2:48" ht="13">
      <c r="B590" t="s">
        <v>442</v>
      </c>
      <c r="C590" t="s">
        <v>58</v>
      </c>
      <c r="D590" t="s">
        <v>426</v>
      </c>
      <c r="E590" t="s">
        <v>426</v>
      </c>
      <c r="F590">
        <v>1</v>
      </c>
      <c r="G590">
        <v>73</v>
      </c>
      <c r="H590" s="122">
        <v>297</v>
      </c>
      <c r="I590" s="122">
        <v>10516</v>
      </c>
      <c r="J590" s="191">
        <v>9560</v>
      </c>
      <c r="K590" s="122">
        <v>55</v>
      </c>
      <c r="L590" s="122">
        <v>1577</v>
      </c>
      <c r="M590">
        <v>584</v>
      </c>
      <c r="N590" s="122">
        <v>1628</v>
      </c>
      <c r="O590">
        <v>603</v>
      </c>
      <c r="P590">
        <v>351</v>
      </c>
      <c r="Q590">
        <v>130</v>
      </c>
      <c r="R590" s="122">
        <v>5144</v>
      </c>
      <c r="S590" s="122">
        <v>4676</v>
      </c>
      <c r="T590" s="122">
        <v>2333</v>
      </c>
      <c r="U590">
        <v>864</v>
      </c>
      <c r="V590" s="122">
        <v>16417</v>
      </c>
      <c r="W590" s="122">
        <f t="shared" si="18"/>
        <v>16417</v>
      </c>
      <c r="X590" s="122">
        <f t="shared" si="19"/>
        <v>21549</v>
      </c>
      <c r="Y590" s="122"/>
      <c r="AA590" t="s">
        <v>60</v>
      </c>
      <c r="AB590" t="s">
        <v>407</v>
      </c>
      <c r="AC590" t="s">
        <v>427</v>
      </c>
      <c r="AD590" t="s">
        <v>137</v>
      </c>
      <c r="AE590" t="s">
        <v>566</v>
      </c>
      <c r="AF590">
        <v>5</v>
      </c>
      <c r="AG590">
        <v>283</v>
      </c>
      <c r="AH590" s="122">
        <v>1772</v>
      </c>
      <c r="AI590" s="122">
        <v>33119</v>
      </c>
      <c r="AJ590" s="122">
        <v>30108</v>
      </c>
      <c r="AK590">
        <v>74</v>
      </c>
      <c r="AL590" s="122">
        <v>9031</v>
      </c>
      <c r="AM590" s="122">
        <v>8210</v>
      </c>
      <c r="AN590" s="122">
        <v>6187</v>
      </c>
      <c r="AO590" s="122">
        <v>2292</v>
      </c>
      <c r="AP590" s="122">
        <v>2363</v>
      </c>
      <c r="AQ590">
        <v>875</v>
      </c>
      <c r="AR590" s="122">
        <v>49404</v>
      </c>
      <c r="AS590" s="122">
        <v>18298</v>
      </c>
      <c r="AT590">
        <v>0</v>
      </c>
      <c r="AU590">
        <v>0</v>
      </c>
      <c r="AV590" s="122">
        <v>59782</v>
      </c>
    </row>
    <row r="591" spans="2:48" ht="13">
      <c r="B591" t="s">
        <v>442</v>
      </c>
      <c r="C591" t="s">
        <v>60</v>
      </c>
      <c r="F591">
        <v>37</v>
      </c>
      <c r="G591" s="122">
        <v>1658</v>
      </c>
      <c r="H591" s="122">
        <v>12597</v>
      </c>
      <c r="J591" s="191">
        <v>0</v>
      </c>
      <c r="K591" s="122"/>
      <c r="M591">
        <v>0</v>
      </c>
      <c r="N591" s="122">
        <v>33650</v>
      </c>
      <c r="O591" s="122">
        <v>12463</v>
      </c>
      <c r="P591" s="122">
        <v>4617</v>
      </c>
      <c r="Q591" s="122">
        <v>1710</v>
      </c>
      <c r="S591">
        <v>0</v>
      </c>
      <c r="T591" s="122">
        <v>18126</v>
      </c>
      <c r="U591" s="122">
        <v>6713</v>
      </c>
      <c r="V591" s="122">
        <v>20886</v>
      </c>
      <c r="W591" s="122">
        <f t="shared" si="18"/>
        <v>20886</v>
      </c>
      <c r="X591" s="122">
        <f t="shared" si="19"/>
        <v>56393</v>
      </c>
      <c r="Y591" s="122"/>
      <c r="AA591" t="s">
        <v>60</v>
      </c>
      <c r="AB591" t="s">
        <v>407</v>
      </c>
      <c r="AC591" t="s">
        <v>427</v>
      </c>
      <c r="AD591" t="s">
        <v>407</v>
      </c>
      <c r="AE591" t="s">
        <v>137</v>
      </c>
      <c r="AF591">
        <v>32</v>
      </c>
      <c r="AG591" s="122">
        <v>2402</v>
      </c>
      <c r="AH591" s="122">
        <v>10801</v>
      </c>
      <c r="AI591" s="122">
        <v>433477</v>
      </c>
      <c r="AJ591" s="122">
        <v>394070</v>
      </c>
      <c r="AK591">
        <v>76</v>
      </c>
      <c r="AL591" s="122">
        <v>117214</v>
      </c>
      <c r="AM591" s="122">
        <v>106558</v>
      </c>
      <c r="AN591" s="122">
        <v>52258</v>
      </c>
      <c r="AO591" s="122">
        <v>19355</v>
      </c>
      <c r="AP591" s="122">
        <v>14999</v>
      </c>
      <c r="AQ591" s="122">
        <v>5555</v>
      </c>
      <c r="AR591" s="122">
        <v>128933</v>
      </c>
      <c r="AS591" s="122">
        <v>117212</v>
      </c>
      <c r="AT591" s="122">
        <v>67262</v>
      </c>
      <c r="AU591" s="122">
        <v>24912</v>
      </c>
      <c r="AV591" s="122">
        <v>667662</v>
      </c>
    </row>
    <row r="592" spans="2:48" ht="13">
      <c r="B592" t="s">
        <v>442</v>
      </c>
      <c r="C592" t="s">
        <v>60</v>
      </c>
      <c r="D592" t="s">
        <v>137</v>
      </c>
      <c r="E592" t="s">
        <v>137</v>
      </c>
      <c r="F592">
        <v>405</v>
      </c>
      <c r="G592" s="122">
        <v>20573</v>
      </c>
      <c r="H592" s="122">
        <v>137670</v>
      </c>
      <c r="I592" s="122">
        <v>3707935</v>
      </c>
      <c r="J592" s="191">
        <v>1373309</v>
      </c>
      <c r="K592" s="122">
        <v>100</v>
      </c>
      <c r="L592" s="122">
        <v>517633</v>
      </c>
      <c r="M592" s="122">
        <v>316921</v>
      </c>
      <c r="N592" s="122">
        <v>418543</v>
      </c>
      <c r="O592" s="122">
        <v>155016</v>
      </c>
      <c r="P592" s="122">
        <v>10530</v>
      </c>
      <c r="Q592" s="122">
        <v>3900</v>
      </c>
      <c r="R592" s="122">
        <v>2333065</v>
      </c>
      <c r="S592" s="122">
        <v>864098</v>
      </c>
      <c r="T592" s="122">
        <v>13744</v>
      </c>
      <c r="U592" s="122">
        <v>5090</v>
      </c>
      <c r="V592" s="122">
        <v>2718334</v>
      </c>
      <c r="W592" s="122">
        <f t="shared" si="18"/>
        <v>2718334</v>
      </c>
      <c r="X592" s="122">
        <f t="shared" si="19"/>
        <v>7001450</v>
      </c>
      <c r="Y592" s="122"/>
      <c r="AA592" t="s">
        <v>60</v>
      </c>
      <c r="AB592" t="s">
        <v>407</v>
      </c>
      <c r="AC592" t="s">
        <v>427</v>
      </c>
      <c r="AD592" t="s">
        <v>407</v>
      </c>
      <c r="AE592" t="s">
        <v>566</v>
      </c>
      <c r="AF592">
        <v>21</v>
      </c>
      <c r="AG592" s="122">
        <v>1539</v>
      </c>
      <c r="AH592" s="122">
        <v>7166</v>
      </c>
      <c r="AI592" s="122">
        <v>293931</v>
      </c>
      <c r="AJ592" s="122">
        <v>267210</v>
      </c>
      <c r="AK592">
        <v>78</v>
      </c>
      <c r="AL592" s="122">
        <v>84460</v>
      </c>
      <c r="AM592" s="122">
        <v>76782</v>
      </c>
      <c r="AN592" s="122">
        <v>33759</v>
      </c>
      <c r="AO592" s="122">
        <v>12503</v>
      </c>
      <c r="AP592" s="122">
        <v>9801</v>
      </c>
      <c r="AQ592" s="122">
        <v>3630</v>
      </c>
      <c r="AR592" s="122">
        <v>105945</v>
      </c>
      <c r="AS592" s="122">
        <v>96314</v>
      </c>
      <c r="AT592">
        <v>0</v>
      </c>
      <c r="AU592">
        <v>0</v>
      </c>
      <c r="AV592" s="122">
        <v>456439</v>
      </c>
    </row>
    <row r="593" spans="2:48" ht="13">
      <c r="B593" t="s">
        <v>442</v>
      </c>
      <c r="C593" t="s">
        <v>60</v>
      </c>
      <c r="D593" t="s">
        <v>137</v>
      </c>
      <c r="E593" t="s">
        <v>426</v>
      </c>
      <c r="F593">
        <v>1</v>
      </c>
      <c r="G593">
        <v>35</v>
      </c>
      <c r="H593" s="122">
        <v>362</v>
      </c>
      <c r="I593" s="122">
        <v>7076</v>
      </c>
      <c r="J593" s="191">
        <v>2621</v>
      </c>
      <c r="K593" s="122">
        <v>100</v>
      </c>
      <c r="L593">
        <v>0</v>
      </c>
      <c r="M593">
        <v>0</v>
      </c>
      <c r="N593">
        <v>844</v>
      </c>
      <c r="O593">
        <v>313</v>
      </c>
      <c r="P593">
        <v>0</v>
      </c>
      <c r="Q593">
        <v>0</v>
      </c>
      <c r="R593" s="122">
        <v>4626</v>
      </c>
      <c r="S593" s="122">
        <v>4206</v>
      </c>
      <c r="T593">
        <v>0</v>
      </c>
      <c r="U593">
        <v>0</v>
      </c>
      <c r="V593" s="122">
        <v>7139</v>
      </c>
      <c r="W593" s="122">
        <f t="shared" si="18"/>
        <v>7140</v>
      </c>
      <c r="X593" s="122">
        <f t="shared" si="19"/>
        <v>12546</v>
      </c>
      <c r="Y593" s="122"/>
      <c r="AA593" t="s">
        <v>60</v>
      </c>
      <c r="AB593" t="s">
        <v>407</v>
      </c>
      <c r="AC593" t="s">
        <v>407</v>
      </c>
      <c r="AD593" t="s">
        <v>137</v>
      </c>
      <c r="AE593" t="s">
        <v>566</v>
      </c>
      <c r="AF593">
        <v>7</v>
      </c>
      <c r="AG593">
        <v>320</v>
      </c>
      <c r="AH593" s="122">
        <v>2438</v>
      </c>
      <c r="AI593" s="122">
        <v>58831</v>
      </c>
      <c r="AJ593" s="122">
        <v>53483</v>
      </c>
      <c r="AK593">
        <v>79</v>
      </c>
      <c r="AL593" s="122">
        <v>11464</v>
      </c>
      <c r="AM593" s="122">
        <v>10422</v>
      </c>
      <c r="AN593" s="122">
        <v>6573</v>
      </c>
      <c r="AO593" s="122">
        <v>2435</v>
      </c>
      <c r="AP593" s="122">
        <v>3308</v>
      </c>
      <c r="AQ593" s="122">
        <v>1225</v>
      </c>
      <c r="AR593" s="122">
        <v>31144</v>
      </c>
      <c r="AS593" s="122">
        <v>11535</v>
      </c>
      <c r="AT593">
        <v>0</v>
      </c>
      <c r="AU593">
        <v>0</v>
      </c>
      <c r="AV593" s="122">
        <v>79099</v>
      </c>
    </row>
    <row r="594" spans="2:48" ht="13">
      <c r="B594" t="s">
        <v>442</v>
      </c>
      <c r="C594" t="s">
        <v>60</v>
      </c>
      <c r="D594" t="s">
        <v>406</v>
      </c>
      <c r="E594" t="s">
        <v>137</v>
      </c>
      <c r="F594" s="122">
        <v>2</v>
      </c>
      <c r="G594" s="122">
        <v>91</v>
      </c>
      <c r="H594" s="122">
        <v>670</v>
      </c>
      <c r="I594" s="122">
        <v>14819</v>
      </c>
      <c r="J594" s="191">
        <v>13472</v>
      </c>
      <c r="K594" s="122">
        <v>73</v>
      </c>
      <c r="L594">
        <v>0</v>
      </c>
      <c r="M594">
        <v>0</v>
      </c>
      <c r="N594" s="122">
        <v>2157</v>
      </c>
      <c r="O594">
        <v>799</v>
      </c>
      <c r="P594">
        <v>621</v>
      </c>
      <c r="Q594">
        <v>230</v>
      </c>
      <c r="R594" s="122">
        <v>12420</v>
      </c>
      <c r="S594" s="122">
        <v>4600</v>
      </c>
      <c r="T594">
        <v>0</v>
      </c>
      <c r="U594">
        <v>0</v>
      </c>
      <c r="V594" s="122">
        <v>19101</v>
      </c>
      <c r="W594" s="122">
        <f t="shared" si="18"/>
        <v>19101</v>
      </c>
      <c r="X594" s="122">
        <f t="shared" si="19"/>
        <v>30017</v>
      </c>
      <c r="Y594" s="122"/>
      <c r="AA594" t="s">
        <v>60</v>
      </c>
      <c r="AB594" t="s">
        <v>407</v>
      </c>
      <c r="AC594" t="s">
        <v>407</v>
      </c>
      <c r="AD594" t="s">
        <v>407</v>
      </c>
      <c r="AE594" t="s">
        <v>137</v>
      </c>
      <c r="AF594">
        <v>226</v>
      </c>
      <c r="AG594" s="122">
        <v>14671</v>
      </c>
      <c r="AH594" s="122">
        <v>75782</v>
      </c>
      <c r="AI594" s="122">
        <v>2473080</v>
      </c>
      <c r="AJ594" s="122">
        <v>2248255</v>
      </c>
      <c r="AK594">
        <v>73</v>
      </c>
      <c r="AL594" s="122">
        <v>657016</v>
      </c>
      <c r="AM594" s="122">
        <v>597287</v>
      </c>
      <c r="AN594" s="122">
        <v>310687</v>
      </c>
      <c r="AO594" s="122">
        <v>115069</v>
      </c>
      <c r="AP594" s="122">
        <v>103370</v>
      </c>
      <c r="AQ594" s="122">
        <v>38285</v>
      </c>
      <c r="AR594" s="122">
        <v>922811</v>
      </c>
      <c r="AS594" s="122">
        <v>838920</v>
      </c>
      <c r="AT594" s="122">
        <v>477703</v>
      </c>
      <c r="AU594" s="122">
        <v>176927</v>
      </c>
      <c r="AV594" s="122">
        <v>4014743</v>
      </c>
    </row>
    <row r="595" spans="2:48" ht="13">
      <c r="B595" t="s">
        <v>442</v>
      </c>
      <c r="C595" t="s">
        <v>60</v>
      </c>
      <c r="D595" t="s">
        <v>406</v>
      </c>
      <c r="E595" t="s">
        <v>406</v>
      </c>
      <c r="F595" s="122">
        <v>7</v>
      </c>
      <c r="G595" s="122">
        <v>378</v>
      </c>
      <c r="H595" s="122">
        <v>2317</v>
      </c>
      <c r="I595" s="122">
        <v>66692</v>
      </c>
      <c r="J595" s="191">
        <v>60629</v>
      </c>
      <c r="K595" s="122">
        <v>76</v>
      </c>
      <c r="L595" s="122">
        <v>8239</v>
      </c>
      <c r="M595" s="122">
        <v>4250</v>
      </c>
      <c r="N595" s="122">
        <v>7719</v>
      </c>
      <c r="O595" s="122">
        <v>2859</v>
      </c>
      <c r="P595" s="122">
        <v>4347</v>
      </c>
      <c r="Q595" s="122">
        <v>1610</v>
      </c>
      <c r="R595" s="122">
        <v>35510</v>
      </c>
      <c r="S595" s="122">
        <v>32282</v>
      </c>
      <c r="T595" s="122">
        <v>2324</v>
      </c>
      <c r="U595">
        <v>861</v>
      </c>
      <c r="V595" s="122">
        <v>102491</v>
      </c>
      <c r="W595" s="122">
        <f t="shared" si="18"/>
        <v>102491</v>
      </c>
      <c r="X595" s="122">
        <f t="shared" si="19"/>
        <v>124831</v>
      </c>
      <c r="Y595" s="122"/>
      <c r="AA595" t="s">
        <v>60</v>
      </c>
      <c r="AB595" t="s">
        <v>407</v>
      </c>
      <c r="AC595" t="s">
        <v>407</v>
      </c>
      <c r="AD595" t="s">
        <v>407</v>
      </c>
      <c r="AE595" t="s">
        <v>566</v>
      </c>
      <c r="AF595">
        <v>140</v>
      </c>
      <c r="AG595" s="122">
        <v>10241</v>
      </c>
      <c r="AH595" s="122">
        <v>46683</v>
      </c>
      <c r="AI595" s="122">
        <v>1883296</v>
      </c>
      <c r="AJ595" s="122">
        <v>1712087</v>
      </c>
      <c r="AK595">
        <v>78</v>
      </c>
      <c r="AL595" s="122">
        <v>559549</v>
      </c>
      <c r="AM595" s="122">
        <v>508681</v>
      </c>
      <c r="AN595" s="122">
        <v>217528</v>
      </c>
      <c r="AO595" s="122">
        <v>80566</v>
      </c>
      <c r="AP595" s="122">
        <v>67328</v>
      </c>
      <c r="AQ595" s="122">
        <v>24936</v>
      </c>
      <c r="AR595" s="122">
        <v>681773</v>
      </c>
      <c r="AS595" s="122">
        <v>619794</v>
      </c>
      <c r="AT595">
        <v>0</v>
      </c>
      <c r="AU595">
        <v>0</v>
      </c>
      <c r="AV595" s="122">
        <v>2946065</v>
      </c>
    </row>
    <row r="596" spans="2:48" ht="13">
      <c r="B596" t="s">
        <v>442</v>
      </c>
      <c r="C596" t="s">
        <v>60</v>
      </c>
      <c r="D596" t="s">
        <v>427</v>
      </c>
      <c r="E596" t="s">
        <v>137</v>
      </c>
      <c r="F596" s="122">
        <v>1</v>
      </c>
      <c r="G596" s="122">
        <v>36</v>
      </c>
      <c r="H596" s="122">
        <v>335</v>
      </c>
      <c r="I596" s="122">
        <v>5129</v>
      </c>
      <c r="J596" s="191">
        <v>4663</v>
      </c>
      <c r="K596" s="122">
        <v>60</v>
      </c>
      <c r="L596">
        <v>839</v>
      </c>
      <c r="M596">
        <v>311</v>
      </c>
      <c r="N596">
        <v>716</v>
      </c>
      <c r="O596">
        <v>265</v>
      </c>
      <c r="P596">
        <v>0</v>
      </c>
      <c r="Q596">
        <v>0</v>
      </c>
      <c r="R596" s="122">
        <v>5490</v>
      </c>
      <c r="S596" s="122">
        <v>2033</v>
      </c>
      <c r="T596">
        <v>0</v>
      </c>
      <c r="U596">
        <v>0</v>
      </c>
      <c r="V596" s="122">
        <v>7272</v>
      </c>
      <c r="W596" s="122">
        <f t="shared" si="18"/>
        <v>7272</v>
      </c>
      <c r="X596" s="122">
        <f t="shared" si="19"/>
        <v>12174</v>
      </c>
      <c r="Y596" s="122"/>
      <c r="AA596" t="s">
        <v>60</v>
      </c>
      <c r="AB596" t="s">
        <v>407</v>
      </c>
      <c r="AC596" t="s">
        <v>579</v>
      </c>
      <c r="AD596" t="s">
        <v>137</v>
      </c>
      <c r="AE596" t="s">
        <v>566</v>
      </c>
      <c r="AF596">
        <v>6</v>
      </c>
      <c r="AG596">
        <v>469</v>
      </c>
      <c r="AH596" s="122">
        <v>2053</v>
      </c>
      <c r="AI596" s="122">
        <v>82753</v>
      </c>
      <c r="AJ596" s="122">
        <v>75230</v>
      </c>
      <c r="AK596">
        <v>80</v>
      </c>
      <c r="AL596" s="122">
        <v>25094</v>
      </c>
      <c r="AM596" s="122">
        <v>20912</v>
      </c>
      <c r="AN596" s="122">
        <v>8990</v>
      </c>
      <c r="AO596" s="122">
        <v>3329</v>
      </c>
      <c r="AP596" s="122">
        <v>2835</v>
      </c>
      <c r="AQ596" s="122">
        <v>1050</v>
      </c>
      <c r="AR596" s="122">
        <v>37556</v>
      </c>
      <c r="AS596" s="122">
        <v>13909</v>
      </c>
      <c r="AT596">
        <v>0</v>
      </c>
      <c r="AU596">
        <v>0</v>
      </c>
      <c r="AV596" s="122">
        <v>114431</v>
      </c>
    </row>
    <row r="597" spans="2:48" ht="13">
      <c r="B597" t="s">
        <v>442</v>
      </c>
      <c r="C597" t="s">
        <v>60</v>
      </c>
      <c r="D597" t="s">
        <v>407</v>
      </c>
      <c r="E597" t="s">
        <v>137</v>
      </c>
      <c r="F597">
        <v>4</v>
      </c>
      <c r="G597">
        <v>166</v>
      </c>
      <c r="H597" s="122">
        <v>1349</v>
      </c>
      <c r="I597" s="122">
        <v>32248</v>
      </c>
      <c r="J597" s="191">
        <v>29316</v>
      </c>
      <c r="K597" s="122">
        <v>76</v>
      </c>
      <c r="L597" s="122">
        <v>1816</v>
      </c>
      <c r="M597" s="122">
        <v>1263</v>
      </c>
      <c r="N597" s="122">
        <v>3212</v>
      </c>
      <c r="O597" s="122">
        <v>1190</v>
      </c>
      <c r="P597" s="122">
        <v>1539</v>
      </c>
      <c r="Q597">
        <v>570</v>
      </c>
      <c r="R597" s="122">
        <v>16998</v>
      </c>
      <c r="S597" s="122">
        <v>6296</v>
      </c>
      <c r="T597">
        <v>0</v>
      </c>
      <c r="U597">
        <v>0</v>
      </c>
      <c r="V597" s="122">
        <v>38635</v>
      </c>
      <c r="W597" s="122">
        <f t="shared" si="18"/>
        <v>38635</v>
      </c>
      <c r="X597" s="122">
        <f t="shared" si="19"/>
        <v>55813</v>
      </c>
      <c r="Y597" s="122"/>
      <c r="AA597" t="s">
        <v>60</v>
      </c>
      <c r="AB597" t="s">
        <v>407</v>
      </c>
      <c r="AC597" t="s">
        <v>579</v>
      </c>
      <c r="AD597" t="s">
        <v>407</v>
      </c>
      <c r="AE597" t="s">
        <v>137</v>
      </c>
      <c r="AF597">
        <v>169</v>
      </c>
      <c r="AG597" s="122">
        <v>11377</v>
      </c>
      <c r="AH597" s="122">
        <v>56460</v>
      </c>
      <c r="AI597" s="122">
        <v>1974996</v>
      </c>
      <c r="AJ597" s="122">
        <v>1795451</v>
      </c>
      <c r="AK597">
        <v>77</v>
      </c>
      <c r="AL597" s="122">
        <v>557204</v>
      </c>
      <c r="AM597" s="122">
        <v>464337</v>
      </c>
      <c r="AN597" s="122">
        <v>230754</v>
      </c>
      <c r="AO597" s="122">
        <v>85465</v>
      </c>
      <c r="AP597" s="122">
        <v>79367</v>
      </c>
      <c r="AQ597" s="122">
        <v>29395</v>
      </c>
      <c r="AR597" s="122">
        <v>646423</v>
      </c>
      <c r="AS597" s="122">
        <v>587657</v>
      </c>
      <c r="AT597" s="122">
        <v>319916</v>
      </c>
      <c r="AU597" s="122">
        <v>118487</v>
      </c>
      <c r="AV597" s="122">
        <v>3080792</v>
      </c>
    </row>
    <row r="598" spans="2:48" ht="13">
      <c r="B598" t="s">
        <v>442</v>
      </c>
      <c r="C598" t="s">
        <v>60</v>
      </c>
      <c r="D598" t="s">
        <v>407</v>
      </c>
      <c r="E598" t="s">
        <v>407</v>
      </c>
      <c r="F598">
        <v>115</v>
      </c>
      <c r="G598" s="122">
        <v>6756</v>
      </c>
      <c r="H598" s="122">
        <v>39027</v>
      </c>
      <c r="I598" s="122">
        <v>1233800</v>
      </c>
      <c r="J598" s="191">
        <v>1121636</v>
      </c>
      <c r="K598" s="122">
        <v>77</v>
      </c>
      <c r="L598" s="122">
        <v>260740</v>
      </c>
      <c r="M598" s="122">
        <v>217691</v>
      </c>
      <c r="N598" s="122">
        <v>137770</v>
      </c>
      <c r="O598" s="122">
        <v>51026</v>
      </c>
      <c r="P598" s="122">
        <v>55394</v>
      </c>
      <c r="Q598" s="122">
        <v>20516</v>
      </c>
      <c r="R598" s="122">
        <v>498859</v>
      </c>
      <c r="S598" s="122">
        <v>453508</v>
      </c>
      <c r="T598" s="122">
        <v>129446</v>
      </c>
      <c r="U598" s="122">
        <v>47943</v>
      </c>
      <c r="V598" s="122">
        <v>1912321</v>
      </c>
      <c r="W598" s="122">
        <f t="shared" si="18"/>
        <v>1912320</v>
      </c>
      <c r="X598" s="122">
        <f t="shared" si="19"/>
        <v>2316009</v>
      </c>
      <c r="Y598" s="122"/>
      <c r="AA598" t="s">
        <v>60</v>
      </c>
      <c r="AB598" t="s">
        <v>407</v>
      </c>
      <c r="AC598" t="s">
        <v>579</v>
      </c>
      <c r="AD598" t="s">
        <v>407</v>
      </c>
      <c r="AE598" t="s">
        <v>566</v>
      </c>
      <c r="AF598">
        <v>182</v>
      </c>
      <c r="AG598" s="122">
        <v>11012</v>
      </c>
      <c r="AH598" s="122">
        <v>60823</v>
      </c>
      <c r="AI598" s="122">
        <v>2014681</v>
      </c>
      <c r="AJ598" s="122">
        <v>1831528</v>
      </c>
      <c r="AK598">
        <v>81</v>
      </c>
      <c r="AL598" s="122">
        <v>630038</v>
      </c>
      <c r="AM598" s="122">
        <v>525032</v>
      </c>
      <c r="AN598" s="122">
        <v>226910</v>
      </c>
      <c r="AO598" s="122">
        <v>84041</v>
      </c>
      <c r="AP598" s="122">
        <v>86103</v>
      </c>
      <c r="AQ598" s="122">
        <v>31890</v>
      </c>
      <c r="AR598" s="122">
        <v>739747</v>
      </c>
      <c r="AS598" s="122">
        <v>672497</v>
      </c>
      <c r="AT598">
        <v>0</v>
      </c>
      <c r="AU598">
        <v>0</v>
      </c>
      <c r="AV598" s="122">
        <v>3144988</v>
      </c>
    </row>
    <row r="599" spans="2:48" ht="13">
      <c r="B599" t="s">
        <v>442</v>
      </c>
      <c r="C599" t="s">
        <v>60</v>
      </c>
      <c r="D599" t="s">
        <v>556</v>
      </c>
      <c r="E599" t="s">
        <v>137</v>
      </c>
      <c r="F599">
        <v>1</v>
      </c>
      <c r="G599">
        <v>46</v>
      </c>
      <c r="H599">
        <v>322</v>
      </c>
      <c r="I599" s="122">
        <v>6964</v>
      </c>
      <c r="J599" s="191">
        <v>5804</v>
      </c>
      <c r="K599">
        <v>30</v>
      </c>
      <c r="L599" s="122">
        <v>1175</v>
      </c>
      <c r="M599">
        <v>435</v>
      </c>
      <c r="N599" s="122">
        <v>1119</v>
      </c>
      <c r="O599">
        <v>415</v>
      </c>
      <c r="P599">
        <v>0</v>
      </c>
      <c r="Q599">
        <v>0</v>
      </c>
      <c r="R599" s="122">
        <v>5518</v>
      </c>
      <c r="S599" s="122">
        <v>2044</v>
      </c>
      <c r="T599">
        <v>0</v>
      </c>
      <c r="U599">
        <v>0</v>
      </c>
      <c r="V599" s="122">
        <v>8697</v>
      </c>
      <c r="W599" s="122">
        <f t="shared" si="18"/>
        <v>8698</v>
      </c>
      <c r="X599" s="122">
        <f t="shared" si="19"/>
        <v>14776</v>
      </c>
      <c r="Y599" s="122"/>
      <c r="AA599" t="s">
        <v>60</v>
      </c>
      <c r="AB599" t="s">
        <v>407</v>
      </c>
      <c r="AC599" t="s">
        <v>428</v>
      </c>
      <c r="AD599" t="s">
        <v>407</v>
      </c>
      <c r="AE599" t="s">
        <v>137</v>
      </c>
      <c r="AF599">
        <v>3</v>
      </c>
      <c r="AG599">
        <v>258</v>
      </c>
      <c r="AH599" s="122">
        <v>1033</v>
      </c>
      <c r="AI599" s="122">
        <v>49488</v>
      </c>
      <c r="AJ599" s="122">
        <v>44989</v>
      </c>
      <c r="AK599">
        <v>71</v>
      </c>
      <c r="AL599" s="122">
        <v>8818</v>
      </c>
      <c r="AM599" s="122">
        <v>8016</v>
      </c>
      <c r="AN599" s="122">
        <v>5740</v>
      </c>
      <c r="AO599" s="122">
        <v>2126</v>
      </c>
      <c r="AP599" s="122">
        <v>1418</v>
      </c>
      <c r="AQ599">
        <v>525</v>
      </c>
      <c r="AR599" s="122">
        <v>17043</v>
      </c>
      <c r="AS599" s="122">
        <v>15494</v>
      </c>
      <c r="AT599" s="122">
        <v>6349</v>
      </c>
      <c r="AU599" s="122">
        <v>2351</v>
      </c>
      <c r="AV599" s="122">
        <v>73501</v>
      </c>
    </row>
    <row r="600" spans="2:48" ht="13">
      <c r="B600" t="s">
        <v>442</v>
      </c>
      <c r="C600" t="s">
        <v>62</v>
      </c>
      <c r="F600" s="122">
        <v>42</v>
      </c>
      <c r="G600" s="122">
        <v>1905</v>
      </c>
      <c r="H600" s="122">
        <v>17237</v>
      </c>
      <c r="J600" s="191">
        <v>0</v>
      </c>
      <c r="K600" s="122"/>
      <c r="M600">
        <v>0</v>
      </c>
      <c r="N600" s="122">
        <v>38548</v>
      </c>
      <c r="O600" s="122">
        <v>14277</v>
      </c>
      <c r="P600" s="122">
        <v>10125</v>
      </c>
      <c r="Q600" s="122">
        <v>3750</v>
      </c>
      <c r="S600">
        <v>0</v>
      </c>
      <c r="T600" s="122">
        <v>7272</v>
      </c>
      <c r="U600" s="122">
        <v>2693</v>
      </c>
      <c r="V600" s="122">
        <v>20721</v>
      </c>
      <c r="W600" s="122">
        <f t="shared" si="18"/>
        <v>20720</v>
      </c>
      <c r="X600" s="122">
        <f t="shared" si="19"/>
        <v>55945</v>
      </c>
      <c r="Y600" s="122"/>
      <c r="AA600" t="s">
        <v>60</v>
      </c>
      <c r="AB600" t="s">
        <v>407</v>
      </c>
      <c r="AC600" t="s">
        <v>428</v>
      </c>
      <c r="AD600" t="s">
        <v>407</v>
      </c>
      <c r="AE600" t="s">
        <v>566</v>
      </c>
      <c r="AF600">
        <v>5</v>
      </c>
      <c r="AG600">
        <v>363</v>
      </c>
      <c r="AH600" s="122">
        <v>1731</v>
      </c>
      <c r="AI600" s="122">
        <v>75469</v>
      </c>
      <c r="AJ600" s="122">
        <v>68608</v>
      </c>
      <c r="AK600">
        <v>82</v>
      </c>
      <c r="AL600" s="122">
        <v>20216</v>
      </c>
      <c r="AM600" s="122">
        <v>18378</v>
      </c>
      <c r="AN600" s="122">
        <v>7323</v>
      </c>
      <c r="AO600" s="122">
        <v>2712</v>
      </c>
      <c r="AP600" s="122">
        <v>2363</v>
      </c>
      <c r="AQ600">
        <v>875</v>
      </c>
      <c r="AR600" s="122">
        <v>21616</v>
      </c>
      <c r="AS600" s="122">
        <v>19651</v>
      </c>
      <c r="AT600">
        <v>0</v>
      </c>
      <c r="AU600">
        <v>0</v>
      </c>
      <c r="AV600" s="122">
        <v>110225</v>
      </c>
    </row>
    <row r="601" spans="2:48" ht="13">
      <c r="B601" t="s">
        <v>442</v>
      </c>
      <c r="C601" t="s">
        <v>62</v>
      </c>
      <c r="D601" t="s">
        <v>137</v>
      </c>
      <c r="E601" t="s">
        <v>137</v>
      </c>
      <c r="F601">
        <v>161</v>
      </c>
      <c r="G601" s="122">
        <v>7657</v>
      </c>
      <c r="H601" s="122">
        <v>67046</v>
      </c>
      <c r="I601" s="122">
        <v>1794343</v>
      </c>
      <c r="J601" s="191">
        <v>664572</v>
      </c>
      <c r="K601" s="122">
        <v>100</v>
      </c>
      <c r="L601" s="122">
        <v>273100</v>
      </c>
      <c r="M601" s="122">
        <v>186228</v>
      </c>
      <c r="N601" s="122">
        <v>156589</v>
      </c>
      <c r="O601" s="122">
        <v>57996</v>
      </c>
      <c r="P601" s="122">
        <v>5284</v>
      </c>
      <c r="Q601" s="122">
        <v>1957</v>
      </c>
      <c r="R601" s="122">
        <v>966088</v>
      </c>
      <c r="S601" s="122">
        <v>357810</v>
      </c>
      <c r="T601" s="122">
        <v>5275</v>
      </c>
      <c r="U601" s="122">
        <v>1954</v>
      </c>
      <c r="V601" s="122">
        <v>1270517</v>
      </c>
      <c r="W601" s="122">
        <f t="shared" si="18"/>
        <v>1270517</v>
      </c>
      <c r="X601" s="122">
        <f t="shared" si="19"/>
        <v>3200679</v>
      </c>
      <c r="Y601" s="122"/>
      <c r="AA601" t="s">
        <v>60</v>
      </c>
      <c r="AB601" t="s">
        <v>407</v>
      </c>
      <c r="AC601" t="s">
        <v>426</v>
      </c>
      <c r="AD601" t="s">
        <v>137</v>
      </c>
      <c r="AE601" t="s">
        <v>566</v>
      </c>
      <c r="AF601">
        <v>6</v>
      </c>
      <c r="AG601">
        <v>275</v>
      </c>
      <c r="AH601" s="122">
        <v>2077</v>
      </c>
      <c r="AI601" s="122">
        <v>46787</v>
      </c>
      <c r="AJ601" s="122">
        <v>42534</v>
      </c>
      <c r="AK601">
        <v>79</v>
      </c>
      <c r="AL601" s="122">
        <v>13007</v>
      </c>
      <c r="AM601" s="122">
        <v>11824</v>
      </c>
      <c r="AN601" s="122">
        <v>5051</v>
      </c>
      <c r="AO601" s="122">
        <v>1871</v>
      </c>
      <c r="AP601" s="122">
        <v>2835</v>
      </c>
      <c r="AQ601" s="122">
        <v>1050</v>
      </c>
      <c r="AR601" s="122">
        <v>27328</v>
      </c>
      <c r="AS601" s="122">
        <v>10121</v>
      </c>
      <c r="AT601">
        <v>0</v>
      </c>
      <c r="AU601">
        <v>0</v>
      </c>
      <c r="AV601" s="122">
        <v>67400</v>
      </c>
    </row>
    <row r="602" spans="2:48" ht="13">
      <c r="B602" t="s">
        <v>442</v>
      </c>
      <c r="C602" t="s">
        <v>62</v>
      </c>
      <c r="D602" t="s">
        <v>406</v>
      </c>
      <c r="E602" t="s">
        <v>137</v>
      </c>
      <c r="F602" s="122">
        <v>5</v>
      </c>
      <c r="G602" s="122">
        <v>199</v>
      </c>
      <c r="H602" s="122">
        <v>2079</v>
      </c>
      <c r="I602" s="122">
        <v>57192</v>
      </c>
      <c r="J602" s="191">
        <v>51992</v>
      </c>
      <c r="K602" s="122">
        <v>77</v>
      </c>
      <c r="L602">
        <v>0</v>
      </c>
      <c r="M602">
        <v>0</v>
      </c>
      <c r="N602" s="122">
        <v>3414</v>
      </c>
      <c r="O602" s="122">
        <v>1264</v>
      </c>
      <c r="P602" s="122">
        <v>2484</v>
      </c>
      <c r="Q602">
        <v>920</v>
      </c>
      <c r="R602" s="122">
        <v>19298</v>
      </c>
      <c r="S602" s="122">
        <v>7147</v>
      </c>
      <c r="T602">
        <v>0</v>
      </c>
      <c r="U602">
        <v>0</v>
      </c>
      <c r="V602" s="122">
        <v>61324</v>
      </c>
      <c r="W602" s="122">
        <f t="shared" si="18"/>
        <v>61323</v>
      </c>
      <c r="X602" s="122">
        <f t="shared" si="19"/>
        <v>82388</v>
      </c>
      <c r="Y602" s="122"/>
      <c r="AA602" t="s">
        <v>60</v>
      </c>
      <c r="AB602" t="s">
        <v>407</v>
      </c>
      <c r="AC602" t="s">
        <v>426</v>
      </c>
      <c r="AD602" t="s">
        <v>407</v>
      </c>
      <c r="AE602" t="s">
        <v>137</v>
      </c>
      <c r="AF602">
        <v>79</v>
      </c>
      <c r="AG602" s="122">
        <v>5062</v>
      </c>
      <c r="AH602" s="122">
        <v>26521</v>
      </c>
      <c r="AI602" s="122">
        <v>845175</v>
      </c>
      <c r="AJ602" s="122">
        <v>768341</v>
      </c>
      <c r="AK602">
        <v>75</v>
      </c>
      <c r="AL602" s="122">
        <v>227460</v>
      </c>
      <c r="AM602" s="122">
        <v>206781</v>
      </c>
      <c r="AN602" s="122">
        <v>108067</v>
      </c>
      <c r="AO602" s="122">
        <v>40025</v>
      </c>
      <c r="AP602" s="122">
        <v>36842</v>
      </c>
      <c r="AQ602" s="122">
        <v>13645</v>
      </c>
      <c r="AR602" s="122">
        <v>318206</v>
      </c>
      <c r="AS602" s="122">
        <v>289278</v>
      </c>
      <c r="AT602" s="122">
        <v>159646</v>
      </c>
      <c r="AU602" s="122">
        <v>59128</v>
      </c>
      <c r="AV602" s="122">
        <v>1377199</v>
      </c>
    </row>
    <row r="603" spans="2:48" ht="13">
      <c r="B603" t="s">
        <v>442</v>
      </c>
      <c r="C603" t="s">
        <v>62</v>
      </c>
      <c r="D603" t="s">
        <v>406</v>
      </c>
      <c r="E603" t="s">
        <v>406</v>
      </c>
      <c r="F603">
        <v>7</v>
      </c>
      <c r="G603">
        <v>336</v>
      </c>
      <c r="H603" s="122">
        <v>2862</v>
      </c>
      <c r="I603" s="122">
        <v>82681</v>
      </c>
      <c r="J603" s="191">
        <v>75165</v>
      </c>
      <c r="K603" s="122">
        <v>78</v>
      </c>
      <c r="L603" s="122">
        <v>10742</v>
      </c>
      <c r="M603" s="122">
        <v>3979</v>
      </c>
      <c r="N603" s="122">
        <v>7118</v>
      </c>
      <c r="O603" s="122">
        <v>2636</v>
      </c>
      <c r="P603" s="122">
        <v>4347</v>
      </c>
      <c r="Q603" s="122">
        <v>1610</v>
      </c>
      <c r="R603" s="122">
        <v>31537</v>
      </c>
      <c r="S603" s="122">
        <v>28670</v>
      </c>
      <c r="T603" s="122">
        <v>2188</v>
      </c>
      <c r="U603">
        <v>810</v>
      </c>
      <c r="V603" s="122">
        <v>112870</v>
      </c>
      <c r="W603" s="122">
        <f t="shared" si="18"/>
        <v>112870</v>
      </c>
      <c r="X603" s="122">
        <f t="shared" si="19"/>
        <v>138613</v>
      </c>
      <c r="Y603" s="122"/>
      <c r="AA603" t="s">
        <v>60</v>
      </c>
      <c r="AB603" t="s">
        <v>407</v>
      </c>
      <c r="AC603" t="s">
        <v>426</v>
      </c>
      <c r="AD603" t="s">
        <v>407</v>
      </c>
      <c r="AE603" t="s">
        <v>566</v>
      </c>
      <c r="AF603">
        <v>85</v>
      </c>
      <c r="AG603" s="122">
        <v>5105</v>
      </c>
      <c r="AH603" s="122">
        <v>28735</v>
      </c>
      <c r="AI603" s="122">
        <v>957514</v>
      </c>
      <c r="AJ603" s="122">
        <v>870467</v>
      </c>
      <c r="AK603">
        <v>80</v>
      </c>
      <c r="AL603" s="122">
        <v>261792</v>
      </c>
      <c r="AM603" s="122">
        <v>237993</v>
      </c>
      <c r="AN603" s="122">
        <v>111521</v>
      </c>
      <c r="AO603" s="122">
        <v>41304</v>
      </c>
      <c r="AP603" s="122">
        <v>40163</v>
      </c>
      <c r="AQ603" s="122">
        <v>14875</v>
      </c>
      <c r="AR603" s="122">
        <v>351883</v>
      </c>
      <c r="AS603" s="122">
        <v>319893</v>
      </c>
      <c r="AT603">
        <v>0</v>
      </c>
      <c r="AU603">
        <v>0</v>
      </c>
      <c r="AV603" s="122">
        <v>1484533</v>
      </c>
    </row>
    <row r="604" spans="2:48" ht="13">
      <c r="B604" t="s">
        <v>442</v>
      </c>
      <c r="C604" t="s">
        <v>62</v>
      </c>
      <c r="D604" t="s">
        <v>407</v>
      </c>
      <c r="E604" t="s">
        <v>137</v>
      </c>
      <c r="F604">
        <v>4</v>
      </c>
      <c r="G604" s="122">
        <v>186</v>
      </c>
      <c r="H604" s="122">
        <v>1674</v>
      </c>
      <c r="I604" s="122">
        <v>53978</v>
      </c>
      <c r="J604" s="191">
        <v>49071</v>
      </c>
      <c r="K604" s="122">
        <v>72</v>
      </c>
      <c r="L604">
        <v>814</v>
      </c>
      <c r="M604">
        <v>740</v>
      </c>
      <c r="N604" s="122">
        <v>3072</v>
      </c>
      <c r="O604" s="122">
        <v>1138</v>
      </c>
      <c r="P604" s="122">
        <v>1769</v>
      </c>
      <c r="Q604">
        <v>655</v>
      </c>
      <c r="R604" s="122">
        <v>17483</v>
      </c>
      <c r="S604" s="122">
        <v>6475</v>
      </c>
      <c r="T604">
        <v>0</v>
      </c>
      <c r="U604">
        <v>0</v>
      </c>
      <c r="V604" s="122">
        <v>58079</v>
      </c>
      <c r="W604" s="122">
        <f t="shared" si="18"/>
        <v>58079</v>
      </c>
      <c r="X604" s="122">
        <f t="shared" si="19"/>
        <v>77116</v>
      </c>
      <c r="Y604" s="122"/>
      <c r="AA604" t="s">
        <v>60</v>
      </c>
      <c r="AB604" t="s">
        <v>407</v>
      </c>
      <c r="AC604" t="s">
        <v>566</v>
      </c>
      <c r="AD604" t="s">
        <v>137</v>
      </c>
      <c r="AE604" t="s">
        <v>566</v>
      </c>
      <c r="AF604">
        <v>68</v>
      </c>
      <c r="AG604" s="122">
        <v>3074</v>
      </c>
      <c r="AH604" s="122">
        <v>22983</v>
      </c>
      <c r="AI604" s="122">
        <v>658581</v>
      </c>
      <c r="AJ604" s="122">
        <v>598710</v>
      </c>
      <c r="AK604">
        <v>79</v>
      </c>
      <c r="AL604">
        <v>0</v>
      </c>
      <c r="AM604">
        <v>0</v>
      </c>
      <c r="AN604" s="122">
        <v>61151</v>
      </c>
      <c r="AO604" s="122">
        <v>22648</v>
      </c>
      <c r="AP604" s="122">
        <v>29646</v>
      </c>
      <c r="AQ604" s="122">
        <v>10980</v>
      </c>
      <c r="AR604" s="122">
        <v>296078</v>
      </c>
      <c r="AS604" s="122">
        <v>109658</v>
      </c>
      <c r="AT604">
        <v>0</v>
      </c>
      <c r="AU604">
        <v>0</v>
      </c>
      <c r="AV604" s="122">
        <v>741997</v>
      </c>
    </row>
    <row r="605" spans="2:48" ht="13">
      <c r="B605" t="s">
        <v>442</v>
      </c>
      <c r="C605" t="s">
        <v>62</v>
      </c>
      <c r="D605" t="s">
        <v>407</v>
      </c>
      <c r="E605" t="s">
        <v>407</v>
      </c>
      <c r="F605">
        <v>64</v>
      </c>
      <c r="G605" s="122">
        <v>3600</v>
      </c>
      <c r="H605" s="122">
        <v>26713</v>
      </c>
      <c r="I605" s="122">
        <v>899818</v>
      </c>
      <c r="J605" s="191">
        <v>818017</v>
      </c>
      <c r="K605" s="122">
        <v>75</v>
      </c>
      <c r="L605" s="122">
        <v>140112</v>
      </c>
      <c r="M605" s="122">
        <v>116896</v>
      </c>
      <c r="N605" s="122">
        <v>74978</v>
      </c>
      <c r="O605" s="122">
        <v>27770</v>
      </c>
      <c r="P605" s="122">
        <v>30227</v>
      </c>
      <c r="Q605" s="122">
        <v>11195</v>
      </c>
      <c r="R605" s="122">
        <v>269543</v>
      </c>
      <c r="S605" s="122">
        <v>245039</v>
      </c>
      <c r="T605" s="122">
        <v>80479</v>
      </c>
      <c r="U605" s="122">
        <v>29807</v>
      </c>
      <c r="V605" s="122">
        <v>1248723</v>
      </c>
      <c r="W605" s="122">
        <f t="shared" si="18"/>
        <v>1248724</v>
      </c>
      <c r="X605" s="122">
        <f t="shared" si="19"/>
        <v>1495157</v>
      </c>
      <c r="Y605" s="122"/>
      <c r="AA605" t="s">
        <v>60</v>
      </c>
      <c r="AB605" t="s">
        <v>407</v>
      </c>
      <c r="AC605" t="s">
        <v>566</v>
      </c>
      <c r="AD605" t="s">
        <v>407</v>
      </c>
      <c r="AE605" t="s">
        <v>137</v>
      </c>
      <c r="AF605">
        <v>275</v>
      </c>
      <c r="AG605" s="122">
        <v>14862</v>
      </c>
      <c r="AH605" s="122">
        <v>94169</v>
      </c>
      <c r="AI605" s="122">
        <v>3195613</v>
      </c>
      <c r="AJ605" s="122">
        <v>2905103</v>
      </c>
      <c r="AK605">
        <v>76</v>
      </c>
      <c r="AL605">
        <v>0</v>
      </c>
      <c r="AM605" s="122">
        <v>11325</v>
      </c>
      <c r="AN605" s="122">
        <v>317365</v>
      </c>
      <c r="AO605" s="122">
        <v>117542</v>
      </c>
      <c r="AP605" s="122">
        <v>129336</v>
      </c>
      <c r="AQ605" s="122">
        <v>47902</v>
      </c>
      <c r="AR605" s="122">
        <v>983256</v>
      </c>
      <c r="AS605" s="122">
        <v>893869</v>
      </c>
      <c r="AT605" s="122">
        <v>499161</v>
      </c>
      <c r="AU605" s="122">
        <v>184874</v>
      </c>
      <c r="AV605" s="122">
        <v>4160615</v>
      </c>
    </row>
    <row r="606" spans="2:48" ht="13">
      <c r="B606" t="s">
        <v>442</v>
      </c>
      <c r="C606" t="s">
        <v>62</v>
      </c>
      <c r="D606" t="s">
        <v>556</v>
      </c>
      <c r="E606" t="s">
        <v>137</v>
      </c>
      <c r="F606" s="122">
        <v>1</v>
      </c>
      <c r="G606" s="122">
        <v>46</v>
      </c>
      <c r="H606" s="122">
        <v>389</v>
      </c>
      <c r="I606" s="122">
        <v>9392</v>
      </c>
      <c r="J606" s="191">
        <v>7826</v>
      </c>
      <c r="K606" s="122">
        <v>55</v>
      </c>
      <c r="L606" s="122">
        <v>1913</v>
      </c>
      <c r="M606" s="122">
        <v>1594</v>
      </c>
      <c r="N606">
        <v>806</v>
      </c>
      <c r="O606">
        <v>298</v>
      </c>
      <c r="P606">
        <v>351</v>
      </c>
      <c r="Q606">
        <v>130</v>
      </c>
      <c r="R606" s="122">
        <v>5532</v>
      </c>
      <c r="S606" s="122">
        <v>2049</v>
      </c>
      <c r="T606">
        <v>0</v>
      </c>
      <c r="U606">
        <v>0</v>
      </c>
      <c r="V606" s="122">
        <v>11898</v>
      </c>
      <c r="W606" s="122">
        <f t="shared" si="18"/>
        <v>11897</v>
      </c>
      <c r="X606" s="122">
        <f t="shared" si="19"/>
        <v>17994</v>
      </c>
      <c r="Y606" s="122"/>
      <c r="AA606" t="s">
        <v>60</v>
      </c>
      <c r="AB606" t="s">
        <v>407</v>
      </c>
      <c r="AC606" t="s">
        <v>566</v>
      </c>
      <c r="AD606" t="s">
        <v>407</v>
      </c>
      <c r="AE606" t="s">
        <v>566</v>
      </c>
      <c r="AF606">
        <v>351</v>
      </c>
      <c r="AG606" s="122">
        <v>17822</v>
      </c>
      <c r="AH606" s="122">
        <v>117227</v>
      </c>
      <c r="AI606" s="122">
        <v>4069315</v>
      </c>
      <c r="AJ606" s="122">
        <v>3699378</v>
      </c>
      <c r="AK606">
        <v>79</v>
      </c>
      <c r="AL606">
        <v>0</v>
      </c>
      <c r="AM606" s="122">
        <v>9518</v>
      </c>
      <c r="AN606" s="122">
        <v>369786</v>
      </c>
      <c r="AO606" s="122">
        <v>136958</v>
      </c>
      <c r="AP606" s="122">
        <v>167058</v>
      </c>
      <c r="AQ606" s="122">
        <v>61873</v>
      </c>
      <c r="AR606" s="122">
        <v>1373529</v>
      </c>
      <c r="AS606" s="122">
        <v>1248663</v>
      </c>
      <c r="AT606">
        <v>0</v>
      </c>
      <c r="AU606">
        <v>0</v>
      </c>
      <c r="AV606" s="122">
        <v>5156390</v>
      </c>
    </row>
    <row r="607" spans="2:48" ht="13">
      <c r="B607" t="s">
        <v>442</v>
      </c>
      <c r="C607" t="s">
        <v>64</v>
      </c>
      <c r="F607" s="122">
        <v>26</v>
      </c>
      <c r="G607" s="122">
        <v>1198</v>
      </c>
      <c r="H607" s="122">
        <v>14567</v>
      </c>
      <c r="J607" s="191">
        <v>0</v>
      </c>
      <c r="K607" s="122"/>
      <c r="M607">
        <v>0</v>
      </c>
      <c r="N607" s="122">
        <v>23643</v>
      </c>
      <c r="O607" s="122">
        <v>8757</v>
      </c>
      <c r="P607" s="122">
        <v>3308</v>
      </c>
      <c r="Q607" s="122">
        <v>1225</v>
      </c>
      <c r="S607">
        <v>0</v>
      </c>
      <c r="T607" s="122">
        <v>18733</v>
      </c>
      <c r="U607" s="122">
        <v>6938</v>
      </c>
      <c r="V607" s="122">
        <v>16920</v>
      </c>
      <c r="W607" s="122">
        <f t="shared" si="18"/>
        <v>16920</v>
      </c>
      <c r="X607" s="122">
        <f t="shared" si="19"/>
        <v>45684</v>
      </c>
      <c r="Y607" s="122"/>
      <c r="AA607" t="s">
        <v>60</v>
      </c>
      <c r="AB607" t="s">
        <v>407</v>
      </c>
      <c r="AC607" t="s">
        <v>433</v>
      </c>
      <c r="AD607" t="s">
        <v>407</v>
      </c>
      <c r="AE607" t="s">
        <v>137</v>
      </c>
      <c r="AF607">
        <v>1</v>
      </c>
      <c r="AG607">
        <v>96</v>
      </c>
      <c r="AH607">
        <v>314</v>
      </c>
      <c r="AI607" s="122">
        <v>19589</v>
      </c>
      <c r="AJ607" s="122">
        <v>17808</v>
      </c>
      <c r="AK607">
        <v>79</v>
      </c>
      <c r="AL607">
        <v>0</v>
      </c>
      <c r="AM607">
        <v>0</v>
      </c>
      <c r="AN607" s="122">
        <v>2338</v>
      </c>
      <c r="AO607">
        <v>866</v>
      </c>
      <c r="AP607">
        <v>473</v>
      </c>
      <c r="AQ607">
        <v>175</v>
      </c>
      <c r="AR607" s="122">
        <v>4590</v>
      </c>
      <c r="AS607" s="122">
        <v>4173</v>
      </c>
      <c r="AT607" s="122">
        <v>3088</v>
      </c>
      <c r="AU607" s="122">
        <v>1144</v>
      </c>
      <c r="AV607" s="122">
        <v>24165</v>
      </c>
    </row>
    <row r="608" spans="2:48" ht="13">
      <c r="B608" t="s">
        <v>442</v>
      </c>
      <c r="C608" t="s">
        <v>64</v>
      </c>
      <c r="D608" t="s">
        <v>137</v>
      </c>
      <c r="E608" t="s">
        <v>137</v>
      </c>
      <c r="F608">
        <v>260</v>
      </c>
      <c r="G608" s="122">
        <v>11576</v>
      </c>
      <c r="H608" s="122">
        <v>155052</v>
      </c>
      <c r="I608" s="122">
        <v>4589483</v>
      </c>
      <c r="J608" s="191">
        <v>1699809</v>
      </c>
      <c r="K608" s="122">
        <v>100</v>
      </c>
      <c r="L608" s="122">
        <v>585804</v>
      </c>
      <c r="M608" s="122">
        <v>361367</v>
      </c>
      <c r="N608" s="122">
        <v>242916</v>
      </c>
      <c r="O608" s="122">
        <v>89969</v>
      </c>
      <c r="P608" s="122">
        <v>3510</v>
      </c>
      <c r="Q608" s="122">
        <v>1300</v>
      </c>
      <c r="R608" s="122">
        <v>1452276</v>
      </c>
      <c r="S608" s="122">
        <v>537880</v>
      </c>
      <c r="T608">
        <v>0</v>
      </c>
      <c r="U608">
        <v>0</v>
      </c>
      <c r="V608" s="122">
        <v>2690324</v>
      </c>
      <c r="W608" s="122">
        <f t="shared" si="18"/>
        <v>2690325</v>
      </c>
      <c r="X608" s="122">
        <f t="shared" si="19"/>
        <v>6873989</v>
      </c>
      <c r="Y608" s="122"/>
      <c r="AA608" t="s">
        <v>60</v>
      </c>
      <c r="AB608" t="s">
        <v>407</v>
      </c>
      <c r="AC608" t="s">
        <v>433</v>
      </c>
      <c r="AD608" t="s">
        <v>407</v>
      </c>
      <c r="AE608" t="s">
        <v>566</v>
      </c>
      <c r="AF608">
        <v>7</v>
      </c>
      <c r="AG608">
        <v>551</v>
      </c>
      <c r="AH608" s="122">
        <v>2370</v>
      </c>
      <c r="AI608" s="122">
        <v>108692</v>
      </c>
      <c r="AJ608" s="122">
        <v>98810</v>
      </c>
      <c r="AK608">
        <v>84</v>
      </c>
      <c r="AL608" s="122">
        <v>32981</v>
      </c>
      <c r="AM608" s="122">
        <v>29983</v>
      </c>
      <c r="AN608" s="122">
        <v>11429</v>
      </c>
      <c r="AO608" s="122">
        <v>4233</v>
      </c>
      <c r="AP608" s="122">
        <v>3308</v>
      </c>
      <c r="AQ608" s="122">
        <v>1225</v>
      </c>
      <c r="AR608" s="122">
        <v>29031</v>
      </c>
      <c r="AS608" s="122">
        <v>26392</v>
      </c>
      <c r="AT608">
        <v>0</v>
      </c>
      <c r="AU608">
        <v>0</v>
      </c>
      <c r="AV608" s="122">
        <v>160643</v>
      </c>
    </row>
    <row r="609" spans="2:48" ht="13">
      <c r="B609" t="s">
        <v>442</v>
      </c>
      <c r="C609" t="s">
        <v>64</v>
      </c>
      <c r="D609" t="s">
        <v>406</v>
      </c>
      <c r="E609" t="s">
        <v>137</v>
      </c>
      <c r="F609">
        <v>9</v>
      </c>
      <c r="G609" s="122">
        <v>389</v>
      </c>
      <c r="H609" s="122">
        <v>4731</v>
      </c>
      <c r="I609" s="122">
        <v>117863</v>
      </c>
      <c r="J609" s="191">
        <v>107149</v>
      </c>
      <c r="K609" s="122">
        <v>79</v>
      </c>
      <c r="L609" s="122">
        <v>8657</v>
      </c>
      <c r="M609" s="122">
        <v>7214</v>
      </c>
      <c r="N609" s="122">
        <v>7998</v>
      </c>
      <c r="O609" s="122">
        <v>2962</v>
      </c>
      <c r="P609" s="122">
        <v>5589</v>
      </c>
      <c r="Q609" s="122">
        <v>2070</v>
      </c>
      <c r="R609" s="122">
        <v>63236</v>
      </c>
      <c r="S609" s="122">
        <v>23421</v>
      </c>
      <c r="T609">
        <v>0</v>
      </c>
      <c r="U609">
        <v>0</v>
      </c>
      <c r="V609" s="122">
        <v>142815</v>
      </c>
      <c r="W609" s="122">
        <f t="shared" si="18"/>
        <v>142816</v>
      </c>
      <c r="X609" s="122">
        <f t="shared" si="19"/>
        <v>203343</v>
      </c>
      <c r="Y609" s="122"/>
      <c r="AA609" t="s">
        <v>60</v>
      </c>
      <c r="AB609" t="s">
        <v>579</v>
      </c>
      <c r="AC609" t="s">
        <v>137</v>
      </c>
      <c r="AD609" t="s">
        <v>137</v>
      </c>
      <c r="AE609" t="s">
        <v>566</v>
      </c>
      <c r="AF609">
        <v>4</v>
      </c>
      <c r="AG609">
        <v>191</v>
      </c>
      <c r="AH609" s="122">
        <v>1411</v>
      </c>
      <c r="AI609" s="122">
        <v>37534</v>
      </c>
      <c r="AJ609" s="122">
        <v>31278</v>
      </c>
      <c r="AK609">
        <v>36</v>
      </c>
      <c r="AL609" s="122">
        <v>4224</v>
      </c>
      <c r="AM609" s="122">
        <v>1565</v>
      </c>
      <c r="AN609" s="122">
        <v>3246</v>
      </c>
      <c r="AO609" s="122">
        <v>1202</v>
      </c>
      <c r="AP609">
        <v>351</v>
      </c>
      <c r="AQ609">
        <v>130</v>
      </c>
      <c r="AR609" s="122">
        <v>22121</v>
      </c>
      <c r="AS609" s="122">
        <v>8193</v>
      </c>
      <c r="AT609">
        <v>0</v>
      </c>
      <c r="AU609">
        <v>0</v>
      </c>
      <c r="AV609" s="122">
        <v>42368</v>
      </c>
    </row>
    <row r="610" spans="2:48" ht="13">
      <c r="B610" t="s">
        <v>442</v>
      </c>
      <c r="C610" t="s">
        <v>64</v>
      </c>
      <c r="D610" t="s">
        <v>406</v>
      </c>
      <c r="E610" t="s">
        <v>406</v>
      </c>
      <c r="F610">
        <v>3</v>
      </c>
      <c r="G610" s="122">
        <v>133</v>
      </c>
      <c r="H610" s="122">
        <v>1521</v>
      </c>
      <c r="I610" s="122">
        <v>39808</v>
      </c>
      <c r="J610" s="191">
        <v>36190</v>
      </c>
      <c r="K610" s="122">
        <v>85</v>
      </c>
      <c r="L610" s="122">
        <v>10369</v>
      </c>
      <c r="M610" s="122">
        <v>6630</v>
      </c>
      <c r="N610" s="122">
        <v>2203</v>
      </c>
      <c r="O610">
        <v>816</v>
      </c>
      <c r="P610" s="122">
        <v>1863</v>
      </c>
      <c r="Q610">
        <v>690</v>
      </c>
      <c r="R610" s="122">
        <v>9605</v>
      </c>
      <c r="S610" s="122">
        <v>8732</v>
      </c>
      <c r="T610" s="122">
        <v>2644</v>
      </c>
      <c r="U610">
        <v>979</v>
      </c>
      <c r="V610" s="122">
        <v>54037</v>
      </c>
      <c r="W610" s="122">
        <f t="shared" si="18"/>
        <v>54037</v>
      </c>
      <c r="X610" s="122">
        <f t="shared" si="19"/>
        <v>66492</v>
      </c>
      <c r="Y610" s="122"/>
      <c r="AA610" t="s">
        <v>60</v>
      </c>
      <c r="AB610" t="s">
        <v>579</v>
      </c>
      <c r="AC610" t="s">
        <v>137</v>
      </c>
      <c r="AD610" t="s">
        <v>579</v>
      </c>
      <c r="AE610" t="s">
        <v>137</v>
      </c>
      <c r="AF610">
        <v>29</v>
      </c>
      <c r="AG610" s="122">
        <v>1383</v>
      </c>
      <c r="AH610" s="122">
        <v>9733</v>
      </c>
      <c r="AI610" s="122">
        <v>211949</v>
      </c>
      <c r="AJ610" s="122">
        <v>176625</v>
      </c>
      <c r="AK610">
        <v>60</v>
      </c>
      <c r="AL610" s="122">
        <v>33491</v>
      </c>
      <c r="AM610" s="122">
        <v>12404</v>
      </c>
      <c r="AN610" s="122">
        <v>26988</v>
      </c>
      <c r="AO610" s="122">
        <v>9995</v>
      </c>
      <c r="AP610" s="122">
        <v>10179</v>
      </c>
      <c r="AQ610" s="122">
        <v>3770</v>
      </c>
      <c r="AR610" s="122">
        <v>128753</v>
      </c>
      <c r="AS610" s="122">
        <v>107294</v>
      </c>
      <c r="AT610" s="122">
        <v>52404</v>
      </c>
      <c r="AU610" s="122">
        <v>19409</v>
      </c>
      <c r="AV610" s="122">
        <v>329498</v>
      </c>
    </row>
    <row r="611" spans="2:48" ht="13">
      <c r="B611" t="s">
        <v>442</v>
      </c>
      <c r="C611" t="s">
        <v>64</v>
      </c>
      <c r="D611" t="s">
        <v>407</v>
      </c>
      <c r="E611" t="s">
        <v>137</v>
      </c>
      <c r="F611">
        <v>9</v>
      </c>
      <c r="G611" s="122">
        <v>365</v>
      </c>
      <c r="H611" s="122">
        <v>4608</v>
      </c>
      <c r="I611" s="122">
        <v>112471</v>
      </c>
      <c r="J611" s="191">
        <v>102246</v>
      </c>
      <c r="K611" s="122">
        <v>75</v>
      </c>
      <c r="L611" s="122">
        <v>12388</v>
      </c>
      <c r="M611" s="122">
        <v>8790</v>
      </c>
      <c r="N611" s="122">
        <v>6735</v>
      </c>
      <c r="O611" s="122">
        <v>2494</v>
      </c>
      <c r="P611" s="122">
        <v>3902</v>
      </c>
      <c r="Q611" s="122">
        <v>1445</v>
      </c>
      <c r="R611" s="122">
        <v>51604</v>
      </c>
      <c r="S611" s="122">
        <v>19113</v>
      </c>
      <c r="T611">
        <v>0</v>
      </c>
      <c r="U611">
        <v>0</v>
      </c>
      <c r="V611" s="122">
        <v>134088</v>
      </c>
      <c r="W611" s="122">
        <f t="shared" si="18"/>
        <v>134088</v>
      </c>
      <c r="X611" s="122">
        <f t="shared" si="19"/>
        <v>187100</v>
      </c>
      <c r="Y611" s="122"/>
      <c r="AA611" t="s">
        <v>60</v>
      </c>
      <c r="AB611" t="s">
        <v>579</v>
      </c>
      <c r="AC611" t="s">
        <v>137</v>
      </c>
      <c r="AD611" t="s">
        <v>579</v>
      </c>
      <c r="AE611" t="s">
        <v>566</v>
      </c>
      <c r="AF611">
        <v>1</v>
      </c>
      <c r="AG611">
        <v>47</v>
      </c>
      <c r="AH611">
        <v>358</v>
      </c>
      <c r="AI611" s="122">
        <v>6797</v>
      </c>
      <c r="AJ611" s="122">
        <v>5665</v>
      </c>
      <c r="AK611">
        <v>55</v>
      </c>
      <c r="AL611">
        <v>935</v>
      </c>
      <c r="AM611">
        <v>346</v>
      </c>
      <c r="AN611">
        <v>998</v>
      </c>
      <c r="AO611">
        <v>370</v>
      </c>
      <c r="AP611">
        <v>351</v>
      </c>
      <c r="AQ611">
        <v>130</v>
      </c>
      <c r="AR611" s="122">
        <v>7698</v>
      </c>
      <c r="AS611" s="122">
        <v>6415</v>
      </c>
      <c r="AT611">
        <v>0</v>
      </c>
      <c r="AU611">
        <v>0</v>
      </c>
      <c r="AV611" s="122">
        <v>12925</v>
      </c>
    </row>
    <row r="612" spans="2:48" ht="13">
      <c r="B612" t="s">
        <v>442</v>
      </c>
      <c r="C612" t="s">
        <v>64</v>
      </c>
      <c r="D612" t="s">
        <v>407</v>
      </c>
      <c r="E612" t="s">
        <v>407</v>
      </c>
      <c r="F612">
        <v>40</v>
      </c>
      <c r="G612" s="122">
        <v>2086</v>
      </c>
      <c r="H612" s="122">
        <v>21878</v>
      </c>
      <c r="I612" s="122">
        <v>716519</v>
      </c>
      <c r="J612" s="191">
        <v>651381</v>
      </c>
      <c r="K612" s="122">
        <v>74</v>
      </c>
      <c r="L612" s="122">
        <v>134762</v>
      </c>
      <c r="M612" s="122">
        <v>113066</v>
      </c>
      <c r="N612" s="122">
        <v>45018</v>
      </c>
      <c r="O612" s="122">
        <v>16673</v>
      </c>
      <c r="P612" s="122">
        <v>18428</v>
      </c>
      <c r="Q612" s="122">
        <v>6825</v>
      </c>
      <c r="R612" s="122">
        <v>156487</v>
      </c>
      <c r="S612" s="122">
        <v>142260</v>
      </c>
      <c r="T612" s="122">
        <v>66988</v>
      </c>
      <c r="U612" s="122">
        <v>24810</v>
      </c>
      <c r="V612" s="122">
        <v>955016</v>
      </c>
      <c r="W612" s="122">
        <f t="shared" si="18"/>
        <v>955015</v>
      </c>
      <c r="X612" s="122">
        <f t="shared" si="19"/>
        <v>1138202</v>
      </c>
      <c r="Y612" s="122"/>
      <c r="AA612" t="s">
        <v>60</v>
      </c>
      <c r="AB612" t="s">
        <v>579</v>
      </c>
      <c r="AC612" t="s">
        <v>579</v>
      </c>
      <c r="AD612" t="s">
        <v>579</v>
      </c>
      <c r="AE612" t="s">
        <v>137</v>
      </c>
      <c r="AF612">
        <v>9</v>
      </c>
      <c r="AG612">
        <v>613</v>
      </c>
      <c r="AH612" s="122">
        <v>3072</v>
      </c>
      <c r="AI612" s="122">
        <v>110474</v>
      </c>
      <c r="AJ612" s="122">
        <v>92061</v>
      </c>
      <c r="AK612">
        <v>53</v>
      </c>
      <c r="AL612" s="122">
        <v>21678</v>
      </c>
      <c r="AM612" s="122">
        <v>18065</v>
      </c>
      <c r="AN612" s="122">
        <v>12438</v>
      </c>
      <c r="AO612" s="122">
        <v>4607</v>
      </c>
      <c r="AP612" s="122">
        <v>2457</v>
      </c>
      <c r="AQ612">
        <v>910</v>
      </c>
      <c r="AR612" s="122">
        <v>42794</v>
      </c>
      <c r="AS612" s="122">
        <v>35662</v>
      </c>
      <c r="AT612" s="122">
        <v>18097</v>
      </c>
      <c r="AU612" s="122">
        <v>6702</v>
      </c>
      <c r="AV612" s="122">
        <v>158007</v>
      </c>
    </row>
    <row r="613" spans="2:48" ht="13">
      <c r="B613" t="s">
        <v>442</v>
      </c>
      <c r="C613" t="s">
        <v>64</v>
      </c>
      <c r="D613" t="s">
        <v>556</v>
      </c>
      <c r="E613" t="s">
        <v>137</v>
      </c>
      <c r="F613">
        <v>3</v>
      </c>
      <c r="G613">
        <v>174</v>
      </c>
      <c r="H613" s="122">
        <v>2491</v>
      </c>
      <c r="I613" s="122">
        <v>124830</v>
      </c>
      <c r="J613" s="191">
        <v>104025</v>
      </c>
      <c r="K613" s="122">
        <v>30</v>
      </c>
      <c r="L613" s="122">
        <v>9362</v>
      </c>
      <c r="M613" s="122">
        <v>3467</v>
      </c>
      <c r="N613" s="122">
        <v>4180</v>
      </c>
      <c r="O613" s="122">
        <v>1548</v>
      </c>
      <c r="P613">
        <v>0</v>
      </c>
      <c r="Q613">
        <v>0</v>
      </c>
      <c r="R613" s="122">
        <v>14992</v>
      </c>
      <c r="S613" s="122">
        <v>5553</v>
      </c>
      <c r="T613">
        <v>0</v>
      </c>
      <c r="U613">
        <v>0</v>
      </c>
      <c r="V613" s="122">
        <v>114593</v>
      </c>
      <c r="W613" s="122">
        <f t="shared" si="18"/>
        <v>114593</v>
      </c>
      <c r="X613" s="122">
        <f t="shared" si="19"/>
        <v>153364</v>
      </c>
      <c r="Y613" s="122"/>
      <c r="AA613" t="s">
        <v>60</v>
      </c>
      <c r="AB613" t="s">
        <v>579</v>
      </c>
      <c r="AC613" t="s">
        <v>566</v>
      </c>
      <c r="AD613" t="s">
        <v>137</v>
      </c>
      <c r="AE613" t="s">
        <v>566</v>
      </c>
      <c r="AF613">
        <v>2</v>
      </c>
      <c r="AG613">
        <v>84</v>
      </c>
      <c r="AH613">
        <v>650</v>
      </c>
      <c r="AI613" s="122">
        <v>16066</v>
      </c>
      <c r="AJ613" s="122">
        <v>13389</v>
      </c>
      <c r="AK613">
        <v>63</v>
      </c>
      <c r="AL613">
        <v>0</v>
      </c>
      <c r="AM613">
        <v>0</v>
      </c>
      <c r="AN613" s="122">
        <v>1819</v>
      </c>
      <c r="AO613">
        <v>674</v>
      </c>
      <c r="AP613">
        <v>351</v>
      </c>
      <c r="AQ613">
        <v>130</v>
      </c>
      <c r="AR613" s="122">
        <v>8928</v>
      </c>
      <c r="AS613" s="122">
        <v>3306</v>
      </c>
      <c r="AT613">
        <v>0</v>
      </c>
      <c r="AU613">
        <v>0</v>
      </c>
      <c r="AV613" s="122">
        <v>17499</v>
      </c>
    </row>
    <row r="614" spans="2:48" ht="13">
      <c r="B614" t="s">
        <v>443</v>
      </c>
      <c r="C614" t="s">
        <v>48</v>
      </c>
      <c r="F614">
        <v>1</v>
      </c>
      <c r="G614">
        <v>89</v>
      </c>
      <c r="H614">
        <v>70</v>
      </c>
      <c r="J614" s="66">
        <v>0</v>
      </c>
      <c r="K614" s="122"/>
      <c r="M614">
        <v>0</v>
      </c>
      <c r="N614" s="122">
        <v>1121</v>
      </c>
      <c r="O614">
        <v>415</v>
      </c>
      <c r="P614">
        <v>761</v>
      </c>
      <c r="Q614">
        <v>282</v>
      </c>
      <c r="S614">
        <v>0</v>
      </c>
      <c r="T614">
        <v>0</v>
      </c>
      <c r="U614">
        <v>0</v>
      </c>
      <c r="V614">
        <v>697</v>
      </c>
      <c r="W614" s="122">
        <f t="shared" si="18"/>
        <v>697</v>
      </c>
      <c r="X614" s="122">
        <f t="shared" si="19"/>
        <v>1882</v>
      </c>
      <c r="Y614" s="122"/>
      <c r="AA614" t="s">
        <v>60</v>
      </c>
      <c r="AB614" t="s">
        <v>579</v>
      </c>
      <c r="AC614" t="s">
        <v>566</v>
      </c>
      <c r="AD614" t="s">
        <v>579</v>
      </c>
      <c r="AE614" t="s">
        <v>137</v>
      </c>
      <c r="AF614">
        <v>21</v>
      </c>
      <c r="AG614" s="122">
        <v>1237</v>
      </c>
      <c r="AH614" s="122">
        <v>7044</v>
      </c>
      <c r="AI614" s="122">
        <v>238178</v>
      </c>
      <c r="AJ614" s="122">
        <v>198482</v>
      </c>
      <c r="AK614">
        <v>56</v>
      </c>
      <c r="AL614">
        <v>0</v>
      </c>
      <c r="AM614">
        <v>0</v>
      </c>
      <c r="AN614" s="122">
        <v>25126</v>
      </c>
      <c r="AO614" s="122">
        <v>9306</v>
      </c>
      <c r="AP614" s="122">
        <v>7371</v>
      </c>
      <c r="AQ614" s="122">
        <v>2730</v>
      </c>
      <c r="AR614" s="122">
        <v>103074</v>
      </c>
      <c r="AS614" s="122">
        <v>85895</v>
      </c>
      <c r="AT614" s="122">
        <v>41360</v>
      </c>
      <c r="AU614" s="122">
        <v>15319</v>
      </c>
      <c r="AV614" s="122">
        <v>311731</v>
      </c>
    </row>
    <row r="615" spans="2:48" ht="13">
      <c r="B615" t="s">
        <v>443</v>
      </c>
      <c r="C615" t="s">
        <v>48</v>
      </c>
      <c r="D615" t="s">
        <v>137</v>
      </c>
      <c r="E615" t="s">
        <v>137</v>
      </c>
      <c r="F615">
        <v>1</v>
      </c>
      <c r="G615">
        <v>323</v>
      </c>
      <c r="H615" s="122">
        <v>69</v>
      </c>
      <c r="I615" s="122">
        <v>6713</v>
      </c>
      <c r="J615" s="191">
        <v>2486</v>
      </c>
      <c r="K615" s="122">
        <v>417</v>
      </c>
      <c r="L615" s="122">
        <v>1847</v>
      </c>
      <c r="M615" s="122">
        <v>1539</v>
      </c>
      <c r="N615" s="122">
        <v>6454</v>
      </c>
      <c r="O615" s="122">
        <v>2390</v>
      </c>
      <c r="P615">
        <v>351</v>
      </c>
      <c r="Q615">
        <v>130</v>
      </c>
      <c r="R615" s="122">
        <v>6858</v>
      </c>
      <c r="S615" s="122">
        <v>2540</v>
      </c>
      <c r="T615">
        <v>0</v>
      </c>
      <c r="U615">
        <v>0</v>
      </c>
      <c r="V615" s="122">
        <v>9085</v>
      </c>
      <c r="W615" s="122">
        <f t="shared" si="18"/>
        <v>9085</v>
      </c>
      <c r="X615" s="122">
        <f t="shared" si="19"/>
        <v>22223</v>
      </c>
      <c r="Y615" s="122"/>
      <c r="AA615" t="s">
        <v>60</v>
      </c>
      <c r="AB615" t="s">
        <v>428</v>
      </c>
      <c r="AC615" t="s">
        <v>566</v>
      </c>
      <c r="AD615" t="s">
        <v>428</v>
      </c>
      <c r="AE615" t="s">
        <v>137</v>
      </c>
      <c r="AF615">
        <v>1</v>
      </c>
      <c r="AG615">
        <v>46</v>
      </c>
      <c r="AH615">
        <v>365</v>
      </c>
      <c r="AI615" s="122">
        <v>9782</v>
      </c>
      <c r="AJ615" s="122">
        <v>8893</v>
      </c>
      <c r="AK615">
        <v>55</v>
      </c>
      <c r="AL615">
        <v>0</v>
      </c>
      <c r="AM615">
        <v>0</v>
      </c>
      <c r="AN615" s="122">
        <v>1064</v>
      </c>
      <c r="AO615">
        <v>394</v>
      </c>
      <c r="AP615">
        <v>351</v>
      </c>
      <c r="AQ615">
        <v>130</v>
      </c>
      <c r="AR615" s="122">
        <v>4117</v>
      </c>
      <c r="AS615" s="122">
        <v>3742</v>
      </c>
      <c r="AT615" s="122">
        <v>1650</v>
      </c>
      <c r="AU615">
        <v>611</v>
      </c>
      <c r="AV615" s="122">
        <v>13770</v>
      </c>
    </row>
    <row r="616" spans="2:48" ht="13">
      <c r="B616" t="s">
        <v>443</v>
      </c>
      <c r="C616" t="s">
        <v>48</v>
      </c>
      <c r="D616" t="s">
        <v>407</v>
      </c>
      <c r="E616" t="s">
        <v>407</v>
      </c>
      <c r="F616">
        <v>19</v>
      </c>
      <c r="G616" s="122">
        <v>1284</v>
      </c>
      <c r="H616" s="122">
        <v>1101</v>
      </c>
      <c r="I616" s="122">
        <v>-10791</v>
      </c>
      <c r="J616" s="191">
        <v>-9810</v>
      </c>
      <c r="K616" s="122">
        <v>90</v>
      </c>
      <c r="L616">
        <v>-159</v>
      </c>
      <c r="M616">
        <v>-59</v>
      </c>
      <c r="N616" s="122">
        <v>15640</v>
      </c>
      <c r="O616" s="122">
        <v>5792</v>
      </c>
      <c r="P616" s="122">
        <v>17231</v>
      </c>
      <c r="Q616" s="122">
        <v>6382</v>
      </c>
      <c r="R616" s="122">
        <v>53297</v>
      </c>
      <c r="S616" s="122">
        <v>48452</v>
      </c>
      <c r="T616">
        <v>0</v>
      </c>
      <c r="U616">
        <v>0</v>
      </c>
      <c r="V616" s="122">
        <v>50757</v>
      </c>
      <c r="W616" s="122">
        <f t="shared" si="18"/>
        <v>70495</v>
      </c>
      <c r="X616" s="122">
        <f t="shared" si="19"/>
        <v>97118</v>
      </c>
      <c r="Y616" s="122"/>
      <c r="AA616" t="s">
        <v>60</v>
      </c>
      <c r="AB616" t="s">
        <v>431</v>
      </c>
      <c r="AC616" t="s">
        <v>431</v>
      </c>
      <c r="AD616" t="s">
        <v>431</v>
      </c>
      <c r="AE616" t="s">
        <v>137</v>
      </c>
      <c r="AF616">
        <v>1</v>
      </c>
      <c r="AG616">
        <v>108</v>
      </c>
      <c r="AH616">
        <v>352</v>
      </c>
      <c r="AI616" s="122">
        <v>23392</v>
      </c>
      <c r="AJ616" s="122">
        <v>21266</v>
      </c>
      <c r="AK616">
        <v>65</v>
      </c>
      <c r="AL616" s="122">
        <v>5631</v>
      </c>
      <c r="AM616" s="122">
        <v>5119</v>
      </c>
      <c r="AN616" s="122">
        <v>1712</v>
      </c>
      <c r="AO616">
        <v>634</v>
      </c>
      <c r="AP616">
        <v>351</v>
      </c>
      <c r="AQ616">
        <v>130</v>
      </c>
      <c r="AR616" s="122">
        <v>4489</v>
      </c>
      <c r="AS616" s="122">
        <v>4080</v>
      </c>
      <c r="AT616" s="122">
        <v>2440</v>
      </c>
      <c r="AU616">
        <v>904</v>
      </c>
      <c r="AV616" s="122">
        <v>32133</v>
      </c>
    </row>
    <row r="617" spans="2:48" ht="13">
      <c r="B617" t="s">
        <v>443</v>
      </c>
      <c r="C617" t="s">
        <v>50</v>
      </c>
      <c r="D617" t="s">
        <v>407</v>
      </c>
      <c r="E617" t="s">
        <v>407</v>
      </c>
      <c r="F617">
        <v>3</v>
      </c>
      <c r="G617">
        <v>194</v>
      </c>
      <c r="H617" s="122">
        <v>272</v>
      </c>
      <c r="I617" s="122">
        <v>3207</v>
      </c>
      <c r="J617" s="191">
        <v>2916</v>
      </c>
      <c r="K617" s="122">
        <v>85</v>
      </c>
      <c r="L617" s="122">
        <v>1522</v>
      </c>
      <c r="M617">
        <v>564</v>
      </c>
      <c r="N617" s="122">
        <v>3969</v>
      </c>
      <c r="O617" s="122">
        <v>1470</v>
      </c>
      <c r="P617" s="122">
        <v>1418</v>
      </c>
      <c r="Q617">
        <v>525</v>
      </c>
      <c r="R617" s="122">
        <v>7487</v>
      </c>
      <c r="S617" s="122">
        <v>6807</v>
      </c>
      <c r="T617">
        <v>0</v>
      </c>
      <c r="U617">
        <v>0</v>
      </c>
      <c r="V617" s="122">
        <v>12281</v>
      </c>
      <c r="W617" s="122">
        <f t="shared" si="18"/>
        <v>12282</v>
      </c>
      <c r="X617" s="122">
        <f t="shared" si="19"/>
        <v>17603</v>
      </c>
      <c r="Y617" s="122"/>
      <c r="AA617" t="s">
        <v>60</v>
      </c>
      <c r="AB617" t="s">
        <v>426</v>
      </c>
      <c r="AC617" t="s">
        <v>137</v>
      </c>
      <c r="AD617" t="s">
        <v>137</v>
      </c>
      <c r="AE617" t="s">
        <v>566</v>
      </c>
      <c r="AF617">
        <v>4</v>
      </c>
      <c r="AG617">
        <v>205</v>
      </c>
      <c r="AH617" s="122">
        <v>1281</v>
      </c>
      <c r="AI617" s="122">
        <v>32657</v>
      </c>
      <c r="AJ617" s="122">
        <v>29688</v>
      </c>
      <c r="AK617">
        <v>53</v>
      </c>
      <c r="AL617" s="122">
        <v>4793</v>
      </c>
      <c r="AM617" s="122">
        <v>1775</v>
      </c>
      <c r="AN617" s="122">
        <v>4602</v>
      </c>
      <c r="AO617" s="122">
        <v>1704</v>
      </c>
      <c r="AP617">
        <v>702</v>
      </c>
      <c r="AQ617">
        <v>260</v>
      </c>
      <c r="AR617" s="122">
        <v>23125</v>
      </c>
      <c r="AS617" s="122">
        <v>8565</v>
      </c>
      <c r="AT617">
        <v>0</v>
      </c>
      <c r="AU617">
        <v>0</v>
      </c>
      <c r="AV617" s="122">
        <v>41993</v>
      </c>
    </row>
    <row r="618" spans="2:48" ht="13">
      <c r="B618" t="s">
        <v>443</v>
      </c>
      <c r="C618" t="s">
        <v>52</v>
      </c>
      <c r="D618" t="s">
        <v>407</v>
      </c>
      <c r="E618" t="s">
        <v>407</v>
      </c>
      <c r="F618">
        <v>24</v>
      </c>
      <c r="G618" s="122">
        <v>2026</v>
      </c>
      <c r="H618" s="122">
        <v>2756</v>
      </c>
      <c r="I618" s="122">
        <v>68919</v>
      </c>
      <c r="J618" s="191">
        <v>62654</v>
      </c>
      <c r="K618" s="122">
        <v>82</v>
      </c>
      <c r="L618" s="122">
        <v>9010</v>
      </c>
      <c r="M618" s="122">
        <v>5137</v>
      </c>
      <c r="N618" s="122">
        <v>43850</v>
      </c>
      <c r="O618" s="122">
        <v>16241</v>
      </c>
      <c r="P618" s="122">
        <v>12393</v>
      </c>
      <c r="Q618" s="122">
        <v>4590</v>
      </c>
      <c r="R618" s="122">
        <v>96218</v>
      </c>
      <c r="S618" s="122">
        <v>87471</v>
      </c>
      <c r="T618" s="122">
        <v>2764</v>
      </c>
      <c r="U618" s="122">
        <v>1024</v>
      </c>
      <c r="V618" s="122">
        <v>177116</v>
      </c>
      <c r="W618" s="122">
        <f t="shared" si="18"/>
        <v>177117</v>
      </c>
      <c r="X618" s="122">
        <f t="shared" si="19"/>
        <v>233154</v>
      </c>
      <c r="Y618" s="122"/>
      <c r="AA618" t="s">
        <v>60</v>
      </c>
      <c r="AB618" t="s">
        <v>426</v>
      </c>
      <c r="AC618" t="s">
        <v>137</v>
      </c>
      <c r="AD618" t="s">
        <v>426</v>
      </c>
      <c r="AE618" t="s">
        <v>137</v>
      </c>
      <c r="AF618">
        <v>21</v>
      </c>
      <c r="AG618" s="122">
        <v>1310</v>
      </c>
      <c r="AH618" s="122">
        <v>7038</v>
      </c>
      <c r="AI618" s="122">
        <v>210817</v>
      </c>
      <c r="AJ618" s="122">
        <v>191652</v>
      </c>
      <c r="AK618">
        <v>55</v>
      </c>
      <c r="AL618" s="122">
        <v>43709</v>
      </c>
      <c r="AM618" s="122">
        <v>16188</v>
      </c>
      <c r="AN618" s="122">
        <v>22777</v>
      </c>
      <c r="AO618" s="122">
        <v>8436</v>
      </c>
      <c r="AP618" s="122">
        <v>7371</v>
      </c>
      <c r="AQ618" s="122">
        <v>2730</v>
      </c>
      <c r="AR618" s="122">
        <v>107551</v>
      </c>
      <c r="AS618" s="122">
        <v>97774</v>
      </c>
      <c r="AT618" s="122">
        <v>45996</v>
      </c>
      <c r="AU618" s="122">
        <v>17035</v>
      </c>
      <c r="AV618" s="122">
        <v>333815</v>
      </c>
    </row>
    <row r="619" spans="2:48" ht="13">
      <c r="B619" t="s">
        <v>443</v>
      </c>
      <c r="C619" t="s">
        <v>54</v>
      </c>
      <c r="F619">
        <v>1</v>
      </c>
      <c r="G619">
        <v>49</v>
      </c>
      <c r="H619" s="122">
        <v>132</v>
      </c>
      <c r="J619" s="66">
        <v>0</v>
      </c>
      <c r="K619" s="122"/>
      <c r="M619">
        <v>0</v>
      </c>
      <c r="N619" s="122">
        <v>1194</v>
      </c>
      <c r="O619">
        <v>442</v>
      </c>
      <c r="P619">
        <v>473</v>
      </c>
      <c r="Q619">
        <v>175</v>
      </c>
      <c r="S619">
        <v>0</v>
      </c>
      <c r="T619">
        <v>0</v>
      </c>
      <c r="U619">
        <v>0</v>
      </c>
      <c r="V619">
        <v>617</v>
      </c>
      <c r="W619" s="122">
        <f t="shared" si="18"/>
        <v>617</v>
      </c>
      <c r="X619" s="122">
        <f t="shared" si="19"/>
        <v>1667</v>
      </c>
      <c r="Y619" s="122"/>
      <c r="AA619" t="s">
        <v>60</v>
      </c>
      <c r="AB619" t="s">
        <v>426</v>
      </c>
      <c r="AC619" t="s">
        <v>137</v>
      </c>
      <c r="AD619" t="s">
        <v>426</v>
      </c>
      <c r="AE619" t="s">
        <v>566</v>
      </c>
      <c r="AF619">
        <v>2</v>
      </c>
      <c r="AG619">
        <v>109</v>
      </c>
      <c r="AH619">
        <v>666</v>
      </c>
      <c r="AI619" s="122">
        <v>17831</v>
      </c>
      <c r="AJ619" s="122">
        <v>16210</v>
      </c>
      <c r="AK619">
        <v>60</v>
      </c>
      <c r="AL619" s="122">
        <v>2860</v>
      </c>
      <c r="AM619" s="122">
        <v>1059</v>
      </c>
      <c r="AN619" s="122">
        <v>2112</v>
      </c>
      <c r="AO619">
        <v>782</v>
      </c>
      <c r="AP619">
        <v>702</v>
      </c>
      <c r="AQ619">
        <v>260</v>
      </c>
      <c r="AR619" s="122">
        <v>12621</v>
      </c>
      <c r="AS619" s="122">
        <v>11473</v>
      </c>
      <c r="AT619">
        <v>0</v>
      </c>
      <c r="AU619">
        <v>0</v>
      </c>
      <c r="AV619" s="122">
        <v>29785</v>
      </c>
    </row>
    <row r="620" spans="2:48" ht="13">
      <c r="B620" t="s">
        <v>443</v>
      </c>
      <c r="C620" t="s">
        <v>54</v>
      </c>
      <c r="D620" t="s">
        <v>137</v>
      </c>
      <c r="E620" t="s">
        <v>137</v>
      </c>
      <c r="F620">
        <v>1</v>
      </c>
      <c r="G620">
        <v>55</v>
      </c>
      <c r="H620" s="122">
        <v>146</v>
      </c>
      <c r="I620" s="122">
        <v>1441</v>
      </c>
      <c r="J620" s="66">
        <v>534</v>
      </c>
      <c r="K620" s="122">
        <v>100</v>
      </c>
      <c r="L620">
        <v>360</v>
      </c>
      <c r="M620">
        <v>133</v>
      </c>
      <c r="N620">
        <v>800</v>
      </c>
      <c r="O620">
        <v>296</v>
      </c>
      <c r="P620">
        <v>0</v>
      </c>
      <c r="Q620">
        <v>0</v>
      </c>
      <c r="R620" s="122">
        <v>5363</v>
      </c>
      <c r="S620" s="122">
        <v>1986</v>
      </c>
      <c r="T620">
        <v>0</v>
      </c>
      <c r="U620">
        <v>0</v>
      </c>
      <c r="V620" s="122">
        <v>2950</v>
      </c>
      <c r="W620" s="122">
        <f t="shared" si="18"/>
        <v>2949</v>
      </c>
      <c r="X620" s="122">
        <f t="shared" si="19"/>
        <v>7964</v>
      </c>
      <c r="Y620" s="122"/>
      <c r="AA620" t="s">
        <v>60</v>
      </c>
      <c r="AB620" t="s">
        <v>426</v>
      </c>
      <c r="AC620" t="s">
        <v>580</v>
      </c>
      <c r="AD620" t="s">
        <v>426</v>
      </c>
      <c r="AE620" t="s">
        <v>137</v>
      </c>
      <c r="AF620">
        <v>7</v>
      </c>
      <c r="AG620">
        <v>707</v>
      </c>
      <c r="AH620" s="122">
        <v>2381</v>
      </c>
      <c r="AI620" s="122">
        <v>153976</v>
      </c>
      <c r="AJ620" s="122">
        <v>139979</v>
      </c>
      <c r="AK620">
        <v>65</v>
      </c>
      <c r="AL620" s="122">
        <v>16839</v>
      </c>
      <c r="AM620" s="122">
        <v>15309</v>
      </c>
      <c r="AN620" s="122">
        <v>13664</v>
      </c>
      <c r="AO620" s="122">
        <v>5061</v>
      </c>
      <c r="AP620" s="122">
        <v>5049</v>
      </c>
      <c r="AQ620" s="122">
        <v>1870</v>
      </c>
      <c r="AR620" s="122">
        <v>31633</v>
      </c>
      <c r="AS620" s="122">
        <v>28757</v>
      </c>
      <c r="AT620" s="122">
        <v>17248</v>
      </c>
      <c r="AU620" s="122">
        <v>6388</v>
      </c>
      <c r="AV620" s="122">
        <v>197363</v>
      </c>
    </row>
    <row r="621" spans="2:48" ht="13">
      <c r="B621" t="s">
        <v>443</v>
      </c>
      <c r="C621" t="s">
        <v>54</v>
      </c>
      <c r="D621" t="s">
        <v>407</v>
      </c>
      <c r="E621" t="s">
        <v>407</v>
      </c>
      <c r="F621">
        <v>86</v>
      </c>
      <c r="G621" s="122">
        <v>6844</v>
      </c>
      <c r="H621" s="122">
        <v>12078</v>
      </c>
      <c r="I621" s="122">
        <v>336480</v>
      </c>
      <c r="J621" s="191">
        <v>305891</v>
      </c>
      <c r="K621" s="122">
        <v>80</v>
      </c>
      <c r="L621" s="122">
        <v>46188</v>
      </c>
      <c r="M621" s="122">
        <v>35842</v>
      </c>
      <c r="N621" s="122">
        <v>138319</v>
      </c>
      <c r="O621" s="122">
        <v>51229</v>
      </c>
      <c r="P621" s="122">
        <v>40635</v>
      </c>
      <c r="Q621" s="122">
        <v>15050</v>
      </c>
      <c r="R621" s="122">
        <v>385489</v>
      </c>
      <c r="S621" s="122">
        <v>350444</v>
      </c>
      <c r="T621" s="122">
        <v>14029</v>
      </c>
      <c r="U621" s="122">
        <v>5196</v>
      </c>
      <c r="V621" s="122">
        <v>763653</v>
      </c>
      <c r="W621" s="122">
        <f t="shared" si="18"/>
        <v>763652</v>
      </c>
      <c r="X621" s="122">
        <f t="shared" si="19"/>
        <v>961140</v>
      </c>
      <c r="Y621" s="122"/>
      <c r="AA621" t="s">
        <v>60</v>
      </c>
      <c r="AB621" t="s">
        <v>426</v>
      </c>
      <c r="AC621" t="s">
        <v>426</v>
      </c>
      <c r="AD621" t="s">
        <v>137</v>
      </c>
      <c r="AE621" t="s">
        <v>566</v>
      </c>
      <c r="AF621">
        <v>1</v>
      </c>
      <c r="AG621">
        <v>59</v>
      </c>
      <c r="AH621">
        <v>324</v>
      </c>
      <c r="AI621" s="122">
        <v>11110</v>
      </c>
      <c r="AJ621" s="122">
        <v>10100</v>
      </c>
      <c r="AK621">
        <v>30</v>
      </c>
      <c r="AL621" s="122">
        <v>1234</v>
      </c>
      <c r="AM621" s="122">
        <v>1122</v>
      </c>
      <c r="AN621" s="122">
        <v>1123</v>
      </c>
      <c r="AO621">
        <v>416</v>
      </c>
      <c r="AP621">
        <v>0</v>
      </c>
      <c r="AQ621">
        <v>0</v>
      </c>
      <c r="AR621" s="122">
        <v>5689</v>
      </c>
      <c r="AS621" s="122">
        <v>2107</v>
      </c>
      <c r="AT621">
        <v>0</v>
      </c>
      <c r="AU621">
        <v>0</v>
      </c>
      <c r="AV621" s="122">
        <v>13745</v>
      </c>
    </row>
    <row r="622" spans="2:48" ht="13">
      <c r="B622" t="s">
        <v>443</v>
      </c>
      <c r="C622" t="s">
        <v>56</v>
      </c>
      <c r="F622">
        <v>2</v>
      </c>
      <c r="G622">
        <v>109</v>
      </c>
      <c r="H622" s="122">
        <v>370</v>
      </c>
      <c r="J622" s="66">
        <v>0</v>
      </c>
      <c r="K622" s="122"/>
      <c r="M622">
        <v>0</v>
      </c>
      <c r="N622" s="122">
        <v>2416</v>
      </c>
      <c r="O622">
        <v>895</v>
      </c>
      <c r="P622">
        <v>473</v>
      </c>
      <c r="Q622">
        <v>175</v>
      </c>
      <c r="S622">
        <v>0</v>
      </c>
      <c r="T622">
        <v>0</v>
      </c>
      <c r="U622">
        <v>0</v>
      </c>
      <c r="V622" s="122">
        <v>1070</v>
      </c>
      <c r="W622" s="122">
        <f t="shared" si="18"/>
        <v>1070</v>
      </c>
      <c r="X622" s="122">
        <f t="shared" si="19"/>
        <v>2889</v>
      </c>
      <c r="Y622" s="122"/>
      <c r="AA622" t="s">
        <v>60</v>
      </c>
      <c r="AB622" t="s">
        <v>426</v>
      </c>
      <c r="AC622" t="s">
        <v>426</v>
      </c>
      <c r="AD622" t="s">
        <v>426</v>
      </c>
      <c r="AE622" t="s">
        <v>137</v>
      </c>
      <c r="AF622">
        <v>35</v>
      </c>
      <c r="AG622" s="122">
        <v>2967</v>
      </c>
      <c r="AH622" s="122">
        <v>11668</v>
      </c>
      <c r="AI622" s="122">
        <v>550571</v>
      </c>
      <c r="AJ622" s="122">
        <v>500519</v>
      </c>
      <c r="AK622">
        <v>54</v>
      </c>
      <c r="AL622" s="122">
        <v>91536</v>
      </c>
      <c r="AM622" s="122">
        <v>83214</v>
      </c>
      <c r="AN622" s="122">
        <v>57175</v>
      </c>
      <c r="AO622" s="122">
        <v>21176</v>
      </c>
      <c r="AP622" s="122">
        <v>12555</v>
      </c>
      <c r="AQ622" s="122">
        <v>4650</v>
      </c>
      <c r="AR622" s="122">
        <v>189558</v>
      </c>
      <c r="AS622" s="122">
        <v>172325</v>
      </c>
      <c r="AT622" s="122">
        <v>82104</v>
      </c>
      <c r="AU622" s="122">
        <v>30409</v>
      </c>
      <c r="AV622" s="122">
        <v>812293</v>
      </c>
    </row>
    <row r="623" spans="2:48" ht="13">
      <c r="B623" t="s">
        <v>443</v>
      </c>
      <c r="C623" t="s">
        <v>56</v>
      </c>
      <c r="D623" t="s">
        <v>137</v>
      </c>
      <c r="E623" t="s">
        <v>137</v>
      </c>
      <c r="F623">
        <v>11</v>
      </c>
      <c r="G623">
        <v>585</v>
      </c>
      <c r="H623" s="122">
        <v>2246</v>
      </c>
      <c r="I623" s="122">
        <v>44717</v>
      </c>
      <c r="J623" s="191">
        <v>16562</v>
      </c>
      <c r="K623" s="122">
        <v>100</v>
      </c>
      <c r="L623" s="122">
        <v>5775</v>
      </c>
      <c r="M623" s="122">
        <v>3252</v>
      </c>
      <c r="N623" s="122">
        <v>10488</v>
      </c>
      <c r="O623" s="122">
        <v>3884</v>
      </c>
      <c r="P623">
        <v>0</v>
      </c>
      <c r="Q623">
        <v>0</v>
      </c>
      <c r="R623" s="122">
        <v>58558</v>
      </c>
      <c r="S623" s="122">
        <v>21688</v>
      </c>
      <c r="T623">
        <v>0</v>
      </c>
      <c r="U623">
        <v>0</v>
      </c>
      <c r="V623" s="122">
        <v>45386</v>
      </c>
      <c r="W623" s="122">
        <f t="shared" si="18"/>
        <v>45386</v>
      </c>
      <c r="X623" s="122">
        <f t="shared" si="19"/>
        <v>119538</v>
      </c>
      <c r="Y623" s="122"/>
      <c r="AA623" t="s">
        <v>60</v>
      </c>
      <c r="AB623" t="s">
        <v>426</v>
      </c>
      <c r="AC623" t="s">
        <v>566</v>
      </c>
      <c r="AD623" t="s">
        <v>137</v>
      </c>
      <c r="AE623" t="s">
        <v>566</v>
      </c>
      <c r="AF623">
        <v>1</v>
      </c>
      <c r="AG623">
        <v>32</v>
      </c>
      <c r="AH623">
        <v>349</v>
      </c>
      <c r="AI623" s="122">
        <v>7961</v>
      </c>
      <c r="AJ623" s="122">
        <v>7238</v>
      </c>
      <c r="AK623">
        <v>65</v>
      </c>
      <c r="AL623">
        <v>0</v>
      </c>
      <c r="AM623">
        <v>0</v>
      </c>
      <c r="AN623">
        <v>384</v>
      </c>
      <c r="AO623">
        <v>142</v>
      </c>
      <c r="AP623">
        <v>0</v>
      </c>
      <c r="AQ623">
        <v>0</v>
      </c>
      <c r="AR623" s="122">
        <v>2645</v>
      </c>
      <c r="AS623">
        <v>980</v>
      </c>
      <c r="AT623">
        <v>0</v>
      </c>
      <c r="AU623">
        <v>0</v>
      </c>
      <c r="AV623" s="122">
        <v>8359</v>
      </c>
    </row>
    <row r="624" spans="2:48" ht="13">
      <c r="B624" t="s">
        <v>443</v>
      </c>
      <c r="C624" t="s">
        <v>56</v>
      </c>
      <c r="D624" t="s">
        <v>406</v>
      </c>
      <c r="E624" t="s">
        <v>406</v>
      </c>
      <c r="F624">
        <v>2</v>
      </c>
      <c r="G624">
        <v>177</v>
      </c>
      <c r="H624" s="122">
        <v>386</v>
      </c>
      <c r="I624" s="122">
        <v>21105</v>
      </c>
      <c r="J624" s="191">
        <v>19187</v>
      </c>
      <c r="K624" s="122">
        <v>85</v>
      </c>
      <c r="L624" s="122">
        <v>4552</v>
      </c>
      <c r="M624" s="122">
        <v>3793</v>
      </c>
      <c r="N624" s="122">
        <v>5527</v>
      </c>
      <c r="O624" s="122">
        <v>2047</v>
      </c>
      <c r="P624" s="122">
        <v>1242</v>
      </c>
      <c r="Q624">
        <v>460</v>
      </c>
      <c r="R624" s="122">
        <v>10194</v>
      </c>
      <c r="S624" s="122">
        <v>9267</v>
      </c>
      <c r="T624" s="122">
        <v>3635</v>
      </c>
      <c r="U624" s="122">
        <v>1346</v>
      </c>
      <c r="V624" s="122">
        <v>36101</v>
      </c>
      <c r="W624" s="122">
        <f t="shared" si="18"/>
        <v>36100</v>
      </c>
      <c r="X624" s="122">
        <f t="shared" si="19"/>
        <v>46255</v>
      </c>
      <c r="Y624" s="122"/>
      <c r="AA624" t="s">
        <v>60</v>
      </c>
      <c r="AB624" t="s">
        <v>426</v>
      </c>
      <c r="AC624" t="s">
        <v>566</v>
      </c>
      <c r="AD624" t="s">
        <v>426</v>
      </c>
      <c r="AE624" t="s">
        <v>137</v>
      </c>
      <c r="AF624">
        <v>37</v>
      </c>
      <c r="AG624" s="122">
        <v>1967</v>
      </c>
      <c r="AH624" s="122">
        <v>12383</v>
      </c>
      <c r="AI624" s="122">
        <v>358149</v>
      </c>
      <c r="AJ624" s="122">
        <v>325590</v>
      </c>
      <c r="AK624">
        <v>57</v>
      </c>
      <c r="AL624">
        <v>0</v>
      </c>
      <c r="AM624">
        <v>0</v>
      </c>
      <c r="AN624" s="122">
        <v>42200</v>
      </c>
      <c r="AO624" s="122">
        <v>15630</v>
      </c>
      <c r="AP624" s="122">
        <v>12987</v>
      </c>
      <c r="AQ624" s="122">
        <v>4810</v>
      </c>
      <c r="AR624" s="122">
        <v>164591</v>
      </c>
      <c r="AS624" s="122">
        <v>149628</v>
      </c>
      <c r="AT624" s="122">
        <v>76504</v>
      </c>
      <c r="AU624" s="122">
        <v>28335</v>
      </c>
      <c r="AV624" s="122">
        <v>523992</v>
      </c>
    </row>
    <row r="625" spans="2:48" ht="13">
      <c r="B625" t="s">
        <v>443</v>
      </c>
      <c r="C625" t="s">
        <v>56</v>
      </c>
      <c r="D625" t="s">
        <v>407</v>
      </c>
      <c r="E625" t="s">
        <v>137</v>
      </c>
      <c r="F625">
        <v>1</v>
      </c>
      <c r="G625">
        <v>42</v>
      </c>
      <c r="H625" s="122">
        <v>222</v>
      </c>
      <c r="I625">
        <v>909</v>
      </c>
      <c r="J625" s="66">
        <v>826</v>
      </c>
      <c r="K625" s="122">
        <v>63</v>
      </c>
      <c r="L625">
        <v>351</v>
      </c>
      <c r="M625">
        <v>130</v>
      </c>
      <c r="N625">
        <v>953</v>
      </c>
      <c r="O625">
        <v>353</v>
      </c>
      <c r="P625">
        <v>0</v>
      </c>
      <c r="Q625">
        <v>0</v>
      </c>
      <c r="R625" s="122">
        <v>7091</v>
      </c>
      <c r="S625" s="122">
        <v>2626</v>
      </c>
      <c r="T625">
        <v>0</v>
      </c>
      <c r="U625">
        <v>0</v>
      </c>
      <c r="V625" s="122">
        <v>3936</v>
      </c>
      <c r="W625" s="122">
        <f t="shared" si="18"/>
        <v>3935</v>
      </c>
      <c r="X625" s="122">
        <f t="shared" si="19"/>
        <v>9304</v>
      </c>
      <c r="Y625" s="122"/>
      <c r="AA625" t="s">
        <v>60</v>
      </c>
      <c r="AB625" t="s">
        <v>426</v>
      </c>
      <c r="AC625" t="s">
        <v>566</v>
      </c>
      <c r="AD625" t="s">
        <v>426</v>
      </c>
      <c r="AE625" t="s">
        <v>566</v>
      </c>
      <c r="AF625">
        <v>1</v>
      </c>
      <c r="AG625">
        <v>37</v>
      </c>
      <c r="AH625">
        <v>319</v>
      </c>
      <c r="AI625" s="122">
        <v>5569</v>
      </c>
      <c r="AJ625" s="122">
        <v>5063</v>
      </c>
      <c r="AK625">
        <v>65</v>
      </c>
      <c r="AL625">
        <v>0</v>
      </c>
      <c r="AM625">
        <v>0</v>
      </c>
      <c r="AN625">
        <v>604</v>
      </c>
      <c r="AO625">
        <v>224</v>
      </c>
      <c r="AP625">
        <v>351</v>
      </c>
      <c r="AQ625">
        <v>130</v>
      </c>
      <c r="AR625" s="122">
        <v>5272</v>
      </c>
      <c r="AS625" s="122">
        <v>4793</v>
      </c>
      <c r="AT625">
        <v>0</v>
      </c>
      <c r="AU625">
        <v>0</v>
      </c>
      <c r="AV625" s="122">
        <v>10210</v>
      </c>
    </row>
    <row r="626" spans="2:48" ht="13">
      <c r="B626" t="s">
        <v>443</v>
      </c>
      <c r="C626" t="s">
        <v>56</v>
      </c>
      <c r="D626" t="s">
        <v>407</v>
      </c>
      <c r="E626" t="s">
        <v>407</v>
      </c>
      <c r="F626">
        <v>239</v>
      </c>
      <c r="G626" s="122">
        <v>17487</v>
      </c>
      <c r="H626" s="122">
        <v>44369</v>
      </c>
      <c r="I626" s="122">
        <v>1403633</v>
      </c>
      <c r="J626" s="191">
        <v>1276030</v>
      </c>
      <c r="K626" s="122">
        <v>79</v>
      </c>
      <c r="L626" s="122">
        <v>221713</v>
      </c>
      <c r="M626" s="122">
        <v>178768</v>
      </c>
      <c r="N626" s="122">
        <v>368852</v>
      </c>
      <c r="O626" s="122">
        <v>136612</v>
      </c>
      <c r="P626" s="122">
        <v>113036</v>
      </c>
      <c r="Q626" s="122">
        <v>41865</v>
      </c>
      <c r="R626" s="122">
        <v>1013148</v>
      </c>
      <c r="S626" s="122">
        <v>921044</v>
      </c>
      <c r="T626" s="122">
        <v>127771</v>
      </c>
      <c r="U626" s="122">
        <v>47323</v>
      </c>
      <c r="V626" s="122">
        <v>2601642</v>
      </c>
      <c r="W626" s="122">
        <f t="shared" si="18"/>
        <v>2601642</v>
      </c>
      <c r="X626" s="122">
        <f t="shared" si="19"/>
        <v>3248153</v>
      </c>
      <c r="Y626" s="122"/>
      <c r="AA626" t="s">
        <v>60</v>
      </c>
      <c r="AB626" t="s">
        <v>433</v>
      </c>
      <c r="AC626" t="s">
        <v>137</v>
      </c>
      <c r="AD626" t="s">
        <v>137</v>
      </c>
      <c r="AE626" t="s">
        <v>566</v>
      </c>
      <c r="AF626">
        <v>1</v>
      </c>
      <c r="AG626">
        <v>36</v>
      </c>
      <c r="AH626">
        <v>347</v>
      </c>
      <c r="AI626" s="122">
        <v>5975</v>
      </c>
      <c r="AJ626" s="122">
        <v>5432</v>
      </c>
      <c r="AK626">
        <v>60</v>
      </c>
      <c r="AL626">
        <v>978</v>
      </c>
      <c r="AM626">
        <v>362</v>
      </c>
      <c r="AN626">
        <v>474</v>
      </c>
      <c r="AO626">
        <v>175</v>
      </c>
      <c r="AP626">
        <v>0</v>
      </c>
      <c r="AQ626">
        <v>0</v>
      </c>
      <c r="AR626" s="122">
        <v>5071</v>
      </c>
      <c r="AS626" s="122">
        <v>1878</v>
      </c>
      <c r="AT626">
        <v>0</v>
      </c>
      <c r="AU626">
        <v>0</v>
      </c>
      <c r="AV626" s="122">
        <v>7847</v>
      </c>
    </row>
    <row r="627" spans="2:48" ht="13">
      <c r="B627" t="s">
        <v>443</v>
      </c>
      <c r="C627" t="s">
        <v>58</v>
      </c>
      <c r="F627">
        <v>3</v>
      </c>
      <c r="G627" s="122">
        <v>147</v>
      </c>
      <c r="H627" s="122">
        <v>804</v>
      </c>
      <c r="J627" s="191">
        <v>0</v>
      </c>
      <c r="K627" s="122"/>
      <c r="M627">
        <v>0</v>
      </c>
      <c r="N627" s="122">
        <v>3190</v>
      </c>
      <c r="O627" s="122">
        <v>1182</v>
      </c>
      <c r="P627">
        <v>473</v>
      </c>
      <c r="Q627">
        <v>175</v>
      </c>
      <c r="S627">
        <v>0</v>
      </c>
      <c r="T627" s="122">
        <v>2294</v>
      </c>
      <c r="U627">
        <v>850</v>
      </c>
      <c r="V627" s="122">
        <v>2206</v>
      </c>
      <c r="W627" s="122">
        <f t="shared" si="18"/>
        <v>2207</v>
      </c>
      <c r="X627" s="122">
        <f t="shared" si="19"/>
        <v>5957</v>
      </c>
      <c r="Y627" s="122"/>
      <c r="AA627" t="s">
        <v>60</v>
      </c>
      <c r="AB627" t="s">
        <v>433</v>
      </c>
      <c r="AC627" t="s">
        <v>579</v>
      </c>
      <c r="AD627" t="s">
        <v>137</v>
      </c>
      <c r="AE627" t="s">
        <v>566</v>
      </c>
      <c r="AF627">
        <v>1</v>
      </c>
      <c r="AG627">
        <v>87</v>
      </c>
      <c r="AH627">
        <v>346</v>
      </c>
      <c r="AI627" s="122">
        <v>18075</v>
      </c>
      <c r="AJ627" s="122">
        <v>16432</v>
      </c>
      <c r="AK627">
        <v>65</v>
      </c>
      <c r="AL627" s="122">
        <v>4747</v>
      </c>
      <c r="AM627" s="122">
        <v>3956</v>
      </c>
      <c r="AN627" s="122">
        <v>1861</v>
      </c>
      <c r="AO627">
        <v>689</v>
      </c>
      <c r="AP627">
        <v>0</v>
      </c>
      <c r="AQ627">
        <v>0</v>
      </c>
      <c r="AR627" s="122">
        <v>5505</v>
      </c>
      <c r="AS627" s="122">
        <v>2039</v>
      </c>
      <c r="AT627">
        <v>0</v>
      </c>
      <c r="AU627">
        <v>0</v>
      </c>
      <c r="AV627" s="122">
        <v>23116</v>
      </c>
    </row>
    <row r="628" spans="2:48" ht="13">
      <c r="B628" t="s">
        <v>443</v>
      </c>
      <c r="C628" t="s">
        <v>58</v>
      </c>
      <c r="D628" t="s">
        <v>137</v>
      </c>
      <c r="E628" t="s">
        <v>137</v>
      </c>
      <c r="F628" s="122">
        <v>37</v>
      </c>
      <c r="G628" s="122">
        <v>2196</v>
      </c>
      <c r="H628" s="122">
        <v>9834</v>
      </c>
      <c r="I628" s="122">
        <v>292688</v>
      </c>
      <c r="J628" s="191">
        <v>108403</v>
      </c>
      <c r="K628" s="122">
        <v>100</v>
      </c>
      <c r="L628" s="122">
        <v>38432</v>
      </c>
      <c r="M628" s="122">
        <v>17351</v>
      </c>
      <c r="N628" s="122">
        <v>42857</v>
      </c>
      <c r="O628" s="122">
        <v>15873</v>
      </c>
      <c r="P628">
        <v>0</v>
      </c>
      <c r="Q628">
        <v>0</v>
      </c>
      <c r="R628" s="122">
        <v>214751</v>
      </c>
      <c r="S628" s="122">
        <v>79538</v>
      </c>
      <c r="T628">
        <v>0</v>
      </c>
      <c r="U628">
        <v>0</v>
      </c>
      <c r="V628" s="122">
        <v>221165</v>
      </c>
      <c r="W628" s="122">
        <f t="shared" si="18"/>
        <v>221165</v>
      </c>
      <c r="X628" s="122">
        <f t="shared" si="19"/>
        <v>588728</v>
      </c>
      <c r="Y628" s="122"/>
      <c r="AA628" t="s">
        <v>60</v>
      </c>
      <c r="AB628" t="s">
        <v>433</v>
      </c>
      <c r="AC628" t="s">
        <v>433</v>
      </c>
      <c r="AD628" t="s">
        <v>137</v>
      </c>
      <c r="AE628" t="s">
        <v>566</v>
      </c>
      <c r="AF628">
        <v>1</v>
      </c>
      <c r="AG628">
        <v>92</v>
      </c>
      <c r="AH628">
        <v>360</v>
      </c>
      <c r="AI628" s="122">
        <v>21882</v>
      </c>
      <c r="AJ628" s="122">
        <v>19892</v>
      </c>
      <c r="AK628">
        <v>60</v>
      </c>
      <c r="AL628" s="122">
        <v>2431</v>
      </c>
      <c r="AM628" s="122">
        <v>2210</v>
      </c>
      <c r="AN628" s="122">
        <v>1126</v>
      </c>
      <c r="AO628">
        <v>417</v>
      </c>
      <c r="AP628">
        <v>351</v>
      </c>
      <c r="AQ628">
        <v>130</v>
      </c>
      <c r="AR628" s="122">
        <v>7465</v>
      </c>
      <c r="AS628" s="122">
        <v>2765</v>
      </c>
      <c r="AT628">
        <v>0</v>
      </c>
      <c r="AU628">
        <v>0</v>
      </c>
      <c r="AV628" s="122">
        <v>25415</v>
      </c>
    </row>
    <row r="629" spans="2:48" ht="13">
      <c r="B629" t="s">
        <v>443</v>
      </c>
      <c r="C629" t="s">
        <v>58</v>
      </c>
      <c r="D629" t="s">
        <v>406</v>
      </c>
      <c r="E629" t="s">
        <v>406</v>
      </c>
      <c r="F629" s="122">
        <v>2</v>
      </c>
      <c r="G629" s="122">
        <v>249</v>
      </c>
      <c r="H629" s="122">
        <v>568</v>
      </c>
      <c r="I629" s="122">
        <v>39269</v>
      </c>
      <c r="J629" s="191">
        <v>35699</v>
      </c>
      <c r="K629" s="122">
        <v>94</v>
      </c>
      <c r="L629" s="122">
        <v>16964</v>
      </c>
      <c r="M629" s="122">
        <v>15421</v>
      </c>
      <c r="N629" s="122">
        <v>4883</v>
      </c>
      <c r="O629" s="122">
        <v>1809</v>
      </c>
      <c r="P629" s="122">
        <v>1242</v>
      </c>
      <c r="Q629">
        <v>460</v>
      </c>
      <c r="R629" s="122">
        <v>8203</v>
      </c>
      <c r="S629" s="122">
        <v>7457</v>
      </c>
      <c r="T629">
        <v>0</v>
      </c>
      <c r="U629">
        <v>0</v>
      </c>
      <c r="V629" s="122">
        <v>60846</v>
      </c>
      <c r="W629" s="122">
        <f t="shared" si="18"/>
        <v>60846</v>
      </c>
      <c r="X629" s="122">
        <f t="shared" si="19"/>
        <v>70561</v>
      </c>
      <c r="Y629" s="122"/>
      <c r="AA629" t="s">
        <v>62</v>
      </c>
      <c r="AC629" t="s">
        <v>566</v>
      </c>
      <c r="AE629" t="s">
        <v>566</v>
      </c>
      <c r="AF629">
        <v>169</v>
      </c>
      <c r="AG629" s="122">
        <v>8061</v>
      </c>
      <c r="AH629" s="122">
        <v>69930</v>
      </c>
      <c r="AJ629">
        <v>0</v>
      </c>
      <c r="AM629">
        <v>0</v>
      </c>
      <c r="AN629" s="122">
        <v>157925</v>
      </c>
      <c r="AO629" s="122">
        <v>58491</v>
      </c>
      <c r="AP629" s="122">
        <v>35249</v>
      </c>
      <c r="AQ629" s="122">
        <v>13055</v>
      </c>
      <c r="AS629">
        <v>0</v>
      </c>
      <c r="AT629" s="122">
        <v>47598</v>
      </c>
      <c r="AU629" s="122">
        <v>17629</v>
      </c>
      <c r="AV629" s="122">
        <v>89174</v>
      </c>
    </row>
    <row r="630" spans="2:48" ht="13">
      <c r="B630" t="s">
        <v>443</v>
      </c>
      <c r="C630" t="s">
        <v>58</v>
      </c>
      <c r="D630" t="s">
        <v>407</v>
      </c>
      <c r="E630" t="s">
        <v>137</v>
      </c>
      <c r="F630">
        <v>3</v>
      </c>
      <c r="G630" s="122">
        <v>160</v>
      </c>
      <c r="H630" s="122">
        <v>736</v>
      </c>
      <c r="I630" s="122">
        <v>15188</v>
      </c>
      <c r="J630" s="191">
        <v>13807</v>
      </c>
      <c r="K630" s="122">
        <v>71</v>
      </c>
      <c r="L630">
        <v>501</v>
      </c>
      <c r="M630">
        <v>185</v>
      </c>
      <c r="N630" s="122">
        <v>3511</v>
      </c>
      <c r="O630" s="122">
        <v>1300</v>
      </c>
      <c r="P630">
        <v>945</v>
      </c>
      <c r="Q630">
        <v>350</v>
      </c>
      <c r="R630" s="122">
        <v>19549</v>
      </c>
      <c r="S630" s="122">
        <v>7240</v>
      </c>
      <c r="T630">
        <v>0</v>
      </c>
      <c r="U630">
        <v>0</v>
      </c>
      <c r="V630" s="122">
        <v>22883</v>
      </c>
      <c r="W630" s="122">
        <f t="shared" si="18"/>
        <v>22882</v>
      </c>
      <c r="X630" s="122">
        <f t="shared" si="19"/>
        <v>39694</v>
      </c>
      <c r="Y630" s="122"/>
      <c r="AA630" t="s">
        <v>62</v>
      </c>
      <c r="AB630" t="s">
        <v>425</v>
      </c>
      <c r="AC630" t="s">
        <v>426</v>
      </c>
      <c r="AD630" t="s">
        <v>425</v>
      </c>
      <c r="AE630" t="s">
        <v>137</v>
      </c>
      <c r="AF630">
        <v>1</v>
      </c>
      <c r="AG630">
        <v>115</v>
      </c>
      <c r="AH630">
        <v>433</v>
      </c>
      <c r="AI630" s="122">
        <v>30803</v>
      </c>
      <c r="AJ630" s="122">
        <v>28003</v>
      </c>
      <c r="AK630">
        <v>65</v>
      </c>
      <c r="AL630" s="122">
        <v>7050</v>
      </c>
      <c r="AM630" s="122">
        <v>6409</v>
      </c>
      <c r="AN630" s="122">
        <v>2652</v>
      </c>
      <c r="AO630">
        <v>982</v>
      </c>
      <c r="AP630">
        <v>473</v>
      </c>
      <c r="AQ630">
        <v>175</v>
      </c>
      <c r="AR630" s="122">
        <v>5548</v>
      </c>
      <c r="AS630" s="122">
        <v>5044</v>
      </c>
      <c r="AT630" s="122">
        <v>3055</v>
      </c>
      <c r="AU630" s="122">
        <v>1131</v>
      </c>
      <c r="AV630" s="122">
        <v>41744</v>
      </c>
    </row>
    <row r="631" spans="2:48" ht="13">
      <c r="B631" t="s">
        <v>443</v>
      </c>
      <c r="C631" t="s">
        <v>58</v>
      </c>
      <c r="D631" t="s">
        <v>407</v>
      </c>
      <c r="E631" t="s">
        <v>407</v>
      </c>
      <c r="F631">
        <v>91</v>
      </c>
      <c r="G631" s="122">
        <v>5954</v>
      </c>
      <c r="H631" s="122">
        <v>23715</v>
      </c>
      <c r="I631" s="122">
        <v>774402</v>
      </c>
      <c r="J631" s="191">
        <v>704001</v>
      </c>
      <c r="K631" s="122">
        <v>79</v>
      </c>
      <c r="L631" s="122">
        <v>163462</v>
      </c>
      <c r="M631" s="122">
        <v>137007</v>
      </c>
      <c r="N631" s="122">
        <v>126221</v>
      </c>
      <c r="O631" s="122">
        <v>46749</v>
      </c>
      <c r="P631" s="122">
        <v>42161</v>
      </c>
      <c r="Q631" s="122">
        <v>15615</v>
      </c>
      <c r="R631" s="122">
        <v>384706</v>
      </c>
      <c r="S631" s="122">
        <v>349733</v>
      </c>
      <c r="T631" s="122">
        <v>72743</v>
      </c>
      <c r="U631" s="122">
        <v>26942</v>
      </c>
      <c r="V631" s="122">
        <v>1280046</v>
      </c>
      <c r="W631" s="122">
        <f t="shared" si="18"/>
        <v>1280047</v>
      </c>
      <c r="X631" s="122">
        <f t="shared" si="19"/>
        <v>1563695</v>
      </c>
      <c r="Y631" s="122"/>
      <c r="AA631" t="s">
        <v>62</v>
      </c>
      <c r="AB631" t="s">
        <v>405</v>
      </c>
      <c r="AC631" t="s">
        <v>405</v>
      </c>
      <c r="AD631" t="s">
        <v>405</v>
      </c>
      <c r="AE631" t="s">
        <v>137</v>
      </c>
      <c r="AF631">
        <v>1</v>
      </c>
      <c r="AG631">
        <v>70</v>
      </c>
      <c r="AH631">
        <v>381</v>
      </c>
      <c r="AI631" s="122">
        <v>17509</v>
      </c>
      <c r="AJ631" s="122">
        <v>15917</v>
      </c>
      <c r="AK631">
        <v>73</v>
      </c>
      <c r="AL631" s="122">
        <v>2328</v>
      </c>
      <c r="AM631" s="122">
        <v>2116</v>
      </c>
      <c r="AN631" s="122">
        <v>1280</v>
      </c>
      <c r="AO631">
        <v>474</v>
      </c>
      <c r="AP631">
        <v>473</v>
      </c>
      <c r="AQ631">
        <v>175</v>
      </c>
      <c r="AR631" s="122">
        <v>3069</v>
      </c>
      <c r="AS631" s="122">
        <v>2790</v>
      </c>
      <c r="AT631" s="122">
        <v>2030</v>
      </c>
      <c r="AU631">
        <v>752</v>
      </c>
      <c r="AV631" s="122">
        <v>22224</v>
      </c>
    </row>
    <row r="632" spans="2:48" ht="13">
      <c r="B632" t="s">
        <v>443</v>
      </c>
      <c r="C632" t="s">
        <v>60</v>
      </c>
      <c r="F632">
        <v>5</v>
      </c>
      <c r="G632">
        <v>249</v>
      </c>
      <c r="H632" s="122">
        <v>1676</v>
      </c>
      <c r="J632" s="66">
        <v>0</v>
      </c>
      <c r="K632" s="122"/>
      <c r="M632">
        <v>0</v>
      </c>
      <c r="N632" s="122">
        <v>5584</v>
      </c>
      <c r="O632" s="122">
        <v>2068</v>
      </c>
      <c r="P632">
        <v>972</v>
      </c>
      <c r="Q632">
        <v>360</v>
      </c>
      <c r="S632">
        <v>0</v>
      </c>
      <c r="T632">
        <v>0</v>
      </c>
      <c r="U632">
        <v>0</v>
      </c>
      <c r="V632" s="122">
        <v>2428</v>
      </c>
      <c r="W632" s="122">
        <f t="shared" si="18"/>
        <v>2428</v>
      </c>
      <c r="X632" s="122">
        <f t="shared" si="19"/>
        <v>6556</v>
      </c>
      <c r="Y632" s="122"/>
      <c r="AA632" t="s">
        <v>62</v>
      </c>
      <c r="AB632" t="s">
        <v>405</v>
      </c>
      <c r="AC632" t="s">
        <v>405</v>
      </c>
      <c r="AD632" t="s">
        <v>405</v>
      </c>
      <c r="AE632" t="s">
        <v>566</v>
      </c>
      <c r="AF632">
        <v>1</v>
      </c>
      <c r="AG632">
        <v>149</v>
      </c>
      <c r="AH632">
        <v>394</v>
      </c>
      <c r="AI632" s="122">
        <v>41124</v>
      </c>
      <c r="AJ632" s="122">
        <v>37386</v>
      </c>
      <c r="AK632">
        <v>73</v>
      </c>
      <c r="AL632" s="122">
        <v>7928</v>
      </c>
      <c r="AM632" s="122">
        <v>7207</v>
      </c>
      <c r="AN632" s="122">
        <v>2873</v>
      </c>
      <c r="AO632" s="122">
        <v>1064</v>
      </c>
      <c r="AP632">
        <v>351</v>
      </c>
      <c r="AQ632">
        <v>130</v>
      </c>
      <c r="AR632" s="122">
        <v>6503</v>
      </c>
      <c r="AS632" s="122">
        <v>5912</v>
      </c>
      <c r="AT632">
        <v>0</v>
      </c>
      <c r="AU632">
        <v>0</v>
      </c>
      <c r="AV632" s="122">
        <v>51699</v>
      </c>
    </row>
    <row r="633" spans="2:48" ht="13">
      <c r="B633" t="s">
        <v>443</v>
      </c>
      <c r="C633" t="s">
        <v>60</v>
      </c>
      <c r="D633" t="s">
        <v>137</v>
      </c>
      <c r="E633" t="s">
        <v>137</v>
      </c>
      <c r="F633">
        <v>47</v>
      </c>
      <c r="G633" s="122">
        <v>2066</v>
      </c>
      <c r="H633" s="122">
        <v>16072</v>
      </c>
      <c r="I633" s="122">
        <v>346898</v>
      </c>
      <c r="J633" s="191">
        <v>128481</v>
      </c>
      <c r="K633" s="122">
        <v>100</v>
      </c>
      <c r="L633" s="122">
        <v>61477</v>
      </c>
      <c r="M633" s="122">
        <v>39647</v>
      </c>
      <c r="N633" s="122">
        <v>41206</v>
      </c>
      <c r="O633" s="122">
        <v>15261</v>
      </c>
      <c r="P633">
        <v>518</v>
      </c>
      <c r="Q633">
        <v>192</v>
      </c>
      <c r="R633" s="122">
        <v>256337</v>
      </c>
      <c r="S633" s="122">
        <v>94940</v>
      </c>
      <c r="T633">
        <v>0</v>
      </c>
      <c r="U633">
        <v>0</v>
      </c>
      <c r="V633" s="122">
        <v>278521</v>
      </c>
      <c r="W633" s="122">
        <f t="shared" si="18"/>
        <v>278521</v>
      </c>
      <c r="X633" s="122">
        <f t="shared" si="19"/>
        <v>706436</v>
      </c>
      <c r="Y633" s="122"/>
      <c r="AA633" t="s">
        <v>62</v>
      </c>
      <c r="AB633" t="s">
        <v>405</v>
      </c>
      <c r="AC633" t="s">
        <v>137</v>
      </c>
      <c r="AD633" t="s">
        <v>405</v>
      </c>
      <c r="AE633" t="s">
        <v>137</v>
      </c>
      <c r="AF633">
        <v>1</v>
      </c>
      <c r="AG633">
        <v>39</v>
      </c>
      <c r="AH633">
        <v>388</v>
      </c>
      <c r="AI633" s="122">
        <v>5096</v>
      </c>
      <c r="AJ633" s="122">
        <v>4633</v>
      </c>
      <c r="AK633">
        <v>68</v>
      </c>
      <c r="AL633" s="122">
        <v>2020</v>
      </c>
      <c r="AM633">
        <v>748</v>
      </c>
      <c r="AN633">
        <v>944</v>
      </c>
      <c r="AO633">
        <v>349</v>
      </c>
      <c r="AP633">
        <v>351</v>
      </c>
      <c r="AQ633">
        <v>130</v>
      </c>
      <c r="AR633" s="122">
        <v>4329</v>
      </c>
      <c r="AS633" s="122">
        <v>3935</v>
      </c>
      <c r="AT633" s="122">
        <v>2294</v>
      </c>
      <c r="AU633">
        <v>850</v>
      </c>
      <c r="AV633" s="122">
        <v>10645</v>
      </c>
    </row>
    <row r="634" spans="2:48" ht="13">
      <c r="B634" t="s">
        <v>443</v>
      </c>
      <c r="C634" t="s">
        <v>60</v>
      </c>
      <c r="D634" t="s">
        <v>406</v>
      </c>
      <c r="E634" t="s">
        <v>137</v>
      </c>
      <c r="F634" s="122">
        <v>1</v>
      </c>
      <c r="G634" s="122">
        <v>31</v>
      </c>
      <c r="H634" s="122">
        <v>372</v>
      </c>
      <c r="I634" s="122">
        <v>1999</v>
      </c>
      <c r="J634" s="191">
        <v>1818</v>
      </c>
      <c r="K634" s="122">
        <v>73</v>
      </c>
      <c r="L634">
        <v>0</v>
      </c>
      <c r="M634">
        <v>0</v>
      </c>
      <c r="N634">
        <v>378</v>
      </c>
      <c r="O634">
        <v>140</v>
      </c>
      <c r="P634">
        <v>621</v>
      </c>
      <c r="Q634">
        <v>230</v>
      </c>
      <c r="R634" s="122">
        <v>8545</v>
      </c>
      <c r="S634" s="122">
        <v>3165</v>
      </c>
      <c r="T634">
        <v>0</v>
      </c>
      <c r="U634">
        <v>0</v>
      </c>
      <c r="V634" s="122">
        <v>5352</v>
      </c>
      <c r="W634" s="122">
        <f t="shared" si="18"/>
        <v>5353</v>
      </c>
      <c r="X634" s="122">
        <f t="shared" si="19"/>
        <v>11543</v>
      </c>
      <c r="Y634" s="122"/>
      <c r="AA634" t="s">
        <v>62</v>
      </c>
      <c r="AB634" t="s">
        <v>405</v>
      </c>
      <c r="AC634" t="s">
        <v>427</v>
      </c>
      <c r="AD634" t="s">
        <v>137</v>
      </c>
      <c r="AE634" t="s">
        <v>566</v>
      </c>
      <c r="AF634">
        <v>1</v>
      </c>
      <c r="AG634">
        <v>60</v>
      </c>
      <c r="AH634">
        <v>395</v>
      </c>
      <c r="AI634" s="122">
        <v>9848</v>
      </c>
      <c r="AJ634" s="122">
        <v>8953</v>
      </c>
      <c r="AK634">
        <v>72</v>
      </c>
      <c r="AL634" s="122">
        <v>2495</v>
      </c>
      <c r="AM634" s="122">
        <v>2268</v>
      </c>
      <c r="AN634" s="122">
        <v>1273</v>
      </c>
      <c r="AO634">
        <v>471</v>
      </c>
      <c r="AP634">
        <v>473</v>
      </c>
      <c r="AQ634">
        <v>175</v>
      </c>
      <c r="AR634" s="122">
        <v>9522</v>
      </c>
      <c r="AS634" s="122">
        <v>3527</v>
      </c>
      <c r="AT634">
        <v>0</v>
      </c>
      <c r="AU634">
        <v>0</v>
      </c>
      <c r="AV634" s="122">
        <v>15394</v>
      </c>
    </row>
    <row r="635" spans="2:48" ht="13">
      <c r="B635" t="s">
        <v>443</v>
      </c>
      <c r="C635" t="s">
        <v>60</v>
      </c>
      <c r="D635" t="s">
        <v>406</v>
      </c>
      <c r="E635" t="s">
        <v>406</v>
      </c>
      <c r="F635">
        <v>3</v>
      </c>
      <c r="G635" s="122">
        <v>324</v>
      </c>
      <c r="H635" s="122">
        <v>1021</v>
      </c>
      <c r="I635" s="122">
        <v>59155</v>
      </c>
      <c r="J635" s="191">
        <v>53777</v>
      </c>
      <c r="K635" s="122">
        <v>76</v>
      </c>
      <c r="L635" s="122">
        <v>19695</v>
      </c>
      <c r="M635" s="122">
        <v>17297</v>
      </c>
      <c r="N635" s="122">
        <v>6277</v>
      </c>
      <c r="O635" s="122">
        <v>2325</v>
      </c>
      <c r="P635" s="122">
        <v>1863</v>
      </c>
      <c r="Q635">
        <v>690</v>
      </c>
      <c r="R635" s="122">
        <v>13917</v>
      </c>
      <c r="S635" s="122">
        <v>12652</v>
      </c>
      <c r="T635" s="122">
        <v>8774</v>
      </c>
      <c r="U635" s="122">
        <v>3249</v>
      </c>
      <c r="V635" s="122">
        <v>89990</v>
      </c>
      <c r="W635" s="122">
        <f t="shared" si="18"/>
        <v>89990</v>
      </c>
      <c r="X635" s="122">
        <f t="shared" si="19"/>
        <v>109681</v>
      </c>
      <c r="Y635" s="122"/>
      <c r="AA635" t="s">
        <v>62</v>
      </c>
      <c r="AB635" t="s">
        <v>405</v>
      </c>
      <c r="AC635" t="s">
        <v>579</v>
      </c>
      <c r="AD635" t="s">
        <v>405</v>
      </c>
      <c r="AE635" t="s">
        <v>137</v>
      </c>
      <c r="AF635">
        <v>3</v>
      </c>
      <c r="AG635">
        <v>162</v>
      </c>
      <c r="AH635" s="122">
        <v>1239</v>
      </c>
      <c r="AI635" s="122">
        <v>36349</v>
      </c>
      <c r="AJ635" s="122">
        <v>33045</v>
      </c>
      <c r="AK635">
        <v>69</v>
      </c>
      <c r="AL635" s="122">
        <v>9656</v>
      </c>
      <c r="AM635" s="122">
        <v>8047</v>
      </c>
      <c r="AN635" s="122">
        <v>3842</v>
      </c>
      <c r="AO635" s="122">
        <v>1423</v>
      </c>
      <c r="AP635" s="122">
        <v>1053</v>
      </c>
      <c r="AQ635">
        <v>390</v>
      </c>
      <c r="AR635" s="122">
        <v>10577</v>
      </c>
      <c r="AS635" s="122">
        <v>9615</v>
      </c>
      <c r="AT635" s="122">
        <v>5554</v>
      </c>
      <c r="AU635" s="122">
        <v>2057</v>
      </c>
      <c r="AV635" s="122">
        <v>54577</v>
      </c>
    </row>
    <row r="636" spans="2:48" ht="13">
      <c r="B636" t="s">
        <v>443</v>
      </c>
      <c r="C636" t="s">
        <v>60</v>
      </c>
      <c r="D636" t="s">
        <v>407</v>
      </c>
      <c r="E636" t="s">
        <v>407</v>
      </c>
      <c r="F636">
        <v>32</v>
      </c>
      <c r="G636" s="122">
        <v>2069</v>
      </c>
      <c r="H636" s="122">
        <v>10690</v>
      </c>
      <c r="I636" s="122">
        <v>389243</v>
      </c>
      <c r="J636" s="191">
        <v>353857</v>
      </c>
      <c r="K636" s="122">
        <v>75</v>
      </c>
      <c r="L636" s="122">
        <v>77313</v>
      </c>
      <c r="M636" s="122">
        <v>63433</v>
      </c>
      <c r="N636" s="122">
        <v>43380</v>
      </c>
      <c r="O636" s="122">
        <v>16067</v>
      </c>
      <c r="P636" s="122">
        <v>14648</v>
      </c>
      <c r="Q636" s="122">
        <v>5425</v>
      </c>
      <c r="R636" s="122">
        <v>130749</v>
      </c>
      <c r="S636" s="122">
        <v>118863</v>
      </c>
      <c r="T636" s="122">
        <v>32385</v>
      </c>
      <c r="U636" s="122">
        <v>11994</v>
      </c>
      <c r="V636" s="122">
        <v>569639</v>
      </c>
      <c r="W636" s="122">
        <f t="shared" si="18"/>
        <v>569639</v>
      </c>
      <c r="X636" s="122">
        <f t="shared" si="19"/>
        <v>687718</v>
      </c>
      <c r="Y636" s="122"/>
      <c r="AA636" t="s">
        <v>62</v>
      </c>
      <c r="AB636" t="s">
        <v>405</v>
      </c>
      <c r="AC636" t="s">
        <v>426</v>
      </c>
      <c r="AD636" t="s">
        <v>405</v>
      </c>
      <c r="AE636" t="s">
        <v>137</v>
      </c>
      <c r="AF636">
        <v>2</v>
      </c>
      <c r="AG636">
        <v>126</v>
      </c>
      <c r="AH636">
        <v>880</v>
      </c>
      <c r="AI636" s="122">
        <v>31203</v>
      </c>
      <c r="AJ636" s="122">
        <v>28367</v>
      </c>
      <c r="AK636">
        <v>76</v>
      </c>
      <c r="AL636" s="122">
        <v>8693</v>
      </c>
      <c r="AM636" s="122">
        <v>7903</v>
      </c>
      <c r="AN636" s="122">
        <v>2283</v>
      </c>
      <c r="AO636">
        <v>846</v>
      </c>
      <c r="AP636">
        <v>824</v>
      </c>
      <c r="AQ636">
        <v>305</v>
      </c>
      <c r="AR636" s="122">
        <v>8637</v>
      </c>
      <c r="AS636" s="122">
        <v>7851</v>
      </c>
      <c r="AT636" s="122">
        <v>3816</v>
      </c>
      <c r="AU636" s="122">
        <v>1413</v>
      </c>
      <c r="AV636" s="122">
        <v>46684</v>
      </c>
    </row>
    <row r="637" spans="2:48" ht="13">
      <c r="B637" t="s">
        <v>443</v>
      </c>
      <c r="C637" t="s">
        <v>60</v>
      </c>
      <c r="D637" t="s">
        <v>556</v>
      </c>
      <c r="E637" t="s">
        <v>137</v>
      </c>
      <c r="F637">
        <v>1</v>
      </c>
      <c r="G637">
        <v>42</v>
      </c>
      <c r="H637">
        <v>366</v>
      </c>
      <c r="I637" s="122">
        <v>8586</v>
      </c>
      <c r="J637" s="191">
        <v>7155</v>
      </c>
      <c r="K637">
        <v>30</v>
      </c>
      <c r="L637">
        <v>644</v>
      </c>
      <c r="M637">
        <v>238</v>
      </c>
      <c r="N637">
        <v>506</v>
      </c>
      <c r="O637">
        <v>188</v>
      </c>
      <c r="P637">
        <v>0</v>
      </c>
      <c r="Q637">
        <v>0</v>
      </c>
      <c r="R637" s="122">
        <v>5459</v>
      </c>
      <c r="S637" s="122">
        <v>2022</v>
      </c>
      <c r="T637">
        <v>0</v>
      </c>
      <c r="U637">
        <v>0</v>
      </c>
      <c r="V637" s="122">
        <v>9603</v>
      </c>
      <c r="W637" s="122">
        <f t="shared" si="18"/>
        <v>9603</v>
      </c>
      <c r="X637" s="122">
        <f t="shared" si="19"/>
        <v>15195</v>
      </c>
      <c r="Y637" s="122"/>
      <c r="AA637" t="s">
        <v>62</v>
      </c>
      <c r="AB637" t="s">
        <v>405</v>
      </c>
      <c r="AC637" t="s">
        <v>566</v>
      </c>
      <c r="AD637" t="s">
        <v>405</v>
      </c>
      <c r="AE637" t="s">
        <v>137</v>
      </c>
      <c r="AF637">
        <v>1</v>
      </c>
      <c r="AG637">
        <v>58</v>
      </c>
      <c r="AH637">
        <v>398</v>
      </c>
      <c r="AI637" s="122">
        <v>15482</v>
      </c>
      <c r="AJ637" s="122">
        <v>14074</v>
      </c>
      <c r="AK637">
        <v>68</v>
      </c>
      <c r="AL637">
        <v>0</v>
      </c>
      <c r="AM637">
        <v>0</v>
      </c>
      <c r="AN637" s="122">
        <v>1055</v>
      </c>
      <c r="AO637">
        <v>391</v>
      </c>
      <c r="AP637">
        <v>473</v>
      </c>
      <c r="AQ637">
        <v>175</v>
      </c>
      <c r="AR637" s="122">
        <v>3942</v>
      </c>
      <c r="AS637" s="122">
        <v>3583</v>
      </c>
      <c r="AT637" s="122">
        <v>1991</v>
      </c>
      <c r="AU637">
        <v>738</v>
      </c>
      <c r="AV637" s="122">
        <v>18961</v>
      </c>
    </row>
    <row r="638" spans="2:48" ht="13">
      <c r="B638" t="s">
        <v>443</v>
      </c>
      <c r="C638" t="s">
        <v>62</v>
      </c>
      <c r="F638" s="122">
        <v>2</v>
      </c>
      <c r="G638" s="122">
        <v>70</v>
      </c>
      <c r="H638" s="122">
        <v>841</v>
      </c>
      <c r="J638" s="191">
        <v>0</v>
      </c>
      <c r="K638" s="122"/>
      <c r="M638">
        <v>0</v>
      </c>
      <c r="N638" s="122">
        <v>1330</v>
      </c>
      <c r="O638">
        <v>493</v>
      </c>
      <c r="P638">
        <v>0</v>
      </c>
      <c r="Q638">
        <v>0</v>
      </c>
      <c r="S638">
        <v>0</v>
      </c>
      <c r="T638" s="122">
        <v>2296</v>
      </c>
      <c r="U638">
        <v>850</v>
      </c>
      <c r="V638" s="122">
        <v>1343</v>
      </c>
      <c r="W638" s="122">
        <f t="shared" si="18"/>
        <v>1343</v>
      </c>
      <c r="X638" s="122">
        <f t="shared" si="19"/>
        <v>3626</v>
      </c>
      <c r="Y638" s="122"/>
      <c r="AA638" t="s">
        <v>62</v>
      </c>
      <c r="AB638" t="s">
        <v>405</v>
      </c>
      <c r="AC638" t="s">
        <v>566</v>
      </c>
      <c r="AD638" t="s">
        <v>405</v>
      </c>
      <c r="AE638" t="s">
        <v>566</v>
      </c>
      <c r="AF638">
        <v>6</v>
      </c>
      <c r="AG638">
        <v>286</v>
      </c>
      <c r="AH638" s="122">
        <v>2430</v>
      </c>
      <c r="AI638" s="122">
        <v>92818</v>
      </c>
      <c r="AJ638" s="122">
        <v>84380</v>
      </c>
      <c r="AK638">
        <v>73</v>
      </c>
      <c r="AL638">
        <v>0</v>
      </c>
      <c r="AM638">
        <v>0</v>
      </c>
      <c r="AN638" s="122">
        <v>5999</v>
      </c>
      <c r="AO638" s="122">
        <v>2222</v>
      </c>
      <c r="AP638" s="122">
        <v>2714</v>
      </c>
      <c r="AQ638" s="122">
        <v>1005</v>
      </c>
      <c r="AR638" s="122">
        <v>13402</v>
      </c>
      <c r="AS638" s="122">
        <v>12184</v>
      </c>
      <c r="AT638">
        <v>0</v>
      </c>
      <c r="AU638">
        <v>0</v>
      </c>
      <c r="AV638" s="122">
        <v>99791</v>
      </c>
    </row>
    <row r="639" spans="2:48" ht="13">
      <c r="B639" t="s">
        <v>443</v>
      </c>
      <c r="C639" t="s">
        <v>62</v>
      </c>
      <c r="D639" t="s">
        <v>137</v>
      </c>
      <c r="E639" t="s">
        <v>137</v>
      </c>
      <c r="F639">
        <v>34</v>
      </c>
      <c r="G639" s="122">
        <v>1743</v>
      </c>
      <c r="H639" s="122">
        <v>14160</v>
      </c>
      <c r="I639" s="122">
        <v>423125</v>
      </c>
      <c r="J639" s="191">
        <v>156713</v>
      </c>
      <c r="K639" s="122">
        <v>100</v>
      </c>
      <c r="L639" s="122">
        <v>56006</v>
      </c>
      <c r="M639" s="122">
        <v>35845</v>
      </c>
      <c r="N639" s="122">
        <v>37431</v>
      </c>
      <c r="O639" s="122">
        <v>13863</v>
      </c>
      <c r="P639">
        <v>0</v>
      </c>
      <c r="Q639">
        <v>0</v>
      </c>
      <c r="R639" s="122">
        <v>204478</v>
      </c>
      <c r="S639" s="122">
        <v>75732</v>
      </c>
      <c r="T639" s="122">
        <v>1982</v>
      </c>
      <c r="U639">
        <v>734</v>
      </c>
      <c r="V639" s="122">
        <v>282888</v>
      </c>
      <c r="W639" s="122">
        <f t="shared" si="18"/>
        <v>282887</v>
      </c>
      <c r="X639" s="122">
        <f t="shared" si="19"/>
        <v>723022</v>
      </c>
      <c r="Y639" s="122"/>
      <c r="AA639" t="s">
        <v>62</v>
      </c>
      <c r="AB639" t="s">
        <v>137</v>
      </c>
      <c r="AC639" t="s">
        <v>425</v>
      </c>
      <c r="AD639" t="s">
        <v>137</v>
      </c>
      <c r="AE639" t="s">
        <v>137</v>
      </c>
      <c r="AF639">
        <v>1</v>
      </c>
      <c r="AG639">
        <v>53</v>
      </c>
      <c r="AH639">
        <v>421</v>
      </c>
      <c r="AI639" s="122">
        <v>15575</v>
      </c>
      <c r="AJ639" s="122">
        <v>5768</v>
      </c>
      <c r="AK639">
        <v>100</v>
      </c>
      <c r="AL639">
        <v>783</v>
      </c>
      <c r="AM639">
        <v>712</v>
      </c>
      <c r="AN639" s="122">
        <v>1283</v>
      </c>
      <c r="AO639">
        <v>475</v>
      </c>
      <c r="AP639">
        <v>0</v>
      </c>
      <c r="AQ639">
        <v>0</v>
      </c>
      <c r="AR639" s="122">
        <v>4531</v>
      </c>
      <c r="AS639" s="122">
        <v>1678</v>
      </c>
      <c r="AT639">
        <v>0</v>
      </c>
      <c r="AU639">
        <v>0</v>
      </c>
      <c r="AV639" s="122">
        <v>8634</v>
      </c>
    </row>
    <row r="640" spans="2:48" ht="13">
      <c r="B640" t="s">
        <v>443</v>
      </c>
      <c r="C640" t="s">
        <v>62</v>
      </c>
      <c r="D640" t="s">
        <v>406</v>
      </c>
      <c r="E640" t="s">
        <v>137</v>
      </c>
      <c r="F640">
        <v>1</v>
      </c>
      <c r="G640">
        <v>37</v>
      </c>
      <c r="H640" s="122">
        <v>426</v>
      </c>
      <c r="I640" s="122">
        <v>5795</v>
      </c>
      <c r="J640" s="191">
        <v>5268</v>
      </c>
      <c r="K640" s="122">
        <v>73</v>
      </c>
      <c r="L640">
        <v>0</v>
      </c>
      <c r="M640">
        <v>0</v>
      </c>
      <c r="N640">
        <v>448</v>
      </c>
      <c r="O640">
        <v>166</v>
      </c>
      <c r="P640">
        <v>621</v>
      </c>
      <c r="Q640">
        <v>230</v>
      </c>
      <c r="R640" s="122">
        <v>8805</v>
      </c>
      <c r="S640" s="122">
        <v>3261</v>
      </c>
      <c r="T640">
        <v>0</v>
      </c>
      <c r="U640">
        <v>0</v>
      </c>
      <c r="V640" s="122">
        <v>8925</v>
      </c>
      <c r="W640" s="122">
        <f t="shared" si="18"/>
        <v>8925</v>
      </c>
      <c r="X640" s="122">
        <f t="shared" si="19"/>
        <v>15669</v>
      </c>
      <c r="Y640" s="122"/>
      <c r="AA640" t="s">
        <v>62</v>
      </c>
      <c r="AB640" t="s">
        <v>137</v>
      </c>
      <c r="AC640" t="s">
        <v>425</v>
      </c>
      <c r="AD640" t="s">
        <v>137</v>
      </c>
      <c r="AE640" t="s">
        <v>566</v>
      </c>
      <c r="AF640">
        <v>8</v>
      </c>
      <c r="AG640">
        <v>545</v>
      </c>
      <c r="AH640" s="122">
        <v>3362</v>
      </c>
      <c r="AI640" s="122">
        <v>136804</v>
      </c>
      <c r="AJ640" s="122">
        <v>50668</v>
      </c>
      <c r="AK640">
        <v>100</v>
      </c>
      <c r="AL640" s="122">
        <v>31553</v>
      </c>
      <c r="AM640" s="122">
        <v>28684</v>
      </c>
      <c r="AN640" s="122">
        <v>12342</v>
      </c>
      <c r="AO640" s="122">
        <v>4571</v>
      </c>
      <c r="AP640">
        <v>0</v>
      </c>
      <c r="AQ640">
        <v>0</v>
      </c>
      <c r="AR640" s="122">
        <v>50149</v>
      </c>
      <c r="AS640" s="122">
        <v>18574</v>
      </c>
      <c r="AT640">
        <v>0</v>
      </c>
      <c r="AU640">
        <v>0</v>
      </c>
      <c r="AV640" s="122">
        <v>102497</v>
      </c>
    </row>
    <row r="641" spans="2:48" ht="13">
      <c r="B641" t="s">
        <v>443</v>
      </c>
      <c r="C641" t="s">
        <v>62</v>
      </c>
      <c r="D641" t="s">
        <v>406</v>
      </c>
      <c r="E641" t="s">
        <v>406</v>
      </c>
      <c r="F641">
        <v>1</v>
      </c>
      <c r="G641">
        <v>64</v>
      </c>
      <c r="H641">
        <v>406</v>
      </c>
      <c r="I641" s="122">
        <v>14707</v>
      </c>
      <c r="J641" s="191">
        <v>13370</v>
      </c>
      <c r="K641">
        <v>65</v>
      </c>
      <c r="L641" s="122">
        <v>3937</v>
      </c>
      <c r="M641" s="122">
        <v>1458</v>
      </c>
      <c r="N641">
        <v>778</v>
      </c>
      <c r="O641">
        <v>288</v>
      </c>
      <c r="P641">
        <v>621</v>
      </c>
      <c r="Q641">
        <v>230</v>
      </c>
      <c r="R641" s="122">
        <v>5865</v>
      </c>
      <c r="S641" s="122">
        <v>5332</v>
      </c>
      <c r="T641">
        <v>0</v>
      </c>
      <c r="U641">
        <v>0</v>
      </c>
      <c r="V641" s="122">
        <v>20678</v>
      </c>
      <c r="W641" s="122">
        <f t="shared" si="18"/>
        <v>20678</v>
      </c>
      <c r="X641" s="122">
        <f t="shared" si="19"/>
        <v>25908</v>
      </c>
      <c r="Y641" s="122"/>
      <c r="AA641" t="s">
        <v>62</v>
      </c>
      <c r="AB641" t="s">
        <v>137</v>
      </c>
      <c r="AC641" t="s">
        <v>137</v>
      </c>
      <c r="AD641" t="s">
        <v>404</v>
      </c>
      <c r="AE641" t="s">
        <v>566</v>
      </c>
      <c r="AF641">
        <v>1</v>
      </c>
      <c r="AG641">
        <v>71</v>
      </c>
      <c r="AH641">
        <v>411</v>
      </c>
      <c r="AI641" s="122">
        <v>18497</v>
      </c>
      <c r="AJ641" s="122">
        <v>6851</v>
      </c>
      <c r="AK641">
        <v>100</v>
      </c>
      <c r="AL641" s="122">
        <v>3264</v>
      </c>
      <c r="AM641" s="122">
        <v>1209</v>
      </c>
      <c r="AN641" s="122">
        <v>1238</v>
      </c>
      <c r="AO641">
        <v>459</v>
      </c>
      <c r="AP641">
        <v>0</v>
      </c>
      <c r="AQ641">
        <v>0</v>
      </c>
      <c r="AR641" s="122">
        <v>6195</v>
      </c>
      <c r="AS641" s="122">
        <v>2294</v>
      </c>
      <c r="AT641">
        <v>0</v>
      </c>
      <c r="AU641">
        <v>0</v>
      </c>
      <c r="AV641" s="122">
        <v>10813</v>
      </c>
    </row>
    <row r="642" spans="2:48" ht="13">
      <c r="B642" t="s">
        <v>443</v>
      </c>
      <c r="C642" t="s">
        <v>62</v>
      </c>
      <c r="D642" t="s">
        <v>407</v>
      </c>
      <c r="E642" t="s">
        <v>137</v>
      </c>
      <c r="F642">
        <v>3</v>
      </c>
      <c r="G642">
        <v>166</v>
      </c>
      <c r="H642" s="122">
        <v>1239</v>
      </c>
      <c r="I642" s="122">
        <v>38587</v>
      </c>
      <c r="J642" s="191">
        <v>35079</v>
      </c>
      <c r="K642" s="122">
        <v>78</v>
      </c>
      <c r="L642" s="122">
        <v>5738</v>
      </c>
      <c r="M642" s="122">
        <v>5010</v>
      </c>
      <c r="N642" s="122">
        <v>3826</v>
      </c>
      <c r="O642" s="122">
        <v>1417</v>
      </c>
      <c r="P642" s="122">
        <v>1418</v>
      </c>
      <c r="Q642">
        <v>525</v>
      </c>
      <c r="R642" s="122">
        <v>18752</v>
      </c>
      <c r="S642" s="122">
        <v>6945</v>
      </c>
      <c r="T642">
        <v>0</v>
      </c>
      <c r="U642">
        <v>0</v>
      </c>
      <c r="V642" s="122">
        <v>48976</v>
      </c>
      <c r="W642" s="122">
        <f t="shared" si="18"/>
        <v>48976</v>
      </c>
      <c r="X642" s="122">
        <f t="shared" si="19"/>
        <v>68321</v>
      </c>
      <c r="Y642" s="122"/>
      <c r="AA642" t="s">
        <v>62</v>
      </c>
      <c r="AB642" t="s">
        <v>137</v>
      </c>
      <c r="AC642" t="s">
        <v>137</v>
      </c>
      <c r="AD642" t="s">
        <v>137</v>
      </c>
      <c r="AE642" t="s">
        <v>137</v>
      </c>
      <c r="AF642">
        <v>86</v>
      </c>
      <c r="AG642" s="122">
        <v>4503</v>
      </c>
      <c r="AH642" s="122">
        <v>35663</v>
      </c>
      <c r="AI642" s="122">
        <v>1105624</v>
      </c>
      <c r="AJ642" s="122">
        <v>409490</v>
      </c>
      <c r="AK642">
        <v>100</v>
      </c>
      <c r="AL642" s="122">
        <v>167023</v>
      </c>
      <c r="AM642" s="122">
        <v>61860</v>
      </c>
      <c r="AN642" s="122">
        <v>87415</v>
      </c>
      <c r="AO642" s="122">
        <v>32376</v>
      </c>
      <c r="AP642" s="122">
        <v>3460</v>
      </c>
      <c r="AQ642" s="122">
        <v>1281</v>
      </c>
      <c r="AR642" s="122">
        <v>480336</v>
      </c>
      <c r="AS642" s="122">
        <v>177902</v>
      </c>
      <c r="AT642" s="122">
        <v>23582</v>
      </c>
      <c r="AU642" s="122">
        <v>8734</v>
      </c>
      <c r="AV642" s="122">
        <v>691644</v>
      </c>
    </row>
    <row r="643" spans="2:48" ht="13">
      <c r="B643" t="s">
        <v>443</v>
      </c>
      <c r="C643" t="s">
        <v>62</v>
      </c>
      <c r="D643" t="s">
        <v>407</v>
      </c>
      <c r="E643" t="s">
        <v>407</v>
      </c>
      <c r="F643">
        <v>14</v>
      </c>
      <c r="G643" s="122">
        <v>867</v>
      </c>
      <c r="H643" s="122">
        <v>5827</v>
      </c>
      <c r="I643" s="122">
        <v>206076</v>
      </c>
      <c r="J643" s="191">
        <v>187342</v>
      </c>
      <c r="K643" s="122">
        <v>74</v>
      </c>
      <c r="L643" s="122">
        <v>45884</v>
      </c>
      <c r="M643" s="122">
        <v>36563</v>
      </c>
      <c r="N643" s="122">
        <v>20164</v>
      </c>
      <c r="O643" s="122">
        <v>7468</v>
      </c>
      <c r="P643" s="122">
        <v>6615</v>
      </c>
      <c r="Q643" s="122">
        <v>2450</v>
      </c>
      <c r="R643" s="122">
        <v>63832</v>
      </c>
      <c r="S643" s="122">
        <v>58029</v>
      </c>
      <c r="T643" s="122">
        <v>19727</v>
      </c>
      <c r="U643" s="122">
        <v>7306</v>
      </c>
      <c r="V643" s="122">
        <v>299158</v>
      </c>
      <c r="W643" s="122">
        <f t="shared" si="18"/>
        <v>299158</v>
      </c>
      <c r="X643" s="122">
        <f t="shared" si="19"/>
        <v>362298</v>
      </c>
      <c r="Y643" s="122"/>
      <c r="AA643" t="s">
        <v>62</v>
      </c>
      <c r="AB643" t="s">
        <v>137</v>
      </c>
      <c r="AC643" t="s">
        <v>137</v>
      </c>
      <c r="AD643" t="s">
        <v>137</v>
      </c>
      <c r="AE643" t="s">
        <v>566</v>
      </c>
      <c r="AF643" s="122">
        <v>2025</v>
      </c>
      <c r="AG643" s="122">
        <v>107739</v>
      </c>
      <c r="AH643" s="122">
        <v>833238</v>
      </c>
      <c r="AI643" s="122">
        <v>26136167</v>
      </c>
      <c r="AJ643" s="122">
        <v>9680062</v>
      </c>
      <c r="AK643">
        <v>100</v>
      </c>
      <c r="AL643" s="122">
        <v>4611121</v>
      </c>
      <c r="AM643" s="122">
        <v>1707823</v>
      </c>
      <c r="AN643" s="122">
        <v>2221128</v>
      </c>
      <c r="AO643" s="122">
        <v>822640</v>
      </c>
      <c r="AP643" s="122">
        <v>23935</v>
      </c>
      <c r="AQ643" s="122">
        <v>8865</v>
      </c>
      <c r="AR643" s="122">
        <v>11332068</v>
      </c>
      <c r="AS643" s="122">
        <v>4197062</v>
      </c>
      <c r="AT643">
        <v>0</v>
      </c>
      <c r="AU643">
        <v>0</v>
      </c>
      <c r="AV643" s="122">
        <v>16416451</v>
      </c>
    </row>
    <row r="644" spans="2:48" ht="13">
      <c r="B644" t="s">
        <v>443</v>
      </c>
      <c r="C644" t="s">
        <v>64</v>
      </c>
      <c r="F644">
        <v>4</v>
      </c>
      <c r="G644">
        <v>159</v>
      </c>
      <c r="H644" s="122">
        <v>2505</v>
      </c>
      <c r="J644" s="191">
        <v>0</v>
      </c>
      <c r="K644" s="122"/>
      <c r="M644">
        <v>0</v>
      </c>
      <c r="N644" s="122">
        <v>3279</v>
      </c>
      <c r="O644" s="122">
        <v>1215</v>
      </c>
      <c r="P644">
        <v>621</v>
      </c>
      <c r="Q644">
        <v>230</v>
      </c>
      <c r="S644">
        <v>0</v>
      </c>
      <c r="T644" s="122">
        <v>1018</v>
      </c>
      <c r="U644">
        <v>377</v>
      </c>
      <c r="V644" s="122">
        <v>1822</v>
      </c>
      <c r="W644" s="122">
        <f t="shared" si="18"/>
        <v>1822</v>
      </c>
      <c r="X644" s="122">
        <f t="shared" si="19"/>
        <v>4918</v>
      </c>
      <c r="Y644" s="122"/>
      <c r="AA644" t="s">
        <v>62</v>
      </c>
      <c r="AB644" t="s">
        <v>137</v>
      </c>
      <c r="AC644" t="s">
        <v>580</v>
      </c>
      <c r="AD644" t="s">
        <v>137</v>
      </c>
      <c r="AE644" t="s">
        <v>566</v>
      </c>
      <c r="AF644">
        <v>1</v>
      </c>
      <c r="AG644">
        <v>117</v>
      </c>
      <c r="AH644">
        <v>393</v>
      </c>
      <c r="AI644" s="122">
        <v>32975</v>
      </c>
      <c r="AJ644" s="122">
        <v>12213</v>
      </c>
      <c r="AK644">
        <v>100</v>
      </c>
      <c r="AL644" s="122">
        <v>2488</v>
      </c>
      <c r="AM644" s="122">
        <v>2262</v>
      </c>
      <c r="AN644" s="122">
        <v>2851</v>
      </c>
      <c r="AO644" s="122">
        <v>1056</v>
      </c>
      <c r="AP644">
        <v>0</v>
      </c>
      <c r="AQ644">
        <v>0</v>
      </c>
      <c r="AR644" s="122">
        <v>7726</v>
      </c>
      <c r="AS644" s="122">
        <v>2862</v>
      </c>
      <c r="AT644">
        <v>0</v>
      </c>
      <c r="AU644">
        <v>0</v>
      </c>
      <c r="AV644" s="122">
        <v>18392</v>
      </c>
    </row>
    <row r="645" spans="2:48" ht="13">
      <c r="B645" t="s">
        <v>443</v>
      </c>
      <c r="C645" t="s">
        <v>64</v>
      </c>
      <c r="D645" t="s">
        <v>137</v>
      </c>
      <c r="E645" t="s">
        <v>137</v>
      </c>
      <c r="F645">
        <v>63</v>
      </c>
      <c r="G645" s="122">
        <v>2660</v>
      </c>
      <c r="H645" s="122">
        <v>39023</v>
      </c>
      <c r="I645" s="122">
        <v>1082240</v>
      </c>
      <c r="J645" s="191">
        <v>400830</v>
      </c>
      <c r="K645" s="122">
        <v>100</v>
      </c>
      <c r="L645" s="122">
        <v>172320</v>
      </c>
      <c r="M645" s="122">
        <v>113307</v>
      </c>
      <c r="N645" s="122">
        <v>55390</v>
      </c>
      <c r="O645" s="122">
        <v>20515</v>
      </c>
      <c r="P645" s="122">
        <v>1323</v>
      </c>
      <c r="Q645">
        <v>490</v>
      </c>
      <c r="R645" s="122">
        <v>332080</v>
      </c>
      <c r="S645" s="122">
        <v>122992</v>
      </c>
      <c r="T645">
        <v>0</v>
      </c>
      <c r="U645">
        <v>0</v>
      </c>
      <c r="V645" s="122">
        <v>658134</v>
      </c>
      <c r="W645" s="122">
        <f t="shared" si="18"/>
        <v>658134</v>
      </c>
      <c r="X645" s="122">
        <f t="shared" si="19"/>
        <v>1643353</v>
      </c>
      <c r="Y645" s="122"/>
      <c r="AA645" t="s">
        <v>62</v>
      </c>
      <c r="AB645" t="s">
        <v>137</v>
      </c>
      <c r="AC645" t="s">
        <v>427</v>
      </c>
      <c r="AD645" t="s">
        <v>137</v>
      </c>
      <c r="AE645" t="s">
        <v>137</v>
      </c>
      <c r="AF645">
        <v>5</v>
      </c>
      <c r="AG645">
        <v>259</v>
      </c>
      <c r="AH645" s="122">
        <v>2104</v>
      </c>
      <c r="AI645" s="122">
        <v>61171</v>
      </c>
      <c r="AJ645" s="122">
        <v>22656</v>
      </c>
      <c r="AK645">
        <v>100</v>
      </c>
      <c r="AL645" s="122">
        <v>9152</v>
      </c>
      <c r="AM645" s="122">
        <v>8320</v>
      </c>
      <c r="AN645" s="122">
        <v>5519</v>
      </c>
      <c r="AO645" s="122">
        <v>2044</v>
      </c>
      <c r="AP645">
        <v>702</v>
      </c>
      <c r="AQ645">
        <v>260</v>
      </c>
      <c r="AR645" s="122">
        <v>27638</v>
      </c>
      <c r="AS645" s="122">
        <v>10236</v>
      </c>
      <c r="AT645" s="122">
        <v>4027</v>
      </c>
      <c r="AU645" s="122">
        <v>1491</v>
      </c>
      <c r="AV645" s="122">
        <v>45007</v>
      </c>
    </row>
    <row r="646" spans="2:48" ht="13">
      <c r="B646" t="s">
        <v>443</v>
      </c>
      <c r="C646" t="s">
        <v>64</v>
      </c>
      <c r="D646" t="s">
        <v>406</v>
      </c>
      <c r="E646" t="s">
        <v>137</v>
      </c>
      <c r="F646">
        <v>1</v>
      </c>
      <c r="G646">
        <v>34</v>
      </c>
      <c r="H646" s="122">
        <v>461</v>
      </c>
      <c r="I646" s="122">
        <v>6119</v>
      </c>
      <c r="J646" s="191">
        <v>5563</v>
      </c>
      <c r="K646" s="122">
        <v>73</v>
      </c>
      <c r="L646">
        <v>0</v>
      </c>
      <c r="M646">
        <v>0</v>
      </c>
      <c r="N646">
        <v>419</v>
      </c>
      <c r="O646">
        <v>155</v>
      </c>
      <c r="P646">
        <v>621</v>
      </c>
      <c r="Q646">
        <v>230</v>
      </c>
      <c r="R646" s="122">
        <v>8699</v>
      </c>
      <c r="S646" s="122">
        <v>3222</v>
      </c>
      <c r="T646">
        <v>0</v>
      </c>
      <c r="U646">
        <v>0</v>
      </c>
      <c r="V646" s="122">
        <v>9170</v>
      </c>
      <c r="W646" s="122">
        <f t="shared" si="18"/>
        <v>9170</v>
      </c>
      <c r="X646" s="122">
        <f t="shared" si="19"/>
        <v>15858</v>
      </c>
      <c r="Y646" s="122"/>
      <c r="AA646" t="s">
        <v>62</v>
      </c>
      <c r="AB646" t="s">
        <v>137</v>
      </c>
      <c r="AC646" t="s">
        <v>427</v>
      </c>
      <c r="AD646" t="s">
        <v>137</v>
      </c>
      <c r="AE646" t="s">
        <v>566</v>
      </c>
      <c r="AF646">
        <v>77</v>
      </c>
      <c r="AG646" s="122">
        <v>3973</v>
      </c>
      <c r="AH646" s="122">
        <v>31841</v>
      </c>
      <c r="AI646" s="122">
        <v>938360</v>
      </c>
      <c r="AJ646" s="122">
        <v>347541</v>
      </c>
      <c r="AK646">
        <v>100</v>
      </c>
      <c r="AL646" s="122">
        <v>142127</v>
      </c>
      <c r="AM646" s="122">
        <v>129206</v>
      </c>
      <c r="AN646" s="122">
        <v>81383</v>
      </c>
      <c r="AO646" s="122">
        <v>30142</v>
      </c>
      <c r="AP646" s="122">
        <v>2457</v>
      </c>
      <c r="AQ646">
        <v>910</v>
      </c>
      <c r="AR646" s="122">
        <v>483471</v>
      </c>
      <c r="AS646" s="122">
        <v>179063</v>
      </c>
      <c r="AT646">
        <v>0</v>
      </c>
      <c r="AU646">
        <v>0</v>
      </c>
      <c r="AV646" s="122">
        <v>686862</v>
      </c>
    </row>
    <row r="647" spans="2:48" ht="13">
      <c r="B647" t="s">
        <v>443</v>
      </c>
      <c r="C647" t="s">
        <v>64</v>
      </c>
      <c r="D647" t="s">
        <v>407</v>
      </c>
      <c r="E647" t="s">
        <v>407</v>
      </c>
      <c r="F647" s="122">
        <v>10</v>
      </c>
      <c r="G647" s="122">
        <v>585</v>
      </c>
      <c r="H647" s="122">
        <v>5293</v>
      </c>
      <c r="I647" s="122">
        <v>213932</v>
      </c>
      <c r="J647" s="191">
        <v>194484</v>
      </c>
      <c r="K647" s="122">
        <v>73</v>
      </c>
      <c r="L647" s="122">
        <v>15355</v>
      </c>
      <c r="M647" s="122">
        <v>13959</v>
      </c>
      <c r="N647" s="122">
        <v>13797</v>
      </c>
      <c r="O647" s="122">
        <v>5110</v>
      </c>
      <c r="P647" s="122">
        <v>4604</v>
      </c>
      <c r="Q647" s="122">
        <v>1705</v>
      </c>
      <c r="R647" s="122">
        <v>43025</v>
      </c>
      <c r="S647" s="122">
        <v>39114</v>
      </c>
      <c r="T647" s="122">
        <v>17609</v>
      </c>
      <c r="U647" s="122">
        <v>6522</v>
      </c>
      <c r="V647" s="122">
        <v>260893</v>
      </c>
      <c r="W647" s="122">
        <f t="shared" ref="W647:W710" si="20">SUM(ABS(J647),ABS(M647),ABS(O647),ABS(Q647),ABS(S647),ABS(U647))</f>
        <v>260894</v>
      </c>
      <c r="X647" s="122">
        <f t="shared" ref="X647:X710" si="21">SUM(ABS(I647),ABS(N647),ABS(P647),ABS(R647),ABS(T647),ABS(L647))</f>
        <v>308322</v>
      </c>
      <c r="Y647" s="122"/>
      <c r="AA647" t="s">
        <v>62</v>
      </c>
      <c r="AB647" t="s">
        <v>137</v>
      </c>
      <c r="AC647" t="s">
        <v>407</v>
      </c>
      <c r="AD647" t="s">
        <v>137</v>
      </c>
      <c r="AE647" t="s">
        <v>566</v>
      </c>
      <c r="AF647">
        <v>22</v>
      </c>
      <c r="AG647" s="122">
        <v>1350</v>
      </c>
      <c r="AH647" s="122">
        <v>9011</v>
      </c>
      <c r="AI647" s="122">
        <v>328271</v>
      </c>
      <c r="AJ647" s="122">
        <v>121582</v>
      </c>
      <c r="AK647">
        <v>100</v>
      </c>
      <c r="AL647" s="122">
        <v>57550</v>
      </c>
      <c r="AM647" s="122">
        <v>52318</v>
      </c>
      <c r="AN647" s="122">
        <v>30689</v>
      </c>
      <c r="AO647" s="122">
        <v>11366</v>
      </c>
      <c r="AP647">
        <v>702</v>
      </c>
      <c r="AQ647">
        <v>260</v>
      </c>
      <c r="AR647" s="122">
        <v>146346</v>
      </c>
      <c r="AS647" s="122">
        <v>54202</v>
      </c>
      <c r="AT647">
        <v>0</v>
      </c>
      <c r="AU647">
        <v>0</v>
      </c>
      <c r="AV647" s="122">
        <v>239728</v>
      </c>
    </row>
    <row r="648" spans="2:48" ht="13">
      <c r="B648" t="s">
        <v>443</v>
      </c>
      <c r="C648" t="s">
        <v>64</v>
      </c>
      <c r="D648" t="s">
        <v>556</v>
      </c>
      <c r="E648" t="s">
        <v>137</v>
      </c>
      <c r="F648">
        <v>2</v>
      </c>
      <c r="G648" s="122">
        <v>102</v>
      </c>
      <c r="H648" s="122">
        <v>1745</v>
      </c>
      <c r="I648" s="122">
        <v>70150</v>
      </c>
      <c r="J648" s="191">
        <v>58458</v>
      </c>
      <c r="K648" s="122">
        <v>30</v>
      </c>
      <c r="L648" s="122">
        <v>5261</v>
      </c>
      <c r="M648" s="122">
        <v>1949</v>
      </c>
      <c r="N648" s="122">
        <v>1849</v>
      </c>
      <c r="O648">
        <v>685</v>
      </c>
      <c r="P648">
        <v>0</v>
      </c>
      <c r="Q648">
        <v>0</v>
      </c>
      <c r="R648" s="122">
        <v>9317</v>
      </c>
      <c r="S648" s="122">
        <v>3451</v>
      </c>
      <c r="T648">
        <v>0</v>
      </c>
      <c r="U648">
        <v>0</v>
      </c>
      <c r="V648" s="122">
        <v>64542</v>
      </c>
      <c r="W648" s="122">
        <f t="shared" si="20"/>
        <v>64543</v>
      </c>
      <c r="X648" s="122">
        <f t="shared" si="21"/>
        <v>86577</v>
      </c>
      <c r="Y648" s="122"/>
      <c r="AA648" t="s">
        <v>62</v>
      </c>
      <c r="AB648" t="s">
        <v>137</v>
      </c>
      <c r="AC648" t="s">
        <v>407</v>
      </c>
      <c r="AD648" t="s">
        <v>407</v>
      </c>
      <c r="AE648" t="s">
        <v>137</v>
      </c>
      <c r="AF648">
        <v>1</v>
      </c>
      <c r="AG648">
        <v>222</v>
      </c>
      <c r="AH648">
        <v>430</v>
      </c>
      <c r="AI648" s="122">
        <v>74734</v>
      </c>
      <c r="AJ648" s="122">
        <v>27679</v>
      </c>
      <c r="AK648">
        <v>100</v>
      </c>
      <c r="AL648" s="122">
        <v>7150</v>
      </c>
      <c r="AM648" s="122">
        <v>6500</v>
      </c>
      <c r="AN648" s="122">
        <v>4000</v>
      </c>
      <c r="AO648" s="122">
        <v>1482</v>
      </c>
      <c r="AP648">
        <v>473</v>
      </c>
      <c r="AQ648">
        <v>175</v>
      </c>
      <c r="AR648" s="122">
        <v>5286</v>
      </c>
      <c r="AS648" s="122">
        <v>4805</v>
      </c>
      <c r="AT648" s="122">
        <v>3715</v>
      </c>
      <c r="AU648" s="122">
        <v>1376</v>
      </c>
      <c r="AV648" s="122">
        <v>42017</v>
      </c>
    </row>
    <row r="649" spans="2:48" ht="13">
      <c r="B649" t="s">
        <v>443</v>
      </c>
      <c r="C649" t="s">
        <v>64</v>
      </c>
      <c r="D649" t="s">
        <v>556</v>
      </c>
      <c r="E649" t="s">
        <v>556</v>
      </c>
      <c r="F649">
        <v>1</v>
      </c>
      <c r="G649" s="122">
        <v>36</v>
      </c>
      <c r="H649" s="122">
        <v>480</v>
      </c>
      <c r="I649" s="122">
        <v>9537</v>
      </c>
      <c r="J649" s="191">
        <v>7947</v>
      </c>
      <c r="K649" s="122">
        <v>50</v>
      </c>
      <c r="L649" s="122">
        <v>1192</v>
      </c>
      <c r="M649">
        <v>442</v>
      </c>
      <c r="N649">
        <v>822</v>
      </c>
      <c r="O649">
        <v>305</v>
      </c>
      <c r="P649">
        <v>0</v>
      </c>
      <c r="Q649">
        <v>0</v>
      </c>
      <c r="R649" s="122">
        <v>4317</v>
      </c>
      <c r="S649" s="122">
        <v>3598</v>
      </c>
      <c r="T649" s="122">
        <v>1544</v>
      </c>
      <c r="U649">
        <v>572</v>
      </c>
      <c r="V649" s="122">
        <v>12863</v>
      </c>
      <c r="W649" s="122">
        <f t="shared" si="20"/>
        <v>12864</v>
      </c>
      <c r="X649" s="122">
        <f t="shared" si="21"/>
        <v>17412</v>
      </c>
      <c r="Y649" s="122"/>
      <c r="AA649" t="s">
        <v>62</v>
      </c>
      <c r="AB649" t="s">
        <v>137</v>
      </c>
      <c r="AC649" t="s">
        <v>579</v>
      </c>
      <c r="AD649" t="s">
        <v>137</v>
      </c>
      <c r="AE649" t="s">
        <v>137</v>
      </c>
      <c r="AF649">
        <v>10</v>
      </c>
      <c r="AG649">
        <v>541</v>
      </c>
      <c r="AH649" s="122">
        <v>4251</v>
      </c>
      <c r="AI649" s="122">
        <v>131566</v>
      </c>
      <c r="AJ649" s="122">
        <v>48728</v>
      </c>
      <c r="AK649">
        <v>100</v>
      </c>
      <c r="AL649" s="122">
        <v>20895</v>
      </c>
      <c r="AM649" s="122">
        <v>17412</v>
      </c>
      <c r="AN649" s="122">
        <v>11795</v>
      </c>
      <c r="AO649" s="122">
        <v>4369</v>
      </c>
      <c r="AP649">
        <v>702</v>
      </c>
      <c r="AQ649">
        <v>260</v>
      </c>
      <c r="AR649" s="122">
        <v>63352</v>
      </c>
      <c r="AS649" s="122">
        <v>23464</v>
      </c>
      <c r="AT649" s="122">
        <v>1786</v>
      </c>
      <c r="AU649">
        <v>662</v>
      </c>
      <c r="AV649" s="122">
        <v>94894</v>
      </c>
    </row>
    <row r="650" spans="2:48" ht="13">
      <c r="B650" t="s">
        <v>443</v>
      </c>
      <c r="C650" t="s">
        <v>64</v>
      </c>
      <c r="D650" t="s">
        <v>426</v>
      </c>
      <c r="E650" t="s">
        <v>426</v>
      </c>
      <c r="F650">
        <v>1</v>
      </c>
      <c r="G650">
        <v>67</v>
      </c>
      <c r="H650">
        <v>506</v>
      </c>
      <c r="I650" s="122">
        <v>22018</v>
      </c>
      <c r="J650" s="191">
        <v>20016</v>
      </c>
      <c r="K650" s="122">
        <v>55</v>
      </c>
      <c r="L650" s="122">
        <v>3303</v>
      </c>
      <c r="M650" s="122">
        <v>1223</v>
      </c>
      <c r="N650" s="122">
        <v>1223</v>
      </c>
      <c r="O650">
        <v>453</v>
      </c>
      <c r="P650">
        <v>351</v>
      </c>
      <c r="Q650">
        <v>130</v>
      </c>
      <c r="R650" s="122">
        <v>4824</v>
      </c>
      <c r="S650" s="122">
        <v>4385</v>
      </c>
      <c r="T650" s="122">
        <v>2121</v>
      </c>
      <c r="U650">
        <v>785</v>
      </c>
      <c r="V650" s="122">
        <v>26994</v>
      </c>
      <c r="W650" s="122">
        <f t="shared" si="20"/>
        <v>26992</v>
      </c>
      <c r="X650" s="122">
        <f t="shared" si="21"/>
        <v>33840</v>
      </c>
      <c r="Y650" s="122"/>
      <c r="AA650" t="s">
        <v>62</v>
      </c>
      <c r="AB650" t="s">
        <v>137</v>
      </c>
      <c r="AC650" t="s">
        <v>579</v>
      </c>
      <c r="AD650" t="s">
        <v>137</v>
      </c>
      <c r="AE650" t="s">
        <v>566</v>
      </c>
      <c r="AF650">
        <v>191</v>
      </c>
      <c r="AG650" s="122">
        <v>10203</v>
      </c>
      <c r="AH650" s="122">
        <v>79169</v>
      </c>
      <c r="AI650" s="122">
        <v>2384833</v>
      </c>
      <c r="AJ650" s="122">
        <v>883272</v>
      </c>
      <c r="AK650">
        <v>100</v>
      </c>
      <c r="AL650" s="122">
        <v>462513</v>
      </c>
      <c r="AM650" s="122">
        <v>385428</v>
      </c>
      <c r="AN650" s="122">
        <v>204293</v>
      </c>
      <c r="AO650" s="122">
        <v>75664</v>
      </c>
      <c r="AP650" s="122">
        <v>2728</v>
      </c>
      <c r="AQ650" s="122">
        <v>1010</v>
      </c>
      <c r="AR650" s="122">
        <v>1168084</v>
      </c>
      <c r="AS650" s="122">
        <v>432624</v>
      </c>
      <c r="AT650">
        <v>0</v>
      </c>
      <c r="AU650">
        <v>0</v>
      </c>
      <c r="AV650" s="122">
        <v>1777997</v>
      </c>
    </row>
    <row r="651" spans="2:48" ht="13">
      <c r="B651" t="s">
        <v>444</v>
      </c>
      <c r="C651" t="s">
        <v>48</v>
      </c>
      <c r="F651">
        <v>39</v>
      </c>
      <c r="G651" s="122">
        <v>2408</v>
      </c>
      <c r="H651" s="122">
        <v>2315</v>
      </c>
      <c r="J651" s="191">
        <v>0</v>
      </c>
      <c r="K651" s="122"/>
      <c r="M651">
        <v>0</v>
      </c>
      <c r="N651" s="122">
        <v>29339</v>
      </c>
      <c r="O651" s="122">
        <v>10866</v>
      </c>
      <c r="P651" s="122">
        <v>13689</v>
      </c>
      <c r="Q651" s="122">
        <v>5070</v>
      </c>
      <c r="S651">
        <v>0</v>
      </c>
      <c r="T651">
        <v>0</v>
      </c>
      <c r="U651">
        <v>0</v>
      </c>
      <c r="V651" s="122">
        <v>15936</v>
      </c>
      <c r="W651" s="122">
        <f t="shared" si="20"/>
        <v>15936</v>
      </c>
      <c r="X651" s="122">
        <f t="shared" si="21"/>
        <v>43028</v>
      </c>
      <c r="Y651" s="122"/>
      <c r="AA651" t="s">
        <v>62</v>
      </c>
      <c r="AB651" t="s">
        <v>137</v>
      </c>
      <c r="AC651" t="s">
        <v>428</v>
      </c>
      <c r="AD651" t="s">
        <v>137</v>
      </c>
      <c r="AE651" t="s">
        <v>137</v>
      </c>
      <c r="AF651">
        <v>2</v>
      </c>
      <c r="AG651">
        <v>112</v>
      </c>
      <c r="AH651">
        <v>850</v>
      </c>
      <c r="AI651" s="122">
        <v>23992</v>
      </c>
      <c r="AJ651" s="122">
        <v>8886</v>
      </c>
      <c r="AK651">
        <v>100</v>
      </c>
      <c r="AL651" s="122">
        <v>3620</v>
      </c>
      <c r="AM651" s="122">
        <v>3291</v>
      </c>
      <c r="AN651" s="122">
        <v>2696</v>
      </c>
      <c r="AO651">
        <v>998</v>
      </c>
      <c r="AP651">
        <v>0</v>
      </c>
      <c r="AQ651">
        <v>0</v>
      </c>
      <c r="AR651" s="122">
        <v>17432</v>
      </c>
      <c r="AS651" s="122">
        <v>6456</v>
      </c>
      <c r="AT651">
        <v>0</v>
      </c>
      <c r="AU651">
        <v>0</v>
      </c>
      <c r="AV651" s="122">
        <v>19632</v>
      </c>
    </row>
    <row r="652" spans="2:48" ht="13">
      <c r="B652" t="s">
        <v>444</v>
      </c>
      <c r="C652" t="s">
        <v>48</v>
      </c>
      <c r="D652" t="s">
        <v>137</v>
      </c>
      <c r="E652" t="s">
        <v>137</v>
      </c>
      <c r="F652" s="122">
        <v>10</v>
      </c>
      <c r="G652" s="122">
        <v>587</v>
      </c>
      <c r="H652" s="122">
        <v>636</v>
      </c>
      <c r="I652" s="122">
        <v>-5339</v>
      </c>
      <c r="J652" s="191">
        <v>-1977</v>
      </c>
      <c r="K652" s="122">
        <v>250</v>
      </c>
      <c r="L652">
        <v>0</v>
      </c>
      <c r="M652">
        <v>0</v>
      </c>
      <c r="N652" s="122">
        <v>7157</v>
      </c>
      <c r="O652" s="122">
        <v>2651</v>
      </c>
      <c r="P652" s="122">
        <v>4656</v>
      </c>
      <c r="Q652" s="122">
        <v>1724</v>
      </c>
      <c r="R652" s="122">
        <v>30872</v>
      </c>
      <c r="S652" s="122">
        <v>11434</v>
      </c>
      <c r="T652">
        <v>0</v>
      </c>
      <c r="U652">
        <v>0</v>
      </c>
      <c r="V652" s="122">
        <v>13832</v>
      </c>
      <c r="W652" s="122">
        <f t="shared" si="20"/>
        <v>17786</v>
      </c>
      <c r="X652" s="122">
        <f t="shared" si="21"/>
        <v>48024</v>
      </c>
      <c r="Y652" s="122"/>
      <c r="AA652" t="s">
        <v>62</v>
      </c>
      <c r="AB652" t="s">
        <v>137</v>
      </c>
      <c r="AC652" t="s">
        <v>428</v>
      </c>
      <c r="AD652" t="s">
        <v>137</v>
      </c>
      <c r="AE652" t="s">
        <v>566</v>
      </c>
      <c r="AF652">
        <v>6</v>
      </c>
      <c r="AG652">
        <v>333</v>
      </c>
      <c r="AH652" s="122">
        <v>2479</v>
      </c>
      <c r="AI652" s="122">
        <v>77495</v>
      </c>
      <c r="AJ652" s="122">
        <v>28702</v>
      </c>
      <c r="AK652">
        <v>100</v>
      </c>
      <c r="AL652" s="122">
        <v>13204</v>
      </c>
      <c r="AM652" s="122">
        <v>12003</v>
      </c>
      <c r="AN652" s="122">
        <v>7235</v>
      </c>
      <c r="AO652" s="122">
        <v>2680</v>
      </c>
      <c r="AP652">
        <v>0</v>
      </c>
      <c r="AQ652">
        <v>0</v>
      </c>
      <c r="AR652" s="122">
        <v>39976</v>
      </c>
      <c r="AS652" s="122">
        <v>14806</v>
      </c>
      <c r="AT652">
        <v>0</v>
      </c>
      <c r="AU652">
        <v>0</v>
      </c>
      <c r="AV652" s="122">
        <v>58191</v>
      </c>
    </row>
    <row r="653" spans="2:48" ht="13">
      <c r="B653" t="s">
        <v>444</v>
      </c>
      <c r="C653" t="s">
        <v>48</v>
      </c>
      <c r="D653" t="s">
        <v>407</v>
      </c>
      <c r="E653" t="s">
        <v>407</v>
      </c>
      <c r="F653">
        <v>4</v>
      </c>
      <c r="G653">
        <v>211</v>
      </c>
      <c r="H653">
        <v>259</v>
      </c>
      <c r="I653" s="122">
        <v>1901</v>
      </c>
      <c r="J653" s="191">
        <v>1728</v>
      </c>
      <c r="K653" s="122">
        <v>91</v>
      </c>
      <c r="L653">
        <v>0</v>
      </c>
      <c r="M653">
        <v>0</v>
      </c>
      <c r="N653" s="122">
        <v>2569</v>
      </c>
      <c r="O653">
        <v>952</v>
      </c>
      <c r="P653" s="122">
        <v>1890</v>
      </c>
      <c r="Q653">
        <v>700</v>
      </c>
      <c r="R653" s="122">
        <v>7266</v>
      </c>
      <c r="S653" s="122">
        <v>6605</v>
      </c>
      <c r="T653">
        <v>0</v>
      </c>
      <c r="U653">
        <v>0</v>
      </c>
      <c r="V653" s="122">
        <v>9985</v>
      </c>
      <c r="W653" s="122">
        <f t="shared" si="20"/>
        <v>9985</v>
      </c>
      <c r="X653" s="122">
        <f t="shared" si="21"/>
        <v>13626</v>
      </c>
      <c r="Y653" s="122"/>
      <c r="AA653" t="s">
        <v>62</v>
      </c>
      <c r="AB653" t="s">
        <v>137</v>
      </c>
      <c r="AC653" t="s">
        <v>426</v>
      </c>
      <c r="AD653" t="s">
        <v>137</v>
      </c>
      <c r="AE653" t="s">
        <v>137</v>
      </c>
      <c r="AF653">
        <v>17</v>
      </c>
      <c r="AG653">
        <v>915</v>
      </c>
      <c r="AH653" s="122">
        <v>6980</v>
      </c>
      <c r="AI653" s="122">
        <v>198367</v>
      </c>
      <c r="AJ653" s="122">
        <v>73469</v>
      </c>
      <c r="AK653">
        <v>100</v>
      </c>
      <c r="AL653" s="122">
        <v>30107</v>
      </c>
      <c r="AM653" s="122">
        <v>27370</v>
      </c>
      <c r="AN653" s="122">
        <v>18576</v>
      </c>
      <c r="AO653" s="122">
        <v>6880</v>
      </c>
      <c r="AP653" s="122">
        <v>1404</v>
      </c>
      <c r="AQ653">
        <v>520</v>
      </c>
      <c r="AR653" s="122">
        <v>112350</v>
      </c>
      <c r="AS653" s="122">
        <v>41611</v>
      </c>
      <c r="AT653" s="122">
        <v>11785</v>
      </c>
      <c r="AU653" s="122">
        <v>4365</v>
      </c>
      <c r="AV653" s="122">
        <v>154215</v>
      </c>
    </row>
    <row r="654" spans="2:48" ht="13">
      <c r="B654" t="s">
        <v>444</v>
      </c>
      <c r="C654" t="s">
        <v>50</v>
      </c>
      <c r="F654" s="122">
        <v>3</v>
      </c>
      <c r="G654" s="122">
        <v>157</v>
      </c>
      <c r="H654" s="122">
        <v>248</v>
      </c>
      <c r="J654" s="191">
        <v>0</v>
      </c>
      <c r="K654" s="122"/>
      <c r="M654">
        <v>0</v>
      </c>
      <c r="N654" s="122">
        <v>1914</v>
      </c>
      <c r="O654">
        <v>709</v>
      </c>
      <c r="P654" s="122">
        <v>1577</v>
      </c>
      <c r="Q654">
        <v>584</v>
      </c>
      <c r="S654">
        <v>0</v>
      </c>
      <c r="T654">
        <v>0</v>
      </c>
      <c r="U654">
        <v>0</v>
      </c>
      <c r="V654" s="122">
        <v>1293</v>
      </c>
      <c r="W654" s="122">
        <f t="shared" si="20"/>
        <v>1293</v>
      </c>
      <c r="X654" s="122">
        <f t="shared" si="21"/>
        <v>3491</v>
      </c>
      <c r="Y654" s="122"/>
      <c r="AA654" t="s">
        <v>62</v>
      </c>
      <c r="AB654" t="s">
        <v>137</v>
      </c>
      <c r="AC654" t="s">
        <v>426</v>
      </c>
      <c r="AD654" t="s">
        <v>137</v>
      </c>
      <c r="AE654" t="s">
        <v>566</v>
      </c>
      <c r="AF654">
        <v>245</v>
      </c>
      <c r="AG654" s="122">
        <v>13725</v>
      </c>
      <c r="AH654" s="122">
        <v>101453</v>
      </c>
      <c r="AI654" s="122">
        <v>3351146</v>
      </c>
      <c r="AJ654" s="122">
        <v>1241165</v>
      </c>
      <c r="AK654">
        <v>100</v>
      </c>
      <c r="AL654" s="122">
        <v>553262</v>
      </c>
      <c r="AM654" s="122">
        <v>502965</v>
      </c>
      <c r="AN654" s="122">
        <v>281341</v>
      </c>
      <c r="AO654" s="122">
        <v>104200</v>
      </c>
      <c r="AP654" s="122">
        <v>6671</v>
      </c>
      <c r="AQ654" s="122">
        <v>2471</v>
      </c>
      <c r="AR654" s="122">
        <v>1500523</v>
      </c>
      <c r="AS654" s="122">
        <v>555749</v>
      </c>
      <c r="AT654">
        <v>0</v>
      </c>
      <c r="AU654">
        <v>0</v>
      </c>
      <c r="AV654" s="122">
        <v>2406550</v>
      </c>
    </row>
    <row r="655" spans="2:48" ht="13">
      <c r="B655" t="s">
        <v>444</v>
      </c>
      <c r="C655" t="s">
        <v>50</v>
      </c>
      <c r="D655" t="s">
        <v>407</v>
      </c>
      <c r="E655" t="s">
        <v>407</v>
      </c>
      <c r="F655">
        <v>4</v>
      </c>
      <c r="G655">
        <v>292</v>
      </c>
      <c r="H655" s="122">
        <v>389</v>
      </c>
      <c r="I655" s="122">
        <v>13502</v>
      </c>
      <c r="J655" s="191">
        <v>12275</v>
      </c>
      <c r="K655" s="122">
        <v>88</v>
      </c>
      <c r="L655">
        <v>0</v>
      </c>
      <c r="M655">
        <v>0</v>
      </c>
      <c r="N655" s="122">
        <v>4254</v>
      </c>
      <c r="O655" s="122">
        <v>1575</v>
      </c>
      <c r="P655" s="122">
        <v>1890</v>
      </c>
      <c r="Q655">
        <v>700</v>
      </c>
      <c r="R655" s="122">
        <v>8908</v>
      </c>
      <c r="S655" s="122">
        <v>8098</v>
      </c>
      <c r="T655">
        <v>0</v>
      </c>
      <c r="U655">
        <v>0</v>
      </c>
      <c r="V655" s="122">
        <v>22648</v>
      </c>
      <c r="W655" s="122">
        <f t="shared" si="20"/>
        <v>22648</v>
      </c>
      <c r="X655" s="122">
        <f t="shared" si="21"/>
        <v>28554</v>
      </c>
      <c r="Y655" s="122"/>
      <c r="AA655" t="s">
        <v>62</v>
      </c>
      <c r="AB655" t="s">
        <v>137</v>
      </c>
      <c r="AC655" t="s">
        <v>426</v>
      </c>
      <c r="AD655" t="s">
        <v>426</v>
      </c>
      <c r="AE655" t="s">
        <v>137</v>
      </c>
      <c r="AF655">
        <v>1</v>
      </c>
      <c r="AG655">
        <v>59</v>
      </c>
      <c r="AH655">
        <v>418</v>
      </c>
      <c r="AI655" s="122">
        <v>15219</v>
      </c>
      <c r="AJ655" s="122">
        <v>5637</v>
      </c>
      <c r="AK655">
        <v>100</v>
      </c>
      <c r="AL655" s="122">
        <v>1253</v>
      </c>
      <c r="AM655" s="122">
        <v>1139</v>
      </c>
      <c r="AN655" s="122">
        <v>1124</v>
      </c>
      <c r="AO655">
        <v>416</v>
      </c>
      <c r="AP655">
        <v>0</v>
      </c>
      <c r="AQ655">
        <v>0</v>
      </c>
      <c r="AR655" s="122">
        <v>4853</v>
      </c>
      <c r="AS655" s="122">
        <v>4412</v>
      </c>
      <c r="AT655" s="122">
        <v>2140</v>
      </c>
      <c r="AU655">
        <v>793</v>
      </c>
      <c r="AV655" s="122">
        <v>12396</v>
      </c>
    </row>
    <row r="656" spans="2:48" ht="13">
      <c r="B656" t="s">
        <v>444</v>
      </c>
      <c r="C656" t="s">
        <v>52</v>
      </c>
      <c r="F656">
        <v>36</v>
      </c>
      <c r="G656" s="122">
        <v>1657</v>
      </c>
      <c r="H656" s="122">
        <v>4380</v>
      </c>
      <c r="J656" s="66">
        <v>0</v>
      </c>
      <c r="K656" s="122"/>
      <c r="M656">
        <v>0</v>
      </c>
      <c r="N656" s="122">
        <v>20790</v>
      </c>
      <c r="O656" s="122">
        <v>7700</v>
      </c>
      <c r="P656" s="122">
        <v>29713</v>
      </c>
      <c r="Q656" s="122">
        <v>11005</v>
      </c>
      <c r="S656">
        <v>0</v>
      </c>
      <c r="T656">
        <v>0</v>
      </c>
      <c r="U656">
        <v>0</v>
      </c>
      <c r="V656" s="122">
        <v>18705</v>
      </c>
      <c r="W656" s="122">
        <f t="shared" si="20"/>
        <v>18705</v>
      </c>
      <c r="X656" s="122">
        <f t="shared" si="21"/>
        <v>50503</v>
      </c>
      <c r="Y656" s="122"/>
      <c r="AA656" t="s">
        <v>62</v>
      </c>
      <c r="AB656" t="s">
        <v>137</v>
      </c>
      <c r="AC656" t="s">
        <v>566</v>
      </c>
      <c r="AD656" t="s">
        <v>137</v>
      </c>
      <c r="AE656" t="s">
        <v>137</v>
      </c>
      <c r="AF656">
        <v>41</v>
      </c>
      <c r="AG656" s="122">
        <v>2152</v>
      </c>
      <c r="AH656" s="122">
        <v>16790</v>
      </c>
      <c r="AI656" s="122">
        <v>558844</v>
      </c>
      <c r="AJ656" s="122">
        <v>206979</v>
      </c>
      <c r="AK656">
        <v>100</v>
      </c>
      <c r="AL656">
        <v>0</v>
      </c>
      <c r="AM656" s="122">
        <v>8647</v>
      </c>
      <c r="AN656" s="122">
        <v>41642</v>
      </c>
      <c r="AO656" s="122">
        <v>15423</v>
      </c>
      <c r="AP656" s="122">
        <v>1877</v>
      </c>
      <c r="AQ656">
        <v>695</v>
      </c>
      <c r="AR656" s="122">
        <v>266156</v>
      </c>
      <c r="AS656" s="122">
        <v>98576</v>
      </c>
      <c r="AT656" s="122">
        <v>10025</v>
      </c>
      <c r="AU656" s="122">
        <v>3713</v>
      </c>
      <c r="AV656" s="122">
        <v>334033</v>
      </c>
    </row>
    <row r="657" spans="2:48" ht="13">
      <c r="B657" t="s">
        <v>444</v>
      </c>
      <c r="C657" t="s">
        <v>52</v>
      </c>
      <c r="D657" t="s">
        <v>137</v>
      </c>
      <c r="E657" t="s">
        <v>137</v>
      </c>
      <c r="F657">
        <v>1</v>
      </c>
      <c r="G657">
        <v>140</v>
      </c>
      <c r="H657" s="122">
        <v>124</v>
      </c>
      <c r="I657" s="122">
        <v>6939</v>
      </c>
      <c r="J657" s="191">
        <v>2570</v>
      </c>
      <c r="K657" s="122">
        <v>100</v>
      </c>
      <c r="L657">
        <v>0</v>
      </c>
      <c r="M657">
        <v>0</v>
      </c>
      <c r="N657" s="122">
        <v>1702</v>
      </c>
      <c r="O657">
        <v>630</v>
      </c>
      <c r="P657">
        <v>0</v>
      </c>
      <c r="Q657">
        <v>0</v>
      </c>
      <c r="R657" s="122">
        <v>8669</v>
      </c>
      <c r="S657" s="122">
        <v>3211</v>
      </c>
      <c r="T657">
        <v>0</v>
      </c>
      <c r="U657">
        <v>0</v>
      </c>
      <c r="V657" s="122">
        <v>6411</v>
      </c>
      <c r="W657" s="122">
        <f t="shared" si="20"/>
        <v>6411</v>
      </c>
      <c r="X657" s="122">
        <f t="shared" si="21"/>
        <v>17310</v>
      </c>
      <c r="Y657" s="122"/>
      <c r="AA657" t="s">
        <v>62</v>
      </c>
      <c r="AB657" t="s">
        <v>137</v>
      </c>
      <c r="AC657" t="s">
        <v>566</v>
      </c>
      <c r="AD657" t="s">
        <v>137</v>
      </c>
      <c r="AE657" t="s">
        <v>566</v>
      </c>
      <c r="AF657" s="122">
        <v>1171</v>
      </c>
      <c r="AG657" s="122">
        <v>61181</v>
      </c>
      <c r="AH657" s="122">
        <v>482594</v>
      </c>
      <c r="AI657" s="122">
        <v>17299044</v>
      </c>
      <c r="AJ657" s="122">
        <v>6407053</v>
      </c>
      <c r="AK657">
        <v>100</v>
      </c>
      <c r="AL657">
        <v>0</v>
      </c>
      <c r="AM657" s="122">
        <v>1488548</v>
      </c>
      <c r="AN657" s="122">
        <v>1238749</v>
      </c>
      <c r="AO657" s="122">
        <v>458796</v>
      </c>
      <c r="AP657" s="122">
        <v>21471</v>
      </c>
      <c r="AQ657" s="122">
        <v>7952</v>
      </c>
      <c r="AR657" s="122">
        <v>6650193</v>
      </c>
      <c r="AS657" s="122">
        <v>2463034</v>
      </c>
      <c r="AT657">
        <v>0</v>
      </c>
      <c r="AU657">
        <v>0</v>
      </c>
      <c r="AV657" s="122">
        <v>10825383</v>
      </c>
    </row>
    <row r="658" spans="2:48" ht="13">
      <c r="B658" t="s">
        <v>444</v>
      </c>
      <c r="C658" t="s">
        <v>52</v>
      </c>
      <c r="D658" t="s">
        <v>407</v>
      </c>
      <c r="E658" t="s">
        <v>407</v>
      </c>
      <c r="F658" s="122">
        <v>56</v>
      </c>
      <c r="G658" s="122">
        <v>3781</v>
      </c>
      <c r="H658" s="122">
        <v>6420</v>
      </c>
      <c r="I658" s="122">
        <v>181777</v>
      </c>
      <c r="J658" s="191">
        <v>165252</v>
      </c>
      <c r="K658" s="122">
        <v>90</v>
      </c>
      <c r="L658" s="122">
        <v>4519</v>
      </c>
      <c r="M658" s="122">
        <v>3428</v>
      </c>
      <c r="N658" s="122">
        <v>66240</v>
      </c>
      <c r="O658" s="122">
        <v>24533</v>
      </c>
      <c r="P658" s="122">
        <v>26460</v>
      </c>
      <c r="Q658" s="122">
        <v>9800</v>
      </c>
      <c r="R658" s="122">
        <v>141905</v>
      </c>
      <c r="S658" s="122">
        <v>129004</v>
      </c>
      <c r="T658" s="122">
        <v>13932</v>
      </c>
      <c r="U658" s="122">
        <v>5160</v>
      </c>
      <c r="V658" s="122">
        <v>337177</v>
      </c>
      <c r="W658" s="122">
        <f t="shared" si="20"/>
        <v>337177</v>
      </c>
      <c r="X658" s="122">
        <f t="shared" si="21"/>
        <v>434833</v>
      </c>
      <c r="Y658" s="122"/>
      <c r="AA658" t="s">
        <v>62</v>
      </c>
      <c r="AB658" t="s">
        <v>137</v>
      </c>
      <c r="AC658" t="s">
        <v>566</v>
      </c>
      <c r="AD658" t="s">
        <v>406</v>
      </c>
      <c r="AE658" t="s">
        <v>566</v>
      </c>
      <c r="AF658">
        <v>1</v>
      </c>
      <c r="AG658">
        <v>30</v>
      </c>
      <c r="AH658">
        <v>386</v>
      </c>
      <c r="AI658" s="122">
        <v>8499</v>
      </c>
      <c r="AJ658" s="122">
        <v>3148</v>
      </c>
      <c r="AK658">
        <v>100</v>
      </c>
      <c r="AL658">
        <v>0</v>
      </c>
      <c r="AM658">
        <v>0</v>
      </c>
      <c r="AN658">
        <v>371</v>
      </c>
      <c r="AO658">
        <v>137</v>
      </c>
      <c r="AP658">
        <v>0</v>
      </c>
      <c r="AQ658">
        <v>0</v>
      </c>
      <c r="AR658" s="122">
        <v>2884</v>
      </c>
      <c r="AS658" s="122">
        <v>2622</v>
      </c>
      <c r="AT658">
        <v>0</v>
      </c>
      <c r="AU658">
        <v>0</v>
      </c>
      <c r="AV658" s="122">
        <v>5907</v>
      </c>
    </row>
    <row r="659" spans="2:48" ht="13">
      <c r="B659" t="s">
        <v>444</v>
      </c>
      <c r="C659" t="s">
        <v>54</v>
      </c>
      <c r="F659">
        <v>8</v>
      </c>
      <c r="G659">
        <v>417</v>
      </c>
      <c r="H659" s="122">
        <v>1134</v>
      </c>
      <c r="J659" s="191">
        <v>0</v>
      </c>
      <c r="K659" s="122"/>
      <c r="M659">
        <v>0</v>
      </c>
      <c r="N659" s="122">
        <v>5679</v>
      </c>
      <c r="O659" s="122">
        <v>2103</v>
      </c>
      <c r="P659" s="122">
        <v>2031</v>
      </c>
      <c r="Q659">
        <v>752</v>
      </c>
      <c r="S659">
        <v>0</v>
      </c>
      <c r="T659">
        <v>0</v>
      </c>
      <c r="U659">
        <v>0</v>
      </c>
      <c r="V659" s="122">
        <v>2856</v>
      </c>
      <c r="W659" s="122">
        <f t="shared" si="20"/>
        <v>2855</v>
      </c>
      <c r="X659" s="122">
        <f t="shared" si="21"/>
        <v>7710</v>
      </c>
      <c r="Y659" s="122"/>
      <c r="AA659" t="s">
        <v>62</v>
      </c>
      <c r="AB659" t="s">
        <v>137</v>
      </c>
      <c r="AC659" t="s">
        <v>566</v>
      </c>
      <c r="AD659" t="s">
        <v>407</v>
      </c>
      <c r="AE659" t="s">
        <v>566</v>
      </c>
      <c r="AF659">
        <v>2</v>
      </c>
      <c r="AG659">
        <v>61</v>
      </c>
      <c r="AH659">
        <v>810</v>
      </c>
      <c r="AI659" s="122">
        <v>17235</v>
      </c>
      <c r="AJ659" s="122">
        <v>6383</v>
      </c>
      <c r="AK659">
        <v>100</v>
      </c>
      <c r="AL659">
        <v>0</v>
      </c>
      <c r="AM659">
        <v>0</v>
      </c>
      <c r="AN659">
        <v>739</v>
      </c>
      <c r="AO659">
        <v>274</v>
      </c>
      <c r="AP659">
        <v>0</v>
      </c>
      <c r="AQ659">
        <v>0</v>
      </c>
      <c r="AR659" s="122">
        <v>6575</v>
      </c>
      <c r="AS659" s="122">
        <v>5978</v>
      </c>
      <c r="AT659">
        <v>0</v>
      </c>
      <c r="AU659">
        <v>0</v>
      </c>
      <c r="AV659" s="122">
        <v>12635</v>
      </c>
    </row>
    <row r="660" spans="2:48" ht="13">
      <c r="B660" t="s">
        <v>444</v>
      </c>
      <c r="C660" t="s">
        <v>54</v>
      </c>
      <c r="D660" t="s">
        <v>137</v>
      </c>
      <c r="E660" t="s">
        <v>137</v>
      </c>
      <c r="F660">
        <v>26</v>
      </c>
      <c r="G660" s="122">
        <v>1935</v>
      </c>
      <c r="H660" s="122">
        <v>3710</v>
      </c>
      <c r="I660" s="122">
        <v>64338</v>
      </c>
      <c r="J660" s="191">
        <v>23829</v>
      </c>
      <c r="K660" s="122">
        <v>100</v>
      </c>
      <c r="L660" s="122">
        <v>5067</v>
      </c>
      <c r="M660" s="122">
        <v>3232</v>
      </c>
      <c r="N660" s="122">
        <v>36932</v>
      </c>
      <c r="O660" s="122">
        <v>13678</v>
      </c>
      <c r="P660" s="122">
        <v>3921</v>
      </c>
      <c r="Q660" s="122">
        <v>1452</v>
      </c>
      <c r="R660" s="122">
        <v>165503</v>
      </c>
      <c r="S660" s="122">
        <v>61297</v>
      </c>
      <c r="T660">
        <v>0</v>
      </c>
      <c r="U660">
        <v>0</v>
      </c>
      <c r="V660" s="122">
        <v>103488</v>
      </c>
      <c r="W660" s="122">
        <f t="shared" si="20"/>
        <v>103488</v>
      </c>
      <c r="X660" s="122">
        <f t="shared" si="21"/>
        <v>275761</v>
      </c>
      <c r="Y660" s="122"/>
      <c r="AA660" t="s">
        <v>62</v>
      </c>
      <c r="AB660" t="s">
        <v>137</v>
      </c>
      <c r="AC660" t="s">
        <v>433</v>
      </c>
      <c r="AD660" t="s">
        <v>137</v>
      </c>
      <c r="AE660" t="s">
        <v>137</v>
      </c>
      <c r="AF660">
        <v>1</v>
      </c>
      <c r="AG660">
        <v>44</v>
      </c>
      <c r="AH660">
        <v>394</v>
      </c>
      <c r="AI660" s="122">
        <v>9739</v>
      </c>
      <c r="AJ660" s="122">
        <v>3607</v>
      </c>
      <c r="AK660">
        <v>100</v>
      </c>
      <c r="AL660" s="122">
        <v>1470</v>
      </c>
      <c r="AM660" s="122">
        <v>1336</v>
      </c>
      <c r="AN660" s="122">
        <v>1077</v>
      </c>
      <c r="AO660">
        <v>399</v>
      </c>
      <c r="AP660">
        <v>351</v>
      </c>
      <c r="AQ660">
        <v>130</v>
      </c>
      <c r="AR660" s="122">
        <v>4767</v>
      </c>
      <c r="AS660" s="122">
        <v>1766</v>
      </c>
      <c r="AT660">
        <v>0</v>
      </c>
      <c r="AU660">
        <v>0</v>
      </c>
      <c r="AV660" s="122">
        <v>7238</v>
      </c>
    </row>
    <row r="661" spans="2:48" ht="13">
      <c r="B661" t="s">
        <v>444</v>
      </c>
      <c r="C661" t="s">
        <v>54</v>
      </c>
      <c r="D661" t="s">
        <v>407</v>
      </c>
      <c r="E661" t="s">
        <v>407</v>
      </c>
      <c r="F661" s="122">
        <v>64</v>
      </c>
      <c r="G661" s="122">
        <v>4509</v>
      </c>
      <c r="H661" s="122">
        <v>8763</v>
      </c>
      <c r="I661" s="122">
        <v>251513</v>
      </c>
      <c r="J661" s="191">
        <v>228648</v>
      </c>
      <c r="K661" s="122">
        <v>88</v>
      </c>
      <c r="L661" s="122">
        <v>3267</v>
      </c>
      <c r="M661" s="122">
        <v>3531</v>
      </c>
      <c r="N661" s="122">
        <v>74516</v>
      </c>
      <c r="O661" s="122">
        <v>27599</v>
      </c>
      <c r="P661" s="122">
        <v>30240</v>
      </c>
      <c r="Q661" s="122">
        <v>11200</v>
      </c>
      <c r="R661" s="122">
        <v>223807</v>
      </c>
      <c r="S661" s="122">
        <v>203461</v>
      </c>
      <c r="T661" s="122">
        <v>30271</v>
      </c>
      <c r="U661" s="122">
        <v>11212</v>
      </c>
      <c r="V661" s="122">
        <v>485651</v>
      </c>
      <c r="W661" s="122">
        <f t="shared" si="20"/>
        <v>485651</v>
      </c>
      <c r="X661" s="122">
        <f t="shared" si="21"/>
        <v>613614</v>
      </c>
      <c r="Y661" s="122"/>
      <c r="AA661" t="s">
        <v>62</v>
      </c>
      <c r="AB661" t="s">
        <v>137</v>
      </c>
      <c r="AC661" t="s">
        <v>433</v>
      </c>
      <c r="AD661" t="s">
        <v>137</v>
      </c>
      <c r="AE661" t="s">
        <v>566</v>
      </c>
      <c r="AF661">
        <v>9</v>
      </c>
      <c r="AG661">
        <v>513</v>
      </c>
      <c r="AH661" s="122">
        <v>3802</v>
      </c>
      <c r="AI661" s="122">
        <v>128154</v>
      </c>
      <c r="AJ661" s="122">
        <v>47464</v>
      </c>
      <c r="AK661">
        <v>100</v>
      </c>
      <c r="AL661" s="122">
        <v>17515</v>
      </c>
      <c r="AM661" s="122">
        <v>15923</v>
      </c>
      <c r="AN661" s="122">
        <v>10897</v>
      </c>
      <c r="AO661" s="122">
        <v>4036</v>
      </c>
      <c r="AP661">
        <v>531</v>
      </c>
      <c r="AQ661">
        <v>197</v>
      </c>
      <c r="AR661" s="122">
        <v>60110</v>
      </c>
      <c r="AS661" s="122">
        <v>22263</v>
      </c>
      <c r="AT661">
        <v>0</v>
      </c>
      <c r="AU661">
        <v>0</v>
      </c>
      <c r="AV661" s="122">
        <v>89883</v>
      </c>
    </row>
    <row r="662" spans="2:48" ht="13">
      <c r="B662" t="s">
        <v>444</v>
      </c>
      <c r="C662" t="s">
        <v>56</v>
      </c>
      <c r="F662" s="122">
        <v>57</v>
      </c>
      <c r="G662" s="122">
        <v>2200</v>
      </c>
      <c r="H662" s="122">
        <v>10575</v>
      </c>
      <c r="J662" s="191">
        <v>0</v>
      </c>
      <c r="K662" s="122"/>
      <c r="M662">
        <v>0</v>
      </c>
      <c r="N662" s="122">
        <v>39232</v>
      </c>
      <c r="O662" s="122">
        <v>14531</v>
      </c>
      <c r="P662" s="122">
        <v>10848</v>
      </c>
      <c r="Q662" s="122">
        <v>4018</v>
      </c>
      <c r="S662">
        <v>0</v>
      </c>
      <c r="T662" s="122">
        <v>18767</v>
      </c>
      <c r="U662" s="122">
        <v>6951</v>
      </c>
      <c r="V662" s="122">
        <v>25499</v>
      </c>
      <c r="W662" s="122">
        <f t="shared" si="20"/>
        <v>25500</v>
      </c>
      <c r="X662" s="122">
        <f t="shared" si="21"/>
        <v>68847</v>
      </c>
      <c r="Y662" s="122"/>
      <c r="AA662" t="s">
        <v>62</v>
      </c>
      <c r="AB662" t="s">
        <v>137</v>
      </c>
      <c r="AC662" t="s">
        <v>429</v>
      </c>
      <c r="AD662" t="s">
        <v>137</v>
      </c>
      <c r="AE662" t="s">
        <v>566</v>
      </c>
      <c r="AF662">
        <v>1</v>
      </c>
      <c r="AG662">
        <v>63</v>
      </c>
      <c r="AH662">
        <v>437</v>
      </c>
      <c r="AI662" s="122">
        <v>18874</v>
      </c>
      <c r="AJ662" s="122">
        <v>6990</v>
      </c>
      <c r="AK662">
        <v>100</v>
      </c>
      <c r="AL662" s="122">
        <v>1314</v>
      </c>
      <c r="AM662" s="122">
        <v>1195</v>
      </c>
      <c r="AN662" s="122">
        <v>1536</v>
      </c>
      <c r="AO662">
        <v>569</v>
      </c>
      <c r="AP662">
        <v>0</v>
      </c>
      <c r="AQ662">
        <v>0</v>
      </c>
      <c r="AR662" s="122">
        <v>5858</v>
      </c>
      <c r="AS662" s="122">
        <v>2170</v>
      </c>
      <c r="AT662">
        <v>0</v>
      </c>
      <c r="AU662">
        <v>0</v>
      </c>
      <c r="AV662" s="122">
        <v>10924</v>
      </c>
    </row>
    <row r="663" spans="2:48" ht="13">
      <c r="B663" t="s">
        <v>444</v>
      </c>
      <c r="C663" t="s">
        <v>56</v>
      </c>
      <c r="D663" t="s">
        <v>137</v>
      </c>
      <c r="E663" t="s">
        <v>137</v>
      </c>
      <c r="F663">
        <v>697</v>
      </c>
      <c r="G663" s="122">
        <v>46321</v>
      </c>
      <c r="H663" s="122">
        <v>134454</v>
      </c>
      <c r="I663" s="122">
        <v>3354626</v>
      </c>
      <c r="J663" s="191">
        <v>1242454</v>
      </c>
      <c r="K663" s="122">
        <v>100</v>
      </c>
      <c r="L663" s="122">
        <v>423709</v>
      </c>
      <c r="M663" s="122">
        <v>186447</v>
      </c>
      <c r="N663" s="122">
        <v>885197</v>
      </c>
      <c r="O663" s="122">
        <v>327851</v>
      </c>
      <c r="P663" s="122">
        <v>46711</v>
      </c>
      <c r="Q663" s="122">
        <v>17301</v>
      </c>
      <c r="R663" s="122">
        <v>4170355</v>
      </c>
      <c r="S663" s="122">
        <v>1544576</v>
      </c>
      <c r="T663" s="122">
        <v>5597</v>
      </c>
      <c r="U663" s="122">
        <v>2073</v>
      </c>
      <c r="V663" s="122">
        <v>3320701</v>
      </c>
      <c r="W663" s="122">
        <f t="shared" si="20"/>
        <v>3320702</v>
      </c>
      <c r="X663" s="122">
        <f t="shared" si="21"/>
        <v>8886195</v>
      </c>
      <c r="Y663" s="122"/>
      <c r="AA663" t="s">
        <v>62</v>
      </c>
      <c r="AB663" t="s">
        <v>406</v>
      </c>
      <c r="AC663" t="s">
        <v>425</v>
      </c>
      <c r="AD663" t="s">
        <v>406</v>
      </c>
      <c r="AE663" t="s">
        <v>137</v>
      </c>
      <c r="AF663">
        <v>1</v>
      </c>
      <c r="AG663">
        <v>90</v>
      </c>
      <c r="AH663">
        <v>384</v>
      </c>
      <c r="AI663" s="122">
        <v>18515</v>
      </c>
      <c r="AJ663" s="122">
        <v>16832</v>
      </c>
      <c r="AK663">
        <v>70</v>
      </c>
      <c r="AL663" s="122">
        <v>6840</v>
      </c>
      <c r="AM663" s="122">
        <v>6219</v>
      </c>
      <c r="AN663" s="122">
        <v>2204</v>
      </c>
      <c r="AO663">
        <v>816</v>
      </c>
      <c r="AP663">
        <v>621</v>
      </c>
      <c r="AQ663">
        <v>230</v>
      </c>
      <c r="AR663" s="122">
        <v>4218</v>
      </c>
      <c r="AS663" s="122">
        <v>3835</v>
      </c>
      <c r="AT663" s="122">
        <v>2304</v>
      </c>
      <c r="AU663">
        <v>853</v>
      </c>
      <c r="AV663" s="122">
        <v>28785</v>
      </c>
    </row>
    <row r="664" spans="2:48" ht="13">
      <c r="B664" t="s">
        <v>444</v>
      </c>
      <c r="C664" t="s">
        <v>56</v>
      </c>
      <c r="D664" t="s">
        <v>406</v>
      </c>
      <c r="E664" t="s">
        <v>406</v>
      </c>
      <c r="F664" s="122">
        <v>2</v>
      </c>
      <c r="G664" s="122">
        <v>71</v>
      </c>
      <c r="H664" s="122">
        <v>385</v>
      </c>
      <c r="I664" s="122">
        <v>7044</v>
      </c>
      <c r="J664" s="191">
        <v>6403</v>
      </c>
      <c r="K664" s="122">
        <v>95</v>
      </c>
      <c r="L664" s="122">
        <v>1733</v>
      </c>
      <c r="M664">
        <v>642</v>
      </c>
      <c r="N664">
        <v>860</v>
      </c>
      <c r="O664">
        <v>319</v>
      </c>
      <c r="P664" s="122">
        <v>1242</v>
      </c>
      <c r="Q664">
        <v>460</v>
      </c>
      <c r="R664" s="122">
        <v>2676</v>
      </c>
      <c r="S664" s="122">
        <v>2433</v>
      </c>
      <c r="T664">
        <v>0</v>
      </c>
      <c r="U664">
        <v>0</v>
      </c>
      <c r="V664" s="122">
        <v>10257</v>
      </c>
      <c r="W664" s="122">
        <f t="shared" si="20"/>
        <v>10257</v>
      </c>
      <c r="X664" s="122">
        <f t="shared" si="21"/>
        <v>13555</v>
      </c>
      <c r="Y664" s="122"/>
      <c r="AA664" t="s">
        <v>62</v>
      </c>
      <c r="AB664" t="s">
        <v>406</v>
      </c>
      <c r="AC664" t="s">
        <v>405</v>
      </c>
      <c r="AD664" t="s">
        <v>406</v>
      </c>
      <c r="AE664" t="s">
        <v>566</v>
      </c>
      <c r="AF664">
        <v>1</v>
      </c>
      <c r="AG664">
        <v>285</v>
      </c>
      <c r="AH664">
        <v>385</v>
      </c>
      <c r="AI664" s="122">
        <v>83135</v>
      </c>
      <c r="AJ664" s="122">
        <v>75577</v>
      </c>
      <c r="AK664">
        <v>80</v>
      </c>
      <c r="AL664" s="122">
        <v>11730</v>
      </c>
      <c r="AM664" s="122">
        <v>10663</v>
      </c>
      <c r="AN664" s="122">
        <v>6943</v>
      </c>
      <c r="AO664" s="122">
        <v>2571</v>
      </c>
      <c r="AP664">
        <v>972</v>
      </c>
      <c r="AQ664">
        <v>360</v>
      </c>
      <c r="AR664" s="122">
        <v>6940</v>
      </c>
      <c r="AS664" s="122">
        <v>6309</v>
      </c>
      <c r="AT664">
        <v>0</v>
      </c>
      <c r="AU664">
        <v>0</v>
      </c>
      <c r="AV664" s="122">
        <v>95481</v>
      </c>
    </row>
    <row r="665" spans="2:48" ht="13">
      <c r="B665" t="s">
        <v>444</v>
      </c>
      <c r="C665" t="s">
        <v>56</v>
      </c>
      <c r="D665" t="s">
        <v>407</v>
      </c>
      <c r="E665" t="s">
        <v>425</v>
      </c>
      <c r="F665" s="122">
        <v>1</v>
      </c>
      <c r="G665" s="122">
        <v>64</v>
      </c>
      <c r="H665" s="122">
        <v>183</v>
      </c>
      <c r="I665" s="122">
        <v>6441</v>
      </c>
      <c r="J665" s="191">
        <v>5856</v>
      </c>
      <c r="K665" s="122">
        <v>91</v>
      </c>
      <c r="L665">
        <v>0</v>
      </c>
      <c r="M665">
        <v>0</v>
      </c>
      <c r="N665" s="122">
        <v>1553</v>
      </c>
      <c r="O665">
        <v>575</v>
      </c>
      <c r="P665">
        <v>473</v>
      </c>
      <c r="Q665">
        <v>175</v>
      </c>
      <c r="R665" s="122">
        <v>3188</v>
      </c>
      <c r="S665" s="122">
        <v>2898</v>
      </c>
      <c r="T665">
        <v>0</v>
      </c>
      <c r="U665">
        <v>0</v>
      </c>
      <c r="V665" s="122">
        <v>9504</v>
      </c>
      <c r="W665" s="122">
        <f t="shared" si="20"/>
        <v>9504</v>
      </c>
      <c r="X665" s="122">
        <f t="shared" si="21"/>
        <v>11655</v>
      </c>
      <c r="Y665" s="122"/>
      <c r="AA665" t="s">
        <v>62</v>
      </c>
      <c r="AB665" t="s">
        <v>406</v>
      </c>
      <c r="AC665" t="s">
        <v>137</v>
      </c>
      <c r="AD665" t="s">
        <v>137</v>
      </c>
      <c r="AE665" t="s">
        <v>566</v>
      </c>
      <c r="AF665">
        <v>6</v>
      </c>
      <c r="AG665">
        <v>260</v>
      </c>
      <c r="AH665" s="122">
        <v>2500</v>
      </c>
      <c r="AI665" s="122">
        <v>59925</v>
      </c>
      <c r="AJ665" s="122">
        <v>54477</v>
      </c>
      <c r="AK665">
        <v>74</v>
      </c>
      <c r="AL665" s="122">
        <v>10020</v>
      </c>
      <c r="AM665" s="122">
        <v>3711</v>
      </c>
      <c r="AN665" s="122">
        <v>5158</v>
      </c>
      <c r="AO665" s="122">
        <v>1910</v>
      </c>
      <c r="AP665" s="122">
        <v>4077</v>
      </c>
      <c r="AQ665" s="122">
        <v>1510</v>
      </c>
      <c r="AR665" s="122">
        <v>28818</v>
      </c>
      <c r="AS665" s="122">
        <v>10673</v>
      </c>
      <c r="AT665">
        <v>0</v>
      </c>
      <c r="AU665">
        <v>0</v>
      </c>
      <c r="AV665" s="122">
        <v>72282</v>
      </c>
    </row>
    <row r="666" spans="2:48" ht="13">
      <c r="B666" t="s">
        <v>444</v>
      </c>
      <c r="C666" t="s">
        <v>56</v>
      </c>
      <c r="D666" t="s">
        <v>407</v>
      </c>
      <c r="E666" t="s">
        <v>137</v>
      </c>
      <c r="F666" s="122">
        <v>5</v>
      </c>
      <c r="G666" s="122">
        <v>256</v>
      </c>
      <c r="H666" s="122">
        <v>1007</v>
      </c>
      <c r="I666" s="122">
        <v>23725</v>
      </c>
      <c r="J666" s="191">
        <v>21568</v>
      </c>
      <c r="K666" s="122">
        <v>79</v>
      </c>
      <c r="L666">
        <v>0</v>
      </c>
      <c r="M666">
        <v>0</v>
      </c>
      <c r="N666" s="122">
        <v>4990</v>
      </c>
      <c r="O666" s="122">
        <v>1848</v>
      </c>
      <c r="P666" s="122">
        <v>2363</v>
      </c>
      <c r="Q666">
        <v>875</v>
      </c>
      <c r="R666" s="122">
        <v>19963</v>
      </c>
      <c r="S666" s="122">
        <v>7394</v>
      </c>
      <c r="T666">
        <v>0</v>
      </c>
      <c r="U666">
        <v>0</v>
      </c>
      <c r="V666" s="122">
        <v>31685</v>
      </c>
      <c r="W666" s="122">
        <f t="shared" si="20"/>
        <v>31685</v>
      </c>
      <c r="X666" s="122">
        <f t="shared" si="21"/>
        <v>51041</v>
      </c>
      <c r="Y666" s="122"/>
      <c r="AA666" t="s">
        <v>62</v>
      </c>
      <c r="AB666" t="s">
        <v>406</v>
      </c>
      <c r="AC666" t="s">
        <v>137</v>
      </c>
      <c r="AD666" t="s">
        <v>406</v>
      </c>
      <c r="AE666" t="s">
        <v>137</v>
      </c>
      <c r="AF666">
        <v>22</v>
      </c>
      <c r="AG666" s="122">
        <v>1535</v>
      </c>
      <c r="AH666" s="122">
        <v>9122</v>
      </c>
      <c r="AI666" s="122">
        <v>403373</v>
      </c>
      <c r="AJ666" s="122">
        <v>366702</v>
      </c>
      <c r="AK666">
        <v>77</v>
      </c>
      <c r="AL666" s="122">
        <v>71852</v>
      </c>
      <c r="AM666" s="122">
        <v>26612</v>
      </c>
      <c r="AN666" s="122">
        <v>34180</v>
      </c>
      <c r="AO666" s="122">
        <v>12659</v>
      </c>
      <c r="AP666" s="122">
        <v>14013</v>
      </c>
      <c r="AQ666" s="122">
        <v>5190</v>
      </c>
      <c r="AR666" s="122">
        <v>88615</v>
      </c>
      <c r="AS666" s="122">
        <v>80559</v>
      </c>
      <c r="AT666" s="122">
        <v>36578</v>
      </c>
      <c r="AU666" s="122">
        <v>13547</v>
      </c>
      <c r="AV666" s="122">
        <v>505270</v>
      </c>
    </row>
    <row r="667" spans="2:48" ht="13">
      <c r="B667" t="s">
        <v>444</v>
      </c>
      <c r="C667" t="s">
        <v>56</v>
      </c>
      <c r="D667" t="s">
        <v>407</v>
      </c>
      <c r="E667" t="s">
        <v>407</v>
      </c>
      <c r="F667" s="122">
        <v>262</v>
      </c>
      <c r="G667" s="122">
        <v>18169</v>
      </c>
      <c r="H667" s="122">
        <v>49591</v>
      </c>
      <c r="I667" s="122">
        <v>1611526</v>
      </c>
      <c r="J667" s="191">
        <v>1465024</v>
      </c>
      <c r="K667" s="122">
        <v>82</v>
      </c>
      <c r="L667" s="122">
        <v>162159</v>
      </c>
      <c r="M667" s="122">
        <v>118595</v>
      </c>
      <c r="N667" s="122">
        <v>338407</v>
      </c>
      <c r="O667" s="122">
        <v>125336</v>
      </c>
      <c r="P667" s="122">
        <v>123508</v>
      </c>
      <c r="Q667" s="122">
        <v>45744</v>
      </c>
      <c r="R667" s="122">
        <v>1008610</v>
      </c>
      <c r="S667" s="122">
        <v>916919</v>
      </c>
      <c r="T667" s="122">
        <v>197070</v>
      </c>
      <c r="U667" s="122">
        <v>72989</v>
      </c>
      <c r="V667" s="122">
        <v>2744606</v>
      </c>
      <c r="W667" s="122">
        <f t="shared" si="20"/>
        <v>2744607</v>
      </c>
      <c r="X667" s="122">
        <f t="shared" si="21"/>
        <v>3441280</v>
      </c>
      <c r="Y667" s="122"/>
      <c r="AA667" t="s">
        <v>62</v>
      </c>
      <c r="AB667" t="s">
        <v>406</v>
      </c>
      <c r="AC667" t="s">
        <v>137</v>
      </c>
      <c r="AD667" t="s">
        <v>406</v>
      </c>
      <c r="AE667" t="s">
        <v>566</v>
      </c>
      <c r="AF667">
        <v>10</v>
      </c>
      <c r="AG667" s="122">
        <v>1063</v>
      </c>
      <c r="AH667" s="122">
        <v>4100</v>
      </c>
      <c r="AI667" s="122">
        <v>283026</v>
      </c>
      <c r="AJ667" s="122">
        <v>257296</v>
      </c>
      <c r="AK667">
        <v>78</v>
      </c>
      <c r="AL667" s="122">
        <v>61146</v>
      </c>
      <c r="AM667" s="122">
        <v>22646</v>
      </c>
      <c r="AN667" s="122">
        <v>24121</v>
      </c>
      <c r="AO667" s="122">
        <v>8934</v>
      </c>
      <c r="AP667" s="122">
        <v>5940</v>
      </c>
      <c r="AQ667" s="122">
        <v>2200</v>
      </c>
      <c r="AR667" s="122">
        <v>52609</v>
      </c>
      <c r="AS667" s="122">
        <v>47826</v>
      </c>
      <c r="AT667">
        <v>0</v>
      </c>
      <c r="AU667">
        <v>0</v>
      </c>
      <c r="AV667" s="122">
        <v>338902</v>
      </c>
    </row>
    <row r="668" spans="2:48" ht="13">
      <c r="B668" t="s">
        <v>444</v>
      </c>
      <c r="C668" t="s">
        <v>58</v>
      </c>
      <c r="F668">
        <v>20</v>
      </c>
      <c r="G668" s="122">
        <v>795</v>
      </c>
      <c r="H668" s="122">
        <v>5234</v>
      </c>
      <c r="J668" s="66">
        <v>0</v>
      </c>
      <c r="K668" s="122"/>
      <c r="M668">
        <v>0</v>
      </c>
      <c r="N668" s="122">
        <v>16550</v>
      </c>
      <c r="O668" s="122">
        <v>6130</v>
      </c>
      <c r="P668" s="122">
        <v>2394</v>
      </c>
      <c r="Q668">
        <v>887</v>
      </c>
      <c r="S668">
        <v>0</v>
      </c>
      <c r="T668" s="122">
        <v>11530</v>
      </c>
      <c r="U668" s="122">
        <v>4270</v>
      </c>
      <c r="V668" s="122">
        <v>11287</v>
      </c>
      <c r="W668" s="122">
        <f t="shared" si="20"/>
        <v>11287</v>
      </c>
      <c r="X668" s="122">
        <f t="shared" si="21"/>
        <v>30474</v>
      </c>
      <c r="Y668" s="122"/>
      <c r="AA668" t="s">
        <v>62</v>
      </c>
      <c r="AB668" t="s">
        <v>406</v>
      </c>
      <c r="AC668" t="s">
        <v>580</v>
      </c>
      <c r="AD668" t="s">
        <v>406</v>
      </c>
      <c r="AE668" t="s">
        <v>137</v>
      </c>
      <c r="AF668">
        <v>2</v>
      </c>
      <c r="AG668">
        <v>241</v>
      </c>
      <c r="AH668">
        <v>824</v>
      </c>
      <c r="AI668" s="122">
        <v>69342</v>
      </c>
      <c r="AJ668" s="122">
        <v>63038</v>
      </c>
      <c r="AK668">
        <v>68</v>
      </c>
      <c r="AL668" s="122">
        <v>7591</v>
      </c>
      <c r="AM668" s="122">
        <v>6901</v>
      </c>
      <c r="AN668" s="122">
        <v>5614</v>
      </c>
      <c r="AO668" s="122">
        <v>2079</v>
      </c>
      <c r="AP668" s="122">
        <v>1863</v>
      </c>
      <c r="AQ668">
        <v>690</v>
      </c>
      <c r="AR668" s="122">
        <v>9259</v>
      </c>
      <c r="AS668" s="122">
        <v>8417</v>
      </c>
      <c r="AT668" s="122">
        <v>5032</v>
      </c>
      <c r="AU668" s="122">
        <v>1864</v>
      </c>
      <c r="AV668" s="122">
        <v>82989</v>
      </c>
    </row>
    <row r="669" spans="2:48" ht="13">
      <c r="B669" t="s">
        <v>444</v>
      </c>
      <c r="C669" t="s">
        <v>58</v>
      </c>
      <c r="D669" t="s">
        <v>137</v>
      </c>
      <c r="E669" t="s">
        <v>137</v>
      </c>
      <c r="F669">
        <v>877</v>
      </c>
      <c r="G669" s="122">
        <v>49616</v>
      </c>
      <c r="H669" s="122">
        <v>228738</v>
      </c>
      <c r="I669" s="122">
        <v>6173226</v>
      </c>
      <c r="J669" s="191">
        <v>2286380</v>
      </c>
      <c r="K669" s="122">
        <v>100</v>
      </c>
      <c r="L669" s="122">
        <v>677908</v>
      </c>
      <c r="M669" s="122">
        <v>261950</v>
      </c>
      <c r="N669" s="122">
        <v>1017775</v>
      </c>
      <c r="O669" s="122">
        <v>376954</v>
      </c>
      <c r="P669" s="122">
        <v>12590</v>
      </c>
      <c r="Q669" s="122">
        <v>4663</v>
      </c>
      <c r="R669" s="122">
        <v>5018293</v>
      </c>
      <c r="S669" s="122">
        <v>1858627</v>
      </c>
      <c r="T669" s="122">
        <v>11808</v>
      </c>
      <c r="U669" s="122">
        <v>4373</v>
      </c>
      <c r="V669" s="122">
        <v>4792947</v>
      </c>
      <c r="W669" s="122">
        <f t="shared" si="20"/>
        <v>4792947</v>
      </c>
      <c r="X669" s="122">
        <f t="shared" si="21"/>
        <v>12911600</v>
      </c>
      <c r="Y669" s="122"/>
      <c r="AA669" t="s">
        <v>62</v>
      </c>
      <c r="AB669" t="s">
        <v>406</v>
      </c>
      <c r="AC669" t="s">
        <v>427</v>
      </c>
      <c r="AD669" t="s">
        <v>137</v>
      </c>
      <c r="AE669" t="s">
        <v>566</v>
      </c>
      <c r="AF669">
        <v>1</v>
      </c>
      <c r="AG669">
        <v>63</v>
      </c>
      <c r="AH669">
        <v>383</v>
      </c>
      <c r="AI669" s="122">
        <v>11476</v>
      </c>
      <c r="AJ669" s="122">
        <v>10433</v>
      </c>
      <c r="AK669">
        <v>79</v>
      </c>
      <c r="AL669" s="122">
        <v>3188</v>
      </c>
      <c r="AM669" s="122">
        <v>2898</v>
      </c>
      <c r="AN669" s="122">
        <v>1531</v>
      </c>
      <c r="AO669">
        <v>567</v>
      </c>
      <c r="AP669">
        <v>621</v>
      </c>
      <c r="AQ669">
        <v>230</v>
      </c>
      <c r="AR669" s="122">
        <v>7226</v>
      </c>
      <c r="AS669" s="122">
        <v>2676</v>
      </c>
      <c r="AT669">
        <v>0</v>
      </c>
      <c r="AU669">
        <v>0</v>
      </c>
      <c r="AV669" s="122">
        <v>16804</v>
      </c>
    </row>
    <row r="670" spans="2:48" ht="13">
      <c r="B670" t="s">
        <v>444</v>
      </c>
      <c r="C670" t="s">
        <v>58</v>
      </c>
      <c r="D670" t="s">
        <v>406</v>
      </c>
      <c r="E670" t="s">
        <v>406</v>
      </c>
      <c r="F670" s="122">
        <v>4</v>
      </c>
      <c r="G670" s="122">
        <v>223</v>
      </c>
      <c r="H670" s="122">
        <v>1071</v>
      </c>
      <c r="I670" s="122">
        <v>28679</v>
      </c>
      <c r="J670" s="191">
        <v>26072</v>
      </c>
      <c r="K670" s="122">
        <v>84</v>
      </c>
      <c r="L670" s="122">
        <v>2871</v>
      </c>
      <c r="M670" s="122">
        <v>2610</v>
      </c>
      <c r="N670" s="122">
        <v>5108</v>
      </c>
      <c r="O670" s="122">
        <v>1892</v>
      </c>
      <c r="P670" s="122">
        <v>1674</v>
      </c>
      <c r="Q670">
        <v>620</v>
      </c>
      <c r="R670" s="122">
        <v>15944</v>
      </c>
      <c r="S670" s="122">
        <v>14495</v>
      </c>
      <c r="T670" s="122">
        <v>5153</v>
      </c>
      <c r="U670" s="122">
        <v>1908</v>
      </c>
      <c r="V670" s="122">
        <v>47596</v>
      </c>
      <c r="W670" s="122">
        <f t="shared" si="20"/>
        <v>47597</v>
      </c>
      <c r="X670" s="122">
        <f t="shared" si="21"/>
        <v>59429</v>
      </c>
      <c r="Y670" s="122"/>
      <c r="AA670" t="s">
        <v>62</v>
      </c>
      <c r="AB670" t="s">
        <v>406</v>
      </c>
      <c r="AC670" t="s">
        <v>427</v>
      </c>
      <c r="AD670" t="s">
        <v>406</v>
      </c>
      <c r="AE670" t="s">
        <v>137</v>
      </c>
      <c r="AF670">
        <v>10</v>
      </c>
      <c r="AG670">
        <v>919</v>
      </c>
      <c r="AH670" s="122">
        <v>3998</v>
      </c>
      <c r="AI670" s="122">
        <v>230072</v>
      </c>
      <c r="AJ670" s="122">
        <v>209156</v>
      </c>
      <c r="AK670">
        <v>77</v>
      </c>
      <c r="AL670" s="122">
        <v>56690</v>
      </c>
      <c r="AM670" s="122">
        <v>51536</v>
      </c>
      <c r="AN670" s="122">
        <v>19625</v>
      </c>
      <c r="AO670" s="122">
        <v>7268</v>
      </c>
      <c r="AP670" s="122">
        <v>6210</v>
      </c>
      <c r="AQ670" s="122">
        <v>2300</v>
      </c>
      <c r="AR670" s="122">
        <v>37197</v>
      </c>
      <c r="AS670" s="122">
        <v>33815</v>
      </c>
      <c r="AT670" s="122">
        <v>17885</v>
      </c>
      <c r="AU670" s="122">
        <v>6624</v>
      </c>
      <c r="AV670" s="122">
        <v>310700</v>
      </c>
    </row>
    <row r="671" spans="2:48" ht="13">
      <c r="B671" t="s">
        <v>444</v>
      </c>
      <c r="C671" t="s">
        <v>58</v>
      </c>
      <c r="D671" t="s">
        <v>407</v>
      </c>
      <c r="E671" t="s">
        <v>137</v>
      </c>
      <c r="F671" s="122">
        <v>6</v>
      </c>
      <c r="G671" s="122">
        <v>316</v>
      </c>
      <c r="H671" s="122">
        <v>1566</v>
      </c>
      <c r="I671" s="122">
        <v>46158</v>
      </c>
      <c r="J671" s="191">
        <v>41962</v>
      </c>
      <c r="K671" s="122">
        <v>75</v>
      </c>
      <c r="L671" s="122">
        <v>2093</v>
      </c>
      <c r="M671" s="122">
        <v>1334</v>
      </c>
      <c r="N671" s="122">
        <v>6651</v>
      </c>
      <c r="O671" s="122">
        <v>2463</v>
      </c>
      <c r="P671" s="122">
        <v>2363</v>
      </c>
      <c r="Q671">
        <v>875</v>
      </c>
      <c r="R671" s="122">
        <v>22362</v>
      </c>
      <c r="S671" s="122">
        <v>8282</v>
      </c>
      <c r="T671">
        <v>0</v>
      </c>
      <c r="U671">
        <v>0</v>
      </c>
      <c r="V671" s="122">
        <v>54916</v>
      </c>
      <c r="W671" s="122">
        <f t="shared" si="20"/>
        <v>54916</v>
      </c>
      <c r="X671" s="122">
        <f t="shared" si="21"/>
        <v>79627</v>
      </c>
      <c r="Y671" s="122"/>
      <c r="AA671" t="s">
        <v>62</v>
      </c>
      <c r="AB671" t="s">
        <v>406</v>
      </c>
      <c r="AC671" t="s">
        <v>427</v>
      </c>
      <c r="AD671" t="s">
        <v>406</v>
      </c>
      <c r="AE671" t="s">
        <v>566</v>
      </c>
      <c r="AF671">
        <v>3</v>
      </c>
      <c r="AG671">
        <v>374</v>
      </c>
      <c r="AH671" s="122">
        <v>1232</v>
      </c>
      <c r="AI671" s="122">
        <v>103843</v>
      </c>
      <c r="AJ671" s="122">
        <v>94403</v>
      </c>
      <c r="AK671">
        <v>70</v>
      </c>
      <c r="AL671" s="122">
        <v>25400</v>
      </c>
      <c r="AM671" s="122">
        <v>23091</v>
      </c>
      <c r="AN671" s="122">
        <v>7877</v>
      </c>
      <c r="AO671" s="122">
        <v>2917</v>
      </c>
      <c r="AP671" s="122">
        <v>1863</v>
      </c>
      <c r="AQ671">
        <v>690</v>
      </c>
      <c r="AR671" s="122">
        <v>14313</v>
      </c>
      <c r="AS671" s="122">
        <v>13012</v>
      </c>
      <c r="AT671">
        <v>0</v>
      </c>
      <c r="AU671">
        <v>0</v>
      </c>
      <c r="AV671" s="122">
        <v>134114</v>
      </c>
    </row>
    <row r="672" spans="2:48" ht="13">
      <c r="B672" t="s">
        <v>444</v>
      </c>
      <c r="C672" t="s">
        <v>58</v>
      </c>
      <c r="D672" t="s">
        <v>407</v>
      </c>
      <c r="E672" t="s">
        <v>407</v>
      </c>
      <c r="F672" s="122">
        <v>143</v>
      </c>
      <c r="G672" s="122">
        <v>8006</v>
      </c>
      <c r="H672" s="122">
        <v>37247</v>
      </c>
      <c r="I672" s="122">
        <v>1028970</v>
      </c>
      <c r="J672" s="191">
        <v>935427</v>
      </c>
      <c r="K672" s="122">
        <v>78</v>
      </c>
      <c r="L672" s="122">
        <v>140869</v>
      </c>
      <c r="M672" s="122">
        <v>116389</v>
      </c>
      <c r="N672" s="122">
        <v>157657</v>
      </c>
      <c r="O672" s="122">
        <v>58392</v>
      </c>
      <c r="P672" s="122">
        <v>66353</v>
      </c>
      <c r="Q672" s="122">
        <v>24575</v>
      </c>
      <c r="R672" s="122">
        <v>571989</v>
      </c>
      <c r="S672" s="122">
        <v>519990</v>
      </c>
      <c r="T672" s="122">
        <v>137538</v>
      </c>
      <c r="U672" s="122">
        <v>50940</v>
      </c>
      <c r="V672" s="122">
        <v>1705712</v>
      </c>
      <c r="W672" s="122">
        <f t="shared" si="20"/>
        <v>1705713</v>
      </c>
      <c r="X672" s="122">
        <f t="shared" si="21"/>
        <v>2103376</v>
      </c>
      <c r="Y672" s="122"/>
      <c r="AA672" t="s">
        <v>62</v>
      </c>
      <c r="AB672" t="s">
        <v>406</v>
      </c>
      <c r="AC672" t="s">
        <v>407</v>
      </c>
      <c r="AD672" t="s">
        <v>406</v>
      </c>
      <c r="AE672" t="s">
        <v>137</v>
      </c>
      <c r="AF672">
        <v>1</v>
      </c>
      <c r="AG672">
        <v>166</v>
      </c>
      <c r="AH672">
        <v>408</v>
      </c>
      <c r="AI672" s="122">
        <v>47977</v>
      </c>
      <c r="AJ672" s="122">
        <v>43615</v>
      </c>
      <c r="AK672">
        <v>65</v>
      </c>
      <c r="AL672" s="122">
        <v>6589</v>
      </c>
      <c r="AM672" s="122">
        <v>5990</v>
      </c>
      <c r="AN672" s="122">
        <v>3861</v>
      </c>
      <c r="AO672" s="122">
        <v>1430</v>
      </c>
      <c r="AP672">
        <v>621</v>
      </c>
      <c r="AQ672">
        <v>230</v>
      </c>
      <c r="AR672" s="122">
        <v>5609</v>
      </c>
      <c r="AS672" s="122">
        <v>5099</v>
      </c>
      <c r="AT672" s="122">
        <v>3100</v>
      </c>
      <c r="AU672" s="122">
        <v>1148</v>
      </c>
      <c r="AV672" s="122">
        <v>57512</v>
      </c>
    </row>
    <row r="673" spans="2:48" ht="13">
      <c r="B673" t="s">
        <v>444</v>
      </c>
      <c r="C673" t="s">
        <v>60</v>
      </c>
      <c r="F673">
        <v>12</v>
      </c>
      <c r="G673">
        <v>462</v>
      </c>
      <c r="H673" s="122">
        <v>4064</v>
      </c>
      <c r="J673" s="66">
        <v>0</v>
      </c>
      <c r="M673">
        <v>0</v>
      </c>
      <c r="N673" s="122">
        <v>9168</v>
      </c>
      <c r="O673" s="122">
        <v>3396</v>
      </c>
      <c r="P673" s="122">
        <v>1715</v>
      </c>
      <c r="Q673">
        <v>635</v>
      </c>
      <c r="S673">
        <v>0</v>
      </c>
      <c r="T673" s="122">
        <v>3705</v>
      </c>
      <c r="U673" s="122">
        <v>1372</v>
      </c>
      <c r="V673" s="122">
        <v>5403</v>
      </c>
      <c r="W673" s="122">
        <f t="shared" si="20"/>
        <v>5403</v>
      </c>
      <c r="X673" s="122">
        <f t="shared" si="21"/>
        <v>14588</v>
      </c>
      <c r="Y673" s="122"/>
      <c r="AA673" t="s">
        <v>62</v>
      </c>
      <c r="AB673" t="s">
        <v>406</v>
      </c>
      <c r="AC673" t="s">
        <v>579</v>
      </c>
      <c r="AD673" t="s">
        <v>137</v>
      </c>
      <c r="AE673" t="s">
        <v>137</v>
      </c>
      <c r="AF673">
        <v>1</v>
      </c>
      <c r="AG673">
        <v>103</v>
      </c>
      <c r="AH673">
        <v>446</v>
      </c>
      <c r="AI673" s="122">
        <v>28243</v>
      </c>
      <c r="AJ673" s="122">
        <v>25676</v>
      </c>
      <c r="AK673">
        <v>65</v>
      </c>
      <c r="AL673" s="122">
        <v>7052</v>
      </c>
      <c r="AM673" s="122">
        <v>5877</v>
      </c>
      <c r="AN673" s="122">
        <v>2498</v>
      </c>
      <c r="AO673">
        <v>925</v>
      </c>
      <c r="AP673">
        <v>621</v>
      </c>
      <c r="AQ673">
        <v>230</v>
      </c>
      <c r="AR673" s="122">
        <v>7317</v>
      </c>
      <c r="AS673" s="122">
        <v>2710</v>
      </c>
      <c r="AT673">
        <v>0</v>
      </c>
      <c r="AU673">
        <v>0</v>
      </c>
      <c r="AV673" s="122">
        <v>35418</v>
      </c>
    </row>
    <row r="674" spans="2:48" ht="13">
      <c r="B674" t="s">
        <v>444</v>
      </c>
      <c r="C674" t="s">
        <v>60</v>
      </c>
      <c r="D674" t="s">
        <v>137</v>
      </c>
      <c r="E674" t="s">
        <v>137</v>
      </c>
      <c r="F674" s="122">
        <v>549</v>
      </c>
      <c r="G674" s="122">
        <v>28625</v>
      </c>
      <c r="H674" s="122">
        <v>185671</v>
      </c>
      <c r="I674" s="122">
        <v>5527286</v>
      </c>
      <c r="J674" s="191">
        <v>2047143</v>
      </c>
      <c r="K674" s="122">
        <v>100</v>
      </c>
      <c r="L674" s="122">
        <v>501688</v>
      </c>
      <c r="M674" s="122">
        <v>198869</v>
      </c>
      <c r="N674" s="122">
        <v>598331</v>
      </c>
      <c r="O674" s="122">
        <v>221604</v>
      </c>
      <c r="P674" s="122">
        <v>7958</v>
      </c>
      <c r="Q674" s="122">
        <v>2947</v>
      </c>
      <c r="R674" s="122">
        <v>3033586</v>
      </c>
      <c r="S674" s="122">
        <v>1123550</v>
      </c>
      <c r="T674" s="122">
        <v>1548</v>
      </c>
      <c r="U674">
        <v>573</v>
      </c>
      <c r="V674" s="122">
        <v>3594687</v>
      </c>
      <c r="W674" s="122">
        <f t="shared" si="20"/>
        <v>3594686</v>
      </c>
      <c r="X674" s="122">
        <f t="shared" si="21"/>
        <v>9670397</v>
      </c>
      <c r="Y674" s="122"/>
      <c r="AA674" t="s">
        <v>62</v>
      </c>
      <c r="AB674" t="s">
        <v>406</v>
      </c>
      <c r="AC674" t="s">
        <v>579</v>
      </c>
      <c r="AD674" t="s">
        <v>137</v>
      </c>
      <c r="AE674" t="s">
        <v>566</v>
      </c>
      <c r="AF674">
        <v>2</v>
      </c>
      <c r="AG674">
        <v>160</v>
      </c>
      <c r="AH674">
        <v>814</v>
      </c>
      <c r="AI674" s="122">
        <v>43854</v>
      </c>
      <c r="AJ674" s="122">
        <v>39867</v>
      </c>
      <c r="AK674">
        <v>68</v>
      </c>
      <c r="AL674" s="122">
        <v>5939</v>
      </c>
      <c r="AM674" s="122">
        <v>4950</v>
      </c>
      <c r="AN674" s="122">
        <v>3531</v>
      </c>
      <c r="AO674" s="122">
        <v>1308</v>
      </c>
      <c r="AP674" s="122">
        <v>1242</v>
      </c>
      <c r="AQ674">
        <v>460</v>
      </c>
      <c r="AR674" s="122">
        <v>10651</v>
      </c>
      <c r="AS674" s="122">
        <v>3945</v>
      </c>
      <c r="AT674">
        <v>0</v>
      </c>
      <c r="AU674">
        <v>0</v>
      </c>
      <c r="AV674" s="122">
        <v>50529</v>
      </c>
    </row>
    <row r="675" spans="2:48" ht="13">
      <c r="B675" t="s">
        <v>444</v>
      </c>
      <c r="C675" t="s">
        <v>60</v>
      </c>
      <c r="D675" t="s">
        <v>406</v>
      </c>
      <c r="E675" t="s">
        <v>137</v>
      </c>
      <c r="F675" s="122">
        <v>1</v>
      </c>
      <c r="G675" s="122">
        <v>39</v>
      </c>
      <c r="H675" s="122">
        <v>336</v>
      </c>
      <c r="I675" s="122">
        <v>8316</v>
      </c>
      <c r="J675" s="191">
        <v>7560</v>
      </c>
      <c r="K675" s="122">
        <v>86</v>
      </c>
      <c r="L675">
        <v>0</v>
      </c>
      <c r="M675">
        <v>0</v>
      </c>
      <c r="N675">
        <v>953</v>
      </c>
      <c r="O675">
        <v>353</v>
      </c>
      <c r="P675">
        <v>621</v>
      </c>
      <c r="Q675">
        <v>230</v>
      </c>
      <c r="R675" s="122">
        <v>3266</v>
      </c>
      <c r="S675" s="122">
        <v>1210</v>
      </c>
      <c r="T675">
        <v>0</v>
      </c>
      <c r="U675">
        <v>0</v>
      </c>
      <c r="V675" s="122">
        <v>9353</v>
      </c>
      <c r="W675" s="122">
        <f t="shared" si="20"/>
        <v>9353</v>
      </c>
      <c r="X675" s="122">
        <f t="shared" si="21"/>
        <v>13156</v>
      </c>
      <c r="Y675" s="122"/>
      <c r="AA675" t="s">
        <v>62</v>
      </c>
      <c r="AB675" t="s">
        <v>406</v>
      </c>
      <c r="AC675" t="s">
        <v>579</v>
      </c>
      <c r="AD675" t="s">
        <v>406</v>
      </c>
      <c r="AE675" t="s">
        <v>137</v>
      </c>
      <c r="AF675">
        <v>29</v>
      </c>
      <c r="AG675" s="122">
        <v>2960</v>
      </c>
      <c r="AH675" s="122">
        <v>12071</v>
      </c>
      <c r="AI675" s="122">
        <v>785813</v>
      </c>
      <c r="AJ675" s="122">
        <v>714375</v>
      </c>
      <c r="AK675">
        <v>76</v>
      </c>
      <c r="AL675" s="122">
        <v>191765</v>
      </c>
      <c r="AM675" s="122">
        <v>159804</v>
      </c>
      <c r="AN675" s="122">
        <v>60658</v>
      </c>
      <c r="AO675" s="122">
        <v>22466</v>
      </c>
      <c r="AP675" s="122">
        <v>18009</v>
      </c>
      <c r="AQ675" s="122">
        <v>6670</v>
      </c>
      <c r="AR675" s="122">
        <v>139160</v>
      </c>
      <c r="AS675" s="122">
        <v>126509</v>
      </c>
      <c r="AT675" s="122">
        <v>59154</v>
      </c>
      <c r="AU675" s="122">
        <v>21909</v>
      </c>
      <c r="AV675" s="122">
        <v>1051733</v>
      </c>
    </row>
    <row r="676" spans="2:48" ht="13">
      <c r="B676" t="s">
        <v>444</v>
      </c>
      <c r="C676" t="s">
        <v>60</v>
      </c>
      <c r="D676" t="s">
        <v>406</v>
      </c>
      <c r="E676" t="s">
        <v>406</v>
      </c>
      <c r="F676" s="122">
        <v>1</v>
      </c>
      <c r="G676" s="122">
        <v>46</v>
      </c>
      <c r="H676" s="122">
        <v>365</v>
      </c>
      <c r="I676" s="122">
        <v>10500</v>
      </c>
      <c r="J676" s="191">
        <v>9546</v>
      </c>
      <c r="K676" s="122">
        <v>86</v>
      </c>
      <c r="L676">
        <v>0</v>
      </c>
      <c r="M676">
        <v>0</v>
      </c>
      <c r="N676" s="122">
        <v>1121</v>
      </c>
      <c r="O676">
        <v>415</v>
      </c>
      <c r="P676">
        <v>351</v>
      </c>
      <c r="Q676">
        <v>130</v>
      </c>
      <c r="R676" s="122">
        <v>3122</v>
      </c>
      <c r="S676" s="122">
        <v>2838</v>
      </c>
      <c r="T676" s="122">
        <v>1688</v>
      </c>
      <c r="U676">
        <v>625</v>
      </c>
      <c r="V676" s="122">
        <v>13554</v>
      </c>
      <c r="W676" s="122">
        <f t="shared" si="20"/>
        <v>13554</v>
      </c>
      <c r="X676" s="122">
        <f t="shared" si="21"/>
        <v>16782</v>
      </c>
      <c r="Y676" s="122"/>
      <c r="AA676" t="s">
        <v>62</v>
      </c>
      <c r="AB676" t="s">
        <v>406</v>
      </c>
      <c r="AC676" t="s">
        <v>579</v>
      </c>
      <c r="AD676" t="s">
        <v>406</v>
      </c>
      <c r="AE676" t="s">
        <v>566</v>
      </c>
      <c r="AF676">
        <v>7</v>
      </c>
      <c r="AG676">
        <v>676</v>
      </c>
      <c r="AH676" s="122">
        <v>2942</v>
      </c>
      <c r="AI676" s="122">
        <v>179707</v>
      </c>
      <c r="AJ676" s="122">
        <v>163370</v>
      </c>
      <c r="AK676">
        <v>81</v>
      </c>
      <c r="AL676" s="122">
        <v>40402</v>
      </c>
      <c r="AM676" s="122">
        <v>33668</v>
      </c>
      <c r="AN676" s="122">
        <v>14832</v>
      </c>
      <c r="AO676" s="122">
        <v>5493</v>
      </c>
      <c r="AP676" s="122">
        <v>4347</v>
      </c>
      <c r="AQ676" s="122">
        <v>1610</v>
      </c>
      <c r="AR676" s="122">
        <v>40899</v>
      </c>
      <c r="AS676" s="122">
        <v>37181</v>
      </c>
      <c r="AT676">
        <v>0</v>
      </c>
      <c r="AU676">
        <v>0</v>
      </c>
      <c r="AV676" s="122">
        <v>241323</v>
      </c>
    </row>
    <row r="677" spans="2:48" ht="13">
      <c r="B677" t="s">
        <v>444</v>
      </c>
      <c r="C677" t="s">
        <v>60</v>
      </c>
      <c r="D677" t="s">
        <v>407</v>
      </c>
      <c r="E677" t="s">
        <v>137</v>
      </c>
      <c r="F677">
        <v>8</v>
      </c>
      <c r="G677">
        <v>363</v>
      </c>
      <c r="H677" s="122">
        <v>2691</v>
      </c>
      <c r="I677" s="122">
        <v>77100</v>
      </c>
      <c r="J677" s="191">
        <v>70091</v>
      </c>
      <c r="K677" s="122">
        <v>74</v>
      </c>
      <c r="L677" s="122">
        <v>1090</v>
      </c>
      <c r="M677">
        <v>404</v>
      </c>
      <c r="N677" s="122">
        <v>8723</v>
      </c>
      <c r="O677" s="122">
        <v>3231</v>
      </c>
      <c r="P677" s="122">
        <v>2714</v>
      </c>
      <c r="Q677" s="122">
        <v>1005</v>
      </c>
      <c r="R677" s="122">
        <v>33030</v>
      </c>
      <c r="S677" s="122">
        <v>12233</v>
      </c>
      <c r="T677">
        <v>0</v>
      </c>
      <c r="U677">
        <v>0</v>
      </c>
      <c r="V677" s="122">
        <v>86963</v>
      </c>
      <c r="W677" s="122">
        <f t="shared" si="20"/>
        <v>86964</v>
      </c>
      <c r="X677" s="122">
        <f t="shared" si="21"/>
        <v>122657</v>
      </c>
      <c r="Y677" s="122"/>
      <c r="AA677" t="s">
        <v>62</v>
      </c>
      <c r="AB677" t="s">
        <v>406</v>
      </c>
      <c r="AC677" t="s">
        <v>431</v>
      </c>
      <c r="AD677" t="s">
        <v>406</v>
      </c>
      <c r="AE677" t="s">
        <v>137</v>
      </c>
      <c r="AF677">
        <v>1</v>
      </c>
      <c r="AG677">
        <v>114</v>
      </c>
      <c r="AH677">
        <v>418</v>
      </c>
      <c r="AI677" s="122">
        <v>30457</v>
      </c>
      <c r="AJ677" s="122">
        <v>27688</v>
      </c>
      <c r="AK677">
        <v>60</v>
      </c>
      <c r="AL677" s="122">
        <v>6430</v>
      </c>
      <c r="AM677" s="122">
        <v>5845</v>
      </c>
      <c r="AN677" s="122">
        <v>2241</v>
      </c>
      <c r="AO677">
        <v>830</v>
      </c>
      <c r="AP677">
        <v>621</v>
      </c>
      <c r="AQ677">
        <v>230</v>
      </c>
      <c r="AR677" s="122">
        <v>5359</v>
      </c>
      <c r="AS677" s="122">
        <v>4872</v>
      </c>
      <c r="AT677" s="122">
        <v>2606</v>
      </c>
      <c r="AU677">
        <v>965</v>
      </c>
      <c r="AV677" s="122">
        <v>40430</v>
      </c>
    </row>
    <row r="678" spans="2:48" ht="13">
      <c r="B678" t="s">
        <v>444</v>
      </c>
      <c r="C678" t="s">
        <v>60</v>
      </c>
      <c r="D678" t="s">
        <v>407</v>
      </c>
      <c r="E678" t="s">
        <v>407</v>
      </c>
      <c r="F678" s="122">
        <v>69</v>
      </c>
      <c r="G678" s="122">
        <v>4140</v>
      </c>
      <c r="H678" s="122">
        <v>23382</v>
      </c>
      <c r="I678" s="122">
        <v>796585</v>
      </c>
      <c r="J678" s="191">
        <v>724168</v>
      </c>
      <c r="K678" s="122">
        <v>75</v>
      </c>
      <c r="L678" s="122">
        <v>110297</v>
      </c>
      <c r="M678" s="122">
        <v>86166</v>
      </c>
      <c r="N678" s="122">
        <v>87081</v>
      </c>
      <c r="O678" s="122">
        <v>32252</v>
      </c>
      <c r="P678" s="122">
        <v>32117</v>
      </c>
      <c r="Q678" s="122">
        <v>11895</v>
      </c>
      <c r="R678" s="122">
        <v>288044</v>
      </c>
      <c r="S678" s="122">
        <v>261858</v>
      </c>
      <c r="T678" s="122">
        <v>80124</v>
      </c>
      <c r="U678" s="122">
        <v>29676</v>
      </c>
      <c r="V678" s="122">
        <v>1146015</v>
      </c>
      <c r="W678" s="122">
        <f t="shared" si="20"/>
        <v>1146015</v>
      </c>
      <c r="X678" s="122">
        <f t="shared" si="21"/>
        <v>1394248</v>
      </c>
      <c r="Y678" s="122"/>
      <c r="AA678" t="s">
        <v>62</v>
      </c>
      <c r="AB678" t="s">
        <v>406</v>
      </c>
      <c r="AC678" t="s">
        <v>426</v>
      </c>
      <c r="AD678" t="s">
        <v>137</v>
      </c>
      <c r="AE678" t="s">
        <v>137</v>
      </c>
      <c r="AF678">
        <v>1</v>
      </c>
      <c r="AG678">
        <v>110</v>
      </c>
      <c r="AH678">
        <v>397</v>
      </c>
      <c r="AI678" s="122">
        <v>25659</v>
      </c>
      <c r="AJ678" s="122">
        <v>23326</v>
      </c>
      <c r="AK678">
        <v>65</v>
      </c>
      <c r="AL678" s="122">
        <v>5873</v>
      </c>
      <c r="AM678" s="122">
        <v>5339</v>
      </c>
      <c r="AN678" s="122">
        <v>2674</v>
      </c>
      <c r="AO678">
        <v>990</v>
      </c>
      <c r="AP678">
        <v>621</v>
      </c>
      <c r="AQ678">
        <v>230</v>
      </c>
      <c r="AR678" s="122">
        <v>8778</v>
      </c>
      <c r="AS678" s="122">
        <v>3251</v>
      </c>
      <c r="AT678">
        <v>0</v>
      </c>
      <c r="AU678">
        <v>0</v>
      </c>
      <c r="AV678" s="122">
        <v>33137</v>
      </c>
    </row>
    <row r="679" spans="2:48" ht="13">
      <c r="B679" t="s">
        <v>444</v>
      </c>
      <c r="C679" t="s">
        <v>62</v>
      </c>
      <c r="F679" s="122">
        <v>9</v>
      </c>
      <c r="G679" s="122">
        <v>329</v>
      </c>
      <c r="H679" s="122">
        <v>3731</v>
      </c>
      <c r="J679" s="191">
        <v>0</v>
      </c>
      <c r="K679" s="122"/>
      <c r="M679">
        <v>0</v>
      </c>
      <c r="N679" s="122">
        <v>7146</v>
      </c>
      <c r="O679" s="122">
        <v>2647</v>
      </c>
      <c r="P679" s="122">
        <v>1242</v>
      </c>
      <c r="Q679">
        <v>460</v>
      </c>
      <c r="S679">
        <v>0</v>
      </c>
      <c r="T679" s="122">
        <v>1989</v>
      </c>
      <c r="U679">
        <v>737</v>
      </c>
      <c r="V679" s="122">
        <v>3843</v>
      </c>
      <c r="W679" s="122">
        <f t="shared" si="20"/>
        <v>3844</v>
      </c>
      <c r="X679" s="122">
        <f t="shared" si="21"/>
        <v>10377</v>
      </c>
      <c r="Y679" s="122"/>
      <c r="AA679" t="s">
        <v>62</v>
      </c>
      <c r="AB679" t="s">
        <v>406</v>
      </c>
      <c r="AC679" t="s">
        <v>426</v>
      </c>
      <c r="AD679" t="s">
        <v>137</v>
      </c>
      <c r="AE679" t="s">
        <v>566</v>
      </c>
      <c r="AF679">
        <v>3</v>
      </c>
      <c r="AG679">
        <v>355</v>
      </c>
      <c r="AH679" s="122">
        <v>1270</v>
      </c>
      <c r="AI679" s="122">
        <v>94490</v>
      </c>
      <c r="AJ679" s="122">
        <v>85900</v>
      </c>
      <c r="AK679">
        <v>88</v>
      </c>
      <c r="AL679" s="122">
        <v>20703</v>
      </c>
      <c r="AM679" s="122">
        <v>18820</v>
      </c>
      <c r="AN679" s="122">
        <v>7617</v>
      </c>
      <c r="AO679" s="122">
        <v>2821</v>
      </c>
      <c r="AP679" s="122">
        <v>1863</v>
      </c>
      <c r="AQ679">
        <v>690</v>
      </c>
      <c r="AR679" s="122">
        <v>22864</v>
      </c>
      <c r="AS679" s="122">
        <v>8468</v>
      </c>
      <c r="AT679">
        <v>0</v>
      </c>
      <c r="AU679">
        <v>0</v>
      </c>
      <c r="AV679" s="122">
        <v>116699</v>
      </c>
    </row>
    <row r="680" spans="2:48" ht="13">
      <c r="B680" t="s">
        <v>444</v>
      </c>
      <c r="C680" t="s">
        <v>62</v>
      </c>
      <c r="D680" t="s">
        <v>137</v>
      </c>
      <c r="E680" t="s">
        <v>137</v>
      </c>
      <c r="F680">
        <v>207</v>
      </c>
      <c r="G680" s="122">
        <v>9732</v>
      </c>
      <c r="H680" s="122">
        <v>85598</v>
      </c>
      <c r="I680" s="122">
        <v>2504629</v>
      </c>
      <c r="J680" s="191">
        <v>927640</v>
      </c>
      <c r="K680" s="122">
        <v>100</v>
      </c>
      <c r="L680" s="122">
        <v>181232</v>
      </c>
      <c r="M680" s="122">
        <v>76197</v>
      </c>
      <c r="N680" s="122">
        <v>204834</v>
      </c>
      <c r="O680" s="122">
        <v>75864</v>
      </c>
      <c r="P680" s="122">
        <v>2351</v>
      </c>
      <c r="Q680">
        <v>871</v>
      </c>
      <c r="R680" s="122">
        <v>1139029</v>
      </c>
      <c r="S680" s="122">
        <v>421863</v>
      </c>
      <c r="T680">
        <v>0</v>
      </c>
      <c r="U680">
        <v>0</v>
      </c>
      <c r="V680" s="122">
        <v>1502435</v>
      </c>
      <c r="W680" s="122">
        <f t="shared" si="20"/>
        <v>1502435</v>
      </c>
      <c r="X680" s="122">
        <f t="shared" si="21"/>
        <v>4032075</v>
      </c>
      <c r="Y680" s="122"/>
      <c r="AA680" t="s">
        <v>62</v>
      </c>
      <c r="AB680" t="s">
        <v>406</v>
      </c>
      <c r="AC680" t="s">
        <v>426</v>
      </c>
      <c r="AD680" t="s">
        <v>406</v>
      </c>
      <c r="AE680" t="s">
        <v>137</v>
      </c>
      <c r="AF680">
        <v>68</v>
      </c>
      <c r="AG680" s="122">
        <v>6746</v>
      </c>
      <c r="AH680" s="122">
        <v>28311</v>
      </c>
      <c r="AI680" s="122">
        <v>1792482</v>
      </c>
      <c r="AJ680" s="122">
        <v>1629529</v>
      </c>
      <c r="AK680">
        <v>77</v>
      </c>
      <c r="AL680" s="122">
        <v>379818</v>
      </c>
      <c r="AM680" s="122">
        <v>345289</v>
      </c>
      <c r="AN680" s="122">
        <v>144109</v>
      </c>
      <c r="AO680" s="122">
        <v>53374</v>
      </c>
      <c r="AP680" s="122">
        <v>42579</v>
      </c>
      <c r="AQ680" s="122">
        <v>15770</v>
      </c>
      <c r="AR680" s="122">
        <v>296529</v>
      </c>
      <c r="AS680" s="122">
        <v>269572</v>
      </c>
      <c r="AT680" s="122">
        <v>159967</v>
      </c>
      <c r="AU680" s="122">
        <v>59247</v>
      </c>
      <c r="AV680" s="122">
        <v>2372780</v>
      </c>
    </row>
    <row r="681" spans="2:48" ht="13">
      <c r="B681" t="s">
        <v>444</v>
      </c>
      <c r="C681" t="s">
        <v>62</v>
      </c>
      <c r="D681" t="s">
        <v>406</v>
      </c>
      <c r="E681" t="s">
        <v>137</v>
      </c>
      <c r="F681">
        <v>2</v>
      </c>
      <c r="G681">
        <v>95</v>
      </c>
      <c r="H681" s="122">
        <v>793</v>
      </c>
      <c r="I681" s="122">
        <v>24796</v>
      </c>
      <c r="J681" s="191">
        <v>22542</v>
      </c>
      <c r="K681" s="122">
        <v>82</v>
      </c>
      <c r="L681">
        <v>0</v>
      </c>
      <c r="M681">
        <v>0</v>
      </c>
      <c r="N681" s="122">
        <v>1896</v>
      </c>
      <c r="O681">
        <v>702</v>
      </c>
      <c r="P681">
        <v>972</v>
      </c>
      <c r="Q681">
        <v>360</v>
      </c>
      <c r="R681" s="122">
        <v>9789</v>
      </c>
      <c r="S681" s="122">
        <v>3625</v>
      </c>
      <c r="T681">
        <v>0</v>
      </c>
      <c r="U681">
        <v>0</v>
      </c>
      <c r="V681" s="122">
        <v>27230</v>
      </c>
      <c r="W681" s="122">
        <f t="shared" si="20"/>
        <v>27229</v>
      </c>
      <c r="X681" s="122">
        <f t="shared" si="21"/>
        <v>37453</v>
      </c>
      <c r="Y681" s="122"/>
      <c r="AA681" t="s">
        <v>62</v>
      </c>
      <c r="AB681" t="s">
        <v>406</v>
      </c>
      <c r="AC681" t="s">
        <v>426</v>
      </c>
      <c r="AD681" t="s">
        <v>406</v>
      </c>
      <c r="AE681" t="s">
        <v>566</v>
      </c>
      <c r="AF681">
        <v>27</v>
      </c>
      <c r="AG681" s="122">
        <v>2579</v>
      </c>
      <c r="AH681" s="122">
        <v>11429</v>
      </c>
      <c r="AI681" s="122">
        <v>746778</v>
      </c>
      <c r="AJ681" s="122">
        <v>678889</v>
      </c>
      <c r="AK681">
        <v>77</v>
      </c>
      <c r="AL681" s="122">
        <v>154948</v>
      </c>
      <c r="AM681" s="122">
        <v>140862</v>
      </c>
      <c r="AN681" s="122">
        <v>61209</v>
      </c>
      <c r="AO681" s="122">
        <v>22670</v>
      </c>
      <c r="AP681" s="122">
        <v>17469</v>
      </c>
      <c r="AQ681" s="122">
        <v>6470</v>
      </c>
      <c r="AR681" s="122">
        <v>157987</v>
      </c>
      <c r="AS681" s="122">
        <v>143625</v>
      </c>
      <c r="AT681">
        <v>0</v>
      </c>
      <c r="AU681">
        <v>0</v>
      </c>
      <c r="AV681" s="122">
        <v>992516</v>
      </c>
    </row>
    <row r="682" spans="2:48" ht="13">
      <c r="B682" t="s">
        <v>444</v>
      </c>
      <c r="C682" t="s">
        <v>62</v>
      </c>
      <c r="D682" t="s">
        <v>406</v>
      </c>
      <c r="E682" t="s">
        <v>406</v>
      </c>
      <c r="F682" s="122">
        <v>1</v>
      </c>
      <c r="G682" s="122">
        <v>41</v>
      </c>
      <c r="H682" s="122">
        <v>392</v>
      </c>
      <c r="I682" s="122">
        <v>9192</v>
      </c>
      <c r="J682" s="191">
        <v>8356</v>
      </c>
      <c r="K682" s="122">
        <v>78</v>
      </c>
      <c r="L682">
        <v>0</v>
      </c>
      <c r="M682">
        <v>0</v>
      </c>
      <c r="N682">
        <v>621</v>
      </c>
      <c r="O682">
        <v>230</v>
      </c>
      <c r="P682">
        <v>621</v>
      </c>
      <c r="Q682">
        <v>230</v>
      </c>
      <c r="R682" s="122">
        <v>3510</v>
      </c>
      <c r="S682" s="122">
        <v>3190</v>
      </c>
      <c r="T682" s="122">
        <v>2057</v>
      </c>
      <c r="U682">
        <v>762</v>
      </c>
      <c r="V682" s="122">
        <v>12769</v>
      </c>
      <c r="W682" s="122">
        <f t="shared" si="20"/>
        <v>12768</v>
      </c>
      <c r="X682" s="122">
        <f t="shared" si="21"/>
        <v>16001</v>
      </c>
      <c r="Y682" s="122"/>
      <c r="AA682" t="s">
        <v>62</v>
      </c>
      <c r="AB682" t="s">
        <v>406</v>
      </c>
      <c r="AC682" t="s">
        <v>566</v>
      </c>
      <c r="AD682" t="s">
        <v>137</v>
      </c>
      <c r="AE682" t="s">
        <v>137</v>
      </c>
      <c r="AF682">
        <v>1</v>
      </c>
      <c r="AG682">
        <v>82</v>
      </c>
      <c r="AH682">
        <v>442</v>
      </c>
      <c r="AI682" s="122">
        <v>28199</v>
      </c>
      <c r="AJ682" s="122">
        <v>25636</v>
      </c>
      <c r="AK682">
        <v>65</v>
      </c>
      <c r="AL682">
        <v>0</v>
      </c>
      <c r="AM682">
        <v>0</v>
      </c>
      <c r="AN682" s="122">
        <v>1992</v>
      </c>
      <c r="AO682">
        <v>738</v>
      </c>
      <c r="AP682">
        <v>621</v>
      </c>
      <c r="AQ682">
        <v>230</v>
      </c>
      <c r="AR682" s="122">
        <v>5284</v>
      </c>
      <c r="AS682" s="122">
        <v>1957</v>
      </c>
      <c r="AT682">
        <v>0</v>
      </c>
      <c r="AU682">
        <v>0</v>
      </c>
      <c r="AV682" s="122">
        <v>28560</v>
      </c>
    </row>
    <row r="683" spans="2:48" ht="13">
      <c r="B683" t="s">
        <v>444</v>
      </c>
      <c r="C683" t="s">
        <v>62</v>
      </c>
      <c r="D683" t="s">
        <v>407</v>
      </c>
      <c r="E683" t="s">
        <v>137</v>
      </c>
      <c r="F683" s="122">
        <v>7</v>
      </c>
      <c r="G683" s="122">
        <v>327</v>
      </c>
      <c r="H683" s="122">
        <v>2901</v>
      </c>
      <c r="I683" s="122">
        <v>92715</v>
      </c>
      <c r="J683" s="191">
        <v>84286</v>
      </c>
      <c r="K683" s="122">
        <v>74</v>
      </c>
      <c r="L683" s="122">
        <v>4896</v>
      </c>
      <c r="M683" s="122">
        <v>4150</v>
      </c>
      <c r="N683" s="122">
        <v>7273</v>
      </c>
      <c r="O683" s="122">
        <v>2694</v>
      </c>
      <c r="P683" s="122">
        <v>1890</v>
      </c>
      <c r="Q683">
        <v>700</v>
      </c>
      <c r="R683" s="122">
        <v>28093</v>
      </c>
      <c r="S683" s="122">
        <v>10405</v>
      </c>
      <c r="T683">
        <v>0</v>
      </c>
      <c r="U683">
        <v>0</v>
      </c>
      <c r="V683" s="122">
        <v>102235</v>
      </c>
      <c r="W683" s="122">
        <f t="shared" si="20"/>
        <v>102235</v>
      </c>
      <c r="X683" s="122">
        <f t="shared" si="21"/>
        <v>134867</v>
      </c>
      <c r="Y683" s="122"/>
      <c r="AA683" t="s">
        <v>62</v>
      </c>
      <c r="AB683" t="s">
        <v>406</v>
      </c>
      <c r="AC683" t="s">
        <v>566</v>
      </c>
      <c r="AD683" t="s">
        <v>137</v>
      </c>
      <c r="AE683" t="s">
        <v>566</v>
      </c>
      <c r="AF683">
        <v>16</v>
      </c>
      <c r="AG683">
        <v>625</v>
      </c>
      <c r="AH683" s="122">
        <v>6709</v>
      </c>
      <c r="AI683" s="122">
        <v>167394</v>
      </c>
      <c r="AJ683" s="122">
        <v>152176</v>
      </c>
      <c r="AK683">
        <v>78</v>
      </c>
      <c r="AL683">
        <v>0</v>
      </c>
      <c r="AM683">
        <v>0</v>
      </c>
      <c r="AN683" s="122">
        <v>12905</v>
      </c>
      <c r="AO683" s="122">
        <v>4780</v>
      </c>
      <c r="AP683" s="122">
        <v>8505</v>
      </c>
      <c r="AQ683" s="122">
        <v>3150</v>
      </c>
      <c r="AR683" s="122">
        <v>72493</v>
      </c>
      <c r="AS683" s="122">
        <v>26849</v>
      </c>
      <c r="AT683">
        <v>0</v>
      </c>
      <c r="AU683">
        <v>0</v>
      </c>
      <c r="AV683" s="122">
        <v>186955</v>
      </c>
    </row>
    <row r="684" spans="2:48" ht="13">
      <c r="B684" t="s">
        <v>444</v>
      </c>
      <c r="C684" t="s">
        <v>62</v>
      </c>
      <c r="D684" t="s">
        <v>407</v>
      </c>
      <c r="E684" t="s">
        <v>407</v>
      </c>
      <c r="F684">
        <v>27</v>
      </c>
      <c r="G684" s="122">
        <v>1537</v>
      </c>
      <c r="H684" s="122">
        <v>11275</v>
      </c>
      <c r="I684" s="122">
        <v>389432</v>
      </c>
      <c r="J684" s="191">
        <v>354029</v>
      </c>
      <c r="K684" s="122">
        <v>75</v>
      </c>
      <c r="L684" s="122">
        <v>77095</v>
      </c>
      <c r="M684" s="122">
        <v>58481</v>
      </c>
      <c r="N684" s="122">
        <v>31209</v>
      </c>
      <c r="O684" s="122">
        <v>11559</v>
      </c>
      <c r="P684" s="122">
        <v>12042</v>
      </c>
      <c r="Q684" s="122">
        <v>4460</v>
      </c>
      <c r="R684" s="122">
        <v>107127</v>
      </c>
      <c r="S684" s="122">
        <v>97388</v>
      </c>
      <c r="T684" s="122">
        <v>29233</v>
      </c>
      <c r="U684" s="122">
        <v>10827</v>
      </c>
      <c r="V684" s="122">
        <v>536744</v>
      </c>
      <c r="W684" s="122">
        <f t="shared" si="20"/>
        <v>536744</v>
      </c>
      <c r="X684" s="122">
        <f t="shared" si="21"/>
        <v>646138</v>
      </c>
      <c r="Y684" s="122"/>
      <c r="AA684" t="s">
        <v>62</v>
      </c>
      <c r="AB684" t="s">
        <v>406</v>
      </c>
      <c r="AC684" t="s">
        <v>566</v>
      </c>
      <c r="AD684" t="s">
        <v>406</v>
      </c>
      <c r="AE684" t="s">
        <v>137</v>
      </c>
      <c r="AF684">
        <v>42</v>
      </c>
      <c r="AG684" s="122">
        <v>2951</v>
      </c>
      <c r="AH684" s="122">
        <v>17394</v>
      </c>
      <c r="AI684" s="122">
        <v>883554</v>
      </c>
      <c r="AJ684" s="122">
        <v>803231</v>
      </c>
      <c r="AK684">
        <v>75</v>
      </c>
      <c r="AL684">
        <v>0</v>
      </c>
      <c r="AM684">
        <v>0</v>
      </c>
      <c r="AN684" s="122">
        <v>63685</v>
      </c>
      <c r="AO684" s="122">
        <v>23587</v>
      </c>
      <c r="AP684" s="122">
        <v>25461</v>
      </c>
      <c r="AQ684" s="122">
        <v>9430</v>
      </c>
      <c r="AR684" s="122">
        <v>174870</v>
      </c>
      <c r="AS684" s="122">
        <v>158973</v>
      </c>
      <c r="AT684" s="122">
        <v>83014</v>
      </c>
      <c r="AU684" s="122">
        <v>30746</v>
      </c>
      <c r="AV684" s="122">
        <v>1025967</v>
      </c>
    </row>
    <row r="685" spans="2:48" ht="13">
      <c r="B685" t="s">
        <v>444</v>
      </c>
      <c r="C685" t="s">
        <v>64</v>
      </c>
      <c r="F685">
        <v>8</v>
      </c>
      <c r="G685" s="122">
        <v>303</v>
      </c>
      <c r="H685" s="122">
        <v>4207</v>
      </c>
      <c r="J685" s="191">
        <v>0</v>
      </c>
      <c r="K685" s="122"/>
      <c r="M685">
        <v>0</v>
      </c>
      <c r="N685" s="122">
        <v>6128</v>
      </c>
      <c r="O685" s="122">
        <v>2270</v>
      </c>
      <c r="P685" s="122">
        <v>1296</v>
      </c>
      <c r="Q685">
        <v>480</v>
      </c>
      <c r="S685">
        <v>0</v>
      </c>
      <c r="T685">
        <v>0</v>
      </c>
      <c r="U685">
        <v>0</v>
      </c>
      <c r="V685" s="122">
        <v>2750</v>
      </c>
      <c r="W685" s="122">
        <f t="shared" si="20"/>
        <v>2750</v>
      </c>
      <c r="X685" s="122">
        <f t="shared" si="21"/>
        <v>7424</v>
      </c>
      <c r="Y685" s="122"/>
      <c r="AA685" t="s">
        <v>62</v>
      </c>
      <c r="AB685" t="s">
        <v>406</v>
      </c>
      <c r="AC685" t="s">
        <v>566</v>
      </c>
      <c r="AD685" t="s">
        <v>406</v>
      </c>
      <c r="AE685" t="s">
        <v>566</v>
      </c>
      <c r="AF685">
        <v>20</v>
      </c>
      <c r="AG685" s="122">
        <v>1356</v>
      </c>
      <c r="AH685" s="122">
        <v>8257</v>
      </c>
      <c r="AI685" s="122">
        <v>414731</v>
      </c>
      <c r="AJ685" s="122">
        <v>377028</v>
      </c>
      <c r="AK685">
        <v>77</v>
      </c>
      <c r="AL685">
        <v>0</v>
      </c>
      <c r="AM685">
        <v>0</v>
      </c>
      <c r="AN685" s="122">
        <v>28650</v>
      </c>
      <c r="AO685" s="122">
        <v>10611</v>
      </c>
      <c r="AP685" s="122">
        <v>12420</v>
      </c>
      <c r="AQ685" s="122">
        <v>4600</v>
      </c>
      <c r="AR685" s="122">
        <v>105056</v>
      </c>
      <c r="AS685" s="122">
        <v>95505</v>
      </c>
      <c r="AT685">
        <v>0</v>
      </c>
      <c r="AU685">
        <v>0</v>
      </c>
      <c r="AV685" s="122">
        <v>487745</v>
      </c>
    </row>
    <row r="686" spans="2:48" ht="13">
      <c r="B686" t="s">
        <v>444</v>
      </c>
      <c r="C686" t="s">
        <v>64</v>
      </c>
      <c r="D686" t="s">
        <v>137</v>
      </c>
      <c r="E686" t="s">
        <v>137</v>
      </c>
      <c r="F686">
        <v>251</v>
      </c>
      <c r="G686" s="122">
        <v>10363</v>
      </c>
      <c r="H686" s="122">
        <v>149753</v>
      </c>
      <c r="I686" s="122">
        <v>4468079</v>
      </c>
      <c r="J686" s="191">
        <v>1654844</v>
      </c>
      <c r="K686" s="122">
        <v>100</v>
      </c>
      <c r="L686" s="122">
        <v>369627</v>
      </c>
      <c r="M686" s="122">
        <v>181564</v>
      </c>
      <c r="N686" s="122">
        <v>213278</v>
      </c>
      <c r="O686" s="122">
        <v>78992</v>
      </c>
      <c r="P686" s="122">
        <v>1607</v>
      </c>
      <c r="Q686">
        <v>595</v>
      </c>
      <c r="R686" s="122">
        <v>1121830</v>
      </c>
      <c r="S686" s="122">
        <v>415493</v>
      </c>
      <c r="T686">
        <v>0</v>
      </c>
      <c r="U686">
        <v>0</v>
      </c>
      <c r="V686" s="122">
        <v>2331488</v>
      </c>
      <c r="W686" s="122">
        <f t="shared" si="20"/>
        <v>2331488</v>
      </c>
      <c r="X686" s="122">
        <f t="shared" si="21"/>
        <v>6174421</v>
      </c>
      <c r="Y686" s="122"/>
      <c r="AA686" t="s">
        <v>62</v>
      </c>
      <c r="AB686" t="s">
        <v>406</v>
      </c>
      <c r="AC686" t="s">
        <v>433</v>
      </c>
      <c r="AD686" t="s">
        <v>406</v>
      </c>
      <c r="AE686" t="s">
        <v>137</v>
      </c>
      <c r="AF686">
        <v>2</v>
      </c>
      <c r="AG686">
        <v>138</v>
      </c>
      <c r="AH686">
        <v>792</v>
      </c>
      <c r="AI686" s="122">
        <v>32826</v>
      </c>
      <c r="AJ686" s="122">
        <v>29842</v>
      </c>
      <c r="AK686">
        <v>82</v>
      </c>
      <c r="AL686" s="122">
        <v>6506</v>
      </c>
      <c r="AM686" s="122">
        <v>5915</v>
      </c>
      <c r="AN686" s="122">
        <v>2723</v>
      </c>
      <c r="AO686" s="122">
        <v>1008</v>
      </c>
      <c r="AP686" s="122">
        <v>1242</v>
      </c>
      <c r="AQ686">
        <v>460</v>
      </c>
      <c r="AR686" s="122">
        <v>8793</v>
      </c>
      <c r="AS686" s="122">
        <v>7994</v>
      </c>
      <c r="AT686" s="122">
        <v>2850</v>
      </c>
      <c r="AU686" s="122">
        <v>1056</v>
      </c>
      <c r="AV686" s="122">
        <v>46274</v>
      </c>
    </row>
    <row r="687" spans="2:48" ht="13">
      <c r="B687" t="s">
        <v>444</v>
      </c>
      <c r="C687" t="s">
        <v>64</v>
      </c>
      <c r="D687" t="s">
        <v>406</v>
      </c>
      <c r="E687" t="s">
        <v>137</v>
      </c>
      <c r="F687">
        <v>3</v>
      </c>
      <c r="G687">
        <v>118</v>
      </c>
      <c r="H687" s="122">
        <v>1624</v>
      </c>
      <c r="I687" s="122">
        <v>41484</v>
      </c>
      <c r="J687" s="191">
        <v>37712</v>
      </c>
      <c r="K687" s="122">
        <v>74</v>
      </c>
      <c r="L687">
        <v>0</v>
      </c>
      <c r="M687">
        <v>0</v>
      </c>
      <c r="N687" s="122">
        <v>2507</v>
      </c>
      <c r="O687">
        <v>929</v>
      </c>
      <c r="P687" s="122">
        <v>1323</v>
      </c>
      <c r="Q687">
        <v>490</v>
      </c>
      <c r="R687" s="122">
        <v>17976</v>
      </c>
      <c r="S687" s="122">
        <v>6658</v>
      </c>
      <c r="T687">
        <v>0</v>
      </c>
      <c r="U687">
        <v>0</v>
      </c>
      <c r="V687" s="122">
        <v>45789</v>
      </c>
      <c r="W687" s="122">
        <f t="shared" si="20"/>
        <v>45789</v>
      </c>
      <c r="X687" s="122">
        <f t="shared" si="21"/>
        <v>63290</v>
      </c>
      <c r="Y687" s="122"/>
      <c r="AA687" t="s">
        <v>62</v>
      </c>
      <c r="AB687" t="s">
        <v>406</v>
      </c>
      <c r="AC687" t="s">
        <v>433</v>
      </c>
      <c r="AD687" t="s">
        <v>406</v>
      </c>
      <c r="AE687" t="s">
        <v>566</v>
      </c>
      <c r="AF687">
        <v>1</v>
      </c>
      <c r="AG687">
        <v>142</v>
      </c>
      <c r="AH687">
        <v>399</v>
      </c>
      <c r="AI687" s="122">
        <v>52357</v>
      </c>
      <c r="AJ687" s="122">
        <v>47598</v>
      </c>
      <c r="AK687">
        <v>65</v>
      </c>
      <c r="AL687" s="122">
        <v>12605</v>
      </c>
      <c r="AM687" s="122">
        <v>11459</v>
      </c>
      <c r="AN687" s="122">
        <v>4835</v>
      </c>
      <c r="AO687" s="122">
        <v>1791</v>
      </c>
      <c r="AP687">
        <v>621</v>
      </c>
      <c r="AQ687">
        <v>230</v>
      </c>
      <c r="AR687" s="122">
        <v>8729</v>
      </c>
      <c r="AS687" s="122">
        <v>7935</v>
      </c>
      <c r="AT687">
        <v>0</v>
      </c>
      <c r="AU687">
        <v>0</v>
      </c>
      <c r="AV687" s="122">
        <v>69012</v>
      </c>
    </row>
    <row r="688" spans="2:48" ht="13">
      <c r="B688" t="s">
        <v>444</v>
      </c>
      <c r="C688" t="s">
        <v>64</v>
      </c>
      <c r="D688" t="s">
        <v>406</v>
      </c>
      <c r="E688" t="s">
        <v>406</v>
      </c>
      <c r="F688">
        <v>2</v>
      </c>
      <c r="G688">
        <v>118</v>
      </c>
      <c r="H688" s="122">
        <v>1016</v>
      </c>
      <c r="I688" s="122">
        <v>37284</v>
      </c>
      <c r="J688" s="191">
        <v>33895</v>
      </c>
      <c r="K688" s="122">
        <v>78</v>
      </c>
      <c r="L688" s="122">
        <v>4841</v>
      </c>
      <c r="M688" s="122">
        <v>4401</v>
      </c>
      <c r="N688" s="122">
        <v>2871</v>
      </c>
      <c r="O688" s="122">
        <v>1064</v>
      </c>
      <c r="P688" s="122">
        <v>1242</v>
      </c>
      <c r="Q688">
        <v>460</v>
      </c>
      <c r="R688" s="122">
        <v>8313</v>
      </c>
      <c r="S688" s="122">
        <v>7557</v>
      </c>
      <c r="T688" s="122">
        <v>5175</v>
      </c>
      <c r="U688" s="122">
        <v>1916</v>
      </c>
      <c r="V688" s="122">
        <v>49292</v>
      </c>
      <c r="W688" s="122">
        <f t="shared" si="20"/>
        <v>49293</v>
      </c>
      <c r="X688" s="122">
        <f t="shared" si="21"/>
        <v>59726</v>
      </c>
      <c r="Y688" s="122"/>
      <c r="AA688" t="s">
        <v>62</v>
      </c>
      <c r="AB688" t="s">
        <v>427</v>
      </c>
      <c r="AC688" t="s">
        <v>137</v>
      </c>
      <c r="AD688" t="s">
        <v>137</v>
      </c>
      <c r="AE688" t="s">
        <v>566</v>
      </c>
      <c r="AF688">
        <v>1</v>
      </c>
      <c r="AG688">
        <v>53</v>
      </c>
      <c r="AH688">
        <v>446</v>
      </c>
      <c r="AI688" s="122">
        <v>14410</v>
      </c>
      <c r="AJ688" s="122">
        <v>13100</v>
      </c>
      <c r="AK688">
        <v>30</v>
      </c>
      <c r="AL688" s="122">
        <v>2653</v>
      </c>
      <c r="AM688">
        <v>982</v>
      </c>
      <c r="AN688" s="122">
        <v>1142</v>
      </c>
      <c r="AO688">
        <v>423</v>
      </c>
      <c r="AP688">
        <v>0</v>
      </c>
      <c r="AQ688">
        <v>0</v>
      </c>
      <c r="AR688" s="122">
        <v>5421</v>
      </c>
      <c r="AS688" s="122">
        <v>2008</v>
      </c>
      <c r="AT688">
        <v>0</v>
      </c>
      <c r="AU688">
        <v>0</v>
      </c>
      <c r="AV688" s="122">
        <v>16513</v>
      </c>
    </row>
    <row r="689" spans="2:48" ht="13">
      <c r="B689" t="s">
        <v>444</v>
      </c>
      <c r="C689" t="s">
        <v>64</v>
      </c>
      <c r="D689" t="s">
        <v>427</v>
      </c>
      <c r="E689" t="s">
        <v>137</v>
      </c>
      <c r="F689">
        <v>1</v>
      </c>
      <c r="G689">
        <v>116</v>
      </c>
      <c r="H689">
        <v>830</v>
      </c>
      <c r="I689" s="122">
        <v>88038</v>
      </c>
      <c r="J689" s="191">
        <v>80035</v>
      </c>
      <c r="K689" s="122">
        <v>30</v>
      </c>
      <c r="L689">
        <v>0</v>
      </c>
      <c r="M689">
        <v>0</v>
      </c>
      <c r="N689" s="122">
        <v>2835</v>
      </c>
      <c r="O689" s="122">
        <v>1050</v>
      </c>
      <c r="P689">
        <v>0</v>
      </c>
      <c r="Q689">
        <v>0</v>
      </c>
      <c r="R689" s="122">
        <v>5629</v>
      </c>
      <c r="S689" s="122">
        <v>2085</v>
      </c>
      <c r="T689">
        <v>0</v>
      </c>
      <c r="U689">
        <v>0</v>
      </c>
      <c r="V689" s="122">
        <v>83169</v>
      </c>
      <c r="W689" s="122">
        <f t="shared" si="20"/>
        <v>83170</v>
      </c>
      <c r="X689" s="122">
        <f t="shared" si="21"/>
        <v>96502</v>
      </c>
      <c r="Y689" s="122"/>
      <c r="AA689" t="s">
        <v>62</v>
      </c>
      <c r="AB689" t="s">
        <v>427</v>
      </c>
      <c r="AC689" t="s">
        <v>137</v>
      </c>
      <c r="AD689" t="s">
        <v>427</v>
      </c>
      <c r="AE689" t="s">
        <v>137</v>
      </c>
      <c r="AF689">
        <v>1</v>
      </c>
      <c r="AG689">
        <v>57</v>
      </c>
      <c r="AH689">
        <v>407</v>
      </c>
      <c r="AI689" s="122">
        <v>13132</v>
      </c>
      <c r="AJ689" s="122">
        <v>11938</v>
      </c>
      <c r="AK689">
        <v>55</v>
      </c>
      <c r="AL689" s="122">
        <v>1970</v>
      </c>
      <c r="AM689">
        <v>730</v>
      </c>
      <c r="AN689">
        <v>693</v>
      </c>
      <c r="AO689">
        <v>257</v>
      </c>
      <c r="AP689">
        <v>0</v>
      </c>
      <c r="AQ689">
        <v>0</v>
      </c>
      <c r="AR689" s="122">
        <v>5081</v>
      </c>
      <c r="AS689" s="122">
        <v>4619</v>
      </c>
      <c r="AT689" s="122">
        <v>2291</v>
      </c>
      <c r="AU689">
        <v>849</v>
      </c>
      <c r="AV689" s="122">
        <v>18392</v>
      </c>
    </row>
    <row r="690" spans="2:48" ht="13">
      <c r="B690" t="s">
        <v>444</v>
      </c>
      <c r="C690" t="s">
        <v>64</v>
      </c>
      <c r="D690" t="s">
        <v>407</v>
      </c>
      <c r="E690" t="s">
        <v>137</v>
      </c>
      <c r="F690">
        <v>11</v>
      </c>
      <c r="G690">
        <v>416</v>
      </c>
      <c r="H690" s="122">
        <v>7750</v>
      </c>
      <c r="I690" s="122">
        <v>182607</v>
      </c>
      <c r="J690" s="191">
        <v>166007</v>
      </c>
      <c r="K690" s="122">
        <v>65</v>
      </c>
      <c r="L690" s="122">
        <v>19459</v>
      </c>
      <c r="M690" s="122">
        <v>12780</v>
      </c>
      <c r="N690" s="122">
        <v>9035</v>
      </c>
      <c r="O690" s="122">
        <v>3346</v>
      </c>
      <c r="P690">
        <v>0</v>
      </c>
      <c r="Q690">
        <v>0</v>
      </c>
      <c r="R690" s="122">
        <v>77655</v>
      </c>
      <c r="S690" s="122">
        <v>28761</v>
      </c>
      <c r="T690">
        <v>0</v>
      </c>
      <c r="U690">
        <v>0</v>
      </c>
      <c r="V690" s="122">
        <v>210894</v>
      </c>
      <c r="W690" s="122">
        <f t="shared" si="20"/>
        <v>210894</v>
      </c>
      <c r="X690" s="122">
        <f t="shared" si="21"/>
        <v>288756</v>
      </c>
      <c r="Y690" s="122"/>
      <c r="AA690" t="s">
        <v>62</v>
      </c>
      <c r="AB690" t="s">
        <v>427</v>
      </c>
      <c r="AC690" t="s">
        <v>427</v>
      </c>
      <c r="AD690" t="s">
        <v>406</v>
      </c>
      <c r="AE690" t="s">
        <v>137</v>
      </c>
      <c r="AF690">
        <v>1</v>
      </c>
      <c r="AG690">
        <v>189</v>
      </c>
      <c r="AH690">
        <v>384</v>
      </c>
      <c r="AI690" s="122">
        <v>51209</v>
      </c>
      <c r="AJ690" s="122">
        <v>46553</v>
      </c>
      <c r="AK690">
        <v>79</v>
      </c>
      <c r="AL690" s="122">
        <v>7112</v>
      </c>
      <c r="AM690" s="122">
        <v>6466</v>
      </c>
      <c r="AN690" s="122">
        <v>4603</v>
      </c>
      <c r="AO690" s="122">
        <v>1705</v>
      </c>
      <c r="AP690">
        <v>621</v>
      </c>
      <c r="AQ690">
        <v>230</v>
      </c>
      <c r="AR690" s="122">
        <v>5261</v>
      </c>
      <c r="AS690" s="122">
        <v>4783</v>
      </c>
      <c r="AT690" s="122">
        <v>3686</v>
      </c>
      <c r="AU690" s="122">
        <v>1365</v>
      </c>
      <c r="AV690" s="122">
        <v>61102</v>
      </c>
    </row>
    <row r="691" spans="2:48" ht="13">
      <c r="B691" t="s">
        <v>444</v>
      </c>
      <c r="C691" t="s">
        <v>64</v>
      </c>
      <c r="D691" t="s">
        <v>407</v>
      </c>
      <c r="E691" t="s">
        <v>407</v>
      </c>
      <c r="F691">
        <v>24</v>
      </c>
      <c r="G691" s="122">
        <v>1370</v>
      </c>
      <c r="H691" s="122">
        <v>13006</v>
      </c>
      <c r="I691" s="122">
        <v>471385</v>
      </c>
      <c r="J691" s="191">
        <v>428532</v>
      </c>
      <c r="K691" s="122">
        <v>73</v>
      </c>
      <c r="L691" s="122">
        <v>84576</v>
      </c>
      <c r="M691" s="122">
        <v>59937</v>
      </c>
      <c r="N691" s="122">
        <v>29035</v>
      </c>
      <c r="O691" s="122">
        <v>10754</v>
      </c>
      <c r="P691" s="122">
        <v>10746</v>
      </c>
      <c r="Q691" s="122">
        <v>3980</v>
      </c>
      <c r="R691" s="122">
        <v>90689</v>
      </c>
      <c r="S691" s="122">
        <v>82444</v>
      </c>
      <c r="T691" s="122">
        <v>39014</v>
      </c>
      <c r="U691" s="122">
        <v>14449</v>
      </c>
      <c r="V691" s="122">
        <v>600096</v>
      </c>
      <c r="W691" s="122">
        <f t="shared" si="20"/>
        <v>600096</v>
      </c>
      <c r="X691" s="122">
        <f t="shared" si="21"/>
        <v>725445</v>
      </c>
      <c r="Y691" s="122"/>
      <c r="AA691" t="s">
        <v>62</v>
      </c>
      <c r="AB691" t="s">
        <v>427</v>
      </c>
      <c r="AC691" t="s">
        <v>427</v>
      </c>
      <c r="AD691" t="s">
        <v>427</v>
      </c>
      <c r="AE691" t="s">
        <v>137</v>
      </c>
      <c r="AF691">
        <v>5</v>
      </c>
      <c r="AG691">
        <v>413</v>
      </c>
      <c r="AH691" s="122">
        <v>2057</v>
      </c>
      <c r="AI691" s="122">
        <v>86759</v>
      </c>
      <c r="AJ691" s="122">
        <v>78872</v>
      </c>
      <c r="AK691">
        <v>59</v>
      </c>
      <c r="AL691" s="122">
        <v>20006</v>
      </c>
      <c r="AM691" s="122">
        <v>18187</v>
      </c>
      <c r="AN691" s="122">
        <v>8564</v>
      </c>
      <c r="AO691" s="122">
        <v>3172</v>
      </c>
      <c r="AP691" s="122">
        <v>1404</v>
      </c>
      <c r="AQ691">
        <v>520</v>
      </c>
      <c r="AR691" s="122">
        <v>33619</v>
      </c>
      <c r="AS691" s="122">
        <v>30563</v>
      </c>
      <c r="AT691" s="122">
        <v>18728</v>
      </c>
      <c r="AU691" s="122">
        <v>6936</v>
      </c>
      <c r="AV691" s="122">
        <v>138251</v>
      </c>
    </row>
    <row r="692" spans="2:48" ht="13">
      <c r="B692" t="s">
        <v>444</v>
      </c>
      <c r="C692" t="s">
        <v>64</v>
      </c>
      <c r="D692" t="s">
        <v>556</v>
      </c>
      <c r="E692" t="s">
        <v>137</v>
      </c>
      <c r="F692" s="122">
        <v>3</v>
      </c>
      <c r="G692" s="122">
        <v>128</v>
      </c>
      <c r="H692" s="122">
        <v>2959</v>
      </c>
      <c r="I692" s="122">
        <v>104261</v>
      </c>
      <c r="J692" s="191">
        <v>86884</v>
      </c>
      <c r="K692" s="122">
        <v>30</v>
      </c>
      <c r="L692" s="122">
        <v>5558</v>
      </c>
      <c r="M692" s="122">
        <v>2059</v>
      </c>
      <c r="N692" s="122">
        <v>2609</v>
      </c>
      <c r="O692">
        <v>966</v>
      </c>
      <c r="P692">
        <v>0</v>
      </c>
      <c r="Q692">
        <v>0</v>
      </c>
      <c r="R692" s="122">
        <v>11866</v>
      </c>
      <c r="S692" s="122">
        <v>4395</v>
      </c>
      <c r="T692">
        <v>0</v>
      </c>
      <c r="U692">
        <v>0</v>
      </c>
      <c r="V692" s="122">
        <v>94304</v>
      </c>
      <c r="W692" s="122">
        <f t="shared" si="20"/>
        <v>94304</v>
      </c>
      <c r="X692" s="122">
        <f t="shared" si="21"/>
        <v>124294</v>
      </c>
      <c r="Y692" s="122"/>
      <c r="AA692" t="s">
        <v>62</v>
      </c>
      <c r="AB692" t="s">
        <v>427</v>
      </c>
      <c r="AC692" t="s">
        <v>427</v>
      </c>
      <c r="AD692" t="s">
        <v>427</v>
      </c>
      <c r="AE692" t="s">
        <v>566</v>
      </c>
      <c r="AF692">
        <v>1</v>
      </c>
      <c r="AG692">
        <v>146</v>
      </c>
      <c r="AH692">
        <v>444</v>
      </c>
      <c r="AI692" s="122">
        <v>43923</v>
      </c>
      <c r="AJ692" s="122">
        <v>39930</v>
      </c>
      <c r="AK692">
        <v>45</v>
      </c>
      <c r="AL692" s="122">
        <v>7321</v>
      </c>
      <c r="AM692" s="122">
        <v>6655</v>
      </c>
      <c r="AN692" s="122">
        <v>3086</v>
      </c>
      <c r="AO692" s="122">
        <v>1143</v>
      </c>
      <c r="AP692">
        <v>351</v>
      </c>
      <c r="AQ692">
        <v>130</v>
      </c>
      <c r="AR692" s="122">
        <v>9911</v>
      </c>
      <c r="AS692" s="122">
        <v>9010</v>
      </c>
      <c r="AT692">
        <v>0</v>
      </c>
      <c r="AU692">
        <v>0</v>
      </c>
      <c r="AV692" s="122">
        <v>56868</v>
      </c>
    </row>
    <row r="693" spans="2:48" ht="13">
      <c r="B693" t="s">
        <v>444</v>
      </c>
      <c r="C693" t="s">
        <v>64</v>
      </c>
      <c r="D693" t="s">
        <v>426</v>
      </c>
      <c r="E693" t="s">
        <v>426</v>
      </c>
      <c r="F693">
        <v>1</v>
      </c>
      <c r="G693">
        <v>91</v>
      </c>
      <c r="H693" s="122">
        <v>698</v>
      </c>
      <c r="I693" s="122">
        <v>48062</v>
      </c>
      <c r="J693" s="191">
        <v>43692</v>
      </c>
      <c r="K693" s="122">
        <v>50</v>
      </c>
      <c r="L693" s="122">
        <v>6554</v>
      </c>
      <c r="M693" s="122">
        <v>2427</v>
      </c>
      <c r="N693" s="122">
        <v>2037</v>
      </c>
      <c r="O693">
        <v>754</v>
      </c>
      <c r="P693">
        <v>351</v>
      </c>
      <c r="Q693">
        <v>130</v>
      </c>
      <c r="R693" s="122">
        <v>4893</v>
      </c>
      <c r="S693" s="122">
        <v>4448</v>
      </c>
      <c r="T693" s="122">
        <v>1871</v>
      </c>
      <c r="U693">
        <v>693</v>
      </c>
      <c r="V693" s="122">
        <v>52145</v>
      </c>
      <c r="W693" s="122">
        <f t="shared" si="20"/>
        <v>52144</v>
      </c>
      <c r="X693" s="122">
        <f t="shared" si="21"/>
        <v>63768</v>
      </c>
      <c r="Y693" s="122"/>
      <c r="AA693" t="s">
        <v>62</v>
      </c>
      <c r="AB693" t="s">
        <v>427</v>
      </c>
      <c r="AC693" t="s">
        <v>566</v>
      </c>
      <c r="AD693" t="s">
        <v>427</v>
      </c>
      <c r="AE693" t="s">
        <v>137</v>
      </c>
      <c r="AF693">
        <v>7</v>
      </c>
      <c r="AG693">
        <v>311</v>
      </c>
      <c r="AH693" s="122">
        <v>2943</v>
      </c>
      <c r="AI693" s="122">
        <v>74548</v>
      </c>
      <c r="AJ693" s="122">
        <v>67771</v>
      </c>
      <c r="AK693">
        <v>55</v>
      </c>
      <c r="AL693">
        <v>0</v>
      </c>
      <c r="AM693">
        <v>0</v>
      </c>
      <c r="AN693" s="122">
        <v>4302</v>
      </c>
      <c r="AO693" s="122">
        <v>1593</v>
      </c>
      <c r="AP693" s="122">
        <v>2457</v>
      </c>
      <c r="AQ693">
        <v>910</v>
      </c>
      <c r="AR693" s="122">
        <v>32514</v>
      </c>
      <c r="AS693" s="122">
        <v>29558</v>
      </c>
      <c r="AT693" s="122">
        <v>16728</v>
      </c>
      <c r="AU693" s="122">
        <v>6196</v>
      </c>
      <c r="AV693" s="122">
        <v>106028</v>
      </c>
    </row>
    <row r="694" spans="2:48" ht="13">
      <c r="B694" t="s">
        <v>445</v>
      </c>
      <c r="C694" t="s">
        <v>48</v>
      </c>
      <c r="F694">
        <v>75</v>
      </c>
      <c r="G694" s="122">
        <v>6056</v>
      </c>
      <c r="H694" s="122">
        <v>4072</v>
      </c>
      <c r="J694" s="191">
        <v>0</v>
      </c>
      <c r="K694" s="122"/>
      <c r="M694">
        <v>0</v>
      </c>
      <c r="N694" s="122">
        <v>73786</v>
      </c>
      <c r="O694" s="122">
        <v>27328</v>
      </c>
      <c r="P694" s="122">
        <v>53916</v>
      </c>
      <c r="Q694" s="122">
        <v>19969</v>
      </c>
      <c r="S694">
        <v>0</v>
      </c>
      <c r="T694">
        <v>0</v>
      </c>
      <c r="U694">
        <v>0</v>
      </c>
      <c r="V694" s="122">
        <v>47297</v>
      </c>
      <c r="W694" s="122">
        <f t="shared" si="20"/>
        <v>47297</v>
      </c>
      <c r="X694" s="122">
        <f t="shared" si="21"/>
        <v>127702</v>
      </c>
      <c r="Y694" s="122"/>
      <c r="AA694" t="s">
        <v>62</v>
      </c>
      <c r="AB694" t="s">
        <v>407</v>
      </c>
      <c r="AC694" t="s">
        <v>137</v>
      </c>
      <c r="AD694" t="s">
        <v>137</v>
      </c>
      <c r="AE694" t="s">
        <v>566</v>
      </c>
      <c r="AF694">
        <v>3</v>
      </c>
      <c r="AG694">
        <v>148</v>
      </c>
      <c r="AH694" s="122">
        <v>1260</v>
      </c>
      <c r="AI694" s="122">
        <v>31755</v>
      </c>
      <c r="AJ694" s="122">
        <v>28868</v>
      </c>
      <c r="AK694">
        <v>70</v>
      </c>
      <c r="AL694" s="122">
        <v>5578</v>
      </c>
      <c r="AM694" s="122">
        <v>2066</v>
      </c>
      <c r="AN694" s="122">
        <v>3267</v>
      </c>
      <c r="AO694" s="122">
        <v>1210</v>
      </c>
      <c r="AP694">
        <v>945</v>
      </c>
      <c r="AQ694">
        <v>350</v>
      </c>
      <c r="AR694" s="122">
        <v>20204</v>
      </c>
      <c r="AS694" s="122">
        <v>7483</v>
      </c>
      <c r="AT694">
        <v>0</v>
      </c>
      <c r="AU694">
        <v>0</v>
      </c>
      <c r="AV694" s="122">
        <v>39977</v>
      </c>
    </row>
    <row r="695" spans="2:48" ht="13">
      <c r="B695" t="s">
        <v>445</v>
      </c>
      <c r="C695" t="s">
        <v>48</v>
      </c>
      <c r="D695" t="s">
        <v>137</v>
      </c>
      <c r="E695" t="s">
        <v>137</v>
      </c>
      <c r="F695" s="122">
        <v>19</v>
      </c>
      <c r="G695" s="122">
        <v>1285</v>
      </c>
      <c r="H695" s="122">
        <v>884</v>
      </c>
      <c r="I695" s="122">
        <v>-7232</v>
      </c>
      <c r="J695" s="191">
        <v>-2678</v>
      </c>
      <c r="K695" s="122">
        <v>550</v>
      </c>
      <c r="L695" s="122">
        <v>-2860</v>
      </c>
      <c r="M695" s="122">
        <v>-1059</v>
      </c>
      <c r="N695" s="122">
        <v>15656</v>
      </c>
      <c r="O695" s="122">
        <v>5798</v>
      </c>
      <c r="P695" s="122">
        <v>9289</v>
      </c>
      <c r="Q695" s="122">
        <v>3440</v>
      </c>
      <c r="R695" s="122">
        <v>43696</v>
      </c>
      <c r="S695" s="122">
        <v>16184</v>
      </c>
      <c r="T695">
        <v>0</v>
      </c>
      <c r="U695">
        <v>0</v>
      </c>
      <c r="V695" s="122">
        <v>21685</v>
      </c>
      <c r="W695" s="122">
        <f t="shared" si="20"/>
        <v>29159</v>
      </c>
      <c r="X695" s="122">
        <f t="shared" si="21"/>
        <v>78733</v>
      </c>
      <c r="Y695" s="122"/>
      <c r="AA695" t="s">
        <v>62</v>
      </c>
      <c r="AB695" t="s">
        <v>407</v>
      </c>
      <c r="AC695" t="s">
        <v>137</v>
      </c>
      <c r="AD695" t="s">
        <v>407</v>
      </c>
      <c r="AE695" t="s">
        <v>137</v>
      </c>
      <c r="AF695">
        <v>19</v>
      </c>
      <c r="AG695" s="122">
        <v>1305</v>
      </c>
      <c r="AH695" s="122">
        <v>7875</v>
      </c>
      <c r="AI695" s="122">
        <v>306794</v>
      </c>
      <c r="AJ695" s="122">
        <v>278904</v>
      </c>
      <c r="AK695">
        <v>73</v>
      </c>
      <c r="AL695" s="122">
        <v>79551</v>
      </c>
      <c r="AM695" s="122">
        <v>29463</v>
      </c>
      <c r="AN695" s="122">
        <v>27278</v>
      </c>
      <c r="AO695" s="122">
        <v>10103</v>
      </c>
      <c r="AP695" s="122">
        <v>8978</v>
      </c>
      <c r="AQ695" s="122">
        <v>3325</v>
      </c>
      <c r="AR695" s="122">
        <v>76978</v>
      </c>
      <c r="AS695" s="122">
        <v>69980</v>
      </c>
      <c r="AT695" s="122">
        <v>44239</v>
      </c>
      <c r="AU695" s="122">
        <v>16385</v>
      </c>
      <c r="AV695" s="122">
        <v>408160</v>
      </c>
    </row>
    <row r="696" spans="2:48" ht="13">
      <c r="B696" t="s">
        <v>445</v>
      </c>
      <c r="C696" t="s">
        <v>48</v>
      </c>
      <c r="D696" t="s">
        <v>407</v>
      </c>
      <c r="E696" t="s">
        <v>407</v>
      </c>
      <c r="F696" s="122">
        <v>12</v>
      </c>
      <c r="G696" s="122">
        <v>741</v>
      </c>
      <c r="H696" s="122">
        <v>830</v>
      </c>
      <c r="I696" s="122">
        <v>6215</v>
      </c>
      <c r="J696" s="191">
        <v>5650</v>
      </c>
      <c r="K696" s="122">
        <v>90</v>
      </c>
      <c r="L696">
        <v>0</v>
      </c>
      <c r="M696">
        <v>0</v>
      </c>
      <c r="N696" s="122">
        <v>9025</v>
      </c>
      <c r="O696" s="122">
        <v>3342</v>
      </c>
      <c r="P696" s="122">
        <v>11496</v>
      </c>
      <c r="Q696" s="122">
        <v>4258</v>
      </c>
      <c r="R696" s="122">
        <v>24062</v>
      </c>
      <c r="S696" s="122">
        <v>21874</v>
      </c>
      <c r="T696">
        <v>0</v>
      </c>
      <c r="U696">
        <v>0</v>
      </c>
      <c r="V696" s="122">
        <v>35124</v>
      </c>
      <c r="W696" s="122">
        <f t="shared" si="20"/>
        <v>35124</v>
      </c>
      <c r="X696" s="122">
        <f t="shared" si="21"/>
        <v>50798</v>
      </c>
      <c r="Y696" s="122"/>
      <c r="AA696" t="s">
        <v>62</v>
      </c>
      <c r="AB696" t="s">
        <v>407</v>
      </c>
      <c r="AC696" t="s">
        <v>137</v>
      </c>
      <c r="AD696" t="s">
        <v>407</v>
      </c>
      <c r="AE696" t="s">
        <v>566</v>
      </c>
      <c r="AF696">
        <v>17</v>
      </c>
      <c r="AG696" s="122">
        <v>1094</v>
      </c>
      <c r="AH696" s="122">
        <v>6996</v>
      </c>
      <c r="AI696" s="122">
        <v>277962</v>
      </c>
      <c r="AJ696" s="122">
        <v>252693</v>
      </c>
      <c r="AK696">
        <v>76</v>
      </c>
      <c r="AL696" s="122">
        <v>58815</v>
      </c>
      <c r="AM696" s="122">
        <v>21783</v>
      </c>
      <c r="AN696" s="122">
        <v>24851</v>
      </c>
      <c r="AO696" s="122">
        <v>9204</v>
      </c>
      <c r="AP696" s="122">
        <v>7911</v>
      </c>
      <c r="AQ696" s="122">
        <v>2930</v>
      </c>
      <c r="AR696" s="122">
        <v>80459</v>
      </c>
      <c r="AS696" s="122">
        <v>73145</v>
      </c>
      <c r="AT696">
        <v>0</v>
      </c>
      <c r="AU696">
        <v>0</v>
      </c>
      <c r="AV696" s="122">
        <v>359755</v>
      </c>
    </row>
    <row r="697" spans="2:48" ht="13">
      <c r="B697" t="s">
        <v>445</v>
      </c>
      <c r="C697" t="s">
        <v>50</v>
      </c>
      <c r="F697" s="122">
        <v>88</v>
      </c>
      <c r="G697" s="122">
        <v>7472</v>
      </c>
      <c r="H697" s="122">
        <v>8128</v>
      </c>
      <c r="J697" s="191">
        <v>0</v>
      </c>
      <c r="K697" s="122"/>
      <c r="M697">
        <v>0</v>
      </c>
      <c r="N697" s="122">
        <v>179319</v>
      </c>
      <c r="O697" s="122">
        <v>66415</v>
      </c>
      <c r="P697" s="122">
        <v>54828</v>
      </c>
      <c r="Q697" s="122">
        <v>20307</v>
      </c>
      <c r="S697">
        <v>0</v>
      </c>
      <c r="T697" s="122">
        <v>1959</v>
      </c>
      <c r="U697">
        <v>725</v>
      </c>
      <c r="V697" s="122">
        <v>87447</v>
      </c>
      <c r="W697" s="122">
        <f t="shared" si="20"/>
        <v>87447</v>
      </c>
      <c r="X697" s="122">
        <f t="shared" si="21"/>
        <v>236106</v>
      </c>
      <c r="Y697" s="122"/>
      <c r="AA697" t="s">
        <v>62</v>
      </c>
      <c r="AB697" t="s">
        <v>407</v>
      </c>
      <c r="AC697" t="s">
        <v>427</v>
      </c>
      <c r="AD697" t="s">
        <v>137</v>
      </c>
      <c r="AE697" t="s">
        <v>137</v>
      </c>
      <c r="AF697">
        <v>1</v>
      </c>
      <c r="AG697">
        <v>49</v>
      </c>
      <c r="AH697">
        <v>418</v>
      </c>
      <c r="AI697" s="122">
        <v>12398</v>
      </c>
      <c r="AJ697" s="122">
        <v>11271</v>
      </c>
      <c r="AK697">
        <v>75</v>
      </c>
      <c r="AL697" s="122">
        <v>3274</v>
      </c>
      <c r="AM697" s="122">
        <v>2976</v>
      </c>
      <c r="AN697" s="122">
        <v>1205</v>
      </c>
      <c r="AO697">
        <v>446</v>
      </c>
      <c r="AP697">
        <v>473</v>
      </c>
      <c r="AQ697">
        <v>175</v>
      </c>
      <c r="AR697" s="122">
        <v>2232</v>
      </c>
      <c r="AS697">
        <v>827</v>
      </c>
      <c r="AT697" s="122">
        <v>1099</v>
      </c>
      <c r="AU697">
        <v>407</v>
      </c>
      <c r="AV697" s="122">
        <v>16102</v>
      </c>
    </row>
    <row r="698" spans="2:48" ht="13">
      <c r="B698" t="s">
        <v>445</v>
      </c>
      <c r="C698" t="s">
        <v>50</v>
      </c>
      <c r="D698" t="s">
        <v>137</v>
      </c>
      <c r="E698" t="s">
        <v>137</v>
      </c>
      <c r="F698" s="122">
        <v>1</v>
      </c>
      <c r="G698" s="122">
        <v>113</v>
      </c>
      <c r="H698" s="122">
        <v>90</v>
      </c>
      <c r="I698" s="122">
        <v>1991</v>
      </c>
      <c r="J698" s="191">
        <v>737</v>
      </c>
      <c r="K698" s="122">
        <v>300</v>
      </c>
      <c r="L698">
        <v>326</v>
      </c>
      <c r="M698">
        <v>296</v>
      </c>
      <c r="N698" s="122">
        <v>1377</v>
      </c>
      <c r="O698">
        <v>510</v>
      </c>
      <c r="P698">
        <v>473</v>
      </c>
      <c r="Q698">
        <v>175</v>
      </c>
      <c r="R698" s="122">
        <v>5967</v>
      </c>
      <c r="S698" s="122">
        <v>2210</v>
      </c>
      <c r="T698">
        <v>0</v>
      </c>
      <c r="U698">
        <v>0</v>
      </c>
      <c r="V698" s="122">
        <v>3928</v>
      </c>
      <c r="W698" s="122">
        <f t="shared" si="20"/>
        <v>3928</v>
      </c>
      <c r="X698" s="122">
        <f t="shared" si="21"/>
        <v>10134</v>
      </c>
      <c r="Y698" s="122"/>
      <c r="AA698" t="s">
        <v>62</v>
      </c>
      <c r="AB698" t="s">
        <v>407</v>
      </c>
      <c r="AC698" t="s">
        <v>427</v>
      </c>
      <c r="AD698" t="s">
        <v>137</v>
      </c>
      <c r="AE698" t="s">
        <v>566</v>
      </c>
      <c r="AF698">
        <v>3</v>
      </c>
      <c r="AG698">
        <v>136</v>
      </c>
      <c r="AH698" s="122">
        <v>1210</v>
      </c>
      <c r="AI698" s="122">
        <v>17499</v>
      </c>
      <c r="AJ698" s="122">
        <v>15908</v>
      </c>
      <c r="AK698">
        <v>75</v>
      </c>
      <c r="AL698" s="122">
        <v>2260</v>
      </c>
      <c r="AM698" s="122">
        <v>2054</v>
      </c>
      <c r="AN698" s="122">
        <v>3310</v>
      </c>
      <c r="AO698" s="122">
        <v>1226</v>
      </c>
      <c r="AP698" s="122">
        <v>1418</v>
      </c>
      <c r="AQ698">
        <v>525</v>
      </c>
      <c r="AR698" s="122">
        <v>29674</v>
      </c>
      <c r="AS698" s="122">
        <v>10990</v>
      </c>
      <c r="AT698">
        <v>0</v>
      </c>
      <c r="AU698">
        <v>0</v>
      </c>
      <c r="AV698" s="122">
        <v>30703</v>
      </c>
    </row>
    <row r="699" spans="2:48" ht="13">
      <c r="B699" t="s">
        <v>445</v>
      </c>
      <c r="C699" t="s">
        <v>50</v>
      </c>
      <c r="D699" t="s">
        <v>407</v>
      </c>
      <c r="E699" t="s">
        <v>407</v>
      </c>
      <c r="F699" s="122">
        <v>78</v>
      </c>
      <c r="G699" s="122">
        <v>5887</v>
      </c>
      <c r="H699" s="122">
        <v>7152</v>
      </c>
      <c r="I699" s="122">
        <v>110202</v>
      </c>
      <c r="J699" s="191">
        <v>100183</v>
      </c>
      <c r="K699" s="122">
        <v>90</v>
      </c>
      <c r="L699">
        <v>0</v>
      </c>
      <c r="M699">
        <v>0</v>
      </c>
      <c r="N699" s="122">
        <v>100990</v>
      </c>
      <c r="O699" s="122">
        <v>37404</v>
      </c>
      <c r="P699" s="122">
        <v>41874</v>
      </c>
      <c r="Q699" s="122">
        <v>15509</v>
      </c>
      <c r="R699" s="122">
        <v>286642</v>
      </c>
      <c r="S699" s="122">
        <v>260583</v>
      </c>
      <c r="T699">
        <v>0</v>
      </c>
      <c r="U699">
        <v>0</v>
      </c>
      <c r="V699" s="122">
        <v>413679</v>
      </c>
      <c r="W699" s="122">
        <f t="shared" si="20"/>
        <v>413679</v>
      </c>
      <c r="X699" s="122">
        <f t="shared" si="21"/>
        <v>539708</v>
      </c>
      <c r="Y699" s="122"/>
      <c r="AA699" t="s">
        <v>62</v>
      </c>
      <c r="AB699" t="s">
        <v>407</v>
      </c>
      <c r="AC699" t="s">
        <v>427</v>
      </c>
      <c r="AD699" t="s">
        <v>407</v>
      </c>
      <c r="AE699" t="s">
        <v>137</v>
      </c>
      <c r="AF699">
        <v>16</v>
      </c>
      <c r="AG699" s="122">
        <v>1097</v>
      </c>
      <c r="AH699" s="122">
        <v>6546</v>
      </c>
      <c r="AI699" s="122">
        <v>240085</v>
      </c>
      <c r="AJ699" s="122">
        <v>218259</v>
      </c>
      <c r="AK699">
        <v>75</v>
      </c>
      <c r="AL699" s="122">
        <v>62420</v>
      </c>
      <c r="AM699" s="122">
        <v>56746</v>
      </c>
      <c r="AN699" s="122">
        <v>22305</v>
      </c>
      <c r="AO699" s="122">
        <v>8261</v>
      </c>
      <c r="AP699" s="122">
        <v>7560</v>
      </c>
      <c r="AQ699" s="122">
        <v>2800</v>
      </c>
      <c r="AR699" s="122">
        <v>77576</v>
      </c>
      <c r="AS699" s="122">
        <v>70524</v>
      </c>
      <c r="AT699" s="122">
        <v>34350</v>
      </c>
      <c r="AU699" s="122">
        <v>12722</v>
      </c>
      <c r="AV699" s="122">
        <v>369312</v>
      </c>
    </row>
    <row r="700" spans="2:48" ht="13">
      <c r="B700" t="s">
        <v>445</v>
      </c>
      <c r="C700" t="s">
        <v>52</v>
      </c>
      <c r="F700">
        <v>102</v>
      </c>
      <c r="G700" s="122">
        <v>8531</v>
      </c>
      <c r="H700" s="122">
        <v>11530</v>
      </c>
      <c r="J700" s="66">
        <v>0</v>
      </c>
      <c r="K700" s="122"/>
      <c r="M700">
        <v>0</v>
      </c>
      <c r="N700" s="122">
        <v>204005</v>
      </c>
      <c r="O700" s="122">
        <v>75557</v>
      </c>
      <c r="P700" s="122">
        <v>85658</v>
      </c>
      <c r="Q700" s="122">
        <v>31725</v>
      </c>
      <c r="S700">
        <v>0</v>
      </c>
      <c r="T700" s="122">
        <v>1885</v>
      </c>
      <c r="U700">
        <v>698</v>
      </c>
      <c r="V700" s="122">
        <v>107981</v>
      </c>
      <c r="W700" s="122">
        <f t="shared" si="20"/>
        <v>107980</v>
      </c>
      <c r="X700" s="122">
        <f t="shared" si="21"/>
        <v>291548</v>
      </c>
      <c r="Y700" s="122"/>
      <c r="AA700" t="s">
        <v>62</v>
      </c>
      <c r="AB700" t="s">
        <v>407</v>
      </c>
      <c r="AC700" t="s">
        <v>427</v>
      </c>
      <c r="AD700" t="s">
        <v>407</v>
      </c>
      <c r="AE700" t="s">
        <v>566</v>
      </c>
      <c r="AF700">
        <v>10</v>
      </c>
      <c r="AG700">
        <v>582</v>
      </c>
      <c r="AH700" s="122">
        <v>4085</v>
      </c>
      <c r="AI700" s="122">
        <v>133432</v>
      </c>
      <c r="AJ700" s="122">
        <v>121302</v>
      </c>
      <c r="AK700">
        <v>73</v>
      </c>
      <c r="AL700" s="122">
        <v>36752</v>
      </c>
      <c r="AM700" s="122">
        <v>33411</v>
      </c>
      <c r="AN700" s="122">
        <v>10955</v>
      </c>
      <c r="AO700" s="122">
        <v>4058</v>
      </c>
      <c r="AP700" s="122">
        <v>4604</v>
      </c>
      <c r="AQ700" s="122">
        <v>1705</v>
      </c>
      <c r="AR700" s="122">
        <v>53194</v>
      </c>
      <c r="AS700" s="122">
        <v>48359</v>
      </c>
      <c r="AT700">
        <v>0</v>
      </c>
      <c r="AU700">
        <v>0</v>
      </c>
      <c r="AV700" s="122">
        <v>208834</v>
      </c>
    </row>
    <row r="701" spans="2:48" ht="13">
      <c r="B701" t="s">
        <v>445</v>
      </c>
      <c r="C701" t="s">
        <v>52</v>
      </c>
      <c r="D701" t="s">
        <v>137</v>
      </c>
      <c r="E701" t="s">
        <v>137</v>
      </c>
      <c r="F701">
        <v>7</v>
      </c>
      <c r="G701">
        <v>548</v>
      </c>
      <c r="H701" s="122">
        <v>832</v>
      </c>
      <c r="I701" s="122">
        <v>13472</v>
      </c>
      <c r="J701" s="191">
        <v>4990</v>
      </c>
      <c r="K701" s="122">
        <v>186</v>
      </c>
      <c r="L701">
        <v>449</v>
      </c>
      <c r="M701">
        <v>166</v>
      </c>
      <c r="N701" s="122">
        <v>9444</v>
      </c>
      <c r="O701" s="122">
        <v>3498</v>
      </c>
      <c r="P701" s="122">
        <v>5306</v>
      </c>
      <c r="Q701" s="122">
        <v>1965</v>
      </c>
      <c r="R701" s="122">
        <v>36447</v>
      </c>
      <c r="S701" s="122">
        <v>13499</v>
      </c>
      <c r="T701">
        <v>0</v>
      </c>
      <c r="U701">
        <v>0</v>
      </c>
      <c r="V701" s="122">
        <v>24118</v>
      </c>
      <c r="W701" s="122">
        <f t="shared" si="20"/>
        <v>24118</v>
      </c>
      <c r="X701" s="122">
        <f t="shared" si="21"/>
        <v>65118</v>
      </c>
      <c r="Y701" s="122"/>
      <c r="AA701" t="s">
        <v>62</v>
      </c>
      <c r="AB701" t="s">
        <v>407</v>
      </c>
      <c r="AC701" t="s">
        <v>407</v>
      </c>
      <c r="AD701" t="s">
        <v>137</v>
      </c>
      <c r="AE701" t="s">
        <v>566</v>
      </c>
      <c r="AF701">
        <v>3</v>
      </c>
      <c r="AG701">
        <v>160</v>
      </c>
      <c r="AH701" s="122">
        <v>1265</v>
      </c>
      <c r="AI701" s="122">
        <v>34135</v>
      </c>
      <c r="AJ701" s="122">
        <v>31032</v>
      </c>
      <c r="AK701">
        <v>71</v>
      </c>
      <c r="AL701" s="122">
        <v>6654</v>
      </c>
      <c r="AM701" s="122">
        <v>6049</v>
      </c>
      <c r="AN701" s="122">
        <v>3428</v>
      </c>
      <c r="AO701" s="122">
        <v>1270</v>
      </c>
      <c r="AP701">
        <v>945</v>
      </c>
      <c r="AQ701">
        <v>350</v>
      </c>
      <c r="AR701" s="122">
        <v>21098</v>
      </c>
      <c r="AS701" s="122">
        <v>7814</v>
      </c>
      <c r="AT701">
        <v>0</v>
      </c>
      <c r="AU701">
        <v>0</v>
      </c>
      <c r="AV701" s="122">
        <v>46515</v>
      </c>
    </row>
    <row r="702" spans="2:48" ht="13">
      <c r="B702" t="s">
        <v>445</v>
      </c>
      <c r="C702" t="s">
        <v>52</v>
      </c>
      <c r="D702" t="s">
        <v>407</v>
      </c>
      <c r="E702" t="s">
        <v>407</v>
      </c>
      <c r="F702" s="122">
        <v>400</v>
      </c>
      <c r="G702" s="122">
        <v>29816</v>
      </c>
      <c r="H702" s="122">
        <v>46238</v>
      </c>
      <c r="I702" s="122">
        <v>1331743</v>
      </c>
      <c r="J702" s="191">
        <v>1210676</v>
      </c>
      <c r="K702" s="122">
        <v>86</v>
      </c>
      <c r="L702" s="122">
        <v>23100</v>
      </c>
      <c r="M702" s="122">
        <v>11366</v>
      </c>
      <c r="N702" s="122">
        <v>623625</v>
      </c>
      <c r="O702" s="122">
        <v>230972</v>
      </c>
      <c r="P702" s="122">
        <v>200034</v>
      </c>
      <c r="Q702" s="122">
        <v>74087</v>
      </c>
      <c r="R702" s="122">
        <v>1279517</v>
      </c>
      <c r="S702" s="122">
        <v>1163197</v>
      </c>
      <c r="T702" s="122">
        <v>8124</v>
      </c>
      <c r="U702" s="122">
        <v>3009</v>
      </c>
      <c r="V702" s="122">
        <v>2693307</v>
      </c>
      <c r="W702" s="122">
        <f t="shared" si="20"/>
        <v>2693307</v>
      </c>
      <c r="X702" s="122">
        <f t="shared" si="21"/>
        <v>3466143</v>
      </c>
      <c r="Y702" s="122"/>
      <c r="AA702" t="s">
        <v>62</v>
      </c>
      <c r="AB702" t="s">
        <v>407</v>
      </c>
      <c r="AC702" t="s">
        <v>407</v>
      </c>
      <c r="AD702" t="s">
        <v>407</v>
      </c>
      <c r="AE702" t="s">
        <v>137</v>
      </c>
      <c r="AF702">
        <v>80</v>
      </c>
      <c r="AG702" s="122">
        <v>5402</v>
      </c>
      <c r="AH702" s="122">
        <v>33079</v>
      </c>
      <c r="AI702" s="122">
        <v>1244286</v>
      </c>
      <c r="AJ702" s="122">
        <v>1131169</v>
      </c>
      <c r="AK702">
        <v>72</v>
      </c>
      <c r="AL702" s="122">
        <v>315228</v>
      </c>
      <c r="AM702" s="122">
        <v>286571</v>
      </c>
      <c r="AN702" s="122">
        <v>116020</v>
      </c>
      <c r="AO702" s="122">
        <v>42970</v>
      </c>
      <c r="AP702" s="122">
        <v>37058</v>
      </c>
      <c r="AQ702" s="122">
        <v>13725</v>
      </c>
      <c r="AR702" s="122">
        <v>352016</v>
      </c>
      <c r="AS702" s="122">
        <v>320015</v>
      </c>
      <c r="AT702" s="122">
        <v>171938</v>
      </c>
      <c r="AU702" s="122">
        <v>63681</v>
      </c>
      <c r="AV702" s="122">
        <v>1858131</v>
      </c>
    </row>
    <row r="703" spans="2:48" ht="13">
      <c r="B703" t="s">
        <v>445</v>
      </c>
      <c r="C703" t="s">
        <v>54</v>
      </c>
      <c r="F703" s="122">
        <v>46</v>
      </c>
      <c r="G703" s="122">
        <v>3399</v>
      </c>
      <c r="H703" s="122">
        <v>6378</v>
      </c>
      <c r="J703" s="191">
        <v>0</v>
      </c>
      <c r="K703" s="122"/>
      <c r="M703">
        <v>0</v>
      </c>
      <c r="N703" s="122">
        <v>74385</v>
      </c>
      <c r="O703" s="122">
        <v>27550</v>
      </c>
      <c r="P703" s="122">
        <v>38445</v>
      </c>
      <c r="Q703" s="122">
        <v>14239</v>
      </c>
      <c r="S703">
        <v>0</v>
      </c>
      <c r="T703">
        <v>0</v>
      </c>
      <c r="U703">
        <v>0</v>
      </c>
      <c r="V703" s="122">
        <v>41789</v>
      </c>
      <c r="W703" s="122">
        <f t="shared" si="20"/>
        <v>41789</v>
      </c>
      <c r="X703" s="122">
        <f t="shared" si="21"/>
        <v>112830</v>
      </c>
      <c r="Y703" s="122"/>
      <c r="AA703" t="s">
        <v>62</v>
      </c>
      <c r="AB703" t="s">
        <v>407</v>
      </c>
      <c r="AC703" t="s">
        <v>407</v>
      </c>
      <c r="AD703" t="s">
        <v>407</v>
      </c>
      <c r="AE703" t="s">
        <v>566</v>
      </c>
      <c r="AF703">
        <v>50</v>
      </c>
      <c r="AG703" s="122">
        <v>3757</v>
      </c>
      <c r="AH703" s="122">
        <v>20679</v>
      </c>
      <c r="AI703" s="122">
        <v>903211</v>
      </c>
      <c r="AJ703" s="122">
        <v>821101</v>
      </c>
      <c r="AK703">
        <v>76</v>
      </c>
      <c r="AL703" s="122">
        <v>297113</v>
      </c>
      <c r="AM703" s="122">
        <v>270103</v>
      </c>
      <c r="AN703" s="122">
        <v>79529</v>
      </c>
      <c r="AO703" s="122">
        <v>29455</v>
      </c>
      <c r="AP703" s="122">
        <v>24544</v>
      </c>
      <c r="AQ703" s="122">
        <v>9090</v>
      </c>
      <c r="AR703" s="122">
        <v>256433</v>
      </c>
      <c r="AS703" s="122">
        <v>233121</v>
      </c>
      <c r="AT703">
        <v>0</v>
      </c>
      <c r="AU703">
        <v>0</v>
      </c>
      <c r="AV703" s="122">
        <v>1362870</v>
      </c>
    </row>
    <row r="704" spans="2:48" ht="13">
      <c r="B704" t="s">
        <v>445</v>
      </c>
      <c r="C704" t="s">
        <v>54</v>
      </c>
      <c r="D704" t="s">
        <v>137</v>
      </c>
      <c r="E704" t="s">
        <v>137</v>
      </c>
      <c r="F704" s="122">
        <v>70</v>
      </c>
      <c r="G704" s="122">
        <v>5204</v>
      </c>
      <c r="H704" s="122">
        <v>9916</v>
      </c>
      <c r="I704" s="122">
        <v>176109</v>
      </c>
      <c r="J704" s="191">
        <v>65226</v>
      </c>
      <c r="K704" s="122">
        <v>126</v>
      </c>
      <c r="L704" s="122">
        <v>21726</v>
      </c>
      <c r="M704" s="122">
        <v>8047</v>
      </c>
      <c r="N704" s="122">
        <v>106485</v>
      </c>
      <c r="O704" s="122">
        <v>39439</v>
      </c>
      <c r="P704" s="122">
        <v>15902</v>
      </c>
      <c r="Q704" s="122">
        <v>5890</v>
      </c>
      <c r="R704" s="122">
        <v>416299</v>
      </c>
      <c r="S704" s="122">
        <v>154185</v>
      </c>
      <c r="T704">
        <v>0</v>
      </c>
      <c r="U704">
        <v>0</v>
      </c>
      <c r="V704" s="122">
        <v>272786</v>
      </c>
      <c r="W704" s="122">
        <f t="shared" si="20"/>
        <v>272787</v>
      </c>
      <c r="X704" s="122">
        <f t="shared" si="21"/>
        <v>736521</v>
      </c>
      <c r="Y704" s="122"/>
      <c r="AA704" t="s">
        <v>62</v>
      </c>
      <c r="AB704" t="s">
        <v>407</v>
      </c>
      <c r="AC704" t="s">
        <v>579</v>
      </c>
      <c r="AD704" t="s">
        <v>137</v>
      </c>
      <c r="AE704" t="s">
        <v>566</v>
      </c>
      <c r="AF704">
        <v>3</v>
      </c>
      <c r="AG704">
        <v>135</v>
      </c>
      <c r="AH704" s="122">
        <v>1253</v>
      </c>
      <c r="AI704" s="122">
        <v>32132</v>
      </c>
      <c r="AJ704" s="122">
        <v>29211</v>
      </c>
      <c r="AK704">
        <v>73</v>
      </c>
      <c r="AL704" s="122">
        <v>9018</v>
      </c>
      <c r="AM704" s="122">
        <v>7515</v>
      </c>
      <c r="AN704" s="122">
        <v>2664</v>
      </c>
      <c r="AO704">
        <v>987</v>
      </c>
      <c r="AP704">
        <v>473</v>
      </c>
      <c r="AQ704">
        <v>175</v>
      </c>
      <c r="AR704" s="122">
        <v>12029</v>
      </c>
      <c r="AS704" s="122">
        <v>4455</v>
      </c>
      <c r="AT704">
        <v>0</v>
      </c>
      <c r="AU704">
        <v>0</v>
      </c>
      <c r="AV704" s="122">
        <v>42343</v>
      </c>
    </row>
    <row r="705" spans="2:48" ht="13">
      <c r="B705" t="s">
        <v>445</v>
      </c>
      <c r="C705" t="s">
        <v>54</v>
      </c>
      <c r="D705" t="s">
        <v>407</v>
      </c>
      <c r="E705" t="s">
        <v>407</v>
      </c>
      <c r="F705" s="122">
        <v>638</v>
      </c>
      <c r="G705" s="122">
        <v>44882</v>
      </c>
      <c r="H705" s="122">
        <v>87525</v>
      </c>
      <c r="I705" s="122">
        <v>2843226</v>
      </c>
      <c r="J705" s="191">
        <v>2584751</v>
      </c>
      <c r="K705" s="122">
        <v>84</v>
      </c>
      <c r="L705" s="122">
        <v>60561</v>
      </c>
      <c r="M705" s="122">
        <v>35232</v>
      </c>
      <c r="N705" s="122">
        <v>948198</v>
      </c>
      <c r="O705" s="122">
        <v>351185</v>
      </c>
      <c r="P705" s="122">
        <v>337990</v>
      </c>
      <c r="Q705" s="122">
        <v>125181</v>
      </c>
      <c r="R705" s="122">
        <v>1946483</v>
      </c>
      <c r="S705" s="122">
        <v>1769530</v>
      </c>
      <c r="T705" s="122">
        <v>21693</v>
      </c>
      <c r="U705" s="122">
        <v>8034</v>
      </c>
      <c r="V705" s="122">
        <v>4873914</v>
      </c>
      <c r="W705" s="122">
        <f t="shared" si="20"/>
        <v>4873913</v>
      </c>
      <c r="X705" s="122">
        <f t="shared" si="21"/>
        <v>6158151</v>
      </c>
      <c r="Y705" s="122"/>
      <c r="AA705" t="s">
        <v>62</v>
      </c>
      <c r="AB705" t="s">
        <v>407</v>
      </c>
      <c r="AC705" t="s">
        <v>579</v>
      </c>
      <c r="AD705" t="s">
        <v>407</v>
      </c>
      <c r="AE705" t="s">
        <v>137</v>
      </c>
      <c r="AF705">
        <v>79</v>
      </c>
      <c r="AG705" s="122">
        <v>5389</v>
      </c>
      <c r="AH705" s="122">
        <v>32457</v>
      </c>
      <c r="AI705" s="122">
        <v>1271532</v>
      </c>
      <c r="AJ705" s="122">
        <v>1155938</v>
      </c>
      <c r="AK705">
        <v>77</v>
      </c>
      <c r="AL705" s="122">
        <v>368246</v>
      </c>
      <c r="AM705" s="122">
        <v>306872</v>
      </c>
      <c r="AN705" s="122">
        <v>112207</v>
      </c>
      <c r="AO705" s="122">
        <v>41558</v>
      </c>
      <c r="AP705" s="122">
        <v>38018</v>
      </c>
      <c r="AQ705" s="122">
        <v>14081</v>
      </c>
      <c r="AR705" s="122">
        <v>279716</v>
      </c>
      <c r="AS705" s="122">
        <v>254287</v>
      </c>
      <c r="AT705" s="122">
        <v>151874</v>
      </c>
      <c r="AU705" s="122">
        <v>56250</v>
      </c>
      <c r="AV705" s="122">
        <v>1828985</v>
      </c>
    </row>
    <row r="706" spans="2:48" ht="13">
      <c r="B706" t="s">
        <v>445</v>
      </c>
      <c r="C706" t="s">
        <v>56</v>
      </c>
      <c r="F706">
        <v>70</v>
      </c>
      <c r="G706" s="122">
        <v>3260</v>
      </c>
      <c r="H706" s="122">
        <v>13903</v>
      </c>
      <c r="J706" s="66">
        <v>0</v>
      </c>
      <c r="K706" s="122"/>
      <c r="M706">
        <v>0</v>
      </c>
      <c r="N706" s="122">
        <v>62677</v>
      </c>
      <c r="O706" s="122">
        <v>23214</v>
      </c>
      <c r="P706" s="122">
        <v>20312</v>
      </c>
      <c r="Q706" s="122">
        <v>7523</v>
      </c>
      <c r="S706">
        <v>0</v>
      </c>
      <c r="T706" s="122">
        <v>9098</v>
      </c>
      <c r="U706" s="122">
        <v>3370</v>
      </c>
      <c r="V706" s="122">
        <v>34106</v>
      </c>
      <c r="W706" s="122">
        <f t="shared" si="20"/>
        <v>34107</v>
      </c>
      <c r="X706" s="122">
        <f t="shared" si="21"/>
        <v>92087</v>
      </c>
      <c r="Y706" s="122"/>
      <c r="AA706" t="s">
        <v>62</v>
      </c>
      <c r="AB706" t="s">
        <v>407</v>
      </c>
      <c r="AC706" t="s">
        <v>579</v>
      </c>
      <c r="AD706" t="s">
        <v>407</v>
      </c>
      <c r="AE706" t="s">
        <v>566</v>
      </c>
      <c r="AF706">
        <v>61</v>
      </c>
      <c r="AG706" s="122">
        <v>3285</v>
      </c>
      <c r="AH706" s="122">
        <v>24923</v>
      </c>
      <c r="AI706" s="122">
        <v>772426</v>
      </c>
      <c r="AJ706" s="122">
        <v>702205</v>
      </c>
      <c r="AK706">
        <v>79</v>
      </c>
      <c r="AL706" s="122">
        <v>229397</v>
      </c>
      <c r="AM706" s="122">
        <v>191164</v>
      </c>
      <c r="AN706" s="122">
        <v>68150</v>
      </c>
      <c r="AO706" s="122">
        <v>25241</v>
      </c>
      <c r="AP706" s="122">
        <v>29166</v>
      </c>
      <c r="AQ706" s="122">
        <v>10802</v>
      </c>
      <c r="AR706" s="122">
        <v>256896</v>
      </c>
      <c r="AS706" s="122">
        <v>233542</v>
      </c>
      <c r="AT706">
        <v>0</v>
      </c>
      <c r="AU706">
        <v>0</v>
      </c>
      <c r="AV706" s="122">
        <v>1162955</v>
      </c>
    </row>
    <row r="707" spans="2:48" ht="13">
      <c r="B707" t="s">
        <v>445</v>
      </c>
      <c r="C707" t="s">
        <v>56</v>
      </c>
      <c r="D707" t="s">
        <v>403</v>
      </c>
      <c r="E707" t="s">
        <v>137</v>
      </c>
      <c r="F707">
        <v>1</v>
      </c>
      <c r="G707">
        <v>73</v>
      </c>
      <c r="H707" s="122">
        <v>199</v>
      </c>
      <c r="I707" s="122">
        <v>5633</v>
      </c>
      <c r="J707" s="191">
        <v>2086</v>
      </c>
      <c r="K707" s="122">
        <v>100</v>
      </c>
      <c r="L707" s="122">
        <v>1408</v>
      </c>
      <c r="M707">
        <v>522</v>
      </c>
      <c r="N707" s="122">
        <v>1416</v>
      </c>
      <c r="O707">
        <v>524</v>
      </c>
      <c r="P707">
        <v>0</v>
      </c>
      <c r="Q707">
        <v>0</v>
      </c>
      <c r="R707" s="122">
        <v>5990</v>
      </c>
      <c r="S707" s="122">
        <v>2219</v>
      </c>
      <c r="T707">
        <v>0</v>
      </c>
      <c r="U707">
        <v>0</v>
      </c>
      <c r="V707" s="122">
        <v>5351</v>
      </c>
      <c r="W707" s="122">
        <f t="shared" si="20"/>
        <v>5351</v>
      </c>
      <c r="X707" s="122">
        <f t="shared" si="21"/>
        <v>14447</v>
      </c>
      <c r="Y707" s="122"/>
      <c r="AA707" t="s">
        <v>62</v>
      </c>
      <c r="AB707" t="s">
        <v>407</v>
      </c>
      <c r="AC707" t="s">
        <v>426</v>
      </c>
      <c r="AD707" t="s">
        <v>137</v>
      </c>
      <c r="AE707" t="s">
        <v>566</v>
      </c>
      <c r="AF707">
        <v>3</v>
      </c>
      <c r="AG707">
        <v>224</v>
      </c>
      <c r="AH707" s="122">
        <v>1246</v>
      </c>
      <c r="AI707" s="122">
        <v>54821</v>
      </c>
      <c r="AJ707" s="122">
        <v>49837</v>
      </c>
      <c r="AK707">
        <v>72</v>
      </c>
      <c r="AL707" s="122">
        <v>13147</v>
      </c>
      <c r="AM707" s="122">
        <v>11951</v>
      </c>
      <c r="AN707" s="122">
        <v>5362</v>
      </c>
      <c r="AO707" s="122">
        <v>1986</v>
      </c>
      <c r="AP707" s="122">
        <v>1296</v>
      </c>
      <c r="AQ707">
        <v>480</v>
      </c>
      <c r="AR707" s="122">
        <v>15095</v>
      </c>
      <c r="AS707" s="122">
        <v>5591</v>
      </c>
      <c r="AT707">
        <v>0</v>
      </c>
      <c r="AU707">
        <v>0</v>
      </c>
      <c r="AV707" s="122">
        <v>69845</v>
      </c>
    </row>
    <row r="708" spans="2:48" ht="13">
      <c r="B708" t="s">
        <v>445</v>
      </c>
      <c r="C708" t="s">
        <v>56</v>
      </c>
      <c r="D708" t="s">
        <v>137</v>
      </c>
      <c r="E708" t="s">
        <v>137</v>
      </c>
      <c r="F708" s="122">
        <v>1360</v>
      </c>
      <c r="G708" s="122">
        <v>84410</v>
      </c>
      <c r="H708" s="122">
        <v>265532</v>
      </c>
      <c r="I708" s="122">
        <v>5915261</v>
      </c>
      <c r="J708" s="191">
        <v>2190837</v>
      </c>
      <c r="K708" s="122">
        <v>104</v>
      </c>
      <c r="L708" s="122">
        <v>717818</v>
      </c>
      <c r="M708" s="122">
        <v>275352</v>
      </c>
      <c r="N708" s="122">
        <v>1700152</v>
      </c>
      <c r="O708" s="122">
        <v>629686</v>
      </c>
      <c r="P708" s="122">
        <v>53030</v>
      </c>
      <c r="Q708" s="122">
        <v>19641</v>
      </c>
      <c r="R708" s="122">
        <v>8037934</v>
      </c>
      <c r="S708" s="122">
        <v>2977013</v>
      </c>
      <c r="T708" s="122">
        <v>3674</v>
      </c>
      <c r="U708" s="122">
        <v>1361</v>
      </c>
      <c r="V708" s="122">
        <v>6093890</v>
      </c>
      <c r="W708" s="122">
        <f t="shared" si="20"/>
        <v>6093890</v>
      </c>
      <c r="X708" s="122">
        <f t="shared" si="21"/>
        <v>16427869</v>
      </c>
      <c r="Y708" s="122"/>
      <c r="AA708" t="s">
        <v>62</v>
      </c>
      <c r="AB708" t="s">
        <v>407</v>
      </c>
      <c r="AC708" t="s">
        <v>426</v>
      </c>
      <c r="AD708" t="s">
        <v>407</v>
      </c>
      <c r="AE708" t="s">
        <v>137</v>
      </c>
      <c r="AF708">
        <v>39</v>
      </c>
      <c r="AG708" s="122">
        <v>2615</v>
      </c>
      <c r="AH708" s="122">
        <v>16193</v>
      </c>
      <c r="AI708" s="122">
        <v>617072</v>
      </c>
      <c r="AJ708" s="122">
        <v>560975</v>
      </c>
      <c r="AK708">
        <v>75</v>
      </c>
      <c r="AL708" s="122">
        <v>158831</v>
      </c>
      <c r="AM708" s="122">
        <v>144392</v>
      </c>
      <c r="AN708" s="122">
        <v>56319</v>
      </c>
      <c r="AO708" s="122">
        <v>20859</v>
      </c>
      <c r="AP708" s="122">
        <v>18455</v>
      </c>
      <c r="AQ708" s="122">
        <v>6835</v>
      </c>
      <c r="AR708" s="122">
        <v>153398</v>
      </c>
      <c r="AS708" s="122">
        <v>139453</v>
      </c>
      <c r="AT708" s="122">
        <v>80466</v>
      </c>
      <c r="AU708" s="122">
        <v>29802</v>
      </c>
      <c r="AV708" s="122">
        <v>902316</v>
      </c>
    </row>
    <row r="709" spans="2:48" ht="13">
      <c r="B709" t="s">
        <v>445</v>
      </c>
      <c r="C709" t="s">
        <v>56</v>
      </c>
      <c r="D709" t="s">
        <v>137</v>
      </c>
      <c r="E709" t="s">
        <v>407</v>
      </c>
      <c r="F709" s="122">
        <v>1</v>
      </c>
      <c r="G709" s="122">
        <v>106</v>
      </c>
      <c r="H709" s="122">
        <v>172</v>
      </c>
      <c r="I709" s="122">
        <v>8425</v>
      </c>
      <c r="J709" s="191">
        <v>3121</v>
      </c>
      <c r="K709" s="122">
        <v>250</v>
      </c>
      <c r="L709" s="122">
        <v>1106</v>
      </c>
      <c r="M709" s="122">
        <v>1006</v>
      </c>
      <c r="N709" s="122">
        <v>2526</v>
      </c>
      <c r="O709">
        <v>935</v>
      </c>
      <c r="P709" s="122">
        <v>1810</v>
      </c>
      <c r="Q709">
        <v>670</v>
      </c>
      <c r="R709" s="122">
        <v>4369</v>
      </c>
      <c r="S709" s="122">
        <v>3972</v>
      </c>
      <c r="T709">
        <v>0</v>
      </c>
      <c r="U709">
        <v>0</v>
      </c>
      <c r="V709" s="122">
        <v>9704</v>
      </c>
      <c r="W709" s="122">
        <f t="shared" si="20"/>
        <v>9704</v>
      </c>
      <c r="X709" s="122">
        <f t="shared" si="21"/>
        <v>18236</v>
      </c>
      <c r="Y709" s="122"/>
      <c r="AA709" t="s">
        <v>62</v>
      </c>
      <c r="AB709" t="s">
        <v>407</v>
      </c>
      <c r="AC709" t="s">
        <v>426</v>
      </c>
      <c r="AD709" t="s">
        <v>407</v>
      </c>
      <c r="AE709" t="s">
        <v>566</v>
      </c>
      <c r="AF709">
        <v>42</v>
      </c>
      <c r="AG709" s="122">
        <v>2282</v>
      </c>
      <c r="AH709" s="122">
        <v>17287</v>
      </c>
      <c r="AI709" s="122">
        <v>542063</v>
      </c>
      <c r="AJ709" s="122">
        <v>492784</v>
      </c>
      <c r="AK709">
        <v>77</v>
      </c>
      <c r="AL709" s="122">
        <v>142464</v>
      </c>
      <c r="AM709" s="122">
        <v>129513</v>
      </c>
      <c r="AN709" s="122">
        <v>51403</v>
      </c>
      <c r="AO709" s="122">
        <v>19038</v>
      </c>
      <c r="AP709" s="122">
        <v>19953</v>
      </c>
      <c r="AQ709" s="122">
        <v>7390</v>
      </c>
      <c r="AR709" s="122">
        <v>186921</v>
      </c>
      <c r="AS709" s="122">
        <v>169929</v>
      </c>
      <c r="AT709">
        <v>0</v>
      </c>
      <c r="AU709">
        <v>0</v>
      </c>
      <c r="AV709" s="122">
        <v>818654</v>
      </c>
    </row>
    <row r="710" spans="2:48" ht="13">
      <c r="B710" t="s">
        <v>445</v>
      </c>
      <c r="C710" t="s">
        <v>56</v>
      </c>
      <c r="D710" t="s">
        <v>406</v>
      </c>
      <c r="E710" t="s">
        <v>407</v>
      </c>
      <c r="F710" s="122">
        <v>1</v>
      </c>
      <c r="G710" s="122">
        <v>116</v>
      </c>
      <c r="H710" s="122">
        <v>207</v>
      </c>
      <c r="I710" s="122">
        <v>10659</v>
      </c>
      <c r="J710" s="191">
        <v>9690</v>
      </c>
      <c r="K710" s="122">
        <v>86</v>
      </c>
      <c r="L710" s="122">
        <v>3206</v>
      </c>
      <c r="M710" s="122">
        <v>2914</v>
      </c>
      <c r="N710" s="122">
        <v>2535</v>
      </c>
      <c r="O710">
        <v>939</v>
      </c>
      <c r="P710">
        <v>621</v>
      </c>
      <c r="Q710">
        <v>230</v>
      </c>
      <c r="R710" s="122">
        <v>4049</v>
      </c>
      <c r="S710" s="122">
        <v>3681</v>
      </c>
      <c r="T710" s="122">
        <v>2889</v>
      </c>
      <c r="U710" s="122">
        <v>1070</v>
      </c>
      <c r="V710" s="122">
        <v>18525</v>
      </c>
      <c r="W710" s="122">
        <f t="shared" si="20"/>
        <v>18524</v>
      </c>
      <c r="X710" s="122">
        <f t="shared" si="21"/>
        <v>23959</v>
      </c>
      <c r="Y710" s="122"/>
      <c r="AA710" t="s">
        <v>62</v>
      </c>
      <c r="AB710" t="s">
        <v>407</v>
      </c>
      <c r="AC710" t="s">
        <v>566</v>
      </c>
      <c r="AD710" t="s">
        <v>137</v>
      </c>
      <c r="AE710" t="s">
        <v>566</v>
      </c>
      <c r="AF710">
        <v>36</v>
      </c>
      <c r="AG710" s="122">
        <v>1592</v>
      </c>
      <c r="AH710" s="122">
        <v>14919</v>
      </c>
      <c r="AI710" s="122">
        <v>473067</v>
      </c>
      <c r="AJ710" s="122">
        <v>430061</v>
      </c>
      <c r="AK710">
        <v>74</v>
      </c>
      <c r="AL710">
        <v>0</v>
      </c>
      <c r="AM710">
        <v>0</v>
      </c>
      <c r="AN710" s="122">
        <v>33543</v>
      </c>
      <c r="AO710" s="122">
        <v>12423</v>
      </c>
      <c r="AP710" s="122">
        <v>15120</v>
      </c>
      <c r="AQ710" s="122">
        <v>5600</v>
      </c>
      <c r="AR710" s="122">
        <v>136574</v>
      </c>
      <c r="AS710" s="122">
        <v>50583</v>
      </c>
      <c r="AT710">
        <v>0</v>
      </c>
      <c r="AU710">
        <v>0</v>
      </c>
      <c r="AV710" s="122">
        <v>498667</v>
      </c>
    </row>
    <row r="711" spans="2:48" ht="13">
      <c r="B711" t="s">
        <v>445</v>
      </c>
      <c r="C711" t="s">
        <v>56</v>
      </c>
      <c r="D711" t="s">
        <v>407</v>
      </c>
      <c r="E711" t="s">
        <v>137</v>
      </c>
      <c r="F711">
        <v>8</v>
      </c>
      <c r="G711" s="122">
        <v>308</v>
      </c>
      <c r="H711" s="122">
        <v>1383</v>
      </c>
      <c r="I711" s="122">
        <v>9086</v>
      </c>
      <c r="J711" s="191">
        <v>8260</v>
      </c>
      <c r="K711" s="122">
        <v>91</v>
      </c>
      <c r="L711">
        <v>0</v>
      </c>
      <c r="M711">
        <v>0</v>
      </c>
      <c r="N711" s="122">
        <v>3754</v>
      </c>
      <c r="O711" s="122">
        <v>1390</v>
      </c>
      <c r="P711" s="122">
        <v>3780</v>
      </c>
      <c r="Q711" s="122">
        <v>1400</v>
      </c>
      <c r="R711" s="122">
        <v>36062</v>
      </c>
      <c r="S711" s="122">
        <v>13356</v>
      </c>
      <c r="T711">
        <v>0</v>
      </c>
      <c r="U711">
        <v>0</v>
      </c>
      <c r="V711" s="122">
        <v>24407</v>
      </c>
      <c r="W711" s="122">
        <f t="shared" ref="W711:W774" si="22">SUM(ABS(J711),ABS(M711),ABS(O711),ABS(Q711),ABS(S711),ABS(U711))</f>
        <v>24406</v>
      </c>
      <c r="X711" s="122">
        <f t="shared" ref="X711:X774" si="23">SUM(ABS(I711),ABS(N711),ABS(P711),ABS(R711),ABS(T711),ABS(L711))</f>
        <v>52682</v>
      </c>
      <c r="Y711" s="122"/>
      <c r="AA711" t="s">
        <v>62</v>
      </c>
      <c r="AB711" t="s">
        <v>407</v>
      </c>
      <c r="AC711" t="s">
        <v>566</v>
      </c>
      <c r="AD711" t="s">
        <v>407</v>
      </c>
      <c r="AE711" t="s">
        <v>137</v>
      </c>
      <c r="AF711">
        <v>115</v>
      </c>
      <c r="AG711" s="122">
        <v>6052</v>
      </c>
      <c r="AH711" s="122">
        <v>47687</v>
      </c>
      <c r="AI711" s="122">
        <v>1712534</v>
      </c>
      <c r="AJ711" s="122">
        <v>1556849</v>
      </c>
      <c r="AK711">
        <v>75</v>
      </c>
      <c r="AL711">
        <v>0</v>
      </c>
      <c r="AM711">
        <v>0</v>
      </c>
      <c r="AN711" s="122">
        <v>126990</v>
      </c>
      <c r="AO711" s="122">
        <v>47033</v>
      </c>
      <c r="AP711" s="122">
        <v>52474</v>
      </c>
      <c r="AQ711" s="122">
        <v>19435</v>
      </c>
      <c r="AR711" s="122">
        <v>419793</v>
      </c>
      <c r="AS711" s="122">
        <v>381630</v>
      </c>
      <c r="AT711" s="122">
        <v>196756</v>
      </c>
      <c r="AU711" s="122">
        <v>72873</v>
      </c>
      <c r="AV711" s="122">
        <v>2077819</v>
      </c>
    </row>
    <row r="712" spans="2:48" ht="13">
      <c r="B712" t="s">
        <v>445</v>
      </c>
      <c r="C712" t="s">
        <v>56</v>
      </c>
      <c r="D712" t="s">
        <v>407</v>
      </c>
      <c r="E712" t="s">
        <v>407</v>
      </c>
      <c r="F712">
        <v>929</v>
      </c>
      <c r="G712" s="122">
        <v>57106</v>
      </c>
      <c r="H712" s="122">
        <v>166452</v>
      </c>
      <c r="I712" s="122">
        <v>5097324</v>
      </c>
      <c r="J712" s="191">
        <v>4633931</v>
      </c>
      <c r="K712" s="122">
        <v>83</v>
      </c>
      <c r="L712" s="122">
        <v>219840</v>
      </c>
      <c r="M712" s="122">
        <v>172732</v>
      </c>
      <c r="N712" s="122">
        <v>1200601</v>
      </c>
      <c r="O712" s="122">
        <v>444667</v>
      </c>
      <c r="P712" s="122">
        <v>481148</v>
      </c>
      <c r="Q712" s="122">
        <v>178203</v>
      </c>
      <c r="R712" s="122">
        <v>3044486</v>
      </c>
      <c r="S712" s="122">
        <v>2767714</v>
      </c>
      <c r="T712" s="122">
        <v>117133</v>
      </c>
      <c r="U712" s="122">
        <v>43382</v>
      </c>
      <c r="V712" s="122">
        <v>8240629</v>
      </c>
      <c r="W712" s="122">
        <f t="shared" si="22"/>
        <v>8240629</v>
      </c>
      <c r="X712" s="122">
        <f t="shared" si="23"/>
        <v>10160532</v>
      </c>
      <c r="Y712" s="122"/>
      <c r="AA712" t="s">
        <v>62</v>
      </c>
      <c r="AB712" t="s">
        <v>407</v>
      </c>
      <c r="AC712" t="s">
        <v>566</v>
      </c>
      <c r="AD712" t="s">
        <v>407</v>
      </c>
      <c r="AE712" t="s">
        <v>566</v>
      </c>
      <c r="AF712">
        <v>107</v>
      </c>
      <c r="AG712" s="122">
        <v>5474</v>
      </c>
      <c r="AH712" s="122">
        <v>44404</v>
      </c>
      <c r="AI712" s="122">
        <v>1663339</v>
      </c>
      <c r="AJ712" s="122">
        <v>1512126</v>
      </c>
      <c r="AK712">
        <v>78</v>
      </c>
      <c r="AL712">
        <v>0</v>
      </c>
      <c r="AM712">
        <v>0</v>
      </c>
      <c r="AN712" s="122">
        <v>115774</v>
      </c>
      <c r="AO712" s="122">
        <v>42879</v>
      </c>
      <c r="AP712" s="122">
        <v>49964</v>
      </c>
      <c r="AQ712" s="122">
        <v>18505</v>
      </c>
      <c r="AR712" s="122">
        <v>436989</v>
      </c>
      <c r="AS712" s="122">
        <v>397263</v>
      </c>
      <c r="AT712">
        <v>0</v>
      </c>
      <c r="AU712">
        <v>0</v>
      </c>
      <c r="AV712" s="122">
        <v>1970774</v>
      </c>
    </row>
    <row r="713" spans="2:48" ht="13">
      <c r="B713" t="s">
        <v>445</v>
      </c>
      <c r="C713" t="s">
        <v>58</v>
      </c>
      <c r="F713">
        <v>24</v>
      </c>
      <c r="G713">
        <v>995</v>
      </c>
      <c r="H713" s="122">
        <v>6148</v>
      </c>
      <c r="J713" s="191">
        <v>0</v>
      </c>
      <c r="K713" s="122"/>
      <c r="M713">
        <v>0</v>
      </c>
      <c r="N713" s="122">
        <v>20757</v>
      </c>
      <c r="O713" s="122">
        <v>7688</v>
      </c>
      <c r="P713" s="122">
        <v>5180</v>
      </c>
      <c r="Q713" s="122">
        <v>1918</v>
      </c>
      <c r="S713">
        <v>0</v>
      </c>
      <c r="T713" s="122">
        <v>11909</v>
      </c>
      <c r="U713" s="122">
        <v>4411</v>
      </c>
      <c r="V713" s="122">
        <v>14017</v>
      </c>
      <c r="W713" s="122">
        <f t="shared" si="22"/>
        <v>14017</v>
      </c>
      <c r="X713" s="122">
        <f t="shared" si="23"/>
        <v>37846</v>
      </c>
      <c r="Y713" s="122"/>
      <c r="AA713" t="s">
        <v>62</v>
      </c>
      <c r="AB713" t="s">
        <v>579</v>
      </c>
      <c r="AC713" t="s">
        <v>137</v>
      </c>
      <c r="AD713" t="s">
        <v>137</v>
      </c>
      <c r="AE713" t="s">
        <v>566</v>
      </c>
      <c r="AF713">
        <v>5</v>
      </c>
      <c r="AG713">
        <v>237</v>
      </c>
      <c r="AH713" s="122">
        <v>2102</v>
      </c>
      <c r="AI713" s="122">
        <v>59725</v>
      </c>
      <c r="AJ713" s="122">
        <v>49771</v>
      </c>
      <c r="AK713">
        <v>48</v>
      </c>
      <c r="AL713" s="122">
        <v>10086</v>
      </c>
      <c r="AM713" s="122">
        <v>3736</v>
      </c>
      <c r="AN713" s="122">
        <v>5170</v>
      </c>
      <c r="AO713" s="122">
        <v>1915</v>
      </c>
      <c r="AP713">
        <v>0</v>
      </c>
      <c r="AQ713">
        <v>0</v>
      </c>
      <c r="AR713" s="122">
        <v>25086</v>
      </c>
      <c r="AS713" s="122">
        <v>9291</v>
      </c>
      <c r="AT713">
        <v>0</v>
      </c>
      <c r="AU713">
        <v>0</v>
      </c>
      <c r="AV713" s="122">
        <v>64713</v>
      </c>
    </row>
    <row r="714" spans="2:48" ht="13">
      <c r="B714" t="s">
        <v>445</v>
      </c>
      <c r="C714" t="s">
        <v>58</v>
      </c>
      <c r="D714" t="s">
        <v>137</v>
      </c>
      <c r="E714" t="s">
        <v>137</v>
      </c>
      <c r="F714" s="122">
        <v>1654</v>
      </c>
      <c r="G714" s="122">
        <v>92578</v>
      </c>
      <c r="H714" s="122">
        <v>434605</v>
      </c>
      <c r="I714" s="122">
        <v>11699127</v>
      </c>
      <c r="J714" s="191">
        <v>4333010</v>
      </c>
      <c r="K714" s="122">
        <v>100</v>
      </c>
      <c r="L714" s="122">
        <v>1312076</v>
      </c>
      <c r="M714" s="122">
        <v>555447</v>
      </c>
      <c r="N714" s="122">
        <v>1877559</v>
      </c>
      <c r="O714" s="122">
        <v>695392</v>
      </c>
      <c r="P714" s="122">
        <v>27565</v>
      </c>
      <c r="Q714" s="122">
        <v>10209</v>
      </c>
      <c r="R714" s="122">
        <v>9423740</v>
      </c>
      <c r="S714" s="122">
        <v>3490274</v>
      </c>
      <c r="T714" s="122">
        <v>3353</v>
      </c>
      <c r="U714" s="122">
        <v>1242</v>
      </c>
      <c r="V714" s="122">
        <v>9085574</v>
      </c>
      <c r="W714" s="122">
        <f t="shared" si="22"/>
        <v>9085574</v>
      </c>
      <c r="X714" s="122">
        <f t="shared" si="23"/>
        <v>24343420</v>
      </c>
      <c r="Y714" s="122"/>
      <c r="AA714" t="s">
        <v>62</v>
      </c>
      <c r="AB714" t="s">
        <v>579</v>
      </c>
      <c r="AC714" t="s">
        <v>137</v>
      </c>
      <c r="AD714" t="s">
        <v>579</v>
      </c>
      <c r="AE714" t="s">
        <v>137</v>
      </c>
      <c r="AF714">
        <v>9</v>
      </c>
      <c r="AG714">
        <v>517</v>
      </c>
      <c r="AH714" s="122">
        <v>3718</v>
      </c>
      <c r="AI714" s="122">
        <v>122562</v>
      </c>
      <c r="AJ714" s="122">
        <v>102135</v>
      </c>
      <c r="AK714">
        <v>57</v>
      </c>
      <c r="AL714" s="122">
        <v>22493</v>
      </c>
      <c r="AM714" s="122">
        <v>8331</v>
      </c>
      <c r="AN714" s="122">
        <v>9845</v>
      </c>
      <c r="AO714" s="122">
        <v>3646</v>
      </c>
      <c r="AP714" s="122">
        <v>2808</v>
      </c>
      <c r="AQ714" s="122">
        <v>1040</v>
      </c>
      <c r="AR714" s="122">
        <v>41669</v>
      </c>
      <c r="AS714" s="122">
        <v>34724</v>
      </c>
      <c r="AT714" s="122">
        <v>16072</v>
      </c>
      <c r="AU714" s="122">
        <v>5953</v>
      </c>
      <c r="AV714" s="122">
        <v>155829</v>
      </c>
    </row>
    <row r="715" spans="2:48" ht="13">
      <c r="B715" t="s">
        <v>445</v>
      </c>
      <c r="C715" t="s">
        <v>58</v>
      </c>
      <c r="D715" t="s">
        <v>407</v>
      </c>
      <c r="E715" t="s">
        <v>137</v>
      </c>
      <c r="F715" s="122">
        <v>3</v>
      </c>
      <c r="G715" s="122">
        <v>102</v>
      </c>
      <c r="H715" s="122">
        <v>811</v>
      </c>
      <c r="I715" s="122">
        <v>13152</v>
      </c>
      <c r="J715" s="191">
        <v>11957</v>
      </c>
      <c r="K715" s="122">
        <v>82</v>
      </c>
      <c r="L715" s="122">
        <v>1056</v>
      </c>
      <c r="M715">
        <v>960</v>
      </c>
      <c r="N715" s="122">
        <v>2062</v>
      </c>
      <c r="O715">
        <v>764</v>
      </c>
      <c r="P715" s="122">
        <v>1418</v>
      </c>
      <c r="Q715">
        <v>525</v>
      </c>
      <c r="R715" s="122">
        <v>9925</v>
      </c>
      <c r="S715" s="122">
        <v>3676</v>
      </c>
      <c r="T715">
        <v>0</v>
      </c>
      <c r="U715">
        <v>0</v>
      </c>
      <c r="V715" s="122">
        <v>17881</v>
      </c>
      <c r="W715" s="122">
        <f t="shared" si="22"/>
        <v>17882</v>
      </c>
      <c r="X715" s="122">
        <f t="shared" si="23"/>
        <v>27613</v>
      </c>
      <c r="Y715" s="122"/>
      <c r="AA715" t="s">
        <v>62</v>
      </c>
      <c r="AB715" t="s">
        <v>579</v>
      </c>
      <c r="AC715" t="s">
        <v>137</v>
      </c>
      <c r="AD715" t="s">
        <v>579</v>
      </c>
      <c r="AE715" t="s">
        <v>566</v>
      </c>
      <c r="AF715">
        <v>1</v>
      </c>
      <c r="AG715">
        <v>85</v>
      </c>
      <c r="AH715">
        <v>417</v>
      </c>
      <c r="AI715" s="122">
        <v>23203</v>
      </c>
      <c r="AJ715" s="122">
        <v>19335</v>
      </c>
      <c r="AK715">
        <v>55</v>
      </c>
      <c r="AL715" s="122">
        <v>3190</v>
      </c>
      <c r="AM715" s="122">
        <v>1182</v>
      </c>
      <c r="AN715" s="122">
        <v>2066</v>
      </c>
      <c r="AO715">
        <v>765</v>
      </c>
      <c r="AP715">
        <v>351</v>
      </c>
      <c r="AQ715">
        <v>130</v>
      </c>
      <c r="AR715" s="122">
        <v>6552</v>
      </c>
      <c r="AS715" s="122">
        <v>5460</v>
      </c>
      <c r="AT715">
        <v>0</v>
      </c>
      <c r="AU715">
        <v>0</v>
      </c>
      <c r="AV715" s="122">
        <v>26872</v>
      </c>
    </row>
    <row r="716" spans="2:48" ht="13">
      <c r="B716" t="s">
        <v>445</v>
      </c>
      <c r="C716" t="s">
        <v>58</v>
      </c>
      <c r="D716" t="s">
        <v>407</v>
      </c>
      <c r="E716" t="s">
        <v>407</v>
      </c>
      <c r="F716">
        <v>287</v>
      </c>
      <c r="G716" s="122">
        <v>14468</v>
      </c>
      <c r="H716" s="122">
        <v>73643</v>
      </c>
      <c r="I716" s="122">
        <v>1899010</v>
      </c>
      <c r="J716" s="191">
        <v>1726373</v>
      </c>
      <c r="K716" s="122">
        <v>80</v>
      </c>
      <c r="L716" s="122">
        <v>185825</v>
      </c>
      <c r="M716" s="122">
        <v>150292</v>
      </c>
      <c r="N716" s="122">
        <v>293212</v>
      </c>
      <c r="O716" s="122">
        <v>108597</v>
      </c>
      <c r="P716" s="122">
        <v>138382</v>
      </c>
      <c r="Q716" s="122">
        <v>51253</v>
      </c>
      <c r="R716" s="122">
        <v>1048533</v>
      </c>
      <c r="S716" s="122">
        <v>953211</v>
      </c>
      <c r="T716" s="122">
        <v>144266</v>
      </c>
      <c r="U716" s="122">
        <v>53432</v>
      </c>
      <c r="V716" s="122">
        <v>3043157</v>
      </c>
      <c r="W716" s="122">
        <f t="shared" si="22"/>
        <v>3043158</v>
      </c>
      <c r="X716" s="122">
        <f t="shared" si="23"/>
        <v>3709228</v>
      </c>
      <c r="Y716" s="122"/>
      <c r="AA716" t="s">
        <v>62</v>
      </c>
      <c r="AB716" t="s">
        <v>579</v>
      </c>
      <c r="AC716" t="s">
        <v>579</v>
      </c>
      <c r="AD716" t="s">
        <v>137</v>
      </c>
      <c r="AE716" t="s">
        <v>566</v>
      </c>
      <c r="AF716">
        <v>2</v>
      </c>
      <c r="AG716">
        <v>187</v>
      </c>
      <c r="AH716">
        <v>838</v>
      </c>
      <c r="AI716" s="122">
        <v>53196</v>
      </c>
      <c r="AJ716" s="122">
        <v>44330</v>
      </c>
      <c r="AK716">
        <v>43</v>
      </c>
      <c r="AL716" s="122">
        <v>7389</v>
      </c>
      <c r="AM716" s="122">
        <v>6157</v>
      </c>
      <c r="AN716" s="122">
        <v>3827</v>
      </c>
      <c r="AO716" s="122">
        <v>1418</v>
      </c>
      <c r="AP716">
        <v>351</v>
      </c>
      <c r="AQ716">
        <v>130</v>
      </c>
      <c r="AR716" s="122">
        <v>16536</v>
      </c>
      <c r="AS716" s="122">
        <v>6124</v>
      </c>
      <c r="AT716">
        <v>0</v>
      </c>
      <c r="AU716">
        <v>0</v>
      </c>
      <c r="AV716" s="122">
        <v>58159</v>
      </c>
    </row>
    <row r="717" spans="2:48" ht="13">
      <c r="B717" t="s">
        <v>445</v>
      </c>
      <c r="C717" t="s">
        <v>60</v>
      </c>
      <c r="F717">
        <v>3</v>
      </c>
      <c r="G717">
        <v>244</v>
      </c>
      <c r="H717" s="122">
        <v>986</v>
      </c>
      <c r="J717" s="191">
        <v>0</v>
      </c>
      <c r="K717" s="122"/>
      <c r="M717">
        <v>0</v>
      </c>
      <c r="N717" s="122">
        <v>4836</v>
      </c>
      <c r="O717" s="122">
        <v>1791</v>
      </c>
      <c r="P717" s="122">
        <v>2081</v>
      </c>
      <c r="Q717">
        <v>771</v>
      </c>
      <c r="S717">
        <v>0</v>
      </c>
      <c r="T717" s="122">
        <v>1072</v>
      </c>
      <c r="U717">
        <v>397</v>
      </c>
      <c r="V717" s="122">
        <v>2959</v>
      </c>
      <c r="W717" s="122">
        <f t="shared" si="22"/>
        <v>2959</v>
      </c>
      <c r="X717" s="122">
        <f t="shared" si="23"/>
        <v>7989</v>
      </c>
      <c r="Y717" s="122"/>
      <c r="AA717" t="s">
        <v>62</v>
      </c>
      <c r="AB717" t="s">
        <v>579</v>
      </c>
      <c r="AC717" t="s">
        <v>579</v>
      </c>
      <c r="AD717" t="s">
        <v>579</v>
      </c>
      <c r="AE717" t="s">
        <v>137</v>
      </c>
      <c r="AF717">
        <v>3</v>
      </c>
      <c r="AG717">
        <v>257</v>
      </c>
      <c r="AH717" s="122">
        <v>1269</v>
      </c>
      <c r="AI717" s="122">
        <v>72938</v>
      </c>
      <c r="AJ717" s="122">
        <v>60782</v>
      </c>
      <c r="AK717">
        <v>57</v>
      </c>
      <c r="AL717" s="122">
        <v>7280</v>
      </c>
      <c r="AM717" s="122">
        <v>6067</v>
      </c>
      <c r="AN717" s="122">
        <v>5146</v>
      </c>
      <c r="AO717" s="122">
        <v>1906</v>
      </c>
      <c r="AP717">
        <v>702</v>
      </c>
      <c r="AQ717">
        <v>260</v>
      </c>
      <c r="AR717" s="122">
        <v>16164</v>
      </c>
      <c r="AS717" s="122">
        <v>13470</v>
      </c>
      <c r="AT717" s="122">
        <v>6810</v>
      </c>
      <c r="AU717" s="122">
        <v>2522</v>
      </c>
      <c r="AV717" s="122">
        <v>85007</v>
      </c>
    </row>
    <row r="718" spans="2:48" ht="13">
      <c r="B718" t="s">
        <v>445</v>
      </c>
      <c r="C718" t="s">
        <v>60</v>
      </c>
      <c r="D718" t="s">
        <v>137</v>
      </c>
      <c r="E718" t="s">
        <v>137</v>
      </c>
      <c r="F718">
        <v>861</v>
      </c>
      <c r="G718" s="122">
        <v>44523</v>
      </c>
      <c r="H718" s="122">
        <v>290027</v>
      </c>
      <c r="I718" s="122">
        <v>8345652</v>
      </c>
      <c r="J718" s="191">
        <v>3090982</v>
      </c>
      <c r="K718" s="122">
        <v>100</v>
      </c>
      <c r="L718" s="122">
        <v>906808</v>
      </c>
      <c r="M718" s="122">
        <v>381453</v>
      </c>
      <c r="N718" s="122">
        <v>900211</v>
      </c>
      <c r="O718" s="122">
        <v>333412</v>
      </c>
      <c r="P718" s="122">
        <v>18515</v>
      </c>
      <c r="Q718" s="122">
        <v>6858</v>
      </c>
      <c r="R718" s="122">
        <v>4822690</v>
      </c>
      <c r="S718" s="122">
        <v>1786182</v>
      </c>
      <c r="T718">
        <v>0</v>
      </c>
      <c r="U718">
        <v>0</v>
      </c>
      <c r="V718" s="122">
        <v>5598886</v>
      </c>
      <c r="W718" s="122">
        <f t="shared" si="22"/>
        <v>5598887</v>
      </c>
      <c r="X718" s="122">
        <f t="shared" si="23"/>
        <v>14993876</v>
      </c>
      <c r="Y718" s="122"/>
      <c r="AA718" t="s">
        <v>62</v>
      </c>
      <c r="AB718" t="s">
        <v>579</v>
      </c>
      <c r="AC718" t="s">
        <v>566</v>
      </c>
      <c r="AD718" t="s">
        <v>579</v>
      </c>
      <c r="AE718" t="s">
        <v>137</v>
      </c>
      <c r="AF718">
        <v>11</v>
      </c>
      <c r="AG718">
        <v>496</v>
      </c>
      <c r="AH718" s="122">
        <v>4500</v>
      </c>
      <c r="AI718" s="122">
        <v>118255</v>
      </c>
      <c r="AJ718" s="122">
        <v>98546</v>
      </c>
      <c r="AK718">
        <v>58</v>
      </c>
      <c r="AL718">
        <v>0</v>
      </c>
      <c r="AM718">
        <v>0</v>
      </c>
      <c r="AN718" s="122">
        <v>8474</v>
      </c>
      <c r="AO718" s="122">
        <v>3138</v>
      </c>
      <c r="AP718" s="122">
        <v>3861</v>
      </c>
      <c r="AQ718" s="122">
        <v>1430</v>
      </c>
      <c r="AR718" s="122">
        <v>53774</v>
      </c>
      <c r="AS718" s="122">
        <v>44812</v>
      </c>
      <c r="AT718" s="122">
        <v>19248</v>
      </c>
      <c r="AU718" s="122">
        <v>7129</v>
      </c>
      <c r="AV718" s="122">
        <v>155055</v>
      </c>
    </row>
    <row r="719" spans="2:48" ht="13">
      <c r="B719" t="s">
        <v>445</v>
      </c>
      <c r="C719" t="s">
        <v>60</v>
      </c>
      <c r="D719" t="s">
        <v>137</v>
      </c>
      <c r="E719" t="s">
        <v>407</v>
      </c>
      <c r="F719" s="122">
        <v>1</v>
      </c>
      <c r="G719" s="122">
        <v>50</v>
      </c>
      <c r="H719" s="122">
        <v>379</v>
      </c>
      <c r="I719" s="122">
        <v>15817</v>
      </c>
      <c r="J719" s="191">
        <v>5858</v>
      </c>
      <c r="K719" s="122">
        <v>100</v>
      </c>
      <c r="L719">
        <v>0</v>
      </c>
      <c r="M719">
        <v>0</v>
      </c>
      <c r="N719">
        <v>609</v>
      </c>
      <c r="O719">
        <v>226</v>
      </c>
      <c r="P719">
        <v>351</v>
      </c>
      <c r="Q719">
        <v>130</v>
      </c>
      <c r="R719" s="122">
        <v>2156</v>
      </c>
      <c r="S719" s="122">
        <v>1960</v>
      </c>
      <c r="T719">
        <v>0</v>
      </c>
      <c r="U719">
        <v>0</v>
      </c>
      <c r="V719" s="122">
        <v>8174</v>
      </c>
      <c r="W719" s="122">
        <f t="shared" si="22"/>
        <v>8174</v>
      </c>
      <c r="X719" s="122">
        <f t="shared" si="23"/>
        <v>18933</v>
      </c>
      <c r="Y719" s="122"/>
      <c r="AA719" t="s">
        <v>62</v>
      </c>
      <c r="AB719" t="s">
        <v>431</v>
      </c>
      <c r="AC719" t="s">
        <v>431</v>
      </c>
      <c r="AD719" t="s">
        <v>431</v>
      </c>
      <c r="AE719" t="s">
        <v>137</v>
      </c>
      <c r="AF719">
        <v>1</v>
      </c>
      <c r="AG719">
        <v>89</v>
      </c>
      <c r="AH719">
        <v>422</v>
      </c>
      <c r="AI719" s="122">
        <v>24775</v>
      </c>
      <c r="AJ719" s="122">
        <v>22523</v>
      </c>
      <c r="AK719">
        <v>45</v>
      </c>
      <c r="AL719" s="122">
        <v>2065</v>
      </c>
      <c r="AM719" s="122">
        <v>1877</v>
      </c>
      <c r="AN719" s="122">
        <v>1896</v>
      </c>
      <c r="AO719">
        <v>702</v>
      </c>
      <c r="AP719">
        <v>351</v>
      </c>
      <c r="AQ719">
        <v>130</v>
      </c>
      <c r="AR719" s="122">
        <v>6196</v>
      </c>
      <c r="AS719" s="122">
        <v>5633</v>
      </c>
      <c r="AT719" s="122">
        <v>2284</v>
      </c>
      <c r="AU719">
        <v>846</v>
      </c>
      <c r="AV719" s="122">
        <v>31711</v>
      </c>
    </row>
    <row r="720" spans="2:48" ht="13">
      <c r="B720" t="s">
        <v>445</v>
      </c>
      <c r="C720" t="s">
        <v>60</v>
      </c>
      <c r="D720" t="s">
        <v>407</v>
      </c>
      <c r="E720" t="s">
        <v>137</v>
      </c>
      <c r="F720" s="122">
        <v>7</v>
      </c>
      <c r="G720" s="122">
        <v>307</v>
      </c>
      <c r="H720" s="122">
        <v>2412</v>
      </c>
      <c r="I720" s="122">
        <v>61250</v>
      </c>
      <c r="J720" s="191">
        <v>55682</v>
      </c>
      <c r="K720" s="122">
        <v>77</v>
      </c>
      <c r="L720" s="122">
        <v>5570</v>
      </c>
      <c r="M720" s="122">
        <v>4945</v>
      </c>
      <c r="N720" s="122">
        <v>6857</v>
      </c>
      <c r="O720" s="122">
        <v>2539</v>
      </c>
      <c r="P720" s="122">
        <v>3308</v>
      </c>
      <c r="Q720" s="122">
        <v>1225</v>
      </c>
      <c r="R720" s="122">
        <v>29035</v>
      </c>
      <c r="S720" s="122">
        <v>10754</v>
      </c>
      <c r="T720">
        <v>0</v>
      </c>
      <c r="U720">
        <v>0</v>
      </c>
      <c r="V720" s="122">
        <v>75146</v>
      </c>
      <c r="W720" s="122">
        <f t="shared" si="22"/>
        <v>75145</v>
      </c>
      <c r="X720" s="122">
        <f t="shared" si="23"/>
        <v>106020</v>
      </c>
      <c r="Y720" s="122"/>
      <c r="AA720" t="s">
        <v>62</v>
      </c>
      <c r="AB720" t="s">
        <v>426</v>
      </c>
      <c r="AC720" t="s">
        <v>137</v>
      </c>
      <c r="AD720" t="s">
        <v>137</v>
      </c>
      <c r="AE720" t="s">
        <v>566</v>
      </c>
      <c r="AF720">
        <v>7</v>
      </c>
      <c r="AG720">
        <v>377</v>
      </c>
      <c r="AH720" s="122">
        <v>2935</v>
      </c>
      <c r="AI720" s="122">
        <v>99046</v>
      </c>
      <c r="AJ720" s="122">
        <v>90041</v>
      </c>
      <c r="AK720">
        <v>58</v>
      </c>
      <c r="AL720" s="122">
        <v>16816</v>
      </c>
      <c r="AM720" s="122">
        <v>6228</v>
      </c>
      <c r="AN720" s="122">
        <v>8394</v>
      </c>
      <c r="AO720" s="122">
        <v>3109</v>
      </c>
      <c r="AP720" s="122">
        <v>1053</v>
      </c>
      <c r="AQ720">
        <v>390</v>
      </c>
      <c r="AR720" s="122">
        <v>33323</v>
      </c>
      <c r="AS720" s="122">
        <v>12342</v>
      </c>
      <c r="AT720">
        <v>0</v>
      </c>
      <c r="AU720">
        <v>0</v>
      </c>
      <c r="AV720" s="122">
        <v>112111</v>
      </c>
    </row>
    <row r="721" spans="2:48" ht="13">
      <c r="B721" t="s">
        <v>445</v>
      </c>
      <c r="C721" t="s">
        <v>60</v>
      </c>
      <c r="D721" t="s">
        <v>407</v>
      </c>
      <c r="E721" t="s">
        <v>407</v>
      </c>
      <c r="F721">
        <v>106</v>
      </c>
      <c r="G721" s="122">
        <v>5125</v>
      </c>
      <c r="H721" s="122">
        <v>35962</v>
      </c>
      <c r="I721" s="122">
        <v>1029561</v>
      </c>
      <c r="J721" s="191">
        <v>935965</v>
      </c>
      <c r="K721" s="122">
        <v>80</v>
      </c>
      <c r="L721" s="122">
        <v>92822</v>
      </c>
      <c r="M721" s="122">
        <v>81857</v>
      </c>
      <c r="N721" s="122">
        <v>106898</v>
      </c>
      <c r="O721" s="122">
        <v>39592</v>
      </c>
      <c r="P721" s="122">
        <v>49893</v>
      </c>
      <c r="Q721" s="122">
        <v>18479</v>
      </c>
      <c r="R721" s="122">
        <v>382597</v>
      </c>
      <c r="S721" s="122">
        <v>347815</v>
      </c>
      <c r="T721" s="122">
        <v>75545</v>
      </c>
      <c r="U721" s="122">
        <v>27980</v>
      </c>
      <c r="V721" s="122">
        <v>1451688</v>
      </c>
      <c r="W721" s="122">
        <f t="shared" si="22"/>
        <v>1451688</v>
      </c>
      <c r="X721" s="122">
        <f t="shared" si="23"/>
        <v>1737316</v>
      </c>
      <c r="Y721" s="122"/>
      <c r="AA721" t="s">
        <v>62</v>
      </c>
      <c r="AB721" t="s">
        <v>426</v>
      </c>
      <c r="AC721" t="s">
        <v>137</v>
      </c>
      <c r="AD721" t="s">
        <v>426</v>
      </c>
      <c r="AE721" t="s">
        <v>137</v>
      </c>
      <c r="AF721">
        <v>18</v>
      </c>
      <c r="AG721" s="122">
        <v>1153</v>
      </c>
      <c r="AH721" s="122">
        <v>7557</v>
      </c>
      <c r="AI721" s="122">
        <v>276359</v>
      </c>
      <c r="AJ721" s="122">
        <v>251235</v>
      </c>
      <c r="AK721">
        <v>56</v>
      </c>
      <c r="AL721" s="122">
        <v>54091</v>
      </c>
      <c r="AM721" s="122">
        <v>20034</v>
      </c>
      <c r="AN721" s="122">
        <v>25841</v>
      </c>
      <c r="AO721" s="122">
        <v>9571</v>
      </c>
      <c r="AP721" s="122">
        <v>5265</v>
      </c>
      <c r="AQ721" s="122">
        <v>1950</v>
      </c>
      <c r="AR721" s="122">
        <v>89036</v>
      </c>
      <c r="AS721" s="122">
        <v>80942</v>
      </c>
      <c r="AT721" s="122">
        <v>40383</v>
      </c>
      <c r="AU721" s="122">
        <v>14957</v>
      </c>
      <c r="AV721" s="122">
        <v>378688</v>
      </c>
    </row>
    <row r="722" spans="2:48" ht="13">
      <c r="B722" t="s">
        <v>445</v>
      </c>
      <c r="C722" t="s">
        <v>60</v>
      </c>
      <c r="D722" t="s">
        <v>556</v>
      </c>
      <c r="E722" t="s">
        <v>137</v>
      </c>
      <c r="F722">
        <v>1</v>
      </c>
      <c r="G722" s="122">
        <v>35</v>
      </c>
      <c r="H722" s="122">
        <v>338</v>
      </c>
      <c r="I722" s="122">
        <v>6181</v>
      </c>
      <c r="J722" s="191">
        <v>5151</v>
      </c>
      <c r="K722" s="122">
        <v>60</v>
      </c>
      <c r="L722">
        <v>0</v>
      </c>
      <c r="M722">
        <v>0</v>
      </c>
      <c r="N722">
        <v>714</v>
      </c>
      <c r="O722">
        <v>264</v>
      </c>
      <c r="P722">
        <v>0</v>
      </c>
      <c r="Q722">
        <v>0</v>
      </c>
      <c r="R722" s="122">
        <v>5040</v>
      </c>
      <c r="S722" s="122">
        <v>1867</v>
      </c>
      <c r="T722">
        <v>0</v>
      </c>
      <c r="U722">
        <v>0</v>
      </c>
      <c r="V722" s="122">
        <v>7282</v>
      </c>
      <c r="W722" s="122">
        <f t="shared" si="22"/>
        <v>7282</v>
      </c>
      <c r="X722" s="122">
        <f t="shared" si="23"/>
        <v>11935</v>
      </c>
      <c r="Y722" s="122"/>
      <c r="AA722" t="s">
        <v>62</v>
      </c>
      <c r="AB722" t="s">
        <v>426</v>
      </c>
      <c r="AC722" t="s">
        <v>137</v>
      </c>
      <c r="AD722" t="s">
        <v>426</v>
      </c>
      <c r="AE722" t="s">
        <v>566</v>
      </c>
      <c r="AF722">
        <v>2</v>
      </c>
      <c r="AG722">
        <v>108</v>
      </c>
      <c r="AH722">
        <v>846</v>
      </c>
      <c r="AI722" s="122">
        <v>25619</v>
      </c>
      <c r="AJ722" s="122">
        <v>23290</v>
      </c>
      <c r="AK722">
        <v>53</v>
      </c>
      <c r="AL722" s="122">
        <v>4479</v>
      </c>
      <c r="AM722" s="122">
        <v>1659</v>
      </c>
      <c r="AN722" s="122">
        <v>2060</v>
      </c>
      <c r="AO722">
        <v>763</v>
      </c>
      <c r="AP722">
        <v>351</v>
      </c>
      <c r="AQ722">
        <v>130</v>
      </c>
      <c r="AR722" s="122">
        <v>13040</v>
      </c>
      <c r="AS722" s="122">
        <v>11855</v>
      </c>
      <c r="AT722">
        <v>0</v>
      </c>
      <c r="AU722">
        <v>0</v>
      </c>
      <c r="AV722" s="122">
        <v>37696</v>
      </c>
    </row>
    <row r="723" spans="2:48" ht="13">
      <c r="B723" t="s">
        <v>445</v>
      </c>
      <c r="C723" t="s">
        <v>60</v>
      </c>
      <c r="D723" t="s">
        <v>433</v>
      </c>
      <c r="E723" t="s">
        <v>137</v>
      </c>
      <c r="F723">
        <v>1</v>
      </c>
      <c r="G723" s="122">
        <v>36</v>
      </c>
      <c r="H723">
        <v>347</v>
      </c>
      <c r="I723" s="122">
        <v>5975</v>
      </c>
      <c r="J723" s="191">
        <v>5432</v>
      </c>
      <c r="K723" s="122">
        <v>60</v>
      </c>
      <c r="L723">
        <v>978</v>
      </c>
      <c r="M723">
        <v>362</v>
      </c>
      <c r="N723">
        <v>474</v>
      </c>
      <c r="O723">
        <v>175</v>
      </c>
      <c r="P723">
        <v>0</v>
      </c>
      <c r="Q723">
        <v>0</v>
      </c>
      <c r="R723" s="122">
        <v>5071</v>
      </c>
      <c r="S723" s="122">
        <v>1878</v>
      </c>
      <c r="T723">
        <v>0</v>
      </c>
      <c r="U723">
        <v>0</v>
      </c>
      <c r="V723" s="122">
        <v>7847</v>
      </c>
      <c r="W723" s="122">
        <f t="shared" si="22"/>
        <v>7847</v>
      </c>
      <c r="X723" s="122">
        <f t="shared" si="23"/>
        <v>12498</v>
      </c>
      <c r="Y723" s="122"/>
      <c r="AA723" t="s">
        <v>62</v>
      </c>
      <c r="AB723" t="s">
        <v>426</v>
      </c>
      <c r="AC723" t="s">
        <v>580</v>
      </c>
      <c r="AD723" t="s">
        <v>426</v>
      </c>
      <c r="AE723" t="s">
        <v>137</v>
      </c>
      <c r="AF723">
        <v>1</v>
      </c>
      <c r="AG723">
        <v>104</v>
      </c>
      <c r="AH723">
        <v>410</v>
      </c>
      <c r="AI723" s="122">
        <v>29721</v>
      </c>
      <c r="AJ723" s="122">
        <v>27019</v>
      </c>
      <c r="AK723">
        <v>65</v>
      </c>
      <c r="AL723" s="122">
        <v>3302</v>
      </c>
      <c r="AM723" s="122">
        <v>3002</v>
      </c>
      <c r="AN723" s="122">
        <v>1937</v>
      </c>
      <c r="AO723">
        <v>717</v>
      </c>
      <c r="AP723">
        <v>621</v>
      </c>
      <c r="AQ723">
        <v>230</v>
      </c>
      <c r="AR723" s="122">
        <v>4535</v>
      </c>
      <c r="AS723" s="122">
        <v>4123</v>
      </c>
      <c r="AT723" s="122">
        <v>2477</v>
      </c>
      <c r="AU723">
        <v>917</v>
      </c>
      <c r="AV723" s="122">
        <v>36009</v>
      </c>
    </row>
    <row r="724" spans="2:48" ht="13">
      <c r="B724" t="s">
        <v>445</v>
      </c>
      <c r="C724" t="s">
        <v>62</v>
      </c>
      <c r="F724">
        <v>4</v>
      </c>
      <c r="G724">
        <v>231</v>
      </c>
      <c r="H724" s="122">
        <v>1691</v>
      </c>
      <c r="J724" s="191">
        <v>0</v>
      </c>
      <c r="K724" s="122"/>
      <c r="M724">
        <v>0</v>
      </c>
      <c r="N724" s="122">
        <v>4261</v>
      </c>
      <c r="O724" s="122">
        <v>1578</v>
      </c>
      <c r="P724">
        <v>945</v>
      </c>
      <c r="Q724">
        <v>350</v>
      </c>
      <c r="S724">
        <v>0</v>
      </c>
      <c r="T724">
        <v>0</v>
      </c>
      <c r="U724">
        <v>0</v>
      </c>
      <c r="V724" s="122">
        <v>1928</v>
      </c>
      <c r="W724" s="122">
        <f t="shared" si="22"/>
        <v>1928</v>
      </c>
      <c r="X724" s="122">
        <f t="shared" si="23"/>
        <v>5206</v>
      </c>
      <c r="Y724" s="122"/>
      <c r="AA724" t="s">
        <v>62</v>
      </c>
      <c r="AB724" t="s">
        <v>426</v>
      </c>
      <c r="AC724" t="s">
        <v>426</v>
      </c>
      <c r="AD724" t="s">
        <v>137</v>
      </c>
      <c r="AE724" t="s">
        <v>566</v>
      </c>
      <c r="AF724">
        <v>2</v>
      </c>
      <c r="AG724">
        <v>125</v>
      </c>
      <c r="AH724">
        <v>843</v>
      </c>
      <c r="AI724" s="122">
        <v>15477</v>
      </c>
      <c r="AJ724" s="122">
        <v>14070</v>
      </c>
      <c r="AK724">
        <v>55</v>
      </c>
      <c r="AL724" s="122">
        <v>3216</v>
      </c>
      <c r="AM724" s="122">
        <v>2924</v>
      </c>
      <c r="AN724" s="122">
        <v>1519</v>
      </c>
      <c r="AO724">
        <v>563</v>
      </c>
      <c r="AP724">
        <v>0</v>
      </c>
      <c r="AQ724">
        <v>0</v>
      </c>
      <c r="AR724" s="122">
        <v>31159</v>
      </c>
      <c r="AS724" s="122">
        <v>11540</v>
      </c>
      <c r="AT724">
        <v>0</v>
      </c>
      <c r="AU724">
        <v>0</v>
      </c>
      <c r="AV724" s="122">
        <v>29097</v>
      </c>
    </row>
    <row r="725" spans="2:48" ht="13">
      <c r="B725" t="s">
        <v>445</v>
      </c>
      <c r="C725" t="s">
        <v>62</v>
      </c>
      <c r="D725" t="s">
        <v>137</v>
      </c>
      <c r="E725" t="s">
        <v>137</v>
      </c>
      <c r="F725">
        <v>278</v>
      </c>
      <c r="G725" s="122">
        <v>12947</v>
      </c>
      <c r="H725" s="122">
        <v>114128</v>
      </c>
      <c r="I725" s="122">
        <v>3220245</v>
      </c>
      <c r="J725" s="191">
        <v>1192684</v>
      </c>
      <c r="K725" s="122">
        <v>100</v>
      </c>
      <c r="L725" s="122">
        <v>295733</v>
      </c>
      <c r="M725" s="122">
        <v>123957</v>
      </c>
      <c r="N725" s="122">
        <v>263962</v>
      </c>
      <c r="O725" s="122">
        <v>97764</v>
      </c>
      <c r="P725" s="122">
        <v>6295</v>
      </c>
      <c r="Q725" s="122">
        <v>2331</v>
      </c>
      <c r="R725" s="122">
        <v>1523473</v>
      </c>
      <c r="S725" s="122">
        <v>564249</v>
      </c>
      <c r="T725">
        <v>0</v>
      </c>
      <c r="U725">
        <v>0</v>
      </c>
      <c r="V725" s="122">
        <v>1980985</v>
      </c>
      <c r="W725" s="122">
        <f t="shared" si="22"/>
        <v>1980985</v>
      </c>
      <c r="X725" s="122">
        <f t="shared" si="23"/>
        <v>5309708</v>
      </c>
      <c r="Y725" s="122"/>
      <c r="AA725" t="s">
        <v>62</v>
      </c>
      <c r="AB725" t="s">
        <v>426</v>
      </c>
      <c r="AC725" t="s">
        <v>426</v>
      </c>
      <c r="AD725" t="s">
        <v>426</v>
      </c>
      <c r="AE725" t="s">
        <v>137</v>
      </c>
      <c r="AF725">
        <v>16</v>
      </c>
      <c r="AG725" s="122">
        <v>1291</v>
      </c>
      <c r="AH725" s="122">
        <v>6737</v>
      </c>
      <c r="AI725" s="122">
        <v>321095</v>
      </c>
      <c r="AJ725" s="122">
        <v>291905</v>
      </c>
      <c r="AK725">
        <v>52</v>
      </c>
      <c r="AL725" s="122">
        <v>47711</v>
      </c>
      <c r="AM725" s="122">
        <v>43373</v>
      </c>
      <c r="AN725" s="122">
        <v>27456</v>
      </c>
      <c r="AO725" s="122">
        <v>10169</v>
      </c>
      <c r="AP725" s="122">
        <v>5265</v>
      </c>
      <c r="AQ725" s="122">
        <v>1950</v>
      </c>
      <c r="AR725" s="122">
        <v>97183</v>
      </c>
      <c r="AS725" s="122">
        <v>88348</v>
      </c>
      <c r="AT725" s="122">
        <v>42855</v>
      </c>
      <c r="AU725" s="122">
        <v>15872</v>
      </c>
      <c r="AV725" s="122">
        <v>451617</v>
      </c>
    </row>
    <row r="726" spans="2:48" ht="13">
      <c r="B726" t="s">
        <v>445</v>
      </c>
      <c r="C726" t="s">
        <v>62</v>
      </c>
      <c r="D726" t="s">
        <v>406</v>
      </c>
      <c r="E726" t="s">
        <v>137</v>
      </c>
      <c r="F726" s="122">
        <v>1</v>
      </c>
      <c r="G726" s="122">
        <v>42</v>
      </c>
      <c r="H726" s="122">
        <v>403</v>
      </c>
      <c r="I726" s="122">
        <v>11370</v>
      </c>
      <c r="J726" s="191">
        <v>10337</v>
      </c>
      <c r="K726" s="122">
        <v>86</v>
      </c>
      <c r="L726">
        <v>0</v>
      </c>
      <c r="M726">
        <v>0</v>
      </c>
      <c r="N726">
        <v>954</v>
      </c>
      <c r="O726">
        <v>353</v>
      </c>
      <c r="P726">
        <v>621</v>
      </c>
      <c r="Q726">
        <v>230</v>
      </c>
      <c r="R726" s="122">
        <v>3923</v>
      </c>
      <c r="S726" s="122">
        <v>1453</v>
      </c>
      <c r="T726">
        <v>0</v>
      </c>
      <c r="U726">
        <v>0</v>
      </c>
      <c r="V726" s="122">
        <v>12373</v>
      </c>
      <c r="W726" s="122">
        <f t="shared" si="22"/>
        <v>12373</v>
      </c>
      <c r="X726" s="122">
        <f t="shared" si="23"/>
        <v>16868</v>
      </c>
      <c r="Y726" s="122"/>
      <c r="AA726" t="s">
        <v>62</v>
      </c>
      <c r="AB726" t="s">
        <v>426</v>
      </c>
      <c r="AC726" t="s">
        <v>426</v>
      </c>
      <c r="AD726" t="s">
        <v>426</v>
      </c>
      <c r="AE726" t="s">
        <v>566</v>
      </c>
      <c r="AF726">
        <v>1</v>
      </c>
      <c r="AG726">
        <v>116</v>
      </c>
      <c r="AH726">
        <v>413</v>
      </c>
      <c r="AI726" s="122">
        <v>33241</v>
      </c>
      <c r="AJ726" s="122">
        <v>30219</v>
      </c>
      <c r="AK726">
        <v>45</v>
      </c>
      <c r="AL726" s="122">
        <v>2557</v>
      </c>
      <c r="AM726" s="122">
        <v>2325</v>
      </c>
      <c r="AN726" s="122">
        <v>2122</v>
      </c>
      <c r="AO726">
        <v>786</v>
      </c>
      <c r="AP726">
        <v>351</v>
      </c>
      <c r="AQ726">
        <v>130</v>
      </c>
      <c r="AR726" s="122">
        <v>9679</v>
      </c>
      <c r="AS726" s="122">
        <v>8799</v>
      </c>
      <c r="AT726">
        <v>0</v>
      </c>
      <c r="AU726">
        <v>0</v>
      </c>
      <c r="AV726" s="122">
        <v>42258</v>
      </c>
    </row>
    <row r="727" spans="2:48" ht="13">
      <c r="B727" t="s">
        <v>445</v>
      </c>
      <c r="C727" t="s">
        <v>62</v>
      </c>
      <c r="D727" t="s">
        <v>406</v>
      </c>
      <c r="E727" t="s">
        <v>406</v>
      </c>
      <c r="F727">
        <v>2</v>
      </c>
      <c r="G727" s="122">
        <v>64</v>
      </c>
      <c r="H727" s="122">
        <v>823</v>
      </c>
      <c r="I727" s="122">
        <v>16250</v>
      </c>
      <c r="J727" s="191">
        <v>14773</v>
      </c>
      <c r="K727" s="122">
        <v>77</v>
      </c>
      <c r="L727">
        <v>0</v>
      </c>
      <c r="M727">
        <v>0</v>
      </c>
      <c r="N727" s="122">
        <v>1555</v>
      </c>
      <c r="O727">
        <v>576</v>
      </c>
      <c r="P727" s="122">
        <v>1242</v>
      </c>
      <c r="Q727">
        <v>460</v>
      </c>
      <c r="R727" s="122">
        <v>6152</v>
      </c>
      <c r="S727" s="122">
        <v>5593</v>
      </c>
      <c r="T727" s="122">
        <v>1022</v>
      </c>
      <c r="U727">
        <v>379</v>
      </c>
      <c r="V727" s="122">
        <v>21780</v>
      </c>
      <c r="W727" s="122">
        <f t="shared" si="22"/>
        <v>21781</v>
      </c>
      <c r="X727" s="122">
        <f t="shared" si="23"/>
        <v>26221</v>
      </c>
      <c r="Y727" s="122"/>
      <c r="AA727" t="s">
        <v>62</v>
      </c>
      <c r="AB727" t="s">
        <v>426</v>
      </c>
      <c r="AC727" t="s">
        <v>566</v>
      </c>
      <c r="AD727" t="s">
        <v>137</v>
      </c>
      <c r="AE727" t="s">
        <v>566</v>
      </c>
      <c r="AF727">
        <v>4</v>
      </c>
      <c r="AG727">
        <v>328</v>
      </c>
      <c r="AH727" s="122">
        <v>1666</v>
      </c>
      <c r="AI727" s="122">
        <v>104614</v>
      </c>
      <c r="AJ727" s="122">
        <v>95104</v>
      </c>
      <c r="AK727">
        <v>59</v>
      </c>
      <c r="AL727">
        <v>0</v>
      </c>
      <c r="AM727" s="122">
        <v>1498</v>
      </c>
      <c r="AN727" s="122">
        <v>4816</v>
      </c>
      <c r="AO727" s="122">
        <v>1784</v>
      </c>
      <c r="AP727">
        <v>702</v>
      </c>
      <c r="AQ727">
        <v>260</v>
      </c>
      <c r="AR727" s="122">
        <v>24131</v>
      </c>
      <c r="AS727" s="122">
        <v>8937</v>
      </c>
      <c r="AT727">
        <v>0</v>
      </c>
      <c r="AU727">
        <v>0</v>
      </c>
      <c r="AV727" s="122">
        <v>107583</v>
      </c>
    </row>
    <row r="728" spans="2:48" ht="13">
      <c r="B728" t="s">
        <v>445</v>
      </c>
      <c r="C728" t="s">
        <v>62</v>
      </c>
      <c r="D728" t="s">
        <v>407</v>
      </c>
      <c r="E728" t="s">
        <v>137</v>
      </c>
      <c r="F728">
        <v>3</v>
      </c>
      <c r="G728">
        <v>103</v>
      </c>
      <c r="H728" s="122">
        <v>1261</v>
      </c>
      <c r="I728" s="122">
        <v>23350</v>
      </c>
      <c r="J728" s="191">
        <v>21227</v>
      </c>
      <c r="K728" s="122">
        <v>71</v>
      </c>
      <c r="L728" s="122">
        <v>5039</v>
      </c>
      <c r="M728" s="122">
        <v>4405</v>
      </c>
      <c r="N728" s="122">
        <v>1855</v>
      </c>
      <c r="O728">
        <v>687</v>
      </c>
      <c r="P728">
        <v>945</v>
      </c>
      <c r="Q728">
        <v>350</v>
      </c>
      <c r="R728" s="122">
        <v>12307</v>
      </c>
      <c r="S728" s="122">
        <v>4558</v>
      </c>
      <c r="T728">
        <v>0</v>
      </c>
      <c r="U728">
        <v>0</v>
      </c>
      <c r="V728" s="122">
        <v>31227</v>
      </c>
      <c r="W728" s="122">
        <f t="shared" si="22"/>
        <v>31227</v>
      </c>
      <c r="X728" s="122">
        <f t="shared" si="23"/>
        <v>43496</v>
      </c>
      <c r="Y728" s="122"/>
      <c r="AA728" t="s">
        <v>62</v>
      </c>
      <c r="AB728" t="s">
        <v>426</v>
      </c>
      <c r="AC728" t="s">
        <v>566</v>
      </c>
      <c r="AD728" t="s">
        <v>426</v>
      </c>
      <c r="AE728" t="s">
        <v>137</v>
      </c>
      <c r="AF728">
        <v>12</v>
      </c>
      <c r="AG728">
        <v>597</v>
      </c>
      <c r="AH728" s="122">
        <v>4984</v>
      </c>
      <c r="AI728" s="122">
        <v>149889</v>
      </c>
      <c r="AJ728" s="122">
        <v>136263</v>
      </c>
      <c r="AK728">
        <v>54</v>
      </c>
      <c r="AL728">
        <v>0</v>
      </c>
      <c r="AM728">
        <v>0</v>
      </c>
      <c r="AN728" s="122">
        <v>13432</v>
      </c>
      <c r="AO728" s="122">
        <v>4975</v>
      </c>
      <c r="AP728" s="122">
        <v>4482</v>
      </c>
      <c r="AQ728" s="122">
        <v>1660</v>
      </c>
      <c r="AR728" s="122">
        <v>58509</v>
      </c>
      <c r="AS728" s="122">
        <v>53190</v>
      </c>
      <c r="AT728" s="122">
        <v>22422</v>
      </c>
      <c r="AU728" s="122">
        <v>8304</v>
      </c>
      <c r="AV728" s="122">
        <v>204393</v>
      </c>
    </row>
    <row r="729" spans="2:48" ht="13">
      <c r="B729" t="s">
        <v>445</v>
      </c>
      <c r="C729" t="s">
        <v>62</v>
      </c>
      <c r="D729" t="s">
        <v>407</v>
      </c>
      <c r="E729" t="s">
        <v>407</v>
      </c>
      <c r="F729">
        <v>50</v>
      </c>
      <c r="G729" s="122">
        <v>2630</v>
      </c>
      <c r="H729" s="122">
        <v>20651</v>
      </c>
      <c r="I729" s="122">
        <v>658143</v>
      </c>
      <c r="J729" s="191">
        <v>598312</v>
      </c>
      <c r="K729" s="122">
        <v>77</v>
      </c>
      <c r="L729" s="122">
        <v>88364</v>
      </c>
      <c r="M729" s="122">
        <v>74442</v>
      </c>
      <c r="N729" s="122">
        <v>53473</v>
      </c>
      <c r="O729" s="122">
        <v>19805</v>
      </c>
      <c r="P729" s="122">
        <v>23327</v>
      </c>
      <c r="Q729" s="122">
        <v>8639</v>
      </c>
      <c r="R729" s="122">
        <v>202401</v>
      </c>
      <c r="S729" s="122">
        <v>184001</v>
      </c>
      <c r="T729" s="122">
        <v>59148</v>
      </c>
      <c r="U729" s="122">
        <v>21907</v>
      </c>
      <c r="V729" s="122">
        <v>907105</v>
      </c>
      <c r="W729" s="122">
        <f t="shared" si="22"/>
        <v>907106</v>
      </c>
      <c r="X729" s="122">
        <f t="shared" si="23"/>
        <v>1084856</v>
      </c>
      <c r="Y729" s="122"/>
      <c r="AA729" t="s">
        <v>62</v>
      </c>
      <c r="AB729" t="s">
        <v>426</v>
      </c>
      <c r="AC729" t="s">
        <v>566</v>
      </c>
      <c r="AD729" t="s">
        <v>426</v>
      </c>
      <c r="AE729" t="s">
        <v>566</v>
      </c>
      <c r="AF729">
        <v>3</v>
      </c>
      <c r="AG729">
        <v>149</v>
      </c>
      <c r="AH729" s="122">
        <v>1288</v>
      </c>
      <c r="AI729" s="122">
        <v>46302</v>
      </c>
      <c r="AJ729" s="122">
        <v>42092</v>
      </c>
      <c r="AK729">
        <v>65</v>
      </c>
      <c r="AL729">
        <v>0</v>
      </c>
      <c r="AM729">
        <v>0</v>
      </c>
      <c r="AN729" s="122">
        <v>3498</v>
      </c>
      <c r="AO729" s="122">
        <v>1295</v>
      </c>
      <c r="AP729" s="122">
        <v>1053</v>
      </c>
      <c r="AQ729">
        <v>390</v>
      </c>
      <c r="AR729" s="122">
        <v>13372</v>
      </c>
      <c r="AS729" s="122">
        <v>12156</v>
      </c>
      <c r="AT729">
        <v>0</v>
      </c>
      <c r="AU729">
        <v>0</v>
      </c>
      <c r="AV729" s="122">
        <v>55934</v>
      </c>
    </row>
    <row r="730" spans="2:48" ht="13">
      <c r="B730" t="s">
        <v>445</v>
      </c>
      <c r="C730" t="s">
        <v>62</v>
      </c>
      <c r="D730" t="s">
        <v>556</v>
      </c>
      <c r="E730" t="s">
        <v>137</v>
      </c>
      <c r="F730" s="122">
        <v>1</v>
      </c>
      <c r="G730" s="122">
        <v>32</v>
      </c>
      <c r="H730" s="122">
        <v>419</v>
      </c>
      <c r="I730" s="122">
        <v>7160</v>
      </c>
      <c r="J730" s="191">
        <v>5967</v>
      </c>
      <c r="K730" s="122">
        <v>60</v>
      </c>
      <c r="L730" s="122">
        <v>1074</v>
      </c>
      <c r="M730">
        <v>398</v>
      </c>
      <c r="N730">
        <v>514</v>
      </c>
      <c r="O730">
        <v>190</v>
      </c>
      <c r="P730">
        <v>0</v>
      </c>
      <c r="Q730">
        <v>0</v>
      </c>
      <c r="R730" s="122">
        <v>4462</v>
      </c>
      <c r="S730" s="122">
        <v>1652</v>
      </c>
      <c r="T730">
        <v>0</v>
      </c>
      <c r="U730">
        <v>0</v>
      </c>
      <c r="V730" s="122">
        <v>8207</v>
      </c>
      <c r="W730" s="122">
        <f t="shared" si="22"/>
        <v>8207</v>
      </c>
      <c r="X730" s="122">
        <f t="shared" si="23"/>
        <v>13210</v>
      </c>
      <c r="Y730" s="122"/>
      <c r="AA730" t="s">
        <v>62</v>
      </c>
      <c r="AB730" t="s">
        <v>433</v>
      </c>
      <c r="AC730" t="s">
        <v>137</v>
      </c>
      <c r="AD730" t="s">
        <v>137</v>
      </c>
      <c r="AE730" t="s">
        <v>566</v>
      </c>
      <c r="AF730">
        <v>1</v>
      </c>
      <c r="AG730">
        <v>46</v>
      </c>
      <c r="AH730">
        <v>432</v>
      </c>
      <c r="AI730" s="122">
        <v>10514</v>
      </c>
      <c r="AJ730" s="122">
        <v>9558</v>
      </c>
      <c r="AK730">
        <v>74</v>
      </c>
      <c r="AL730" s="122">
        <v>2116</v>
      </c>
      <c r="AM730">
        <v>784</v>
      </c>
      <c r="AN730" s="122">
        <v>1125</v>
      </c>
      <c r="AO730">
        <v>417</v>
      </c>
      <c r="AP730">
        <v>0</v>
      </c>
      <c r="AQ730">
        <v>0</v>
      </c>
      <c r="AR730" s="122">
        <v>6204</v>
      </c>
      <c r="AS730" s="122">
        <v>2298</v>
      </c>
      <c r="AT730">
        <v>0</v>
      </c>
      <c r="AU730">
        <v>0</v>
      </c>
      <c r="AV730" s="122">
        <v>13056</v>
      </c>
    </row>
    <row r="731" spans="2:48" ht="13">
      <c r="B731" t="s">
        <v>445</v>
      </c>
      <c r="C731" t="s">
        <v>64</v>
      </c>
      <c r="F731" s="122">
        <v>4</v>
      </c>
      <c r="G731" s="122">
        <v>219</v>
      </c>
      <c r="H731" s="122">
        <v>2422</v>
      </c>
      <c r="J731" s="66">
        <v>0</v>
      </c>
      <c r="K731" s="122"/>
      <c r="M731">
        <v>0</v>
      </c>
      <c r="N731" s="122">
        <v>4243</v>
      </c>
      <c r="O731" s="122">
        <v>1571</v>
      </c>
      <c r="P731" s="122">
        <v>1296</v>
      </c>
      <c r="Q731">
        <v>480</v>
      </c>
      <c r="S731">
        <v>0</v>
      </c>
      <c r="T731">
        <v>0</v>
      </c>
      <c r="U731">
        <v>0</v>
      </c>
      <c r="V731" s="122">
        <v>2051</v>
      </c>
      <c r="W731" s="122">
        <f t="shared" si="22"/>
        <v>2051</v>
      </c>
      <c r="X731" s="122">
        <f t="shared" si="23"/>
        <v>5539</v>
      </c>
      <c r="Y731" s="122"/>
      <c r="AA731" t="s">
        <v>64</v>
      </c>
      <c r="AC731" t="s">
        <v>566</v>
      </c>
      <c r="AE731" t="s">
        <v>566</v>
      </c>
      <c r="AF731">
        <v>190</v>
      </c>
      <c r="AG731" s="122">
        <v>9477</v>
      </c>
      <c r="AH731" s="122">
        <v>106622</v>
      </c>
      <c r="AJ731">
        <v>0</v>
      </c>
      <c r="AM731">
        <v>0</v>
      </c>
      <c r="AN731" s="122">
        <v>199396</v>
      </c>
      <c r="AO731" s="122">
        <v>73850</v>
      </c>
      <c r="AP731" s="122">
        <v>40937</v>
      </c>
      <c r="AQ731" s="122">
        <v>15162</v>
      </c>
      <c r="AS731">
        <v>0</v>
      </c>
      <c r="AT731" s="122">
        <v>64803</v>
      </c>
      <c r="AU731" s="122">
        <v>24001</v>
      </c>
      <c r="AV731" s="122">
        <v>113013</v>
      </c>
    </row>
    <row r="732" spans="2:48" ht="13">
      <c r="B732" t="s">
        <v>445</v>
      </c>
      <c r="C732" t="s">
        <v>64</v>
      </c>
      <c r="D732" t="s">
        <v>137</v>
      </c>
      <c r="E732" t="s">
        <v>137</v>
      </c>
      <c r="F732">
        <v>229</v>
      </c>
      <c r="G732" s="122">
        <v>10250</v>
      </c>
      <c r="H732" s="122">
        <v>137561</v>
      </c>
      <c r="I732" s="122">
        <v>4325642</v>
      </c>
      <c r="J732" s="191">
        <v>1602090</v>
      </c>
      <c r="K732">
        <v>100</v>
      </c>
      <c r="L732" s="122">
        <v>388534</v>
      </c>
      <c r="M732" s="122">
        <v>221124</v>
      </c>
      <c r="N732" s="122">
        <v>206009</v>
      </c>
      <c r="O732" s="122">
        <v>76300</v>
      </c>
      <c r="P732" s="122">
        <v>1970</v>
      </c>
      <c r="Q732">
        <v>730</v>
      </c>
      <c r="R732" s="122">
        <v>1136971</v>
      </c>
      <c r="S732" s="122">
        <v>421100</v>
      </c>
      <c r="T732" s="122">
        <v>2010</v>
      </c>
      <c r="U732">
        <v>744</v>
      </c>
      <c r="V732" s="122">
        <v>2322087</v>
      </c>
      <c r="W732" s="122">
        <f t="shared" si="22"/>
        <v>2322088</v>
      </c>
      <c r="X732" s="122">
        <f t="shared" si="23"/>
        <v>6061136</v>
      </c>
      <c r="Y732" s="122"/>
      <c r="AA732" t="s">
        <v>64</v>
      </c>
      <c r="AB732" t="s">
        <v>425</v>
      </c>
      <c r="AC732" t="s">
        <v>426</v>
      </c>
      <c r="AD732" t="s">
        <v>425</v>
      </c>
      <c r="AE732" t="s">
        <v>137</v>
      </c>
      <c r="AF732">
        <v>1</v>
      </c>
      <c r="AG732">
        <v>60</v>
      </c>
      <c r="AH732">
        <v>582</v>
      </c>
      <c r="AI732" s="122">
        <v>18385</v>
      </c>
      <c r="AJ732" s="122">
        <v>16714</v>
      </c>
      <c r="AK732">
        <v>73</v>
      </c>
      <c r="AL732" s="122">
        <v>4726</v>
      </c>
      <c r="AM732" s="122">
        <v>4296</v>
      </c>
      <c r="AN732" s="122">
        <v>1202</v>
      </c>
      <c r="AO732">
        <v>445</v>
      </c>
      <c r="AP732">
        <v>351</v>
      </c>
      <c r="AQ732">
        <v>130</v>
      </c>
      <c r="AR732" s="122">
        <v>6210</v>
      </c>
      <c r="AS732" s="122">
        <v>5646</v>
      </c>
      <c r="AT732" s="122">
        <v>4120</v>
      </c>
      <c r="AU732" s="122">
        <v>1526</v>
      </c>
      <c r="AV732" s="122">
        <v>28757</v>
      </c>
    </row>
    <row r="733" spans="2:48" ht="13">
      <c r="B733" t="s">
        <v>445</v>
      </c>
      <c r="C733" t="s">
        <v>64</v>
      </c>
      <c r="D733" t="s">
        <v>406</v>
      </c>
      <c r="E733" t="s">
        <v>406</v>
      </c>
      <c r="F733" s="122">
        <v>3</v>
      </c>
      <c r="G733">
        <v>141</v>
      </c>
      <c r="H733" s="122">
        <v>1601</v>
      </c>
      <c r="I733" s="122">
        <v>66215</v>
      </c>
      <c r="J733" s="191">
        <v>60195</v>
      </c>
      <c r="K733" s="122">
        <v>75</v>
      </c>
      <c r="L733">
        <v>0</v>
      </c>
      <c r="M733">
        <v>0</v>
      </c>
      <c r="N733" s="122">
        <v>2874</v>
      </c>
      <c r="O733" s="122">
        <v>1064</v>
      </c>
      <c r="P733" s="122">
        <v>1863</v>
      </c>
      <c r="Q733">
        <v>690</v>
      </c>
      <c r="R733" s="122">
        <v>11181</v>
      </c>
      <c r="S733" s="122">
        <v>10164</v>
      </c>
      <c r="T733" s="122">
        <v>1694</v>
      </c>
      <c r="U733">
        <v>628</v>
      </c>
      <c r="V733" s="122">
        <v>72741</v>
      </c>
      <c r="W733" s="122">
        <f t="shared" si="22"/>
        <v>72741</v>
      </c>
      <c r="X733" s="122">
        <f t="shared" si="23"/>
        <v>83827</v>
      </c>
      <c r="Y733" s="122"/>
      <c r="AA733" t="s">
        <v>64</v>
      </c>
      <c r="AB733" t="s">
        <v>425</v>
      </c>
      <c r="AC733" t="s">
        <v>426</v>
      </c>
      <c r="AD733" t="s">
        <v>137</v>
      </c>
      <c r="AE733" t="s">
        <v>566</v>
      </c>
      <c r="AF733">
        <v>1</v>
      </c>
      <c r="AG733">
        <v>120</v>
      </c>
      <c r="AH733">
        <v>462</v>
      </c>
      <c r="AI733" s="122">
        <v>40138</v>
      </c>
      <c r="AJ733" s="122">
        <v>36489</v>
      </c>
      <c r="AK733">
        <v>65</v>
      </c>
      <c r="AL733" s="122">
        <v>4594</v>
      </c>
      <c r="AM733" s="122">
        <v>4176</v>
      </c>
      <c r="AN733" s="122">
        <v>2701</v>
      </c>
      <c r="AO733" s="122">
        <v>1001</v>
      </c>
      <c r="AP733">
        <v>824</v>
      </c>
      <c r="AQ733">
        <v>305</v>
      </c>
      <c r="AR733" s="122">
        <v>7106</v>
      </c>
      <c r="AS733" s="122">
        <v>2632</v>
      </c>
      <c r="AT733">
        <v>0</v>
      </c>
      <c r="AU733">
        <v>0</v>
      </c>
      <c r="AV733" s="122">
        <v>44603</v>
      </c>
    </row>
    <row r="734" spans="2:48" ht="13">
      <c r="B734" t="s">
        <v>445</v>
      </c>
      <c r="C734" t="s">
        <v>64</v>
      </c>
      <c r="D734" t="s">
        <v>407</v>
      </c>
      <c r="E734" t="s">
        <v>137</v>
      </c>
      <c r="F734" s="122">
        <v>8</v>
      </c>
      <c r="G734" s="122">
        <v>336</v>
      </c>
      <c r="H734" s="122">
        <v>3953</v>
      </c>
      <c r="I734" s="122">
        <v>100205</v>
      </c>
      <c r="J734" s="191">
        <v>91095</v>
      </c>
      <c r="K734" s="122">
        <v>76</v>
      </c>
      <c r="L734" s="122">
        <v>7958</v>
      </c>
      <c r="M734" s="122">
        <v>6926</v>
      </c>
      <c r="N734" s="122">
        <v>7118</v>
      </c>
      <c r="O734" s="122">
        <v>2636</v>
      </c>
      <c r="P734" s="122">
        <v>3780</v>
      </c>
      <c r="Q734" s="122">
        <v>1400</v>
      </c>
      <c r="R734" s="122">
        <v>45915</v>
      </c>
      <c r="S734" s="122">
        <v>17006</v>
      </c>
      <c r="T734">
        <v>0</v>
      </c>
      <c r="U734">
        <v>0</v>
      </c>
      <c r="V734" s="122">
        <v>119063</v>
      </c>
      <c r="W734" s="122">
        <f t="shared" si="22"/>
        <v>119063</v>
      </c>
      <c r="X734" s="122">
        <f t="shared" si="23"/>
        <v>164976</v>
      </c>
      <c r="Y734" s="122"/>
      <c r="AA734" t="s">
        <v>64</v>
      </c>
      <c r="AB734" t="s">
        <v>405</v>
      </c>
      <c r="AC734" t="s">
        <v>405</v>
      </c>
      <c r="AD734" t="s">
        <v>405</v>
      </c>
      <c r="AE734" t="s">
        <v>137</v>
      </c>
      <c r="AF734">
        <v>1</v>
      </c>
      <c r="AG734">
        <v>146</v>
      </c>
      <c r="AH734">
        <v>478</v>
      </c>
      <c r="AI734" s="122">
        <v>51880</v>
      </c>
      <c r="AJ734" s="122">
        <v>47163</v>
      </c>
      <c r="AK734">
        <v>55</v>
      </c>
      <c r="AL734" s="122">
        <v>6018</v>
      </c>
      <c r="AM734" s="122">
        <v>5471</v>
      </c>
      <c r="AN734" s="122">
        <v>3348</v>
      </c>
      <c r="AO734" s="122">
        <v>1240</v>
      </c>
      <c r="AP734">
        <v>351</v>
      </c>
      <c r="AQ734">
        <v>130</v>
      </c>
      <c r="AR734" s="122">
        <v>5730</v>
      </c>
      <c r="AS734" s="122">
        <v>5209</v>
      </c>
      <c r="AT734" s="122">
        <v>2532</v>
      </c>
      <c r="AU734">
        <v>938</v>
      </c>
      <c r="AV734" s="122">
        <v>60151</v>
      </c>
    </row>
    <row r="735" spans="2:48" ht="13">
      <c r="B735" t="s">
        <v>445</v>
      </c>
      <c r="C735" t="s">
        <v>64</v>
      </c>
      <c r="D735" t="s">
        <v>407</v>
      </c>
      <c r="E735" t="s">
        <v>406</v>
      </c>
      <c r="F735">
        <v>1</v>
      </c>
      <c r="G735">
        <v>53</v>
      </c>
      <c r="H735" s="122">
        <v>493</v>
      </c>
      <c r="I735" s="122">
        <v>15401</v>
      </c>
      <c r="J735" s="191">
        <v>14001</v>
      </c>
      <c r="K735" s="122">
        <v>90</v>
      </c>
      <c r="L735" s="122">
        <v>5333</v>
      </c>
      <c r="M735" s="122">
        <v>4444</v>
      </c>
      <c r="N735" s="122">
        <v>1023</v>
      </c>
      <c r="O735">
        <v>379</v>
      </c>
      <c r="P735">
        <v>473</v>
      </c>
      <c r="Q735">
        <v>175</v>
      </c>
      <c r="R735" s="122">
        <v>2340</v>
      </c>
      <c r="S735" s="122">
        <v>2127</v>
      </c>
      <c r="T735" s="122">
        <v>1337</v>
      </c>
      <c r="U735">
        <v>495</v>
      </c>
      <c r="V735" s="122">
        <v>21622</v>
      </c>
      <c r="W735" s="122">
        <f t="shared" si="22"/>
        <v>21621</v>
      </c>
      <c r="X735" s="122">
        <f t="shared" si="23"/>
        <v>25907</v>
      </c>
      <c r="Y735" s="122"/>
      <c r="AA735" t="s">
        <v>64</v>
      </c>
      <c r="AB735" t="s">
        <v>405</v>
      </c>
      <c r="AC735" t="s">
        <v>405</v>
      </c>
      <c r="AD735" t="s">
        <v>137</v>
      </c>
      <c r="AE735" t="s">
        <v>566</v>
      </c>
      <c r="AF735">
        <v>1</v>
      </c>
      <c r="AG735">
        <v>75</v>
      </c>
      <c r="AH735">
        <v>550</v>
      </c>
      <c r="AI735" s="122">
        <v>30665</v>
      </c>
      <c r="AJ735" s="122">
        <v>27877</v>
      </c>
      <c r="AK735">
        <v>55</v>
      </c>
      <c r="AL735" s="122">
        <v>2823</v>
      </c>
      <c r="AM735" s="122">
        <v>2566</v>
      </c>
      <c r="AN735" s="122">
        <v>1732</v>
      </c>
      <c r="AO735">
        <v>641</v>
      </c>
      <c r="AP735">
        <v>621</v>
      </c>
      <c r="AQ735">
        <v>230</v>
      </c>
      <c r="AR735" s="122">
        <v>5263</v>
      </c>
      <c r="AS735" s="122">
        <v>1949</v>
      </c>
      <c r="AT735">
        <v>0</v>
      </c>
      <c r="AU735">
        <v>0</v>
      </c>
      <c r="AV735" s="122">
        <v>33264</v>
      </c>
    </row>
    <row r="736" spans="2:48" ht="13">
      <c r="B736" t="s">
        <v>445</v>
      </c>
      <c r="C736" t="s">
        <v>64</v>
      </c>
      <c r="D736" t="s">
        <v>407</v>
      </c>
      <c r="E736" t="s">
        <v>407</v>
      </c>
      <c r="F736" s="122">
        <v>44</v>
      </c>
      <c r="G736" s="122">
        <v>2152</v>
      </c>
      <c r="H736" s="122">
        <v>23362</v>
      </c>
      <c r="I736" s="122">
        <v>717476</v>
      </c>
      <c r="J736" s="191">
        <v>652251</v>
      </c>
      <c r="K736" s="122">
        <v>75</v>
      </c>
      <c r="L736" s="122">
        <v>102247</v>
      </c>
      <c r="M736" s="122">
        <v>89842</v>
      </c>
      <c r="N736" s="122">
        <v>48713</v>
      </c>
      <c r="O736" s="122">
        <v>18042</v>
      </c>
      <c r="P736" s="122">
        <v>20318</v>
      </c>
      <c r="Q736" s="122">
        <v>7525</v>
      </c>
      <c r="R736" s="122">
        <v>196481</v>
      </c>
      <c r="S736" s="122">
        <v>178619</v>
      </c>
      <c r="T736" s="122">
        <v>48263</v>
      </c>
      <c r="U736" s="122">
        <v>17875</v>
      </c>
      <c r="V736" s="122">
        <v>964154</v>
      </c>
      <c r="W736" s="122">
        <f t="shared" si="22"/>
        <v>964154</v>
      </c>
      <c r="X736" s="122">
        <f t="shared" si="23"/>
        <v>1133498</v>
      </c>
      <c r="Y736" s="122"/>
      <c r="AA736" t="s">
        <v>64</v>
      </c>
      <c r="AB736" t="s">
        <v>405</v>
      </c>
      <c r="AC736" t="s">
        <v>137</v>
      </c>
      <c r="AD736" t="s">
        <v>405</v>
      </c>
      <c r="AE736" t="s">
        <v>566</v>
      </c>
      <c r="AF736">
        <v>1</v>
      </c>
      <c r="AG736">
        <v>43</v>
      </c>
      <c r="AH736">
        <v>469</v>
      </c>
      <c r="AI736" s="122">
        <v>8577</v>
      </c>
      <c r="AJ736" s="122">
        <v>7797</v>
      </c>
      <c r="AK736">
        <v>77</v>
      </c>
      <c r="AL736" s="122">
        <v>1710</v>
      </c>
      <c r="AM736">
        <v>633</v>
      </c>
      <c r="AN736" s="122">
        <v>1049</v>
      </c>
      <c r="AO736">
        <v>388</v>
      </c>
      <c r="AP736">
        <v>473</v>
      </c>
      <c r="AQ736">
        <v>175</v>
      </c>
      <c r="AR736" s="122">
        <v>8370</v>
      </c>
      <c r="AS736" s="122">
        <v>7609</v>
      </c>
      <c r="AT736">
        <v>0</v>
      </c>
      <c r="AU736">
        <v>0</v>
      </c>
      <c r="AV736" s="122">
        <v>16603</v>
      </c>
    </row>
    <row r="737" spans="2:48" ht="13">
      <c r="B737" t="s">
        <v>445</v>
      </c>
      <c r="C737" t="s">
        <v>64</v>
      </c>
      <c r="D737" t="s">
        <v>556</v>
      </c>
      <c r="E737" t="s">
        <v>137</v>
      </c>
      <c r="F737">
        <v>4</v>
      </c>
      <c r="G737">
        <v>233</v>
      </c>
      <c r="H737" s="122">
        <v>3360</v>
      </c>
      <c r="I737" s="122">
        <v>169584</v>
      </c>
      <c r="J737" s="191">
        <v>141320</v>
      </c>
      <c r="K737" s="122">
        <v>30</v>
      </c>
      <c r="L737" s="122">
        <v>11316</v>
      </c>
      <c r="M737" s="122">
        <v>6855</v>
      </c>
      <c r="N737" s="122">
        <v>5164</v>
      </c>
      <c r="O737" s="122">
        <v>1913</v>
      </c>
      <c r="P737">
        <v>0</v>
      </c>
      <c r="Q737">
        <v>0</v>
      </c>
      <c r="R737" s="122">
        <v>16942</v>
      </c>
      <c r="S737" s="122">
        <v>6275</v>
      </c>
      <c r="T737">
        <v>0</v>
      </c>
      <c r="U737">
        <v>0</v>
      </c>
      <c r="V737" s="122">
        <v>156362</v>
      </c>
      <c r="W737" s="122">
        <f t="shared" si="22"/>
        <v>156363</v>
      </c>
      <c r="X737" s="122">
        <f t="shared" si="23"/>
        <v>203006</v>
      </c>
      <c r="Y737" s="122"/>
      <c r="AA737" t="s">
        <v>64</v>
      </c>
      <c r="AB737" t="s">
        <v>405</v>
      </c>
      <c r="AC737" t="s">
        <v>580</v>
      </c>
      <c r="AD737" t="s">
        <v>405</v>
      </c>
      <c r="AE737" t="s">
        <v>137</v>
      </c>
      <c r="AF737">
        <v>1</v>
      </c>
      <c r="AG737">
        <v>124</v>
      </c>
      <c r="AH737">
        <v>460</v>
      </c>
      <c r="AI737" s="122">
        <v>40742</v>
      </c>
      <c r="AJ737" s="122">
        <v>37038</v>
      </c>
      <c r="AK737">
        <v>65</v>
      </c>
      <c r="AL737" s="122">
        <v>5087</v>
      </c>
      <c r="AM737" s="122">
        <v>4624</v>
      </c>
      <c r="AN737" s="122">
        <v>3029</v>
      </c>
      <c r="AO737" s="122">
        <v>1122</v>
      </c>
      <c r="AP737">
        <v>473</v>
      </c>
      <c r="AQ737">
        <v>175</v>
      </c>
      <c r="AR737" s="122">
        <v>5108</v>
      </c>
      <c r="AS737" s="122">
        <v>4644</v>
      </c>
      <c r="AT737" s="122">
        <v>2727</v>
      </c>
      <c r="AU737" s="122">
        <v>1010</v>
      </c>
      <c r="AV737" s="122">
        <v>48614</v>
      </c>
    </row>
    <row r="738" spans="2:48" ht="13">
      <c r="B738" t="s">
        <v>446</v>
      </c>
      <c r="C738" t="s">
        <v>48</v>
      </c>
      <c r="F738" s="122">
        <v>251</v>
      </c>
      <c r="G738" s="122">
        <v>21569</v>
      </c>
      <c r="H738" s="122">
        <v>8231</v>
      </c>
      <c r="J738" s="191">
        <v>0</v>
      </c>
      <c r="K738" s="122"/>
      <c r="M738">
        <v>0</v>
      </c>
      <c r="N738" s="122">
        <v>262795</v>
      </c>
      <c r="O738" s="122">
        <v>97331</v>
      </c>
      <c r="P738" s="122">
        <v>205720</v>
      </c>
      <c r="Q738" s="122">
        <v>76193</v>
      </c>
      <c r="S738">
        <v>0</v>
      </c>
      <c r="T738">
        <v>0</v>
      </c>
      <c r="U738">
        <v>0</v>
      </c>
      <c r="V738" s="122">
        <v>173524</v>
      </c>
      <c r="W738" s="122">
        <f t="shared" si="22"/>
        <v>173524</v>
      </c>
      <c r="X738" s="122">
        <f t="shared" si="23"/>
        <v>468515</v>
      </c>
      <c r="Y738" s="122"/>
      <c r="AA738" t="s">
        <v>64</v>
      </c>
      <c r="AB738" t="s">
        <v>405</v>
      </c>
      <c r="AC738" t="s">
        <v>579</v>
      </c>
      <c r="AD738" t="s">
        <v>405</v>
      </c>
      <c r="AE738" t="s">
        <v>566</v>
      </c>
      <c r="AF738">
        <v>1</v>
      </c>
      <c r="AG738">
        <v>83</v>
      </c>
      <c r="AH738">
        <v>533</v>
      </c>
      <c r="AI738" s="122">
        <v>28791</v>
      </c>
      <c r="AJ738" s="122">
        <v>26174</v>
      </c>
      <c r="AK738">
        <v>73</v>
      </c>
      <c r="AL738" s="122">
        <v>8073</v>
      </c>
      <c r="AM738" s="122">
        <v>6728</v>
      </c>
      <c r="AN738" s="122">
        <v>2034</v>
      </c>
      <c r="AO738">
        <v>753</v>
      </c>
      <c r="AP738">
        <v>473</v>
      </c>
      <c r="AQ738">
        <v>175</v>
      </c>
      <c r="AR738" s="122">
        <v>5081</v>
      </c>
      <c r="AS738" s="122">
        <v>4619</v>
      </c>
      <c r="AT738">
        <v>0</v>
      </c>
      <c r="AU738">
        <v>0</v>
      </c>
      <c r="AV738" s="122">
        <v>38449</v>
      </c>
    </row>
    <row r="739" spans="2:48" ht="13">
      <c r="B739" t="s">
        <v>446</v>
      </c>
      <c r="C739" t="s">
        <v>48</v>
      </c>
      <c r="D739" t="s">
        <v>137</v>
      </c>
      <c r="E739" t="s">
        <v>137</v>
      </c>
      <c r="F739" s="122">
        <v>6</v>
      </c>
      <c r="G739" s="122">
        <v>577</v>
      </c>
      <c r="H739" s="122">
        <v>343</v>
      </c>
      <c r="I739">
        <v>485</v>
      </c>
      <c r="J739" s="191">
        <v>180</v>
      </c>
      <c r="K739" s="122">
        <v>466</v>
      </c>
      <c r="L739">
        <v>0</v>
      </c>
      <c r="M739">
        <v>0</v>
      </c>
      <c r="N739" s="122">
        <v>7025</v>
      </c>
      <c r="O739" s="122">
        <v>2602</v>
      </c>
      <c r="P739" s="122">
        <v>2106</v>
      </c>
      <c r="Q739">
        <v>780</v>
      </c>
      <c r="R739" s="122">
        <v>23037</v>
      </c>
      <c r="S739" s="122">
        <v>8532</v>
      </c>
      <c r="T739">
        <v>0</v>
      </c>
      <c r="U739">
        <v>0</v>
      </c>
      <c r="V739" s="122">
        <v>12093</v>
      </c>
      <c r="W739" s="122">
        <f t="shared" si="22"/>
        <v>12094</v>
      </c>
      <c r="X739" s="122">
        <f t="shared" si="23"/>
        <v>32653</v>
      </c>
      <c r="Y739" s="122"/>
      <c r="AA739" t="s">
        <v>64</v>
      </c>
      <c r="AB739" t="s">
        <v>405</v>
      </c>
      <c r="AC739" t="s">
        <v>431</v>
      </c>
      <c r="AD739" t="s">
        <v>431</v>
      </c>
      <c r="AE739" t="s">
        <v>137</v>
      </c>
      <c r="AF739">
        <v>1</v>
      </c>
      <c r="AG739">
        <v>103</v>
      </c>
      <c r="AH739">
        <v>571</v>
      </c>
      <c r="AI739" s="122">
        <v>44116</v>
      </c>
      <c r="AJ739" s="122">
        <v>40105</v>
      </c>
      <c r="AK739">
        <v>86</v>
      </c>
      <c r="AL739" s="122">
        <v>6176</v>
      </c>
      <c r="AM739" s="122">
        <v>5615</v>
      </c>
      <c r="AN739" s="122">
        <v>2096</v>
      </c>
      <c r="AO739">
        <v>776</v>
      </c>
      <c r="AP739">
        <v>473</v>
      </c>
      <c r="AQ739">
        <v>175</v>
      </c>
      <c r="AR739" s="122">
        <v>3954</v>
      </c>
      <c r="AS739" s="122">
        <v>3595</v>
      </c>
      <c r="AT739" s="122">
        <v>2020</v>
      </c>
      <c r="AU739">
        <v>748</v>
      </c>
      <c r="AV739" s="122">
        <v>51014</v>
      </c>
    </row>
    <row r="740" spans="2:48" ht="13">
      <c r="B740" t="s">
        <v>446</v>
      </c>
      <c r="C740" t="s">
        <v>48</v>
      </c>
      <c r="D740" t="s">
        <v>407</v>
      </c>
      <c r="E740" t="s">
        <v>407</v>
      </c>
      <c r="F740" s="122">
        <v>89</v>
      </c>
      <c r="G740" s="122">
        <v>7392</v>
      </c>
      <c r="H740" s="122">
        <v>4606</v>
      </c>
      <c r="I740" s="122">
        <v>-68967</v>
      </c>
      <c r="J740" s="191">
        <v>-62697</v>
      </c>
      <c r="K740" s="122">
        <v>91</v>
      </c>
      <c r="L740">
        <v>0</v>
      </c>
      <c r="M740">
        <v>0</v>
      </c>
      <c r="N740" s="122">
        <v>93070</v>
      </c>
      <c r="O740" s="122">
        <v>34470</v>
      </c>
      <c r="P740" s="122">
        <v>66836</v>
      </c>
      <c r="Q740" s="122">
        <v>24754</v>
      </c>
      <c r="R740" s="122">
        <v>285520</v>
      </c>
      <c r="S740" s="122">
        <v>259564</v>
      </c>
      <c r="T740">
        <v>0</v>
      </c>
      <c r="U740">
        <v>0</v>
      </c>
      <c r="V740" s="122">
        <v>256091</v>
      </c>
      <c r="W740" s="122">
        <f t="shared" si="22"/>
        <v>381485</v>
      </c>
      <c r="X740" s="122">
        <f t="shared" si="23"/>
        <v>514393</v>
      </c>
      <c r="Y740" s="122"/>
      <c r="AA740" t="s">
        <v>64</v>
      </c>
      <c r="AB740" t="s">
        <v>405</v>
      </c>
      <c r="AC740" t="s">
        <v>426</v>
      </c>
      <c r="AD740" t="s">
        <v>405</v>
      </c>
      <c r="AE740" t="s">
        <v>137</v>
      </c>
      <c r="AF740">
        <v>2</v>
      </c>
      <c r="AG740">
        <v>137</v>
      </c>
      <c r="AH740" s="122">
        <v>1045</v>
      </c>
      <c r="AI740" s="122">
        <v>48438</v>
      </c>
      <c r="AJ740" s="122">
        <v>44035</v>
      </c>
      <c r="AK740">
        <v>67</v>
      </c>
      <c r="AL740" s="122">
        <v>6468</v>
      </c>
      <c r="AM740" s="122">
        <v>5880</v>
      </c>
      <c r="AN740" s="122">
        <v>3121</v>
      </c>
      <c r="AO740" s="122">
        <v>1156</v>
      </c>
      <c r="AP740" s="122">
        <v>1094</v>
      </c>
      <c r="AQ740">
        <v>405</v>
      </c>
      <c r="AR740" s="122">
        <v>7678</v>
      </c>
      <c r="AS740" s="122">
        <v>6980</v>
      </c>
      <c r="AT740" s="122">
        <v>3840</v>
      </c>
      <c r="AU740" s="122">
        <v>1422</v>
      </c>
      <c r="AV740" s="122">
        <v>59879</v>
      </c>
    </row>
    <row r="741" spans="2:48" ht="13">
      <c r="B741" t="s">
        <v>446</v>
      </c>
      <c r="C741" t="s">
        <v>50</v>
      </c>
      <c r="D741" t="s">
        <v>407</v>
      </c>
      <c r="E741" t="s">
        <v>407</v>
      </c>
      <c r="F741">
        <v>34</v>
      </c>
      <c r="G741" s="122">
        <v>2378</v>
      </c>
      <c r="H741" s="122">
        <v>3016</v>
      </c>
      <c r="I741" s="122">
        <v>61917</v>
      </c>
      <c r="J741" s="191">
        <v>56288</v>
      </c>
      <c r="K741" s="122">
        <v>88</v>
      </c>
      <c r="L741">
        <v>608</v>
      </c>
      <c r="M741">
        <v>225</v>
      </c>
      <c r="N741" s="122">
        <v>38628</v>
      </c>
      <c r="O741" s="122">
        <v>14307</v>
      </c>
      <c r="P741" s="122">
        <v>23518</v>
      </c>
      <c r="Q741" s="122">
        <v>8710</v>
      </c>
      <c r="R741" s="122">
        <v>87076</v>
      </c>
      <c r="S741" s="122">
        <v>79160</v>
      </c>
      <c r="T741">
        <v>0</v>
      </c>
      <c r="U741">
        <v>0</v>
      </c>
      <c r="V741" s="122">
        <v>158690</v>
      </c>
      <c r="W741" s="122">
        <f t="shared" si="22"/>
        <v>158690</v>
      </c>
      <c r="X741" s="122">
        <f t="shared" si="23"/>
        <v>211747</v>
      </c>
      <c r="Y741" s="122"/>
      <c r="AA741" t="s">
        <v>64</v>
      </c>
      <c r="AB741" t="s">
        <v>405</v>
      </c>
      <c r="AC741" t="s">
        <v>426</v>
      </c>
      <c r="AD741" t="s">
        <v>405</v>
      </c>
      <c r="AE741" t="s">
        <v>566</v>
      </c>
      <c r="AF741">
        <v>5</v>
      </c>
      <c r="AG741">
        <v>573</v>
      </c>
      <c r="AH741" s="122">
        <v>2555</v>
      </c>
      <c r="AI741" s="122">
        <v>199320</v>
      </c>
      <c r="AJ741" s="122">
        <v>181200</v>
      </c>
      <c r="AK741">
        <v>79</v>
      </c>
      <c r="AL741" s="122">
        <v>49444</v>
      </c>
      <c r="AM741" s="122">
        <v>44949</v>
      </c>
      <c r="AN741" s="122">
        <v>13555</v>
      </c>
      <c r="AO741" s="122">
        <v>5020</v>
      </c>
      <c r="AP741" s="122">
        <v>2241</v>
      </c>
      <c r="AQ741">
        <v>830</v>
      </c>
      <c r="AR741" s="122">
        <v>32688</v>
      </c>
      <c r="AS741" s="122">
        <v>29717</v>
      </c>
      <c r="AT741">
        <v>0</v>
      </c>
      <c r="AU741">
        <v>0</v>
      </c>
      <c r="AV741" s="122">
        <v>261715</v>
      </c>
    </row>
    <row r="742" spans="2:48" ht="13">
      <c r="B742" t="s">
        <v>446</v>
      </c>
      <c r="C742" t="s">
        <v>52</v>
      </c>
      <c r="D742" t="s">
        <v>137</v>
      </c>
      <c r="E742" t="s">
        <v>137</v>
      </c>
      <c r="F742" s="122">
        <v>6</v>
      </c>
      <c r="G742" s="122">
        <v>461</v>
      </c>
      <c r="H742" s="122">
        <v>702</v>
      </c>
      <c r="I742" s="122">
        <v>6962</v>
      </c>
      <c r="J742" s="191">
        <v>2579</v>
      </c>
      <c r="K742" s="122">
        <v>100</v>
      </c>
      <c r="L742">
        <v>148</v>
      </c>
      <c r="M742">
        <v>269</v>
      </c>
      <c r="N742" s="122">
        <v>7429</v>
      </c>
      <c r="O742" s="122">
        <v>2751</v>
      </c>
      <c r="P742">
        <v>0</v>
      </c>
      <c r="Q742">
        <v>0</v>
      </c>
      <c r="R742" s="122">
        <v>39390</v>
      </c>
      <c r="S742" s="122">
        <v>14589</v>
      </c>
      <c r="T742">
        <v>0</v>
      </c>
      <c r="U742">
        <v>0</v>
      </c>
      <c r="V742" s="122">
        <v>20188</v>
      </c>
      <c r="W742" s="122">
        <f t="shared" si="22"/>
        <v>20188</v>
      </c>
      <c r="X742" s="122">
        <f t="shared" si="23"/>
        <v>53929</v>
      </c>
      <c r="Y742" s="122"/>
      <c r="AA742" t="s">
        <v>64</v>
      </c>
      <c r="AB742" t="s">
        <v>405</v>
      </c>
      <c r="AC742" t="s">
        <v>566</v>
      </c>
      <c r="AD742" t="s">
        <v>405</v>
      </c>
      <c r="AE742" t="s">
        <v>566</v>
      </c>
      <c r="AF742">
        <v>1</v>
      </c>
      <c r="AG742">
        <v>50</v>
      </c>
      <c r="AH742">
        <v>481</v>
      </c>
      <c r="AI742" s="122">
        <v>17405</v>
      </c>
      <c r="AJ742" s="122">
        <v>15823</v>
      </c>
      <c r="AK742">
        <v>73</v>
      </c>
      <c r="AL742">
        <v>0</v>
      </c>
      <c r="AM742">
        <v>0</v>
      </c>
      <c r="AN742" s="122">
        <v>1120</v>
      </c>
      <c r="AO742">
        <v>415</v>
      </c>
      <c r="AP742">
        <v>473</v>
      </c>
      <c r="AQ742">
        <v>175</v>
      </c>
      <c r="AR742" s="122">
        <v>5044</v>
      </c>
      <c r="AS742" s="122">
        <v>4585</v>
      </c>
      <c r="AT742">
        <v>0</v>
      </c>
      <c r="AU742">
        <v>0</v>
      </c>
      <c r="AV742" s="122">
        <v>20998</v>
      </c>
    </row>
    <row r="743" spans="2:48" ht="13">
      <c r="B743" t="s">
        <v>446</v>
      </c>
      <c r="C743" t="s">
        <v>52</v>
      </c>
      <c r="D743" t="s">
        <v>407</v>
      </c>
      <c r="E743" t="s">
        <v>405</v>
      </c>
      <c r="F743" s="122">
        <v>1</v>
      </c>
      <c r="G743" s="122">
        <v>86</v>
      </c>
      <c r="H743" s="122">
        <v>123</v>
      </c>
      <c r="I743" s="122">
        <v>5222</v>
      </c>
      <c r="J743" s="191">
        <v>4747</v>
      </c>
      <c r="K743" s="122">
        <v>78</v>
      </c>
      <c r="L743">
        <v>0</v>
      </c>
      <c r="M743">
        <v>0</v>
      </c>
      <c r="N743" s="122">
        <v>1137</v>
      </c>
      <c r="O743">
        <v>421</v>
      </c>
      <c r="P743">
        <v>473</v>
      </c>
      <c r="Q743">
        <v>175</v>
      </c>
      <c r="R743" s="122">
        <v>3765</v>
      </c>
      <c r="S743" s="122">
        <v>3422</v>
      </c>
      <c r="T743">
        <v>0</v>
      </c>
      <c r="U743">
        <v>0</v>
      </c>
      <c r="V743" s="122">
        <v>8765</v>
      </c>
      <c r="W743" s="122">
        <f t="shared" si="22"/>
        <v>8765</v>
      </c>
      <c r="X743" s="122">
        <f t="shared" si="23"/>
        <v>10597</v>
      </c>
      <c r="Y743" s="122"/>
      <c r="AA743" t="s">
        <v>64</v>
      </c>
      <c r="AB743" t="s">
        <v>137</v>
      </c>
      <c r="AC743" t="s">
        <v>425</v>
      </c>
      <c r="AD743" t="s">
        <v>137</v>
      </c>
      <c r="AE743" t="s">
        <v>566</v>
      </c>
      <c r="AF743">
        <v>5</v>
      </c>
      <c r="AG743">
        <v>370</v>
      </c>
      <c r="AH743" s="122">
        <v>2639</v>
      </c>
      <c r="AI743" s="122">
        <v>151012</v>
      </c>
      <c r="AJ743" s="122">
        <v>55930</v>
      </c>
      <c r="AK743">
        <v>100</v>
      </c>
      <c r="AL743" s="122">
        <v>16820</v>
      </c>
      <c r="AM743" s="122">
        <v>15291</v>
      </c>
      <c r="AN743" s="122">
        <v>8202</v>
      </c>
      <c r="AO743" s="122">
        <v>3038</v>
      </c>
      <c r="AP743">
        <v>0</v>
      </c>
      <c r="AQ743">
        <v>0</v>
      </c>
      <c r="AR743" s="122">
        <v>25510</v>
      </c>
      <c r="AS743" s="122">
        <v>9448</v>
      </c>
      <c r="AT743">
        <v>0</v>
      </c>
      <c r="AU743">
        <v>0</v>
      </c>
      <c r="AV743" s="122">
        <v>83707</v>
      </c>
    </row>
    <row r="744" spans="2:48" ht="13">
      <c r="B744" t="s">
        <v>446</v>
      </c>
      <c r="C744" t="s">
        <v>52</v>
      </c>
      <c r="D744" t="s">
        <v>407</v>
      </c>
      <c r="E744" t="s">
        <v>407</v>
      </c>
      <c r="F744" s="122">
        <v>159</v>
      </c>
      <c r="G744" s="122">
        <v>12068</v>
      </c>
      <c r="H744" s="122">
        <v>17983</v>
      </c>
      <c r="I744" s="122">
        <v>486759</v>
      </c>
      <c r="J744" s="191">
        <v>442508</v>
      </c>
      <c r="K744" s="122">
        <v>85</v>
      </c>
      <c r="L744" s="122">
        <v>4610</v>
      </c>
      <c r="M744" s="122">
        <v>4518</v>
      </c>
      <c r="N744" s="122">
        <v>228435</v>
      </c>
      <c r="O744" s="122">
        <v>84606</v>
      </c>
      <c r="P744" s="122">
        <v>96779</v>
      </c>
      <c r="Q744" s="122">
        <v>35844</v>
      </c>
      <c r="R744" s="122">
        <v>548312</v>
      </c>
      <c r="S744" s="122">
        <v>498465</v>
      </c>
      <c r="T744" s="122">
        <v>4232</v>
      </c>
      <c r="U744" s="122">
        <v>1568</v>
      </c>
      <c r="V744" s="122">
        <v>1067509</v>
      </c>
      <c r="W744" s="122">
        <f t="shared" si="22"/>
        <v>1067509</v>
      </c>
      <c r="X744" s="122">
        <f t="shared" si="23"/>
        <v>1369127</v>
      </c>
      <c r="Y744" s="122"/>
      <c r="AA744" t="s">
        <v>64</v>
      </c>
      <c r="AB744" t="s">
        <v>137</v>
      </c>
      <c r="AC744" t="s">
        <v>137</v>
      </c>
      <c r="AD744" t="s">
        <v>137</v>
      </c>
      <c r="AE744" t="s">
        <v>137</v>
      </c>
      <c r="AF744">
        <v>82</v>
      </c>
      <c r="AG744" s="122">
        <v>3916</v>
      </c>
      <c r="AH744" s="122">
        <v>53839</v>
      </c>
      <c r="AI744" s="122">
        <v>1652124</v>
      </c>
      <c r="AJ744" s="122">
        <v>611898</v>
      </c>
      <c r="AK744">
        <v>100</v>
      </c>
      <c r="AL744" s="122">
        <v>444487</v>
      </c>
      <c r="AM744" s="122">
        <v>164625</v>
      </c>
      <c r="AN744" s="122">
        <v>83148</v>
      </c>
      <c r="AO744" s="122">
        <v>30796</v>
      </c>
      <c r="AP744" s="122">
        <v>2712</v>
      </c>
      <c r="AQ744" s="122">
        <v>1005</v>
      </c>
      <c r="AR744" s="122">
        <v>444376</v>
      </c>
      <c r="AS744" s="122">
        <v>164584</v>
      </c>
      <c r="AT744" s="122">
        <v>24060</v>
      </c>
      <c r="AU744" s="122">
        <v>8911</v>
      </c>
      <c r="AV744" s="122">
        <v>981818</v>
      </c>
    </row>
    <row r="745" spans="2:48" ht="13">
      <c r="B745" t="s">
        <v>446</v>
      </c>
      <c r="C745" t="s">
        <v>54</v>
      </c>
      <c r="D745" t="s">
        <v>137</v>
      </c>
      <c r="E745" t="s">
        <v>137</v>
      </c>
      <c r="F745" s="122">
        <v>11</v>
      </c>
      <c r="G745" s="122">
        <v>753</v>
      </c>
      <c r="H745" s="122">
        <v>1559</v>
      </c>
      <c r="I745" s="122">
        <v>22510</v>
      </c>
      <c r="J745" s="191">
        <v>8337</v>
      </c>
      <c r="K745" s="122">
        <v>100</v>
      </c>
      <c r="L745" s="122">
        <v>1382</v>
      </c>
      <c r="M745">
        <v>512</v>
      </c>
      <c r="N745" s="122">
        <v>13320</v>
      </c>
      <c r="O745" s="122">
        <v>4933</v>
      </c>
      <c r="P745">
        <v>351</v>
      </c>
      <c r="Q745">
        <v>130</v>
      </c>
      <c r="R745" s="122">
        <v>69502</v>
      </c>
      <c r="S745" s="122">
        <v>25741</v>
      </c>
      <c r="T745">
        <v>0</v>
      </c>
      <c r="U745">
        <v>0</v>
      </c>
      <c r="V745" s="122">
        <v>39653</v>
      </c>
      <c r="W745" s="122">
        <f t="shared" si="22"/>
        <v>39653</v>
      </c>
      <c r="X745" s="122">
        <f t="shared" si="23"/>
        <v>107065</v>
      </c>
      <c r="Y745" s="122"/>
      <c r="AA745" t="s">
        <v>64</v>
      </c>
      <c r="AB745" t="s">
        <v>137</v>
      </c>
      <c r="AC745" t="s">
        <v>137</v>
      </c>
      <c r="AD745" t="s">
        <v>137</v>
      </c>
      <c r="AE745" t="s">
        <v>566</v>
      </c>
      <c r="AF745" s="122">
        <v>1837</v>
      </c>
      <c r="AG745" s="122">
        <v>88056</v>
      </c>
      <c r="AH745" s="122">
        <v>1087319</v>
      </c>
      <c r="AI745" s="122">
        <v>34508795</v>
      </c>
      <c r="AJ745" s="122">
        <v>12781035</v>
      </c>
      <c r="AK745">
        <v>100</v>
      </c>
      <c r="AL745" s="122">
        <v>5810246</v>
      </c>
      <c r="AM745" s="122">
        <v>2151943</v>
      </c>
      <c r="AN745" s="122">
        <v>1829583</v>
      </c>
      <c r="AO745" s="122">
        <v>677623</v>
      </c>
      <c r="AP745" s="122">
        <v>11834</v>
      </c>
      <c r="AQ745" s="122">
        <v>4383</v>
      </c>
      <c r="AR745" s="122">
        <v>9604636</v>
      </c>
      <c r="AS745" s="122">
        <v>3557273</v>
      </c>
      <c r="AT745">
        <v>0</v>
      </c>
      <c r="AU745">
        <v>0</v>
      </c>
      <c r="AV745" s="122">
        <v>19172257</v>
      </c>
    </row>
    <row r="746" spans="2:48" ht="13">
      <c r="B746" t="s">
        <v>446</v>
      </c>
      <c r="C746" t="s">
        <v>54</v>
      </c>
      <c r="D746" t="s">
        <v>407</v>
      </c>
      <c r="E746" t="s">
        <v>405</v>
      </c>
      <c r="F746">
        <v>1</v>
      </c>
      <c r="G746">
        <v>86</v>
      </c>
      <c r="H746" s="122">
        <v>130</v>
      </c>
      <c r="I746" s="122">
        <v>4877</v>
      </c>
      <c r="J746" s="191">
        <v>4433</v>
      </c>
      <c r="K746" s="122">
        <v>91</v>
      </c>
      <c r="L746">
        <v>0</v>
      </c>
      <c r="M746">
        <v>0</v>
      </c>
      <c r="N746" s="122">
        <v>1163</v>
      </c>
      <c r="O746">
        <v>431</v>
      </c>
      <c r="P746">
        <v>473</v>
      </c>
      <c r="Q746">
        <v>175</v>
      </c>
      <c r="R746" s="122">
        <v>4703</v>
      </c>
      <c r="S746" s="122">
        <v>4276</v>
      </c>
      <c r="T746">
        <v>0</v>
      </c>
      <c r="U746">
        <v>0</v>
      </c>
      <c r="V746" s="122">
        <v>9315</v>
      </c>
      <c r="W746" s="122">
        <f t="shared" si="22"/>
        <v>9315</v>
      </c>
      <c r="X746" s="122">
        <f t="shared" si="23"/>
        <v>11216</v>
      </c>
      <c r="Y746" s="122"/>
      <c r="AA746" t="s">
        <v>64</v>
      </c>
      <c r="AB746" t="s">
        <v>137</v>
      </c>
      <c r="AC746" t="s">
        <v>580</v>
      </c>
      <c r="AD746" t="s">
        <v>137</v>
      </c>
      <c r="AE746" t="s">
        <v>566</v>
      </c>
      <c r="AF746">
        <v>1</v>
      </c>
      <c r="AG746">
        <v>122</v>
      </c>
      <c r="AH746">
        <v>482</v>
      </c>
      <c r="AI746" s="122">
        <v>43262</v>
      </c>
      <c r="AJ746" s="122">
        <v>16023</v>
      </c>
      <c r="AK746">
        <v>100</v>
      </c>
      <c r="AL746" s="122">
        <v>6528</v>
      </c>
      <c r="AM746" s="122">
        <v>5934</v>
      </c>
      <c r="AN746" s="122">
        <v>2962</v>
      </c>
      <c r="AO746" s="122">
        <v>1097</v>
      </c>
      <c r="AP746">
        <v>0</v>
      </c>
      <c r="AQ746">
        <v>0</v>
      </c>
      <c r="AR746" s="122">
        <v>5792</v>
      </c>
      <c r="AS746" s="122">
        <v>2145</v>
      </c>
      <c r="AT746">
        <v>0</v>
      </c>
      <c r="AU746">
        <v>0</v>
      </c>
      <c r="AV746" s="122">
        <v>25199</v>
      </c>
    </row>
    <row r="747" spans="2:48" ht="13">
      <c r="B747" t="s">
        <v>446</v>
      </c>
      <c r="C747" t="s">
        <v>54</v>
      </c>
      <c r="D747" t="s">
        <v>407</v>
      </c>
      <c r="E747" t="s">
        <v>407</v>
      </c>
      <c r="F747">
        <v>343</v>
      </c>
      <c r="G747" s="122">
        <v>25790</v>
      </c>
      <c r="H747" s="122">
        <v>47329</v>
      </c>
      <c r="I747" s="122">
        <v>1507654</v>
      </c>
      <c r="J747" s="191">
        <v>1370595</v>
      </c>
      <c r="K747" s="122">
        <v>83</v>
      </c>
      <c r="L747" s="122">
        <v>43130</v>
      </c>
      <c r="M747" s="122">
        <v>30600</v>
      </c>
      <c r="N747" s="122">
        <v>505974</v>
      </c>
      <c r="O747" s="122">
        <v>187398</v>
      </c>
      <c r="P747" s="122">
        <v>192470</v>
      </c>
      <c r="Q747" s="122">
        <v>71285</v>
      </c>
      <c r="R747" s="122">
        <v>1222337</v>
      </c>
      <c r="S747" s="122">
        <v>1111215</v>
      </c>
      <c r="T747" s="122">
        <v>86693</v>
      </c>
      <c r="U747" s="122">
        <v>32109</v>
      </c>
      <c r="V747" s="122">
        <v>2803202</v>
      </c>
      <c r="W747" s="122">
        <f t="shared" si="22"/>
        <v>2803202</v>
      </c>
      <c r="X747" s="122">
        <f t="shared" si="23"/>
        <v>3558258</v>
      </c>
      <c r="Y747" s="122"/>
      <c r="AA747" t="s">
        <v>64</v>
      </c>
      <c r="AB747" t="s">
        <v>137</v>
      </c>
      <c r="AC747" t="s">
        <v>580</v>
      </c>
      <c r="AD747" t="s">
        <v>406</v>
      </c>
      <c r="AE747" t="s">
        <v>137</v>
      </c>
      <c r="AF747">
        <v>1</v>
      </c>
      <c r="AG747">
        <v>71</v>
      </c>
      <c r="AH747">
        <v>487</v>
      </c>
      <c r="AI747" s="122">
        <v>23721</v>
      </c>
      <c r="AJ747" s="122">
        <v>8785</v>
      </c>
      <c r="AK747">
        <v>100</v>
      </c>
      <c r="AL747" s="122">
        <v>4027</v>
      </c>
      <c r="AM747" s="122">
        <v>3661</v>
      </c>
      <c r="AN747" s="122">
        <v>1740</v>
      </c>
      <c r="AO747">
        <v>644</v>
      </c>
      <c r="AP747">
        <v>0</v>
      </c>
      <c r="AQ747">
        <v>0</v>
      </c>
      <c r="AR747" s="122">
        <v>3709</v>
      </c>
      <c r="AS747" s="122">
        <v>3372</v>
      </c>
      <c r="AT747" s="122">
        <v>1604</v>
      </c>
      <c r="AU747">
        <v>594</v>
      </c>
      <c r="AV747" s="122">
        <v>17057</v>
      </c>
    </row>
    <row r="748" spans="2:48" ht="13">
      <c r="B748" t="s">
        <v>446</v>
      </c>
      <c r="C748" t="s">
        <v>56</v>
      </c>
      <c r="F748" s="122">
        <v>11</v>
      </c>
      <c r="G748" s="122">
        <v>455</v>
      </c>
      <c r="H748" s="122">
        <v>2147</v>
      </c>
      <c r="J748" s="191">
        <v>0</v>
      </c>
      <c r="K748" s="122"/>
      <c r="M748">
        <v>0</v>
      </c>
      <c r="N748" s="122">
        <v>6655</v>
      </c>
      <c r="O748" s="122">
        <v>2465</v>
      </c>
      <c r="P748" s="122">
        <v>1236</v>
      </c>
      <c r="Q748">
        <v>458</v>
      </c>
      <c r="S748">
        <v>0</v>
      </c>
      <c r="T748" s="122">
        <v>13649</v>
      </c>
      <c r="U748" s="122">
        <v>5055</v>
      </c>
      <c r="V748" s="122">
        <v>7978</v>
      </c>
      <c r="W748" s="122">
        <f t="shared" si="22"/>
        <v>7978</v>
      </c>
      <c r="X748" s="122">
        <f t="shared" si="23"/>
        <v>21540</v>
      </c>
      <c r="Y748" s="122"/>
      <c r="AA748" t="s">
        <v>64</v>
      </c>
      <c r="AB748" t="s">
        <v>137</v>
      </c>
      <c r="AC748" t="s">
        <v>427</v>
      </c>
      <c r="AD748" t="s">
        <v>137</v>
      </c>
      <c r="AE748" t="s">
        <v>137</v>
      </c>
      <c r="AF748">
        <v>4</v>
      </c>
      <c r="AG748">
        <v>215</v>
      </c>
      <c r="AH748" s="122">
        <v>2405</v>
      </c>
      <c r="AI748" s="122">
        <v>97141</v>
      </c>
      <c r="AJ748" s="122">
        <v>35978</v>
      </c>
      <c r="AK748">
        <v>100</v>
      </c>
      <c r="AL748" s="122">
        <v>10813</v>
      </c>
      <c r="AM748" s="122">
        <v>9830</v>
      </c>
      <c r="AN748" s="122">
        <v>3946</v>
      </c>
      <c r="AO748" s="122">
        <v>1461</v>
      </c>
      <c r="AP748">
        <v>163</v>
      </c>
      <c r="AQ748">
        <v>61</v>
      </c>
      <c r="AR748" s="122">
        <v>18412</v>
      </c>
      <c r="AS748" s="122">
        <v>6819</v>
      </c>
      <c r="AT748" s="122">
        <v>4199</v>
      </c>
      <c r="AU748" s="122">
        <v>1555</v>
      </c>
      <c r="AV748" s="122">
        <v>55704</v>
      </c>
    </row>
    <row r="749" spans="2:48" ht="13">
      <c r="B749" t="s">
        <v>446</v>
      </c>
      <c r="C749" t="s">
        <v>56</v>
      </c>
      <c r="D749" t="s">
        <v>137</v>
      </c>
      <c r="E749" t="s">
        <v>137</v>
      </c>
      <c r="F749" s="122">
        <v>264</v>
      </c>
      <c r="G749" s="122">
        <v>18447</v>
      </c>
      <c r="H749" s="122">
        <v>51601</v>
      </c>
      <c r="I749" s="122">
        <v>1413018</v>
      </c>
      <c r="J749" s="191">
        <v>523340</v>
      </c>
      <c r="K749" s="122">
        <v>100</v>
      </c>
      <c r="L749" s="122">
        <v>163313</v>
      </c>
      <c r="M749" s="122">
        <v>62630</v>
      </c>
      <c r="N749" s="122">
        <v>336973</v>
      </c>
      <c r="O749" s="122">
        <v>124805</v>
      </c>
      <c r="P749" s="122">
        <v>12441</v>
      </c>
      <c r="Q749" s="122">
        <v>4608</v>
      </c>
      <c r="R749" s="122">
        <v>1676949</v>
      </c>
      <c r="S749" s="122">
        <v>621092</v>
      </c>
      <c r="T749" s="122">
        <v>2053</v>
      </c>
      <c r="U749">
        <v>760</v>
      </c>
      <c r="V749" s="122">
        <v>1337235</v>
      </c>
      <c r="W749" s="122">
        <f t="shared" si="22"/>
        <v>1337235</v>
      </c>
      <c r="X749" s="122">
        <f t="shared" si="23"/>
        <v>3604747</v>
      </c>
      <c r="Y749" s="122"/>
      <c r="AA749" t="s">
        <v>64</v>
      </c>
      <c r="AB749" t="s">
        <v>137</v>
      </c>
      <c r="AC749" t="s">
        <v>427</v>
      </c>
      <c r="AD749" t="s">
        <v>137</v>
      </c>
      <c r="AE749" t="s">
        <v>566</v>
      </c>
      <c r="AF749">
        <v>92</v>
      </c>
      <c r="AG749" s="122">
        <v>4750</v>
      </c>
      <c r="AH749" s="122">
        <v>55392</v>
      </c>
      <c r="AI749" s="122">
        <v>1899074</v>
      </c>
      <c r="AJ749" s="122">
        <v>703361</v>
      </c>
      <c r="AK749">
        <v>100</v>
      </c>
      <c r="AL749" s="122">
        <v>310261</v>
      </c>
      <c r="AM749" s="122">
        <v>282056</v>
      </c>
      <c r="AN749" s="122">
        <v>98988</v>
      </c>
      <c r="AO749" s="122">
        <v>36662</v>
      </c>
      <c r="AP749">
        <v>824</v>
      </c>
      <c r="AQ749">
        <v>305</v>
      </c>
      <c r="AR749" s="122">
        <v>582646</v>
      </c>
      <c r="AS749" s="122">
        <v>215795</v>
      </c>
      <c r="AT749">
        <v>0</v>
      </c>
      <c r="AU749">
        <v>0</v>
      </c>
      <c r="AV749" s="122">
        <v>1238179</v>
      </c>
    </row>
    <row r="750" spans="2:48" ht="13">
      <c r="B750" t="s">
        <v>446</v>
      </c>
      <c r="C750" t="s">
        <v>56</v>
      </c>
      <c r="D750" t="s">
        <v>406</v>
      </c>
      <c r="E750" t="s">
        <v>406</v>
      </c>
      <c r="F750" s="122">
        <v>1</v>
      </c>
      <c r="G750" s="122">
        <v>123</v>
      </c>
      <c r="H750" s="122">
        <v>171</v>
      </c>
      <c r="I750" s="122">
        <v>9387</v>
      </c>
      <c r="J750" s="191">
        <v>8533</v>
      </c>
      <c r="K750" s="122">
        <v>95</v>
      </c>
      <c r="L750" s="122">
        <v>3595</v>
      </c>
      <c r="M750" s="122">
        <v>2996</v>
      </c>
      <c r="N750" s="122">
        <v>2602</v>
      </c>
      <c r="O750">
        <v>964</v>
      </c>
      <c r="P750">
        <v>621</v>
      </c>
      <c r="Q750">
        <v>230</v>
      </c>
      <c r="R750" s="122">
        <v>4826</v>
      </c>
      <c r="S750" s="122">
        <v>4387</v>
      </c>
      <c r="T750">
        <v>0</v>
      </c>
      <c r="U750">
        <v>0</v>
      </c>
      <c r="V750" s="122">
        <v>17110</v>
      </c>
      <c r="W750" s="122">
        <f t="shared" si="22"/>
        <v>17110</v>
      </c>
      <c r="X750" s="122">
        <f t="shared" si="23"/>
        <v>21031</v>
      </c>
      <c r="Y750" s="122"/>
      <c r="AA750" t="s">
        <v>64</v>
      </c>
      <c r="AB750" t="s">
        <v>137</v>
      </c>
      <c r="AC750" t="s">
        <v>407</v>
      </c>
      <c r="AD750" t="s">
        <v>137</v>
      </c>
      <c r="AE750" t="s">
        <v>137</v>
      </c>
      <c r="AF750">
        <v>1</v>
      </c>
      <c r="AG750">
        <v>121</v>
      </c>
      <c r="AH750">
        <v>648</v>
      </c>
      <c r="AI750" s="122">
        <v>57350</v>
      </c>
      <c r="AJ750" s="122">
        <v>21241</v>
      </c>
      <c r="AK750">
        <v>100</v>
      </c>
      <c r="AL750" s="122">
        <v>6490</v>
      </c>
      <c r="AM750" s="122">
        <v>5900</v>
      </c>
      <c r="AN750" s="122">
        <v>2950</v>
      </c>
      <c r="AO750" s="122">
        <v>1093</v>
      </c>
      <c r="AP750">
        <v>0</v>
      </c>
      <c r="AQ750">
        <v>0</v>
      </c>
      <c r="AR750" s="122">
        <v>11654</v>
      </c>
      <c r="AS750" s="122">
        <v>4316</v>
      </c>
      <c r="AT750">
        <v>0</v>
      </c>
      <c r="AU750">
        <v>0</v>
      </c>
      <c r="AV750" s="122">
        <v>32550</v>
      </c>
    </row>
    <row r="751" spans="2:48" ht="13">
      <c r="B751" t="s">
        <v>446</v>
      </c>
      <c r="C751" t="s">
        <v>56</v>
      </c>
      <c r="D751" t="s">
        <v>407</v>
      </c>
      <c r="E751" t="s">
        <v>405</v>
      </c>
      <c r="F751" s="122">
        <v>1</v>
      </c>
      <c r="G751" s="122">
        <v>40</v>
      </c>
      <c r="H751" s="122">
        <v>153</v>
      </c>
      <c r="I751">
        <v>983</v>
      </c>
      <c r="J751" s="191">
        <v>894</v>
      </c>
      <c r="K751" s="122">
        <v>80</v>
      </c>
      <c r="L751">
        <v>121</v>
      </c>
      <c r="M751">
        <v>110</v>
      </c>
      <c r="N751">
        <v>489</v>
      </c>
      <c r="O751">
        <v>181</v>
      </c>
      <c r="P751">
        <v>473</v>
      </c>
      <c r="Q751">
        <v>175</v>
      </c>
      <c r="R751" s="122">
        <v>4088</v>
      </c>
      <c r="S751" s="122">
        <v>3716</v>
      </c>
      <c r="T751">
        <v>0</v>
      </c>
      <c r="U751">
        <v>0</v>
      </c>
      <c r="V751" s="122">
        <v>5076</v>
      </c>
      <c r="W751" s="122">
        <f t="shared" si="22"/>
        <v>5076</v>
      </c>
      <c r="X751" s="122">
        <f t="shared" si="23"/>
        <v>6154</v>
      </c>
      <c r="Y751" s="122"/>
      <c r="AA751" t="s">
        <v>64</v>
      </c>
      <c r="AB751" t="s">
        <v>137</v>
      </c>
      <c r="AC751" t="s">
        <v>407</v>
      </c>
      <c r="AD751" t="s">
        <v>137</v>
      </c>
      <c r="AE751" t="s">
        <v>566</v>
      </c>
      <c r="AF751">
        <v>24</v>
      </c>
      <c r="AG751" s="122">
        <v>1447</v>
      </c>
      <c r="AH751" s="122">
        <v>14012</v>
      </c>
      <c r="AI751" s="122">
        <v>563871</v>
      </c>
      <c r="AJ751" s="122">
        <v>208841</v>
      </c>
      <c r="AK751">
        <v>100</v>
      </c>
      <c r="AL751" s="122">
        <v>110261</v>
      </c>
      <c r="AM751" s="122">
        <v>100238</v>
      </c>
      <c r="AN751" s="122">
        <v>30950</v>
      </c>
      <c r="AO751" s="122">
        <v>11463</v>
      </c>
      <c r="AP751">
        <v>351</v>
      </c>
      <c r="AQ751">
        <v>130</v>
      </c>
      <c r="AR751" s="122">
        <v>144696</v>
      </c>
      <c r="AS751" s="122">
        <v>53591</v>
      </c>
      <c r="AT751">
        <v>0</v>
      </c>
      <c r="AU751">
        <v>0</v>
      </c>
      <c r="AV751" s="122">
        <v>374263</v>
      </c>
    </row>
    <row r="752" spans="2:48" ht="13">
      <c r="B752" t="s">
        <v>446</v>
      </c>
      <c r="C752" t="s">
        <v>56</v>
      </c>
      <c r="D752" t="s">
        <v>407</v>
      </c>
      <c r="E752" t="s">
        <v>137</v>
      </c>
      <c r="F752" s="122">
        <v>5</v>
      </c>
      <c r="G752" s="122">
        <v>183</v>
      </c>
      <c r="H752" s="122">
        <v>1051</v>
      </c>
      <c r="I752" s="122">
        <v>14933</v>
      </c>
      <c r="J752" s="191">
        <v>13575</v>
      </c>
      <c r="K752" s="122">
        <v>73</v>
      </c>
      <c r="L752">
        <v>0</v>
      </c>
      <c r="M752">
        <v>0</v>
      </c>
      <c r="N752" s="122">
        <v>4464</v>
      </c>
      <c r="O752" s="122">
        <v>1653</v>
      </c>
      <c r="P752" s="122">
        <v>2363</v>
      </c>
      <c r="Q752">
        <v>875</v>
      </c>
      <c r="R752" s="122">
        <v>16731</v>
      </c>
      <c r="S752" s="122">
        <v>6197</v>
      </c>
      <c r="T752">
        <v>0</v>
      </c>
      <c r="U752">
        <v>0</v>
      </c>
      <c r="V752" s="122">
        <v>22300</v>
      </c>
      <c r="W752" s="122">
        <f t="shared" si="22"/>
        <v>22300</v>
      </c>
      <c r="X752" s="122">
        <f t="shared" si="23"/>
        <v>38491</v>
      </c>
      <c r="Y752" s="122"/>
      <c r="AA752" t="s">
        <v>64</v>
      </c>
      <c r="AB752" t="s">
        <v>137</v>
      </c>
      <c r="AC752" t="s">
        <v>579</v>
      </c>
      <c r="AD752" t="s">
        <v>137</v>
      </c>
      <c r="AE752" t="s">
        <v>137</v>
      </c>
      <c r="AF752">
        <v>14</v>
      </c>
      <c r="AG752">
        <v>759</v>
      </c>
      <c r="AH752" s="122">
        <v>8498</v>
      </c>
      <c r="AI752" s="122">
        <v>283943</v>
      </c>
      <c r="AJ752" s="122">
        <v>105164</v>
      </c>
      <c r="AK752">
        <v>100</v>
      </c>
      <c r="AL752" s="122">
        <v>64516</v>
      </c>
      <c r="AM752" s="122">
        <v>53764</v>
      </c>
      <c r="AN752" s="122">
        <v>16299</v>
      </c>
      <c r="AO752" s="122">
        <v>6036</v>
      </c>
      <c r="AP752">
        <v>351</v>
      </c>
      <c r="AQ752">
        <v>130</v>
      </c>
      <c r="AR752" s="122">
        <v>104385</v>
      </c>
      <c r="AS752" s="122">
        <v>38661</v>
      </c>
      <c r="AT752" s="122">
        <v>2256</v>
      </c>
      <c r="AU752">
        <v>836</v>
      </c>
      <c r="AV752" s="122">
        <v>204591</v>
      </c>
    </row>
    <row r="753" spans="2:48" ht="13">
      <c r="B753" t="s">
        <v>446</v>
      </c>
      <c r="C753" t="s">
        <v>56</v>
      </c>
      <c r="D753" t="s">
        <v>407</v>
      </c>
      <c r="E753" t="s">
        <v>407</v>
      </c>
      <c r="F753">
        <v>597</v>
      </c>
      <c r="G753" s="122">
        <v>42097</v>
      </c>
      <c r="H753" s="122">
        <v>108386</v>
      </c>
      <c r="I753" s="122">
        <v>3553528</v>
      </c>
      <c r="J753" s="191">
        <v>3230480</v>
      </c>
      <c r="K753" s="122">
        <v>79</v>
      </c>
      <c r="L753" s="122">
        <v>196510</v>
      </c>
      <c r="M753" s="122">
        <v>159140</v>
      </c>
      <c r="N753" s="122">
        <v>879709</v>
      </c>
      <c r="O753" s="122">
        <v>325818</v>
      </c>
      <c r="P753" s="122">
        <v>294526</v>
      </c>
      <c r="Q753" s="122">
        <v>109084</v>
      </c>
      <c r="R753" s="122">
        <v>2407900</v>
      </c>
      <c r="S753" s="122">
        <v>2189000</v>
      </c>
      <c r="T753" s="122">
        <v>288443</v>
      </c>
      <c r="U753" s="122">
        <v>106831</v>
      </c>
      <c r="V753" s="122">
        <v>6120353</v>
      </c>
      <c r="W753" s="122">
        <f t="shared" si="22"/>
        <v>6120353</v>
      </c>
      <c r="X753" s="122">
        <f t="shared" si="23"/>
        <v>7620616</v>
      </c>
      <c r="Y753" s="122"/>
      <c r="AA753" t="s">
        <v>64</v>
      </c>
      <c r="AB753" t="s">
        <v>137</v>
      </c>
      <c r="AC753" t="s">
        <v>579</v>
      </c>
      <c r="AD753" t="s">
        <v>137</v>
      </c>
      <c r="AE753" t="s">
        <v>566</v>
      </c>
      <c r="AF753">
        <v>306</v>
      </c>
      <c r="AG753" s="122">
        <v>16418</v>
      </c>
      <c r="AH753" s="122">
        <v>184244</v>
      </c>
      <c r="AI753" s="122">
        <v>6360774</v>
      </c>
      <c r="AJ753" s="122">
        <v>2355842</v>
      </c>
      <c r="AK753">
        <v>100</v>
      </c>
      <c r="AL753" s="122">
        <v>1341990</v>
      </c>
      <c r="AM753" s="122">
        <v>1118325</v>
      </c>
      <c r="AN753" s="122">
        <v>341133</v>
      </c>
      <c r="AO753" s="122">
        <v>126345</v>
      </c>
      <c r="AP753" s="122">
        <v>3978</v>
      </c>
      <c r="AQ753" s="122">
        <v>1473</v>
      </c>
      <c r="AR753" s="122">
        <v>1779322</v>
      </c>
      <c r="AS753" s="122">
        <v>659008</v>
      </c>
      <c r="AT753">
        <v>0</v>
      </c>
      <c r="AU753">
        <v>0</v>
      </c>
      <c r="AV753" s="122">
        <v>4260994</v>
      </c>
    </row>
    <row r="754" spans="2:48" ht="13">
      <c r="B754" t="s">
        <v>446</v>
      </c>
      <c r="C754" t="s">
        <v>58</v>
      </c>
      <c r="F754" s="122">
        <v>8</v>
      </c>
      <c r="G754" s="122">
        <v>310</v>
      </c>
      <c r="H754" s="122">
        <v>1987</v>
      </c>
      <c r="J754" s="191">
        <v>0</v>
      </c>
      <c r="K754" s="122"/>
      <c r="M754">
        <v>0</v>
      </c>
      <c r="N754" s="122">
        <v>4708</v>
      </c>
      <c r="O754" s="122">
        <v>1744</v>
      </c>
      <c r="P754">
        <v>622</v>
      </c>
      <c r="Q754">
        <v>230</v>
      </c>
      <c r="S754">
        <v>0</v>
      </c>
      <c r="T754" s="122">
        <v>6839</v>
      </c>
      <c r="U754" s="122">
        <v>2533</v>
      </c>
      <c r="V754" s="122">
        <v>4507</v>
      </c>
      <c r="W754" s="122">
        <f t="shared" si="22"/>
        <v>4507</v>
      </c>
      <c r="X754" s="122">
        <f t="shared" si="23"/>
        <v>12169</v>
      </c>
      <c r="Y754" s="122"/>
      <c r="AA754" t="s">
        <v>64</v>
      </c>
      <c r="AB754" t="s">
        <v>137</v>
      </c>
      <c r="AC754" t="s">
        <v>579</v>
      </c>
      <c r="AD754" t="s">
        <v>579</v>
      </c>
      <c r="AE754" t="s">
        <v>137</v>
      </c>
      <c r="AF754">
        <v>3</v>
      </c>
      <c r="AG754">
        <v>140</v>
      </c>
      <c r="AH754" s="122">
        <v>1948</v>
      </c>
      <c r="AI754" s="122">
        <v>53545</v>
      </c>
      <c r="AJ754" s="122">
        <v>19831</v>
      </c>
      <c r="AK754">
        <v>100</v>
      </c>
      <c r="AL754" s="122">
        <v>9743</v>
      </c>
      <c r="AM754" s="122">
        <v>8120</v>
      </c>
      <c r="AN754" s="122">
        <v>2307</v>
      </c>
      <c r="AO754">
        <v>855</v>
      </c>
      <c r="AP754">
        <v>0</v>
      </c>
      <c r="AQ754">
        <v>0</v>
      </c>
      <c r="AR754" s="122">
        <v>20091</v>
      </c>
      <c r="AS754" s="122">
        <v>16743</v>
      </c>
      <c r="AT754" s="122">
        <v>6426</v>
      </c>
      <c r="AU754" s="122">
        <v>2380</v>
      </c>
      <c r="AV754" s="122">
        <v>47928</v>
      </c>
    </row>
    <row r="755" spans="2:48" ht="13">
      <c r="B755" t="s">
        <v>446</v>
      </c>
      <c r="C755" t="s">
        <v>58</v>
      </c>
      <c r="D755" t="s">
        <v>137</v>
      </c>
      <c r="E755" t="s">
        <v>137</v>
      </c>
      <c r="F755">
        <v>366</v>
      </c>
      <c r="G755" s="122">
        <v>24822</v>
      </c>
      <c r="H755" s="122">
        <v>95576</v>
      </c>
      <c r="I755" s="122">
        <v>3329729</v>
      </c>
      <c r="J755" s="191">
        <v>1233233</v>
      </c>
      <c r="K755" s="122">
        <v>100</v>
      </c>
      <c r="L755" s="122">
        <v>356355</v>
      </c>
      <c r="M755" s="122">
        <v>145858</v>
      </c>
      <c r="N755" s="122">
        <v>474655</v>
      </c>
      <c r="O755" s="122">
        <v>175798</v>
      </c>
      <c r="P755" s="122">
        <v>6629</v>
      </c>
      <c r="Q755" s="122">
        <v>2455</v>
      </c>
      <c r="R755" s="122">
        <v>2305425</v>
      </c>
      <c r="S755" s="122">
        <v>853861</v>
      </c>
      <c r="T755">
        <v>0</v>
      </c>
      <c r="U755">
        <v>0</v>
      </c>
      <c r="V755" s="122">
        <v>2411206</v>
      </c>
      <c r="W755" s="122">
        <f t="shared" si="22"/>
        <v>2411205</v>
      </c>
      <c r="X755" s="122">
        <f t="shared" si="23"/>
        <v>6472793</v>
      </c>
      <c r="Y755" s="122"/>
      <c r="AA755" t="s">
        <v>64</v>
      </c>
      <c r="AB755" t="s">
        <v>137</v>
      </c>
      <c r="AC755" t="s">
        <v>579</v>
      </c>
      <c r="AD755" t="s">
        <v>579</v>
      </c>
      <c r="AE755" t="s">
        <v>566</v>
      </c>
      <c r="AF755">
        <v>1</v>
      </c>
      <c r="AG755">
        <v>60</v>
      </c>
      <c r="AH755">
        <v>834</v>
      </c>
      <c r="AI755" s="122">
        <v>33239</v>
      </c>
      <c r="AJ755" s="122">
        <v>12311</v>
      </c>
      <c r="AK755">
        <v>100</v>
      </c>
      <c r="AL755" s="122">
        <v>7797</v>
      </c>
      <c r="AM755" s="122">
        <v>6497</v>
      </c>
      <c r="AN755" s="122">
        <v>1099</v>
      </c>
      <c r="AO755">
        <v>407</v>
      </c>
      <c r="AP755">
        <v>0</v>
      </c>
      <c r="AQ755">
        <v>0</v>
      </c>
      <c r="AR755" s="122">
        <v>7981</v>
      </c>
      <c r="AS755" s="122">
        <v>6651</v>
      </c>
      <c r="AT755">
        <v>0</v>
      </c>
      <c r="AU755">
        <v>0</v>
      </c>
      <c r="AV755" s="122">
        <v>25866</v>
      </c>
    </row>
    <row r="756" spans="2:48" ht="13">
      <c r="B756" t="s">
        <v>446</v>
      </c>
      <c r="C756" t="s">
        <v>58</v>
      </c>
      <c r="D756" t="s">
        <v>406</v>
      </c>
      <c r="E756" t="s">
        <v>137</v>
      </c>
      <c r="F756">
        <v>1</v>
      </c>
      <c r="G756" s="122">
        <v>41</v>
      </c>
      <c r="H756" s="122">
        <v>255</v>
      </c>
      <c r="I756" s="122">
        <v>5683</v>
      </c>
      <c r="J756" s="191">
        <v>5166</v>
      </c>
      <c r="K756" s="122">
        <v>92</v>
      </c>
      <c r="L756">
        <v>0</v>
      </c>
      <c r="M756">
        <v>0</v>
      </c>
      <c r="N756">
        <v>504</v>
      </c>
      <c r="O756">
        <v>187</v>
      </c>
      <c r="P756">
        <v>621</v>
      </c>
      <c r="Q756">
        <v>230</v>
      </c>
      <c r="R756" s="122">
        <v>3747</v>
      </c>
      <c r="S756" s="122">
        <v>1388</v>
      </c>
      <c r="T756">
        <v>0</v>
      </c>
      <c r="U756">
        <v>0</v>
      </c>
      <c r="V756" s="122">
        <v>6971</v>
      </c>
      <c r="W756" s="122">
        <f t="shared" si="22"/>
        <v>6971</v>
      </c>
      <c r="X756" s="122">
        <f t="shared" si="23"/>
        <v>10555</v>
      </c>
      <c r="Y756" s="122"/>
      <c r="AA756" t="s">
        <v>64</v>
      </c>
      <c r="AB756" t="s">
        <v>137</v>
      </c>
      <c r="AC756" t="s">
        <v>428</v>
      </c>
      <c r="AD756" t="s">
        <v>137</v>
      </c>
      <c r="AE756" t="s">
        <v>137</v>
      </c>
      <c r="AF756">
        <v>4</v>
      </c>
      <c r="AG756">
        <v>244</v>
      </c>
      <c r="AH756" s="122">
        <v>2173</v>
      </c>
      <c r="AI756" s="122">
        <v>87297</v>
      </c>
      <c r="AJ756" s="122">
        <v>32332</v>
      </c>
      <c r="AK756">
        <v>100</v>
      </c>
      <c r="AL756" s="122">
        <v>16011</v>
      </c>
      <c r="AM756" s="122">
        <v>14556</v>
      </c>
      <c r="AN756" s="122">
        <v>5359</v>
      </c>
      <c r="AO756" s="122">
        <v>1985</v>
      </c>
      <c r="AP756">
        <v>0</v>
      </c>
      <c r="AQ756">
        <v>0</v>
      </c>
      <c r="AR756" s="122">
        <v>24685</v>
      </c>
      <c r="AS756" s="122">
        <v>9142</v>
      </c>
      <c r="AT756">
        <v>0</v>
      </c>
      <c r="AU756">
        <v>0</v>
      </c>
      <c r="AV756" s="122">
        <v>58015</v>
      </c>
    </row>
    <row r="757" spans="2:48" ht="13">
      <c r="B757" t="s">
        <v>446</v>
      </c>
      <c r="C757" t="s">
        <v>58</v>
      </c>
      <c r="D757" t="s">
        <v>406</v>
      </c>
      <c r="E757" t="s">
        <v>406</v>
      </c>
      <c r="F757">
        <v>4</v>
      </c>
      <c r="G757">
        <v>374</v>
      </c>
      <c r="H757" s="122">
        <v>1098</v>
      </c>
      <c r="I757" s="122">
        <v>57033</v>
      </c>
      <c r="J757" s="191">
        <v>51848</v>
      </c>
      <c r="K757" s="122">
        <v>66</v>
      </c>
      <c r="L757" s="122">
        <v>4481</v>
      </c>
      <c r="M757" s="122">
        <v>4073</v>
      </c>
      <c r="N757" s="122">
        <v>7352</v>
      </c>
      <c r="O757" s="122">
        <v>2723</v>
      </c>
      <c r="P757" s="122">
        <v>2484</v>
      </c>
      <c r="Q757">
        <v>920</v>
      </c>
      <c r="R757" s="122">
        <v>27059</v>
      </c>
      <c r="S757" s="122">
        <v>24599</v>
      </c>
      <c r="T757" s="122">
        <v>2927</v>
      </c>
      <c r="U757" s="122">
        <v>1084</v>
      </c>
      <c r="V757" s="122">
        <v>85248</v>
      </c>
      <c r="W757" s="122">
        <f t="shared" si="22"/>
        <v>85247</v>
      </c>
      <c r="X757" s="122">
        <f t="shared" si="23"/>
        <v>101336</v>
      </c>
      <c r="Y757" s="122"/>
      <c r="AA757" t="s">
        <v>64</v>
      </c>
      <c r="AB757" t="s">
        <v>137</v>
      </c>
      <c r="AC757" t="s">
        <v>428</v>
      </c>
      <c r="AD757" t="s">
        <v>137</v>
      </c>
      <c r="AE757" t="s">
        <v>566</v>
      </c>
      <c r="AF757">
        <v>6</v>
      </c>
      <c r="AG757">
        <v>357</v>
      </c>
      <c r="AH757" s="122">
        <v>3526</v>
      </c>
      <c r="AI757" s="122">
        <v>149073</v>
      </c>
      <c r="AJ757" s="122">
        <v>55212</v>
      </c>
      <c r="AK757">
        <v>100</v>
      </c>
      <c r="AL757" s="122">
        <v>22494</v>
      </c>
      <c r="AM757" s="122">
        <v>20449</v>
      </c>
      <c r="AN757" s="122">
        <v>8575</v>
      </c>
      <c r="AO757" s="122">
        <v>3176</v>
      </c>
      <c r="AP757">
        <v>0</v>
      </c>
      <c r="AQ757">
        <v>0</v>
      </c>
      <c r="AR757" s="122">
        <v>35476</v>
      </c>
      <c r="AS757" s="122">
        <v>13139</v>
      </c>
      <c r="AT757">
        <v>0</v>
      </c>
      <c r="AU757">
        <v>0</v>
      </c>
      <c r="AV757" s="122">
        <v>91976</v>
      </c>
    </row>
    <row r="758" spans="2:48" ht="13">
      <c r="B758" t="s">
        <v>446</v>
      </c>
      <c r="C758" t="s">
        <v>58</v>
      </c>
      <c r="D758" t="s">
        <v>407</v>
      </c>
      <c r="E758" t="s">
        <v>137</v>
      </c>
      <c r="F758" s="122">
        <v>4</v>
      </c>
      <c r="G758" s="122">
        <v>159</v>
      </c>
      <c r="H758" s="122">
        <v>940</v>
      </c>
      <c r="I758" s="122">
        <v>19871</v>
      </c>
      <c r="J758" s="191">
        <v>18065</v>
      </c>
      <c r="K758" s="122">
        <v>75</v>
      </c>
      <c r="L758" s="122">
        <v>1233</v>
      </c>
      <c r="M758">
        <v>457</v>
      </c>
      <c r="N758" s="122">
        <v>3483</v>
      </c>
      <c r="O758" s="122">
        <v>1290</v>
      </c>
      <c r="P758">
        <v>473</v>
      </c>
      <c r="Q758">
        <v>175</v>
      </c>
      <c r="R758" s="122">
        <v>12275</v>
      </c>
      <c r="S758" s="122">
        <v>4546</v>
      </c>
      <c r="T758">
        <v>0</v>
      </c>
      <c r="U758">
        <v>0</v>
      </c>
      <c r="V758" s="122">
        <v>24532</v>
      </c>
      <c r="W758" s="122">
        <f t="shared" si="22"/>
        <v>24533</v>
      </c>
      <c r="X758" s="122">
        <f t="shared" si="23"/>
        <v>37335</v>
      </c>
      <c r="Y758" s="122"/>
      <c r="AA758" t="s">
        <v>64</v>
      </c>
      <c r="AB758" t="s">
        <v>137</v>
      </c>
      <c r="AC758" t="s">
        <v>431</v>
      </c>
      <c r="AD758" t="s">
        <v>137</v>
      </c>
      <c r="AE758" t="s">
        <v>566</v>
      </c>
      <c r="AF758">
        <v>1</v>
      </c>
      <c r="AG758">
        <v>34</v>
      </c>
      <c r="AH758">
        <v>770</v>
      </c>
      <c r="AI758" s="122">
        <v>17817</v>
      </c>
      <c r="AJ758" s="122">
        <v>6599</v>
      </c>
      <c r="AK758">
        <v>100</v>
      </c>
      <c r="AL758" s="122">
        <v>2688</v>
      </c>
      <c r="AM758" s="122">
        <v>2444</v>
      </c>
      <c r="AN758">
        <v>417</v>
      </c>
      <c r="AO758">
        <v>154</v>
      </c>
      <c r="AP758">
        <v>0</v>
      </c>
      <c r="AQ758">
        <v>0</v>
      </c>
      <c r="AR758" s="122">
        <v>5394</v>
      </c>
      <c r="AS758" s="122">
        <v>1998</v>
      </c>
      <c r="AT758">
        <v>0</v>
      </c>
      <c r="AU758">
        <v>0</v>
      </c>
      <c r="AV758" s="122">
        <v>11195</v>
      </c>
    </row>
    <row r="759" spans="2:48" ht="13">
      <c r="B759" t="s">
        <v>446</v>
      </c>
      <c r="C759" t="s">
        <v>58</v>
      </c>
      <c r="D759" t="s">
        <v>407</v>
      </c>
      <c r="E759" t="s">
        <v>407</v>
      </c>
      <c r="F759">
        <v>121</v>
      </c>
      <c r="G759" s="122">
        <v>7388</v>
      </c>
      <c r="H759" s="122">
        <v>31129</v>
      </c>
      <c r="I759" s="122">
        <v>948233</v>
      </c>
      <c r="J759" s="191">
        <v>862030</v>
      </c>
      <c r="K759" s="122">
        <v>76</v>
      </c>
      <c r="L759" s="122">
        <v>137808</v>
      </c>
      <c r="M759" s="122">
        <v>116125</v>
      </c>
      <c r="N759" s="122">
        <v>149775</v>
      </c>
      <c r="O759" s="122">
        <v>55472</v>
      </c>
      <c r="P759" s="122">
        <v>56808</v>
      </c>
      <c r="Q759" s="122">
        <v>21040</v>
      </c>
      <c r="R759" s="122">
        <v>501359</v>
      </c>
      <c r="S759" s="122">
        <v>455781</v>
      </c>
      <c r="T759" s="122">
        <v>102628</v>
      </c>
      <c r="U759" s="122">
        <v>38010</v>
      </c>
      <c r="V759" s="122">
        <v>1548459</v>
      </c>
      <c r="W759" s="122">
        <f t="shared" si="22"/>
        <v>1548458</v>
      </c>
      <c r="X759" s="122">
        <f t="shared" si="23"/>
        <v>1896611</v>
      </c>
      <c r="Y759" s="122"/>
      <c r="AA759" t="s">
        <v>64</v>
      </c>
      <c r="AB759" t="s">
        <v>137</v>
      </c>
      <c r="AC759" t="s">
        <v>426</v>
      </c>
      <c r="AD759" t="s">
        <v>137</v>
      </c>
      <c r="AE759" t="s">
        <v>137</v>
      </c>
      <c r="AF759">
        <v>24</v>
      </c>
      <c r="AG759" s="122">
        <v>1820</v>
      </c>
      <c r="AH759" s="122">
        <v>19923</v>
      </c>
      <c r="AI759" s="122">
        <v>835879</v>
      </c>
      <c r="AJ759" s="122">
        <v>309585</v>
      </c>
      <c r="AK759">
        <v>100</v>
      </c>
      <c r="AL759" s="122">
        <v>530451</v>
      </c>
      <c r="AM759" s="122">
        <v>482229</v>
      </c>
      <c r="AN759" s="122">
        <v>37337</v>
      </c>
      <c r="AO759" s="122">
        <v>13828</v>
      </c>
      <c r="AP759" s="122">
        <v>1053</v>
      </c>
      <c r="AQ759">
        <v>390</v>
      </c>
      <c r="AR759" s="122">
        <v>166680</v>
      </c>
      <c r="AS759" s="122">
        <v>61733</v>
      </c>
      <c r="AT759" s="122">
        <v>10194</v>
      </c>
      <c r="AU759" s="122">
        <v>3775</v>
      </c>
      <c r="AV759" s="122">
        <v>871540</v>
      </c>
    </row>
    <row r="760" spans="2:48" ht="13">
      <c r="B760" t="s">
        <v>446</v>
      </c>
      <c r="C760" t="s">
        <v>60</v>
      </c>
      <c r="F760">
        <v>9</v>
      </c>
      <c r="G760" s="122">
        <v>411</v>
      </c>
      <c r="H760" s="122">
        <v>3019</v>
      </c>
      <c r="J760" s="191">
        <v>0</v>
      </c>
      <c r="K760" s="122"/>
      <c r="M760">
        <v>0</v>
      </c>
      <c r="N760" s="122">
        <v>7408</v>
      </c>
      <c r="O760" s="122">
        <v>2744</v>
      </c>
      <c r="P760">
        <v>609</v>
      </c>
      <c r="Q760">
        <v>225</v>
      </c>
      <c r="S760">
        <v>0</v>
      </c>
      <c r="T760" s="122">
        <v>2913</v>
      </c>
      <c r="U760" s="122">
        <v>1079</v>
      </c>
      <c r="V760" s="122">
        <v>4048</v>
      </c>
      <c r="W760" s="122">
        <f t="shared" si="22"/>
        <v>4048</v>
      </c>
      <c r="X760" s="122">
        <f t="shared" si="23"/>
        <v>10930</v>
      </c>
      <c r="Y760" s="122"/>
      <c r="AA760" t="s">
        <v>64</v>
      </c>
      <c r="AB760" t="s">
        <v>137</v>
      </c>
      <c r="AC760" t="s">
        <v>426</v>
      </c>
      <c r="AD760" t="s">
        <v>137</v>
      </c>
      <c r="AE760" t="s">
        <v>566</v>
      </c>
      <c r="AF760">
        <v>380</v>
      </c>
      <c r="AG760" s="122">
        <v>21568</v>
      </c>
      <c r="AH760" s="122">
        <v>243451</v>
      </c>
      <c r="AI760" s="122">
        <v>9380207</v>
      </c>
      <c r="AJ760" s="122">
        <v>3474151</v>
      </c>
      <c r="AK760">
        <v>100</v>
      </c>
      <c r="AL760" s="122">
        <v>1663463</v>
      </c>
      <c r="AM760" s="122">
        <v>1512239</v>
      </c>
      <c r="AN760" s="122">
        <v>464753</v>
      </c>
      <c r="AO760" s="122">
        <v>172131</v>
      </c>
      <c r="AP760" s="122">
        <v>6280</v>
      </c>
      <c r="AQ760" s="122">
        <v>2326</v>
      </c>
      <c r="AR760" s="122">
        <v>2392725</v>
      </c>
      <c r="AS760" s="122">
        <v>886194</v>
      </c>
      <c r="AT760">
        <v>0</v>
      </c>
      <c r="AU760">
        <v>0</v>
      </c>
      <c r="AV760" s="122">
        <v>6047040</v>
      </c>
    </row>
    <row r="761" spans="2:48" ht="13">
      <c r="B761" t="s">
        <v>446</v>
      </c>
      <c r="C761" t="s">
        <v>60</v>
      </c>
      <c r="D761" t="s">
        <v>137</v>
      </c>
      <c r="E761" t="s">
        <v>137</v>
      </c>
      <c r="F761">
        <v>194</v>
      </c>
      <c r="G761" s="122">
        <v>11838</v>
      </c>
      <c r="H761" s="122">
        <v>64514</v>
      </c>
      <c r="I761" s="122">
        <v>2335078</v>
      </c>
      <c r="J761" s="191">
        <v>864844</v>
      </c>
      <c r="K761" s="122">
        <v>100</v>
      </c>
      <c r="L761" s="122">
        <v>246066</v>
      </c>
      <c r="M761" s="122">
        <v>109983</v>
      </c>
      <c r="N761" s="122">
        <v>222525</v>
      </c>
      <c r="O761" s="122">
        <v>82417</v>
      </c>
      <c r="P761" s="122">
        <v>4401</v>
      </c>
      <c r="Q761" s="122">
        <v>1630</v>
      </c>
      <c r="R761" s="122">
        <v>1120665</v>
      </c>
      <c r="S761" s="122">
        <v>415061</v>
      </c>
      <c r="T761" s="122">
        <v>1861</v>
      </c>
      <c r="U761">
        <v>689</v>
      </c>
      <c r="V761" s="122">
        <v>1474623</v>
      </c>
      <c r="W761" s="122">
        <f t="shared" si="22"/>
        <v>1474624</v>
      </c>
      <c r="X761" s="122">
        <f t="shared" si="23"/>
        <v>3930596</v>
      </c>
      <c r="Y761" s="122"/>
      <c r="AA761" t="s">
        <v>64</v>
      </c>
      <c r="AB761" t="s">
        <v>137</v>
      </c>
      <c r="AC761" t="s">
        <v>426</v>
      </c>
      <c r="AD761" t="s">
        <v>426</v>
      </c>
      <c r="AE761" t="s">
        <v>137</v>
      </c>
      <c r="AF761">
        <v>9</v>
      </c>
      <c r="AG761">
        <v>544</v>
      </c>
      <c r="AH761" s="122">
        <v>5674</v>
      </c>
      <c r="AI761" s="122">
        <v>214807</v>
      </c>
      <c r="AJ761" s="122">
        <v>79558</v>
      </c>
      <c r="AK761">
        <v>100</v>
      </c>
      <c r="AL761" s="122">
        <v>29302</v>
      </c>
      <c r="AM761" s="122">
        <v>26638</v>
      </c>
      <c r="AN761" s="122">
        <v>11841</v>
      </c>
      <c r="AO761" s="122">
        <v>4386</v>
      </c>
      <c r="AP761">
        <v>351</v>
      </c>
      <c r="AQ761">
        <v>130</v>
      </c>
      <c r="AR761" s="122">
        <v>67428</v>
      </c>
      <c r="AS761" s="122">
        <v>61298</v>
      </c>
      <c r="AT761" s="122">
        <v>29213</v>
      </c>
      <c r="AU761" s="122">
        <v>10820</v>
      </c>
      <c r="AV761" s="122">
        <v>182830</v>
      </c>
    </row>
    <row r="762" spans="2:48" ht="13">
      <c r="B762" t="s">
        <v>446</v>
      </c>
      <c r="C762" t="s">
        <v>60</v>
      </c>
      <c r="D762" t="s">
        <v>406</v>
      </c>
      <c r="E762" t="s">
        <v>406</v>
      </c>
      <c r="F762">
        <v>2</v>
      </c>
      <c r="G762">
        <v>99</v>
      </c>
      <c r="H762">
        <v>676</v>
      </c>
      <c r="I762" s="122">
        <v>21886</v>
      </c>
      <c r="J762" s="191">
        <v>19897</v>
      </c>
      <c r="K762" s="122">
        <v>82</v>
      </c>
      <c r="L762">
        <v>0</v>
      </c>
      <c r="M762">
        <v>0</v>
      </c>
      <c r="N762" s="122">
        <v>2001</v>
      </c>
      <c r="O762">
        <v>741</v>
      </c>
      <c r="P762" s="122">
        <v>1242</v>
      </c>
      <c r="Q762">
        <v>460</v>
      </c>
      <c r="R762" s="122">
        <v>8209</v>
      </c>
      <c r="S762" s="122">
        <v>7463</v>
      </c>
      <c r="T762">
        <v>0</v>
      </c>
      <c r="U762">
        <v>0</v>
      </c>
      <c r="V762" s="122">
        <v>28561</v>
      </c>
      <c r="W762" s="122">
        <f t="shared" si="22"/>
        <v>28561</v>
      </c>
      <c r="X762" s="122">
        <f t="shared" si="23"/>
        <v>33338</v>
      </c>
      <c r="Y762" s="122"/>
      <c r="AA762" t="s">
        <v>64</v>
      </c>
      <c r="AB762" t="s">
        <v>137</v>
      </c>
      <c r="AC762" t="s">
        <v>566</v>
      </c>
      <c r="AD762" t="s">
        <v>137</v>
      </c>
      <c r="AE762" t="s">
        <v>137</v>
      </c>
      <c r="AF762">
        <v>47</v>
      </c>
      <c r="AG762" s="122">
        <v>2373</v>
      </c>
      <c r="AH762" s="122">
        <v>28493</v>
      </c>
      <c r="AI762" s="122">
        <v>1076879</v>
      </c>
      <c r="AJ762" s="122">
        <v>398844</v>
      </c>
      <c r="AK762">
        <v>100</v>
      </c>
      <c r="AL762">
        <v>0</v>
      </c>
      <c r="AM762" s="122">
        <v>3759</v>
      </c>
      <c r="AN762" s="122">
        <v>50377</v>
      </c>
      <c r="AO762" s="122">
        <v>18658</v>
      </c>
      <c r="AP762" s="122">
        <v>3319</v>
      </c>
      <c r="AQ762" s="122">
        <v>1229</v>
      </c>
      <c r="AR762" s="122">
        <v>261866</v>
      </c>
      <c r="AS762" s="122">
        <v>96987</v>
      </c>
      <c r="AT762" s="122">
        <v>14140</v>
      </c>
      <c r="AU762" s="122">
        <v>5237</v>
      </c>
      <c r="AV762" s="122">
        <v>524715</v>
      </c>
    </row>
    <row r="763" spans="2:48" ht="13">
      <c r="B763" t="s">
        <v>446</v>
      </c>
      <c r="C763" t="s">
        <v>60</v>
      </c>
      <c r="D763" t="s">
        <v>407</v>
      </c>
      <c r="E763" t="s">
        <v>137</v>
      </c>
      <c r="F763">
        <v>3</v>
      </c>
      <c r="G763">
        <v>102</v>
      </c>
      <c r="H763" s="122">
        <v>943</v>
      </c>
      <c r="I763" s="122">
        <v>15023</v>
      </c>
      <c r="J763" s="191">
        <v>13658</v>
      </c>
      <c r="K763" s="122">
        <v>76</v>
      </c>
      <c r="L763" s="122">
        <v>1858</v>
      </c>
      <c r="M763">
        <v>688</v>
      </c>
      <c r="N763" s="122">
        <v>2297</v>
      </c>
      <c r="O763">
        <v>851</v>
      </c>
      <c r="P763">
        <v>473</v>
      </c>
      <c r="Q763">
        <v>175</v>
      </c>
      <c r="R763" s="122">
        <v>12312</v>
      </c>
      <c r="S763" s="122">
        <v>4560</v>
      </c>
      <c r="T763">
        <v>0</v>
      </c>
      <c r="U763">
        <v>0</v>
      </c>
      <c r="V763" s="122">
        <v>19932</v>
      </c>
      <c r="W763" s="122">
        <f t="shared" si="22"/>
        <v>19932</v>
      </c>
      <c r="X763" s="122">
        <f t="shared" si="23"/>
        <v>31963</v>
      </c>
      <c r="Y763" s="122"/>
      <c r="AA763" t="s">
        <v>64</v>
      </c>
      <c r="AB763" t="s">
        <v>137</v>
      </c>
      <c r="AC763" t="s">
        <v>566</v>
      </c>
      <c r="AD763" t="s">
        <v>137</v>
      </c>
      <c r="AE763" t="s">
        <v>566</v>
      </c>
      <c r="AF763" s="122">
        <v>1475</v>
      </c>
      <c r="AG763" s="122">
        <v>69931</v>
      </c>
      <c r="AH763" s="122">
        <v>906908</v>
      </c>
      <c r="AI763" s="122">
        <v>33486583</v>
      </c>
      <c r="AJ763" s="122">
        <v>12402438</v>
      </c>
      <c r="AK763">
        <v>100</v>
      </c>
      <c r="AL763">
        <v>0</v>
      </c>
      <c r="AM763" s="122">
        <v>47374</v>
      </c>
      <c r="AN763" s="122">
        <v>1482847</v>
      </c>
      <c r="AO763" s="122">
        <v>549202</v>
      </c>
      <c r="AP763" s="122">
        <v>21916</v>
      </c>
      <c r="AQ763" s="122">
        <v>8117</v>
      </c>
      <c r="AR763" s="122">
        <v>7758797</v>
      </c>
      <c r="AS763" s="122">
        <v>2873629</v>
      </c>
      <c r="AT763">
        <v>0</v>
      </c>
      <c r="AU763">
        <v>0</v>
      </c>
      <c r="AV763" s="122">
        <v>15880760</v>
      </c>
    </row>
    <row r="764" spans="2:48" ht="13">
      <c r="B764" t="s">
        <v>446</v>
      </c>
      <c r="C764" t="s">
        <v>60</v>
      </c>
      <c r="D764" t="s">
        <v>407</v>
      </c>
      <c r="E764" t="s">
        <v>407</v>
      </c>
      <c r="F764">
        <v>38</v>
      </c>
      <c r="G764" s="122">
        <v>2247</v>
      </c>
      <c r="H764" s="122">
        <v>12954</v>
      </c>
      <c r="I764" s="122">
        <v>433613</v>
      </c>
      <c r="J764" s="191">
        <v>394194</v>
      </c>
      <c r="K764" s="122">
        <v>80</v>
      </c>
      <c r="L764" s="122">
        <v>75577</v>
      </c>
      <c r="M764" s="122">
        <v>68078</v>
      </c>
      <c r="N764" s="122">
        <v>45739</v>
      </c>
      <c r="O764" s="122">
        <v>16940</v>
      </c>
      <c r="P764" s="122">
        <v>17010</v>
      </c>
      <c r="Q764" s="122">
        <v>6300</v>
      </c>
      <c r="R764" s="122">
        <v>137153</v>
      </c>
      <c r="S764" s="122">
        <v>124684</v>
      </c>
      <c r="T764" s="122">
        <v>55244</v>
      </c>
      <c r="U764" s="122">
        <v>20461</v>
      </c>
      <c r="V764" s="122">
        <v>630657</v>
      </c>
      <c r="W764" s="122">
        <f t="shared" si="22"/>
        <v>630657</v>
      </c>
      <c r="X764" s="122">
        <f t="shared" si="23"/>
        <v>764336</v>
      </c>
      <c r="Y764" s="122"/>
      <c r="AA764" t="s">
        <v>64</v>
      </c>
      <c r="AB764" t="s">
        <v>137</v>
      </c>
      <c r="AC764" t="s">
        <v>566</v>
      </c>
      <c r="AD764" t="s">
        <v>407</v>
      </c>
      <c r="AE764" t="s">
        <v>137</v>
      </c>
      <c r="AF764">
        <v>1</v>
      </c>
      <c r="AG764">
        <v>39</v>
      </c>
      <c r="AH764">
        <v>500</v>
      </c>
      <c r="AI764" s="122">
        <v>14196</v>
      </c>
      <c r="AJ764" s="122">
        <v>5258</v>
      </c>
      <c r="AK764">
        <v>100</v>
      </c>
      <c r="AL764">
        <v>0</v>
      </c>
      <c r="AM764">
        <v>0</v>
      </c>
      <c r="AN764">
        <v>958</v>
      </c>
      <c r="AO764">
        <v>355</v>
      </c>
      <c r="AP764">
        <v>0</v>
      </c>
      <c r="AQ764">
        <v>0</v>
      </c>
      <c r="AR764" s="122">
        <v>2913</v>
      </c>
      <c r="AS764" s="122">
        <v>2648</v>
      </c>
      <c r="AT764" s="122">
        <v>1590</v>
      </c>
      <c r="AU764">
        <v>589</v>
      </c>
      <c r="AV764" s="122">
        <v>8850</v>
      </c>
    </row>
    <row r="765" spans="2:48" ht="13">
      <c r="B765" t="s">
        <v>446</v>
      </c>
      <c r="C765" t="s">
        <v>62</v>
      </c>
      <c r="F765" s="122">
        <v>4</v>
      </c>
      <c r="G765" s="122">
        <v>182</v>
      </c>
      <c r="H765" s="122">
        <v>1633</v>
      </c>
      <c r="J765" s="66">
        <v>0</v>
      </c>
      <c r="K765" s="122"/>
      <c r="M765">
        <v>0</v>
      </c>
      <c r="N765" s="122">
        <v>4235</v>
      </c>
      <c r="O765" s="122">
        <v>1569</v>
      </c>
      <c r="P765" s="122">
        <v>1094</v>
      </c>
      <c r="Q765">
        <v>405</v>
      </c>
      <c r="S765">
        <v>0</v>
      </c>
      <c r="T765" s="122">
        <v>4088</v>
      </c>
      <c r="U765" s="122">
        <v>1514</v>
      </c>
      <c r="V765" s="122">
        <v>3487</v>
      </c>
      <c r="W765" s="122">
        <f t="shared" si="22"/>
        <v>3488</v>
      </c>
      <c r="X765" s="122">
        <f t="shared" si="23"/>
        <v>9417</v>
      </c>
      <c r="Y765" s="122"/>
      <c r="AA765" t="s">
        <v>64</v>
      </c>
      <c r="AB765" t="s">
        <v>137</v>
      </c>
      <c r="AC765" t="s">
        <v>566</v>
      </c>
      <c r="AD765" t="s">
        <v>407</v>
      </c>
      <c r="AE765" t="s">
        <v>566</v>
      </c>
      <c r="AF765">
        <v>1</v>
      </c>
      <c r="AG765">
        <v>55</v>
      </c>
      <c r="AH765">
        <v>606</v>
      </c>
      <c r="AI765" s="122">
        <v>29666</v>
      </c>
      <c r="AJ765" s="122">
        <v>10987</v>
      </c>
      <c r="AK765">
        <v>100</v>
      </c>
      <c r="AL765">
        <v>0</v>
      </c>
      <c r="AM765">
        <v>0</v>
      </c>
      <c r="AN765">
        <v>918</v>
      </c>
      <c r="AO765">
        <v>340</v>
      </c>
      <c r="AP765">
        <v>122</v>
      </c>
      <c r="AQ765">
        <v>45</v>
      </c>
      <c r="AR765" s="122">
        <v>2609</v>
      </c>
      <c r="AS765" s="122">
        <v>2372</v>
      </c>
      <c r="AT765">
        <v>0</v>
      </c>
      <c r="AU765">
        <v>0</v>
      </c>
      <c r="AV765" s="122">
        <v>13745</v>
      </c>
    </row>
    <row r="766" spans="2:48" ht="13">
      <c r="B766" t="s">
        <v>446</v>
      </c>
      <c r="C766" t="s">
        <v>62</v>
      </c>
      <c r="D766" t="s">
        <v>405</v>
      </c>
      <c r="E766" t="s">
        <v>405</v>
      </c>
      <c r="F766">
        <v>1</v>
      </c>
      <c r="G766">
        <v>58</v>
      </c>
      <c r="H766" s="122">
        <v>398</v>
      </c>
      <c r="I766" s="122">
        <v>15482</v>
      </c>
      <c r="J766" s="191">
        <v>14074</v>
      </c>
      <c r="K766" s="122">
        <v>68</v>
      </c>
      <c r="L766">
        <v>0</v>
      </c>
      <c r="M766">
        <v>0</v>
      </c>
      <c r="N766" s="122">
        <v>1055</v>
      </c>
      <c r="O766">
        <v>391</v>
      </c>
      <c r="P766">
        <v>473</v>
      </c>
      <c r="Q766">
        <v>175</v>
      </c>
      <c r="R766" s="122">
        <v>3942</v>
      </c>
      <c r="S766" s="122">
        <v>3583</v>
      </c>
      <c r="T766" s="122">
        <v>1991</v>
      </c>
      <c r="U766">
        <v>738</v>
      </c>
      <c r="V766" s="122">
        <v>18961</v>
      </c>
      <c r="W766" s="122">
        <f t="shared" si="22"/>
        <v>18961</v>
      </c>
      <c r="X766" s="122">
        <f t="shared" si="23"/>
        <v>22943</v>
      </c>
      <c r="Y766" s="122"/>
      <c r="AA766" t="s">
        <v>64</v>
      </c>
      <c r="AB766" t="s">
        <v>137</v>
      </c>
      <c r="AC766" t="s">
        <v>433</v>
      </c>
      <c r="AD766" t="s">
        <v>137</v>
      </c>
      <c r="AE766" t="s">
        <v>137</v>
      </c>
      <c r="AF766">
        <v>1</v>
      </c>
      <c r="AG766">
        <v>47</v>
      </c>
      <c r="AH766">
        <v>553</v>
      </c>
      <c r="AI766" s="122">
        <v>13875</v>
      </c>
      <c r="AJ766" s="122">
        <v>5139</v>
      </c>
      <c r="AK766">
        <v>100</v>
      </c>
      <c r="AL766" s="122">
        <v>1142</v>
      </c>
      <c r="AM766" s="122">
        <v>1038</v>
      </c>
      <c r="AN766">
        <v>941</v>
      </c>
      <c r="AO766">
        <v>349</v>
      </c>
      <c r="AP766">
        <v>0</v>
      </c>
      <c r="AQ766">
        <v>0</v>
      </c>
      <c r="AR766" s="122">
        <v>9784</v>
      </c>
      <c r="AS766" s="122">
        <v>3624</v>
      </c>
      <c r="AT766">
        <v>0</v>
      </c>
      <c r="AU766">
        <v>0</v>
      </c>
      <c r="AV766" s="122">
        <v>10150</v>
      </c>
    </row>
    <row r="767" spans="2:48" ht="13">
      <c r="B767" t="s">
        <v>446</v>
      </c>
      <c r="C767" t="s">
        <v>62</v>
      </c>
      <c r="D767" t="s">
        <v>137</v>
      </c>
      <c r="E767" t="s">
        <v>137</v>
      </c>
      <c r="F767">
        <v>43</v>
      </c>
      <c r="G767" s="122">
        <v>2107</v>
      </c>
      <c r="H767" s="122">
        <v>17882</v>
      </c>
      <c r="I767" s="122">
        <v>537222</v>
      </c>
      <c r="J767" s="191">
        <v>198971</v>
      </c>
      <c r="K767" s="122">
        <v>100</v>
      </c>
      <c r="L767" s="122">
        <v>63427</v>
      </c>
      <c r="M767" s="122">
        <v>29913</v>
      </c>
      <c r="N767" s="122">
        <v>42995</v>
      </c>
      <c r="O767" s="122">
        <v>15924</v>
      </c>
      <c r="P767" s="122">
        <v>1206</v>
      </c>
      <c r="Q767">
        <v>447</v>
      </c>
      <c r="R767" s="122">
        <v>227046</v>
      </c>
      <c r="S767" s="122">
        <v>84091</v>
      </c>
      <c r="T767" s="122">
        <v>1630</v>
      </c>
      <c r="U767">
        <v>604</v>
      </c>
      <c r="V767" s="122">
        <v>329949</v>
      </c>
      <c r="W767" s="122">
        <f t="shared" si="22"/>
        <v>329950</v>
      </c>
      <c r="X767" s="122">
        <f t="shared" si="23"/>
        <v>873526</v>
      </c>
      <c r="Y767" s="122"/>
      <c r="AA767" t="s">
        <v>64</v>
      </c>
      <c r="AB767" t="s">
        <v>137</v>
      </c>
      <c r="AC767" t="s">
        <v>433</v>
      </c>
      <c r="AD767" t="s">
        <v>137</v>
      </c>
      <c r="AE767" t="s">
        <v>566</v>
      </c>
      <c r="AF767">
        <v>8</v>
      </c>
      <c r="AG767">
        <v>351</v>
      </c>
      <c r="AH767" s="122">
        <v>5452</v>
      </c>
      <c r="AI767" s="122">
        <v>157586</v>
      </c>
      <c r="AJ767" s="122">
        <v>58365</v>
      </c>
      <c r="AK767">
        <v>100</v>
      </c>
      <c r="AL767" s="122">
        <v>19854</v>
      </c>
      <c r="AM767" s="122">
        <v>18049</v>
      </c>
      <c r="AN767" s="122">
        <v>7765</v>
      </c>
      <c r="AO767" s="122">
        <v>2876</v>
      </c>
      <c r="AP767">
        <v>0</v>
      </c>
      <c r="AQ767">
        <v>0</v>
      </c>
      <c r="AR767" s="122">
        <v>47476</v>
      </c>
      <c r="AS767" s="122">
        <v>17584</v>
      </c>
      <c r="AT767">
        <v>0</v>
      </c>
      <c r="AU767">
        <v>0</v>
      </c>
      <c r="AV767" s="122">
        <v>96873</v>
      </c>
    </row>
    <row r="768" spans="2:48" ht="13">
      <c r="B768" t="s">
        <v>446</v>
      </c>
      <c r="C768" t="s">
        <v>62</v>
      </c>
      <c r="D768" t="s">
        <v>406</v>
      </c>
      <c r="E768" t="s">
        <v>137</v>
      </c>
      <c r="F768">
        <v>2</v>
      </c>
      <c r="G768">
        <v>60</v>
      </c>
      <c r="H768" s="122">
        <v>826</v>
      </c>
      <c r="I768" s="122">
        <v>7540</v>
      </c>
      <c r="J768" s="191">
        <v>6855</v>
      </c>
      <c r="K768" s="122">
        <v>80</v>
      </c>
      <c r="L768" s="122">
        <v>1472</v>
      </c>
      <c r="M768">
        <v>545</v>
      </c>
      <c r="N768">
        <v>731</v>
      </c>
      <c r="O768">
        <v>271</v>
      </c>
      <c r="P768" s="122">
        <v>1242</v>
      </c>
      <c r="Q768">
        <v>460</v>
      </c>
      <c r="R768" s="122">
        <v>13783</v>
      </c>
      <c r="S768" s="122">
        <v>5105</v>
      </c>
      <c r="T768">
        <v>0</v>
      </c>
      <c r="U768">
        <v>0</v>
      </c>
      <c r="V768" s="122">
        <v>13235</v>
      </c>
      <c r="W768" s="122">
        <f t="shared" si="22"/>
        <v>13236</v>
      </c>
      <c r="X768" s="122">
        <f t="shared" si="23"/>
        <v>24768</v>
      </c>
      <c r="Y768" s="122"/>
      <c r="AA768" t="s">
        <v>64</v>
      </c>
      <c r="AB768" t="s">
        <v>137</v>
      </c>
      <c r="AC768" t="s">
        <v>429</v>
      </c>
      <c r="AD768" t="s">
        <v>137</v>
      </c>
      <c r="AE768" t="s">
        <v>566</v>
      </c>
      <c r="AF768">
        <v>4</v>
      </c>
      <c r="AG768">
        <v>274</v>
      </c>
      <c r="AH768" s="122">
        <v>2189</v>
      </c>
      <c r="AI768" s="122">
        <v>116318</v>
      </c>
      <c r="AJ768" s="122">
        <v>43081</v>
      </c>
      <c r="AK768">
        <v>100</v>
      </c>
      <c r="AL768" s="122">
        <v>9693</v>
      </c>
      <c r="AM768" s="122">
        <v>8812</v>
      </c>
      <c r="AN768" s="122">
        <v>4149</v>
      </c>
      <c r="AO768" s="122">
        <v>1537</v>
      </c>
      <c r="AP768">
        <v>0</v>
      </c>
      <c r="AQ768">
        <v>0</v>
      </c>
      <c r="AR768" s="122">
        <v>26421</v>
      </c>
      <c r="AS768" s="122">
        <v>9785</v>
      </c>
      <c r="AT768">
        <v>0</v>
      </c>
      <c r="AU768">
        <v>0</v>
      </c>
      <c r="AV768" s="122">
        <v>63215</v>
      </c>
    </row>
    <row r="769" spans="2:48" ht="13">
      <c r="B769" t="s">
        <v>446</v>
      </c>
      <c r="C769" t="s">
        <v>62</v>
      </c>
      <c r="D769" t="s">
        <v>406</v>
      </c>
      <c r="E769" t="s">
        <v>406</v>
      </c>
      <c r="F769" s="122">
        <v>1</v>
      </c>
      <c r="G769" s="122">
        <v>130</v>
      </c>
      <c r="H769" s="122">
        <v>414</v>
      </c>
      <c r="I769" s="122">
        <v>33260</v>
      </c>
      <c r="J769" s="191">
        <v>30236</v>
      </c>
      <c r="K769" s="122">
        <v>65</v>
      </c>
      <c r="L769" s="122">
        <v>7613</v>
      </c>
      <c r="M769" s="122">
        <v>6921</v>
      </c>
      <c r="N769" s="122">
        <v>3170</v>
      </c>
      <c r="O769" s="122">
        <v>1174</v>
      </c>
      <c r="P769">
        <v>621</v>
      </c>
      <c r="Q769">
        <v>230</v>
      </c>
      <c r="R769" s="122">
        <v>9186</v>
      </c>
      <c r="S769" s="122">
        <v>8351</v>
      </c>
      <c r="T769">
        <v>0</v>
      </c>
      <c r="U769">
        <v>0</v>
      </c>
      <c r="V769" s="122">
        <v>46912</v>
      </c>
      <c r="W769" s="122">
        <f t="shared" si="22"/>
        <v>46912</v>
      </c>
      <c r="X769" s="122">
        <f t="shared" si="23"/>
        <v>53850</v>
      </c>
      <c r="Y769" s="122"/>
      <c r="AA769" t="s">
        <v>64</v>
      </c>
      <c r="AB769" t="s">
        <v>406</v>
      </c>
      <c r="AC769" t="s">
        <v>425</v>
      </c>
      <c r="AD769" t="s">
        <v>406</v>
      </c>
      <c r="AE769" t="s">
        <v>137</v>
      </c>
      <c r="AF769">
        <v>2</v>
      </c>
      <c r="AG769">
        <v>197</v>
      </c>
      <c r="AH769" s="122">
        <v>1123</v>
      </c>
      <c r="AI769" s="122">
        <v>76450</v>
      </c>
      <c r="AJ769" s="122">
        <v>69500</v>
      </c>
      <c r="AK769">
        <v>65</v>
      </c>
      <c r="AL769" s="122">
        <v>9360</v>
      </c>
      <c r="AM769" s="122">
        <v>8509</v>
      </c>
      <c r="AN769" s="122">
        <v>3876</v>
      </c>
      <c r="AO769" s="122">
        <v>1436</v>
      </c>
      <c r="AP769" s="122">
        <v>1242</v>
      </c>
      <c r="AQ769">
        <v>460</v>
      </c>
      <c r="AR769" s="122">
        <v>11016</v>
      </c>
      <c r="AS769" s="122">
        <v>10015</v>
      </c>
      <c r="AT769" s="122">
        <v>6593</v>
      </c>
      <c r="AU769" s="122">
        <v>2442</v>
      </c>
      <c r="AV769" s="122">
        <v>92362</v>
      </c>
    </row>
    <row r="770" spans="2:48" ht="13">
      <c r="B770" t="s">
        <v>446</v>
      </c>
      <c r="C770" t="s">
        <v>62</v>
      </c>
      <c r="D770" t="s">
        <v>427</v>
      </c>
      <c r="E770" t="s">
        <v>427</v>
      </c>
      <c r="F770">
        <v>1</v>
      </c>
      <c r="G770">
        <v>139</v>
      </c>
      <c r="H770" s="122">
        <v>418</v>
      </c>
      <c r="I770" s="122">
        <v>38217</v>
      </c>
      <c r="J770" s="191">
        <v>34743</v>
      </c>
      <c r="K770" s="122">
        <v>65</v>
      </c>
      <c r="L770" s="122">
        <v>9200</v>
      </c>
      <c r="M770" s="122">
        <v>8364</v>
      </c>
      <c r="N770" s="122">
        <v>2319</v>
      </c>
      <c r="O770">
        <v>859</v>
      </c>
      <c r="P770">
        <v>0</v>
      </c>
      <c r="Q770">
        <v>0</v>
      </c>
      <c r="R770" s="122">
        <v>4944</v>
      </c>
      <c r="S770" s="122">
        <v>4495</v>
      </c>
      <c r="T770" s="122">
        <v>3342</v>
      </c>
      <c r="U770" s="122">
        <v>1238</v>
      </c>
      <c r="V770" s="122">
        <v>49699</v>
      </c>
      <c r="W770" s="122">
        <f t="shared" si="22"/>
        <v>49699</v>
      </c>
      <c r="X770" s="122">
        <f t="shared" si="23"/>
        <v>58022</v>
      </c>
      <c r="Y770" s="122"/>
      <c r="AA770" t="s">
        <v>64</v>
      </c>
      <c r="AB770" t="s">
        <v>406</v>
      </c>
      <c r="AC770" t="s">
        <v>137</v>
      </c>
      <c r="AD770" t="s">
        <v>137</v>
      </c>
      <c r="AE770" t="s">
        <v>566</v>
      </c>
      <c r="AF770">
        <v>7</v>
      </c>
      <c r="AG770">
        <v>255</v>
      </c>
      <c r="AH770" s="122">
        <v>3619</v>
      </c>
      <c r="AI770" s="122">
        <v>83202</v>
      </c>
      <c r="AJ770" s="122">
        <v>75638</v>
      </c>
      <c r="AK770">
        <v>74</v>
      </c>
      <c r="AL770" s="122">
        <v>16016</v>
      </c>
      <c r="AM770" s="122">
        <v>5932</v>
      </c>
      <c r="AN770" s="122">
        <v>5498</v>
      </c>
      <c r="AO770" s="122">
        <v>2036</v>
      </c>
      <c r="AP770" s="122">
        <v>4347</v>
      </c>
      <c r="AQ770" s="122">
        <v>1610</v>
      </c>
      <c r="AR770" s="122">
        <v>23167</v>
      </c>
      <c r="AS770" s="122">
        <v>8580</v>
      </c>
      <c r="AT770">
        <v>0</v>
      </c>
      <c r="AU770">
        <v>0</v>
      </c>
      <c r="AV770" s="122">
        <v>93797</v>
      </c>
    </row>
    <row r="771" spans="2:48" ht="13">
      <c r="B771" t="s">
        <v>446</v>
      </c>
      <c r="C771" t="s">
        <v>62</v>
      </c>
      <c r="D771" t="s">
        <v>407</v>
      </c>
      <c r="E771" t="s">
        <v>407</v>
      </c>
      <c r="F771" s="122">
        <v>17</v>
      </c>
      <c r="G771" s="122">
        <v>1203</v>
      </c>
      <c r="H771" s="122">
        <v>7100</v>
      </c>
      <c r="I771" s="122">
        <v>302115</v>
      </c>
      <c r="J771" s="191">
        <v>274650</v>
      </c>
      <c r="K771" s="122">
        <v>72</v>
      </c>
      <c r="L771" s="122">
        <v>73074</v>
      </c>
      <c r="M771" s="122">
        <v>63082</v>
      </c>
      <c r="N771" s="122">
        <v>25120</v>
      </c>
      <c r="O771" s="122">
        <v>9304</v>
      </c>
      <c r="P771" s="122">
        <v>7911</v>
      </c>
      <c r="Q771" s="122">
        <v>2930</v>
      </c>
      <c r="R771" s="122">
        <v>77300</v>
      </c>
      <c r="S771" s="122">
        <v>70273</v>
      </c>
      <c r="T771" s="122">
        <v>25629</v>
      </c>
      <c r="U771" s="122">
        <v>9492</v>
      </c>
      <c r="V771" s="122">
        <v>429732</v>
      </c>
      <c r="W771" s="122">
        <f t="shared" si="22"/>
        <v>429731</v>
      </c>
      <c r="X771" s="122">
        <f t="shared" si="23"/>
        <v>511149</v>
      </c>
      <c r="Y771" s="122"/>
      <c r="AA771" t="s">
        <v>64</v>
      </c>
      <c r="AB771" t="s">
        <v>406</v>
      </c>
      <c r="AC771" t="s">
        <v>137</v>
      </c>
      <c r="AD771" t="s">
        <v>406</v>
      </c>
      <c r="AE771" t="s">
        <v>137</v>
      </c>
      <c r="AF771">
        <v>16</v>
      </c>
      <c r="AG771" s="122">
        <v>1113</v>
      </c>
      <c r="AH771" s="122">
        <v>8727</v>
      </c>
      <c r="AI771" s="122">
        <v>384743</v>
      </c>
      <c r="AJ771" s="122">
        <v>349767</v>
      </c>
      <c r="AK771">
        <v>73</v>
      </c>
      <c r="AL771" s="122">
        <v>88813</v>
      </c>
      <c r="AM771" s="122">
        <v>32894</v>
      </c>
      <c r="AN771" s="122">
        <v>24433</v>
      </c>
      <c r="AO771" s="122">
        <v>9049</v>
      </c>
      <c r="AP771" s="122">
        <v>9936</v>
      </c>
      <c r="AQ771" s="122">
        <v>3680</v>
      </c>
      <c r="AR771" s="122">
        <v>67015</v>
      </c>
      <c r="AS771" s="122">
        <v>60923</v>
      </c>
      <c r="AT771" s="122">
        <v>34962</v>
      </c>
      <c r="AU771" s="122">
        <v>12949</v>
      </c>
      <c r="AV771" s="122">
        <v>469261</v>
      </c>
    </row>
    <row r="772" spans="2:48" ht="13">
      <c r="B772" t="s">
        <v>446</v>
      </c>
      <c r="C772" t="s">
        <v>62</v>
      </c>
      <c r="D772" t="s">
        <v>426</v>
      </c>
      <c r="E772" t="s">
        <v>137</v>
      </c>
      <c r="F772">
        <v>1</v>
      </c>
      <c r="G772" s="122">
        <v>55</v>
      </c>
      <c r="H772" s="122">
        <v>414</v>
      </c>
      <c r="I772" s="122">
        <v>13811</v>
      </c>
      <c r="J772" s="191">
        <v>12556</v>
      </c>
      <c r="K772" s="122">
        <v>50</v>
      </c>
      <c r="L772" s="122">
        <v>1883</v>
      </c>
      <c r="M772">
        <v>698</v>
      </c>
      <c r="N772" s="122">
        <v>1172</v>
      </c>
      <c r="O772">
        <v>434</v>
      </c>
      <c r="P772">
        <v>351</v>
      </c>
      <c r="Q772">
        <v>130</v>
      </c>
      <c r="R772" s="122">
        <v>5510</v>
      </c>
      <c r="S772" s="122">
        <v>2041</v>
      </c>
      <c r="T772">
        <v>0</v>
      </c>
      <c r="U772">
        <v>0</v>
      </c>
      <c r="V772" s="122">
        <v>15858</v>
      </c>
      <c r="W772" s="122">
        <f t="shared" si="22"/>
        <v>15859</v>
      </c>
      <c r="X772" s="122">
        <f t="shared" si="23"/>
        <v>22727</v>
      </c>
      <c r="Y772" s="122"/>
      <c r="AA772" t="s">
        <v>64</v>
      </c>
      <c r="AB772" t="s">
        <v>406</v>
      </c>
      <c r="AC772" t="s">
        <v>137</v>
      </c>
      <c r="AD772" t="s">
        <v>406</v>
      </c>
      <c r="AE772" t="s">
        <v>566</v>
      </c>
      <c r="AF772">
        <v>7</v>
      </c>
      <c r="AG772">
        <v>426</v>
      </c>
      <c r="AH772" s="122">
        <v>3971</v>
      </c>
      <c r="AI772" s="122">
        <v>162098</v>
      </c>
      <c r="AJ772" s="122">
        <v>147362</v>
      </c>
      <c r="AK772">
        <v>72</v>
      </c>
      <c r="AL772" s="122">
        <v>29734</v>
      </c>
      <c r="AM772" s="122">
        <v>11012</v>
      </c>
      <c r="AN772" s="122">
        <v>9957</v>
      </c>
      <c r="AO772" s="122">
        <v>3688</v>
      </c>
      <c r="AP772" s="122">
        <v>4347</v>
      </c>
      <c r="AQ772" s="122">
        <v>1610</v>
      </c>
      <c r="AR772" s="122">
        <v>33871</v>
      </c>
      <c r="AS772" s="122">
        <v>30792</v>
      </c>
      <c r="AT772">
        <v>0</v>
      </c>
      <c r="AU772">
        <v>0</v>
      </c>
      <c r="AV772" s="122">
        <v>194464</v>
      </c>
    </row>
    <row r="773" spans="2:48" ht="13">
      <c r="B773" t="s">
        <v>446</v>
      </c>
      <c r="C773" t="s">
        <v>64</v>
      </c>
      <c r="F773">
        <v>4</v>
      </c>
      <c r="G773">
        <v>145</v>
      </c>
      <c r="H773" s="122">
        <v>2212</v>
      </c>
      <c r="J773" s="66">
        <v>0</v>
      </c>
      <c r="M773">
        <v>0</v>
      </c>
      <c r="N773" s="122">
        <v>2879</v>
      </c>
      <c r="O773" s="122">
        <v>1066</v>
      </c>
      <c r="P773">
        <v>473</v>
      </c>
      <c r="Q773">
        <v>175</v>
      </c>
      <c r="S773">
        <v>0</v>
      </c>
      <c r="T773" s="122">
        <v>1087</v>
      </c>
      <c r="U773">
        <v>403</v>
      </c>
      <c r="V773" s="122">
        <v>1644</v>
      </c>
      <c r="W773" s="122">
        <f t="shared" si="22"/>
        <v>1644</v>
      </c>
      <c r="X773" s="122">
        <f t="shared" si="23"/>
        <v>4439</v>
      </c>
      <c r="Y773" s="122"/>
      <c r="AA773" t="s">
        <v>64</v>
      </c>
      <c r="AB773" t="s">
        <v>406</v>
      </c>
      <c r="AC773" t="s">
        <v>580</v>
      </c>
      <c r="AD773" t="s">
        <v>406</v>
      </c>
      <c r="AE773" t="s">
        <v>137</v>
      </c>
      <c r="AF773">
        <v>7</v>
      </c>
      <c r="AG773">
        <v>490</v>
      </c>
      <c r="AH773" s="122">
        <v>3842</v>
      </c>
      <c r="AI773" s="122">
        <v>192775</v>
      </c>
      <c r="AJ773" s="122">
        <v>175250</v>
      </c>
      <c r="AK773">
        <v>68</v>
      </c>
      <c r="AL773" s="122">
        <v>28820</v>
      </c>
      <c r="AM773" s="122">
        <v>26200</v>
      </c>
      <c r="AN773" s="122">
        <v>9716</v>
      </c>
      <c r="AO773" s="122">
        <v>3599</v>
      </c>
      <c r="AP773" s="122">
        <v>4820</v>
      </c>
      <c r="AQ773" s="122">
        <v>1785</v>
      </c>
      <c r="AR773" s="122">
        <v>25878</v>
      </c>
      <c r="AS773" s="122">
        <v>23526</v>
      </c>
      <c r="AT773" s="122">
        <v>12403</v>
      </c>
      <c r="AU773" s="122">
        <v>4594</v>
      </c>
      <c r="AV773" s="122">
        <v>234953</v>
      </c>
    </row>
    <row r="774" spans="2:48" ht="13">
      <c r="B774" t="s">
        <v>446</v>
      </c>
      <c r="C774" t="s">
        <v>64</v>
      </c>
      <c r="D774" t="s">
        <v>137</v>
      </c>
      <c r="E774" t="s">
        <v>137</v>
      </c>
      <c r="F774">
        <v>68</v>
      </c>
      <c r="G774" s="122">
        <v>3049</v>
      </c>
      <c r="H774" s="122">
        <v>40970</v>
      </c>
      <c r="I774" s="122">
        <v>1259255</v>
      </c>
      <c r="J774" s="191">
        <v>466391</v>
      </c>
      <c r="K774" s="122">
        <v>100</v>
      </c>
      <c r="L774" s="122">
        <v>130887</v>
      </c>
      <c r="M774" s="122">
        <v>62356</v>
      </c>
      <c r="N774" s="122">
        <v>59089</v>
      </c>
      <c r="O774" s="122">
        <v>21885</v>
      </c>
      <c r="P774">
        <v>947</v>
      </c>
      <c r="Q774">
        <v>351</v>
      </c>
      <c r="R774" s="122">
        <v>388956</v>
      </c>
      <c r="S774" s="122">
        <v>144058</v>
      </c>
      <c r="T774" s="122">
        <v>3817</v>
      </c>
      <c r="U774" s="122">
        <v>1414</v>
      </c>
      <c r="V774" s="122">
        <v>696454</v>
      </c>
      <c r="W774" s="122">
        <f t="shared" si="22"/>
        <v>696455</v>
      </c>
      <c r="X774" s="122">
        <f t="shared" si="23"/>
        <v>1842951</v>
      </c>
      <c r="Y774" s="122"/>
      <c r="AA774" t="s">
        <v>64</v>
      </c>
      <c r="AB774" t="s">
        <v>406</v>
      </c>
      <c r="AC774" t="s">
        <v>580</v>
      </c>
      <c r="AD774" t="s">
        <v>406</v>
      </c>
      <c r="AE774" t="s">
        <v>566</v>
      </c>
      <c r="AF774">
        <v>2</v>
      </c>
      <c r="AG774">
        <v>192</v>
      </c>
      <c r="AH774" s="122">
        <v>1059</v>
      </c>
      <c r="AI774" s="122">
        <v>77005</v>
      </c>
      <c r="AJ774" s="122">
        <v>70004</v>
      </c>
      <c r="AK774">
        <v>76</v>
      </c>
      <c r="AL774" s="122">
        <v>9435</v>
      </c>
      <c r="AM774" s="122">
        <v>8578</v>
      </c>
      <c r="AN774" s="122">
        <v>3900</v>
      </c>
      <c r="AO774" s="122">
        <v>1444</v>
      </c>
      <c r="AP774" s="122">
        <v>1242</v>
      </c>
      <c r="AQ774">
        <v>460</v>
      </c>
      <c r="AR774" s="122">
        <v>10833</v>
      </c>
      <c r="AS774" s="122">
        <v>9848</v>
      </c>
      <c r="AT774">
        <v>0</v>
      </c>
      <c r="AU774">
        <v>0</v>
      </c>
      <c r="AV774" s="122">
        <v>90334</v>
      </c>
    </row>
    <row r="775" spans="2:48" ht="13">
      <c r="B775" t="s">
        <v>446</v>
      </c>
      <c r="C775" t="s">
        <v>64</v>
      </c>
      <c r="D775" t="s">
        <v>406</v>
      </c>
      <c r="E775" t="s">
        <v>406</v>
      </c>
      <c r="F775" s="122">
        <v>2</v>
      </c>
      <c r="G775" s="122">
        <v>164</v>
      </c>
      <c r="H775" s="122">
        <v>982</v>
      </c>
      <c r="I775" s="122">
        <v>49872</v>
      </c>
      <c r="J775" s="191">
        <v>45338</v>
      </c>
      <c r="K775" s="122">
        <v>72</v>
      </c>
      <c r="L775" s="122">
        <v>13629</v>
      </c>
      <c r="M775" s="122">
        <v>11357</v>
      </c>
      <c r="N775" s="122">
        <v>3373</v>
      </c>
      <c r="O775" s="122">
        <v>1249</v>
      </c>
      <c r="P775" s="122">
        <v>1242</v>
      </c>
      <c r="Q775">
        <v>460</v>
      </c>
      <c r="R775" s="122">
        <v>10197</v>
      </c>
      <c r="S775" s="122">
        <v>9270</v>
      </c>
      <c r="T775" s="122">
        <v>1557</v>
      </c>
      <c r="U775">
        <v>577</v>
      </c>
      <c r="V775" s="122">
        <v>68251</v>
      </c>
      <c r="W775" s="122">
        <f t="shared" ref="W775:W838" si="24">SUM(ABS(J775),ABS(M775),ABS(O775),ABS(Q775),ABS(S775),ABS(U775))</f>
        <v>68251</v>
      </c>
      <c r="X775" s="122">
        <f t="shared" ref="X775:X838" si="25">SUM(ABS(I775),ABS(N775),ABS(P775),ABS(R775),ABS(T775),ABS(L775))</f>
        <v>79870</v>
      </c>
      <c r="Y775" s="122"/>
      <c r="AA775" t="s">
        <v>64</v>
      </c>
      <c r="AB775" t="s">
        <v>406</v>
      </c>
      <c r="AC775" t="s">
        <v>580</v>
      </c>
      <c r="AD775" t="s">
        <v>426</v>
      </c>
      <c r="AE775" t="s">
        <v>566</v>
      </c>
      <c r="AF775">
        <v>1</v>
      </c>
      <c r="AG775">
        <v>150</v>
      </c>
      <c r="AH775">
        <v>552</v>
      </c>
      <c r="AI775" s="122">
        <v>56598</v>
      </c>
      <c r="AJ775" s="122">
        <v>51453</v>
      </c>
      <c r="AK775">
        <v>65</v>
      </c>
      <c r="AL775" s="122">
        <v>12955</v>
      </c>
      <c r="AM775" s="122">
        <v>11777</v>
      </c>
      <c r="AN775" s="122">
        <v>3545</v>
      </c>
      <c r="AO775" s="122">
        <v>1313</v>
      </c>
      <c r="AP775">
        <v>621</v>
      </c>
      <c r="AQ775">
        <v>230</v>
      </c>
      <c r="AR775" s="122">
        <v>9101</v>
      </c>
      <c r="AS775" s="122">
        <v>8274</v>
      </c>
      <c r="AT775">
        <v>0</v>
      </c>
      <c r="AU775">
        <v>0</v>
      </c>
      <c r="AV775" s="122">
        <v>73047</v>
      </c>
    </row>
    <row r="776" spans="2:48" ht="13">
      <c r="B776" t="s">
        <v>446</v>
      </c>
      <c r="C776" t="s">
        <v>64</v>
      </c>
      <c r="D776" t="s">
        <v>407</v>
      </c>
      <c r="E776" t="s">
        <v>137</v>
      </c>
      <c r="F776" s="122">
        <v>3</v>
      </c>
      <c r="G776" s="122">
        <v>107</v>
      </c>
      <c r="H776" s="122">
        <v>1649</v>
      </c>
      <c r="I776" s="122">
        <v>35085</v>
      </c>
      <c r="J776" s="191">
        <v>31895</v>
      </c>
      <c r="K776" s="122">
        <v>75</v>
      </c>
      <c r="L776" s="122">
        <v>6570</v>
      </c>
      <c r="M776" s="122">
        <v>2433</v>
      </c>
      <c r="N776" s="122">
        <v>2485</v>
      </c>
      <c r="O776">
        <v>920</v>
      </c>
      <c r="P776">
        <v>473</v>
      </c>
      <c r="Q776">
        <v>175</v>
      </c>
      <c r="R776" s="122">
        <v>12931</v>
      </c>
      <c r="S776" s="122">
        <v>4789</v>
      </c>
      <c r="T776">
        <v>0</v>
      </c>
      <c r="U776">
        <v>0</v>
      </c>
      <c r="V776" s="122">
        <v>40213</v>
      </c>
      <c r="W776" s="122">
        <f t="shared" si="24"/>
        <v>40212</v>
      </c>
      <c r="X776" s="122">
        <f t="shared" si="25"/>
        <v>57544</v>
      </c>
      <c r="Y776" s="122"/>
      <c r="AA776" t="s">
        <v>64</v>
      </c>
      <c r="AB776" t="s">
        <v>406</v>
      </c>
      <c r="AC776" t="s">
        <v>427</v>
      </c>
      <c r="AD776" t="s">
        <v>406</v>
      </c>
      <c r="AE776" t="s">
        <v>137</v>
      </c>
      <c r="AF776">
        <v>20</v>
      </c>
      <c r="AG776" s="122">
        <v>1749</v>
      </c>
      <c r="AH776" s="122">
        <v>10407</v>
      </c>
      <c r="AI776" s="122">
        <v>594860</v>
      </c>
      <c r="AJ776" s="122">
        <v>540782</v>
      </c>
      <c r="AK776">
        <v>72</v>
      </c>
      <c r="AL776" s="122">
        <v>131399</v>
      </c>
      <c r="AM776" s="122">
        <v>119453</v>
      </c>
      <c r="AN776" s="122">
        <v>37107</v>
      </c>
      <c r="AO776" s="122">
        <v>13743</v>
      </c>
      <c r="AP776" s="122">
        <v>12501</v>
      </c>
      <c r="AQ776" s="122">
        <v>4630</v>
      </c>
      <c r="AR776" s="122">
        <v>94097</v>
      </c>
      <c r="AS776" s="122">
        <v>85543</v>
      </c>
      <c r="AT776" s="122">
        <v>49197</v>
      </c>
      <c r="AU776" s="122">
        <v>18221</v>
      </c>
      <c r="AV776" s="122">
        <v>782372</v>
      </c>
    </row>
    <row r="777" spans="2:48" ht="13">
      <c r="B777" t="s">
        <v>446</v>
      </c>
      <c r="C777" t="s">
        <v>64</v>
      </c>
      <c r="D777" t="s">
        <v>407</v>
      </c>
      <c r="E777" t="s">
        <v>407</v>
      </c>
      <c r="F777" s="122">
        <v>16</v>
      </c>
      <c r="G777" s="122">
        <v>884</v>
      </c>
      <c r="H777" s="122">
        <v>8640</v>
      </c>
      <c r="I777" s="122">
        <v>303413</v>
      </c>
      <c r="J777" s="191">
        <v>275830</v>
      </c>
      <c r="K777" s="122">
        <v>70</v>
      </c>
      <c r="L777" s="122">
        <v>49094</v>
      </c>
      <c r="M777" s="122">
        <v>44290</v>
      </c>
      <c r="N777" s="122">
        <v>19457</v>
      </c>
      <c r="O777" s="122">
        <v>7206</v>
      </c>
      <c r="P777" s="122">
        <v>7439</v>
      </c>
      <c r="Q777" s="122">
        <v>2755</v>
      </c>
      <c r="R777" s="122">
        <v>64247</v>
      </c>
      <c r="S777" s="122">
        <v>58406</v>
      </c>
      <c r="T777" s="122">
        <v>28126</v>
      </c>
      <c r="U777" s="122">
        <v>10417</v>
      </c>
      <c r="V777" s="122">
        <v>398905</v>
      </c>
      <c r="W777" s="122">
        <f t="shared" si="24"/>
        <v>398904</v>
      </c>
      <c r="X777" s="122">
        <f t="shared" si="25"/>
        <v>471776</v>
      </c>
      <c r="Y777" s="122"/>
      <c r="AA777" t="s">
        <v>64</v>
      </c>
      <c r="AB777" t="s">
        <v>406</v>
      </c>
      <c r="AC777" t="s">
        <v>427</v>
      </c>
      <c r="AD777" t="s">
        <v>406</v>
      </c>
      <c r="AE777" t="s">
        <v>566</v>
      </c>
      <c r="AF777">
        <v>2</v>
      </c>
      <c r="AG777">
        <v>136</v>
      </c>
      <c r="AH777">
        <v>990</v>
      </c>
      <c r="AI777" s="122">
        <v>44850</v>
      </c>
      <c r="AJ777" s="122">
        <v>40772</v>
      </c>
      <c r="AK777">
        <v>84</v>
      </c>
      <c r="AL777" s="122">
        <v>8636</v>
      </c>
      <c r="AM777" s="122">
        <v>7851</v>
      </c>
      <c r="AN777" s="122">
        <v>3191</v>
      </c>
      <c r="AO777" s="122">
        <v>1182</v>
      </c>
      <c r="AP777" s="122">
        <v>1242</v>
      </c>
      <c r="AQ777">
        <v>460</v>
      </c>
      <c r="AR777" s="122">
        <v>8819</v>
      </c>
      <c r="AS777" s="122">
        <v>8017</v>
      </c>
      <c r="AT777">
        <v>0</v>
      </c>
      <c r="AU777">
        <v>0</v>
      </c>
      <c r="AV777" s="122">
        <v>58282</v>
      </c>
    </row>
    <row r="778" spans="2:48" ht="13">
      <c r="B778" t="s">
        <v>446</v>
      </c>
      <c r="C778" t="s">
        <v>64</v>
      </c>
      <c r="D778" t="s">
        <v>556</v>
      </c>
      <c r="E778" t="s">
        <v>137</v>
      </c>
      <c r="F778" s="122">
        <v>1</v>
      </c>
      <c r="G778" s="122">
        <v>80</v>
      </c>
      <c r="H778" s="122">
        <v>1008</v>
      </c>
      <c r="I778" s="122">
        <v>74758</v>
      </c>
      <c r="J778" s="191">
        <v>62298</v>
      </c>
      <c r="K778" s="122">
        <v>30</v>
      </c>
      <c r="L778">
        <v>0</v>
      </c>
      <c r="M778">
        <v>0</v>
      </c>
      <c r="N778" s="122">
        <v>1741</v>
      </c>
      <c r="O778">
        <v>645</v>
      </c>
      <c r="P778">
        <v>0</v>
      </c>
      <c r="Q778">
        <v>0</v>
      </c>
      <c r="R778" s="122">
        <v>4442</v>
      </c>
      <c r="S778" s="122">
        <v>1645</v>
      </c>
      <c r="T778">
        <v>0</v>
      </c>
      <c r="U778">
        <v>0</v>
      </c>
      <c r="V778" s="122">
        <v>64589</v>
      </c>
      <c r="W778" s="122">
        <f t="shared" si="24"/>
        <v>64588</v>
      </c>
      <c r="X778" s="122">
        <f t="shared" si="25"/>
        <v>80941</v>
      </c>
      <c r="Y778" s="122"/>
      <c r="AA778" t="s">
        <v>64</v>
      </c>
      <c r="AB778" t="s">
        <v>406</v>
      </c>
      <c r="AC778" t="s">
        <v>407</v>
      </c>
      <c r="AD778" t="s">
        <v>406</v>
      </c>
      <c r="AE778" t="s">
        <v>137</v>
      </c>
      <c r="AF778">
        <v>1</v>
      </c>
      <c r="AG778">
        <v>117</v>
      </c>
      <c r="AH778">
        <v>505</v>
      </c>
      <c r="AI778" s="122">
        <v>39998</v>
      </c>
      <c r="AJ778" s="122">
        <v>36362</v>
      </c>
      <c r="AK778">
        <v>65</v>
      </c>
      <c r="AL778" s="122">
        <v>9155</v>
      </c>
      <c r="AM778" s="122">
        <v>8323</v>
      </c>
      <c r="AN778" s="122">
        <v>2650</v>
      </c>
      <c r="AO778">
        <v>982</v>
      </c>
      <c r="AP778">
        <v>621</v>
      </c>
      <c r="AQ778">
        <v>230</v>
      </c>
      <c r="AR778" s="122">
        <v>4393</v>
      </c>
      <c r="AS778" s="122">
        <v>3994</v>
      </c>
      <c r="AT778" s="122">
        <v>2193</v>
      </c>
      <c r="AU778">
        <v>812</v>
      </c>
      <c r="AV778" s="122">
        <v>50702</v>
      </c>
    </row>
    <row r="779" spans="2:48" ht="13">
      <c r="B779" t="s">
        <v>446</v>
      </c>
      <c r="C779" t="s">
        <v>64</v>
      </c>
      <c r="D779" t="s">
        <v>556</v>
      </c>
      <c r="E779" t="s">
        <v>556</v>
      </c>
      <c r="F779">
        <v>2</v>
      </c>
      <c r="G779">
        <v>82</v>
      </c>
      <c r="H779" s="122">
        <v>1280</v>
      </c>
      <c r="I779" s="122">
        <v>28260</v>
      </c>
      <c r="J779" s="191">
        <v>23550</v>
      </c>
      <c r="K779">
        <v>53</v>
      </c>
      <c r="L779" s="122">
        <v>4230</v>
      </c>
      <c r="M779" s="122">
        <v>3525</v>
      </c>
      <c r="N779" s="122">
        <v>1778</v>
      </c>
      <c r="O779">
        <v>659</v>
      </c>
      <c r="P779">
        <v>702</v>
      </c>
      <c r="Q779">
        <v>260</v>
      </c>
      <c r="R779" s="122">
        <v>11748</v>
      </c>
      <c r="S779" s="122">
        <v>9790</v>
      </c>
      <c r="T779" s="122">
        <v>4653</v>
      </c>
      <c r="U779" s="122">
        <v>1723</v>
      </c>
      <c r="V779" s="122">
        <v>39507</v>
      </c>
      <c r="W779" s="122">
        <f t="shared" si="24"/>
        <v>39507</v>
      </c>
      <c r="X779" s="122">
        <f t="shared" si="25"/>
        <v>51371</v>
      </c>
      <c r="Y779" s="122"/>
      <c r="AA779" t="s">
        <v>64</v>
      </c>
      <c r="AB779" t="s">
        <v>406</v>
      </c>
      <c r="AC779" t="s">
        <v>579</v>
      </c>
      <c r="AD779" t="s">
        <v>137</v>
      </c>
      <c r="AE779" t="s">
        <v>566</v>
      </c>
      <c r="AF779">
        <v>5</v>
      </c>
      <c r="AG779">
        <v>292</v>
      </c>
      <c r="AH779" s="122">
        <v>2727</v>
      </c>
      <c r="AI779" s="122">
        <v>96651</v>
      </c>
      <c r="AJ779" s="122">
        <v>87864</v>
      </c>
      <c r="AK779">
        <v>81</v>
      </c>
      <c r="AL779" s="122">
        <v>28403</v>
      </c>
      <c r="AM779" s="122">
        <v>23669</v>
      </c>
      <c r="AN779" s="122">
        <v>6395</v>
      </c>
      <c r="AO779" s="122">
        <v>2369</v>
      </c>
      <c r="AP779" s="122">
        <v>2835</v>
      </c>
      <c r="AQ779" s="122">
        <v>1050</v>
      </c>
      <c r="AR779" s="122">
        <v>27316</v>
      </c>
      <c r="AS779" s="122">
        <v>10117</v>
      </c>
      <c r="AT779">
        <v>0</v>
      </c>
      <c r="AU779">
        <v>0</v>
      </c>
      <c r="AV779" s="122">
        <v>125069</v>
      </c>
    </row>
    <row r="780" spans="2:48" ht="13">
      <c r="B780" t="s">
        <v>446</v>
      </c>
      <c r="C780" t="s">
        <v>64</v>
      </c>
      <c r="D780" t="s">
        <v>426</v>
      </c>
      <c r="E780" t="s">
        <v>426</v>
      </c>
      <c r="F780">
        <v>1</v>
      </c>
      <c r="G780">
        <v>33</v>
      </c>
      <c r="H780" s="122">
        <v>516</v>
      </c>
      <c r="I780" s="122">
        <v>7282</v>
      </c>
      <c r="J780" s="191">
        <v>6620</v>
      </c>
      <c r="K780" s="122">
        <v>55</v>
      </c>
      <c r="L780" s="122">
        <v>1092</v>
      </c>
      <c r="M780">
        <v>405</v>
      </c>
      <c r="N780">
        <v>775</v>
      </c>
      <c r="O780">
        <v>287</v>
      </c>
      <c r="P780">
        <v>351</v>
      </c>
      <c r="Q780">
        <v>130</v>
      </c>
      <c r="R780" s="122">
        <v>5226</v>
      </c>
      <c r="S780" s="122">
        <v>4751</v>
      </c>
      <c r="T780" s="122">
        <v>2388</v>
      </c>
      <c r="U780">
        <v>884</v>
      </c>
      <c r="V780" s="122">
        <v>13077</v>
      </c>
      <c r="W780" s="122">
        <f t="shared" si="24"/>
        <v>13077</v>
      </c>
      <c r="X780" s="122">
        <f t="shared" si="25"/>
        <v>17114</v>
      </c>
      <c r="Y780" s="122"/>
      <c r="AA780" t="s">
        <v>64</v>
      </c>
      <c r="AB780" t="s">
        <v>406</v>
      </c>
      <c r="AC780" t="s">
        <v>579</v>
      </c>
      <c r="AD780" t="s">
        <v>406</v>
      </c>
      <c r="AE780" t="s">
        <v>137</v>
      </c>
      <c r="AF780">
        <v>29</v>
      </c>
      <c r="AG780" s="122">
        <v>2608</v>
      </c>
      <c r="AH780" s="122">
        <v>15598</v>
      </c>
      <c r="AI780" s="122">
        <v>901033</v>
      </c>
      <c r="AJ780" s="122">
        <v>819121</v>
      </c>
      <c r="AK780">
        <v>72</v>
      </c>
      <c r="AL780" s="122">
        <v>235695</v>
      </c>
      <c r="AM780" s="122">
        <v>196413</v>
      </c>
      <c r="AN780" s="122">
        <v>54042</v>
      </c>
      <c r="AO780" s="122">
        <v>20015</v>
      </c>
      <c r="AP780" s="122">
        <v>18482</v>
      </c>
      <c r="AQ780" s="122">
        <v>6845</v>
      </c>
      <c r="AR780" s="122">
        <v>117837</v>
      </c>
      <c r="AS780" s="122">
        <v>107125</v>
      </c>
      <c r="AT780" s="122">
        <v>59085</v>
      </c>
      <c r="AU780" s="122">
        <v>21883</v>
      </c>
      <c r="AV780" s="122">
        <v>1171402</v>
      </c>
    </row>
    <row r="781" spans="2:48" ht="13">
      <c r="B781" t="s">
        <v>447</v>
      </c>
      <c r="C781" t="s">
        <v>50</v>
      </c>
      <c r="D781" t="s">
        <v>407</v>
      </c>
      <c r="E781" t="s">
        <v>407</v>
      </c>
      <c r="F781">
        <v>1</v>
      </c>
      <c r="G781">
        <v>63</v>
      </c>
      <c r="H781" s="122">
        <v>98</v>
      </c>
      <c r="I781">
        <v>682</v>
      </c>
      <c r="J781" s="66">
        <v>620</v>
      </c>
      <c r="K781" s="122">
        <v>81</v>
      </c>
      <c r="L781">
        <v>340</v>
      </c>
      <c r="M781">
        <v>126</v>
      </c>
      <c r="N781">
        <v>921</v>
      </c>
      <c r="O781">
        <v>341</v>
      </c>
      <c r="P781">
        <v>473</v>
      </c>
      <c r="Q781">
        <v>175</v>
      </c>
      <c r="R781" s="122">
        <v>3759</v>
      </c>
      <c r="S781" s="122">
        <v>3418</v>
      </c>
      <c r="T781">
        <v>0</v>
      </c>
      <c r="U781">
        <v>0</v>
      </c>
      <c r="V781" s="122">
        <v>4680</v>
      </c>
      <c r="W781" s="122">
        <f t="shared" si="24"/>
        <v>4680</v>
      </c>
      <c r="X781" s="122">
        <f t="shared" si="25"/>
        <v>6175</v>
      </c>
      <c r="Y781" s="122"/>
      <c r="AA781" t="s">
        <v>64</v>
      </c>
      <c r="AB781" t="s">
        <v>406</v>
      </c>
      <c r="AC781" t="s">
        <v>579</v>
      </c>
      <c r="AD781" t="s">
        <v>406</v>
      </c>
      <c r="AE781" t="s">
        <v>566</v>
      </c>
      <c r="AF781">
        <v>9</v>
      </c>
      <c r="AG781">
        <v>848</v>
      </c>
      <c r="AH781" s="122">
        <v>4897</v>
      </c>
      <c r="AI781" s="122">
        <v>323655</v>
      </c>
      <c r="AJ781" s="122">
        <v>294232</v>
      </c>
      <c r="AK781">
        <v>72</v>
      </c>
      <c r="AL781" s="122">
        <v>78216</v>
      </c>
      <c r="AM781" s="122">
        <v>65180</v>
      </c>
      <c r="AN781" s="122">
        <v>18319</v>
      </c>
      <c r="AO781" s="122">
        <v>6785</v>
      </c>
      <c r="AP781" s="122">
        <v>5589</v>
      </c>
      <c r="AQ781" s="122">
        <v>2070</v>
      </c>
      <c r="AR781" s="122">
        <v>55479</v>
      </c>
      <c r="AS781" s="122">
        <v>50436</v>
      </c>
      <c r="AT781">
        <v>0</v>
      </c>
      <c r="AU781">
        <v>0</v>
      </c>
      <c r="AV781" s="122">
        <v>418702</v>
      </c>
    </row>
    <row r="782" spans="2:48" ht="13">
      <c r="B782" t="s">
        <v>447</v>
      </c>
      <c r="C782" t="s">
        <v>52</v>
      </c>
      <c r="D782" t="s">
        <v>407</v>
      </c>
      <c r="E782" t="s">
        <v>407</v>
      </c>
      <c r="F782" s="122">
        <v>11</v>
      </c>
      <c r="G782" s="122">
        <v>821</v>
      </c>
      <c r="H782" s="122">
        <v>1250</v>
      </c>
      <c r="I782" s="122">
        <v>28162</v>
      </c>
      <c r="J782" s="191">
        <v>25601</v>
      </c>
      <c r="K782" s="122">
        <v>85</v>
      </c>
      <c r="L782" s="122">
        <v>1718</v>
      </c>
      <c r="M782">
        <v>636</v>
      </c>
      <c r="N782" s="122">
        <v>14810</v>
      </c>
      <c r="O782" s="122">
        <v>5485</v>
      </c>
      <c r="P782" s="122">
        <v>5198</v>
      </c>
      <c r="Q782" s="122">
        <v>1925</v>
      </c>
      <c r="R782" s="122">
        <v>42997</v>
      </c>
      <c r="S782" s="122">
        <v>39088</v>
      </c>
      <c r="T782">
        <v>0</v>
      </c>
      <c r="U782">
        <v>0</v>
      </c>
      <c r="V782" s="122">
        <v>72736</v>
      </c>
      <c r="W782" s="122">
        <f t="shared" si="24"/>
        <v>72735</v>
      </c>
      <c r="X782" s="122">
        <f t="shared" si="25"/>
        <v>92885</v>
      </c>
      <c r="Y782" s="122"/>
      <c r="AA782" t="s">
        <v>64</v>
      </c>
      <c r="AB782" t="s">
        <v>406</v>
      </c>
      <c r="AC782" t="s">
        <v>431</v>
      </c>
      <c r="AD782" t="s">
        <v>406</v>
      </c>
      <c r="AE782" t="s">
        <v>137</v>
      </c>
      <c r="AF782">
        <v>6</v>
      </c>
      <c r="AG782">
        <v>502</v>
      </c>
      <c r="AH782" s="122">
        <v>3299</v>
      </c>
      <c r="AI782" s="122">
        <v>190886</v>
      </c>
      <c r="AJ782" s="122">
        <v>173533</v>
      </c>
      <c r="AK782">
        <v>75</v>
      </c>
      <c r="AL782" s="122">
        <v>31506</v>
      </c>
      <c r="AM782" s="122">
        <v>28642</v>
      </c>
      <c r="AN782" s="122">
        <v>10309</v>
      </c>
      <c r="AO782" s="122">
        <v>3818</v>
      </c>
      <c r="AP782" s="122">
        <v>3726</v>
      </c>
      <c r="AQ782" s="122">
        <v>1380</v>
      </c>
      <c r="AR782" s="122">
        <v>28360</v>
      </c>
      <c r="AS782" s="122">
        <v>25782</v>
      </c>
      <c r="AT782" s="122">
        <v>12145</v>
      </c>
      <c r="AU782" s="122">
        <v>4498</v>
      </c>
      <c r="AV782" s="122">
        <v>237653</v>
      </c>
    </row>
    <row r="783" spans="2:48" ht="13">
      <c r="B783" t="s">
        <v>447</v>
      </c>
      <c r="C783" t="s">
        <v>54</v>
      </c>
      <c r="D783" t="s">
        <v>137</v>
      </c>
      <c r="E783" t="s">
        <v>137</v>
      </c>
      <c r="F783" s="122">
        <v>2</v>
      </c>
      <c r="G783" s="122">
        <v>157</v>
      </c>
      <c r="H783" s="122">
        <v>292</v>
      </c>
      <c r="I783" s="122">
        <v>6365</v>
      </c>
      <c r="J783" s="191">
        <v>2357</v>
      </c>
      <c r="K783" s="122">
        <v>100</v>
      </c>
      <c r="L783" s="122">
        <v>1349</v>
      </c>
      <c r="M783">
        <v>500</v>
      </c>
      <c r="N783" s="122">
        <v>2503</v>
      </c>
      <c r="O783">
        <v>927</v>
      </c>
      <c r="P783">
        <v>0</v>
      </c>
      <c r="Q783">
        <v>0</v>
      </c>
      <c r="R783" s="122">
        <v>12684</v>
      </c>
      <c r="S783" s="122">
        <v>4698</v>
      </c>
      <c r="T783">
        <v>0</v>
      </c>
      <c r="U783">
        <v>0</v>
      </c>
      <c r="V783" s="122">
        <v>8482</v>
      </c>
      <c r="W783" s="122">
        <f t="shared" si="24"/>
        <v>8482</v>
      </c>
      <c r="X783" s="122">
        <f t="shared" si="25"/>
        <v>22901</v>
      </c>
      <c r="Y783" s="122"/>
      <c r="AA783" t="s">
        <v>64</v>
      </c>
      <c r="AB783" t="s">
        <v>406</v>
      </c>
      <c r="AC783" t="s">
        <v>426</v>
      </c>
      <c r="AD783" t="s">
        <v>425</v>
      </c>
      <c r="AE783" t="s">
        <v>566</v>
      </c>
      <c r="AF783">
        <v>1</v>
      </c>
      <c r="AG783">
        <v>210</v>
      </c>
      <c r="AH783">
        <v>473</v>
      </c>
      <c r="AI783" s="122">
        <v>78047</v>
      </c>
      <c r="AJ783" s="122">
        <v>70952</v>
      </c>
      <c r="AK783">
        <v>70</v>
      </c>
      <c r="AL783" s="122">
        <v>9611</v>
      </c>
      <c r="AM783" s="122">
        <v>8738</v>
      </c>
      <c r="AN783" s="122">
        <v>4733</v>
      </c>
      <c r="AO783" s="122">
        <v>1753</v>
      </c>
      <c r="AP783">
        <v>621</v>
      </c>
      <c r="AQ783">
        <v>230</v>
      </c>
      <c r="AR783" s="122">
        <v>6345</v>
      </c>
      <c r="AS783" s="122">
        <v>5768</v>
      </c>
      <c r="AT783">
        <v>0</v>
      </c>
      <c r="AU783">
        <v>0</v>
      </c>
      <c r="AV783" s="122">
        <v>87440</v>
      </c>
    </row>
    <row r="784" spans="2:48" ht="13">
      <c r="B784" t="s">
        <v>447</v>
      </c>
      <c r="C784" t="s">
        <v>54</v>
      </c>
      <c r="D784" t="s">
        <v>407</v>
      </c>
      <c r="E784" t="s">
        <v>407</v>
      </c>
      <c r="F784">
        <v>26</v>
      </c>
      <c r="G784" s="122">
        <v>1579</v>
      </c>
      <c r="H784" s="122">
        <v>3582</v>
      </c>
      <c r="I784" s="122">
        <v>62106</v>
      </c>
      <c r="J784" s="191">
        <v>56460</v>
      </c>
      <c r="K784" s="122">
        <v>84</v>
      </c>
      <c r="L784" s="122">
        <v>6862</v>
      </c>
      <c r="M784" s="122">
        <v>2541</v>
      </c>
      <c r="N784" s="122">
        <v>31331</v>
      </c>
      <c r="O784" s="122">
        <v>11604</v>
      </c>
      <c r="P784" s="122">
        <v>12285</v>
      </c>
      <c r="Q784" s="122">
        <v>4550</v>
      </c>
      <c r="R784" s="122">
        <v>102583</v>
      </c>
      <c r="S784" s="122">
        <v>93257</v>
      </c>
      <c r="T784" s="122">
        <v>1834</v>
      </c>
      <c r="U784">
        <v>679</v>
      </c>
      <c r="V784" s="122">
        <v>169092</v>
      </c>
      <c r="W784" s="122">
        <f t="shared" si="24"/>
        <v>169091</v>
      </c>
      <c r="X784" s="122">
        <f t="shared" si="25"/>
        <v>217001</v>
      </c>
      <c r="Y784" s="122"/>
      <c r="AA784" t="s">
        <v>64</v>
      </c>
      <c r="AB784" t="s">
        <v>406</v>
      </c>
      <c r="AC784" t="s">
        <v>426</v>
      </c>
      <c r="AD784" t="s">
        <v>137</v>
      </c>
      <c r="AE784" t="s">
        <v>566</v>
      </c>
      <c r="AF784">
        <v>6</v>
      </c>
      <c r="AG784">
        <v>734</v>
      </c>
      <c r="AH784" s="122">
        <v>3068</v>
      </c>
      <c r="AI784" s="122">
        <v>245887</v>
      </c>
      <c r="AJ784" s="122">
        <v>223533</v>
      </c>
      <c r="AK784">
        <v>69</v>
      </c>
      <c r="AL784" s="122">
        <v>58244</v>
      </c>
      <c r="AM784" s="122">
        <v>52949</v>
      </c>
      <c r="AN784" s="122">
        <v>17278</v>
      </c>
      <c r="AO784" s="122">
        <v>6399</v>
      </c>
      <c r="AP784" s="122">
        <v>3726</v>
      </c>
      <c r="AQ784" s="122">
        <v>1380</v>
      </c>
      <c r="AR784" s="122">
        <v>39768</v>
      </c>
      <c r="AS784" s="122">
        <v>14729</v>
      </c>
      <c r="AT784">
        <v>0</v>
      </c>
      <c r="AU784">
        <v>0</v>
      </c>
      <c r="AV784" s="122">
        <v>298991</v>
      </c>
    </row>
    <row r="785" spans="2:48" ht="13">
      <c r="B785" t="s">
        <v>447</v>
      </c>
      <c r="C785" t="s">
        <v>56</v>
      </c>
      <c r="F785">
        <v>11</v>
      </c>
      <c r="G785" s="122">
        <v>523</v>
      </c>
      <c r="H785" s="122">
        <v>2213</v>
      </c>
      <c r="J785" s="191">
        <v>0</v>
      </c>
      <c r="K785" s="122"/>
      <c r="M785">
        <v>0</v>
      </c>
      <c r="N785" s="122">
        <v>10421</v>
      </c>
      <c r="O785" s="122">
        <v>3860</v>
      </c>
      <c r="P785">
        <v>0</v>
      </c>
      <c r="Q785">
        <v>0</v>
      </c>
      <c r="S785">
        <v>0</v>
      </c>
      <c r="T785">
        <v>0</v>
      </c>
      <c r="U785">
        <v>0</v>
      </c>
      <c r="V785" s="122">
        <v>3860</v>
      </c>
      <c r="W785" s="122">
        <f t="shared" si="24"/>
        <v>3860</v>
      </c>
      <c r="X785" s="122">
        <f t="shared" si="25"/>
        <v>10421</v>
      </c>
      <c r="Y785" s="122"/>
      <c r="AA785" t="s">
        <v>64</v>
      </c>
      <c r="AB785" t="s">
        <v>406</v>
      </c>
      <c r="AC785" t="s">
        <v>426</v>
      </c>
      <c r="AD785" t="s">
        <v>406</v>
      </c>
      <c r="AE785" t="s">
        <v>137</v>
      </c>
      <c r="AF785">
        <v>93</v>
      </c>
      <c r="AG785" s="122">
        <v>8838</v>
      </c>
      <c r="AH785" s="122">
        <v>52880</v>
      </c>
      <c r="AI785" s="122">
        <v>3334103</v>
      </c>
      <c r="AJ785" s="122">
        <v>3031002</v>
      </c>
      <c r="AK785">
        <v>71</v>
      </c>
      <c r="AL785" s="122">
        <v>700785</v>
      </c>
      <c r="AM785" s="122">
        <v>637077</v>
      </c>
      <c r="AN785" s="122">
        <v>195464</v>
      </c>
      <c r="AO785" s="122">
        <v>72394</v>
      </c>
      <c r="AP785" s="122">
        <v>59211</v>
      </c>
      <c r="AQ785" s="122">
        <v>21930</v>
      </c>
      <c r="AR785" s="122">
        <v>406126</v>
      </c>
      <c r="AS785" s="122">
        <v>369206</v>
      </c>
      <c r="AT785" s="122">
        <v>211861</v>
      </c>
      <c r="AU785" s="122">
        <v>78467</v>
      </c>
      <c r="AV785" s="122">
        <v>4210076</v>
      </c>
    </row>
    <row r="786" spans="2:48" ht="13">
      <c r="B786" t="s">
        <v>447</v>
      </c>
      <c r="C786" t="s">
        <v>56</v>
      </c>
      <c r="D786" t="s">
        <v>137</v>
      </c>
      <c r="E786" t="s">
        <v>137</v>
      </c>
      <c r="F786">
        <v>43</v>
      </c>
      <c r="G786" s="122">
        <v>2624</v>
      </c>
      <c r="H786" s="122">
        <v>8342</v>
      </c>
      <c r="I786" s="122">
        <v>185565</v>
      </c>
      <c r="J786" s="191">
        <v>68728</v>
      </c>
      <c r="K786">
        <v>100</v>
      </c>
      <c r="L786" s="122">
        <v>28106</v>
      </c>
      <c r="M786" s="122">
        <v>10410</v>
      </c>
      <c r="N786" s="122">
        <v>52567</v>
      </c>
      <c r="O786" s="122">
        <v>19469</v>
      </c>
      <c r="P786">
        <v>0</v>
      </c>
      <c r="Q786">
        <v>0</v>
      </c>
      <c r="R786" s="122">
        <v>244962</v>
      </c>
      <c r="S786" s="122">
        <v>90727</v>
      </c>
      <c r="T786">
        <v>0</v>
      </c>
      <c r="U786">
        <v>0</v>
      </c>
      <c r="V786" s="122">
        <v>189333</v>
      </c>
      <c r="W786" s="122">
        <f t="shared" si="24"/>
        <v>189334</v>
      </c>
      <c r="X786" s="122">
        <f t="shared" si="25"/>
        <v>511200</v>
      </c>
      <c r="Y786" s="122"/>
      <c r="AA786" t="s">
        <v>64</v>
      </c>
      <c r="AB786" t="s">
        <v>406</v>
      </c>
      <c r="AC786" t="s">
        <v>426</v>
      </c>
      <c r="AD786" t="s">
        <v>406</v>
      </c>
      <c r="AE786" t="s">
        <v>566</v>
      </c>
      <c r="AF786">
        <v>30</v>
      </c>
      <c r="AG786" s="122">
        <v>2851</v>
      </c>
      <c r="AH786" s="122">
        <v>16767</v>
      </c>
      <c r="AI786" s="122">
        <v>1124459</v>
      </c>
      <c r="AJ786" s="122">
        <v>1022236</v>
      </c>
      <c r="AK786">
        <v>72</v>
      </c>
      <c r="AL786" s="122">
        <v>232733</v>
      </c>
      <c r="AM786" s="122">
        <v>211575</v>
      </c>
      <c r="AN786" s="122">
        <v>61391</v>
      </c>
      <c r="AO786" s="122">
        <v>22737</v>
      </c>
      <c r="AP786" s="122">
        <v>18981</v>
      </c>
      <c r="AQ786" s="122">
        <v>7030</v>
      </c>
      <c r="AR786" s="122">
        <v>182576</v>
      </c>
      <c r="AS786" s="122">
        <v>165978</v>
      </c>
      <c r="AT786">
        <v>0</v>
      </c>
      <c r="AU786">
        <v>0</v>
      </c>
      <c r="AV786" s="122">
        <v>1429556</v>
      </c>
    </row>
    <row r="787" spans="2:48" ht="13">
      <c r="B787" t="s">
        <v>447</v>
      </c>
      <c r="C787" t="s">
        <v>56</v>
      </c>
      <c r="D787" t="s">
        <v>407</v>
      </c>
      <c r="E787" t="s">
        <v>407</v>
      </c>
      <c r="F787">
        <v>73</v>
      </c>
      <c r="G787" s="122">
        <v>4149</v>
      </c>
      <c r="H787" s="122">
        <v>13427</v>
      </c>
      <c r="I787" s="122">
        <v>336882</v>
      </c>
      <c r="J787" s="191">
        <v>306257</v>
      </c>
      <c r="K787" s="122">
        <v>82</v>
      </c>
      <c r="L787" s="122">
        <v>13324</v>
      </c>
      <c r="M787" s="122">
        <v>8986</v>
      </c>
      <c r="N787" s="122">
        <v>79356</v>
      </c>
      <c r="O787" s="122">
        <v>29391</v>
      </c>
      <c r="P787" s="122">
        <v>34419</v>
      </c>
      <c r="Q787" s="122">
        <v>12748</v>
      </c>
      <c r="R787" s="122">
        <v>278418</v>
      </c>
      <c r="S787" s="122">
        <v>253107</v>
      </c>
      <c r="T787" s="122">
        <v>16503</v>
      </c>
      <c r="U787" s="122">
        <v>6112</v>
      </c>
      <c r="V787" s="122">
        <v>616601</v>
      </c>
      <c r="W787" s="122">
        <f t="shared" si="24"/>
        <v>616601</v>
      </c>
      <c r="X787" s="122">
        <f t="shared" si="25"/>
        <v>758902</v>
      </c>
      <c r="Y787" s="122"/>
      <c r="AA787" t="s">
        <v>64</v>
      </c>
      <c r="AB787" t="s">
        <v>406</v>
      </c>
      <c r="AC787" t="s">
        <v>426</v>
      </c>
      <c r="AD787" t="s">
        <v>426</v>
      </c>
      <c r="AE787" t="s">
        <v>137</v>
      </c>
      <c r="AF787">
        <v>1</v>
      </c>
      <c r="AG787">
        <v>190</v>
      </c>
      <c r="AH787">
        <v>513</v>
      </c>
      <c r="AI787" s="122">
        <v>72579</v>
      </c>
      <c r="AJ787" s="122">
        <v>65981</v>
      </c>
      <c r="AK787">
        <v>65</v>
      </c>
      <c r="AL787" s="122">
        <v>8306</v>
      </c>
      <c r="AM787" s="122">
        <v>7551</v>
      </c>
      <c r="AN787" s="122">
        <v>3351</v>
      </c>
      <c r="AO787" s="122">
        <v>1241</v>
      </c>
      <c r="AP787">
        <v>621</v>
      </c>
      <c r="AQ787">
        <v>230</v>
      </c>
      <c r="AR787" s="122">
        <v>8788</v>
      </c>
      <c r="AS787" s="122">
        <v>7989</v>
      </c>
      <c r="AT787" s="122">
        <v>3694</v>
      </c>
      <c r="AU787" s="122">
        <v>1368</v>
      </c>
      <c r="AV787" s="122">
        <v>84361</v>
      </c>
    </row>
    <row r="788" spans="2:48" ht="13">
      <c r="B788" t="s">
        <v>447</v>
      </c>
      <c r="C788" t="s">
        <v>58</v>
      </c>
      <c r="F788" s="122">
        <v>7</v>
      </c>
      <c r="G788" s="122">
        <v>312</v>
      </c>
      <c r="H788" s="122">
        <v>1789</v>
      </c>
      <c r="J788" s="191">
        <v>0</v>
      </c>
      <c r="K788" s="122"/>
      <c r="M788">
        <v>0</v>
      </c>
      <c r="N788" s="122">
        <v>6520</v>
      </c>
      <c r="O788" s="122">
        <v>2415</v>
      </c>
      <c r="P788">
        <v>351</v>
      </c>
      <c r="Q788">
        <v>130</v>
      </c>
      <c r="S788">
        <v>0</v>
      </c>
      <c r="T788">
        <v>0</v>
      </c>
      <c r="U788">
        <v>0</v>
      </c>
      <c r="V788" s="122">
        <v>2545</v>
      </c>
      <c r="W788" s="122">
        <f t="shared" si="24"/>
        <v>2545</v>
      </c>
      <c r="X788" s="122">
        <f t="shared" si="25"/>
        <v>6871</v>
      </c>
      <c r="Y788" s="122"/>
      <c r="AA788" t="s">
        <v>64</v>
      </c>
      <c r="AB788" t="s">
        <v>406</v>
      </c>
      <c r="AC788" t="s">
        <v>566</v>
      </c>
      <c r="AD788" t="s">
        <v>137</v>
      </c>
      <c r="AE788" t="s">
        <v>566</v>
      </c>
      <c r="AF788">
        <v>18</v>
      </c>
      <c r="AG788">
        <v>783</v>
      </c>
      <c r="AH788" s="122">
        <v>9601</v>
      </c>
      <c r="AI788" s="122">
        <v>265112</v>
      </c>
      <c r="AJ788" s="122">
        <v>241011</v>
      </c>
      <c r="AK788">
        <v>73</v>
      </c>
      <c r="AL788">
        <v>0</v>
      </c>
      <c r="AM788">
        <v>0</v>
      </c>
      <c r="AN788" s="122">
        <v>16309</v>
      </c>
      <c r="AO788" s="122">
        <v>6040</v>
      </c>
      <c r="AP788" s="122">
        <v>9396</v>
      </c>
      <c r="AQ788" s="122">
        <v>3480</v>
      </c>
      <c r="AR788" s="122">
        <v>125820</v>
      </c>
      <c r="AS788" s="122">
        <v>46600</v>
      </c>
      <c r="AT788">
        <v>0</v>
      </c>
      <c r="AU788">
        <v>0</v>
      </c>
      <c r="AV788" s="122">
        <v>297132</v>
      </c>
    </row>
    <row r="789" spans="2:48" ht="13">
      <c r="B789" t="s">
        <v>447</v>
      </c>
      <c r="C789" t="s">
        <v>58</v>
      </c>
      <c r="D789" t="s">
        <v>137</v>
      </c>
      <c r="E789" t="s">
        <v>137</v>
      </c>
      <c r="F789" s="122">
        <v>57</v>
      </c>
      <c r="G789" s="122">
        <v>3416</v>
      </c>
      <c r="H789" s="122">
        <v>15045</v>
      </c>
      <c r="I789" s="122">
        <v>448650</v>
      </c>
      <c r="J789" s="191">
        <v>166167</v>
      </c>
      <c r="K789" s="122">
        <v>100</v>
      </c>
      <c r="L789" s="122">
        <v>41369</v>
      </c>
      <c r="M789" s="122">
        <v>15322</v>
      </c>
      <c r="N789" s="122">
        <v>71671</v>
      </c>
      <c r="O789" s="122">
        <v>26545</v>
      </c>
      <c r="P789" s="122">
        <v>1404</v>
      </c>
      <c r="Q789">
        <v>520</v>
      </c>
      <c r="R789" s="122">
        <v>339433</v>
      </c>
      <c r="S789" s="122">
        <v>125716</v>
      </c>
      <c r="T789">
        <v>0</v>
      </c>
      <c r="U789">
        <v>0</v>
      </c>
      <c r="V789" s="122">
        <v>334269</v>
      </c>
      <c r="W789" s="122">
        <f t="shared" si="24"/>
        <v>334270</v>
      </c>
      <c r="X789" s="122">
        <f t="shared" si="25"/>
        <v>902527</v>
      </c>
      <c r="Y789" s="122"/>
      <c r="AA789" t="s">
        <v>64</v>
      </c>
      <c r="AB789" t="s">
        <v>406</v>
      </c>
      <c r="AC789" t="s">
        <v>566</v>
      </c>
      <c r="AD789" t="s">
        <v>406</v>
      </c>
      <c r="AE789" t="s">
        <v>137</v>
      </c>
      <c r="AF789">
        <v>37</v>
      </c>
      <c r="AG789" s="122">
        <v>2089</v>
      </c>
      <c r="AH789" s="122">
        <v>20834</v>
      </c>
      <c r="AI789" s="122">
        <v>871995</v>
      </c>
      <c r="AJ789" s="122">
        <v>792723</v>
      </c>
      <c r="AK789">
        <v>72</v>
      </c>
      <c r="AL789">
        <v>0</v>
      </c>
      <c r="AM789" s="122">
        <v>1149</v>
      </c>
      <c r="AN789" s="122">
        <v>46227</v>
      </c>
      <c r="AO789" s="122">
        <v>17121</v>
      </c>
      <c r="AP789" s="122">
        <v>22748</v>
      </c>
      <c r="AQ789" s="122">
        <v>8425</v>
      </c>
      <c r="AR789" s="122">
        <v>135000</v>
      </c>
      <c r="AS789" s="122">
        <v>122728</v>
      </c>
      <c r="AT789" s="122">
        <v>62146</v>
      </c>
      <c r="AU789" s="122">
        <v>23017</v>
      </c>
      <c r="AV789" s="122">
        <v>965162</v>
      </c>
    </row>
    <row r="790" spans="2:48" ht="13">
      <c r="B790" t="s">
        <v>447</v>
      </c>
      <c r="C790" t="s">
        <v>58</v>
      </c>
      <c r="D790" t="s">
        <v>407</v>
      </c>
      <c r="E790" t="s">
        <v>407</v>
      </c>
      <c r="F790">
        <v>27</v>
      </c>
      <c r="G790" s="122">
        <v>1547</v>
      </c>
      <c r="H790" s="122">
        <v>7044</v>
      </c>
      <c r="I790" s="122">
        <v>202139</v>
      </c>
      <c r="J790" s="191">
        <v>183763</v>
      </c>
      <c r="K790" s="122">
        <v>79</v>
      </c>
      <c r="L790" s="122">
        <v>35385</v>
      </c>
      <c r="M790" s="122">
        <v>30118</v>
      </c>
      <c r="N790" s="122">
        <v>32272</v>
      </c>
      <c r="O790" s="122">
        <v>11952</v>
      </c>
      <c r="P790" s="122">
        <v>12523</v>
      </c>
      <c r="Q790" s="122">
        <v>4638</v>
      </c>
      <c r="R790" s="122">
        <v>118865</v>
      </c>
      <c r="S790" s="122">
        <v>108059</v>
      </c>
      <c r="T790" s="122">
        <v>7001</v>
      </c>
      <c r="U790" s="122">
        <v>2593</v>
      </c>
      <c r="V790" s="122">
        <v>341123</v>
      </c>
      <c r="W790" s="122">
        <f t="shared" si="24"/>
        <v>341123</v>
      </c>
      <c r="X790" s="122">
        <f t="shared" si="25"/>
        <v>408185</v>
      </c>
      <c r="Y790" s="122"/>
      <c r="AA790" t="s">
        <v>64</v>
      </c>
      <c r="AB790" t="s">
        <v>406</v>
      </c>
      <c r="AC790" t="s">
        <v>566</v>
      </c>
      <c r="AD790" t="s">
        <v>406</v>
      </c>
      <c r="AE790" t="s">
        <v>566</v>
      </c>
      <c r="AF790">
        <v>16</v>
      </c>
      <c r="AG790" s="122">
        <v>1061</v>
      </c>
      <c r="AH790" s="122">
        <v>8630</v>
      </c>
      <c r="AI790" s="122">
        <v>449493</v>
      </c>
      <c r="AJ790" s="122">
        <v>408630</v>
      </c>
      <c r="AK790">
        <v>72</v>
      </c>
      <c r="AL790">
        <v>0</v>
      </c>
      <c r="AM790">
        <v>0</v>
      </c>
      <c r="AN790" s="122">
        <v>22948</v>
      </c>
      <c r="AO790" s="122">
        <v>8499</v>
      </c>
      <c r="AP790" s="122">
        <v>10368</v>
      </c>
      <c r="AQ790" s="122">
        <v>3840</v>
      </c>
      <c r="AR790" s="122">
        <v>98260</v>
      </c>
      <c r="AS790" s="122">
        <v>89328</v>
      </c>
      <c r="AT790">
        <v>0</v>
      </c>
      <c r="AU790">
        <v>0</v>
      </c>
      <c r="AV790" s="122">
        <v>510297</v>
      </c>
    </row>
    <row r="791" spans="2:48" ht="13">
      <c r="B791" t="s">
        <v>447</v>
      </c>
      <c r="C791" t="s">
        <v>60</v>
      </c>
      <c r="D791" t="s">
        <v>137</v>
      </c>
      <c r="E791" t="s">
        <v>137</v>
      </c>
      <c r="F791">
        <v>17</v>
      </c>
      <c r="G791">
        <v>912</v>
      </c>
      <c r="H791" s="122">
        <v>5593</v>
      </c>
      <c r="I791" s="122">
        <v>163744</v>
      </c>
      <c r="J791" s="191">
        <v>60646</v>
      </c>
      <c r="K791" s="122">
        <v>100</v>
      </c>
      <c r="L791" s="122">
        <v>18517</v>
      </c>
      <c r="M791" s="122">
        <v>6858</v>
      </c>
      <c r="N791" s="122">
        <v>19151</v>
      </c>
      <c r="O791" s="122">
        <v>7093</v>
      </c>
      <c r="P791">
        <v>0</v>
      </c>
      <c r="Q791">
        <v>0</v>
      </c>
      <c r="R791" s="122">
        <v>97708</v>
      </c>
      <c r="S791" s="122">
        <v>36188</v>
      </c>
      <c r="T791">
        <v>0</v>
      </c>
      <c r="U791">
        <v>0</v>
      </c>
      <c r="V791" s="122">
        <v>110785</v>
      </c>
      <c r="W791" s="122">
        <f t="shared" si="24"/>
        <v>110785</v>
      </c>
      <c r="X791" s="122">
        <f t="shared" si="25"/>
        <v>299120</v>
      </c>
      <c r="Y791" s="122"/>
      <c r="AA791" t="s">
        <v>64</v>
      </c>
      <c r="AB791" t="s">
        <v>406</v>
      </c>
      <c r="AC791" t="s">
        <v>481</v>
      </c>
      <c r="AD791" t="s">
        <v>406</v>
      </c>
      <c r="AE791" t="s">
        <v>137</v>
      </c>
      <c r="AF791">
        <v>1</v>
      </c>
      <c r="AG791">
        <v>194</v>
      </c>
      <c r="AH791">
        <v>502</v>
      </c>
      <c r="AI791" s="122">
        <v>74877</v>
      </c>
      <c r="AJ791" s="122">
        <v>68070</v>
      </c>
      <c r="AK791">
        <v>70</v>
      </c>
      <c r="AL791" s="122">
        <v>9221</v>
      </c>
      <c r="AM791" s="122">
        <v>8383</v>
      </c>
      <c r="AN791" s="122">
        <v>4364</v>
      </c>
      <c r="AO791" s="122">
        <v>1616</v>
      </c>
      <c r="AP791">
        <v>621</v>
      </c>
      <c r="AQ791">
        <v>230</v>
      </c>
      <c r="AR791" s="122">
        <v>5106</v>
      </c>
      <c r="AS791" s="122">
        <v>4642</v>
      </c>
      <c r="AT791" s="122">
        <v>3018</v>
      </c>
      <c r="AU791" s="122">
        <v>1118</v>
      </c>
      <c r="AV791" s="122">
        <v>84058</v>
      </c>
    </row>
    <row r="792" spans="2:48" ht="13">
      <c r="B792" t="s">
        <v>447</v>
      </c>
      <c r="C792" t="s">
        <v>60</v>
      </c>
      <c r="D792" t="s">
        <v>407</v>
      </c>
      <c r="E792" t="s">
        <v>407</v>
      </c>
      <c r="F792">
        <v>12</v>
      </c>
      <c r="G792">
        <v>710</v>
      </c>
      <c r="H792" s="122">
        <v>4046</v>
      </c>
      <c r="I792" s="122">
        <v>127064</v>
      </c>
      <c r="J792" s="191">
        <v>115513</v>
      </c>
      <c r="K792" s="122">
        <v>71</v>
      </c>
      <c r="L792" s="122">
        <v>28154</v>
      </c>
      <c r="M792" s="122">
        <v>22988</v>
      </c>
      <c r="N792" s="122">
        <v>14408</v>
      </c>
      <c r="O792" s="122">
        <v>5336</v>
      </c>
      <c r="P792" s="122">
        <v>5670</v>
      </c>
      <c r="Q792" s="122">
        <v>2100</v>
      </c>
      <c r="R792" s="122">
        <v>60717</v>
      </c>
      <c r="S792" s="122">
        <v>55197</v>
      </c>
      <c r="T792" s="122">
        <v>1643</v>
      </c>
      <c r="U792">
        <v>609</v>
      </c>
      <c r="V792" s="122">
        <v>201743</v>
      </c>
      <c r="W792" s="122">
        <f t="shared" si="24"/>
        <v>201743</v>
      </c>
      <c r="X792" s="122">
        <f t="shared" si="25"/>
        <v>237656</v>
      </c>
      <c r="Y792" s="122"/>
      <c r="AA792" t="s">
        <v>64</v>
      </c>
      <c r="AB792" t="s">
        <v>406</v>
      </c>
      <c r="AC792" t="s">
        <v>433</v>
      </c>
      <c r="AD792" t="s">
        <v>406</v>
      </c>
      <c r="AE792" t="s">
        <v>137</v>
      </c>
      <c r="AF792">
        <v>1</v>
      </c>
      <c r="AG792">
        <v>41</v>
      </c>
      <c r="AH792">
        <v>547</v>
      </c>
      <c r="AI792" s="122">
        <v>13793</v>
      </c>
      <c r="AJ792" s="122">
        <v>12539</v>
      </c>
      <c r="AK792">
        <v>73</v>
      </c>
      <c r="AL792" s="122">
        <v>1773</v>
      </c>
      <c r="AM792" s="122">
        <v>1612</v>
      </c>
      <c r="AN792">
        <v>996</v>
      </c>
      <c r="AO792">
        <v>369</v>
      </c>
      <c r="AP792">
        <v>621</v>
      </c>
      <c r="AQ792">
        <v>230</v>
      </c>
      <c r="AR792" s="122">
        <v>3103</v>
      </c>
      <c r="AS792" s="122">
        <v>2821</v>
      </c>
      <c r="AT792" s="122">
        <v>2058</v>
      </c>
      <c r="AU792">
        <v>762</v>
      </c>
      <c r="AV792" s="122">
        <v>18333</v>
      </c>
    </row>
    <row r="793" spans="2:48" ht="13">
      <c r="B793" t="s">
        <v>447</v>
      </c>
      <c r="C793" t="s">
        <v>62</v>
      </c>
      <c r="D793" t="s">
        <v>137</v>
      </c>
      <c r="E793" t="s">
        <v>137</v>
      </c>
      <c r="F793">
        <v>2</v>
      </c>
      <c r="G793">
        <v>88</v>
      </c>
      <c r="H793">
        <v>786</v>
      </c>
      <c r="I793" s="122">
        <v>20354</v>
      </c>
      <c r="J793" s="191">
        <v>7538</v>
      </c>
      <c r="K793" s="122">
        <v>100</v>
      </c>
      <c r="L793" s="122">
        <v>1451</v>
      </c>
      <c r="M793" s="122">
        <v>1209</v>
      </c>
      <c r="N793" s="122">
        <v>2155</v>
      </c>
      <c r="O793">
        <v>798</v>
      </c>
      <c r="P793">
        <v>351</v>
      </c>
      <c r="Q793">
        <v>130</v>
      </c>
      <c r="R793" s="122">
        <v>10478</v>
      </c>
      <c r="S793" s="122">
        <v>3881</v>
      </c>
      <c r="T793">
        <v>0</v>
      </c>
      <c r="U793">
        <v>0</v>
      </c>
      <c r="V793" s="122">
        <v>13556</v>
      </c>
      <c r="W793" s="122">
        <f t="shared" si="24"/>
        <v>13556</v>
      </c>
      <c r="X793" s="122">
        <f t="shared" si="25"/>
        <v>34789</v>
      </c>
      <c r="Y793" s="122"/>
      <c r="AA793" t="s">
        <v>64</v>
      </c>
      <c r="AB793" t="s">
        <v>427</v>
      </c>
      <c r="AC793" t="s">
        <v>137</v>
      </c>
      <c r="AD793" t="s">
        <v>137</v>
      </c>
      <c r="AE793" t="s">
        <v>137</v>
      </c>
      <c r="AF793">
        <v>1</v>
      </c>
      <c r="AG793">
        <v>39</v>
      </c>
      <c r="AH793">
        <v>895</v>
      </c>
      <c r="AI793" s="122">
        <v>24090</v>
      </c>
      <c r="AJ793" s="122">
        <v>21900</v>
      </c>
      <c r="AK793">
        <v>30</v>
      </c>
      <c r="AL793" s="122">
        <v>1971</v>
      </c>
      <c r="AM793">
        <v>730</v>
      </c>
      <c r="AN793">
        <v>939</v>
      </c>
      <c r="AO793">
        <v>348</v>
      </c>
      <c r="AP793">
        <v>0</v>
      </c>
      <c r="AQ793">
        <v>0</v>
      </c>
      <c r="AR793" s="122">
        <v>7482</v>
      </c>
      <c r="AS793" s="122">
        <v>2771</v>
      </c>
      <c r="AT793">
        <v>0</v>
      </c>
      <c r="AU793">
        <v>0</v>
      </c>
      <c r="AV793" s="122">
        <v>25749</v>
      </c>
    </row>
    <row r="794" spans="2:48" ht="13">
      <c r="B794" t="s">
        <v>447</v>
      </c>
      <c r="C794" t="s">
        <v>62</v>
      </c>
      <c r="D794" t="s">
        <v>407</v>
      </c>
      <c r="E794" t="s">
        <v>407</v>
      </c>
      <c r="F794" s="122">
        <v>4</v>
      </c>
      <c r="G794" s="122">
        <v>272</v>
      </c>
      <c r="H794" s="122">
        <v>1611</v>
      </c>
      <c r="I794" s="122">
        <v>68060</v>
      </c>
      <c r="J794" s="191">
        <v>61873</v>
      </c>
      <c r="K794" s="122">
        <v>75</v>
      </c>
      <c r="L794" s="122">
        <v>12916</v>
      </c>
      <c r="M794" s="122">
        <v>11215</v>
      </c>
      <c r="N794" s="122">
        <v>5753</v>
      </c>
      <c r="O794" s="122">
        <v>2131</v>
      </c>
      <c r="P794" s="122">
        <v>1890</v>
      </c>
      <c r="Q794">
        <v>700</v>
      </c>
      <c r="R794" s="122">
        <v>19788</v>
      </c>
      <c r="S794" s="122">
        <v>17989</v>
      </c>
      <c r="T794" s="122">
        <v>1924</v>
      </c>
      <c r="U794">
        <v>713</v>
      </c>
      <c r="V794" s="122">
        <v>94620</v>
      </c>
      <c r="W794" s="122">
        <f t="shared" si="24"/>
        <v>94621</v>
      </c>
      <c r="X794" s="122">
        <f t="shared" si="25"/>
        <v>110331</v>
      </c>
      <c r="Y794" s="122"/>
      <c r="AA794" t="s">
        <v>64</v>
      </c>
      <c r="AB794" t="s">
        <v>427</v>
      </c>
      <c r="AC794" t="s">
        <v>137</v>
      </c>
      <c r="AD794" t="s">
        <v>137</v>
      </c>
      <c r="AE794" t="s">
        <v>566</v>
      </c>
      <c r="AF794">
        <v>3</v>
      </c>
      <c r="AG794">
        <v>98</v>
      </c>
      <c r="AH794" s="122">
        <v>2383</v>
      </c>
      <c r="AI794" s="122">
        <v>40549</v>
      </c>
      <c r="AJ794" s="122">
        <v>36863</v>
      </c>
      <c r="AK794">
        <v>30</v>
      </c>
      <c r="AL794" s="122">
        <v>3318</v>
      </c>
      <c r="AM794" s="122">
        <v>1229</v>
      </c>
      <c r="AN794" s="122">
        <v>2394</v>
      </c>
      <c r="AO794">
        <v>887</v>
      </c>
      <c r="AP794">
        <v>0</v>
      </c>
      <c r="AQ794">
        <v>0</v>
      </c>
      <c r="AR794" s="122">
        <v>31271</v>
      </c>
      <c r="AS794" s="122">
        <v>11582</v>
      </c>
      <c r="AT794">
        <v>0</v>
      </c>
      <c r="AU794">
        <v>0</v>
      </c>
      <c r="AV794" s="122">
        <v>50560</v>
      </c>
    </row>
    <row r="795" spans="2:48" ht="13">
      <c r="B795" t="s">
        <v>447</v>
      </c>
      <c r="C795" t="s">
        <v>62</v>
      </c>
      <c r="D795" t="s">
        <v>556</v>
      </c>
      <c r="E795" t="s">
        <v>556</v>
      </c>
      <c r="F795">
        <v>1</v>
      </c>
      <c r="G795" s="122">
        <v>71</v>
      </c>
      <c r="H795" s="122">
        <v>418</v>
      </c>
      <c r="I795" s="122">
        <v>18963</v>
      </c>
      <c r="J795" s="191">
        <v>15802</v>
      </c>
      <c r="K795" s="122">
        <v>65</v>
      </c>
      <c r="L795" s="122">
        <v>2107</v>
      </c>
      <c r="M795" s="122">
        <v>1756</v>
      </c>
      <c r="N795" s="122">
        <v>1410</v>
      </c>
      <c r="O795">
        <v>522</v>
      </c>
      <c r="P795">
        <v>351</v>
      </c>
      <c r="Q795">
        <v>130</v>
      </c>
      <c r="R795" s="122">
        <v>4725</v>
      </c>
      <c r="S795" s="122">
        <v>3938</v>
      </c>
      <c r="T795" s="122">
        <v>2317</v>
      </c>
      <c r="U795">
        <v>858</v>
      </c>
      <c r="V795" s="122">
        <v>23006</v>
      </c>
      <c r="W795" s="122">
        <f t="shared" si="24"/>
        <v>23006</v>
      </c>
      <c r="X795" s="122">
        <f t="shared" si="25"/>
        <v>29873</v>
      </c>
      <c r="Y795" s="122"/>
      <c r="AA795" t="s">
        <v>64</v>
      </c>
      <c r="AB795" t="s">
        <v>427</v>
      </c>
      <c r="AC795" t="s">
        <v>137</v>
      </c>
      <c r="AD795" t="s">
        <v>427</v>
      </c>
      <c r="AE795" t="s">
        <v>137</v>
      </c>
      <c r="AF795">
        <v>4</v>
      </c>
      <c r="AG795">
        <v>196</v>
      </c>
      <c r="AH795" s="122">
        <v>3080</v>
      </c>
      <c r="AI795" s="122">
        <v>86752</v>
      </c>
      <c r="AJ795" s="122">
        <v>78865</v>
      </c>
      <c r="AK795">
        <v>50</v>
      </c>
      <c r="AL795" s="122">
        <v>12652</v>
      </c>
      <c r="AM795" s="122">
        <v>4686</v>
      </c>
      <c r="AN795" s="122">
        <v>4524</v>
      </c>
      <c r="AO795" s="122">
        <v>1675</v>
      </c>
      <c r="AP795" s="122">
        <v>1404</v>
      </c>
      <c r="AQ795">
        <v>520</v>
      </c>
      <c r="AR795" s="122">
        <v>29251</v>
      </c>
      <c r="AS795" s="122">
        <v>26592</v>
      </c>
      <c r="AT795" s="122">
        <v>14024</v>
      </c>
      <c r="AU795" s="122">
        <v>5194</v>
      </c>
      <c r="AV795" s="122">
        <v>117533</v>
      </c>
    </row>
    <row r="796" spans="2:48" ht="13">
      <c r="B796" t="s">
        <v>447</v>
      </c>
      <c r="C796" t="s">
        <v>64</v>
      </c>
      <c r="D796" t="s">
        <v>137</v>
      </c>
      <c r="E796" t="s">
        <v>137</v>
      </c>
      <c r="F796">
        <v>5</v>
      </c>
      <c r="G796">
        <v>212</v>
      </c>
      <c r="H796" s="122">
        <v>2732</v>
      </c>
      <c r="I796" s="122">
        <v>84631</v>
      </c>
      <c r="J796" s="191">
        <v>31345</v>
      </c>
      <c r="K796" s="122">
        <v>100</v>
      </c>
      <c r="L796" s="122">
        <v>2806</v>
      </c>
      <c r="M796" s="122">
        <v>1039</v>
      </c>
      <c r="N796" s="122">
        <v>4628</v>
      </c>
      <c r="O796" s="122">
        <v>1714</v>
      </c>
      <c r="P796">
        <v>351</v>
      </c>
      <c r="Q796">
        <v>130</v>
      </c>
      <c r="R796" s="122">
        <v>24764</v>
      </c>
      <c r="S796" s="122">
        <v>9172</v>
      </c>
      <c r="T796">
        <v>0</v>
      </c>
      <c r="U796">
        <v>0</v>
      </c>
      <c r="V796" s="122">
        <v>43400</v>
      </c>
      <c r="W796" s="122">
        <f t="shared" si="24"/>
        <v>43400</v>
      </c>
      <c r="X796" s="122">
        <f t="shared" si="25"/>
        <v>117180</v>
      </c>
      <c r="Y796" s="122"/>
      <c r="AA796" t="s">
        <v>64</v>
      </c>
      <c r="AB796" t="s">
        <v>427</v>
      </c>
      <c r="AC796" t="s">
        <v>137</v>
      </c>
      <c r="AD796" t="s">
        <v>427</v>
      </c>
      <c r="AE796" t="s">
        <v>566</v>
      </c>
      <c r="AF796">
        <v>1</v>
      </c>
      <c r="AG796">
        <v>61</v>
      </c>
      <c r="AH796">
        <v>688</v>
      </c>
      <c r="AI796" s="122">
        <v>29374</v>
      </c>
      <c r="AJ796" s="122">
        <v>26704</v>
      </c>
      <c r="AK796">
        <v>30</v>
      </c>
      <c r="AL796" s="122">
        <v>2403</v>
      </c>
      <c r="AM796">
        <v>890</v>
      </c>
      <c r="AN796">
        <v>747</v>
      </c>
      <c r="AO796">
        <v>277</v>
      </c>
      <c r="AP796">
        <v>0</v>
      </c>
      <c r="AQ796">
        <v>0</v>
      </c>
      <c r="AR796" s="122">
        <v>9689</v>
      </c>
      <c r="AS796" s="122">
        <v>8808</v>
      </c>
      <c r="AT796">
        <v>0</v>
      </c>
      <c r="AU796">
        <v>0</v>
      </c>
      <c r="AV796" s="122">
        <v>36679</v>
      </c>
    </row>
    <row r="797" spans="2:48" ht="13">
      <c r="B797" t="s">
        <v>447</v>
      </c>
      <c r="C797" t="s">
        <v>64</v>
      </c>
      <c r="D797" t="s">
        <v>407</v>
      </c>
      <c r="E797" t="s">
        <v>407</v>
      </c>
      <c r="F797">
        <v>1</v>
      </c>
      <c r="G797">
        <v>81</v>
      </c>
      <c r="H797" s="122">
        <v>470</v>
      </c>
      <c r="I797" s="122">
        <v>27674</v>
      </c>
      <c r="J797" s="191">
        <v>25158</v>
      </c>
      <c r="K797" s="122">
        <v>78</v>
      </c>
      <c r="L797" s="122">
        <v>3622</v>
      </c>
      <c r="M797" s="122">
        <v>3292</v>
      </c>
      <c r="N797" s="122">
        <v>1567</v>
      </c>
      <c r="O797">
        <v>580</v>
      </c>
      <c r="P797">
        <v>473</v>
      </c>
      <c r="Q797">
        <v>175</v>
      </c>
      <c r="R797" s="122">
        <v>3151</v>
      </c>
      <c r="S797" s="122">
        <v>2864</v>
      </c>
      <c r="T797" s="122">
        <v>1739</v>
      </c>
      <c r="U797">
        <v>644</v>
      </c>
      <c r="V797" s="122">
        <v>32715</v>
      </c>
      <c r="W797" s="122">
        <f t="shared" si="24"/>
        <v>32713</v>
      </c>
      <c r="X797" s="122">
        <f t="shared" si="25"/>
        <v>38226</v>
      </c>
      <c r="Y797" s="122"/>
      <c r="AA797" t="s">
        <v>64</v>
      </c>
      <c r="AB797" t="s">
        <v>427</v>
      </c>
      <c r="AC797" t="s">
        <v>427</v>
      </c>
      <c r="AD797" t="s">
        <v>137</v>
      </c>
      <c r="AE797" t="s">
        <v>566</v>
      </c>
      <c r="AF797">
        <v>1</v>
      </c>
      <c r="AG797">
        <v>100</v>
      </c>
      <c r="AH797">
        <v>734</v>
      </c>
      <c r="AI797" s="122">
        <v>50916</v>
      </c>
      <c r="AJ797" s="122">
        <v>46287</v>
      </c>
      <c r="AK797">
        <v>55</v>
      </c>
      <c r="AL797" s="122">
        <v>10372</v>
      </c>
      <c r="AM797" s="122">
        <v>9429</v>
      </c>
      <c r="AN797" s="122">
        <v>2435</v>
      </c>
      <c r="AO797">
        <v>902</v>
      </c>
      <c r="AP797">
        <v>351</v>
      </c>
      <c r="AQ797">
        <v>130</v>
      </c>
      <c r="AR797" s="122">
        <v>9297</v>
      </c>
      <c r="AS797" s="122">
        <v>3443</v>
      </c>
      <c r="AT797">
        <v>0</v>
      </c>
      <c r="AU797">
        <v>0</v>
      </c>
      <c r="AV797" s="122">
        <v>60191</v>
      </c>
    </row>
    <row r="798" spans="2:48" ht="13">
      <c r="B798" t="s">
        <v>448</v>
      </c>
      <c r="C798" t="s">
        <v>48</v>
      </c>
      <c r="F798">
        <v>12</v>
      </c>
      <c r="G798" s="122">
        <v>746</v>
      </c>
      <c r="H798">
        <v>769</v>
      </c>
      <c r="J798" s="66">
        <v>0</v>
      </c>
      <c r="K798" s="122"/>
      <c r="M798">
        <v>0</v>
      </c>
      <c r="N798" s="122">
        <v>9084</v>
      </c>
      <c r="O798" s="122">
        <v>3365</v>
      </c>
      <c r="P798">
        <v>0</v>
      </c>
      <c r="Q798">
        <v>0</v>
      </c>
      <c r="S798">
        <v>0</v>
      </c>
      <c r="T798">
        <v>0</v>
      </c>
      <c r="U798">
        <v>0</v>
      </c>
      <c r="V798" s="122">
        <v>3365</v>
      </c>
      <c r="W798" s="122">
        <f t="shared" si="24"/>
        <v>3365</v>
      </c>
      <c r="X798" s="122">
        <f t="shared" si="25"/>
        <v>9084</v>
      </c>
      <c r="Y798" s="122"/>
      <c r="AA798" t="s">
        <v>64</v>
      </c>
      <c r="AB798" t="s">
        <v>427</v>
      </c>
      <c r="AC798" t="s">
        <v>427</v>
      </c>
      <c r="AD798" t="s">
        <v>427</v>
      </c>
      <c r="AE798" t="s">
        <v>137</v>
      </c>
      <c r="AF798">
        <v>7</v>
      </c>
      <c r="AG798">
        <v>513</v>
      </c>
      <c r="AH798" s="122">
        <v>4331</v>
      </c>
      <c r="AI798" s="122">
        <v>226144</v>
      </c>
      <c r="AJ798" s="122">
        <v>205585</v>
      </c>
      <c r="AK798">
        <v>54</v>
      </c>
      <c r="AL798" s="122">
        <v>43215</v>
      </c>
      <c r="AM798" s="122">
        <v>39286</v>
      </c>
      <c r="AN798" s="122">
        <v>10755</v>
      </c>
      <c r="AO798" s="122">
        <v>3983</v>
      </c>
      <c r="AP798" s="122">
        <v>2457</v>
      </c>
      <c r="AQ798">
        <v>910</v>
      </c>
      <c r="AR798" s="122">
        <v>36950</v>
      </c>
      <c r="AS798" s="122">
        <v>33591</v>
      </c>
      <c r="AT798" s="122">
        <v>15334</v>
      </c>
      <c r="AU798" s="122">
        <v>5679</v>
      </c>
      <c r="AV798" s="122">
        <v>289036</v>
      </c>
    </row>
    <row r="799" spans="2:48" ht="13">
      <c r="B799" t="s">
        <v>448</v>
      </c>
      <c r="C799" t="s">
        <v>48</v>
      </c>
      <c r="D799" t="s">
        <v>137</v>
      </c>
      <c r="E799" t="s">
        <v>137</v>
      </c>
      <c r="F799" s="122">
        <v>176</v>
      </c>
      <c r="G799" s="122">
        <v>11936</v>
      </c>
      <c r="H799" s="122">
        <v>9727</v>
      </c>
      <c r="I799" s="122">
        <v>-168429</v>
      </c>
      <c r="J799" s="191">
        <v>-62381</v>
      </c>
      <c r="K799" s="122">
        <v>447</v>
      </c>
      <c r="L799">
        <v>0</v>
      </c>
      <c r="M799">
        <v>0</v>
      </c>
      <c r="N799" s="122">
        <v>145424</v>
      </c>
      <c r="O799" s="122">
        <v>53861</v>
      </c>
      <c r="P799" s="122">
        <v>160461</v>
      </c>
      <c r="Q799" s="122">
        <v>59430</v>
      </c>
      <c r="R799" s="122">
        <v>502007</v>
      </c>
      <c r="S799" s="122">
        <v>185928</v>
      </c>
      <c r="T799">
        <v>0</v>
      </c>
      <c r="U799">
        <v>0</v>
      </c>
      <c r="V799" s="122">
        <v>236838</v>
      </c>
      <c r="W799" s="122">
        <f t="shared" si="24"/>
        <v>361600</v>
      </c>
      <c r="X799" s="122">
        <f t="shared" si="25"/>
        <v>976321</v>
      </c>
      <c r="Y799" s="122"/>
      <c r="AA799" t="s">
        <v>64</v>
      </c>
      <c r="AB799" t="s">
        <v>427</v>
      </c>
      <c r="AC799" t="s">
        <v>427</v>
      </c>
      <c r="AD799" t="s">
        <v>427</v>
      </c>
      <c r="AE799" t="s">
        <v>566</v>
      </c>
      <c r="AF799">
        <v>5</v>
      </c>
      <c r="AG799">
        <v>397</v>
      </c>
      <c r="AH799" s="122">
        <v>3650</v>
      </c>
      <c r="AI799" s="122">
        <v>192848</v>
      </c>
      <c r="AJ799" s="122">
        <v>175316</v>
      </c>
      <c r="AK799">
        <v>53</v>
      </c>
      <c r="AL799" s="122">
        <v>36889</v>
      </c>
      <c r="AM799" s="122">
        <v>33536</v>
      </c>
      <c r="AN799" s="122">
        <v>8354</v>
      </c>
      <c r="AO799" s="122">
        <v>3094</v>
      </c>
      <c r="AP799" s="122">
        <v>1755</v>
      </c>
      <c r="AQ799">
        <v>650</v>
      </c>
      <c r="AR799" s="122">
        <v>37630</v>
      </c>
      <c r="AS799" s="122">
        <v>34209</v>
      </c>
      <c r="AT799">
        <v>0</v>
      </c>
      <c r="AU799">
        <v>0</v>
      </c>
      <c r="AV799" s="122">
        <v>246805</v>
      </c>
    </row>
    <row r="800" spans="2:48" ht="13">
      <c r="B800" t="s">
        <v>448</v>
      </c>
      <c r="C800" t="s">
        <v>48</v>
      </c>
      <c r="D800" t="s">
        <v>407</v>
      </c>
      <c r="E800" t="s">
        <v>407</v>
      </c>
      <c r="F800" s="122">
        <v>33</v>
      </c>
      <c r="G800" s="122">
        <v>2865</v>
      </c>
      <c r="H800" s="122">
        <v>1895</v>
      </c>
      <c r="I800" s="122">
        <v>20264</v>
      </c>
      <c r="J800" s="191">
        <v>18422</v>
      </c>
      <c r="K800" s="122">
        <v>91</v>
      </c>
      <c r="L800">
        <v>0</v>
      </c>
      <c r="M800">
        <v>0</v>
      </c>
      <c r="N800" s="122">
        <v>39190</v>
      </c>
      <c r="O800" s="122">
        <v>14515</v>
      </c>
      <c r="P800" s="122">
        <v>39812</v>
      </c>
      <c r="Q800" s="122">
        <v>14745</v>
      </c>
      <c r="R800" s="122">
        <v>60139</v>
      </c>
      <c r="S800" s="122">
        <v>54672</v>
      </c>
      <c r="T800">
        <v>0</v>
      </c>
      <c r="U800">
        <v>0</v>
      </c>
      <c r="V800" s="122">
        <v>102354</v>
      </c>
      <c r="W800" s="122">
        <f t="shared" si="24"/>
        <v>102354</v>
      </c>
      <c r="X800" s="122">
        <f t="shared" si="25"/>
        <v>159405</v>
      </c>
      <c r="Y800" s="122"/>
      <c r="AA800" t="s">
        <v>64</v>
      </c>
      <c r="AB800" t="s">
        <v>427</v>
      </c>
      <c r="AC800" t="s">
        <v>407</v>
      </c>
      <c r="AD800" t="s">
        <v>137</v>
      </c>
      <c r="AE800" t="s">
        <v>566</v>
      </c>
      <c r="AF800">
        <v>1</v>
      </c>
      <c r="AG800">
        <v>71</v>
      </c>
      <c r="AH800">
        <v>794</v>
      </c>
      <c r="AI800" s="122">
        <v>43496</v>
      </c>
      <c r="AJ800" s="122">
        <v>39542</v>
      </c>
      <c r="AK800">
        <v>30</v>
      </c>
      <c r="AL800" s="122">
        <v>2500</v>
      </c>
      <c r="AM800" s="122">
        <v>2273</v>
      </c>
      <c r="AN800" s="122">
        <v>1721</v>
      </c>
      <c r="AO800">
        <v>637</v>
      </c>
      <c r="AP800">
        <v>0</v>
      </c>
      <c r="AQ800">
        <v>0</v>
      </c>
      <c r="AR800" s="122">
        <v>8337</v>
      </c>
      <c r="AS800" s="122">
        <v>3088</v>
      </c>
      <c r="AT800">
        <v>0</v>
      </c>
      <c r="AU800">
        <v>0</v>
      </c>
      <c r="AV800" s="122">
        <v>45540</v>
      </c>
    </row>
    <row r="801" spans="2:48" ht="13">
      <c r="B801" t="s">
        <v>448</v>
      </c>
      <c r="C801" t="s">
        <v>50</v>
      </c>
      <c r="F801">
        <v>8</v>
      </c>
      <c r="G801" s="122">
        <v>468</v>
      </c>
      <c r="H801" s="122">
        <v>696</v>
      </c>
      <c r="J801" s="191">
        <v>0</v>
      </c>
      <c r="K801" s="122"/>
      <c r="M801">
        <v>0</v>
      </c>
      <c r="N801" s="122">
        <v>5699</v>
      </c>
      <c r="O801" s="122">
        <v>2111</v>
      </c>
      <c r="P801">
        <v>0</v>
      </c>
      <c r="Q801">
        <v>0</v>
      </c>
      <c r="S801">
        <v>0</v>
      </c>
      <c r="T801">
        <v>0</v>
      </c>
      <c r="U801">
        <v>0</v>
      </c>
      <c r="V801" s="122">
        <v>2111</v>
      </c>
      <c r="W801" s="122">
        <f t="shared" si="24"/>
        <v>2111</v>
      </c>
      <c r="X801" s="122">
        <f t="shared" si="25"/>
        <v>5699</v>
      </c>
      <c r="Y801" s="122"/>
      <c r="AA801" t="s">
        <v>64</v>
      </c>
      <c r="AB801" t="s">
        <v>427</v>
      </c>
      <c r="AC801" t="s">
        <v>431</v>
      </c>
      <c r="AD801" t="s">
        <v>427</v>
      </c>
      <c r="AE801" t="s">
        <v>566</v>
      </c>
      <c r="AF801">
        <v>1</v>
      </c>
      <c r="AG801">
        <v>88</v>
      </c>
      <c r="AH801">
        <v>605</v>
      </c>
      <c r="AI801" s="122">
        <v>36773</v>
      </c>
      <c r="AJ801" s="122">
        <v>33430</v>
      </c>
      <c r="AK801">
        <v>60</v>
      </c>
      <c r="AL801" s="122">
        <v>7004</v>
      </c>
      <c r="AM801" s="122">
        <v>6368</v>
      </c>
      <c r="AN801" s="122">
        <v>2042</v>
      </c>
      <c r="AO801">
        <v>756</v>
      </c>
      <c r="AP801">
        <v>351</v>
      </c>
      <c r="AQ801">
        <v>130</v>
      </c>
      <c r="AR801" s="122">
        <v>7193</v>
      </c>
      <c r="AS801" s="122">
        <v>6539</v>
      </c>
      <c r="AT801">
        <v>0</v>
      </c>
      <c r="AU801">
        <v>0</v>
      </c>
      <c r="AV801" s="122">
        <v>47223</v>
      </c>
    </row>
    <row r="802" spans="2:48" ht="13">
      <c r="B802" t="s">
        <v>448</v>
      </c>
      <c r="C802" t="s">
        <v>50</v>
      </c>
      <c r="D802" t="s">
        <v>407</v>
      </c>
      <c r="E802" t="s">
        <v>407</v>
      </c>
      <c r="F802">
        <v>34</v>
      </c>
      <c r="G802" s="122">
        <v>2424</v>
      </c>
      <c r="H802" s="122">
        <v>3132</v>
      </c>
      <c r="I802" s="122">
        <v>79391</v>
      </c>
      <c r="J802" s="191">
        <v>72174</v>
      </c>
      <c r="K802" s="122">
        <v>87</v>
      </c>
      <c r="L802">
        <v>0</v>
      </c>
      <c r="M802">
        <v>0</v>
      </c>
      <c r="N802" s="122">
        <v>39519</v>
      </c>
      <c r="O802" s="122">
        <v>14637</v>
      </c>
      <c r="P802" s="122">
        <v>16065</v>
      </c>
      <c r="Q802" s="122">
        <v>5950</v>
      </c>
      <c r="R802" s="122">
        <v>93974</v>
      </c>
      <c r="S802" s="122">
        <v>85431</v>
      </c>
      <c r="T802">
        <v>0</v>
      </c>
      <c r="U802">
        <v>0</v>
      </c>
      <c r="V802" s="122">
        <v>178191</v>
      </c>
      <c r="W802" s="122">
        <f t="shared" si="24"/>
        <v>178192</v>
      </c>
      <c r="X802" s="122">
        <f t="shared" si="25"/>
        <v>228949</v>
      </c>
      <c r="Y802" s="122"/>
      <c r="AA802" t="s">
        <v>64</v>
      </c>
      <c r="AB802" t="s">
        <v>427</v>
      </c>
      <c r="AC802" t="s">
        <v>566</v>
      </c>
      <c r="AD802" t="s">
        <v>137</v>
      </c>
      <c r="AE802" t="s">
        <v>566</v>
      </c>
      <c r="AF802">
        <v>3</v>
      </c>
      <c r="AG802">
        <v>363</v>
      </c>
      <c r="AH802" s="122">
        <v>2640</v>
      </c>
      <c r="AI802" s="122">
        <v>335195</v>
      </c>
      <c r="AJ802" s="122">
        <v>304723</v>
      </c>
      <c r="AK802">
        <v>30</v>
      </c>
      <c r="AL802">
        <v>0</v>
      </c>
      <c r="AM802">
        <v>0</v>
      </c>
      <c r="AN802" s="122">
        <v>8203</v>
      </c>
      <c r="AO802" s="122">
        <v>3038</v>
      </c>
      <c r="AP802">
        <v>0</v>
      </c>
      <c r="AQ802">
        <v>0</v>
      </c>
      <c r="AR802" s="122">
        <v>21197</v>
      </c>
      <c r="AS802" s="122">
        <v>7851</v>
      </c>
      <c r="AT802">
        <v>0</v>
      </c>
      <c r="AU802">
        <v>0</v>
      </c>
      <c r="AV802" s="122">
        <v>315611</v>
      </c>
    </row>
    <row r="803" spans="2:48" ht="13">
      <c r="B803" t="s">
        <v>448</v>
      </c>
      <c r="C803" t="s">
        <v>52</v>
      </c>
      <c r="F803">
        <v>1</v>
      </c>
      <c r="G803">
        <v>71</v>
      </c>
      <c r="H803" s="122">
        <v>121</v>
      </c>
      <c r="J803" s="191">
        <v>0</v>
      </c>
      <c r="K803" s="122"/>
      <c r="M803">
        <v>0</v>
      </c>
      <c r="N803">
        <v>870</v>
      </c>
      <c r="O803">
        <v>322</v>
      </c>
      <c r="P803">
        <v>351</v>
      </c>
      <c r="Q803">
        <v>130</v>
      </c>
      <c r="S803">
        <v>0</v>
      </c>
      <c r="T803">
        <v>0</v>
      </c>
      <c r="U803">
        <v>0</v>
      </c>
      <c r="V803">
        <v>452</v>
      </c>
      <c r="W803" s="122">
        <f t="shared" si="24"/>
        <v>452</v>
      </c>
      <c r="X803" s="122">
        <f t="shared" si="25"/>
        <v>1221</v>
      </c>
      <c r="Y803" s="122"/>
      <c r="AA803" t="s">
        <v>64</v>
      </c>
      <c r="AB803" t="s">
        <v>427</v>
      </c>
      <c r="AC803" t="s">
        <v>566</v>
      </c>
      <c r="AD803" t="s">
        <v>427</v>
      </c>
      <c r="AE803" t="s">
        <v>137</v>
      </c>
      <c r="AF803">
        <v>4</v>
      </c>
      <c r="AG803">
        <v>194</v>
      </c>
      <c r="AH803" s="122">
        <v>2363</v>
      </c>
      <c r="AI803" s="122">
        <v>83651</v>
      </c>
      <c r="AJ803" s="122">
        <v>76047</v>
      </c>
      <c r="AK803">
        <v>55</v>
      </c>
      <c r="AL803">
        <v>0</v>
      </c>
      <c r="AM803">
        <v>0</v>
      </c>
      <c r="AN803" s="122">
        <v>4035</v>
      </c>
      <c r="AO803" s="122">
        <v>1494</v>
      </c>
      <c r="AP803" s="122">
        <v>1404</v>
      </c>
      <c r="AQ803">
        <v>520</v>
      </c>
      <c r="AR803" s="122">
        <v>18910</v>
      </c>
      <c r="AS803" s="122">
        <v>17191</v>
      </c>
      <c r="AT803" s="122">
        <v>8225</v>
      </c>
      <c r="AU803" s="122">
        <v>3046</v>
      </c>
      <c r="AV803" s="122">
        <v>98298</v>
      </c>
    </row>
    <row r="804" spans="2:48" ht="13">
      <c r="B804" t="s">
        <v>448</v>
      </c>
      <c r="C804" t="s">
        <v>52</v>
      </c>
      <c r="D804" t="s">
        <v>137</v>
      </c>
      <c r="E804" t="s">
        <v>137</v>
      </c>
      <c r="F804" s="122">
        <v>4</v>
      </c>
      <c r="G804" s="122">
        <v>293</v>
      </c>
      <c r="H804" s="122">
        <v>477</v>
      </c>
      <c r="I804" s="122">
        <v>5293</v>
      </c>
      <c r="J804" s="191">
        <v>1960</v>
      </c>
      <c r="K804" s="122">
        <v>175</v>
      </c>
      <c r="L804" s="122">
        <v>1097</v>
      </c>
      <c r="M804">
        <v>406</v>
      </c>
      <c r="N804" s="122">
        <v>5425</v>
      </c>
      <c r="O804" s="122">
        <v>2009</v>
      </c>
      <c r="P804">
        <v>702</v>
      </c>
      <c r="Q804">
        <v>260</v>
      </c>
      <c r="R804" s="122">
        <v>22288</v>
      </c>
      <c r="S804" s="122">
        <v>8255</v>
      </c>
      <c r="T804">
        <v>0</v>
      </c>
      <c r="U804">
        <v>0</v>
      </c>
      <c r="V804" s="122">
        <v>12890</v>
      </c>
      <c r="W804" s="122">
        <f t="shared" si="24"/>
        <v>12890</v>
      </c>
      <c r="X804" s="122">
        <f t="shared" si="25"/>
        <v>34805</v>
      </c>
      <c r="Y804" s="122"/>
      <c r="AA804" t="s">
        <v>64</v>
      </c>
      <c r="AB804" t="s">
        <v>427</v>
      </c>
      <c r="AC804" t="s">
        <v>566</v>
      </c>
      <c r="AD804" t="s">
        <v>427</v>
      </c>
      <c r="AE804" t="s">
        <v>566</v>
      </c>
      <c r="AF804">
        <v>1</v>
      </c>
      <c r="AG804">
        <v>44</v>
      </c>
      <c r="AH804">
        <v>478</v>
      </c>
      <c r="AI804" s="122">
        <v>13465</v>
      </c>
      <c r="AJ804" s="122">
        <v>12241</v>
      </c>
      <c r="AK804">
        <v>65</v>
      </c>
      <c r="AL804">
        <v>0</v>
      </c>
      <c r="AM804">
        <v>0</v>
      </c>
      <c r="AN804">
        <v>532</v>
      </c>
      <c r="AO804">
        <v>197</v>
      </c>
      <c r="AP804">
        <v>351</v>
      </c>
      <c r="AQ804">
        <v>130</v>
      </c>
      <c r="AR804" s="122">
        <v>6561</v>
      </c>
      <c r="AS804" s="122">
        <v>5964</v>
      </c>
      <c r="AT804">
        <v>0</v>
      </c>
      <c r="AU804">
        <v>0</v>
      </c>
      <c r="AV804" s="122">
        <v>18532</v>
      </c>
    </row>
    <row r="805" spans="2:48" ht="13">
      <c r="B805" t="s">
        <v>448</v>
      </c>
      <c r="C805" t="s">
        <v>52</v>
      </c>
      <c r="D805" t="s">
        <v>406</v>
      </c>
      <c r="E805" t="s">
        <v>406</v>
      </c>
      <c r="F805">
        <v>1</v>
      </c>
      <c r="G805">
        <v>54</v>
      </c>
      <c r="H805">
        <v>122</v>
      </c>
      <c r="I805" s="122">
        <v>1943</v>
      </c>
      <c r="J805" s="191">
        <v>1767</v>
      </c>
      <c r="K805" s="122">
        <v>91</v>
      </c>
      <c r="L805">
        <v>0</v>
      </c>
      <c r="M805">
        <v>0</v>
      </c>
      <c r="N805">
        <v>661</v>
      </c>
      <c r="O805">
        <v>245</v>
      </c>
      <c r="P805">
        <v>621</v>
      </c>
      <c r="Q805">
        <v>230</v>
      </c>
      <c r="R805" s="122">
        <v>3379</v>
      </c>
      <c r="S805" s="122">
        <v>3072</v>
      </c>
      <c r="T805">
        <v>0</v>
      </c>
      <c r="U805">
        <v>0</v>
      </c>
      <c r="V805" s="122">
        <v>5314</v>
      </c>
      <c r="W805" s="122">
        <f t="shared" si="24"/>
        <v>5314</v>
      </c>
      <c r="X805" s="122">
        <f t="shared" si="25"/>
        <v>6604</v>
      </c>
      <c r="Y805" s="122"/>
      <c r="AA805" t="s">
        <v>64</v>
      </c>
      <c r="AB805" t="s">
        <v>407</v>
      </c>
      <c r="AC805" t="s">
        <v>137</v>
      </c>
      <c r="AD805" t="s">
        <v>137</v>
      </c>
      <c r="AE805" t="s">
        <v>566</v>
      </c>
      <c r="AF805">
        <v>8</v>
      </c>
      <c r="AG805">
        <v>315</v>
      </c>
      <c r="AH805" s="122">
        <v>5347</v>
      </c>
      <c r="AI805" s="122">
        <v>131809</v>
      </c>
      <c r="AJ805" s="122">
        <v>119826</v>
      </c>
      <c r="AK805">
        <v>64</v>
      </c>
      <c r="AL805" s="122">
        <v>24281</v>
      </c>
      <c r="AM805" s="122">
        <v>8993</v>
      </c>
      <c r="AN805" s="122">
        <v>6569</v>
      </c>
      <c r="AO805" s="122">
        <v>2433</v>
      </c>
      <c r="AP805">
        <v>945</v>
      </c>
      <c r="AQ805">
        <v>350</v>
      </c>
      <c r="AR805" s="122">
        <v>43493</v>
      </c>
      <c r="AS805" s="122">
        <v>16109</v>
      </c>
      <c r="AT805">
        <v>0</v>
      </c>
      <c r="AU805">
        <v>0</v>
      </c>
      <c r="AV805" s="122">
        <v>147711</v>
      </c>
    </row>
    <row r="806" spans="2:48" ht="13">
      <c r="B806" t="s">
        <v>448</v>
      </c>
      <c r="C806" t="s">
        <v>52</v>
      </c>
      <c r="D806" t="s">
        <v>407</v>
      </c>
      <c r="E806" t="s">
        <v>407</v>
      </c>
      <c r="F806">
        <v>250</v>
      </c>
      <c r="G806" s="122">
        <v>18794</v>
      </c>
      <c r="H806" s="122">
        <v>29001</v>
      </c>
      <c r="I806" s="122">
        <v>915577</v>
      </c>
      <c r="J806" s="191">
        <v>832342</v>
      </c>
      <c r="K806" s="122">
        <v>83</v>
      </c>
      <c r="L806" s="122">
        <v>5149</v>
      </c>
      <c r="M806" s="122">
        <v>3383</v>
      </c>
      <c r="N806" s="122">
        <v>338628</v>
      </c>
      <c r="O806" s="122">
        <v>125418</v>
      </c>
      <c r="P806" s="122">
        <v>119417</v>
      </c>
      <c r="Q806" s="122">
        <v>44229</v>
      </c>
      <c r="R806" s="122">
        <v>788435</v>
      </c>
      <c r="S806" s="122">
        <v>716759</v>
      </c>
      <c r="T806" s="122">
        <v>13541</v>
      </c>
      <c r="U806" s="122">
        <v>5015</v>
      </c>
      <c r="V806" s="122">
        <v>1727147</v>
      </c>
      <c r="W806" s="122">
        <f t="shared" si="24"/>
        <v>1727146</v>
      </c>
      <c r="X806" s="122">
        <f t="shared" si="25"/>
        <v>2180747</v>
      </c>
      <c r="Y806" s="122"/>
      <c r="AA806" t="s">
        <v>64</v>
      </c>
      <c r="AB806" t="s">
        <v>407</v>
      </c>
      <c r="AC806" t="s">
        <v>137</v>
      </c>
      <c r="AD806" t="s">
        <v>407</v>
      </c>
      <c r="AE806" t="s">
        <v>137</v>
      </c>
      <c r="AF806">
        <v>16</v>
      </c>
      <c r="AG806" s="122">
        <v>1141</v>
      </c>
      <c r="AH806" s="122">
        <v>8532</v>
      </c>
      <c r="AI806" s="122">
        <v>383798</v>
      </c>
      <c r="AJ806" s="122">
        <v>348907</v>
      </c>
      <c r="AK806">
        <v>75</v>
      </c>
      <c r="AL806" s="122">
        <v>99405</v>
      </c>
      <c r="AM806" s="122">
        <v>36817</v>
      </c>
      <c r="AN806" s="122">
        <v>23837</v>
      </c>
      <c r="AO806" s="122">
        <v>8829</v>
      </c>
      <c r="AP806" s="122">
        <v>7439</v>
      </c>
      <c r="AQ806" s="122">
        <v>2755</v>
      </c>
      <c r="AR806" s="122">
        <v>64621</v>
      </c>
      <c r="AS806" s="122">
        <v>58746</v>
      </c>
      <c r="AT806" s="122">
        <v>21527</v>
      </c>
      <c r="AU806" s="122">
        <v>7973</v>
      </c>
      <c r="AV806" s="122">
        <v>464027</v>
      </c>
    </row>
    <row r="807" spans="2:48" ht="13">
      <c r="B807" t="s">
        <v>448</v>
      </c>
      <c r="C807" t="s">
        <v>54</v>
      </c>
      <c r="F807">
        <v>6</v>
      </c>
      <c r="G807" s="122">
        <v>358</v>
      </c>
      <c r="H807" s="122">
        <v>852</v>
      </c>
      <c r="J807" s="191">
        <v>0</v>
      </c>
      <c r="K807" s="122"/>
      <c r="M807">
        <v>0</v>
      </c>
      <c r="N807" s="122">
        <v>5759</v>
      </c>
      <c r="O807" s="122">
        <v>2133</v>
      </c>
      <c r="P807">
        <v>945</v>
      </c>
      <c r="Q807">
        <v>350</v>
      </c>
      <c r="S807">
        <v>0</v>
      </c>
      <c r="T807">
        <v>0</v>
      </c>
      <c r="U807">
        <v>0</v>
      </c>
      <c r="V807" s="122">
        <v>2483</v>
      </c>
      <c r="W807" s="122">
        <f t="shared" si="24"/>
        <v>2483</v>
      </c>
      <c r="X807" s="122">
        <f t="shared" si="25"/>
        <v>6704</v>
      </c>
      <c r="Y807" s="122"/>
      <c r="AA807" t="s">
        <v>64</v>
      </c>
      <c r="AB807" t="s">
        <v>407</v>
      </c>
      <c r="AC807" t="s">
        <v>137</v>
      </c>
      <c r="AD807" t="s">
        <v>407</v>
      </c>
      <c r="AE807" t="s">
        <v>566</v>
      </c>
      <c r="AF807">
        <v>9</v>
      </c>
      <c r="AG807">
        <v>396</v>
      </c>
      <c r="AH807" s="122">
        <v>4656</v>
      </c>
      <c r="AI807" s="122">
        <v>131469</v>
      </c>
      <c r="AJ807" s="122">
        <v>119517</v>
      </c>
      <c r="AK807">
        <v>74</v>
      </c>
      <c r="AL807" s="122">
        <v>24888</v>
      </c>
      <c r="AM807" s="122">
        <v>9218</v>
      </c>
      <c r="AN807" s="122">
        <v>8533</v>
      </c>
      <c r="AO807" s="122">
        <v>3160</v>
      </c>
      <c r="AP807" s="122">
        <v>3902</v>
      </c>
      <c r="AQ807" s="122">
        <v>1445</v>
      </c>
      <c r="AR807" s="122">
        <v>33538</v>
      </c>
      <c r="AS807" s="122">
        <v>30489</v>
      </c>
      <c r="AT807">
        <v>0</v>
      </c>
      <c r="AU807">
        <v>0</v>
      </c>
      <c r="AV807" s="122">
        <v>163829</v>
      </c>
    </row>
    <row r="808" spans="2:48" ht="13">
      <c r="B808" t="s">
        <v>448</v>
      </c>
      <c r="C808" t="s">
        <v>54</v>
      </c>
      <c r="D808" t="s">
        <v>137</v>
      </c>
      <c r="E808" t="s">
        <v>137</v>
      </c>
      <c r="F808">
        <v>15</v>
      </c>
      <c r="G808" s="122">
        <v>1041</v>
      </c>
      <c r="H808" s="122">
        <v>2138</v>
      </c>
      <c r="I808" s="122">
        <v>35878</v>
      </c>
      <c r="J808" s="191">
        <v>13288</v>
      </c>
      <c r="K808" s="122">
        <v>140</v>
      </c>
      <c r="L808" s="122">
        <v>6474</v>
      </c>
      <c r="M808" s="122">
        <v>2398</v>
      </c>
      <c r="N808" s="122">
        <v>18704</v>
      </c>
      <c r="O808" s="122">
        <v>6927</v>
      </c>
      <c r="P808" s="122">
        <v>1755</v>
      </c>
      <c r="Q808">
        <v>650</v>
      </c>
      <c r="R808" s="122">
        <v>85015</v>
      </c>
      <c r="S808" s="122">
        <v>31487</v>
      </c>
      <c r="T808">
        <v>0</v>
      </c>
      <c r="U808">
        <v>0</v>
      </c>
      <c r="V808" s="122">
        <v>54750</v>
      </c>
      <c r="W808" s="122">
        <f t="shared" si="24"/>
        <v>54750</v>
      </c>
      <c r="X808" s="122">
        <f t="shared" si="25"/>
        <v>147826</v>
      </c>
      <c r="Y808" s="122"/>
      <c r="AA808" t="s">
        <v>64</v>
      </c>
      <c r="AB808" t="s">
        <v>407</v>
      </c>
      <c r="AC808" t="s">
        <v>427</v>
      </c>
      <c r="AD808" t="s">
        <v>137</v>
      </c>
      <c r="AE808" t="s">
        <v>566</v>
      </c>
      <c r="AF808">
        <v>4</v>
      </c>
      <c r="AG808">
        <v>155</v>
      </c>
      <c r="AH808" s="122">
        <v>2225</v>
      </c>
      <c r="AI808" s="122">
        <v>42144</v>
      </c>
      <c r="AJ808" s="122">
        <v>38313</v>
      </c>
      <c r="AK808">
        <v>71</v>
      </c>
      <c r="AL808" s="122">
        <v>10351</v>
      </c>
      <c r="AM808" s="122">
        <v>9410</v>
      </c>
      <c r="AN808" s="122">
        <v>3282</v>
      </c>
      <c r="AO808" s="122">
        <v>1216</v>
      </c>
      <c r="AP808" s="122">
        <v>1890</v>
      </c>
      <c r="AQ808">
        <v>700</v>
      </c>
      <c r="AR808" s="122">
        <v>30314</v>
      </c>
      <c r="AS808" s="122">
        <v>11227</v>
      </c>
      <c r="AT808">
        <v>0</v>
      </c>
      <c r="AU808">
        <v>0</v>
      </c>
      <c r="AV808" s="122">
        <v>60866</v>
      </c>
    </row>
    <row r="809" spans="2:48" ht="13">
      <c r="B809" t="s">
        <v>448</v>
      </c>
      <c r="C809" t="s">
        <v>54</v>
      </c>
      <c r="D809" t="s">
        <v>407</v>
      </c>
      <c r="E809" t="s">
        <v>407</v>
      </c>
      <c r="F809" s="122">
        <v>513</v>
      </c>
      <c r="G809" s="122">
        <v>34632</v>
      </c>
      <c r="H809" s="122">
        <v>71120</v>
      </c>
      <c r="I809" s="122">
        <v>2101567</v>
      </c>
      <c r="J809" s="191">
        <v>1910516</v>
      </c>
      <c r="K809" s="122">
        <v>83</v>
      </c>
      <c r="L809" s="122">
        <v>40665</v>
      </c>
      <c r="M809" s="122">
        <v>39114</v>
      </c>
      <c r="N809" s="122">
        <v>647794</v>
      </c>
      <c r="O809" s="122">
        <v>239924</v>
      </c>
      <c r="P809" s="122">
        <v>240287</v>
      </c>
      <c r="Q809" s="122">
        <v>88995</v>
      </c>
      <c r="R809" s="122">
        <v>1721494</v>
      </c>
      <c r="S809" s="122">
        <v>1564995</v>
      </c>
      <c r="T809" s="122">
        <v>65080</v>
      </c>
      <c r="U809" s="122">
        <v>24104</v>
      </c>
      <c r="V809" s="122">
        <v>3867646</v>
      </c>
      <c r="W809" s="122">
        <f t="shared" si="24"/>
        <v>3867648</v>
      </c>
      <c r="X809" s="122">
        <f t="shared" si="25"/>
        <v>4816887</v>
      </c>
      <c r="Y809" s="122"/>
      <c r="AA809" t="s">
        <v>64</v>
      </c>
      <c r="AB809" t="s">
        <v>407</v>
      </c>
      <c r="AC809" t="s">
        <v>427</v>
      </c>
      <c r="AD809" t="s">
        <v>407</v>
      </c>
      <c r="AE809" t="s">
        <v>137</v>
      </c>
      <c r="AF809">
        <v>11</v>
      </c>
      <c r="AG809">
        <v>715</v>
      </c>
      <c r="AH809" s="122">
        <v>6269</v>
      </c>
      <c r="AI809" s="122">
        <v>237251</v>
      </c>
      <c r="AJ809" s="122">
        <v>215683</v>
      </c>
      <c r="AK809">
        <v>72</v>
      </c>
      <c r="AL809" s="122">
        <v>59192</v>
      </c>
      <c r="AM809" s="122">
        <v>53811</v>
      </c>
      <c r="AN809" s="122">
        <v>15792</v>
      </c>
      <c r="AO809" s="122">
        <v>5849</v>
      </c>
      <c r="AP809" s="122">
        <v>5549</v>
      </c>
      <c r="AQ809" s="122">
        <v>2055</v>
      </c>
      <c r="AR809" s="122">
        <v>45756</v>
      </c>
      <c r="AS809" s="122">
        <v>41596</v>
      </c>
      <c r="AT809" s="122">
        <v>25803</v>
      </c>
      <c r="AU809" s="122">
        <v>9557</v>
      </c>
      <c r="AV809" s="122">
        <v>328550</v>
      </c>
    </row>
    <row r="810" spans="2:48" ht="13">
      <c r="B810" t="s">
        <v>448</v>
      </c>
      <c r="C810" t="s">
        <v>54</v>
      </c>
      <c r="D810" t="s">
        <v>408</v>
      </c>
      <c r="E810" t="s">
        <v>408</v>
      </c>
      <c r="F810">
        <v>5</v>
      </c>
      <c r="G810" s="122">
        <v>347</v>
      </c>
      <c r="H810">
        <v>694</v>
      </c>
      <c r="I810" s="122">
        <v>19036</v>
      </c>
      <c r="J810" s="191">
        <v>17305</v>
      </c>
      <c r="K810" s="122">
        <v>75</v>
      </c>
      <c r="L810">
        <v>0</v>
      </c>
      <c r="M810">
        <v>0</v>
      </c>
      <c r="N810" s="122">
        <v>8448</v>
      </c>
      <c r="O810" s="122">
        <v>3129</v>
      </c>
      <c r="P810" s="122">
        <v>1755</v>
      </c>
      <c r="Q810">
        <v>650</v>
      </c>
      <c r="R810" s="122">
        <v>18903</v>
      </c>
      <c r="S810" s="122">
        <v>17185</v>
      </c>
      <c r="T810">
        <v>0</v>
      </c>
      <c r="U810">
        <v>0</v>
      </c>
      <c r="V810" s="122">
        <v>38269</v>
      </c>
      <c r="W810" s="122">
        <f t="shared" si="24"/>
        <v>38269</v>
      </c>
      <c r="X810" s="122">
        <f t="shared" si="25"/>
        <v>48142</v>
      </c>
      <c r="Y810" s="122"/>
      <c r="AA810" t="s">
        <v>64</v>
      </c>
      <c r="AB810" t="s">
        <v>407</v>
      </c>
      <c r="AC810" t="s">
        <v>427</v>
      </c>
      <c r="AD810" t="s">
        <v>407</v>
      </c>
      <c r="AE810" t="s">
        <v>566</v>
      </c>
      <c r="AF810">
        <v>4</v>
      </c>
      <c r="AG810">
        <v>260</v>
      </c>
      <c r="AH810" s="122">
        <v>2179</v>
      </c>
      <c r="AI810" s="122">
        <v>90445</v>
      </c>
      <c r="AJ810" s="122">
        <v>82222</v>
      </c>
      <c r="AK810">
        <v>79</v>
      </c>
      <c r="AL810" s="122">
        <v>25673</v>
      </c>
      <c r="AM810" s="122">
        <v>23339</v>
      </c>
      <c r="AN810" s="122">
        <v>5767</v>
      </c>
      <c r="AO810" s="122">
        <v>2136</v>
      </c>
      <c r="AP810" s="122">
        <v>1890</v>
      </c>
      <c r="AQ810">
        <v>700</v>
      </c>
      <c r="AR810" s="122">
        <v>16067</v>
      </c>
      <c r="AS810" s="122">
        <v>14607</v>
      </c>
      <c r="AT810">
        <v>0</v>
      </c>
      <c r="AU810">
        <v>0</v>
      </c>
      <c r="AV810" s="122">
        <v>123004</v>
      </c>
    </row>
    <row r="811" spans="2:48" ht="13">
      <c r="B811" t="s">
        <v>448</v>
      </c>
      <c r="C811" t="s">
        <v>56</v>
      </c>
      <c r="F811">
        <v>37</v>
      </c>
      <c r="G811" s="122">
        <v>1749</v>
      </c>
      <c r="H811" s="122">
        <v>7257</v>
      </c>
      <c r="J811" s="191">
        <v>0</v>
      </c>
      <c r="K811" s="122"/>
      <c r="M811">
        <v>0</v>
      </c>
      <c r="N811" s="122">
        <v>28853</v>
      </c>
      <c r="O811" s="122">
        <v>10686</v>
      </c>
      <c r="P811" s="122">
        <v>2241</v>
      </c>
      <c r="Q811">
        <v>830</v>
      </c>
      <c r="S811">
        <v>0</v>
      </c>
      <c r="T811" s="122">
        <v>11710</v>
      </c>
      <c r="U811" s="122">
        <v>4337</v>
      </c>
      <c r="V811" s="122">
        <v>15853</v>
      </c>
      <c r="W811" s="122">
        <f t="shared" si="24"/>
        <v>15853</v>
      </c>
      <c r="X811" s="122">
        <f t="shared" si="25"/>
        <v>42804</v>
      </c>
      <c r="Y811" s="122"/>
      <c r="AA811" t="s">
        <v>64</v>
      </c>
      <c r="AB811" t="s">
        <v>407</v>
      </c>
      <c r="AC811" t="s">
        <v>407</v>
      </c>
      <c r="AD811" t="s">
        <v>137</v>
      </c>
      <c r="AE811" t="s">
        <v>566</v>
      </c>
      <c r="AF811">
        <v>5</v>
      </c>
      <c r="AG811">
        <v>256</v>
      </c>
      <c r="AH811" s="122">
        <v>2530</v>
      </c>
      <c r="AI811" s="122">
        <v>74767</v>
      </c>
      <c r="AJ811" s="122">
        <v>67970</v>
      </c>
      <c r="AK811">
        <v>75</v>
      </c>
      <c r="AL811" s="122">
        <v>12699</v>
      </c>
      <c r="AM811" s="122">
        <v>11544</v>
      </c>
      <c r="AN811" s="122">
        <v>5921</v>
      </c>
      <c r="AO811" s="122">
        <v>2193</v>
      </c>
      <c r="AP811" s="122">
        <v>2241</v>
      </c>
      <c r="AQ811">
        <v>830</v>
      </c>
      <c r="AR811" s="122">
        <v>40787</v>
      </c>
      <c r="AS811" s="122">
        <v>15106</v>
      </c>
      <c r="AT811">
        <v>0</v>
      </c>
      <c r="AU811">
        <v>0</v>
      </c>
      <c r="AV811" s="122">
        <v>97643</v>
      </c>
    </row>
    <row r="812" spans="2:48" ht="13">
      <c r="B812" t="s">
        <v>448</v>
      </c>
      <c r="C812" t="s">
        <v>56</v>
      </c>
      <c r="D812" t="s">
        <v>137</v>
      </c>
      <c r="E812" t="s">
        <v>137</v>
      </c>
      <c r="F812">
        <v>296</v>
      </c>
      <c r="G812" s="122">
        <v>19438</v>
      </c>
      <c r="H812" s="122">
        <v>58485</v>
      </c>
      <c r="I812" s="122">
        <v>1476164</v>
      </c>
      <c r="J812" s="191">
        <v>546728</v>
      </c>
      <c r="K812" s="122">
        <v>110</v>
      </c>
      <c r="L812" s="122">
        <v>203872</v>
      </c>
      <c r="M812" s="122">
        <v>82224</v>
      </c>
      <c r="N812" s="122">
        <v>366670</v>
      </c>
      <c r="O812" s="122">
        <v>135804</v>
      </c>
      <c r="P812" s="122">
        <v>7925</v>
      </c>
      <c r="Q812" s="122">
        <v>2935</v>
      </c>
      <c r="R812" s="122">
        <v>1767981</v>
      </c>
      <c r="S812" s="122">
        <v>654808</v>
      </c>
      <c r="T812" s="122">
        <v>5797</v>
      </c>
      <c r="U812" s="122">
        <v>2147</v>
      </c>
      <c r="V812" s="122">
        <v>1424645</v>
      </c>
      <c r="W812" s="122">
        <f t="shared" si="24"/>
        <v>1424646</v>
      </c>
      <c r="X812" s="122">
        <f t="shared" si="25"/>
        <v>3828409</v>
      </c>
      <c r="Y812" s="122"/>
      <c r="AA812" t="s">
        <v>64</v>
      </c>
      <c r="AB812" t="s">
        <v>407</v>
      </c>
      <c r="AC812" t="s">
        <v>407</v>
      </c>
      <c r="AD812" t="s">
        <v>407</v>
      </c>
      <c r="AE812" t="s">
        <v>137</v>
      </c>
      <c r="AF812">
        <v>55</v>
      </c>
      <c r="AG812" s="122">
        <v>3753</v>
      </c>
      <c r="AH812" s="122">
        <v>29316</v>
      </c>
      <c r="AI812" s="122">
        <v>1191307</v>
      </c>
      <c r="AJ812" s="122">
        <v>1083007</v>
      </c>
      <c r="AK812">
        <v>70</v>
      </c>
      <c r="AL812" s="122">
        <v>327248</v>
      </c>
      <c r="AM812" s="122">
        <v>297498</v>
      </c>
      <c r="AN812" s="122">
        <v>81198</v>
      </c>
      <c r="AO812" s="122">
        <v>30074</v>
      </c>
      <c r="AP812" s="122">
        <v>25259</v>
      </c>
      <c r="AQ812" s="122">
        <v>9355</v>
      </c>
      <c r="AR812" s="122">
        <v>236507</v>
      </c>
      <c r="AS812" s="122">
        <v>215006</v>
      </c>
      <c r="AT812" s="122">
        <v>119279</v>
      </c>
      <c r="AU812" s="122">
        <v>44178</v>
      </c>
      <c r="AV812" s="122">
        <v>1679117</v>
      </c>
    </row>
    <row r="813" spans="2:48" ht="13">
      <c r="B813" t="s">
        <v>448</v>
      </c>
      <c r="C813" t="s">
        <v>56</v>
      </c>
      <c r="D813" t="s">
        <v>406</v>
      </c>
      <c r="E813" t="s">
        <v>406</v>
      </c>
      <c r="F813" s="122">
        <v>1</v>
      </c>
      <c r="G813" s="122">
        <v>51</v>
      </c>
      <c r="H813" s="122">
        <v>157</v>
      </c>
      <c r="I813" s="122">
        <v>3476</v>
      </c>
      <c r="J813" s="191">
        <v>3160</v>
      </c>
      <c r="K813" s="122">
        <v>91</v>
      </c>
      <c r="L813">
        <v>0</v>
      </c>
      <c r="M813">
        <v>0</v>
      </c>
      <c r="N813">
        <v>624</v>
      </c>
      <c r="O813">
        <v>231</v>
      </c>
      <c r="P813">
        <v>621</v>
      </c>
      <c r="Q813">
        <v>230</v>
      </c>
      <c r="R813" s="122">
        <v>3320</v>
      </c>
      <c r="S813" s="122">
        <v>3018</v>
      </c>
      <c r="T813">
        <v>0</v>
      </c>
      <c r="U813">
        <v>0</v>
      </c>
      <c r="V813" s="122">
        <v>6639</v>
      </c>
      <c r="W813" s="122">
        <f t="shared" si="24"/>
        <v>6639</v>
      </c>
      <c r="X813" s="122">
        <f t="shared" si="25"/>
        <v>8041</v>
      </c>
      <c r="Y813" s="122"/>
      <c r="AA813" t="s">
        <v>64</v>
      </c>
      <c r="AB813" t="s">
        <v>407</v>
      </c>
      <c r="AC813" t="s">
        <v>407</v>
      </c>
      <c r="AD813" t="s">
        <v>407</v>
      </c>
      <c r="AE813" t="s">
        <v>566</v>
      </c>
      <c r="AF813">
        <v>23</v>
      </c>
      <c r="AG813" s="122">
        <v>1294</v>
      </c>
      <c r="AH813" s="122">
        <v>11695</v>
      </c>
      <c r="AI813" s="122">
        <v>384252</v>
      </c>
      <c r="AJ813" s="122">
        <v>349320</v>
      </c>
      <c r="AK813">
        <v>75</v>
      </c>
      <c r="AL813" s="122">
        <v>130549</v>
      </c>
      <c r="AM813" s="122">
        <v>118681</v>
      </c>
      <c r="AN813" s="122">
        <v>27994</v>
      </c>
      <c r="AO813" s="122">
        <v>10368</v>
      </c>
      <c r="AP813" s="122">
        <v>10868</v>
      </c>
      <c r="AQ813" s="122">
        <v>4025</v>
      </c>
      <c r="AR813" s="122">
        <v>101665</v>
      </c>
      <c r="AS813" s="122">
        <v>92422</v>
      </c>
      <c r="AT813">
        <v>0</v>
      </c>
      <c r="AU813">
        <v>0</v>
      </c>
      <c r="AV813" s="122">
        <v>574817</v>
      </c>
    </row>
    <row r="814" spans="2:48" ht="13">
      <c r="B814" t="s">
        <v>448</v>
      </c>
      <c r="C814" t="s">
        <v>56</v>
      </c>
      <c r="D814" t="s">
        <v>407</v>
      </c>
      <c r="E814" t="s">
        <v>137</v>
      </c>
      <c r="F814" s="122">
        <v>1</v>
      </c>
      <c r="G814" s="122">
        <v>68</v>
      </c>
      <c r="H814" s="122">
        <v>221</v>
      </c>
      <c r="I814" s="122">
        <v>6770</v>
      </c>
      <c r="J814" s="191">
        <v>6155</v>
      </c>
      <c r="K814" s="122">
        <v>77</v>
      </c>
      <c r="L814">
        <v>0</v>
      </c>
      <c r="M814">
        <v>0</v>
      </c>
      <c r="N814" s="122">
        <v>1481</v>
      </c>
      <c r="O814">
        <v>549</v>
      </c>
      <c r="P814">
        <v>473</v>
      </c>
      <c r="Q814">
        <v>175</v>
      </c>
      <c r="R814" s="122">
        <v>6399</v>
      </c>
      <c r="S814" s="122">
        <v>2370</v>
      </c>
      <c r="T814">
        <v>0</v>
      </c>
      <c r="U814">
        <v>0</v>
      </c>
      <c r="V814" s="122">
        <v>9248</v>
      </c>
      <c r="W814" s="122">
        <f t="shared" si="24"/>
        <v>9249</v>
      </c>
      <c r="X814" s="122">
        <f t="shared" si="25"/>
        <v>15123</v>
      </c>
      <c r="Y814" s="122"/>
      <c r="AA814" t="s">
        <v>64</v>
      </c>
      <c r="AB814" t="s">
        <v>407</v>
      </c>
      <c r="AC814" t="s">
        <v>579</v>
      </c>
      <c r="AD814" t="s">
        <v>137</v>
      </c>
      <c r="AE814" t="s">
        <v>566</v>
      </c>
      <c r="AF814">
        <v>9</v>
      </c>
      <c r="AG814">
        <v>444</v>
      </c>
      <c r="AH814" s="122">
        <v>5089</v>
      </c>
      <c r="AI814" s="122">
        <v>153919</v>
      </c>
      <c r="AJ814" s="122">
        <v>139927</v>
      </c>
      <c r="AK814">
        <v>74</v>
      </c>
      <c r="AL814" s="122">
        <v>43715</v>
      </c>
      <c r="AM814" s="122">
        <v>36429</v>
      </c>
      <c r="AN814" s="122">
        <v>10581</v>
      </c>
      <c r="AO814" s="122">
        <v>3919</v>
      </c>
      <c r="AP814" s="122">
        <v>2835</v>
      </c>
      <c r="AQ814" s="122">
        <v>1050</v>
      </c>
      <c r="AR814" s="122">
        <v>37449</v>
      </c>
      <c r="AS814" s="122">
        <v>13870</v>
      </c>
      <c r="AT814">
        <v>0</v>
      </c>
      <c r="AU814">
        <v>0</v>
      </c>
      <c r="AV814" s="122">
        <v>195195</v>
      </c>
    </row>
    <row r="815" spans="2:48" ht="13">
      <c r="B815" t="s">
        <v>448</v>
      </c>
      <c r="C815" t="s">
        <v>56</v>
      </c>
      <c r="D815" t="s">
        <v>407</v>
      </c>
      <c r="E815" t="s">
        <v>407</v>
      </c>
      <c r="F815" s="122">
        <v>740</v>
      </c>
      <c r="G815" s="122">
        <v>45679</v>
      </c>
      <c r="H815" s="122">
        <v>130640</v>
      </c>
      <c r="I815" s="122">
        <v>3939753</v>
      </c>
      <c r="J815" s="191">
        <v>3581594</v>
      </c>
      <c r="K815" s="122">
        <v>81</v>
      </c>
      <c r="L815" s="122">
        <v>117912</v>
      </c>
      <c r="M815" s="122">
        <v>83541</v>
      </c>
      <c r="N815" s="122">
        <v>892543</v>
      </c>
      <c r="O815" s="122">
        <v>330572</v>
      </c>
      <c r="P815" s="122">
        <v>346059</v>
      </c>
      <c r="Q815" s="122">
        <v>128170</v>
      </c>
      <c r="R815" s="122">
        <v>2503435</v>
      </c>
      <c r="S815" s="122">
        <v>2275850</v>
      </c>
      <c r="T815" s="122">
        <v>236825</v>
      </c>
      <c r="U815" s="122">
        <v>87713</v>
      </c>
      <c r="V815" s="122">
        <v>6487439</v>
      </c>
      <c r="W815" s="122">
        <f t="shared" si="24"/>
        <v>6487440</v>
      </c>
      <c r="X815" s="122">
        <f t="shared" si="25"/>
        <v>8036527</v>
      </c>
      <c r="Y815" s="122"/>
      <c r="AA815" t="s">
        <v>64</v>
      </c>
      <c r="AB815" t="s">
        <v>407</v>
      </c>
      <c r="AC815" t="s">
        <v>579</v>
      </c>
      <c r="AD815" t="s">
        <v>406</v>
      </c>
      <c r="AE815" t="s">
        <v>137</v>
      </c>
      <c r="AF815">
        <v>1</v>
      </c>
      <c r="AG815">
        <v>53</v>
      </c>
      <c r="AH815">
        <v>493</v>
      </c>
      <c r="AI815" s="122">
        <v>15401</v>
      </c>
      <c r="AJ815" s="122">
        <v>14001</v>
      </c>
      <c r="AK815">
        <v>90</v>
      </c>
      <c r="AL815" s="122">
        <v>5333</v>
      </c>
      <c r="AM815" s="122">
        <v>4444</v>
      </c>
      <c r="AN815" s="122">
        <v>1023</v>
      </c>
      <c r="AO815">
        <v>379</v>
      </c>
      <c r="AP815">
        <v>473</v>
      </c>
      <c r="AQ815">
        <v>175</v>
      </c>
      <c r="AR815" s="122">
        <v>2340</v>
      </c>
      <c r="AS815" s="122">
        <v>2127</v>
      </c>
      <c r="AT815" s="122">
        <v>1337</v>
      </c>
      <c r="AU815">
        <v>495</v>
      </c>
      <c r="AV815" s="122">
        <v>21622</v>
      </c>
    </row>
    <row r="816" spans="2:48">
      <c r="B816" t="s">
        <v>448</v>
      </c>
      <c r="C816" t="s">
        <v>56</v>
      </c>
      <c r="D816" t="s">
        <v>408</v>
      </c>
      <c r="E816" t="s">
        <v>408</v>
      </c>
      <c r="F816">
        <v>13</v>
      </c>
      <c r="G816">
        <v>901</v>
      </c>
      <c r="H816" s="122">
        <v>2330</v>
      </c>
      <c r="I816" s="122">
        <v>85840</v>
      </c>
      <c r="J816" s="122">
        <v>78036</v>
      </c>
      <c r="K816" s="122">
        <v>75</v>
      </c>
      <c r="L816">
        <v>0</v>
      </c>
      <c r="M816">
        <v>0</v>
      </c>
      <c r="N816" s="122">
        <v>21965</v>
      </c>
      <c r="O816" s="122">
        <v>8135</v>
      </c>
      <c r="P816" s="122">
        <v>4563</v>
      </c>
      <c r="Q816" s="122">
        <v>1690</v>
      </c>
      <c r="R816" s="122">
        <v>49148</v>
      </c>
      <c r="S816" s="122">
        <v>44680</v>
      </c>
      <c r="T816">
        <v>0</v>
      </c>
      <c r="U816">
        <v>0</v>
      </c>
      <c r="V816" s="122">
        <v>132542</v>
      </c>
      <c r="W816" s="122">
        <f t="shared" si="24"/>
        <v>132541</v>
      </c>
      <c r="X816" s="122">
        <f t="shared" si="25"/>
        <v>161516</v>
      </c>
      <c r="Y816" s="122"/>
      <c r="AA816" t="s">
        <v>64</v>
      </c>
      <c r="AB816" t="s">
        <v>407</v>
      </c>
      <c r="AC816" t="s">
        <v>579</v>
      </c>
      <c r="AD816" t="s">
        <v>407</v>
      </c>
      <c r="AE816" t="s">
        <v>137</v>
      </c>
      <c r="AF816">
        <v>66</v>
      </c>
      <c r="AG816" s="122">
        <v>4487</v>
      </c>
      <c r="AH816" s="122">
        <v>36052</v>
      </c>
      <c r="AI816" s="122">
        <v>1484808</v>
      </c>
      <c r="AJ816" s="122">
        <v>1349825</v>
      </c>
      <c r="AK816">
        <v>74</v>
      </c>
      <c r="AL816" s="122">
        <v>399183</v>
      </c>
      <c r="AM816" s="122">
        <v>332652</v>
      </c>
      <c r="AN816" s="122">
        <v>95940</v>
      </c>
      <c r="AO816" s="122">
        <v>35533</v>
      </c>
      <c r="AP816" s="122">
        <v>32319</v>
      </c>
      <c r="AQ816" s="122">
        <v>11970</v>
      </c>
      <c r="AR816" s="122">
        <v>248793</v>
      </c>
      <c r="AS816" s="122">
        <v>226176</v>
      </c>
      <c r="AT816" s="122">
        <v>130276</v>
      </c>
      <c r="AU816" s="122">
        <v>48250</v>
      </c>
      <c r="AV816" s="122">
        <v>2004407</v>
      </c>
    </row>
    <row r="817" spans="2:48">
      <c r="B817" t="s">
        <v>448</v>
      </c>
      <c r="C817" t="s">
        <v>58</v>
      </c>
      <c r="F817">
        <v>22</v>
      </c>
      <c r="G817" s="122">
        <v>1115</v>
      </c>
      <c r="H817" s="122">
        <v>5498</v>
      </c>
      <c r="J817">
        <v>0</v>
      </c>
      <c r="K817" s="122"/>
      <c r="M817">
        <v>0</v>
      </c>
      <c r="N817" s="122">
        <v>24119</v>
      </c>
      <c r="O817" s="122">
        <v>8933</v>
      </c>
      <c r="P817" s="122">
        <v>1296</v>
      </c>
      <c r="Q817">
        <v>480</v>
      </c>
      <c r="S817">
        <v>0</v>
      </c>
      <c r="T817" s="122">
        <v>7382</v>
      </c>
      <c r="U817" s="122">
        <v>2734</v>
      </c>
      <c r="V817" s="122">
        <v>12147</v>
      </c>
      <c r="W817" s="122">
        <f t="shared" si="24"/>
        <v>12147</v>
      </c>
      <c r="X817" s="122">
        <f t="shared" si="25"/>
        <v>32797</v>
      </c>
      <c r="Y817" s="122"/>
      <c r="AA817" t="s">
        <v>64</v>
      </c>
      <c r="AB817" t="s">
        <v>407</v>
      </c>
      <c r="AC817" t="s">
        <v>579</v>
      </c>
      <c r="AD817" t="s">
        <v>407</v>
      </c>
      <c r="AE817" t="s">
        <v>566</v>
      </c>
      <c r="AF817">
        <v>24</v>
      </c>
      <c r="AG817" s="122">
        <v>1639</v>
      </c>
      <c r="AH817" s="122">
        <v>12555</v>
      </c>
      <c r="AI817" s="122">
        <v>542870</v>
      </c>
      <c r="AJ817" s="122">
        <v>493518</v>
      </c>
      <c r="AK817">
        <v>78</v>
      </c>
      <c r="AL817" s="122">
        <v>159261</v>
      </c>
      <c r="AM817" s="122">
        <v>132717</v>
      </c>
      <c r="AN817" s="122">
        <v>32284</v>
      </c>
      <c r="AO817" s="122">
        <v>11957</v>
      </c>
      <c r="AP817" s="122">
        <v>11219</v>
      </c>
      <c r="AQ817" s="122">
        <v>4155</v>
      </c>
      <c r="AR817" s="122">
        <v>107118</v>
      </c>
      <c r="AS817" s="122">
        <v>97380</v>
      </c>
      <c r="AT817">
        <v>0</v>
      </c>
      <c r="AU817">
        <v>0</v>
      </c>
      <c r="AV817" s="122">
        <v>739728</v>
      </c>
    </row>
    <row r="818" spans="2:48">
      <c r="B818" t="s">
        <v>448</v>
      </c>
      <c r="C818" t="s">
        <v>58</v>
      </c>
      <c r="D818" t="s">
        <v>137</v>
      </c>
      <c r="E818" t="s">
        <v>137</v>
      </c>
      <c r="F818" s="122">
        <v>328</v>
      </c>
      <c r="G818" s="122">
        <v>21209</v>
      </c>
      <c r="H818" s="122">
        <v>85383</v>
      </c>
      <c r="I818" s="122">
        <v>2745726</v>
      </c>
      <c r="J818" s="122">
        <v>1016936</v>
      </c>
      <c r="K818" s="122">
        <v>100</v>
      </c>
      <c r="L818" s="122">
        <v>331596</v>
      </c>
      <c r="M818" s="122">
        <v>127458</v>
      </c>
      <c r="N818" s="122">
        <v>427282</v>
      </c>
      <c r="O818" s="122">
        <v>158252</v>
      </c>
      <c r="P818" s="122">
        <v>4127</v>
      </c>
      <c r="Q818" s="122">
        <v>1528</v>
      </c>
      <c r="R818" s="122">
        <v>2000756</v>
      </c>
      <c r="S818" s="122">
        <v>741021</v>
      </c>
      <c r="T818" s="122">
        <v>7050</v>
      </c>
      <c r="U818" s="122">
        <v>2611</v>
      </c>
      <c r="V818" s="122">
        <v>2047806</v>
      </c>
      <c r="W818" s="122">
        <f t="shared" si="24"/>
        <v>2047806</v>
      </c>
      <c r="X818" s="122">
        <f t="shared" si="25"/>
        <v>5516537</v>
      </c>
      <c r="Y818" s="122"/>
      <c r="AA818" t="s">
        <v>64</v>
      </c>
      <c r="AB818" t="s">
        <v>407</v>
      </c>
      <c r="AC818" t="s">
        <v>426</v>
      </c>
      <c r="AD818" t="s">
        <v>137</v>
      </c>
      <c r="AE818" t="s">
        <v>566</v>
      </c>
      <c r="AF818">
        <v>3</v>
      </c>
      <c r="AG818">
        <v>131</v>
      </c>
      <c r="AH818" s="122">
        <v>1588</v>
      </c>
      <c r="AI818" s="122">
        <v>32977</v>
      </c>
      <c r="AJ818" s="122">
        <v>29979</v>
      </c>
      <c r="AK818">
        <v>73</v>
      </c>
      <c r="AL818" s="122">
        <v>8519</v>
      </c>
      <c r="AM818" s="122">
        <v>7744</v>
      </c>
      <c r="AN818" s="122">
        <v>3086</v>
      </c>
      <c r="AO818" s="122">
        <v>1143</v>
      </c>
      <c r="AP818">
        <v>945</v>
      </c>
      <c r="AQ818">
        <v>350</v>
      </c>
      <c r="AR818" s="122">
        <v>24220</v>
      </c>
      <c r="AS818" s="122">
        <v>8970</v>
      </c>
      <c r="AT818">
        <v>0</v>
      </c>
      <c r="AU818">
        <v>0</v>
      </c>
      <c r="AV818" s="122">
        <v>48187</v>
      </c>
    </row>
    <row r="819" spans="2:48">
      <c r="B819" t="s">
        <v>448</v>
      </c>
      <c r="C819" t="s">
        <v>58</v>
      </c>
      <c r="D819" t="s">
        <v>406</v>
      </c>
      <c r="E819" t="s">
        <v>406</v>
      </c>
      <c r="F819" s="122">
        <v>1</v>
      </c>
      <c r="G819" s="122">
        <v>81</v>
      </c>
      <c r="H819" s="122">
        <v>232</v>
      </c>
      <c r="I819" s="122">
        <v>11986</v>
      </c>
      <c r="J819" s="122">
        <v>10896</v>
      </c>
      <c r="K819" s="122">
        <v>86</v>
      </c>
      <c r="L819" s="122">
        <v>3942</v>
      </c>
      <c r="M819" s="122">
        <v>3285</v>
      </c>
      <c r="N819" s="122">
        <v>2025</v>
      </c>
      <c r="O819">
        <v>750</v>
      </c>
      <c r="P819">
        <v>621</v>
      </c>
      <c r="Q819">
        <v>230</v>
      </c>
      <c r="R819" s="122">
        <v>4656</v>
      </c>
      <c r="S819" s="122">
        <v>4233</v>
      </c>
      <c r="T819">
        <v>0</v>
      </c>
      <c r="U819">
        <v>0</v>
      </c>
      <c r="V819" s="122">
        <v>19394</v>
      </c>
      <c r="W819" s="122">
        <f t="shared" si="24"/>
        <v>19394</v>
      </c>
      <c r="X819" s="122">
        <f t="shared" si="25"/>
        <v>23230</v>
      </c>
      <c r="Y819" s="122"/>
      <c r="AA819" t="s">
        <v>64</v>
      </c>
      <c r="AB819" t="s">
        <v>407</v>
      </c>
      <c r="AC819" t="s">
        <v>426</v>
      </c>
      <c r="AD819" t="s">
        <v>407</v>
      </c>
      <c r="AE819" t="s">
        <v>137</v>
      </c>
      <c r="AF819">
        <v>35</v>
      </c>
      <c r="AG819" s="122">
        <v>2049</v>
      </c>
      <c r="AH819" s="122">
        <v>18467</v>
      </c>
      <c r="AI819" s="122">
        <v>645592</v>
      </c>
      <c r="AJ819" s="122">
        <v>586902</v>
      </c>
      <c r="AK819">
        <v>75</v>
      </c>
      <c r="AL819" s="122">
        <v>164428</v>
      </c>
      <c r="AM819" s="122">
        <v>149480</v>
      </c>
      <c r="AN819" s="122">
        <v>46544</v>
      </c>
      <c r="AO819" s="122">
        <v>17238</v>
      </c>
      <c r="AP819" s="122">
        <v>16538</v>
      </c>
      <c r="AQ819" s="122">
        <v>6125</v>
      </c>
      <c r="AR819" s="122">
        <v>144501</v>
      </c>
      <c r="AS819" s="122">
        <v>131364</v>
      </c>
      <c r="AT819" s="122">
        <v>75742</v>
      </c>
      <c r="AU819" s="122">
        <v>28053</v>
      </c>
      <c r="AV819" s="122">
        <v>919162</v>
      </c>
    </row>
    <row r="820" spans="2:48">
      <c r="B820" t="s">
        <v>448</v>
      </c>
      <c r="C820" t="s">
        <v>58</v>
      </c>
      <c r="D820" t="s">
        <v>407</v>
      </c>
      <c r="E820" t="s">
        <v>407</v>
      </c>
      <c r="F820">
        <v>72</v>
      </c>
      <c r="G820" s="122">
        <v>4438</v>
      </c>
      <c r="H820" s="122">
        <v>18250</v>
      </c>
      <c r="I820" s="122">
        <v>574761</v>
      </c>
      <c r="J820" s="122">
        <v>522510</v>
      </c>
      <c r="K820" s="122">
        <v>76</v>
      </c>
      <c r="L820" s="122">
        <v>71060</v>
      </c>
      <c r="M820" s="122">
        <v>59557</v>
      </c>
      <c r="N820" s="122">
        <v>80478</v>
      </c>
      <c r="O820" s="122">
        <v>29807</v>
      </c>
      <c r="P820" s="122">
        <v>33318</v>
      </c>
      <c r="Q820" s="122">
        <v>12340</v>
      </c>
      <c r="R820" s="122">
        <v>283414</v>
      </c>
      <c r="S820" s="122">
        <v>257650</v>
      </c>
      <c r="T820" s="122">
        <v>85658</v>
      </c>
      <c r="U820" s="122">
        <v>31725</v>
      </c>
      <c r="V820" s="122">
        <v>913589</v>
      </c>
      <c r="W820" s="122">
        <f t="shared" si="24"/>
        <v>913589</v>
      </c>
      <c r="X820" s="122">
        <f t="shared" si="25"/>
        <v>1128689</v>
      </c>
      <c r="Y820" s="122"/>
      <c r="AA820" t="s">
        <v>64</v>
      </c>
      <c r="AB820" t="s">
        <v>407</v>
      </c>
      <c r="AC820" t="s">
        <v>426</v>
      </c>
      <c r="AD820" t="s">
        <v>407</v>
      </c>
      <c r="AE820" t="s">
        <v>566</v>
      </c>
      <c r="AF820">
        <v>22</v>
      </c>
      <c r="AG820" s="122">
        <v>1113</v>
      </c>
      <c r="AH820" s="122">
        <v>11129</v>
      </c>
      <c r="AI820" s="122">
        <v>330539</v>
      </c>
      <c r="AJ820" s="122">
        <v>300490</v>
      </c>
      <c r="AK820">
        <v>75</v>
      </c>
      <c r="AL820" s="122">
        <v>89823</v>
      </c>
      <c r="AM820" s="122">
        <v>81657</v>
      </c>
      <c r="AN820" s="122">
        <v>26263</v>
      </c>
      <c r="AO820" s="122">
        <v>9727</v>
      </c>
      <c r="AP820" s="122">
        <v>10152</v>
      </c>
      <c r="AQ820" s="122">
        <v>3760</v>
      </c>
      <c r="AR820" s="122">
        <v>102075</v>
      </c>
      <c r="AS820" s="122">
        <v>92795</v>
      </c>
      <c r="AT820">
        <v>0</v>
      </c>
      <c r="AU820">
        <v>0</v>
      </c>
      <c r="AV820" s="122">
        <v>488429</v>
      </c>
    </row>
    <row r="821" spans="2:48">
      <c r="B821" t="s">
        <v>448</v>
      </c>
      <c r="C821" t="s">
        <v>60</v>
      </c>
      <c r="F821">
        <v>12</v>
      </c>
      <c r="G821" s="122">
        <v>745</v>
      </c>
      <c r="H821" s="122">
        <v>4020</v>
      </c>
      <c r="J821" s="122">
        <v>0</v>
      </c>
      <c r="K821" s="122"/>
      <c r="M821">
        <v>0</v>
      </c>
      <c r="N821" s="122">
        <v>17251</v>
      </c>
      <c r="O821" s="122">
        <v>6389</v>
      </c>
      <c r="P821">
        <v>0</v>
      </c>
      <c r="Q821">
        <v>0</v>
      </c>
      <c r="S821">
        <v>0</v>
      </c>
      <c r="T821">
        <v>0</v>
      </c>
      <c r="U821">
        <v>0</v>
      </c>
      <c r="V821" s="122">
        <v>6389</v>
      </c>
      <c r="W821" s="122">
        <f t="shared" si="24"/>
        <v>6389</v>
      </c>
      <c r="X821" s="122">
        <f t="shared" si="25"/>
        <v>17251</v>
      </c>
      <c r="Y821" s="122"/>
      <c r="AA821" t="s">
        <v>64</v>
      </c>
      <c r="AB821" t="s">
        <v>407</v>
      </c>
      <c r="AC821" t="s">
        <v>566</v>
      </c>
      <c r="AD821" t="s">
        <v>137</v>
      </c>
      <c r="AE821" t="s">
        <v>566</v>
      </c>
      <c r="AF821">
        <v>32</v>
      </c>
      <c r="AG821" s="122">
        <v>1243</v>
      </c>
      <c r="AH821" s="122">
        <v>17778</v>
      </c>
      <c r="AI821" s="122">
        <v>479163</v>
      </c>
      <c r="AJ821" s="122">
        <v>435603</v>
      </c>
      <c r="AK821">
        <v>72</v>
      </c>
      <c r="AL821">
        <v>0</v>
      </c>
      <c r="AM821">
        <v>0</v>
      </c>
      <c r="AN821" s="122">
        <v>25267</v>
      </c>
      <c r="AO821" s="122">
        <v>9358</v>
      </c>
      <c r="AP821" s="122">
        <v>12164</v>
      </c>
      <c r="AQ821" s="122">
        <v>4505</v>
      </c>
      <c r="AR821" s="122">
        <v>167054</v>
      </c>
      <c r="AS821" s="122">
        <v>61872</v>
      </c>
      <c r="AT821">
        <v>0</v>
      </c>
      <c r="AU821">
        <v>0</v>
      </c>
      <c r="AV821" s="122">
        <v>511338</v>
      </c>
    </row>
    <row r="822" spans="2:48">
      <c r="B822" t="s">
        <v>448</v>
      </c>
      <c r="C822" t="s">
        <v>60</v>
      </c>
      <c r="D822" t="s">
        <v>137</v>
      </c>
      <c r="E822" t="s">
        <v>137</v>
      </c>
      <c r="F822">
        <v>91</v>
      </c>
      <c r="G822" s="122">
        <v>5556</v>
      </c>
      <c r="H822" s="122">
        <v>29986</v>
      </c>
      <c r="I822" s="122">
        <v>1072563</v>
      </c>
      <c r="J822" s="122">
        <v>397246</v>
      </c>
      <c r="K822" s="122">
        <v>100</v>
      </c>
      <c r="L822" s="122">
        <v>112722</v>
      </c>
      <c r="M822" s="122">
        <v>44605</v>
      </c>
      <c r="N822" s="122">
        <v>109007</v>
      </c>
      <c r="O822" s="122">
        <v>40373</v>
      </c>
      <c r="P822" s="122">
        <v>1404</v>
      </c>
      <c r="Q822">
        <v>520</v>
      </c>
      <c r="R822" s="122">
        <v>532923</v>
      </c>
      <c r="S822" s="122">
        <v>197379</v>
      </c>
      <c r="T822" s="122">
        <v>1552</v>
      </c>
      <c r="U822">
        <v>575</v>
      </c>
      <c r="V822" s="122">
        <v>680697</v>
      </c>
      <c r="W822" s="122">
        <f t="shared" si="24"/>
        <v>680698</v>
      </c>
      <c r="X822" s="122">
        <f t="shared" si="25"/>
        <v>1830171</v>
      </c>
      <c r="Y822" s="122"/>
      <c r="AA822" t="s">
        <v>64</v>
      </c>
      <c r="AB822" t="s">
        <v>407</v>
      </c>
      <c r="AC822" t="s">
        <v>566</v>
      </c>
      <c r="AD822" t="s">
        <v>407</v>
      </c>
      <c r="AE822" t="s">
        <v>137</v>
      </c>
      <c r="AF822">
        <v>109</v>
      </c>
      <c r="AG822" s="122">
        <v>5331</v>
      </c>
      <c r="AH822" s="122">
        <v>57259</v>
      </c>
      <c r="AI822" s="122">
        <v>2033780</v>
      </c>
      <c r="AJ822" s="122">
        <v>1848891</v>
      </c>
      <c r="AK822">
        <v>73</v>
      </c>
      <c r="AL822">
        <v>0</v>
      </c>
      <c r="AM822">
        <v>0</v>
      </c>
      <c r="AN822" s="122">
        <v>117304</v>
      </c>
      <c r="AO822" s="122">
        <v>43446</v>
      </c>
      <c r="AP822" s="122">
        <v>49930</v>
      </c>
      <c r="AQ822" s="122">
        <v>18493</v>
      </c>
      <c r="AR822" s="122">
        <v>410326</v>
      </c>
      <c r="AS822" s="122">
        <v>373024</v>
      </c>
      <c r="AT822" s="122">
        <v>188723</v>
      </c>
      <c r="AU822" s="122">
        <v>69897</v>
      </c>
      <c r="AV822" s="122">
        <v>2353750</v>
      </c>
    </row>
    <row r="823" spans="2:48">
      <c r="B823" t="s">
        <v>448</v>
      </c>
      <c r="C823" t="s">
        <v>60</v>
      </c>
      <c r="D823" t="s">
        <v>406</v>
      </c>
      <c r="E823" t="s">
        <v>406</v>
      </c>
      <c r="F823" s="122">
        <v>3</v>
      </c>
      <c r="G823" s="122">
        <v>209</v>
      </c>
      <c r="H823" s="122">
        <v>1034</v>
      </c>
      <c r="I823" s="122">
        <v>43702</v>
      </c>
      <c r="J823" s="122">
        <v>39729</v>
      </c>
      <c r="K823" s="122">
        <v>68</v>
      </c>
      <c r="L823" s="122">
        <v>4472</v>
      </c>
      <c r="M823" s="122">
        <v>4065</v>
      </c>
      <c r="N823" s="122">
        <v>5102</v>
      </c>
      <c r="O823" s="122">
        <v>1890</v>
      </c>
      <c r="P823" s="122">
        <v>1863</v>
      </c>
      <c r="Q823">
        <v>690</v>
      </c>
      <c r="R823" s="122">
        <v>10551</v>
      </c>
      <c r="S823" s="122">
        <v>9592</v>
      </c>
      <c r="T823" s="122">
        <v>6680</v>
      </c>
      <c r="U823" s="122">
        <v>2474</v>
      </c>
      <c r="V823" s="122">
        <v>58440</v>
      </c>
      <c r="W823" s="122">
        <f t="shared" si="24"/>
        <v>58440</v>
      </c>
      <c r="X823" s="122">
        <f t="shared" si="25"/>
        <v>72370</v>
      </c>
      <c r="Y823" s="122"/>
      <c r="AA823" t="s">
        <v>64</v>
      </c>
      <c r="AB823" t="s">
        <v>407</v>
      </c>
      <c r="AC823" t="s">
        <v>566</v>
      </c>
      <c r="AD823" t="s">
        <v>407</v>
      </c>
      <c r="AE823" t="s">
        <v>566</v>
      </c>
      <c r="AF823">
        <v>47</v>
      </c>
      <c r="AG823" s="122">
        <v>2057</v>
      </c>
      <c r="AH823" s="122">
        <v>24510</v>
      </c>
      <c r="AI823" s="122">
        <v>774706</v>
      </c>
      <c r="AJ823" s="122">
        <v>704278</v>
      </c>
      <c r="AK823">
        <v>75</v>
      </c>
      <c r="AL823">
        <v>0</v>
      </c>
      <c r="AM823" s="122">
        <v>5074</v>
      </c>
      <c r="AN823" s="122">
        <v>45427</v>
      </c>
      <c r="AO823" s="122">
        <v>16825</v>
      </c>
      <c r="AP823" s="122">
        <v>22208</v>
      </c>
      <c r="AQ823" s="122">
        <v>8225</v>
      </c>
      <c r="AR823" s="122">
        <v>218953</v>
      </c>
      <c r="AS823" s="122">
        <v>199048</v>
      </c>
      <c r="AT823">
        <v>0</v>
      </c>
      <c r="AU823">
        <v>0</v>
      </c>
      <c r="AV823" s="122">
        <v>933450</v>
      </c>
    </row>
    <row r="824" spans="2:48">
      <c r="B824" t="s">
        <v>448</v>
      </c>
      <c r="C824" t="s">
        <v>60</v>
      </c>
      <c r="D824" t="s">
        <v>407</v>
      </c>
      <c r="E824" t="s">
        <v>137</v>
      </c>
      <c r="F824">
        <v>1</v>
      </c>
      <c r="G824" s="122">
        <v>36</v>
      </c>
      <c r="H824" s="122">
        <v>314</v>
      </c>
      <c r="I824" s="122">
        <v>5875</v>
      </c>
      <c r="J824" s="122">
        <v>5341</v>
      </c>
      <c r="K824" s="122">
        <v>78</v>
      </c>
      <c r="L824">
        <v>0</v>
      </c>
      <c r="M824">
        <v>0</v>
      </c>
      <c r="N824">
        <v>437</v>
      </c>
      <c r="O824">
        <v>162</v>
      </c>
      <c r="P824">
        <v>473</v>
      </c>
      <c r="Q824">
        <v>175</v>
      </c>
      <c r="R824" s="122">
        <v>4462</v>
      </c>
      <c r="S824" s="122">
        <v>1652</v>
      </c>
      <c r="T824">
        <v>0</v>
      </c>
      <c r="U824">
        <v>0</v>
      </c>
      <c r="V824" s="122">
        <v>7330</v>
      </c>
      <c r="W824" s="122">
        <f t="shared" si="24"/>
        <v>7330</v>
      </c>
      <c r="X824" s="122">
        <f t="shared" si="25"/>
        <v>11247</v>
      </c>
      <c r="Y824" s="122"/>
      <c r="AA824" t="s">
        <v>64</v>
      </c>
      <c r="AB824" t="s">
        <v>407</v>
      </c>
      <c r="AC824" t="s">
        <v>433</v>
      </c>
      <c r="AD824" t="s">
        <v>407</v>
      </c>
      <c r="AE824" t="s">
        <v>566</v>
      </c>
      <c r="AF824">
        <v>1</v>
      </c>
      <c r="AG824">
        <v>80</v>
      </c>
      <c r="AH824">
        <v>483</v>
      </c>
      <c r="AI824" s="122">
        <v>23179</v>
      </c>
      <c r="AJ824" s="122">
        <v>21072</v>
      </c>
      <c r="AK824">
        <v>68</v>
      </c>
      <c r="AL824" s="122">
        <v>5838</v>
      </c>
      <c r="AM824" s="122">
        <v>5307</v>
      </c>
      <c r="AN824" s="122">
        <v>1826</v>
      </c>
      <c r="AO824">
        <v>676</v>
      </c>
      <c r="AP824">
        <v>473</v>
      </c>
      <c r="AQ824">
        <v>175</v>
      </c>
      <c r="AR824" s="122">
        <v>7192</v>
      </c>
      <c r="AS824" s="122">
        <v>6538</v>
      </c>
      <c r="AT824">
        <v>0</v>
      </c>
      <c r="AU824">
        <v>0</v>
      </c>
      <c r="AV824" s="122">
        <v>33768</v>
      </c>
    </row>
    <row r="825" spans="2:48">
      <c r="B825" t="s">
        <v>448</v>
      </c>
      <c r="C825" t="s">
        <v>60</v>
      </c>
      <c r="D825" t="s">
        <v>407</v>
      </c>
      <c r="E825" t="s">
        <v>407</v>
      </c>
      <c r="F825">
        <v>12</v>
      </c>
      <c r="G825">
        <v>699</v>
      </c>
      <c r="H825" s="122">
        <v>4210</v>
      </c>
      <c r="I825" s="122">
        <v>147501</v>
      </c>
      <c r="J825" s="122">
        <v>134092</v>
      </c>
      <c r="K825" s="122">
        <v>80</v>
      </c>
      <c r="L825" s="122">
        <v>18480</v>
      </c>
      <c r="M825" s="122">
        <v>18047</v>
      </c>
      <c r="N825" s="122">
        <v>13916</v>
      </c>
      <c r="O825" s="122">
        <v>5154</v>
      </c>
      <c r="P825" s="122">
        <v>5670</v>
      </c>
      <c r="Q825" s="122">
        <v>2100</v>
      </c>
      <c r="R825" s="122">
        <v>53548</v>
      </c>
      <c r="S825" s="122">
        <v>48680</v>
      </c>
      <c r="T825" s="122">
        <v>11469</v>
      </c>
      <c r="U825" s="122">
        <v>4248</v>
      </c>
      <c r="V825" s="122">
        <v>212320</v>
      </c>
      <c r="W825" s="122">
        <f t="shared" si="24"/>
        <v>212321</v>
      </c>
      <c r="X825" s="122">
        <f t="shared" si="25"/>
        <v>250584</v>
      </c>
      <c r="Y825" s="122"/>
      <c r="AA825" t="s">
        <v>64</v>
      </c>
      <c r="AB825" t="s">
        <v>407</v>
      </c>
      <c r="AC825" t="s">
        <v>429</v>
      </c>
      <c r="AD825" t="s">
        <v>407</v>
      </c>
      <c r="AE825" t="s">
        <v>137</v>
      </c>
      <c r="AF825">
        <v>1</v>
      </c>
      <c r="AG825">
        <v>57</v>
      </c>
      <c r="AH825">
        <v>486</v>
      </c>
      <c r="AI825" s="122">
        <v>12785</v>
      </c>
      <c r="AJ825" s="122">
        <v>11622</v>
      </c>
      <c r="AK825">
        <v>79</v>
      </c>
      <c r="AL825" s="122">
        <v>3547</v>
      </c>
      <c r="AM825" s="122">
        <v>3224</v>
      </c>
      <c r="AN825" s="122">
        <v>1126</v>
      </c>
      <c r="AO825">
        <v>417</v>
      </c>
      <c r="AP825">
        <v>473</v>
      </c>
      <c r="AQ825">
        <v>175</v>
      </c>
      <c r="AR825" s="122">
        <v>5704</v>
      </c>
      <c r="AS825" s="122">
        <v>5186</v>
      </c>
      <c r="AT825" s="122">
        <v>4075</v>
      </c>
      <c r="AU825" s="122">
        <v>1509</v>
      </c>
      <c r="AV825" s="122">
        <v>22133</v>
      </c>
    </row>
    <row r="826" spans="2:48">
      <c r="B826" t="s">
        <v>448</v>
      </c>
      <c r="C826" t="s">
        <v>60</v>
      </c>
      <c r="D826" t="s">
        <v>433</v>
      </c>
      <c r="E826" t="s">
        <v>137</v>
      </c>
      <c r="F826">
        <v>1</v>
      </c>
      <c r="G826">
        <v>92</v>
      </c>
      <c r="H826" s="122">
        <v>360</v>
      </c>
      <c r="I826" s="122">
        <v>21882</v>
      </c>
      <c r="J826" s="122">
        <v>19892</v>
      </c>
      <c r="K826" s="122">
        <v>60</v>
      </c>
      <c r="L826" s="122">
        <v>2431</v>
      </c>
      <c r="M826" s="122">
        <v>2210</v>
      </c>
      <c r="N826" s="122">
        <v>1126</v>
      </c>
      <c r="O826">
        <v>417</v>
      </c>
      <c r="P826">
        <v>351</v>
      </c>
      <c r="Q826">
        <v>130</v>
      </c>
      <c r="R826" s="122">
        <v>7465</v>
      </c>
      <c r="S826" s="122">
        <v>2765</v>
      </c>
      <c r="T826">
        <v>0</v>
      </c>
      <c r="U826">
        <v>0</v>
      </c>
      <c r="V826" s="122">
        <v>25415</v>
      </c>
      <c r="W826" s="122">
        <f t="shared" si="24"/>
        <v>25414</v>
      </c>
      <c r="X826" s="122">
        <f t="shared" si="25"/>
        <v>33255</v>
      </c>
      <c r="Y826" s="122"/>
      <c r="AA826" t="s">
        <v>64</v>
      </c>
      <c r="AB826" t="s">
        <v>579</v>
      </c>
      <c r="AC826" t="s">
        <v>137</v>
      </c>
      <c r="AD826" t="s">
        <v>137</v>
      </c>
      <c r="AE826" t="s">
        <v>137</v>
      </c>
      <c r="AF826">
        <v>1</v>
      </c>
      <c r="AG826">
        <v>40</v>
      </c>
      <c r="AH826" s="122">
        <v>1710</v>
      </c>
      <c r="AI826" s="122">
        <v>40780</v>
      </c>
      <c r="AJ826" s="122">
        <v>33984</v>
      </c>
      <c r="AK826">
        <v>30</v>
      </c>
      <c r="AL826" s="122">
        <v>3059</v>
      </c>
      <c r="AM826" s="122">
        <v>1133</v>
      </c>
      <c r="AN826">
        <v>726</v>
      </c>
      <c r="AO826">
        <v>269</v>
      </c>
      <c r="AP826">
        <v>0</v>
      </c>
      <c r="AQ826">
        <v>0</v>
      </c>
      <c r="AR826" s="122">
        <v>23313</v>
      </c>
      <c r="AS826" s="122">
        <v>8634</v>
      </c>
      <c r="AT826">
        <v>0</v>
      </c>
      <c r="AU826">
        <v>0</v>
      </c>
      <c r="AV826" s="122">
        <v>44019</v>
      </c>
    </row>
    <row r="827" spans="2:48">
      <c r="B827" t="s">
        <v>448</v>
      </c>
      <c r="C827" t="s">
        <v>62</v>
      </c>
      <c r="F827">
        <v>9</v>
      </c>
      <c r="G827" s="122">
        <v>632</v>
      </c>
      <c r="H827" s="122">
        <v>3667</v>
      </c>
      <c r="J827" s="122">
        <v>0</v>
      </c>
      <c r="K827" s="122"/>
      <c r="M827">
        <v>0</v>
      </c>
      <c r="N827" s="122">
        <v>14182</v>
      </c>
      <c r="O827" s="122">
        <v>5253</v>
      </c>
      <c r="P827">
        <v>0</v>
      </c>
      <c r="Q827">
        <v>0</v>
      </c>
      <c r="S827">
        <v>0</v>
      </c>
      <c r="T827">
        <v>0</v>
      </c>
      <c r="U827">
        <v>0</v>
      </c>
      <c r="V827" s="122">
        <v>5253</v>
      </c>
      <c r="W827" s="122">
        <f t="shared" si="24"/>
        <v>5253</v>
      </c>
      <c r="X827" s="122">
        <f t="shared" si="25"/>
        <v>14182</v>
      </c>
      <c r="Y827" s="122"/>
      <c r="AA827" t="s">
        <v>64</v>
      </c>
      <c r="AB827" t="s">
        <v>579</v>
      </c>
      <c r="AC827" t="s">
        <v>137</v>
      </c>
      <c r="AD827" t="s">
        <v>137</v>
      </c>
      <c r="AE827" t="s">
        <v>566</v>
      </c>
      <c r="AF827">
        <v>29</v>
      </c>
      <c r="AG827" s="122">
        <v>1544</v>
      </c>
      <c r="AH827" s="122">
        <v>22813</v>
      </c>
      <c r="AI827" s="122">
        <v>936329</v>
      </c>
      <c r="AJ827" s="122">
        <v>780274</v>
      </c>
      <c r="AK827">
        <v>34</v>
      </c>
      <c r="AL827" s="122">
        <v>102019</v>
      </c>
      <c r="AM827" s="122">
        <v>37785</v>
      </c>
      <c r="AN827" s="122">
        <v>32653</v>
      </c>
      <c r="AO827" s="122">
        <v>12094</v>
      </c>
      <c r="AP827">
        <v>351</v>
      </c>
      <c r="AQ827">
        <v>130</v>
      </c>
      <c r="AR827" s="122">
        <v>150946</v>
      </c>
      <c r="AS827" s="122">
        <v>55906</v>
      </c>
      <c r="AT827">
        <v>0</v>
      </c>
      <c r="AU827">
        <v>0</v>
      </c>
      <c r="AV827" s="122">
        <v>886188</v>
      </c>
    </row>
    <row r="828" spans="2:48">
      <c r="B828" t="s">
        <v>448</v>
      </c>
      <c r="C828" t="s">
        <v>62</v>
      </c>
      <c r="D828" t="s">
        <v>137</v>
      </c>
      <c r="E828" t="s">
        <v>137</v>
      </c>
      <c r="F828">
        <v>18</v>
      </c>
      <c r="G828" s="122">
        <v>1053</v>
      </c>
      <c r="H828" s="122">
        <v>7426</v>
      </c>
      <c r="I828" s="122">
        <v>274248</v>
      </c>
      <c r="J828" s="122">
        <v>101574</v>
      </c>
      <c r="K828">
        <v>100</v>
      </c>
      <c r="L828" s="122">
        <v>36776</v>
      </c>
      <c r="M828" s="122">
        <v>15466</v>
      </c>
      <c r="N828" s="122">
        <v>22445</v>
      </c>
      <c r="O828" s="122">
        <v>8313</v>
      </c>
      <c r="P828">
        <v>702</v>
      </c>
      <c r="Q828">
        <v>260</v>
      </c>
      <c r="R828" s="122">
        <v>99948</v>
      </c>
      <c r="S828" s="122">
        <v>37018</v>
      </c>
      <c r="T828">
        <v>0</v>
      </c>
      <c r="U828">
        <v>0</v>
      </c>
      <c r="V828" s="122">
        <v>162630</v>
      </c>
      <c r="W828" s="122">
        <f t="shared" si="24"/>
        <v>162631</v>
      </c>
      <c r="X828" s="122">
        <f t="shared" si="25"/>
        <v>434119</v>
      </c>
      <c r="Y828" s="122"/>
      <c r="AA828" t="s">
        <v>64</v>
      </c>
      <c r="AB828" t="s">
        <v>579</v>
      </c>
      <c r="AC828" t="s">
        <v>137</v>
      </c>
      <c r="AD828" t="s">
        <v>579</v>
      </c>
      <c r="AE828" t="s">
        <v>137</v>
      </c>
      <c r="AF828">
        <v>14</v>
      </c>
      <c r="AG828">
        <v>726</v>
      </c>
      <c r="AH828" s="122">
        <v>7921</v>
      </c>
      <c r="AI828" s="122">
        <v>271639</v>
      </c>
      <c r="AJ828" s="122">
        <v>226365</v>
      </c>
      <c r="AK828">
        <v>55</v>
      </c>
      <c r="AL828" s="122">
        <v>40723</v>
      </c>
      <c r="AM828" s="122">
        <v>15083</v>
      </c>
      <c r="AN828" s="122">
        <v>15366</v>
      </c>
      <c r="AO828" s="122">
        <v>5691</v>
      </c>
      <c r="AP828" s="122">
        <v>4212</v>
      </c>
      <c r="AQ828" s="122">
        <v>1560</v>
      </c>
      <c r="AR828" s="122">
        <v>67021</v>
      </c>
      <c r="AS828" s="122">
        <v>55851</v>
      </c>
      <c r="AT828" s="122">
        <v>22467</v>
      </c>
      <c r="AU828" s="122">
        <v>8321</v>
      </c>
      <c r="AV828" s="122">
        <v>312871</v>
      </c>
    </row>
    <row r="829" spans="2:48">
      <c r="B829" t="s">
        <v>448</v>
      </c>
      <c r="C829" t="s">
        <v>62</v>
      </c>
      <c r="D829" t="s">
        <v>406</v>
      </c>
      <c r="E829" t="s">
        <v>406</v>
      </c>
      <c r="F829" s="122">
        <v>2</v>
      </c>
      <c r="G829" s="122">
        <v>102</v>
      </c>
      <c r="H829" s="122">
        <v>811</v>
      </c>
      <c r="I829" s="122">
        <v>23904</v>
      </c>
      <c r="J829" s="122">
        <v>21731</v>
      </c>
      <c r="K829" s="122">
        <v>68</v>
      </c>
      <c r="L829" s="122">
        <v>4887</v>
      </c>
      <c r="M829" s="122">
        <v>3131</v>
      </c>
      <c r="N829" s="122">
        <v>2420</v>
      </c>
      <c r="O829">
        <v>896</v>
      </c>
      <c r="P829" s="122">
        <v>1242</v>
      </c>
      <c r="Q829">
        <v>460</v>
      </c>
      <c r="R829" s="122">
        <v>5810</v>
      </c>
      <c r="S829" s="122">
        <v>5282</v>
      </c>
      <c r="T829" s="122">
        <v>3434</v>
      </c>
      <c r="U829" s="122">
        <v>1272</v>
      </c>
      <c r="V829" s="122">
        <v>32771</v>
      </c>
      <c r="W829" s="122">
        <f t="shared" si="24"/>
        <v>32772</v>
      </c>
      <c r="X829" s="122">
        <f t="shared" si="25"/>
        <v>41697</v>
      </c>
      <c r="Y829" s="122"/>
      <c r="AA829" t="s">
        <v>64</v>
      </c>
      <c r="AB829" t="s">
        <v>579</v>
      </c>
      <c r="AC829" t="s">
        <v>137</v>
      </c>
      <c r="AD829" t="s">
        <v>579</v>
      </c>
      <c r="AE829" t="s">
        <v>566</v>
      </c>
      <c r="AF829">
        <v>1</v>
      </c>
      <c r="AG829">
        <v>76</v>
      </c>
      <c r="AH829" s="122">
        <v>1230</v>
      </c>
      <c r="AI829" s="122">
        <v>82618</v>
      </c>
      <c r="AJ829" s="122">
        <v>68848</v>
      </c>
      <c r="AK829">
        <v>30</v>
      </c>
      <c r="AL829" s="122">
        <v>6196</v>
      </c>
      <c r="AM829" s="122">
        <v>2295</v>
      </c>
      <c r="AN829" s="122">
        <v>1856</v>
      </c>
      <c r="AO829">
        <v>687</v>
      </c>
      <c r="AP829">
        <v>0</v>
      </c>
      <c r="AQ829">
        <v>0</v>
      </c>
      <c r="AR829" s="122">
        <v>3027</v>
      </c>
      <c r="AS829" s="122">
        <v>2523</v>
      </c>
      <c r="AT829">
        <v>0</v>
      </c>
      <c r="AU829">
        <v>0</v>
      </c>
      <c r="AV829" s="122">
        <v>74353</v>
      </c>
    </row>
    <row r="830" spans="2:48">
      <c r="B830" t="s">
        <v>448</v>
      </c>
      <c r="C830" t="s">
        <v>62</v>
      </c>
      <c r="D830" t="s">
        <v>407</v>
      </c>
      <c r="E830" t="s">
        <v>407</v>
      </c>
      <c r="F830">
        <v>4</v>
      </c>
      <c r="G830" s="122">
        <v>272</v>
      </c>
      <c r="H830" s="122">
        <v>1607</v>
      </c>
      <c r="I830" s="122">
        <v>72204</v>
      </c>
      <c r="J830" s="122">
        <v>65640</v>
      </c>
      <c r="K830" s="122">
        <v>70</v>
      </c>
      <c r="L830" s="122">
        <v>7320</v>
      </c>
      <c r="M830" s="122">
        <v>6654</v>
      </c>
      <c r="N830" s="122">
        <v>4974</v>
      </c>
      <c r="O830" s="122">
        <v>1842</v>
      </c>
      <c r="P830" s="122">
        <v>1539</v>
      </c>
      <c r="Q830">
        <v>570</v>
      </c>
      <c r="R830" s="122">
        <v>15520</v>
      </c>
      <c r="S830" s="122">
        <v>14109</v>
      </c>
      <c r="T830" s="122">
        <v>8568</v>
      </c>
      <c r="U830" s="122">
        <v>3173</v>
      </c>
      <c r="V830" s="122">
        <v>91989</v>
      </c>
      <c r="W830" s="122">
        <f t="shared" si="24"/>
        <v>91988</v>
      </c>
      <c r="X830" s="122">
        <f t="shared" si="25"/>
        <v>110125</v>
      </c>
      <c r="Y830" s="122"/>
      <c r="AA830" t="s">
        <v>64</v>
      </c>
      <c r="AB830" t="s">
        <v>579</v>
      </c>
      <c r="AC830" t="s">
        <v>407</v>
      </c>
      <c r="AD830" t="s">
        <v>137</v>
      </c>
      <c r="AE830" t="s">
        <v>566</v>
      </c>
      <c r="AF830">
        <v>1</v>
      </c>
      <c r="AG830">
        <v>124</v>
      </c>
      <c r="AH830">
        <v>938</v>
      </c>
      <c r="AI830" s="122">
        <v>101945</v>
      </c>
      <c r="AJ830" s="122">
        <v>84954</v>
      </c>
      <c r="AK830">
        <v>30</v>
      </c>
      <c r="AL830" s="122">
        <v>4944</v>
      </c>
      <c r="AM830" s="122">
        <v>4495</v>
      </c>
      <c r="AN830" s="122">
        <v>2615</v>
      </c>
      <c r="AO830">
        <v>969</v>
      </c>
      <c r="AP830">
        <v>0</v>
      </c>
      <c r="AQ830">
        <v>0</v>
      </c>
      <c r="AR830" s="122">
        <v>6904</v>
      </c>
      <c r="AS830" s="122">
        <v>2557</v>
      </c>
      <c r="AT830">
        <v>0</v>
      </c>
      <c r="AU830">
        <v>0</v>
      </c>
      <c r="AV830" s="122">
        <v>92974</v>
      </c>
    </row>
    <row r="831" spans="2:48">
      <c r="B831" t="s">
        <v>448</v>
      </c>
      <c r="C831" t="s">
        <v>64</v>
      </c>
      <c r="F831">
        <v>16</v>
      </c>
      <c r="G831" s="122">
        <v>891</v>
      </c>
      <c r="H831" s="122">
        <v>8641</v>
      </c>
      <c r="J831" s="122">
        <v>0</v>
      </c>
      <c r="K831" s="122"/>
      <c r="M831">
        <v>0</v>
      </c>
      <c r="N831" s="122">
        <v>21713</v>
      </c>
      <c r="O831" s="122">
        <v>8042</v>
      </c>
      <c r="P831">
        <v>0</v>
      </c>
      <c r="Q831">
        <v>0</v>
      </c>
      <c r="S831">
        <v>0</v>
      </c>
      <c r="T831">
        <v>0</v>
      </c>
      <c r="U831">
        <v>0</v>
      </c>
      <c r="V831" s="122">
        <v>8042</v>
      </c>
      <c r="W831" s="122">
        <f t="shared" si="24"/>
        <v>8042</v>
      </c>
      <c r="X831" s="122">
        <f t="shared" si="25"/>
        <v>21713</v>
      </c>
      <c r="Y831" s="122"/>
      <c r="AA831" t="s">
        <v>64</v>
      </c>
      <c r="AB831" t="s">
        <v>579</v>
      </c>
      <c r="AC831" t="s">
        <v>579</v>
      </c>
      <c r="AD831" t="s">
        <v>137</v>
      </c>
      <c r="AE831" t="s">
        <v>137</v>
      </c>
      <c r="AF831">
        <v>1</v>
      </c>
      <c r="AG831">
        <v>93</v>
      </c>
      <c r="AH831" s="122">
        <v>1496</v>
      </c>
      <c r="AI831" s="122">
        <v>118824</v>
      </c>
      <c r="AJ831" s="122">
        <v>99020</v>
      </c>
      <c r="AK831">
        <v>30</v>
      </c>
      <c r="AL831" s="122">
        <v>13203</v>
      </c>
      <c r="AM831" s="122">
        <v>11002</v>
      </c>
      <c r="AN831" s="122">
        <v>1808</v>
      </c>
      <c r="AO831">
        <v>670</v>
      </c>
      <c r="AP831">
        <v>0</v>
      </c>
      <c r="AQ831">
        <v>0</v>
      </c>
      <c r="AR831" s="122">
        <v>4865</v>
      </c>
      <c r="AS831" s="122">
        <v>1802</v>
      </c>
      <c r="AT831">
        <v>0</v>
      </c>
      <c r="AU831">
        <v>0</v>
      </c>
      <c r="AV831" s="122">
        <v>112493</v>
      </c>
    </row>
    <row r="832" spans="2:48">
      <c r="B832" t="s">
        <v>448</v>
      </c>
      <c r="C832" t="s">
        <v>64</v>
      </c>
      <c r="D832" t="s">
        <v>137</v>
      </c>
      <c r="E832" t="s">
        <v>137</v>
      </c>
      <c r="F832">
        <v>23</v>
      </c>
      <c r="G832" s="122">
        <v>1070</v>
      </c>
      <c r="H832" s="122">
        <v>13622</v>
      </c>
      <c r="I832" s="122">
        <v>429527</v>
      </c>
      <c r="J832" s="122">
        <v>159084</v>
      </c>
      <c r="K832" s="122">
        <v>100</v>
      </c>
      <c r="L832" s="122">
        <v>43654</v>
      </c>
      <c r="M832" s="122">
        <v>29463</v>
      </c>
      <c r="N832" s="122">
        <v>22735</v>
      </c>
      <c r="O832" s="122">
        <v>8420</v>
      </c>
      <c r="P832">
        <v>351</v>
      </c>
      <c r="Q832">
        <v>130</v>
      </c>
      <c r="R832" s="122">
        <v>136322</v>
      </c>
      <c r="S832" s="122">
        <v>50490</v>
      </c>
      <c r="T832">
        <v>0</v>
      </c>
      <c r="U832">
        <v>0</v>
      </c>
      <c r="V832" s="122">
        <v>247587</v>
      </c>
      <c r="W832" s="122">
        <f t="shared" si="24"/>
        <v>247587</v>
      </c>
      <c r="X832" s="122">
        <f t="shared" si="25"/>
        <v>632589</v>
      </c>
      <c r="Y832" s="122"/>
      <c r="AA832" t="s">
        <v>64</v>
      </c>
      <c r="AB832" t="s">
        <v>579</v>
      </c>
      <c r="AC832" t="s">
        <v>579</v>
      </c>
      <c r="AD832" t="s">
        <v>137</v>
      </c>
      <c r="AE832" t="s">
        <v>566</v>
      </c>
      <c r="AF832">
        <v>1</v>
      </c>
      <c r="AG832">
        <v>56</v>
      </c>
      <c r="AH832">
        <v>800</v>
      </c>
      <c r="AI832" s="122">
        <v>36065</v>
      </c>
      <c r="AJ832" s="122">
        <v>30054</v>
      </c>
      <c r="AK832">
        <v>30</v>
      </c>
      <c r="AL832" s="122">
        <v>4007</v>
      </c>
      <c r="AM832" s="122">
        <v>3339</v>
      </c>
      <c r="AN832">
        <v>791</v>
      </c>
      <c r="AO832">
        <v>293</v>
      </c>
      <c r="AP832">
        <v>0</v>
      </c>
      <c r="AQ832">
        <v>0</v>
      </c>
      <c r="AR832" s="122">
        <v>3556</v>
      </c>
      <c r="AS832" s="122">
        <v>1317</v>
      </c>
      <c r="AT832">
        <v>0</v>
      </c>
      <c r="AU832">
        <v>0</v>
      </c>
      <c r="AV832" s="122">
        <v>35003</v>
      </c>
    </row>
    <row r="833" spans="2:48">
      <c r="B833" t="s">
        <v>448</v>
      </c>
      <c r="C833" t="s">
        <v>64</v>
      </c>
      <c r="D833" t="s">
        <v>427</v>
      </c>
      <c r="E833" t="s">
        <v>427</v>
      </c>
      <c r="F833">
        <v>1</v>
      </c>
      <c r="G833" s="122">
        <v>61</v>
      </c>
      <c r="H833" s="122">
        <v>688</v>
      </c>
      <c r="I833" s="122">
        <v>29374</v>
      </c>
      <c r="J833" s="122">
        <v>26704</v>
      </c>
      <c r="K833" s="122">
        <v>30</v>
      </c>
      <c r="L833" s="122">
        <v>2403</v>
      </c>
      <c r="M833">
        <v>890</v>
      </c>
      <c r="N833">
        <v>747</v>
      </c>
      <c r="O833">
        <v>277</v>
      </c>
      <c r="P833">
        <v>0</v>
      </c>
      <c r="Q833">
        <v>0</v>
      </c>
      <c r="R833" s="122">
        <v>9689</v>
      </c>
      <c r="S833" s="122">
        <v>8808</v>
      </c>
      <c r="T833">
        <v>0</v>
      </c>
      <c r="U833">
        <v>0</v>
      </c>
      <c r="V833" s="122">
        <v>36679</v>
      </c>
      <c r="W833" s="122">
        <f t="shared" si="24"/>
        <v>36679</v>
      </c>
      <c r="X833" s="122">
        <f t="shared" si="25"/>
        <v>42213</v>
      </c>
      <c r="Y833" s="122"/>
      <c r="AA833" t="s">
        <v>64</v>
      </c>
      <c r="AB833" t="s">
        <v>579</v>
      </c>
      <c r="AC833" t="s">
        <v>579</v>
      </c>
      <c r="AD833" t="s">
        <v>579</v>
      </c>
      <c r="AE833" t="s">
        <v>137</v>
      </c>
      <c r="AF833">
        <v>7</v>
      </c>
      <c r="AG833">
        <v>438</v>
      </c>
      <c r="AH833" s="122">
        <v>4788</v>
      </c>
      <c r="AI833" s="122">
        <v>189376</v>
      </c>
      <c r="AJ833" s="122">
        <v>157814</v>
      </c>
      <c r="AK833">
        <v>52</v>
      </c>
      <c r="AL833" s="122">
        <v>31231</v>
      </c>
      <c r="AM833" s="122">
        <v>26026</v>
      </c>
      <c r="AN833" s="122">
        <v>8557</v>
      </c>
      <c r="AO833" s="122">
        <v>3169</v>
      </c>
      <c r="AP833" s="122">
        <v>2106</v>
      </c>
      <c r="AQ833">
        <v>780</v>
      </c>
      <c r="AR833" s="122">
        <v>40440</v>
      </c>
      <c r="AS833" s="122">
        <v>33700</v>
      </c>
      <c r="AT833" s="122">
        <v>12116</v>
      </c>
      <c r="AU833" s="122">
        <v>4487</v>
      </c>
      <c r="AV833" s="122">
        <v>225976</v>
      </c>
    </row>
    <row r="834" spans="2:48">
      <c r="B834" t="s">
        <v>448</v>
      </c>
      <c r="C834" t="s">
        <v>64</v>
      </c>
      <c r="D834" t="s">
        <v>407</v>
      </c>
      <c r="E834" t="s">
        <v>407</v>
      </c>
      <c r="F834">
        <v>6</v>
      </c>
      <c r="G834" s="122">
        <v>488</v>
      </c>
      <c r="H834" s="122">
        <v>3149</v>
      </c>
      <c r="I834" s="122">
        <v>158297</v>
      </c>
      <c r="J834" s="122">
        <v>143907</v>
      </c>
      <c r="K834" s="122">
        <v>73</v>
      </c>
      <c r="L834" s="122">
        <v>33511</v>
      </c>
      <c r="M834" s="122">
        <v>28825</v>
      </c>
      <c r="N834" s="122">
        <v>10665</v>
      </c>
      <c r="O834" s="122">
        <v>3950</v>
      </c>
      <c r="P834" s="122">
        <v>2835</v>
      </c>
      <c r="Q834" s="122">
        <v>1050</v>
      </c>
      <c r="R834" s="122">
        <v>36396</v>
      </c>
      <c r="S834" s="122">
        <v>33087</v>
      </c>
      <c r="T834" s="122">
        <v>10498</v>
      </c>
      <c r="U834" s="122">
        <v>3888</v>
      </c>
      <c r="V834" s="122">
        <v>214707</v>
      </c>
      <c r="W834" s="122">
        <f t="shared" si="24"/>
        <v>214707</v>
      </c>
      <c r="X834" s="122">
        <f t="shared" si="25"/>
        <v>252202</v>
      </c>
      <c r="Y834" s="122"/>
      <c r="AA834" t="s">
        <v>64</v>
      </c>
      <c r="AB834" t="s">
        <v>579</v>
      </c>
      <c r="AC834" t="s">
        <v>579</v>
      </c>
      <c r="AD834" t="s">
        <v>579</v>
      </c>
      <c r="AE834" t="s">
        <v>566</v>
      </c>
      <c r="AF834">
        <v>2</v>
      </c>
      <c r="AG834">
        <v>227</v>
      </c>
      <c r="AH834" s="122">
        <v>1063</v>
      </c>
      <c r="AI834" s="122">
        <v>81871</v>
      </c>
      <c r="AJ834" s="122">
        <v>68226</v>
      </c>
      <c r="AK834">
        <v>60</v>
      </c>
      <c r="AL834" s="122">
        <v>17722</v>
      </c>
      <c r="AM834" s="122">
        <v>14768</v>
      </c>
      <c r="AN834" s="122">
        <v>4297</v>
      </c>
      <c r="AO834" s="122">
        <v>1591</v>
      </c>
      <c r="AP834">
        <v>702</v>
      </c>
      <c r="AQ834">
        <v>260</v>
      </c>
      <c r="AR834" s="122">
        <v>15116</v>
      </c>
      <c r="AS834" s="122">
        <v>12597</v>
      </c>
      <c r="AT834">
        <v>0</v>
      </c>
      <c r="AU834">
        <v>0</v>
      </c>
      <c r="AV834" s="122">
        <v>97442</v>
      </c>
    </row>
    <row r="835" spans="2:48">
      <c r="B835" t="s">
        <v>448</v>
      </c>
      <c r="C835" t="s">
        <v>64</v>
      </c>
      <c r="D835" t="s">
        <v>426</v>
      </c>
      <c r="E835" t="s">
        <v>137</v>
      </c>
      <c r="F835" s="122">
        <v>1</v>
      </c>
      <c r="G835" s="122">
        <v>55</v>
      </c>
      <c r="H835" s="122">
        <v>1506</v>
      </c>
      <c r="I835" s="122">
        <v>61920</v>
      </c>
      <c r="J835" s="122">
        <v>56290</v>
      </c>
      <c r="K835" s="122">
        <v>30</v>
      </c>
      <c r="L835" s="122">
        <v>15480</v>
      </c>
      <c r="M835" s="122">
        <v>14073</v>
      </c>
      <c r="N835" s="122">
        <v>1341</v>
      </c>
      <c r="O835">
        <v>497</v>
      </c>
      <c r="P835">
        <v>0</v>
      </c>
      <c r="Q835">
        <v>0</v>
      </c>
      <c r="R835" s="122">
        <v>4163</v>
      </c>
      <c r="S835" s="122">
        <v>1542</v>
      </c>
      <c r="T835">
        <v>0</v>
      </c>
      <c r="U835">
        <v>0</v>
      </c>
      <c r="V835" s="122">
        <v>72401</v>
      </c>
      <c r="W835" s="122">
        <f t="shared" si="24"/>
        <v>72402</v>
      </c>
      <c r="X835" s="122">
        <f t="shared" si="25"/>
        <v>82904</v>
      </c>
      <c r="Y835" s="122"/>
      <c r="AA835" t="s">
        <v>64</v>
      </c>
      <c r="AB835" t="s">
        <v>579</v>
      </c>
      <c r="AC835" t="s">
        <v>566</v>
      </c>
      <c r="AD835" t="s">
        <v>137</v>
      </c>
      <c r="AE835" t="s">
        <v>566</v>
      </c>
      <c r="AF835">
        <v>5</v>
      </c>
      <c r="AG835">
        <v>251</v>
      </c>
      <c r="AH835" s="122">
        <v>4116</v>
      </c>
      <c r="AI835" s="122">
        <v>180558</v>
      </c>
      <c r="AJ835" s="122">
        <v>150465</v>
      </c>
      <c r="AK835">
        <v>43</v>
      </c>
      <c r="AL835">
        <v>0</v>
      </c>
      <c r="AM835">
        <v>0</v>
      </c>
      <c r="AN835" s="122">
        <v>4886</v>
      </c>
      <c r="AO835" s="122">
        <v>1809</v>
      </c>
      <c r="AP835">
        <v>351</v>
      </c>
      <c r="AQ835">
        <v>130</v>
      </c>
      <c r="AR835" s="122">
        <v>22354</v>
      </c>
      <c r="AS835" s="122">
        <v>8279</v>
      </c>
      <c r="AT835">
        <v>0</v>
      </c>
      <c r="AU835">
        <v>0</v>
      </c>
      <c r="AV835" s="122">
        <v>160683</v>
      </c>
    </row>
    <row r="836" spans="2:48">
      <c r="B836" t="s">
        <v>449</v>
      </c>
      <c r="C836" t="s">
        <v>48</v>
      </c>
      <c r="D836" t="s">
        <v>407</v>
      </c>
      <c r="E836" t="s">
        <v>407</v>
      </c>
      <c r="F836">
        <v>40</v>
      </c>
      <c r="G836" s="122">
        <v>2449</v>
      </c>
      <c r="H836" s="122">
        <v>2359</v>
      </c>
      <c r="I836" s="122">
        <v>3160</v>
      </c>
      <c r="J836" s="122">
        <v>2873</v>
      </c>
      <c r="K836" s="122">
        <v>90</v>
      </c>
      <c r="L836" s="122">
        <v>-2243</v>
      </c>
      <c r="M836">
        <v>-831</v>
      </c>
      <c r="N836" s="122">
        <v>31543</v>
      </c>
      <c r="O836" s="122">
        <v>11683</v>
      </c>
      <c r="P836" s="122">
        <v>22939</v>
      </c>
      <c r="Q836" s="122">
        <v>8496</v>
      </c>
      <c r="R836" s="122">
        <v>87272</v>
      </c>
      <c r="S836" s="122">
        <v>79338</v>
      </c>
      <c r="T836">
        <v>0</v>
      </c>
      <c r="U836">
        <v>0</v>
      </c>
      <c r="V836" s="122">
        <v>101559</v>
      </c>
      <c r="W836" s="122">
        <f t="shared" si="24"/>
        <v>103221</v>
      </c>
      <c r="X836" s="122">
        <f t="shared" si="25"/>
        <v>147157</v>
      </c>
      <c r="Y836" s="122"/>
      <c r="AA836" t="s">
        <v>64</v>
      </c>
      <c r="AB836" t="s">
        <v>579</v>
      </c>
      <c r="AC836" t="s">
        <v>566</v>
      </c>
      <c r="AD836" t="s">
        <v>579</v>
      </c>
      <c r="AE836" t="s">
        <v>137</v>
      </c>
      <c r="AF836">
        <v>11</v>
      </c>
      <c r="AG836">
        <v>483</v>
      </c>
      <c r="AH836" s="122">
        <v>6270</v>
      </c>
      <c r="AI836" s="122">
        <v>195953</v>
      </c>
      <c r="AJ836" s="122">
        <v>163294</v>
      </c>
      <c r="AK836">
        <v>56</v>
      </c>
      <c r="AL836">
        <v>0</v>
      </c>
      <c r="AM836">
        <v>0</v>
      </c>
      <c r="AN836" s="122">
        <v>10022</v>
      </c>
      <c r="AO836" s="122">
        <v>3712</v>
      </c>
      <c r="AP836" s="122">
        <v>3861</v>
      </c>
      <c r="AQ836" s="122">
        <v>1430</v>
      </c>
      <c r="AR836" s="122">
        <v>41830</v>
      </c>
      <c r="AS836" s="122">
        <v>34859</v>
      </c>
      <c r="AT836" s="122">
        <v>14181</v>
      </c>
      <c r="AU836" s="122">
        <v>5252</v>
      </c>
      <c r="AV836" s="122">
        <v>208547</v>
      </c>
    </row>
    <row r="837" spans="2:48">
      <c r="B837" t="s">
        <v>449</v>
      </c>
      <c r="C837" t="s">
        <v>50</v>
      </c>
      <c r="F837">
        <v>47</v>
      </c>
      <c r="G837" s="122">
        <v>3975</v>
      </c>
      <c r="H837" s="122">
        <v>4428</v>
      </c>
      <c r="J837" s="122">
        <v>0</v>
      </c>
      <c r="K837" s="122"/>
      <c r="M837">
        <v>0</v>
      </c>
      <c r="N837" s="122">
        <v>77417</v>
      </c>
      <c r="O837" s="122">
        <v>28673</v>
      </c>
      <c r="P837" s="122">
        <v>33778</v>
      </c>
      <c r="Q837" s="122">
        <v>12511</v>
      </c>
      <c r="S837">
        <v>0</v>
      </c>
      <c r="T837">
        <v>0</v>
      </c>
      <c r="U837">
        <v>0</v>
      </c>
      <c r="V837" s="122">
        <v>41183</v>
      </c>
      <c r="W837" s="122">
        <f t="shared" si="24"/>
        <v>41184</v>
      </c>
      <c r="X837" s="122">
        <f t="shared" si="25"/>
        <v>111195</v>
      </c>
      <c r="Y837" s="122"/>
      <c r="AA837" t="s">
        <v>64</v>
      </c>
      <c r="AB837" t="s">
        <v>579</v>
      </c>
      <c r="AC837" t="s">
        <v>566</v>
      </c>
      <c r="AD837" t="s">
        <v>579</v>
      </c>
      <c r="AE837" t="s">
        <v>566</v>
      </c>
      <c r="AF837">
        <v>1</v>
      </c>
      <c r="AG837">
        <v>72</v>
      </c>
      <c r="AH837">
        <v>710</v>
      </c>
      <c r="AI837" s="122">
        <v>37537</v>
      </c>
      <c r="AJ837" s="122">
        <v>31281</v>
      </c>
      <c r="AK837">
        <v>30</v>
      </c>
      <c r="AL837">
        <v>0</v>
      </c>
      <c r="AM837">
        <v>0</v>
      </c>
      <c r="AN837">
        <v>873</v>
      </c>
      <c r="AO837">
        <v>323</v>
      </c>
      <c r="AP837">
        <v>351</v>
      </c>
      <c r="AQ837">
        <v>130</v>
      </c>
      <c r="AR837" s="122">
        <v>12095</v>
      </c>
      <c r="AS837" s="122">
        <v>10079</v>
      </c>
      <c r="AT837">
        <v>0</v>
      </c>
      <c r="AU837">
        <v>0</v>
      </c>
      <c r="AV837" s="122">
        <v>41813</v>
      </c>
    </row>
    <row r="838" spans="2:48">
      <c r="B838" t="s">
        <v>449</v>
      </c>
      <c r="C838" t="s">
        <v>52</v>
      </c>
      <c r="F838">
        <v>134</v>
      </c>
      <c r="G838" s="122">
        <v>10726</v>
      </c>
      <c r="H838" s="122">
        <v>14685</v>
      </c>
      <c r="J838" s="122">
        <v>0</v>
      </c>
      <c r="K838" s="122"/>
      <c r="M838">
        <v>0</v>
      </c>
      <c r="N838" s="122">
        <v>230227</v>
      </c>
      <c r="O838" s="122">
        <v>85269</v>
      </c>
      <c r="P838" s="122">
        <v>92825</v>
      </c>
      <c r="Q838" s="122">
        <v>34380</v>
      </c>
      <c r="S838">
        <v>0</v>
      </c>
      <c r="T838">
        <v>0</v>
      </c>
      <c r="U838">
        <v>0</v>
      </c>
      <c r="V838" s="122">
        <v>119649</v>
      </c>
      <c r="W838" s="122">
        <f t="shared" si="24"/>
        <v>119649</v>
      </c>
      <c r="X838" s="122">
        <f t="shared" si="25"/>
        <v>323052</v>
      </c>
      <c r="Y838" s="122"/>
      <c r="AA838" t="s">
        <v>64</v>
      </c>
      <c r="AB838" t="s">
        <v>428</v>
      </c>
      <c r="AC838" t="s">
        <v>137</v>
      </c>
      <c r="AD838" t="s">
        <v>428</v>
      </c>
      <c r="AE838" t="s">
        <v>137</v>
      </c>
      <c r="AF838">
        <v>3</v>
      </c>
      <c r="AG838">
        <v>102</v>
      </c>
      <c r="AH838" s="122">
        <v>2669</v>
      </c>
      <c r="AI838" s="122">
        <v>71914</v>
      </c>
      <c r="AJ838" s="122">
        <v>65377</v>
      </c>
      <c r="AK838">
        <v>55</v>
      </c>
      <c r="AL838">
        <v>0</v>
      </c>
      <c r="AM838">
        <v>0</v>
      </c>
      <c r="AN838" s="122">
        <v>2478</v>
      </c>
      <c r="AO838">
        <v>918</v>
      </c>
      <c r="AP838" s="122">
        <v>1053</v>
      </c>
      <c r="AQ838">
        <v>390</v>
      </c>
      <c r="AR838" s="122">
        <v>11442</v>
      </c>
      <c r="AS838" s="122">
        <v>10402</v>
      </c>
      <c r="AT838" s="122">
        <v>4347</v>
      </c>
      <c r="AU838" s="122">
        <v>1610</v>
      </c>
      <c r="AV838" s="122">
        <v>78697</v>
      </c>
    </row>
    <row r="839" spans="2:48">
      <c r="B839" t="s">
        <v>449</v>
      </c>
      <c r="C839" t="s">
        <v>52</v>
      </c>
      <c r="D839" t="s">
        <v>137</v>
      </c>
      <c r="E839" t="s">
        <v>137</v>
      </c>
      <c r="F839">
        <v>3</v>
      </c>
      <c r="G839">
        <v>218</v>
      </c>
      <c r="H839" s="122">
        <v>364</v>
      </c>
      <c r="I839" s="122">
        <v>5259</v>
      </c>
      <c r="J839" s="122">
        <v>1948</v>
      </c>
      <c r="K839" s="122">
        <v>150</v>
      </c>
      <c r="L839">
        <v>363</v>
      </c>
      <c r="M839">
        <v>134</v>
      </c>
      <c r="N839" s="122">
        <v>3360</v>
      </c>
      <c r="O839" s="122">
        <v>1245</v>
      </c>
      <c r="P839">
        <v>351</v>
      </c>
      <c r="Q839">
        <v>130</v>
      </c>
      <c r="R839" s="122">
        <v>17062</v>
      </c>
      <c r="S839" s="122">
        <v>6319</v>
      </c>
      <c r="T839">
        <v>0</v>
      </c>
      <c r="U839">
        <v>0</v>
      </c>
      <c r="V839" s="122">
        <v>9776</v>
      </c>
      <c r="W839" s="122">
        <f t="shared" ref="W839:W902" si="26">SUM(ABS(J839),ABS(M839),ABS(O839),ABS(Q839),ABS(S839),ABS(U839))</f>
        <v>9776</v>
      </c>
      <c r="X839" s="122">
        <f t="shared" ref="X839:X902" si="27">SUM(ABS(I839),ABS(N839),ABS(P839),ABS(R839),ABS(T839),ABS(L839))</f>
        <v>26395</v>
      </c>
      <c r="Y839" s="122"/>
      <c r="AA839" t="s">
        <v>64</v>
      </c>
      <c r="AB839" t="s">
        <v>428</v>
      </c>
      <c r="AC839" t="s">
        <v>428</v>
      </c>
      <c r="AD839" t="s">
        <v>428</v>
      </c>
      <c r="AE839" t="s">
        <v>137</v>
      </c>
      <c r="AF839">
        <v>1</v>
      </c>
      <c r="AG839">
        <v>115</v>
      </c>
      <c r="AH839">
        <v>859</v>
      </c>
      <c r="AI839" s="122">
        <v>72131</v>
      </c>
      <c r="AJ839" s="122">
        <v>65573</v>
      </c>
      <c r="AK839">
        <v>45</v>
      </c>
      <c r="AL839" s="122">
        <v>12022</v>
      </c>
      <c r="AM839" s="122">
        <v>10929</v>
      </c>
      <c r="AN839" s="122">
        <v>2802</v>
      </c>
      <c r="AO839" s="122">
        <v>1038</v>
      </c>
      <c r="AP839">
        <v>351</v>
      </c>
      <c r="AQ839">
        <v>130</v>
      </c>
      <c r="AR839" s="122">
        <v>8114</v>
      </c>
      <c r="AS839" s="122">
        <v>7377</v>
      </c>
      <c r="AT839" s="122">
        <v>3327</v>
      </c>
      <c r="AU839" s="122">
        <v>1232</v>
      </c>
      <c r="AV839" s="122">
        <v>86279</v>
      </c>
    </row>
    <row r="840" spans="2:48">
      <c r="B840" t="s">
        <v>449</v>
      </c>
      <c r="C840" t="s">
        <v>52</v>
      </c>
      <c r="D840" t="s">
        <v>407</v>
      </c>
      <c r="E840" t="s">
        <v>407</v>
      </c>
      <c r="F840">
        <v>7</v>
      </c>
      <c r="G840">
        <v>457</v>
      </c>
      <c r="H840">
        <v>820</v>
      </c>
      <c r="I840" s="122">
        <v>16046</v>
      </c>
      <c r="J840" s="122">
        <v>14588</v>
      </c>
      <c r="K840" s="122">
        <v>90</v>
      </c>
      <c r="L840" s="122">
        <v>1936</v>
      </c>
      <c r="M840" s="122">
        <v>1613</v>
      </c>
      <c r="N840" s="122">
        <v>8208</v>
      </c>
      <c r="O840" s="122">
        <v>3040</v>
      </c>
      <c r="P840" s="122">
        <v>4801</v>
      </c>
      <c r="Q840" s="122">
        <v>1778</v>
      </c>
      <c r="R840" s="122">
        <v>22437</v>
      </c>
      <c r="S840" s="122">
        <v>20398</v>
      </c>
      <c r="T840">
        <v>0</v>
      </c>
      <c r="U840">
        <v>0</v>
      </c>
      <c r="V840" s="122">
        <v>41416</v>
      </c>
      <c r="W840" s="122">
        <f t="shared" si="26"/>
        <v>41417</v>
      </c>
      <c r="X840" s="122">
        <f t="shared" si="27"/>
        <v>53428</v>
      </c>
      <c r="Y840" s="122"/>
      <c r="AA840" t="s">
        <v>64</v>
      </c>
      <c r="AB840" t="s">
        <v>428</v>
      </c>
      <c r="AC840" t="s">
        <v>566</v>
      </c>
      <c r="AD840" t="s">
        <v>428</v>
      </c>
      <c r="AE840" t="s">
        <v>137</v>
      </c>
      <c r="AF840">
        <v>1</v>
      </c>
      <c r="AG840">
        <v>32</v>
      </c>
      <c r="AH840">
        <v>792</v>
      </c>
      <c r="AI840" s="122">
        <v>17193</v>
      </c>
      <c r="AJ840" s="122">
        <v>15630</v>
      </c>
      <c r="AK840">
        <v>55</v>
      </c>
      <c r="AL840">
        <v>0</v>
      </c>
      <c r="AM840">
        <v>0</v>
      </c>
      <c r="AN840">
        <v>783</v>
      </c>
      <c r="AO840">
        <v>290</v>
      </c>
      <c r="AP840">
        <v>351</v>
      </c>
      <c r="AQ840">
        <v>130</v>
      </c>
      <c r="AR840" s="122">
        <v>4936</v>
      </c>
      <c r="AS840" s="122">
        <v>4487</v>
      </c>
      <c r="AT840" s="122">
        <v>2195</v>
      </c>
      <c r="AU840">
        <v>813</v>
      </c>
      <c r="AV840" s="122">
        <v>21351</v>
      </c>
    </row>
    <row r="841" spans="2:48">
      <c r="B841" t="s">
        <v>449</v>
      </c>
      <c r="C841" t="s">
        <v>54</v>
      </c>
      <c r="F841">
        <v>100</v>
      </c>
      <c r="G841" s="122">
        <v>7453</v>
      </c>
      <c r="H841" s="122">
        <v>13491</v>
      </c>
      <c r="J841">
        <v>0</v>
      </c>
      <c r="K841" s="122"/>
      <c r="M841">
        <v>0</v>
      </c>
      <c r="N841" s="122">
        <v>170627</v>
      </c>
      <c r="O841" s="122">
        <v>63195</v>
      </c>
      <c r="P841" s="122">
        <v>64964</v>
      </c>
      <c r="Q841" s="122">
        <v>24061</v>
      </c>
      <c r="S841">
        <v>0</v>
      </c>
      <c r="T841">
        <v>0</v>
      </c>
      <c r="U841">
        <v>0</v>
      </c>
      <c r="V841" s="122">
        <v>87256</v>
      </c>
      <c r="W841" s="122">
        <f t="shared" si="26"/>
        <v>87256</v>
      </c>
      <c r="X841" s="122">
        <f t="shared" si="27"/>
        <v>235591</v>
      </c>
      <c r="Y841" s="122"/>
      <c r="AA841" t="s">
        <v>64</v>
      </c>
      <c r="AB841" t="s">
        <v>431</v>
      </c>
      <c r="AC841" t="s">
        <v>431</v>
      </c>
      <c r="AD841" t="s">
        <v>431</v>
      </c>
      <c r="AE841" t="s">
        <v>137</v>
      </c>
      <c r="AF841">
        <v>2</v>
      </c>
      <c r="AG841">
        <v>179</v>
      </c>
      <c r="AH841" s="122">
        <v>1008</v>
      </c>
      <c r="AI841" s="122">
        <v>59451</v>
      </c>
      <c r="AJ841" s="122">
        <v>54046</v>
      </c>
      <c r="AK841">
        <v>55</v>
      </c>
      <c r="AL841" s="122">
        <v>11990</v>
      </c>
      <c r="AM841" s="122">
        <v>10900</v>
      </c>
      <c r="AN841" s="122">
        <v>3713</v>
      </c>
      <c r="AO841" s="122">
        <v>1375</v>
      </c>
      <c r="AP841">
        <v>824</v>
      </c>
      <c r="AQ841">
        <v>305</v>
      </c>
      <c r="AR841" s="122">
        <v>9645</v>
      </c>
      <c r="AS841" s="122">
        <v>8768</v>
      </c>
      <c r="AT841" s="122">
        <v>4141</v>
      </c>
      <c r="AU841" s="122">
        <v>1534</v>
      </c>
      <c r="AV841" s="122">
        <v>76929</v>
      </c>
    </row>
    <row r="842" spans="2:48">
      <c r="B842" t="s">
        <v>449</v>
      </c>
      <c r="C842" t="s">
        <v>54</v>
      </c>
      <c r="D842" t="s">
        <v>137</v>
      </c>
      <c r="E842" t="s">
        <v>137</v>
      </c>
      <c r="F842">
        <v>21</v>
      </c>
      <c r="G842" s="122">
        <v>1761</v>
      </c>
      <c r="H842" s="122">
        <v>2934</v>
      </c>
      <c r="I842" s="122">
        <v>59700</v>
      </c>
      <c r="J842" s="122">
        <v>22111</v>
      </c>
      <c r="K842" s="122">
        <v>100</v>
      </c>
      <c r="L842" s="122">
        <v>10719</v>
      </c>
      <c r="M842" s="122">
        <v>3970</v>
      </c>
      <c r="N842" s="122">
        <v>34157</v>
      </c>
      <c r="O842" s="122">
        <v>12651</v>
      </c>
      <c r="P842">
        <v>0</v>
      </c>
      <c r="Q842">
        <v>0</v>
      </c>
      <c r="R842" s="122">
        <v>140128</v>
      </c>
      <c r="S842" s="122">
        <v>51899</v>
      </c>
      <c r="T842">
        <v>0</v>
      </c>
      <c r="U842">
        <v>0</v>
      </c>
      <c r="V842" s="122">
        <v>90631</v>
      </c>
      <c r="W842" s="122">
        <f t="shared" si="26"/>
        <v>90631</v>
      </c>
      <c r="X842" s="122">
        <f t="shared" si="27"/>
        <v>244704</v>
      </c>
      <c r="Y842" s="122"/>
      <c r="AA842" t="s">
        <v>64</v>
      </c>
      <c r="AB842" t="s">
        <v>431</v>
      </c>
      <c r="AC842" t="s">
        <v>431</v>
      </c>
      <c r="AD842" t="s">
        <v>431</v>
      </c>
      <c r="AE842" t="s">
        <v>566</v>
      </c>
      <c r="AF842">
        <v>1</v>
      </c>
      <c r="AG842">
        <v>91</v>
      </c>
      <c r="AH842" s="122">
        <v>1225</v>
      </c>
      <c r="AI842" s="122">
        <v>85927</v>
      </c>
      <c r="AJ842" s="122">
        <v>78116</v>
      </c>
      <c r="AK842">
        <v>45</v>
      </c>
      <c r="AL842" s="122">
        <v>14321</v>
      </c>
      <c r="AM842" s="122">
        <v>13019</v>
      </c>
      <c r="AN842" s="122">
        <v>2207</v>
      </c>
      <c r="AO842">
        <v>817</v>
      </c>
      <c r="AP842">
        <v>351</v>
      </c>
      <c r="AQ842">
        <v>130</v>
      </c>
      <c r="AR842" s="122">
        <v>8087</v>
      </c>
      <c r="AS842" s="122">
        <v>7352</v>
      </c>
      <c r="AT842">
        <v>0</v>
      </c>
      <c r="AU842">
        <v>0</v>
      </c>
      <c r="AV842" s="122">
        <v>99434</v>
      </c>
    </row>
    <row r="843" spans="2:48">
      <c r="B843" t="s">
        <v>449</v>
      </c>
      <c r="C843" t="s">
        <v>54</v>
      </c>
      <c r="D843" t="s">
        <v>407</v>
      </c>
      <c r="E843" t="s">
        <v>407</v>
      </c>
      <c r="F843">
        <v>22</v>
      </c>
      <c r="G843" s="122">
        <v>1335</v>
      </c>
      <c r="H843" s="122">
        <v>3035</v>
      </c>
      <c r="I843" s="122">
        <v>72118</v>
      </c>
      <c r="J843" s="122">
        <v>65561</v>
      </c>
      <c r="K843" s="122">
        <v>88</v>
      </c>
      <c r="L843" s="122">
        <v>3213</v>
      </c>
      <c r="M843" s="122">
        <v>2545</v>
      </c>
      <c r="N843" s="122">
        <v>24209</v>
      </c>
      <c r="O843" s="122">
        <v>8966</v>
      </c>
      <c r="P843" s="122">
        <v>11553</v>
      </c>
      <c r="Q843" s="122">
        <v>4279</v>
      </c>
      <c r="R843" s="122">
        <v>73014</v>
      </c>
      <c r="S843" s="122">
        <v>66377</v>
      </c>
      <c r="T843">
        <v>0</v>
      </c>
      <c r="U843">
        <v>0</v>
      </c>
      <c r="V843" s="122">
        <v>147728</v>
      </c>
      <c r="W843" s="122">
        <f t="shared" si="26"/>
        <v>147728</v>
      </c>
      <c r="X843" s="122">
        <f t="shared" si="27"/>
        <v>184107</v>
      </c>
      <c r="Y843" s="122"/>
      <c r="AA843" t="s">
        <v>64</v>
      </c>
      <c r="AB843" t="s">
        <v>426</v>
      </c>
      <c r="AC843" t="s">
        <v>425</v>
      </c>
      <c r="AD843" t="s">
        <v>426</v>
      </c>
      <c r="AE843" t="s">
        <v>137</v>
      </c>
      <c r="AF843">
        <v>1</v>
      </c>
      <c r="AG843">
        <v>97</v>
      </c>
      <c r="AH843">
        <v>467</v>
      </c>
      <c r="AI843" s="122">
        <v>33349</v>
      </c>
      <c r="AJ843" s="122">
        <v>30317</v>
      </c>
      <c r="AK843">
        <v>55</v>
      </c>
      <c r="AL843" s="122">
        <v>2792</v>
      </c>
      <c r="AM843" s="122">
        <v>2538</v>
      </c>
      <c r="AN843" s="122">
        <v>2117</v>
      </c>
      <c r="AO843">
        <v>784</v>
      </c>
      <c r="AP843">
        <v>351</v>
      </c>
      <c r="AQ843">
        <v>130</v>
      </c>
      <c r="AR843" s="122">
        <v>4549</v>
      </c>
      <c r="AS843" s="122">
        <v>4135</v>
      </c>
      <c r="AT843" s="122">
        <v>1938</v>
      </c>
      <c r="AU843">
        <v>718</v>
      </c>
      <c r="AV843" s="122">
        <v>38622</v>
      </c>
    </row>
    <row r="844" spans="2:48">
      <c r="B844" t="s">
        <v>449</v>
      </c>
      <c r="C844" t="s">
        <v>56</v>
      </c>
      <c r="F844" s="122">
        <v>43</v>
      </c>
      <c r="G844" s="122">
        <v>2312</v>
      </c>
      <c r="H844" s="122">
        <v>8232</v>
      </c>
      <c r="J844" s="122">
        <v>0</v>
      </c>
      <c r="K844" s="122"/>
      <c r="M844">
        <v>0</v>
      </c>
      <c r="N844" s="122">
        <v>50853</v>
      </c>
      <c r="O844" s="122">
        <v>18834</v>
      </c>
      <c r="P844" s="122">
        <v>19622</v>
      </c>
      <c r="Q844" s="122">
        <v>7267</v>
      </c>
      <c r="S844">
        <v>0</v>
      </c>
      <c r="T844" s="122">
        <v>5073</v>
      </c>
      <c r="U844" s="122">
        <v>1879</v>
      </c>
      <c r="V844" s="122">
        <v>27981</v>
      </c>
      <c r="W844" s="122">
        <f t="shared" si="26"/>
        <v>27980</v>
      </c>
      <c r="X844" s="122">
        <f t="shared" si="27"/>
        <v>75548</v>
      </c>
      <c r="Y844" s="122"/>
      <c r="AA844" t="s">
        <v>64</v>
      </c>
      <c r="AB844" t="s">
        <v>426</v>
      </c>
      <c r="AC844" t="s">
        <v>137</v>
      </c>
      <c r="AD844" t="s">
        <v>137</v>
      </c>
      <c r="AE844" t="s">
        <v>566</v>
      </c>
      <c r="AF844">
        <v>37</v>
      </c>
      <c r="AG844" s="122">
        <v>1960</v>
      </c>
      <c r="AH844" s="122">
        <v>29026</v>
      </c>
      <c r="AI844" s="122">
        <v>1185753</v>
      </c>
      <c r="AJ844" s="122">
        <v>1077958</v>
      </c>
      <c r="AK844">
        <v>41</v>
      </c>
      <c r="AL844" s="122">
        <v>128939</v>
      </c>
      <c r="AM844" s="122">
        <v>47755</v>
      </c>
      <c r="AN844" s="122">
        <v>44398</v>
      </c>
      <c r="AO844" s="122">
        <v>16444</v>
      </c>
      <c r="AP844" s="122">
        <v>1526</v>
      </c>
      <c r="AQ844">
        <v>565</v>
      </c>
      <c r="AR844" s="122">
        <v>220428</v>
      </c>
      <c r="AS844" s="122">
        <v>81640</v>
      </c>
      <c r="AT844">
        <v>0</v>
      </c>
      <c r="AU844">
        <v>0</v>
      </c>
      <c r="AV844" s="122">
        <v>1224361</v>
      </c>
    </row>
    <row r="845" spans="2:48">
      <c r="B845" t="s">
        <v>449</v>
      </c>
      <c r="C845" t="s">
        <v>56</v>
      </c>
      <c r="D845" t="s">
        <v>137</v>
      </c>
      <c r="E845" t="s">
        <v>137</v>
      </c>
      <c r="F845" s="122">
        <v>162</v>
      </c>
      <c r="G845" s="122">
        <v>11450</v>
      </c>
      <c r="H845" s="122">
        <v>30510</v>
      </c>
      <c r="I845" s="122">
        <v>785507</v>
      </c>
      <c r="J845" s="122">
        <v>290928</v>
      </c>
      <c r="K845" s="122">
        <v>100</v>
      </c>
      <c r="L845" s="122">
        <v>102997</v>
      </c>
      <c r="M845" s="122">
        <v>38530</v>
      </c>
      <c r="N845" s="122">
        <v>230203</v>
      </c>
      <c r="O845" s="122">
        <v>85260</v>
      </c>
      <c r="P845" s="122">
        <v>2411</v>
      </c>
      <c r="Q845">
        <v>893</v>
      </c>
      <c r="R845" s="122">
        <v>1021001</v>
      </c>
      <c r="S845" s="122">
        <v>378148</v>
      </c>
      <c r="T845" s="122">
        <v>1567</v>
      </c>
      <c r="U845">
        <v>580</v>
      </c>
      <c r="V845" s="122">
        <v>794340</v>
      </c>
      <c r="W845" s="122">
        <f t="shared" si="26"/>
        <v>794339</v>
      </c>
      <c r="X845" s="122">
        <f t="shared" si="27"/>
        <v>2143686</v>
      </c>
      <c r="Y845" s="122"/>
      <c r="AA845" t="s">
        <v>64</v>
      </c>
      <c r="AB845" t="s">
        <v>426</v>
      </c>
      <c r="AC845" t="s">
        <v>137</v>
      </c>
      <c r="AD845" t="s">
        <v>426</v>
      </c>
      <c r="AE845" t="s">
        <v>137</v>
      </c>
      <c r="AF845">
        <v>20</v>
      </c>
      <c r="AG845" s="122">
        <v>1056</v>
      </c>
      <c r="AH845" s="122">
        <v>12985</v>
      </c>
      <c r="AI845" s="122">
        <v>445737</v>
      </c>
      <c r="AJ845" s="122">
        <v>405216</v>
      </c>
      <c r="AK845">
        <v>55</v>
      </c>
      <c r="AL845" s="122">
        <v>83922</v>
      </c>
      <c r="AM845" s="122">
        <v>31082</v>
      </c>
      <c r="AN845" s="122">
        <v>23270</v>
      </c>
      <c r="AO845" s="122">
        <v>8619</v>
      </c>
      <c r="AP845" s="122">
        <v>6318</v>
      </c>
      <c r="AQ845" s="122">
        <v>2340</v>
      </c>
      <c r="AR845" s="122">
        <v>107288</v>
      </c>
      <c r="AS845" s="122">
        <v>97535</v>
      </c>
      <c r="AT845" s="122">
        <v>32091</v>
      </c>
      <c r="AU845" s="122">
        <v>11886</v>
      </c>
      <c r="AV845" s="122">
        <v>556677</v>
      </c>
    </row>
    <row r="846" spans="2:48">
      <c r="B846" t="s">
        <v>449</v>
      </c>
      <c r="C846" t="s">
        <v>56</v>
      </c>
      <c r="D846" t="s">
        <v>407</v>
      </c>
      <c r="E846" t="s">
        <v>405</v>
      </c>
      <c r="F846" s="122">
        <v>1</v>
      </c>
      <c r="G846" s="122">
        <v>66</v>
      </c>
      <c r="H846" s="122">
        <v>158</v>
      </c>
      <c r="I846" s="122">
        <v>3766</v>
      </c>
      <c r="J846" s="122">
        <v>3424</v>
      </c>
      <c r="K846" s="122">
        <v>91</v>
      </c>
      <c r="L846" s="122">
        <v>1386</v>
      </c>
      <c r="M846" s="122">
        <v>1155</v>
      </c>
      <c r="N846" s="122">
        <v>1484</v>
      </c>
      <c r="O846">
        <v>550</v>
      </c>
      <c r="P846">
        <v>473</v>
      </c>
      <c r="Q846">
        <v>175</v>
      </c>
      <c r="R846" s="122">
        <v>3221</v>
      </c>
      <c r="S846" s="122">
        <v>2929</v>
      </c>
      <c r="T846">
        <v>0</v>
      </c>
      <c r="U846">
        <v>0</v>
      </c>
      <c r="V846" s="122">
        <v>8233</v>
      </c>
      <c r="W846" s="122">
        <f t="shared" si="26"/>
        <v>8233</v>
      </c>
      <c r="X846" s="122">
        <f t="shared" si="27"/>
        <v>10330</v>
      </c>
      <c r="Y846" s="122"/>
      <c r="AA846" t="s">
        <v>64</v>
      </c>
      <c r="AB846" t="s">
        <v>426</v>
      </c>
      <c r="AC846" t="s">
        <v>137</v>
      </c>
      <c r="AD846" t="s">
        <v>426</v>
      </c>
      <c r="AE846" t="s">
        <v>566</v>
      </c>
      <c r="AF846">
        <v>1</v>
      </c>
      <c r="AG846">
        <v>30</v>
      </c>
      <c r="AH846" s="122">
        <v>1269</v>
      </c>
      <c r="AI846" s="122">
        <v>30266</v>
      </c>
      <c r="AJ846" s="122">
        <v>27515</v>
      </c>
      <c r="AK846">
        <v>55</v>
      </c>
      <c r="AL846" s="122">
        <v>4540</v>
      </c>
      <c r="AM846" s="122">
        <v>1681</v>
      </c>
      <c r="AN846">
        <v>732</v>
      </c>
      <c r="AO846">
        <v>271</v>
      </c>
      <c r="AP846">
        <v>351</v>
      </c>
      <c r="AQ846">
        <v>130</v>
      </c>
      <c r="AR846" s="122">
        <v>2255</v>
      </c>
      <c r="AS846" s="122">
        <v>2050</v>
      </c>
      <c r="AT846">
        <v>0</v>
      </c>
      <c r="AU846">
        <v>0</v>
      </c>
      <c r="AV846" s="122">
        <v>31648</v>
      </c>
    </row>
    <row r="847" spans="2:48">
      <c r="B847" t="s">
        <v>449</v>
      </c>
      <c r="C847" t="s">
        <v>56</v>
      </c>
      <c r="D847" t="s">
        <v>407</v>
      </c>
      <c r="E847" t="s">
        <v>407</v>
      </c>
      <c r="F847" s="122">
        <v>142</v>
      </c>
      <c r="G847" s="122">
        <v>8475</v>
      </c>
      <c r="H847" s="122">
        <v>26873</v>
      </c>
      <c r="I847" s="122">
        <v>706203</v>
      </c>
      <c r="J847" s="122">
        <v>642003</v>
      </c>
      <c r="K847" s="122">
        <v>83</v>
      </c>
      <c r="L847" s="122">
        <v>67720</v>
      </c>
      <c r="M847" s="122">
        <v>51784</v>
      </c>
      <c r="N847" s="122">
        <v>158432</v>
      </c>
      <c r="O847" s="122">
        <v>58678</v>
      </c>
      <c r="P847" s="122">
        <v>70621</v>
      </c>
      <c r="Q847" s="122">
        <v>26156</v>
      </c>
      <c r="R847" s="122">
        <v>532995</v>
      </c>
      <c r="S847" s="122">
        <v>484541</v>
      </c>
      <c r="T847" s="122">
        <v>63386</v>
      </c>
      <c r="U847" s="122">
        <v>23476</v>
      </c>
      <c r="V847" s="122">
        <v>1286638</v>
      </c>
      <c r="W847" s="122">
        <f t="shared" si="26"/>
        <v>1286638</v>
      </c>
      <c r="X847" s="122">
        <f t="shared" si="27"/>
        <v>1599357</v>
      </c>
      <c r="Y847" s="122"/>
      <c r="AA847" t="s">
        <v>64</v>
      </c>
      <c r="AB847" t="s">
        <v>426</v>
      </c>
      <c r="AC847" t="s">
        <v>580</v>
      </c>
      <c r="AD847" t="s">
        <v>426</v>
      </c>
      <c r="AE847" t="s">
        <v>137</v>
      </c>
      <c r="AF847">
        <v>1</v>
      </c>
      <c r="AG847">
        <v>133</v>
      </c>
      <c r="AH847">
        <v>529</v>
      </c>
      <c r="AI847" s="122">
        <v>53601</v>
      </c>
      <c r="AJ847" s="122">
        <v>48728</v>
      </c>
      <c r="AK847">
        <v>55</v>
      </c>
      <c r="AL847" s="122">
        <v>5039</v>
      </c>
      <c r="AM847" s="122">
        <v>4581</v>
      </c>
      <c r="AN847" s="122">
        <v>2398</v>
      </c>
      <c r="AO847">
        <v>888</v>
      </c>
      <c r="AP847">
        <v>621</v>
      </c>
      <c r="AQ847">
        <v>230</v>
      </c>
      <c r="AR847" s="122">
        <v>5888</v>
      </c>
      <c r="AS847" s="122">
        <v>5353</v>
      </c>
      <c r="AT847" s="122">
        <v>2828</v>
      </c>
      <c r="AU847" s="122">
        <v>1048</v>
      </c>
      <c r="AV847" s="122">
        <v>60828</v>
      </c>
    </row>
    <row r="848" spans="2:48">
      <c r="B848" t="s">
        <v>449</v>
      </c>
      <c r="C848" t="s">
        <v>58</v>
      </c>
      <c r="F848" s="122">
        <v>60</v>
      </c>
      <c r="G848" s="122">
        <v>2259</v>
      </c>
      <c r="H848" s="122">
        <v>14751</v>
      </c>
      <c r="J848" s="122">
        <v>0</v>
      </c>
      <c r="K848" s="122"/>
      <c r="M848">
        <v>0</v>
      </c>
      <c r="N848" s="122">
        <v>51165</v>
      </c>
      <c r="O848" s="122">
        <v>18950</v>
      </c>
      <c r="P848" s="122">
        <v>19939</v>
      </c>
      <c r="Q848" s="122">
        <v>7385</v>
      </c>
      <c r="S848">
        <v>0</v>
      </c>
      <c r="T848" s="122">
        <v>27676</v>
      </c>
      <c r="U848" s="122">
        <v>10250</v>
      </c>
      <c r="V848" s="122">
        <v>36585</v>
      </c>
      <c r="W848" s="122">
        <f t="shared" si="26"/>
        <v>36585</v>
      </c>
      <c r="X848" s="122">
        <f t="shared" si="27"/>
        <v>98780</v>
      </c>
      <c r="Y848" s="122"/>
      <c r="AA848" t="s">
        <v>64</v>
      </c>
      <c r="AB848" t="s">
        <v>426</v>
      </c>
      <c r="AC848" t="s">
        <v>426</v>
      </c>
      <c r="AD848" t="s">
        <v>137</v>
      </c>
      <c r="AE848" t="s">
        <v>566</v>
      </c>
      <c r="AF848">
        <v>6</v>
      </c>
      <c r="AG848">
        <v>406</v>
      </c>
      <c r="AH848" s="122">
        <v>7079</v>
      </c>
      <c r="AI848" s="122">
        <v>346112</v>
      </c>
      <c r="AJ848" s="122">
        <v>314647</v>
      </c>
      <c r="AK848">
        <v>42</v>
      </c>
      <c r="AL848" s="122">
        <v>56193</v>
      </c>
      <c r="AM848" s="122">
        <v>51084</v>
      </c>
      <c r="AN848" s="122">
        <v>9741</v>
      </c>
      <c r="AO848" s="122">
        <v>3608</v>
      </c>
      <c r="AP848">
        <v>351</v>
      </c>
      <c r="AQ848">
        <v>130</v>
      </c>
      <c r="AR848" s="122">
        <v>25013</v>
      </c>
      <c r="AS848" s="122">
        <v>9264</v>
      </c>
      <c r="AT848">
        <v>0</v>
      </c>
      <c r="AU848">
        <v>0</v>
      </c>
      <c r="AV848" s="122">
        <v>378733</v>
      </c>
    </row>
    <row r="849" spans="2:48">
      <c r="B849" t="s">
        <v>449</v>
      </c>
      <c r="C849" t="s">
        <v>58</v>
      </c>
      <c r="D849" t="s">
        <v>403</v>
      </c>
      <c r="E849" t="s">
        <v>137</v>
      </c>
      <c r="F849">
        <v>1</v>
      </c>
      <c r="G849">
        <v>58</v>
      </c>
      <c r="H849" s="122">
        <v>299</v>
      </c>
      <c r="I849" s="122">
        <v>9406</v>
      </c>
      <c r="J849" s="122">
        <v>3484</v>
      </c>
      <c r="K849" s="122">
        <v>100</v>
      </c>
      <c r="L849" s="122">
        <v>2352</v>
      </c>
      <c r="M849">
        <v>871</v>
      </c>
      <c r="N849" s="122">
        <v>1210</v>
      </c>
      <c r="O849">
        <v>448</v>
      </c>
      <c r="P849">
        <v>0</v>
      </c>
      <c r="Q849">
        <v>0</v>
      </c>
      <c r="R849" s="122">
        <v>4279</v>
      </c>
      <c r="S849" s="122">
        <v>1585</v>
      </c>
      <c r="T849">
        <v>0</v>
      </c>
      <c r="U849">
        <v>0</v>
      </c>
      <c r="V849" s="122">
        <v>6388</v>
      </c>
      <c r="W849" s="122">
        <f t="shared" si="26"/>
        <v>6388</v>
      </c>
      <c r="X849" s="122">
        <f t="shared" si="27"/>
        <v>17247</v>
      </c>
      <c r="Y849" s="122"/>
      <c r="AA849" t="s">
        <v>64</v>
      </c>
      <c r="AB849" t="s">
        <v>426</v>
      </c>
      <c r="AC849" t="s">
        <v>426</v>
      </c>
      <c r="AD849" t="s">
        <v>426</v>
      </c>
      <c r="AE849" t="s">
        <v>137</v>
      </c>
      <c r="AF849">
        <v>38</v>
      </c>
      <c r="AG849" s="122">
        <v>3526</v>
      </c>
      <c r="AH849" s="122">
        <v>27406</v>
      </c>
      <c r="AI849" s="122">
        <v>1921022</v>
      </c>
      <c r="AJ849" s="122">
        <v>1746383</v>
      </c>
      <c r="AK849">
        <v>51</v>
      </c>
      <c r="AL849" s="122">
        <v>267545</v>
      </c>
      <c r="AM849" s="122">
        <v>243223</v>
      </c>
      <c r="AN849" s="122">
        <v>73687</v>
      </c>
      <c r="AO849" s="122">
        <v>27292</v>
      </c>
      <c r="AP849" s="122">
        <v>12285</v>
      </c>
      <c r="AQ849" s="122">
        <v>4550</v>
      </c>
      <c r="AR849" s="122">
        <v>195961</v>
      </c>
      <c r="AS849" s="122">
        <v>178147</v>
      </c>
      <c r="AT849" s="122">
        <v>79458</v>
      </c>
      <c r="AU849" s="122">
        <v>29429</v>
      </c>
      <c r="AV849" s="122">
        <v>2229023</v>
      </c>
    </row>
    <row r="850" spans="2:48">
      <c r="B850" t="s">
        <v>449</v>
      </c>
      <c r="C850" t="s">
        <v>58</v>
      </c>
      <c r="D850" t="s">
        <v>137</v>
      </c>
      <c r="E850" t="s">
        <v>137</v>
      </c>
      <c r="F850">
        <v>127</v>
      </c>
      <c r="G850" s="122">
        <v>8684</v>
      </c>
      <c r="H850" s="122">
        <v>33263</v>
      </c>
      <c r="I850" s="122">
        <v>1160970</v>
      </c>
      <c r="J850" s="122">
        <v>429989</v>
      </c>
      <c r="K850" s="122">
        <v>100</v>
      </c>
      <c r="L850" s="122">
        <v>122031</v>
      </c>
      <c r="M850" s="122">
        <v>46492</v>
      </c>
      <c r="N850" s="122">
        <v>166262</v>
      </c>
      <c r="O850" s="122">
        <v>61579</v>
      </c>
      <c r="P850" s="122">
        <v>5616</v>
      </c>
      <c r="Q850" s="122">
        <v>2080</v>
      </c>
      <c r="R850" s="122">
        <v>815024</v>
      </c>
      <c r="S850" s="122">
        <v>301861</v>
      </c>
      <c r="T850">
        <v>0</v>
      </c>
      <c r="U850">
        <v>0</v>
      </c>
      <c r="V850" s="122">
        <v>842000</v>
      </c>
      <c r="W850" s="122">
        <f t="shared" si="26"/>
        <v>842001</v>
      </c>
      <c r="X850" s="122">
        <f t="shared" si="27"/>
        <v>2269903</v>
      </c>
      <c r="Y850" s="122"/>
      <c r="AA850" t="s">
        <v>64</v>
      </c>
      <c r="AB850" t="s">
        <v>426</v>
      </c>
      <c r="AC850" t="s">
        <v>426</v>
      </c>
      <c r="AD850" t="s">
        <v>426</v>
      </c>
      <c r="AE850" t="s">
        <v>566</v>
      </c>
      <c r="AF850">
        <v>1</v>
      </c>
      <c r="AG850">
        <v>86</v>
      </c>
      <c r="AH850">
        <v>455</v>
      </c>
      <c r="AI850" s="122">
        <v>22105</v>
      </c>
      <c r="AJ850" s="122">
        <v>20096</v>
      </c>
      <c r="AK850">
        <v>45</v>
      </c>
      <c r="AL850" s="122">
        <v>3684</v>
      </c>
      <c r="AM850" s="122">
        <v>3349</v>
      </c>
      <c r="AN850" s="122">
        <v>1579</v>
      </c>
      <c r="AO850">
        <v>585</v>
      </c>
      <c r="AP850">
        <v>351</v>
      </c>
      <c r="AQ850">
        <v>130</v>
      </c>
      <c r="AR850" s="122">
        <v>11602</v>
      </c>
      <c r="AS850" s="122">
        <v>10547</v>
      </c>
      <c r="AT850">
        <v>0</v>
      </c>
      <c r="AU850">
        <v>0</v>
      </c>
      <c r="AV850" s="122">
        <v>34707</v>
      </c>
    </row>
    <row r="851" spans="2:48">
      <c r="B851" t="s">
        <v>449</v>
      </c>
      <c r="C851" t="s">
        <v>58</v>
      </c>
      <c r="D851" t="s">
        <v>406</v>
      </c>
      <c r="E851" t="s">
        <v>137</v>
      </c>
      <c r="F851">
        <v>1</v>
      </c>
      <c r="G851">
        <v>54</v>
      </c>
      <c r="H851">
        <v>229</v>
      </c>
      <c r="I851" s="122">
        <v>3977</v>
      </c>
      <c r="J851" s="122">
        <v>3616</v>
      </c>
      <c r="K851">
        <v>86</v>
      </c>
      <c r="L851">
        <v>0</v>
      </c>
      <c r="M851">
        <v>0</v>
      </c>
      <c r="N851" s="122">
        <v>1308</v>
      </c>
      <c r="O851">
        <v>484</v>
      </c>
      <c r="P851">
        <v>621</v>
      </c>
      <c r="Q851">
        <v>230</v>
      </c>
      <c r="R851" s="122">
        <v>6363</v>
      </c>
      <c r="S851" s="122">
        <v>2357</v>
      </c>
      <c r="T851">
        <v>0</v>
      </c>
      <c r="U851">
        <v>0</v>
      </c>
      <c r="V851" s="122">
        <v>6686</v>
      </c>
      <c r="W851" s="122">
        <f t="shared" si="26"/>
        <v>6687</v>
      </c>
      <c r="X851" s="122">
        <f t="shared" si="27"/>
        <v>12269</v>
      </c>
      <c r="Y851" s="122"/>
      <c r="AA851" t="s">
        <v>64</v>
      </c>
      <c r="AB851" t="s">
        <v>426</v>
      </c>
      <c r="AC851" t="s">
        <v>566</v>
      </c>
      <c r="AD851" t="s">
        <v>137</v>
      </c>
      <c r="AE851" t="s">
        <v>137</v>
      </c>
      <c r="AF851">
        <v>1</v>
      </c>
      <c r="AG851">
        <v>45</v>
      </c>
      <c r="AH851">
        <v>544</v>
      </c>
      <c r="AI851" s="122">
        <v>16772</v>
      </c>
      <c r="AJ851" s="122">
        <v>15247</v>
      </c>
      <c r="AK851">
        <v>30</v>
      </c>
      <c r="AL851">
        <v>0</v>
      </c>
      <c r="AM851">
        <v>0</v>
      </c>
      <c r="AN851" s="122">
        <v>1087</v>
      </c>
      <c r="AO851">
        <v>403</v>
      </c>
      <c r="AP851">
        <v>0</v>
      </c>
      <c r="AQ851">
        <v>0</v>
      </c>
      <c r="AR851" s="122">
        <v>4290</v>
      </c>
      <c r="AS851" s="122">
        <v>1589</v>
      </c>
      <c r="AT851" s="122">
        <v>2113</v>
      </c>
      <c r="AU851">
        <v>783</v>
      </c>
      <c r="AV851" s="122">
        <v>18022</v>
      </c>
    </row>
    <row r="852" spans="2:48">
      <c r="B852" t="s">
        <v>449</v>
      </c>
      <c r="C852" t="s">
        <v>58</v>
      </c>
      <c r="D852" t="s">
        <v>407</v>
      </c>
      <c r="E852" t="s">
        <v>405</v>
      </c>
      <c r="F852">
        <v>1</v>
      </c>
      <c r="G852">
        <v>75</v>
      </c>
      <c r="H852" s="122">
        <v>259</v>
      </c>
      <c r="I852" s="122">
        <v>8971</v>
      </c>
      <c r="J852" s="122">
        <v>8156</v>
      </c>
      <c r="K852" s="122">
        <v>80</v>
      </c>
      <c r="L852" s="122">
        <v>3768</v>
      </c>
      <c r="M852" s="122">
        <v>3425</v>
      </c>
      <c r="N852">
        <v>919</v>
      </c>
      <c r="O852">
        <v>340</v>
      </c>
      <c r="P852">
        <v>473</v>
      </c>
      <c r="Q852">
        <v>175</v>
      </c>
      <c r="R852" s="122">
        <v>5427</v>
      </c>
      <c r="S852" s="122">
        <v>4934</v>
      </c>
      <c r="T852">
        <v>0</v>
      </c>
      <c r="U852">
        <v>0</v>
      </c>
      <c r="V852" s="122">
        <v>17030</v>
      </c>
      <c r="W852" s="122">
        <f t="shared" si="26"/>
        <v>17030</v>
      </c>
      <c r="X852" s="122">
        <f t="shared" si="27"/>
        <v>19558</v>
      </c>
      <c r="Y852" s="122"/>
      <c r="AA852" t="s">
        <v>64</v>
      </c>
      <c r="AB852" t="s">
        <v>426</v>
      </c>
      <c r="AC852" t="s">
        <v>566</v>
      </c>
      <c r="AD852" t="s">
        <v>137</v>
      </c>
      <c r="AE852" t="s">
        <v>566</v>
      </c>
      <c r="AF852">
        <v>7</v>
      </c>
      <c r="AG852">
        <v>452</v>
      </c>
      <c r="AH852" s="122">
        <v>6680</v>
      </c>
      <c r="AI852" s="122">
        <v>372999</v>
      </c>
      <c r="AJ852" s="122">
        <v>339090</v>
      </c>
      <c r="AK852">
        <v>34</v>
      </c>
      <c r="AL852">
        <v>0</v>
      </c>
      <c r="AM852">
        <v>0</v>
      </c>
      <c r="AN852" s="122">
        <v>8888</v>
      </c>
      <c r="AO852" s="122">
        <v>3292</v>
      </c>
      <c r="AP852">
        <v>0</v>
      </c>
      <c r="AQ852">
        <v>0</v>
      </c>
      <c r="AR852" s="122">
        <v>35782</v>
      </c>
      <c r="AS852" s="122">
        <v>13252</v>
      </c>
      <c r="AT852">
        <v>0</v>
      </c>
      <c r="AU852">
        <v>0</v>
      </c>
      <c r="AV852" s="122">
        <v>355634</v>
      </c>
    </row>
    <row r="853" spans="2:48">
      <c r="B853" t="s">
        <v>449</v>
      </c>
      <c r="C853" t="s">
        <v>58</v>
      </c>
      <c r="D853" t="s">
        <v>407</v>
      </c>
      <c r="E853" t="s">
        <v>137</v>
      </c>
      <c r="F853" s="122">
        <v>1</v>
      </c>
      <c r="G853" s="122">
        <v>36</v>
      </c>
      <c r="H853" s="122">
        <v>281</v>
      </c>
      <c r="I853" s="122">
        <v>5707</v>
      </c>
      <c r="J853" s="122">
        <v>5188</v>
      </c>
      <c r="K853" s="122">
        <v>77</v>
      </c>
      <c r="L853">
        <v>0</v>
      </c>
      <c r="M853">
        <v>0</v>
      </c>
      <c r="N853">
        <v>867</v>
      </c>
      <c r="O853">
        <v>321</v>
      </c>
      <c r="P853">
        <v>473</v>
      </c>
      <c r="Q853">
        <v>175</v>
      </c>
      <c r="R853" s="122">
        <v>2951</v>
      </c>
      <c r="S853" s="122">
        <v>1093</v>
      </c>
      <c r="T853">
        <v>0</v>
      </c>
      <c r="U853">
        <v>0</v>
      </c>
      <c r="V853" s="122">
        <v>6777</v>
      </c>
      <c r="W853" s="122">
        <f t="shared" si="26"/>
        <v>6777</v>
      </c>
      <c r="X853" s="122">
        <f t="shared" si="27"/>
        <v>9998</v>
      </c>
      <c r="Y853" s="122"/>
      <c r="AA853" t="s">
        <v>64</v>
      </c>
      <c r="AB853" t="s">
        <v>426</v>
      </c>
      <c r="AC853" t="s">
        <v>566</v>
      </c>
      <c r="AD853" t="s">
        <v>426</v>
      </c>
      <c r="AE853" t="s">
        <v>137</v>
      </c>
      <c r="AF853">
        <v>31</v>
      </c>
      <c r="AG853" s="122">
        <v>1603</v>
      </c>
      <c r="AH853" s="122">
        <v>20441</v>
      </c>
      <c r="AI853" s="122">
        <v>777913</v>
      </c>
      <c r="AJ853" s="122">
        <v>707193</v>
      </c>
      <c r="AK853">
        <v>52</v>
      </c>
      <c r="AL853">
        <v>0</v>
      </c>
      <c r="AM853" s="122">
        <v>14462</v>
      </c>
      <c r="AN853" s="122">
        <v>35467</v>
      </c>
      <c r="AO853" s="122">
        <v>13136</v>
      </c>
      <c r="AP853" s="122">
        <v>10179</v>
      </c>
      <c r="AQ853" s="122">
        <v>3770</v>
      </c>
      <c r="AR853" s="122">
        <v>148942</v>
      </c>
      <c r="AS853" s="122">
        <v>135402</v>
      </c>
      <c r="AT853" s="122">
        <v>61037</v>
      </c>
      <c r="AU853" s="122">
        <v>22606</v>
      </c>
      <c r="AV853" s="122">
        <v>896570</v>
      </c>
    </row>
    <row r="854" spans="2:48">
      <c r="B854" t="s">
        <v>449</v>
      </c>
      <c r="C854" t="s">
        <v>58</v>
      </c>
      <c r="D854" t="s">
        <v>407</v>
      </c>
      <c r="E854" t="s">
        <v>407</v>
      </c>
      <c r="F854" s="122">
        <v>112</v>
      </c>
      <c r="G854" s="122">
        <v>6119</v>
      </c>
      <c r="H854" s="122">
        <v>28975</v>
      </c>
      <c r="I854" s="122">
        <v>790318</v>
      </c>
      <c r="J854" s="122">
        <v>718471</v>
      </c>
      <c r="K854" s="122">
        <v>79</v>
      </c>
      <c r="L854" s="122">
        <v>119198</v>
      </c>
      <c r="M854" s="122">
        <v>100985</v>
      </c>
      <c r="N854" s="122">
        <v>129347</v>
      </c>
      <c r="O854" s="122">
        <v>47906</v>
      </c>
      <c r="P854" s="122">
        <v>53744</v>
      </c>
      <c r="Q854" s="122">
        <v>19905</v>
      </c>
      <c r="R854" s="122">
        <v>438878</v>
      </c>
      <c r="S854" s="122">
        <v>398980</v>
      </c>
      <c r="T854" s="122">
        <v>60664</v>
      </c>
      <c r="U854" s="122">
        <v>22468</v>
      </c>
      <c r="V854" s="122">
        <v>1308716</v>
      </c>
      <c r="W854" s="122">
        <f t="shared" si="26"/>
        <v>1308715</v>
      </c>
      <c r="X854" s="122">
        <f t="shared" si="27"/>
        <v>1592149</v>
      </c>
      <c r="Y854" s="122"/>
      <c r="AA854" t="s">
        <v>64</v>
      </c>
      <c r="AB854" t="s">
        <v>433</v>
      </c>
      <c r="AC854" t="s">
        <v>566</v>
      </c>
      <c r="AD854" t="s">
        <v>433</v>
      </c>
      <c r="AE854" t="s">
        <v>137</v>
      </c>
      <c r="AF854">
        <v>1</v>
      </c>
      <c r="AG854">
        <v>73</v>
      </c>
      <c r="AH854">
        <v>468</v>
      </c>
      <c r="AI854" s="122">
        <v>26345</v>
      </c>
      <c r="AJ854" s="122">
        <v>23950</v>
      </c>
      <c r="AK854">
        <v>68</v>
      </c>
      <c r="AL854">
        <v>0</v>
      </c>
      <c r="AM854">
        <v>0</v>
      </c>
      <c r="AN854" s="122">
        <v>1776</v>
      </c>
      <c r="AO854">
        <v>658</v>
      </c>
      <c r="AP854">
        <v>351</v>
      </c>
      <c r="AQ854">
        <v>130</v>
      </c>
      <c r="AR854" s="122">
        <v>3380</v>
      </c>
      <c r="AS854" s="122">
        <v>3073</v>
      </c>
      <c r="AT854" s="122">
        <v>2248</v>
      </c>
      <c r="AU854">
        <v>832</v>
      </c>
      <c r="AV854" s="122">
        <v>28643</v>
      </c>
    </row>
    <row r="855" spans="2:48">
      <c r="B855" t="s">
        <v>449</v>
      </c>
      <c r="C855" t="s">
        <v>60</v>
      </c>
      <c r="F855">
        <v>1</v>
      </c>
      <c r="G855">
        <v>34</v>
      </c>
      <c r="H855" s="122">
        <v>302</v>
      </c>
      <c r="J855" s="122">
        <v>0</v>
      </c>
      <c r="K855" s="122"/>
      <c r="M855">
        <v>0</v>
      </c>
      <c r="N855">
        <v>520</v>
      </c>
      <c r="O855">
        <v>193</v>
      </c>
      <c r="P855">
        <v>0</v>
      </c>
      <c r="Q855">
        <v>0</v>
      </c>
      <c r="S855">
        <v>0</v>
      </c>
      <c r="T855" s="122">
        <v>1780</v>
      </c>
      <c r="U855">
        <v>659</v>
      </c>
      <c r="V855">
        <v>852</v>
      </c>
      <c r="W855" s="122">
        <f t="shared" si="26"/>
        <v>852</v>
      </c>
      <c r="X855" s="122">
        <f t="shared" si="27"/>
        <v>2300</v>
      </c>
      <c r="Y855" s="122"/>
      <c r="AA855" t="s">
        <v>64</v>
      </c>
      <c r="AB855" t="s">
        <v>433</v>
      </c>
      <c r="AC855" t="s">
        <v>433</v>
      </c>
      <c r="AD855" t="s">
        <v>137</v>
      </c>
      <c r="AE855" t="s">
        <v>566</v>
      </c>
      <c r="AF855">
        <v>1</v>
      </c>
      <c r="AG855">
        <v>46</v>
      </c>
      <c r="AH855">
        <v>698</v>
      </c>
      <c r="AI855" s="122">
        <v>22970</v>
      </c>
      <c r="AJ855" s="122">
        <v>20882</v>
      </c>
      <c r="AK855">
        <v>60</v>
      </c>
      <c r="AL855" s="122">
        <v>5105</v>
      </c>
      <c r="AM855" s="122">
        <v>4640</v>
      </c>
      <c r="AN855" s="122">
        <v>1133</v>
      </c>
      <c r="AO855">
        <v>419</v>
      </c>
      <c r="AP855">
        <v>0</v>
      </c>
      <c r="AQ855">
        <v>0</v>
      </c>
      <c r="AR855" s="122">
        <v>3219</v>
      </c>
      <c r="AS855" s="122">
        <v>1192</v>
      </c>
      <c r="AT855">
        <v>0</v>
      </c>
      <c r="AU855">
        <v>0</v>
      </c>
      <c r="AV855" s="122">
        <v>27134</v>
      </c>
    </row>
    <row r="856" spans="2:48">
      <c r="B856" t="s">
        <v>449</v>
      </c>
      <c r="C856" t="s">
        <v>60</v>
      </c>
      <c r="D856" t="s">
        <v>137</v>
      </c>
      <c r="E856" t="s">
        <v>137</v>
      </c>
      <c r="F856" s="122">
        <v>68</v>
      </c>
      <c r="G856" s="122">
        <v>3762</v>
      </c>
      <c r="H856" s="122">
        <v>22777</v>
      </c>
      <c r="I856" s="122">
        <v>709570</v>
      </c>
      <c r="J856" s="122">
        <v>262804</v>
      </c>
      <c r="K856" s="122">
        <v>100</v>
      </c>
      <c r="L856" s="122">
        <v>78291</v>
      </c>
      <c r="M856" s="122">
        <v>30293</v>
      </c>
      <c r="N856" s="122">
        <v>76463</v>
      </c>
      <c r="O856" s="122">
        <v>28320</v>
      </c>
      <c r="P856">
        <v>702</v>
      </c>
      <c r="Q856">
        <v>260</v>
      </c>
      <c r="R856" s="122">
        <v>398976</v>
      </c>
      <c r="S856" s="122">
        <v>147769</v>
      </c>
      <c r="T856">
        <v>0</v>
      </c>
      <c r="U856">
        <v>0</v>
      </c>
      <c r="V856" s="122">
        <v>469446</v>
      </c>
      <c r="W856" s="122">
        <f t="shared" si="26"/>
        <v>469446</v>
      </c>
      <c r="X856" s="122">
        <f t="shared" si="27"/>
        <v>1264002</v>
      </c>
      <c r="Y856" s="122"/>
      <c r="AA856" t="s">
        <v>64</v>
      </c>
      <c r="AB856" t="s">
        <v>408</v>
      </c>
      <c r="AC856" t="s">
        <v>426</v>
      </c>
      <c r="AD856" t="s">
        <v>408</v>
      </c>
      <c r="AE856" t="s">
        <v>137</v>
      </c>
      <c r="AF856">
        <v>1</v>
      </c>
      <c r="AG856">
        <v>117</v>
      </c>
      <c r="AH856">
        <v>598</v>
      </c>
      <c r="AI856" s="122">
        <v>46602</v>
      </c>
      <c r="AJ856" s="122">
        <v>42365</v>
      </c>
      <c r="AK856">
        <v>65</v>
      </c>
      <c r="AL856" s="122">
        <v>11219</v>
      </c>
      <c r="AM856" s="122">
        <v>10199</v>
      </c>
      <c r="AN856" s="122">
        <v>2853</v>
      </c>
      <c r="AO856" s="122">
        <v>1057</v>
      </c>
      <c r="AP856">
        <v>351</v>
      </c>
      <c r="AQ856">
        <v>130</v>
      </c>
      <c r="AR856" s="122">
        <v>5650</v>
      </c>
      <c r="AS856" s="122">
        <v>5136</v>
      </c>
      <c r="AT856" s="122">
        <v>3353</v>
      </c>
      <c r="AU856" s="122">
        <v>1242</v>
      </c>
      <c r="AV856" s="122">
        <v>60129</v>
      </c>
    </row>
    <row r="857" spans="2:48">
      <c r="B857" t="s">
        <v>449</v>
      </c>
      <c r="C857" t="s">
        <v>60</v>
      </c>
      <c r="D857" t="s">
        <v>407</v>
      </c>
      <c r="E857" t="s">
        <v>137</v>
      </c>
      <c r="F857" s="122">
        <v>2</v>
      </c>
      <c r="G857" s="122">
        <v>85</v>
      </c>
      <c r="H857" s="122">
        <v>674</v>
      </c>
      <c r="I857" s="122">
        <v>22230</v>
      </c>
      <c r="J857" s="122">
        <v>20209</v>
      </c>
      <c r="K857" s="122">
        <v>75</v>
      </c>
      <c r="L857" s="122">
        <v>2594</v>
      </c>
      <c r="M857" s="122">
        <v>2162</v>
      </c>
      <c r="N857" s="122">
        <v>2202</v>
      </c>
      <c r="O857">
        <v>816</v>
      </c>
      <c r="P857">
        <v>945</v>
      </c>
      <c r="Q857">
        <v>350</v>
      </c>
      <c r="R857" s="122">
        <v>9874</v>
      </c>
      <c r="S857" s="122">
        <v>3657</v>
      </c>
      <c r="T857">
        <v>0</v>
      </c>
      <c r="U857">
        <v>0</v>
      </c>
      <c r="V857" s="122">
        <v>27194</v>
      </c>
      <c r="W857" s="122">
        <f t="shared" si="26"/>
        <v>27194</v>
      </c>
      <c r="X857" s="122">
        <f t="shared" si="27"/>
        <v>37845</v>
      </c>
      <c r="Y857" s="122"/>
      <c r="AA857" t="s">
        <v>64</v>
      </c>
      <c r="AB857" t="s">
        <v>429</v>
      </c>
      <c r="AC857" t="s">
        <v>566</v>
      </c>
      <c r="AD857" t="s">
        <v>137</v>
      </c>
      <c r="AE857" t="s">
        <v>566</v>
      </c>
      <c r="AF857">
        <v>1</v>
      </c>
      <c r="AG857">
        <v>38</v>
      </c>
      <c r="AH857">
        <v>818</v>
      </c>
      <c r="AI857" s="122">
        <v>25351</v>
      </c>
      <c r="AJ857" s="122">
        <v>23046</v>
      </c>
      <c r="AK857">
        <v>65</v>
      </c>
      <c r="AL857">
        <v>0</v>
      </c>
      <c r="AM857">
        <v>0</v>
      </c>
      <c r="AN857">
        <v>926</v>
      </c>
      <c r="AO857">
        <v>343</v>
      </c>
      <c r="AP857">
        <v>351</v>
      </c>
      <c r="AQ857">
        <v>130</v>
      </c>
      <c r="AR857" s="122">
        <v>4456</v>
      </c>
      <c r="AS857" s="122">
        <v>1650</v>
      </c>
      <c r="AT857">
        <v>0</v>
      </c>
      <c r="AU857">
        <v>0</v>
      </c>
      <c r="AV857" s="122">
        <v>25170</v>
      </c>
    </row>
    <row r="858" spans="2:48">
      <c r="B858" t="s">
        <v>449</v>
      </c>
      <c r="C858" t="s">
        <v>60</v>
      </c>
      <c r="D858" t="s">
        <v>407</v>
      </c>
      <c r="E858" t="s">
        <v>407</v>
      </c>
      <c r="F858">
        <v>53</v>
      </c>
      <c r="G858" s="122">
        <v>3352</v>
      </c>
      <c r="H858" s="122">
        <v>18272</v>
      </c>
      <c r="I858" s="122">
        <v>652597</v>
      </c>
      <c r="J858" s="122">
        <v>593270</v>
      </c>
      <c r="K858" s="122">
        <v>78</v>
      </c>
      <c r="L858" s="122">
        <v>135588</v>
      </c>
      <c r="M858" s="122">
        <v>107207</v>
      </c>
      <c r="N858" s="122">
        <v>74723</v>
      </c>
      <c r="O858" s="122">
        <v>27675</v>
      </c>
      <c r="P858" s="122">
        <v>24921</v>
      </c>
      <c r="Q858" s="122">
        <v>9230</v>
      </c>
      <c r="R858" s="122">
        <v>216846</v>
      </c>
      <c r="S858" s="122">
        <v>197133</v>
      </c>
      <c r="T858" s="122">
        <v>58996</v>
      </c>
      <c r="U858" s="122">
        <v>21850</v>
      </c>
      <c r="V858" s="122">
        <v>956365</v>
      </c>
      <c r="W858" s="122">
        <f t="shared" si="26"/>
        <v>956365</v>
      </c>
      <c r="X858" s="122">
        <f t="shared" si="27"/>
        <v>1163671</v>
      </c>
      <c r="Y858" s="122"/>
    </row>
    <row r="859" spans="2:48">
      <c r="B859" t="s">
        <v>449</v>
      </c>
      <c r="C859" t="s">
        <v>62</v>
      </c>
      <c r="D859" t="s">
        <v>137</v>
      </c>
      <c r="E859" t="s">
        <v>137</v>
      </c>
      <c r="F859" s="122">
        <v>14</v>
      </c>
      <c r="G859" s="122">
        <v>691</v>
      </c>
      <c r="H859" s="122">
        <v>5733</v>
      </c>
      <c r="I859" s="122">
        <v>180829</v>
      </c>
      <c r="J859" s="122">
        <v>66974</v>
      </c>
      <c r="K859" s="122">
        <v>100</v>
      </c>
      <c r="L859" s="122">
        <v>9518</v>
      </c>
      <c r="M859" s="122">
        <v>4489</v>
      </c>
      <c r="N859" s="122">
        <v>14439</v>
      </c>
      <c r="O859" s="122">
        <v>5348</v>
      </c>
      <c r="P859">
        <v>0</v>
      </c>
      <c r="Q859">
        <v>0</v>
      </c>
      <c r="R859" s="122">
        <v>77404</v>
      </c>
      <c r="S859" s="122">
        <v>28668</v>
      </c>
      <c r="T859">
        <v>0</v>
      </c>
      <c r="U859">
        <v>0</v>
      </c>
      <c r="V859" s="122">
        <v>105479</v>
      </c>
      <c r="W859" s="122">
        <f t="shared" si="26"/>
        <v>105479</v>
      </c>
      <c r="X859" s="122">
        <f t="shared" si="27"/>
        <v>282190</v>
      </c>
      <c r="Y859" s="122"/>
    </row>
    <row r="860" spans="2:48">
      <c r="B860" t="s">
        <v>449</v>
      </c>
      <c r="C860" t="s">
        <v>62</v>
      </c>
      <c r="D860" t="s">
        <v>406</v>
      </c>
      <c r="E860" t="s">
        <v>406</v>
      </c>
      <c r="F860">
        <v>1</v>
      </c>
      <c r="G860" s="122">
        <v>91</v>
      </c>
      <c r="H860" s="122">
        <v>434</v>
      </c>
      <c r="I860" s="122">
        <v>27102</v>
      </c>
      <c r="J860" s="122">
        <v>24639</v>
      </c>
      <c r="K860" s="122">
        <v>85</v>
      </c>
      <c r="L860" s="122">
        <v>5965</v>
      </c>
      <c r="M860" s="122">
        <v>2209</v>
      </c>
      <c r="N860" s="122">
        <v>1241</v>
      </c>
      <c r="O860">
        <v>460</v>
      </c>
      <c r="P860">
        <v>621</v>
      </c>
      <c r="Q860">
        <v>230</v>
      </c>
      <c r="R860" s="122">
        <v>4514</v>
      </c>
      <c r="S860" s="122">
        <v>4104</v>
      </c>
      <c r="T860">
        <v>0</v>
      </c>
      <c r="U860">
        <v>0</v>
      </c>
      <c r="V860" s="122">
        <v>31641</v>
      </c>
      <c r="W860" s="122">
        <f t="shared" si="26"/>
        <v>31642</v>
      </c>
      <c r="X860" s="122">
        <f t="shared" si="27"/>
        <v>39443</v>
      </c>
      <c r="Y860" s="122"/>
    </row>
    <row r="861" spans="2:48">
      <c r="B861" t="s">
        <v>449</v>
      </c>
      <c r="C861" t="s">
        <v>62</v>
      </c>
      <c r="D861" t="s">
        <v>407</v>
      </c>
      <c r="E861" t="s">
        <v>137</v>
      </c>
      <c r="F861" s="122">
        <v>2</v>
      </c>
      <c r="G861" s="122">
        <v>66</v>
      </c>
      <c r="H861" s="122">
        <v>786</v>
      </c>
      <c r="I861" s="122">
        <v>17983</v>
      </c>
      <c r="J861" s="122">
        <v>16348</v>
      </c>
      <c r="K861" s="122">
        <v>67</v>
      </c>
      <c r="L861">
        <v>0</v>
      </c>
      <c r="M861">
        <v>0</v>
      </c>
      <c r="N861" s="122">
        <v>1414</v>
      </c>
      <c r="O861">
        <v>524</v>
      </c>
      <c r="P861">
        <v>945</v>
      </c>
      <c r="Q861">
        <v>350</v>
      </c>
      <c r="R861" s="122">
        <v>5549</v>
      </c>
      <c r="S861" s="122">
        <v>2055</v>
      </c>
      <c r="T861">
        <v>0</v>
      </c>
      <c r="U861">
        <v>0</v>
      </c>
      <c r="V861" s="122">
        <v>19277</v>
      </c>
      <c r="W861" s="122">
        <f t="shared" si="26"/>
        <v>19277</v>
      </c>
      <c r="X861" s="122">
        <f t="shared" si="27"/>
        <v>25891</v>
      </c>
      <c r="Y861" s="122"/>
    </row>
    <row r="862" spans="2:48">
      <c r="B862" t="s">
        <v>449</v>
      </c>
      <c r="C862" t="s">
        <v>62</v>
      </c>
      <c r="D862" t="s">
        <v>407</v>
      </c>
      <c r="E862" t="s">
        <v>407</v>
      </c>
      <c r="F862">
        <v>22</v>
      </c>
      <c r="G862" s="122">
        <v>1388</v>
      </c>
      <c r="H862" s="122">
        <v>9021</v>
      </c>
      <c r="I862" s="122">
        <v>380085</v>
      </c>
      <c r="J862" s="122">
        <v>345532</v>
      </c>
      <c r="K862" s="122">
        <v>77</v>
      </c>
      <c r="L862" s="122">
        <v>51032</v>
      </c>
      <c r="M862" s="122">
        <v>38572</v>
      </c>
      <c r="N862" s="122">
        <v>29323</v>
      </c>
      <c r="O862" s="122">
        <v>10860</v>
      </c>
      <c r="P862" s="122">
        <v>10031</v>
      </c>
      <c r="Q862" s="122">
        <v>3715</v>
      </c>
      <c r="R862" s="122">
        <v>85499</v>
      </c>
      <c r="S862" s="122">
        <v>77727</v>
      </c>
      <c r="T862" s="122">
        <v>22398</v>
      </c>
      <c r="U862" s="122">
        <v>8296</v>
      </c>
      <c r="V862" s="122">
        <v>484702</v>
      </c>
      <c r="W862" s="122">
        <f t="shared" si="26"/>
        <v>484702</v>
      </c>
      <c r="X862" s="122">
        <f t="shared" si="27"/>
        <v>578368</v>
      </c>
      <c r="Y862" s="122"/>
    </row>
    <row r="863" spans="2:48">
      <c r="B863" t="s">
        <v>449</v>
      </c>
      <c r="C863" t="s">
        <v>64</v>
      </c>
      <c r="F863">
        <v>3</v>
      </c>
      <c r="G863">
        <v>110</v>
      </c>
      <c r="H863" s="122">
        <v>1941</v>
      </c>
      <c r="J863" s="122">
        <v>0</v>
      </c>
      <c r="K863" s="122"/>
      <c r="M863">
        <v>0</v>
      </c>
      <c r="N863" s="122">
        <v>2275</v>
      </c>
      <c r="O863">
        <v>843</v>
      </c>
      <c r="P863" s="122">
        <v>1242</v>
      </c>
      <c r="Q863">
        <v>460</v>
      </c>
      <c r="S863">
        <v>0</v>
      </c>
      <c r="T863">
        <v>0</v>
      </c>
      <c r="U863">
        <v>0</v>
      </c>
      <c r="V863" s="122">
        <v>1303</v>
      </c>
      <c r="W863" s="122">
        <f t="shared" si="26"/>
        <v>1303</v>
      </c>
      <c r="X863" s="122">
        <f t="shared" si="27"/>
        <v>3517</v>
      </c>
      <c r="Y863" s="122"/>
    </row>
    <row r="864" spans="2:48">
      <c r="B864" t="s">
        <v>449</v>
      </c>
      <c r="C864" t="s">
        <v>64</v>
      </c>
      <c r="D864" t="s">
        <v>137</v>
      </c>
      <c r="E864" t="s">
        <v>137</v>
      </c>
      <c r="F864">
        <v>34</v>
      </c>
      <c r="G864" s="122">
        <v>1594</v>
      </c>
      <c r="H864" s="122">
        <v>21328</v>
      </c>
      <c r="I864" s="122">
        <v>660889</v>
      </c>
      <c r="J864" s="122">
        <v>244774</v>
      </c>
      <c r="K864" s="122">
        <v>100</v>
      </c>
      <c r="L864" s="122">
        <v>89715</v>
      </c>
      <c r="M864" s="122">
        <v>43014</v>
      </c>
      <c r="N864" s="122">
        <v>32497</v>
      </c>
      <c r="O864" s="122">
        <v>12036</v>
      </c>
      <c r="P864">
        <v>0</v>
      </c>
      <c r="Q864">
        <v>0</v>
      </c>
      <c r="R864" s="122">
        <v>180405</v>
      </c>
      <c r="S864" s="122">
        <v>66817</v>
      </c>
      <c r="T864">
        <v>0</v>
      </c>
      <c r="U864">
        <v>0</v>
      </c>
      <c r="V864" s="122">
        <v>366640</v>
      </c>
      <c r="W864" s="122">
        <f t="shared" si="26"/>
        <v>366641</v>
      </c>
      <c r="X864" s="122">
        <f t="shared" si="27"/>
        <v>963506</v>
      </c>
      <c r="Y864" s="122"/>
    </row>
    <row r="865" spans="2:25">
      <c r="B865" t="s">
        <v>449</v>
      </c>
      <c r="C865" t="s">
        <v>64</v>
      </c>
      <c r="D865" t="s">
        <v>407</v>
      </c>
      <c r="E865" t="s">
        <v>137</v>
      </c>
      <c r="F865">
        <v>2</v>
      </c>
      <c r="G865">
        <v>74</v>
      </c>
      <c r="H865" s="122">
        <v>1191</v>
      </c>
      <c r="I865" s="122">
        <v>35437</v>
      </c>
      <c r="J865" s="122">
        <v>32215</v>
      </c>
      <c r="K865" s="122">
        <v>68</v>
      </c>
      <c r="L865">
        <v>0</v>
      </c>
      <c r="M865">
        <v>0</v>
      </c>
      <c r="N865" s="122">
        <v>1725</v>
      </c>
      <c r="O865">
        <v>639</v>
      </c>
      <c r="P865">
        <v>945</v>
      </c>
      <c r="Q865">
        <v>350</v>
      </c>
      <c r="R865" s="122">
        <v>5704</v>
      </c>
      <c r="S865" s="122">
        <v>2113</v>
      </c>
      <c r="T865">
        <v>0</v>
      </c>
      <c r="U865">
        <v>0</v>
      </c>
      <c r="V865" s="122">
        <v>35316</v>
      </c>
      <c r="W865" s="122">
        <f t="shared" si="26"/>
        <v>35317</v>
      </c>
      <c r="X865" s="122">
        <f t="shared" si="27"/>
        <v>43811</v>
      </c>
      <c r="Y865" s="122"/>
    </row>
    <row r="866" spans="2:25">
      <c r="B866" t="s">
        <v>449</v>
      </c>
      <c r="C866" t="s">
        <v>64</v>
      </c>
      <c r="D866" t="s">
        <v>407</v>
      </c>
      <c r="E866" t="s">
        <v>407</v>
      </c>
      <c r="F866">
        <v>22</v>
      </c>
      <c r="G866" s="122">
        <v>1160</v>
      </c>
      <c r="H866" s="122">
        <v>11462</v>
      </c>
      <c r="I866" s="122">
        <v>391699</v>
      </c>
      <c r="J866" s="122">
        <v>356090</v>
      </c>
      <c r="K866" s="122">
        <v>74</v>
      </c>
      <c r="L866" s="122">
        <v>51373</v>
      </c>
      <c r="M866" s="122">
        <v>44255</v>
      </c>
      <c r="N866" s="122">
        <v>25873</v>
      </c>
      <c r="O866" s="122">
        <v>9583</v>
      </c>
      <c r="P866" s="122">
        <v>10625</v>
      </c>
      <c r="Q866" s="122">
        <v>3935</v>
      </c>
      <c r="R866" s="122">
        <v>92613</v>
      </c>
      <c r="S866" s="122">
        <v>84194</v>
      </c>
      <c r="T866" s="122">
        <v>23080</v>
      </c>
      <c r="U866" s="122">
        <v>8548</v>
      </c>
      <c r="V866" s="122">
        <v>506605</v>
      </c>
      <c r="W866" s="122">
        <f t="shared" si="26"/>
        <v>506605</v>
      </c>
      <c r="X866" s="122">
        <f t="shared" si="27"/>
        <v>595263</v>
      </c>
      <c r="Y866" s="122"/>
    </row>
    <row r="867" spans="2:25">
      <c r="B867" t="s">
        <v>449</v>
      </c>
      <c r="C867" t="s">
        <v>64</v>
      </c>
      <c r="D867" t="s">
        <v>556</v>
      </c>
      <c r="E867" t="s">
        <v>137</v>
      </c>
      <c r="F867" s="122">
        <v>2</v>
      </c>
      <c r="G867" s="122">
        <v>83</v>
      </c>
      <c r="H867" s="122">
        <v>1891</v>
      </c>
      <c r="I867" s="122">
        <v>64810</v>
      </c>
      <c r="J867" s="122">
        <v>54008</v>
      </c>
      <c r="K867" s="122">
        <v>30</v>
      </c>
      <c r="L867" s="122">
        <v>4861</v>
      </c>
      <c r="M867" s="122">
        <v>1800</v>
      </c>
      <c r="N867" s="122">
        <v>2024</v>
      </c>
      <c r="O867">
        <v>750</v>
      </c>
      <c r="P867">
        <v>0</v>
      </c>
      <c r="Q867">
        <v>0</v>
      </c>
      <c r="R867" s="122">
        <v>6062</v>
      </c>
      <c r="S867" s="122">
        <v>2245</v>
      </c>
      <c r="T867">
        <v>0</v>
      </c>
      <c r="U867">
        <v>0</v>
      </c>
      <c r="V867" s="122">
        <v>58803</v>
      </c>
      <c r="W867" s="122">
        <f t="shared" si="26"/>
        <v>58803</v>
      </c>
      <c r="X867" s="122">
        <f t="shared" si="27"/>
        <v>77757</v>
      </c>
      <c r="Y867" s="122"/>
    </row>
    <row r="868" spans="2:25">
      <c r="B868" t="s">
        <v>450</v>
      </c>
      <c r="C868" t="s">
        <v>48</v>
      </c>
      <c r="F868">
        <v>62</v>
      </c>
      <c r="G868" s="122">
        <v>5174</v>
      </c>
      <c r="H868" s="122">
        <v>3136</v>
      </c>
      <c r="J868">
        <v>0</v>
      </c>
      <c r="K868" s="122"/>
      <c r="M868">
        <v>0</v>
      </c>
      <c r="N868" s="122">
        <v>63043</v>
      </c>
      <c r="O868" s="122">
        <v>23349</v>
      </c>
      <c r="P868" s="122">
        <v>69101</v>
      </c>
      <c r="Q868" s="122">
        <v>25593</v>
      </c>
      <c r="S868">
        <v>0</v>
      </c>
      <c r="T868">
        <v>0</v>
      </c>
      <c r="U868">
        <v>0</v>
      </c>
      <c r="V868" s="122">
        <v>48942</v>
      </c>
      <c r="W868" s="122">
        <f t="shared" si="26"/>
        <v>48942</v>
      </c>
      <c r="X868" s="122">
        <f t="shared" si="27"/>
        <v>132144</v>
      </c>
      <c r="Y868" s="122"/>
    </row>
    <row r="869" spans="2:25">
      <c r="B869" t="s">
        <v>450</v>
      </c>
      <c r="C869" t="s">
        <v>48</v>
      </c>
      <c r="D869" t="s">
        <v>407</v>
      </c>
      <c r="E869" t="s">
        <v>407</v>
      </c>
      <c r="F869">
        <v>221</v>
      </c>
      <c r="G869" s="122">
        <v>17507</v>
      </c>
      <c r="H869" s="122">
        <v>12473</v>
      </c>
      <c r="I869" s="122">
        <v>83526</v>
      </c>
      <c r="J869" s="122">
        <v>75933</v>
      </c>
      <c r="K869" s="122">
        <v>90</v>
      </c>
      <c r="L869">
        <v>-497</v>
      </c>
      <c r="M869">
        <v>-580</v>
      </c>
      <c r="N869" s="122">
        <v>213651</v>
      </c>
      <c r="O869" s="122">
        <v>79130</v>
      </c>
      <c r="P869" s="122">
        <v>160841</v>
      </c>
      <c r="Q869" s="122">
        <v>59571</v>
      </c>
      <c r="R869" s="122">
        <v>514142</v>
      </c>
      <c r="S869" s="122">
        <v>467402</v>
      </c>
      <c r="T869">
        <v>0</v>
      </c>
      <c r="U869">
        <v>0</v>
      </c>
      <c r="V869" s="122">
        <v>681455</v>
      </c>
      <c r="W869" s="122">
        <f t="shared" si="26"/>
        <v>682616</v>
      </c>
      <c r="X869" s="122">
        <f t="shared" si="27"/>
        <v>972657</v>
      </c>
      <c r="Y869" s="122"/>
    </row>
    <row r="870" spans="2:25">
      <c r="B870" t="s">
        <v>450</v>
      </c>
      <c r="C870" t="s">
        <v>50</v>
      </c>
      <c r="F870">
        <v>11</v>
      </c>
      <c r="G870" s="122">
        <v>1081</v>
      </c>
      <c r="H870" s="122">
        <v>1001</v>
      </c>
      <c r="J870">
        <v>0</v>
      </c>
      <c r="K870" s="122"/>
      <c r="M870">
        <v>0</v>
      </c>
      <c r="N870" s="122">
        <v>13168</v>
      </c>
      <c r="O870" s="122">
        <v>4877</v>
      </c>
      <c r="P870" s="122">
        <v>3861</v>
      </c>
      <c r="Q870" s="122">
        <v>1430</v>
      </c>
      <c r="S870">
        <v>0</v>
      </c>
      <c r="T870">
        <v>0</v>
      </c>
      <c r="U870">
        <v>0</v>
      </c>
      <c r="V870" s="122">
        <v>6307</v>
      </c>
      <c r="W870" s="122">
        <f t="shared" si="26"/>
        <v>6307</v>
      </c>
      <c r="X870" s="122">
        <f t="shared" si="27"/>
        <v>17029</v>
      </c>
      <c r="Y870" s="122"/>
    </row>
    <row r="871" spans="2:25">
      <c r="B871" t="s">
        <v>450</v>
      </c>
      <c r="C871" t="s">
        <v>50</v>
      </c>
      <c r="D871" t="s">
        <v>407</v>
      </c>
      <c r="E871" t="s">
        <v>407</v>
      </c>
      <c r="F871">
        <v>45</v>
      </c>
      <c r="G871" s="122">
        <v>3105</v>
      </c>
      <c r="H871" s="122">
        <v>4194</v>
      </c>
      <c r="I871" s="122">
        <v>98233</v>
      </c>
      <c r="J871" s="122">
        <v>89303</v>
      </c>
      <c r="K871" s="122">
        <v>90</v>
      </c>
      <c r="L871">
        <v>0</v>
      </c>
      <c r="M871">
        <v>0</v>
      </c>
      <c r="N871" s="122">
        <v>40885</v>
      </c>
      <c r="O871" s="122">
        <v>15142</v>
      </c>
      <c r="P871" s="122">
        <v>24085</v>
      </c>
      <c r="Q871" s="122">
        <v>8920</v>
      </c>
      <c r="R871" s="122">
        <v>126361</v>
      </c>
      <c r="S871" s="122">
        <v>114874</v>
      </c>
      <c r="T871">
        <v>0</v>
      </c>
      <c r="U871">
        <v>0</v>
      </c>
      <c r="V871" s="122">
        <v>228239</v>
      </c>
      <c r="W871" s="122">
        <f t="shared" si="26"/>
        <v>228239</v>
      </c>
      <c r="X871" s="122">
        <f t="shared" si="27"/>
        <v>289564</v>
      </c>
      <c r="Y871" s="122"/>
    </row>
    <row r="872" spans="2:25">
      <c r="B872" t="s">
        <v>450</v>
      </c>
      <c r="C872" t="s">
        <v>52</v>
      </c>
      <c r="F872" s="122">
        <v>10</v>
      </c>
      <c r="G872" s="122">
        <v>955</v>
      </c>
      <c r="H872" s="122">
        <v>1095</v>
      </c>
      <c r="J872" s="122">
        <v>0</v>
      </c>
      <c r="K872" s="122"/>
      <c r="M872">
        <v>0</v>
      </c>
      <c r="N872" s="122">
        <v>12434</v>
      </c>
      <c r="O872" s="122">
        <v>4605</v>
      </c>
      <c r="P872" s="122">
        <v>3159</v>
      </c>
      <c r="Q872" s="122">
        <v>1170</v>
      </c>
      <c r="S872">
        <v>0</v>
      </c>
      <c r="T872" s="122">
        <v>2215</v>
      </c>
      <c r="U872">
        <v>821</v>
      </c>
      <c r="V872" s="122">
        <v>6596</v>
      </c>
      <c r="W872" s="122">
        <f t="shared" si="26"/>
        <v>6596</v>
      </c>
      <c r="X872" s="122">
        <f t="shared" si="27"/>
        <v>17808</v>
      </c>
      <c r="Y872" s="122"/>
    </row>
    <row r="873" spans="2:25">
      <c r="B873" t="s">
        <v>450</v>
      </c>
      <c r="C873" t="s">
        <v>52</v>
      </c>
      <c r="D873" t="s">
        <v>407</v>
      </c>
      <c r="E873" t="s">
        <v>407</v>
      </c>
      <c r="F873" s="122">
        <v>178</v>
      </c>
      <c r="G873" s="122">
        <v>14508</v>
      </c>
      <c r="H873" s="122">
        <v>19939</v>
      </c>
      <c r="I873" s="122">
        <v>702589</v>
      </c>
      <c r="J873" s="122">
        <v>638717</v>
      </c>
      <c r="K873" s="122">
        <v>88</v>
      </c>
      <c r="L873" s="122">
        <v>16213</v>
      </c>
      <c r="M873" s="122">
        <v>10833</v>
      </c>
      <c r="N873" s="122">
        <v>258190</v>
      </c>
      <c r="O873" s="122">
        <v>95626</v>
      </c>
      <c r="P873" s="122">
        <v>87966</v>
      </c>
      <c r="Q873" s="122">
        <v>32580</v>
      </c>
      <c r="R873" s="122">
        <v>559275</v>
      </c>
      <c r="S873" s="122">
        <v>508431</v>
      </c>
      <c r="T873" s="122">
        <v>8111</v>
      </c>
      <c r="U873" s="122">
        <v>3004</v>
      </c>
      <c r="V873" s="122">
        <v>1289192</v>
      </c>
      <c r="W873" s="122">
        <f t="shared" si="26"/>
        <v>1289191</v>
      </c>
      <c r="X873" s="122">
        <f t="shared" si="27"/>
        <v>1632344</v>
      </c>
      <c r="Y873" s="122"/>
    </row>
    <row r="874" spans="2:25">
      <c r="B874" t="s">
        <v>450</v>
      </c>
      <c r="C874" t="s">
        <v>54</v>
      </c>
      <c r="F874">
        <v>6</v>
      </c>
      <c r="G874">
        <v>519</v>
      </c>
      <c r="H874" s="122">
        <v>834</v>
      </c>
      <c r="J874" s="122">
        <v>0</v>
      </c>
      <c r="K874" s="122"/>
      <c r="M874">
        <v>0</v>
      </c>
      <c r="N874" s="122">
        <v>6318</v>
      </c>
      <c r="O874" s="122">
        <v>2340</v>
      </c>
      <c r="P874" s="122">
        <v>2106</v>
      </c>
      <c r="Q874">
        <v>780</v>
      </c>
      <c r="S874">
        <v>0</v>
      </c>
      <c r="T874">
        <v>0</v>
      </c>
      <c r="U874">
        <v>0</v>
      </c>
      <c r="V874" s="122">
        <v>3120</v>
      </c>
      <c r="W874" s="122">
        <f t="shared" si="26"/>
        <v>3120</v>
      </c>
      <c r="X874" s="122">
        <f t="shared" si="27"/>
        <v>8424</v>
      </c>
      <c r="Y874" s="122"/>
    </row>
    <row r="875" spans="2:25">
      <c r="B875" t="s">
        <v>450</v>
      </c>
      <c r="C875" t="s">
        <v>54</v>
      </c>
      <c r="D875" t="s">
        <v>137</v>
      </c>
      <c r="E875" t="s">
        <v>137</v>
      </c>
      <c r="F875">
        <v>2</v>
      </c>
      <c r="G875" s="122">
        <v>132</v>
      </c>
      <c r="H875" s="122">
        <v>290</v>
      </c>
      <c r="I875" s="122">
        <v>1616</v>
      </c>
      <c r="J875" s="122">
        <v>598</v>
      </c>
      <c r="K875" s="122">
        <v>100</v>
      </c>
      <c r="L875">
        <v>-29</v>
      </c>
      <c r="M875">
        <v>-11</v>
      </c>
      <c r="N875" s="122">
        <v>2909</v>
      </c>
      <c r="O875" s="122">
        <v>1077</v>
      </c>
      <c r="P875">
        <v>0</v>
      </c>
      <c r="Q875">
        <v>0</v>
      </c>
      <c r="R875" s="122">
        <v>14670</v>
      </c>
      <c r="S875" s="122">
        <v>5433</v>
      </c>
      <c r="T875">
        <v>0</v>
      </c>
      <c r="U875">
        <v>0</v>
      </c>
      <c r="V875" s="122">
        <v>7099</v>
      </c>
      <c r="W875" s="122">
        <f t="shared" si="26"/>
        <v>7119</v>
      </c>
      <c r="X875" s="122">
        <f t="shared" si="27"/>
        <v>19224</v>
      </c>
      <c r="Y875" s="122"/>
    </row>
    <row r="876" spans="2:25">
      <c r="B876" t="s">
        <v>450</v>
      </c>
      <c r="C876" t="s">
        <v>54</v>
      </c>
      <c r="D876" t="s">
        <v>407</v>
      </c>
      <c r="E876" t="s">
        <v>407</v>
      </c>
      <c r="F876" s="122">
        <v>282</v>
      </c>
      <c r="G876" s="122">
        <v>24025</v>
      </c>
      <c r="H876" s="122">
        <v>39008</v>
      </c>
      <c r="I876" s="122">
        <v>1557283</v>
      </c>
      <c r="J876" s="122">
        <v>1415712</v>
      </c>
      <c r="K876" s="122">
        <v>86</v>
      </c>
      <c r="L876" s="122">
        <v>72486</v>
      </c>
      <c r="M876" s="122">
        <v>43477</v>
      </c>
      <c r="N876" s="122">
        <v>505093</v>
      </c>
      <c r="O876" s="122">
        <v>187072</v>
      </c>
      <c r="P876" s="122">
        <v>141548</v>
      </c>
      <c r="Q876" s="122">
        <v>52425</v>
      </c>
      <c r="R876" s="122">
        <v>1000435</v>
      </c>
      <c r="S876" s="122">
        <v>909487</v>
      </c>
      <c r="T876" s="122">
        <v>36974</v>
      </c>
      <c r="U876" s="122">
        <v>13694</v>
      </c>
      <c r="V876" s="122">
        <v>2621866</v>
      </c>
      <c r="W876" s="122">
        <f t="shared" si="26"/>
        <v>2621867</v>
      </c>
      <c r="X876" s="122">
        <f t="shared" si="27"/>
        <v>3313819</v>
      </c>
      <c r="Y876" s="122"/>
    </row>
    <row r="877" spans="2:25">
      <c r="B877" t="s">
        <v>450</v>
      </c>
      <c r="C877" t="s">
        <v>56</v>
      </c>
      <c r="F877" s="122">
        <v>3</v>
      </c>
      <c r="G877" s="122">
        <v>201</v>
      </c>
      <c r="H877" s="122">
        <v>483</v>
      </c>
      <c r="J877" s="122">
        <v>0</v>
      </c>
      <c r="K877" s="122"/>
      <c r="M877">
        <v>0</v>
      </c>
      <c r="N877" s="122">
        <v>2443</v>
      </c>
      <c r="O877">
        <v>905</v>
      </c>
      <c r="P877" s="122">
        <v>1053</v>
      </c>
      <c r="Q877">
        <v>390</v>
      </c>
      <c r="S877">
        <v>0</v>
      </c>
      <c r="T877">
        <v>0</v>
      </c>
      <c r="U877">
        <v>0</v>
      </c>
      <c r="V877" s="122">
        <v>1295</v>
      </c>
      <c r="W877" s="122">
        <f t="shared" si="26"/>
        <v>1295</v>
      </c>
      <c r="X877" s="122">
        <f t="shared" si="27"/>
        <v>3496</v>
      </c>
      <c r="Y877" s="122"/>
    </row>
    <row r="878" spans="2:25">
      <c r="B878" t="s">
        <v>450</v>
      </c>
      <c r="C878" t="s">
        <v>56</v>
      </c>
      <c r="D878" t="s">
        <v>137</v>
      </c>
      <c r="E878" t="s">
        <v>137</v>
      </c>
      <c r="F878" s="122">
        <v>99</v>
      </c>
      <c r="G878" s="122">
        <v>6502</v>
      </c>
      <c r="H878" s="122">
        <v>19440</v>
      </c>
      <c r="I878" s="122">
        <v>469341</v>
      </c>
      <c r="J878" s="122">
        <v>173830</v>
      </c>
      <c r="K878" s="122">
        <v>113</v>
      </c>
      <c r="L878" s="122">
        <v>65979</v>
      </c>
      <c r="M878" s="122">
        <v>26254</v>
      </c>
      <c r="N878" s="122">
        <v>126900</v>
      </c>
      <c r="O878" s="122">
        <v>47000</v>
      </c>
      <c r="P878" s="122">
        <v>1404</v>
      </c>
      <c r="Q878">
        <v>520</v>
      </c>
      <c r="R878" s="122">
        <v>612409</v>
      </c>
      <c r="S878" s="122">
        <v>226818</v>
      </c>
      <c r="T878">
        <v>0</v>
      </c>
      <c r="U878">
        <v>0</v>
      </c>
      <c r="V878" s="122">
        <v>474422</v>
      </c>
      <c r="W878" s="122">
        <f t="shared" si="26"/>
        <v>474422</v>
      </c>
      <c r="X878" s="122">
        <f t="shared" si="27"/>
        <v>1276033</v>
      </c>
      <c r="Y878" s="122"/>
    </row>
    <row r="879" spans="2:25">
      <c r="B879" t="s">
        <v>450</v>
      </c>
      <c r="C879" t="s">
        <v>56</v>
      </c>
      <c r="D879" t="s">
        <v>406</v>
      </c>
      <c r="E879" t="s">
        <v>406</v>
      </c>
      <c r="F879" s="122">
        <v>1</v>
      </c>
      <c r="G879" s="122">
        <v>110</v>
      </c>
      <c r="H879" s="122">
        <v>225</v>
      </c>
      <c r="I879" s="122">
        <v>16326</v>
      </c>
      <c r="J879" s="122">
        <v>14842</v>
      </c>
      <c r="K879" s="122">
        <v>95</v>
      </c>
      <c r="L879" s="122">
        <v>2886</v>
      </c>
      <c r="M879" s="122">
        <v>2405</v>
      </c>
      <c r="N879" s="122">
        <v>1446</v>
      </c>
      <c r="O879">
        <v>536</v>
      </c>
      <c r="P879">
        <v>621</v>
      </c>
      <c r="Q879">
        <v>230</v>
      </c>
      <c r="R879" s="122">
        <v>3430</v>
      </c>
      <c r="S879" s="122">
        <v>3118</v>
      </c>
      <c r="T879">
        <v>0</v>
      </c>
      <c r="U879">
        <v>0</v>
      </c>
      <c r="V879" s="122">
        <v>21131</v>
      </c>
      <c r="W879" s="122">
        <f t="shared" si="26"/>
        <v>21131</v>
      </c>
      <c r="X879" s="122">
        <f t="shared" si="27"/>
        <v>24709</v>
      </c>
      <c r="Y879" s="122"/>
    </row>
    <row r="880" spans="2:25">
      <c r="B880" t="s">
        <v>450</v>
      </c>
      <c r="C880" t="s">
        <v>56</v>
      </c>
      <c r="D880" t="s">
        <v>407</v>
      </c>
      <c r="E880" t="s">
        <v>137</v>
      </c>
      <c r="F880">
        <v>3</v>
      </c>
      <c r="G880">
        <v>280</v>
      </c>
      <c r="H880" s="122">
        <v>517</v>
      </c>
      <c r="I880" s="122">
        <v>14680</v>
      </c>
      <c r="J880" s="122">
        <v>13345</v>
      </c>
      <c r="K880" s="122">
        <v>75</v>
      </c>
      <c r="L880" s="122">
        <v>1074</v>
      </c>
      <c r="M880" s="122">
        <v>1383</v>
      </c>
      <c r="N880" s="122">
        <v>4693</v>
      </c>
      <c r="O880" s="122">
        <v>1738</v>
      </c>
      <c r="P880" s="122">
        <v>1418</v>
      </c>
      <c r="Q880">
        <v>525</v>
      </c>
      <c r="R880" s="122">
        <v>25851</v>
      </c>
      <c r="S880" s="122">
        <v>9575</v>
      </c>
      <c r="T880">
        <v>0</v>
      </c>
      <c r="U880">
        <v>0</v>
      </c>
      <c r="V880" s="122">
        <v>26566</v>
      </c>
      <c r="W880" s="122">
        <f t="shared" si="26"/>
        <v>26566</v>
      </c>
      <c r="X880" s="122">
        <f t="shared" si="27"/>
        <v>47716</v>
      </c>
      <c r="Y880" s="122"/>
    </row>
    <row r="881" spans="2:25">
      <c r="B881" t="s">
        <v>450</v>
      </c>
      <c r="C881" t="s">
        <v>56</v>
      </c>
      <c r="D881" t="s">
        <v>407</v>
      </c>
      <c r="E881" t="s">
        <v>407</v>
      </c>
      <c r="F881">
        <v>425</v>
      </c>
      <c r="G881" s="122">
        <v>33375</v>
      </c>
      <c r="H881" s="122">
        <v>76502</v>
      </c>
      <c r="I881" s="122">
        <v>2813753</v>
      </c>
      <c r="J881" s="122">
        <v>2557957</v>
      </c>
      <c r="K881" s="122">
        <v>81</v>
      </c>
      <c r="L881" s="122">
        <v>311670</v>
      </c>
      <c r="M881" s="122">
        <v>230596</v>
      </c>
      <c r="N881" s="122">
        <v>719254</v>
      </c>
      <c r="O881" s="122">
        <v>266390</v>
      </c>
      <c r="P881" s="122">
        <v>198869</v>
      </c>
      <c r="Q881" s="122">
        <v>73655</v>
      </c>
      <c r="R881" s="122">
        <v>1739420</v>
      </c>
      <c r="S881" s="122">
        <v>1581291</v>
      </c>
      <c r="T881" s="122">
        <v>269576</v>
      </c>
      <c r="U881" s="122">
        <v>99843</v>
      </c>
      <c r="V881" s="122">
        <v>4809732</v>
      </c>
      <c r="W881" s="122">
        <f t="shared" si="26"/>
        <v>4809732</v>
      </c>
      <c r="X881" s="122">
        <f t="shared" si="27"/>
        <v>6052542</v>
      </c>
      <c r="Y881" s="122"/>
    </row>
    <row r="882" spans="2:25">
      <c r="B882" t="s">
        <v>450</v>
      </c>
      <c r="C882" t="s">
        <v>58</v>
      </c>
      <c r="D882" t="s">
        <v>137</v>
      </c>
      <c r="E882" t="s">
        <v>137</v>
      </c>
      <c r="F882">
        <v>123</v>
      </c>
      <c r="G882" s="122">
        <v>7479</v>
      </c>
      <c r="H882" s="122">
        <v>31908</v>
      </c>
      <c r="I882" s="122">
        <v>931093</v>
      </c>
      <c r="J882" s="122">
        <v>344849</v>
      </c>
      <c r="K882" s="122">
        <v>147</v>
      </c>
      <c r="L882" s="122">
        <v>119475</v>
      </c>
      <c r="M882" s="122">
        <v>46375</v>
      </c>
      <c r="N882" s="122">
        <v>137549</v>
      </c>
      <c r="O882" s="122">
        <v>50944</v>
      </c>
      <c r="P882" s="122">
        <v>7142</v>
      </c>
      <c r="Q882" s="122">
        <v>2645</v>
      </c>
      <c r="R882" s="122">
        <v>761095</v>
      </c>
      <c r="S882" s="122">
        <v>281887</v>
      </c>
      <c r="T882">
        <v>0</v>
      </c>
      <c r="U882">
        <v>0</v>
      </c>
      <c r="V882" s="122">
        <v>726700</v>
      </c>
      <c r="W882" s="122">
        <f t="shared" si="26"/>
        <v>726700</v>
      </c>
      <c r="X882" s="122">
        <f t="shared" si="27"/>
        <v>1956354</v>
      </c>
      <c r="Y882" s="122"/>
    </row>
    <row r="883" spans="2:25">
      <c r="B883" t="s">
        <v>450</v>
      </c>
      <c r="C883" t="s">
        <v>58</v>
      </c>
      <c r="D883" t="s">
        <v>406</v>
      </c>
      <c r="E883" t="s">
        <v>406</v>
      </c>
      <c r="F883" s="122">
        <v>2</v>
      </c>
      <c r="G883" s="122">
        <v>317</v>
      </c>
      <c r="H883" s="122">
        <v>572</v>
      </c>
      <c r="I883" s="122">
        <v>59033</v>
      </c>
      <c r="J883" s="122">
        <v>53667</v>
      </c>
      <c r="K883" s="122">
        <v>82</v>
      </c>
      <c r="L883" s="122">
        <v>10405</v>
      </c>
      <c r="M883" s="122">
        <v>9459</v>
      </c>
      <c r="N883" s="122">
        <v>7694</v>
      </c>
      <c r="O883" s="122">
        <v>2850</v>
      </c>
      <c r="P883" s="122">
        <v>1242</v>
      </c>
      <c r="Q883">
        <v>460</v>
      </c>
      <c r="R883" s="122">
        <v>9649</v>
      </c>
      <c r="S883" s="122">
        <v>8772</v>
      </c>
      <c r="T883" s="122">
        <v>2651</v>
      </c>
      <c r="U883">
        <v>982</v>
      </c>
      <c r="V883" s="122">
        <v>76189</v>
      </c>
      <c r="W883" s="122">
        <f t="shared" si="26"/>
        <v>76190</v>
      </c>
      <c r="X883" s="122">
        <f t="shared" si="27"/>
        <v>90674</v>
      </c>
      <c r="Y883" s="122"/>
    </row>
    <row r="884" spans="2:25">
      <c r="B884" t="s">
        <v>450</v>
      </c>
      <c r="C884" t="s">
        <v>58</v>
      </c>
      <c r="D884" t="s">
        <v>407</v>
      </c>
      <c r="E884" t="s">
        <v>407</v>
      </c>
      <c r="F884" s="122">
        <v>75</v>
      </c>
      <c r="G884" s="122">
        <v>5545</v>
      </c>
      <c r="H884" s="122">
        <v>19184</v>
      </c>
      <c r="I884" s="122">
        <v>710924</v>
      </c>
      <c r="J884" s="122">
        <v>646295</v>
      </c>
      <c r="K884" s="122">
        <v>74</v>
      </c>
      <c r="L884" s="122">
        <v>150224</v>
      </c>
      <c r="M884" s="122">
        <v>131896</v>
      </c>
      <c r="N884" s="122">
        <v>109220</v>
      </c>
      <c r="O884" s="122">
        <v>40452</v>
      </c>
      <c r="P884" s="122">
        <v>34223</v>
      </c>
      <c r="Q884" s="122">
        <v>12675</v>
      </c>
      <c r="R884" s="122">
        <v>340848</v>
      </c>
      <c r="S884" s="122">
        <v>309862</v>
      </c>
      <c r="T884" s="122">
        <v>97260</v>
      </c>
      <c r="U884" s="122">
        <v>36022</v>
      </c>
      <c r="V884" s="122">
        <v>1177202</v>
      </c>
      <c r="W884" s="122">
        <f t="shared" si="26"/>
        <v>1177202</v>
      </c>
      <c r="X884" s="122">
        <f t="shared" si="27"/>
        <v>1442699</v>
      </c>
      <c r="Y884" s="122"/>
    </row>
    <row r="885" spans="2:25">
      <c r="B885" t="s">
        <v>450</v>
      </c>
      <c r="C885" t="s">
        <v>60</v>
      </c>
      <c r="D885" t="s">
        <v>137</v>
      </c>
      <c r="E885" t="s">
        <v>137</v>
      </c>
      <c r="F885">
        <v>36</v>
      </c>
      <c r="G885" s="122">
        <v>2093</v>
      </c>
      <c r="H885" s="122">
        <v>12078</v>
      </c>
      <c r="I885" s="122">
        <v>395331</v>
      </c>
      <c r="J885" s="122">
        <v>146419</v>
      </c>
      <c r="K885" s="122">
        <v>100</v>
      </c>
      <c r="L885" s="122">
        <v>49574</v>
      </c>
      <c r="M885" s="122">
        <v>23407</v>
      </c>
      <c r="N885" s="122">
        <v>43841</v>
      </c>
      <c r="O885" s="122">
        <v>16237</v>
      </c>
      <c r="P885">
        <v>351</v>
      </c>
      <c r="Q885">
        <v>130</v>
      </c>
      <c r="R885" s="122">
        <v>208569</v>
      </c>
      <c r="S885" s="122">
        <v>77248</v>
      </c>
      <c r="T885">
        <v>0</v>
      </c>
      <c r="U885">
        <v>0</v>
      </c>
      <c r="V885" s="122">
        <v>263441</v>
      </c>
      <c r="W885" s="122">
        <f t="shared" si="26"/>
        <v>263441</v>
      </c>
      <c r="X885" s="122">
        <f t="shared" si="27"/>
        <v>697666</v>
      </c>
      <c r="Y885" s="122"/>
    </row>
    <row r="886" spans="2:25">
      <c r="B886" t="s">
        <v>450</v>
      </c>
      <c r="C886" t="s">
        <v>60</v>
      </c>
      <c r="D886" t="s">
        <v>407</v>
      </c>
      <c r="E886" t="s">
        <v>407</v>
      </c>
      <c r="F886">
        <v>17</v>
      </c>
      <c r="G886" s="122">
        <v>1069</v>
      </c>
      <c r="H886" s="122">
        <v>5808</v>
      </c>
      <c r="I886" s="122">
        <v>215436</v>
      </c>
      <c r="J886" s="122">
        <v>195851</v>
      </c>
      <c r="K886" s="122">
        <v>75</v>
      </c>
      <c r="L886" s="122">
        <v>28348</v>
      </c>
      <c r="M886" s="122">
        <v>24147</v>
      </c>
      <c r="N886" s="122">
        <v>22971</v>
      </c>
      <c r="O886" s="122">
        <v>8508</v>
      </c>
      <c r="P886" s="122">
        <v>7668</v>
      </c>
      <c r="Q886" s="122">
        <v>2840</v>
      </c>
      <c r="R886" s="122">
        <v>72488</v>
      </c>
      <c r="S886" s="122">
        <v>65898</v>
      </c>
      <c r="T886" s="122">
        <v>20129</v>
      </c>
      <c r="U886" s="122">
        <v>7455</v>
      </c>
      <c r="V886" s="122">
        <v>304700</v>
      </c>
      <c r="W886" s="122">
        <f t="shared" si="26"/>
        <v>304699</v>
      </c>
      <c r="X886" s="122">
        <f t="shared" si="27"/>
        <v>367040</v>
      </c>
      <c r="Y886" s="122"/>
    </row>
    <row r="887" spans="2:25">
      <c r="B887" t="s">
        <v>450</v>
      </c>
      <c r="C887" t="s">
        <v>62</v>
      </c>
      <c r="D887" t="s">
        <v>137</v>
      </c>
      <c r="E887" t="s">
        <v>137</v>
      </c>
      <c r="F887">
        <v>17</v>
      </c>
      <c r="G887" s="122">
        <v>1079</v>
      </c>
      <c r="H887" s="122">
        <v>6940</v>
      </c>
      <c r="I887" s="122">
        <v>267699</v>
      </c>
      <c r="J887" s="122">
        <v>99148</v>
      </c>
      <c r="K887" s="122">
        <v>100</v>
      </c>
      <c r="L887" s="122">
        <v>34316</v>
      </c>
      <c r="M887" s="122">
        <v>18099</v>
      </c>
      <c r="N887" s="122">
        <v>24016</v>
      </c>
      <c r="O887" s="122">
        <v>8895</v>
      </c>
      <c r="P887">
        <v>0</v>
      </c>
      <c r="Q887">
        <v>0</v>
      </c>
      <c r="R887" s="122">
        <v>112634</v>
      </c>
      <c r="S887" s="122">
        <v>41716</v>
      </c>
      <c r="T887">
        <v>0</v>
      </c>
      <c r="U887">
        <v>0</v>
      </c>
      <c r="V887" s="122">
        <v>167857</v>
      </c>
      <c r="W887" s="122">
        <f t="shared" si="26"/>
        <v>167858</v>
      </c>
      <c r="X887" s="122">
        <f t="shared" si="27"/>
        <v>438665</v>
      </c>
      <c r="Y887" s="122"/>
    </row>
    <row r="888" spans="2:25">
      <c r="B888" t="s">
        <v>450</v>
      </c>
      <c r="C888" t="s">
        <v>62</v>
      </c>
      <c r="D888" t="s">
        <v>407</v>
      </c>
      <c r="E888" t="s">
        <v>407</v>
      </c>
      <c r="F888">
        <v>6</v>
      </c>
      <c r="G888" s="122">
        <v>353</v>
      </c>
      <c r="H888" s="122">
        <v>2523</v>
      </c>
      <c r="I888" s="122">
        <v>88465</v>
      </c>
      <c r="J888" s="122">
        <v>80423</v>
      </c>
      <c r="K888" s="122">
        <v>72</v>
      </c>
      <c r="L888" s="122">
        <v>8753</v>
      </c>
      <c r="M888" s="122">
        <v>6510</v>
      </c>
      <c r="N888" s="122">
        <v>7804</v>
      </c>
      <c r="O888" s="122">
        <v>2890</v>
      </c>
      <c r="P888" s="122">
        <v>2835</v>
      </c>
      <c r="Q888" s="122">
        <v>1050</v>
      </c>
      <c r="R888" s="122">
        <v>31137</v>
      </c>
      <c r="S888" s="122">
        <v>28307</v>
      </c>
      <c r="T888" s="122">
        <v>9086</v>
      </c>
      <c r="U888" s="122">
        <v>3365</v>
      </c>
      <c r="V888" s="122">
        <v>122545</v>
      </c>
      <c r="W888" s="122">
        <f t="shared" si="26"/>
        <v>122545</v>
      </c>
      <c r="X888" s="122">
        <f t="shared" si="27"/>
        <v>148080</v>
      </c>
      <c r="Y888" s="122"/>
    </row>
    <row r="889" spans="2:25">
      <c r="B889" t="s">
        <v>450</v>
      </c>
      <c r="C889" t="s">
        <v>62</v>
      </c>
      <c r="D889" t="s">
        <v>556</v>
      </c>
      <c r="E889" t="s">
        <v>137</v>
      </c>
      <c r="F889" s="122">
        <v>1</v>
      </c>
      <c r="G889" s="122">
        <v>44</v>
      </c>
      <c r="H889" s="122">
        <v>418</v>
      </c>
      <c r="I889" s="122">
        <v>11321</v>
      </c>
      <c r="J889" s="122">
        <v>9434</v>
      </c>
      <c r="K889" s="122">
        <v>30</v>
      </c>
      <c r="L889">
        <v>849</v>
      </c>
      <c r="M889">
        <v>314</v>
      </c>
      <c r="N889" s="122">
        <v>1064</v>
      </c>
      <c r="O889">
        <v>394</v>
      </c>
      <c r="P889">
        <v>0</v>
      </c>
      <c r="Q889">
        <v>0</v>
      </c>
      <c r="R889" s="122">
        <v>5012</v>
      </c>
      <c r="S889" s="122">
        <v>1856</v>
      </c>
      <c r="T889">
        <v>0</v>
      </c>
      <c r="U889">
        <v>0</v>
      </c>
      <c r="V889" s="122">
        <v>11999</v>
      </c>
      <c r="W889" s="122">
        <f t="shared" si="26"/>
        <v>11998</v>
      </c>
      <c r="X889" s="122">
        <f t="shared" si="27"/>
        <v>18246</v>
      </c>
      <c r="Y889" s="122"/>
    </row>
    <row r="890" spans="2:25">
      <c r="B890" t="s">
        <v>450</v>
      </c>
      <c r="C890" t="s">
        <v>64</v>
      </c>
      <c r="D890" t="s">
        <v>137</v>
      </c>
      <c r="E890" t="s">
        <v>137</v>
      </c>
      <c r="F890">
        <v>3</v>
      </c>
      <c r="G890" s="122">
        <v>151</v>
      </c>
      <c r="H890" s="122">
        <v>1474</v>
      </c>
      <c r="I890" s="122">
        <v>50069</v>
      </c>
      <c r="J890" s="122">
        <v>18544</v>
      </c>
      <c r="K890" s="122">
        <v>100</v>
      </c>
      <c r="L890" s="122">
        <v>5477</v>
      </c>
      <c r="M890" s="122">
        <v>3264</v>
      </c>
      <c r="N890" s="122">
        <v>2270</v>
      </c>
      <c r="O890">
        <v>841</v>
      </c>
      <c r="P890">
        <v>0</v>
      </c>
      <c r="Q890">
        <v>0</v>
      </c>
      <c r="R890" s="122">
        <v>16615</v>
      </c>
      <c r="S890" s="122">
        <v>6154</v>
      </c>
      <c r="T890">
        <v>0</v>
      </c>
      <c r="U890">
        <v>0</v>
      </c>
      <c r="V890" s="122">
        <v>28802</v>
      </c>
      <c r="W890" s="122">
        <f t="shared" si="26"/>
        <v>28803</v>
      </c>
      <c r="X890" s="122">
        <f t="shared" si="27"/>
        <v>74431</v>
      </c>
      <c r="Y890" s="122"/>
    </row>
    <row r="891" spans="2:25">
      <c r="B891" t="s">
        <v>450</v>
      </c>
      <c r="C891" t="s">
        <v>64</v>
      </c>
      <c r="D891" t="s">
        <v>407</v>
      </c>
      <c r="E891" t="s">
        <v>407</v>
      </c>
      <c r="F891">
        <v>6</v>
      </c>
      <c r="G891">
        <v>318</v>
      </c>
      <c r="H891" s="122">
        <v>3075</v>
      </c>
      <c r="I891" s="122">
        <v>115402</v>
      </c>
      <c r="J891" s="122">
        <v>104911</v>
      </c>
      <c r="K891" s="122">
        <v>77</v>
      </c>
      <c r="L891" s="122">
        <v>9492</v>
      </c>
      <c r="M891" s="122">
        <v>6496</v>
      </c>
      <c r="N891" s="122">
        <v>6391</v>
      </c>
      <c r="O891" s="122">
        <v>2367</v>
      </c>
      <c r="P891" s="122">
        <v>2835</v>
      </c>
      <c r="Q891" s="122">
        <v>1050</v>
      </c>
      <c r="R891" s="122">
        <v>22963</v>
      </c>
      <c r="S891" s="122">
        <v>20875</v>
      </c>
      <c r="T891" s="122">
        <v>4546</v>
      </c>
      <c r="U891" s="122">
        <v>1684</v>
      </c>
      <c r="V891" s="122">
        <v>137384</v>
      </c>
      <c r="W891" s="122">
        <f t="shared" si="26"/>
        <v>137383</v>
      </c>
      <c r="X891" s="122">
        <f t="shared" si="27"/>
        <v>161629</v>
      </c>
      <c r="Y891" s="122"/>
    </row>
    <row r="892" spans="2:25">
      <c r="B892" t="s">
        <v>450</v>
      </c>
      <c r="C892" t="s">
        <v>64</v>
      </c>
      <c r="D892" t="s">
        <v>556</v>
      </c>
      <c r="E892" t="s">
        <v>137</v>
      </c>
      <c r="F892">
        <v>1</v>
      </c>
      <c r="G892" s="122">
        <v>38</v>
      </c>
      <c r="H892" s="122">
        <v>483</v>
      </c>
      <c r="I892" s="122">
        <v>11120</v>
      </c>
      <c r="J892" s="122">
        <v>9267</v>
      </c>
      <c r="K892" s="122">
        <v>30</v>
      </c>
      <c r="L892">
        <v>834</v>
      </c>
      <c r="M892">
        <v>309</v>
      </c>
      <c r="N892">
        <v>931</v>
      </c>
      <c r="O892">
        <v>345</v>
      </c>
      <c r="P892">
        <v>0</v>
      </c>
      <c r="Q892">
        <v>0</v>
      </c>
      <c r="R892" s="122">
        <v>5577</v>
      </c>
      <c r="S892" s="122">
        <v>2065</v>
      </c>
      <c r="T892">
        <v>0</v>
      </c>
      <c r="U892">
        <v>0</v>
      </c>
      <c r="V892" s="122">
        <v>11986</v>
      </c>
      <c r="W892" s="122">
        <f t="shared" si="26"/>
        <v>11986</v>
      </c>
      <c r="X892" s="122">
        <f t="shared" si="27"/>
        <v>18462</v>
      </c>
      <c r="Y892" s="122"/>
    </row>
    <row r="893" spans="2:25">
      <c r="B893" t="s">
        <v>450</v>
      </c>
      <c r="C893" t="s">
        <v>64</v>
      </c>
      <c r="D893" t="s">
        <v>426</v>
      </c>
      <c r="E893" t="s">
        <v>137</v>
      </c>
      <c r="F893" s="122">
        <v>2</v>
      </c>
      <c r="G893" s="122">
        <v>71</v>
      </c>
      <c r="H893" s="122">
        <v>1134</v>
      </c>
      <c r="I893" s="122">
        <v>26275</v>
      </c>
      <c r="J893" s="122">
        <v>23887</v>
      </c>
      <c r="K893" s="122">
        <v>30</v>
      </c>
      <c r="L893" s="122">
        <v>2150</v>
      </c>
      <c r="M893">
        <v>796</v>
      </c>
      <c r="N893" s="122">
        <v>1730</v>
      </c>
      <c r="O893">
        <v>641</v>
      </c>
      <c r="P893">
        <v>0</v>
      </c>
      <c r="Q893">
        <v>0</v>
      </c>
      <c r="R893" s="122">
        <v>10098</v>
      </c>
      <c r="S893" s="122">
        <v>3740</v>
      </c>
      <c r="T893">
        <v>0</v>
      </c>
      <c r="U893">
        <v>0</v>
      </c>
      <c r="V893" s="122">
        <v>29064</v>
      </c>
      <c r="W893" s="122">
        <f t="shared" si="26"/>
        <v>29064</v>
      </c>
      <c r="X893" s="122">
        <f t="shared" si="27"/>
        <v>40253</v>
      </c>
      <c r="Y893" s="122"/>
    </row>
    <row r="894" spans="2:25">
      <c r="B894" t="s">
        <v>451</v>
      </c>
      <c r="C894" t="s">
        <v>48</v>
      </c>
      <c r="F894">
        <v>368</v>
      </c>
      <c r="G894" s="122">
        <v>32199</v>
      </c>
      <c r="H894" s="122">
        <v>20148</v>
      </c>
      <c r="J894" s="122">
        <v>0</v>
      </c>
      <c r="K894" s="122"/>
      <c r="M894">
        <v>0</v>
      </c>
      <c r="N894" s="122">
        <v>425485</v>
      </c>
      <c r="O894" s="122">
        <v>157587</v>
      </c>
      <c r="P894" s="122">
        <v>238288</v>
      </c>
      <c r="Q894" s="122">
        <v>88255</v>
      </c>
      <c r="S894">
        <v>0</v>
      </c>
      <c r="T894">
        <v>0</v>
      </c>
      <c r="U894">
        <v>0</v>
      </c>
      <c r="V894" s="122">
        <v>245842</v>
      </c>
      <c r="W894" s="122">
        <f t="shared" si="26"/>
        <v>245842</v>
      </c>
      <c r="X894" s="122">
        <f t="shared" si="27"/>
        <v>663773</v>
      </c>
      <c r="Y894" s="122"/>
    </row>
    <row r="895" spans="2:25">
      <c r="B895" t="s">
        <v>451</v>
      </c>
      <c r="C895" t="s">
        <v>48</v>
      </c>
      <c r="D895" t="s">
        <v>137</v>
      </c>
      <c r="E895" t="s">
        <v>137</v>
      </c>
      <c r="F895">
        <v>19</v>
      </c>
      <c r="G895" s="122">
        <v>1913</v>
      </c>
      <c r="H895" s="122">
        <v>1090</v>
      </c>
      <c r="I895" s="122">
        <v>3413</v>
      </c>
      <c r="J895" s="122">
        <v>1264</v>
      </c>
      <c r="K895" s="122">
        <v>477</v>
      </c>
      <c r="L895" s="122">
        <v>1756</v>
      </c>
      <c r="M895">
        <v>650</v>
      </c>
      <c r="N895" s="122">
        <v>23307</v>
      </c>
      <c r="O895" s="122">
        <v>8632</v>
      </c>
      <c r="P895" s="122">
        <v>24425</v>
      </c>
      <c r="Q895" s="122">
        <v>9046</v>
      </c>
      <c r="R895" s="122">
        <v>55051</v>
      </c>
      <c r="S895" s="122">
        <v>20389</v>
      </c>
      <c r="T895">
        <v>0</v>
      </c>
      <c r="U895">
        <v>0</v>
      </c>
      <c r="V895" s="122">
        <v>39982</v>
      </c>
      <c r="W895" s="122">
        <f t="shared" si="26"/>
        <v>39981</v>
      </c>
      <c r="X895" s="122">
        <f t="shared" si="27"/>
        <v>107952</v>
      </c>
      <c r="Y895" s="122"/>
    </row>
    <row r="896" spans="2:25">
      <c r="B896" t="s">
        <v>451</v>
      </c>
      <c r="C896" t="s">
        <v>48</v>
      </c>
      <c r="D896" t="s">
        <v>407</v>
      </c>
      <c r="E896" t="s">
        <v>407</v>
      </c>
      <c r="F896">
        <v>98</v>
      </c>
      <c r="G896" s="122">
        <v>9285</v>
      </c>
      <c r="H896" s="122">
        <v>4908</v>
      </c>
      <c r="I896" s="122">
        <v>-86641</v>
      </c>
      <c r="J896" s="122">
        <v>-78764</v>
      </c>
      <c r="K896" s="122">
        <v>90</v>
      </c>
      <c r="L896">
        <v>0</v>
      </c>
      <c r="M896">
        <v>0</v>
      </c>
      <c r="N896" s="122">
        <v>119585</v>
      </c>
      <c r="O896" s="122">
        <v>44291</v>
      </c>
      <c r="P896" s="122">
        <v>126719</v>
      </c>
      <c r="Q896" s="122">
        <v>46933</v>
      </c>
      <c r="R896" s="122">
        <v>302415</v>
      </c>
      <c r="S896" s="122">
        <v>274922</v>
      </c>
      <c r="T896">
        <v>0</v>
      </c>
      <c r="U896">
        <v>0</v>
      </c>
      <c r="V896" s="122">
        <v>287382</v>
      </c>
      <c r="W896" s="122">
        <f t="shared" si="26"/>
        <v>444910</v>
      </c>
      <c r="X896" s="122">
        <f t="shared" si="27"/>
        <v>635360</v>
      </c>
      <c r="Y896" s="122"/>
    </row>
    <row r="897" spans="2:25">
      <c r="B897" t="s">
        <v>451</v>
      </c>
      <c r="C897" t="s">
        <v>50</v>
      </c>
      <c r="F897">
        <v>29</v>
      </c>
      <c r="G897" s="122">
        <v>2483</v>
      </c>
      <c r="H897" s="122">
        <v>2327</v>
      </c>
      <c r="J897">
        <v>0</v>
      </c>
      <c r="K897" s="122"/>
      <c r="M897">
        <v>0</v>
      </c>
      <c r="N897" s="122">
        <v>30576</v>
      </c>
      <c r="O897" s="122">
        <v>11325</v>
      </c>
      <c r="P897" s="122">
        <v>4563</v>
      </c>
      <c r="Q897" s="122">
        <v>1690</v>
      </c>
      <c r="S897">
        <v>0</v>
      </c>
      <c r="T897">
        <v>0</v>
      </c>
      <c r="U897">
        <v>0</v>
      </c>
      <c r="V897" s="122">
        <v>13015</v>
      </c>
      <c r="W897" s="122">
        <f t="shared" si="26"/>
        <v>13015</v>
      </c>
      <c r="X897" s="122">
        <f t="shared" si="27"/>
        <v>35139</v>
      </c>
      <c r="Y897" s="122"/>
    </row>
    <row r="898" spans="2:25">
      <c r="B898" t="s">
        <v>451</v>
      </c>
      <c r="C898" t="s">
        <v>50</v>
      </c>
      <c r="D898" t="s">
        <v>407</v>
      </c>
      <c r="E898" t="s">
        <v>407</v>
      </c>
      <c r="F898">
        <v>140</v>
      </c>
      <c r="G898" s="122">
        <v>12367</v>
      </c>
      <c r="H898" s="122">
        <v>12741</v>
      </c>
      <c r="I898" s="122">
        <v>264544</v>
      </c>
      <c r="J898" s="122">
        <v>240494</v>
      </c>
      <c r="K898" s="122">
        <v>89</v>
      </c>
      <c r="L898" s="122">
        <v>40640</v>
      </c>
      <c r="M898" s="122">
        <v>15773</v>
      </c>
      <c r="N898" s="122">
        <v>190030</v>
      </c>
      <c r="O898" s="122">
        <v>70381</v>
      </c>
      <c r="P898" s="122">
        <v>138180</v>
      </c>
      <c r="Q898" s="122">
        <v>51178</v>
      </c>
      <c r="R898" s="122">
        <v>489760</v>
      </c>
      <c r="S898" s="122">
        <v>445236</v>
      </c>
      <c r="T898">
        <v>0</v>
      </c>
      <c r="U898">
        <v>0</v>
      </c>
      <c r="V898" s="122">
        <v>823063</v>
      </c>
      <c r="W898" s="122">
        <f t="shared" si="26"/>
        <v>823062</v>
      </c>
      <c r="X898" s="122">
        <f t="shared" si="27"/>
        <v>1123154</v>
      </c>
      <c r="Y898" s="122"/>
    </row>
    <row r="899" spans="2:25">
      <c r="B899" t="s">
        <v>451</v>
      </c>
      <c r="C899" t="s">
        <v>52</v>
      </c>
      <c r="D899" t="s">
        <v>407</v>
      </c>
      <c r="E899" t="s">
        <v>407</v>
      </c>
      <c r="F899">
        <v>283</v>
      </c>
      <c r="G899" s="122">
        <v>21875</v>
      </c>
      <c r="H899" s="122">
        <v>31944</v>
      </c>
      <c r="I899" s="122">
        <v>755907</v>
      </c>
      <c r="J899" s="122">
        <v>687189</v>
      </c>
      <c r="K899" s="122">
        <v>86</v>
      </c>
      <c r="L899" s="122">
        <v>77823</v>
      </c>
      <c r="M899" s="122">
        <v>38742</v>
      </c>
      <c r="N899" s="122">
        <v>412388</v>
      </c>
      <c r="O899" s="122">
        <v>152736</v>
      </c>
      <c r="P899" s="122">
        <v>194454</v>
      </c>
      <c r="Q899" s="122">
        <v>72020</v>
      </c>
      <c r="R899" s="122">
        <v>1013132</v>
      </c>
      <c r="S899" s="122">
        <v>921029</v>
      </c>
      <c r="T899" s="122">
        <v>12679</v>
      </c>
      <c r="U899" s="122">
        <v>4696</v>
      </c>
      <c r="V899" s="122">
        <v>1876411</v>
      </c>
      <c r="W899" s="122">
        <f t="shared" si="26"/>
        <v>1876412</v>
      </c>
      <c r="X899" s="122">
        <f t="shared" si="27"/>
        <v>2466383</v>
      </c>
      <c r="Y899" s="122"/>
    </row>
    <row r="900" spans="2:25">
      <c r="B900" t="s">
        <v>451</v>
      </c>
      <c r="C900" t="s">
        <v>54</v>
      </c>
      <c r="D900" t="s">
        <v>137</v>
      </c>
      <c r="E900" t="s">
        <v>137</v>
      </c>
      <c r="F900">
        <v>2</v>
      </c>
      <c r="G900" s="122">
        <v>187</v>
      </c>
      <c r="H900" s="122">
        <v>289</v>
      </c>
      <c r="I900" s="122">
        <v>6533</v>
      </c>
      <c r="J900" s="122">
        <v>2420</v>
      </c>
      <c r="K900" s="122">
        <v>244</v>
      </c>
      <c r="L900" s="122">
        <v>1796</v>
      </c>
      <c r="M900" s="122">
        <v>1497</v>
      </c>
      <c r="N900" s="122">
        <v>3668</v>
      </c>
      <c r="O900" s="122">
        <v>1358</v>
      </c>
      <c r="P900" s="122">
        <v>1172</v>
      </c>
      <c r="Q900">
        <v>434</v>
      </c>
      <c r="R900" s="122">
        <v>13920</v>
      </c>
      <c r="S900" s="122">
        <v>5155</v>
      </c>
      <c r="T900">
        <v>0</v>
      </c>
      <c r="U900">
        <v>0</v>
      </c>
      <c r="V900" s="122">
        <v>10864</v>
      </c>
      <c r="W900" s="122">
        <f t="shared" si="26"/>
        <v>10864</v>
      </c>
      <c r="X900" s="122">
        <f t="shared" si="27"/>
        <v>27089</v>
      </c>
      <c r="Y900" s="122"/>
    </row>
    <row r="901" spans="2:25">
      <c r="B901" t="s">
        <v>451</v>
      </c>
      <c r="C901" t="s">
        <v>54</v>
      </c>
      <c r="D901" t="s">
        <v>407</v>
      </c>
      <c r="E901" t="s">
        <v>407</v>
      </c>
      <c r="F901" s="122">
        <v>269</v>
      </c>
      <c r="G901" s="122">
        <v>19895</v>
      </c>
      <c r="H901" s="122">
        <v>37232</v>
      </c>
      <c r="I901" s="122">
        <v>1021928</v>
      </c>
      <c r="J901" s="122">
        <v>929026</v>
      </c>
      <c r="K901" s="122">
        <v>83</v>
      </c>
      <c r="L901" s="122">
        <v>88121</v>
      </c>
      <c r="M901" s="122">
        <v>59924</v>
      </c>
      <c r="N901" s="122">
        <v>419321</v>
      </c>
      <c r="O901" s="122">
        <v>155304</v>
      </c>
      <c r="P901" s="122">
        <v>153676</v>
      </c>
      <c r="Q901" s="122">
        <v>56917</v>
      </c>
      <c r="R901" s="122">
        <v>1013135</v>
      </c>
      <c r="S901" s="122">
        <v>921032</v>
      </c>
      <c r="T901" s="122">
        <v>61508</v>
      </c>
      <c r="U901" s="122">
        <v>22781</v>
      </c>
      <c r="V901" s="122">
        <v>2144983</v>
      </c>
      <c r="W901" s="122">
        <f t="shared" si="26"/>
        <v>2144984</v>
      </c>
      <c r="X901" s="122">
        <f t="shared" si="27"/>
        <v>2757689</v>
      </c>
      <c r="Y901" s="122"/>
    </row>
    <row r="902" spans="2:25">
      <c r="B902" t="s">
        <v>451</v>
      </c>
      <c r="C902" t="s">
        <v>56</v>
      </c>
      <c r="F902">
        <v>2</v>
      </c>
      <c r="G902" s="122">
        <v>151</v>
      </c>
      <c r="H902" s="122">
        <v>331</v>
      </c>
      <c r="J902" s="122">
        <v>0</v>
      </c>
      <c r="K902" s="122"/>
      <c r="M902">
        <v>0</v>
      </c>
      <c r="N902" s="122">
        <v>2823</v>
      </c>
      <c r="O902" s="122">
        <v>1046</v>
      </c>
      <c r="P902">
        <v>351</v>
      </c>
      <c r="Q902">
        <v>130</v>
      </c>
      <c r="S902">
        <v>0</v>
      </c>
      <c r="T902">
        <v>0</v>
      </c>
      <c r="U902">
        <v>0</v>
      </c>
      <c r="V902" s="122">
        <v>1176</v>
      </c>
      <c r="W902" s="122">
        <f t="shared" si="26"/>
        <v>1176</v>
      </c>
      <c r="X902" s="122">
        <f t="shared" si="27"/>
        <v>3174</v>
      </c>
      <c r="Y902" s="122"/>
    </row>
    <row r="903" spans="2:25">
      <c r="B903" t="s">
        <v>451</v>
      </c>
      <c r="C903" t="s">
        <v>56</v>
      </c>
      <c r="D903" t="s">
        <v>137</v>
      </c>
      <c r="E903" t="s">
        <v>137</v>
      </c>
      <c r="F903">
        <v>88</v>
      </c>
      <c r="G903" s="122">
        <v>6280</v>
      </c>
      <c r="H903" s="122">
        <v>17577</v>
      </c>
      <c r="I903" s="122">
        <v>528896</v>
      </c>
      <c r="J903" s="122">
        <v>195887</v>
      </c>
      <c r="K903" s="122">
        <v>100</v>
      </c>
      <c r="L903" s="122">
        <v>52629</v>
      </c>
      <c r="M903" s="122">
        <v>23544</v>
      </c>
      <c r="N903" s="122">
        <v>129200</v>
      </c>
      <c r="O903" s="122">
        <v>47852</v>
      </c>
      <c r="P903" s="122">
        <v>1053</v>
      </c>
      <c r="Q903">
        <v>390</v>
      </c>
      <c r="R903" s="122">
        <v>552043</v>
      </c>
      <c r="S903" s="122">
        <v>204460</v>
      </c>
      <c r="T903">
        <v>0</v>
      </c>
      <c r="U903">
        <v>0</v>
      </c>
      <c r="V903" s="122">
        <v>472134</v>
      </c>
      <c r="W903" s="122">
        <f t="shared" ref="W903:W938" si="28">SUM(ABS(J903),ABS(M903),ABS(O903),ABS(Q903),ABS(S903),ABS(U903))</f>
        <v>472133</v>
      </c>
      <c r="X903" s="122">
        <f t="shared" ref="X903:X938" si="29">SUM(ABS(I903),ABS(N903),ABS(P903),ABS(R903),ABS(T903),ABS(L903))</f>
        <v>1263821</v>
      </c>
      <c r="Y903" s="122"/>
    </row>
    <row r="904" spans="2:25">
      <c r="B904" t="s">
        <v>451</v>
      </c>
      <c r="C904" t="s">
        <v>56</v>
      </c>
      <c r="D904" t="s">
        <v>406</v>
      </c>
      <c r="E904" t="s">
        <v>406</v>
      </c>
      <c r="F904">
        <v>2</v>
      </c>
      <c r="G904" s="122">
        <v>293</v>
      </c>
      <c r="H904" s="122">
        <v>384</v>
      </c>
      <c r="I904" s="122">
        <v>31378</v>
      </c>
      <c r="J904" s="122">
        <v>28526</v>
      </c>
      <c r="K904" s="122">
        <v>82</v>
      </c>
      <c r="L904" s="122">
        <v>7379</v>
      </c>
      <c r="M904" s="122">
        <v>5141</v>
      </c>
      <c r="N904" s="122">
        <v>4576</v>
      </c>
      <c r="O904" s="122">
        <v>1695</v>
      </c>
      <c r="P904" s="122">
        <v>1242</v>
      </c>
      <c r="Q904">
        <v>460</v>
      </c>
      <c r="R904" s="122">
        <v>9624</v>
      </c>
      <c r="S904" s="122">
        <v>8749</v>
      </c>
      <c r="T904" s="122">
        <v>3352</v>
      </c>
      <c r="U904" s="122">
        <v>1241</v>
      </c>
      <c r="V904" s="122">
        <v>45813</v>
      </c>
      <c r="W904" s="122">
        <f t="shared" si="28"/>
        <v>45812</v>
      </c>
      <c r="X904" s="122">
        <f t="shared" si="29"/>
        <v>57551</v>
      </c>
      <c r="Y904" s="122"/>
    </row>
    <row r="905" spans="2:25">
      <c r="B905" t="s">
        <v>451</v>
      </c>
      <c r="C905" t="s">
        <v>56</v>
      </c>
      <c r="D905" t="s">
        <v>407</v>
      </c>
      <c r="E905" t="s">
        <v>137</v>
      </c>
      <c r="F905">
        <v>1</v>
      </c>
      <c r="G905">
        <v>69</v>
      </c>
      <c r="H905">
        <v>171</v>
      </c>
      <c r="I905" s="122">
        <v>3651</v>
      </c>
      <c r="J905" s="122">
        <v>3320</v>
      </c>
      <c r="K905">
        <v>90</v>
      </c>
      <c r="L905">
        <v>0</v>
      </c>
      <c r="M905">
        <v>315</v>
      </c>
      <c r="N905" s="122">
        <v>1673</v>
      </c>
      <c r="O905">
        <v>620</v>
      </c>
      <c r="P905">
        <v>473</v>
      </c>
      <c r="Q905">
        <v>175</v>
      </c>
      <c r="R905" s="122">
        <v>5959</v>
      </c>
      <c r="S905" s="122">
        <v>2207</v>
      </c>
      <c r="T905">
        <v>0</v>
      </c>
      <c r="U905">
        <v>0</v>
      </c>
      <c r="V905" s="122">
        <v>6637</v>
      </c>
      <c r="W905" s="122">
        <f t="shared" si="28"/>
        <v>6637</v>
      </c>
      <c r="X905" s="122">
        <f t="shared" si="29"/>
        <v>11756</v>
      </c>
      <c r="Y905" s="122"/>
    </row>
    <row r="906" spans="2:25">
      <c r="B906" t="s">
        <v>451</v>
      </c>
      <c r="C906" t="s">
        <v>56</v>
      </c>
      <c r="D906" t="s">
        <v>407</v>
      </c>
      <c r="E906" t="s">
        <v>407</v>
      </c>
      <c r="F906">
        <v>553</v>
      </c>
      <c r="G906" s="122">
        <v>40956</v>
      </c>
      <c r="H906" s="122">
        <v>101025</v>
      </c>
      <c r="I906" s="122">
        <v>3273389</v>
      </c>
      <c r="J906" s="122">
        <v>2975808</v>
      </c>
      <c r="K906" s="122">
        <v>80</v>
      </c>
      <c r="L906" s="122">
        <v>479052</v>
      </c>
      <c r="M906" s="122">
        <v>332251</v>
      </c>
      <c r="N906" s="122">
        <v>837480</v>
      </c>
      <c r="O906" s="122">
        <v>310178</v>
      </c>
      <c r="P906" s="122">
        <v>269831</v>
      </c>
      <c r="Q906" s="122">
        <v>99937</v>
      </c>
      <c r="R906" s="122">
        <v>2357789</v>
      </c>
      <c r="S906" s="122">
        <v>2143445</v>
      </c>
      <c r="T906" s="122">
        <v>282701</v>
      </c>
      <c r="U906" s="122">
        <v>104704</v>
      </c>
      <c r="V906" s="122">
        <v>5966323</v>
      </c>
      <c r="W906" s="122">
        <f t="shared" si="28"/>
        <v>5966323</v>
      </c>
      <c r="X906" s="122">
        <f t="shared" si="29"/>
        <v>7500242</v>
      </c>
      <c r="Y906" s="122"/>
    </row>
    <row r="907" spans="2:25">
      <c r="B907" t="s">
        <v>451</v>
      </c>
      <c r="C907" t="s">
        <v>58</v>
      </c>
      <c r="F907">
        <v>1</v>
      </c>
      <c r="G907">
        <v>30</v>
      </c>
      <c r="H907">
        <v>287</v>
      </c>
      <c r="J907">
        <v>0</v>
      </c>
      <c r="K907" s="122"/>
      <c r="M907">
        <v>0</v>
      </c>
      <c r="N907">
        <v>743</v>
      </c>
      <c r="O907">
        <v>275</v>
      </c>
      <c r="P907">
        <v>351</v>
      </c>
      <c r="Q907">
        <v>130</v>
      </c>
      <c r="S907">
        <v>0</v>
      </c>
      <c r="T907">
        <v>0</v>
      </c>
      <c r="U907">
        <v>0</v>
      </c>
      <c r="V907">
        <v>405</v>
      </c>
      <c r="W907" s="122">
        <f t="shared" si="28"/>
        <v>405</v>
      </c>
      <c r="X907" s="122">
        <f t="shared" si="29"/>
        <v>1094</v>
      </c>
      <c r="Y907" s="122"/>
    </row>
    <row r="908" spans="2:25">
      <c r="B908" t="s">
        <v>451</v>
      </c>
      <c r="C908" t="s">
        <v>58</v>
      </c>
      <c r="D908" t="s">
        <v>137</v>
      </c>
      <c r="E908" t="s">
        <v>137</v>
      </c>
      <c r="F908">
        <v>176</v>
      </c>
      <c r="G908" s="122">
        <v>11659</v>
      </c>
      <c r="H908" s="122">
        <v>46694</v>
      </c>
      <c r="I908" s="122">
        <v>1600716</v>
      </c>
      <c r="J908" s="122">
        <v>592858</v>
      </c>
      <c r="K908" s="122">
        <v>100</v>
      </c>
      <c r="L908" s="122">
        <v>184993</v>
      </c>
      <c r="M908" s="122">
        <v>84865</v>
      </c>
      <c r="N908" s="122">
        <v>242922</v>
      </c>
      <c r="O908" s="122">
        <v>89971</v>
      </c>
      <c r="P908" s="122">
        <v>3356</v>
      </c>
      <c r="Q908" s="122">
        <v>1243</v>
      </c>
      <c r="R908" s="122">
        <v>1065395</v>
      </c>
      <c r="S908" s="122">
        <v>394591</v>
      </c>
      <c r="T908">
        <v>0</v>
      </c>
      <c r="U908">
        <v>0</v>
      </c>
      <c r="V908" s="122">
        <v>1163528</v>
      </c>
      <c r="W908" s="122">
        <f t="shared" si="28"/>
        <v>1163528</v>
      </c>
      <c r="X908" s="122">
        <f t="shared" si="29"/>
        <v>3097382</v>
      </c>
      <c r="Y908" s="122"/>
    </row>
    <row r="909" spans="2:25">
      <c r="B909" t="s">
        <v>451</v>
      </c>
      <c r="C909" t="s">
        <v>58</v>
      </c>
      <c r="D909" t="s">
        <v>406</v>
      </c>
      <c r="E909" t="s">
        <v>406</v>
      </c>
      <c r="F909">
        <v>2</v>
      </c>
      <c r="G909">
        <v>384</v>
      </c>
      <c r="H909" s="122">
        <v>548</v>
      </c>
      <c r="I909" s="122">
        <v>72228</v>
      </c>
      <c r="J909" s="122">
        <v>65661</v>
      </c>
      <c r="K909" s="122">
        <v>84</v>
      </c>
      <c r="L909" s="122">
        <v>11753</v>
      </c>
      <c r="M909" s="122">
        <v>10685</v>
      </c>
      <c r="N909" s="122">
        <v>7177</v>
      </c>
      <c r="O909" s="122">
        <v>2658</v>
      </c>
      <c r="P909" s="122">
        <v>1863</v>
      </c>
      <c r="Q909">
        <v>690</v>
      </c>
      <c r="R909" s="122">
        <v>13435</v>
      </c>
      <c r="S909" s="122">
        <v>12213</v>
      </c>
      <c r="T909">
        <v>0</v>
      </c>
      <c r="U909">
        <v>0</v>
      </c>
      <c r="V909" s="122">
        <v>91908</v>
      </c>
      <c r="W909" s="122">
        <f t="shared" si="28"/>
        <v>91907</v>
      </c>
      <c r="X909" s="122">
        <f t="shared" si="29"/>
        <v>106456</v>
      </c>
      <c r="Y909" s="122"/>
    </row>
    <row r="910" spans="2:25">
      <c r="B910" t="s">
        <v>451</v>
      </c>
      <c r="C910" t="s">
        <v>58</v>
      </c>
      <c r="D910" t="s">
        <v>407</v>
      </c>
      <c r="E910" t="s">
        <v>137</v>
      </c>
      <c r="F910">
        <v>1</v>
      </c>
      <c r="G910">
        <v>96</v>
      </c>
      <c r="H910" s="122">
        <v>275</v>
      </c>
      <c r="I910" s="122">
        <v>12490</v>
      </c>
      <c r="J910" s="122">
        <v>11355</v>
      </c>
      <c r="K910" s="122">
        <v>77</v>
      </c>
      <c r="L910" s="122">
        <v>3896</v>
      </c>
      <c r="M910" s="122">
        <v>3247</v>
      </c>
      <c r="N910" s="122">
        <v>2339</v>
      </c>
      <c r="O910">
        <v>866</v>
      </c>
      <c r="P910">
        <v>473</v>
      </c>
      <c r="Q910">
        <v>175</v>
      </c>
      <c r="R910" s="122">
        <v>7201</v>
      </c>
      <c r="S910" s="122">
        <v>2667</v>
      </c>
      <c r="T910">
        <v>0</v>
      </c>
      <c r="U910">
        <v>0</v>
      </c>
      <c r="V910" s="122">
        <v>18310</v>
      </c>
      <c r="W910" s="122">
        <f t="shared" si="28"/>
        <v>18310</v>
      </c>
      <c r="X910" s="122">
        <f t="shared" si="29"/>
        <v>26399</v>
      </c>
      <c r="Y910" s="122"/>
    </row>
    <row r="911" spans="2:25">
      <c r="B911" t="s">
        <v>451</v>
      </c>
      <c r="C911" t="s">
        <v>58</v>
      </c>
      <c r="D911" t="s">
        <v>407</v>
      </c>
      <c r="E911" t="s">
        <v>407</v>
      </c>
      <c r="F911">
        <v>151</v>
      </c>
      <c r="G911" s="122">
        <v>10226</v>
      </c>
      <c r="H911" s="122">
        <v>38765</v>
      </c>
      <c r="I911" s="122">
        <v>1305471</v>
      </c>
      <c r="J911" s="122">
        <v>1186792</v>
      </c>
      <c r="K911" s="122">
        <v>77</v>
      </c>
      <c r="L911" s="122">
        <v>290930</v>
      </c>
      <c r="M911" s="122">
        <v>238992</v>
      </c>
      <c r="N911" s="122">
        <v>213739</v>
      </c>
      <c r="O911" s="122">
        <v>79163</v>
      </c>
      <c r="P911" s="122">
        <v>69431</v>
      </c>
      <c r="Q911" s="122">
        <v>25715</v>
      </c>
      <c r="R911" s="122">
        <v>671792</v>
      </c>
      <c r="S911" s="122">
        <v>610720</v>
      </c>
      <c r="T911" s="122">
        <v>123799</v>
      </c>
      <c r="U911" s="122">
        <v>45851</v>
      </c>
      <c r="V911" s="122">
        <v>2187233</v>
      </c>
      <c r="W911" s="122">
        <f t="shared" si="28"/>
        <v>2187233</v>
      </c>
      <c r="X911" s="122">
        <f t="shared" si="29"/>
        <v>2675162</v>
      </c>
      <c r="Y911" s="122"/>
    </row>
    <row r="912" spans="2:25">
      <c r="B912" t="s">
        <v>451</v>
      </c>
      <c r="C912" t="s">
        <v>58</v>
      </c>
      <c r="D912" t="s">
        <v>556</v>
      </c>
      <c r="E912" t="s">
        <v>556</v>
      </c>
      <c r="F912" s="122">
        <v>1</v>
      </c>
      <c r="G912" s="122">
        <v>88</v>
      </c>
      <c r="H912" s="122">
        <v>240</v>
      </c>
      <c r="I912" s="122">
        <v>11398</v>
      </c>
      <c r="J912" s="122">
        <v>9499</v>
      </c>
      <c r="K912" s="122">
        <v>65</v>
      </c>
      <c r="L912" s="122">
        <v>1372</v>
      </c>
      <c r="M912" s="122">
        <v>1143</v>
      </c>
      <c r="N912" s="122">
        <v>1073</v>
      </c>
      <c r="O912">
        <v>397</v>
      </c>
      <c r="P912">
        <v>351</v>
      </c>
      <c r="Q912">
        <v>130</v>
      </c>
      <c r="R912" s="122">
        <v>4664</v>
      </c>
      <c r="S912" s="122">
        <v>3887</v>
      </c>
      <c r="T912" s="122">
        <v>2273</v>
      </c>
      <c r="U912">
        <v>842</v>
      </c>
      <c r="V912" s="122">
        <v>15898</v>
      </c>
      <c r="W912" s="122">
        <f t="shared" si="28"/>
        <v>15898</v>
      </c>
      <c r="X912" s="122">
        <f t="shared" si="29"/>
        <v>21131</v>
      </c>
      <c r="Y912" s="122"/>
    </row>
    <row r="913" spans="2:25">
      <c r="B913" t="s">
        <v>451</v>
      </c>
      <c r="C913" t="s">
        <v>60</v>
      </c>
      <c r="D913" t="s">
        <v>137</v>
      </c>
      <c r="E913" t="s">
        <v>137</v>
      </c>
      <c r="F913" s="122">
        <v>130</v>
      </c>
      <c r="G913" s="122">
        <v>7386</v>
      </c>
      <c r="H913" s="122">
        <v>43742</v>
      </c>
      <c r="I913" s="122">
        <v>1415040</v>
      </c>
      <c r="J913" s="122">
        <v>524089</v>
      </c>
      <c r="K913" s="122">
        <v>100</v>
      </c>
      <c r="L913" s="122">
        <v>175551</v>
      </c>
      <c r="M913" s="122">
        <v>102336</v>
      </c>
      <c r="N913" s="122">
        <v>147162</v>
      </c>
      <c r="O913" s="122">
        <v>54504</v>
      </c>
      <c r="P913" s="122">
        <v>1803</v>
      </c>
      <c r="Q913">
        <v>668</v>
      </c>
      <c r="R913" s="122">
        <v>749578</v>
      </c>
      <c r="S913" s="122">
        <v>277621</v>
      </c>
      <c r="T913" s="122">
        <v>2492</v>
      </c>
      <c r="U913">
        <v>923</v>
      </c>
      <c r="V913" s="122">
        <v>960141</v>
      </c>
      <c r="W913" s="122">
        <f t="shared" si="28"/>
        <v>960141</v>
      </c>
      <c r="X913" s="122">
        <f t="shared" si="29"/>
        <v>2491626</v>
      </c>
      <c r="Y913" s="122"/>
    </row>
    <row r="914" spans="2:25">
      <c r="B914" t="s">
        <v>451</v>
      </c>
      <c r="C914" t="s">
        <v>60</v>
      </c>
      <c r="D914" t="s">
        <v>137</v>
      </c>
      <c r="E914" t="s">
        <v>427</v>
      </c>
      <c r="F914">
        <v>1</v>
      </c>
      <c r="G914" s="122">
        <v>71</v>
      </c>
      <c r="H914" s="122">
        <v>344</v>
      </c>
      <c r="I914" s="122">
        <v>13414</v>
      </c>
      <c r="J914" s="122">
        <v>4968</v>
      </c>
      <c r="K914" s="122">
        <v>100</v>
      </c>
      <c r="L914" s="122">
        <v>1214</v>
      </c>
      <c r="M914" s="122">
        <v>1104</v>
      </c>
      <c r="N914" s="122">
        <v>1404</v>
      </c>
      <c r="O914">
        <v>520</v>
      </c>
      <c r="P914">
        <v>0</v>
      </c>
      <c r="Q914">
        <v>0</v>
      </c>
      <c r="R914" s="122">
        <v>5919</v>
      </c>
      <c r="S914" s="122">
        <v>5381</v>
      </c>
      <c r="T914" s="122">
        <v>2491</v>
      </c>
      <c r="U914">
        <v>922</v>
      </c>
      <c r="V914" s="122">
        <v>12895</v>
      </c>
      <c r="W914" s="122">
        <f t="shared" si="28"/>
        <v>12895</v>
      </c>
      <c r="X914" s="122">
        <f t="shared" si="29"/>
        <v>24442</v>
      </c>
      <c r="Y914" s="122"/>
    </row>
    <row r="915" spans="2:25">
      <c r="B915" t="s">
        <v>451</v>
      </c>
      <c r="C915" t="s">
        <v>60</v>
      </c>
      <c r="D915" t="s">
        <v>406</v>
      </c>
      <c r="E915" t="s">
        <v>406</v>
      </c>
      <c r="F915">
        <v>2</v>
      </c>
      <c r="G915">
        <v>142</v>
      </c>
      <c r="H915">
        <v>677</v>
      </c>
      <c r="I915" s="122">
        <v>26578</v>
      </c>
      <c r="J915" s="122">
        <v>24162</v>
      </c>
      <c r="K915">
        <v>70</v>
      </c>
      <c r="L915" s="122">
        <v>5166</v>
      </c>
      <c r="M915" s="122">
        <v>4305</v>
      </c>
      <c r="N915" s="122">
        <v>2341</v>
      </c>
      <c r="O915">
        <v>867</v>
      </c>
      <c r="P915" s="122">
        <v>1242</v>
      </c>
      <c r="Q915">
        <v>460</v>
      </c>
      <c r="R915" s="122">
        <v>10476</v>
      </c>
      <c r="S915" s="122">
        <v>9524</v>
      </c>
      <c r="T915" s="122">
        <v>2870</v>
      </c>
      <c r="U915" s="122">
        <v>1063</v>
      </c>
      <c r="V915" s="122">
        <v>40380</v>
      </c>
      <c r="W915" s="122">
        <f t="shared" si="28"/>
        <v>40381</v>
      </c>
      <c r="X915" s="122">
        <f t="shared" si="29"/>
        <v>48673</v>
      </c>
      <c r="Y915" s="122"/>
    </row>
    <row r="916" spans="2:25">
      <c r="B916" t="s">
        <v>451</v>
      </c>
      <c r="C916" t="s">
        <v>60</v>
      </c>
      <c r="D916" t="s">
        <v>407</v>
      </c>
      <c r="E916" t="s">
        <v>407</v>
      </c>
      <c r="F916">
        <v>42</v>
      </c>
      <c r="G916" s="122">
        <v>2749</v>
      </c>
      <c r="H916" s="122">
        <v>14165</v>
      </c>
      <c r="I916" s="122">
        <v>505743</v>
      </c>
      <c r="J916" s="122">
        <v>459767</v>
      </c>
      <c r="K916" s="122">
        <v>75</v>
      </c>
      <c r="L916" s="122">
        <v>117382</v>
      </c>
      <c r="M916" s="122">
        <v>100391</v>
      </c>
      <c r="N916" s="122">
        <v>54778</v>
      </c>
      <c r="O916" s="122">
        <v>20288</v>
      </c>
      <c r="P916" s="122">
        <v>19359</v>
      </c>
      <c r="Q916" s="122">
        <v>7170</v>
      </c>
      <c r="R916" s="122">
        <v>186495</v>
      </c>
      <c r="S916" s="122">
        <v>169541</v>
      </c>
      <c r="T916" s="122">
        <v>47410</v>
      </c>
      <c r="U916" s="122">
        <v>17559</v>
      </c>
      <c r="V916" s="122">
        <v>774717</v>
      </c>
      <c r="W916" s="122">
        <f t="shared" si="28"/>
        <v>774716</v>
      </c>
      <c r="X916" s="122">
        <f t="shared" si="29"/>
        <v>931167</v>
      </c>
      <c r="Y916" s="122"/>
    </row>
    <row r="917" spans="2:25">
      <c r="B917" t="s">
        <v>451</v>
      </c>
      <c r="C917" t="s">
        <v>62</v>
      </c>
      <c r="F917" s="122">
        <v>1</v>
      </c>
      <c r="G917" s="122">
        <v>38</v>
      </c>
      <c r="H917" s="122">
        <v>385</v>
      </c>
      <c r="J917" s="122">
        <v>0</v>
      </c>
      <c r="K917" s="122"/>
      <c r="M917">
        <v>0</v>
      </c>
      <c r="N917">
        <v>774</v>
      </c>
      <c r="O917">
        <v>287</v>
      </c>
      <c r="P917">
        <v>0</v>
      </c>
      <c r="Q917">
        <v>0</v>
      </c>
      <c r="S917">
        <v>0</v>
      </c>
      <c r="T917">
        <v>0</v>
      </c>
      <c r="U917">
        <v>0</v>
      </c>
      <c r="V917">
        <v>287</v>
      </c>
      <c r="W917" s="122">
        <f t="shared" si="28"/>
        <v>287</v>
      </c>
      <c r="X917" s="122">
        <f t="shared" si="29"/>
        <v>774</v>
      </c>
      <c r="Y917" s="122"/>
    </row>
    <row r="918" spans="2:25">
      <c r="B918" t="s">
        <v>451</v>
      </c>
      <c r="C918" t="s">
        <v>62</v>
      </c>
      <c r="D918" t="s">
        <v>137</v>
      </c>
      <c r="E918" t="s">
        <v>137</v>
      </c>
      <c r="F918" s="122">
        <v>40</v>
      </c>
      <c r="G918" s="122">
        <v>2260</v>
      </c>
      <c r="H918" s="122">
        <v>16447</v>
      </c>
      <c r="I918" s="122">
        <v>559307</v>
      </c>
      <c r="J918" s="122">
        <v>207151</v>
      </c>
      <c r="K918" s="122">
        <v>100</v>
      </c>
      <c r="L918" s="122">
        <v>87754</v>
      </c>
      <c r="M918" s="122">
        <v>65205</v>
      </c>
      <c r="N918" s="122">
        <v>45476</v>
      </c>
      <c r="O918" s="122">
        <v>16843</v>
      </c>
      <c r="P918">
        <v>702</v>
      </c>
      <c r="Q918">
        <v>260</v>
      </c>
      <c r="R918" s="122">
        <v>238152</v>
      </c>
      <c r="S918" s="122">
        <v>88205</v>
      </c>
      <c r="T918">
        <v>0</v>
      </c>
      <c r="U918">
        <v>0</v>
      </c>
      <c r="V918" s="122">
        <v>377663</v>
      </c>
      <c r="W918" s="122">
        <f t="shared" si="28"/>
        <v>377664</v>
      </c>
      <c r="X918" s="122">
        <f t="shared" si="29"/>
        <v>931391</v>
      </c>
      <c r="Y918" s="122"/>
    </row>
    <row r="919" spans="2:25">
      <c r="B919" t="s">
        <v>451</v>
      </c>
      <c r="C919" t="s">
        <v>62</v>
      </c>
      <c r="D919" t="s">
        <v>407</v>
      </c>
      <c r="E919" t="s">
        <v>407</v>
      </c>
      <c r="F919" s="122">
        <v>6</v>
      </c>
      <c r="G919" s="122">
        <v>484</v>
      </c>
      <c r="H919" s="122">
        <v>2444</v>
      </c>
      <c r="I919" s="122">
        <v>107691</v>
      </c>
      <c r="J919" s="122">
        <v>97901</v>
      </c>
      <c r="K919" s="122">
        <v>82</v>
      </c>
      <c r="L919" s="122">
        <v>37959</v>
      </c>
      <c r="M919" s="122">
        <v>33198</v>
      </c>
      <c r="N919" s="122">
        <v>9269</v>
      </c>
      <c r="O919" s="122">
        <v>3433</v>
      </c>
      <c r="P919" s="122">
        <v>2835</v>
      </c>
      <c r="Q919" s="122">
        <v>1050</v>
      </c>
      <c r="R919" s="122">
        <v>26196</v>
      </c>
      <c r="S919" s="122">
        <v>23814</v>
      </c>
      <c r="T919" s="122">
        <v>9905</v>
      </c>
      <c r="U919" s="122">
        <v>3669</v>
      </c>
      <c r="V919" s="122">
        <v>163065</v>
      </c>
      <c r="W919" s="122">
        <f t="shared" si="28"/>
        <v>163065</v>
      </c>
      <c r="X919" s="122">
        <f t="shared" si="29"/>
        <v>193855</v>
      </c>
      <c r="Y919" s="122"/>
    </row>
    <row r="920" spans="2:25">
      <c r="B920" t="s">
        <v>451</v>
      </c>
      <c r="C920" t="s">
        <v>64</v>
      </c>
      <c r="D920" t="s">
        <v>137</v>
      </c>
      <c r="E920" t="s">
        <v>137</v>
      </c>
      <c r="F920">
        <v>19</v>
      </c>
      <c r="G920">
        <v>902</v>
      </c>
      <c r="H920" s="122">
        <v>11136</v>
      </c>
      <c r="I920" s="122">
        <v>351991</v>
      </c>
      <c r="J920" s="122">
        <v>130367</v>
      </c>
      <c r="K920" s="122">
        <v>100</v>
      </c>
      <c r="L920" s="122">
        <v>58755</v>
      </c>
      <c r="M920" s="122">
        <v>36934</v>
      </c>
      <c r="N920" s="122">
        <v>17926</v>
      </c>
      <c r="O920" s="122">
        <v>6639</v>
      </c>
      <c r="P920">
        <v>0</v>
      </c>
      <c r="Q920">
        <v>0</v>
      </c>
      <c r="R920" s="122">
        <v>101694</v>
      </c>
      <c r="S920" s="122">
        <v>37665</v>
      </c>
      <c r="T920">
        <v>0</v>
      </c>
      <c r="U920">
        <v>0</v>
      </c>
      <c r="V920" s="122">
        <v>211605</v>
      </c>
      <c r="W920" s="122">
        <f t="shared" si="28"/>
        <v>211605</v>
      </c>
      <c r="X920" s="122">
        <f t="shared" si="29"/>
        <v>530366</v>
      </c>
      <c r="Y920" s="122"/>
    </row>
    <row r="921" spans="2:25">
      <c r="B921" t="s">
        <v>451</v>
      </c>
      <c r="C921" t="s">
        <v>64</v>
      </c>
      <c r="D921" t="s">
        <v>407</v>
      </c>
      <c r="E921" t="s">
        <v>407</v>
      </c>
      <c r="F921">
        <v>8</v>
      </c>
      <c r="G921">
        <v>361</v>
      </c>
      <c r="H921" s="122">
        <v>4474</v>
      </c>
      <c r="I921" s="122">
        <v>108798</v>
      </c>
      <c r="J921" s="122">
        <v>98908</v>
      </c>
      <c r="K921" s="122">
        <v>70</v>
      </c>
      <c r="L921" s="122">
        <v>32703</v>
      </c>
      <c r="M921" s="122">
        <v>28241</v>
      </c>
      <c r="N921" s="122">
        <v>7163</v>
      </c>
      <c r="O921" s="122">
        <v>2653</v>
      </c>
      <c r="P921" s="122">
        <v>3780</v>
      </c>
      <c r="Q921" s="122">
        <v>1400</v>
      </c>
      <c r="R921" s="122">
        <v>32740</v>
      </c>
      <c r="S921" s="122">
        <v>29763</v>
      </c>
      <c r="T921" s="122">
        <v>16986</v>
      </c>
      <c r="U921" s="122">
        <v>6291</v>
      </c>
      <c r="V921" s="122">
        <v>167255</v>
      </c>
      <c r="W921" s="122">
        <f t="shared" si="28"/>
        <v>167256</v>
      </c>
      <c r="X921" s="122">
        <f t="shared" si="29"/>
        <v>202170</v>
      </c>
      <c r="Y921" s="122"/>
    </row>
    <row r="922" spans="2:25">
      <c r="B922" t="s">
        <v>451</v>
      </c>
      <c r="C922" t="s">
        <v>64</v>
      </c>
      <c r="D922" t="s">
        <v>556</v>
      </c>
      <c r="E922" t="s">
        <v>137</v>
      </c>
      <c r="F922">
        <v>1</v>
      </c>
      <c r="G922">
        <v>44</v>
      </c>
      <c r="H922" s="122">
        <v>561</v>
      </c>
      <c r="I922" s="122">
        <v>16714</v>
      </c>
      <c r="J922" s="122">
        <v>13928</v>
      </c>
      <c r="K922" s="122">
        <v>30</v>
      </c>
      <c r="L922" s="122">
        <v>1254</v>
      </c>
      <c r="M922">
        <v>464</v>
      </c>
      <c r="N922" s="122">
        <v>1020</v>
      </c>
      <c r="O922">
        <v>378</v>
      </c>
      <c r="P922">
        <v>0</v>
      </c>
      <c r="Q922">
        <v>0</v>
      </c>
      <c r="R922" s="122">
        <v>5850</v>
      </c>
      <c r="S922" s="122">
        <v>2167</v>
      </c>
      <c r="T922">
        <v>0</v>
      </c>
      <c r="U922">
        <v>0</v>
      </c>
      <c r="V922" s="122">
        <v>16937</v>
      </c>
      <c r="W922" s="122">
        <f t="shared" si="28"/>
        <v>16937</v>
      </c>
      <c r="X922" s="122">
        <f t="shared" si="29"/>
        <v>24838</v>
      </c>
      <c r="Y922" s="122"/>
    </row>
    <row r="923" spans="2:25">
      <c r="B923" t="s">
        <v>451</v>
      </c>
      <c r="C923" t="s">
        <v>64</v>
      </c>
      <c r="D923" t="s">
        <v>556</v>
      </c>
      <c r="E923" t="s">
        <v>556</v>
      </c>
      <c r="F923" s="122">
        <v>2</v>
      </c>
      <c r="G923" s="122">
        <v>110</v>
      </c>
      <c r="H923" s="122">
        <v>983</v>
      </c>
      <c r="I923" s="122">
        <v>33477</v>
      </c>
      <c r="J923" s="122">
        <v>27897</v>
      </c>
      <c r="K923" s="122">
        <v>58</v>
      </c>
      <c r="L923" s="122">
        <v>5249</v>
      </c>
      <c r="M923" s="122">
        <v>3204</v>
      </c>
      <c r="N923" s="122">
        <v>2046</v>
      </c>
      <c r="O923">
        <v>758</v>
      </c>
      <c r="P923">
        <v>351</v>
      </c>
      <c r="Q923">
        <v>130</v>
      </c>
      <c r="R923" s="122">
        <v>9366</v>
      </c>
      <c r="S923" s="122">
        <v>7805</v>
      </c>
      <c r="T923" s="122">
        <v>3633</v>
      </c>
      <c r="U923" s="122">
        <v>1346</v>
      </c>
      <c r="V923" s="122">
        <v>41139</v>
      </c>
      <c r="W923" s="122">
        <f t="shared" si="28"/>
        <v>41140</v>
      </c>
      <c r="X923" s="122">
        <f t="shared" si="29"/>
        <v>54122</v>
      </c>
      <c r="Y923" s="122"/>
    </row>
    <row r="924" spans="2:25">
      <c r="B924" t="s">
        <v>452</v>
      </c>
      <c r="C924" t="s">
        <v>48</v>
      </c>
      <c r="F924" s="122">
        <v>70</v>
      </c>
      <c r="G924" s="122">
        <v>5766</v>
      </c>
      <c r="H924" s="122">
        <v>3585</v>
      </c>
      <c r="J924" s="122">
        <v>0</v>
      </c>
      <c r="K924" s="122"/>
      <c r="M924">
        <v>0</v>
      </c>
      <c r="N924" s="122">
        <v>70253</v>
      </c>
      <c r="O924" s="122">
        <v>26020</v>
      </c>
      <c r="P924" s="122">
        <v>53574</v>
      </c>
      <c r="Q924" s="122">
        <v>19842</v>
      </c>
      <c r="S924">
        <v>0</v>
      </c>
      <c r="T924">
        <v>0</v>
      </c>
      <c r="U924">
        <v>0</v>
      </c>
      <c r="V924" s="122">
        <v>45862</v>
      </c>
      <c r="W924" s="122">
        <f t="shared" si="28"/>
        <v>45862</v>
      </c>
      <c r="X924" s="122">
        <f t="shared" si="29"/>
        <v>123827</v>
      </c>
      <c r="Y924" s="122"/>
    </row>
    <row r="925" spans="2:25">
      <c r="B925" t="s">
        <v>452</v>
      </c>
      <c r="C925" t="s">
        <v>48</v>
      </c>
      <c r="D925" t="s">
        <v>137</v>
      </c>
      <c r="E925" t="s">
        <v>137</v>
      </c>
      <c r="F925" s="122">
        <v>167</v>
      </c>
      <c r="G925" s="122">
        <v>12943</v>
      </c>
      <c r="H925" s="122">
        <v>8663</v>
      </c>
      <c r="I925" s="122">
        <v>-126747</v>
      </c>
      <c r="J925" s="122">
        <v>-46943</v>
      </c>
      <c r="K925" s="122">
        <v>562</v>
      </c>
      <c r="L925">
        <v>0</v>
      </c>
      <c r="M925">
        <v>0</v>
      </c>
      <c r="N925" s="122">
        <v>176862</v>
      </c>
      <c r="O925" s="122">
        <v>65504</v>
      </c>
      <c r="P925" s="122">
        <v>116396</v>
      </c>
      <c r="Q925" s="122">
        <v>43110</v>
      </c>
      <c r="R925" s="122">
        <v>500492</v>
      </c>
      <c r="S925" s="122">
        <v>185367</v>
      </c>
      <c r="T925">
        <v>0</v>
      </c>
      <c r="U925">
        <v>0</v>
      </c>
      <c r="V925" s="122">
        <v>247038</v>
      </c>
      <c r="W925" s="122">
        <f t="shared" si="28"/>
        <v>340924</v>
      </c>
      <c r="X925" s="122">
        <f t="shared" si="29"/>
        <v>920497</v>
      </c>
      <c r="Y925" s="122"/>
    </row>
    <row r="926" spans="2:25">
      <c r="B926" t="s">
        <v>452</v>
      </c>
      <c r="C926" t="s">
        <v>48</v>
      </c>
      <c r="D926" t="s">
        <v>407</v>
      </c>
      <c r="E926" t="s">
        <v>407</v>
      </c>
      <c r="F926">
        <v>201</v>
      </c>
      <c r="G926" s="122">
        <v>16413</v>
      </c>
      <c r="H926" s="122">
        <v>10793</v>
      </c>
      <c r="I926" s="122">
        <v>-116481</v>
      </c>
      <c r="J926" s="122">
        <v>-105892</v>
      </c>
      <c r="K926" s="122">
        <v>91</v>
      </c>
      <c r="L926">
        <v>152</v>
      </c>
      <c r="M926">
        <v>56</v>
      </c>
      <c r="N926" s="122">
        <v>200904</v>
      </c>
      <c r="O926" s="122">
        <v>74409</v>
      </c>
      <c r="P926" s="122">
        <v>231547</v>
      </c>
      <c r="Q926" s="122">
        <v>85758</v>
      </c>
      <c r="R926" s="122">
        <v>559195</v>
      </c>
      <c r="S926" s="122">
        <v>508359</v>
      </c>
      <c r="T926">
        <v>0</v>
      </c>
      <c r="U926">
        <v>0</v>
      </c>
      <c r="V926" s="122">
        <v>562690</v>
      </c>
      <c r="W926" s="122">
        <f t="shared" si="28"/>
        <v>774474</v>
      </c>
      <c r="X926" s="122">
        <f t="shared" si="29"/>
        <v>1108279</v>
      </c>
      <c r="Y926" s="122"/>
    </row>
    <row r="927" spans="2:25">
      <c r="B927" t="s">
        <v>452</v>
      </c>
      <c r="C927" t="s">
        <v>50</v>
      </c>
      <c r="F927">
        <v>4</v>
      </c>
      <c r="G927" s="122">
        <v>282</v>
      </c>
      <c r="H927">
        <v>360</v>
      </c>
      <c r="J927">
        <v>0</v>
      </c>
      <c r="M927">
        <v>0</v>
      </c>
      <c r="N927" s="122">
        <v>4727</v>
      </c>
      <c r="O927" s="122">
        <v>1751</v>
      </c>
      <c r="P927">
        <v>0</v>
      </c>
      <c r="Q927">
        <v>0</v>
      </c>
      <c r="S927">
        <v>0</v>
      </c>
      <c r="T927">
        <v>0</v>
      </c>
      <c r="U927">
        <v>0</v>
      </c>
      <c r="V927" s="122">
        <v>1751</v>
      </c>
      <c r="W927" s="122">
        <f t="shared" si="28"/>
        <v>1751</v>
      </c>
      <c r="X927" s="122">
        <f t="shared" si="29"/>
        <v>4727</v>
      </c>
      <c r="Y927" s="122"/>
    </row>
    <row r="928" spans="2:25">
      <c r="B928" t="s">
        <v>452</v>
      </c>
      <c r="C928" t="s">
        <v>50</v>
      </c>
      <c r="D928" t="s">
        <v>137</v>
      </c>
      <c r="E928" t="s">
        <v>137</v>
      </c>
      <c r="F928">
        <v>1</v>
      </c>
      <c r="G928">
        <v>92</v>
      </c>
      <c r="H928" s="122">
        <v>100</v>
      </c>
      <c r="I928" s="122">
        <v>1917</v>
      </c>
      <c r="J928" s="122">
        <v>710</v>
      </c>
      <c r="K928" s="122">
        <v>100</v>
      </c>
      <c r="L928">
        <v>0</v>
      </c>
      <c r="M928">
        <v>0</v>
      </c>
      <c r="N928" s="122">
        <v>1778</v>
      </c>
      <c r="O928">
        <v>659</v>
      </c>
      <c r="P928">
        <v>0</v>
      </c>
      <c r="Q928">
        <v>0</v>
      </c>
      <c r="R928" s="122">
        <v>5527</v>
      </c>
      <c r="S928" s="122">
        <v>2047</v>
      </c>
      <c r="T928">
        <v>0</v>
      </c>
      <c r="U928">
        <v>0</v>
      </c>
      <c r="V928" s="122">
        <v>3416</v>
      </c>
      <c r="W928" s="122">
        <f t="shared" si="28"/>
        <v>3416</v>
      </c>
      <c r="X928" s="122">
        <f t="shared" si="29"/>
        <v>9222</v>
      </c>
      <c r="Y928" s="122"/>
    </row>
    <row r="929" spans="2:25">
      <c r="B929" t="s">
        <v>452</v>
      </c>
      <c r="C929" t="s">
        <v>50</v>
      </c>
      <c r="D929" t="s">
        <v>407</v>
      </c>
      <c r="E929" t="s">
        <v>407</v>
      </c>
      <c r="F929" s="122">
        <v>149</v>
      </c>
      <c r="G929" s="122">
        <v>11780</v>
      </c>
      <c r="H929" s="122">
        <v>13577</v>
      </c>
      <c r="I929" s="122">
        <v>411735</v>
      </c>
      <c r="J929" s="122">
        <v>374305</v>
      </c>
      <c r="K929" s="122">
        <v>89</v>
      </c>
      <c r="L929" s="122">
        <v>14950</v>
      </c>
      <c r="M929" s="122">
        <v>8932</v>
      </c>
      <c r="N929" s="122">
        <v>202999</v>
      </c>
      <c r="O929" s="122">
        <v>75185</v>
      </c>
      <c r="P929" s="122">
        <v>72283</v>
      </c>
      <c r="Q929" s="122">
        <v>26771</v>
      </c>
      <c r="R929" s="122">
        <v>371943</v>
      </c>
      <c r="S929" s="122">
        <v>338130</v>
      </c>
      <c r="T929" s="122">
        <v>2459</v>
      </c>
      <c r="U929">
        <v>911</v>
      </c>
      <c r="V929" s="122">
        <v>824233</v>
      </c>
      <c r="W929" s="122">
        <f t="shared" si="28"/>
        <v>824234</v>
      </c>
      <c r="X929" s="122">
        <f t="shared" si="29"/>
        <v>1076369</v>
      </c>
      <c r="Y929" s="122"/>
    </row>
    <row r="930" spans="2:25">
      <c r="B930" t="s">
        <v>452</v>
      </c>
      <c r="C930" t="s">
        <v>52</v>
      </c>
      <c r="F930" s="122">
        <v>6</v>
      </c>
      <c r="G930" s="122">
        <v>423</v>
      </c>
      <c r="H930" s="122">
        <v>692</v>
      </c>
      <c r="J930" s="122">
        <v>0</v>
      </c>
      <c r="K930" s="122"/>
      <c r="M930">
        <v>0</v>
      </c>
      <c r="N930" s="122">
        <v>6852</v>
      </c>
      <c r="O930" s="122">
        <v>2538</v>
      </c>
      <c r="P930">
        <v>0</v>
      </c>
      <c r="Q930">
        <v>0</v>
      </c>
      <c r="S930">
        <v>0</v>
      </c>
      <c r="T930">
        <v>0</v>
      </c>
      <c r="U930">
        <v>0</v>
      </c>
      <c r="V930" s="122">
        <v>2538</v>
      </c>
      <c r="W930" s="122">
        <f t="shared" si="28"/>
        <v>2538</v>
      </c>
      <c r="X930" s="122">
        <f t="shared" si="29"/>
        <v>6852</v>
      </c>
      <c r="Y930" s="122"/>
    </row>
    <row r="931" spans="2:25">
      <c r="B931" t="s">
        <v>452</v>
      </c>
      <c r="C931" t="s">
        <v>52</v>
      </c>
      <c r="D931" t="s">
        <v>405</v>
      </c>
      <c r="E931" t="s">
        <v>407</v>
      </c>
      <c r="F931">
        <v>1</v>
      </c>
      <c r="G931" s="122">
        <v>72</v>
      </c>
      <c r="H931" s="122">
        <v>120</v>
      </c>
      <c r="I931" s="122">
        <v>2285</v>
      </c>
      <c r="J931" s="122">
        <v>2077</v>
      </c>
      <c r="K931" s="122">
        <v>79</v>
      </c>
      <c r="L931">
        <v>467</v>
      </c>
      <c r="M931">
        <v>173</v>
      </c>
      <c r="N931" s="122">
        <v>1093</v>
      </c>
      <c r="O931">
        <v>405</v>
      </c>
      <c r="P931">
        <v>473</v>
      </c>
      <c r="Q931">
        <v>175</v>
      </c>
      <c r="R931" s="122">
        <v>4285</v>
      </c>
      <c r="S931" s="122">
        <v>3895</v>
      </c>
      <c r="T931">
        <v>0</v>
      </c>
      <c r="U931">
        <v>0</v>
      </c>
      <c r="V931" s="122">
        <v>6725</v>
      </c>
      <c r="W931" s="122">
        <f t="shared" si="28"/>
        <v>6725</v>
      </c>
      <c r="X931" s="122">
        <f t="shared" si="29"/>
        <v>8603</v>
      </c>
      <c r="Y931" s="122"/>
    </row>
    <row r="932" spans="2:25">
      <c r="B932" t="s">
        <v>452</v>
      </c>
      <c r="C932" t="s">
        <v>52</v>
      </c>
      <c r="D932" t="s">
        <v>137</v>
      </c>
      <c r="E932" t="s">
        <v>137</v>
      </c>
      <c r="F932">
        <v>10</v>
      </c>
      <c r="G932" s="122">
        <v>775</v>
      </c>
      <c r="H932" s="122">
        <v>1190</v>
      </c>
      <c r="I932" s="122">
        <v>16284</v>
      </c>
      <c r="J932" s="122">
        <v>6031</v>
      </c>
      <c r="K932" s="122">
        <v>100</v>
      </c>
      <c r="L932" s="122">
        <v>1902</v>
      </c>
      <c r="M932">
        <v>790</v>
      </c>
      <c r="N932" s="122">
        <v>14935</v>
      </c>
      <c r="O932" s="122">
        <v>5532</v>
      </c>
      <c r="P932">
        <v>0</v>
      </c>
      <c r="Q932">
        <v>0</v>
      </c>
      <c r="R932" s="122">
        <v>59075</v>
      </c>
      <c r="S932" s="122">
        <v>21880</v>
      </c>
      <c r="T932">
        <v>0</v>
      </c>
      <c r="U932">
        <v>0</v>
      </c>
      <c r="V932" s="122">
        <v>34233</v>
      </c>
      <c r="W932" s="122">
        <f t="shared" si="28"/>
        <v>34233</v>
      </c>
      <c r="X932" s="122">
        <f t="shared" si="29"/>
        <v>92196</v>
      </c>
      <c r="Y932" s="122"/>
    </row>
    <row r="933" spans="2:25">
      <c r="B933" t="s">
        <v>452</v>
      </c>
      <c r="C933" t="s">
        <v>52</v>
      </c>
      <c r="D933" t="s">
        <v>407</v>
      </c>
      <c r="E933" t="s">
        <v>407</v>
      </c>
      <c r="F933">
        <v>351</v>
      </c>
      <c r="G933" s="122">
        <v>28922</v>
      </c>
      <c r="H933" s="122">
        <v>40358</v>
      </c>
      <c r="I933" s="122">
        <v>1201469</v>
      </c>
      <c r="J933" s="122">
        <v>1092244</v>
      </c>
      <c r="K933">
        <v>85</v>
      </c>
      <c r="L933" s="122">
        <v>127980</v>
      </c>
      <c r="M933" s="122">
        <v>87612</v>
      </c>
      <c r="N933" s="122">
        <v>534535</v>
      </c>
      <c r="O933" s="122">
        <v>197976</v>
      </c>
      <c r="P933" s="122">
        <v>167522</v>
      </c>
      <c r="Q933" s="122">
        <v>62045</v>
      </c>
      <c r="R933" s="122">
        <v>1270851</v>
      </c>
      <c r="S933" s="122">
        <v>1155319</v>
      </c>
      <c r="T933" s="122">
        <v>28512</v>
      </c>
      <c r="U933" s="122">
        <v>10560</v>
      </c>
      <c r="V933" s="122">
        <v>2605757</v>
      </c>
      <c r="W933" s="122">
        <f t="shared" si="28"/>
        <v>2605756</v>
      </c>
      <c r="X933" s="122">
        <f t="shared" si="29"/>
        <v>3330869</v>
      </c>
      <c r="Y933" s="122"/>
    </row>
    <row r="934" spans="2:25">
      <c r="B934" t="s">
        <v>452</v>
      </c>
      <c r="C934" t="s">
        <v>54</v>
      </c>
      <c r="D934" t="s">
        <v>137</v>
      </c>
      <c r="E934" t="s">
        <v>137</v>
      </c>
      <c r="F934" s="122">
        <v>62</v>
      </c>
      <c r="G934" s="122">
        <v>4849</v>
      </c>
      <c r="H934" s="122">
        <v>8673</v>
      </c>
      <c r="I934" s="122">
        <v>153774</v>
      </c>
      <c r="J934" s="122">
        <v>56953</v>
      </c>
      <c r="K934" s="122">
        <v>100</v>
      </c>
      <c r="L934" s="122">
        <v>18048</v>
      </c>
      <c r="M934" s="122">
        <v>6684</v>
      </c>
      <c r="N934" s="122">
        <v>103109</v>
      </c>
      <c r="O934" s="122">
        <v>38189</v>
      </c>
      <c r="P934">
        <v>0</v>
      </c>
      <c r="Q934">
        <v>0</v>
      </c>
      <c r="R934" s="122">
        <v>402843</v>
      </c>
      <c r="S934" s="122">
        <v>149201</v>
      </c>
      <c r="T934">
        <v>0</v>
      </c>
      <c r="U934">
        <v>0</v>
      </c>
      <c r="V934" s="122">
        <v>251027</v>
      </c>
      <c r="W934" s="122">
        <f t="shared" si="28"/>
        <v>251027</v>
      </c>
      <c r="X934" s="122">
        <f t="shared" si="29"/>
        <v>677774</v>
      </c>
      <c r="Y934" s="122"/>
    </row>
    <row r="935" spans="2:25">
      <c r="B935" t="s">
        <v>452</v>
      </c>
      <c r="C935" t="s">
        <v>54</v>
      </c>
      <c r="D935" t="s">
        <v>407</v>
      </c>
      <c r="E935" t="s">
        <v>407</v>
      </c>
      <c r="F935" s="122">
        <v>602</v>
      </c>
      <c r="G935" s="122">
        <v>50489</v>
      </c>
      <c r="H935" s="122">
        <v>83699</v>
      </c>
      <c r="I935" s="122">
        <v>2770069</v>
      </c>
      <c r="J935" s="122">
        <v>2518245</v>
      </c>
      <c r="K935" s="122">
        <v>82</v>
      </c>
      <c r="L935" s="122">
        <v>302363</v>
      </c>
      <c r="M935" s="122">
        <v>196130</v>
      </c>
      <c r="N935" s="122">
        <v>1027569</v>
      </c>
      <c r="O935" s="122">
        <v>380581</v>
      </c>
      <c r="P935" s="122">
        <v>287741</v>
      </c>
      <c r="Q935" s="122">
        <v>106571</v>
      </c>
      <c r="R935" s="122">
        <v>2452614</v>
      </c>
      <c r="S935" s="122">
        <v>2229649</v>
      </c>
      <c r="T935" s="122">
        <v>184243</v>
      </c>
      <c r="U935" s="122">
        <v>68238</v>
      </c>
      <c r="V935" s="122">
        <v>5499414</v>
      </c>
      <c r="W935" s="122">
        <f t="shared" si="28"/>
        <v>5499414</v>
      </c>
      <c r="X935" s="122">
        <f t="shared" si="29"/>
        <v>7024599</v>
      </c>
      <c r="Y935" s="122"/>
    </row>
    <row r="936" spans="2:25">
      <c r="B936" t="s">
        <v>452</v>
      </c>
      <c r="C936" t="s">
        <v>56</v>
      </c>
      <c r="F936">
        <v>10</v>
      </c>
      <c r="G936" s="122">
        <v>546</v>
      </c>
      <c r="H936" s="122">
        <v>1685</v>
      </c>
      <c r="J936" s="122">
        <v>0</v>
      </c>
      <c r="K936" s="122"/>
      <c r="M936">
        <v>0</v>
      </c>
      <c r="N936" s="122">
        <v>6656</v>
      </c>
      <c r="O936" s="122">
        <v>2465</v>
      </c>
      <c r="P936">
        <v>945</v>
      </c>
      <c r="Q936">
        <v>350</v>
      </c>
      <c r="S936">
        <v>0</v>
      </c>
      <c r="T936">
        <v>0</v>
      </c>
      <c r="U936">
        <v>0</v>
      </c>
      <c r="V936" s="122">
        <v>2815</v>
      </c>
      <c r="W936" s="122">
        <f t="shared" si="28"/>
        <v>2815</v>
      </c>
      <c r="X936" s="122">
        <f t="shared" si="29"/>
        <v>7601</v>
      </c>
      <c r="Y936" s="122"/>
    </row>
    <row r="937" spans="2:25">
      <c r="B937" t="s">
        <v>452</v>
      </c>
      <c r="C937" t="s">
        <v>56</v>
      </c>
      <c r="D937" t="s">
        <v>137</v>
      </c>
      <c r="E937" t="s">
        <v>137</v>
      </c>
      <c r="F937">
        <v>712</v>
      </c>
      <c r="G937" s="122">
        <v>51451</v>
      </c>
      <c r="H937" s="122">
        <v>136577</v>
      </c>
      <c r="I937" s="122">
        <v>3740971</v>
      </c>
      <c r="J937" s="122">
        <v>1385545</v>
      </c>
      <c r="K937" s="122">
        <v>100</v>
      </c>
      <c r="L937" s="122">
        <v>490711</v>
      </c>
      <c r="M937" s="122">
        <v>184325</v>
      </c>
      <c r="N937" s="122">
        <v>1060734</v>
      </c>
      <c r="O937" s="122">
        <v>392864</v>
      </c>
      <c r="P937" s="122">
        <v>19237</v>
      </c>
      <c r="Q937" s="122">
        <v>7125</v>
      </c>
      <c r="R937" s="122">
        <v>4550876</v>
      </c>
      <c r="S937" s="122">
        <v>1685509</v>
      </c>
      <c r="T937" s="122">
        <v>1858</v>
      </c>
      <c r="U937">
        <v>688</v>
      </c>
      <c r="V937" s="122">
        <v>3656056</v>
      </c>
      <c r="W937" s="122">
        <f t="shared" si="28"/>
        <v>3656056</v>
      </c>
      <c r="X937" s="122">
        <f t="shared" si="29"/>
        <v>9864387</v>
      </c>
      <c r="Y937" s="122"/>
    </row>
    <row r="938" spans="2:25">
      <c r="B938" t="s">
        <v>452</v>
      </c>
      <c r="C938" t="s">
        <v>56</v>
      </c>
      <c r="D938" t="s">
        <v>137</v>
      </c>
      <c r="E938" t="s">
        <v>407</v>
      </c>
      <c r="F938">
        <v>1</v>
      </c>
      <c r="G938" s="122">
        <v>77</v>
      </c>
      <c r="H938">
        <v>223</v>
      </c>
      <c r="I938" s="122">
        <v>13015</v>
      </c>
      <c r="J938" s="122">
        <v>4820</v>
      </c>
      <c r="K938" s="122">
        <v>100</v>
      </c>
      <c r="L938">
        <v>0</v>
      </c>
      <c r="M938">
        <v>0</v>
      </c>
      <c r="N938">
        <v>940</v>
      </c>
      <c r="O938">
        <v>348</v>
      </c>
      <c r="P938">
        <v>122</v>
      </c>
      <c r="Q938">
        <v>45</v>
      </c>
      <c r="R938" s="122">
        <v>3098</v>
      </c>
      <c r="S938" s="122">
        <v>2817</v>
      </c>
      <c r="T938">
        <v>0</v>
      </c>
      <c r="U938">
        <v>0</v>
      </c>
      <c r="V938" s="122">
        <v>8030</v>
      </c>
      <c r="W938" s="122">
        <f t="shared" si="28"/>
        <v>8030</v>
      </c>
      <c r="X938" s="122">
        <f t="shared" si="29"/>
        <v>17175</v>
      </c>
      <c r="Y938" s="122"/>
    </row>
    <row r="939" spans="2:25">
      <c r="B939" t="s">
        <v>452</v>
      </c>
      <c r="C939" t="s">
        <v>56</v>
      </c>
      <c r="D939" t="s">
        <v>407</v>
      </c>
      <c r="E939" t="s">
        <v>405</v>
      </c>
      <c r="F939">
        <v>1</v>
      </c>
      <c r="G939">
        <v>69</v>
      </c>
      <c r="H939" s="122">
        <v>199</v>
      </c>
      <c r="I939" s="122">
        <v>5455</v>
      </c>
      <c r="J939" s="122">
        <v>4960</v>
      </c>
      <c r="K939" s="122">
        <v>79</v>
      </c>
      <c r="L939" s="122">
        <v>1177</v>
      </c>
      <c r="M939">
        <v>436</v>
      </c>
      <c r="N939" s="122">
        <v>1671</v>
      </c>
      <c r="O939">
        <v>619</v>
      </c>
      <c r="P939">
        <v>473</v>
      </c>
      <c r="Q939">
        <v>175</v>
      </c>
      <c r="R939" s="122">
        <v>4833</v>
      </c>
      <c r="S939" s="122">
        <v>4394</v>
      </c>
      <c r="T939">
        <v>0</v>
      </c>
      <c r="U939">
        <v>0</v>
      </c>
      <c r="V939" s="122">
        <v>10583</v>
      </c>
      <c r="W939" s="122">
        <f t="shared" ref="W939:W1002" si="30">SUM(ABS(J939),ABS(M939),ABS(O939),ABS(Q939),ABS(S939),ABS(U939))</f>
        <v>10584</v>
      </c>
      <c r="X939" s="122">
        <f t="shared" ref="X939:X1002" si="31">SUM(ABS(I939),ABS(N939),ABS(P939),ABS(R939),ABS(T939),ABS(L939))</f>
        <v>13609</v>
      </c>
    </row>
    <row r="940" spans="2:25">
      <c r="B940" t="s">
        <v>452</v>
      </c>
      <c r="C940" t="s">
        <v>56</v>
      </c>
      <c r="D940" t="s">
        <v>407</v>
      </c>
      <c r="E940" t="s">
        <v>137</v>
      </c>
      <c r="F940" s="122">
        <v>1</v>
      </c>
      <c r="G940" s="122">
        <v>81</v>
      </c>
      <c r="H940" s="122">
        <v>218</v>
      </c>
      <c r="I940" s="122">
        <v>6476</v>
      </c>
      <c r="J940" s="122">
        <v>5888</v>
      </c>
      <c r="K940" s="122">
        <v>80</v>
      </c>
      <c r="L940">
        <v>0</v>
      </c>
      <c r="M940">
        <v>0</v>
      </c>
      <c r="N940" s="122">
        <v>1962</v>
      </c>
      <c r="O940">
        <v>727</v>
      </c>
      <c r="P940">
        <v>473</v>
      </c>
      <c r="Q940">
        <v>175</v>
      </c>
      <c r="R940" s="122">
        <v>8619</v>
      </c>
      <c r="S940" s="122">
        <v>3192</v>
      </c>
      <c r="T940">
        <v>0</v>
      </c>
      <c r="U940">
        <v>0</v>
      </c>
      <c r="V940" s="122">
        <v>9981</v>
      </c>
      <c r="W940" s="122">
        <f t="shared" si="30"/>
        <v>9982</v>
      </c>
      <c r="X940" s="122">
        <f t="shared" si="31"/>
        <v>17530</v>
      </c>
    </row>
    <row r="941" spans="2:25">
      <c r="B941" t="s">
        <v>452</v>
      </c>
      <c r="C941" t="s">
        <v>56</v>
      </c>
      <c r="D941" t="s">
        <v>407</v>
      </c>
      <c r="E941" t="s">
        <v>407</v>
      </c>
      <c r="F941" s="122">
        <v>1153</v>
      </c>
      <c r="G941" s="122">
        <v>87712</v>
      </c>
      <c r="H941" s="122">
        <v>204540</v>
      </c>
      <c r="I941" s="122">
        <v>7016695</v>
      </c>
      <c r="J941" s="122">
        <v>6378814</v>
      </c>
      <c r="K941" s="122">
        <v>80</v>
      </c>
      <c r="L941" s="122">
        <v>798226</v>
      </c>
      <c r="M941" s="122">
        <v>508191</v>
      </c>
      <c r="N941" s="122">
        <v>1823404</v>
      </c>
      <c r="O941" s="122">
        <v>675335</v>
      </c>
      <c r="P941" s="122">
        <v>548707</v>
      </c>
      <c r="Q941" s="122">
        <v>203225</v>
      </c>
      <c r="R941" s="122">
        <v>4903628</v>
      </c>
      <c r="S941" s="122">
        <v>4457844</v>
      </c>
      <c r="T941" s="122">
        <v>560906</v>
      </c>
      <c r="U941" s="122">
        <v>207743</v>
      </c>
      <c r="V941" s="122">
        <v>12431150</v>
      </c>
      <c r="W941" s="122">
        <f t="shared" si="30"/>
        <v>12431152</v>
      </c>
      <c r="X941" s="122">
        <f t="shared" si="31"/>
        <v>15651566</v>
      </c>
    </row>
    <row r="942" spans="2:25">
      <c r="B942" t="s">
        <v>452</v>
      </c>
      <c r="C942" t="s">
        <v>58</v>
      </c>
      <c r="D942" t="s">
        <v>137</v>
      </c>
      <c r="E942" t="s">
        <v>137</v>
      </c>
      <c r="F942">
        <v>647</v>
      </c>
      <c r="G942" s="122">
        <v>44416</v>
      </c>
      <c r="H942" s="122">
        <v>168546</v>
      </c>
      <c r="I942" s="122">
        <v>5823890</v>
      </c>
      <c r="J942" s="122">
        <v>2156996</v>
      </c>
      <c r="K942" s="122">
        <v>100</v>
      </c>
      <c r="L942" s="122">
        <v>612416</v>
      </c>
      <c r="M942" s="122">
        <v>236441</v>
      </c>
      <c r="N942" s="122">
        <v>914522</v>
      </c>
      <c r="O942" s="122">
        <v>338712</v>
      </c>
      <c r="P942" s="122">
        <v>14508</v>
      </c>
      <c r="Q942" s="122">
        <v>5373</v>
      </c>
      <c r="R942" s="122">
        <v>4197974</v>
      </c>
      <c r="S942" s="122">
        <v>1554805</v>
      </c>
      <c r="T942" s="122">
        <v>4115</v>
      </c>
      <c r="U942" s="122">
        <v>1524</v>
      </c>
      <c r="V942" s="122">
        <v>4293851</v>
      </c>
      <c r="W942" s="122">
        <f t="shared" si="30"/>
        <v>4293851</v>
      </c>
      <c r="X942" s="122">
        <f t="shared" si="31"/>
        <v>11567425</v>
      </c>
    </row>
    <row r="943" spans="2:25">
      <c r="B943" t="s">
        <v>452</v>
      </c>
      <c r="C943" t="s">
        <v>58</v>
      </c>
      <c r="D943" t="s">
        <v>137</v>
      </c>
      <c r="E943" t="s">
        <v>407</v>
      </c>
      <c r="F943">
        <v>1</v>
      </c>
      <c r="G943">
        <v>43</v>
      </c>
      <c r="H943" s="122">
        <v>233</v>
      </c>
      <c r="I943" s="122">
        <v>6074</v>
      </c>
      <c r="J943" s="122">
        <v>2249</v>
      </c>
      <c r="K943" s="122">
        <v>100</v>
      </c>
      <c r="L943">
        <v>0</v>
      </c>
      <c r="M943">
        <v>0</v>
      </c>
      <c r="N943">
        <v>659</v>
      </c>
      <c r="O943">
        <v>244</v>
      </c>
      <c r="P943">
        <v>0</v>
      </c>
      <c r="Q943">
        <v>0</v>
      </c>
      <c r="R943" s="122">
        <v>3377</v>
      </c>
      <c r="S943" s="122">
        <v>3070</v>
      </c>
      <c r="T943">
        <v>0</v>
      </c>
      <c r="U943">
        <v>0</v>
      </c>
      <c r="V943" s="122">
        <v>5564</v>
      </c>
      <c r="W943" s="122">
        <f t="shared" si="30"/>
        <v>5563</v>
      </c>
      <c r="X943" s="122">
        <f t="shared" si="31"/>
        <v>10110</v>
      </c>
    </row>
    <row r="944" spans="2:25">
      <c r="B944" t="s">
        <v>452</v>
      </c>
      <c r="C944" t="s">
        <v>58</v>
      </c>
      <c r="D944" t="s">
        <v>406</v>
      </c>
      <c r="E944" t="s">
        <v>406</v>
      </c>
      <c r="F944">
        <v>1</v>
      </c>
      <c r="G944" s="122">
        <v>111</v>
      </c>
      <c r="H944" s="122">
        <v>291</v>
      </c>
      <c r="I944" s="122">
        <v>20197</v>
      </c>
      <c r="J944" s="122">
        <v>18361</v>
      </c>
      <c r="K944" s="122">
        <v>85</v>
      </c>
      <c r="L944" s="122">
        <v>3951</v>
      </c>
      <c r="M944" s="122">
        <v>3293</v>
      </c>
      <c r="N944" s="122">
        <v>2239</v>
      </c>
      <c r="O944">
        <v>829</v>
      </c>
      <c r="P944">
        <v>621</v>
      </c>
      <c r="Q944">
        <v>230</v>
      </c>
      <c r="R944" s="122">
        <v>3290</v>
      </c>
      <c r="S944" s="122">
        <v>2991</v>
      </c>
      <c r="T944" s="122">
        <v>2125</v>
      </c>
      <c r="U944">
        <v>787</v>
      </c>
      <c r="V944" s="122">
        <v>26491</v>
      </c>
      <c r="W944" s="122">
        <f t="shared" si="30"/>
        <v>26491</v>
      </c>
      <c r="X944" s="122">
        <f t="shared" si="31"/>
        <v>32423</v>
      </c>
    </row>
    <row r="945" spans="2:24">
      <c r="B945" t="s">
        <v>452</v>
      </c>
      <c r="C945" t="s">
        <v>58</v>
      </c>
      <c r="D945" t="s">
        <v>407</v>
      </c>
      <c r="E945" t="s">
        <v>407</v>
      </c>
      <c r="F945">
        <v>131</v>
      </c>
      <c r="G945" s="122">
        <v>8674</v>
      </c>
      <c r="H945" s="122">
        <v>32441</v>
      </c>
      <c r="I945" s="122">
        <v>1085763</v>
      </c>
      <c r="J945" s="122">
        <v>987057</v>
      </c>
      <c r="K945">
        <v>78</v>
      </c>
      <c r="L945" s="122">
        <v>171078</v>
      </c>
      <c r="M945" s="122">
        <v>119006</v>
      </c>
      <c r="N945" s="122">
        <v>180883</v>
      </c>
      <c r="O945" s="122">
        <v>66994</v>
      </c>
      <c r="P945" s="122">
        <v>61553</v>
      </c>
      <c r="Q945" s="122">
        <v>22798</v>
      </c>
      <c r="R945" s="122">
        <v>541573</v>
      </c>
      <c r="S945" s="122">
        <v>492339</v>
      </c>
      <c r="T945" s="122">
        <v>125241</v>
      </c>
      <c r="U945" s="122">
        <v>46386</v>
      </c>
      <c r="V945" s="122">
        <v>1734579</v>
      </c>
      <c r="W945" s="122">
        <f t="shared" si="30"/>
        <v>1734580</v>
      </c>
      <c r="X945" s="122">
        <f t="shared" si="31"/>
        <v>2166091</v>
      </c>
    </row>
    <row r="946" spans="2:24">
      <c r="B946" t="s">
        <v>452</v>
      </c>
      <c r="C946" t="s">
        <v>60</v>
      </c>
      <c r="D946" t="s">
        <v>137</v>
      </c>
      <c r="E946" t="s">
        <v>137</v>
      </c>
      <c r="F946" s="122">
        <v>230</v>
      </c>
      <c r="G946" s="122">
        <v>13844</v>
      </c>
      <c r="H946" s="122">
        <v>76906</v>
      </c>
      <c r="I946" s="122">
        <v>2613057</v>
      </c>
      <c r="J946" s="122">
        <v>967799</v>
      </c>
      <c r="K946" s="122">
        <v>100</v>
      </c>
      <c r="L946" s="122">
        <v>280301</v>
      </c>
      <c r="M946" s="122">
        <v>115175</v>
      </c>
      <c r="N946" s="122">
        <v>287735</v>
      </c>
      <c r="O946" s="122">
        <v>106568</v>
      </c>
      <c r="P946" s="122">
        <v>3159</v>
      </c>
      <c r="Q946" s="122">
        <v>1170</v>
      </c>
      <c r="R946" s="122">
        <v>1433530</v>
      </c>
      <c r="S946" s="122">
        <v>530937</v>
      </c>
      <c r="T946">
        <v>0</v>
      </c>
      <c r="U946">
        <v>0</v>
      </c>
      <c r="V946" s="122">
        <v>1721649</v>
      </c>
      <c r="W946" s="122">
        <f t="shared" si="30"/>
        <v>1721649</v>
      </c>
      <c r="X946" s="122">
        <f t="shared" si="31"/>
        <v>4617782</v>
      </c>
    </row>
    <row r="947" spans="2:24">
      <c r="B947" t="s">
        <v>452</v>
      </c>
      <c r="C947" t="s">
        <v>60</v>
      </c>
      <c r="D947" t="s">
        <v>406</v>
      </c>
      <c r="E947" t="s">
        <v>406</v>
      </c>
      <c r="F947" s="122">
        <v>6</v>
      </c>
      <c r="G947">
        <v>580</v>
      </c>
      <c r="H947" s="122">
        <v>2083</v>
      </c>
      <c r="I947" s="122">
        <v>125768</v>
      </c>
      <c r="J947" s="122">
        <v>114334</v>
      </c>
      <c r="K947" s="122">
        <v>70</v>
      </c>
      <c r="L947" s="122">
        <v>20817</v>
      </c>
      <c r="M947" s="122">
        <v>18150</v>
      </c>
      <c r="N947" s="122">
        <v>11110</v>
      </c>
      <c r="O947" s="122">
        <v>4115</v>
      </c>
      <c r="P947" s="122">
        <v>3105</v>
      </c>
      <c r="Q947" s="122">
        <v>1150</v>
      </c>
      <c r="R947" s="122">
        <v>28715</v>
      </c>
      <c r="S947" s="122">
        <v>26104</v>
      </c>
      <c r="T947" s="122">
        <v>11354</v>
      </c>
      <c r="U947" s="122">
        <v>4205</v>
      </c>
      <c r="V947" s="122">
        <v>168059</v>
      </c>
      <c r="W947" s="122">
        <f t="shared" si="30"/>
        <v>168058</v>
      </c>
      <c r="X947" s="122">
        <f t="shared" si="31"/>
        <v>200869</v>
      </c>
    </row>
    <row r="948" spans="2:24">
      <c r="B948" t="s">
        <v>452</v>
      </c>
      <c r="C948" t="s">
        <v>60</v>
      </c>
      <c r="D948" t="s">
        <v>407</v>
      </c>
      <c r="E948" t="s">
        <v>407</v>
      </c>
      <c r="F948">
        <v>9</v>
      </c>
      <c r="G948">
        <v>503</v>
      </c>
      <c r="H948" s="122">
        <v>2943</v>
      </c>
      <c r="I948" s="122">
        <v>104066</v>
      </c>
      <c r="J948" s="122">
        <v>94605</v>
      </c>
      <c r="K948" s="122">
        <v>77</v>
      </c>
      <c r="L948" s="122">
        <v>14349</v>
      </c>
      <c r="M948" s="122">
        <v>11607</v>
      </c>
      <c r="N948" s="122">
        <v>10438</v>
      </c>
      <c r="O948" s="122">
        <v>3866</v>
      </c>
      <c r="P948" s="122">
        <v>4253</v>
      </c>
      <c r="Q948" s="122">
        <v>1575</v>
      </c>
      <c r="R948" s="122">
        <v>32291</v>
      </c>
      <c r="S948" s="122">
        <v>29355</v>
      </c>
      <c r="T948" s="122">
        <v>7070</v>
      </c>
      <c r="U948" s="122">
        <v>2618</v>
      </c>
      <c r="V948" s="122">
        <v>143627</v>
      </c>
      <c r="W948" s="122">
        <f t="shared" si="30"/>
        <v>143626</v>
      </c>
      <c r="X948" s="122">
        <f t="shared" si="31"/>
        <v>172467</v>
      </c>
    </row>
    <row r="949" spans="2:24">
      <c r="B949" t="s">
        <v>452</v>
      </c>
      <c r="C949" t="s">
        <v>60</v>
      </c>
      <c r="D949" t="s">
        <v>556</v>
      </c>
      <c r="E949" t="s">
        <v>137</v>
      </c>
      <c r="F949">
        <v>1</v>
      </c>
      <c r="G949">
        <v>59</v>
      </c>
      <c r="H949" s="122">
        <v>362</v>
      </c>
      <c r="I949" s="122">
        <v>12100</v>
      </c>
      <c r="J949" s="122">
        <v>10084</v>
      </c>
      <c r="K949" s="122">
        <v>55</v>
      </c>
      <c r="L949" s="122">
        <v>1664</v>
      </c>
      <c r="M949">
        <v>616</v>
      </c>
      <c r="N949" s="122">
        <v>1073</v>
      </c>
      <c r="O949">
        <v>397</v>
      </c>
      <c r="P949">
        <v>351</v>
      </c>
      <c r="Q949">
        <v>130</v>
      </c>
      <c r="R949" s="122">
        <v>6076</v>
      </c>
      <c r="S949" s="122">
        <v>2250</v>
      </c>
      <c r="T949">
        <v>0</v>
      </c>
      <c r="U949">
        <v>0</v>
      </c>
      <c r="V949" s="122">
        <v>13478</v>
      </c>
      <c r="W949" s="122">
        <f t="shared" si="30"/>
        <v>13477</v>
      </c>
      <c r="X949" s="122">
        <f t="shared" si="31"/>
        <v>21264</v>
      </c>
    </row>
    <row r="950" spans="2:24">
      <c r="B950" t="s">
        <v>452</v>
      </c>
      <c r="C950" t="s">
        <v>62</v>
      </c>
      <c r="D950" t="s">
        <v>137</v>
      </c>
      <c r="E950" t="s">
        <v>137</v>
      </c>
      <c r="F950">
        <v>49</v>
      </c>
      <c r="G950" s="122">
        <v>2442</v>
      </c>
      <c r="H950" s="122">
        <v>20070</v>
      </c>
      <c r="I950" s="122">
        <v>603199</v>
      </c>
      <c r="J950" s="122">
        <v>223407</v>
      </c>
      <c r="K950" s="122">
        <v>100</v>
      </c>
      <c r="L950" s="122">
        <v>77073</v>
      </c>
      <c r="M950" s="122">
        <v>30279</v>
      </c>
      <c r="N950" s="122">
        <v>47916</v>
      </c>
      <c r="O950" s="122">
        <v>17747</v>
      </c>
      <c r="P950" s="122">
        <v>1404</v>
      </c>
      <c r="Q950">
        <v>520</v>
      </c>
      <c r="R950" s="122">
        <v>271089</v>
      </c>
      <c r="S950" s="122">
        <v>100403</v>
      </c>
      <c r="T950">
        <v>0</v>
      </c>
      <c r="U950">
        <v>0</v>
      </c>
      <c r="V950" s="122">
        <v>372357</v>
      </c>
      <c r="W950" s="122">
        <f t="shared" si="30"/>
        <v>372356</v>
      </c>
      <c r="X950" s="122">
        <f t="shared" si="31"/>
        <v>1000681</v>
      </c>
    </row>
    <row r="951" spans="2:24">
      <c r="B951" t="s">
        <v>452</v>
      </c>
      <c r="C951" t="s">
        <v>64</v>
      </c>
      <c r="D951" t="s">
        <v>137</v>
      </c>
      <c r="E951" t="s">
        <v>137</v>
      </c>
      <c r="F951">
        <v>10</v>
      </c>
      <c r="G951" s="122">
        <v>512</v>
      </c>
      <c r="H951" s="122">
        <v>5688</v>
      </c>
      <c r="I951" s="122">
        <v>203919</v>
      </c>
      <c r="J951" s="122">
        <v>75525</v>
      </c>
      <c r="K951" s="122">
        <v>100</v>
      </c>
      <c r="L951" s="122">
        <v>21060</v>
      </c>
      <c r="M951" s="122">
        <v>14187</v>
      </c>
      <c r="N951" s="122">
        <v>10576</v>
      </c>
      <c r="O951" s="122">
        <v>3917</v>
      </c>
      <c r="P951">
        <v>702</v>
      </c>
      <c r="Q951">
        <v>260</v>
      </c>
      <c r="R951" s="122">
        <v>62262</v>
      </c>
      <c r="S951" s="122">
        <v>23060</v>
      </c>
      <c r="T951">
        <v>0</v>
      </c>
      <c r="U951">
        <v>0</v>
      </c>
      <c r="V951" s="122">
        <v>116949</v>
      </c>
      <c r="W951" s="122">
        <f t="shared" si="30"/>
        <v>116949</v>
      </c>
      <c r="X951" s="122">
        <f t="shared" si="31"/>
        <v>298519</v>
      </c>
    </row>
    <row r="952" spans="2:24">
      <c r="B952" t="s">
        <v>452</v>
      </c>
      <c r="C952" t="s">
        <v>64</v>
      </c>
      <c r="D952" t="s">
        <v>406</v>
      </c>
      <c r="E952" t="s">
        <v>406</v>
      </c>
      <c r="F952">
        <v>1</v>
      </c>
      <c r="G952" s="122">
        <v>83</v>
      </c>
      <c r="H952" s="122">
        <v>451</v>
      </c>
      <c r="I952" s="122">
        <v>23994</v>
      </c>
      <c r="J952" s="122">
        <v>21813</v>
      </c>
      <c r="K952" s="122">
        <v>65</v>
      </c>
      <c r="L952" s="122">
        <v>5991</v>
      </c>
      <c r="M952" s="122">
        <v>4993</v>
      </c>
      <c r="N952" s="122">
        <v>1348</v>
      </c>
      <c r="O952">
        <v>499</v>
      </c>
      <c r="P952">
        <v>621</v>
      </c>
      <c r="Q952">
        <v>230</v>
      </c>
      <c r="R952" s="122">
        <v>3818</v>
      </c>
      <c r="S952" s="122">
        <v>3471</v>
      </c>
      <c r="T952" s="122">
        <v>1763</v>
      </c>
      <c r="U952">
        <v>653</v>
      </c>
      <c r="V952" s="122">
        <v>31659</v>
      </c>
      <c r="W952" s="122">
        <f t="shared" si="30"/>
        <v>31659</v>
      </c>
      <c r="X952" s="122">
        <f t="shared" si="31"/>
        <v>37535</v>
      </c>
    </row>
    <row r="953" spans="2:24">
      <c r="B953" t="s">
        <v>453</v>
      </c>
      <c r="C953" t="s">
        <v>48</v>
      </c>
      <c r="F953" s="122">
        <v>106</v>
      </c>
      <c r="G953" s="122">
        <v>8907</v>
      </c>
      <c r="H953" s="122">
        <v>5409</v>
      </c>
      <c r="J953" s="122">
        <v>0</v>
      </c>
      <c r="K953" s="122"/>
      <c r="M953">
        <v>0</v>
      </c>
      <c r="N953" s="122">
        <v>112135</v>
      </c>
      <c r="O953" s="122">
        <v>41531</v>
      </c>
      <c r="P953" s="122">
        <v>68895</v>
      </c>
      <c r="Q953" s="122">
        <v>25517</v>
      </c>
      <c r="S953">
        <v>0</v>
      </c>
      <c r="T953">
        <v>0</v>
      </c>
      <c r="U953">
        <v>0</v>
      </c>
      <c r="V953" s="122">
        <v>67048</v>
      </c>
      <c r="W953" s="122">
        <f t="shared" si="30"/>
        <v>67048</v>
      </c>
      <c r="X953" s="122">
        <f t="shared" si="31"/>
        <v>181030</v>
      </c>
    </row>
    <row r="954" spans="2:24">
      <c r="B954" t="s">
        <v>453</v>
      </c>
      <c r="C954" t="s">
        <v>48</v>
      </c>
      <c r="D954" t="s">
        <v>407</v>
      </c>
      <c r="E954" t="s">
        <v>407</v>
      </c>
      <c r="F954">
        <v>36</v>
      </c>
      <c r="G954" s="122">
        <v>3161</v>
      </c>
      <c r="H954" s="122">
        <v>1792</v>
      </c>
      <c r="I954" s="122">
        <v>-47813</v>
      </c>
      <c r="J954" s="122">
        <v>-43466</v>
      </c>
      <c r="K954" s="122">
        <v>91</v>
      </c>
      <c r="L954">
        <v>0</v>
      </c>
      <c r="M954">
        <v>0</v>
      </c>
      <c r="N954" s="122">
        <v>40908</v>
      </c>
      <c r="O954" s="122">
        <v>15151</v>
      </c>
      <c r="P954" s="122">
        <v>43902</v>
      </c>
      <c r="Q954" s="122">
        <v>16260</v>
      </c>
      <c r="R954" s="122">
        <v>118064</v>
      </c>
      <c r="S954" s="122">
        <v>107331</v>
      </c>
      <c r="T954">
        <v>0</v>
      </c>
      <c r="U954">
        <v>0</v>
      </c>
      <c r="V954" s="122">
        <v>95276</v>
      </c>
      <c r="W954" s="122">
        <f t="shared" si="30"/>
        <v>182208</v>
      </c>
      <c r="X954" s="122">
        <f t="shared" si="31"/>
        <v>250687</v>
      </c>
    </row>
    <row r="955" spans="2:24">
      <c r="B955" t="s">
        <v>453</v>
      </c>
      <c r="C955" t="s">
        <v>50</v>
      </c>
      <c r="F955">
        <v>7</v>
      </c>
      <c r="G955">
        <v>608</v>
      </c>
      <c r="H955" s="122">
        <v>684</v>
      </c>
      <c r="J955">
        <v>0</v>
      </c>
      <c r="K955" s="122"/>
      <c r="M955">
        <v>0</v>
      </c>
      <c r="N955" s="122">
        <v>14809</v>
      </c>
      <c r="O955" s="122">
        <v>5485</v>
      </c>
      <c r="P955" s="122">
        <v>7620</v>
      </c>
      <c r="Q955" s="122">
        <v>2822</v>
      </c>
      <c r="S955">
        <v>0</v>
      </c>
      <c r="T955">
        <v>0</v>
      </c>
      <c r="U955">
        <v>0</v>
      </c>
      <c r="V955" s="122">
        <v>8307</v>
      </c>
      <c r="W955" s="122">
        <f t="shared" si="30"/>
        <v>8307</v>
      </c>
      <c r="X955" s="122">
        <f t="shared" si="31"/>
        <v>22429</v>
      </c>
    </row>
    <row r="956" spans="2:24">
      <c r="B956" t="s">
        <v>453</v>
      </c>
      <c r="C956" t="s">
        <v>50</v>
      </c>
      <c r="D956" t="s">
        <v>407</v>
      </c>
      <c r="E956" t="s">
        <v>407</v>
      </c>
      <c r="F956" s="122">
        <v>12</v>
      </c>
      <c r="G956" s="122">
        <v>1180</v>
      </c>
      <c r="H956" s="122">
        <v>1114</v>
      </c>
      <c r="I956" s="122">
        <v>24116</v>
      </c>
      <c r="J956" s="122">
        <v>21923</v>
      </c>
      <c r="K956" s="122">
        <v>83</v>
      </c>
      <c r="L956" s="122">
        <v>3849</v>
      </c>
      <c r="M956" s="122">
        <v>1652</v>
      </c>
      <c r="N956" s="122">
        <v>24338</v>
      </c>
      <c r="O956" s="122">
        <v>9014</v>
      </c>
      <c r="P956" s="122">
        <v>7416</v>
      </c>
      <c r="Q956" s="122">
        <v>2747</v>
      </c>
      <c r="R956" s="122">
        <v>50777</v>
      </c>
      <c r="S956" s="122">
        <v>46160</v>
      </c>
      <c r="T956">
        <v>0</v>
      </c>
      <c r="U956">
        <v>0</v>
      </c>
      <c r="V956" s="122">
        <v>81497</v>
      </c>
      <c r="W956" s="122">
        <f t="shared" si="30"/>
        <v>81496</v>
      </c>
      <c r="X956" s="122">
        <f t="shared" si="31"/>
        <v>110496</v>
      </c>
    </row>
    <row r="957" spans="2:24">
      <c r="B957" t="s">
        <v>453</v>
      </c>
      <c r="C957" t="s">
        <v>52</v>
      </c>
      <c r="F957">
        <v>26</v>
      </c>
      <c r="G957" s="122">
        <v>2333</v>
      </c>
      <c r="H957" s="122">
        <v>2924</v>
      </c>
      <c r="J957" s="122">
        <v>0</v>
      </c>
      <c r="K957" s="122"/>
      <c r="M957">
        <v>0</v>
      </c>
      <c r="N957" s="122">
        <v>56841</v>
      </c>
      <c r="O957" s="122">
        <v>21052</v>
      </c>
      <c r="P957" s="122">
        <v>29232</v>
      </c>
      <c r="Q957" s="122">
        <v>10827</v>
      </c>
      <c r="S957">
        <v>0</v>
      </c>
      <c r="T957">
        <v>0</v>
      </c>
      <c r="U957">
        <v>0</v>
      </c>
      <c r="V957" s="122">
        <v>31879</v>
      </c>
      <c r="W957" s="122">
        <f t="shared" si="30"/>
        <v>31879</v>
      </c>
      <c r="X957" s="122">
        <f t="shared" si="31"/>
        <v>86073</v>
      </c>
    </row>
    <row r="958" spans="2:24">
      <c r="B958" t="s">
        <v>453</v>
      </c>
      <c r="C958" t="s">
        <v>52</v>
      </c>
      <c r="D958" t="s">
        <v>137</v>
      </c>
      <c r="E958" t="s">
        <v>137</v>
      </c>
      <c r="F958" s="122">
        <v>1</v>
      </c>
      <c r="G958" s="122">
        <v>87</v>
      </c>
      <c r="H958" s="122">
        <v>123</v>
      </c>
      <c r="I958" s="122">
        <v>2381</v>
      </c>
      <c r="J958" s="122">
        <v>882</v>
      </c>
      <c r="K958" s="122">
        <v>100</v>
      </c>
      <c r="L958">
        <v>0</v>
      </c>
      <c r="M958">
        <v>0</v>
      </c>
      <c r="N958" s="122">
        <v>1478</v>
      </c>
      <c r="O958">
        <v>547</v>
      </c>
      <c r="P958">
        <v>0</v>
      </c>
      <c r="Q958">
        <v>0</v>
      </c>
      <c r="R958" s="122">
        <v>6832</v>
      </c>
      <c r="S958" s="122">
        <v>2530</v>
      </c>
      <c r="T958">
        <v>0</v>
      </c>
      <c r="U958">
        <v>0</v>
      </c>
      <c r="V958" s="122">
        <v>3959</v>
      </c>
      <c r="W958" s="122">
        <f t="shared" si="30"/>
        <v>3959</v>
      </c>
      <c r="X958" s="122">
        <f t="shared" si="31"/>
        <v>10691</v>
      </c>
    </row>
    <row r="959" spans="2:24">
      <c r="B959" t="s">
        <v>453</v>
      </c>
      <c r="C959" t="s">
        <v>52</v>
      </c>
      <c r="D959" t="s">
        <v>407</v>
      </c>
      <c r="E959" t="s">
        <v>407</v>
      </c>
      <c r="F959">
        <v>146</v>
      </c>
      <c r="G959" s="122">
        <v>13043</v>
      </c>
      <c r="H959" s="122">
        <v>17017</v>
      </c>
      <c r="I959" s="122">
        <v>475150</v>
      </c>
      <c r="J959" s="122">
        <v>431954</v>
      </c>
      <c r="K959" s="122">
        <v>83</v>
      </c>
      <c r="L959" s="122">
        <v>55592</v>
      </c>
      <c r="M959" s="122">
        <v>36365</v>
      </c>
      <c r="N959" s="122">
        <v>269862</v>
      </c>
      <c r="O959" s="122">
        <v>99949</v>
      </c>
      <c r="P959" s="122">
        <v>73712</v>
      </c>
      <c r="Q959" s="122">
        <v>27301</v>
      </c>
      <c r="R959" s="122">
        <v>609230</v>
      </c>
      <c r="S959" s="122">
        <v>553846</v>
      </c>
      <c r="T959" s="122">
        <v>34837</v>
      </c>
      <c r="U959" s="122">
        <v>12903</v>
      </c>
      <c r="V959" s="122">
        <v>1162317</v>
      </c>
      <c r="W959" s="122">
        <f t="shared" si="30"/>
        <v>1162318</v>
      </c>
      <c r="X959" s="122">
        <f t="shared" si="31"/>
        <v>1518383</v>
      </c>
    </row>
    <row r="960" spans="2:24">
      <c r="B960" t="s">
        <v>453</v>
      </c>
      <c r="C960" t="s">
        <v>54</v>
      </c>
      <c r="F960" s="122">
        <v>15</v>
      </c>
      <c r="G960" s="122">
        <v>1305</v>
      </c>
      <c r="H960" s="122">
        <v>2055</v>
      </c>
      <c r="J960">
        <v>0</v>
      </c>
      <c r="K960" s="122"/>
      <c r="M960">
        <v>0</v>
      </c>
      <c r="N960" s="122">
        <v>31792</v>
      </c>
      <c r="O960" s="122">
        <v>11775</v>
      </c>
      <c r="P960" s="122">
        <v>18262</v>
      </c>
      <c r="Q960" s="122">
        <v>6764</v>
      </c>
      <c r="S960">
        <v>0</v>
      </c>
      <c r="T960">
        <v>0</v>
      </c>
      <c r="U960">
        <v>0</v>
      </c>
      <c r="V960" s="122">
        <v>18538</v>
      </c>
      <c r="W960" s="122">
        <f t="shared" si="30"/>
        <v>18539</v>
      </c>
      <c r="X960" s="122">
        <f t="shared" si="31"/>
        <v>50054</v>
      </c>
    </row>
    <row r="961" spans="2:24">
      <c r="B961" t="s">
        <v>453</v>
      </c>
      <c r="C961" t="s">
        <v>54</v>
      </c>
      <c r="D961" t="s">
        <v>137</v>
      </c>
      <c r="E961" t="s">
        <v>137</v>
      </c>
      <c r="F961" s="122">
        <v>3</v>
      </c>
      <c r="G961" s="122">
        <v>246</v>
      </c>
      <c r="H961" s="122">
        <v>415</v>
      </c>
      <c r="I961" s="122">
        <v>7863</v>
      </c>
      <c r="J961" s="122">
        <v>2912</v>
      </c>
      <c r="K961" s="122">
        <v>100</v>
      </c>
      <c r="L961">
        <v>729</v>
      </c>
      <c r="M961">
        <v>270</v>
      </c>
      <c r="N961" s="122">
        <v>4951</v>
      </c>
      <c r="O961" s="122">
        <v>1834</v>
      </c>
      <c r="P961">
        <v>0</v>
      </c>
      <c r="Q961">
        <v>0</v>
      </c>
      <c r="R961" s="122">
        <v>20339</v>
      </c>
      <c r="S961" s="122">
        <v>7533</v>
      </c>
      <c r="T961">
        <v>0</v>
      </c>
      <c r="U961">
        <v>0</v>
      </c>
      <c r="V961" s="122">
        <v>12549</v>
      </c>
      <c r="W961" s="122">
        <f t="shared" si="30"/>
        <v>12549</v>
      </c>
      <c r="X961" s="122">
        <f t="shared" si="31"/>
        <v>33882</v>
      </c>
    </row>
    <row r="962" spans="2:24">
      <c r="B962" t="s">
        <v>453</v>
      </c>
      <c r="C962" t="s">
        <v>54</v>
      </c>
      <c r="D962" t="s">
        <v>407</v>
      </c>
      <c r="E962" t="s">
        <v>407</v>
      </c>
      <c r="F962" s="122">
        <v>304</v>
      </c>
      <c r="G962" s="122">
        <v>22796</v>
      </c>
      <c r="H962" s="122">
        <v>41933</v>
      </c>
      <c r="I962" s="122">
        <v>1088431</v>
      </c>
      <c r="J962" s="122">
        <v>989482</v>
      </c>
      <c r="K962" s="122">
        <v>81</v>
      </c>
      <c r="L962" s="122">
        <v>89623</v>
      </c>
      <c r="M962" s="122">
        <v>43737</v>
      </c>
      <c r="N962" s="122">
        <v>491971</v>
      </c>
      <c r="O962" s="122">
        <v>182212</v>
      </c>
      <c r="P962" s="122">
        <v>146519</v>
      </c>
      <c r="Q962" s="122">
        <v>54266</v>
      </c>
      <c r="R962" s="122">
        <v>1223501</v>
      </c>
      <c r="S962" s="122">
        <v>1112274</v>
      </c>
      <c r="T962" s="122">
        <v>101147</v>
      </c>
      <c r="U962" s="122">
        <v>37462</v>
      </c>
      <c r="V962" s="122">
        <v>2419433</v>
      </c>
      <c r="W962" s="122">
        <f t="shared" si="30"/>
        <v>2419433</v>
      </c>
      <c r="X962" s="122">
        <f t="shared" si="31"/>
        <v>3141192</v>
      </c>
    </row>
    <row r="963" spans="2:24">
      <c r="B963" t="s">
        <v>453</v>
      </c>
      <c r="C963" t="s">
        <v>56</v>
      </c>
      <c r="F963" s="122">
        <v>4</v>
      </c>
      <c r="G963" s="122">
        <v>207</v>
      </c>
      <c r="H963" s="122">
        <v>721</v>
      </c>
      <c r="J963" s="122">
        <v>0</v>
      </c>
      <c r="K963" s="122"/>
      <c r="M963">
        <v>0</v>
      </c>
      <c r="N963" s="122">
        <v>5038</v>
      </c>
      <c r="O963" s="122">
        <v>1866</v>
      </c>
      <c r="P963" s="122">
        <v>2168</v>
      </c>
      <c r="Q963">
        <v>803</v>
      </c>
      <c r="S963">
        <v>0</v>
      </c>
      <c r="T963">
        <v>0</v>
      </c>
      <c r="U963">
        <v>0</v>
      </c>
      <c r="V963" s="122">
        <v>2669</v>
      </c>
      <c r="W963" s="122">
        <f t="shared" si="30"/>
        <v>2669</v>
      </c>
      <c r="X963" s="122">
        <f t="shared" si="31"/>
        <v>7206</v>
      </c>
    </row>
    <row r="964" spans="2:24">
      <c r="B964" t="s">
        <v>453</v>
      </c>
      <c r="C964" t="s">
        <v>56</v>
      </c>
      <c r="D964" t="s">
        <v>137</v>
      </c>
      <c r="E964" t="s">
        <v>137</v>
      </c>
      <c r="F964" s="122">
        <v>93</v>
      </c>
      <c r="G964" s="122">
        <v>6793</v>
      </c>
      <c r="H964" s="122">
        <v>18216</v>
      </c>
      <c r="I964" s="122">
        <v>523501</v>
      </c>
      <c r="J964" s="122">
        <v>193889</v>
      </c>
      <c r="K964" s="122">
        <v>100</v>
      </c>
      <c r="L964" s="122">
        <v>74850</v>
      </c>
      <c r="M964" s="122">
        <v>28453</v>
      </c>
      <c r="N964" s="122">
        <v>127844</v>
      </c>
      <c r="O964" s="122">
        <v>47349</v>
      </c>
      <c r="P964" s="122">
        <v>1755</v>
      </c>
      <c r="Q964">
        <v>650</v>
      </c>
      <c r="R964" s="122">
        <v>602449</v>
      </c>
      <c r="S964" s="122">
        <v>223129</v>
      </c>
      <c r="T964">
        <v>0</v>
      </c>
      <c r="U964">
        <v>0</v>
      </c>
      <c r="V964" s="122">
        <v>493471</v>
      </c>
      <c r="W964" s="122">
        <f t="shared" si="30"/>
        <v>493470</v>
      </c>
      <c r="X964" s="122">
        <f t="shared" si="31"/>
        <v>1330399</v>
      </c>
    </row>
    <row r="965" spans="2:24">
      <c r="B965" t="s">
        <v>453</v>
      </c>
      <c r="C965" t="s">
        <v>56</v>
      </c>
      <c r="D965" t="s">
        <v>406</v>
      </c>
      <c r="E965" t="s">
        <v>406</v>
      </c>
      <c r="F965">
        <v>4</v>
      </c>
      <c r="G965" s="122">
        <v>408</v>
      </c>
      <c r="H965">
        <v>802</v>
      </c>
      <c r="I965" s="122">
        <v>42084</v>
      </c>
      <c r="J965" s="122">
        <v>38258</v>
      </c>
      <c r="K965" s="122">
        <v>87</v>
      </c>
      <c r="L965" s="122">
        <v>7478</v>
      </c>
      <c r="M965" s="122">
        <v>6508</v>
      </c>
      <c r="N965" s="122">
        <v>6895</v>
      </c>
      <c r="O965" s="122">
        <v>2554</v>
      </c>
      <c r="P965" s="122">
        <v>2484</v>
      </c>
      <c r="Q965">
        <v>920</v>
      </c>
      <c r="R965" s="122">
        <v>18132</v>
      </c>
      <c r="S965" s="122">
        <v>16484</v>
      </c>
      <c r="T965" s="122">
        <v>5547</v>
      </c>
      <c r="U965" s="122">
        <v>2054</v>
      </c>
      <c r="V965" s="122">
        <v>66778</v>
      </c>
      <c r="W965" s="122">
        <f t="shared" si="30"/>
        <v>66778</v>
      </c>
      <c r="X965" s="122">
        <f t="shared" si="31"/>
        <v>82620</v>
      </c>
    </row>
    <row r="966" spans="2:24">
      <c r="B966" t="s">
        <v>453</v>
      </c>
      <c r="C966" t="s">
        <v>56</v>
      </c>
      <c r="D966" t="s">
        <v>407</v>
      </c>
      <c r="E966" t="s">
        <v>137</v>
      </c>
      <c r="F966">
        <v>1</v>
      </c>
      <c r="G966">
        <v>78</v>
      </c>
      <c r="H966" s="122">
        <v>213</v>
      </c>
      <c r="I966" s="122">
        <v>8593</v>
      </c>
      <c r="J966" s="122">
        <v>7812</v>
      </c>
      <c r="K966" s="122">
        <v>80</v>
      </c>
      <c r="L966" s="122">
        <v>1201</v>
      </c>
      <c r="M966" s="122">
        <v>1092</v>
      </c>
      <c r="N966">
        <v>950</v>
      </c>
      <c r="O966">
        <v>352</v>
      </c>
      <c r="P966">
        <v>473</v>
      </c>
      <c r="Q966">
        <v>175</v>
      </c>
      <c r="R966" s="122">
        <v>5402</v>
      </c>
      <c r="S966" s="122">
        <v>2001</v>
      </c>
      <c r="T966">
        <v>0</v>
      </c>
      <c r="U966">
        <v>0</v>
      </c>
      <c r="V966" s="122">
        <v>11431</v>
      </c>
      <c r="W966" s="122">
        <f t="shared" si="30"/>
        <v>11432</v>
      </c>
      <c r="X966" s="122">
        <f t="shared" si="31"/>
        <v>16619</v>
      </c>
    </row>
    <row r="967" spans="2:24">
      <c r="B967" t="s">
        <v>453</v>
      </c>
      <c r="C967" t="s">
        <v>56</v>
      </c>
      <c r="D967" t="s">
        <v>407</v>
      </c>
      <c r="E967" t="s">
        <v>407</v>
      </c>
      <c r="F967" s="122">
        <v>453</v>
      </c>
      <c r="G967" s="122">
        <v>33133</v>
      </c>
      <c r="H967" s="122">
        <v>81698</v>
      </c>
      <c r="I967" s="122">
        <v>2573880</v>
      </c>
      <c r="J967" s="122">
        <v>2339891</v>
      </c>
      <c r="K967" s="122">
        <v>82</v>
      </c>
      <c r="L967" s="122">
        <v>374427</v>
      </c>
      <c r="M967" s="122">
        <v>251909</v>
      </c>
      <c r="N967" s="122">
        <v>728756</v>
      </c>
      <c r="O967" s="122">
        <v>269910</v>
      </c>
      <c r="P967" s="122">
        <v>216891</v>
      </c>
      <c r="Q967" s="122">
        <v>80330</v>
      </c>
      <c r="R967" s="122">
        <v>1791356</v>
      </c>
      <c r="S967" s="122">
        <v>1628505</v>
      </c>
      <c r="T967" s="122">
        <v>312280</v>
      </c>
      <c r="U967" s="122">
        <v>115659</v>
      </c>
      <c r="V967" s="122">
        <v>4686204</v>
      </c>
      <c r="W967" s="122">
        <f t="shared" si="30"/>
        <v>4686204</v>
      </c>
      <c r="X967" s="122">
        <f t="shared" si="31"/>
        <v>5997590</v>
      </c>
    </row>
    <row r="968" spans="2:24">
      <c r="B968" t="s">
        <v>453</v>
      </c>
      <c r="C968" t="s">
        <v>58</v>
      </c>
      <c r="D968" t="s">
        <v>137</v>
      </c>
      <c r="E968" t="s">
        <v>137</v>
      </c>
      <c r="F968" s="122">
        <v>105</v>
      </c>
      <c r="G968" s="122">
        <v>7281</v>
      </c>
      <c r="H968" s="122">
        <v>27908</v>
      </c>
      <c r="I968" s="122">
        <v>992390</v>
      </c>
      <c r="J968" s="122">
        <v>367552</v>
      </c>
      <c r="K968" s="122">
        <v>100</v>
      </c>
      <c r="L968" s="122">
        <v>151798</v>
      </c>
      <c r="M968" s="122">
        <v>61418</v>
      </c>
      <c r="N968" s="122">
        <v>142092</v>
      </c>
      <c r="O968" s="122">
        <v>52627</v>
      </c>
      <c r="P968" s="122">
        <v>1664</v>
      </c>
      <c r="Q968">
        <v>616</v>
      </c>
      <c r="R968" s="122">
        <v>653182</v>
      </c>
      <c r="S968" s="122">
        <v>241919</v>
      </c>
      <c r="T968">
        <v>0</v>
      </c>
      <c r="U968">
        <v>0</v>
      </c>
      <c r="V968" s="122">
        <v>724132</v>
      </c>
      <c r="W968" s="122">
        <f t="shared" si="30"/>
        <v>724132</v>
      </c>
      <c r="X968" s="122">
        <f t="shared" si="31"/>
        <v>1941126</v>
      </c>
    </row>
    <row r="969" spans="2:24">
      <c r="B969" t="s">
        <v>453</v>
      </c>
      <c r="C969" t="s">
        <v>58</v>
      </c>
      <c r="D969" t="s">
        <v>406</v>
      </c>
      <c r="E969" t="s">
        <v>406</v>
      </c>
      <c r="F969">
        <v>3</v>
      </c>
      <c r="G969">
        <v>638</v>
      </c>
      <c r="H969" s="122">
        <v>777</v>
      </c>
      <c r="I969" s="122">
        <v>102927</v>
      </c>
      <c r="J969" s="122">
        <v>93570</v>
      </c>
      <c r="K969" s="122">
        <v>74</v>
      </c>
      <c r="L969" s="122">
        <v>25398</v>
      </c>
      <c r="M969" s="122">
        <v>21747</v>
      </c>
      <c r="N969" s="122">
        <v>12786</v>
      </c>
      <c r="O969" s="122">
        <v>4735</v>
      </c>
      <c r="P969" s="122">
        <v>1863</v>
      </c>
      <c r="Q969">
        <v>690</v>
      </c>
      <c r="R969" s="122">
        <v>18241</v>
      </c>
      <c r="S969" s="122">
        <v>16583</v>
      </c>
      <c r="T969" s="122">
        <v>7550</v>
      </c>
      <c r="U969" s="122">
        <v>2796</v>
      </c>
      <c r="V969" s="122">
        <v>140121</v>
      </c>
      <c r="W969" s="122">
        <f t="shared" si="30"/>
        <v>140121</v>
      </c>
      <c r="X969" s="122">
        <f t="shared" si="31"/>
        <v>168765</v>
      </c>
    </row>
    <row r="970" spans="2:24">
      <c r="B970" t="s">
        <v>453</v>
      </c>
      <c r="C970" t="s">
        <v>58</v>
      </c>
      <c r="D970" t="s">
        <v>407</v>
      </c>
      <c r="E970" t="s">
        <v>137</v>
      </c>
      <c r="F970" s="122">
        <v>1</v>
      </c>
      <c r="G970" s="122">
        <v>39</v>
      </c>
      <c r="H970" s="122">
        <v>233</v>
      </c>
      <c r="I970" s="122">
        <v>3888</v>
      </c>
      <c r="J970" s="122">
        <v>3534</v>
      </c>
      <c r="K970" s="122">
        <v>87</v>
      </c>
      <c r="L970">
        <v>0</v>
      </c>
      <c r="M970">
        <v>0</v>
      </c>
      <c r="N970">
        <v>924</v>
      </c>
      <c r="O970">
        <v>342</v>
      </c>
      <c r="P970">
        <v>473</v>
      </c>
      <c r="Q970">
        <v>175</v>
      </c>
      <c r="R970" s="122">
        <v>3804</v>
      </c>
      <c r="S970" s="122">
        <v>1409</v>
      </c>
      <c r="T970">
        <v>0</v>
      </c>
      <c r="U970">
        <v>0</v>
      </c>
      <c r="V970" s="122">
        <v>5460</v>
      </c>
      <c r="W970" s="122">
        <f t="shared" si="30"/>
        <v>5460</v>
      </c>
      <c r="X970" s="122">
        <f t="shared" si="31"/>
        <v>9089</v>
      </c>
    </row>
    <row r="971" spans="2:24">
      <c r="B971" t="s">
        <v>453</v>
      </c>
      <c r="C971" t="s">
        <v>58</v>
      </c>
      <c r="D971" t="s">
        <v>407</v>
      </c>
      <c r="E971" t="s">
        <v>407</v>
      </c>
      <c r="F971">
        <v>60</v>
      </c>
      <c r="G971" s="122">
        <v>4053</v>
      </c>
      <c r="H971" s="122">
        <v>15387</v>
      </c>
      <c r="I971" s="122">
        <v>519864</v>
      </c>
      <c r="J971" s="122">
        <v>472604</v>
      </c>
      <c r="K971" s="122">
        <v>79</v>
      </c>
      <c r="L971" s="122">
        <v>110723</v>
      </c>
      <c r="M971" s="122">
        <v>91544</v>
      </c>
      <c r="N971" s="122">
        <v>81222</v>
      </c>
      <c r="O971" s="122">
        <v>30082</v>
      </c>
      <c r="P971" s="122">
        <v>28611</v>
      </c>
      <c r="Q971" s="122">
        <v>10597</v>
      </c>
      <c r="R971" s="122">
        <v>258543</v>
      </c>
      <c r="S971" s="122">
        <v>235039</v>
      </c>
      <c r="T971" s="122">
        <v>42931</v>
      </c>
      <c r="U971" s="122">
        <v>15900</v>
      </c>
      <c r="V971" s="122">
        <v>855766</v>
      </c>
      <c r="W971" s="122">
        <f t="shared" si="30"/>
        <v>855766</v>
      </c>
      <c r="X971" s="122">
        <f t="shared" si="31"/>
        <v>1041894</v>
      </c>
    </row>
    <row r="972" spans="2:24">
      <c r="B972" t="s">
        <v>453</v>
      </c>
      <c r="C972" t="s">
        <v>58</v>
      </c>
      <c r="D972" t="s">
        <v>556</v>
      </c>
      <c r="E972" t="s">
        <v>137</v>
      </c>
      <c r="F972">
        <v>1</v>
      </c>
      <c r="G972" s="122">
        <v>50</v>
      </c>
      <c r="H972">
        <v>278</v>
      </c>
      <c r="I972" s="122">
        <v>5669</v>
      </c>
      <c r="J972" s="122">
        <v>4724</v>
      </c>
      <c r="K972" s="122">
        <v>55</v>
      </c>
      <c r="L972">
        <v>779</v>
      </c>
      <c r="M972">
        <v>289</v>
      </c>
      <c r="N972" s="122">
        <v>1134</v>
      </c>
      <c r="O972">
        <v>420</v>
      </c>
      <c r="P972">
        <v>351</v>
      </c>
      <c r="Q972">
        <v>130</v>
      </c>
      <c r="R972" s="122">
        <v>5810</v>
      </c>
      <c r="S972" s="122">
        <v>2152</v>
      </c>
      <c r="T972">
        <v>0</v>
      </c>
      <c r="U972">
        <v>0</v>
      </c>
      <c r="V972" s="122">
        <v>7715</v>
      </c>
      <c r="W972" s="122">
        <f t="shared" si="30"/>
        <v>7715</v>
      </c>
      <c r="X972" s="122">
        <f t="shared" si="31"/>
        <v>13743</v>
      </c>
    </row>
    <row r="973" spans="2:24">
      <c r="B973" t="s">
        <v>453</v>
      </c>
      <c r="C973" t="s">
        <v>60</v>
      </c>
      <c r="F973" s="122">
        <v>1</v>
      </c>
      <c r="G973" s="122">
        <v>40</v>
      </c>
      <c r="H973" s="122">
        <v>341</v>
      </c>
      <c r="J973" s="122">
        <v>0</v>
      </c>
      <c r="K973" s="122"/>
      <c r="M973">
        <v>0</v>
      </c>
      <c r="N973">
        <v>888</v>
      </c>
      <c r="O973">
        <v>329</v>
      </c>
      <c r="P973">
        <v>122</v>
      </c>
      <c r="Q973">
        <v>45</v>
      </c>
      <c r="S973">
        <v>0</v>
      </c>
      <c r="T973">
        <v>0</v>
      </c>
      <c r="U973">
        <v>0</v>
      </c>
      <c r="V973">
        <v>374</v>
      </c>
      <c r="W973" s="122">
        <f t="shared" si="30"/>
        <v>374</v>
      </c>
      <c r="X973" s="122">
        <f t="shared" si="31"/>
        <v>1010</v>
      </c>
    </row>
    <row r="974" spans="2:24">
      <c r="B974" t="s">
        <v>453</v>
      </c>
      <c r="C974" t="s">
        <v>60</v>
      </c>
      <c r="D974" t="s">
        <v>137</v>
      </c>
      <c r="E974" t="s">
        <v>137</v>
      </c>
      <c r="F974">
        <v>43</v>
      </c>
      <c r="G974" s="122">
        <v>2753</v>
      </c>
      <c r="H974" s="122">
        <v>14403</v>
      </c>
      <c r="I974" s="122">
        <v>531121</v>
      </c>
      <c r="J974" s="122">
        <v>196711</v>
      </c>
      <c r="K974" s="122">
        <v>100</v>
      </c>
      <c r="L974" s="122">
        <v>66430</v>
      </c>
      <c r="M974" s="122">
        <v>29243</v>
      </c>
      <c r="N974" s="122">
        <v>58550</v>
      </c>
      <c r="O974" s="122">
        <v>21685</v>
      </c>
      <c r="P974">
        <v>824</v>
      </c>
      <c r="Q974">
        <v>305</v>
      </c>
      <c r="R974" s="122">
        <v>261319</v>
      </c>
      <c r="S974" s="122">
        <v>96785</v>
      </c>
      <c r="T974">
        <v>0</v>
      </c>
      <c r="U974">
        <v>0</v>
      </c>
      <c r="V974" s="122">
        <v>344730</v>
      </c>
      <c r="W974" s="122">
        <f t="shared" si="30"/>
        <v>344729</v>
      </c>
      <c r="X974" s="122">
        <f t="shared" si="31"/>
        <v>918244</v>
      </c>
    </row>
    <row r="975" spans="2:24">
      <c r="B975" t="s">
        <v>453</v>
      </c>
      <c r="C975" t="s">
        <v>60</v>
      </c>
      <c r="D975" t="s">
        <v>406</v>
      </c>
      <c r="E975" t="s">
        <v>406</v>
      </c>
      <c r="F975">
        <v>1</v>
      </c>
      <c r="G975">
        <v>75</v>
      </c>
      <c r="H975" s="122">
        <v>319</v>
      </c>
      <c r="I975" s="122">
        <v>13311</v>
      </c>
      <c r="J975" s="122">
        <v>12101</v>
      </c>
      <c r="K975" s="122">
        <v>93</v>
      </c>
      <c r="L975" s="122">
        <v>4980</v>
      </c>
      <c r="M975" s="122">
        <v>4150</v>
      </c>
      <c r="N975" s="122">
        <v>1480</v>
      </c>
      <c r="O975">
        <v>548</v>
      </c>
      <c r="P975">
        <v>621</v>
      </c>
      <c r="Q975">
        <v>230</v>
      </c>
      <c r="R975" s="122">
        <v>3708</v>
      </c>
      <c r="S975" s="122">
        <v>3371</v>
      </c>
      <c r="T975">
        <v>0</v>
      </c>
      <c r="U975">
        <v>0</v>
      </c>
      <c r="V975" s="122">
        <v>20399</v>
      </c>
      <c r="W975" s="122">
        <f t="shared" si="30"/>
        <v>20400</v>
      </c>
      <c r="X975" s="122">
        <f t="shared" si="31"/>
        <v>24100</v>
      </c>
    </row>
    <row r="976" spans="2:24">
      <c r="B976" t="s">
        <v>453</v>
      </c>
      <c r="C976" t="s">
        <v>60</v>
      </c>
      <c r="D976" t="s">
        <v>407</v>
      </c>
      <c r="E976" t="s">
        <v>407</v>
      </c>
      <c r="F976" s="122">
        <v>8</v>
      </c>
      <c r="G976" s="122">
        <v>502</v>
      </c>
      <c r="H976" s="122">
        <v>2656</v>
      </c>
      <c r="I976" s="122">
        <v>77396</v>
      </c>
      <c r="J976" s="122">
        <v>70360</v>
      </c>
      <c r="K976" s="122">
        <v>71</v>
      </c>
      <c r="L976" s="122">
        <v>23706</v>
      </c>
      <c r="M976" s="122">
        <v>20541</v>
      </c>
      <c r="N976" s="122">
        <v>10928</v>
      </c>
      <c r="O976" s="122">
        <v>4047</v>
      </c>
      <c r="P976" s="122">
        <v>3780</v>
      </c>
      <c r="Q976" s="122">
        <v>1400</v>
      </c>
      <c r="R976" s="122">
        <v>37538</v>
      </c>
      <c r="S976" s="122">
        <v>34125</v>
      </c>
      <c r="T976" s="122">
        <v>14027</v>
      </c>
      <c r="U976" s="122">
        <v>5195</v>
      </c>
      <c r="V976" s="122">
        <v>135669</v>
      </c>
      <c r="W976" s="122">
        <f t="shared" si="30"/>
        <v>135668</v>
      </c>
      <c r="X976" s="122">
        <f t="shared" si="31"/>
        <v>167375</v>
      </c>
    </row>
    <row r="977" spans="2:24">
      <c r="B977" t="s">
        <v>453</v>
      </c>
      <c r="C977" t="s">
        <v>60</v>
      </c>
      <c r="D977" t="s">
        <v>556</v>
      </c>
      <c r="E977" t="s">
        <v>137</v>
      </c>
      <c r="F977">
        <v>1</v>
      </c>
      <c r="G977" s="122">
        <v>45</v>
      </c>
      <c r="H977" s="122">
        <v>362</v>
      </c>
      <c r="I977" s="122">
        <v>9883</v>
      </c>
      <c r="J977" s="122">
        <v>8236</v>
      </c>
      <c r="K977" s="122">
        <v>30</v>
      </c>
      <c r="L977">
        <v>741</v>
      </c>
      <c r="M977">
        <v>275</v>
      </c>
      <c r="N977">
        <v>547</v>
      </c>
      <c r="O977">
        <v>203</v>
      </c>
      <c r="P977">
        <v>0</v>
      </c>
      <c r="Q977">
        <v>0</v>
      </c>
      <c r="R977" s="122">
        <v>5067</v>
      </c>
      <c r="S977" s="122">
        <v>1877</v>
      </c>
      <c r="T977">
        <v>0</v>
      </c>
      <c r="U977">
        <v>0</v>
      </c>
      <c r="V977" s="122">
        <v>10590</v>
      </c>
      <c r="W977" s="122">
        <f t="shared" si="30"/>
        <v>10591</v>
      </c>
      <c r="X977" s="122">
        <f t="shared" si="31"/>
        <v>16238</v>
      </c>
    </row>
    <row r="978" spans="2:24">
      <c r="B978" t="s">
        <v>453</v>
      </c>
      <c r="C978" t="s">
        <v>62</v>
      </c>
      <c r="D978" t="s">
        <v>137</v>
      </c>
      <c r="E978" t="s">
        <v>137</v>
      </c>
      <c r="F978">
        <v>1</v>
      </c>
      <c r="G978" s="122">
        <v>43</v>
      </c>
      <c r="H978" s="122">
        <v>438</v>
      </c>
      <c r="I978" s="122">
        <v>8682</v>
      </c>
      <c r="J978" s="122">
        <v>3215</v>
      </c>
      <c r="K978" s="122">
        <v>100</v>
      </c>
      <c r="L978" s="122">
        <v>3215</v>
      </c>
      <c r="M978" s="122">
        <v>2680</v>
      </c>
      <c r="N978" s="122">
        <v>1058</v>
      </c>
      <c r="O978">
        <v>392</v>
      </c>
      <c r="P978">
        <v>0</v>
      </c>
      <c r="Q978">
        <v>0</v>
      </c>
      <c r="R978" s="122">
        <v>6081</v>
      </c>
      <c r="S978" s="122">
        <v>2252</v>
      </c>
      <c r="T978">
        <v>0</v>
      </c>
      <c r="U978">
        <v>0</v>
      </c>
      <c r="V978" s="122">
        <v>8539</v>
      </c>
      <c r="W978" s="122">
        <f t="shared" si="30"/>
        <v>8539</v>
      </c>
      <c r="X978" s="122">
        <f t="shared" si="31"/>
        <v>19036</v>
      </c>
    </row>
    <row r="979" spans="2:24">
      <c r="B979" t="s">
        <v>453</v>
      </c>
      <c r="C979" t="s">
        <v>62</v>
      </c>
      <c r="D979" t="s">
        <v>406</v>
      </c>
      <c r="E979" t="s">
        <v>406</v>
      </c>
      <c r="F979">
        <v>1</v>
      </c>
      <c r="G979">
        <v>91</v>
      </c>
      <c r="H979">
        <v>440</v>
      </c>
      <c r="I979" s="122">
        <v>31000</v>
      </c>
      <c r="J979" s="122">
        <v>28182</v>
      </c>
      <c r="K979" s="122">
        <v>79</v>
      </c>
      <c r="L979">
        <v>0</v>
      </c>
      <c r="M979">
        <v>0</v>
      </c>
      <c r="N979" s="122">
        <v>2225</v>
      </c>
      <c r="O979">
        <v>824</v>
      </c>
      <c r="P979">
        <v>621</v>
      </c>
      <c r="Q979">
        <v>230</v>
      </c>
      <c r="R979" s="122">
        <v>6330</v>
      </c>
      <c r="S979" s="122">
        <v>5755</v>
      </c>
      <c r="T979">
        <v>0</v>
      </c>
      <c r="U979">
        <v>0</v>
      </c>
      <c r="V979" s="122">
        <v>34991</v>
      </c>
      <c r="W979" s="122">
        <f t="shared" si="30"/>
        <v>34991</v>
      </c>
      <c r="X979" s="122">
        <f t="shared" si="31"/>
        <v>40176</v>
      </c>
    </row>
    <row r="980" spans="2:24">
      <c r="B980" t="s">
        <v>453</v>
      </c>
      <c r="C980" t="s">
        <v>62</v>
      </c>
      <c r="D980" t="s">
        <v>407</v>
      </c>
      <c r="E980" t="s">
        <v>407</v>
      </c>
      <c r="F980">
        <v>3</v>
      </c>
      <c r="G980">
        <v>245</v>
      </c>
      <c r="H980" s="122">
        <v>1189</v>
      </c>
      <c r="I980" s="122">
        <v>59767</v>
      </c>
      <c r="J980" s="122">
        <v>54334</v>
      </c>
      <c r="K980" s="122">
        <v>71</v>
      </c>
      <c r="L980" s="122">
        <v>13047</v>
      </c>
      <c r="M980" s="122">
        <v>11404</v>
      </c>
      <c r="N980" s="122">
        <v>5196</v>
      </c>
      <c r="O980" s="122">
        <v>1924</v>
      </c>
      <c r="P980" s="122">
        <v>1296</v>
      </c>
      <c r="Q980">
        <v>480</v>
      </c>
      <c r="R980" s="122">
        <v>16641</v>
      </c>
      <c r="S980" s="122">
        <v>15128</v>
      </c>
      <c r="T980" s="122">
        <v>1292</v>
      </c>
      <c r="U980">
        <v>479</v>
      </c>
      <c r="V980" s="122">
        <v>83749</v>
      </c>
      <c r="W980" s="122">
        <f t="shared" si="30"/>
        <v>83749</v>
      </c>
      <c r="X980" s="122">
        <f t="shared" si="31"/>
        <v>97239</v>
      </c>
    </row>
    <row r="981" spans="2:24">
      <c r="B981" t="s">
        <v>453</v>
      </c>
      <c r="C981" t="s">
        <v>62</v>
      </c>
      <c r="D981" t="s">
        <v>426</v>
      </c>
      <c r="E981" t="s">
        <v>426</v>
      </c>
      <c r="F981" s="122">
        <v>1</v>
      </c>
      <c r="G981" s="122">
        <v>59</v>
      </c>
      <c r="H981" s="122">
        <v>390</v>
      </c>
      <c r="I981" s="122">
        <v>10739</v>
      </c>
      <c r="J981" s="122">
        <v>9763</v>
      </c>
      <c r="K981" s="122">
        <v>55</v>
      </c>
      <c r="L981" s="122">
        <v>2558</v>
      </c>
      <c r="M981">
        <v>948</v>
      </c>
      <c r="N981" s="122">
        <v>1070</v>
      </c>
      <c r="O981">
        <v>396</v>
      </c>
      <c r="P981">
        <v>351</v>
      </c>
      <c r="Q981">
        <v>130</v>
      </c>
      <c r="R981" s="122">
        <v>5518</v>
      </c>
      <c r="S981" s="122">
        <v>5017</v>
      </c>
      <c r="T981" s="122">
        <v>2582</v>
      </c>
      <c r="U981">
        <v>956</v>
      </c>
      <c r="V981" s="122">
        <v>17210</v>
      </c>
      <c r="W981" s="122">
        <f t="shared" si="30"/>
        <v>17210</v>
      </c>
      <c r="X981" s="122">
        <f t="shared" si="31"/>
        <v>22818</v>
      </c>
    </row>
    <row r="982" spans="2:24">
      <c r="B982" t="s">
        <v>453</v>
      </c>
      <c r="C982" t="s">
        <v>64</v>
      </c>
      <c r="F982">
        <v>1</v>
      </c>
      <c r="G982" s="122">
        <v>39</v>
      </c>
      <c r="H982" s="122">
        <v>503</v>
      </c>
      <c r="J982" s="122">
        <v>0</v>
      </c>
      <c r="K982" s="122"/>
      <c r="M982">
        <v>0</v>
      </c>
      <c r="N982">
        <v>864</v>
      </c>
      <c r="O982">
        <v>320</v>
      </c>
      <c r="P982">
        <v>0</v>
      </c>
      <c r="Q982">
        <v>0</v>
      </c>
      <c r="S982">
        <v>0</v>
      </c>
      <c r="T982">
        <v>0</v>
      </c>
      <c r="U982">
        <v>0</v>
      </c>
      <c r="V982">
        <v>320</v>
      </c>
      <c r="W982" s="122">
        <f t="shared" si="30"/>
        <v>320</v>
      </c>
      <c r="X982" s="122">
        <f t="shared" si="31"/>
        <v>864</v>
      </c>
    </row>
    <row r="983" spans="2:24">
      <c r="B983" t="s">
        <v>453</v>
      </c>
      <c r="C983" t="s">
        <v>64</v>
      </c>
      <c r="D983" t="s">
        <v>137</v>
      </c>
      <c r="E983" t="s">
        <v>137</v>
      </c>
      <c r="F983">
        <v>14</v>
      </c>
      <c r="G983" s="122">
        <v>602</v>
      </c>
      <c r="H983" s="122">
        <v>9595</v>
      </c>
      <c r="I983" s="122">
        <v>267174</v>
      </c>
      <c r="J983" s="122">
        <v>98953</v>
      </c>
      <c r="K983" s="122">
        <v>100</v>
      </c>
      <c r="L983" s="122">
        <v>45772</v>
      </c>
      <c r="M983" s="122">
        <v>24620</v>
      </c>
      <c r="N983" s="122">
        <v>10734</v>
      </c>
      <c r="O983" s="122">
        <v>3975</v>
      </c>
      <c r="P983">
        <v>351</v>
      </c>
      <c r="Q983">
        <v>130</v>
      </c>
      <c r="R983" s="122">
        <v>90108</v>
      </c>
      <c r="S983" s="122">
        <v>33373</v>
      </c>
      <c r="T983" s="122">
        <v>1484</v>
      </c>
      <c r="U983">
        <v>550</v>
      </c>
      <c r="V983" s="122">
        <v>161602</v>
      </c>
      <c r="W983" s="122">
        <f t="shared" si="30"/>
        <v>161601</v>
      </c>
      <c r="X983" s="122">
        <f t="shared" si="31"/>
        <v>415623</v>
      </c>
    </row>
    <row r="984" spans="2:24">
      <c r="B984" t="s">
        <v>453</v>
      </c>
      <c r="C984" t="s">
        <v>64</v>
      </c>
      <c r="D984" t="s">
        <v>406</v>
      </c>
      <c r="E984" t="s">
        <v>406</v>
      </c>
      <c r="F984">
        <v>1</v>
      </c>
      <c r="G984">
        <v>73</v>
      </c>
      <c r="H984" s="122">
        <v>455</v>
      </c>
      <c r="I984" s="122">
        <v>27053</v>
      </c>
      <c r="J984" s="122">
        <v>24594</v>
      </c>
      <c r="K984" s="122">
        <v>93</v>
      </c>
      <c r="L984">
        <v>0</v>
      </c>
      <c r="M984">
        <v>0</v>
      </c>
      <c r="N984" s="122">
        <v>1774</v>
      </c>
      <c r="O984">
        <v>657</v>
      </c>
      <c r="P984">
        <v>621</v>
      </c>
      <c r="Q984">
        <v>230</v>
      </c>
      <c r="R984" s="122">
        <v>3650</v>
      </c>
      <c r="S984" s="122">
        <v>3318</v>
      </c>
      <c r="T984">
        <v>0</v>
      </c>
      <c r="U984">
        <v>0</v>
      </c>
      <c r="V984" s="122">
        <v>28799</v>
      </c>
      <c r="W984" s="122">
        <f t="shared" si="30"/>
        <v>28799</v>
      </c>
      <c r="X984" s="122">
        <f t="shared" si="31"/>
        <v>33098</v>
      </c>
    </row>
    <row r="985" spans="2:24">
      <c r="B985" t="s">
        <v>453</v>
      </c>
      <c r="C985" t="s">
        <v>64</v>
      </c>
      <c r="D985" t="s">
        <v>407</v>
      </c>
      <c r="E985" t="s">
        <v>137</v>
      </c>
      <c r="F985">
        <v>1</v>
      </c>
      <c r="G985" s="122">
        <v>38</v>
      </c>
      <c r="H985">
        <v>637</v>
      </c>
      <c r="I985" s="122">
        <v>15220</v>
      </c>
      <c r="J985" s="122">
        <v>13837</v>
      </c>
      <c r="K985" s="122">
        <v>68</v>
      </c>
      <c r="L985" s="122">
        <v>3973</v>
      </c>
      <c r="M985" s="122">
        <v>3311</v>
      </c>
      <c r="N985">
        <v>924</v>
      </c>
      <c r="O985">
        <v>342</v>
      </c>
      <c r="P985">
        <v>473</v>
      </c>
      <c r="Q985">
        <v>175</v>
      </c>
      <c r="R985" s="122">
        <v>3584</v>
      </c>
      <c r="S985" s="122">
        <v>1327</v>
      </c>
      <c r="T985">
        <v>0</v>
      </c>
      <c r="U985">
        <v>0</v>
      </c>
      <c r="V985" s="122">
        <v>18992</v>
      </c>
      <c r="W985" s="122">
        <f t="shared" si="30"/>
        <v>18992</v>
      </c>
      <c r="X985" s="122">
        <f t="shared" si="31"/>
        <v>24174</v>
      </c>
    </row>
    <row r="986" spans="2:24">
      <c r="B986" t="s">
        <v>453</v>
      </c>
      <c r="C986" t="s">
        <v>64</v>
      </c>
      <c r="D986" t="s">
        <v>407</v>
      </c>
      <c r="E986" t="s">
        <v>407</v>
      </c>
      <c r="F986" s="122">
        <v>2</v>
      </c>
      <c r="G986" s="122">
        <v>109</v>
      </c>
      <c r="H986" s="122">
        <v>1217</v>
      </c>
      <c r="I986" s="122">
        <v>40046</v>
      </c>
      <c r="J986" s="122">
        <v>36405</v>
      </c>
      <c r="K986" s="122">
        <v>65</v>
      </c>
      <c r="L986" s="122">
        <v>11047</v>
      </c>
      <c r="M986" s="122">
        <v>10043</v>
      </c>
      <c r="N986" s="122">
        <v>2350</v>
      </c>
      <c r="O986">
        <v>870</v>
      </c>
      <c r="P986">
        <v>824</v>
      </c>
      <c r="Q986">
        <v>305</v>
      </c>
      <c r="R986" s="122">
        <v>8115</v>
      </c>
      <c r="S986" s="122">
        <v>7377</v>
      </c>
      <c r="T986" s="122">
        <v>3884</v>
      </c>
      <c r="U986" s="122">
        <v>1439</v>
      </c>
      <c r="V986" s="122">
        <v>56439</v>
      </c>
      <c r="W986" s="122">
        <f t="shared" si="30"/>
        <v>56439</v>
      </c>
      <c r="X986" s="122">
        <f t="shared" si="31"/>
        <v>66266</v>
      </c>
    </row>
    <row r="987" spans="2:24">
      <c r="B987" t="s">
        <v>454</v>
      </c>
      <c r="C987" t="s">
        <v>50</v>
      </c>
      <c r="D987" t="s">
        <v>407</v>
      </c>
      <c r="E987" t="s">
        <v>407</v>
      </c>
      <c r="F987">
        <v>18</v>
      </c>
      <c r="G987" s="122">
        <v>1365</v>
      </c>
      <c r="H987" s="122">
        <v>1642</v>
      </c>
      <c r="I987" s="122">
        <v>52192</v>
      </c>
      <c r="J987" s="122">
        <v>47447</v>
      </c>
      <c r="K987" s="122">
        <v>83</v>
      </c>
      <c r="L987">
        <v>0</v>
      </c>
      <c r="M987">
        <v>0</v>
      </c>
      <c r="N987" s="122">
        <v>20151</v>
      </c>
      <c r="O987" s="122">
        <v>7463</v>
      </c>
      <c r="P987" s="122">
        <v>8505</v>
      </c>
      <c r="Q987" s="122">
        <v>3150</v>
      </c>
      <c r="R987" s="122">
        <v>41310</v>
      </c>
      <c r="S987" s="122">
        <v>37555</v>
      </c>
      <c r="T987" s="122">
        <v>1631</v>
      </c>
      <c r="U987">
        <v>604</v>
      </c>
      <c r="V987" s="122">
        <v>96219</v>
      </c>
      <c r="W987" s="122">
        <f t="shared" si="30"/>
        <v>96219</v>
      </c>
      <c r="X987" s="122">
        <f t="shared" si="31"/>
        <v>123789</v>
      </c>
    </row>
    <row r="988" spans="2:24">
      <c r="B988" t="s">
        <v>454</v>
      </c>
      <c r="C988" t="s">
        <v>52</v>
      </c>
      <c r="D988" t="s">
        <v>137</v>
      </c>
      <c r="E988" t="s">
        <v>137</v>
      </c>
      <c r="F988">
        <v>1</v>
      </c>
      <c r="G988">
        <v>71</v>
      </c>
      <c r="H988" s="122">
        <v>123</v>
      </c>
      <c r="I988">
        <v>937</v>
      </c>
      <c r="J988">
        <v>347</v>
      </c>
      <c r="K988" s="122">
        <v>100</v>
      </c>
      <c r="L988">
        <v>234</v>
      </c>
      <c r="M988">
        <v>87</v>
      </c>
      <c r="N988" s="122">
        <v>1391</v>
      </c>
      <c r="O988">
        <v>515</v>
      </c>
      <c r="P988">
        <v>0</v>
      </c>
      <c r="Q988">
        <v>0</v>
      </c>
      <c r="R988" s="122">
        <v>6189</v>
      </c>
      <c r="S988" s="122">
        <v>2292</v>
      </c>
      <c r="T988">
        <v>0</v>
      </c>
      <c r="U988">
        <v>0</v>
      </c>
      <c r="V988" s="122">
        <v>3241</v>
      </c>
      <c r="W988" s="122">
        <f t="shared" si="30"/>
        <v>3241</v>
      </c>
      <c r="X988" s="122">
        <f t="shared" si="31"/>
        <v>8751</v>
      </c>
    </row>
    <row r="989" spans="2:24">
      <c r="B989" t="s">
        <v>454</v>
      </c>
      <c r="C989" t="s">
        <v>52</v>
      </c>
      <c r="D989" t="s">
        <v>407</v>
      </c>
      <c r="E989" t="s">
        <v>407</v>
      </c>
      <c r="F989">
        <v>127</v>
      </c>
      <c r="G989" s="122">
        <v>11302</v>
      </c>
      <c r="H989" s="122">
        <v>14503</v>
      </c>
      <c r="I989" s="122">
        <v>567895</v>
      </c>
      <c r="J989" s="122">
        <v>516268</v>
      </c>
      <c r="K989" s="122">
        <v>84</v>
      </c>
      <c r="L989" s="122">
        <v>1814</v>
      </c>
      <c r="M989" s="122">
        <v>1303</v>
      </c>
      <c r="N989" s="122">
        <v>253017</v>
      </c>
      <c r="O989" s="122">
        <v>93710</v>
      </c>
      <c r="P989" s="122">
        <v>60008</v>
      </c>
      <c r="Q989" s="122">
        <v>22225</v>
      </c>
      <c r="R989" s="122">
        <v>385668</v>
      </c>
      <c r="S989" s="122">
        <v>350607</v>
      </c>
      <c r="T989" s="122">
        <v>18288</v>
      </c>
      <c r="U989" s="122">
        <v>6773</v>
      </c>
      <c r="V989" s="122">
        <v>990887</v>
      </c>
      <c r="W989" s="122">
        <f t="shared" si="30"/>
        <v>990886</v>
      </c>
      <c r="X989" s="122">
        <f t="shared" si="31"/>
        <v>1286690</v>
      </c>
    </row>
    <row r="990" spans="2:24">
      <c r="B990" t="s">
        <v>454</v>
      </c>
      <c r="C990" t="s">
        <v>54</v>
      </c>
      <c r="F990">
        <v>2</v>
      </c>
      <c r="G990" s="122">
        <v>123</v>
      </c>
      <c r="H990" s="122">
        <v>285</v>
      </c>
      <c r="J990" s="122">
        <v>0</v>
      </c>
      <c r="K990" s="122"/>
      <c r="M990">
        <v>0</v>
      </c>
      <c r="N990" s="122">
        <v>2630</v>
      </c>
      <c r="O990">
        <v>974</v>
      </c>
      <c r="P990">
        <v>351</v>
      </c>
      <c r="Q990">
        <v>130</v>
      </c>
      <c r="S990">
        <v>0</v>
      </c>
      <c r="T990">
        <v>0</v>
      </c>
      <c r="U990">
        <v>0</v>
      </c>
      <c r="V990" s="122">
        <v>1104</v>
      </c>
      <c r="W990" s="122">
        <f t="shared" si="30"/>
        <v>1104</v>
      </c>
      <c r="X990" s="122">
        <f t="shared" si="31"/>
        <v>2981</v>
      </c>
    </row>
    <row r="991" spans="2:24">
      <c r="B991" t="s">
        <v>454</v>
      </c>
      <c r="C991" t="s">
        <v>54</v>
      </c>
      <c r="D991" t="s">
        <v>137</v>
      </c>
      <c r="E991" t="s">
        <v>137</v>
      </c>
      <c r="F991">
        <v>27</v>
      </c>
      <c r="G991" s="122">
        <v>2080</v>
      </c>
      <c r="H991" s="122">
        <v>3835</v>
      </c>
      <c r="I991" s="122">
        <v>61352</v>
      </c>
      <c r="J991" s="122">
        <v>22723</v>
      </c>
      <c r="K991" s="122">
        <v>100</v>
      </c>
      <c r="L991" s="122">
        <v>14537</v>
      </c>
      <c r="M991" s="122">
        <v>5384</v>
      </c>
      <c r="N991" s="122">
        <v>43113</v>
      </c>
      <c r="O991" s="122">
        <v>15968</v>
      </c>
      <c r="P991">
        <v>0</v>
      </c>
      <c r="Q991">
        <v>0</v>
      </c>
      <c r="R991" s="122">
        <v>176159</v>
      </c>
      <c r="S991" s="122">
        <v>65244</v>
      </c>
      <c r="T991">
        <v>0</v>
      </c>
      <c r="U991">
        <v>0</v>
      </c>
      <c r="V991" s="122">
        <v>109319</v>
      </c>
      <c r="W991" s="122">
        <f t="shared" si="30"/>
        <v>109319</v>
      </c>
      <c r="X991" s="122">
        <f t="shared" si="31"/>
        <v>295161</v>
      </c>
    </row>
    <row r="992" spans="2:24">
      <c r="B992" t="s">
        <v>454</v>
      </c>
      <c r="C992" t="s">
        <v>54</v>
      </c>
      <c r="D992" t="s">
        <v>407</v>
      </c>
      <c r="E992" t="s">
        <v>407</v>
      </c>
      <c r="F992">
        <v>181</v>
      </c>
      <c r="G992" s="122">
        <v>15385</v>
      </c>
      <c r="H992" s="122">
        <v>24922</v>
      </c>
      <c r="I992" s="122">
        <v>1050839</v>
      </c>
      <c r="J992" s="122">
        <v>955308</v>
      </c>
      <c r="K992" s="122">
        <v>82</v>
      </c>
      <c r="L992" s="122">
        <v>25133</v>
      </c>
      <c r="M992" s="122">
        <v>12416</v>
      </c>
      <c r="N992" s="122">
        <v>318137</v>
      </c>
      <c r="O992" s="122">
        <v>117829</v>
      </c>
      <c r="P992" s="122">
        <v>85725</v>
      </c>
      <c r="Q992" s="122">
        <v>31750</v>
      </c>
      <c r="R992" s="122">
        <v>584945</v>
      </c>
      <c r="S992" s="122">
        <v>531769</v>
      </c>
      <c r="T992" s="122">
        <v>58296</v>
      </c>
      <c r="U992" s="122">
        <v>21591</v>
      </c>
      <c r="V992" s="122">
        <v>1670662</v>
      </c>
      <c r="W992" s="122">
        <f t="shared" si="30"/>
        <v>1670663</v>
      </c>
      <c r="X992" s="122">
        <f t="shared" si="31"/>
        <v>2123075</v>
      </c>
    </row>
    <row r="993" spans="2:24">
      <c r="B993" t="s">
        <v>454</v>
      </c>
      <c r="C993" t="s">
        <v>56</v>
      </c>
      <c r="F993">
        <v>6</v>
      </c>
      <c r="G993">
        <v>309</v>
      </c>
      <c r="H993" s="122">
        <v>1082</v>
      </c>
      <c r="J993">
        <v>0</v>
      </c>
      <c r="K993" s="122"/>
      <c r="M993">
        <v>0</v>
      </c>
      <c r="N993" s="122">
        <v>6689</v>
      </c>
      <c r="O993" s="122">
        <v>2477</v>
      </c>
      <c r="P993">
        <v>0</v>
      </c>
      <c r="Q993">
        <v>0</v>
      </c>
      <c r="S993">
        <v>0</v>
      </c>
      <c r="T993">
        <v>0</v>
      </c>
      <c r="U993">
        <v>0</v>
      </c>
      <c r="V993" s="122">
        <v>2477</v>
      </c>
      <c r="W993" s="122">
        <f t="shared" si="30"/>
        <v>2477</v>
      </c>
      <c r="X993" s="122">
        <f t="shared" si="31"/>
        <v>6689</v>
      </c>
    </row>
    <row r="994" spans="2:24">
      <c r="B994" t="s">
        <v>454</v>
      </c>
      <c r="C994" t="s">
        <v>56</v>
      </c>
      <c r="D994" t="s">
        <v>137</v>
      </c>
      <c r="E994" t="s">
        <v>137</v>
      </c>
      <c r="F994" s="122">
        <v>253</v>
      </c>
      <c r="G994" s="122">
        <v>18825</v>
      </c>
      <c r="H994" s="122">
        <v>48171</v>
      </c>
      <c r="I994" s="122">
        <v>1380061</v>
      </c>
      <c r="J994" s="122">
        <v>511134</v>
      </c>
      <c r="K994" s="122">
        <v>100</v>
      </c>
      <c r="L994" s="122">
        <v>218333</v>
      </c>
      <c r="M994" s="122">
        <v>80977</v>
      </c>
      <c r="N994" s="122">
        <v>403881</v>
      </c>
      <c r="O994" s="122">
        <v>149585</v>
      </c>
      <c r="P994">
        <v>899</v>
      </c>
      <c r="Q994">
        <v>333</v>
      </c>
      <c r="R994" s="122">
        <v>1567208</v>
      </c>
      <c r="S994" s="122">
        <v>580447</v>
      </c>
      <c r="T994" s="122">
        <v>2467</v>
      </c>
      <c r="U994">
        <v>914</v>
      </c>
      <c r="V994" s="122">
        <v>1323389</v>
      </c>
      <c r="W994" s="122">
        <f t="shared" si="30"/>
        <v>1323390</v>
      </c>
      <c r="X994" s="122">
        <f t="shared" si="31"/>
        <v>3572849</v>
      </c>
    </row>
    <row r="995" spans="2:24">
      <c r="B995" t="s">
        <v>454</v>
      </c>
      <c r="C995" t="s">
        <v>56</v>
      </c>
      <c r="D995" t="s">
        <v>406</v>
      </c>
      <c r="E995" t="s">
        <v>406</v>
      </c>
      <c r="F995">
        <v>1</v>
      </c>
      <c r="G995">
        <v>122</v>
      </c>
      <c r="H995" s="122">
        <v>196</v>
      </c>
      <c r="I995" s="122">
        <v>11234</v>
      </c>
      <c r="J995" s="122">
        <v>10213</v>
      </c>
      <c r="K995" s="122">
        <v>70</v>
      </c>
      <c r="L995" s="122">
        <v>2038</v>
      </c>
      <c r="M995">
        <v>755</v>
      </c>
      <c r="N995" s="122">
        <v>2970</v>
      </c>
      <c r="O995" s="122">
        <v>1100</v>
      </c>
      <c r="P995">
        <v>621</v>
      </c>
      <c r="Q995">
        <v>230</v>
      </c>
      <c r="R995" s="122">
        <v>7026</v>
      </c>
      <c r="S995" s="122">
        <v>6387</v>
      </c>
      <c r="T995">
        <v>0</v>
      </c>
      <c r="U995">
        <v>0</v>
      </c>
      <c r="V995" s="122">
        <v>18685</v>
      </c>
      <c r="W995" s="122">
        <f t="shared" si="30"/>
        <v>18685</v>
      </c>
      <c r="X995" s="122">
        <f t="shared" si="31"/>
        <v>23889</v>
      </c>
    </row>
    <row r="996" spans="2:24">
      <c r="B996" t="s">
        <v>454</v>
      </c>
      <c r="C996" t="s">
        <v>56</v>
      </c>
      <c r="D996" t="s">
        <v>407</v>
      </c>
      <c r="E996" t="s">
        <v>137</v>
      </c>
      <c r="F996">
        <v>1</v>
      </c>
      <c r="G996">
        <v>65</v>
      </c>
      <c r="H996" s="122">
        <v>185</v>
      </c>
      <c r="I996" s="122">
        <v>1157</v>
      </c>
      <c r="J996" s="122">
        <v>1051</v>
      </c>
      <c r="K996" s="122">
        <v>91</v>
      </c>
      <c r="L996">
        <v>645</v>
      </c>
      <c r="M996">
        <v>239</v>
      </c>
      <c r="N996" s="122">
        <v>1430</v>
      </c>
      <c r="O996">
        <v>530</v>
      </c>
      <c r="P996">
        <v>473</v>
      </c>
      <c r="Q996">
        <v>175</v>
      </c>
      <c r="R996" s="122">
        <v>8357</v>
      </c>
      <c r="S996" s="122">
        <v>3095</v>
      </c>
      <c r="T996">
        <v>0</v>
      </c>
      <c r="U996">
        <v>0</v>
      </c>
      <c r="V996" s="122">
        <v>5090</v>
      </c>
      <c r="W996" s="122">
        <f t="shared" si="30"/>
        <v>5090</v>
      </c>
      <c r="X996" s="122">
        <f t="shared" si="31"/>
        <v>12062</v>
      </c>
    </row>
    <row r="997" spans="2:24">
      <c r="B997" t="s">
        <v>454</v>
      </c>
      <c r="C997" t="s">
        <v>56</v>
      </c>
      <c r="D997" t="s">
        <v>407</v>
      </c>
      <c r="E997" t="s">
        <v>407</v>
      </c>
      <c r="F997">
        <v>214</v>
      </c>
      <c r="G997" s="122">
        <v>14692</v>
      </c>
      <c r="H997" s="122">
        <v>38151</v>
      </c>
      <c r="I997" s="122">
        <v>1322306</v>
      </c>
      <c r="J997" s="122">
        <v>1202096</v>
      </c>
      <c r="K997" s="122">
        <v>79</v>
      </c>
      <c r="L997" s="122">
        <v>44426</v>
      </c>
      <c r="M997" s="122">
        <v>37644</v>
      </c>
      <c r="N997" s="122">
        <v>292959</v>
      </c>
      <c r="O997" s="122">
        <v>108503</v>
      </c>
      <c r="P997" s="122">
        <v>100764</v>
      </c>
      <c r="Q997" s="122">
        <v>37320</v>
      </c>
      <c r="R997" s="122">
        <v>737799</v>
      </c>
      <c r="S997" s="122">
        <v>670726</v>
      </c>
      <c r="T997" s="122">
        <v>114182</v>
      </c>
      <c r="U997" s="122">
        <v>42290</v>
      </c>
      <c r="V997" s="122">
        <v>2098579</v>
      </c>
      <c r="W997" s="122">
        <f t="shared" si="30"/>
        <v>2098579</v>
      </c>
      <c r="X997" s="122">
        <f t="shared" si="31"/>
        <v>2612436</v>
      </c>
    </row>
    <row r="998" spans="2:24">
      <c r="B998" t="s">
        <v>454</v>
      </c>
      <c r="C998" t="s">
        <v>58</v>
      </c>
      <c r="F998" s="122">
        <v>4</v>
      </c>
      <c r="G998" s="122">
        <v>244</v>
      </c>
      <c r="H998" s="122">
        <v>1098</v>
      </c>
      <c r="J998" s="122">
        <v>0</v>
      </c>
      <c r="K998" s="122"/>
      <c r="M998">
        <v>0</v>
      </c>
      <c r="N998" s="122">
        <v>5129</v>
      </c>
      <c r="O998" s="122">
        <v>1900</v>
      </c>
      <c r="P998">
        <v>0</v>
      </c>
      <c r="Q998">
        <v>0</v>
      </c>
      <c r="S998">
        <v>0</v>
      </c>
      <c r="T998">
        <v>0</v>
      </c>
      <c r="U998">
        <v>0</v>
      </c>
      <c r="V998" s="122">
        <v>1900</v>
      </c>
      <c r="W998" s="122">
        <f t="shared" si="30"/>
        <v>1900</v>
      </c>
      <c r="X998" s="122">
        <f t="shared" si="31"/>
        <v>5129</v>
      </c>
    </row>
    <row r="999" spans="2:24">
      <c r="B999" t="s">
        <v>454</v>
      </c>
      <c r="C999" t="s">
        <v>58</v>
      </c>
      <c r="D999" t="s">
        <v>137</v>
      </c>
      <c r="E999" t="s">
        <v>137</v>
      </c>
      <c r="F999" s="122">
        <v>217</v>
      </c>
      <c r="G999" s="122">
        <v>14504</v>
      </c>
      <c r="H999" s="122">
        <v>56144</v>
      </c>
      <c r="I999" s="122">
        <v>1841041</v>
      </c>
      <c r="J999" s="122">
        <v>681867</v>
      </c>
      <c r="K999" s="122">
        <v>100</v>
      </c>
      <c r="L999" s="122">
        <v>318105</v>
      </c>
      <c r="M999" s="122">
        <v>117817</v>
      </c>
      <c r="N999" s="122">
        <v>313010</v>
      </c>
      <c r="O999" s="122">
        <v>115930</v>
      </c>
      <c r="P999">
        <v>624</v>
      </c>
      <c r="Q999">
        <v>231</v>
      </c>
      <c r="R999" s="122">
        <v>1270292</v>
      </c>
      <c r="S999" s="122">
        <v>470479</v>
      </c>
      <c r="T999">
        <v>0</v>
      </c>
      <c r="U999">
        <v>0</v>
      </c>
      <c r="V999" s="122">
        <v>1386323</v>
      </c>
      <c r="W999" s="122">
        <f t="shared" si="30"/>
        <v>1386324</v>
      </c>
      <c r="X999" s="122">
        <f t="shared" si="31"/>
        <v>3743072</v>
      </c>
    </row>
    <row r="1000" spans="2:24">
      <c r="B1000" t="s">
        <v>454</v>
      </c>
      <c r="C1000" t="s">
        <v>58</v>
      </c>
      <c r="D1000" t="s">
        <v>407</v>
      </c>
      <c r="E1000" t="s">
        <v>407</v>
      </c>
      <c r="F1000" s="122">
        <v>22</v>
      </c>
      <c r="G1000" s="122">
        <v>1304</v>
      </c>
      <c r="H1000" s="122">
        <v>5638</v>
      </c>
      <c r="I1000" s="122">
        <v>181344</v>
      </c>
      <c r="J1000" s="122">
        <v>164858</v>
      </c>
      <c r="K1000" s="122">
        <v>75</v>
      </c>
      <c r="L1000" s="122">
        <v>16791</v>
      </c>
      <c r="M1000" s="122">
        <v>13915</v>
      </c>
      <c r="N1000" s="122">
        <v>27115</v>
      </c>
      <c r="O1000" s="122">
        <v>10042</v>
      </c>
      <c r="P1000" s="122">
        <v>10044</v>
      </c>
      <c r="Q1000" s="122">
        <v>3720</v>
      </c>
      <c r="R1000" s="122">
        <v>77664</v>
      </c>
      <c r="S1000" s="122">
        <v>70603</v>
      </c>
      <c r="T1000" s="122">
        <v>27051</v>
      </c>
      <c r="U1000" s="122">
        <v>10019</v>
      </c>
      <c r="V1000" s="122">
        <v>273157</v>
      </c>
      <c r="W1000" s="122">
        <f t="shared" si="30"/>
        <v>273157</v>
      </c>
      <c r="X1000" s="122">
        <f t="shared" si="31"/>
        <v>340009</v>
      </c>
    </row>
    <row r="1001" spans="2:24">
      <c r="B1001" t="s">
        <v>454</v>
      </c>
      <c r="C1001" t="s">
        <v>60</v>
      </c>
      <c r="D1001" t="s">
        <v>137</v>
      </c>
      <c r="E1001" t="s">
        <v>137</v>
      </c>
      <c r="F1001">
        <v>68</v>
      </c>
      <c r="G1001" s="122">
        <v>4372</v>
      </c>
      <c r="H1001" s="122">
        <v>22263</v>
      </c>
      <c r="I1001" s="122">
        <v>801443</v>
      </c>
      <c r="J1001" s="122">
        <v>296831</v>
      </c>
      <c r="K1001" s="122">
        <v>100</v>
      </c>
      <c r="L1001" s="122">
        <v>134574</v>
      </c>
      <c r="M1001" s="122">
        <v>49842</v>
      </c>
      <c r="N1001" s="122">
        <v>85238</v>
      </c>
      <c r="O1001" s="122">
        <v>31570</v>
      </c>
      <c r="P1001">
        <v>614</v>
      </c>
      <c r="Q1001">
        <v>228</v>
      </c>
      <c r="R1001" s="122">
        <v>406115</v>
      </c>
      <c r="S1001" s="122">
        <v>150413</v>
      </c>
      <c r="T1001" s="122">
        <v>1986</v>
      </c>
      <c r="U1001">
        <v>736</v>
      </c>
      <c r="V1001" s="122">
        <v>529619</v>
      </c>
      <c r="W1001" s="122">
        <f t="shared" si="30"/>
        <v>529620</v>
      </c>
      <c r="X1001" s="122">
        <f t="shared" si="31"/>
        <v>1429970</v>
      </c>
    </row>
    <row r="1002" spans="2:24">
      <c r="B1002" t="s">
        <v>454</v>
      </c>
      <c r="C1002" t="s">
        <v>60</v>
      </c>
      <c r="D1002" t="s">
        <v>406</v>
      </c>
      <c r="E1002" t="s">
        <v>406</v>
      </c>
      <c r="F1002" s="122">
        <v>1</v>
      </c>
      <c r="G1002" s="122">
        <v>89</v>
      </c>
      <c r="H1002" s="122">
        <v>324</v>
      </c>
      <c r="I1002" s="122">
        <v>16493</v>
      </c>
      <c r="J1002" s="122">
        <v>14994</v>
      </c>
      <c r="K1002" s="122">
        <v>84</v>
      </c>
      <c r="L1002" s="122">
        <v>5291</v>
      </c>
      <c r="M1002" s="122">
        <v>4409</v>
      </c>
      <c r="N1002" s="122">
        <v>1923</v>
      </c>
      <c r="O1002">
        <v>712</v>
      </c>
      <c r="P1002">
        <v>473</v>
      </c>
      <c r="Q1002">
        <v>175</v>
      </c>
      <c r="R1002" s="122">
        <v>4543</v>
      </c>
      <c r="S1002" s="122">
        <v>4130</v>
      </c>
      <c r="T1002">
        <v>0</v>
      </c>
      <c r="U1002">
        <v>0</v>
      </c>
      <c r="V1002" s="122">
        <v>24421</v>
      </c>
      <c r="W1002" s="122">
        <f t="shared" si="30"/>
        <v>24420</v>
      </c>
      <c r="X1002" s="122">
        <f t="shared" si="31"/>
        <v>28723</v>
      </c>
    </row>
    <row r="1003" spans="2:24">
      <c r="B1003" t="s">
        <v>454</v>
      </c>
      <c r="C1003" t="s">
        <v>60</v>
      </c>
      <c r="D1003" t="s">
        <v>407</v>
      </c>
      <c r="E1003" t="s">
        <v>407</v>
      </c>
      <c r="F1003">
        <v>6</v>
      </c>
      <c r="G1003">
        <v>435</v>
      </c>
      <c r="H1003" s="122">
        <v>1953</v>
      </c>
      <c r="I1003" s="122">
        <v>77174</v>
      </c>
      <c r="J1003" s="122">
        <v>70158</v>
      </c>
      <c r="K1003" s="122">
        <v>76</v>
      </c>
      <c r="L1003" s="122">
        <v>24349</v>
      </c>
      <c r="M1003" s="122">
        <v>16905</v>
      </c>
      <c r="N1003" s="122">
        <v>8439</v>
      </c>
      <c r="O1003" s="122">
        <v>3126</v>
      </c>
      <c r="P1003" s="122">
        <v>2835</v>
      </c>
      <c r="Q1003" s="122">
        <v>1050</v>
      </c>
      <c r="R1003" s="122">
        <v>22313</v>
      </c>
      <c r="S1003" s="122">
        <v>20285</v>
      </c>
      <c r="T1003" s="122">
        <v>8184</v>
      </c>
      <c r="U1003" s="122">
        <v>3031</v>
      </c>
      <c r="V1003" s="122">
        <v>114554</v>
      </c>
      <c r="W1003" s="122">
        <f t="shared" ref="W1003:W1066" si="32">SUM(ABS(J1003),ABS(M1003),ABS(O1003),ABS(Q1003),ABS(S1003),ABS(U1003))</f>
        <v>114555</v>
      </c>
      <c r="X1003" s="122">
        <f t="shared" ref="X1003:X1066" si="33">SUM(ABS(I1003),ABS(N1003),ABS(P1003),ABS(R1003),ABS(T1003),ABS(L1003))</f>
        <v>143294</v>
      </c>
    </row>
    <row r="1004" spans="2:24">
      <c r="B1004" t="s">
        <v>454</v>
      </c>
      <c r="C1004" t="s">
        <v>62</v>
      </c>
      <c r="D1004" t="s">
        <v>137</v>
      </c>
      <c r="E1004" t="s">
        <v>137</v>
      </c>
      <c r="F1004">
        <v>5</v>
      </c>
      <c r="G1004">
        <v>266</v>
      </c>
      <c r="H1004" s="122">
        <v>2001</v>
      </c>
      <c r="I1004" s="122">
        <v>67679</v>
      </c>
      <c r="J1004" s="122">
        <v>25066</v>
      </c>
      <c r="K1004" s="122">
        <v>100</v>
      </c>
      <c r="L1004" s="122">
        <v>2415</v>
      </c>
      <c r="M1004" s="122">
        <v>2454</v>
      </c>
      <c r="N1004" s="122">
        <v>6033</v>
      </c>
      <c r="O1004" s="122">
        <v>2235</v>
      </c>
      <c r="P1004">
        <v>0</v>
      </c>
      <c r="Q1004">
        <v>0</v>
      </c>
      <c r="R1004" s="122">
        <v>29957</v>
      </c>
      <c r="S1004" s="122">
        <v>11095</v>
      </c>
      <c r="T1004">
        <v>0</v>
      </c>
      <c r="U1004">
        <v>0</v>
      </c>
      <c r="V1004" s="122">
        <v>40850</v>
      </c>
      <c r="W1004" s="122">
        <f t="shared" si="32"/>
        <v>40850</v>
      </c>
      <c r="X1004" s="122">
        <f t="shared" si="33"/>
        <v>106084</v>
      </c>
    </row>
    <row r="1005" spans="2:24">
      <c r="B1005" t="s">
        <v>455</v>
      </c>
      <c r="C1005" t="s">
        <v>48</v>
      </c>
      <c r="D1005" t="s">
        <v>137</v>
      </c>
      <c r="E1005" t="s">
        <v>137</v>
      </c>
      <c r="F1005" s="122">
        <v>37</v>
      </c>
      <c r="G1005" s="122">
        <v>3472</v>
      </c>
      <c r="H1005" s="122">
        <v>1993</v>
      </c>
      <c r="I1005" s="122">
        <v>-17918</v>
      </c>
      <c r="J1005" s="122">
        <v>-6636</v>
      </c>
      <c r="K1005" s="122">
        <v>465</v>
      </c>
      <c r="L1005">
        <v>0</v>
      </c>
      <c r="M1005">
        <v>0</v>
      </c>
      <c r="N1005" s="122">
        <v>42303</v>
      </c>
      <c r="O1005" s="122">
        <v>15668</v>
      </c>
      <c r="P1005" s="122">
        <v>42281</v>
      </c>
      <c r="Q1005" s="122">
        <v>15660</v>
      </c>
      <c r="R1005" s="122">
        <v>116381</v>
      </c>
      <c r="S1005" s="122">
        <v>43104</v>
      </c>
      <c r="T1005">
        <v>0</v>
      </c>
      <c r="U1005">
        <v>0</v>
      </c>
      <c r="V1005" s="122">
        <v>67795</v>
      </c>
      <c r="W1005" s="122">
        <f t="shared" si="32"/>
        <v>81068</v>
      </c>
      <c r="X1005" s="122">
        <f t="shared" si="33"/>
        <v>218883</v>
      </c>
    </row>
    <row r="1006" spans="2:24">
      <c r="B1006" t="s">
        <v>455</v>
      </c>
      <c r="C1006" t="s">
        <v>48</v>
      </c>
      <c r="D1006" t="s">
        <v>407</v>
      </c>
      <c r="E1006" t="s">
        <v>407</v>
      </c>
      <c r="F1006" s="122">
        <v>172</v>
      </c>
      <c r="G1006" s="122">
        <v>14690</v>
      </c>
      <c r="H1006" s="122">
        <v>8594</v>
      </c>
      <c r="I1006" s="122">
        <v>-187590</v>
      </c>
      <c r="J1006" s="122">
        <v>-170536</v>
      </c>
      <c r="K1006" s="122">
        <v>91</v>
      </c>
      <c r="L1006">
        <v>0</v>
      </c>
      <c r="M1006">
        <v>0</v>
      </c>
      <c r="N1006" s="122">
        <v>185479</v>
      </c>
      <c r="O1006" s="122">
        <v>68696</v>
      </c>
      <c r="P1006" s="122">
        <v>195659</v>
      </c>
      <c r="Q1006" s="122">
        <v>72466</v>
      </c>
      <c r="R1006" s="122">
        <v>534274</v>
      </c>
      <c r="S1006" s="122">
        <v>485704</v>
      </c>
      <c r="T1006">
        <v>0</v>
      </c>
      <c r="U1006">
        <v>0</v>
      </c>
      <c r="V1006" s="122">
        <v>456330</v>
      </c>
      <c r="W1006" s="122">
        <f t="shared" si="32"/>
        <v>797402</v>
      </c>
      <c r="X1006" s="122">
        <f t="shared" si="33"/>
        <v>1103002</v>
      </c>
    </row>
    <row r="1007" spans="2:24">
      <c r="B1007" t="s">
        <v>455</v>
      </c>
      <c r="C1007" t="s">
        <v>50</v>
      </c>
      <c r="F1007" s="122">
        <v>14</v>
      </c>
      <c r="G1007" s="122">
        <v>1140</v>
      </c>
      <c r="H1007" s="122">
        <v>1289</v>
      </c>
      <c r="J1007" s="122">
        <v>0</v>
      </c>
      <c r="K1007" s="122"/>
      <c r="M1007">
        <v>0</v>
      </c>
      <c r="N1007" s="122">
        <v>17421</v>
      </c>
      <c r="O1007" s="122">
        <v>6452</v>
      </c>
      <c r="P1007">
        <v>351</v>
      </c>
      <c r="Q1007">
        <v>130</v>
      </c>
      <c r="S1007">
        <v>0</v>
      </c>
      <c r="T1007">
        <v>0</v>
      </c>
      <c r="U1007">
        <v>0</v>
      </c>
      <c r="V1007" s="122">
        <v>6582</v>
      </c>
      <c r="W1007" s="122">
        <f t="shared" si="32"/>
        <v>6582</v>
      </c>
      <c r="X1007" s="122">
        <f t="shared" si="33"/>
        <v>17772</v>
      </c>
    </row>
    <row r="1008" spans="2:24">
      <c r="B1008" t="s">
        <v>455</v>
      </c>
      <c r="C1008" t="s">
        <v>50</v>
      </c>
      <c r="D1008" t="s">
        <v>407</v>
      </c>
      <c r="E1008" t="s">
        <v>407</v>
      </c>
      <c r="F1008" s="122">
        <v>451</v>
      </c>
      <c r="G1008" s="122">
        <v>37103</v>
      </c>
      <c r="H1008" s="122">
        <v>41764</v>
      </c>
      <c r="I1008" s="122">
        <v>1046974</v>
      </c>
      <c r="J1008" s="122">
        <v>951794</v>
      </c>
      <c r="K1008" s="122">
        <v>89</v>
      </c>
      <c r="L1008" s="122">
        <v>11127</v>
      </c>
      <c r="M1008" s="122">
        <v>10010</v>
      </c>
      <c r="N1008" s="122">
        <v>721623</v>
      </c>
      <c r="O1008" s="122">
        <v>267268</v>
      </c>
      <c r="P1008" s="122">
        <v>305696</v>
      </c>
      <c r="Q1008" s="122">
        <v>113221</v>
      </c>
      <c r="R1008" s="122">
        <v>1342529</v>
      </c>
      <c r="S1008" s="122">
        <v>1220481</v>
      </c>
      <c r="T1008">
        <v>0</v>
      </c>
      <c r="U1008">
        <v>0</v>
      </c>
      <c r="V1008" s="122">
        <v>2562774</v>
      </c>
      <c r="W1008" s="122">
        <f t="shared" si="32"/>
        <v>2562774</v>
      </c>
      <c r="X1008" s="122">
        <f t="shared" si="33"/>
        <v>3427949</v>
      </c>
    </row>
    <row r="1009" spans="2:24">
      <c r="B1009" t="s">
        <v>455</v>
      </c>
      <c r="C1009" t="s">
        <v>52</v>
      </c>
      <c r="F1009">
        <v>35</v>
      </c>
      <c r="G1009" s="122">
        <v>2478</v>
      </c>
      <c r="H1009" s="122">
        <v>3931</v>
      </c>
      <c r="J1009">
        <v>0</v>
      </c>
      <c r="K1009" s="122"/>
      <c r="M1009">
        <v>0</v>
      </c>
      <c r="N1009" s="122">
        <v>37907</v>
      </c>
      <c r="O1009" s="122">
        <v>14040</v>
      </c>
      <c r="P1009">
        <v>0</v>
      </c>
      <c r="Q1009">
        <v>0</v>
      </c>
      <c r="S1009">
        <v>0</v>
      </c>
      <c r="T1009">
        <v>0</v>
      </c>
      <c r="U1009">
        <v>0</v>
      </c>
      <c r="V1009" s="122">
        <v>14040</v>
      </c>
      <c r="W1009" s="122">
        <f t="shared" si="32"/>
        <v>14040</v>
      </c>
      <c r="X1009" s="122">
        <f t="shared" si="33"/>
        <v>37907</v>
      </c>
    </row>
    <row r="1010" spans="2:24">
      <c r="B1010" t="s">
        <v>455</v>
      </c>
      <c r="C1010" t="s">
        <v>52</v>
      </c>
      <c r="D1010" t="s">
        <v>137</v>
      </c>
      <c r="E1010" t="s">
        <v>137</v>
      </c>
      <c r="F1010">
        <v>1</v>
      </c>
      <c r="G1010">
        <v>81</v>
      </c>
      <c r="H1010" s="122">
        <v>125</v>
      </c>
      <c r="I1010" s="122">
        <v>1987</v>
      </c>
      <c r="J1010" s="122">
        <v>736</v>
      </c>
      <c r="K1010" s="122">
        <v>100</v>
      </c>
      <c r="L1010">
        <v>497</v>
      </c>
      <c r="M1010">
        <v>184</v>
      </c>
      <c r="N1010">
        <v>984</v>
      </c>
      <c r="O1010">
        <v>365</v>
      </c>
      <c r="P1010">
        <v>0</v>
      </c>
      <c r="Q1010">
        <v>0</v>
      </c>
      <c r="R1010" s="122">
        <v>6595</v>
      </c>
      <c r="S1010" s="122">
        <v>2443</v>
      </c>
      <c r="T1010">
        <v>0</v>
      </c>
      <c r="U1010">
        <v>0</v>
      </c>
      <c r="V1010" s="122">
        <v>3727</v>
      </c>
      <c r="W1010" s="122">
        <f t="shared" si="32"/>
        <v>3728</v>
      </c>
      <c r="X1010" s="122">
        <f t="shared" si="33"/>
        <v>10063</v>
      </c>
    </row>
    <row r="1011" spans="2:24">
      <c r="B1011" t="s">
        <v>455</v>
      </c>
      <c r="C1011" t="s">
        <v>52</v>
      </c>
      <c r="D1011" t="s">
        <v>407</v>
      </c>
      <c r="E1011" t="s">
        <v>407</v>
      </c>
      <c r="F1011">
        <v>900</v>
      </c>
      <c r="G1011" s="122">
        <v>70768</v>
      </c>
      <c r="H1011" s="122">
        <v>101832</v>
      </c>
      <c r="I1011" s="122">
        <v>2975576</v>
      </c>
      <c r="J1011" s="122">
        <v>2705069</v>
      </c>
      <c r="K1011" s="122">
        <v>86</v>
      </c>
      <c r="L1011" s="122">
        <v>61499</v>
      </c>
      <c r="M1011" s="122">
        <v>44587</v>
      </c>
      <c r="N1011" s="122">
        <v>1461377</v>
      </c>
      <c r="O1011" s="122">
        <v>541251</v>
      </c>
      <c r="P1011" s="122">
        <v>533081</v>
      </c>
      <c r="Q1011" s="122">
        <v>197437</v>
      </c>
      <c r="R1011" s="122">
        <v>2925279</v>
      </c>
      <c r="S1011" s="122">
        <v>2659345</v>
      </c>
      <c r="T1011" s="122">
        <v>54220</v>
      </c>
      <c r="U1011" s="122">
        <v>20082</v>
      </c>
      <c r="V1011" s="122">
        <v>6167771</v>
      </c>
      <c r="W1011" s="122">
        <f t="shared" si="32"/>
        <v>6167771</v>
      </c>
      <c r="X1011" s="122">
        <f t="shared" si="33"/>
        <v>8011032</v>
      </c>
    </row>
    <row r="1012" spans="2:24">
      <c r="B1012" t="s">
        <v>455</v>
      </c>
      <c r="C1012" t="s">
        <v>54</v>
      </c>
      <c r="F1012" s="122">
        <v>6</v>
      </c>
      <c r="G1012" s="122">
        <v>533</v>
      </c>
      <c r="H1012" s="122">
        <v>820</v>
      </c>
      <c r="J1012" s="122">
        <v>0</v>
      </c>
      <c r="K1012" s="122"/>
      <c r="M1012">
        <v>0</v>
      </c>
      <c r="N1012" s="122">
        <v>7629</v>
      </c>
      <c r="O1012" s="122">
        <v>2825</v>
      </c>
      <c r="P1012">
        <v>473</v>
      </c>
      <c r="Q1012">
        <v>175</v>
      </c>
      <c r="S1012">
        <v>0</v>
      </c>
      <c r="T1012">
        <v>0</v>
      </c>
      <c r="U1012">
        <v>0</v>
      </c>
      <c r="V1012" s="122">
        <v>3000</v>
      </c>
      <c r="W1012" s="122">
        <f t="shared" si="32"/>
        <v>3000</v>
      </c>
      <c r="X1012" s="122">
        <f t="shared" si="33"/>
        <v>8102</v>
      </c>
    </row>
    <row r="1013" spans="2:24">
      <c r="B1013" t="s">
        <v>455</v>
      </c>
      <c r="C1013" t="s">
        <v>54</v>
      </c>
      <c r="D1013" t="s">
        <v>137</v>
      </c>
      <c r="E1013" t="s">
        <v>137</v>
      </c>
      <c r="F1013" s="122">
        <v>5</v>
      </c>
      <c r="G1013" s="122">
        <v>369</v>
      </c>
      <c r="H1013" s="122">
        <v>715</v>
      </c>
      <c r="I1013" s="122">
        <v>12554</v>
      </c>
      <c r="J1013" s="122">
        <v>4650</v>
      </c>
      <c r="K1013" s="122">
        <v>100</v>
      </c>
      <c r="L1013" s="122">
        <v>1768</v>
      </c>
      <c r="M1013">
        <v>949</v>
      </c>
      <c r="N1013" s="122">
        <v>7088</v>
      </c>
      <c r="O1013" s="122">
        <v>2625</v>
      </c>
      <c r="P1013">
        <v>0</v>
      </c>
      <c r="Q1013">
        <v>0</v>
      </c>
      <c r="R1013" s="122">
        <v>31400</v>
      </c>
      <c r="S1013" s="122">
        <v>11630</v>
      </c>
      <c r="T1013">
        <v>0</v>
      </c>
      <c r="U1013">
        <v>0</v>
      </c>
      <c r="V1013" s="122">
        <v>19854</v>
      </c>
      <c r="W1013" s="122">
        <f t="shared" si="32"/>
        <v>19854</v>
      </c>
      <c r="X1013" s="122">
        <f t="shared" si="33"/>
        <v>52810</v>
      </c>
    </row>
    <row r="1014" spans="2:24">
      <c r="B1014" t="s">
        <v>455</v>
      </c>
      <c r="C1014" t="s">
        <v>54</v>
      </c>
      <c r="D1014" t="s">
        <v>407</v>
      </c>
      <c r="E1014" t="s">
        <v>407</v>
      </c>
      <c r="F1014">
        <v>945</v>
      </c>
      <c r="G1014" s="122">
        <v>75665</v>
      </c>
      <c r="H1014" s="122">
        <v>130138</v>
      </c>
      <c r="I1014" s="122">
        <v>4350780</v>
      </c>
      <c r="J1014" s="122">
        <v>3955254</v>
      </c>
      <c r="K1014" s="122">
        <v>82</v>
      </c>
      <c r="L1014" s="122">
        <v>201599</v>
      </c>
      <c r="M1014" s="122">
        <v>152021</v>
      </c>
      <c r="N1014" s="122">
        <v>1563879</v>
      </c>
      <c r="O1014" s="122">
        <v>579214</v>
      </c>
      <c r="P1014" s="122">
        <v>515634</v>
      </c>
      <c r="Q1014" s="122">
        <v>190976</v>
      </c>
      <c r="R1014" s="122">
        <v>3606944</v>
      </c>
      <c r="S1014" s="122">
        <v>3279040</v>
      </c>
      <c r="T1014" s="122">
        <v>175820</v>
      </c>
      <c r="U1014" s="122">
        <v>65118</v>
      </c>
      <c r="V1014" s="122">
        <v>8221624</v>
      </c>
      <c r="W1014" s="122">
        <f t="shared" si="32"/>
        <v>8221623</v>
      </c>
      <c r="X1014" s="122">
        <f t="shared" si="33"/>
        <v>10414656</v>
      </c>
    </row>
    <row r="1015" spans="2:24">
      <c r="B1015" t="s">
        <v>455</v>
      </c>
      <c r="C1015" t="s">
        <v>56</v>
      </c>
      <c r="F1015" s="122">
        <v>15</v>
      </c>
      <c r="G1015" s="122">
        <v>955</v>
      </c>
      <c r="H1015" s="122">
        <v>3041</v>
      </c>
      <c r="J1015" s="122">
        <v>0</v>
      </c>
      <c r="K1015" s="122"/>
      <c r="M1015">
        <v>0</v>
      </c>
      <c r="N1015" s="122">
        <v>16134</v>
      </c>
      <c r="O1015" s="122">
        <v>5975</v>
      </c>
      <c r="P1015" s="122">
        <v>2835</v>
      </c>
      <c r="Q1015" s="122">
        <v>1050</v>
      </c>
      <c r="S1015">
        <v>0</v>
      </c>
      <c r="T1015" s="122">
        <v>4529</v>
      </c>
      <c r="U1015" s="122">
        <v>1678</v>
      </c>
      <c r="V1015" s="122">
        <v>8703</v>
      </c>
      <c r="W1015" s="122">
        <f t="shared" si="32"/>
        <v>8703</v>
      </c>
      <c r="X1015" s="122">
        <f t="shared" si="33"/>
        <v>23498</v>
      </c>
    </row>
    <row r="1016" spans="2:24">
      <c r="B1016" t="s">
        <v>455</v>
      </c>
      <c r="C1016" t="s">
        <v>56</v>
      </c>
      <c r="D1016" t="s">
        <v>137</v>
      </c>
      <c r="E1016" t="s">
        <v>137</v>
      </c>
      <c r="F1016">
        <v>80</v>
      </c>
      <c r="G1016" s="122">
        <v>6105</v>
      </c>
      <c r="H1016" s="122">
        <v>15396</v>
      </c>
      <c r="I1016" s="122">
        <v>460804</v>
      </c>
      <c r="J1016" s="122">
        <v>170668</v>
      </c>
      <c r="K1016" s="122">
        <v>100</v>
      </c>
      <c r="L1016" s="122">
        <v>59318</v>
      </c>
      <c r="M1016" s="122">
        <v>21970</v>
      </c>
      <c r="N1016" s="122">
        <v>129995</v>
      </c>
      <c r="O1016" s="122">
        <v>48146</v>
      </c>
      <c r="P1016">
        <v>351</v>
      </c>
      <c r="Q1016">
        <v>130</v>
      </c>
      <c r="R1016" s="122">
        <v>526725</v>
      </c>
      <c r="S1016" s="122">
        <v>195083</v>
      </c>
      <c r="T1016">
        <v>0</v>
      </c>
      <c r="U1016">
        <v>0</v>
      </c>
      <c r="V1016" s="122">
        <v>435997</v>
      </c>
      <c r="W1016" s="122">
        <f t="shared" si="32"/>
        <v>435997</v>
      </c>
      <c r="X1016" s="122">
        <f t="shared" si="33"/>
        <v>1177193</v>
      </c>
    </row>
    <row r="1017" spans="2:24">
      <c r="B1017" t="s">
        <v>455</v>
      </c>
      <c r="C1017" t="s">
        <v>56</v>
      </c>
      <c r="D1017" t="s">
        <v>406</v>
      </c>
      <c r="E1017" t="s">
        <v>406</v>
      </c>
      <c r="F1017">
        <v>1</v>
      </c>
      <c r="G1017" s="122">
        <v>150</v>
      </c>
      <c r="H1017">
        <v>185</v>
      </c>
      <c r="I1017" s="122">
        <v>14670</v>
      </c>
      <c r="J1017" s="122">
        <v>13336</v>
      </c>
      <c r="K1017" s="122">
        <v>86</v>
      </c>
      <c r="L1017" s="122">
        <v>2406</v>
      </c>
      <c r="M1017" s="122">
        <v>2005</v>
      </c>
      <c r="N1017" s="122">
        <v>3655</v>
      </c>
      <c r="O1017" s="122">
        <v>1354</v>
      </c>
      <c r="P1017">
        <v>621</v>
      </c>
      <c r="Q1017">
        <v>230</v>
      </c>
      <c r="R1017" s="122">
        <v>6445</v>
      </c>
      <c r="S1017" s="122">
        <v>5859</v>
      </c>
      <c r="T1017">
        <v>0</v>
      </c>
      <c r="U1017">
        <v>0</v>
      </c>
      <c r="V1017" s="122">
        <v>22785</v>
      </c>
      <c r="W1017" s="122">
        <f t="shared" si="32"/>
        <v>22784</v>
      </c>
      <c r="X1017" s="122">
        <f t="shared" si="33"/>
        <v>27797</v>
      </c>
    </row>
    <row r="1018" spans="2:24">
      <c r="B1018" t="s">
        <v>455</v>
      </c>
      <c r="C1018" t="s">
        <v>56</v>
      </c>
      <c r="D1018" t="s">
        <v>406</v>
      </c>
      <c r="E1018" t="s">
        <v>426</v>
      </c>
      <c r="F1018">
        <v>1</v>
      </c>
      <c r="G1018">
        <v>259</v>
      </c>
      <c r="H1018" s="122">
        <v>215</v>
      </c>
      <c r="I1018" s="122">
        <v>30710</v>
      </c>
      <c r="J1018" s="122">
        <v>27918</v>
      </c>
      <c r="K1018" s="122">
        <v>86</v>
      </c>
      <c r="L1018" s="122">
        <v>5555</v>
      </c>
      <c r="M1018" s="122">
        <v>5050</v>
      </c>
      <c r="N1018" s="122">
        <v>6323</v>
      </c>
      <c r="O1018" s="122">
        <v>2342</v>
      </c>
      <c r="P1018">
        <v>621</v>
      </c>
      <c r="Q1018">
        <v>230</v>
      </c>
      <c r="R1018" s="122">
        <v>8388</v>
      </c>
      <c r="S1018" s="122">
        <v>7626</v>
      </c>
      <c r="T1018" s="122">
        <v>4273</v>
      </c>
      <c r="U1018" s="122">
        <v>1583</v>
      </c>
      <c r="V1018" s="122">
        <v>44749</v>
      </c>
      <c r="W1018" s="122">
        <f t="shared" si="32"/>
        <v>44749</v>
      </c>
      <c r="X1018" s="122">
        <f t="shared" si="33"/>
        <v>55870</v>
      </c>
    </row>
    <row r="1019" spans="2:24">
      <c r="B1019" t="s">
        <v>455</v>
      </c>
      <c r="C1019" t="s">
        <v>56</v>
      </c>
      <c r="D1019" t="s">
        <v>407</v>
      </c>
      <c r="E1019" t="s">
        <v>405</v>
      </c>
      <c r="F1019" s="122">
        <v>3</v>
      </c>
      <c r="G1019" s="122">
        <v>251</v>
      </c>
      <c r="H1019" s="122">
        <v>522</v>
      </c>
      <c r="I1019" s="122">
        <v>22129</v>
      </c>
      <c r="J1019" s="122">
        <v>20117</v>
      </c>
      <c r="K1019" s="122">
        <v>86</v>
      </c>
      <c r="L1019" s="122">
        <v>2468</v>
      </c>
      <c r="M1019" s="122">
        <v>2244</v>
      </c>
      <c r="N1019" s="122">
        <v>5758</v>
      </c>
      <c r="O1019" s="122">
        <v>2133</v>
      </c>
      <c r="P1019" s="122">
        <v>1418</v>
      </c>
      <c r="Q1019">
        <v>525</v>
      </c>
      <c r="R1019" s="122">
        <v>7859</v>
      </c>
      <c r="S1019" s="122">
        <v>7144</v>
      </c>
      <c r="T1019" s="122">
        <v>4564</v>
      </c>
      <c r="U1019" s="122">
        <v>1691</v>
      </c>
      <c r="V1019" s="122">
        <v>33854</v>
      </c>
      <c r="W1019" s="122">
        <f t="shared" si="32"/>
        <v>33854</v>
      </c>
      <c r="X1019" s="122">
        <f t="shared" si="33"/>
        <v>44196</v>
      </c>
    </row>
    <row r="1020" spans="2:24">
      <c r="B1020" t="s">
        <v>455</v>
      </c>
      <c r="C1020" t="s">
        <v>56</v>
      </c>
      <c r="D1020" t="s">
        <v>407</v>
      </c>
      <c r="E1020" t="s">
        <v>137</v>
      </c>
      <c r="F1020" s="122">
        <v>3</v>
      </c>
      <c r="G1020" s="122">
        <v>204</v>
      </c>
      <c r="H1020" s="122">
        <v>537</v>
      </c>
      <c r="I1020" s="122">
        <v>13695</v>
      </c>
      <c r="J1020" s="122">
        <v>12450</v>
      </c>
      <c r="K1020" s="122">
        <v>75</v>
      </c>
      <c r="L1020">
        <v>745</v>
      </c>
      <c r="M1020">
        <v>276</v>
      </c>
      <c r="N1020" s="122">
        <v>3116</v>
      </c>
      <c r="O1020" s="122">
        <v>1154</v>
      </c>
      <c r="P1020" s="122">
        <v>1418</v>
      </c>
      <c r="Q1020">
        <v>525</v>
      </c>
      <c r="R1020" s="122">
        <v>17902</v>
      </c>
      <c r="S1020" s="122">
        <v>6630</v>
      </c>
      <c r="T1020">
        <v>0</v>
      </c>
      <c r="U1020">
        <v>0</v>
      </c>
      <c r="V1020" s="122">
        <v>21035</v>
      </c>
      <c r="W1020" s="122">
        <f t="shared" si="32"/>
        <v>21035</v>
      </c>
      <c r="X1020" s="122">
        <f t="shared" si="33"/>
        <v>36876</v>
      </c>
    </row>
    <row r="1021" spans="2:24">
      <c r="B1021" t="s">
        <v>455</v>
      </c>
      <c r="C1021" t="s">
        <v>56</v>
      </c>
      <c r="D1021" t="s">
        <v>407</v>
      </c>
      <c r="E1021" t="s">
        <v>407</v>
      </c>
      <c r="F1021" s="122">
        <v>1478</v>
      </c>
      <c r="G1021" s="122">
        <v>112384</v>
      </c>
      <c r="H1021" s="122">
        <v>265792</v>
      </c>
      <c r="I1021" s="122">
        <v>9621269</v>
      </c>
      <c r="J1021" s="122">
        <v>8746608</v>
      </c>
      <c r="K1021" s="122">
        <v>79</v>
      </c>
      <c r="L1021" s="122">
        <v>750101</v>
      </c>
      <c r="M1021" s="122">
        <v>579768</v>
      </c>
      <c r="N1021" s="122">
        <v>2377582</v>
      </c>
      <c r="O1021" s="122">
        <v>880586</v>
      </c>
      <c r="P1021" s="122">
        <v>752679</v>
      </c>
      <c r="Q1021" s="122">
        <v>278770</v>
      </c>
      <c r="R1021" s="122">
        <v>6031009</v>
      </c>
      <c r="S1021" s="122">
        <v>5482736</v>
      </c>
      <c r="T1021" s="122">
        <v>617739</v>
      </c>
      <c r="U1021" s="122">
        <v>228792</v>
      </c>
      <c r="V1021" s="122">
        <v>16197260</v>
      </c>
      <c r="W1021" s="122">
        <f t="shared" si="32"/>
        <v>16197260</v>
      </c>
      <c r="X1021" s="122">
        <f t="shared" si="33"/>
        <v>20150379</v>
      </c>
    </row>
    <row r="1022" spans="2:24">
      <c r="B1022" t="s">
        <v>455</v>
      </c>
      <c r="C1022" t="s">
        <v>58</v>
      </c>
      <c r="D1022" t="s">
        <v>137</v>
      </c>
      <c r="E1022" t="s">
        <v>137</v>
      </c>
      <c r="F1022">
        <v>96</v>
      </c>
      <c r="G1022" s="122">
        <v>7432</v>
      </c>
      <c r="H1022" s="122">
        <v>24644</v>
      </c>
      <c r="I1022" s="122">
        <v>1010977</v>
      </c>
      <c r="J1022" s="122">
        <v>374436</v>
      </c>
      <c r="K1022" s="122">
        <v>100</v>
      </c>
      <c r="L1022" s="122">
        <v>107571</v>
      </c>
      <c r="M1022" s="122">
        <v>42940</v>
      </c>
      <c r="N1022" s="122">
        <v>155567</v>
      </c>
      <c r="O1022" s="122">
        <v>57618</v>
      </c>
      <c r="P1022" s="122">
        <v>2457</v>
      </c>
      <c r="Q1022">
        <v>910</v>
      </c>
      <c r="R1022" s="122">
        <v>630073</v>
      </c>
      <c r="S1022" s="122">
        <v>233360</v>
      </c>
      <c r="T1022">
        <v>0</v>
      </c>
      <c r="U1022">
        <v>0</v>
      </c>
      <c r="V1022" s="122">
        <v>709264</v>
      </c>
      <c r="W1022" s="122">
        <f t="shared" si="32"/>
        <v>709264</v>
      </c>
      <c r="X1022" s="122">
        <f t="shared" si="33"/>
        <v>1906645</v>
      </c>
    </row>
    <row r="1023" spans="2:24">
      <c r="B1023" t="s">
        <v>455</v>
      </c>
      <c r="C1023" t="s">
        <v>58</v>
      </c>
      <c r="D1023" t="s">
        <v>406</v>
      </c>
      <c r="E1023" t="s">
        <v>406</v>
      </c>
      <c r="F1023">
        <v>3</v>
      </c>
      <c r="G1023">
        <v>400</v>
      </c>
      <c r="H1023" s="122">
        <v>796</v>
      </c>
      <c r="I1023" s="122">
        <v>58770</v>
      </c>
      <c r="J1023" s="122">
        <v>53427</v>
      </c>
      <c r="K1023" s="122">
        <v>91</v>
      </c>
      <c r="L1023" s="122">
        <v>20262</v>
      </c>
      <c r="M1023" s="122">
        <v>17556</v>
      </c>
      <c r="N1023" s="122">
        <v>8702</v>
      </c>
      <c r="O1023" s="122">
        <v>3223</v>
      </c>
      <c r="P1023" s="122">
        <v>1863</v>
      </c>
      <c r="Q1023">
        <v>690</v>
      </c>
      <c r="R1023" s="122">
        <v>14703</v>
      </c>
      <c r="S1023" s="122">
        <v>13366</v>
      </c>
      <c r="T1023" s="122">
        <v>2845</v>
      </c>
      <c r="U1023" s="122">
        <v>1054</v>
      </c>
      <c r="V1023" s="122">
        <v>89315</v>
      </c>
      <c r="W1023" s="122">
        <f t="shared" si="32"/>
        <v>89316</v>
      </c>
      <c r="X1023" s="122">
        <f t="shared" si="33"/>
        <v>107145</v>
      </c>
    </row>
    <row r="1024" spans="2:24">
      <c r="B1024" t="s">
        <v>455</v>
      </c>
      <c r="C1024" t="s">
        <v>58</v>
      </c>
      <c r="D1024" t="s">
        <v>407</v>
      </c>
      <c r="E1024" t="s">
        <v>407</v>
      </c>
      <c r="F1024">
        <v>164</v>
      </c>
      <c r="G1024" s="122">
        <v>11440</v>
      </c>
      <c r="H1024" s="122">
        <v>41356</v>
      </c>
      <c r="I1024" s="122">
        <v>1485131</v>
      </c>
      <c r="J1024" s="122">
        <v>1350119</v>
      </c>
      <c r="K1024" s="122">
        <v>75</v>
      </c>
      <c r="L1024" s="122">
        <v>236413</v>
      </c>
      <c r="M1024" s="122">
        <v>199282</v>
      </c>
      <c r="N1024" s="122">
        <v>248711</v>
      </c>
      <c r="O1024" s="122">
        <v>92115</v>
      </c>
      <c r="P1024" s="122">
        <v>79293</v>
      </c>
      <c r="Q1024" s="122">
        <v>29368</v>
      </c>
      <c r="R1024" s="122">
        <v>729960</v>
      </c>
      <c r="S1024" s="122">
        <v>663600</v>
      </c>
      <c r="T1024" s="122">
        <v>121790</v>
      </c>
      <c r="U1024" s="122">
        <v>45107</v>
      </c>
      <c r="V1024" s="122">
        <v>2379592</v>
      </c>
      <c r="W1024" s="122">
        <f t="shared" si="32"/>
        <v>2379591</v>
      </c>
      <c r="X1024" s="122">
        <f t="shared" si="33"/>
        <v>2901298</v>
      </c>
    </row>
    <row r="1025" spans="2:24">
      <c r="B1025" t="s">
        <v>455</v>
      </c>
      <c r="C1025" t="s">
        <v>60</v>
      </c>
      <c r="D1025" t="s">
        <v>137</v>
      </c>
      <c r="E1025" t="s">
        <v>137</v>
      </c>
      <c r="F1025">
        <v>29</v>
      </c>
      <c r="G1025" s="122">
        <v>1783</v>
      </c>
      <c r="H1025" s="122">
        <v>9504</v>
      </c>
      <c r="I1025" s="122">
        <v>339687</v>
      </c>
      <c r="J1025" s="122">
        <v>125810</v>
      </c>
      <c r="K1025" s="122">
        <v>100</v>
      </c>
      <c r="L1025" s="122">
        <v>32398</v>
      </c>
      <c r="M1025" s="122">
        <v>13786</v>
      </c>
      <c r="N1025" s="122">
        <v>38878</v>
      </c>
      <c r="O1025" s="122">
        <v>14399</v>
      </c>
      <c r="P1025">
        <v>526</v>
      </c>
      <c r="Q1025">
        <v>195</v>
      </c>
      <c r="R1025" s="122">
        <v>168766</v>
      </c>
      <c r="S1025" s="122">
        <v>62506</v>
      </c>
      <c r="T1025">
        <v>0</v>
      </c>
      <c r="U1025">
        <v>0</v>
      </c>
      <c r="V1025" s="122">
        <v>216696</v>
      </c>
      <c r="W1025" s="122">
        <f t="shared" si="32"/>
        <v>216696</v>
      </c>
      <c r="X1025" s="122">
        <f t="shared" si="33"/>
        <v>580255</v>
      </c>
    </row>
    <row r="1026" spans="2:24">
      <c r="B1026" t="s">
        <v>455</v>
      </c>
      <c r="C1026" t="s">
        <v>60</v>
      </c>
      <c r="D1026" t="s">
        <v>406</v>
      </c>
      <c r="E1026" t="s">
        <v>406</v>
      </c>
      <c r="F1026">
        <v>1</v>
      </c>
      <c r="G1026">
        <v>219</v>
      </c>
      <c r="H1026" s="122">
        <v>355</v>
      </c>
      <c r="I1026" s="122">
        <v>43155</v>
      </c>
      <c r="J1026" s="122">
        <v>39232</v>
      </c>
      <c r="K1026" s="122">
        <v>70</v>
      </c>
      <c r="L1026" s="122">
        <v>17393</v>
      </c>
      <c r="M1026" s="122">
        <v>14494</v>
      </c>
      <c r="N1026" s="122">
        <v>5337</v>
      </c>
      <c r="O1026" s="122">
        <v>1977</v>
      </c>
      <c r="P1026">
        <v>621</v>
      </c>
      <c r="Q1026">
        <v>230</v>
      </c>
      <c r="R1026" s="122">
        <v>6830</v>
      </c>
      <c r="S1026" s="122">
        <v>6209</v>
      </c>
      <c r="T1026" s="122">
        <v>4404</v>
      </c>
      <c r="U1026" s="122">
        <v>1631</v>
      </c>
      <c r="V1026" s="122">
        <v>63773</v>
      </c>
      <c r="W1026" s="122">
        <f t="shared" si="32"/>
        <v>63773</v>
      </c>
      <c r="X1026" s="122">
        <f t="shared" si="33"/>
        <v>77740</v>
      </c>
    </row>
    <row r="1027" spans="2:24">
      <c r="B1027" t="s">
        <v>455</v>
      </c>
      <c r="C1027" t="s">
        <v>60</v>
      </c>
      <c r="D1027" t="s">
        <v>407</v>
      </c>
      <c r="E1027" t="s">
        <v>407</v>
      </c>
      <c r="F1027" s="122">
        <v>8</v>
      </c>
      <c r="G1027" s="122">
        <v>528</v>
      </c>
      <c r="H1027" s="122">
        <v>2629</v>
      </c>
      <c r="I1027" s="122">
        <v>99855</v>
      </c>
      <c r="J1027" s="122">
        <v>90777</v>
      </c>
      <c r="K1027" s="122">
        <v>76</v>
      </c>
      <c r="L1027" s="122">
        <v>19473</v>
      </c>
      <c r="M1027" s="122">
        <v>15550</v>
      </c>
      <c r="N1027" s="122">
        <v>12061</v>
      </c>
      <c r="O1027" s="122">
        <v>4467</v>
      </c>
      <c r="P1027" s="122">
        <v>4022</v>
      </c>
      <c r="Q1027" s="122">
        <v>1489</v>
      </c>
      <c r="R1027" s="122">
        <v>27985</v>
      </c>
      <c r="S1027" s="122">
        <v>25440</v>
      </c>
      <c r="T1027" s="122">
        <v>9863</v>
      </c>
      <c r="U1027" s="122">
        <v>3653</v>
      </c>
      <c r="V1027" s="122">
        <v>141377</v>
      </c>
      <c r="W1027" s="122">
        <f t="shared" si="32"/>
        <v>141376</v>
      </c>
      <c r="X1027" s="122">
        <f t="shared" si="33"/>
        <v>173259</v>
      </c>
    </row>
    <row r="1028" spans="2:24">
      <c r="B1028" t="s">
        <v>455</v>
      </c>
      <c r="C1028" t="s">
        <v>62</v>
      </c>
      <c r="D1028" t="s">
        <v>137</v>
      </c>
      <c r="E1028" t="s">
        <v>137</v>
      </c>
      <c r="F1028">
        <v>3</v>
      </c>
      <c r="G1028" s="122">
        <v>133</v>
      </c>
      <c r="H1028" s="122">
        <v>1233</v>
      </c>
      <c r="I1028" s="122">
        <v>30516</v>
      </c>
      <c r="J1028" s="122">
        <v>11302</v>
      </c>
      <c r="K1028" s="122">
        <v>100</v>
      </c>
      <c r="L1028" s="122">
        <v>5011</v>
      </c>
      <c r="M1028" s="122">
        <v>2936</v>
      </c>
      <c r="N1028" s="122">
        <v>2488</v>
      </c>
      <c r="O1028">
        <v>921</v>
      </c>
      <c r="P1028">
        <v>0</v>
      </c>
      <c r="Q1028">
        <v>0</v>
      </c>
      <c r="R1028" s="122">
        <v>16673</v>
      </c>
      <c r="S1028" s="122">
        <v>6175</v>
      </c>
      <c r="T1028">
        <v>0</v>
      </c>
      <c r="U1028">
        <v>0</v>
      </c>
      <c r="V1028" s="122">
        <v>21334</v>
      </c>
      <c r="W1028" s="122">
        <f t="shared" si="32"/>
        <v>21334</v>
      </c>
      <c r="X1028" s="122">
        <f t="shared" si="33"/>
        <v>54688</v>
      </c>
    </row>
    <row r="1029" spans="2:24">
      <c r="B1029" t="s">
        <v>455</v>
      </c>
      <c r="C1029" t="s">
        <v>64</v>
      </c>
      <c r="D1029" t="s">
        <v>137</v>
      </c>
      <c r="E1029" t="s">
        <v>137</v>
      </c>
      <c r="F1029">
        <v>4</v>
      </c>
      <c r="G1029">
        <v>190</v>
      </c>
      <c r="H1029" s="122">
        <v>2210</v>
      </c>
      <c r="I1029" s="122">
        <v>71834</v>
      </c>
      <c r="J1029" s="122">
        <v>26605</v>
      </c>
      <c r="K1029" s="122">
        <v>100</v>
      </c>
      <c r="L1029" s="122">
        <v>6005</v>
      </c>
      <c r="M1029" s="122">
        <v>4480</v>
      </c>
      <c r="N1029" s="122">
        <v>4053</v>
      </c>
      <c r="O1029" s="122">
        <v>1501</v>
      </c>
      <c r="P1029">
        <v>351</v>
      </c>
      <c r="Q1029">
        <v>130</v>
      </c>
      <c r="R1029" s="122">
        <v>23280</v>
      </c>
      <c r="S1029" s="122">
        <v>8622</v>
      </c>
      <c r="T1029">
        <v>0</v>
      </c>
      <c r="U1029">
        <v>0</v>
      </c>
      <c r="V1029" s="122">
        <v>41339</v>
      </c>
      <c r="W1029" s="122">
        <f t="shared" si="32"/>
        <v>41338</v>
      </c>
      <c r="X1029" s="122">
        <f t="shared" si="33"/>
        <v>105523</v>
      </c>
    </row>
    <row r="1030" spans="2:24">
      <c r="B1030" t="s">
        <v>455</v>
      </c>
      <c r="C1030" t="s">
        <v>64</v>
      </c>
      <c r="D1030" t="s">
        <v>407</v>
      </c>
      <c r="E1030" t="s">
        <v>407</v>
      </c>
      <c r="F1030">
        <v>1</v>
      </c>
      <c r="G1030" s="122">
        <v>277</v>
      </c>
      <c r="H1030" s="122">
        <v>497</v>
      </c>
      <c r="I1030" s="122">
        <v>94143</v>
      </c>
      <c r="J1030" s="122">
        <v>85584</v>
      </c>
      <c r="K1030" s="122">
        <v>74</v>
      </c>
      <c r="L1030" s="122">
        <v>26893</v>
      </c>
      <c r="M1030" s="122">
        <v>22410</v>
      </c>
      <c r="N1030" s="122">
        <v>6569</v>
      </c>
      <c r="O1030" s="122">
        <v>2433</v>
      </c>
      <c r="P1030">
        <v>473</v>
      </c>
      <c r="Q1030">
        <v>175</v>
      </c>
      <c r="R1030" s="122">
        <v>5574</v>
      </c>
      <c r="S1030" s="122">
        <v>5067</v>
      </c>
      <c r="T1030" s="122">
        <v>3676</v>
      </c>
      <c r="U1030" s="122">
        <v>1361</v>
      </c>
      <c r="V1030" s="122">
        <v>117031</v>
      </c>
      <c r="W1030" s="122">
        <f t="shared" si="32"/>
        <v>117030</v>
      </c>
      <c r="X1030" s="122">
        <f t="shared" si="33"/>
        <v>137328</v>
      </c>
    </row>
    <row r="1031" spans="2:24">
      <c r="B1031" t="s">
        <v>456</v>
      </c>
      <c r="C1031" t="s">
        <v>52</v>
      </c>
      <c r="F1031">
        <v>1</v>
      </c>
      <c r="G1031">
        <v>87</v>
      </c>
      <c r="H1031" s="122">
        <v>110</v>
      </c>
      <c r="J1031">
        <v>0</v>
      </c>
      <c r="K1031" s="122"/>
      <c r="M1031">
        <v>0</v>
      </c>
      <c r="N1031" s="122">
        <v>1110</v>
      </c>
      <c r="O1031">
        <v>411</v>
      </c>
      <c r="P1031">
        <v>0</v>
      </c>
      <c r="Q1031">
        <v>0</v>
      </c>
      <c r="S1031">
        <v>0</v>
      </c>
      <c r="T1031">
        <v>0</v>
      </c>
      <c r="U1031">
        <v>0</v>
      </c>
      <c r="V1031">
        <v>411</v>
      </c>
      <c r="W1031" s="122">
        <f t="shared" si="32"/>
        <v>411</v>
      </c>
      <c r="X1031" s="122">
        <f t="shared" si="33"/>
        <v>1110</v>
      </c>
    </row>
    <row r="1032" spans="2:24">
      <c r="B1032" t="s">
        <v>456</v>
      </c>
      <c r="C1032" t="s">
        <v>56</v>
      </c>
      <c r="D1032" t="s">
        <v>407</v>
      </c>
      <c r="E1032" t="s">
        <v>407</v>
      </c>
      <c r="F1032">
        <v>1</v>
      </c>
      <c r="G1032">
        <v>140</v>
      </c>
      <c r="H1032" s="122">
        <v>197</v>
      </c>
      <c r="I1032" s="122">
        <v>13458</v>
      </c>
      <c r="J1032" s="122">
        <v>12235</v>
      </c>
      <c r="K1032" s="122">
        <v>79</v>
      </c>
      <c r="L1032" s="122">
        <v>2789</v>
      </c>
      <c r="M1032" s="122">
        <v>2535</v>
      </c>
      <c r="N1032" s="122">
        <v>3285</v>
      </c>
      <c r="O1032" s="122">
        <v>1217</v>
      </c>
      <c r="P1032">
        <v>473</v>
      </c>
      <c r="Q1032">
        <v>175</v>
      </c>
      <c r="R1032" s="122">
        <v>4328</v>
      </c>
      <c r="S1032" s="122">
        <v>3935</v>
      </c>
      <c r="T1032" s="122">
        <v>3359</v>
      </c>
      <c r="U1032" s="122">
        <v>1244</v>
      </c>
      <c r="V1032" s="122">
        <v>21340</v>
      </c>
      <c r="W1032" s="122">
        <f t="shared" si="32"/>
        <v>21341</v>
      </c>
      <c r="X1032" s="122">
        <f t="shared" si="33"/>
        <v>27692</v>
      </c>
    </row>
    <row r="1033" spans="2:24">
      <c r="B1033" t="s">
        <v>457</v>
      </c>
      <c r="C1033" t="s">
        <v>48</v>
      </c>
      <c r="D1033" t="s">
        <v>137</v>
      </c>
      <c r="E1033" t="s">
        <v>137</v>
      </c>
      <c r="F1033">
        <v>1</v>
      </c>
      <c r="G1033">
        <v>117</v>
      </c>
      <c r="H1033">
        <v>57</v>
      </c>
      <c r="I1033">
        <v>-222</v>
      </c>
      <c r="J1033">
        <v>-82</v>
      </c>
      <c r="K1033" s="122">
        <v>436</v>
      </c>
      <c r="L1033">
        <v>0</v>
      </c>
      <c r="M1033">
        <v>0</v>
      </c>
      <c r="N1033" s="122">
        <v>1431</v>
      </c>
      <c r="O1033">
        <v>530</v>
      </c>
      <c r="P1033" s="122">
        <v>1675</v>
      </c>
      <c r="Q1033">
        <v>620</v>
      </c>
      <c r="R1033" s="122">
        <v>3761</v>
      </c>
      <c r="S1033" s="122">
        <v>1393</v>
      </c>
      <c r="T1033">
        <v>0</v>
      </c>
      <c r="U1033">
        <v>0</v>
      </c>
      <c r="V1033" s="122">
        <v>2461</v>
      </c>
      <c r="W1033" s="122">
        <f t="shared" si="32"/>
        <v>2625</v>
      </c>
      <c r="X1033" s="122">
        <f t="shared" si="33"/>
        <v>7089</v>
      </c>
    </row>
    <row r="1034" spans="2:24">
      <c r="B1034" t="s">
        <v>457</v>
      </c>
      <c r="C1034" t="s">
        <v>48</v>
      </c>
      <c r="D1034" t="s">
        <v>407</v>
      </c>
      <c r="E1034" t="s">
        <v>407</v>
      </c>
      <c r="F1034" s="122">
        <v>70</v>
      </c>
      <c r="G1034" s="122">
        <v>3973</v>
      </c>
      <c r="H1034" s="122">
        <v>4566</v>
      </c>
      <c r="I1034" s="122">
        <v>37628</v>
      </c>
      <c r="J1034" s="122">
        <v>34207</v>
      </c>
      <c r="K1034" s="122">
        <v>91</v>
      </c>
      <c r="L1034">
        <v>0</v>
      </c>
      <c r="M1034">
        <v>0</v>
      </c>
      <c r="N1034" s="122">
        <v>48410</v>
      </c>
      <c r="O1034" s="122">
        <v>17930</v>
      </c>
      <c r="P1034" s="122">
        <v>33075</v>
      </c>
      <c r="Q1034" s="122">
        <v>12250</v>
      </c>
      <c r="R1034" s="122">
        <v>139757</v>
      </c>
      <c r="S1034" s="122">
        <v>127052</v>
      </c>
      <c r="T1034">
        <v>0</v>
      </c>
      <c r="U1034">
        <v>0</v>
      </c>
      <c r="V1034" s="122">
        <v>191438</v>
      </c>
      <c r="W1034" s="122">
        <f t="shared" si="32"/>
        <v>191439</v>
      </c>
      <c r="X1034" s="122">
        <f t="shared" si="33"/>
        <v>258870</v>
      </c>
    </row>
    <row r="1035" spans="2:24">
      <c r="B1035" t="s">
        <v>457</v>
      </c>
      <c r="C1035" t="s">
        <v>50</v>
      </c>
      <c r="D1035" t="s">
        <v>407</v>
      </c>
      <c r="E1035" t="s">
        <v>407</v>
      </c>
      <c r="F1035" s="122">
        <v>68</v>
      </c>
      <c r="G1035" s="122">
        <v>5053</v>
      </c>
      <c r="H1035" s="122">
        <v>5897</v>
      </c>
      <c r="I1035" s="122">
        <v>44518</v>
      </c>
      <c r="J1035" s="122">
        <v>40471</v>
      </c>
      <c r="K1035" s="122">
        <v>90</v>
      </c>
      <c r="L1035">
        <v>0</v>
      </c>
      <c r="M1035">
        <v>0</v>
      </c>
      <c r="N1035" s="122">
        <v>80917</v>
      </c>
      <c r="O1035" s="122">
        <v>29969</v>
      </c>
      <c r="P1035" s="122">
        <v>32832</v>
      </c>
      <c r="Q1035" s="122">
        <v>12160</v>
      </c>
      <c r="R1035" s="122">
        <v>148348</v>
      </c>
      <c r="S1035" s="122">
        <v>134862</v>
      </c>
      <c r="T1035" s="122">
        <v>131863</v>
      </c>
      <c r="U1035" s="122">
        <v>48838</v>
      </c>
      <c r="V1035" s="122">
        <v>266300</v>
      </c>
      <c r="W1035" s="122">
        <f t="shared" si="32"/>
        <v>266300</v>
      </c>
      <c r="X1035" s="122">
        <f t="shared" si="33"/>
        <v>438478</v>
      </c>
    </row>
    <row r="1036" spans="2:24">
      <c r="B1036" t="s">
        <v>457</v>
      </c>
      <c r="C1036" t="s">
        <v>52</v>
      </c>
      <c r="D1036" t="s">
        <v>407</v>
      </c>
      <c r="E1036" t="s">
        <v>407</v>
      </c>
      <c r="F1036">
        <v>112</v>
      </c>
      <c r="G1036" s="122">
        <v>8535</v>
      </c>
      <c r="H1036" s="122">
        <v>12480</v>
      </c>
      <c r="I1036" s="122">
        <v>299287</v>
      </c>
      <c r="J1036" s="122">
        <v>272079</v>
      </c>
      <c r="K1036" s="122">
        <v>84</v>
      </c>
      <c r="L1036">
        <v>0</v>
      </c>
      <c r="M1036">
        <v>0</v>
      </c>
      <c r="N1036" s="122">
        <v>133879</v>
      </c>
      <c r="O1036" s="122">
        <v>49585</v>
      </c>
      <c r="P1036" s="122">
        <v>61188</v>
      </c>
      <c r="Q1036" s="122">
        <v>22662</v>
      </c>
      <c r="R1036" s="122">
        <v>362118</v>
      </c>
      <c r="S1036" s="122">
        <v>329198</v>
      </c>
      <c r="T1036" s="122">
        <v>96396</v>
      </c>
      <c r="U1036" s="122">
        <v>35702</v>
      </c>
      <c r="V1036" s="122">
        <v>709227</v>
      </c>
      <c r="W1036" s="122">
        <f t="shared" si="32"/>
        <v>709226</v>
      </c>
      <c r="X1036" s="122">
        <f t="shared" si="33"/>
        <v>952868</v>
      </c>
    </row>
    <row r="1037" spans="2:24">
      <c r="B1037" t="s">
        <v>457</v>
      </c>
      <c r="C1037" t="s">
        <v>54</v>
      </c>
      <c r="D1037" t="s">
        <v>137</v>
      </c>
      <c r="E1037" t="s">
        <v>137</v>
      </c>
      <c r="F1037">
        <v>1</v>
      </c>
      <c r="G1037" s="122">
        <v>58</v>
      </c>
      <c r="H1037" s="122">
        <v>146</v>
      </c>
      <c r="I1037" s="122">
        <v>1770</v>
      </c>
      <c r="J1037">
        <v>655</v>
      </c>
      <c r="K1037" s="122">
        <v>100</v>
      </c>
      <c r="L1037">
        <v>312</v>
      </c>
      <c r="M1037">
        <v>116</v>
      </c>
      <c r="N1037">
        <v>947</v>
      </c>
      <c r="O1037">
        <v>351</v>
      </c>
      <c r="P1037">
        <v>0</v>
      </c>
      <c r="Q1037">
        <v>0</v>
      </c>
      <c r="R1037" s="122">
        <v>5526</v>
      </c>
      <c r="S1037" s="122">
        <v>2047</v>
      </c>
      <c r="T1037">
        <v>0</v>
      </c>
      <c r="U1037">
        <v>0</v>
      </c>
      <c r="V1037" s="122">
        <v>3169</v>
      </c>
      <c r="W1037" s="122">
        <f t="shared" si="32"/>
        <v>3169</v>
      </c>
      <c r="X1037" s="122">
        <f t="shared" si="33"/>
        <v>8555</v>
      </c>
    </row>
    <row r="1038" spans="2:24">
      <c r="B1038" t="s">
        <v>457</v>
      </c>
      <c r="C1038" t="s">
        <v>54</v>
      </c>
      <c r="D1038" t="s">
        <v>407</v>
      </c>
      <c r="E1038" t="s">
        <v>407</v>
      </c>
      <c r="F1038">
        <v>98</v>
      </c>
      <c r="G1038" s="122">
        <v>7415</v>
      </c>
      <c r="H1038" s="122">
        <v>13650</v>
      </c>
      <c r="I1038" s="122">
        <v>479914</v>
      </c>
      <c r="J1038" s="122">
        <v>436285</v>
      </c>
      <c r="K1038" s="122">
        <v>81</v>
      </c>
      <c r="L1038" s="122">
        <v>4538</v>
      </c>
      <c r="M1038" s="122">
        <v>2581</v>
      </c>
      <c r="N1038" s="122">
        <v>128717</v>
      </c>
      <c r="O1038" s="122">
        <v>47673</v>
      </c>
      <c r="P1038" s="122">
        <v>59233</v>
      </c>
      <c r="Q1038" s="122">
        <v>21938</v>
      </c>
      <c r="R1038" s="122">
        <v>345539</v>
      </c>
      <c r="S1038" s="122">
        <v>314127</v>
      </c>
      <c r="T1038" s="122">
        <v>20998</v>
      </c>
      <c r="U1038" s="122">
        <v>7777</v>
      </c>
      <c r="V1038" s="122">
        <v>830381</v>
      </c>
      <c r="W1038" s="122">
        <f t="shared" si="32"/>
        <v>830381</v>
      </c>
      <c r="X1038" s="122">
        <f t="shared" si="33"/>
        <v>1038939</v>
      </c>
    </row>
    <row r="1039" spans="2:24">
      <c r="B1039" t="s">
        <v>457</v>
      </c>
      <c r="C1039" t="s">
        <v>56</v>
      </c>
      <c r="D1039" t="s">
        <v>137</v>
      </c>
      <c r="E1039" t="s">
        <v>137</v>
      </c>
      <c r="F1039">
        <v>45</v>
      </c>
      <c r="G1039" s="122">
        <v>2972</v>
      </c>
      <c r="H1039" s="122">
        <v>8865</v>
      </c>
      <c r="I1039" s="122">
        <v>217894</v>
      </c>
      <c r="J1039" s="122">
        <v>80701</v>
      </c>
      <c r="K1039" s="122">
        <v>103</v>
      </c>
      <c r="L1039" s="122">
        <v>34809</v>
      </c>
      <c r="M1039" s="122">
        <v>13417</v>
      </c>
      <c r="N1039" s="122">
        <v>55741</v>
      </c>
      <c r="O1039" s="122">
        <v>20645</v>
      </c>
      <c r="P1039">
        <v>0</v>
      </c>
      <c r="Q1039">
        <v>0</v>
      </c>
      <c r="R1039" s="122">
        <v>277848</v>
      </c>
      <c r="S1039" s="122">
        <v>102907</v>
      </c>
      <c r="T1039">
        <v>0</v>
      </c>
      <c r="U1039">
        <v>0</v>
      </c>
      <c r="V1039" s="122">
        <v>217670</v>
      </c>
      <c r="W1039" s="122">
        <f t="shared" si="32"/>
        <v>217670</v>
      </c>
      <c r="X1039" s="122">
        <f t="shared" si="33"/>
        <v>586292</v>
      </c>
    </row>
    <row r="1040" spans="2:24">
      <c r="B1040" t="s">
        <v>457</v>
      </c>
      <c r="C1040" t="s">
        <v>56</v>
      </c>
      <c r="D1040" t="s">
        <v>407</v>
      </c>
      <c r="E1040" t="s">
        <v>407</v>
      </c>
      <c r="F1040" s="122">
        <v>100</v>
      </c>
      <c r="G1040" s="122">
        <v>6456</v>
      </c>
      <c r="H1040" s="122">
        <v>17675</v>
      </c>
      <c r="I1040" s="122">
        <v>541445</v>
      </c>
      <c r="J1040" s="122">
        <v>492223</v>
      </c>
      <c r="K1040" s="122">
        <v>81</v>
      </c>
      <c r="L1040" s="122">
        <v>23184</v>
      </c>
      <c r="M1040" s="122">
        <v>17376</v>
      </c>
      <c r="N1040" s="122">
        <v>128549</v>
      </c>
      <c r="O1040" s="122">
        <v>47611</v>
      </c>
      <c r="P1040" s="122">
        <v>48001</v>
      </c>
      <c r="Q1040" s="122">
        <v>17778</v>
      </c>
      <c r="R1040" s="122">
        <v>374666</v>
      </c>
      <c r="S1040" s="122">
        <v>340605</v>
      </c>
      <c r="T1040" s="122">
        <v>35105</v>
      </c>
      <c r="U1040" s="122">
        <v>13002</v>
      </c>
      <c r="V1040" s="122">
        <v>928594</v>
      </c>
      <c r="W1040" s="122">
        <f t="shared" si="32"/>
        <v>928595</v>
      </c>
      <c r="X1040" s="122">
        <f t="shared" si="33"/>
        <v>1150950</v>
      </c>
    </row>
    <row r="1041" spans="2:24">
      <c r="B1041" t="s">
        <v>457</v>
      </c>
      <c r="C1041" t="s">
        <v>58</v>
      </c>
      <c r="D1041" t="s">
        <v>137</v>
      </c>
      <c r="E1041" t="s">
        <v>137</v>
      </c>
      <c r="F1041">
        <v>109</v>
      </c>
      <c r="G1041" s="122">
        <v>6476</v>
      </c>
      <c r="H1041" s="122">
        <v>28777</v>
      </c>
      <c r="I1041" s="122">
        <v>821582</v>
      </c>
      <c r="J1041" s="122">
        <v>304290</v>
      </c>
      <c r="K1041" s="122">
        <v>100</v>
      </c>
      <c r="L1041" s="122">
        <v>100219</v>
      </c>
      <c r="M1041" s="122">
        <v>39179</v>
      </c>
      <c r="N1041" s="122">
        <v>127429</v>
      </c>
      <c r="O1041" s="122">
        <v>47196</v>
      </c>
      <c r="P1041" s="122">
        <v>2228</v>
      </c>
      <c r="Q1041">
        <v>825</v>
      </c>
      <c r="R1041" s="122">
        <v>651711</v>
      </c>
      <c r="S1041" s="122">
        <v>241374</v>
      </c>
      <c r="T1041" s="122">
        <v>1816</v>
      </c>
      <c r="U1041">
        <v>673</v>
      </c>
      <c r="V1041" s="122">
        <v>633537</v>
      </c>
      <c r="W1041" s="122">
        <f t="shared" si="32"/>
        <v>633537</v>
      </c>
      <c r="X1041" s="122">
        <f t="shared" si="33"/>
        <v>1704985</v>
      </c>
    </row>
    <row r="1042" spans="2:24">
      <c r="B1042" t="s">
        <v>457</v>
      </c>
      <c r="C1042" t="s">
        <v>58</v>
      </c>
      <c r="D1042" t="s">
        <v>406</v>
      </c>
      <c r="E1042" t="s">
        <v>406</v>
      </c>
      <c r="F1042">
        <v>1</v>
      </c>
      <c r="G1042">
        <v>57</v>
      </c>
      <c r="H1042" s="122">
        <v>247</v>
      </c>
      <c r="I1042" s="122">
        <v>7197</v>
      </c>
      <c r="J1042" s="122">
        <v>6543</v>
      </c>
      <c r="K1042" s="122">
        <v>79</v>
      </c>
      <c r="L1042">
        <v>0</v>
      </c>
      <c r="M1042">
        <v>0</v>
      </c>
      <c r="N1042" s="122">
        <v>1091</v>
      </c>
      <c r="O1042">
        <v>404</v>
      </c>
      <c r="P1042">
        <v>621</v>
      </c>
      <c r="Q1042">
        <v>230</v>
      </c>
      <c r="R1042" s="122">
        <v>3229</v>
      </c>
      <c r="S1042" s="122">
        <v>2936</v>
      </c>
      <c r="T1042" s="122">
        <v>1843</v>
      </c>
      <c r="U1042">
        <v>683</v>
      </c>
      <c r="V1042" s="122">
        <v>10795</v>
      </c>
      <c r="W1042" s="122">
        <f t="shared" si="32"/>
        <v>10796</v>
      </c>
      <c r="X1042" s="122">
        <f t="shared" si="33"/>
        <v>13981</v>
      </c>
    </row>
    <row r="1043" spans="2:24">
      <c r="B1043" t="s">
        <v>457</v>
      </c>
      <c r="C1043" t="s">
        <v>58</v>
      </c>
      <c r="D1043" t="s">
        <v>407</v>
      </c>
      <c r="E1043" t="s">
        <v>137</v>
      </c>
      <c r="F1043" s="122">
        <v>1</v>
      </c>
      <c r="G1043" s="122">
        <v>59</v>
      </c>
      <c r="H1043">
        <v>229</v>
      </c>
      <c r="I1043" s="122">
        <v>4920</v>
      </c>
      <c r="J1043" s="122">
        <v>4472</v>
      </c>
      <c r="K1043" s="122">
        <v>77</v>
      </c>
      <c r="L1043">
        <v>0</v>
      </c>
      <c r="M1043">
        <v>0</v>
      </c>
      <c r="N1043">
        <v>716</v>
      </c>
      <c r="O1043">
        <v>265</v>
      </c>
      <c r="P1043">
        <v>473</v>
      </c>
      <c r="Q1043">
        <v>175</v>
      </c>
      <c r="R1043" s="122">
        <v>7338</v>
      </c>
      <c r="S1043" s="122">
        <v>2718</v>
      </c>
      <c r="T1043">
        <v>0</v>
      </c>
      <c r="U1043">
        <v>0</v>
      </c>
      <c r="V1043" s="122">
        <v>7630</v>
      </c>
      <c r="W1043" s="122">
        <f t="shared" si="32"/>
        <v>7630</v>
      </c>
      <c r="X1043" s="122">
        <f t="shared" si="33"/>
        <v>13447</v>
      </c>
    </row>
    <row r="1044" spans="2:24">
      <c r="B1044" t="s">
        <v>457</v>
      </c>
      <c r="C1044" t="s">
        <v>58</v>
      </c>
      <c r="D1044" t="s">
        <v>407</v>
      </c>
      <c r="E1044" t="s">
        <v>407</v>
      </c>
      <c r="F1044" s="122">
        <v>18</v>
      </c>
      <c r="G1044" s="122">
        <v>1091</v>
      </c>
      <c r="H1044" s="122">
        <v>4615</v>
      </c>
      <c r="I1044" s="122">
        <v>132121</v>
      </c>
      <c r="J1044" s="122">
        <v>120110</v>
      </c>
      <c r="K1044" s="122">
        <v>79</v>
      </c>
      <c r="L1044" s="122">
        <v>23708</v>
      </c>
      <c r="M1044" s="122">
        <v>18525</v>
      </c>
      <c r="N1044" s="122">
        <v>21376</v>
      </c>
      <c r="O1044" s="122">
        <v>7917</v>
      </c>
      <c r="P1044" s="122">
        <v>8505</v>
      </c>
      <c r="Q1044" s="122">
        <v>3150</v>
      </c>
      <c r="R1044" s="122">
        <v>72781</v>
      </c>
      <c r="S1044" s="122">
        <v>66164</v>
      </c>
      <c r="T1044" s="122">
        <v>17660</v>
      </c>
      <c r="U1044" s="122">
        <v>6541</v>
      </c>
      <c r="V1044" s="122">
        <v>222407</v>
      </c>
      <c r="W1044" s="122">
        <f t="shared" si="32"/>
        <v>222407</v>
      </c>
      <c r="X1044" s="122">
        <f t="shared" si="33"/>
        <v>276151</v>
      </c>
    </row>
    <row r="1045" spans="2:24">
      <c r="B1045" t="s">
        <v>457</v>
      </c>
      <c r="C1045" t="s">
        <v>60</v>
      </c>
      <c r="D1045" t="s">
        <v>137</v>
      </c>
      <c r="E1045" t="s">
        <v>137</v>
      </c>
      <c r="F1045">
        <v>57</v>
      </c>
      <c r="G1045" s="122">
        <v>2943</v>
      </c>
      <c r="H1045" s="122">
        <v>19152</v>
      </c>
      <c r="I1045" s="122">
        <v>557218</v>
      </c>
      <c r="J1045" s="122">
        <v>206377</v>
      </c>
      <c r="K1045" s="122">
        <v>100</v>
      </c>
      <c r="L1045" s="122">
        <v>58801</v>
      </c>
      <c r="M1045" s="122">
        <v>26464</v>
      </c>
      <c r="N1045" s="122">
        <v>57130</v>
      </c>
      <c r="O1045" s="122">
        <v>21159</v>
      </c>
      <c r="P1045" s="122">
        <v>1053</v>
      </c>
      <c r="Q1045">
        <v>390</v>
      </c>
      <c r="R1045" s="122">
        <v>318511</v>
      </c>
      <c r="S1045" s="122">
        <v>117967</v>
      </c>
      <c r="T1045">
        <v>0</v>
      </c>
      <c r="U1045">
        <v>0</v>
      </c>
      <c r="V1045" s="122">
        <v>372358</v>
      </c>
      <c r="W1045" s="122">
        <f t="shared" si="32"/>
        <v>372357</v>
      </c>
      <c r="X1045" s="122">
        <f t="shared" si="33"/>
        <v>992713</v>
      </c>
    </row>
    <row r="1046" spans="2:24">
      <c r="B1046" t="s">
        <v>457</v>
      </c>
      <c r="C1046" t="s">
        <v>60</v>
      </c>
      <c r="D1046" t="s">
        <v>407</v>
      </c>
      <c r="E1046" t="s">
        <v>407</v>
      </c>
      <c r="F1046">
        <v>2</v>
      </c>
      <c r="G1046">
        <v>149</v>
      </c>
      <c r="H1046" s="122">
        <v>639</v>
      </c>
      <c r="I1046" s="122">
        <v>32956</v>
      </c>
      <c r="J1046" s="122">
        <v>29960</v>
      </c>
      <c r="K1046" s="122">
        <v>81</v>
      </c>
      <c r="L1046">
        <v>0</v>
      </c>
      <c r="M1046">
        <v>0</v>
      </c>
      <c r="N1046" s="122">
        <v>3397</v>
      </c>
      <c r="O1046" s="122">
        <v>1258</v>
      </c>
      <c r="P1046">
        <v>945</v>
      </c>
      <c r="Q1046">
        <v>350</v>
      </c>
      <c r="R1046" s="122">
        <v>6295</v>
      </c>
      <c r="S1046" s="122">
        <v>5723</v>
      </c>
      <c r="T1046" s="122">
        <v>4445</v>
      </c>
      <c r="U1046" s="122">
        <v>1646</v>
      </c>
      <c r="V1046" s="122">
        <v>38937</v>
      </c>
      <c r="W1046" s="122">
        <f t="shared" si="32"/>
        <v>38937</v>
      </c>
      <c r="X1046" s="122">
        <f t="shared" si="33"/>
        <v>48038</v>
      </c>
    </row>
    <row r="1047" spans="2:24">
      <c r="B1047" t="s">
        <v>457</v>
      </c>
      <c r="C1047" t="s">
        <v>62</v>
      </c>
      <c r="D1047" t="s">
        <v>137</v>
      </c>
      <c r="E1047" t="s">
        <v>137</v>
      </c>
      <c r="F1047">
        <v>15</v>
      </c>
      <c r="G1047">
        <v>751</v>
      </c>
      <c r="H1047" s="122">
        <v>6136</v>
      </c>
      <c r="I1047" s="122">
        <v>184430</v>
      </c>
      <c r="J1047" s="122">
        <v>68307</v>
      </c>
      <c r="K1047" s="122">
        <v>100</v>
      </c>
      <c r="L1047" s="122">
        <v>21667</v>
      </c>
      <c r="M1047" s="122">
        <v>15614</v>
      </c>
      <c r="N1047" s="122">
        <v>17196</v>
      </c>
      <c r="O1047" s="122">
        <v>6369</v>
      </c>
      <c r="P1047" s="122">
        <v>1053</v>
      </c>
      <c r="Q1047">
        <v>390</v>
      </c>
      <c r="R1047" s="122">
        <v>86098</v>
      </c>
      <c r="S1047" s="122">
        <v>31888</v>
      </c>
      <c r="T1047" s="122">
        <v>1692</v>
      </c>
      <c r="U1047">
        <v>627</v>
      </c>
      <c r="V1047" s="122">
        <v>123195</v>
      </c>
      <c r="W1047" s="122">
        <f t="shared" si="32"/>
        <v>123195</v>
      </c>
      <c r="X1047" s="122">
        <f t="shared" si="33"/>
        <v>312136</v>
      </c>
    </row>
    <row r="1048" spans="2:24">
      <c r="B1048" t="s">
        <v>457</v>
      </c>
      <c r="C1048" t="s">
        <v>62</v>
      </c>
      <c r="D1048" t="s">
        <v>407</v>
      </c>
      <c r="E1048" t="s">
        <v>407</v>
      </c>
      <c r="F1048" s="122">
        <v>1</v>
      </c>
      <c r="G1048" s="122">
        <v>37</v>
      </c>
      <c r="H1048">
        <v>404</v>
      </c>
      <c r="I1048" s="122">
        <v>9776</v>
      </c>
      <c r="J1048" s="122">
        <v>8887</v>
      </c>
      <c r="K1048" s="122">
        <v>68</v>
      </c>
      <c r="L1048">
        <v>0</v>
      </c>
      <c r="M1048">
        <v>0</v>
      </c>
      <c r="N1048">
        <v>719</v>
      </c>
      <c r="O1048">
        <v>266</v>
      </c>
      <c r="P1048">
        <v>473</v>
      </c>
      <c r="Q1048">
        <v>175</v>
      </c>
      <c r="R1048" s="122">
        <v>2810</v>
      </c>
      <c r="S1048" s="122">
        <v>2554</v>
      </c>
      <c r="T1048" s="122">
        <v>1107</v>
      </c>
      <c r="U1048">
        <v>410</v>
      </c>
      <c r="V1048" s="122">
        <v>12292</v>
      </c>
      <c r="W1048" s="122">
        <f t="shared" si="32"/>
        <v>12292</v>
      </c>
      <c r="X1048" s="122">
        <f t="shared" si="33"/>
        <v>14885</v>
      </c>
    </row>
    <row r="1049" spans="2:24">
      <c r="B1049" t="s">
        <v>457</v>
      </c>
      <c r="C1049" t="s">
        <v>64</v>
      </c>
      <c r="D1049" t="s">
        <v>137</v>
      </c>
      <c r="E1049" t="s">
        <v>137</v>
      </c>
      <c r="F1049" s="122">
        <v>4</v>
      </c>
      <c r="G1049" s="122">
        <v>244</v>
      </c>
      <c r="H1049" s="122">
        <v>1973</v>
      </c>
      <c r="I1049" s="122">
        <v>91115</v>
      </c>
      <c r="J1049" s="122">
        <v>33746</v>
      </c>
      <c r="K1049" s="122">
        <v>100</v>
      </c>
      <c r="L1049">
        <v>0</v>
      </c>
      <c r="M1049">
        <v>0</v>
      </c>
      <c r="N1049" s="122">
        <v>4955</v>
      </c>
      <c r="O1049" s="122">
        <v>1835</v>
      </c>
      <c r="P1049" s="122">
        <v>1404</v>
      </c>
      <c r="Q1049">
        <v>520</v>
      </c>
      <c r="R1049" s="122">
        <v>21677</v>
      </c>
      <c r="S1049" s="122">
        <v>8029</v>
      </c>
      <c r="T1049">
        <v>0</v>
      </c>
      <c r="U1049">
        <v>0</v>
      </c>
      <c r="V1049" s="122">
        <v>44130</v>
      </c>
      <c r="W1049" s="122">
        <f t="shared" si="32"/>
        <v>44130</v>
      </c>
      <c r="X1049" s="122">
        <f t="shared" si="33"/>
        <v>119151</v>
      </c>
    </row>
    <row r="1050" spans="2:24">
      <c r="B1050" t="s">
        <v>457</v>
      </c>
      <c r="C1050" t="s">
        <v>64</v>
      </c>
      <c r="D1050" t="s">
        <v>556</v>
      </c>
      <c r="E1050" t="s">
        <v>137</v>
      </c>
      <c r="F1050" s="122">
        <v>1</v>
      </c>
      <c r="G1050" s="122">
        <v>42</v>
      </c>
      <c r="H1050" s="122">
        <v>623</v>
      </c>
      <c r="I1050" s="122">
        <v>14100</v>
      </c>
      <c r="J1050" s="122">
        <v>11750</v>
      </c>
      <c r="K1050" s="122">
        <v>30</v>
      </c>
      <c r="L1050" s="122">
        <v>2379</v>
      </c>
      <c r="M1050">
        <v>881</v>
      </c>
      <c r="N1050">
        <v>509</v>
      </c>
      <c r="O1050">
        <v>189</v>
      </c>
      <c r="P1050">
        <v>0</v>
      </c>
      <c r="Q1050">
        <v>0</v>
      </c>
      <c r="R1050" s="122">
        <v>9032</v>
      </c>
      <c r="S1050" s="122">
        <v>3345</v>
      </c>
      <c r="T1050">
        <v>0</v>
      </c>
      <c r="U1050">
        <v>0</v>
      </c>
      <c r="V1050" s="122">
        <v>16165</v>
      </c>
      <c r="W1050" s="122">
        <f t="shared" si="32"/>
        <v>16165</v>
      </c>
      <c r="X1050" s="122">
        <f t="shared" si="33"/>
        <v>26020</v>
      </c>
    </row>
    <row r="1051" spans="2:24">
      <c r="B1051" t="s">
        <v>458</v>
      </c>
      <c r="C1051" t="s">
        <v>54</v>
      </c>
      <c r="D1051" t="s">
        <v>407</v>
      </c>
      <c r="E1051" t="s">
        <v>407</v>
      </c>
      <c r="F1051" s="122">
        <v>1</v>
      </c>
      <c r="G1051" s="122">
        <v>84</v>
      </c>
      <c r="H1051" s="122">
        <v>148</v>
      </c>
      <c r="I1051" s="122">
        <v>5296</v>
      </c>
      <c r="J1051" s="122">
        <v>4815</v>
      </c>
      <c r="K1051" s="122">
        <v>75</v>
      </c>
      <c r="L1051">
        <v>0</v>
      </c>
      <c r="M1051">
        <v>0</v>
      </c>
      <c r="N1051" s="122">
        <v>1021</v>
      </c>
      <c r="O1051">
        <v>378</v>
      </c>
      <c r="P1051">
        <v>473</v>
      </c>
      <c r="Q1051">
        <v>175</v>
      </c>
      <c r="R1051" s="122">
        <v>5602</v>
      </c>
      <c r="S1051" s="122">
        <v>5093</v>
      </c>
      <c r="T1051">
        <v>0</v>
      </c>
      <c r="U1051">
        <v>0</v>
      </c>
      <c r="V1051" s="122">
        <v>10461</v>
      </c>
      <c r="W1051" s="122">
        <f t="shared" si="32"/>
        <v>10461</v>
      </c>
      <c r="X1051" s="122">
        <f t="shared" si="33"/>
        <v>12392</v>
      </c>
    </row>
    <row r="1052" spans="2:24">
      <c r="B1052" t="s">
        <v>458</v>
      </c>
      <c r="C1052" t="s">
        <v>58</v>
      </c>
      <c r="D1052" t="s">
        <v>137</v>
      </c>
      <c r="E1052" t="s">
        <v>137</v>
      </c>
      <c r="F1052" s="122">
        <v>1</v>
      </c>
      <c r="G1052" s="122">
        <v>46</v>
      </c>
      <c r="H1052" s="122">
        <v>252</v>
      </c>
      <c r="I1052" s="122">
        <v>6102</v>
      </c>
      <c r="J1052" s="122">
        <v>2260</v>
      </c>
      <c r="K1052" s="122">
        <v>100</v>
      </c>
      <c r="L1052">
        <v>0</v>
      </c>
      <c r="M1052">
        <v>0</v>
      </c>
      <c r="N1052">
        <v>564</v>
      </c>
      <c r="O1052">
        <v>209</v>
      </c>
      <c r="P1052">
        <v>0</v>
      </c>
      <c r="Q1052">
        <v>0</v>
      </c>
      <c r="R1052" s="122">
        <v>4995</v>
      </c>
      <c r="S1052" s="122">
        <v>1850</v>
      </c>
      <c r="T1052">
        <v>0</v>
      </c>
      <c r="U1052">
        <v>0</v>
      </c>
      <c r="V1052" s="122">
        <v>4319</v>
      </c>
      <c r="W1052" s="122">
        <f t="shared" si="32"/>
        <v>4319</v>
      </c>
      <c r="X1052" s="122">
        <f t="shared" si="33"/>
        <v>11661</v>
      </c>
    </row>
    <row r="1053" spans="2:24">
      <c r="B1053" t="s">
        <v>459</v>
      </c>
      <c r="C1053" t="s">
        <v>48</v>
      </c>
      <c r="F1053" s="122">
        <v>11</v>
      </c>
      <c r="G1053" s="122">
        <v>680</v>
      </c>
      <c r="H1053">
        <v>604</v>
      </c>
      <c r="J1053">
        <v>0</v>
      </c>
      <c r="K1053" s="122"/>
      <c r="M1053">
        <v>0</v>
      </c>
      <c r="N1053" s="122">
        <v>8285</v>
      </c>
      <c r="O1053" s="122">
        <v>3068</v>
      </c>
      <c r="P1053" s="122">
        <v>10604</v>
      </c>
      <c r="Q1053" s="122">
        <v>3927</v>
      </c>
      <c r="S1053">
        <v>0</v>
      </c>
      <c r="T1053">
        <v>0</v>
      </c>
      <c r="U1053">
        <v>0</v>
      </c>
      <c r="V1053" s="122">
        <v>6996</v>
      </c>
      <c r="W1053" s="122">
        <f t="shared" si="32"/>
        <v>6995</v>
      </c>
      <c r="X1053" s="122">
        <f t="shared" si="33"/>
        <v>18889</v>
      </c>
    </row>
    <row r="1054" spans="2:24">
      <c r="B1054" t="s">
        <v>459</v>
      </c>
      <c r="C1054" t="s">
        <v>48</v>
      </c>
      <c r="D1054" t="s">
        <v>137</v>
      </c>
      <c r="E1054" t="s">
        <v>137</v>
      </c>
      <c r="F1054">
        <v>19</v>
      </c>
      <c r="G1054" s="122">
        <v>1421</v>
      </c>
      <c r="H1054" s="122">
        <v>1195</v>
      </c>
      <c r="I1054" s="122">
        <v>-19783</v>
      </c>
      <c r="J1054" s="122">
        <v>-7327</v>
      </c>
      <c r="K1054" s="122">
        <v>495</v>
      </c>
      <c r="L1054">
        <v>0</v>
      </c>
      <c r="M1054">
        <v>0</v>
      </c>
      <c r="N1054" s="122">
        <v>17316</v>
      </c>
      <c r="O1054" s="122">
        <v>6413</v>
      </c>
      <c r="P1054" s="122">
        <v>18505</v>
      </c>
      <c r="Q1054" s="122">
        <v>6854</v>
      </c>
      <c r="R1054" s="122">
        <v>71517</v>
      </c>
      <c r="S1054" s="122">
        <v>26488</v>
      </c>
      <c r="T1054">
        <v>0</v>
      </c>
      <c r="U1054">
        <v>0</v>
      </c>
      <c r="V1054" s="122">
        <v>32428</v>
      </c>
      <c r="W1054" s="122">
        <f t="shared" si="32"/>
        <v>47082</v>
      </c>
      <c r="X1054" s="122">
        <f t="shared" si="33"/>
        <v>127121</v>
      </c>
    </row>
    <row r="1055" spans="2:24">
      <c r="B1055" t="s">
        <v>459</v>
      </c>
      <c r="C1055" t="s">
        <v>48</v>
      </c>
      <c r="D1055" t="s">
        <v>407</v>
      </c>
      <c r="E1055" t="s">
        <v>407</v>
      </c>
      <c r="F1055" s="122">
        <v>5</v>
      </c>
      <c r="G1055" s="122">
        <v>487</v>
      </c>
      <c r="H1055" s="122">
        <v>255</v>
      </c>
      <c r="I1055" s="122">
        <v>-2321</v>
      </c>
      <c r="J1055" s="122">
        <v>-2110</v>
      </c>
      <c r="K1055" s="122">
        <v>90</v>
      </c>
      <c r="L1055">
        <v>0</v>
      </c>
      <c r="M1055">
        <v>0</v>
      </c>
      <c r="N1055" s="122">
        <v>5935</v>
      </c>
      <c r="O1055" s="122">
        <v>2198</v>
      </c>
      <c r="P1055" s="122">
        <v>6742</v>
      </c>
      <c r="Q1055" s="122">
        <v>2497</v>
      </c>
      <c r="R1055" s="122">
        <v>14519</v>
      </c>
      <c r="S1055" s="122">
        <v>13199</v>
      </c>
      <c r="T1055">
        <v>0</v>
      </c>
      <c r="U1055">
        <v>0</v>
      </c>
      <c r="V1055" s="122">
        <v>15784</v>
      </c>
      <c r="W1055" s="122">
        <f t="shared" si="32"/>
        <v>20004</v>
      </c>
      <c r="X1055" s="122">
        <f t="shared" si="33"/>
        <v>29517</v>
      </c>
    </row>
    <row r="1056" spans="2:24">
      <c r="B1056" t="s">
        <v>459</v>
      </c>
      <c r="C1056" t="s">
        <v>52</v>
      </c>
      <c r="D1056" t="s">
        <v>407</v>
      </c>
      <c r="E1056" t="s">
        <v>407</v>
      </c>
      <c r="F1056" s="122">
        <v>12</v>
      </c>
      <c r="G1056" s="122">
        <v>935</v>
      </c>
      <c r="H1056" s="122">
        <v>1420</v>
      </c>
      <c r="I1056" s="122">
        <v>32871</v>
      </c>
      <c r="J1056" s="122">
        <v>29883</v>
      </c>
      <c r="K1056" s="122">
        <v>85</v>
      </c>
      <c r="L1056">
        <v>970</v>
      </c>
      <c r="M1056">
        <v>359</v>
      </c>
      <c r="N1056" s="122">
        <v>17411</v>
      </c>
      <c r="O1056" s="122">
        <v>6448</v>
      </c>
      <c r="P1056" s="122">
        <v>5670</v>
      </c>
      <c r="Q1056" s="122">
        <v>2100</v>
      </c>
      <c r="R1056" s="122">
        <v>49870</v>
      </c>
      <c r="S1056" s="122">
        <v>45336</v>
      </c>
      <c r="T1056" s="122">
        <v>4068</v>
      </c>
      <c r="U1056" s="122">
        <v>1507</v>
      </c>
      <c r="V1056" s="122">
        <v>85633</v>
      </c>
      <c r="W1056" s="122">
        <f t="shared" si="32"/>
        <v>85633</v>
      </c>
      <c r="X1056" s="122">
        <f t="shared" si="33"/>
        <v>110860</v>
      </c>
    </row>
    <row r="1057" spans="2:24">
      <c r="B1057" t="s">
        <v>459</v>
      </c>
      <c r="C1057" t="s">
        <v>54</v>
      </c>
      <c r="D1057" t="s">
        <v>137</v>
      </c>
      <c r="E1057" t="s">
        <v>137</v>
      </c>
      <c r="F1057" s="122">
        <v>4</v>
      </c>
      <c r="G1057" s="122">
        <v>311</v>
      </c>
      <c r="H1057" s="122">
        <v>550</v>
      </c>
      <c r="I1057" s="122">
        <v>9913</v>
      </c>
      <c r="J1057" s="122">
        <v>3671</v>
      </c>
      <c r="K1057" s="122">
        <v>100</v>
      </c>
      <c r="L1057" s="122">
        <v>1298</v>
      </c>
      <c r="M1057">
        <v>481</v>
      </c>
      <c r="N1057" s="122">
        <v>5702</v>
      </c>
      <c r="O1057" s="122">
        <v>2112</v>
      </c>
      <c r="P1057">
        <v>0</v>
      </c>
      <c r="Q1057">
        <v>0</v>
      </c>
      <c r="R1057" s="122">
        <v>25864</v>
      </c>
      <c r="S1057" s="122">
        <v>9579</v>
      </c>
      <c r="T1057">
        <v>0</v>
      </c>
      <c r="U1057">
        <v>0</v>
      </c>
      <c r="V1057" s="122">
        <v>15843</v>
      </c>
      <c r="W1057" s="122">
        <f t="shared" si="32"/>
        <v>15843</v>
      </c>
      <c r="X1057" s="122">
        <f t="shared" si="33"/>
        <v>42777</v>
      </c>
    </row>
    <row r="1058" spans="2:24">
      <c r="B1058" t="s">
        <v>459</v>
      </c>
      <c r="C1058" t="s">
        <v>54</v>
      </c>
      <c r="D1058" t="s">
        <v>407</v>
      </c>
      <c r="E1058" t="s">
        <v>407</v>
      </c>
      <c r="F1058" s="122">
        <v>37</v>
      </c>
      <c r="G1058" s="122">
        <v>2945</v>
      </c>
      <c r="H1058" s="122">
        <v>5070</v>
      </c>
      <c r="I1058" s="122">
        <v>133890</v>
      </c>
      <c r="J1058" s="122">
        <v>121718</v>
      </c>
      <c r="K1058" s="122">
        <v>80</v>
      </c>
      <c r="L1058" s="122">
        <v>4686</v>
      </c>
      <c r="M1058" s="122">
        <v>2677</v>
      </c>
      <c r="N1058" s="122">
        <v>59680</v>
      </c>
      <c r="O1058" s="122">
        <v>22104</v>
      </c>
      <c r="P1058" s="122">
        <v>17834</v>
      </c>
      <c r="Q1058" s="122">
        <v>6605</v>
      </c>
      <c r="R1058" s="122">
        <v>166193</v>
      </c>
      <c r="S1058" s="122">
        <v>151085</v>
      </c>
      <c r="T1058" s="122">
        <v>23908</v>
      </c>
      <c r="U1058" s="122">
        <v>8855</v>
      </c>
      <c r="V1058" s="122">
        <v>313043</v>
      </c>
      <c r="W1058" s="122">
        <f t="shared" si="32"/>
        <v>313044</v>
      </c>
      <c r="X1058" s="122">
        <f t="shared" si="33"/>
        <v>406191</v>
      </c>
    </row>
    <row r="1059" spans="2:24">
      <c r="B1059" t="s">
        <v>459</v>
      </c>
      <c r="C1059" t="s">
        <v>56</v>
      </c>
      <c r="F1059">
        <v>11</v>
      </c>
      <c r="G1059">
        <v>764</v>
      </c>
      <c r="H1059" s="122">
        <v>2040</v>
      </c>
      <c r="J1059">
        <v>0</v>
      </c>
      <c r="K1059" s="122"/>
      <c r="M1059">
        <v>0</v>
      </c>
      <c r="N1059" s="122">
        <v>11507</v>
      </c>
      <c r="O1059" s="122">
        <v>4262</v>
      </c>
      <c r="P1059">
        <v>351</v>
      </c>
      <c r="Q1059">
        <v>130</v>
      </c>
      <c r="S1059">
        <v>0</v>
      </c>
      <c r="T1059">
        <v>0</v>
      </c>
      <c r="U1059">
        <v>0</v>
      </c>
      <c r="V1059" s="122">
        <v>4392</v>
      </c>
      <c r="W1059" s="122">
        <f t="shared" si="32"/>
        <v>4392</v>
      </c>
      <c r="X1059" s="122">
        <f t="shared" si="33"/>
        <v>11858</v>
      </c>
    </row>
    <row r="1060" spans="2:24">
      <c r="B1060" t="s">
        <v>459</v>
      </c>
      <c r="C1060" t="s">
        <v>56</v>
      </c>
      <c r="D1060" t="s">
        <v>137</v>
      </c>
      <c r="E1060" t="s">
        <v>137</v>
      </c>
      <c r="F1060">
        <v>155</v>
      </c>
      <c r="G1060" s="122">
        <v>9951</v>
      </c>
      <c r="H1060" s="122">
        <v>31469</v>
      </c>
      <c r="I1060" s="122">
        <v>824456</v>
      </c>
      <c r="J1060" s="122">
        <v>305354</v>
      </c>
      <c r="K1060" s="122">
        <v>100</v>
      </c>
      <c r="L1060" s="122">
        <v>92021</v>
      </c>
      <c r="M1060" s="122">
        <v>119279</v>
      </c>
      <c r="N1060" s="122">
        <v>188989</v>
      </c>
      <c r="O1060" s="122">
        <v>69996</v>
      </c>
      <c r="P1060">
        <v>702</v>
      </c>
      <c r="Q1060">
        <v>260</v>
      </c>
      <c r="R1060" s="122">
        <v>912748</v>
      </c>
      <c r="S1060" s="122">
        <v>338055</v>
      </c>
      <c r="T1060" s="122">
        <v>1849</v>
      </c>
      <c r="U1060">
        <v>685</v>
      </c>
      <c r="V1060" s="122">
        <v>833629</v>
      </c>
      <c r="W1060" s="122">
        <f t="shared" si="32"/>
        <v>833629</v>
      </c>
      <c r="X1060" s="122">
        <f t="shared" si="33"/>
        <v>2020765</v>
      </c>
    </row>
    <row r="1061" spans="2:24">
      <c r="B1061" t="s">
        <v>459</v>
      </c>
      <c r="C1061" t="s">
        <v>56</v>
      </c>
      <c r="D1061" t="s">
        <v>406</v>
      </c>
      <c r="E1061" t="s">
        <v>137</v>
      </c>
      <c r="F1061">
        <v>1</v>
      </c>
      <c r="G1061">
        <v>54</v>
      </c>
      <c r="H1061" s="122">
        <v>223</v>
      </c>
      <c r="I1061" s="122">
        <v>7320</v>
      </c>
      <c r="J1061" s="122">
        <v>6655</v>
      </c>
      <c r="K1061" s="122">
        <v>79</v>
      </c>
      <c r="L1061">
        <v>0</v>
      </c>
      <c r="M1061">
        <v>0</v>
      </c>
      <c r="N1061">
        <v>664</v>
      </c>
      <c r="O1061">
        <v>246</v>
      </c>
      <c r="P1061">
        <v>621</v>
      </c>
      <c r="Q1061">
        <v>230</v>
      </c>
      <c r="R1061" s="122">
        <v>3518</v>
      </c>
      <c r="S1061" s="122">
        <v>1303</v>
      </c>
      <c r="T1061">
        <v>0</v>
      </c>
      <c r="U1061">
        <v>0</v>
      </c>
      <c r="V1061" s="122">
        <v>8433</v>
      </c>
      <c r="W1061" s="122">
        <f t="shared" si="32"/>
        <v>8434</v>
      </c>
      <c r="X1061" s="122">
        <f t="shared" si="33"/>
        <v>12123</v>
      </c>
    </row>
    <row r="1062" spans="2:24">
      <c r="B1062" t="s">
        <v>459</v>
      </c>
      <c r="C1062" t="s">
        <v>56</v>
      </c>
      <c r="D1062" t="s">
        <v>407</v>
      </c>
      <c r="E1062" t="s">
        <v>407</v>
      </c>
      <c r="F1062">
        <v>291</v>
      </c>
      <c r="G1062" s="122">
        <v>19693</v>
      </c>
      <c r="H1062" s="122">
        <v>54277</v>
      </c>
      <c r="I1062" s="122">
        <v>1591479</v>
      </c>
      <c r="J1062" s="122">
        <v>1446799</v>
      </c>
      <c r="K1062" s="122">
        <v>80</v>
      </c>
      <c r="L1062" s="122">
        <v>136156</v>
      </c>
      <c r="M1062" s="122">
        <v>97200</v>
      </c>
      <c r="N1062" s="122">
        <v>406814</v>
      </c>
      <c r="O1062" s="122">
        <v>150672</v>
      </c>
      <c r="P1062" s="122">
        <v>138443</v>
      </c>
      <c r="Q1062" s="122">
        <v>51275</v>
      </c>
      <c r="R1062" s="122">
        <v>1195978</v>
      </c>
      <c r="S1062" s="122">
        <v>1087253</v>
      </c>
      <c r="T1062" s="122">
        <v>199692</v>
      </c>
      <c r="U1062" s="122">
        <v>73960</v>
      </c>
      <c r="V1062" s="122">
        <v>2907159</v>
      </c>
      <c r="W1062" s="122">
        <f t="shared" si="32"/>
        <v>2907159</v>
      </c>
      <c r="X1062" s="122">
        <f t="shared" si="33"/>
        <v>3668562</v>
      </c>
    </row>
    <row r="1063" spans="2:24">
      <c r="B1063" t="s">
        <v>459</v>
      </c>
      <c r="C1063" t="s">
        <v>58</v>
      </c>
      <c r="F1063" s="122">
        <v>4</v>
      </c>
      <c r="G1063" s="122">
        <v>207</v>
      </c>
      <c r="H1063" s="122">
        <v>941</v>
      </c>
      <c r="J1063" s="122">
        <v>0</v>
      </c>
      <c r="K1063" s="122"/>
      <c r="M1063">
        <v>0</v>
      </c>
      <c r="N1063" s="122">
        <v>2810</v>
      </c>
      <c r="O1063" s="122">
        <v>1041</v>
      </c>
      <c r="P1063">
        <v>473</v>
      </c>
      <c r="Q1063">
        <v>175</v>
      </c>
      <c r="S1063">
        <v>0</v>
      </c>
      <c r="T1063">
        <v>0</v>
      </c>
      <c r="U1063">
        <v>0</v>
      </c>
      <c r="V1063" s="122">
        <v>1216</v>
      </c>
      <c r="W1063" s="122">
        <f t="shared" si="32"/>
        <v>1216</v>
      </c>
      <c r="X1063" s="122">
        <f t="shared" si="33"/>
        <v>3283</v>
      </c>
    </row>
    <row r="1064" spans="2:24">
      <c r="B1064" t="s">
        <v>459</v>
      </c>
      <c r="C1064" t="s">
        <v>58</v>
      </c>
      <c r="D1064" t="s">
        <v>137</v>
      </c>
      <c r="E1064" t="s">
        <v>137</v>
      </c>
      <c r="F1064" s="122">
        <v>249</v>
      </c>
      <c r="G1064" s="122">
        <v>15542</v>
      </c>
      <c r="H1064" s="122">
        <v>65503</v>
      </c>
      <c r="I1064" s="122">
        <v>2025576</v>
      </c>
      <c r="J1064" s="122">
        <v>750213</v>
      </c>
      <c r="K1064" s="122">
        <v>100</v>
      </c>
      <c r="L1064" s="122">
        <v>258770</v>
      </c>
      <c r="M1064" s="122">
        <v>103704</v>
      </c>
      <c r="N1064" s="122">
        <v>319060</v>
      </c>
      <c r="O1064" s="122">
        <v>118170</v>
      </c>
      <c r="P1064" s="122">
        <v>3022</v>
      </c>
      <c r="Q1064" s="122">
        <v>1119</v>
      </c>
      <c r="R1064" s="122">
        <v>1476424</v>
      </c>
      <c r="S1064" s="122">
        <v>546824</v>
      </c>
      <c r="T1064">
        <v>0</v>
      </c>
      <c r="U1064">
        <v>0</v>
      </c>
      <c r="V1064" s="122">
        <v>1520031</v>
      </c>
      <c r="W1064" s="122">
        <f t="shared" si="32"/>
        <v>1520030</v>
      </c>
      <c r="X1064" s="122">
        <f t="shared" si="33"/>
        <v>4082852</v>
      </c>
    </row>
    <row r="1065" spans="2:24">
      <c r="B1065" t="s">
        <v>459</v>
      </c>
      <c r="C1065" t="s">
        <v>58</v>
      </c>
      <c r="D1065" t="s">
        <v>406</v>
      </c>
      <c r="E1065" t="s">
        <v>406</v>
      </c>
      <c r="F1065">
        <v>1</v>
      </c>
      <c r="G1065" s="122">
        <v>102</v>
      </c>
      <c r="H1065" s="122">
        <v>256</v>
      </c>
      <c r="I1065" s="122">
        <v>13522</v>
      </c>
      <c r="J1065" s="122">
        <v>12293</v>
      </c>
      <c r="K1065" s="122">
        <v>65</v>
      </c>
      <c r="L1065" s="122">
        <v>1548</v>
      </c>
      <c r="M1065" s="122">
        <v>1407</v>
      </c>
      <c r="N1065" s="122">
        <v>2485</v>
      </c>
      <c r="O1065">
        <v>921</v>
      </c>
      <c r="P1065">
        <v>621</v>
      </c>
      <c r="Q1065">
        <v>230</v>
      </c>
      <c r="R1065" s="122">
        <v>7968</v>
      </c>
      <c r="S1065" s="122">
        <v>7243</v>
      </c>
      <c r="T1065">
        <v>0</v>
      </c>
      <c r="U1065">
        <v>0</v>
      </c>
      <c r="V1065" s="122">
        <v>22094</v>
      </c>
      <c r="W1065" s="122">
        <f t="shared" si="32"/>
        <v>22094</v>
      </c>
      <c r="X1065" s="122">
        <f t="shared" si="33"/>
        <v>26144</v>
      </c>
    </row>
    <row r="1066" spans="2:24">
      <c r="B1066" t="s">
        <v>459</v>
      </c>
      <c r="C1066" t="s">
        <v>58</v>
      </c>
      <c r="D1066" t="s">
        <v>407</v>
      </c>
      <c r="E1066" t="s">
        <v>407</v>
      </c>
      <c r="F1066">
        <v>55</v>
      </c>
      <c r="G1066" s="122">
        <v>3430</v>
      </c>
      <c r="H1066" s="122">
        <v>13953</v>
      </c>
      <c r="I1066" s="122">
        <v>424742</v>
      </c>
      <c r="J1066" s="122">
        <v>386129</v>
      </c>
      <c r="K1066" s="122">
        <v>77</v>
      </c>
      <c r="L1066" s="122">
        <v>64283</v>
      </c>
      <c r="M1066" s="122">
        <v>48936</v>
      </c>
      <c r="N1066" s="122">
        <v>72283</v>
      </c>
      <c r="O1066" s="122">
        <v>26772</v>
      </c>
      <c r="P1066" s="122">
        <v>25988</v>
      </c>
      <c r="Q1066" s="122">
        <v>9625</v>
      </c>
      <c r="R1066" s="122">
        <v>244491</v>
      </c>
      <c r="S1066" s="122">
        <v>222265</v>
      </c>
      <c r="T1066" s="122">
        <v>38357</v>
      </c>
      <c r="U1066" s="122">
        <v>14206</v>
      </c>
      <c r="V1066" s="122">
        <v>707933</v>
      </c>
      <c r="W1066" s="122">
        <f t="shared" si="32"/>
        <v>707933</v>
      </c>
      <c r="X1066" s="122">
        <f t="shared" si="33"/>
        <v>870144</v>
      </c>
    </row>
    <row r="1067" spans="2:24">
      <c r="B1067" t="s">
        <v>459</v>
      </c>
      <c r="C1067" t="s">
        <v>60</v>
      </c>
      <c r="F1067">
        <v>1</v>
      </c>
      <c r="G1067" s="122">
        <v>51</v>
      </c>
      <c r="H1067" s="122">
        <v>300</v>
      </c>
      <c r="J1067" s="122">
        <v>0</v>
      </c>
      <c r="K1067" s="122"/>
      <c r="M1067">
        <v>0</v>
      </c>
      <c r="N1067">
        <v>617</v>
      </c>
      <c r="O1067">
        <v>229</v>
      </c>
      <c r="P1067">
        <v>0</v>
      </c>
      <c r="Q1067">
        <v>0</v>
      </c>
      <c r="S1067">
        <v>0</v>
      </c>
      <c r="T1067">
        <v>0</v>
      </c>
      <c r="U1067">
        <v>0</v>
      </c>
      <c r="V1067">
        <v>229</v>
      </c>
      <c r="W1067" s="122">
        <f t="shared" ref="W1067:W1130" si="34">SUM(ABS(J1067),ABS(M1067),ABS(O1067),ABS(Q1067),ABS(S1067),ABS(U1067))</f>
        <v>229</v>
      </c>
      <c r="X1067" s="122">
        <f t="shared" ref="X1067:X1130" si="35">SUM(ABS(I1067),ABS(N1067),ABS(P1067),ABS(R1067),ABS(T1067),ABS(L1067))</f>
        <v>617</v>
      </c>
    </row>
    <row r="1068" spans="2:24">
      <c r="B1068" t="s">
        <v>459</v>
      </c>
      <c r="C1068" t="s">
        <v>60</v>
      </c>
      <c r="D1068" t="s">
        <v>137</v>
      </c>
      <c r="E1068" t="s">
        <v>137</v>
      </c>
      <c r="F1068">
        <v>118</v>
      </c>
      <c r="G1068" s="122">
        <v>6982</v>
      </c>
      <c r="H1068" s="122">
        <v>39928</v>
      </c>
      <c r="I1068" s="122">
        <v>1354231</v>
      </c>
      <c r="J1068" s="122">
        <v>501567</v>
      </c>
      <c r="K1068" s="122">
        <v>100</v>
      </c>
      <c r="L1068" s="122">
        <v>144991</v>
      </c>
      <c r="M1068" s="122">
        <v>60898</v>
      </c>
      <c r="N1068" s="122">
        <v>147510</v>
      </c>
      <c r="O1068" s="122">
        <v>54633</v>
      </c>
      <c r="P1068" s="122">
        <v>1855</v>
      </c>
      <c r="Q1068">
        <v>687</v>
      </c>
      <c r="R1068" s="122">
        <v>712821</v>
      </c>
      <c r="S1068" s="122">
        <v>264008</v>
      </c>
      <c r="T1068">
        <v>0</v>
      </c>
      <c r="U1068">
        <v>0</v>
      </c>
      <c r="V1068" s="122">
        <v>881794</v>
      </c>
      <c r="W1068" s="122">
        <f t="shared" si="34"/>
        <v>881793</v>
      </c>
      <c r="X1068" s="122">
        <f t="shared" si="35"/>
        <v>2361408</v>
      </c>
    </row>
    <row r="1069" spans="2:24">
      <c r="B1069" t="s">
        <v>459</v>
      </c>
      <c r="C1069" t="s">
        <v>60</v>
      </c>
      <c r="D1069" t="s">
        <v>406</v>
      </c>
      <c r="E1069" t="s">
        <v>137</v>
      </c>
      <c r="F1069">
        <v>1</v>
      </c>
      <c r="G1069">
        <v>45</v>
      </c>
      <c r="H1069" s="122">
        <v>343</v>
      </c>
      <c r="I1069" s="122">
        <v>9144</v>
      </c>
      <c r="J1069" s="122">
        <v>8313</v>
      </c>
      <c r="K1069" s="122">
        <v>83</v>
      </c>
      <c r="L1069">
        <v>0</v>
      </c>
      <c r="M1069">
        <v>0</v>
      </c>
      <c r="N1069">
        <v>734</v>
      </c>
      <c r="O1069">
        <v>272</v>
      </c>
      <c r="P1069">
        <v>621</v>
      </c>
      <c r="Q1069">
        <v>230</v>
      </c>
      <c r="R1069" s="122">
        <v>4917</v>
      </c>
      <c r="S1069" s="122">
        <v>1821</v>
      </c>
      <c r="T1069">
        <v>0</v>
      </c>
      <c r="U1069">
        <v>0</v>
      </c>
      <c r="V1069" s="122">
        <v>10636</v>
      </c>
      <c r="W1069" s="122">
        <f t="shared" si="34"/>
        <v>10636</v>
      </c>
      <c r="X1069" s="122">
        <f t="shared" si="35"/>
        <v>15416</v>
      </c>
    </row>
    <row r="1070" spans="2:24">
      <c r="B1070" t="s">
        <v>459</v>
      </c>
      <c r="C1070" t="s">
        <v>60</v>
      </c>
      <c r="D1070" t="s">
        <v>407</v>
      </c>
      <c r="E1070" t="s">
        <v>407</v>
      </c>
      <c r="F1070">
        <v>12</v>
      </c>
      <c r="G1070">
        <v>707</v>
      </c>
      <c r="H1070" s="122">
        <v>3896</v>
      </c>
      <c r="I1070" s="122">
        <v>131815</v>
      </c>
      <c r="J1070" s="122">
        <v>119832</v>
      </c>
      <c r="K1070" s="122">
        <v>78</v>
      </c>
      <c r="L1070" s="122">
        <v>20478</v>
      </c>
      <c r="M1070" s="122">
        <v>18233</v>
      </c>
      <c r="N1070" s="122">
        <v>15252</v>
      </c>
      <c r="O1070" s="122">
        <v>5649</v>
      </c>
      <c r="P1070" s="122">
        <v>5670</v>
      </c>
      <c r="Q1070" s="122">
        <v>2100</v>
      </c>
      <c r="R1070" s="122">
        <v>47923</v>
      </c>
      <c r="S1070" s="122">
        <v>43567</v>
      </c>
      <c r="T1070" s="122">
        <v>7372</v>
      </c>
      <c r="U1070" s="122">
        <v>2730</v>
      </c>
      <c r="V1070" s="122">
        <v>192111</v>
      </c>
      <c r="W1070" s="122">
        <f t="shared" si="34"/>
        <v>192111</v>
      </c>
      <c r="X1070" s="122">
        <f t="shared" si="35"/>
        <v>228510</v>
      </c>
    </row>
    <row r="1071" spans="2:24">
      <c r="B1071" t="s">
        <v>459</v>
      </c>
      <c r="C1071" t="s">
        <v>62</v>
      </c>
      <c r="D1071" t="s">
        <v>137</v>
      </c>
      <c r="E1071" t="s">
        <v>137</v>
      </c>
      <c r="F1071">
        <v>21</v>
      </c>
      <c r="G1071" s="122">
        <v>1207</v>
      </c>
      <c r="H1071" s="122">
        <v>8561</v>
      </c>
      <c r="I1071" s="122">
        <v>309206</v>
      </c>
      <c r="J1071" s="122">
        <v>114521</v>
      </c>
      <c r="K1071" s="122">
        <v>100</v>
      </c>
      <c r="L1071" s="122">
        <v>36818</v>
      </c>
      <c r="M1071" s="122">
        <v>18323</v>
      </c>
      <c r="N1071" s="122">
        <v>27112</v>
      </c>
      <c r="O1071" s="122">
        <v>10042</v>
      </c>
      <c r="P1071">
        <v>702</v>
      </c>
      <c r="Q1071">
        <v>260</v>
      </c>
      <c r="R1071" s="122">
        <v>121198</v>
      </c>
      <c r="S1071" s="122">
        <v>44888</v>
      </c>
      <c r="T1071">
        <v>0</v>
      </c>
      <c r="U1071">
        <v>0</v>
      </c>
      <c r="V1071" s="122">
        <v>188034</v>
      </c>
      <c r="W1071" s="122">
        <f t="shared" si="34"/>
        <v>188034</v>
      </c>
      <c r="X1071" s="122">
        <f t="shared" si="35"/>
        <v>495036</v>
      </c>
    </row>
    <row r="1072" spans="2:24">
      <c r="B1072" t="s">
        <v>459</v>
      </c>
      <c r="C1072" t="s">
        <v>62</v>
      </c>
      <c r="D1072" t="s">
        <v>406</v>
      </c>
      <c r="E1072" t="s">
        <v>137</v>
      </c>
      <c r="F1072" s="122">
        <v>1</v>
      </c>
      <c r="G1072" s="122">
        <v>69</v>
      </c>
      <c r="H1072" s="122">
        <v>398</v>
      </c>
      <c r="I1072" s="122">
        <v>18012</v>
      </c>
      <c r="J1072" s="122">
        <v>16375</v>
      </c>
      <c r="K1072" s="122">
        <v>70</v>
      </c>
      <c r="L1072" s="122">
        <v>2420</v>
      </c>
      <c r="M1072" s="122">
        <v>2016</v>
      </c>
      <c r="N1072" s="122">
        <v>1314</v>
      </c>
      <c r="O1072">
        <v>487</v>
      </c>
      <c r="P1072">
        <v>621</v>
      </c>
      <c r="Q1072">
        <v>230</v>
      </c>
      <c r="R1072" s="122">
        <v>4996</v>
      </c>
      <c r="S1072" s="122">
        <v>1850</v>
      </c>
      <c r="T1072">
        <v>0</v>
      </c>
      <c r="U1072">
        <v>0</v>
      </c>
      <c r="V1072" s="122">
        <v>20958</v>
      </c>
      <c r="W1072" s="122">
        <f t="shared" si="34"/>
        <v>20958</v>
      </c>
      <c r="X1072" s="122">
        <f t="shared" si="35"/>
        <v>27363</v>
      </c>
    </row>
    <row r="1073" spans="2:24">
      <c r="B1073" t="s">
        <v>459</v>
      </c>
      <c r="C1073" t="s">
        <v>64</v>
      </c>
      <c r="D1073" t="s">
        <v>137</v>
      </c>
      <c r="E1073" t="s">
        <v>137</v>
      </c>
      <c r="F1073" s="122">
        <v>8</v>
      </c>
      <c r="G1073" s="122">
        <v>484</v>
      </c>
      <c r="H1073" s="122">
        <v>4326</v>
      </c>
      <c r="I1073" s="122">
        <v>187258</v>
      </c>
      <c r="J1073" s="122">
        <v>69355</v>
      </c>
      <c r="K1073" s="122">
        <v>100</v>
      </c>
      <c r="L1073" s="122">
        <v>8476</v>
      </c>
      <c r="M1073" s="122">
        <v>3139</v>
      </c>
      <c r="N1073" s="122">
        <v>10427</v>
      </c>
      <c r="O1073" s="122">
        <v>3862</v>
      </c>
      <c r="P1073">
        <v>0</v>
      </c>
      <c r="Q1073">
        <v>0</v>
      </c>
      <c r="R1073" s="122">
        <v>45454</v>
      </c>
      <c r="S1073" s="122">
        <v>16835</v>
      </c>
      <c r="T1073">
        <v>0</v>
      </c>
      <c r="U1073">
        <v>0</v>
      </c>
      <c r="V1073" s="122">
        <v>93190</v>
      </c>
      <c r="W1073" s="122">
        <f t="shared" si="34"/>
        <v>93191</v>
      </c>
      <c r="X1073" s="122">
        <f t="shared" si="35"/>
        <v>251615</v>
      </c>
    </row>
    <row r="1074" spans="2:24">
      <c r="B1074" t="s">
        <v>459</v>
      </c>
      <c r="C1074" t="s">
        <v>64</v>
      </c>
      <c r="D1074" t="s">
        <v>406</v>
      </c>
      <c r="E1074" t="s">
        <v>406</v>
      </c>
      <c r="F1074">
        <v>1</v>
      </c>
      <c r="G1074" s="122">
        <v>90</v>
      </c>
      <c r="H1074" s="122">
        <v>513</v>
      </c>
      <c r="I1074" s="122">
        <v>29356</v>
      </c>
      <c r="J1074" s="122">
        <v>26688</v>
      </c>
      <c r="K1074" s="122">
        <v>65</v>
      </c>
      <c r="L1074" s="122">
        <v>7330</v>
      </c>
      <c r="M1074" s="122">
        <v>6109</v>
      </c>
      <c r="N1074" s="122">
        <v>2026</v>
      </c>
      <c r="O1074">
        <v>750</v>
      </c>
      <c r="P1074">
        <v>621</v>
      </c>
      <c r="Q1074">
        <v>230</v>
      </c>
      <c r="R1074" s="122">
        <v>6765</v>
      </c>
      <c r="S1074" s="122">
        <v>6150</v>
      </c>
      <c r="T1074">
        <v>0</v>
      </c>
      <c r="U1074">
        <v>0</v>
      </c>
      <c r="V1074" s="122">
        <v>39927</v>
      </c>
      <c r="W1074" s="122">
        <f t="shared" si="34"/>
        <v>39927</v>
      </c>
      <c r="X1074" s="122">
        <f t="shared" si="35"/>
        <v>46098</v>
      </c>
    </row>
    <row r="1075" spans="2:24">
      <c r="B1075" t="s">
        <v>459</v>
      </c>
      <c r="C1075" t="s">
        <v>64</v>
      </c>
      <c r="D1075" t="s">
        <v>407</v>
      </c>
      <c r="E1075" t="s">
        <v>407</v>
      </c>
      <c r="F1075">
        <v>2</v>
      </c>
      <c r="G1075" s="122">
        <v>206</v>
      </c>
      <c r="H1075" s="122">
        <v>1110</v>
      </c>
      <c r="I1075" s="122">
        <v>86900</v>
      </c>
      <c r="J1075" s="122">
        <v>79000</v>
      </c>
      <c r="K1075" s="122">
        <v>67</v>
      </c>
      <c r="L1075" s="122">
        <v>13754</v>
      </c>
      <c r="M1075" s="122">
        <v>11849</v>
      </c>
      <c r="N1075" s="122">
        <v>5008</v>
      </c>
      <c r="O1075" s="122">
        <v>1855</v>
      </c>
      <c r="P1075">
        <v>824</v>
      </c>
      <c r="Q1075">
        <v>305</v>
      </c>
      <c r="R1075" s="122">
        <v>9316</v>
      </c>
      <c r="S1075" s="122">
        <v>8469</v>
      </c>
      <c r="T1075" s="122">
        <v>4710</v>
      </c>
      <c r="U1075" s="122">
        <v>1744</v>
      </c>
      <c r="V1075" s="122">
        <v>103222</v>
      </c>
      <c r="W1075" s="122">
        <f t="shared" si="34"/>
        <v>103222</v>
      </c>
      <c r="X1075" s="122">
        <f t="shared" si="35"/>
        <v>120512</v>
      </c>
    </row>
    <row r="1076" spans="2:24">
      <c r="B1076" t="s">
        <v>460</v>
      </c>
      <c r="C1076" t="s">
        <v>48</v>
      </c>
      <c r="D1076" t="s">
        <v>137</v>
      </c>
      <c r="E1076" t="s">
        <v>137</v>
      </c>
      <c r="F1076" s="122">
        <v>41</v>
      </c>
      <c r="G1076" s="122">
        <v>2829</v>
      </c>
      <c r="H1076" s="122">
        <v>2700</v>
      </c>
      <c r="I1076" s="122">
        <v>1353</v>
      </c>
      <c r="J1076" s="122">
        <v>501</v>
      </c>
      <c r="K1076" s="122">
        <v>408</v>
      </c>
      <c r="L1076">
        <v>170</v>
      </c>
      <c r="M1076">
        <v>63</v>
      </c>
      <c r="N1076" s="122">
        <v>41026</v>
      </c>
      <c r="O1076" s="122">
        <v>15195</v>
      </c>
      <c r="P1076" s="122">
        <v>19160</v>
      </c>
      <c r="Q1076" s="122">
        <v>7096</v>
      </c>
      <c r="R1076" s="122">
        <v>122055</v>
      </c>
      <c r="S1076" s="122">
        <v>45205</v>
      </c>
      <c r="T1076">
        <v>0</v>
      </c>
      <c r="U1076">
        <v>0</v>
      </c>
      <c r="V1076" s="122">
        <v>68061</v>
      </c>
      <c r="W1076" s="122">
        <f t="shared" si="34"/>
        <v>68060</v>
      </c>
      <c r="X1076" s="122">
        <f t="shared" si="35"/>
        <v>183764</v>
      </c>
    </row>
    <row r="1077" spans="2:24">
      <c r="B1077" t="s">
        <v>460</v>
      </c>
      <c r="C1077" t="s">
        <v>48</v>
      </c>
      <c r="D1077" t="s">
        <v>407</v>
      </c>
      <c r="E1077" t="s">
        <v>407</v>
      </c>
      <c r="F1077">
        <v>42</v>
      </c>
      <c r="G1077" s="122">
        <v>3571</v>
      </c>
      <c r="H1077" s="122">
        <v>2580</v>
      </c>
      <c r="I1077" s="122">
        <v>-20867</v>
      </c>
      <c r="J1077" s="122">
        <v>-18970</v>
      </c>
      <c r="K1077" s="122">
        <v>91</v>
      </c>
      <c r="L1077">
        <v>0</v>
      </c>
      <c r="M1077">
        <v>0</v>
      </c>
      <c r="N1077" s="122">
        <v>43511</v>
      </c>
      <c r="O1077" s="122">
        <v>16115</v>
      </c>
      <c r="P1077" s="122">
        <v>43136</v>
      </c>
      <c r="Q1077" s="122">
        <v>15976</v>
      </c>
      <c r="R1077" s="122">
        <v>150750</v>
      </c>
      <c r="S1077" s="122">
        <v>137045</v>
      </c>
      <c r="T1077">
        <v>0</v>
      </c>
      <c r="U1077">
        <v>0</v>
      </c>
      <c r="V1077" s="122">
        <v>150166</v>
      </c>
      <c r="W1077" s="122">
        <f t="shared" si="34"/>
        <v>188106</v>
      </c>
      <c r="X1077" s="122">
        <f t="shared" si="35"/>
        <v>258264</v>
      </c>
    </row>
    <row r="1078" spans="2:24">
      <c r="B1078" t="s">
        <v>460</v>
      </c>
      <c r="C1078" t="s">
        <v>50</v>
      </c>
      <c r="D1078" t="s">
        <v>137</v>
      </c>
      <c r="E1078" t="s">
        <v>137</v>
      </c>
      <c r="F1078">
        <v>57</v>
      </c>
      <c r="G1078" s="122">
        <v>3057</v>
      </c>
      <c r="H1078" s="122">
        <v>4893</v>
      </c>
      <c r="I1078" s="122">
        <v>93347</v>
      </c>
      <c r="J1078" s="122">
        <v>34573</v>
      </c>
      <c r="K1078" s="122">
        <v>337</v>
      </c>
      <c r="L1078">
        <v>483</v>
      </c>
      <c r="M1078">
        <v>179</v>
      </c>
      <c r="N1078" s="122">
        <v>40828</v>
      </c>
      <c r="O1078" s="122">
        <v>15121</v>
      </c>
      <c r="P1078" s="122">
        <v>20129</v>
      </c>
      <c r="Q1078" s="122">
        <v>7455</v>
      </c>
      <c r="R1078" s="122">
        <v>105922</v>
      </c>
      <c r="S1078" s="122">
        <v>39231</v>
      </c>
      <c r="T1078">
        <v>0</v>
      </c>
      <c r="U1078">
        <v>0</v>
      </c>
      <c r="V1078" s="122">
        <v>96559</v>
      </c>
      <c r="W1078" s="122">
        <f t="shared" si="34"/>
        <v>96559</v>
      </c>
      <c r="X1078" s="122">
        <f t="shared" si="35"/>
        <v>260709</v>
      </c>
    </row>
    <row r="1079" spans="2:24">
      <c r="B1079" t="s">
        <v>460</v>
      </c>
      <c r="C1079" t="s">
        <v>50</v>
      </c>
      <c r="D1079" t="s">
        <v>407</v>
      </c>
      <c r="E1079" t="s">
        <v>407</v>
      </c>
      <c r="F1079" s="122">
        <v>140</v>
      </c>
      <c r="G1079" s="122">
        <v>10083</v>
      </c>
      <c r="H1079" s="122">
        <v>12245</v>
      </c>
      <c r="I1079" s="122">
        <v>148945</v>
      </c>
      <c r="J1079" s="122">
        <v>135405</v>
      </c>
      <c r="K1079" s="122">
        <v>87</v>
      </c>
      <c r="L1079" s="122">
        <v>1134</v>
      </c>
      <c r="M1079">
        <v>420</v>
      </c>
      <c r="N1079" s="122">
        <v>164836</v>
      </c>
      <c r="O1079" s="122">
        <v>61050</v>
      </c>
      <c r="P1079" s="122">
        <v>66943</v>
      </c>
      <c r="Q1079" s="122">
        <v>24794</v>
      </c>
      <c r="R1079" s="122">
        <v>494726</v>
      </c>
      <c r="S1079" s="122">
        <v>449751</v>
      </c>
      <c r="T1079">
        <v>0</v>
      </c>
      <c r="U1079">
        <v>0</v>
      </c>
      <c r="V1079" s="122">
        <v>671420</v>
      </c>
      <c r="W1079" s="122">
        <f t="shared" si="34"/>
        <v>671420</v>
      </c>
      <c r="X1079" s="122">
        <f t="shared" si="35"/>
        <v>876584</v>
      </c>
    </row>
    <row r="1080" spans="2:24">
      <c r="B1080" t="s">
        <v>460</v>
      </c>
      <c r="C1080" t="s">
        <v>52</v>
      </c>
      <c r="D1080" t="s">
        <v>137</v>
      </c>
      <c r="E1080" t="s">
        <v>137</v>
      </c>
      <c r="F1080" s="122">
        <v>17</v>
      </c>
      <c r="G1080" s="122">
        <v>925</v>
      </c>
      <c r="H1080" s="122">
        <v>1901</v>
      </c>
      <c r="I1080" s="122">
        <v>45407</v>
      </c>
      <c r="J1080" s="122">
        <v>16817</v>
      </c>
      <c r="K1080" s="122">
        <v>299</v>
      </c>
      <c r="L1080">
        <v>853</v>
      </c>
      <c r="M1080">
        <v>316</v>
      </c>
      <c r="N1080" s="122">
        <v>12231</v>
      </c>
      <c r="O1080" s="122">
        <v>4530</v>
      </c>
      <c r="P1080" s="122">
        <v>5265</v>
      </c>
      <c r="Q1080" s="122">
        <v>1950</v>
      </c>
      <c r="R1080" s="122">
        <v>40492</v>
      </c>
      <c r="S1080" s="122">
        <v>14997</v>
      </c>
      <c r="T1080">
        <v>0</v>
      </c>
      <c r="U1080">
        <v>0</v>
      </c>
      <c r="V1080" s="122">
        <v>38611</v>
      </c>
      <c r="W1080" s="122">
        <f t="shared" si="34"/>
        <v>38610</v>
      </c>
      <c r="X1080" s="122">
        <f t="shared" si="35"/>
        <v>104248</v>
      </c>
    </row>
    <row r="1081" spans="2:24">
      <c r="B1081" t="s">
        <v>460</v>
      </c>
      <c r="C1081" t="s">
        <v>52</v>
      </c>
      <c r="D1081" t="s">
        <v>407</v>
      </c>
      <c r="E1081" t="s">
        <v>407</v>
      </c>
      <c r="F1081">
        <v>173</v>
      </c>
      <c r="G1081" s="122">
        <v>13363</v>
      </c>
      <c r="H1081" s="122">
        <v>19629</v>
      </c>
      <c r="I1081" s="122">
        <v>539748</v>
      </c>
      <c r="J1081" s="122">
        <v>490680</v>
      </c>
      <c r="K1081" s="122">
        <v>83</v>
      </c>
      <c r="L1081" s="122">
        <v>36254</v>
      </c>
      <c r="M1081" s="122">
        <v>24715</v>
      </c>
      <c r="N1081" s="122">
        <v>263130</v>
      </c>
      <c r="O1081" s="122">
        <v>97456</v>
      </c>
      <c r="P1081" s="122">
        <v>81945</v>
      </c>
      <c r="Q1081" s="122">
        <v>30350</v>
      </c>
      <c r="R1081" s="122">
        <v>592016</v>
      </c>
      <c r="S1081" s="122">
        <v>538196</v>
      </c>
      <c r="T1081" s="122">
        <v>1976</v>
      </c>
      <c r="U1081">
        <v>732</v>
      </c>
      <c r="V1081" s="122">
        <v>1182128</v>
      </c>
      <c r="W1081" s="122">
        <f t="shared" si="34"/>
        <v>1182129</v>
      </c>
      <c r="X1081" s="122">
        <f t="shared" si="35"/>
        <v>1515069</v>
      </c>
    </row>
    <row r="1082" spans="2:24">
      <c r="B1082" t="s">
        <v>460</v>
      </c>
      <c r="C1082" t="s">
        <v>54</v>
      </c>
      <c r="D1082" t="s">
        <v>137</v>
      </c>
      <c r="E1082" t="s">
        <v>137</v>
      </c>
      <c r="F1082">
        <v>84</v>
      </c>
      <c r="G1082" s="122">
        <v>6591</v>
      </c>
      <c r="H1082" s="122">
        <v>11717</v>
      </c>
      <c r="I1082" s="122">
        <v>231701</v>
      </c>
      <c r="J1082" s="122">
        <v>85815</v>
      </c>
      <c r="K1082" s="122">
        <v>142</v>
      </c>
      <c r="L1082" s="122">
        <v>30006</v>
      </c>
      <c r="M1082" s="122">
        <v>11113</v>
      </c>
      <c r="N1082" s="122">
        <v>119686</v>
      </c>
      <c r="O1082" s="122">
        <v>44328</v>
      </c>
      <c r="P1082" s="122">
        <v>16917</v>
      </c>
      <c r="Q1082" s="122">
        <v>6266</v>
      </c>
      <c r="R1082" s="122">
        <v>523046</v>
      </c>
      <c r="S1082" s="122">
        <v>193721</v>
      </c>
      <c r="T1082">
        <v>0</v>
      </c>
      <c r="U1082">
        <v>0</v>
      </c>
      <c r="V1082" s="122">
        <v>341243</v>
      </c>
      <c r="W1082" s="122">
        <f t="shared" si="34"/>
        <v>341243</v>
      </c>
      <c r="X1082" s="122">
        <f t="shared" si="35"/>
        <v>921356</v>
      </c>
    </row>
    <row r="1083" spans="2:24">
      <c r="B1083" t="s">
        <v>460</v>
      </c>
      <c r="C1083" t="s">
        <v>54</v>
      </c>
      <c r="D1083" t="s">
        <v>407</v>
      </c>
      <c r="E1083" t="s">
        <v>407</v>
      </c>
      <c r="F1083">
        <v>181</v>
      </c>
      <c r="G1083" s="122">
        <v>12812</v>
      </c>
      <c r="H1083" s="122">
        <v>25056</v>
      </c>
      <c r="I1083" s="122">
        <v>737412</v>
      </c>
      <c r="J1083" s="122">
        <v>670374</v>
      </c>
      <c r="K1083" s="122">
        <v>83</v>
      </c>
      <c r="L1083" s="122">
        <v>36940</v>
      </c>
      <c r="M1083" s="122">
        <v>23535</v>
      </c>
      <c r="N1083" s="122">
        <v>241548</v>
      </c>
      <c r="O1083" s="122">
        <v>89462</v>
      </c>
      <c r="P1083" s="122">
        <v>86259</v>
      </c>
      <c r="Q1083" s="122">
        <v>31948</v>
      </c>
      <c r="R1083" s="122">
        <v>637832</v>
      </c>
      <c r="S1083" s="122">
        <v>579847</v>
      </c>
      <c r="T1083" s="122">
        <v>31258</v>
      </c>
      <c r="U1083" s="122">
        <v>11577</v>
      </c>
      <c r="V1083" s="122">
        <v>1406743</v>
      </c>
      <c r="W1083" s="122">
        <f t="shared" si="34"/>
        <v>1406743</v>
      </c>
      <c r="X1083" s="122">
        <f t="shared" si="35"/>
        <v>1771249</v>
      </c>
    </row>
    <row r="1084" spans="2:24">
      <c r="B1084" t="s">
        <v>460</v>
      </c>
      <c r="C1084" t="s">
        <v>56</v>
      </c>
      <c r="D1084" t="s">
        <v>137</v>
      </c>
      <c r="E1084" t="s">
        <v>137</v>
      </c>
      <c r="F1084" s="122">
        <v>1020</v>
      </c>
      <c r="G1084" s="122">
        <v>71601</v>
      </c>
      <c r="H1084" s="122">
        <v>194329</v>
      </c>
      <c r="I1084" s="122">
        <v>4816340</v>
      </c>
      <c r="J1084" s="122">
        <v>1783830</v>
      </c>
      <c r="K1084" s="122">
        <v>100</v>
      </c>
      <c r="L1084" s="122">
        <v>734022</v>
      </c>
      <c r="M1084" s="122">
        <v>279556</v>
      </c>
      <c r="N1084" s="122">
        <v>1486568</v>
      </c>
      <c r="O1084" s="122">
        <v>550581</v>
      </c>
      <c r="P1084" s="122">
        <v>174260</v>
      </c>
      <c r="Q1084" s="122">
        <v>64541</v>
      </c>
      <c r="R1084" s="122">
        <v>6341868</v>
      </c>
      <c r="S1084" s="122">
        <v>2348840</v>
      </c>
      <c r="T1084" s="122">
        <v>6104</v>
      </c>
      <c r="U1084" s="122">
        <v>2261</v>
      </c>
      <c r="V1084" s="122">
        <v>5029608</v>
      </c>
      <c r="W1084" s="122">
        <f t="shared" si="34"/>
        <v>5029609</v>
      </c>
      <c r="X1084" s="122">
        <f t="shared" si="35"/>
        <v>13559162</v>
      </c>
    </row>
    <row r="1085" spans="2:24">
      <c r="B1085" t="s">
        <v>460</v>
      </c>
      <c r="C1085" t="s">
        <v>56</v>
      </c>
      <c r="D1085" t="s">
        <v>406</v>
      </c>
      <c r="E1085" t="s">
        <v>406</v>
      </c>
      <c r="F1085">
        <v>4</v>
      </c>
      <c r="G1085">
        <v>422</v>
      </c>
      <c r="H1085" s="122">
        <v>850</v>
      </c>
      <c r="I1085" s="122">
        <v>44702</v>
      </c>
      <c r="J1085" s="122">
        <v>40638</v>
      </c>
      <c r="K1085" s="122">
        <v>89</v>
      </c>
      <c r="L1085" s="122">
        <v>11514</v>
      </c>
      <c r="M1085" s="122">
        <v>5277</v>
      </c>
      <c r="N1085" s="122">
        <v>7851</v>
      </c>
      <c r="O1085" s="122">
        <v>2908</v>
      </c>
      <c r="P1085" s="122">
        <v>2484</v>
      </c>
      <c r="Q1085">
        <v>920</v>
      </c>
      <c r="R1085" s="122">
        <v>15083</v>
      </c>
      <c r="S1085" s="122">
        <v>13712</v>
      </c>
      <c r="T1085" s="122">
        <v>7873</v>
      </c>
      <c r="U1085" s="122">
        <v>2916</v>
      </c>
      <c r="V1085" s="122">
        <v>66371</v>
      </c>
      <c r="W1085" s="122">
        <f t="shared" si="34"/>
        <v>66371</v>
      </c>
      <c r="X1085" s="122">
        <f t="shared" si="35"/>
        <v>89507</v>
      </c>
    </row>
    <row r="1086" spans="2:24">
      <c r="B1086" t="s">
        <v>460</v>
      </c>
      <c r="C1086" t="s">
        <v>56</v>
      </c>
      <c r="D1086" t="s">
        <v>407</v>
      </c>
      <c r="E1086" t="s">
        <v>137</v>
      </c>
      <c r="F1086">
        <v>1</v>
      </c>
      <c r="G1086">
        <v>62</v>
      </c>
      <c r="H1086">
        <v>187</v>
      </c>
      <c r="I1086" s="122">
        <v>3960</v>
      </c>
      <c r="J1086" s="122">
        <v>3600</v>
      </c>
      <c r="K1086" s="122">
        <v>73</v>
      </c>
      <c r="L1086">
        <v>0</v>
      </c>
      <c r="M1086">
        <v>0</v>
      </c>
      <c r="N1086">
        <v>758</v>
      </c>
      <c r="O1086">
        <v>281</v>
      </c>
      <c r="P1086">
        <v>473</v>
      </c>
      <c r="Q1086">
        <v>175</v>
      </c>
      <c r="R1086" s="122">
        <v>6449</v>
      </c>
      <c r="S1086" s="122">
        <v>2388</v>
      </c>
      <c r="T1086">
        <v>0</v>
      </c>
      <c r="U1086">
        <v>0</v>
      </c>
      <c r="V1086" s="122">
        <v>6444</v>
      </c>
      <c r="W1086" s="122">
        <f t="shared" si="34"/>
        <v>6444</v>
      </c>
      <c r="X1086" s="122">
        <f t="shared" si="35"/>
        <v>11640</v>
      </c>
    </row>
    <row r="1087" spans="2:24">
      <c r="B1087" t="s">
        <v>460</v>
      </c>
      <c r="C1087" t="s">
        <v>56</v>
      </c>
      <c r="D1087" t="s">
        <v>407</v>
      </c>
      <c r="E1087" t="s">
        <v>407</v>
      </c>
      <c r="F1087">
        <v>520</v>
      </c>
      <c r="G1087" s="122">
        <v>34670</v>
      </c>
      <c r="H1087" s="122">
        <v>95947</v>
      </c>
      <c r="I1087" s="122">
        <v>2829565</v>
      </c>
      <c r="J1087" s="122">
        <v>2572331</v>
      </c>
      <c r="K1087" s="122">
        <v>80</v>
      </c>
      <c r="L1087" s="122">
        <v>254277</v>
      </c>
      <c r="M1087" s="122">
        <v>151369</v>
      </c>
      <c r="N1087" s="122">
        <v>739662</v>
      </c>
      <c r="O1087" s="122">
        <v>273949</v>
      </c>
      <c r="P1087" s="122">
        <v>247145</v>
      </c>
      <c r="Q1087" s="122">
        <v>91535</v>
      </c>
      <c r="R1087" s="122">
        <v>2081016</v>
      </c>
      <c r="S1087" s="122">
        <v>1891833</v>
      </c>
      <c r="T1087" s="122">
        <v>216938</v>
      </c>
      <c r="U1087" s="122">
        <v>80347</v>
      </c>
      <c r="V1087" s="122">
        <v>5061365</v>
      </c>
      <c r="W1087" s="122">
        <f t="shared" si="34"/>
        <v>5061364</v>
      </c>
      <c r="X1087" s="122">
        <f t="shared" si="35"/>
        <v>6368603</v>
      </c>
    </row>
    <row r="1088" spans="2:24">
      <c r="B1088" t="s">
        <v>460</v>
      </c>
      <c r="C1088" t="s">
        <v>58</v>
      </c>
      <c r="F1088" s="122">
        <v>1</v>
      </c>
      <c r="G1088" s="122">
        <v>55</v>
      </c>
      <c r="H1088" s="122">
        <v>253</v>
      </c>
      <c r="J1088" s="122">
        <v>0</v>
      </c>
      <c r="K1088" s="122"/>
      <c r="M1088">
        <v>0</v>
      </c>
      <c r="N1088" s="122">
        <v>1150</v>
      </c>
      <c r="O1088">
        <v>426</v>
      </c>
      <c r="P1088">
        <v>0</v>
      </c>
      <c r="Q1088">
        <v>0</v>
      </c>
      <c r="S1088">
        <v>0</v>
      </c>
      <c r="T1088">
        <v>0</v>
      </c>
      <c r="U1088">
        <v>0</v>
      </c>
      <c r="V1088">
        <v>426</v>
      </c>
      <c r="W1088" s="122">
        <f t="shared" si="34"/>
        <v>426</v>
      </c>
      <c r="X1088" s="122">
        <f t="shared" si="35"/>
        <v>1150</v>
      </c>
    </row>
    <row r="1089" spans="2:24">
      <c r="B1089" t="s">
        <v>460</v>
      </c>
      <c r="C1089" t="s">
        <v>58</v>
      </c>
      <c r="D1089" t="s">
        <v>137</v>
      </c>
      <c r="E1089" t="s">
        <v>137</v>
      </c>
      <c r="F1089" s="122">
        <v>880</v>
      </c>
      <c r="G1089" s="122">
        <v>54995</v>
      </c>
      <c r="H1089" s="122">
        <v>228210</v>
      </c>
      <c r="I1089" s="122">
        <v>6843694</v>
      </c>
      <c r="J1089" s="122">
        <v>2534701</v>
      </c>
      <c r="K1089" s="122">
        <v>100</v>
      </c>
      <c r="L1089" s="122">
        <v>903640</v>
      </c>
      <c r="M1089" s="122">
        <v>343369</v>
      </c>
      <c r="N1089" s="122">
        <v>1148979</v>
      </c>
      <c r="O1089" s="122">
        <v>425548</v>
      </c>
      <c r="P1089" s="122">
        <v>84383</v>
      </c>
      <c r="Q1089" s="122">
        <v>31253</v>
      </c>
      <c r="R1089" s="122">
        <v>5267120</v>
      </c>
      <c r="S1089" s="122">
        <v>1950785</v>
      </c>
      <c r="T1089" s="122">
        <v>2162</v>
      </c>
      <c r="U1089">
        <v>801</v>
      </c>
      <c r="V1089" s="122">
        <v>5286458</v>
      </c>
      <c r="W1089" s="122">
        <f t="shared" si="34"/>
        <v>5286457</v>
      </c>
      <c r="X1089" s="122">
        <f t="shared" si="35"/>
        <v>14249978</v>
      </c>
    </row>
    <row r="1090" spans="2:24">
      <c r="B1090" t="s">
        <v>460</v>
      </c>
      <c r="C1090" t="s">
        <v>58</v>
      </c>
      <c r="D1090" t="s">
        <v>406</v>
      </c>
      <c r="E1090" t="s">
        <v>406</v>
      </c>
      <c r="F1090">
        <v>4</v>
      </c>
      <c r="G1090">
        <v>316</v>
      </c>
      <c r="H1090" s="122">
        <v>1032</v>
      </c>
      <c r="I1090" s="122">
        <v>39808</v>
      </c>
      <c r="J1090" s="122">
        <v>36189</v>
      </c>
      <c r="K1090" s="122">
        <v>78</v>
      </c>
      <c r="L1090" s="122">
        <v>6799</v>
      </c>
      <c r="M1090" s="122">
        <v>5837</v>
      </c>
      <c r="N1090" s="122">
        <v>5679</v>
      </c>
      <c r="O1090" s="122">
        <v>2103</v>
      </c>
      <c r="P1090" s="122">
        <v>2484</v>
      </c>
      <c r="Q1090">
        <v>920</v>
      </c>
      <c r="R1090" s="122">
        <v>20099</v>
      </c>
      <c r="S1090" s="122">
        <v>18272</v>
      </c>
      <c r="T1090" s="122">
        <v>5057</v>
      </c>
      <c r="U1090" s="122">
        <v>1873</v>
      </c>
      <c r="V1090" s="122">
        <v>65195</v>
      </c>
      <c r="W1090" s="122">
        <f t="shared" si="34"/>
        <v>65194</v>
      </c>
      <c r="X1090" s="122">
        <f t="shared" si="35"/>
        <v>79926</v>
      </c>
    </row>
    <row r="1091" spans="2:24">
      <c r="B1091" t="s">
        <v>460</v>
      </c>
      <c r="C1091" t="s">
        <v>58</v>
      </c>
      <c r="D1091" t="s">
        <v>407</v>
      </c>
      <c r="E1091" t="s">
        <v>407</v>
      </c>
      <c r="F1091">
        <v>96</v>
      </c>
      <c r="G1091" s="122">
        <v>6215</v>
      </c>
      <c r="H1091" s="122">
        <v>23788</v>
      </c>
      <c r="I1091" s="122">
        <v>781691</v>
      </c>
      <c r="J1091" s="122">
        <v>710628</v>
      </c>
      <c r="K1091" s="122">
        <v>79</v>
      </c>
      <c r="L1091" s="122">
        <v>116777</v>
      </c>
      <c r="M1091" s="122">
        <v>88057</v>
      </c>
      <c r="N1091" s="122">
        <v>126302</v>
      </c>
      <c r="O1091" s="122">
        <v>46779</v>
      </c>
      <c r="P1091" s="122">
        <v>46980</v>
      </c>
      <c r="Q1091" s="122">
        <v>17400</v>
      </c>
      <c r="R1091" s="122">
        <v>405491</v>
      </c>
      <c r="S1091" s="122">
        <v>368628</v>
      </c>
      <c r="T1091" s="122">
        <v>53247</v>
      </c>
      <c r="U1091" s="122">
        <v>19721</v>
      </c>
      <c r="V1091" s="122">
        <v>1251213</v>
      </c>
      <c r="W1091" s="122">
        <f t="shared" si="34"/>
        <v>1251213</v>
      </c>
      <c r="X1091" s="122">
        <f t="shared" si="35"/>
        <v>1530488</v>
      </c>
    </row>
    <row r="1092" spans="2:24">
      <c r="B1092" t="s">
        <v>460</v>
      </c>
      <c r="C1092" t="s">
        <v>60</v>
      </c>
      <c r="D1092" t="s">
        <v>137</v>
      </c>
      <c r="E1092" t="s">
        <v>137</v>
      </c>
      <c r="F1092">
        <v>381</v>
      </c>
      <c r="G1092" s="122">
        <v>22915</v>
      </c>
      <c r="H1092" s="122">
        <v>127489</v>
      </c>
      <c r="I1092" s="122">
        <v>4193380</v>
      </c>
      <c r="J1092" s="122">
        <v>1553104</v>
      </c>
      <c r="K1092" s="122">
        <v>100</v>
      </c>
      <c r="L1092" s="122">
        <v>641007</v>
      </c>
      <c r="M1092" s="122">
        <v>371590</v>
      </c>
      <c r="N1092" s="122">
        <v>495285</v>
      </c>
      <c r="O1092" s="122">
        <v>183439</v>
      </c>
      <c r="P1092" s="122">
        <v>43155</v>
      </c>
      <c r="Q1092" s="122">
        <v>15983</v>
      </c>
      <c r="R1092" s="122">
        <v>2282775</v>
      </c>
      <c r="S1092" s="122">
        <v>845472</v>
      </c>
      <c r="T1092" s="122">
        <v>1910</v>
      </c>
      <c r="U1092">
        <v>707</v>
      </c>
      <c r="V1092" s="122">
        <v>2970296</v>
      </c>
      <c r="W1092" s="122">
        <f t="shared" si="34"/>
        <v>2970295</v>
      </c>
      <c r="X1092" s="122">
        <f t="shared" si="35"/>
        <v>7657512</v>
      </c>
    </row>
    <row r="1093" spans="2:24">
      <c r="B1093" t="s">
        <v>460</v>
      </c>
      <c r="C1093" t="s">
        <v>60</v>
      </c>
      <c r="D1093" t="s">
        <v>406</v>
      </c>
      <c r="E1093" t="s">
        <v>406</v>
      </c>
      <c r="F1093">
        <v>4</v>
      </c>
      <c r="G1093">
        <v>437</v>
      </c>
      <c r="H1093" s="122">
        <v>1321</v>
      </c>
      <c r="I1093" s="122">
        <v>94051</v>
      </c>
      <c r="J1093" s="122">
        <v>85501</v>
      </c>
      <c r="K1093" s="122">
        <v>70</v>
      </c>
      <c r="L1093" s="122">
        <v>15281</v>
      </c>
      <c r="M1093" s="122">
        <v>7946</v>
      </c>
      <c r="N1093" s="122">
        <v>10524</v>
      </c>
      <c r="O1093" s="122">
        <v>3898</v>
      </c>
      <c r="P1093" s="122">
        <v>2484</v>
      </c>
      <c r="Q1093">
        <v>920</v>
      </c>
      <c r="R1093" s="122">
        <v>18984</v>
      </c>
      <c r="S1093" s="122">
        <v>17258</v>
      </c>
      <c r="T1093" s="122">
        <v>10947</v>
      </c>
      <c r="U1093" s="122">
        <v>4054</v>
      </c>
      <c r="V1093" s="122">
        <v>119578</v>
      </c>
      <c r="W1093" s="122">
        <f t="shared" si="34"/>
        <v>119577</v>
      </c>
      <c r="X1093" s="122">
        <f t="shared" si="35"/>
        <v>152271</v>
      </c>
    </row>
    <row r="1094" spans="2:24">
      <c r="B1094" t="s">
        <v>460</v>
      </c>
      <c r="C1094" t="s">
        <v>60</v>
      </c>
      <c r="D1094" t="s">
        <v>407</v>
      </c>
      <c r="E1094" t="s">
        <v>407</v>
      </c>
      <c r="F1094" s="122">
        <v>8</v>
      </c>
      <c r="G1094" s="122">
        <v>487</v>
      </c>
      <c r="H1094" s="122">
        <v>2605</v>
      </c>
      <c r="I1094" s="122">
        <v>91142</v>
      </c>
      <c r="J1094" s="122">
        <v>82857</v>
      </c>
      <c r="K1094" s="122">
        <v>75</v>
      </c>
      <c r="L1094" s="122">
        <v>12967</v>
      </c>
      <c r="M1094" s="122">
        <v>8531</v>
      </c>
      <c r="N1094" s="122">
        <v>11226</v>
      </c>
      <c r="O1094" s="122">
        <v>4158</v>
      </c>
      <c r="P1094" s="122">
        <v>3780</v>
      </c>
      <c r="Q1094" s="122">
        <v>1400</v>
      </c>
      <c r="R1094" s="122">
        <v>27640</v>
      </c>
      <c r="S1094" s="122">
        <v>25127</v>
      </c>
      <c r="T1094" s="122">
        <v>11984</v>
      </c>
      <c r="U1094" s="122">
        <v>4438</v>
      </c>
      <c r="V1094" s="122">
        <v>126511</v>
      </c>
      <c r="W1094" s="122">
        <f t="shared" si="34"/>
        <v>126511</v>
      </c>
      <c r="X1094" s="122">
        <f t="shared" si="35"/>
        <v>158739</v>
      </c>
    </row>
    <row r="1095" spans="2:24">
      <c r="B1095" t="s">
        <v>460</v>
      </c>
      <c r="C1095" t="s">
        <v>62</v>
      </c>
      <c r="D1095" t="s">
        <v>137</v>
      </c>
      <c r="E1095" t="s">
        <v>137</v>
      </c>
      <c r="F1095" s="122">
        <v>88</v>
      </c>
      <c r="G1095" s="122">
        <v>4756</v>
      </c>
      <c r="H1095" s="122">
        <v>36209</v>
      </c>
      <c r="I1095" s="122">
        <v>1172537</v>
      </c>
      <c r="J1095" s="122">
        <v>434273</v>
      </c>
      <c r="K1095" s="122">
        <v>100</v>
      </c>
      <c r="L1095" s="122">
        <v>168118</v>
      </c>
      <c r="M1095" s="122">
        <v>62266</v>
      </c>
      <c r="N1095" s="122">
        <v>103865</v>
      </c>
      <c r="O1095" s="122">
        <v>38468</v>
      </c>
      <c r="P1095" s="122">
        <v>9353</v>
      </c>
      <c r="Q1095" s="122">
        <v>3464</v>
      </c>
      <c r="R1095" s="122">
        <v>502246</v>
      </c>
      <c r="S1095" s="122">
        <v>186017</v>
      </c>
      <c r="T1095">
        <v>0</v>
      </c>
      <c r="U1095">
        <v>0</v>
      </c>
      <c r="V1095" s="122">
        <v>724489</v>
      </c>
      <c r="W1095" s="122">
        <f t="shared" si="34"/>
        <v>724488</v>
      </c>
      <c r="X1095" s="122">
        <f t="shared" si="35"/>
        <v>1956119</v>
      </c>
    </row>
    <row r="1096" spans="2:24">
      <c r="B1096" t="s">
        <v>460</v>
      </c>
      <c r="C1096" t="s">
        <v>62</v>
      </c>
      <c r="D1096" t="s">
        <v>406</v>
      </c>
      <c r="E1096" t="s">
        <v>406</v>
      </c>
      <c r="F1096">
        <v>2</v>
      </c>
      <c r="G1096">
        <v>118</v>
      </c>
      <c r="H1096" s="122">
        <v>787</v>
      </c>
      <c r="I1096" s="122">
        <v>27836</v>
      </c>
      <c r="J1096" s="122">
        <v>25306</v>
      </c>
      <c r="K1096" s="122">
        <v>84</v>
      </c>
      <c r="L1096" s="122">
        <v>5877</v>
      </c>
      <c r="M1096" s="122">
        <v>4898</v>
      </c>
      <c r="N1096" s="122">
        <v>2503</v>
      </c>
      <c r="O1096">
        <v>927</v>
      </c>
      <c r="P1096" s="122">
        <v>1242</v>
      </c>
      <c r="Q1096">
        <v>460</v>
      </c>
      <c r="R1096" s="122">
        <v>5644</v>
      </c>
      <c r="S1096" s="122">
        <v>5131</v>
      </c>
      <c r="T1096" s="122">
        <v>3283</v>
      </c>
      <c r="U1096" s="122">
        <v>1216</v>
      </c>
      <c r="V1096" s="122">
        <v>37937</v>
      </c>
      <c r="W1096" s="122">
        <f t="shared" si="34"/>
        <v>37938</v>
      </c>
      <c r="X1096" s="122">
        <f t="shared" si="35"/>
        <v>46385</v>
      </c>
    </row>
    <row r="1097" spans="2:24">
      <c r="B1097" t="s">
        <v>460</v>
      </c>
      <c r="C1097" t="s">
        <v>62</v>
      </c>
      <c r="D1097" t="s">
        <v>407</v>
      </c>
      <c r="E1097" t="s">
        <v>407</v>
      </c>
      <c r="F1097">
        <v>3</v>
      </c>
      <c r="G1097" s="122">
        <v>184</v>
      </c>
      <c r="H1097" s="122">
        <v>1236</v>
      </c>
      <c r="I1097" s="122">
        <v>49201</v>
      </c>
      <c r="J1097" s="122">
        <v>44728</v>
      </c>
      <c r="K1097" s="122">
        <v>71</v>
      </c>
      <c r="L1097" s="122">
        <v>1639</v>
      </c>
      <c r="M1097" s="122">
        <v>1366</v>
      </c>
      <c r="N1097" s="122">
        <v>3646</v>
      </c>
      <c r="O1097" s="122">
        <v>1350</v>
      </c>
      <c r="P1097" s="122">
        <v>1418</v>
      </c>
      <c r="Q1097">
        <v>525</v>
      </c>
      <c r="R1097" s="122">
        <v>14346</v>
      </c>
      <c r="S1097" s="122">
        <v>13042</v>
      </c>
      <c r="T1097" s="122">
        <v>5229</v>
      </c>
      <c r="U1097" s="122">
        <v>1936</v>
      </c>
      <c r="V1097" s="122">
        <v>62948</v>
      </c>
      <c r="W1097" s="122">
        <f t="shared" si="34"/>
        <v>62947</v>
      </c>
      <c r="X1097" s="122">
        <f t="shared" si="35"/>
        <v>75479</v>
      </c>
    </row>
    <row r="1098" spans="2:24">
      <c r="B1098" t="s">
        <v>460</v>
      </c>
      <c r="C1098" t="s">
        <v>64</v>
      </c>
      <c r="D1098" t="s">
        <v>137</v>
      </c>
      <c r="E1098" t="s">
        <v>137</v>
      </c>
      <c r="F1098">
        <v>16</v>
      </c>
      <c r="G1098">
        <v>775</v>
      </c>
      <c r="H1098" s="122">
        <v>8440</v>
      </c>
      <c r="I1098" s="122">
        <v>276457</v>
      </c>
      <c r="J1098" s="122">
        <v>102391</v>
      </c>
      <c r="K1098" s="122">
        <v>100</v>
      </c>
      <c r="L1098" s="122">
        <v>20117</v>
      </c>
      <c r="M1098" s="122">
        <v>7451</v>
      </c>
      <c r="N1098" s="122">
        <v>16022</v>
      </c>
      <c r="O1098" s="122">
        <v>5934</v>
      </c>
      <c r="P1098" s="122">
        <v>1445</v>
      </c>
      <c r="Q1098">
        <v>535</v>
      </c>
      <c r="R1098" s="122">
        <v>95069</v>
      </c>
      <c r="S1098" s="122">
        <v>35211</v>
      </c>
      <c r="T1098">
        <v>0</v>
      </c>
      <c r="U1098">
        <v>0</v>
      </c>
      <c r="V1098" s="122">
        <v>151522</v>
      </c>
      <c r="W1098" s="122">
        <f t="shared" si="34"/>
        <v>151522</v>
      </c>
      <c r="X1098" s="122">
        <f t="shared" si="35"/>
        <v>409110</v>
      </c>
    </row>
    <row r="1099" spans="2:24">
      <c r="B1099" t="s">
        <v>460</v>
      </c>
      <c r="C1099" t="s">
        <v>64</v>
      </c>
      <c r="D1099" t="s">
        <v>406</v>
      </c>
      <c r="E1099" t="s">
        <v>406</v>
      </c>
      <c r="F1099" s="122">
        <v>2</v>
      </c>
      <c r="G1099" s="122">
        <v>92</v>
      </c>
      <c r="H1099" s="122">
        <v>932</v>
      </c>
      <c r="I1099" s="122">
        <v>24899</v>
      </c>
      <c r="J1099" s="122">
        <v>22636</v>
      </c>
      <c r="K1099" s="122">
        <v>85</v>
      </c>
      <c r="L1099" s="122">
        <v>8119</v>
      </c>
      <c r="M1099" s="122">
        <v>6766</v>
      </c>
      <c r="N1099" s="122">
        <v>1544</v>
      </c>
      <c r="O1099">
        <v>572</v>
      </c>
      <c r="P1099" s="122">
        <v>1242</v>
      </c>
      <c r="Q1099">
        <v>460</v>
      </c>
      <c r="R1099" s="122">
        <v>4780</v>
      </c>
      <c r="S1099" s="122">
        <v>4346</v>
      </c>
      <c r="T1099" s="122">
        <v>2493</v>
      </c>
      <c r="U1099">
        <v>923</v>
      </c>
      <c r="V1099" s="122">
        <v>35702</v>
      </c>
      <c r="W1099" s="122">
        <f t="shared" si="34"/>
        <v>35703</v>
      </c>
      <c r="X1099" s="122">
        <f t="shared" si="35"/>
        <v>43077</v>
      </c>
    </row>
    <row r="1100" spans="2:24">
      <c r="B1100" t="s">
        <v>461</v>
      </c>
      <c r="C1100" t="s">
        <v>48</v>
      </c>
      <c r="F1100" s="122">
        <v>1793</v>
      </c>
      <c r="G1100" s="122">
        <v>148320</v>
      </c>
      <c r="H1100" s="122">
        <v>87546</v>
      </c>
      <c r="J1100">
        <v>0</v>
      </c>
      <c r="M1100">
        <v>0</v>
      </c>
      <c r="N1100" s="122">
        <v>1869601</v>
      </c>
      <c r="O1100" s="122">
        <v>692445</v>
      </c>
      <c r="P1100" s="122">
        <v>1347174</v>
      </c>
      <c r="Q1100" s="122">
        <v>498953</v>
      </c>
      <c r="S1100">
        <v>0</v>
      </c>
      <c r="T1100" s="122">
        <v>1742</v>
      </c>
      <c r="U1100">
        <v>645</v>
      </c>
      <c r="V1100" s="122">
        <v>1192043</v>
      </c>
      <c r="W1100" s="122">
        <f t="shared" si="34"/>
        <v>1192043</v>
      </c>
      <c r="X1100" s="122">
        <f t="shared" si="35"/>
        <v>3218517</v>
      </c>
    </row>
    <row r="1101" spans="2:24">
      <c r="B1101" t="s">
        <v>461</v>
      </c>
      <c r="C1101" t="s">
        <v>48</v>
      </c>
      <c r="D1101" t="s">
        <v>137</v>
      </c>
      <c r="E1101" t="s">
        <v>137</v>
      </c>
      <c r="F1101">
        <v>125</v>
      </c>
      <c r="G1101" s="122">
        <v>10956</v>
      </c>
      <c r="H1101" s="122">
        <v>6733</v>
      </c>
      <c r="I1101" s="122">
        <v>-97746</v>
      </c>
      <c r="J1101" s="122">
        <v>-36202</v>
      </c>
      <c r="K1101" s="122">
        <v>384</v>
      </c>
      <c r="L1101" s="122">
        <v>2118</v>
      </c>
      <c r="M1101" s="122">
        <v>1103</v>
      </c>
      <c r="N1101" s="122">
        <v>138237</v>
      </c>
      <c r="O1101" s="122">
        <v>51199</v>
      </c>
      <c r="P1101" s="122">
        <v>102063</v>
      </c>
      <c r="Q1101" s="122">
        <v>37801</v>
      </c>
      <c r="R1101" s="122">
        <v>448536</v>
      </c>
      <c r="S1101" s="122">
        <v>166125</v>
      </c>
      <c r="T1101">
        <v>0</v>
      </c>
      <c r="U1101">
        <v>0</v>
      </c>
      <c r="V1101" s="122">
        <v>220026</v>
      </c>
      <c r="W1101" s="122">
        <f t="shared" si="34"/>
        <v>292430</v>
      </c>
      <c r="X1101" s="122">
        <f t="shared" si="35"/>
        <v>788700</v>
      </c>
    </row>
    <row r="1102" spans="2:24">
      <c r="B1102" t="s">
        <v>461</v>
      </c>
      <c r="C1102" t="s">
        <v>48</v>
      </c>
      <c r="D1102" t="s">
        <v>407</v>
      </c>
      <c r="E1102" t="s">
        <v>407</v>
      </c>
      <c r="F1102">
        <v>225</v>
      </c>
      <c r="G1102" s="122">
        <v>20124</v>
      </c>
      <c r="H1102" s="122">
        <v>12438</v>
      </c>
      <c r="I1102" s="122">
        <v>-12141</v>
      </c>
      <c r="J1102" s="122">
        <v>-11037</v>
      </c>
      <c r="K1102" s="122">
        <v>90</v>
      </c>
      <c r="L1102">
        <v>135</v>
      </c>
      <c r="M1102">
        <v>134</v>
      </c>
      <c r="N1102" s="122">
        <v>249432</v>
      </c>
      <c r="O1102" s="122">
        <v>92382</v>
      </c>
      <c r="P1102" s="122">
        <v>215719</v>
      </c>
      <c r="Q1102" s="122">
        <v>79896</v>
      </c>
      <c r="R1102" s="122">
        <v>648381</v>
      </c>
      <c r="S1102" s="122">
        <v>589437</v>
      </c>
      <c r="T1102">
        <v>0</v>
      </c>
      <c r="U1102">
        <v>0</v>
      </c>
      <c r="V1102" s="122">
        <v>750812</v>
      </c>
      <c r="W1102" s="122">
        <f t="shared" si="34"/>
        <v>772886</v>
      </c>
      <c r="X1102" s="122">
        <f t="shared" si="35"/>
        <v>1125808</v>
      </c>
    </row>
    <row r="1103" spans="2:24">
      <c r="B1103" t="s">
        <v>461</v>
      </c>
      <c r="C1103" t="s">
        <v>50</v>
      </c>
      <c r="F1103" s="122">
        <v>83</v>
      </c>
      <c r="G1103" s="122">
        <v>5549</v>
      </c>
      <c r="H1103" s="122">
        <v>7041</v>
      </c>
      <c r="J1103" s="122">
        <v>0</v>
      </c>
      <c r="K1103" s="122"/>
      <c r="M1103">
        <v>0</v>
      </c>
      <c r="N1103" s="122">
        <v>87350</v>
      </c>
      <c r="O1103" s="122">
        <v>32352</v>
      </c>
      <c r="P1103" s="122">
        <v>39367</v>
      </c>
      <c r="Q1103" s="122">
        <v>14580</v>
      </c>
      <c r="S1103">
        <v>0</v>
      </c>
      <c r="T1103" s="122">
        <v>20288</v>
      </c>
      <c r="U1103" s="122">
        <v>7514</v>
      </c>
      <c r="V1103" s="122">
        <v>54446</v>
      </c>
      <c r="W1103" s="122">
        <f t="shared" si="34"/>
        <v>54446</v>
      </c>
      <c r="X1103" s="122">
        <f t="shared" si="35"/>
        <v>147005</v>
      </c>
    </row>
    <row r="1104" spans="2:24">
      <c r="B1104" t="s">
        <v>461</v>
      </c>
      <c r="C1104" t="s">
        <v>50</v>
      </c>
      <c r="D1104" t="s">
        <v>137</v>
      </c>
      <c r="E1104" t="s">
        <v>137</v>
      </c>
      <c r="F1104">
        <v>9</v>
      </c>
      <c r="G1104">
        <v>874</v>
      </c>
      <c r="H1104" s="122">
        <v>798</v>
      </c>
      <c r="I1104" s="122">
        <v>12535</v>
      </c>
      <c r="J1104" s="122">
        <v>4642</v>
      </c>
      <c r="K1104" s="122">
        <v>230</v>
      </c>
      <c r="L1104" s="122">
        <v>2459</v>
      </c>
      <c r="M1104" s="122">
        <v>2235</v>
      </c>
      <c r="N1104" s="122">
        <v>10685</v>
      </c>
      <c r="O1104" s="122">
        <v>3957</v>
      </c>
      <c r="P1104" s="122">
        <v>2071</v>
      </c>
      <c r="Q1104">
        <v>767</v>
      </c>
      <c r="R1104" s="122">
        <v>48302</v>
      </c>
      <c r="S1104" s="122">
        <v>17890</v>
      </c>
      <c r="T1104">
        <v>0</v>
      </c>
      <c r="U1104">
        <v>0</v>
      </c>
      <c r="V1104" s="122">
        <v>29492</v>
      </c>
      <c r="W1104" s="122">
        <f t="shared" si="34"/>
        <v>29491</v>
      </c>
      <c r="X1104" s="122">
        <f t="shared" si="35"/>
        <v>76052</v>
      </c>
    </row>
    <row r="1105" spans="2:24">
      <c r="B1105" t="s">
        <v>461</v>
      </c>
      <c r="C1105" t="s">
        <v>50</v>
      </c>
      <c r="D1105" t="s">
        <v>406</v>
      </c>
      <c r="E1105" t="s">
        <v>137</v>
      </c>
      <c r="F1105">
        <v>1</v>
      </c>
      <c r="G1105">
        <v>237</v>
      </c>
      <c r="H1105" s="122">
        <v>83</v>
      </c>
      <c r="I1105" s="122">
        <v>7700</v>
      </c>
      <c r="J1105" s="122">
        <v>7000</v>
      </c>
      <c r="K1105" s="122">
        <v>95</v>
      </c>
      <c r="L1105" s="122">
        <v>1493</v>
      </c>
      <c r="M1105" s="122">
        <v>1245</v>
      </c>
      <c r="N1105" s="122">
        <v>2888</v>
      </c>
      <c r="O1105" s="122">
        <v>1069</v>
      </c>
      <c r="P1105" s="122">
        <v>2757</v>
      </c>
      <c r="Q1105" s="122">
        <v>1021</v>
      </c>
      <c r="R1105" s="122">
        <v>4837</v>
      </c>
      <c r="S1105" s="122">
        <v>1791</v>
      </c>
      <c r="T1105">
        <v>0</v>
      </c>
      <c r="U1105">
        <v>0</v>
      </c>
      <c r="V1105" s="122">
        <v>12127</v>
      </c>
      <c r="W1105" s="122">
        <f t="shared" si="34"/>
        <v>12126</v>
      </c>
      <c r="X1105" s="122">
        <f t="shared" si="35"/>
        <v>19675</v>
      </c>
    </row>
    <row r="1106" spans="2:24">
      <c r="B1106" t="s">
        <v>461</v>
      </c>
      <c r="C1106" t="s">
        <v>50</v>
      </c>
      <c r="D1106" t="s">
        <v>407</v>
      </c>
      <c r="E1106" t="s">
        <v>407</v>
      </c>
      <c r="F1106">
        <v>317</v>
      </c>
      <c r="G1106" s="122">
        <v>28055</v>
      </c>
      <c r="H1106" s="122">
        <v>29227</v>
      </c>
      <c r="I1106" s="122">
        <v>821129</v>
      </c>
      <c r="J1106" s="122">
        <v>746481</v>
      </c>
      <c r="K1106" s="122">
        <v>86</v>
      </c>
      <c r="L1106" s="122">
        <v>18617</v>
      </c>
      <c r="M1106" s="122">
        <v>15044</v>
      </c>
      <c r="N1106" s="122">
        <v>475649</v>
      </c>
      <c r="O1106" s="122">
        <v>176166</v>
      </c>
      <c r="P1106" s="122">
        <v>195451</v>
      </c>
      <c r="Q1106" s="122">
        <v>72389</v>
      </c>
      <c r="R1106" s="122">
        <v>1072391</v>
      </c>
      <c r="S1106" s="122">
        <v>974901</v>
      </c>
      <c r="T1106" s="122">
        <v>2185</v>
      </c>
      <c r="U1106">
        <v>809</v>
      </c>
      <c r="V1106" s="122">
        <v>1985791</v>
      </c>
      <c r="W1106" s="122">
        <f t="shared" si="34"/>
        <v>1985790</v>
      </c>
      <c r="X1106" s="122">
        <f t="shared" si="35"/>
        <v>2585422</v>
      </c>
    </row>
    <row r="1107" spans="2:24">
      <c r="B1107" t="s">
        <v>461</v>
      </c>
      <c r="C1107" t="s">
        <v>52</v>
      </c>
      <c r="F1107" s="122">
        <v>70</v>
      </c>
      <c r="G1107" s="122">
        <v>5366</v>
      </c>
      <c r="H1107" s="122">
        <v>8105</v>
      </c>
      <c r="J1107" s="122">
        <v>0</v>
      </c>
      <c r="K1107" s="122"/>
      <c r="M1107">
        <v>0</v>
      </c>
      <c r="N1107" s="122">
        <v>108920</v>
      </c>
      <c r="O1107" s="122">
        <v>40341</v>
      </c>
      <c r="P1107" s="122">
        <v>37360</v>
      </c>
      <c r="Q1107" s="122">
        <v>13837</v>
      </c>
      <c r="S1107">
        <v>0</v>
      </c>
      <c r="T1107" s="122">
        <v>12081</v>
      </c>
      <c r="U1107" s="122">
        <v>4474</v>
      </c>
      <c r="V1107" s="122">
        <v>58652</v>
      </c>
      <c r="W1107" s="122">
        <f t="shared" si="34"/>
        <v>58652</v>
      </c>
      <c r="X1107" s="122">
        <f t="shared" si="35"/>
        <v>158361</v>
      </c>
    </row>
    <row r="1108" spans="2:24">
      <c r="B1108" t="s">
        <v>461</v>
      </c>
      <c r="C1108" t="s">
        <v>52</v>
      </c>
      <c r="D1108" t="s">
        <v>137</v>
      </c>
      <c r="E1108" t="s">
        <v>137</v>
      </c>
      <c r="F1108">
        <v>27</v>
      </c>
      <c r="G1108" s="122">
        <v>1753</v>
      </c>
      <c r="H1108" s="122">
        <v>3061</v>
      </c>
      <c r="I1108" s="122">
        <v>36655</v>
      </c>
      <c r="J1108" s="122">
        <v>13576</v>
      </c>
      <c r="K1108" s="122">
        <v>113</v>
      </c>
      <c r="L1108">
        <v>0</v>
      </c>
      <c r="M1108">
        <v>0</v>
      </c>
      <c r="N1108" s="122">
        <v>21358</v>
      </c>
      <c r="O1108" s="122">
        <v>7911</v>
      </c>
      <c r="P1108">
        <v>351</v>
      </c>
      <c r="Q1108">
        <v>130</v>
      </c>
      <c r="R1108" s="122">
        <v>140511</v>
      </c>
      <c r="S1108" s="122">
        <v>52041</v>
      </c>
      <c r="T1108">
        <v>0</v>
      </c>
      <c r="U1108">
        <v>0</v>
      </c>
      <c r="V1108" s="122">
        <v>73658</v>
      </c>
      <c r="W1108" s="122">
        <f t="shared" si="34"/>
        <v>73658</v>
      </c>
      <c r="X1108" s="122">
        <f t="shared" si="35"/>
        <v>198875</v>
      </c>
    </row>
    <row r="1109" spans="2:24">
      <c r="B1109" t="s">
        <v>461</v>
      </c>
      <c r="C1109" t="s">
        <v>52</v>
      </c>
      <c r="D1109" t="s">
        <v>406</v>
      </c>
      <c r="E1109" t="s">
        <v>406</v>
      </c>
      <c r="F1109">
        <v>2</v>
      </c>
      <c r="G1109">
        <v>229</v>
      </c>
      <c r="H1109" s="122">
        <v>223</v>
      </c>
      <c r="I1109" s="122">
        <v>20580</v>
      </c>
      <c r="J1109" s="122">
        <v>18709</v>
      </c>
      <c r="K1109" s="122">
        <v>95</v>
      </c>
      <c r="L1109" s="122">
        <v>3936</v>
      </c>
      <c r="M1109" s="122">
        <v>3330</v>
      </c>
      <c r="N1109" s="122">
        <v>5443</v>
      </c>
      <c r="O1109" s="122">
        <v>2016</v>
      </c>
      <c r="P1109" s="122">
        <v>1593</v>
      </c>
      <c r="Q1109">
        <v>590</v>
      </c>
      <c r="R1109" s="122">
        <v>7383</v>
      </c>
      <c r="S1109" s="122">
        <v>6711</v>
      </c>
      <c r="T1109">
        <v>0</v>
      </c>
      <c r="U1109">
        <v>0</v>
      </c>
      <c r="V1109" s="122">
        <v>31356</v>
      </c>
      <c r="W1109" s="122">
        <f t="shared" si="34"/>
        <v>31356</v>
      </c>
      <c r="X1109" s="122">
        <f t="shared" si="35"/>
        <v>38935</v>
      </c>
    </row>
    <row r="1110" spans="2:24">
      <c r="B1110" t="s">
        <v>461</v>
      </c>
      <c r="C1110" t="s">
        <v>52</v>
      </c>
      <c r="D1110" t="s">
        <v>407</v>
      </c>
      <c r="E1110" t="s">
        <v>407</v>
      </c>
      <c r="F1110" s="122">
        <v>1065</v>
      </c>
      <c r="G1110" s="122">
        <v>93734</v>
      </c>
      <c r="H1110" s="122">
        <v>121643</v>
      </c>
      <c r="I1110" s="122">
        <v>4137845</v>
      </c>
      <c r="J1110" s="122">
        <v>3761677</v>
      </c>
      <c r="K1110" s="122">
        <v>86</v>
      </c>
      <c r="L1110" s="122">
        <v>182268</v>
      </c>
      <c r="M1110" s="122">
        <v>163756</v>
      </c>
      <c r="N1110" s="122">
        <v>1731520</v>
      </c>
      <c r="O1110" s="122">
        <v>641304</v>
      </c>
      <c r="P1110" s="122">
        <v>584094</v>
      </c>
      <c r="Q1110" s="122">
        <v>216331</v>
      </c>
      <c r="R1110" s="122">
        <v>3955348</v>
      </c>
      <c r="S1110" s="122">
        <v>3595771</v>
      </c>
      <c r="T1110" s="122">
        <v>121140</v>
      </c>
      <c r="U1110" s="122">
        <v>44867</v>
      </c>
      <c r="V1110" s="122">
        <v>8423704</v>
      </c>
      <c r="W1110" s="122">
        <f t="shared" si="34"/>
        <v>8423706</v>
      </c>
      <c r="X1110" s="122">
        <f t="shared" si="35"/>
        <v>10712215</v>
      </c>
    </row>
    <row r="1111" spans="2:24">
      <c r="B1111" t="s">
        <v>461</v>
      </c>
      <c r="C1111" t="s">
        <v>54</v>
      </c>
      <c r="F1111" s="122">
        <v>71</v>
      </c>
      <c r="G1111" s="122">
        <v>5440</v>
      </c>
      <c r="H1111" s="122">
        <v>9618</v>
      </c>
      <c r="J1111" s="122">
        <v>0</v>
      </c>
      <c r="K1111" s="122"/>
      <c r="M1111">
        <v>0</v>
      </c>
      <c r="N1111" s="122">
        <v>108214</v>
      </c>
      <c r="O1111" s="122">
        <v>40079</v>
      </c>
      <c r="P1111" s="122">
        <v>44676</v>
      </c>
      <c r="Q1111" s="122">
        <v>16547</v>
      </c>
      <c r="S1111">
        <v>0</v>
      </c>
      <c r="T1111" s="122">
        <v>14721</v>
      </c>
      <c r="U1111" s="122">
        <v>5452</v>
      </c>
      <c r="V1111" s="122">
        <v>62079</v>
      </c>
      <c r="W1111" s="122">
        <f t="shared" si="34"/>
        <v>62078</v>
      </c>
      <c r="X1111" s="122">
        <f t="shared" si="35"/>
        <v>167611</v>
      </c>
    </row>
    <row r="1112" spans="2:24">
      <c r="B1112" t="s">
        <v>461</v>
      </c>
      <c r="C1112" t="s">
        <v>54</v>
      </c>
      <c r="D1112" t="s">
        <v>405</v>
      </c>
      <c r="E1112" t="s">
        <v>405</v>
      </c>
      <c r="F1112" s="122">
        <v>2</v>
      </c>
      <c r="G1112" s="122">
        <v>179</v>
      </c>
      <c r="H1112" s="122">
        <v>297</v>
      </c>
      <c r="I1112" s="122">
        <v>10081</v>
      </c>
      <c r="J1112" s="122">
        <v>9165</v>
      </c>
      <c r="K1112" s="122">
        <v>87</v>
      </c>
      <c r="L1112" s="122">
        <v>1195</v>
      </c>
      <c r="M1112" s="122">
        <v>1086</v>
      </c>
      <c r="N1112" s="122">
        <v>2340</v>
      </c>
      <c r="O1112">
        <v>867</v>
      </c>
      <c r="P1112">
        <v>945</v>
      </c>
      <c r="Q1112">
        <v>350</v>
      </c>
      <c r="R1112" s="122">
        <v>8682</v>
      </c>
      <c r="S1112" s="122">
        <v>7893</v>
      </c>
      <c r="T1112" s="122">
        <v>3394</v>
      </c>
      <c r="U1112" s="122">
        <v>1257</v>
      </c>
      <c r="V1112" s="122">
        <v>20617</v>
      </c>
      <c r="W1112" s="122">
        <f t="shared" si="34"/>
        <v>20618</v>
      </c>
      <c r="X1112" s="122">
        <f t="shared" si="35"/>
        <v>26637</v>
      </c>
    </row>
    <row r="1113" spans="2:24">
      <c r="B1113" t="s">
        <v>461</v>
      </c>
      <c r="C1113" t="s">
        <v>54</v>
      </c>
      <c r="D1113" t="s">
        <v>137</v>
      </c>
      <c r="E1113" t="s">
        <v>137</v>
      </c>
      <c r="F1113">
        <v>55</v>
      </c>
      <c r="G1113" s="122">
        <v>4133</v>
      </c>
      <c r="H1113" s="122">
        <v>7715</v>
      </c>
      <c r="I1113" s="122">
        <v>195973</v>
      </c>
      <c r="J1113" s="122">
        <v>72583</v>
      </c>
      <c r="K1113" s="122">
        <v>158</v>
      </c>
      <c r="L1113" s="122">
        <v>12717</v>
      </c>
      <c r="M1113" s="122">
        <v>6157</v>
      </c>
      <c r="N1113" s="122">
        <v>64153</v>
      </c>
      <c r="O1113" s="122">
        <v>23760</v>
      </c>
      <c r="P1113" s="122">
        <v>4507</v>
      </c>
      <c r="Q1113" s="122">
        <v>1669</v>
      </c>
      <c r="R1113" s="122">
        <v>302000</v>
      </c>
      <c r="S1113" s="122">
        <v>111852</v>
      </c>
      <c r="T1113">
        <v>0</v>
      </c>
      <c r="U1113">
        <v>0</v>
      </c>
      <c r="V1113" s="122">
        <v>216021</v>
      </c>
      <c r="W1113" s="122">
        <f t="shared" si="34"/>
        <v>216021</v>
      </c>
      <c r="X1113" s="122">
        <f t="shared" si="35"/>
        <v>579350</v>
      </c>
    </row>
    <row r="1114" spans="2:24">
      <c r="B1114" t="s">
        <v>461</v>
      </c>
      <c r="C1114" t="s">
        <v>54</v>
      </c>
      <c r="D1114" t="s">
        <v>406</v>
      </c>
      <c r="E1114" t="s">
        <v>406</v>
      </c>
      <c r="F1114">
        <v>2</v>
      </c>
      <c r="G1114" s="122">
        <v>574</v>
      </c>
      <c r="H1114">
        <v>260</v>
      </c>
      <c r="I1114" s="122">
        <v>37408</v>
      </c>
      <c r="J1114" s="122">
        <v>34008</v>
      </c>
      <c r="K1114" s="122">
        <v>87</v>
      </c>
      <c r="L1114" s="122">
        <v>10250</v>
      </c>
      <c r="M1114" s="122">
        <v>9319</v>
      </c>
      <c r="N1114" s="122">
        <v>13488</v>
      </c>
      <c r="O1114" s="122">
        <v>4996</v>
      </c>
      <c r="P1114" s="122">
        <v>1512</v>
      </c>
      <c r="Q1114">
        <v>560</v>
      </c>
      <c r="R1114" s="122">
        <v>11613</v>
      </c>
      <c r="S1114" s="122">
        <v>10557</v>
      </c>
      <c r="T1114">
        <v>0</v>
      </c>
      <c r="U1114">
        <v>0</v>
      </c>
      <c r="V1114" s="122">
        <v>59439</v>
      </c>
      <c r="W1114" s="122">
        <f t="shared" si="34"/>
        <v>59440</v>
      </c>
      <c r="X1114" s="122">
        <f t="shared" si="35"/>
        <v>74271</v>
      </c>
    </row>
    <row r="1115" spans="2:24">
      <c r="B1115" t="s">
        <v>461</v>
      </c>
      <c r="C1115" t="s">
        <v>54</v>
      </c>
      <c r="D1115" t="s">
        <v>407</v>
      </c>
      <c r="E1115" t="s">
        <v>407</v>
      </c>
      <c r="F1115" s="122">
        <v>1622</v>
      </c>
      <c r="G1115" s="122">
        <v>133242</v>
      </c>
      <c r="H1115" s="122">
        <v>224165</v>
      </c>
      <c r="I1115" s="122">
        <v>7726462</v>
      </c>
      <c r="J1115" s="122">
        <v>7024056</v>
      </c>
      <c r="K1115" s="122">
        <v>84</v>
      </c>
      <c r="L1115" s="122">
        <v>540151</v>
      </c>
      <c r="M1115" s="122">
        <v>407463</v>
      </c>
      <c r="N1115" s="122">
        <v>2606946</v>
      </c>
      <c r="O1115" s="122">
        <v>965535</v>
      </c>
      <c r="P1115" s="122">
        <v>833035</v>
      </c>
      <c r="Q1115" s="122">
        <v>308531</v>
      </c>
      <c r="R1115" s="122">
        <v>6382370</v>
      </c>
      <c r="S1115" s="122">
        <v>5802155</v>
      </c>
      <c r="T1115" s="122">
        <v>396411</v>
      </c>
      <c r="U1115" s="122">
        <v>146819</v>
      </c>
      <c r="V1115" s="122">
        <v>14654560</v>
      </c>
      <c r="W1115" s="122">
        <f t="shared" si="34"/>
        <v>14654559</v>
      </c>
      <c r="X1115" s="122">
        <f t="shared" si="35"/>
        <v>18485375</v>
      </c>
    </row>
    <row r="1116" spans="2:24">
      <c r="B1116" t="s">
        <v>461</v>
      </c>
      <c r="C1116" t="s">
        <v>56</v>
      </c>
      <c r="F1116" s="122">
        <v>87</v>
      </c>
      <c r="G1116" s="122">
        <v>6071</v>
      </c>
      <c r="H1116" s="122">
        <v>15581</v>
      </c>
      <c r="J1116" s="122">
        <v>0</v>
      </c>
      <c r="K1116" s="122"/>
      <c r="M1116">
        <v>0</v>
      </c>
      <c r="N1116" s="122">
        <v>122685</v>
      </c>
      <c r="O1116" s="122">
        <v>45439</v>
      </c>
      <c r="P1116" s="122">
        <v>34957</v>
      </c>
      <c r="Q1116" s="122">
        <v>12947</v>
      </c>
      <c r="S1116">
        <v>0</v>
      </c>
      <c r="T1116" s="122">
        <v>18342</v>
      </c>
      <c r="U1116" s="122">
        <v>6793</v>
      </c>
      <c r="V1116" s="122">
        <v>65179</v>
      </c>
      <c r="W1116" s="122">
        <f t="shared" si="34"/>
        <v>65179</v>
      </c>
      <c r="X1116" s="122">
        <f t="shared" si="35"/>
        <v>175984</v>
      </c>
    </row>
    <row r="1117" spans="2:24">
      <c r="B1117" t="s">
        <v>461</v>
      </c>
      <c r="C1117" t="s">
        <v>56</v>
      </c>
      <c r="D1117" t="s">
        <v>405</v>
      </c>
      <c r="E1117" t="s">
        <v>405</v>
      </c>
      <c r="F1117" s="122">
        <v>7</v>
      </c>
      <c r="G1117" s="122">
        <v>516</v>
      </c>
      <c r="H1117" s="122">
        <v>1321</v>
      </c>
      <c r="I1117" s="122">
        <v>39219</v>
      </c>
      <c r="J1117" s="122">
        <v>35654</v>
      </c>
      <c r="K1117" s="122">
        <v>81</v>
      </c>
      <c r="L1117" s="122">
        <v>9684</v>
      </c>
      <c r="M1117" s="122">
        <v>8804</v>
      </c>
      <c r="N1117" s="122">
        <v>9135</v>
      </c>
      <c r="O1117" s="122">
        <v>3383</v>
      </c>
      <c r="P1117" s="122">
        <v>3308</v>
      </c>
      <c r="Q1117" s="122">
        <v>1225</v>
      </c>
      <c r="R1117" s="122">
        <v>36036</v>
      </c>
      <c r="S1117" s="122">
        <v>32760</v>
      </c>
      <c r="T1117">
        <v>0</v>
      </c>
      <c r="U1117">
        <v>0</v>
      </c>
      <c r="V1117" s="122">
        <v>81826</v>
      </c>
      <c r="W1117" s="122">
        <f t="shared" si="34"/>
        <v>81826</v>
      </c>
      <c r="X1117" s="122">
        <f t="shared" si="35"/>
        <v>97382</v>
      </c>
    </row>
    <row r="1118" spans="2:24">
      <c r="B1118" t="s">
        <v>461</v>
      </c>
      <c r="C1118" t="s">
        <v>56</v>
      </c>
      <c r="D1118" t="s">
        <v>137</v>
      </c>
      <c r="E1118" t="s">
        <v>137</v>
      </c>
      <c r="F1118">
        <v>682</v>
      </c>
      <c r="G1118" s="122">
        <v>49239</v>
      </c>
      <c r="H1118" s="122">
        <v>134558</v>
      </c>
      <c r="I1118" s="122">
        <v>3939653</v>
      </c>
      <c r="J1118" s="122">
        <v>1459131</v>
      </c>
      <c r="K1118" s="122">
        <v>100</v>
      </c>
      <c r="L1118" s="122">
        <v>490242</v>
      </c>
      <c r="M1118" s="122">
        <v>195824</v>
      </c>
      <c r="N1118" s="122">
        <v>991705</v>
      </c>
      <c r="O1118" s="122">
        <v>367298</v>
      </c>
      <c r="P1118" s="122">
        <v>11974</v>
      </c>
      <c r="Q1118" s="122">
        <v>4435</v>
      </c>
      <c r="R1118" s="122">
        <v>4316671</v>
      </c>
      <c r="S1118" s="122">
        <v>1598767</v>
      </c>
      <c r="T1118" s="122">
        <v>7603</v>
      </c>
      <c r="U1118" s="122">
        <v>2816</v>
      </c>
      <c r="V1118" s="122">
        <v>3628270</v>
      </c>
      <c r="W1118" s="122">
        <f t="shared" si="34"/>
        <v>3628271</v>
      </c>
      <c r="X1118" s="122">
        <f t="shared" si="35"/>
        <v>9757848</v>
      </c>
    </row>
    <row r="1119" spans="2:24">
      <c r="B1119" t="s">
        <v>461</v>
      </c>
      <c r="C1119" t="s">
        <v>56</v>
      </c>
      <c r="D1119" t="s">
        <v>137</v>
      </c>
      <c r="E1119" t="s">
        <v>407</v>
      </c>
      <c r="F1119">
        <v>1</v>
      </c>
      <c r="G1119" s="122">
        <v>69</v>
      </c>
      <c r="H1119">
        <v>182</v>
      </c>
      <c r="I1119" s="122">
        <v>8115</v>
      </c>
      <c r="J1119" s="122">
        <v>3005</v>
      </c>
      <c r="K1119" s="122">
        <v>100</v>
      </c>
      <c r="L1119">
        <v>0</v>
      </c>
      <c r="M1119">
        <v>0</v>
      </c>
      <c r="N1119" s="122">
        <v>1230</v>
      </c>
      <c r="O1119">
        <v>456</v>
      </c>
      <c r="P1119">
        <v>473</v>
      </c>
      <c r="Q1119">
        <v>175</v>
      </c>
      <c r="R1119" s="122">
        <v>2799</v>
      </c>
      <c r="S1119" s="122">
        <v>2545</v>
      </c>
      <c r="T1119">
        <v>0</v>
      </c>
      <c r="U1119">
        <v>0</v>
      </c>
      <c r="V1119" s="122">
        <v>6181</v>
      </c>
      <c r="W1119" s="122">
        <f t="shared" si="34"/>
        <v>6181</v>
      </c>
      <c r="X1119" s="122">
        <f t="shared" si="35"/>
        <v>12617</v>
      </c>
    </row>
    <row r="1120" spans="2:24">
      <c r="B1120" t="s">
        <v>461</v>
      </c>
      <c r="C1120" t="s">
        <v>56</v>
      </c>
      <c r="D1120" t="s">
        <v>137</v>
      </c>
      <c r="E1120" t="s">
        <v>426</v>
      </c>
      <c r="F1120">
        <v>2</v>
      </c>
      <c r="G1120">
        <v>137</v>
      </c>
      <c r="H1120" s="122">
        <v>378</v>
      </c>
      <c r="I1120" s="122">
        <v>14132</v>
      </c>
      <c r="J1120" s="122">
        <v>5234</v>
      </c>
      <c r="K1120" s="122">
        <v>100</v>
      </c>
      <c r="L1120" s="122">
        <v>3533</v>
      </c>
      <c r="M1120" s="122">
        <v>1309</v>
      </c>
      <c r="N1120" s="122">
        <v>3269</v>
      </c>
      <c r="O1120" s="122">
        <v>1211</v>
      </c>
      <c r="P1120">
        <v>0</v>
      </c>
      <c r="Q1120">
        <v>0</v>
      </c>
      <c r="R1120" s="122">
        <v>4964</v>
      </c>
      <c r="S1120" s="122">
        <v>4513</v>
      </c>
      <c r="T1120">
        <v>0</v>
      </c>
      <c r="U1120">
        <v>0</v>
      </c>
      <c r="V1120" s="122">
        <v>12266</v>
      </c>
      <c r="W1120" s="122">
        <f t="shared" si="34"/>
        <v>12267</v>
      </c>
      <c r="X1120" s="122">
        <f t="shared" si="35"/>
        <v>25898</v>
      </c>
    </row>
    <row r="1121" spans="2:24">
      <c r="B1121" t="s">
        <v>461</v>
      </c>
      <c r="C1121" t="s">
        <v>56</v>
      </c>
      <c r="D1121" t="s">
        <v>406</v>
      </c>
      <c r="E1121" t="s">
        <v>406</v>
      </c>
      <c r="F1121" s="122">
        <v>26</v>
      </c>
      <c r="G1121" s="122">
        <v>3484</v>
      </c>
      <c r="H1121" s="122">
        <v>5046</v>
      </c>
      <c r="I1121" s="122">
        <v>362886</v>
      </c>
      <c r="J1121" s="122">
        <v>329897</v>
      </c>
      <c r="K1121" s="122">
        <v>83</v>
      </c>
      <c r="L1121" s="122">
        <v>62925</v>
      </c>
      <c r="M1121" s="122">
        <v>50284</v>
      </c>
      <c r="N1121" s="122">
        <v>72488</v>
      </c>
      <c r="O1121" s="122">
        <v>26848</v>
      </c>
      <c r="P1121" s="122">
        <v>16781</v>
      </c>
      <c r="Q1121" s="122">
        <v>6215</v>
      </c>
      <c r="R1121" s="122">
        <v>131520</v>
      </c>
      <c r="S1121" s="122">
        <v>119563</v>
      </c>
      <c r="T1121" s="122">
        <v>20309</v>
      </c>
      <c r="U1121" s="122">
        <v>7522</v>
      </c>
      <c r="V1121" s="122">
        <v>540328</v>
      </c>
      <c r="W1121" s="122">
        <f t="shared" si="34"/>
        <v>540329</v>
      </c>
      <c r="X1121" s="122">
        <f t="shared" si="35"/>
        <v>666909</v>
      </c>
    </row>
    <row r="1122" spans="2:24">
      <c r="B1122" t="s">
        <v>461</v>
      </c>
      <c r="C1122" t="s">
        <v>56</v>
      </c>
      <c r="D1122" t="s">
        <v>407</v>
      </c>
      <c r="E1122" t="s">
        <v>137</v>
      </c>
      <c r="F1122" s="122">
        <v>8</v>
      </c>
      <c r="G1122" s="122">
        <v>720</v>
      </c>
      <c r="H1122" s="122">
        <v>1667</v>
      </c>
      <c r="I1122" s="122">
        <v>48865</v>
      </c>
      <c r="J1122" s="122">
        <v>44423</v>
      </c>
      <c r="K1122" s="122">
        <v>81</v>
      </c>
      <c r="L1122" s="122">
        <v>5812</v>
      </c>
      <c r="M1122" s="122">
        <v>4516</v>
      </c>
      <c r="N1122" s="122">
        <v>13947</v>
      </c>
      <c r="O1122" s="122">
        <v>5166</v>
      </c>
      <c r="P1122" s="122">
        <v>3308</v>
      </c>
      <c r="Q1122" s="122">
        <v>1225</v>
      </c>
      <c r="R1122" s="122">
        <v>77112</v>
      </c>
      <c r="S1122" s="122">
        <v>28560</v>
      </c>
      <c r="T1122">
        <v>0</v>
      </c>
      <c r="U1122">
        <v>0</v>
      </c>
      <c r="V1122" s="122">
        <v>83890</v>
      </c>
      <c r="W1122" s="122">
        <f t="shared" si="34"/>
        <v>83890</v>
      </c>
      <c r="X1122" s="122">
        <f t="shared" si="35"/>
        <v>149044</v>
      </c>
    </row>
    <row r="1123" spans="2:24">
      <c r="B1123" t="s">
        <v>461</v>
      </c>
      <c r="C1123" t="s">
        <v>56</v>
      </c>
      <c r="D1123" t="s">
        <v>407</v>
      </c>
      <c r="E1123" t="s">
        <v>407</v>
      </c>
      <c r="F1123" s="122">
        <v>3906</v>
      </c>
      <c r="G1123" s="122">
        <v>290252</v>
      </c>
      <c r="H1123" s="122">
        <v>714873</v>
      </c>
      <c r="I1123" s="122">
        <v>23224772</v>
      </c>
      <c r="J1123" s="122">
        <v>21113429</v>
      </c>
      <c r="K1123" s="122">
        <v>80</v>
      </c>
      <c r="L1123" s="122">
        <v>3205972</v>
      </c>
      <c r="M1123" s="122">
        <v>2677959</v>
      </c>
      <c r="N1123" s="122">
        <v>6026673</v>
      </c>
      <c r="O1123" s="122">
        <v>2232101</v>
      </c>
      <c r="P1123" s="122">
        <v>1876718</v>
      </c>
      <c r="Q1123" s="122">
        <v>695081</v>
      </c>
      <c r="R1123" s="122">
        <v>16408463</v>
      </c>
      <c r="S1123" s="122">
        <v>14916784</v>
      </c>
      <c r="T1123" s="122">
        <v>2255243</v>
      </c>
      <c r="U1123" s="122">
        <v>835275</v>
      </c>
      <c r="V1123" s="122">
        <v>42470629</v>
      </c>
      <c r="W1123" s="122">
        <f t="shared" si="34"/>
        <v>42470629</v>
      </c>
      <c r="X1123" s="122">
        <f t="shared" si="35"/>
        <v>52997841</v>
      </c>
    </row>
    <row r="1124" spans="2:24">
      <c r="B1124" t="s">
        <v>461</v>
      </c>
      <c r="C1124" t="s">
        <v>56</v>
      </c>
      <c r="D1124" t="s">
        <v>426</v>
      </c>
      <c r="E1124" t="s">
        <v>137</v>
      </c>
      <c r="F1124">
        <v>1</v>
      </c>
      <c r="G1124">
        <v>50</v>
      </c>
      <c r="H1124" s="122">
        <v>177</v>
      </c>
      <c r="I1124" s="122">
        <v>2462</v>
      </c>
      <c r="J1124" s="122">
        <v>2238</v>
      </c>
      <c r="K1124" s="122">
        <v>100</v>
      </c>
      <c r="L1124">
        <v>0</v>
      </c>
      <c r="M1124">
        <v>0</v>
      </c>
      <c r="N1124" s="122">
        <v>1211</v>
      </c>
      <c r="O1124">
        <v>448</v>
      </c>
      <c r="P1124">
        <v>0</v>
      </c>
      <c r="Q1124">
        <v>0</v>
      </c>
      <c r="R1124" s="122">
        <v>5144</v>
      </c>
      <c r="S1124" s="122">
        <v>1905</v>
      </c>
      <c r="T1124">
        <v>0</v>
      </c>
      <c r="U1124">
        <v>0</v>
      </c>
      <c r="V1124" s="122">
        <v>4592</v>
      </c>
      <c r="W1124" s="122">
        <f t="shared" si="34"/>
        <v>4591</v>
      </c>
      <c r="X1124" s="122">
        <f t="shared" si="35"/>
        <v>8817</v>
      </c>
    </row>
    <row r="1125" spans="2:24">
      <c r="B1125" t="s">
        <v>461</v>
      </c>
      <c r="C1125" t="s">
        <v>58</v>
      </c>
      <c r="F1125">
        <v>43</v>
      </c>
      <c r="G1125" s="122">
        <v>2575</v>
      </c>
      <c r="H1125" s="122">
        <v>10863</v>
      </c>
      <c r="J1125">
        <v>0</v>
      </c>
      <c r="K1125" s="122"/>
      <c r="M1125">
        <v>0</v>
      </c>
      <c r="N1125" s="122">
        <v>51812</v>
      </c>
      <c r="O1125" s="122">
        <v>19190</v>
      </c>
      <c r="P1125" s="122">
        <v>11023</v>
      </c>
      <c r="Q1125" s="122">
        <v>4083</v>
      </c>
      <c r="S1125">
        <v>0</v>
      </c>
      <c r="T1125" s="122">
        <v>33318</v>
      </c>
      <c r="U1125" s="122">
        <v>12340</v>
      </c>
      <c r="V1125" s="122">
        <v>35612</v>
      </c>
      <c r="W1125" s="122">
        <f t="shared" si="34"/>
        <v>35613</v>
      </c>
      <c r="X1125" s="122">
        <f t="shared" si="35"/>
        <v>96153</v>
      </c>
    </row>
    <row r="1126" spans="2:24">
      <c r="B1126" t="s">
        <v>461</v>
      </c>
      <c r="C1126" t="s">
        <v>58</v>
      </c>
      <c r="D1126" t="s">
        <v>137</v>
      </c>
      <c r="E1126" t="s">
        <v>404</v>
      </c>
      <c r="F1126">
        <v>1</v>
      </c>
      <c r="G1126">
        <v>188</v>
      </c>
      <c r="H1126" s="122">
        <v>226</v>
      </c>
      <c r="I1126" s="122">
        <v>24085</v>
      </c>
      <c r="J1126" s="122">
        <v>8920</v>
      </c>
      <c r="K1126" s="122">
        <v>100</v>
      </c>
      <c r="L1126" s="122">
        <v>2676</v>
      </c>
      <c r="M1126">
        <v>991</v>
      </c>
      <c r="N1126" s="122">
        <v>4359</v>
      </c>
      <c r="O1126" s="122">
        <v>1614</v>
      </c>
      <c r="P1126">
        <v>702</v>
      </c>
      <c r="Q1126">
        <v>260</v>
      </c>
      <c r="R1126" s="122">
        <v>10747</v>
      </c>
      <c r="S1126" s="122">
        <v>3981</v>
      </c>
      <c r="T1126">
        <v>0</v>
      </c>
      <c r="U1126">
        <v>0</v>
      </c>
      <c r="V1126" s="122">
        <v>15766</v>
      </c>
      <c r="W1126" s="122">
        <f t="shared" si="34"/>
        <v>15766</v>
      </c>
      <c r="X1126" s="122">
        <f t="shared" si="35"/>
        <v>42569</v>
      </c>
    </row>
    <row r="1127" spans="2:24">
      <c r="B1127" t="s">
        <v>461</v>
      </c>
      <c r="C1127" t="s">
        <v>58</v>
      </c>
      <c r="D1127" t="s">
        <v>137</v>
      </c>
      <c r="E1127" t="s">
        <v>137</v>
      </c>
      <c r="F1127" s="122">
        <v>1128</v>
      </c>
      <c r="G1127" s="122">
        <v>75151</v>
      </c>
      <c r="H1127" s="122">
        <v>296017</v>
      </c>
      <c r="I1127" s="122">
        <v>10011379</v>
      </c>
      <c r="J1127" s="122">
        <v>3707918</v>
      </c>
      <c r="K1127" s="122">
        <v>100</v>
      </c>
      <c r="L1127" s="122">
        <v>1157438</v>
      </c>
      <c r="M1127" s="122">
        <v>537792</v>
      </c>
      <c r="N1127" s="122">
        <v>1544044</v>
      </c>
      <c r="O1127" s="122">
        <v>571868</v>
      </c>
      <c r="P1127" s="122">
        <v>24848</v>
      </c>
      <c r="Q1127" s="122">
        <v>9203</v>
      </c>
      <c r="R1127" s="122">
        <v>6977625</v>
      </c>
      <c r="S1127" s="122">
        <v>2584306</v>
      </c>
      <c r="T1127" s="122">
        <v>9718</v>
      </c>
      <c r="U1127" s="122">
        <v>3599</v>
      </c>
      <c r="V1127" s="122">
        <v>7414686</v>
      </c>
      <c r="W1127" s="122">
        <f t="shared" si="34"/>
        <v>7414686</v>
      </c>
      <c r="X1127" s="122">
        <f t="shared" si="35"/>
        <v>19725052</v>
      </c>
    </row>
    <row r="1128" spans="2:24">
      <c r="B1128" t="s">
        <v>461</v>
      </c>
      <c r="C1128" t="s">
        <v>58</v>
      </c>
      <c r="D1128" t="s">
        <v>137</v>
      </c>
      <c r="E1128" t="s">
        <v>426</v>
      </c>
      <c r="F1128" s="122">
        <v>1</v>
      </c>
      <c r="G1128" s="122">
        <v>74</v>
      </c>
      <c r="H1128" s="122">
        <v>283</v>
      </c>
      <c r="I1128" s="122">
        <v>13708</v>
      </c>
      <c r="J1128" s="122">
        <v>5077</v>
      </c>
      <c r="K1128" s="122">
        <v>100</v>
      </c>
      <c r="L1128" s="122">
        <v>2068</v>
      </c>
      <c r="M1128" s="122">
        <v>1880</v>
      </c>
      <c r="N1128" s="122">
        <v>1813</v>
      </c>
      <c r="O1128">
        <v>672</v>
      </c>
      <c r="P1128">
        <v>0</v>
      </c>
      <c r="Q1128">
        <v>0</v>
      </c>
      <c r="R1128" s="122">
        <v>3460</v>
      </c>
      <c r="S1128" s="122">
        <v>3146</v>
      </c>
      <c r="T1128">
        <v>0</v>
      </c>
      <c r="U1128">
        <v>0</v>
      </c>
      <c r="V1128" s="122">
        <v>10775</v>
      </c>
      <c r="W1128" s="122">
        <f t="shared" si="34"/>
        <v>10775</v>
      </c>
      <c r="X1128" s="122">
        <f t="shared" si="35"/>
        <v>21049</v>
      </c>
    </row>
    <row r="1129" spans="2:24">
      <c r="B1129" t="s">
        <v>461</v>
      </c>
      <c r="C1129" t="s">
        <v>58</v>
      </c>
      <c r="D1129" t="s">
        <v>406</v>
      </c>
      <c r="E1129" t="s">
        <v>137</v>
      </c>
      <c r="F1129" s="122">
        <v>2</v>
      </c>
      <c r="G1129" s="122">
        <v>160</v>
      </c>
      <c r="H1129" s="122">
        <v>494</v>
      </c>
      <c r="I1129" s="122">
        <v>19285</v>
      </c>
      <c r="J1129" s="122">
        <v>17532</v>
      </c>
      <c r="K1129" s="122">
        <v>70</v>
      </c>
      <c r="L1129" s="122">
        <v>2963</v>
      </c>
      <c r="M1129" s="122">
        <v>1804</v>
      </c>
      <c r="N1129" s="122">
        <v>3853</v>
      </c>
      <c r="O1129" s="122">
        <v>1427</v>
      </c>
      <c r="P1129" s="122">
        <v>1242</v>
      </c>
      <c r="Q1129">
        <v>460</v>
      </c>
      <c r="R1129" s="122">
        <v>11752</v>
      </c>
      <c r="S1129" s="122">
        <v>4353</v>
      </c>
      <c r="T1129">
        <v>0</v>
      </c>
      <c r="U1129">
        <v>0</v>
      </c>
      <c r="V1129" s="122">
        <v>25576</v>
      </c>
      <c r="W1129" s="122">
        <f t="shared" si="34"/>
        <v>25576</v>
      </c>
      <c r="X1129" s="122">
        <f t="shared" si="35"/>
        <v>39095</v>
      </c>
    </row>
    <row r="1130" spans="2:24">
      <c r="B1130" t="s">
        <v>461</v>
      </c>
      <c r="C1130" t="s">
        <v>58</v>
      </c>
      <c r="D1130" t="s">
        <v>406</v>
      </c>
      <c r="E1130" t="s">
        <v>406</v>
      </c>
      <c r="F1130">
        <v>25</v>
      </c>
      <c r="G1130" s="122">
        <v>2419</v>
      </c>
      <c r="H1130" s="122">
        <v>6600</v>
      </c>
      <c r="I1130" s="122">
        <v>352416</v>
      </c>
      <c r="J1130" s="122">
        <v>320378</v>
      </c>
      <c r="K1130" s="122">
        <v>83</v>
      </c>
      <c r="L1130" s="122">
        <v>81072</v>
      </c>
      <c r="M1130" s="122">
        <v>67287</v>
      </c>
      <c r="N1130" s="122">
        <v>52015</v>
      </c>
      <c r="O1130" s="122">
        <v>19265</v>
      </c>
      <c r="P1130" s="122">
        <v>14985</v>
      </c>
      <c r="Q1130" s="122">
        <v>5550</v>
      </c>
      <c r="R1130" s="122">
        <v>116705</v>
      </c>
      <c r="S1130" s="122">
        <v>106096</v>
      </c>
      <c r="T1130" s="122">
        <v>20519</v>
      </c>
      <c r="U1130" s="122">
        <v>7600</v>
      </c>
      <c r="V1130" s="122">
        <v>526175</v>
      </c>
      <c r="W1130" s="122">
        <f t="shared" si="34"/>
        <v>526176</v>
      </c>
      <c r="X1130" s="122">
        <f t="shared" si="35"/>
        <v>637712</v>
      </c>
    </row>
    <row r="1131" spans="2:24">
      <c r="B1131" t="s">
        <v>461</v>
      </c>
      <c r="C1131" t="s">
        <v>58</v>
      </c>
      <c r="D1131" t="s">
        <v>407</v>
      </c>
      <c r="E1131" t="s">
        <v>137</v>
      </c>
      <c r="F1131">
        <v>7</v>
      </c>
      <c r="G1131" s="122">
        <v>400</v>
      </c>
      <c r="H1131" s="122">
        <v>1863</v>
      </c>
      <c r="I1131" s="122">
        <v>42294</v>
      </c>
      <c r="J1131" s="122">
        <v>38449</v>
      </c>
      <c r="K1131" s="122">
        <v>80</v>
      </c>
      <c r="L1131" s="122">
        <v>1818</v>
      </c>
      <c r="M1131" s="122">
        <v>1965</v>
      </c>
      <c r="N1131" s="122">
        <v>8421</v>
      </c>
      <c r="O1131" s="122">
        <v>3119</v>
      </c>
      <c r="P1131" s="122">
        <v>2835</v>
      </c>
      <c r="Q1131" s="122">
        <v>1050</v>
      </c>
      <c r="R1131" s="122">
        <v>54843</v>
      </c>
      <c r="S1131" s="122">
        <v>20312</v>
      </c>
      <c r="T1131" s="122">
        <v>1958</v>
      </c>
      <c r="U1131">
        <v>725</v>
      </c>
      <c r="V1131" s="122">
        <v>65620</v>
      </c>
      <c r="W1131" s="122">
        <f t="shared" ref="W1131:W1194" si="36">SUM(ABS(J1131),ABS(M1131),ABS(O1131),ABS(Q1131),ABS(S1131),ABS(U1131))</f>
        <v>65620</v>
      </c>
      <c r="X1131" s="122">
        <f t="shared" ref="X1131:X1194" si="37">SUM(ABS(I1131),ABS(N1131),ABS(P1131),ABS(R1131),ABS(T1131),ABS(L1131))</f>
        <v>112169</v>
      </c>
    </row>
    <row r="1132" spans="2:24">
      <c r="B1132" t="s">
        <v>461</v>
      </c>
      <c r="C1132" t="s">
        <v>58</v>
      </c>
      <c r="D1132" t="s">
        <v>407</v>
      </c>
      <c r="E1132" t="s">
        <v>407</v>
      </c>
      <c r="F1132">
        <v>879</v>
      </c>
      <c r="G1132" s="122">
        <v>58960</v>
      </c>
      <c r="H1132" s="122">
        <v>223827</v>
      </c>
      <c r="I1132" s="122">
        <v>7283290</v>
      </c>
      <c r="J1132" s="122">
        <v>6621172</v>
      </c>
      <c r="K1132" s="122">
        <v>78</v>
      </c>
      <c r="L1132" s="122">
        <v>1577055</v>
      </c>
      <c r="M1132" s="122">
        <v>1536114</v>
      </c>
      <c r="N1132" s="122">
        <v>1249558</v>
      </c>
      <c r="O1132" s="122">
        <v>462799</v>
      </c>
      <c r="P1132" s="122">
        <v>414590</v>
      </c>
      <c r="Q1132" s="122">
        <v>153552</v>
      </c>
      <c r="R1132" s="122">
        <v>3748183</v>
      </c>
      <c r="S1132" s="122">
        <v>3407439</v>
      </c>
      <c r="T1132" s="122">
        <v>774987</v>
      </c>
      <c r="U1132" s="122">
        <v>287032</v>
      </c>
      <c r="V1132" s="122">
        <v>12468109</v>
      </c>
      <c r="W1132" s="122">
        <f t="shared" si="36"/>
        <v>12468108</v>
      </c>
      <c r="X1132" s="122">
        <f t="shared" si="37"/>
        <v>15047663</v>
      </c>
    </row>
    <row r="1133" spans="2:24">
      <c r="B1133" t="s">
        <v>461</v>
      </c>
      <c r="C1133" t="s">
        <v>58</v>
      </c>
      <c r="D1133" t="s">
        <v>407</v>
      </c>
      <c r="E1133" t="s">
        <v>556</v>
      </c>
      <c r="F1133" s="122">
        <v>1</v>
      </c>
      <c r="G1133" s="122">
        <v>79</v>
      </c>
      <c r="H1133" s="122">
        <v>270</v>
      </c>
      <c r="I1133" s="122">
        <v>11159</v>
      </c>
      <c r="J1133" s="122">
        <v>10145</v>
      </c>
      <c r="K1133" s="122">
        <v>79</v>
      </c>
      <c r="L1133" s="122">
        <v>3386</v>
      </c>
      <c r="M1133" s="122">
        <v>2822</v>
      </c>
      <c r="N1133" s="122">
        <v>1318</v>
      </c>
      <c r="O1133">
        <v>488</v>
      </c>
      <c r="P1133">
        <v>473</v>
      </c>
      <c r="Q1133">
        <v>175</v>
      </c>
      <c r="R1133" s="122">
        <v>5006</v>
      </c>
      <c r="S1133" s="122">
        <v>4172</v>
      </c>
      <c r="T1133">
        <v>0</v>
      </c>
      <c r="U1133">
        <v>0</v>
      </c>
      <c r="V1133" s="122">
        <v>17802</v>
      </c>
      <c r="W1133" s="122">
        <f t="shared" si="36"/>
        <v>17802</v>
      </c>
      <c r="X1133" s="122">
        <f t="shared" si="37"/>
        <v>21342</v>
      </c>
    </row>
    <row r="1134" spans="2:24">
      <c r="B1134" t="s">
        <v>461</v>
      </c>
      <c r="C1134" t="s">
        <v>58</v>
      </c>
      <c r="D1134" t="s">
        <v>408</v>
      </c>
      <c r="E1134" t="s">
        <v>408</v>
      </c>
      <c r="F1134">
        <v>1</v>
      </c>
      <c r="G1134" s="122">
        <v>108</v>
      </c>
      <c r="H1134" s="122">
        <v>280</v>
      </c>
      <c r="I1134" s="122">
        <v>19050</v>
      </c>
      <c r="J1134" s="122">
        <v>17318</v>
      </c>
      <c r="K1134" s="122">
        <v>93</v>
      </c>
      <c r="L1134" s="122">
        <v>3135</v>
      </c>
      <c r="M1134" s="122">
        <v>2850</v>
      </c>
      <c r="N1134" s="122">
        <v>2016</v>
      </c>
      <c r="O1134">
        <v>747</v>
      </c>
      <c r="P1134">
        <v>351</v>
      </c>
      <c r="Q1134">
        <v>130</v>
      </c>
      <c r="R1134" s="122">
        <v>3207</v>
      </c>
      <c r="S1134" s="122">
        <v>2915</v>
      </c>
      <c r="T1134" s="122">
        <v>2530</v>
      </c>
      <c r="U1134">
        <v>937</v>
      </c>
      <c r="V1134" s="122">
        <v>24897</v>
      </c>
      <c r="W1134" s="122">
        <f t="shared" si="36"/>
        <v>24897</v>
      </c>
      <c r="X1134" s="122">
        <f t="shared" si="37"/>
        <v>30289</v>
      </c>
    </row>
    <row r="1135" spans="2:24">
      <c r="B1135" t="s">
        <v>461</v>
      </c>
      <c r="C1135" t="s">
        <v>60</v>
      </c>
      <c r="F1135">
        <v>9</v>
      </c>
      <c r="G1135">
        <v>496</v>
      </c>
      <c r="H1135" s="122">
        <v>2905</v>
      </c>
      <c r="J1135">
        <v>0</v>
      </c>
      <c r="K1135" s="122"/>
      <c r="M1135">
        <v>0</v>
      </c>
      <c r="N1135" s="122">
        <v>8873</v>
      </c>
      <c r="O1135" s="122">
        <v>3286</v>
      </c>
      <c r="P1135" s="122">
        <v>1769</v>
      </c>
      <c r="Q1135">
        <v>655</v>
      </c>
      <c r="S1135">
        <v>0</v>
      </c>
      <c r="T1135" s="122">
        <v>7385</v>
      </c>
      <c r="U1135" s="122">
        <v>2735</v>
      </c>
      <c r="V1135" s="122">
        <v>6676</v>
      </c>
      <c r="W1135" s="122">
        <f t="shared" si="36"/>
        <v>6676</v>
      </c>
      <c r="X1135" s="122">
        <f t="shared" si="37"/>
        <v>18027</v>
      </c>
    </row>
    <row r="1136" spans="2:24">
      <c r="B1136" t="s">
        <v>461</v>
      </c>
      <c r="C1136" t="s">
        <v>60</v>
      </c>
      <c r="D1136" t="s">
        <v>137</v>
      </c>
      <c r="E1136" t="s">
        <v>137</v>
      </c>
      <c r="F1136">
        <v>594</v>
      </c>
      <c r="G1136" s="122">
        <v>35151</v>
      </c>
      <c r="H1136" s="122">
        <v>200127</v>
      </c>
      <c r="I1136" s="122">
        <v>6725374</v>
      </c>
      <c r="J1136" s="122">
        <v>2490879</v>
      </c>
      <c r="K1136" s="122">
        <v>100</v>
      </c>
      <c r="L1136" s="122">
        <v>846764</v>
      </c>
      <c r="M1136" s="122">
        <v>471350</v>
      </c>
      <c r="N1136" s="122">
        <v>727569</v>
      </c>
      <c r="O1136" s="122">
        <v>269470</v>
      </c>
      <c r="P1136" s="122">
        <v>10503</v>
      </c>
      <c r="Q1136" s="122">
        <v>3890</v>
      </c>
      <c r="R1136" s="122">
        <v>3542925</v>
      </c>
      <c r="S1136" s="122">
        <v>1312194</v>
      </c>
      <c r="T1136" s="122">
        <v>8960</v>
      </c>
      <c r="U1136" s="122">
        <v>3319</v>
      </c>
      <c r="V1136" s="122">
        <v>4551102</v>
      </c>
      <c r="W1136" s="122">
        <f t="shared" si="36"/>
        <v>4551102</v>
      </c>
      <c r="X1136" s="122">
        <f t="shared" si="37"/>
        <v>11862095</v>
      </c>
    </row>
    <row r="1137" spans="2:24">
      <c r="B1137" t="s">
        <v>461</v>
      </c>
      <c r="C1137" t="s">
        <v>60</v>
      </c>
      <c r="D1137" t="s">
        <v>406</v>
      </c>
      <c r="E1137" t="s">
        <v>137</v>
      </c>
      <c r="F1137">
        <v>1</v>
      </c>
      <c r="G1137" s="122">
        <v>112</v>
      </c>
      <c r="H1137" s="122">
        <v>367</v>
      </c>
      <c r="I1137" s="122">
        <v>32715</v>
      </c>
      <c r="J1137" s="122">
        <v>29741</v>
      </c>
      <c r="K1137" s="122">
        <v>85</v>
      </c>
      <c r="L1137">
        <v>0</v>
      </c>
      <c r="M1137">
        <v>0</v>
      </c>
      <c r="N1137" s="122">
        <v>2177</v>
      </c>
      <c r="O1137">
        <v>806</v>
      </c>
      <c r="P1137">
        <v>621</v>
      </c>
      <c r="Q1137">
        <v>230</v>
      </c>
      <c r="R1137" s="122">
        <v>5482</v>
      </c>
      <c r="S1137" s="122">
        <v>2030</v>
      </c>
      <c r="T1137">
        <v>0</v>
      </c>
      <c r="U1137">
        <v>0</v>
      </c>
      <c r="V1137" s="122">
        <v>32808</v>
      </c>
      <c r="W1137" s="122">
        <f t="shared" si="36"/>
        <v>32807</v>
      </c>
      <c r="X1137" s="122">
        <f t="shared" si="37"/>
        <v>40995</v>
      </c>
    </row>
    <row r="1138" spans="2:24">
      <c r="B1138" t="s">
        <v>461</v>
      </c>
      <c r="C1138" t="s">
        <v>60</v>
      </c>
      <c r="D1138" t="s">
        <v>406</v>
      </c>
      <c r="E1138" t="s">
        <v>406</v>
      </c>
      <c r="F1138">
        <v>14</v>
      </c>
      <c r="G1138" s="122">
        <v>1547</v>
      </c>
      <c r="H1138" s="122">
        <v>4728</v>
      </c>
      <c r="I1138" s="122">
        <v>307047</v>
      </c>
      <c r="J1138" s="122">
        <v>279134</v>
      </c>
      <c r="K1138" s="122">
        <v>74</v>
      </c>
      <c r="L1138" s="122">
        <v>77762</v>
      </c>
      <c r="M1138" s="122">
        <v>66836</v>
      </c>
      <c r="N1138" s="122">
        <v>31302</v>
      </c>
      <c r="O1138" s="122">
        <v>11593</v>
      </c>
      <c r="P1138" s="122">
        <v>8694</v>
      </c>
      <c r="Q1138" s="122">
        <v>3220</v>
      </c>
      <c r="R1138" s="122">
        <v>86552</v>
      </c>
      <c r="S1138" s="122">
        <v>78683</v>
      </c>
      <c r="T1138" s="122">
        <v>7711</v>
      </c>
      <c r="U1138" s="122">
        <v>2856</v>
      </c>
      <c r="V1138" s="122">
        <v>442322</v>
      </c>
      <c r="W1138" s="122">
        <f t="shared" si="36"/>
        <v>442322</v>
      </c>
      <c r="X1138" s="122">
        <f t="shared" si="37"/>
        <v>519068</v>
      </c>
    </row>
    <row r="1139" spans="2:24">
      <c r="B1139" t="s">
        <v>461</v>
      </c>
      <c r="C1139" t="s">
        <v>60</v>
      </c>
      <c r="D1139" t="s">
        <v>407</v>
      </c>
      <c r="E1139" t="s">
        <v>137</v>
      </c>
      <c r="F1139">
        <v>7</v>
      </c>
      <c r="G1139">
        <v>377</v>
      </c>
      <c r="H1139" s="122">
        <v>2490</v>
      </c>
      <c r="I1139" s="122">
        <v>74815</v>
      </c>
      <c r="J1139" s="122">
        <v>68014</v>
      </c>
      <c r="K1139">
        <v>81</v>
      </c>
      <c r="L1139" s="122">
        <v>8183</v>
      </c>
      <c r="M1139" s="122">
        <v>5521</v>
      </c>
      <c r="N1139" s="122">
        <v>7314</v>
      </c>
      <c r="O1139" s="122">
        <v>2709</v>
      </c>
      <c r="P1139" s="122">
        <v>2363</v>
      </c>
      <c r="Q1139">
        <v>875</v>
      </c>
      <c r="R1139" s="122">
        <v>41160</v>
      </c>
      <c r="S1139" s="122">
        <v>15244</v>
      </c>
      <c r="T1139">
        <v>0</v>
      </c>
      <c r="U1139">
        <v>0</v>
      </c>
      <c r="V1139" s="122">
        <v>92363</v>
      </c>
      <c r="W1139" s="122">
        <f t="shared" si="36"/>
        <v>92363</v>
      </c>
      <c r="X1139" s="122">
        <f t="shared" si="37"/>
        <v>133835</v>
      </c>
    </row>
    <row r="1140" spans="2:24">
      <c r="B1140" t="s">
        <v>461</v>
      </c>
      <c r="C1140" t="s">
        <v>60</v>
      </c>
      <c r="D1140" t="s">
        <v>407</v>
      </c>
      <c r="E1140" t="s">
        <v>407</v>
      </c>
      <c r="F1140">
        <v>242</v>
      </c>
      <c r="G1140" s="122">
        <v>15007</v>
      </c>
      <c r="H1140" s="122">
        <v>80985</v>
      </c>
      <c r="I1140" s="122">
        <v>2773703</v>
      </c>
      <c r="J1140" s="122">
        <v>2521548</v>
      </c>
      <c r="K1140">
        <v>80</v>
      </c>
      <c r="L1140" s="122">
        <v>675947</v>
      </c>
      <c r="M1140" s="122">
        <v>572051</v>
      </c>
      <c r="N1140" s="122">
        <v>323046</v>
      </c>
      <c r="O1140" s="122">
        <v>119647</v>
      </c>
      <c r="P1140" s="122">
        <v>113009</v>
      </c>
      <c r="Q1140" s="122">
        <v>41855</v>
      </c>
      <c r="R1140" s="122">
        <v>965034</v>
      </c>
      <c r="S1140" s="122">
        <v>877303</v>
      </c>
      <c r="T1140" s="122">
        <v>179756</v>
      </c>
      <c r="U1140" s="122">
        <v>66576</v>
      </c>
      <c r="V1140" s="122">
        <v>4198981</v>
      </c>
      <c r="W1140" s="122">
        <f t="shared" si="36"/>
        <v>4198980</v>
      </c>
      <c r="X1140" s="122">
        <f t="shared" si="37"/>
        <v>5030495</v>
      </c>
    </row>
    <row r="1141" spans="2:24">
      <c r="B1141" t="s">
        <v>461</v>
      </c>
      <c r="C1141" t="s">
        <v>60</v>
      </c>
      <c r="D1141" t="s">
        <v>556</v>
      </c>
      <c r="E1141" t="s">
        <v>556</v>
      </c>
      <c r="F1141">
        <v>1</v>
      </c>
      <c r="G1141">
        <v>82</v>
      </c>
      <c r="H1141">
        <v>330</v>
      </c>
      <c r="I1141" s="122">
        <v>13417</v>
      </c>
      <c r="J1141" s="122">
        <v>11181</v>
      </c>
      <c r="K1141">
        <v>55</v>
      </c>
      <c r="L1141" s="122">
        <v>2733</v>
      </c>
      <c r="M1141" s="122">
        <v>2278</v>
      </c>
      <c r="N1141" s="122">
        <v>1994</v>
      </c>
      <c r="O1141">
        <v>739</v>
      </c>
      <c r="P1141">
        <v>351</v>
      </c>
      <c r="Q1141">
        <v>130</v>
      </c>
      <c r="R1141" s="122">
        <v>5962</v>
      </c>
      <c r="S1141" s="122">
        <v>4969</v>
      </c>
      <c r="T1141" s="122">
        <v>2547</v>
      </c>
      <c r="U1141">
        <v>943</v>
      </c>
      <c r="V1141" s="122">
        <v>20239</v>
      </c>
      <c r="W1141" s="122">
        <f t="shared" si="36"/>
        <v>20240</v>
      </c>
      <c r="X1141" s="122">
        <f t="shared" si="37"/>
        <v>27004</v>
      </c>
    </row>
    <row r="1142" spans="2:24">
      <c r="B1142" t="s">
        <v>461</v>
      </c>
      <c r="C1142" t="s">
        <v>62</v>
      </c>
      <c r="F1142">
        <v>5</v>
      </c>
      <c r="G1142">
        <v>245</v>
      </c>
      <c r="H1142" s="122">
        <v>2057</v>
      </c>
      <c r="J1142">
        <v>0</v>
      </c>
      <c r="M1142">
        <v>0</v>
      </c>
      <c r="N1142" s="122">
        <v>5807</v>
      </c>
      <c r="O1142" s="122">
        <v>2151</v>
      </c>
      <c r="P1142" s="122">
        <v>1418</v>
      </c>
      <c r="Q1142">
        <v>525</v>
      </c>
      <c r="S1142">
        <v>0</v>
      </c>
      <c r="T1142" s="122">
        <v>1072</v>
      </c>
      <c r="U1142">
        <v>397</v>
      </c>
      <c r="V1142" s="122">
        <v>3073</v>
      </c>
      <c r="W1142" s="122">
        <f t="shared" si="36"/>
        <v>3073</v>
      </c>
      <c r="X1142" s="122">
        <f t="shared" si="37"/>
        <v>8297</v>
      </c>
    </row>
    <row r="1143" spans="2:24">
      <c r="B1143" t="s">
        <v>461</v>
      </c>
      <c r="C1143" t="s">
        <v>62</v>
      </c>
      <c r="D1143" t="s">
        <v>137</v>
      </c>
      <c r="E1143" t="s">
        <v>137</v>
      </c>
      <c r="F1143">
        <v>183</v>
      </c>
      <c r="G1143" s="122">
        <v>9845</v>
      </c>
      <c r="H1143" s="122">
        <v>76009</v>
      </c>
      <c r="I1143" s="122">
        <v>2467427</v>
      </c>
      <c r="J1143" s="122">
        <v>913862</v>
      </c>
      <c r="K1143">
        <v>100</v>
      </c>
      <c r="L1143" s="122">
        <v>332479</v>
      </c>
      <c r="M1143" s="122">
        <v>199908</v>
      </c>
      <c r="N1143" s="122">
        <v>205473</v>
      </c>
      <c r="O1143" s="122">
        <v>76101</v>
      </c>
      <c r="P1143" s="122">
        <v>3224</v>
      </c>
      <c r="Q1143" s="122">
        <v>1194</v>
      </c>
      <c r="R1143" s="122">
        <v>1088126</v>
      </c>
      <c r="S1143" s="122">
        <v>403009</v>
      </c>
      <c r="T1143" s="122">
        <v>1684</v>
      </c>
      <c r="U1143">
        <v>624</v>
      </c>
      <c r="V1143" s="122">
        <v>1594698</v>
      </c>
      <c r="W1143" s="122">
        <f t="shared" si="36"/>
        <v>1594698</v>
      </c>
      <c r="X1143" s="122">
        <f t="shared" si="37"/>
        <v>4098413</v>
      </c>
    </row>
    <row r="1144" spans="2:24">
      <c r="B1144" t="s">
        <v>461</v>
      </c>
      <c r="C1144" t="s">
        <v>62</v>
      </c>
      <c r="D1144" t="s">
        <v>406</v>
      </c>
      <c r="E1144" t="s">
        <v>406</v>
      </c>
      <c r="F1144">
        <v>4</v>
      </c>
      <c r="G1144">
        <v>536</v>
      </c>
      <c r="H1144" s="122">
        <v>1649</v>
      </c>
      <c r="I1144" s="122">
        <v>147596</v>
      </c>
      <c r="J1144" s="122">
        <v>134178</v>
      </c>
      <c r="K1144">
        <v>70</v>
      </c>
      <c r="L1144" s="122">
        <v>19890</v>
      </c>
      <c r="M1144" s="122">
        <v>18082</v>
      </c>
      <c r="N1144" s="122">
        <v>11560</v>
      </c>
      <c r="O1144" s="122">
        <v>4281</v>
      </c>
      <c r="P1144" s="122">
        <v>2484</v>
      </c>
      <c r="Q1144">
        <v>920</v>
      </c>
      <c r="R1144" s="122">
        <v>21856</v>
      </c>
      <c r="S1144" s="122">
        <v>19869</v>
      </c>
      <c r="T1144" s="122">
        <v>12782</v>
      </c>
      <c r="U1144" s="122">
        <v>4734</v>
      </c>
      <c r="V1144" s="122">
        <v>182064</v>
      </c>
      <c r="W1144" s="122">
        <f t="shared" si="36"/>
        <v>182064</v>
      </c>
      <c r="X1144" s="122">
        <f t="shared" si="37"/>
        <v>216168</v>
      </c>
    </row>
    <row r="1145" spans="2:24">
      <c r="B1145" t="s">
        <v>461</v>
      </c>
      <c r="C1145" t="s">
        <v>62</v>
      </c>
      <c r="D1145" t="s">
        <v>407</v>
      </c>
      <c r="E1145" t="s">
        <v>137</v>
      </c>
      <c r="F1145">
        <v>1</v>
      </c>
      <c r="G1145">
        <v>36</v>
      </c>
      <c r="H1145">
        <v>404</v>
      </c>
      <c r="I1145" s="122">
        <v>8816</v>
      </c>
      <c r="J1145" s="122">
        <v>8015</v>
      </c>
      <c r="K1145">
        <v>63</v>
      </c>
      <c r="L1145">
        <v>0</v>
      </c>
      <c r="M1145">
        <v>0</v>
      </c>
      <c r="N1145">
        <v>440</v>
      </c>
      <c r="O1145">
        <v>163</v>
      </c>
      <c r="P1145">
        <v>0</v>
      </c>
      <c r="Q1145">
        <v>0</v>
      </c>
      <c r="R1145" s="122">
        <v>5347</v>
      </c>
      <c r="S1145" s="122">
        <v>1981</v>
      </c>
      <c r="T1145">
        <v>0</v>
      </c>
      <c r="U1145">
        <v>0</v>
      </c>
      <c r="V1145" s="122">
        <v>10158</v>
      </c>
      <c r="W1145" s="122">
        <f t="shared" si="36"/>
        <v>10159</v>
      </c>
      <c r="X1145" s="122">
        <f t="shared" si="37"/>
        <v>14603</v>
      </c>
    </row>
    <row r="1146" spans="2:24">
      <c r="B1146" t="s">
        <v>461</v>
      </c>
      <c r="C1146" t="s">
        <v>62</v>
      </c>
      <c r="D1146" t="s">
        <v>407</v>
      </c>
      <c r="E1146" t="s">
        <v>407</v>
      </c>
      <c r="F1146">
        <v>114</v>
      </c>
      <c r="G1146" s="122">
        <v>7171</v>
      </c>
      <c r="H1146" s="122">
        <v>46905</v>
      </c>
      <c r="I1146" s="122">
        <v>1748627</v>
      </c>
      <c r="J1146" s="122">
        <v>1589661</v>
      </c>
      <c r="K1146">
        <v>76</v>
      </c>
      <c r="L1146" s="122">
        <v>423625</v>
      </c>
      <c r="M1146" s="122">
        <v>369284</v>
      </c>
      <c r="N1146" s="122">
        <v>151687</v>
      </c>
      <c r="O1146" s="122">
        <v>56181</v>
      </c>
      <c r="P1146" s="122">
        <v>54751</v>
      </c>
      <c r="Q1146" s="122">
        <v>20278</v>
      </c>
      <c r="R1146" s="122">
        <v>478664</v>
      </c>
      <c r="S1146" s="122">
        <v>435149</v>
      </c>
      <c r="T1146" s="122">
        <v>105042</v>
      </c>
      <c r="U1146" s="122">
        <v>38904</v>
      </c>
      <c r="V1146" s="122">
        <v>2509457</v>
      </c>
      <c r="W1146" s="122">
        <f t="shared" si="36"/>
        <v>2509457</v>
      </c>
      <c r="X1146" s="122">
        <f t="shared" si="37"/>
        <v>2962396</v>
      </c>
    </row>
    <row r="1147" spans="2:24">
      <c r="B1147" t="s">
        <v>461</v>
      </c>
      <c r="C1147" t="s">
        <v>62</v>
      </c>
      <c r="D1147" t="s">
        <v>426</v>
      </c>
      <c r="E1147" t="s">
        <v>137</v>
      </c>
      <c r="F1147">
        <v>1</v>
      </c>
      <c r="G1147">
        <v>41</v>
      </c>
      <c r="H1147">
        <v>450</v>
      </c>
      <c r="I1147" s="122">
        <v>6033</v>
      </c>
      <c r="J1147" s="122">
        <v>5485</v>
      </c>
      <c r="K1147">
        <v>50</v>
      </c>
      <c r="L1147" s="122">
        <v>1117</v>
      </c>
      <c r="M1147" s="122">
        <v>1016</v>
      </c>
      <c r="N1147">
        <v>503</v>
      </c>
      <c r="O1147">
        <v>186</v>
      </c>
      <c r="P1147">
        <v>0</v>
      </c>
      <c r="Q1147">
        <v>0</v>
      </c>
      <c r="R1147" s="122">
        <v>10900</v>
      </c>
      <c r="S1147" s="122">
        <v>4037</v>
      </c>
      <c r="T1147">
        <v>0</v>
      </c>
      <c r="U1147">
        <v>0</v>
      </c>
      <c r="V1147" s="122">
        <v>10723</v>
      </c>
      <c r="W1147" s="122">
        <f t="shared" si="36"/>
        <v>10724</v>
      </c>
      <c r="X1147" s="122">
        <f t="shared" si="37"/>
        <v>18553</v>
      </c>
    </row>
    <row r="1148" spans="2:24">
      <c r="B1148" t="s">
        <v>461</v>
      </c>
      <c r="C1148" t="s">
        <v>64</v>
      </c>
      <c r="F1148">
        <v>5</v>
      </c>
      <c r="G1148">
        <v>340</v>
      </c>
      <c r="H1148" s="122">
        <v>2993</v>
      </c>
      <c r="J1148">
        <v>0</v>
      </c>
      <c r="M1148">
        <v>0</v>
      </c>
      <c r="N1148" s="122">
        <v>7666</v>
      </c>
      <c r="O1148" s="122">
        <v>2839</v>
      </c>
      <c r="P1148">
        <v>473</v>
      </c>
      <c r="Q1148">
        <v>175</v>
      </c>
      <c r="S1148">
        <v>0</v>
      </c>
      <c r="T1148" s="122">
        <v>6261</v>
      </c>
      <c r="U1148" s="122">
        <v>2319</v>
      </c>
      <c r="V1148" s="122">
        <v>5333</v>
      </c>
      <c r="W1148" s="122">
        <f t="shared" si="36"/>
        <v>5333</v>
      </c>
      <c r="X1148" s="122">
        <f t="shared" si="37"/>
        <v>14400</v>
      </c>
    </row>
    <row r="1149" spans="2:24">
      <c r="B1149" t="s">
        <v>461</v>
      </c>
      <c r="C1149" t="s">
        <v>64</v>
      </c>
      <c r="D1149" t="s">
        <v>137</v>
      </c>
      <c r="E1149" t="s">
        <v>137</v>
      </c>
      <c r="F1149">
        <v>169</v>
      </c>
      <c r="G1149" s="122">
        <v>8892</v>
      </c>
      <c r="H1149" s="122">
        <v>105140</v>
      </c>
      <c r="I1149" s="122">
        <v>3816032</v>
      </c>
      <c r="J1149" s="122">
        <v>1413345</v>
      </c>
      <c r="K1149">
        <v>100</v>
      </c>
      <c r="L1149" s="122">
        <v>500041</v>
      </c>
      <c r="M1149" s="122">
        <v>307403</v>
      </c>
      <c r="N1149" s="122">
        <v>192690</v>
      </c>
      <c r="O1149" s="122">
        <v>71367</v>
      </c>
      <c r="P1149" s="122">
        <v>2331</v>
      </c>
      <c r="Q1149">
        <v>863</v>
      </c>
      <c r="R1149" s="122">
        <v>994340</v>
      </c>
      <c r="S1149" s="122">
        <v>368274</v>
      </c>
      <c r="T1149" s="122">
        <v>1278</v>
      </c>
      <c r="U1149">
        <v>473</v>
      </c>
      <c r="V1149" s="122">
        <v>2161726</v>
      </c>
      <c r="W1149" s="122">
        <f t="shared" si="36"/>
        <v>2161725</v>
      </c>
      <c r="X1149" s="122">
        <f t="shared" si="37"/>
        <v>5506712</v>
      </c>
    </row>
    <row r="1150" spans="2:24">
      <c r="B1150" t="s">
        <v>461</v>
      </c>
      <c r="C1150" t="s">
        <v>64</v>
      </c>
      <c r="D1150" t="s">
        <v>137</v>
      </c>
      <c r="E1150" t="s">
        <v>407</v>
      </c>
      <c r="F1150">
        <v>1</v>
      </c>
      <c r="G1150">
        <v>55</v>
      </c>
      <c r="H1150">
        <v>606</v>
      </c>
      <c r="I1150" s="122">
        <v>29666</v>
      </c>
      <c r="J1150" s="122">
        <v>10987</v>
      </c>
      <c r="K1150">
        <v>100</v>
      </c>
      <c r="L1150">
        <v>0</v>
      </c>
      <c r="M1150">
        <v>0</v>
      </c>
      <c r="N1150">
        <v>918</v>
      </c>
      <c r="O1150">
        <v>340</v>
      </c>
      <c r="P1150">
        <v>122</v>
      </c>
      <c r="Q1150">
        <v>45</v>
      </c>
      <c r="R1150" s="122">
        <v>2609</v>
      </c>
      <c r="S1150" s="122">
        <v>2372</v>
      </c>
      <c r="T1150">
        <v>0</v>
      </c>
      <c r="U1150">
        <v>0</v>
      </c>
      <c r="V1150" s="122">
        <v>13745</v>
      </c>
      <c r="W1150" s="122">
        <f t="shared" si="36"/>
        <v>13744</v>
      </c>
      <c r="X1150" s="122">
        <f t="shared" si="37"/>
        <v>33315</v>
      </c>
    </row>
    <row r="1151" spans="2:24">
      <c r="B1151" t="s">
        <v>461</v>
      </c>
      <c r="C1151" t="s">
        <v>64</v>
      </c>
      <c r="D1151" t="s">
        <v>406</v>
      </c>
      <c r="E1151" t="s">
        <v>137</v>
      </c>
      <c r="F1151">
        <v>1</v>
      </c>
      <c r="G1151">
        <v>74</v>
      </c>
      <c r="H1151">
        <v>557</v>
      </c>
      <c r="I1151" s="122">
        <v>27858</v>
      </c>
      <c r="J1151" s="122">
        <v>25325</v>
      </c>
      <c r="K1151">
        <v>65</v>
      </c>
      <c r="L1151" s="122">
        <v>6956</v>
      </c>
      <c r="M1151" s="122">
        <v>5797</v>
      </c>
      <c r="N1151" s="122">
        <v>1306</v>
      </c>
      <c r="O1151">
        <v>484</v>
      </c>
      <c r="P1151">
        <v>621</v>
      </c>
      <c r="Q1151">
        <v>230</v>
      </c>
      <c r="R1151" s="122">
        <v>4442</v>
      </c>
      <c r="S1151" s="122">
        <v>1645</v>
      </c>
      <c r="T1151">
        <v>0</v>
      </c>
      <c r="U1151">
        <v>0</v>
      </c>
      <c r="V1151" s="122">
        <v>33481</v>
      </c>
      <c r="W1151" s="122">
        <f t="shared" si="36"/>
        <v>33481</v>
      </c>
      <c r="X1151" s="122">
        <f t="shared" si="37"/>
        <v>41183</v>
      </c>
    </row>
    <row r="1152" spans="2:24">
      <c r="B1152" t="s">
        <v>461</v>
      </c>
      <c r="C1152" t="s">
        <v>64</v>
      </c>
      <c r="D1152" t="s">
        <v>406</v>
      </c>
      <c r="E1152" t="s">
        <v>406</v>
      </c>
      <c r="F1152">
        <v>10</v>
      </c>
      <c r="G1152" s="122">
        <v>1009</v>
      </c>
      <c r="H1152" s="122">
        <v>5447</v>
      </c>
      <c r="I1152" s="122">
        <v>356101</v>
      </c>
      <c r="J1152" s="122">
        <v>323728</v>
      </c>
      <c r="K1152">
        <v>70</v>
      </c>
      <c r="L1152" s="122">
        <v>88414</v>
      </c>
      <c r="M1152" s="122">
        <v>74883</v>
      </c>
      <c r="N1152" s="122">
        <v>22023</v>
      </c>
      <c r="O1152" s="122">
        <v>8157</v>
      </c>
      <c r="P1152" s="122">
        <v>6210</v>
      </c>
      <c r="Q1152" s="122">
        <v>2300</v>
      </c>
      <c r="R1152" s="122">
        <v>47939</v>
      </c>
      <c r="S1152" s="122">
        <v>43581</v>
      </c>
      <c r="T1152" s="122">
        <v>22455</v>
      </c>
      <c r="U1152" s="122">
        <v>8317</v>
      </c>
      <c r="V1152" s="122">
        <v>460966</v>
      </c>
      <c r="W1152" s="122">
        <f t="shared" si="36"/>
        <v>460966</v>
      </c>
      <c r="X1152" s="122">
        <f t="shared" si="37"/>
        <v>543142</v>
      </c>
    </row>
    <row r="1153" spans="2:24">
      <c r="B1153" t="s">
        <v>461</v>
      </c>
      <c r="C1153" t="s">
        <v>64</v>
      </c>
      <c r="D1153" t="s">
        <v>427</v>
      </c>
      <c r="E1153" t="s">
        <v>427</v>
      </c>
      <c r="F1153">
        <v>1</v>
      </c>
      <c r="G1153">
        <v>150</v>
      </c>
      <c r="H1153">
        <v>746</v>
      </c>
      <c r="I1153" s="122">
        <v>82988</v>
      </c>
      <c r="J1153" s="122">
        <v>75443</v>
      </c>
      <c r="K1153">
        <v>55</v>
      </c>
      <c r="L1153" s="122">
        <v>16905</v>
      </c>
      <c r="M1153" s="122">
        <v>15368</v>
      </c>
      <c r="N1153" s="122">
        <v>3660</v>
      </c>
      <c r="O1153" s="122">
        <v>1355</v>
      </c>
      <c r="P1153">
        <v>351</v>
      </c>
      <c r="Q1153">
        <v>130</v>
      </c>
      <c r="R1153" s="122">
        <v>5509</v>
      </c>
      <c r="S1153" s="122">
        <v>5008</v>
      </c>
      <c r="T1153" s="122">
        <v>2576</v>
      </c>
      <c r="U1153">
        <v>954</v>
      </c>
      <c r="V1153" s="122">
        <v>98259</v>
      </c>
      <c r="W1153" s="122">
        <f t="shared" si="36"/>
        <v>98258</v>
      </c>
      <c r="X1153" s="122">
        <f t="shared" si="37"/>
        <v>111989</v>
      </c>
    </row>
    <row r="1154" spans="2:24">
      <c r="B1154" t="s">
        <v>461</v>
      </c>
      <c r="C1154" t="s">
        <v>64</v>
      </c>
      <c r="D1154" t="s">
        <v>407</v>
      </c>
      <c r="E1154" t="s">
        <v>137</v>
      </c>
      <c r="F1154">
        <v>3</v>
      </c>
      <c r="G1154">
        <v>128</v>
      </c>
      <c r="H1154" s="122">
        <v>1525</v>
      </c>
      <c r="I1154" s="122">
        <v>50404</v>
      </c>
      <c r="J1154" s="122">
        <v>45822</v>
      </c>
      <c r="K1154">
        <v>73</v>
      </c>
      <c r="L1154" s="122">
        <v>2596</v>
      </c>
      <c r="M1154" s="122">
        <v>2360</v>
      </c>
      <c r="N1154" s="122">
        <v>2968</v>
      </c>
      <c r="O1154" s="122">
        <v>1099</v>
      </c>
      <c r="P1154" s="122">
        <v>1296</v>
      </c>
      <c r="Q1154">
        <v>480</v>
      </c>
      <c r="R1154" s="122">
        <v>14344</v>
      </c>
      <c r="S1154" s="122">
        <v>5313</v>
      </c>
      <c r="T1154">
        <v>0</v>
      </c>
      <c r="U1154">
        <v>0</v>
      </c>
      <c r="V1154" s="122">
        <v>55074</v>
      </c>
      <c r="W1154" s="122">
        <f t="shared" si="36"/>
        <v>55074</v>
      </c>
      <c r="X1154" s="122">
        <f t="shared" si="37"/>
        <v>71608</v>
      </c>
    </row>
    <row r="1155" spans="2:24">
      <c r="B1155" t="s">
        <v>461</v>
      </c>
      <c r="C1155" t="s">
        <v>64</v>
      </c>
      <c r="D1155" t="s">
        <v>407</v>
      </c>
      <c r="E1155" t="s">
        <v>407</v>
      </c>
      <c r="F1155">
        <v>50</v>
      </c>
      <c r="G1155" s="122">
        <v>3411</v>
      </c>
      <c r="H1155" s="122">
        <v>25869</v>
      </c>
      <c r="I1155" s="122">
        <v>1098272</v>
      </c>
      <c r="J1155" s="122">
        <v>998429</v>
      </c>
      <c r="K1155">
        <v>74</v>
      </c>
      <c r="L1155" s="122">
        <v>289666</v>
      </c>
      <c r="M1155" s="122">
        <v>245422</v>
      </c>
      <c r="N1155" s="122">
        <v>74435</v>
      </c>
      <c r="O1155" s="122">
        <v>27568</v>
      </c>
      <c r="P1155" s="122">
        <v>23261</v>
      </c>
      <c r="Q1155" s="122">
        <v>8615</v>
      </c>
      <c r="R1155" s="122">
        <v>198982</v>
      </c>
      <c r="S1155" s="122">
        <v>180893</v>
      </c>
      <c r="T1155" s="122">
        <v>65775</v>
      </c>
      <c r="U1155" s="122">
        <v>24361</v>
      </c>
      <c r="V1155" s="122">
        <v>1485288</v>
      </c>
      <c r="W1155" s="122">
        <f t="shared" si="36"/>
        <v>1485288</v>
      </c>
      <c r="X1155" s="122">
        <f t="shared" si="37"/>
        <v>1750391</v>
      </c>
    </row>
    <row r="1156" spans="2:24">
      <c r="B1156" t="s">
        <v>461</v>
      </c>
      <c r="C1156" t="s">
        <v>64</v>
      </c>
      <c r="D1156" t="s">
        <v>556</v>
      </c>
      <c r="E1156" t="s">
        <v>137</v>
      </c>
      <c r="F1156">
        <v>2</v>
      </c>
      <c r="G1156">
        <v>99</v>
      </c>
      <c r="H1156" s="122">
        <v>1444</v>
      </c>
      <c r="I1156" s="122">
        <v>46559</v>
      </c>
      <c r="J1156" s="122">
        <v>38799</v>
      </c>
      <c r="K1156">
        <v>60</v>
      </c>
      <c r="L1156" s="122">
        <v>11229</v>
      </c>
      <c r="M1156" s="122">
        <v>4159</v>
      </c>
      <c r="N1156" s="122">
        <v>2402</v>
      </c>
      <c r="O1156">
        <v>890</v>
      </c>
      <c r="P1156">
        <v>0</v>
      </c>
      <c r="Q1156">
        <v>0</v>
      </c>
      <c r="R1156" s="122">
        <v>10928</v>
      </c>
      <c r="S1156" s="122">
        <v>4047</v>
      </c>
      <c r="T1156">
        <v>0</v>
      </c>
      <c r="U1156">
        <v>0</v>
      </c>
      <c r="V1156" s="122">
        <v>47895</v>
      </c>
      <c r="W1156" s="122">
        <f t="shared" si="36"/>
        <v>47895</v>
      </c>
      <c r="X1156" s="122">
        <f t="shared" si="37"/>
        <v>71118</v>
      </c>
    </row>
    <row r="1157" spans="2:24">
      <c r="B1157" t="s">
        <v>461</v>
      </c>
      <c r="C1157" t="s">
        <v>64</v>
      </c>
      <c r="D1157" t="s">
        <v>556</v>
      </c>
      <c r="E1157" t="s">
        <v>556</v>
      </c>
      <c r="F1157">
        <v>1</v>
      </c>
      <c r="G1157">
        <v>50</v>
      </c>
      <c r="H1157">
        <v>589</v>
      </c>
      <c r="I1157" s="122">
        <v>19030</v>
      </c>
      <c r="J1157" s="122">
        <v>15858</v>
      </c>
      <c r="K1157">
        <v>55</v>
      </c>
      <c r="L1157" s="122">
        <v>3876</v>
      </c>
      <c r="M1157" s="122">
        <v>3230</v>
      </c>
      <c r="N1157" s="122">
        <v>1214</v>
      </c>
      <c r="O1157">
        <v>449</v>
      </c>
      <c r="P1157">
        <v>0</v>
      </c>
      <c r="Q1157">
        <v>0</v>
      </c>
      <c r="R1157" s="122">
        <v>3913</v>
      </c>
      <c r="S1157" s="122">
        <v>3261</v>
      </c>
      <c r="T1157" s="122">
        <v>1298</v>
      </c>
      <c r="U1157">
        <v>481</v>
      </c>
      <c r="V1157" s="122">
        <v>23280</v>
      </c>
      <c r="W1157" s="122">
        <f t="shared" si="36"/>
        <v>23279</v>
      </c>
      <c r="X1157" s="122">
        <f t="shared" si="37"/>
        <v>29331</v>
      </c>
    </row>
    <row r="1158" spans="2:24">
      <c r="B1158" t="s">
        <v>461</v>
      </c>
      <c r="C1158" t="s">
        <v>64</v>
      </c>
      <c r="D1158" t="s">
        <v>426</v>
      </c>
      <c r="E1158" t="s">
        <v>137</v>
      </c>
      <c r="F1158">
        <v>5</v>
      </c>
      <c r="G1158">
        <v>257</v>
      </c>
      <c r="H1158" s="122">
        <v>3142</v>
      </c>
      <c r="I1158" s="122">
        <v>121843</v>
      </c>
      <c r="J1158" s="122">
        <v>110766</v>
      </c>
      <c r="K1158">
        <v>30</v>
      </c>
      <c r="L1158" s="122">
        <v>5798</v>
      </c>
      <c r="M1158" s="122">
        <v>2147</v>
      </c>
      <c r="N1158" s="122">
        <v>4952</v>
      </c>
      <c r="O1158" s="122">
        <v>1834</v>
      </c>
      <c r="P1158">
        <v>0</v>
      </c>
      <c r="Q1158">
        <v>0</v>
      </c>
      <c r="R1158" s="122">
        <v>26923</v>
      </c>
      <c r="S1158" s="122">
        <v>9972</v>
      </c>
      <c r="T1158" s="122">
        <v>2113</v>
      </c>
      <c r="U1158">
        <v>783</v>
      </c>
      <c r="V1158" s="122">
        <v>125502</v>
      </c>
      <c r="W1158" s="122">
        <f t="shared" si="36"/>
        <v>125502</v>
      </c>
      <c r="X1158" s="122">
        <f t="shared" si="37"/>
        <v>161629</v>
      </c>
    </row>
    <row r="1159" spans="2:24">
      <c r="B1159" t="s">
        <v>462</v>
      </c>
      <c r="C1159" t="s">
        <v>48</v>
      </c>
      <c r="F1159">
        <v>2</v>
      </c>
      <c r="G1159">
        <v>122</v>
      </c>
      <c r="H1159">
        <v>137</v>
      </c>
      <c r="J1159">
        <v>0</v>
      </c>
      <c r="M1159">
        <v>0</v>
      </c>
      <c r="N1159" s="122">
        <v>1485</v>
      </c>
      <c r="O1159">
        <v>550</v>
      </c>
      <c r="P1159" s="122">
        <v>1022</v>
      </c>
      <c r="Q1159">
        <v>378</v>
      </c>
      <c r="S1159">
        <v>0</v>
      </c>
      <c r="T1159">
        <v>0</v>
      </c>
      <c r="U1159">
        <v>0</v>
      </c>
      <c r="V1159">
        <v>928</v>
      </c>
      <c r="W1159" s="122">
        <f t="shared" si="36"/>
        <v>928</v>
      </c>
      <c r="X1159" s="122">
        <f t="shared" si="37"/>
        <v>2507</v>
      </c>
    </row>
    <row r="1160" spans="2:24">
      <c r="B1160" t="s">
        <v>462</v>
      </c>
      <c r="C1160" t="s">
        <v>48</v>
      </c>
      <c r="D1160" t="s">
        <v>137</v>
      </c>
      <c r="E1160" t="s">
        <v>137</v>
      </c>
      <c r="F1160">
        <v>44</v>
      </c>
      <c r="G1160" s="122">
        <v>3438</v>
      </c>
      <c r="H1160" s="122">
        <v>2505</v>
      </c>
      <c r="I1160" s="122">
        <v>-25169</v>
      </c>
      <c r="J1160" s="122">
        <v>-9322</v>
      </c>
      <c r="K1160">
        <v>558</v>
      </c>
      <c r="L1160">
        <v>0</v>
      </c>
      <c r="M1160">
        <v>0</v>
      </c>
      <c r="N1160" s="122">
        <v>42854</v>
      </c>
      <c r="O1160" s="122">
        <v>15872</v>
      </c>
      <c r="P1160" s="122">
        <v>26660</v>
      </c>
      <c r="Q1160" s="122">
        <v>9874</v>
      </c>
      <c r="R1160" s="122">
        <v>153950</v>
      </c>
      <c r="S1160" s="122">
        <v>57018</v>
      </c>
      <c r="T1160">
        <v>0</v>
      </c>
      <c r="U1160">
        <v>0</v>
      </c>
      <c r="V1160" s="122">
        <v>73443</v>
      </c>
      <c r="W1160" s="122">
        <f t="shared" si="36"/>
        <v>92086</v>
      </c>
      <c r="X1160" s="122">
        <f t="shared" si="37"/>
        <v>248633</v>
      </c>
    </row>
    <row r="1161" spans="2:24">
      <c r="B1161" t="s">
        <v>462</v>
      </c>
      <c r="C1161" t="s">
        <v>48</v>
      </c>
      <c r="D1161" t="s">
        <v>407</v>
      </c>
      <c r="E1161" t="s">
        <v>407</v>
      </c>
      <c r="F1161">
        <v>9</v>
      </c>
      <c r="G1161">
        <v>671</v>
      </c>
      <c r="H1161">
        <v>525</v>
      </c>
      <c r="I1161" s="122">
        <v>-2683</v>
      </c>
      <c r="J1161" s="122">
        <v>-2439</v>
      </c>
      <c r="K1161">
        <v>92</v>
      </c>
      <c r="L1161">
        <v>129</v>
      </c>
      <c r="M1161">
        <v>117</v>
      </c>
      <c r="N1161" s="122">
        <v>8178</v>
      </c>
      <c r="O1161" s="122">
        <v>3029</v>
      </c>
      <c r="P1161" s="122">
        <v>8731</v>
      </c>
      <c r="Q1161" s="122">
        <v>3234</v>
      </c>
      <c r="R1161" s="122">
        <v>24759</v>
      </c>
      <c r="S1161" s="122">
        <v>22508</v>
      </c>
      <c r="T1161">
        <v>0</v>
      </c>
      <c r="U1161">
        <v>0</v>
      </c>
      <c r="V1161" s="122">
        <v>26449</v>
      </c>
      <c r="W1161" s="122">
        <f t="shared" si="36"/>
        <v>31327</v>
      </c>
      <c r="X1161" s="122">
        <f t="shared" si="37"/>
        <v>44480</v>
      </c>
    </row>
    <row r="1162" spans="2:24">
      <c r="B1162" t="s">
        <v>462</v>
      </c>
      <c r="C1162" t="s">
        <v>50</v>
      </c>
      <c r="F1162">
        <v>6</v>
      </c>
      <c r="G1162">
        <v>471</v>
      </c>
      <c r="H1162">
        <v>555</v>
      </c>
      <c r="J1162">
        <v>0</v>
      </c>
      <c r="M1162">
        <v>0</v>
      </c>
      <c r="N1162" s="122">
        <v>7342</v>
      </c>
      <c r="O1162" s="122">
        <v>2719</v>
      </c>
      <c r="P1162">
        <v>0</v>
      </c>
      <c r="Q1162">
        <v>0</v>
      </c>
      <c r="S1162">
        <v>0</v>
      </c>
      <c r="T1162">
        <v>0</v>
      </c>
      <c r="U1162">
        <v>0</v>
      </c>
      <c r="V1162" s="122">
        <v>2719</v>
      </c>
      <c r="W1162" s="122">
        <f t="shared" si="36"/>
        <v>2719</v>
      </c>
      <c r="X1162" s="122">
        <f t="shared" si="37"/>
        <v>7342</v>
      </c>
    </row>
    <row r="1163" spans="2:24">
      <c r="B1163" t="s">
        <v>462</v>
      </c>
      <c r="C1163" t="s">
        <v>50</v>
      </c>
      <c r="D1163" t="s">
        <v>405</v>
      </c>
      <c r="E1163" t="s">
        <v>405</v>
      </c>
      <c r="F1163">
        <v>2</v>
      </c>
      <c r="G1163">
        <v>269</v>
      </c>
      <c r="H1163">
        <v>177</v>
      </c>
      <c r="I1163" s="122">
        <v>11395</v>
      </c>
      <c r="J1163" s="122">
        <v>10359</v>
      </c>
      <c r="K1163">
        <v>87</v>
      </c>
      <c r="L1163">
        <v>0</v>
      </c>
      <c r="M1163">
        <v>0</v>
      </c>
      <c r="N1163" s="122">
        <v>4310</v>
      </c>
      <c r="O1163" s="122">
        <v>1596</v>
      </c>
      <c r="P1163">
        <v>945</v>
      </c>
      <c r="Q1163">
        <v>350</v>
      </c>
      <c r="R1163" s="122">
        <v>8586</v>
      </c>
      <c r="S1163" s="122">
        <v>7805</v>
      </c>
      <c r="T1163">
        <v>0</v>
      </c>
      <c r="U1163">
        <v>0</v>
      </c>
      <c r="V1163" s="122">
        <v>20111</v>
      </c>
      <c r="W1163" s="122">
        <f t="shared" si="36"/>
        <v>20110</v>
      </c>
      <c r="X1163" s="122">
        <f t="shared" si="37"/>
        <v>25236</v>
      </c>
    </row>
    <row r="1164" spans="2:24">
      <c r="B1164" t="s">
        <v>462</v>
      </c>
      <c r="C1164" t="s">
        <v>50</v>
      </c>
      <c r="D1164" t="s">
        <v>137</v>
      </c>
      <c r="E1164" t="s">
        <v>137</v>
      </c>
      <c r="F1164">
        <v>2</v>
      </c>
      <c r="G1164">
        <v>179</v>
      </c>
      <c r="H1164">
        <v>157</v>
      </c>
      <c r="I1164" s="122">
        <v>3208</v>
      </c>
      <c r="J1164" s="122">
        <v>1188</v>
      </c>
      <c r="K1164">
        <v>483</v>
      </c>
      <c r="L1164">
        <v>0</v>
      </c>
      <c r="M1164">
        <v>0</v>
      </c>
      <c r="N1164" s="122">
        <v>2185</v>
      </c>
      <c r="O1164">
        <v>809</v>
      </c>
      <c r="P1164" s="122">
        <v>2149</v>
      </c>
      <c r="Q1164">
        <v>796</v>
      </c>
      <c r="R1164" s="122">
        <v>6475</v>
      </c>
      <c r="S1164" s="122">
        <v>2398</v>
      </c>
      <c r="T1164">
        <v>0</v>
      </c>
      <c r="U1164">
        <v>0</v>
      </c>
      <c r="V1164" s="122">
        <v>5191</v>
      </c>
      <c r="W1164" s="122">
        <f t="shared" si="36"/>
        <v>5191</v>
      </c>
      <c r="X1164" s="122">
        <f t="shared" si="37"/>
        <v>14017</v>
      </c>
    </row>
    <row r="1165" spans="2:24">
      <c r="B1165" t="s">
        <v>462</v>
      </c>
      <c r="C1165" t="s">
        <v>50</v>
      </c>
      <c r="D1165" t="s">
        <v>406</v>
      </c>
      <c r="E1165" t="s">
        <v>406</v>
      </c>
      <c r="F1165">
        <v>1</v>
      </c>
      <c r="G1165">
        <v>160</v>
      </c>
      <c r="H1165">
        <v>94</v>
      </c>
      <c r="I1165" s="122">
        <v>2928</v>
      </c>
      <c r="J1165" s="122">
        <v>2662</v>
      </c>
      <c r="K1165">
        <v>94</v>
      </c>
      <c r="L1165">
        <v>503</v>
      </c>
      <c r="M1165">
        <v>457</v>
      </c>
      <c r="N1165" s="122">
        <v>3907</v>
      </c>
      <c r="O1165" s="122">
        <v>1447</v>
      </c>
      <c r="P1165" s="122">
        <v>1973</v>
      </c>
      <c r="Q1165">
        <v>731</v>
      </c>
      <c r="R1165" s="122">
        <v>5806</v>
      </c>
      <c r="S1165" s="122">
        <v>5278</v>
      </c>
      <c r="T1165">
        <v>0</v>
      </c>
      <c r="U1165">
        <v>0</v>
      </c>
      <c r="V1165" s="122">
        <v>10576</v>
      </c>
      <c r="W1165" s="122">
        <f t="shared" si="36"/>
        <v>10575</v>
      </c>
      <c r="X1165" s="122">
        <f t="shared" si="37"/>
        <v>15117</v>
      </c>
    </row>
    <row r="1166" spans="2:24">
      <c r="B1166" t="s">
        <v>462</v>
      </c>
      <c r="C1166" t="s">
        <v>50</v>
      </c>
      <c r="D1166" t="s">
        <v>407</v>
      </c>
      <c r="E1166" t="s">
        <v>407</v>
      </c>
      <c r="F1166">
        <v>7</v>
      </c>
      <c r="G1166">
        <v>688</v>
      </c>
      <c r="H1166">
        <v>658</v>
      </c>
      <c r="I1166" s="122">
        <v>24301</v>
      </c>
      <c r="J1166" s="122">
        <v>22091</v>
      </c>
      <c r="K1166">
        <v>88</v>
      </c>
      <c r="L1166">
        <v>206</v>
      </c>
      <c r="M1166">
        <v>187</v>
      </c>
      <c r="N1166" s="122">
        <v>11359</v>
      </c>
      <c r="O1166" s="122">
        <v>4207</v>
      </c>
      <c r="P1166" s="122">
        <v>3794</v>
      </c>
      <c r="Q1166" s="122">
        <v>1405</v>
      </c>
      <c r="R1166" s="122">
        <v>25104</v>
      </c>
      <c r="S1166" s="122">
        <v>22822</v>
      </c>
      <c r="T1166">
        <v>0</v>
      </c>
      <c r="U1166">
        <v>0</v>
      </c>
      <c r="V1166" s="122">
        <v>50712</v>
      </c>
      <c r="W1166" s="122">
        <f t="shared" si="36"/>
        <v>50712</v>
      </c>
      <c r="X1166" s="122">
        <f t="shared" si="37"/>
        <v>64764</v>
      </c>
    </row>
    <row r="1167" spans="2:24">
      <c r="B1167" t="s">
        <v>462</v>
      </c>
      <c r="C1167" t="s">
        <v>52</v>
      </c>
      <c r="F1167">
        <v>5</v>
      </c>
      <c r="G1167">
        <v>381</v>
      </c>
      <c r="H1167">
        <v>565</v>
      </c>
      <c r="J1167">
        <v>0</v>
      </c>
      <c r="M1167">
        <v>0</v>
      </c>
      <c r="N1167" s="122">
        <v>6131</v>
      </c>
      <c r="O1167" s="122">
        <v>2271</v>
      </c>
      <c r="P1167">
        <v>0</v>
      </c>
      <c r="Q1167">
        <v>0</v>
      </c>
      <c r="S1167">
        <v>0</v>
      </c>
      <c r="T1167">
        <v>0</v>
      </c>
      <c r="U1167">
        <v>0</v>
      </c>
      <c r="V1167" s="122">
        <v>2271</v>
      </c>
      <c r="W1167" s="122">
        <f t="shared" si="36"/>
        <v>2271</v>
      </c>
      <c r="X1167" s="122">
        <f t="shared" si="37"/>
        <v>6131</v>
      </c>
    </row>
    <row r="1168" spans="2:24">
      <c r="B1168" t="s">
        <v>462</v>
      </c>
      <c r="C1168" t="s">
        <v>52</v>
      </c>
      <c r="D1168" t="s">
        <v>405</v>
      </c>
      <c r="E1168" t="s">
        <v>405</v>
      </c>
      <c r="F1168">
        <v>2</v>
      </c>
      <c r="G1168">
        <v>151</v>
      </c>
      <c r="H1168">
        <v>240</v>
      </c>
      <c r="I1168" s="122">
        <v>8767</v>
      </c>
      <c r="J1168" s="122">
        <v>7970</v>
      </c>
      <c r="K1168">
        <v>88</v>
      </c>
      <c r="L1168">
        <v>0</v>
      </c>
      <c r="M1168">
        <v>0</v>
      </c>
      <c r="N1168" s="122">
        <v>3440</v>
      </c>
      <c r="O1168" s="122">
        <v>1274</v>
      </c>
      <c r="P1168">
        <v>945</v>
      </c>
      <c r="Q1168">
        <v>350</v>
      </c>
      <c r="R1168" s="122">
        <v>4958</v>
      </c>
      <c r="S1168" s="122">
        <v>4507</v>
      </c>
      <c r="T1168">
        <v>0</v>
      </c>
      <c r="U1168">
        <v>0</v>
      </c>
      <c r="V1168" s="122">
        <v>14101</v>
      </c>
      <c r="W1168" s="122">
        <f t="shared" si="36"/>
        <v>14101</v>
      </c>
      <c r="X1168" s="122">
        <f t="shared" si="37"/>
        <v>18110</v>
      </c>
    </row>
    <row r="1169" spans="2:24">
      <c r="B1169" t="s">
        <v>462</v>
      </c>
      <c r="C1169" t="s">
        <v>52</v>
      </c>
      <c r="D1169" t="s">
        <v>137</v>
      </c>
      <c r="E1169" t="s">
        <v>137</v>
      </c>
      <c r="F1169">
        <v>24</v>
      </c>
      <c r="G1169" s="122">
        <v>1857</v>
      </c>
      <c r="H1169" s="122">
        <v>2792</v>
      </c>
      <c r="I1169" s="122">
        <v>29652</v>
      </c>
      <c r="J1169" s="122">
        <v>10982</v>
      </c>
      <c r="K1169">
        <v>100</v>
      </c>
      <c r="L1169" s="122">
        <v>5219</v>
      </c>
      <c r="M1169" s="122">
        <v>1933</v>
      </c>
      <c r="N1169" s="122">
        <v>29541</v>
      </c>
      <c r="O1169" s="122">
        <v>10941</v>
      </c>
      <c r="P1169">
        <v>0</v>
      </c>
      <c r="Q1169">
        <v>0</v>
      </c>
      <c r="R1169" s="122">
        <v>151367</v>
      </c>
      <c r="S1169" s="122">
        <v>56062</v>
      </c>
      <c r="T1169">
        <v>0</v>
      </c>
      <c r="U1169">
        <v>0</v>
      </c>
      <c r="V1169" s="122">
        <v>79918</v>
      </c>
      <c r="W1169" s="122">
        <f t="shared" si="36"/>
        <v>79918</v>
      </c>
      <c r="X1169" s="122">
        <f t="shared" si="37"/>
        <v>215779</v>
      </c>
    </row>
    <row r="1170" spans="2:24">
      <c r="B1170" t="s">
        <v>462</v>
      </c>
      <c r="C1170" t="s">
        <v>52</v>
      </c>
      <c r="D1170" t="s">
        <v>407</v>
      </c>
      <c r="E1170" t="s">
        <v>407</v>
      </c>
      <c r="F1170">
        <v>101</v>
      </c>
      <c r="G1170" s="122">
        <v>8788</v>
      </c>
      <c r="H1170" s="122">
        <v>11757</v>
      </c>
      <c r="I1170" s="122">
        <v>382430</v>
      </c>
      <c r="J1170" s="122">
        <v>347663</v>
      </c>
      <c r="K1170">
        <v>86</v>
      </c>
      <c r="L1170" s="122">
        <v>26991</v>
      </c>
      <c r="M1170" s="122">
        <v>12307</v>
      </c>
      <c r="N1170" s="122">
        <v>161726</v>
      </c>
      <c r="O1170" s="122">
        <v>59899</v>
      </c>
      <c r="P1170" s="122">
        <v>47844</v>
      </c>
      <c r="Q1170" s="122">
        <v>17720</v>
      </c>
      <c r="R1170" s="122">
        <v>354781</v>
      </c>
      <c r="S1170" s="122">
        <v>322528</v>
      </c>
      <c r="T1170" s="122">
        <v>51222</v>
      </c>
      <c r="U1170" s="122">
        <v>18971</v>
      </c>
      <c r="V1170" s="122">
        <v>779088</v>
      </c>
      <c r="W1170" s="122">
        <f t="shared" si="36"/>
        <v>779088</v>
      </c>
      <c r="X1170" s="122">
        <f t="shared" si="37"/>
        <v>1024994</v>
      </c>
    </row>
    <row r="1171" spans="2:24">
      <c r="B1171" t="s">
        <v>462</v>
      </c>
      <c r="C1171" t="s">
        <v>54</v>
      </c>
      <c r="F1171">
        <v>11</v>
      </c>
      <c r="G1171">
        <v>745</v>
      </c>
      <c r="H1171" s="122">
        <v>1528</v>
      </c>
      <c r="J1171">
        <v>0</v>
      </c>
      <c r="M1171">
        <v>0</v>
      </c>
      <c r="N1171" s="122">
        <v>13390</v>
      </c>
      <c r="O1171" s="122">
        <v>4959</v>
      </c>
      <c r="P1171" s="122">
        <v>1593</v>
      </c>
      <c r="Q1171">
        <v>590</v>
      </c>
      <c r="S1171">
        <v>0</v>
      </c>
      <c r="T1171" s="122">
        <v>1784</v>
      </c>
      <c r="U1171">
        <v>661</v>
      </c>
      <c r="V1171" s="122">
        <v>6210</v>
      </c>
      <c r="W1171" s="122">
        <f t="shared" si="36"/>
        <v>6210</v>
      </c>
      <c r="X1171" s="122">
        <f t="shared" si="37"/>
        <v>16767</v>
      </c>
    </row>
    <row r="1172" spans="2:24">
      <c r="B1172" t="s">
        <v>462</v>
      </c>
      <c r="C1172" t="s">
        <v>54</v>
      </c>
      <c r="D1172" t="s">
        <v>405</v>
      </c>
      <c r="E1172" t="s">
        <v>405</v>
      </c>
      <c r="F1172">
        <v>8</v>
      </c>
      <c r="G1172">
        <v>524</v>
      </c>
      <c r="H1172" s="122">
        <v>1155</v>
      </c>
      <c r="I1172" s="122">
        <v>32159</v>
      </c>
      <c r="J1172" s="122">
        <v>29236</v>
      </c>
      <c r="K1172">
        <v>82</v>
      </c>
      <c r="L1172" s="122">
        <v>1494</v>
      </c>
      <c r="M1172" s="122">
        <v>1358</v>
      </c>
      <c r="N1172" s="122">
        <v>8250</v>
      </c>
      <c r="O1172" s="122">
        <v>3056</v>
      </c>
      <c r="P1172" s="122">
        <v>3780</v>
      </c>
      <c r="Q1172" s="122">
        <v>1400</v>
      </c>
      <c r="R1172" s="122">
        <v>30026</v>
      </c>
      <c r="S1172" s="122">
        <v>27297</v>
      </c>
      <c r="T1172">
        <v>0</v>
      </c>
      <c r="U1172">
        <v>0</v>
      </c>
      <c r="V1172" s="122">
        <v>62346</v>
      </c>
      <c r="W1172" s="122">
        <f t="shared" si="36"/>
        <v>62347</v>
      </c>
      <c r="X1172" s="122">
        <f t="shared" si="37"/>
        <v>75709</v>
      </c>
    </row>
    <row r="1173" spans="2:24">
      <c r="B1173" t="s">
        <v>462</v>
      </c>
      <c r="C1173" t="s">
        <v>54</v>
      </c>
      <c r="D1173" t="s">
        <v>137</v>
      </c>
      <c r="E1173" t="s">
        <v>137</v>
      </c>
      <c r="F1173">
        <v>116</v>
      </c>
      <c r="G1173" s="122">
        <v>8433</v>
      </c>
      <c r="H1173" s="122">
        <v>16190</v>
      </c>
      <c r="I1173" s="122">
        <v>262803</v>
      </c>
      <c r="J1173" s="122">
        <v>97334</v>
      </c>
      <c r="K1173">
        <v>100</v>
      </c>
      <c r="L1173" s="122">
        <v>43743</v>
      </c>
      <c r="M1173" s="122">
        <v>16998</v>
      </c>
      <c r="N1173" s="122">
        <v>143831</v>
      </c>
      <c r="O1173" s="122">
        <v>53271</v>
      </c>
      <c r="P1173">
        <v>287</v>
      </c>
      <c r="Q1173">
        <v>106</v>
      </c>
      <c r="R1173" s="122">
        <v>725335</v>
      </c>
      <c r="S1173" s="122">
        <v>268643</v>
      </c>
      <c r="T1173">
        <v>0</v>
      </c>
      <c r="U1173">
        <v>0</v>
      </c>
      <c r="V1173" s="122">
        <v>436352</v>
      </c>
      <c r="W1173" s="122">
        <f t="shared" si="36"/>
        <v>436352</v>
      </c>
      <c r="X1173" s="122">
        <f t="shared" si="37"/>
        <v>1175999</v>
      </c>
    </row>
    <row r="1174" spans="2:24">
      <c r="B1174" t="s">
        <v>462</v>
      </c>
      <c r="C1174" t="s">
        <v>54</v>
      </c>
      <c r="D1174" t="s">
        <v>406</v>
      </c>
      <c r="E1174" t="s">
        <v>406</v>
      </c>
      <c r="F1174">
        <v>3</v>
      </c>
      <c r="G1174">
        <v>769</v>
      </c>
      <c r="H1174">
        <v>433</v>
      </c>
      <c r="I1174" s="122">
        <v>69674</v>
      </c>
      <c r="J1174" s="122">
        <v>63340</v>
      </c>
      <c r="K1174">
        <v>83</v>
      </c>
      <c r="L1174" s="122">
        <v>9786</v>
      </c>
      <c r="M1174" s="122">
        <v>8896</v>
      </c>
      <c r="N1174" s="122">
        <v>12746</v>
      </c>
      <c r="O1174" s="122">
        <v>4721</v>
      </c>
      <c r="P1174" s="122">
        <v>2214</v>
      </c>
      <c r="Q1174">
        <v>820</v>
      </c>
      <c r="R1174" s="122">
        <v>16688</v>
      </c>
      <c r="S1174" s="122">
        <v>15171</v>
      </c>
      <c r="T1174">
        <v>0</v>
      </c>
      <c r="U1174">
        <v>0</v>
      </c>
      <c r="V1174" s="122">
        <v>92948</v>
      </c>
      <c r="W1174" s="122">
        <f t="shared" si="36"/>
        <v>92948</v>
      </c>
      <c r="X1174" s="122">
        <f t="shared" si="37"/>
        <v>111108</v>
      </c>
    </row>
    <row r="1175" spans="2:24">
      <c r="B1175" t="s">
        <v>462</v>
      </c>
      <c r="C1175" t="s">
        <v>54</v>
      </c>
      <c r="D1175" t="s">
        <v>407</v>
      </c>
      <c r="E1175" t="s">
        <v>407</v>
      </c>
      <c r="F1175">
        <v>145</v>
      </c>
      <c r="G1175" s="122">
        <v>11970</v>
      </c>
      <c r="H1175" s="122">
        <v>20147</v>
      </c>
      <c r="I1175" s="122">
        <v>706963</v>
      </c>
      <c r="J1175" s="122">
        <v>642694</v>
      </c>
      <c r="K1175">
        <v>84</v>
      </c>
      <c r="L1175" s="122">
        <v>63598</v>
      </c>
      <c r="M1175" s="122">
        <v>44494</v>
      </c>
      <c r="N1175" s="122">
        <v>233322</v>
      </c>
      <c r="O1175" s="122">
        <v>86416</v>
      </c>
      <c r="P1175" s="122">
        <v>69863</v>
      </c>
      <c r="Q1175" s="122">
        <v>25875</v>
      </c>
      <c r="R1175" s="122">
        <v>557838</v>
      </c>
      <c r="S1175" s="122">
        <v>507126</v>
      </c>
      <c r="T1175" s="122">
        <v>23700</v>
      </c>
      <c r="U1175" s="122">
        <v>8778</v>
      </c>
      <c r="V1175" s="122">
        <v>1315381</v>
      </c>
      <c r="W1175" s="122">
        <f t="shared" si="36"/>
        <v>1315383</v>
      </c>
      <c r="X1175" s="122">
        <f t="shared" si="37"/>
        <v>1655284</v>
      </c>
    </row>
    <row r="1176" spans="2:24">
      <c r="B1176" t="s">
        <v>462</v>
      </c>
      <c r="C1176" t="s">
        <v>56</v>
      </c>
      <c r="F1176">
        <v>11</v>
      </c>
      <c r="G1176">
        <v>616</v>
      </c>
      <c r="H1176" s="122">
        <v>2145</v>
      </c>
      <c r="J1176">
        <v>0</v>
      </c>
      <c r="M1176">
        <v>0</v>
      </c>
      <c r="N1176" s="122">
        <v>9607</v>
      </c>
      <c r="O1176" s="122">
        <v>3558</v>
      </c>
      <c r="P1176" s="122">
        <v>2214</v>
      </c>
      <c r="Q1176">
        <v>820</v>
      </c>
      <c r="S1176">
        <v>0</v>
      </c>
      <c r="T1176">
        <v>0</v>
      </c>
      <c r="U1176">
        <v>0</v>
      </c>
      <c r="V1176" s="122">
        <v>4378</v>
      </c>
      <c r="W1176" s="122">
        <f t="shared" si="36"/>
        <v>4378</v>
      </c>
      <c r="X1176" s="122">
        <f t="shared" si="37"/>
        <v>11821</v>
      </c>
    </row>
    <row r="1177" spans="2:24">
      <c r="B1177" t="s">
        <v>462</v>
      </c>
      <c r="C1177" t="s">
        <v>56</v>
      </c>
      <c r="D1177" t="s">
        <v>405</v>
      </c>
      <c r="E1177" t="s">
        <v>405</v>
      </c>
      <c r="F1177">
        <v>30</v>
      </c>
      <c r="G1177" s="122">
        <v>2296</v>
      </c>
      <c r="H1177" s="122">
        <v>5754</v>
      </c>
      <c r="I1177" s="122">
        <v>192052</v>
      </c>
      <c r="J1177" s="122">
        <v>174592</v>
      </c>
      <c r="K1177">
        <v>81</v>
      </c>
      <c r="L1177" s="122">
        <v>38298</v>
      </c>
      <c r="M1177" s="122">
        <v>31763</v>
      </c>
      <c r="N1177" s="122">
        <v>49434</v>
      </c>
      <c r="O1177" s="122">
        <v>18309</v>
      </c>
      <c r="P1177" s="122">
        <v>14054</v>
      </c>
      <c r="Q1177" s="122">
        <v>5205</v>
      </c>
      <c r="R1177" s="122">
        <v>122282</v>
      </c>
      <c r="S1177" s="122">
        <v>111166</v>
      </c>
      <c r="T1177" s="122">
        <v>19452</v>
      </c>
      <c r="U1177" s="122">
        <v>7204</v>
      </c>
      <c r="V1177" s="122">
        <v>348239</v>
      </c>
      <c r="W1177" s="122">
        <f t="shared" si="36"/>
        <v>348239</v>
      </c>
      <c r="X1177" s="122">
        <f t="shared" si="37"/>
        <v>435572</v>
      </c>
    </row>
    <row r="1178" spans="2:24">
      <c r="B1178" t="s">
        <v>462</v>
      </c>
      <c r="C1178" t="s">
        <v>56</v>
      </c>
      <c r="D1178" t="s">
        <v>137</v>
      </c>
      <c r="E1178" t="s">
        <v>137</v>
      </c>
      <c r="F1178">
        <v>870</v>
      </c>
      <c r="G1178" s="122">
        <v>66014</v>
      </c>
      <c r="H1178" s="122">
        <v>167738</v>
      </c>
      <c r="I1178" s="122">
        <v>5028854</v>
      </c>
      <c r="J1178" s="122">
        <v>1862539</v>
      </c>
      <c r="K1178">
        <v>100</v>
      </c>
      <c r="L1178" s="122">
        <v>846080</v>
      </c>
      <c r="M1178" s="122">
        <v>318932</v>
      </c>
      <c r="N1178" s="122">
        <v>1279407</v>
      </c>
      <c r="O1178" s="122">
        <v>473855</v>
      </c>
      <c r="P1178" s="122">
        <v>4139</v>
      </c>
      <c r="Q1178" s="122">
        <v>1533</v>
      </c>
      <c r="R1178" s="122">
        <v>5609082</v>
      </c>
      <c r="S1178" s="122">
        <v>2077438</v>
      </c>
      <c r="T1178" s="122">
        <v>1862</v>
      </c>
      <c r="U1178">
        <v>690</v>
      </c>
      <c r="V1178" s="122">
        <v>4734986</v>
      </c>
      <c r="W1178" s="122">
        <f t="shared" si="36"/>
        <v>4734987</v>
      </c>
      <c r="X1178" s="122">
        <f t="shared" si="37"/>
        <v>12769424</v>
      </c>
    </row>
    <row r="1179" spans="2:24">
      <c r="B1179" t="s">
        <v>462</v>
      </c>
      <c r="C1179" t="s">
        <v>56</v>
      </c>
      <c r="D1179" t="s">
        <v>137</v>
      </c>
      <c r="E1179" t="s">
        <v>407</v>
      </c>
      <c r="F1179">
        <v>2</v>
      </c>
      <c r="G1179">
        <v>454</v>
      </c>
      <c r="H1179">
        <v>387</v>
      </c>
      <c r="I1179" s="122">
        <v>49308</v>
      </c>
      <c r="J1179" s="122">
        <v>18262</v>
      </c>
      <c r="K1179">
        <v>100</v>
      </c>
      <c r="L1179" s="122">
        <v>12327</v>
      </c>
      <c r="M1179" s="122">
        <v>4566</v>
      </c>
      <c r="N1179" s="122">
        <v>11051</v>
      </c>
      <c r="O1179" s="122">
        <v>4093</v>
      </c>
      <c r="P1179">
        <v>0</v>
      </c>
      <c r="Q1179">
        <v>0</v>
      </c>
      <c r="R1179" s="122">
        <v>14958</v>
      </c>
      <c r="S1179" s="122">
        <v>13598</v>
      </c>
      <c r="T1179">
        <v>0</v>
      </c>
      <c r="U1179">
        <v>0</v>
      </c>
      <c r="V1179" s="122">
        <v>40519</v>
      </c>
      <c r="W1179" s="122">
        <f t="shared" si="36"/>
        <v>40519</v>
      </c>
      <c r="X1179" s="122">
        <f t="shared" si="37"/>
        <v>87644</v>
      </c>
    </row>
    <row r="1180" spans="2:24">
      <c r="B1180" t="s">
        <v>462</v>
      </c>
      <c r="C1180" t="s">
        <v>56</v>
      </c>
      <c r="D1180" t="s">
        <v>406</v>
      </c>
      <c r="E1180" t="s">
        <v>137</v>
      </c>
      <c r="F1180">
        <v>2</v>
      </c>
      <c r="G1180">
        <v>139</v>
      </c>
      <c r="H1180">
        <v>426</v>
      </c>
      <c r="I1180" s="122">
        <v>13934</v>
      </c>
      <c r="J1180" s="122">
        <v>12668</v>
      </c>
      <c r="K1180">
        <v>75</v>
      </c>
      <c r="L1180">
        <v>0</v>
      </c>
      <c r="M1180">
        <v>0</v>
      </c>
      <c r="N1180" s="122">
        <v>2785</v>
      </c>
      <c r="O1180" s="122">
        <v>1032</v>
      </c>
      <c r="P1180">
        <v>621</v>
      </c>
      <c r="Q1180">
        <v>230</v>
      </c>
      <c r="R1180" s="122">
        <v>12186</v>
      </c>
      <c r="S1180" s="122">
        <v>4513</v>
      </c>
      <c r="T1180">
        <v>0</v>
      </c>
      <c r="U1180">
        <v>0</v>
      </c>
      <c r="V1180" s="122">
        <v>18442</v>
      </c>
      <c r="W1180" s="122">
        <f t="shared" si="36"/>
        <v>18443</v>
      </c>
      <c r="X1180" s="122">
        <f t="shared" si="37"/>
        <v>29526</v>
      </c>
    </row>
    <row r="1181" spans="2:24">
      <c r="B1181" t="s">
        <v>462</v>
      </c>
      <c r="C1181" t="s">
        <v>56</v>
      </c>
      <c r="D1181" t="s">
        <v>406</v>
      </c>
      <c r="E1181" t="s">
        <v>406</v>
      </c>
      <c r="F1181">
        <v>31</v>
      </c>
      <c r="G1181" s="122">
        <v>2448</v>
      </c>
      <c r="H1181" s="122">
        <v>6134</v>
      </c>
      <c r="I1181" s="122">
        <v>218316</v>
      </c>
      <c r="J1181" s="122">
        <v>198469</v>
      </c>
      <c r="K1181">
        <v>84</v>
      </c>
      <c r="L1181" s="122">
        <v>50240</v>
      </c>
      <c r="M1181" s="122">
        <v>35000</v>
      </c>
      <c r="N1181" s="122">
        <v>53227</v>
      </c>
      <c r="O1181" s="122">
        <v>19714</v>
      </c>
      <c r="P1181" s="122">
        <v>18630</v>
      </c>
      <c r="Q1181" s="122">
        <v>6900</v>
      </c>
      <c r="R1181" s="122">
        <v>118390</v>
      </c>
      <c r="S1181" s="122">
        <v>107627</v>
      </c>
      <c r="T1181" s="122">
        <v>32846</v>
      </c>
      <c r="U1181" s="122">
        <v>12165</v>
      </c>
      <c r="V1181" s="122">
        <v>379875</v>
      </c>
      <c r="W1181" s="122">
        <f t="shared" si="36"/>
        <v>379875</v>
      </c>
      <c r="X1181" s="122">
        <f t="shared" si="37"/>
        <v>491649</v>
      </c>
    </row>
    <row r="1182" spans="2:24">
      <c r="B1182" t="s">
        <v>462</v>
      </c>
      <c r="C1182" t="s">
        <v>56</v>
      </c>
      <c r="D1182" t="s">
        <v>407</v>
      </c>
      <c r="E1182" t="s">
        <v>407</v>
      </c>
      <c r="F1182">
        <v>352</v>
      </c>
      <c r="G1182" s="122">
        <v>25144</v>
      </c>
      <c r="H1182" s="122">
        <v>64733</v>
      </c>
      <c r="I1182" s="122">
        <v>2272629</v>
      </c>
      <c r="J1182" s="122">
        <v>2066026</v>
      </c>
      <c r="K1182">
        <v>81</v>
      </c>
      <c r="L1182" s="122">
        <v>246620</v>
      </c>
      <c r="M1182" s="122">
        <v>176807</v>
      </c>
      <c r="N1182" s="122">
        <v>492791</v>
      </c>
      <c r="O1182" s="122">
        <v>182515</v>
      </c>
      <c r="P1182" s="122">
        <v>172873</v>
      </c>
      <c r="Q1182" s="122">
        <v>64027</v>
      </c>
      <c r="R1182" s="122">
        <v>1347793</v>
      </c>
      <c r="S1182" s="122">
        <v>1225267</v>
      </c>
      <c r="T1182" s="122">
        <v>58699</v>
      </c>
      <c r="U1182" s="122">
        <v>21741</v>
      </c>
      <c r="V1182" s="122">
        <v>3736382</v>
      </c>
      <c r="W1182" s="122">
        <f t="shared" si="36"/>
        <v>3736383</v>
      </c>
      <c r="X1182" s="122">
        <f t="shared" si="37"/>
        <v>4591405</v>
      </c>
    </row>
    <row r="1183" spans="2:24">
      <c r="B1183" t="s">
        <v>462</v>
      </c>
      <c r="C1183" t="s">
        <v>58</v>
      </c>
      <c r="F1183">
        <v>12</v>
      </c>
      <c r="G1183">
        <v>566</v>
      </c>
      <c r="H1183" s="122">
        <v>3180</v>
      </c>
      <c r="J1183">
        <v>0</v>
      </c>
      <c r="M1183">
        <v>0</v>
      </c>
      <c r="N1183" s="122">
        <v>10314</v>
      </c>
      <c r="O1183" s="122">
        <v>3820</v>
      </c>
      <c r="P1183" s="122">
        <v>4347</v>
      </c>
      <c r="Q1183" s="122">
        <v>1610</v>
      </c>
      <c r="S1183">
        <v>0</v>
      </c>
      <c r="T1183" s="122">
        <v>1702</v>
      </c>
      <c r="U1183">
        <v>630</v>
      </c>
      <c r="V1183" s="122">
        <v>6060</v>
      </c>
      <c r="W1183" s="122">
        <f t="shared" si="36"/>
        <v>6060</v>
      </c>
      <c r="X1183" s="122">
        <f t="shared" si="37"/>
        <v>16363</v>
      </c>
    </row>
    <row r="1184" spans="2:24">
      <c r="B1184" t="s">
        <v>462</v>
      </c>
      <c r="C1184" t="s">
        <v>58</v>
      </c>
      <c r="D1184" t="s">
        <v>405</v>
      </c>
      <c r="E1184" t="s">
        <v>405</v>
      </c>
      <c r="F1184">
        <v>14</v>
      </c>
      <c r="G1184" s="122">
        <v>1008</v>
      </c>
      <c r="H1184" s="122">
        <v>3646</v>
      </c>
      <c r="I1184" s="122">
        <v>130107</v>
      </c>
      <c r="J1184" s="122">
        <v>118279</v>
      </c>
      <c r="K1184">
        <v>72</v>
      </c>
      <c r="L1184" s="122">
        <v>25337</v>
      </c>
      <c r="M1184" s="122">
        <v>20997</v>
      </c>
      <c r="N1184" s="122">
        <v>22576</v>
      </c>
      <c r="O1184" s="122">
        <v>8361</v>
      </c>
      <c r="P1184" s="122">
        <v>6615</v>
      </c>
      <c r="Q1184" s="122">
        <v>2450</v>
      </c>
      <c r="R1184" s="122">
        <v>59599</v>
      </c>
      <c r="S1184" s="122">
        <v>54180</v>
      </c>
      <c r="T1184" s="122">
        <v>20635</v>
      </c>
      <c r="U1184" s="122">
        <v>7643</v>
      </c>
      <c r="V1184" s="122">
        <v>211910</v>
      </c>
      <c r="W1184" s="122">
        <f t="shared" si="36"/>
        <v>211910</v>
      </c>
      <c r="X1184" s="122">
        <f t="shared" si="37"/>
        <v>264869</v>
      </c>
    </row>
    <row r="1185" spans="2:24">
      <c r="B1185" t="s">
        <v>462</v>
      </c>
      <c r="C1185" t="s">
        <v>58</v>
      </c>
      <c r="D1185" t="s">
        <v>137</v>
      </c>
      <c r="E1185" t="s">
        <v>137</v>
      </c>
      <c r="F1185" s="122">
        <v>1083</v>
      </c>
      <c r="G1185" s="122">
        <v>74300</v>
      </c>
      <c r="H1185" s="122">
        <v>283409</v>
      </c>
      <c r="I1185" s="122">
        <v>9862849</v>
      </c>
      <c r="J1185" s="122">
        <v>3652907</v>
      </c>
      <c r="K1185">
        <v>100</v>
      </c>
      <c r="L1185" s="122">
        <v>1552382</v>
      </c>
      <c r="M1185" s="122">
        <v>630301</v>
      </c>
      <c r="N1185" s="122">
        <v>1480409</v>
      </c>
      <c r="O1185" s="122">
        <v>548300</v>
      </c>
      <c r="P1185" s="122">
        <v>6072</v>
      </c>
      <c r="Q1185" s="122">
        <v>2249</v>
      </c>
      <c r="R1185" s="122">
        <v>6684301</v>
      </c>
      <c r="S1185" s="122">
        <v>2475667</v>
      </c>
      <c r="T1185" s="122">
        <v>3925</v>
      </c>
      <c r="U1185" s="122">
        <v>1454</v>
      </c>
      <c r="V1185" s="122">
        <v>7310878</v>
      </c>
      <c r="W1185" s="122">
        <f t="shared" si="36"/>
        <v>7310878</v>
      </c>
      <c r="X1185" s="122">
        <f t="shared" si="37"/>
        <v>19589938</v>
      </c>
    </row>
    <row r="1186" spans="2:24">
      <c r="B1186" t="s">
        <v>462</v>
      </c>
      <c r="C1186" t="s">
        <v>58</v>
      </c>
      <c r="D1186" t="s">
        <v>406</v>
      </c>
      <c r="E1186" t="s">
        <v>137</v>
      </c>
      <c r="F1186">
        <v>3</v>
      </c>
      <c r="G1186">
        <v>172</v>
      </c>
      <c r="H1186">
        <v>859</v>
      </c>
      <c r="I1186" s="122">
        <v>20189</v>
      </c>
      <c r="J1186" s="122">
        <v>18353</v>
      </c>
      <c r="K1186">
        <v>79</v>
      </c>
      <c r="L1186" s="122">
        <v>6917</v>
      </c>
      <c r="M1186" s="122">
        <v>4186</v>
      </c>
      <c r="N1186" s="122">
        <v>4114</v>
      </c>
      <c r="O1186" s="122">
        <v>1524</v>
      </c>
      <c r="P1186" s="122">
        <v>1242</v>
      </c>
      <c r="Q1186">
        <v>460</v>
      </c>
      <c r="R1186" s="122">
        <v>16927</v>
      </c>
      <c r="S1186" s="122">
        <v>6269</v>
      </c>
      <c r="T1186">
        <v>0</v>
      </c>
      <c r="U1186">
        <v>0</v>
      </c>
      <c r="V1186" s="122">
        <v>30792</v>
      </c>
      <c r="W1186" s="122">
        <f t="shared" si="36"/>
        <v>30792</v>
      </c>
      <c r="X1186" s="122">
        <f t="shared" si="37"/>
        <v>49389</v>
      </c>
    </row>
    <row r="1187" spans="2:24">
      <c r="B1187" t="s">
        <v>462</v>
      </c>
      <c r="C1187" t="s">
        <v>58</v>
      </c>
      <c r="D1187" t="s">
        <v>406</v>
      </c>
      <c r="E1187" t="s">
        <v>406</v>
      </c>
      <c r="F1187">
        <v>34</v>
      </c>
      <c r="G1187" s="122">
        <v>3068</v>
      </c>
      <c r="H1187" s="122">
        <v>8723</v>
      </c>
      <c r="I1187" s="122">
        <v>409384</v>
      </c>
      <c r="J1187" s="122">
        <v>372167</v>
      </c>
      <c r="K1187">
        <v>79</v>
      </c>
      <c r="L1187" s="122">
        <v>88969</v>
      </c>
      <c r="M1187" s="122">
        <v>68881</v>
      </c>
      <c r="N1187" s="122">
        <v>62076</v>
      </c>
      <c r="O1187" s="122">
        <v>22991</v>
      </c>
      <c r="P1187" s="122">
        <v>20844</v>
      </c>
      <c r="Q1187" s="122">
        <v>7720</v>
      </c>
      <c r="R1187" s="122">
        <v>161545</v>
      </c>
      <c r="S1187" s="122">
        <v>146859</v>
      </c>
      <c r="T1187" s="122">
        <v>42302</v>
      </c>
      <c r="U1187" s="122">
        <v>15667</v>
      </c>
      <c r="V1187" s="122">
        <v>634285</v>
      </c>
      <c r="W1187" s="122">
        <f t="shared" si="36"/>
        <v>634285</v>
      </c>
      <c r="X1187" s="122">
        <f t="shared" si="37"/>
        <v>785120</v>
      </c>
    </row>
    <row r="1188" spans="2:24">
      <c r="B1188" t="s">
        <v>462</v>
      </c>
      <c r="C1188" t="s">
        <v>58</v>
      </c>
      <c r="D1188" t="s">
        <v>407</v>
      </c>
      <c r="E1188" t="s">
        <v>407</v>
      </c>
      <c r="F1188">
        <v>53</v>
      </c>
      <c r="G1188" s="122">
        <v>3224</v>
      </c>
      <c r="H1188" s="122">
        <v>12813</v>
      </c>
      <c r="I1188" s="122">
        <v>449341</v>
      </c>
      <c r="J1188" s="122">
        <v>408492</v>
      </c>
      <c r="K1188">
        <v>77</v>
      </c>
      <c r="L1188" s="122">
        <v>35277</v>
      </c>
      <c r="M1188" s="122">
        <v>28816</v>
      </c>
      <c r="N1188" s="122">
        <v>62414</v>
      </c>
      <c r="O1188" s="122">
        <v>23116</v>
      </c>
      <c r="P1188" s="122">
        <v>25871</v>
      </c>
      <c r="Q1188" s="122">
        <v>9582</v>
      </c>
      <c r="R1188" s="122">
        <v>198056</v>
      </c>
      <c r="S1188" s="122">
        <v>180051</v>
      </c>
      <c r="T1188" s="122">
        <v>6037</v>
      </c>
      <c r="U1188" s="122">
        <v>2236</v>
      </c>
      <c r="V1188" s="122">
        <v>652293</v>
      </c>
      <c r="W1188" s="122">
        <f t="shared" si="36"/>
        <v>652293</v>
      </c>
      <c r="X1188" s="122">
        <f t="shared" si="37"/>
        <v>776996</v>
      </c>
    </row>
    <row r="1189" spans="2:24">
      <c r="B1189" t="s">
        <v>462</v>
      </c>
      <c r="C1189" t="s">
        <v>58</v>
      </c>
      <c r="D1189" t="s">
        <v>556</v>
      </c>
      <c r="E1189" t="s">
        <v>556</v>
      </c>
      <c r="F1189">
        <v>3</v>
      </c>
      <c r="G1189">
        <v>131</v>
      </c>
      <c r="H1189">
        <v>854</v>
      </c>
      <c r="I1189" s="122">
        <v>17019</v>
      </c>
      <c r="J1189" s="122">
        <v>14182</v>
      </c>
      <c r="K1189">
        <v>63</v>
      </c>
      <c r="L1189" s="122">
        <v>2685</v>
      </c>
      <c r="M1189">
        <v>994</v>
      </c>
      <c r="N1189" s="122">
        <v>2191</v>
      </c>
      <c r="O1189">
        <v>812</v>
      </c>
      <c r="P1189">
        <v>702</v>
      </c>
      <c r="Q1189">
        <v>260</v>
      </c>
      <c r="R1189" s="122">
        <v>11250</v>
      </c>
      <c r="S1189" s="122">
        <v>9375</v>
      </c>
      <c r="T1189" s="122">
        <v>3256</v>
      </c>
      <c r="U1189" s="122">
        <v>1206</v>
      </c>
      <c r="V1189" s="122">
        <v>26829</v>
      </c>
      <c r="W1189" s="122">
        <f t="shared" si="36"/>
        <v>26829</v>
      </c>
      <c r="X1189" s="122">
        <f t="shared" si="37"/>
        <v>37103</v>
      </c>
    </row>
    <row r="1190" spans="2:24">
      <c r="B1190" t="s">
        <v>462</v>
      </c>
      <c r="C1190" t="s">
        <v>60</v>
      </c>
      <c r="F1190">
        <v>4</v>
      </c>
      <c r="G1190">
        <v>168</v>
      </c>
      <c r="H1190" s="122">
        <v>1289</v>
      </c>
      <c r="J1190">
        <v>0</v>
      </c>
      <c r="M1190">
        <v>0</v>
      </c>
      <c r="N1190" s="122">
        <v>3964</v>
      </c>
      <c r="O1190" s="122">
        <v>1468</v>
      </c>
      <c r="P1190" s="122">
        <v>1863</v>
      </c>
      <c r="Q1190">
        <v>690</v>
      </c>
      <c r="S1190">
        <v>0</v>
      </c>
      <c r="T1190">
        <v>0</v>
      </c>
      <c r="U1190">
        <v>0</v>
      </c>
      <c r="V1190" s="122">
        <v>2158</v>
      </c>
      <c r="W1190" s="122">
        <f t="shared" si="36"/>
        <v>2158</v>
      </c>
      <c r="X1190" s="122">
        <f t="shared" si="37"/>
        <v>5827</v>
      </c>
    </row>
    <row r="1191" spans="2:24">
      <c r="B1191" t="s">
        <v>462</v>
      </c>
      <c r="C1191" t="s">
        <v>60</v>
      </c>
      <c r="D1191" t="s">
        <v>137</v>
      </c>
      <c r="E1191" t="s">
        <v>137</v>
      </c>
      <c r="F1191">
        <v>478</v>
      </c>
      <c r="G1191" s="122">
        <v>29737</v>
      </c>
      <c r="H1191" s="122">
        <v>159675</v>
      </c>
      <c r="I1191" s="122">
        <v>5787595</v>
      </c>
      <c r="J1191" s="122">
        <v>2143554</v>
      </c>
      <c r="K1191">
        <v>100</v>
      </c>
      <c r="L1191" s="122">
        <v>818564</v>
      </c>
      <c r="M1191" s="122">
        <v>370643</v>
      </c>
      <c r="N1191" s="122">
        <v>616320</v>
      </c>
      <c r="O1191" s="122">
        <v>228267</v>
      </c>
      <c r="P1191" s="122">
        <v>6449</v>
      </c>
      <c r="Q1191" s="122">
        <v>2388</v>
      </c>
      <c r="R1191" s="122">
        <v>2852429</v>
      </c>
      <c r="S1191" s="122">
        <v>1056455</v>
      </c>
      <c r="T1191" s="122">
        <v>1777</v>
      </c>
      <c r="U1191">
        <v>658</v>
      </c>
      <c r="V1191" s="122">
        <v>3801965</v>
      </c>
      <c r="W1191" s="122">
        <f t="shared" si="36"/>
        <v>3801965</v>
      </c>
      <c r="X1191" s="122">
        <f t="shared" si="37"/>
        <v>10083134</v>
      </c>
    </row>
    <row r="1192" spans="2:24">
      <c r="B1192" t="s">
        <v>462</v>
      </c>
      <c r="C1192" t="s">
        <v>60</v>
      </c>
      <c r="D1192" t="s">
        <v>406</v>
      </c>
      <c r="E1192" t="s">
        <v>137</v>
      </c>
      <c r="F1192">
        <v>1</v>
      </c>
      <c r="G1192">
        <v>49</v>
      </c>
      <c r="H1192">
        <v>327</v>
      </c>
      <c r="I1192" s="122">
        <v>8195</v>
      </c>
      <c r="J1192" s="122">
        <v>7450</v>
      </c>
      <c r="K1192">
        <v>86</v>
      </c>
      <c r="L1192" s="122">
        <v>2890</v>
      </c>
      <c r="M1192" s="122">
        <v>1070</v>
      </c>
      <c r="N1192" s="122">
        <v>1023</v>
      </c>
      <c r="O1192">
        <v>379</v>
      </c>
      <c r="P1192">
        <v>621</v>
      </c>
      <c r="Q1192">
        <v>230</v>
      </c>
      <c r="R1192" s="122">
        <v>3318</v>
      </c>
      <c r="S1192" s="122">
        <v>1229</v>
      </c>
      <c r="T1192">
        <v>0</v>
      </c>
      <c r="U1192">
        <v>0</v>
      </c>
      <c r="V1192" s="122">
        <v>10359</v>
      </c>
      <c r="W1192" s="122">
        <f t="shared" si="36"/>
        <v>10358</v>
      </c>
      <c r="X1192" s="122">
        <f t="shared" si="37"/>
        <v>16047</v>
      </c>
    </row>
    <row r="1193" spans="2:24">
      <c r="B1193" t="s">
        <v>462</v>
      </c>
      <c r="C1193" t="s">
        <v>60</v>
      </c>
      <c r="D1193" t="s">
        <v>406</v>
      </c>
      <c r="E1193" t="s">
        <v>406</v>
      </c>
      <c r="F1193">
        <v>7</v>
      </c>
      <c r="G1193">
        <v>521</v>
      </c>
      <c r="H1193" s="122">
        <v>2445</v>
      </c>
      <c r="I1193" s="122">
        <v>106815</v>
      </c>
      <c r="J1193" s="122">
        <v>97104</v>
      </c>
      <c r="K1193">
        <v>76</v>
      </c>
      <c r="L1193" s="122">
        <v>14295</v>
      </c>
      <c r="M1193" s="122">
        <v>8061</v>
      </c>
      <c r="N1193" s="122">
        <v>11618</v>
      </c>
      <c r="O1193" s="122">
        <v>4303</v>
      </c>
      <c r="P1193" s="122">
        <v>4347</v>
      </c>
      <c r="Q1193" s="122">
        <v>1610</v>
      </c>
      <c r="R1193" s="122">
        <v>33394</v>
      </c>
      <c r="S1193" s="122">
        <v>30359</v>
      </c>
      <c r="T1193" s="122">
        <v>8754</v>
      </c>
      <c r="U1193" s="122">
        <v>3242</v>
      </c>
      <c r="V1193" s="122">
        <v>144679</v>
      </c>
      <c r="W1193" s="122">
        <f t="shared" si="36"/>
        <v>144679</v>
      </c>
      <c r="X1193" s="122">
        <f t="shared" si="37"/>
        <v>179223</v>
      </c>
    </row>
    <row r="1194" spans="2:24">
      <c r="B1194" t="s">
        <v>462</v>
      </c>
      <c r="C1194" t="s">
        <v>60</v>
      </c>
      <c r="D1194" t="s">
        <v>407</v>
      </c>
      <c r="E1194" t="s">
        <v>137</v>
      </c>
      <c r="F1194">
        <v>1</v>
      </c>
      <c r="G1194">
        <v>82</v>
      </c>
      <c r="H1194">
        <v>334</v>
      </c>
      <c r="I1194" s="122">
        <v>17261</v>
      </c>
      <c r="J1194" s="122">
        <v>15692</v>
      </c>
      <c r="K1194">
        <v>80</v>
      </c>
      <c r="L1194" s="122">
        <v>3389</v>
      </c>
      <c r="M1194" s="122">
        <v>1255</v>
      </c>
      <c r="N1194" s="122">
        <v>1426</v>
      </c>
      <c r="O1194">
        <v>528</v>
      </c>
      <c r="P1194">
        <v>0</v>
      </c>
      <c r="Q1194">
        <v>0</v>
      </c>
      <c r="R1194" s="122">
        <v>5289</v>
      </c>
      <c r="S1194" s="122">
        <v>1959</v>
      </c>
      <c r="T1194">
        <v>0</v>
      </c>
      <c r="U1194">
        <v>0</v>
      </c>
      <c r="V1194" s="122">
        <v>19434</v>
      </c>
      <c r="W1194" s="122">
        <f t="shared" si="36"/>
        <v>19434</v>
      </c>
      <c r="X1194" s="122">
        <f t="shared" si="37"/>
        <v>27365</v>
      </c>
    </row>
    <row r="1195" spans="2:24">
      <c r="B1195" t="s">
        <v>462</v>
      </c>
      <c r="C1195" t="s">
        <v>60</v>
      </c>
      <c r="D1195" t="s">
        <v>407</v>
      </c>
      <c r="E1195" t="s">
        <v>407</v>
      </c>
      <c r="F1195">
        <v>2</v>
      </c>
      <c r="G1195">
        <v>96</v>
      </c>
      <c r="H1195">
        <v>610</v>
      </c>
      <c r="I1195" s="122">
        <v>16317</v>
      </c>
      <c r="J1195" s="122">
        <v>14833</v>
      </c>
      <c r="K1195">
        <v>82</v>
      </c>
      <c r="L1195" s="122">
        <v>2371</v>
      </c>
      <c r="M1195" s="122">
        <v>2156</v>
      </c>
      <c r="N1195" s="122">
        <v>2345</v>
      </c>
      <c r="O1195">
        <v>868</v>
      </c>
      <c r="P1195">
        <v>945</v>
      </c>
      <c r="Q1195">
        <v>350</v>
      </c>
      <c r="R1195" s="122">
        <v>7339</v>
      </c>
      <c r="S1195" s="122">
        <v>6672</v>
      </c>
      <c r="T1195">
        <v>0</v>
      </c>
      <c r="U1195">
        <v>0</v>
      </c>
      <c r="V1195" s="122">
        <v>24879</v>
      </c>
      <c r="W1195" s="122">
        <f t="shared" ref="W1195:W1258" si="38">SUM(ABS(J1195),ABS(M1195),ABS(O1195),ABS(Q1195),ABS(S1195),ABS(U1195))</f>
        <v>24879</v>
      </c>
      <c r="X1195" s="122">
        <f t="shared" ref="X1195:X1258" si="39">SUM(ABS(I1195),ABS(N1195),ABS(P1195),ABS(R1195),ABS(T1195),ABS(L1195))</f>
        <v>29317</v>
      </c>
    </row>
    <row r="1196" spans="2:24">
      <c r="B1196" t="s">
        <v>462</v>
      </c>
      <c r="C1196" t="s">
        <v>60</v>
      </c>
      <c r="D1196" t="s">
        <v>556</v>
      </c>
      <c r="E1196" t="s">
        <v>556</v>
      </c>
      <c r="F1196">
        <v>2</v>
      </c>
      <c r="G1196">
        <v>77</v>
      </c>
      <c r="H1196">
        <v>680</v>
      </c>
      <c r="I1196" s="122">
        <v>10919</v>
      </c>
      <c r="J1196" s="122">
        <v>9099</v>
      </c>
      <c r="K1196">
        <v>65</v>
      </c>
      <c r="L1196" s="122">
        <v>2761</v>
      </c>
      <c r="M1196" s="122">
        <v>1023</v>
      </c>
      <c r="N1196" s="122">
        <v>1203</v>
      </c>
      <c r="O1196">
        <v>445</v>
      </c>
      <c r="P1196">
        <v>702</v>
      </c>
      <c r="Q1196">
        <v>260</v>
      </c>
      <c r="R1196" s="122">
        <v>7396</v>
      </c>
      <c r="S1196" s="122">
        <v>6163</v>
      </c>
      <c r="T1196" s="122">
        <v>3153</v>
      </c>
      <c r="U1196" s="122">
        <v>1168</v>
      </c>
      <c r="V1196" s="122">
        <v>18158</v>
      </c>
      <c r="W1196" s="122">
        <f t="shared" si="38"/>
        <v>18158</v>
      </c>
      <c r="X1196" s="122">
        <f t="shared" si="39"/>
        <v>26134</v>
      </c>
    </row>
    <row r="1197" spans="2:24">
      <c r="B1197" t="s">
        <v>462</v>
      </c>
      <c r="C1197" t="s">
        <v>62</v>
      </c>
      <c r="F1197">
        <v>4</v>
      </c>
      <c r="G1197">
        <v>182</v>
      </c>
      <c r="H1197" s="122">
        <v>1731</v>
      </c>
      <c r="J1197">
        <v>0</v>
      </c>
      <c r="M1197">
        <v>0</v>
      </c>
      <c r="N1197" s="122">
        <v>3704</v>
      </c>
      <c r="O1197" s="122">
        <v>1372</v>
      </c>
      <c r="P1197" s="122">
        <v>1242</v>
      </c>
      <c r="Q1197">
        <v>460</v>
      </c>
      <c r="S1197">
        <v>0</v>
      </c>
      <c r="T1197" s="122">
        <v>1506</v>
      </c>
      <c r="U1197">
        <v>558</v>
      </c>
      <c r="V1197" s="122">
        <v>2390</v>
      </c>
      <c r="W1197" s="122">
        <f t="shared" si="38"/>
        <v>2390</v>
      </c>
      <c r="X1197" s="122">
        <f t="shared" si="39"/>
        <v>6452</v>
      </c>
    </row>
    <row r="1198" spans="2:24">
      <c r="B1198" t="s">
        <v>462</v>
      </c>
      <c r="C1198" t="s">
        <v>62</v>
      </c>
      <c r="D1198" t="s">
        <v>137</v>
      </c>
      <c r="E1198" t="s">
        <v>137</v>
      </c>
      <c r="F1198">
        <v>118</v>
      </c>
      <c r="G1198" s="122">
        <v>6406</v>
      </c>
      <c r="H1198" s="122">
        <v>48579</v>
      </c>
      <c r="I1198" s="122">
        <v>1665984</v>
      </c>
      <c r="J1198" s="122">
        <v>617031</v>
      </c>
      <c r="K1198">
        <v>100</v>
      </c>
      <c r="L1198" s="122">
        <v>189580</v>
      </c>
      <c r="M1198" s="122">
        <v>81921</v>
      </c>
      <c r="N1198" s="122">
        <v>128616</v>
      </c>
      <c r="O1198" s="122">
        <v>47635</v>
      </c>
      <c r="P1198">
        <v>351</v>
      </c>
      <c r="Q1198">
        <v>130</v>
      </c>
      <c r="R1198" s="122">
        <v>684055</v>
      </c>
      <c r="S1198" s="122">
        <v>253354</v>
      </c>
      <c r="T1198" s="122">
        <v>2191</v>
      </c>
      <c r="U1198">
        <v>812</v>
      </c>
      <c r="V1198" s="122">
        <v>1000883</v>
      </c>
      <c r="W1198" s="122">
        <f t="shared" si="38"/>
        <v>1000883</v>
      </c>
      <c r="X1198" s="122">
        <f t="shared" si="39"/>
        <v>2670777</v>
      </c>
    </row>
    <row r="1199" spans="2:24">
      <c r="B1199" t="s">
        <v>462</v>
      </c>
      <c r="C1199" t="s">
        <v>62</v>
      </c>
      <c r="D1199" t="s">
        <v>406</v>
      </c>
      <c r="E1199" t="s">
        <v>406</v>
      </c>
      <c r="F1199">
        <v>3</v>
      </c>
      <c r="G1199">
        <v>274</v>
      </c>
      <c r="H1199" s="122">
        <v>1235</v>
      </c>
      <c r="I1199" s="122">
        <v>69834</v>
      </c>
      <c r="J1199" s="122">
        <v>63486</v>
      </c>
      <c r="K1199">
        <v>81</v>
      </c>
      <c r="L1199" s="122">
        <v>14197</v>
      </c>
      <c r="M1199" s="122">
        <v>11047</v>
      </c>
      <c r="N1199" s="122">
        <v>5812</v>
      </c>
      <c r="O1199" s="122">
        <v>2153</v>
      </c>
      <c r="P1199" s="122">
        <v>1863</v>
      </c>
      <c r="Q1199">
        <v>690</v>
      </c>
      <c r="R1199" s="122">
        <v>13836</v>
      </c>
      <c r="S1199" s="122">
        <v>12578</v>
      </c>
      <c r="T1199" s="122">
        <v>5940</v>
      </c>
      <c r="U1199" s="122">
        <v>2200</v>
      </c>
      <c r="V1199" s="122">
        <v>92154</v>
      </c>
      <c r="W1199" s="122">
        <f t="shared" si="38"/>
        <v>92154</v>
      </c>
      <c r="X1199" s="122">
        <f t="shared" si="39"/>
        <v>111482</v>
      </c>
    </row>
    <row r="1200" spans="2:24">
      <c r="B1200" t="s">
        <v>462</v>
      </c>
      <c r="C1200" t="s">
        <v>62</v>
      </c>
      <c r="D1200" t="s">
        <v>556</v>
      </c>
      <c r="E1200" t="s">
        <v>556</v>
      </c>
      <c r="F1200">
        <v>2</v>
      </c>
      <c r="G1200">
        <v>85</v>
      </c>
      <c r="H1200">
        <v>774</v>
      </c>
      <c r="I1200" s="122">
        <v>16559</v>
      </c>
      <c r="J1200" s="122">
        <v>13799</v>
      </c>
      <c r="K1200">
        <v>55</v>
      </c>
      <c r="L1200" s="122">
        <v>2277</v>
      </c>
      <c r="M1200">
        <v>843</v>
      </c>
      <c r="N1200" s="122">
        <v>1408</v>
      </c>
      <c r="O1200">
        <v>521</v>
      </c>
      <c r="P1200">
        <v>702</v>
      </c>
      <c r="Q1200">
        <v>260</v>
      </c>
      <c r="R1200" s="122">
        <v>8795</v>
      </c>
      <c r="S1200" s="122">
        <v>7329</v>
      </c>
      <c r="T1200" s="122">
        <v>3187</v>
      </c>
      <c r="U1200" s="122">
        <v>1180</v>
      </c>
      <c r="V1200" s="122">
        <v>23933</v>
      </c>
      <c r="W1200" s="122">
        <f t="shared" si="38"/>
        <v>23932</v>
      </c>
      <c r="X1200" s="122">
        <f t="shared" si="39"/>
        <v>32928</v>
      </c>
    </row>
    <row r="1201" spans="2:24">
      <c r="B1201" t="s">
        <v>462</v>
      </c>
      <c r="C1201" t="s">
        <v>62</v>
      </c>
      <c r="D1201" t="s">
        <v>426</v>
      </c>
      <c r="E1201" t="s">
        <v>426</v>
      </c>
      <c r="F1201">
        <v>2</v>
      </c>
      <c r="G1201">
        <v>100</v>
      </c>
      <c r="H1201">
        <v>864</v>
      </c>
      <c r="I1201" s="122">
        <v>27687</v>
      </c>
      <c r="J1201" s="122">
        <v>25170</v>
      </c>
      <c r="K1201">
        <v>55</v>
      </c>
      <c r="L1201" s="122">
        <v>1754</v>
      </c>
      <c r="M1201">
        <v>649</v>
      </c>
      <c r="N1201" s="122">
        <v>2070</v>
      </c>
      <c r="O1201">
        <v>767</v>
      </c>
      <c r="P1201">
        <v>702</v>
      </c>
      <c r="Q1201">
        <v>260</v>
      </c>
      <c r="R1201" s="122">
        <v>7855</v>
      </c>
      <c r="S1201" s="122">
        <v>7141</v>
      </c>
      <c r="T1201" s="122">
        <v>3049</v>
      </c>
      <c r="U1201" s="122">
        <v>1129</v>
      </c>
      <c r="V1201" s="122">
        <v>35116</v>
      </c>
      <c r="W1201" s="122">
        <f t="shared" si="38"/>
        <v>35116</v>
      </c>
      <c r="X1201" s="122">
        <f t="shared" si="39"/>
        <v>43117</v>
      </c>
    </row>
    <row r="1202" spans="2:24">
      <c r="B1202" t="s">
        <v>462</v>
      </c>
      <c r="C1202" t="s">
        <v>64</v>
      </c>
      <c r="F1202">
        <v>5</v>
      </c>
      <c r="G1202">
        <v>250</v>
      </c>
      <c r="H1202" s="122">
        <v>2576</v>
      </c>
      <c r="J1202">
        <v>0</v>
      </c>
      <c r="M1202">
        <v>0</v>
      </c>
      <c r="N1202" s="122">
        <v>6540</v>
      </c>
      <c r="O1202" s="122">
        <v>2422</v>
      </c>
      <c r="P1202">
        <v>621</v>
      </c>
      <c r="Q1202">
        <v>230</v>
      </c>
      <c r="S1202">
        <v>0</v>
      </c>
      <c r="T1202" s="122">
        <v>2291</v>
      </c>
      <c r="U1202">
        <v>849</v>
      </c>
      <c r="V1202" s="122">
        <v>3501</v>
      </c>
      <c r="W1202" s="122">
        <f t="shared" si="38"/>
        <v>3501</v>
      </c>
      <c r="X1202" s="122">
        <f t="shared" si="39"/>
        <v>9452</v>
      </c>
    </row>
    <row r="1203" spans="2:24">
      <c r="B1203" t="s">
        <v>462</v>
      </c>
      <c r="C1203" t="s">
        <v>64</v>
      </c>
      <c r="D1203" t="s">
        <v>137</v>
      </c>
      <c r="E1203" t="s">
        <v>137</v>
      </c>
      <c r="F1203">
        <v>74</v>
      </c>
      <c r="G1203" s="122">
        <v>3503</v>
      </c>
      <c r="H1203" s="122">
        <v>44459</v>
      </c>
      <c r="I1203" s="122">
        <v>1469771</v>
      </c>
      <c r="J1203" s="122">
        <v>544360</v>
      </c>
      <c r="K1203">
        <v>100</v>
      </c>
      <c r="L1203" s="122">
        <v>168814</v>
      </c>
      <c r="M1203" s="122">
        <v>87592</v>
      </c>
      <c r="N1203" s="122">
        <v>72918</v>
      </c>
      <c r="O1203" s="122">
        <v>27007</v>
      </c>
      <c r="P1203">
        <v>351</v>
      </c>
      <c r="Q1203">
        <v>130</v>
      </c>
      <c r="R1203" s="122">
        <v>409761</v>
      </c>
      <c r="S1203" s="122">
        <v>151763</v>
      </c>
      <c r="T1203">
        <v>0</v>
      </c>
      <c r="U1203">
        <v>0</v>
      </c>
      <c r="V1203" s="122">
        <v>810851</v>
      </c>
      <c r="W1203" s="122">
        <f t="shared" si="38"/>
        <v>810852</v>
      </c>
      <c r="X1203" s="122">
        <f t="shared" si="39"/>
        <v>2121615</v>
      </c>
    </row>
    <row r="1204" spans="2:24">
      <c r="B1204" t="s">
        <v>462</v>
      </c>
      <c r="C1204" t="s">
        <v>64</v>
      </c>
      <c r="D1204" t="s">
        <v>406</v>
      </c>
      <c r="E1204" t="s">
        <v>406</v>
      </c>
      <c r="F1204">
        <v>2</v>
      </c>
      <c r="G1204">
        <v>205</v>
      </c>
      <c r="H1204" s="122">
        <v>1343</v>
      </c>
      <c r="I1204" s="122">
        <v>93924</v>
      </c>
      <c r="J1204" s="122">
        <v>85385</v>
      </c>
      <c r="K1204">
        <v>56</v>
      </c>
      <c r="L1204" s="122">
        <v>20367</v>
      </c>
      <c r="M1204" s="122">
        <v>16973</v>
      </c>
      <c r="N1204" s="122">
        <v>4771</v>
      </c>
      <c r="O1204" s="122">
        <v>1767</v>
      </c>
      <c r="P1204" s="122">
        <v>1242</v>
      </c>
      <c r="Q1204">
        <v>460</v>
      </c>
      <c r="R1204" s="122">
        <v>10709</v>
      </c>
      <c r="S1204" s="122">
        <v>9735</v>
      </c>
      <c r="T1204" s="122">
        <v>4459</v>
      </c>
      <c r="U1204" s="122">
        <v>1651</v>
      </c>
      <c r="V1204" s="122">
        <v>115972</v>
      </c>
      <c r="W1204" s="122">
        <f t="shared" si="38"/>
        <v>115971</v>
      </c>
      <c r="X1204" s="122">
        <f t="shared" si="39"/>
        <v>135472</v>
      </c>
    </row>
    <row r="1205" spans="2:24">
      <c r="B1205" t="s">
        <v>462</v>
      </c>
      <c r="C1205" t="s">
        <v>64</v>
      </c>
      <c r="D1205" t="s">
        <v>556</v>
      </c>
      <c r="E1205" t="s">
        <v>556</v>
      </c>
      <c r="F1205">
        <v>1</v>
      </c>
      <c r="G1205">
        <v>34</v>
      </c>
      <c r="H1205">
        <v>461</v>
      </c>
      <c r="I1205" s="122">
        <v>7933</v>
      </c>
      <c r="J1205" s="122">
        <v>6611</v>
      </c>
      <c r="K1205">
        <v>55</v>
      </c>
      <c r="L1205" s="122">
        <v>1091</v>
      </c>
      <c r="M1205">
        <v>404</v>
      </c>
      <c r="N1205">
        <v>491</v>
      </c>
      <c r="O1205">
        <v>182</v>
      </c>
      <c r="P1205">
        <v>351</v>
      </c>
      <c r="Q1205">
        <v>130</v>
      </c>
      <c r="R1205" s="122">
        <v>4178</v>
      </c>
      <c r="S1205" s="122">
        <v>3481</v>
      </c>
      <c r="T1205" s="122">
        <v>1459</v>
      </c>
      <c r="U1205">
        <v>540</v>
      </c>
      <c r="V1205" s="122">
        <v>11349</v>
      </c>
      <c r="W1205" s="122">
        <f t="shared" si="38"/>
        <v>11348</v>
      </c>
      <c r="X1205" s="122">
        <f t="shared" si="39"/>
        <v>15503</v>
      </c>
    </row>
    <row r="1206" spans="2:24">
      <c r="B1206" t="s">
        <v>463</v>
      </c>
      <c r="C1206" t="s">
        <v>48</v>
      </c>
      <c r="D1206" t="s">
        <v>137</v>
      </c>
      <c r="E1206" t="s">
        <v>137</v>
      </c>
      <c r="F1206">
        <v>6</v>
      </c>
      <c r="G1206">
        <v>913</v>
      </c>
      <c r="H1206">
        <v>392</v>
      </c>
      <c r="I1206" s="122">
        <v>8087</v>
      </c>
      <c r="J1206" s="122">
        <v>2995</v>
      </c>
      <c r="K1206">
        <v>408</v>
      </c>
      <c r="L1206">
        <v>339</v>
      </c>
      <c r="M1206">
        <v>308</v>
      </c>
      <c r="N1206" s="122">
        <v>15296</v>
      </c>
      <c r="O1206" s="122">
        <v>5665</v>
      </c>
      <c r="P1206" s="122">
        <v>9388</v>
      </c>
      <c r="Q1206" s="122">
        <v>3477</v>
      </c>
      <c r="R1206" s="122">
        <v>23195</v>
      </c>
      <c r="S1206" s="122">
        <v>8591</v>
      </c>
      <c r="T1206">
        <v>0</v>
      </c>
      <c r="U1206">
        <v>0</v>
      </c>
      <c r="V1206" s="122">
        <v>21036</v>
      </c>
      <c r="W1206" s="122">
        <f t="shared" si="38"/>
        <v>21036</v>
      </c>
      <c r="X1206" s="122">
        <f t="shared" si="39"/>
        <v>56305</v>
      </c>
    </row>
    <row r="1207" spans="2:24">
      <c r="B1207" t="s">
        <v>463</v>
      </c>
      <c r="C1207" t="s">
        <v>48</v>
      </c>
      <c r="D1207" t="s">
        <v>406</v>
      </c>
      <c r="E1207" t="s">
        <v>406</v>
      </c>
      <c r="F1207">
        <v>1</v>
      </c>
      <c r="G1207">
        <v>75</v>
      </c>
      <c r="H1207">
        <v>68</v>
      </c>
      <c r="I1207">
        <v>288</v>
      </c>
      <c r="J1207">
        <v>261</v>
      </c>
      <c r="K1207">
        <v>97</v>
      </c>
      <c r="L1207">
        <v>42</v>
      </c>
      <c r="M1207">
        <v>39</v>
      </c>
      <c r="N1207">
        <v>910</v>
      </c>
      <c r="O1207">
        <v>337</v>
      </c>
      <c r="P1207">
        <v>621</v>
      </c>
      <c r="Q1207">
        <v>230</v>
      </c>
      <c r="R1207" s="122">
        <v>3231</v>
      </c>
      <c r="S1207" s="122">
        <v>2937</v>
      </c>
      <c r="T1207">
        <v>0</v>
      </c>
      <c r="U1207">
        <v>0</v>
      </c>
      <c r="V1207" s="122">
        <v>3804</v>
      </c>
      <c r="W1207" s="122">
        <f t="shared" si="38"/>
        <v>3804</v>
      </c>
      <c r="X1207" s="122">
        <f t="shared" si="39"/>
        <v>5092</v>
      </c>
    </row>
    <row r="1208" spans="2:24">
      <c r="B1208" t="s">
        <v>463</v>
      </c>
      <c r="C1208" t="s">
        <v>48</v>
      </c>
      <c r="D1208" t="s">
        <v>407</v>
      </c>
      <c r="E1208" t="s">
        <v>407</v>
      </c>
      <c r="F1208">
        <v>5</v>
      </c>
      <c r="G1208">
        <v>328</v>
      </c>
      <c r="H1208">
        <v>339</v>
      </c>
      <c r="I1208" s="122">
        <v>4411</v>
      </c>
      <c r="J1208" s="122">
        <v>4010</v>
      </c>
      <c r="K1208">
        <v>91</v>
      </c>
      <c r="L1208">
        <v>0</v>
      </c>
      <c r="M1208">
        <v>0</v>
      </c>
      <c r="N1208" s="122">
        <v>6398</v>
      </c>
      <c r="O1208" s="122">
        <v>2370</v>
      </c>
      <c r="P1208" s="122">
        <v>2363</v>
      </c>
      <c r="Q1208">
        <v>875</v>
      </c>
      <c r="R1208" s="122">
        <v>9074</v>
      </c>
      <c r="S1208" s="122">
        <v>8249</v>
      </c>
      <c r="T1208">
        <v>0</v>
      </c>
      <c r="U1208">
        <v>0</v>
      </c>
      <c r="V1208" s="122">
        <v>15503</v>
      </c>
      <c r="W1208" s="122">
        <f t="shared" si="38"/>
        <v>15504</v>
      </c>
      <c r="X1208" s="122">
        <f t="shared" si="39"/>
        <v>22246</v>
      </c>
    </row>
    <row r="1209" spans="2:24">
      <c r="B1209" t="s">
        <v>463</v>
      </c>
      <c r="C1209" t="s">
        <v>50</v>
      </c>
      <c r="F1209">
        <v>7</v>
      </c>
      <c r="G1209">
        <v>628</v>
      </c>
      <c r="H1209">
        <v>654</v>
      </c>
      <c r="J1209">
        <v>0</v>
      </c>
      <c r="M1209">
        <v>0</v>
      </c>
      <c r="N1209" s="122">
        <v>12756</v>
      </c>
      <c r="O1209" s="122">
        <v>4725</v>
      </c>
      <c r="P1209" s="122">
        <v>2457</v>
      </c>
      <c r="Q1209">
        <v>910</v>
      </c>
      <c r="S1209">
        <v>0</v>
      </c>
      <c r="T1209">
        <v>0</v>
      </c>
      <c r="U1209">
        <v>0</v>
      </c>
      <c r="V1209" s="122">
        <v>5635</v>
      </c>
      <c r="W1209" s="122">
        <f t="shared" si="38"/>
        <v>5635</v>
      </c>
      <c r="X1209" s="122">
        <f t="shared" si="39"/>
        <v>15213</v>
      </c>
    </row>
    <row r="1210" spans="2:24">
      <c r="B1210" t="s">
        <v>463</v>
      </c>
      <c r="C1210" t="s">
        <v>50</v>
      </c>
      <c r="D1210" t="s">
        <v>405</v>
      </c>
      <c r="E1210" t="s">
        <v>405</v>
      </c>
      <c r="F1210">
        <v>1</v>
      </c>
      <c r="G1210">
        <v>87</v>
      </c>
      <c r="H1210">
        <v>100</v>
      </c>
      <c r="I1210" s="122">
        <v>3372</v>
      </c>
      <c r="J1210" s="122">
        <v>3066</v>
      </c>
      <c r="K1210">
        <v>91</v>
      </c>
      <c r="L1210">
        <v>841</v>
      </c>
      <c r="M1210">
        <v>311</v>
      </c>
      <c r="N1210" s="122">
        <v>2009</v>
      </c>
      <c r="O1210">
        <v>744</v>
      </c>
      <c r="P1210">
        <v>473</v>
      </c>
      <c r="Q1210">
        <v>175</v>
      </c>
      <c r="R1210" s="122">
        <v>1958</v>
      </c>
      <c r="S1210" s="122">
        <v>1780</v>
      </c>
      <c r="T1210">
        <v>0</v>
      </c>
      <c r="U1210">
        <v>0</v>
      </c>
      <c r="V1210" s="122">
        <v>6076</v>
      </c>
      <c r="W1210" s="122">
        <f t="shared" si="38"/>
        <v>6076</v>
      </c>
      <c r="X1210" s="122">
        <f t="shared" si="39"/>
        <v>8653</v>
      </c>
    </row>
    <row r="1211" spans="2:24">
      <c r="B1211" t="s">
        <v>463</v>
      </c>
      <c r="C1211" t="s">
        <v>50</v>
      </c>
      <c r="D1211" t="s">
        <v>137</v>
      </c>
      <c r="E1211" t="s">
        <v>137</v>
      </c>
      <c r="F1211">
        <v>7</v>
      </c>
      <c r="G1211">
        <v>695</v>
      </c>
      <c r="H1211">
        <v>642</v>
      </c>
      <c r="I1211" s="122">
        <v>15955</v>
      </c>
      <c r="J1211" s="122">
        <v>5909</v>
      </c>
      <c r="K1211">
        <v>451</v>
      </c>
      <c r="L1211" s="122">
        <v>1964</v>
      </c>
      <c r="M1211" s="122">
        <v>1785</v>
      </c>
      <c r="N1211" s="122">
        <v>12608</v>
      </c>
      <c r="O1211" s="122">
        <v>4670</v>
      </c>
      <c r="P1211" s="122">
        <v>8323</v>
      </c>
      <c r="Q1211" s="122">
        <v>3082</v>
      </c>
      <c r="R1211" s="122">
        <v>24416</v>
      </c>
      <c r="S1211" s="122">
        <v>9043</v>
      </c>
      <c r="T1211">
        <v>0</v>
      </c>
      <c r="U1211">
        <v>0</v>
      </c>
      <c r="V1211" s="122">
        <v>24490</v>
      </c>
      <c r="W1211" s="122">
        <f t="shared" si="38"/>
        <v>24489</v>
      </c>
      <c r="X1211" s="122">
        <f t="shared" si="39"/>
        <v>63266</v>
      </c>
    </row>
    <row r="1212" spans="2:24">
      <c r="B1212" t="s">
        <v>463</v>
      </c>
      <c r="C1212" t="s">
        <v>50</v>
      </c>
      <c r="D1212" t="s">
        <v>406</v>
      </c>
      <c r="E1212" t="s">
        <v>406</v>
      </c>
      <c r="F1212">
        <v>3</v>
      </c>
      <c r="G1212">
        <v>416</v>
      </c>
      <c r="H1212">
        <v>286</v>
      </c>
      <c r="I1212" s="122">
        <v>20081</v>
      </c>
      <c r="J1212" s="122">
        <v>18255</v>
      </c>
      <c r="K1212">
        <v>94</v>
      </c>
      <c r="L1212" s="122">
        <v>1701</v>
      </c>
      <c r="M1212" s="122">
        <v>1546</v>
      </c>
      <c r="N1212" s="122">
        <v>5190</v>
      </c>
      <c r="O1212" s="122">
        <v>1922</v>
      </c>
      <c r="P1212" s="122">
        <v>2565</v>
      </c>
      <c r="Q1212">
        <v>950</v>
      </c>
      <c r="R1212" s="122">
        <v>9243</v>
      </c>
      <c r="S1212" s="122">
        <v>8403</v>
      </c>
      <c r="T1212">
        <v>0</v>
      </c>
      <c r="U1212">
        <v>0</v>
      </c>
      <c r="V1212" s="122">
        <v>31077</v>
      </c>
      <c r="W1212" s="122">
        <f t="shared" si="38"/>
        <v>31076</v>
      </c>
      <c r="X1212" s="122">
        <f t="shared" si="39"/>
        <v>38780</v>
      </c>
    </row>
    <row r="1213" spans="2:24">
      <c r="B1213" t="s">
        <v>463</v>
      </c>
      <c r="C1213" t="s">
        <v>50</v>
      </c>
      <c r="D1213" t="s">
        <v>407</v>
      </c>
      <c r="E1213" t="s">
        <v>407</v>
      </c>
      <c r="F1213">
        <v>15</v>
      </c>
      <c r="G1213" s="122">
        <v>1223</v>
      </c>
      <c r="H1213" s="122">
        <v>1309</v>
      </c>
      <c r="I1213" s="122">
        <v>32963</v>
      </c>
      <c r="J1213" s="122">
        <v>29966</v>
      </c>
      <c r="K1213">
        <v>90</v>
      </c>
      <c r="L1213" s="122">
        <v>2425</v>
      </c>
      <c r="M1213">
        <v>898</v>
      </c>
      <c r="N1213" s="122">
        <v>22470</v>
      </c>
      <c r="O1213" s="122">
        <v>8322</v>
      </c>
      <c r="P1213" s="122">
        <v>7088</v>
      </c>
      <c r="Q1213" s="122">
        <v>2625</v>
      </c>
      <c r="R1213" s="122">
        <v>43178</v>
      </c>
      <c r="S1213" s="122">
        <v>39253</v>
      </c>
      <c r="T1213">
        <v>0</v>
      </c>
      <c r="U1213">
        <v>0</v>
      </c>
      <c r="V1213" s="122">
        <v>81065</v>
      </c>
      <c r="W1213" s="122">
        <f t="shared" si="38"/>
        <v>81064</v>
      </c>
      <c r="X1213" s="122">
        <f t="shared" si="39"/>
        <v>108124</v>
      </c>
    </row>
    <row r="1214" spans="2:24">
      <c r="B1214" t="s">
        <v>463</v>
      </c>
      <c r="C1214" t="s">
        <v>52</v>
      </c>
      <c r="F1214">
        <v>15</v>
      </c>
      <c r="G1214" s="122">
        <v>1447</v>
      </c>
      <c r="H1214" s="122">
        <v>1689</v>
      </c>
      <c r="J1214">
        <v>0</v>
      </c>
      <c r="M1214">
        <v>0</v>
      </c>
      <c r="N1214" s="122">
        <v>24561</v>
      </c>
      <c r="O1214" s="122">
        <v>9097</v>
      </c>
      <c r="P1214" s="122">
        <v>5616</v>
      </c>
      <c r="Q1214" s="122">
        <v>2080</v>
      </c>
      <c r="S1214">
        <v>0</v>
      </c>
      <c r="T1214">
        <v>0</v>
      </c>
      <c r="U1214">
        <v>0</v>
      </c>
      <c r="V1214" s="122">
        <v>11177</v>
      </c>
      <c r="W1214" s="122">
        <f t="shared" si="38"/>
        <v>11177</v>
      </c>
      <c r="X1214" s="122">
        <f t="shared" si="39"/>
        <v>30177</v>
      </c>
    </row>
    <row r="1215" spans="2:24">
      <c r="B1215" t="s">
        <v>463</v>
      </c>
      <c r="C1215" t="s">
        <v>52</v>
      </c>
      <c r="D1215" t="s">
        <v>405</v>
      </c>
      <c r="E1215" t="s">
        <v>405</v>
      </c>
      <c r="F1215">
        <v>4</v>
      </c>
      <c r="G1215">
        <v>676</v>
      </c>
      <c r="H1215">
        <v>479</v>
      </c>
      <c r="I1215" s="122">
        <v>40185</v>
      </c>
      <c r="J1215" s="122">
        <v>36532</v>
      </c>
      <c r="K1215">
        <v>89</v>
      </c>
      <c r="L1215" s="122">
        <v>4201</v>
      </c>
      <c r="M1215" s="122">
        <v>3540</v>
      </c>
      <c r="N1215" s="122">
        <v>13978</v>
      </c>
      <c r="O1215" s="122">
        <v>5177</v>
      </c>
      <c r="P1215" s="122">
        <v>2592</v>
      </c>
      <c r="Q1215">
        <v>960</v>
      </c>
      <c r="R1215" s="122">
        <v>18673</v>
      </c>
      <c r="S1215" s="122">
        <v>16975</v>
      </c>
      <c r="T1215">
        <v>0</v>
      </c>
      <c r="U1215">
        <v>0</v>
      </c>
      <c r="V1215" s="122">
        <v>63184</v>
      </c>
      <c r="W1215" s="122">
        <f t="shared" si="38"/>
        <v>63184</v>
      </c>
      <c r="X1215" s="122">
        <f t="shared" si="39"/>
        <v>79629</v>
      </c>
    </row>
    <row r="1216" spans="2:24">
      <c r="B1216" t="s">
        <v>463</v>
      </c>
      <c r="C1216" t="s">
        <v>52</v>
      </c>
      <c r="D1216" t="s">
        <v>137</v>
      </c>
      <c r="E1216" t="s">
        <v>137</v>
      </c>
      <c r="F1216">
        <v>8</v>
      </c>
      <c r="G1216">
        <v>551</v>
      </c>
      <c r="H1216">
        <v>901</v>
      </c>
      <c r="I1216" s="122">
        <v>16147</v>
      </c>
      <c r="J1216" s="122">
        <v>5980</v>
      </c>
      <c r="K1216">
        <v>295</v>
      </c>
      <c r="L1216" s="122">
        <v>4105</v>
      </c>
      <c r="M1216" s="122">
        <v>2324</v>
      </c>
      <c r="N1216" s="122">
        <v>12126</v>
      </c>
      <c r="O1216" s="122">
        <v>4491</v>
      </c>
      <c r="P1216" s="122">
        <v>3404</v>
      </c>
      <c r="Q1216" s="122">
        <v>1261</v>
      </c>
      <c r="R1216" s="122">
        <v>26526</v>
      </c>
      <c r="S1216" s="122">
        <v>9824</v>
      </c>
      <c r="T1216">
        <v>0</v>
      </c>
      <c r="U1216">
        <v>0</v>
      </c>
      <c r="V1216" s="122">
        <v>23881</v>
      </c>
      <c r="W1216" s="122">
        <f t="shared" si="38"/>
        <v>23880</v>
      </c>
      <c r="X1216" s="122">
        <f t="shared" si="39"/>
        <v>62308</v>
      </c>
    </row>
    <row r="1217" spans="2:24">
      <c r="B1217" t="s">
        <v>463</v>
      </c>
      <c r="C1217" t="s">
        <v>52</v>
      </c>
      <c r="D1217" t="s">
        <v>406</v>
      </c>
      <c r="E1217" t="s">
        <v>406</v>
      </c>
      <c r="F1217">
        <v>4</v>
      </c>
      <c r="G1217">
        <v>463</v>
      </c>
      <c r="H1217">
        <v>464</v>
      </c>
      <c r="I1217" s="122">
        <v>32136</v>
      </c>
      <c r="J1217" s="122">
        <v>29215</v>
      </c>
      <c r="K1217">
        <v>94</v>
      </c>
      <c r="L1217" s="122">
        <v>5552</v>
      </c>
      <c r="M1217" s="122">
        <v>5048</v>
      </c>
      <c r="N1217" s="122">
        <v>6519</v>
      </c>
      <c r="O1217" s="122">
        <v>2414</v>
      </c>
      <c r="P1217" s="122">
        <v>2484</v>
      </c>
      <c r="Q1217">
        <v>920</v>
      </c>
      <c r="R1217" s="122">
        <v>13783</v>
      </c>
      <c r="S1217" s="122">
        <v>12530</v>
      </c>
      <c r="T1217">
        <v>0</v>
      </c>
      <c r="U1217">
        <v>0</v>
      </c>
      <c r="V1217" s="122">
        <v>50127</v>
      </c>
      <c r="W1217" s="122">
        <f t="shared" si="38"/>
        <v>50127</v>
      </c>
      <c r="X1217" s="122">
        <f t="shared" si="39"/>
        <v>60474</v>
      </c>
    </row>
    <row r="1218" spans="2:24">
      <c r="B1218" t="s">
        <v>463</v>
      </c>
      <c r="C1218" t="s">
        <v>52</v>
      </c>
      <c r="D1218" t="s">
        <v>407</v>
      </c>
      <c r="E1218" t="s">
        <v>407</v>
      </c>
      <c r="F1218">
        <v>35</v>
      </c>
      <c r="G1218" s="122">
        <v>3558</v>
      </c>
      <c r="H1218" s="122">
        <v>4059</v>
      </c>
      <c r="I1218" s="122">
        <v>178837</v>
      </c>
      <c r="J1218" s="122">
        <v>162579</v>
      </c>
      <c r="K1218">
        <v>88</v>
      </c>
      <c r="L1218" s="122">
        <v>9241</v>
      </c>
      <c r="M1218" s="122">
        <v>7394</v>
      </c>
      <c r="N1218" s="122">
        <v>67543</v>
      </c>
      <c r="O1218" s="122">
        <v>25016</v>
      </c>
      <c r="P1218" s="122">
        <v>20642</v>
      </c>
      <c r="Q1218" s="122">
        <v>7645</v>
      </c>
      <c r="R1218" s="122">
        <v>140364</v>
      </c>
      <c r="S1218" s="122">
        <v>127603</v>
      </c>
      <c r="T1218" s="122">
        <v>4924</v>
      </c>
      <c r="U1218" s="122">
        <v>1824</v>
      </c>
      <c r="V1218" s="122">
        <v>332061</v>
      </c>
      <c r="W1218" s="122">
        <f t="shared" si="38"/>
        <v>332061</v>
      </c>
      <c r="X1218" s="122">
        <f t="shared" si="39"/>
        <v>421551</v>
      </c>
    </row>
    <row r="1219" spans="2:24">
      <c r="B1219" t="s">
        <v>463</v>
      </c>
      <c r="C1219" t="s">
        <v>54</v>
      </c>
      <c r="F1219">
        <v>5</v>
      </c>
      <c r="G1219">
        <v>389</v>
      </c>
      <c r="H1219">
        <v>696</v>
      </c>
      <c r="J1219">
        <v>0</v>
      </c>
      <c r="M1219">
        <v>0</v>
      </c>
      <c r="N1219" s="122">
        <v>5759</v>
      </c>
      <c r="O1219" s="122">
        <v>2133</v>
      </c>
      <c r="P1219" s="122">
        <v>2106</v>
      </c>
      <c r="Q1219">
        <v>780</v>
      </c>
      <c r="S1219">
        <v>0</v>
      </c>
      <c r="T1219">
        <v>0</v>
      </c>
      <c r="U1219">
        <v>0</v>
      </c>
      <c r="V1219" s="122">
        <v>2913</v>
      </c>
      <c r="W1219" s="122">
        <f t="shared" si="38"/>
        <v>2913</v>
      </c>
      <c r="X1219" s="122">
        <f t="shared" si="39"/>
        <v>7865</v>
      </c>
    </row>
    <row r="1220" spans="2:24">
      <c r="B1220" t="s">
        <v>463</v>
      </c>
      <c r="C1220" t="s">
        <v>54</v>
      </c>
      <c r="D1220" t="s">
        <v>405</v>
      </c>
      <c r="E1220" t="s">
        <v>405</v>
      </c>
      <c r="F1220">
        <v>16</v>
      </c>
      <c r="G1220" s="122">
        <v>1617</v>
      </c>
      <c r="H1220" s="122">
        <v>2208</v>
      </c>
      <c r="I1220" s="122">
        <v>113507</v>
      </c>
      <c r="J1220" s="122">
        <v>103188</v>
      </c>
      <c r="K1220">
        <v>86</v>
      </c>
      <c r="L1220" s="122">
        <v>8083</v>
      </c>
      <c r="M1220" s="122">
        <v>7091</v>
      </c>
      <c r="N1220" s="122">
        <v>30785</v>
      </c>
      <c r="O1220" s="122">
        <v>11402</v>
      </c>
      <c r="P1220" s="122">
        <v>6953</v>
      </c>
      <c r="Q1220" s="122">
        <v>2575</v>
      </c>
      <c r="R1220" s="122">
        <v>59496</v>
      </c>
      <c r="S1220" s="122">
        <v>54087</v>
      </c>
      <c r="T1220" s="122">
        <v>3578</v>
      </c>
      <c r="U1220" s="122">
        <v>1325</v>
      </c>
      <c r="V1220" s="122">
        <v>179668</v>
      </c>
      <c r="W1220" s="122">
        <f t="shared" si="38"/>
        <v>179668</v>
      </c>
      <c r="X1220" s="122">
        <f t="shared" si="39"/>
        <v>222402</v>
      </c>
    </row>
    <row r="1221" spans="2:24">
      <c r="B1221" t="s">
        <v>463</v>
      </c>
      <c r="C1221" t="s">
        <v>54</v>
      </c>
      <c r="D1221" t="s">
        <v>137</v>
      </c>
      <c r="E1221" t="s">
        <v>137</v>
      </c>
      <c r="F1221">
        <v>13</v>
      </c>
      <c r="G1221">
        <v>933</v>
      </c>
      <c r="H1221" s="122">
        <v>1828</v>
      </c>
      <c r="I1221" s="122">
        <v>43888</v>
      </c>
      <c r="J1221" s="122">
        <v>16255</v>
      </c>
      <c r="K1221">
        <v>193</v>
      </c>
      <c r="L1221" s="122">
        <v>6032</v>
      </c>
      <c r="M1221" s="122">
        <v>3721</v>
      </c>
      <c r="N1221" s="122">
        <v>15967</v>
      </c>
      <c r="O1221" s="122">
        <v>5914</v>
      </c>
      <c r="P1221" s="122">
        <v>1670</v>
      </c>
      <c r="Q1221">
        <v>618</v>
      </c>
      <c r="R1221" s="122">
        <v>64397</v>
      </c>
      <c r="S1221" s="122">
        <v>23851</v>
      </c>
      <c r="T1221">
        <v>0</v>
      </c>
      <c r="U1221">
        <v>0</v>
      </c>
      <c r="V1221" s="122">
        <v>50359</v>
      </c>
      <c r="W1221" s="122">
        <f t="shared" si="38"/>
        <v>50359</v>
      </c>
      <c r="X1221" s="122">
        <f t="shared" si="39"/>
        <v>131954</v>
      </c>
    </row>
    <row r="1222" spans="2:24">
      <c r="B1222" t="s">
        <v>463</v>
      </c>
      <c r="C1222" t="s">
        <v>54</v>
      </c>
      <c r="D1222" t="s">
        <v>406</v>
      </c>
      <c r="E1222" t="s">
        <v>406</v>
      </c>
      <c r="F1222">
        <v>9</v>
      </c>
      <c r="G1222" s="122">
        <v>1819</v>
      </c>
      <c r="H1222" s="122">
        <v>1264</v>
      </c>
      <c r="I1222" s="122">
        <v>146932</v>
      </c>
      <c r="J1222" s="122">
        <v>133575</v>
      </c>
      <c r="K1222">
        <v>90</v>
      </c>
      <c r="L1222" s="122">
        <v>24397</v>
      </c>
      <c r="M1222" s="122">
        <v>22179</v>
      </c>
      <c r="N1222" s="122">
        <v>34580</v>
      </c>
      <c r="O1222" s="122">
        <v>12807</v>
      </c>
      <c r="P1222" s="122">
        <v>5049</v>
      </c>
      <c r="Q1222" s="122">
        <v>1870</v>
      </c>
      <c r="R1222" s="122">
        <v>49935</v>
      </c>
      <c r="S1222" s="122">
        <v>45395</v>
      </c>
      <c r="T1222" s="122">
        <v>6155</v>
      </c>
      <c r="U1222" s="122">
        <v>2280</v>
      </c>
      <c r="V1222" s="122">
        <v>218106</v>
      </c>
      <c r="W1222" s="122">
        <f t="shared" si="38"/>
        <v>218106</v>
      </c>
      <c r="X1222" s="122">
        <f t="shared" si="39"/>
        <v>267048</v>
      </c>
    </row>
    <row r="1223" spans="2:24">
      <c r="B1223" t="s">
        <v>463</v>
      </c>
      <c r="C1223" t="s">
        <v>54</v>
      </c>
      <c r="D1223" t="s">
        <v>407</v>
      </c>
      <c r="E1223" t="s">
        <v>407</v>
      </c>
      <c r="F1223">
        <v>88</v>
      </c>
      <c r="G1223" s="122">
        <v>7109</v>
      </c>
      <c r="H1223" s="122">
        <v>12297</v>
      </c>
      <c r="I1223" s="122">
        <v>402770</v>
      </c>
      <c r="J1223" s="122">
        <v>366155</v>
      </c>
      <c r="K1223">
        <v>85</v>
      </c>
      <c r="L1223" s="122">
        <v>54405</v>
      </c>
      <c r="M1223" s="122">
        <v>39339</v>
      </c>
      <c r="N1223" s="122">
        <v>141065</v>
      </c>
      <c r="O1223" s="122">
        <v>52246</v>
      </c>
      <c r="P1223" s="122">
        <v>44687</v>
      </c>
      <c r="Q1223" s="122">
        <v>16551</v>
      </c>
      <c r="R1223" s="122">
        <v>343180</v>
      </c>
      <c r="S1223" s="122">
        <v>311982</v>
      </c>
      <c r="T1223" s="122">
        <v>17453</v>
      </c>
      <c r="U1223" s="122">
        <v>6464</v>
      </c>
      <c r="V1223" s="122">
        <v>792737</v>
      </c>
      <c r="W1223" s="122">
        <f t="shared" si="38"/>
        <v>792737</v>
      </c>
      <c r="X1223" s="122">
        <f t="shared" si="39"/>
        <v>1003560</v>
      </c>
    </row>
    <row r="1224" spans="2:24">
      <c r="B1224" t="s">
        <v>463</v>
      </c>
      <c r="C1224" t="s">
        <v>56</v>
      </c>
      <c r="F1224">
        <v>9</v>
      </c>
      <c r="G1224">
        <v>570</v>
      </c>
      <c r="H1224" s="122">
        <v>1720</v>
      </c>
      <c r="J1224">
        <v>0</v>
      </c>
      <c r="M1224">
        <v>0</v>
      </c>
      <c r="N1224" s="122">
        <v>9220</v>
      </c>
      <c r="O1224" s="122">
        <v>3415</v>
      </c>
      <c r="P1224" s="122">
        <v>3279</v>
      </c>
      <c r="Q1224" s="122">
        <v>1215</v>
      </c>
      <c r="S1224">
        <v>0</v>
      </c>
      <c r="T1224">
        <v>0</v>
      </c>
      <c r="U1224">
        <v>0</v>
      </c>
      <c r="V1224" s="122">
        <v>4629</v>
      </c>
      <c r="W1224" s="122">
        <f t="shared" si="38"/>
        <v>4630</v>
      </c>
      <c r="X1224" s="122">
        <f t="shared" si="39"/>
        <v>12499</v>
      </c>
    </row>
    <row r="1225" spans="2:24">
      <c r="B1225" t="s">
        <v>463</v>
      </c>
      <c r="C1225" t="s">
        <v>56</v>
      </c>
      <c r="D1225" t="s">
        <v>425</v>
      </c>
      <c r="E1225" t="s">
        <v>425</v>
      </c>
      <c r="F1225">
        <v>1</v>
      </c>
      <c r="G1225">
        <v>63</v>
      </c>
      <c r="H1225">
        <v>216</v>
      </c>
      <c r="I1225" s="122">
        <v>6471</v>
      </c>
      <c r="J1225" s="122">
        <v>5883</v>
      </c>
      <c r="K1225">
        <v>79</v>
      </c>
      <c r="L1225">
        <v>0</v>
      </c>
      <c r="M1225">
        <v>0</v>
      </c>
      <c r="N1225" s="122">
        <v>1375</v>
      </c>
      <c r="O1225">
        <v>509</v>
      </c>
      <c r="P1225">
        <v>473</v>
      </c>
      <c r="Q1225">
        <v>175</v>
      </c>
      <c r="R1225" s="122">
        <v>5200</v>
      </c>
      <c r="S1225" s="122">
        <v>4727</v>
      </c>
      <c r="T1225">
        <v>0</v>
      </c>
      <c r="U1225">
        <v>0</v>
      </c>
      <c r="V1225" s="122">
        <v>11294</v>
      </c>
      <c r="W1225" s="122">
        <f t="shared" si="38"/>
        <v>11294</v>
      </c>
      <c r="X1225" s="122">
        <f t="shared" si="39"/>
        <v>13519</v>
      </c>
    </row>
    <row r="1226" spans="2:24">
      <c r="B1226" t="s">
        <v>463</v>
      </c>
      <c r="C1226" t="s">
        <v>56</v>
      </c>
      <c r="D1226" t="s">
        <v>405</v>
      </c>
      <c r="E1226" t="s">
        <v>405</v>
      </c>
      <c r="F1226">
        <v>43</v>
      </c>
      <c r="G1226" s="122">
        <v>3027</v>
      </c>
      <c r="H1226" s="122">
        <v>7847</v>
      </c>
      <c r="I1226" s="122">
        <v>286463</v>
      </c>
      <c r="J1226" s="122">
        <v>260421</v>
      </c>
      <c r="K1226">
        <v>85</v>
      </c>
      <c r="L1226" s="122">
        <v>44786</v>
      </c>
      <c r="M1226" s="122">
        <v>26462</v>
      </c>
      <c r="N1226" s="122">
        <v>54251</v>
      </c>
      <c r="O1226" s="122">
        <v>20093</v>
      </c>
      <c r="P1226" s="122">
        <v>19589</v>
      </c>
      <c r="Q1226" s="122">
        <v>7255</v>
      </c>
      <c r="R1226" s="122">
        <v>126986</v>
      </c>
      <c r="S1226" s="122">
        <v>115442</v>
      </c>
      <c r="T1226" s="122">
        <v>19917</v>
      </c>
      <c r="U1226" s="122">
        <v>7377</v>
      </c>
      <c r="V1226" s="122">
        <v>437050</v>
      </c>
      <c r="W1226" s="122">
        <f t="shared" si="38"/>
        <v>437050</v>
      </c>
      <c r="X1226" s="122">
        <f t="shared" si="39"/>
        <v>551992</v>
      </c>
    </row>
    <row r="1227" spans="2:24">
      <c r="B1227" t="s">
        <v>463</v>
      </c>
      <c r="C1227" t="s">
        <v>56</v>
      </c>
      <c r="D1227" t="s">
        <v>137</v>
      </c>
      <c r="E1227" t="s">
        <v>137</v>
      </c>
      <c r="F1227">
        <v>379</v>
      </c>
      <c r="G1227" s="122">
        <v>29081</v>
      </c>
      <c r="H1227" s="122">
        <v>76810</v>
      </c>
      <c r="I1227" s="122">
        <v>2547218</v>
      </c>
      <c r="J1227" s="122">
        <v>943414</v>
      </c>
      <c r="K1227">
        <v>103</v>
      </c>
      <c r="L1227" s="122">
        <v>334869</v>
      </c>
      <c r="M1227" s="122">
        <v>137950</v>
      </c>
      <c r="N1227" s="122">
        <v>578893</v>
      </c>
      <c r="O1227" s="122">
        <v>214405</v>
      </c>
      <c r="P1227" s="122">
        <v>12069</v>
      </c>
      <c r="Q1227" s="122">
        <v>4470</v>
      </c>
      <c r="R1227" s="122">
        <v>2513591</v>
      </c>
      <c r="S1227" s="122">
        <v>930960</v>
      </c>
      <c r="T1227">
        <v>0</v>
      </c>
      <c r="U1227">
        <v>0</v>
      </c>
      <c r="V1227" s="122">
        <v>2231199</v>
      </c>
      <c r="W1227" s="122">
        <f t="shared" si="38"/>
        <v>2231199</v>
      </c>
      <c r="X1227" s="122">
        <f t="shared" si="39"/>
        <v>5986640</v>
      </c>
    </row>
    <row r="1228" spans="2:24">
      <c r="B1228" t="s">
        <v>463</v>
      </c>
      <c r="C1228" t="s">
        <v>56</v>
      </c>
      <c r="D1228" t="s">
        <v>430</v>
      </c>
      <c r="E1228" t="s">
        <v>137</v>
      </c>
      <c r="F1228">
        <v>1</v>
      </c>
      <c r="G1228">
        <v>62</v>
      </c>
      <c r="H1228">
        <v>207</v>
      </c>
      <c r="I1228" s="122">
        <v>5372</v>
      </c>
      <c r="J1228" s="122">
        <v>1990</v>
      </c>
      <c r="K1228">
        <v>100</v>
      </c>
      <c r="L1228">
        <v>948</v>
      </c>
      <c r="M1228">
        <v>351</v>
      </c>
      <c r="N1228">
        <v>863</v>
      </c>
      <c r="O1228">
        <v>319</v>
      </c>
      <c r="P1228">
        <v>0</v>
      </c>
      <c r="Q1228">
        <v>0</v>
      </c>
      <c r="R1228" s="122">
        <v>5681</v>
      </c>
      <c r="S1228" s="122">
        <v>2104</v>
      </c>
      <c r="T1228">
        <v>0</v>
      </c>
      <c r="U1228">
        <v>0</v>
      </c>
      <c r="V1228" s="122">
        <v>4764</v>
      </c>
      <c r="W1228" s="122">
        <f t="shared" si="38"/>
        <v>4764</v>
      </c>
      <c r="X1228" s="122">
        <f t="shared" si="39"/>
        <v>12864</v>
      </c>
    </row>
    <row r="1229" spans="2:24">
      <c r="B1229" t="s">
        <v>463</v>
      </c>
      <c r="C1229" t="s">
        <v>56</v>
      </c>
      <c r="D1229" t="s">
        <v>406</v>
      </c>
      <c r="E1229" t="s">
        <v>137</v>
      </c>
      <c r="F1229">
        <v>1</v>
      </c>
      <c r="G1229">
        <v>71</v>
      </c>
      <c r="H1229">
        <v>196</v>
      </c>
      <c r="I1229" s="122">
        <v>5841</v>
      </c>
      <c r="J1229" s="122">
        <v>5310</v>
      </c>
      <c r="K1229">
        <v>95</v>
      </c>
      <c r="L1229">
        <v>0</v>
      </c>
      <c r="M1229">
        <v>0</v>
      </c>
      <c r="N1229" s="122">
        <v>1353</v>
      </c>
      <c r="O1229">
        <v>501</v>
      </c>
      <c r="P1229">
        <v>621</v>
      </c>
      <c r="Q1229">
        <v>230</v>
      </c>
      <c r="R1229" s="122">
        <v>6045</v>
      </c>
      <c r="S1229" s="122">
        <v>2239</v>
      </c>
      <c r="T1229">
        <v>0</v>
      </c>
      <c r="U1229">
        <v>0</v>
      </c>
      <c r="V1229" s="122">
        <v>8280</v>
      </c>
      <c r="W1229" s="122">
        <f t="shared" si="38"/>
        <v>8280</v>
      </c>
      <c r="X1229" s="122">
        <f t="shared" si="39"/>
        <v>13860</v>
      </c>
    </row>
    <row r="1230" spans="2:24">
      <c r="B1230" t="s">
        <v>463</v>
      </c>
      <c r="C1230" t="s">
        <v>56</v>
      </c>
      <c r="D1230" t="s">
        <v>406</v>
      </c>
      <c r="E1230" t="s">
        <v>406</v>
      </c>
      <c r="F1230">
        <v>102</v>
      </c>
      <c r="G1230" s="122">
        <v>11563</v>
      </c>
      <c r="H1230" s="122">
        <v>19523</v>
      </c>
      <c r="I1230" s="122">
        <v>1156218</v>
      </c>
      <c r="J1230" s="122">
        <v>1051107</v>
      </c>
      <c r="K1230">
        <v>85</v>
      </c>
      <c r="L1230" s="122">
        <v>246300</v>
      </c>
      <c r="M1230" s="122">
        <v>215393</v>
      </c>
      <c r="N1230" s="122">
        <v>227312</v>
      </c>
      <c r="O1230" s="122">
        <v>84190</v>
      </c>
      <c r="P1230" s="122">
        <v>67517</v>
      </c>
      <c r="Q1230" s="122">
        <v>25006</v>
      </c>
      <c r="R1230" s="122">
        <v>467256</v>
      </c>
      <c r="S1230" s="122">
        <v>424778</v>
      </c>
      <c r="T1230" s="122">
        <v>106817</v>
      </c>
      <c r="U1230" s="122">
        <v>39562</v>
      </c>
      <c r="V1230" s="122">
        <v>1840037</v>
      </c>
      <c r="W1230" s="122">
        <f t="shared" si="38"/>
        <v>1840036</v>
      </c>
      <c r="X1230" s="122">
        <f t="shared" si="39"/>
        <v>2271420</v>
      </c>
    </row>
    <row r="1231" spans="2:24">
      <c r="B1231" t="s">
        <v>463</v>
      </c>
      <c r="C1231" t="s">
        <v>56</v>
      </c>
      <c r="D1231" t="s">
        <v>407</v>
      </c>
      <c r="E1231" t="s">
        <v>137</v>
      </c>
      <c r="F1231">
        <v>1</v>
      </c>
      <c r="G1231">
        <v>66</v>
      </c>
      <c r="H1231">
        <v>190</v>
      </c>
      <c r="I1231">
        <v>619</v>
      </c>
      <c r="J1231">
        <v>562</v>
      </c>
      <c r="K1231">
        <v>78</v>
      </c>
      <c r="L1231">
        <v>81</v>
      </c>
      <c r="M1231">
        <v>74</v>
      </c>
      <c r="N1231" s="122">
        <v>1608</v>
      </c>
      <c r="O1231">
        <v>596</v>
      </c>
      <c r="P1231">
        <v>473</v>
      </c>
      <c r="Q1231">
        <v>175</v>
      </c>
      <c r="R1231" s="122">
        <v>9764</v>
      </c>
      <c r="S1231" s="122">
        <v>3616</v>
      </c>
      <c r="T1231">
        <v>0</v>
      </c>
      <c r="U1231">
        <v>0</v>
      </c>
      <c r="V1231" s="122">
        <v>5023</v>
      </c>
      <c r="W1231" s="122">
        <f t="shared" si="38"/>
        <v>5023</v>
      </c>
      <c r="X1231" s="122">
        <f t="shared" si="39"/>
        <v>12545</v>
      </c>
    </row>
    <row r="1232" spans="2:24">
      <c r="B1232" t="s">
        <v>463</v>
      </c>
      <c r="C1232" t="s">
        <v>56</v>
      </c>
      <c r="D1232" t="s">
        <v>407</v>
      </c>
      <c r="E1232" t="s">
        <v>407</v>
      </c>
      <c r="F1232">
        <v>361</v>
      </c>
      <c r="G1232" s="122">
        <v>25602</v>
      </c>
      <c r="H1232" s="122">
        <v>65986</v>
      </c>
      <c r="I1232" s="122">
        <v>2237584</v>
      </c>
      <c r="J1232" s="122">
        <v>2034168</v>
      </c>
      <c r="K1232">
        <v>80</v>
      </c>
      <c r="L1232" s="122">
        <v>191240</v>
      </c>
      <c r="M1232" s="122">
        <v>124813</v>
      </c>
      <c r="N1232" s="122">
        <v>518346</v>
      </c>
      <c r="O1232" s="122">
        <v>191980</v>
      </c>
      <c r="P1232" s="122">
        <v>171843</v>
      </c>
      <c r="Q1232" s="122">
        <v>63646</v>
      </c>
      <c r="R1232" s="122">
        <v>1484325</v>
      </c>
      <c r="S1232" s="122">
        <v>1349386</v>
      </c>
      <c r="T1232" s="122">
        <v>90639</v>
      </c>
      <c r="U1232" s="122">
        <v>33570</v>
      </c>
      <c r="V1232" s="122">
        <v>3797562</v>
      </c>
      <c r="W1232" s="122">
        <f t="shared" si="38"/>
        <v>3797563</v>
      </c>
      <c r="X1232" s="122">
        <f t="shared" si="39"/>
        <v>4693977</v>
      </c>
    </row>
    <row r="1233" spans="2:24">
      <c r="B1233" t="s">
        <v>463</v>
      </c>
      <c r="C1233" t="s">
        <v>58</v>
      </c>
      <c r="F1233">
        <v>12</v>
      </c>
      <c r="G1233">
        <v>371</v>
      </c>
      <c r="H1233" s="122">
        <v>3043</v>
      </c>
      <c r="J1233">
        <v>0</v>
      </c>
      <c r="M1233">
        <v>0</v>
      </c>
      <c r="N1233" s="122">
        <v>5996</v>
      </c>
      <c r="O1233" s="122">
        <v>2221</v>
      </c>
      <c r="P1233" s="122">
        <v>5670</v>
      </c>
      <c r="Q1233" s="122">
        <v>2100</v>
      </c>
      <c r="S1233">
        <v>0</v>
      </c>
      <c r="T1233">
        <v>0</v>
      </c>
      <c r="U1233">
        <v>0</v>
      </c>
      <c r="V1233" s="122">
        <v>4321</v>
      </c>
      <c r="W1233" s="122">
        <f t="shared" si="38"/>
        <v>4321</v>
      </c>
      <c r="X1233" s="122">
        <f t="shared" si="39"/>
        <v>11666</v>
      </c>
    </row>
    <row r="1234" spans="2:24">
      <c r="B1234" t="s">
        <v>463</v>
      </c>
      <c r="C1234" t="s">
        <v>58</v>
      </c>
      <c r="D1234" t="s">
        <v>405</v>
      </c>
      <c r="E1234" t="s">
        <v>405</v>
      </c>
      <c r="F1234">
        <v>11</v>
      </c>
      <c r="G1234">
        <v>695</v>
      </c>
      <c r="H1234" s="122">
        <v>2679</v>
      </c>
      <c r="I1234" s="122">
        <v>108581</v>
      </c>
      <c r="J1234" s="122">
        <v>98710</v>
      </c>
      <c r="K1234">
        <v>82</v>
      </c>
      <c r="L1234" s="122">
        <v>2028</v>
      </c>
      <c r="M1234">
        <v>751</v>
      </c>
      <c r="N1234" s="122">
        <v>12655</v>
      </c>
      <c r="O1234" s="122">
        <v>4687</v>
      </c>
      <c r="P1234" s="122">
        <v>4833</v>
      </c>
      <c r="Q1234" s="122">
        <v>1790</v>
      </c>
      <c r="R1234" s="122">
        <v>38882</v>
      </c>
      <c r="S1234" s="122">
        <v>35348</v>
      </c>
      <c r="T1234" s="122">
        <v>2817</v>
      </c>
      <c r="U1234" s="122">
        <v>1043</v>
      </c>
      <c r="V1234" s="122">
        <v>142328</v>
      </c>
      <c r="W1234" s="122">
        <f t="shared" si="38"/>
        <v>142329</v>
      </c>
      <c r="X1234" s="122">
        <f t="shared" si="39"/>
        <v>169796</v>
      </c>
    </row>
    <row r="1235" spans="2:24">
      <c r="B1235" t="s">
        <v>463</v>
      </c>
      <c r="C1235" t="s">
        <v>58</v>
      </c>
      <c r="D1235" t="s">
        <v>137</v>
      </c>
      <c r="E1235" t="s">
        <v>137</v>
      </c>
      <c r="F1235">
        <v>902</v>
      </c>
      <c r="G1235" s="122">
        <v>62527</v>
      </c>
      <c r="H1235" s="122">
        <v>239437</v>
      </c>
      <c r="I1235" s="122">
        <v>8634241</v>
      </c>
      <c r="J1235" s="122">
        <v>3197867</v>
      </c>
      <c r="K1235">
        <v>100</v>
      </c>
      <c r="L1235" s="122">
        <v>1182816</v>
      </c>
      <c r="M1235" s="122">
        <v>511510</v>
      </c>
      <c r="N1235" s="122">
        <v>1283720</v>
      </c>
      <c r="O1235" s="122">
        <v>475452</v>
      </c>
      <c r="P1235" s="122">
        <v>14925</v>
      </c>
      <c r="Q1235" s="122">
        <v>5528</v>
      </c>
      <c r="R1235" s="122">
        <v>5699395</v>
      </c>
      <c r="S1235" s="122">
        <v>2110887</v>
      </c>
      <c r="T1235" s="122">
        <v>2209</v>
      </c>
      <c r="U1235">
        <v>818</v>
      </c>
      <c r="V1235" s="122">
        <v>6302062</v>
      </c>
      <c r="W1235" s="122">
        <f t="shared" si="38"/>
        <v>6302062</v>
      </c>
      <c r="X1235" s="122">
        <f t="shared" si="39"/>
        <v>16817306</v>
      </c>
    </row>
    <row r="1236" spans="2:24">
      <c r="B1236" t="s">
        <v>463</v>
      </c>
      <c r="C1236" t="s">
        <v>58</v>
      </c>
      <c r="D1236" t="s">
        <v>137</v>
      </c>
      <c r="E1236" t="s">
        <v>406</v>
      </c>
      <c r="F1236">
        <v>1</v>
      </c>
      <c r="G1236">
        <v>53</v>
      </c>
      <c r="H1236">
        <v>242</v>
      </c>
      <c r="I1236" s="122">
        <v>7224</v>
      </c>
      <c r="J1236" s="122">
        <v>2676</v>
      </c>
      <c r="K1236">
        <v>100</v>
      </c>
      <c r="L1236">
        <v>0</v>
      </c>
      <c r="M1236">
        <v>0</v>
      </c>
      <c r="N1236" s="122">
        <v>1301</v>
      </c>
      <c r="O1236">
        <v>482</v>
      </c>
      <c r="P1236">
        <v>0</v>
      </c>
      <c r="Q1236">
        <v>0</v>
      </c>
      <c r="R1236" s="122">
        <v>4407</v>
      </c>
      <c r="S1236" s="122">
        <v>4006</v>
      </c>
      <c r="T1236">
        <v>0</v>
      </c>
      <c r="U1236">
        <v>0</v>
      </c>
      <c r="V1236" s="122">
        <v>7164</v>
      </c>
      <c r="W1236" s="122">
        <f t="shared" si="38"/>
        <v>7164</v>
      </c>
      <c r="X1236" s="122">
        <f t="shared" si="39"/>
        <v>12932</v>
      </c>
    </row>
    <row r="1237" spans="2:24">
      <c r="B1237" t="s">
        <v>463</v>
      </c>
      <c r="C1237" t="s">
        <v>58</v>
      </c>
      <c r="D1237" t="s">
        <v>406</v>
      </c>
      <c r="E1237" t="s">
        <v>406</v>
      </c>
      <c r="F1237">
        <v>71</v>
      </c>
      <c r="G1237" s="122">
        <v>6651</v>
      </c>
      <c r="H1237" s="122">
        <v>18847</v>
      </c>
      <c r="I1237" s="122">
        <v>983680</v>
      </c>
      <c r="J1237" s="122">
        <v>894254</v>
      </c>
      <c r="K1237">
        <v>80</v>
      </c>
      <c r="L1237" s="122">
        <v>186847</v>
      </c>
      <c r="M1237" s="122">
        <v>160164</v>
      </c>
      <c r="N1237" s="122">
        <v>127069</v>
      </c>
      <c r="O1237" s="122">
        <v>47063</v>
      </c>
      <c r="P1237" s="122">
        <v>47239</v>
      </c>
      <c r="Q1237" s="122">
        <v>17496</v>
      </c>
      <c r="R1237" s="122">
        <v>319155</v>
      </c>
      <c r="S1237" s="122">
        <v>290141</v>
      </c>
      <c r="T1237" s="122">
        <v>102559</v>
      </c>
      <c r="U1237" s="122">
        <v>37985</v>
      </c>
      <c r="V1237" s="122">
        <v>1447103</v>
      </c>
      <c r="W1237" s="122">
        <f t="shared" si="38"/>
        <v>1447103</v>
      </c>
      <c r="X1237" s="122">
        <f t="shared" si="39"/>
        <v>1766549</v>
      </c>
    </row>
    <row r="1238" spans="2:24">
      <c r="B1238" t="s">
        <v>463</v>
      </c>
      <c r="C1238" t="s">
        <v>58</v>
      </c>
      <c r="D1238" t="s">
        <v>427</v>
      </c>
      <c r="E1238" t="s">
        <v>427</v>
      </c>
      <c r="F1238">
        <v>1</v>
      </c>
      <c r="G1238">
        <v>88</v>
      </c>
      <c r="H1238">
        <v>271</v>
      </c>
      <c r="I1238" s="122">
        <v>13413</v>
      </c>
      <c r="J1238" s="122">
        <v>12193</v>
      </c>
      <c r="K1238">
        <v>65</v>
      </c>
      <c r="L1238" s="122">
        <v>2768</v>
      </c>
      <c r="M1238" s="122">
        <v>2516</v>
      </c>
      <c r="N1238" s="122">
        <v>1078</v>
      </c>
      <c r="O1238">
        <v>399</v>
      </c>
      <c r="P1238">
        <v>351</v>
      </c>
      <c r="Q1238">
        <v>130</v>
      </c>
      <c r="R1238" s="122">
        <v>6391</v>
      </c>
      <c r="S1238" s="122">
        <v>5810</v>
      </c>
      <c r="T1238">
        <v>0</v>
      </c>
      <c r="U1238">
        <v>0</v>
      </c>
      <c r="V1238" s="122">
        <v>21049</v>
      </c>
      <c r="W1238" s="122">
        <f t="shared" si="38"/>
        <v>21048</v>
      </c>
      <c r="X1238" s="122">
        <f t="shared" si="39"/>
        <v>24001</v>
      </c>
    </row>
    <row r="1239" spans="2:24">
      <c r="B1239" t="s">
        <v>463</v>
      </c>
      <c r="C1239" t="s">
        <v>58</v>
      </c>
      <c r="D1239" t="s">
        <v>407</v>
      </c>
      <c r="E1239" t="s">
        <v>407</v>
      </c>
      <c r="F1239">
        <v>63</v>
      </c>
      <c r="G1239" s="122">
        <v>3683</v>
      </c>
      <c r="H1239" s="122">
        <v>15606</v>
      </c>
      <c r="I1239" s="122">
        <v>493735</v>
      </c>
      <c r="J1239" s="122">
        <v>448850</v>
      </c>
      <c r="K1239">
        <v>78</v>
      </c>
      <c r="L1239" s="122">
        <v>38322</v>
      </c>
      <c r="M1239" s="122">
        <v>26338</v>
      </c>
      <c r="N1239" s="122">
        <v>76706</v>
      </c>
      <c r="O1239" s="122">
        <v>28410</v>
      </c>
      <c r="P1239" s="122">
        <v>29646</v>
      </c>
      <c r="Q1239" s="122">
        <v>10980</v>
      </c>
      <c r="R1239" s="122">
        <v>230516</v>
      </c>
      <c r="S1239" s="122">
        <v>209560</v>
      </c>
      <c r="T1239" s="122">
        <v>39933</v>
      </c>
      <c r="U1239" s="122">
        <v>14790</v>
      </c>
      <c r="V1239" s="122">
        <v>738927</v>
      </c>
      <c r="W1239" s="122">
        <f t="shared" si="38"/>
        <v>738928</v>
      </c>
      <c r="X1239" s="122">
        <f t="shared" si="39"/>
        <v>908858</v>
      </c>
    </row>
    <row r="1240" spans="2:24">
      <c r="B1240" t="s">
        <v>463</v>
      </c>
      <c r="C1240" t="s">
        <v>58</v>
      </c>
      <c r="D1240" t="s">
        <v>556</v>
      </c>
      <c r="E1240" t="s">
        <v>556</v>
      </c>
      <c r="F1240">
        <v>6</v>
      </c>
      <c r="G1240">
        <v>258</v>
      </c>
      <c r="H1240" s="122">
        <v>1564</v>
      </c>
      <c r="I1240" s="122">
        <v>24378</v>
      </c>
      <c r="J1240" s="122">
        <v>20315</v>
      </c>
      <c r="K1240">
        <v>65</v>
      </c>
      <c r="L1240" s="122">
        <v>3961</v>
      </c>
      <c r="M1240" s="122">
        <v>1467</v>
      </c>
      <c r="N1240" s="122">
        <v>4108</v>
      </c>
      <c r="O1240" s="122">
        <v>1522</v>
      </c>
      <c r="P1240" s="122">
        <v>2106</v>
      </c>
      <c r="Q1240">
        <v>780</v>
      </c>
      <c r="R1240" s="122">
        <v>22738</v>
      </c>
      <c r="S1240" s="122">
        <v>18949</v>
      </c>
      <c r="T1240" s="122">
        <v>9857</v>
      </c>
      <c r="U1240" s="122">
        <v>3651</v>
      </c>
      <c r="V1240" s="122">
        <v>46683</v>
      </c>
      <c r="W1240" s="122">
        <f t="shared" si="38"/>
        <v>46684</v>
      </c>
      <c r="X1240" s="122">
        <f t="shared" si="39"/>
        <v>67148</v>
      </c>
    </row>
    <row r="1241" spans="2:24">
      <c r="B1241" t="s">
        <v>463</v>
      </c>
      <c r="C1241" t="s">
        <v>58</v>
      </c>
      <c r="D1241" t="s">
        <v>428</v>
      </c>
      <c r="E1241" t="s">
        <v>137</v>
      </c>
      <c r="F1241">
        <v>1</v>
      </c>
      <c r="G1241">
        <v>50</v>
      </c>
      <c r="H1241">
        <v>244</v>
      </c>
      <c r="I1241" s="122">
        <v>4940</v>
      </c>
      <c r="J1241" s="122">
        <v>4491</v>
      </c>
      <c r="K1241">
        <v>30</v>
      </c>
      <c r="L1241">
        <v>404</v>
      </c>
      <c r="M1241">
        <v>150</v>
      </c>
      <c r="N1241" s="122">
        <v>1224</v>
      </c>
      <c r="O1241">
        <v>453</v>
      </c>
      <c r="P1241">
        <v>0</v>
      </c>
      <c r="Q1241">
        <v>0</v>
      </c>
      <c r="R1241" s="122">
        <v>5708</v>
      </c>
      <c r="S1241" s="122">
        <v>2114</v>
      </c>
      <c r="T1241">
        <v>0</v>
      </c>
      <c r="U1241">
        <v>0</v>
      </c>
      <c r="V1241" s="122">
        <v>7209</v>
      </c>
      <c r="W1241" s="122">
        <f t="shared" si="38"/>
        <v>7208</v>
      </c>
      <c r="X1241" s="122">
        <f t="shared" si="39"/>
        <v>12276</v>
      </c>
    </row>
    <row r="1242" spans="2:24">
      <c r="B1242" t="s">
        <v>463</v>
      </c>
      <c r="C1242" t="s">
        <v>58</v>
      </c>
      <c r="D1242" t="s">
        <v>426</v>
      </c>
      <c r="E1242" t="s">
        <v>426</v>
      </c>
      <c r="F1242">
        <v>3</v>
      </c>
      <c r="G1242">
        <v>278</v>
      </c>
      <c r="H1242">
        <v>810</v>
      </c>
      <c r="I1242" s="122">
        <v>38793</v>
      </c>
      <c r="J1242" s="122">
        <v>35266</v>
      </c>
      <c r="K1242">
        <v>62</v>
      </c>
      <c r="L1242" s="122">
        <v>6016</v>
      </c>
      <c r="M1242" s="122">
        <v>4017</v>
      </c>
      <c r="N1242" s="122">
        <v>6558</v>
      </c>
      <c r="O1242" s="122">
        <v>2429</v>
      </c>
      <c r="P1242" s="122">
        <v>1053</v>
      </c>
      <c r="Q1242">
        <v>390</v>
      </c>
      <c r="R1242" s="122">
        <v>14187</v>
      </c>
      <c r="S1242" s="122">
        <v>12897</v>
      </c>
      <c r="T1242" s="122">
        <v>7243</v>
      </c>
      <c r="U1242" s="122">
        <v>2682</v>
      </c>
      <c r="V1242" s="122">
        <v>57682</v>
      </c>
      <c r="W1242" s="122">
        <f t="shared" si="38"/>
        <v>57681</v>
      </c>
      <c r="X1242" s="122">
        <f t="shared" si="39"/>
        <v>73850</v>
      </c>
    </row>
    <row r="1243" spans="2:24">
      <c r="B1243" t="s">
        <v>463</v>
      </c>
      <c r="C1243" t="s">
        <v>60</v>
      </c>
      <c r="F1243">
        <v>8</v>
      </c>
      <c r="G1243">
        <v>295</v>
      </c>
      <c r="H1243" s="122">
        <v>2601</v>
      </c>
      <c r="J1243">
        <v>0</v>
      </c>
      <c r="M1243">
        <v>0</v>
      </c>
      <c r="N1243" s="122">
        <v>5626</v>
      </c>
      <c r="O1243" s="122">
        <v>2084</v>
      </c>
      <c r="P1243" s="122">
        <v>3132</v>
      </c>
      <c r="Q1243" s="122">
        <v>1160</v>
      </c>
      <c r="S1243">
        <v>0</v>
      </c>
      <c r="T1243">
        <v>0</v>
      </c>
      <c r="U1243">
        <v>0</v>
      </c>
      <c r="V1243" s="122">
        <v>3244</v>
      </c>
      <c r="W1243" s="122">
        <f t="shared" si="38"/>
        <v>3244</v>
      </c>
      <c r="X1243" s="122">
        <f t="shared" si="39"/>
        <v>8758</v>
      </c>
    </row>
    <row r="1244" spans="2:24">
      <c r="B1244" t="s">
        <v>463</v>
      </c>
      <c r="C1244" t="s">
        <v>60</v>
      </c>
      <c r="D1244" t="s">
        <v>405</v>
      </c>
      <c r="E1244" t="s">
        <v>405</v>
      </c>
      <c r="F1244">
        <v>1</v>
      </c>
      <c r="G1244">
        <v>51</v>
      </c>
      <c r="H1244">
        <v>351</v>
      </c>
      <c r="I1244" s="122">
        <v>13849</v>
      </c>
      <c r="J1244" s="122">
        <v>12590</v>
      </c>
      <c r="K1244">
        <v>70</v>
      </c>
      <c r="L1244">
        <v>0</v>
      </c>
      <c r="M1244">
        <v>0</v>
      </c>
      <c r="N1244">
        <v>985</v>
      </c>
      <c r="O1244">
        <v>365</v>
      </c>
      <c r="P1244">
        <v>473</v>
      </c>
      <c r="Q1244">
        <v>175</v>
      </c>
      <c r="R1244" s="122">
        <v>2430</v>
      </c>
      <c r="S1244" s="122">
        <v>2209</v>
      </c>
      <c r="T1244">
        <v>0</v>
      </c>
      <c r="U1244">
        <v>0</v>
      </c>
      <c r="V1244" s="122">
        <v>15339</v>
      </c>
      <c r="W1244" s="122">
        <f t="shared" si="38"/>
        <v>15339</v>
      </c>
      <c r="X1244" s="122">
        <f t="shared" si="39"/>
        <v>17737</v>
      </c>
    </row>
    <row r="1245" spans="2:24">
      <c r="B1245" t="s">
        <v>463</v>
      </c>
      <c r="C1245" t="s">
        <v>60</v>
      </c>
      <c r="D1245" t="s">
        <v>137</v>
      </c>
      <c r="E1245" t="s">
        <v>137</v>
      </c>
      <c r="F1245">
        <v>694</v>
      </c>
      <c r="G1245" s="122">
        <v>46040</v>
      </c>
      <c r="H1245" s="122">
        <v>236000</v>
      </c>
      <c r="I1245" s="122">
        <v>9158148</v>
      </c>
      <c r="J1245" s="122">
        <v>3391907</v>
      </c>
      <c r="K1245">
        <v>100</v>
      </c>
      <c r="L1245" s="122">
        <v>1312423</v>
      </c>
      <c r="M1245" s="122">
        <v>552747</v>
      </c>
      <c r="N1245" s="122">
        <v>1000626</v>
      </c>
      <c r="O1245" s="122">
        <v>370602</v>
      </c>
      <c r="P1245" s="122">
        <v>6917</v>
      </c>
      <c r="Q1245" s="122">
        <v>2562</v>
      </c>
      <c r="R1245" s="122">
        <v>4286498</v>
      </c>
      <c r="S1245" s="122">
        <v>1587592</v>
      </c>
      <c r="T1245" s="122">
        <v>1787</v>
      </c>
      <c r="U1245">
        <v>662</v>
      </c>
      <c r="V1245" s="122">
        <v>5906072</v>
      </c>
      <c r="W1245" s="122">
        <f t="shared" si="38"/>
        <v>5906072</v>
      </c>
      <c r="X1245" s="122">
        <f t="shared" si="39"/>
        <v>15766399</v>
      </c>
    </row>
    <row r="1246" spans="2:24">
      <c r="B1246" t="s">
        <v>463</v>
      </c>
      <c r="C1246" t="s">
        <v>60</v>
      </c>
      <c r="D1246" t="s">
        <v>137</v>
      </c>
      <c r="E1246" t="s">
        <v>406</v>
      </c>
      <c r="F1246">
        <v>1</v>
      </c>
      <c r="G1246">
        <v>54</v>
      </c>
      <c r="H1246">
        <v>314</v>
      </c>
      <c r="I1246" s="122">
        <v>9596</v>
      </c>
      <c r="J1246" s="122">
        <v>3554</v>
      </c>
      <c r="K1246">
        <v>100</v>
      </c>
      <c r="L1246">
        <v>0</v>
      </c>
      <c r="M1246">
        <v>0</v>
      </c>
      <c r="N1246" s="122">
        <v>1281</v>
      </c>
      <c r="O1246">
        <v>475</v>
      </c>
      <c r="P1246">
        <v>0</v>
      </c>
      <c r="Q1246">
        <v>0</v>
      </c>
      <c r="R1246" s="122">
        <v>4048</v>
      </c>
      <c r="S1246" s="122">
        <v>3680</v>
      </c>
      <c r="T1246" s="122">
        <v>2168</v>
      </c>
      <c r="U1246">
        <v>803</v>
      </c>
      <c r="V1246" s="122">
        <v>8512</v>
      </c>
      <c r="W1246" s="122">
        <f t="shared" si="38"/>
        <v>8512</v>
      </c>
      <c r="X1246" s="122">
        <f t="shared" si="39"/>
        <v>17093</v>
      </c>
    </row>
    <row r="1247" spans="2:24">
      <c r="B1247" t="s">
        <v>463</v>
      </c>
      <c r="C1247" t="s">
        <v>60</v>
      </c>
      <c r="D1247" t="s">
        <v>406</v>
      </c>
      <c r="E1247" t="s">
        <v>137</v>
      </c>
      <c r="F1247">
        <v>2</v>
      </c>
      <c r="G1247">
        <v>120</v>
      </c>
      <c r="H1247">
        <v>691</v>
      </c>
      <c r="I1247" s="122">
        <v>26569</v>
      </c>
      <c r="J1247" s="122">
        <v>24154</v>
      </c>
      <c r="K1247">
        <v>75</v>
      </c>
      <c r="L1247" s="122">
        <v>2698</v>
      </c>
      <c r="M1247" s="122">
        <v>2453</v>
      </c>
      <c r="N1247" s="122">
        <v>2749</v>
      </c>
      <c r="O1247" s="122">
        <v>1018</v>
      </c>
      <c r="P1247" s="122">
        <v>1593</v>
      </c>
      <c r="Q1247">
        <v>590</v>
      </c>
      <c r="R1247" s="122">
        <v>8933</v>
      </c>
      <c r="S1247" s="122">
        <v>3308</v>
      </c>
      <c r="T1247">
        <v>0</v>
      </c>
      <c r="U1247">
        <v>0</v>
      </c>
      <c r="V1247" s="122">
        <v>31523</v>
      </c>
      <c r="W1247" s="122">
        <f t="shared" si="38"/>
        <v>31523</v>
      </c>
      <c r="X1247" s="122">
        <f t="shared" si="39"/>
        <v>42542</v>
      </c>
    </row>
    <row r="1248" spans="2:24">
      <c r="B1248" t="s">
        <v>463</v>
      </c>
      <c r="C1248" t="s">
        <v>60</v>
      </c>
      <c r="D1248" t="s">
        <v>406</v>
      </c>
      <c r="E1248" t="s">
        <v>406</v>
      </c>
      <c r="F1248">
        <v>30</v>
      </c>
      <c r="G1248" s="122">
        <v>2876</v>
      </c>
      <c r="H1248" s="122">
        <v>10172</v>
      </c>
      <c r="I1248" s="122">
        <v>589247</v>
      </c>
      <c r="J1248" s="122">
        <v>535679</v>
      </c>
      <c r="K1248">
        <v>73</v>
      </c>
      <c r="L1248" s="122">
        <v>93318</v>
      </c>
      <c r="M1248" s="122">
        <v>76344</v>
      </c>
      <c r="N1248" s="122">
        <v>60974</v>
      </c>
      <c r="O1248" s="122">
        <v>22583</v>
      </c>
      <c r="P1248" s="122">
        <v>19332</v>
      </c>
      <c r="Q1248" s="122">
        <v>7160</v>
      </c>
      <c r="R1248" s="122">
        <v>151965</v>
      </c>
      <c r="S1248" s="122">
        <v>138150</v>
      </c>
      <c r="T1248" s="122">
        <v>52448</v>
      </c>
      <c r="U1248" s="122">
        <v>19425</v>
      </c>
      <c r="V1248" s="122">
        <v>799342</v>
      </c>
      <c r="W1248" s="122">
        <f t="shared" si="38"/>
        <v>799341</v>
      </c>
      <c r="X1248" s="122">
        <f t="shared" si="39"/>
        <v>967284</v>
      </c>
    </row>
    <row r="1249" spans="2:24">
      <c r="B1249" t="s">
        <v>463</v>
      </c>
      <c r="C1249" t="s">
        <v>60</v>
      </c>
      <c r="D1249" t="s">
        <v>407</v>
      </c>
      <c r="E1249" t="s">
        <v>407</v>
      </c>
      <c r="F1249">
        <v>4</v>
      </c>
      <c r="G1249">
        <v>347</v>
      </c>
      <c r="H1249" s="122">
        <v>1281</v>
      </c>
      <c r="I1249" s="122">
        <v>74410</v>
      </c>
      <c r="J1249" s="122">
        <v>67645</v>
      </c>
      <c r="K1249">
        <v>77</v>
      </c>
      <c r="L1249" s="122">
        <v>8522</v>
      </c>
      <c r="M1249" s="122">
        <v>7513</v>
      </c>
      <c r="N1249" s="122">
        <v>6140</v>
      </c>
      <c r="O1249" s="122">
        <v>2274</v>
      </c>
      <c r="P1249" s="122">
        <v>1890</v>
      </c>
      <c r="Q1249">
        <v>700</v>
      </c>
      <c r="R1249" s="122">
        <v>21305</v>
      </c>
      <c r="S1249" s="122">
        <v>19368</v>
      </c>
      <c r="T1249" s="122">
        <v>1994</v>
      </c>
      <c r="U1249">
        <v>739</v>
      </c>
      <c r="V1249" s="122">
        <v>98239</v>
      </c>
      <c r="W1249" s="122">
        <f t="shared" si="38"/>
        <v>98239</v>
      </c>
      <c r="X1249" s="122">
        <f t="shared" si="39"/>
        <v>114261</v>
      </c>
    </row>
    <row r="1250" spans="2:24">
      <c r="B1250" t="s">
        <v>463</v>
      </c>
      <c r="C1250" t="s">
        <v>60</v>
      </c>
      <c r="D1250" t="s">
        <v>556</v>
      </c>
      <c r="E1250" t="s">
        <v>556</v>
      </c>
      <c r="F1250">
        <v>7</v>
      </c>
      <c r="G1250">
        <v>246</v>
      </c>
      <c r="H1250" s="122">
        <v>2362</v>
      </c>
      <c r="I1250" s="122">
        <v>35204</v>
      </c>
      <c r="J1250" s="122">
        <v>29336</v>
      </c>
      <c r="K1250">
        <v>65</v>
      </c>
      <c r="L1250" s="122">
        <v>5721</v>
      </c>
      <c r="M1250" s="122">
        <v>2119</v>
      </c>
      <c r="N1250" s="122">
        <v>3908</v>
      </c>
      <c r="O1250" s="122">
        <v>1448</v>
      </c>
      <c r="P1250" s="122">
        <v>2457</v>
      </c>
      <c r="Q1250">
        <v>910</v>
      </c>
      <c r="R1250" s="122">
        <v>25408</v>
      </c>
      <c r="S1250" s="122">
        <v>21173</v>
      </c>
      <c r="T1250" s="122">
        <v>10693</v>
      </c>
      <c r="U1250" s="122">
        <v>3960</v>
      </c>
      <c r="V1250" s="122">
        <v>58946</v>
      </c>
      <c r="W1250" s="122">
        <f t="shared" si="38"/>
        <v>58946</v>
      </c>
      <c r="X1250" s="122">
        <f t="shared" si="39"/>
        <v>83391</v>
      </c>
    </row>
    <row r="1251" spans="2:24">
      <c r="B1251" t="s">
        <v>463</v>
      </c>
      <c r="C1251" t="s">
        <v>60</v>
      </c>
      <c r="D1251" t="s">
        <v>426</v>
      </c>
      <c r="E1251" t="s">
        <v>426</v>
      </c>
      <c r="F1251">
        <v>4</v>
      </c>
      <c r="G1251">
        <v>331</v>
      </c>
      <c r="H1251" s="122">
        <v>1379</v>
      </c>
      <c r="I1251" s="122">
        <v>66281</v>
      </c>
      <c r="J1251" s="122">
        <v>60256</v>
      </c>
      <c r="K1251">
        <v>60</v>
      </c>
      <c r="L1251" s="122">
        <v>7000</v>
      </c>
      <c r="M1251" s="122">
        <v>5663</v>
      </c>
      <c r="N1251" s="122">
        <v>7240</v>
      </c>
      <c r="O1251" s="122">
        <v>2682</v>
      </c>
      <c r="P1251" s="122">
        <v>2025</v>
      </c>
      <c r="Q1251">
        <v>750</v>
      </c>
      <c r="R1251" s="122">
        <v>18518</v>
      </c>
      <c r="S1251" s="122">
        <v>16835</v>
      </c>
      <c r="T1251" s="122">
        <v>10334</v>
      </c>
      <c r="U1251" s="122">
        <v>3827</v>
      </c>
      <c r="V1251" s="122">
        <v>90012</v>
      </c>
      <c r="W1251" s="122">
        <f t="shared" si="38"/>
        <v>90013</v>
      </c>
      <c r="X1251" s="122">
        <f t="shared" si="39"/>
        <v>111398</v>
      </c>
    </row>
    <row r="1252" spans="2:24">
      <c r="B1252" t="s">
        <v>463</v>
      </c>
      <c r="C1252" t="s">
        <v>62</v>
      </c>
      <c r="F1252">
        <v>3</v>
      </c>
      <c r="G1252">
        <v>245</v>
      </c>
      <c r="H1252" s="122">
        <v>1281</v>
      </c>
      <c r="J1252">
        <v>0</v>
      </c>
      <c r="M1252">
        <v>0</v>
      </c>
      <c r="N1252" s="122">
        <v>4491</v>
      </c>
      <c r="O1252" s="122">
        <v>1663</v>
      </c>
      <c r="P1252" s="122">
        <v>1863</v>
      </c>
      <c r="Q1252">
        <v>690</v>
      </c>
      <c r="S1252">
        <v>0</v>
      </c>
      <c r="T1252" s="122">
        <v>1219</v>
      </c>
      <c r="U1252">
        <v>452</v>
      </c>
      <c r="V1252" s="122">
        <v>2805</v>
      </c>
      <c r="W1252" s="122">
        <f t="shared" si="38"/>
        <v>2805</v>
      </c>
      <c r="X1252" s="122">
        <f t="shared" si="39"/>
        <v>7573</v>
      </c>
    </row>
    <row r="1253" spans="2:24">
      <c r="B1253" t="s">
        <v>463</v>
      </c>
      <c r="C1253" t="s">
        <v>62</v>
      </c>
      <c r="D1253" t="s">
        <v>405</v>
      </c>
      <c r="E1253" t="s">
        <v>405</v>
      </c>
      <c r="F1253">
        <v>1</v>
      </c>
      <c r="G1253">
        <v>39</v>
      </c>
      <c r="H1253">
        <v>388</v>
      </c>
      <c r="I1253" s="122">
        <v>5096</v>
      </c>
      <c r="J1253" s="122">
        <v>4633</v>
      </c>
      <c r="K1253">
        <v>68</v>
      </c>
      <c r="L1253" s="122">
        <v>2020</v>
      </c>
      <c r="M1253">
        <v>748</v>
      </c>
      <c r="N1253">
        <v>944</v>
      </c>
      <c r="O1253">
        <v>349</v>
      </c>
      <c r="P1253">
        <v>351</v>
      </c>
      <c r="Q1253">
        <v>130</v>
      </c>
      <c r="R1253" s="122">
        <v>4329</v>
      </c>
      <c r="S1253" s="122">
        <v>3935</v>
      </c>
      <c r="T1253" s="122">
        <v>2294</v>
      </c>
      <c r="U1253">
        <v>850</v>
      </c>
      <c r="V1253" s="122">
        <v>10645</v>
      </c>
      <c r="W1253" s="122">
        <f t="shared" si="38"/>
        <v>10645</v>
      </c>
      <c r="X1253" s="122">
        <f t="shared" si="39"/>
        <v>15034</v>
      </c>
    </row>
    <row r="1254" spans="2:24">
      <c r="B1254" t="s">
        <v>463</v>
      </c>
      <c r="C1254" t="s">
        <v>62</v>
      </c>
      <c r="D1254" t="s">
        <v>137</v>
      </c>
      <c r="E1254" t="s">
        <v>137</v>
      </c>
      <c r="F1254">
        <v>187</v>
      </c>
      <c r="G1254" s="122">
        <v>10616</v>
      </c>
      <c r="H1254" s="122">
        <v>76558</v>
      </c>
      <c r="I1254" s="122">
        <v>2685784</v>
      </c>
      <c r="J1254" s="122">
        <v>994735</v>
      </c>
      <c r="K1254">
        <v>100</v>
      </c>
      <c r="L1254" s="122">
        <v>374253</v>
      </c>
      <c r="M1254" s="122">
        <v>165945</v>
      </c>
      <c r="N1254" s="122">
        <v>222519</v>
      </c>
      <c r="O1254" s="122">
        <v>82414</v>
      </c>
      <c r="P1254" s="122">
        <v>1865</v>
      </c>
      <c r="Q1254">
        <v>691</v>
      </c>
      <c r="R1254" s="122">
        <v>1069734</v>
      </c>
      <c r="S1254" s="122">
        <v>396198</v>
      </c>
      <c r="T1254">
        <v>0</v>
      </c>
      <c r="U1254">
        <v>0</v>
      </c>
      <c r="V1254" s="122">
        <v>1639983</v>
      </c>
      <c r="W1254" s="122">
        <f t="shared" si="38"/>
        <v>1639983</v>
      </c>
      <c r="X1254" s="122">
        <f t="shared" si="39"/>
        <v>4354155</v>
      </c>
    </row>
    <row r="1255" spans="2:24">
      <c r="B1255" t="s">
        <v>463</v>
      </c>
      <c r="C1255" t="s">
        <v>62</v>
      </c>
      <c r="D1255" t="s">
        <v>137</v>
      </c>
      <c r="E1255" t="s">
        <v>406</v>
      </c>
      <c r="F1255">
        <v>1</v>
      </c>
      <c r="G1255">
        <v>30</v>
      </c>
      <c r="H1255">
        <v>386</v>
      </c>
      <c r="I1255" s="122">
        <v>8499</v>
      </c>
      <c r="J1255" s="122">
        <v>3148</v>
      </c>
      <c r="K1255">
        <v>100</v>
      </c>
      <c r="L1255">
        <v>0</v>
      </c>
      <c r="M1255">
        <v>0</v>
      </c>
      <c r="N1255">
        <v>371</v>
      </c>
      <c r="O1255">
        <v>137</v>
      </c>
      <c r="P1255">
        <v>0</v>
      </c>
      <c r="Q1255">
        <v>0</v>
      </c>
      <c r="R1255" s="122">
        <v>2884</v>
      </c>
      <c r="S1255" s="122">
        <v>2622</v>
      </c>
      <c r="T1255">
        <v>0</v>
      </c>
      <c r="U1255">
        <v>0</v>
      </c>
      <c r="V1255" s="122">
        <v>5907</v>
      </c>
      <c r="W1255" s="122">
        <f t="shared" si="38"/>
        <v>5907</v>
      </c>
      <c r="X1255" s="122">
        <f t="shared" si="39"/>
        <v>11754</v>
      </c>
    </row>
    <row r="1256" spans="2:24">
      <c r="B1256" t="s">
        <v>463</v>
      </c>
      <c r="C1256" t="s">
        <v>62</v>
      </c>
      <c r="D1256" t="s">
        <v>406</v>
      </c>
      <c r="E1256" t="s">
        <v>137</v>
      </c>
      <c r="F1256">
        <v>1</v>
      </c>
      <c r="G1256">
        <v>60</v>
      </c>
      <c r="H1256">
        <v>391</v>
      </c>
      <c r="I1256" s="122">
        <v>14790</v>
      </c>
      <c r="J1256" s="122">
        <v>13445</v>
      </c>
      <c r="K1256">
        <v>65</v>
      </c>
      <c r="L1256" s="122">
        <v>2493</v>
      </c>
      <c r="M1256">
        <v>923</v>
      </c>
      <c r="N1256" s="122">
        <v>1460</v>
      </c>
      <c r="O1256">
        <v>541</v>
      </c>
      <c r="P1256">
        <v>972</v>
      </c>
      <c r="Q1256">
        <v>360</v>
      </c>
      <c r="R1256" s="122">
        <v>3717</v>
      </c>
      <c r="S1256" s="122">
        <v>1377</v>
      </c>
      <c r="T1256">
        <v>0</v>
      </c>
      <c r="U1256">
        <v>0</v>
      </c>
      <c r="V1256" s="122">
        <v>16646</v>
      </c>
      <c r="W1256" s="122">
        <f t="shared" si="38"/>
        <v>16646</v>
      </c>
      <c r="X1256" s="122">
        <f t="shared" si="39"/>
        <v>23432</v>
      </c>
    </row>
    <row r="1257" spans="2:24">
      <c r="B1257" t="s">
        <v>463</v>
      </c>
      <c r="C1257" t="s">
        <v>62</v>
      </c>
      <c r="D1257" t="s">
        <v>406</v>
      </c>
      <c r="E1257" t="s">
        <v>406</v>
      </c>
      <c r="F1257">
        <v>14</v>
      </c>
      <c r="G1257" s="122">
        <v>1340</v>
      </c>
      <c r="H1257" s="122">
        <v>5742</v>
      </c>
      <c r="I1257" s="122">
        <v>380700</v>
      </c>
      <c r="J1257" s="122">
        <v>346091</v>
      </c>
      <c r="K1257">
        <v>73</v>
      </c>
      <c r="L1257" s="122">
        <v>41185</v>
      </c>
      <c r="M1257" s="122">
        <v>33452</v>
      </c>
      <c r="N1257" s="122">
        <v>28865</v>
      </c>
      <c r="O1257" s="122">
        <v>10691</v>
      </c>
      <c r="P1257" s="122">
        <v>9045</v>
      </c>
      <c r="Q1257" s="122">
        <v>3350</v>
      </c>
      <c r="R1257" s="122">
        <v>67286</v>
      </c>
      <c r="S1257" s="122">
        <v>61169</v>
      </c>
      <c r="T1257" s="122">
        <v>27522</v>
      </c>
      <c r="U1257" s="122">
        <v>10193</v>
      </c>
      <c r="V1257" s="122">
        <v>464946</v>
      </c>
      <c r="W1257" s="122">
        <f t="shared" si="38"/>
        <v>464946</v>
      </c>
      <c r="X1257" s="122">
        <f t="shared" si="39"/>
        <v>554603</v>
      </c>
    </row>
    <row r="1258" spans="2:24">
      <c r="B1258" t="s">
        <v>463</v>
      </c>
      <c r="C1258" t="s">
        <v>62</v>
      </c>
      <c r="D1258" t="s">
        <v>427</v>
      </c>
      <c r="E1258" t="s">
        <v>427</v>
      </c>
      <c r="F1258">
        <v>1</v>
      </c>
      <c r="G1258">
        <v>146</v>
      </c>
      <c r="H1258">
        <v>444</v>
      </c>
      <c r="I1258" s="122">
        <v>43923</v>
      </c>
      <c r="J1258" s="122">
        <v>39930</v>
      </c>
      <c r="K1258">
        <v>45</v>
      </c>
      <c r="L1258" s="122">
        <v>7321</v>
      </c>
      <c r="M1258" s="122">
        <v>6655</v>
      </c>
      <c r="N1258" s="122">
        <v>3086</v>
      </c>
      <c r="O1258" s="122">
        <v>1143</v>
      </c>
      <c r="P1258">
        <v>351</v>
      </c>
      <c r="Q1258">
        <v>130</v>
      </c>
      <c r="R1258" s="122">
        <v>9911</v>
      </c>
      <c r="S1258" s="122">
        <v>9010</v>
      </c>
      <c r="T1258">
        <v>0</v>
      </c>
      <c r="U1258">
        <v>0</v>
      </c>
      <c r="V1258" s="122">
        <v>56868</v>
      </c>
      <c r="W1258" s="122">
        <f t="shared" si="38"/>
        <v>56868</v>
      </c>
      <c r="X1258" s="122">
        <f t="shared" si="39"/>
        <v>64592</v>
      </c>
    </row>
    <row r="1259" spans="2:24">
      <c r="B1259" t="s">
        <v>463</v>
      </c>
      <c r="C1259" t="s">
        <v>62</v>
      </c>
      <c r="D1259" t="s">
        <v>426</v>
      </c>
      <c r="E1259" t="s">
        <v>137</v>
      </c>
      <c r="F1259">
        <v>1</v>
      </c>
      <c r="G1259">
        <v>46</v>
      </c>
      <c r="H1259">
        <v>411</v>
      </c>
      <c r="I1259" s="122">
        <v>11923</v>
      </c>
      <c r="J1259" s="122">
        <v>10839</v>
      </c>
      <c r="K1259">
        <v>60</v>
      </c>
      <c r="L1259" s="122">
        <v>1951</v>
      </c>
      <c r="M1259">
        <v>723</v>
      </c>
      <c r="N1259" s="122">
        <v>1112</v>
      </c>
      <c r="O1259">
        <v>412</v>
      </c>
      <c r="P1259">
        <v>0</v>
      </c>
      <c r="Q1259">
        <v>0</v>
      </c>
      <c r="R1259" s="122">
        <v>3750</v>
      </c>
      <c r="S1259" s="122">
        <v>1389</v>
      </c>
      <c r="T1259">
        <v>0</v>
      </c>
      <c r="U1259">
        <v>0</v>
      </c>
      <c r="V1259" s="122">
        <v>13363</v>
      </c>
      <c r="W1259" s="122">
        <f t="shared" ref="W1259:W1322" si="40">SUM(ABS(J1259),ABS(M1259),ABS(O1259),ABS(Q1259),ABS(S1259),ABS(U1259))</f>
        <v>13363</v>
      </c>
      <c r="X1259" s="122">
        <f t="shared" ref="X1259:X1322" si="41">SUM(ABS(I1259),ABS(N1259),ABS(P1259),ABS(R1259),ABS(T1259),ABS(L1259))</f>
        <v>18736</v>
      </c>
    </row>
    <row r="1260" spans="2:24">
      <c r="B1260" t="s">
        <v>463</v>
      </c>
      <c r="C1260" t="s">
        <v>62</v>
      </c>
      <c r="D1260" t="s">
        <v>426</v>
      </c>
      <c r="E1260" t="s">
        <v>426</v>
      </c>
      <c r="F1260">
        <v>2</v>
      </c>
      <c r="G1260">
        <v>236</v>
      </c>
      <c r="H1260">
        <v>821</v>
      </c>
      <c r="I1260" s="122">
        <v>65994</v>
      </c>
      <c r="J1260" s="122">
        <v>59994</v>
      </c>
      <c r="K1260">
        <v>45</v>
      </c>
      <c r="L1260" s="122">
        <v>7609</v>
      </c>
      <c r="M1260" s="122">
        <v>6918</v>
      </c>
      <c r="N1260" s="122">
        <v>5405</v>
      </c>
      <c r="O1260" s="122">
        <v>2002</v>
      </c>
      <c r="P1260">
        <v>702</v>
      </c>
      <c r="Q1260">
        <v>260</v>
      </c>
      <c r="R1260" s="122">
        <v>12926</v>
      </c>
      <c r="S1260" s="122">
        <v>11751</v>
      </c>
      <c r="T1260" s="122">
        <v>4858</v>
      </c>
      <c r="U1260" s="122">
        <v>1799</v>
      </c>
      <c r="V1260" s="122">
        <v>82724</v>
      </c>
      <c r="W1260" s="122">
        <f t="shared" si="40"/>
        <v>82724</v>
      </c>
      <c r="X1260" s="122">
        <f t="shared" si="41"/>
        <v>97494</v>
      </c>
    </row>
    <row r="1261" spans="2:24">
      <c r="B1261" t="s">
        <v>463</v>
      </c>
      <c r="C1261" t="s">
        <v>64</v>
      </c>
      <c r="F1261">
        <v>4</v>
      </c>
      <c r="G1261">
        <v>319</v>
      </c>
      <c r="H1261" s="122">
        <v>2944</v>
      </c>
      <c r="J1261">
        <v>0</v>
      </c>
      <c r="M1261">
        <v>0</v>
      </c>
      <c r="N1261" s="122">
        <v>6776</v>
      </c>
      <c r="O1261" s="122">
        <v>2510</v>
      </c>
      <c r="P1261" s="122">
        <v>1863</v>
      </c>
      <c r="Q1261">
        <v>690</v>
      </c>
      <c r="S1261">
        <v>0</v>
      </c>
      <c r="T1261" s="122">
        <v>1185</v>
      </c>
      <c r="U1261">
        <v>439</v>
      </c>
      <c r="V1261" s="122">
        <v>3639</v>
      </c>
      <c r="W1261" s="122">
        <f t="shared" si="40"/>
        <v>3639</v>
      </c>
      <c r="X1261" s="122">
        <f t="shared" si="41"/>
        <v>9824</v>
      </c>
    </row>
    <row r="1262" spans="2:24">
      <c r="B1262" t="s">
        <v>463</v>
      </c>
      <c r="C1262" t="s">
        <v>64</v>
      </c>
      <c r="D1262" t="s">
        <v>137</v>
      </c>
      <c r="E1262" t="s">
        <v>137</v>
      </c>
      <c r="F1262">
        <v>141</v>
      </c>
      <c r="G1262" s="122">
        <v>7329</v>
      </c>
      <c r="H1262" s="122">
        <v>87562</v>
      </c>
      <c r="I1262" s="122">
        <v>3190045</v>
      </c>
      <c r="J1262" s="122">
        <v>1181498</v>
      </c>
      <c r="K1262">
        <v>100</v>
      </c>
      <c r="L1262" s="122">
        <v>393053</v>
      </c>
      <c r="M1262" s="122">
        <v>218903</v>
      </c>
      <c r="N1262" s="122">
        <v>156881</v>
      </c>
      <c r="O1262" s="122">
        <v>58104</v>
      </c>
      <c r="P1262">
        <v>972</v>
      </c>
      <c r="Q1262">
        <v>360</v>
      </c>
      <c r="R1262" s="122">
        <v>698534</v>
      </c>
      <c r="S1262" s="122">
        <v>258716</v>
      </c>
      <c r="T1262">
        <v>0</v>
      </c>
      <c r="U1262">
        <v>0</v>
      </c>
      <c r="V1262" s="122">
        <v>1717582</v>
      </c>
      <c r="W1262" s="122">
        <f t="shared" si="40"/>
        <v>1717581</v>
      </c>
      <c r="X1262" s="122">
        <f t="shared" si="41"/>
        <v>4439485</v>
      </c>
    </row>
    <row r="1263" spans="2:24">
      <c r="B1263" t="s">
        <v>463</v>
      </c>
      <c r="C1263" t="s">
        <v>64</v>
      </c>
      <c r="D1263" t="s">
        <v>137</v>
      </c>
      <c r="E1263" t="s">
        <v>426</v>
      </c>
      <c r="F1263">
        <v>1</v>
      </c>
      <c r="G1263">
        <v>83</v>
      </c>
      <c r="H1263">
        <v>746</v>
      </c>
      <c r="I1263" s="122">
        <v>39403</v>
      </c>
      <c r="J1263" s="122">
        <v>14594</v>
      </c>
      <c r="K1263">
        <v>100</v>
      </c>
      <c r="L1263" s="122">
        <v>5648</v>
      </c>
      <c r="M1263" s="122">
        <v>5135</v>
      </c>
      <c r="N1263" s="122">
        <v>2032</v>
      </c>
      <c r="O1263">
        <v>753</v>
      </c>
      <c r="P1263">
        <v>0</v>
      </c>
      <c r="Q1263">
        <v>0</v>
      </c>
      <c r="R1263" s="122">
        <v>10691</v>
      </c>
      <c r="S1263" s="122">
        <v>9719</v>
      </c>
      <c r="T1263" s="122">
        <v>4438</v>
      </c>
      <c r="U1263" s="122">
        <v>1644</v>
      </c>
      <c r="V1263" s="122">
        <v>31844</v>
      </c>
      <c r="W1263" s="122">
        <f t="shared" si="40"/>
        <v>31845</v>
      </c>
      <c r="X1263" s="122">
        <f t="shared" si="41"/>
        <v>62212</v>
      </c>
    </row>
    <row r="1264" spans="2:24">
      <c r="B1264" t="s">
        <v>463</v>
      </c>
      <c r="C1264" t="s">
        <v>64</v>
      </c>
      <c r="D1264" t="s">
        <v>406</v>
      </c>
      <c r="E1264" t="s">
        <v>406</v>
      </c>
      <c r="F1264">
        <v>10</v>
      </c>
      <c r="G1264">
        <v>667</v>
      </c>
      <c r="H1264" s="122">
        <v>6171</v>
      </c>
      <c r="I1264" s="122">
        <v>285939</v>
      </c>
      <c r="J1264" s="122">
        <v>259944</v>
      </c>
      <c r="K1264">
        <v>68</v>
      </c>
      <c r="L1264" s="122">
        <v>41864</v>
      </c>
      <c r="M1264" s="122">
        <v>33669</v>
      </c>
      <c r="N1264" s="122">
        <v>14979</v>
      </c>
      <c r="O1264" s="122">
        <v>5548</v>
      </c>
      <c r="P1264" s="122">
        <v>6210</v>
      </c>
      <c r="Q1264" s="122">
        <v>2300</v>
      </c>
      <c r="R1264" s="122">
        <v>45742</v>
      </c>
      <c r="S1264" s="122">
        <v>41584</v>
      </c>
      <c r="T1264" s="122">
        <v>13881</v>
      </c>
      <c r="U1264" s="122">
        <v>5141</v>
      </c>
      <c r="V1264" s="122">
        <v>348186</v>
      </c>
      <c r="W1264" s="122">
        <f t="shared" si="40"/>
        <v>348186</v>
      </c>
      <c r="X1264" s="122">
        <f t="shared" si="41"/>
        <v>408615</v>
      </c>
    </row>
    <row r="1265" spans="2:24">
      <c r="B1265" t="s">
        <v>463</v>
      </c>
      <c r="C1265" t="s">
        <v>64</v>
      </c>
      <c r="D1265" t="s">
        <v>407</v>
      </c>
      <c r="E1265" t="s">
        <v>407</v>
      </c>
      <c r="F1265">
        <v>1</v>
      </c>
      <c r="G1265">
        <v>89</v>
      </c>
      <c r="H1265">
        <v>565</v>
      </c>
      <c r="I1265" s="122">
        <v>33570</v>
      </c>
      <c r="J1265" s="122">
        <v>30518</v>
      </c>
      <c r="K1265">
        <v>73</v>
      </c>
      <c r="L1265" s="122">
        <v>8629</v>
      </c>
      <c r="M1265" s="122">
        <v>7844</v>
      </c>
      <c r="N1265" s="122">
        <v>1324</v>
      </c>
      <c r="O1265">
        <v>490</v>
      </c>
      <c r="P1265">
        <v>473</v>
      </c>
      <c r="Q1265">
        <v>175</v>
      </c>
      <c r="R1265" s="122">
        <v>4023</v>
      </c>
      <c r="S1265" s="122">
        <v>3657</v>
      </c>
      <c r="T1265" s="122">
        <v>2286</v>
      </c>
      <c r="U1265">
        <v>847</v>
      </c>
      <c r="V1265" s="122">
        <v>43532</v>
      </c>
      <c r="W1265" s="122">
        <f t="shared" si="40"/>
        <v>43531</v>
      </c>
      <c r="X1265" s="122">
        <f t="shared" si="41"/>
        <v>50305</v>
      </c>
    </row>
    <row r="1266" spans="2:24">
      <c r="B1266" t="s">
        <v>463</v>
      </c>
      <c r="C1266" t="s">
        <v>64</v>
      </c>
      <c r="D1266" t="s">
        <v>428</v>
      </c>
      <c r="E1266" t="s">
        <v>428</v>
      </c>
      <c r="F1266">
        <v>1</v>
      </c>
      <c r="G1266">
        <v>115</v>
      </c>
      <c r="H1266">
        <v>859</v>
      </c>
      <c r="I1266" s="122">
        <v>72131</v>
      </c>
      <c r="J1266" s="122">
        <v>65573</v>
      </c>
      <c r="K1266">
        <v>45</v>
      </c>
      <c r="L1266" s="122">
        <v>12022</v>
      </c>
      <c r="M1266" s="122">
        <v>10929</v>
      </c>
      <c r="N1266" s="122">
        <v>2802</v>
      </c>
      <c r="O1266" s="122">
        <v>1038</v>
      </c>
      <c r="P1266">
        <v>351</v>
      </c>
      <c r="Q1266">
        <v>130</v>
      </c>
      <c r="R1266" s="122">
        <v>8114</v>
      </c>
      <c r="S1266" s="122">
        <v>7377</v>
      </c>
      <c r="T1266" s="122">
        <v>3327</v>
      </c>
      <c r="U1266" s="122">
        <v>1232</v>
      </c>
      <c r="V1266" s="122">
        <v>86279</v>
      </c>
      <c r="W1266" s="122">
        <f t="shared" si="40"/>
        <v>86279</v>
      </c>
      <c r="X1266" s="122">
        <f t="shared" si="41"/>
        <v>98747</v>
      </c>
    </row>
    <row r="1267" spans="2:24">
      <c r="B1267" t="s">
        <v>463</v>
      </c>
      <c r="C1267" t="s">
        <v>64</v>
      </c>
      <c r="D1267" t="s">
        <v>431</v>
      </c>
      <c r="E1267" t="s">
        <v>431</v>
      </c>
      <c r="F1267">
        <v>2</v>
      </c>
      <c r="G1267">
        <v>187</v>
      </c>
      <c r="H1267" s="122">
        <v>1682</v>
      </c>
      <c r="I1267" s="122">
        <v>114033</v>
      </c>
      <c r="J1267" s="122">
        <v>103666</v>
      </c>
      <c r="K1267">
        <v>55</v>
      </c>
      <c r="L1267" s="122">
        <v>21087</v>
      </c>
      <c r="M1267" s="122">
        <v>19170</v>
      </c>
      <c r="N1267" s="122">
        <v>4408</v>
      </c>
      <c r="O1267" s="122">
        <v>1632</v>
      </c>
      <c r="P1267">
        <v>702</v>
      </c>
      <c r="Q1267">
        <v>260</v>
      </c>
      <c r="R1267" s="122">
        <v>12504</v>
      </c>
      <c r="S1267" s="122">
        <v>11368</v>
      </c>
      <c r="T1267" s="122">
        <v>2384</v>
      </c>
      <c r="U1267">
        <v>883</v>
      </c>
      <c r="V1267" s="122">
        <v>136980</v>
      </c>
      <c r="W1267" s="122">
        <f t="shared" si="40"/>
        <v>136979</v>
      </c>
      <c r="X1267" s="122">
        <f t="shared" si="41"/>
        <v>155118</v>
      </c>
    </row>
    <row r="1268" spans="2:24">
      <c r="B1268" t="s">
        <v>463</v>
      </c>
      <c r="C1268" t="s">
        <v>64</v>
      </c>
      <c r="D1268" t="s">
        <v>426</v>
      </c>
      <c r="E1268" t="s">
        <v>137</v>
      </c>
      <c r="F1268">
        <v>1</v>
      </c>
      <c r="G1268">
        <v>56</v>
      </c>
      <c r="H1268">
        <v>737</v>
      </c>
      <c r="I1268" s="122">
        <v>33390</v>
      </c>
      <c r="J1268" s="122">
        <v>30355</v>
      </c>
      <c r="K1268">
        <v>30</v>
      </c>
      <c r="L1268" s="122">
        <v>2732</v>
      </c>
      <c r="M1268" s="122">
        <v>1012</v>
      </c>
      <c r="N1268" s="122">
        <v>1357</v>
      </c>
      <c r="O1268">
        <v>503</v>
      </c>
      <c r="P1268">
        <v>0</v>
      </c>
      <c r="Q1268">
        <v>0</v>
      </c>
      <c r="R1268" s="122">
        <v>3562</v>
      </c>
      <c r="S1268" s="122">
        <v>1319</v>
      </c>
      <c r="T1268">
        <v>0</v>
      </c>
      <c r="U1268">
        <v>0</v>
      </c>
      <c r="V1268" s="122">
        <v>33189</v>
      </c>
      <c r="W1268" s="122">
        <f t="shared" si="40"/>
        <v>33189</v>
      </c>
      <c r="X1268" s="122">
        <f t="shared" si="41"/>
        <v>41041</v>
      </c>
    </row>
    <row r="1269" spans="2:24">
      <c r="B1269" t="s">
        <v>463</v>
      </c>
      <c r="C1269" t="s">
        <v>64</v>
      </c>
      <c r="D1269" t="s">
        <v>426</v>
      </c>
      <c r="E1269" t="s">
        <v>426</v>
      </c>
      <c r="F1269">
        <v>6</v>
      </c>
      <c r="G1269">
        <v>433</v>
      </c>
      <c r="H1269" s="122">
        <v>6108</v>
      </c>
      <c r="I1269" s="122">
        <v>355232</v>
      </c>
      <c r="J1269" s="122">
        <v>322938</v>
      </c>
      <c r="K1269">
        <v>48</v>
      </c>
      <c r="L1269" s="122">
        <v>30649</v>
      </c>
      <c r="M1269" s="122">
        <v>18680</v>
      </c>
      <c r="N1269" s="122">
        <v>9621</v>
      </c>
      <c r="O1269" s="122">
        <v>3563</v>
      </c>
      <c r="P1269" s="122">
        <v>2106</v>
      </c>
      <c r="Q1269">
        <v>780</v>
      </c>
      <c r="R1269" s="122">
        <v>31694</v>
      </c>
      <c r="S1269" s="122">
        <v>28812</v>
      </c>
      <c r="T1269" s="122">
        <v>8298</v>
      </c>
      <c r="U1269" s="122">
        <v>3073</v>
      </c>
      <c r="V1269" s="122">
        <v>377847</v>
      </c>
      <c r="W1269" s="122">
        <f t="shared" si="40"/>
        <v>377846</v>
      </c>
      <c r="X1269" s="122">
        <f t="shared" si="41"/>
        <v>437600</v>
      </c>
    </row>
    <row r="1270" spans="2:24">
      <c r="B1270" t="s">
        <v>464</v>
      </c>
      <c r="C1270" t="s">
        <v>48</v>
      </c>
      <c r="F1270">
        <v>4</v>
      </c>
      <c r="G1270">
        <v>288</v>
      </c>
      <c r="H1270">
        <v>270</v>
      </c>
      <c r="J1270">
        <v>0</v>
      </c>
      <c r="M1270">
        <v>0</v>
      </c>
      <c r="N1270" s="122">
        <v>3508</v>
      </c>
      <c r="O1270" s="122">
        <v>1299</v>
      </c>
      <c r="P1270">
        <v>0</v>
      </c>
      <c r="Q1270">
        <v>0</v>
      </c>
      <c r="S1270">
        <v>0</v>
      </c>
      <c r="T1270">
        <v>0</v>
      </c>
      <c r="U1270">
        <v>0</v>
      </c>
      <c r="V1270" s="122">
        <v>1299</v>
      </c>
      <c r="W1270" s="122">
        <f t="shared" si="40"/>
        <v>1299</v>
      </c>
      <c r="X1270" s="122">
        <f t="shared" si="41"/>
        <v>3508</v>
      </c>
    </row>
    <row r="1271" spans="2:24">
      <c r="B1271" t="s">
        <v>464</v>
      </c>
      <c r="C1271" t="s">
        <v>48</v>
      </c>
      <c r="D1271" t="s">
        <v>137</v>
      </c>
      <c r="E1271" t="s">
        <v>137</v>
      </c>
      <c r="F1271">
        <v>15</v>
      </c>
      <c r="G1271" s="122">
        <v>1088</v>
      </c>
      <c r="H1271">
        <v>744</v>
      </c>
      <c r="I1271" s="122">
        <v>-6260</v>
      </c>
      <c r="J1271" s="122">
        <v>-2318</v>
      </c>
      <c r="K1271">
        <v>544</v>
      </c>
      <c r="L1271">
        <v>0</v>
      </c>
      <c r="M1271">
        <v>0</v>
      </c>
      <c r="N1271" s="122">
        <v>15371</v>
      </c>
      <c r="O1271" s="122">
        <v>5693</v>
      </c>
      <c r="P1271" s="122">
        <v>5265</v>
      </c>
      <c r="Q1271" s="122">
        <v>1950</v>
      </c>
      <c r="R1271" s="122">
        <v>37981</v>
      </c>
      <c r="S1271" s="122">
        <v>14067</v>
      </c>
      <c r="T1271">
        <v>0</v>
      </c>
      <c r="U1271">
        <v>0</v>
      </c>
      <c r="V1271" s="122">
        <v>19392</v>
      </c>
      <c r="W1271" s="122">
        <f t="shared" si="40"/>
        <v>24028</v>
      </c>
      <c r="X1271" s="122">
        <f t="shared" si="41"/>
        <v>64877</v>
      </c>
    </row>
    <row r="1272" spans="2:24">
      <c r="B1272" t="s">
        <v>464</v>
      </c>
      <c r="C1272" t="s">
        <v>50</v>
      </c>
      <c r="F1272">
        <v>20</v>
      </c>
      <c r="G1272">
        <v>985</v>
      </c>
      <c r="H1272" s="122">
        <v>1772</v>
      </c>
      <c r="J1272">
        <v>0</v>
      </c>
      <c r="M1272">
        <v>0</v>
      </c>
      <c r="N1272" s="122">
        <v>12003</v>
      </c>
      <c r="O1272" s="122">
        <v>4446</v>
      </c>
      <c r="P1272">
        <v>0</v>
      </c>
      <c r="Q1272">
        <v>0</v>
      </c>
      <c r="S1272">
        <v>0</v>
      </c>
      <c r="T1272">
        <v>0</v>
      </c>
      <c r="U1272">
        <v>0</v>
      </c>
      <c r="V1272" s="122">
        <v>4446</v>
      </c>
      <c r="W1272" s="122">
        <f t="shared" si="40"/>
        <v>4446</v>
      </c>
      <c r="X1272" s="122">
        <f t="shared" si="41"/>
        <v>12003</v>
      </c>
    </row>
    <row r="1273" spans="2:24">
      <c r="B1273" t="s">
        <v>464</v>
      </c>
      <c r="C1273" t="s">
        <v>50</v>
      </c>
      <c r="D1273" t="s">
        <v>405</v>
      </c>
      <c r="E1273" t="s">
        <v>405</v>
      </c>
      <c r="F1273">
        <v>8</v>
      </c>
      <c r="G1273" s="122">
        <v>1026</v>
      </c>
      <c r="H1273">
        <v>698</v>
      </c>
      <c r="I1273" s="122">
        <v>36620</v>
      </c>
      <c r="J1273" s="122">
        <v>33291</v>
      </c>
      <c r="K1273">
        <v>92</v>
      </c>
      <c r="L1273" s="122">
        <v>3707</v>
      </c>
      <c r="M1273" s="122">
        <v>3370</v>
      </c>
      <c r="N1273" s="122">
        <v>14494</v>
      </c>
      <c r="O1273" s="122">
        <v>5368</v>
      </c>
      <c r="P1273" s="122">
        <v>3780</v>
      </c>
      <c r="Q1273" s="122">
        <v>1400</v>
      </c>
      <c r="R1273" s="122">
        <v>31049</v>
      </c>
      <c r="S1273" s="122">
        <v>28226</v>
      </c>
      <c r="T1273">
        <v>0</v>
      </c>
      <c r="U1273">
        <v>0</v>
      </c>
      <c r="V1273" s="122">
        <v>71655</v>
      </c>
      <c r="W1273" s="122">
        <f t="shared" si="40"/>
        <v>71655</v>
      </c>
      <c r="X1273" s="122">
        <f t="shared" si="41"/>
        <v>89650</v>
      </c>
    </row>
    <row r="1274" spans="2:24">
      <c r="B1274" t="s">
        <v>464</v>
      </c>
      <c r="C1274" t="s">
        <v>50</v>
      </c>
      <c r="D1274" t="s">
        <v>137</v>
      </c>
      <c r="E1274" t="s">
        <v>137</v>
      </c>
      <c r="F1274">
        <v>6</v>
      </c>
      <c r="G1274">
        <v>484</v>
      </c>
      <c r="H1274">
        <v>544</v>
      </c>
      <c r="I1274" s="122">
        <v>9881</v>
      </c>
      <c r="J1274" s="122">
        <v>3660</v>
      </c>
      <c r="K1274">
        <v>353</v>
      </c>
      <c r="L1274">
        <v>0</v>
      </c>
      <c r="M1274">
        <v>0</v>
      </c>
      <c r="N1274" s="122">
        <v>7963</v>
      </c>
      <c r="O1274" s="122">
        <v>2949</v>
      </c>
      <c r="P1274" s="122">
        <v>2851</v>
      </c>
      <c r="Q1274" s="122">
        <v>1056</v>
      </c>
      <c r="R1274" s="122">
        <v>21242</v>
      </c>
      <c r="S1274" s="122">
        <v>7867</v>
      </c>
      <c r="T1274">
        <v>0</v>
      </c>
      <c r="U1274">
        <v>0</v>
      </c>
      <c r="V1274" s="122">
        <v>15532</v>
      </c>
      <c r="W1274" s="122">
        <f t="shared" si="40"/>
        <v>15532</v>
      </c>
      <c r="X1274" s="122">
        <f t="shared" si="41"/>
        <v>41937</v>
      </c>
    </row>
    <row r="1275" spans="2:24">
      <c r="B1275" t="s">
        <v>464</v>
      </c>
      <c r="C1275" t="s">
        <v>52</v>
      </c>
      <c r="F1275">
        <v>10</v>
      </c>
      <c r="G1275">
        <v>859</v>
      </c>
      <c r="H1275" s="122">
        <v>1111</v>
      </c>
      <c r="J1275">
        <v>0</v>
      </c>
      <c r="M1275">
        <v>0</v>
      </c>
      <c r="N1275" s="122">
        <v>11860</v>
      </c>
      <c r="O1275" s="122">
        <v>4393</v>
      </c>
      <c r="P1275" s="122">
        <v>11141</v>
      </c>
      <c r="Q1275" s="122">
        <v>4126</v>
      </c>
      <c r="S1275">
        <v>0</v>
      </c>
      <c r="T1275">
        <v>0</v>
      </c>
      <c r="U1275">
        <v>0</v>
      </c>
      <c r="V1275" s="122">
        <v>8519</v>
      </c>
      <c r="W1275" s="122">
        <f t="shared" si="40"/>
        <v>8519</v>
      </c>
      <c r="X1275" s="122">
        <f t="shared" si="41"/>
        <v>23001</v>
      </c>
    </row>
    <row r="1276" spans="2:24">
      <c r="B1276" t="s">
        <v>464</v>
      </c>
      <c r="C1276" t="s">
        <v>52</v>
      </c>
      <c r="D1276" t="s">
        <v>425</v>
      </c>
      <c r="E1276" t="s">
        <v>425</v>
      </c>
      <c r="F1276">
        <v>2</v>
      </c>
      <c r="G1276">
        <v>134</v>
      </c>
      <c r="H1276">
        <v>233</v>
      </c>
      <c r="I1276" s="122">
        <v>6997</v>
      </c>
      <c r="J1276" s="122">
        <v>6361</v>
      </c>
      <c r="K1276">
        <v>91</v>
      </c>
      <c r="L1276">
        <v>0</v>
      </c>
      <c r="M1276">
        <v>0</v>
      </c>
      <c r="N1276" s="122">
        <v>3272</v>
      </c>
      <c r="O1276" s="122">
        <v>1212</v>
      </c>
      <c r="P1276">
        <v>945</v>
      </c>
      <c r="Q1276">
        <v>350</v>
      </c>
      <c r="R1276" s="122">
        <v>4401</v>
      </c>
      <c r="S1276" s="122">
        <v>4001</v>
      </c>
      <c r="T1276">
        <v>0</v>
      </c>
      <c r="U1276">
        <v>0</v>
      </c>
      <c r="V1276" s="122">
        <v>11924</v>
      </c>
      <c r="W1276" s="122">
        <f t="shared" si="40"/>
        <v>11924</v>
      </c>
      <c r="X1276" s="122">
        <f t="shared" si="41"/>
        <v>15615</v>
      </c>
    </row>
    <row r="1277" spans="2:24">
      <c r="B1277" t="s">
        <v>464</v>
      </c>
      <c r="C1277" t="s">
        <v>52</v>
      </c>
      <c r="D1277" t="s">
        <v>405</v>
      </c>
      <c r="E1277" t="s">
        <v>405</v>
      </c>
      <c r="F1277">
        <v>11</v>
      </c>
      <c r="G1277" s="122">
        <v>1159</v>
      </c>
      <c r="H1277" s="122">
        <v>1321</v>
      </c>
      <c r="I1277" s="122">
        <v>65140</v>
      </c>
      <c r="J1277" s="122">
        <v>59218</v>
      </c>
      <c r="K1277">
        <v>92</v>
      </c>
      <c r="L1277" s="122">
        <v>12355</v>
      </c>
      <c r="M1277" s="122">
        <v>11231</v>
      </c>
      <c r="N1277" s="122">
        <v>22920</v>
      </c>
      <c r="O1277" s="122">
        <v>8489</v>
      </c>
      <c r="P1277" s="122">
        <v>5198</v>
      </c>
      <c r="Q1277" s="122">
        <v>1925</v>
      </c>
      <c r="R1277" s="122">
        <v>32898</v>
      </c>
      <c r="S1277" s="122">
        <v>29907</v>
      </c>
      <c r="T1277">
        <v>0</v>
      </c>
      <c r="U1277">
        <v>0</v>
      </c>
      <c r="V1277" s="122">
        <v>110771</v>
      </c>
      <c r="W1277" s="122">
        <f t="shared" si="40"/>
        <v>110770</v>
      </c>
      <c r="X1277" s="122">
        <f t="shared" si="41"/>
        <v>138511</v>
      </c>
    </row>
    <row r="1278" spans="2:24">
      <c r="B1278" t="s">
        <v>464</v>
      </c>
      <c r="C1278" t="s">
        <v>52</v>
      </c>
      <c r="D1278" t="s">
        <v>137</v>
      </c>
      <c r="E1278" t="s">
        <v>137</v>
      </c>
      <c r="F1278">
        <v>19</v>
      </c>
      <c r="G1278" s="122">
        <v>1849</v>
      </c>
      <c r="H1278" s="122">
        <v>2180</v>
      </c>
      <c r="I1278" s="122">
        <v>35414</v>
      </c>
      <c r="J1278" s="122">
        <v>13116</v>
      </c>
      <c r="K1278">
        <v>201</v>
      </c>
      <c r="L1278" s="122">
        <v>3720</v>
      </c>
      <c r="M1278" s="122">
        <v>2167</v>
      </c>
      <c r="N1278" s="122">
        <v>37963</v>
      </c>
      <c r="O1278" s="122">
        <v>14060</v>
      </c>
      <c r="P1278">
        <v>702</v>
      </c>
      <c r="Q1278">
        <v>260</v>
      </c>
      <c r="R1278" s="122">
        <v>132281</v>
      </c>
      <c r="S1278" s="122">
        <v>48993</v>
      </c>
      <c r="T1278">
        <v>0</v>
      </c>
      <c r="U1278">
        <v>0</v>
      </c>
      <c r="V1278" s="122">
        <v>78597</v>
      </c>
      <c r="W1278" s="122">
        <f t="shared" si="40"/>
        <v>78596</v>
      </c>
      <c r="X1278" s="122">
        <f t="shared" si="41"/>
        <v>210080</v>
      </c>
    </row>
    <row r="1279" spans="2:24">
      <c r="B1279" t="s">
        <v>464</v>
      </c>
      <c r="C1279" t="s">
        <v>52</v>
      </c>
      <c r="D1279" t="s">
        <v>406</v>
      </c>
      <c r="E1279" t="s">
        <v>406</v>
      </c>
      <c r="F1279">
        <v>6</v>
      </c>
      <c r="G1279">
        <v>937</v>
      </c>
      <c r="H1279">
        <v>690</v>
      </c>
      <c r="I1279" s="122">
        <v>57364</v>
      </c>
      <c r="J1279" s="122">
        <v>52149</v>
      </c>
      <c r="K1279">
        <v>93</v>
      </c>
      <c r="L1279" s="122">
        <v>7076</v>
      </c>
      <c r="M1279" s="122">
        <v>5198</v>
      </c>
      <c r="N1279" s="122">
        <v>13407</v>
      </c>
      <c r="O1279" s="122">
        <v>4965</v>
      </c>
      <c r="P1279" s="122">
        <v>4779</v>
      </c>
      <c r="Q1279" s="122">
        <v>1770</v>
      </c>
      <c r="R1279" s="122">
        <v>25315</v>
      </c>
      <c r="S1279" s="122">
        <v>23014</v>
      </c>
      <c r="T1279">
        <v>0</v>
      </c>
      <c r="U1279">
        <v>0</v>
      </c>
      <c r="V1279" s="122">
        <v>87096</v>
      </c>
      <c r="W1279" s="122">
        <f t="shared" si="40"/>
        <v>87096</v>
      </c>
      <c r="X1279" s="122">
        <f t="shared" si="41"/>
        <v>107941</v>
      </c>
    </row>
    <row r="1280" spans="2:24">
      <c r="B1280" t="s">
        <v>464</v>
      </c>
      <c r="C1280" t="s">
        <v>54</v>
      </c>
      <c r="F1280">
        <v>7</v>
      </c>
      <c r="G1280">
        <v>548</v>
      </c>
      <c r="H1280">
        <v>950</v>
      </c>
      <c r="J1280">
        <v>0</v>
      </c>
      <c r="M1280">
        <v>0</v>
      </c>
      <c r="N1280" s="122">
        <v>7674</v>
      </c>
      <c r="O1280" s="122">
        <v>2842</v>
      </c>
      <c r="P1280" s="122">
        <v>7306</v>
      </c>
      <c r="Q1280" s="122">
        <v>2706</v>
      </c>
      <c r="S1280">
        <v>0</v>
      </c>
      <c r="T1280">
        <v>0</v>
      </c>
      <c r="U1280">
        <v>0</v>
      </c>
      <c r="V1280" s="122">
        <v>5548</v>
      </c>
      <c r="W1280" s="122">
        <f t="shared" si="40"/>
        <v>5548</v>
      </c>
      <c r="X1280" s="122">
        <f t="shared" si="41"/>
        <v>14980</v>
      </c>
    </row>
    <row r="1281" spans="2:24">
      <c r="B1281" t="s">
        <v>464</v>
      </c>
      <c r="C1281" t="s">
        <v>54</v>
      </c>
      <c r="D1281" t="s">
        <v>425</v>
      </c>
      <c r="E1281" t="s">
        <v>425</v>
      </c>
      <c r="F1281">
        <v>3</v>
      </c>
      <c r="G1281">
        <v>215</v>
      </c>
      <c r="H1281">
        <v>411</v>
      </c>
      <c r="I1281" s="122">
        <v>16864</v>
      </c>
      <c r="J1281" s="122">
        <v>15331</v>
      </c>
      <c r="K1281">
        <v>91</v>
      </c>
      <c r="L1281">
        <v>0</v>
      </c>
      <c r="M1281">
        <v>0</v>
      </c>
      <c r="N1281" s="122">
        <v>4384</v>
      </c>
      <c r="O1281" s="122">
        <v>1624</v>
      </c>
      <c r="P1281" s="122">
        <v>1296</v>
      </c>
      <c r="Q1281">
        <v>480</v>
      </c>
      <c r="R1281" s="122">
        <v>6866</v>
      </c>
      <c r="S1281" s="122">
        <v>6242</v>
      </c>
      <c r="T1281">
        <v>0</v>
      </c>
      <c r="U1281">
        <v>0</v>
      </c>
      <c r="V1281" s="122">
        <v>23677</v>
      </c>
      <c r="W1281" s="122">
        <f t="shared" si="40"/>
        <v>23677</v>
      </c>
      <c r="X1281" s="122">
        <f t="shared" si="41"/>
        <v>29410</v>
      </c>
    </row>
    <row r="1282" spans="2:24">
      <c r="B1282" t="s">
        <v>464</v>
      </c>
      <c r="C1282" t="s">
        <v>54</v>
      </c>
      <c r="D1282" t="s">
        <v>405</v>
      </c>
      <c r="E1282" t="s">
        <v>405</v>
      </c>
      <c r="F1282">
        <v>41</v>
      </c>
      <c r="G1282" s="122">
        <v>2972</v>
      </c>
      <c r="H1282" s="122">
        <v>5774</v>
      </c>
      <c r="I1282" s="122">
        <v>173140</v>
      </c>
      <c r="J1282" s="122">
        <v>157400</v>
      </c>
      <c r="K1282">
        <v>90</v>
      </c>
      <c r="L1282" s="122">
        <v>14480</v>
      </c>
      <c r="M1282" s="122">
        <v>12629</v>
      </c>
      <c r="N1282" s="122">
        <v>62858</v>
      </c>
      <c r="O1282" s="122">
        <v>23281</v>
      </c>
      <c r="P1282" s="122">
        <v>30092</v>
      </c>
      <c r="Q1282" s="122">
        <v>11145</v>
      </c>
      <c r="R1282" s="122">
        <v>135245</v>
      </c>
      <c r="S1282" s="122">
        <v>122950</v>
      </c>
      <c r="T1282" s="122">
        <v>4067</v>
      </c>
      <c r="U1282" s="122">
        <v>1506</v>
      </c>
      <c r="V1282" s="122">
        <v>328911</v>
      </c>
      <c r="W1282" s="122">
        <f t="shared" si="40"/>
        <v>328911</v>
      </c>
      <c r="X1282" s="122">
        <f t="shared" si="41"/>
        <v>419882</v>
      </c>
    </row>
    <row r="1283" spans="2:24">
      <c r="B1283" t="s">
        <v>464</v>
      </c>
      <c r="C1283" t="s">
        <v>54</v>
      </c>
      <c r="D1283" t="s">
        <v>137</v>
      </c>
      <c r="E1283" t="s">
        <v>425</v>
      </c>
      <c r="F1283">
        <v>2</v>
      </c>
      <c r="G1283">
        <v>134</v>
      </c>
      <c r="H1283">
        <v>299</v>
      </c>
      <c r="I1283" s="122">
        <v>13817</v>
      </c>
      <c r="J1283" s="122">
        <v>5118</v>
      </c>
      <c r="K1283">
        <v>100</v>
      </c>
      <c r="L1283">
        <v>0</v>
      </c>
      <c r="M1283">
        <v>0</v>
      </c>
      <c r="N1283" s="122">
        <v>1636</v>
      </c>
      <c r="O1283">
        <v>606</v>
      </c>
      <c r="P1283">
        <v>243</v>
      </c>
      <c r="Q1283">
        <v>90</v>
      </c>
      <c r="R1283" s="122">
        <v>4403</v>
      </c>
      <c r="S1283" s="122">
        <v>4003</v>
      </c>
      <c r="T1283">
        <v>0</v>
      </c>
      <c r="U1283">
        <v>0</v>
      </c>
      <c r="V1283" s="122">
        <v>9816</v>
      </c>
      <c r="W1283" s="122">
        <f t="shared" si="40"/>
        <v>9817</v>
      </c>
      <c r="X1283" s="122">
        <f t="shared" si="41"/>
        <v>20099</v>
      </c>
    </row>
    <row r="1284" spans="2:24">
      <c r="B1284" t="s">
        <v>464</v>
      </c>
      <c r="C1284" t="s">
        <v>54</v>
      </c>
      <c r="D1284" t="s">
        <v>137</v>
      </c>
      <c r="E1284" t="s">
        <v>137</v>
      </c>
      <c r="F1284">
        <v>45</v>
      </c>
      <c r="G1284" s="122">
        <v>3936</v>
      </c>
      <c r="H1284" s="122">
        <v>6363</v>
      </c>
      <c r="I1284" s="122">
        <v>136122</v>
      </c>
      <c r="J1284" s="122">
        <v>50416</v>
      </c>
      <c r="K1284">
        <v>112</v>
      </c>
      <c r="L1284" s="122">
        <v>28577</v>
      </c>
      <c r="M1284" s="122">
        <v>12702</v>
      </c>
      <c r="N1284" s="122">
        <v>81774</v>
      </c>
      <c r="O1284" s="122">
        <v>30287</v>
      </c>
      <c r="P1284" s="122">
        <v>1402</v>
      </c>
      <c r="Q1284">
        <v>519</v>
      </c>
      <c r="R1284" s="122">
        <v>300134</v>
      </c>
      <c r="S1284" s="122">
        <v>111161</v>
      </c>
      <c r="T1284" s="122">
        <v>9226</v>
      </c>
      <c r="U1284" s="122">
        <v>3417</v>
      </c>
      <c r="V1284" s="122">
        <v>208501</v>
      </c>
      <c r="W1284" s="122">
        <f t="shared" si="40"/>
        <v>208502</v>
      </c>
      <c r="X1284" s="122">
        <f t="shared" si="41"/>
        <v>557235</v>
      </c>
    </row>
    <row r="1285" spans="2:24">
      <c r="B1285" t="s">
        <v>464</v>
      </c>
      <c r="C1285" t="s">
        <v>54</v>
      </c>
      <c r="D1285" t="s">
        <v>406</v>
      </c>
      <c r="E1285" t="s">
        <v>406</v>
      </c>
      <c r="F1285">
        <v>13</v>
      </c>
      <c r="G1285" s="122">
        <v>2108</v>
      </c>
      <c r="H1285" s="122">
        <v>1839</v>
      </c>
      <c r="I1285" s="122">
        <v>155774</v>
      </c>
      <c r="J1285" s="122">
        <v>141613</v>
      </c>
      <c r="K1285">
        <v>90</v>
      </c>
      <c r="L1285" s="122">
        <v>26842</v>
      </c>
      <c r="M1285" s="122">
        <v>22590</v>
      </c>
      <c r="N1285" s="122">
        <v>36932</v>
      </c>
      <c r="O1285" s="122">
        <v>13679</v>
      </c>
      <c r="P1285" s="122">
        <v>8775</v>
      </c>
      <c r="Q1285" s="122">
        <v>3250</v>
      </c>
      <c r="R1285" s="122">
        <v>61064</v>
      </c>
      <c r="S1285" s="122">
        <v>55513</v>
      </c>
      <c r="T1285" s="122">
        <v>8391</v>
      </c>
      <c r="U1285" s="122">
        <v>3108</v>
      </c>
      <c r="V1285" s="122">
        <v>239752</v>
      </c>
      <c r="W1285" s="122">
        <f t="shared" si="40"/>
        <v>239753</v>
      </c>
      <c r="X1285" s="122">
        <f t="shared" si="41"/>
        <v>297778</v>
      </c>
    </row>
    <row r="1286" spans="2:24">
      <c r="B1286" t="s">
        <v>464</v>
      </c>
      <c r="C1286" t="s">
        <v>54</v>
      </c>
      <c r="D1286" t="s">
        <v>407</v>
      </c>
      <c r="E1286" t="s">
        <v>407</v>
      </c>
      <c r="F1286">
        <v>23</v>
      </c>
      <c r="G1286" s="122">
        <v>1630</v>
      </c>
      <c r="H1286" s="122">
        <v>3209</v>
      </c>
      <c r="I1286" s="122">
        <v>89748</v>
      </c>
      <c r="J1286" s="122">
        <v>81589</v>
      </c>
      <c r="K1286">
        <v>84</v>
      </c>
      <c r="L1286">
        <v>0</v>
      </c>
      <c r="M1286">
        <v>0</v>
      </c>
      <c r="N1286" s="122">
        <v>38805</v>
      </c>
      <c r="O1286" s="122">
        <v>14372</v>
      </c>
      <c r="P1286" s="122">
        <v>10746</v>
      </c>
      <c r="Q1286" s="122">
        <v>3980</v>
      </c>
      <c r="R1286" s="122">
        <v>85554</v>
      </c>
      <c r="S1286" s="122">
        <v>77776</v>
      </c>
      <c r="T1286" s="122">
        <v>2219</v>
      </c>
      <c r="U1286">
        <v>822</v>
      </c>
      <c r="V1286" s="122">
        <v>178539</v>
      </c>
      <c r="W1286" s="122">
        <f t="shared" si="40"/>
        <v>178539</v>
      </c>
      <c r="X1286" s="122">
        <f t="shared" si="41"/>
        <v>227072</v>
      </c>
    </row>
    <row r="1287" spans="2:24">
      <c r="B1287" t="s">
        <v>464</v>
      </c>
      <c r="C1287" t="s">
        <v>56</v>
      </c>
      <c r="F1287">
        <v>9</v>
      </c>
      <c r="G1287">
        <v>542</v>
      </c>
      <c r="H1287" s="122">
        <v>1581</v>
      </c>
      <c r="J1287">
        <v>0</v>
      </c>
      <c r="M1287">
        <v>0</v>
      </c>
      <c r="N1287" s="122">
        <v>7190</v>
      </c>
      <c r="O1287" s="122">
        <v>2663</v>
      </c>
      <c r="P1287" s="122">
        <v>3956</v>
      </c>
      <c r="Q1287" s="122">
        <v>1465</v>
      </c>
      <c r="S1287">
        <v>0</v>
      </c>
      <c r="T1287">
        <v>0</v>
      </c>
      <c r="U1287">
        <v>0</v>
      </c>
      <c r="V1287" s="122">
        <v>4128</v>
      </c>
      <c r="W1287" s="122">
        <f t="shared" si="40"/>
        <v>4128</v>
      </c>
      <c r="X1287" s="122">
        <f t="shared" si="41"/>
        <v>11146</v>
      </c>
    </row>
    <row r="1288" spans="2:24">
      <c r="B1288" t="s">
        <v>464</v>
      </c>
      <c r="C1288" t="s">
        <v>56</v>
      </c>
      <c r="D1288" t="s">
        <v>425</v>
      </c>
      <c r="E1288" t="s">
        <v>425</v>
      </c>
      <c r="F1288">
        <v>1</v>
      </c>
      <c r="G1288">
        <v>90</v>
      </c>
      <c r="H1288">
        <v>173</v>
      </c>
      <c r="I1288" s="122">
        <v>8875</v>
      </c>
      <c r="J1288" s="122">
        <v>8068</v>
      </c>
      <c r="K1288">
        <v>92</v>
      </c>
      <c r="L1288" s="122">
        <v>1428</v>
      </c>
      <c r="M1288" s="122">
        <v>1298</v>
      </c>
      <c r="N1288" s="122">
        <v>2088</v>
      </c>
      <c r="O1288">
        <v>773</v>
      </c>
      <c r="P1288">
        <v>473</v>
      </c>
      <c r="Q1288">
        <v>175</v>
      </c>
      <c r="R1288" s="122">
        <v>2627</v>
      </c>
      <c r="S1288" s="122">
        <v>2388</v>
      </c>
      <c r="T1288">
        <v>0</v>
      </c>
      <c r="U1288">
        <v>0</v>
      </c>
      <c r="V1288" s="122">
        <v>12703</v>
      </c>
      <c r="W1288" s="122">
        <f t="shared" si="40"/>
        <v>12702</v>
      </c>
      <c r="X1288" s="122">
        <f t="shared" si="41"/>
        <v>15491</v>
      </c>
    </row>
    <row r="1289" spans="2:24">
      <c r="B1289" t="s">
        <v>464</v>
      </c>
      <c r="C1289" t="s">
        <v>56</v>
      </c>
      <c r="D1289" t="s">
        <v>405</v>
      </c>
      <c r="E1289" t="s">
        <v>405</v>
      </c>
      <c r="F1289">
        <v>70</v>
      </c>
      <c r="G1289" s="122">
        <v>5196</v>
      </c>
      <c r="H1289" s="122">
        <v>12164</v>
      </c>
      <c r="I1289" s="122">
        <v>445433</v>
      </c>
      <c r="J1289" s="122">
        <v>404939</v>
      </c>
      <c r="K1289">
        <v>87</v>
      </c>
      <c r="L1289" s="122">
        <v>56647</v>
      </c>
      <c r="M1289" s="122">
        <v>49329</v>
      </c>
      <c r="N1289" s="122">
        <v>110825</v>
      </c>
      <c r="O1289" s="122">
        <v>41046</v>
      </c>
      <c r="P1289" s="122">
        <v>50599</v>
      </c>
      <c r="Q1289" s="122">
        <v>18740</v>
      </c>
      <c r="R1289" s="122">
        <v>241629</v>
      </c>
      <c r="S1289" s="122">
        <v>219663</v>
      </c>
      <c r="T1289" s="122">
        <v>7748</v>
      </c>
      <c r="U1289" s="122">
        <v>2870</v>
      </c>
      <c r="V1289" s="122">
        <v>736587</v>
      </c>
      <c r="W1289" s="122">
        <f t="shared" si="40"/>
        <v>736587</v>
      </c>
      <c r="X1289" s="122">
        <f t="shared" si="41"/>
        <v>912881</v>
      </c>
    </row>
    <row r="1290" spans="2:24">
      <c r="B1290" t="s">
        <v>464</v>
      </c>
      <c r="C1290" t="s">
        <v>56</v>
      </c>
      <c r="D1290" t="s">
        <v>137</v>
      </c>
      <c r="E1290" t="s">
        <v>425</v>
      </c>
      <c r="F1290">
        <v>4</v>
      </c>
      <c r="G1290">
        <v>291</v>
      </c>
      <c r="H1290">
        <v>674</v>
      </c>
      <c r="I1290" s="122">
        <v>36243</v>
      </c>
      <c r="J1290" s="122">
        <v>13423</v>
      </c>
      <c r="K1290">
        <v>100</v>
      </c>
      <c r="L1290">
        <v>0</v>
      </c>
      <c r="M1290">
        <v>0</v>
      </c>
      <c r="N1290" s="122">
        <v>3547</v>
      </c>
      <c r="O1290" s="122">
        <v>1314</v>
      </c>
      <c r="P1290">
        <v>486</v>
      </c>
      <c r="Q1290">
        <v>180</v>
      </c>
      <c r="R1290" s="122">
        <v>8785</v>
      </c>
      <c r="S1290" s="122">
        <v>7986</v>
      </c>
      <c r="T1290">
        <v>0</v>
      </c>
      <c r="U1290">
        <v>0</v>
      </c>
      <c r="V1290" s="122">
        <v>22903</v>
      </c>
      <c r="W1290" s="122">
        <f t="shared" si="40"/>
        <v>22903</v>
      </c>
      <c r="X1290" s="122">
        <f t="shared" si="41"/>
        <v>49061</v>
      </c>
    </row>
    <row r="1291" spans="2:24">
      <c r="B1291" t="s">
        <v>464</v>
      </c>
      <c r="C1291" t="s">
        <v>56</v>
      </c>
      <c r="D1291" t="s">
        <v>137</v>
      </c>
      <c r="E1291" t="s">
        <v>405</v>
      </c>
      <c r="F1291">
        <v>1</v>
      </c>
      <c r="G1291">
        <v>72</v>
      </c>
      <c r="H1291">
        <v>214</v>
      </c>
      <c r="I1291" s="122">
        <v>10036</v>
      </c>
      <c r="J1291" s="122">
        <v>3717</v>
      </c>
      <c r="K1291">
        <v>100</v>
      </c>
      <c r="L1291">
        <v>0</v>
      </c>
      <c r="M1291">
        <v>0</v>
      </c>
      <c r="N1291" s="122">
        <v>1559</v>
      </c>
      <c r="O1291">
        <v>578</v>
      </c>
      <c r="P1291">
        <v>0</v>
      </c>
      <c r="Q1291">
        <v>0</v>
      </c>
      <c r="R1291" s="122">
        <v>3875</v>
      </c>
      <c r="S1291" s="122">
        <v>3522</v>
      </c>
      <c r="T1291">
        <v>0</v>
      </c>
      <c r="U1291">
        <v>0</v>
      </c>
      <c r="V1291" s="122">
        <v>7817</v>
      </c>
      <c r="W1291" s="122">
        <f t="shared" si="40"/>
        <v>7817</v>
      </c>
      <c r="X1291" s="122">
        <f t="shared" si="41"/>
        <v>15470</v>
      </c>
    </row>
    <row r="1292" spans="2:24">
      <c r="B1292" t="s">
        <v>464</v>
      </c>
      <c r="C1292" t="s">
        <v>56</v>
      </c>
      <c r="D1292" t="s">
        <v>137</v>
      </c>
      <c r="E1292" t="s">
        <v>137</v>
      </c>
      <c r="F1292">
        <v>562</v>
      </c>
      <c r="G1292" s="122">
        <v>45991</v>
      </c>
      <c r="H1292" s="122">
        <v>108399</v>
      </c>
      <c r="I1292" s="122">
        <v>3532799</v>
      </c>
      <c r="J1292" s="122">
        <v>1308444</v>
      </c>
      <c r="K1292">
        <v>101</v>
      </c>
      <c r="L1292" s="122">
        <v>567886</v>
      </c>
      <c r="M1292" s="122">
        <v>215495</v>
      </c>
      <c r="N1292" s="122">
        <v>925172</v>
      </c>
      <c r="O1292" s="122">
        <v>342656</v>
      </c>
      <c r="P1292" s="122">
        <v>7142</v>
      </c>
      <c r="Q1292" s="122">
        <v>2645</v>
      </c>
      <c r="R1292" s="122">
        <v>3780450</v>
      </c>
      <c r="S1292" s="122">
        <v>1400166</v>
      </c>
      <c r="T1292" s="122">
        <v>56938</v>
      </c>
      <c r="U1292" s="122">
        <v>21088</v>
      </c>
      <c r="V1292" s="122">
        <v>3290495</v>
      </c>
      <c r="W1292" s="122">
        <f t="shared" si="40"/>
        <v>3290494</v>
      </c>
      <c r="X1292" s="122">
        <f t="shared" si="41"/>
        <v>8870387</v>
      </c>
    </row>
    <row r="1293" spans="2:24">
      <c r="B1293" t="s">
        <v>464</v>
      </c>
      <c r="C1293" t="s">
        <v>56</v>
      </c>
      <c r="D1293" t="s">
        <v>137</v>
      </c>
      <c r="E1293" t="s">
        <v>407</v>
      </c>
      <c r="F1293">
        <v>3</v>
      </c>
      <c r="G1293">
        <v>223</v>
      </c>
      <c r="H1293">
        <v>589</v>
      </c>
      <c r="I1293" s="122">
        <v>22190</v>
      </c>
      <c r="J1293" s="122">
        <v>8219</v>
      </c>
      <c r="K1293">
        <v>100</v>
      </c>
      <c r="L1293" s="122">
        <v>5548</v>
      </c>
      <c r="M1293" s="122">
        <v>2055</v>
      </c>
      <c r="N1293" s="122">
        <v>5203</v>
      </c>
      <c r="O1293" s="122">
        <v>1927</v>
      </c>
      <c r="P1293">
        <v>0</v>
      </c>
      <c r="Q1293">
        <v>0</v>
      </c>
      <c r="R1293" s="122">
        <v>10774</v>
      </c>
      <c r="S1293" s="122">
        <v>9794</v>
      </c>
      <c r="T1293">
        <v>0</v>
      </c>
      <c r="U1293">
        <v>0</v>
      </c>
      <c r="V1293" s="122">
        <v>21995</v>
      </c>
      <c r="W1293" s="122">
        <f t="shared" si="40"/>
        <v>21995</v>
      </c>
      <c r="X1293" s="122">
        <f t="shared" si="41"/>
        <v>43715</v>
      </c>
    </row>
    <row r="1294" spans="2:24">
      <c r="B1294" t="s">
        <v>464</v>
      </c>
      <c r="C1294" t="s">
        <v>56</v>
      </c>
      <c r="D1294" t="s">
        <v>137</v>
      </c>
      <c r="E1294" t="s">
        <v>556</v>
      </c>
      <c r="F1294">
        <v>1</v>
      </c>
      <c r="G1294">
        <v>41</v>
      </c>
      <c r="H1294">
        <v>197</v>
      </c>
      <c r="I1294" s="122">
        <v>1800</v>
      </c>
      <c r="J1294">
        <v>667</v>
      </c>
      <c r="K1294">
        <v>356</v>
      </c>
      <c r="L1294">
        <v>487</v>
      </c>
      <c r="M1294">
        <v>406</v>
      </c>
      <c r="N1294">
        <v>493</v>
      </c>
      <c r="O1294">
        <v>183</v>
      </c>
      <c r="P1294">
        <v>164</v>
      </c>
      <c r="Q1294">
        <v>61</v>
      </c>
      <c r="R1294" s="122">
        <v>3554</v>
      </c>
      <c r="S1294" s="122">
        <v>2962</v>
      </c>
      <c r="T1294" s="122">
        <v>1473</v>
      </c>
      <c r="U1294">
        <v>546</v>
      </c>
      <c r="V1294" s="122">
        <v>4823</v>
      </c>
      <c r="W1294" s="122">
        <f t="shared" si="40"/>
        <v>4825</v>
      </c>
      <c r="X1294" s="122">
        <f t="shared" si="41"/>
        <v>7971</v>
      </c>
    </row>
    <row r="1295" spans="2:24">
      <c r="B1295" t="s">
        <v>464</v>
      </c>
      <c r="C1295" t="s">
        <v>56</v>
      </c>
      <c r="D1295" t="s">
        <v>406</v>
      </c>
      <c r="E1295" t="s">
        <v>406</v>
      </c>
      <c r="F1295">
        <v>85</v>
      </c>
      <c r="G1295" s="122">
        <v>10333</v>
      </c>
      <c r="H1295" s="122">
        <v>16273</v>
      </c>
      <c r="I1295" s="122">
        <v>1041750</v>
      </c>
      <c r="J1295" s="122">
        <v>947046</v>
      </c>
      <c r="K1295">
        <v>85</v>
      </c>
      <c r="L1295" s="122">
        <v>238700</v>
      </c>
      <c r="M1295" s="122">
        <v>200809</v>
      </c>
      <c r="N1295" s="122">
        <v>208419</v>
      </c>
      <c r="O1295" s="122">
        <v>77192</v>
      </c>
      <c r="P1295" s="122">
        <v>53833</v>
      </c>
      <c r="Q1295" s="122">
        <v>19938</v>
      </c>
      <c r="R1295" s="122">
        <v>417140</v>
      </c>
      <c r="S1295" s="122">
        <v>379218</v>
      </c>
      <c r="T1295" s="122">
        <v>63310</v>
      </c>
      <c r="U1295" s="122">
        <v>23448</v>
      </c>
      <c r="V1295" s="122">
        <v>1647651</v>
      </c>
      <c r="W1295" s="122">
        <f t="shared" si="40"/>
        <v>1647651</v>
      </c>
      <c r="X1295" s="122">
        <f t="shared" si="41"/>
        <v>2023152</v>
      </c>
    </row>
    <row r="1296" spans="2:24">
      <c r="B1296" t="s">
        <v>464</v>
      </c>
      <c r="C1296" t="s">
        <v>56</v>
      </c>
      <c r="D1296" t="s">
        <v>407</v>
      </c>
      <c r="E1296" t="s">
        <v>407</v>
      </c>
      <c r="F1296">
        <v>41</v>
      </c>
      <c r="G1296" s="122">
        <v>2816</v>
      </c>
      <c r="H1296" s="122">
        <v>7430</v>
      </c>
      <c r="I1296" s="122">
        <v>222587</v>
      </c>
      <c r="J1296" s="122">
        <v>202352</v>
      </c>
      <c r="K1296">
        <v>79</v>
      </c>
      <c r="L1296" s="122">
        <v>9198</v>
      </c>
      <c r="M1296" s="122">
        <v>8362</v>
      </c>
      <c r="N1296" s="122">
        <v>66438</v>
      </c>
      <c r="O1296" s="122">
        <v>24607</v>
      </c>
      <c r="P1296" s="122">
        <v>19251</v>
      </c>
      <c r="Q1296" s="122">
        <v>7130</v>
      </c>
      <c r="R1296" s="122">
        <v>188730</v>
      </c>
      <c r="S1296" s="122">
        <v>171572</v>
      </c>
      <c r="T1296" s="122">
        <v>4824</v>
      </c>
      <c r="U1296" s="122">
        <v>1787</v>
      </c>
      <c r="V1296" s="122">
        <v>415810</v>
      </c>
      <c r="W1296" s="122">
        <f t="shared" si="40"/>
        <v>415810</v>
      </c>
      <c r="X1296" s="122">
        <f t="shared" si="41"/>
        <v>511028</v>
      </c>
    </row>
    <row r="1297" spans="2:24">
      <c r="B1297" t="s">
        <v>464</v>
      </c>
      <c r="C1297" t="s">
        <v>56</v>
      </c>
      <c r="D1297" t="s">
        <v>426</v>
      </c>
      <c r="E1297" t="s">
        <v>426</v>
      </c>
      <c r="F1297">
        <v>1</v>
      </c>
      <c r="G1297">
        <v>143</v>
      </c>
      <c r="H1297">
        <v>201</v>
      </c>
      <c r="I1297" s="122">
        <v>15062</v>
      </c>
      <c r="J1297" s="122">
        <v>13693</v>
      </c>
      <c r="K1297">
        <v>65</v>
      </c>
      <c r="L1297" s="122">
        <v>2670</v>
      </c>
      <c r="M1297">
        <v>989</v>
      </c>
      <c r="N1297" s="122">
        <v>2688</v>
      </c>
      <c r="O1297">
        <v>995</v>
      </c>
      <c r="P1297">
        <v>351</v>
      </c>
      <c r="Q1297">
        <v>130</v>
      </c>
      <c r="R1297" s="122">
        <v>5131</v>
      </c>
      <c r="S1297" s="122">
        <v>4664</v>
      </c>
      <c r="T1297" s="122">
        <v>2945</v>
      </c>
      <c r="U1297" s="122">
        <v>1091</v>
      </c>
      <c r="V1297" s="122">
        <v>21562</v>
      </c>
      <c r="W1297" s="122">
        <f t="shared" si="40"/>
        <v>21562</v>
      </c>
      <c r="X1297" s="122">
        <f t="shared" si="41"/>
        <v>28847</v>
      </c>
    </row>
    <row r="1298" spans="2:24">
      <c r="B1298" t="s">
        <v>464</v>
      </c>
      <c r="C1298" t="s">
        <v>56</v>
      </c>
      <c r="D1298" t="s">
        <v>408</v>
      </c>
      <c r="E1298" t="s">
        <v>408</v>
      </c>
      <c r="F1298">
        <v>1</v>
      </c>
      <c r="G1298">
        <v>136</v>
      </c>
      <c r="H1298">
        <v>173</v>
      </c>
      <c r="I1298" s="122">
        <v>11715</v>
      </c>
      <c r="J1298" s="122">
        <v>10650</v>
      </c>
      <c r="K1298">
        <v>85</v>
      </c>
      <c r="L1298" s="122">
        <v>4033</v>
      </c>
      <c r="M1298" s="122">
        <v>3361</v>
      </c>
      <c r="N1298" s="122">
        <v>1655</v>
      </c>
      <c r="O1298">
        <v>613</v>
      </c>
      <c r="P1298">
        <v>351</v>
      </c>
      <c r="Q1298">
        <v>130</v>
      </c>
      <c r="R1298" s="122">
        <v>5721</v>
      </c>
      <c r="S1298" s="122">
        <v>5200</v>
      </c>
      <c r="T1298">
        <v>0</v>
      </c>
      <c r="U1298">
        <v>0</v>
      </c>
      <c r="V1298" s="122">
        <v>19954</v>
      </c>
      <c r="W1298" s="122">
        <f t="shared" si="40"/>
        <v>19954</v>
      </c>
      <c r="X1298" s="122">
        <f t="shared" si="41"/>
        <v>23475</v>
      </c>
    </row>
    <row r="1299" spans="2:24">
      <c r="B1299" t="s">
        <v>464</v>
      </c>
      <c r="C1299" t="s">
        <v>58</v>
      </c>
      <c r="F1299">
        <v>9</v>
      </c>
      <c r="G1299">
        <v>440</v>
      </c>
      <c r="H1299" s="122">
        <v>2349</v>
      </c>
      <c r="J1299">
        <v>0</v>
      </c>
      <c r="M1299">
        <v>0</v>
      </c>
      <c r="N1299" s="122">
        <v>6869</v>
      </c>
      <c r="O1299" s="122">
        <v>2544</v>
      </c>
      <c r="P1299" s="122">
        <v>2025</v>
      </c>
      <c r="Q1299">
        <v>750</v>
      </c>
      <c r="S1299">
        <v>0</v>
      </c>
      <c r="T1299">
        <v>0</v>
      </c>
      <c r="U1299">
        <v>0</v>
      </c>
      <c r="V1299" s="122">
        <v>3294</v>
      </c>
      <c r="W1299" s="122">
        <f t="shared" si="40"/>
        <v>3294</v>
      </c>
      <c r="X1299" s="122">
        <f t="shared" si="41"/>
        <v>8894</v>
      </c>
    </row>
    <row r="1300" spans="2:24">
      <c r="B1300" t="s">
        <v>464</v>
      </c>
      <c r="C1300" t="s">
        <v>58</v>
      </c>
      <c r="D1300" t="s">
        <v>425</v>
      </c>
      <c r="E1300" t="s">
        <v>425</v>
      </c>
      <c r="F1300">
        <v>1</v>
      </c>
      <c r="G1300">
        <v>67</v>
      </c>
      <c r="H1300">
        <v>257</v>
      </c>
      <c r="I1300" s="122">
        <v>10873</v>
      </c>
      <c r="J1300" s="122">
        <v>9885</v>
      </c>
      <c r="K1300">
        <v>92</v>
      </c>
      <c r="L1300" s="122">
        <v>2601</v>
      </c>
      <c r="M1300">
        <v>963</v>
      </c>
      <c r="N1300">
        <v>818</v>
      </c>
      <c r="O1300">
        <v>303</v>
      </c>
      <c r="P1300">
        <v>824</v>
      </c>
      <c r="Q1300">
        <v>305</v>
      </c>
      <c r="R1300" s="122">
        <v>2175</v>
      </c>
      <c r="S1300" s="122">
        <v>1977</v>
      </c>
      <c r="T1300">
        <v>0</v>
      </c>
      <c r="U1300">
        <v>0</v>
      </c>
      <c r="V1300" s="122">
        <v>13433</v>
      </c>
      <c r="W1300" s="122">
        <f t="shared" si="40"/>
        <v>13433</v>
      </c>
      <c r="X1300" s="122">
        <f t="shared" si="41"/>
        <v>17291</v>
      </c>
    </row>
    <row r="1301" spans="2:24">
      <c r="B1301" t="s">
        <v>464</v>
      </c>
      <c r="C1301" t="s">
        <v>58</v>
      </c>
      <c r="D1301" t="s">
        <v>405</v>
      </c>
      <c r="E1301" t="s">
        <v>405</v>
      </c>
      <c r="F1301">
        <v>19</v>
      </c>
      <c r="G1301" s="122">
        <v>1060</v>
      </c>
      <c r="H1301" s="122">
        <v>4790</v>
      </c>
      <c r="I1301" s="122">
        <v>118484</v>
      </c>
      <c r="J1301" s="122">
        <v>107713</v>
      </c>
      <c r="K1301">
        <v>80</v>
      </c>
      <c r="L1301" s="122">
        <v>29962</v>
      </c>
      <c r="M1301" s="122">
        <v>24696</v>
      </c>
      <c r="N1301" s="122">
        <v>20516</v>
      </c>
      <c r="O1301" s="122">
        <v>7598</v>
      </c>
      <c r="P1301" s="122">
        <v>8640</v>
      </c>
      <c r="Q1301" s="122">
        <v>3200</v>
      </c>
      <c r="R1301" s="122">
        <v>65243</v>
      </c>
      <c r="S1301" s="122">
        <v>59311</v>
      </c>
      <c r="T1301" s="122">
        <v>23360</v>
      </c>
      <c r="U1301" s="122">
        <v>8652</v>
      </c>
      <c r="V1301" s="122">
        <v>211171</v>
      </c>
      <c r="W1301" s="122">
        <f t="shared" si="40"/>
        <v>211170</v>
      </c>
      <c r="X1301" s="122">
        <f t="shared" si="41"/>
        <v>266205</v>
      </c>
    </row>
    <row r="1302" spans="2:24">
      <c r="B1302" t="s">
        <v>464</v>
      </c>
      <c r="C1302" t="s">
        <v>58</v>
      </c>
      <c r="D1302" t="s">
        <v>137</v>
      </c>
      <c r="E1302" t="s">
        <v>405</v>
      </c>
      <c r="F1302">
        <v>20</v>
      </c>
      <c r="G1302" s="122">
        <v>1194</v>
      </c>
      <c r="H1302" s="122">
        <v>5318</v>
      </c>
      <c r="I1302" s="122">
        <v>208618</v>
      </c>
      <c r="J1302" s="122">
        <v>77266</v>
      </c>
      <c r="K1302">
        <v>100</v>
      </c>
      <c r="L1302">
        <v>0</v>
      </c>
      <c r="M1302">
        <v>0</v>
      </c>
      <c r="N1302" s="122">
        <v>22339</v>
      </c>
      <c r="O1302" s="122">
        <v>8274</v>
      </c>
      <c r="P1302">
        <v>0</v>
      </c>
      <c r="Q1302">
        <v>0</v>
      </c>
      <c r="R1302" s="122">
        <v>84862</v>
      </c>
      <c r="S1302" s="122">
        <v>77148</v>
      </c>
      <c r="T1302">
        <v>0</v>
      </c>
      <c r="U1302">
        <v>0</v>
      </c>
      <c r="V1302" s="122">
        <v>162687</v>
      </c>
      <c r="W1302" s="122">
        <f t="shared" si="40"/>
        <v>162688</v>
      </c>
      <c r="X1302" s="122">
        <f t="shared" si="41"/>
        <v>315819</v>
      </c>
    </row>
    <row r="1303" spans="2:24">
      <c r="B1303" t="s">
        <v>464</v>
      </c>
      <c r="C1303" t="s">
        <v>58</v>
      </c>
      <c r="D1303" t="s">
        <v>137</v>
      </c>
      <c r="E1303" t="s">
        <v>137</v>
      </c>
      <c r="F1303">
        <v>566</v>
      </c>
      <c r="G1303" s="122">
        <v>42094</v>
      </c>
      <c r="H1303" s="122">
        <v>147328</v>
      </c>
      <c r="I1303" s="122">
        <v>5538876</v>
      </c>
      <c r="J1303" s="122">
        <v>2051435</v>
      </c>
      <c r="K1303">
        <v>100</v>
      </c>
      <c r="L1303" s="122">
        <v>763779</v>
      </c>
      <c r="M1303" s="122">
        <v>315452</v>
      </c>
      <c r="N1303" s="122">
        <v>823609</v>
      </c>
      <c r="O1303" s="122">
        <v>305040</v>
      </c>
      <c r="P1303" s="122">
        <v>17535</v>
      </c>
      <c r="Q1303" s="122">
        <v>6495</v>
      </c>
      <c r="R1303" s="122">
        <v>3789840</v>
      </c>
      <c r="S1303" s="122">
        <v>1403644</v>
      </c>
      <c r="T1303" s="122">
        <v>5898</v>
      </c>
      <c r="U1303" s="122">
        <v>2184</v>
      </c>
      <c r="V1303" s="122">
        <v>4084251</v>
      </c>
      <c r="W1303" s="122">
        <f t="shared" si="40"/>
        <v>4084250</v>
      </c>
      <c r="X1303" s="122">
        <f t="shared" si="41"/>
        <v>10939537</v>
      </c>
    </row>
    <row r="1304" spans="2:24">
      <c r="B1304" t="s">
        <v>464</v>
      </c>
      <c r="C1304" t="s">
        <v>58</v>
      </c>
      <c r="D1304" t="s">
        <v>137</v>
      </c>
      <c r="E1304" t="s">
        <v>407</v>
      </c>
      <c r="F1304">
        <v>12</v>
      </c>
      <c r="G1304">
        <v>895</v>
      </c>
      <c r="H1304" s="122">
        <v>3266</v>
      </c>
      <c r="I1304" s="122">
        <v>143416</v>
      </c>
      <c r="J1304" s="122">
        <v>53117</v>
      </c>
      <c r="K1304">
        <v>100</v>
      </c>
      <c r="L1304" s="122">
        <v>35854</v>
      </c>
      <c r="M1304" s="122">
        <v>13279</v>
      </c>
      <c r="N1304" s="122">
        <v>21227</v>
      </c>
      <c r="O1304" s="122">
        <v>7862</v>
      </c>
      <c r="P1304">
        <v>0</v>
      </c>
      <c r="Q1304">
        <v>0</v>
      </c>
      <c r="R1304" s="122">
        <v>43202</v>
      </c>
      <c r="S1304" s="122">
        <v>39274</v>
      </c>
      <c r="T1304">
        <v>0</v>
      </c>
      <c r="U1304">
        <v>0</v>
      </c>
      <c r="V1304" s="122">
        <v>113532</v>
      </c>
      <c r="W1304" s="122">
        <f t="shared" si="40"/>
        <v>113532</v>
      </c>
      <c r="X1304" s="122">
        <f t="shared" si="41"/>
        <v>243699</v>
      </c>
    </row>
    <row r="1305" spans="2:24">
      <c r="B1305" t="s">
        <v>464</v>
      </c>
      <c r="C1305" t="s">
        <v>58</v>
      </c>
      <c r="D1305" t="s">
        <v>137</v>
      </c>
      <c r="E1305" t="s">
        <v>556</v>
      </c>
      <c r="F1305">
        <v>2</v>
      </c>
      <c r="G1305">
        <v>81</v>
      </c>
      <c r="H1305">
        <v>462</v>
      </c>
      <c r="I1305" s="122">
        <v>3167</v>
      </c>
      <c r="J1305" s="122">
        <v>1173</v>
      </c>
      <c r="K1305">
        <v>303</v>
      </c>
      <c r="L1305">
        <v>959</v>
      </c>
      <c r="M1305">
        <v>799</v>
      </c>
      <c r="N1305">
        <v>987</v>
      </c>
      <c r="O1305">
        <v>366</v>
      </c>
      <c r="P1305">
        <v>672</v>
      </c>
      <c r="Q1305">
        <v>249</v>
      </c>
      <c r="R1305" s="122">
        <v>9724</v>
      </c>
      <c r="S1305" s="122">
        <v>8103</v>
      </c>
      <c r="T1305" s="122">
        <v>3214</v>
      </c>
      <c r="U1305" s="122">
        <v>1190</v>
      </c>
      <c r="V1305" s="122">
        <v>11881</v>
      </c>
      <c r="W1305" s="122">
        <f t="shared" si="40"/>
        <v>11880</v>
      </c>
      <c r="X1305" s="122">
        <f t="shared" si="41"/>
        <v>18723</v>
      </c>
    </row>
    <row r="1306" spans="2:24">
      <c r="B1306" t="s">
        <v>464</v>
      </c>
      <c r="C1306" t="s">
        <v>58</v>
      </c>
      <c r="D1306" t="s">
        <v>406</v>
      </c>
      <c r="E1306" t="s">
        <v>137</v>
      </c>
      <c r="F1306">
        <v>1</v>
      </c>
      <c r="G1306">
        <v>54</v>
      </c>
      <c r="H1306">
        <v>253</v>
      </c>
      <c r="I1306" s="122">
        <v>6850</v>
      </c>
      <c r="J1306" s="122">
        <v>6228</v>
      </c>
      <c r="K1306">
        <v>79</v>
      </c>
      <c r="L1306">
        <v>0</v>
      </c>
      <c r="M1306">
        <v>0</v>
      </c>
      <c r="N1306">
        <v>765</v>
      </c>
      <c r="O1306">
        <v>283</v>
      </c>
      <c r="P1306">
        <v>621</v>
      </c>
      <c r="Q1306">
        <v>230</v>
      </c>
      <c r="R1306" s="122">
        <v>5474</v>
      </c>
      <c r="S1306" s="122">
        <v>2027</v>
      </c>
      <c r="T1306">
        <v>0</v>
      </c>
      <c r="U1306">
        <v>0</v>
      </c>
      <c r="V1306" s="122">
        <v>8768</v>
      </c>
      <c r="W1306" s="122">
        <f t="shared" si="40"/>
        <v>8768</v>
      </c>
      <c r="X1306" s="122">
        <f t="shared" si="41"/>
        <v>13710</v>
      </c>
    </row>
    <row r="1307" spans="2:24">
      <c r="B1307" t="s">
        <v>464</v>
      </c>
      <c r="C1307" t="s">
        <v>58</v>
      </c>
      <c r="D1307" t="s">
        <v>406</v>
      </c>
      <c r="E1307" t="s">
        <v>406</v>
      </c>
      <c r="F1307">
        <v>46</v>
      </c>
      <c r="G1307" s="122">
        <v>4270</v>
      </c>
      <c r="H1307" s="122">
        <v>12103</v>
      </c>
      <c r="I1307" s="122">
        <v>624603</v>
      </c>
      <c r="J1307" s="122">
        <v>567821</v>
      </c>
      <c r="K1307">
        <v>81</v>
      </c>
      <c r="L1307" s="122">
        <v>121210</v>
      </c>
      <c r="M1307" s="122">
        <v>96980</v>
      </c>
      <c r="N1307" s="122">
        <v>83557</v>
      </c>
      <c r="O1307" s="122">
        <v>30947</v>
      </c>
      <c r="P1307" s="122">
        <v>28566</v>
      </c>
      <c r="Q1307" s="122">
        <v>10580</v>
      </c>
      <c r="R1307" s="122">
        <v>222996</v>
      </c>
      <c r="S1307" s="122">
        <v>202724</v>
      </c>
      <c r="T1307" s="122">
        <v>37468</v>
      </c>
      <c r="U1307" s="122">
        <v>13877</v>
      </c>
      <c r="V1307" s="122">
        <v>922929</v>
      </c>
      <c r="W1307" s="122">
        <f t="shared" si="40"/>
        <v>922929</v>
      </c>
      <c r="X1307" s="122">
        <f t="shared" si="41"/>
        <v>1118400</v>
      </c>
    </row>
    <row r="1308" spans="2:24">
      <c r="B1308" t="s">
        <v>464</v>
      </c>
      <c r="C1308" t="s">
        <v>58</v>
      </c>
      <c r="D1308" t="s">
        <v>407</v>
      </c>
      <c r="E1308" t="s">
        <v>407</v>
      </c>
      <c r="F1308">
        <v>1</v>
      </c>
      <c r="G1308">
        <v>56</v>
      </c>
      <c r="H1308">
        <v>255</v>
      </c>
      <c r="I1308" s="122">
        <v>8031</v>
      </c>
      <c r="J1308" s="122">
        <v>7301</v>
      </c>
      <c r="K1308">
        <v>91</v>
      </c>
      <c r="L1308">
        <v>0</v>
      </c>
      <c r="M1308">
        <v>0</v>
      </c>
      <c r="N1308" s="122">
        <v>1196</v>
      </c>
      <c r="O1308">
        <v>443</v>
      </c>
      <c r="P1308">
        <v>473</v>
      </c>
      <c r="Q1308">
        <v>175</v>
      </c>
      <c r="R1308" s="122">
        <v>2789</v>
      </c>
      <c r="S1308" s="122">
        <v>2536</v>
      </c>
      <c r="T1308" s="122">
        <v>1834</v>
      </c>
      <c r="U1308">
        <v>679</v>
      </c>
      <c r="V1308" s="122">
        <v>11134</v>
      </c>
      <c r="W1308" s="122">
        <f t="shared" si="40"/>
        <v>11134</v>
      </c>
      <c r="X1308" s="122">
        <f t="shared" si="41"/>
        <v>14323</v>
      </c>
    </row>
    <row r="1309" spans="2:24">
      <c r="B1309" t="s">
        <v>464</v>
      </c>
      <c r="C1309" t="s">
        <v>58</v>
      </c>
      <c r="D1309" t="s">
        <v>556</v>
      </c>
      <c r="E1309" t="s">
        <v>556</v>
      </c>
      <c r="F1309">
        <v>1</v>
      </c>
      <c r="G1309">
        <v>54</v>
      </c>
      <c r="H1309">
        <v>253</v>
      </c>
      <c r="I1309" s="122">
        <v>7078</v>
      </c>
      <c r="J1309" s="122">
        <v>5899</v>
      </c>
      <c r="K1309">
        <v>65</v>
      </c>
      <c r="L1309">
        <v>0</v>
      </c>
      <c r="M1309">
        <v>0</v>
      </c>
      <c r="N1309">
        <v>654</v>
      </c>
      <c r="O1309">
        <v>242</v>
      </c>
      <c r="P1309">
        <v>351</v>
      </c>
      <c r="Q1309">
        <v>130</v>
      </c>
      <c r="R1309" s="122">
        <v>3822</v>
      </c>
      <c r="S1309" s="122">
        <v>3185</v>
      </c>
      <c r="T1309" s="122">
        <v>1666</v>
      </c>
      <c r="U1309">
        <v>617</v>
      </c>
      <c r="V1309" s="122">
        <v>10073</v>
      </c>
      <c r="W1309" s="122">
        <f t="shared" si="40"/>
        <v>10073</v>
      </c>
      <c r="X1309" s="122">
        <f t="shared" si="41"/>
        <v>13571</v>
      </c>
    </row>
    <row r="1310" spans="2:24">
      <c r="B1310" t="s">
        <v>464</v>
      </c>
      <c r="C1310" t="s">
        <v>58</v>
      </c>
      <c r="D1310" t="s">
        <v>426</v>
      </c>
      <c r="E1310" t="s">
        <v>426</v>
      </c>
      <c r="F1310">
        <v>5</v>
      </c>
      <c r="G1310">
        <v>313</v>
      </c>
      <c r="H1310" s="122">
        <v>1312</v>
      </c>
      <c r="I1310" s="122">
        <v>45628</v>
      </c>
      <c r="J1310" s="122">
        <v>41480</v>
      </c>
      <c r="K1310">
        <v>63</v>
      </c>
      <c r="L1310">
        <v>0</v>
      </c>
      <c r="M1310">
        <v>0</v>
      </c>
      <c r="N1310" s="122">
        <v>3811</v>
      </c>
      <c r="O1310" s="122">
        <v>1411</v>
      </c>
      <c r="P1310" s="122">
        <v>1755</v>
      </c>
      <c r="Q1310">
        <v>650</v>
      </c>
      <c r="R1310" s="122">
        <v>20474</v>
      </c>
      <c r="S1310" s="122">
        <v>18612</v>
      </c>
      <c r="T1310" s="122">
        <v>9934</v>
      </c>
      <c r="U1310" s="122">
        <v>3679</v>
      </c>
      <c r="V1310" s="122">
        <v>65833</v>
      </c>
      <c r="W1310" s="122">
        <f t="shared" si="40"/>
        <v>65832</v>
      </c>
      <c r="X1310" s="122">
        <f t="shared" si="41"/>
        <v>81602</v>
      </c>
    </row>
    <row r="1311" spans="2:24">
      <c r="B1311" t="s">
        <v>464</v>
      </c>
      <c r="C1311" t="s">
        <v>58</v>
      </c>
      <c r="D1311" t="s">
        <v>408</v>
      </c>
      <c r="E1311" t="s">
        <v>137</v>
      </c>
      <c r="F1311">
        <v>2</v>
      </c>
      <c r="G1311">
        <v>241</v>
      </c>
      <c r="H1311">
        <v>551</v>
      </c>
      <c r="I1311" s="122">
        <v>47999</v>
      </c>
      <c r="J1311" s="122">
        <v>43635</v>
      </c>
      <c r="K1311">
        <v>78</v>
      </c>
      <c r="L1311" s="122">
        <v>3744</v>
      </c>
      <c r="M1311" s="122">
        <v>3403</v>
      </c>
      <c r="N1311" s="122">
        <v>3720</v>
      </c>
      <c r="O1311" s="122">
        <v>1378</v>
      </c>
      <c r="P1311">
        <v>351</v>
      </c>
      <c r="Q1311">
        <v>130</v>
      </c>
      <c r="R1311" s="122">
        <v>9624</v>
      </c>
      <c r="S1311" s="122">
        <v>3564</v>
      </c>
      <c r="T1311">
        <v>0</v>
      </c>
      <c r="U1311">
        <v>0</v>
      </c>
      <c r="V1311" s="122">
        <v>52110</v>
      </c>
      <c r="W1311" s="122">
        <f t="shared" si="40"/>
        <v>52110</v>
      </c>
      <c r="X1311" s="122">
        <f t="shared" si="41"/>
        <v>65438</v>
      </c>
    </row>
    <row r="1312" spans="2:24">
      <c r="B1312" t="s">
        <v>464</v>
      </c>
      <c r="C1312" t="s">
        <v>60</v>
      </c>
      <c r="F1312">
        <v>6</v>
      </c>
      <c r="G1312">
        <v>257</v>
      </c>
      <c r="H1312" s="122">
        <v>2023</v>
      </c>
      <c r="J1312">
        <v>0</v>
      </c>
      <c r="M1312">
        <v>0</v>
      </c>
      <c r="N1312" s="122">
        <v>5226</v>
      </c>
      <c r="O1312" s="122">
        <v>1935</v>
      </c>
      <c r="P1312" s="122">
        <v>1323</v>
      </c>
      <c r="Q1312">
        <v>490</v>
      </c>
      <c r="S1312">
        <v>0</v>
      </c>
      <c r="T1312">
        <v>0</v>
      </c>
      <c r="U1312">
        <v>0</v>
      </c>
      <c r="V1312" s="122">
        <v>2425</v>
      </c>
      <c r="W1312" s="122">
        <f t="shared" si="40"/>
        <v>2425</v>
      </c>
      <c r="X1312" s="122">
        <f t="shared" si="41"/>
        <v>6549</v>
      </c>
    </row>
    <row r="1313" spans="2:24">
      <c r="B1313" t="s">
        <v>464</v>
      </c>
      <c r="C1313" t="s">
        <v>60</v>
      </c>
      <c r="D1313" t="s">
        <v>405</v>
      </c>
      <c r="E1313" t="s">
        <v>405</v>
      </c>
      <c r="F1313">
        <v>8</v>
      </c>
      <c r="G1313">
        <v>493</v>
      </c>
      <c r="H1313" s="122">
        <v>2603</v>
      </c>
      <c r="I1313" s="122">
        <v>84760</v>
      </c>
      <c r="J1313" s="122">
        <v>77055</v>
      </c>
      <c r="K1313">
        <v>73</v>
      </c>
      <c r="L1313" s="122">
        <v>21730</v>
      </c>
      <c r="M1313" s="122">
        <v>19142</v>
      </c>
      <c r="N1313" s="122">
        <v>11091</v>
      </c>
      <c r="O1313" s="122">
        <v>4108</v>
      </c>
      <c r="P1313" s="122">
        <v>3780</v>
      </c>
      <c r="Q1313" s="122">
        <v>1400</v>
      </c>
      <c r="R1313" s="122">
        <v>29353</v>
      </c>
      <c r="S1313" s="122">
        <v>26685</v>
      </c>
      <c r="T1313" s="122">
        <v>11474</v>
      </c>
      <c r="U1313" s="122">
        <v>4250</v>
      </c>
      <c r="V1313" s="122">
        <v>132639</v>
      </c>
      <c r="W1313" s="122">
        <f t="shared" si="40"/>
        <v>132640</v>
      </c>
      <c r="X1313" s="122">
        <f t="shared" si="41"/>
        <v>162188</v>
      </c>
    </row>
    <row r="1314" spans="2:24">
      <c r="B1314" t="s">
        <v>464</v>
      </c>
      <c r="C1314" t="s">
        <v>60</v>
      </c>
      <c r="D1314" t="s">
        <v>137</v>
      </c>
      <c r="E1314" t="s">
        <v>405</v>
      </c>
      <c r="F1314">
        <v>2</v>
      </c>
      <c r="G1314">
        <v>126</v>
      </c>
      <c r="H1314">
        <v>684</v>
      </c>
      <c r="I1314" s="122">
        <v>30969</v>
      </c>
      <c r="J1314" s="122">
        <v>11470</v>
      </c>
      <c r="K1314">
        <v>100</v>
      </c>
      <c r="L1314">
        <v>0</v>
      </c>
      <c r="M1314">
        <v>0</v>
      </c>
      <c r="N1314" s="122">
        <v>2311</v>
      </c>
      <c r="O1314">
        <v>856</v>
      </c>
      <c r="P1314">
        <v>0</v>
      </c>
      <c r="Q1314">
        <v>0</v>
      </c>
      <c r="R1314" s="122">
        <v>9057</v>
      </c>
      <c r="S1314" s="122">
        <v>8233</v>
      </c>
      <c r="T1314">
        <v>0</v>
      </c>
      <c r="U1314">
        <v>0</v>
      </c>
      <c r="V1314" s="122">
        <v>20559</v>
      </c>
      <c r="W1314" s="122">
        <f t="shared" si="40"/>
        <v>20559</v>
      </c>
      <c r="X1314" s="122">
        <f t="shared" si="41"/>
        <v>42337</v>
      </c>
    </row>
    <row r="1315" spans="2:24">
      <c r="B1315" t="s">
        <v>464</v>
      </c>
      <c r="C1315" t="s">
        <v>60</v>
      </c>
      <c r="D1315" t="s">
        <v>137</v>
      </c>
      <c r="E1315" t="s">
        <v>137</v>
      </c>
      <c r="F1315">
        <v>289</v>
      </c>
      <c r="G1315" s="122">
        <v>17478</v>
      </c>
      <c r="H1315" s="122">
        <v>97093</v>
      </c>
      <c r="I1315" s="122">
        <v>3332422</v>
      </c>
      <c r="J1315" s="122">
        <v>1234230</v>
      </c>
      <c r="K1315">
        <v>100</v>
      </c>
      <c r="L1315" s="122">
        <v>399330</v>
      </c>
      <c r="M1315" s="122">
        <v>176308</v>
      </c>
      <c r="N1315" s="122">
        <v>347857</v>
      </c>
      <c r="O1315" s="122">
        <v>128836</v>
      </c>
      <c r="P1315" s="122">
        <v>4491</v>
      </c>
      <c r="Q1315" s="122">
        <v>1663</v>
      </c>
      <c r="R1315" s="122">
        <v>1825630</v>
      </c>
      <c r="S1315" s="122">
        <v>676159</v>
      </c>
      <c r="T1315">
        <v>0</v>
      </c>
      <c r="U1315">
        <v>0</v>
      </c>
      <c r="V1315" s="122">
        <v>2217197</v>
      </c>
      <c r="W1315" s="122">
        <f t="shared" si="40"/>
        <v>2217196</v>
      </c>
      <c r="X1315" s="122">
        <f t="shared" si="41"/>
        <v>5909730</v>
      </c>
    </row>
    <row r="1316" spans="2:24">
      <c r="B1316" t="s">
        <v>464</v>
      </c>
      <c r="C1316" t="s">
        <v>60</v>
      </c>
      <c r="D1316" t="s">
        <v>406</v>
      </c>
      <c r="E1316" t="s">
        <v>406</v>
      </c>
      <c r="F1316">
        <v>18</v>
      </c>
      <c r="G1316" s="122">
        <v>2192</v>
      </c>
      <c r="H1316" s="122">
        <v>6097</v>
      </c>
      <c r="I1316" s="122">
        <v>465501</v>
      </c>
      <c r="J1316" s="122">
        <v>423183</v>
      </c>
      <c r="K1316">
        <v>79</v>
      </c>
      <c r="L1316" s="122">
        <v>98236</v>
      </c>
      <c r="M1316" s="122">
        <v>83872</v>
      </c>
      <c r="N1316" s="122">
        <v>45717</v>
      </c>
      <c r="O1316" s="122">
        <v>16932</v>
      </c>
      <c r="P1316" s="122">
        <v>11381</v>
      </c>
      <c r="Q1316" s="122">
        <v>4215</v>
      </c>
      <c r="R1316" s="122">
        <v>106611</v>
      </c>
      <c r="S1316" s="122">
        <v>96919</v>
      </c>
      <c r="T1316" s="122">
        <v>12868</v>
      </c>
      <c r="U1316" s="122">
        <v>4766</v>
      </c>
      <c r="V1316" s="122">
        <v>629887</v>
      </c>
      <c r="W1316" s="122">
        <f t="shared" si="40"/>
        <v>629887</v>
      </c>
      <c r="X1316" s="122">
        <f t="shared" si="41"/>
        <v>740314</v>
      </c>
    </row>
    <row r="1317" spans="2:24">
      <c r="B1317" t="s">
        <v>464</v>
      </c>
      <c r="C1317" t="s">
        <v>60</v>
      </c>
      <c r="D1317" t="s">
        <v>426</v>
      </c>
      <c r="E1317" t="s">
        <v>426</v>
      </c>
      <c r="F1317">
        <v>3</v>
      </c>
      <c r="G1317">
        <v>177</v>
      </c>
      <c r="H1317">
        <v>987</v>
      </c>
      <c r="I1317" s="122">
        <v>33962</v>
      </c>
      <c r="J1317" s="122">
        <v>30874</v>
      </c>
      <c r="K1317">
        <v>55</v>
      </c>
      <c r="L1317" s="122">
        <v>1435</v>
      </c>
      <c r="M1317">
        <v>531</v>
      </c>
      <c r="N1317" s="122">
        <v>2825</v>
      </c>
      <c r="O1317" s="122">
        <v>1046</v>
      </c>
      <c r="P1317" s="122">
        <v>1053</v>
      </c>
      <c r="Q1317">
        <v>390</v>
      </c>
      <c r="R1317" s="122">
        <v>13376</v>
      </c>
      <c r="S1317" s="122">
        <v>12160</v>
      </c>
      <c r="T1317" s="122">
        <v>5633</v>
      </c>
      <c r="U1317" s="122">
        <v>2086</v>
      </c>
      <c r="V1317" s="122">
        <v>47088</v>
      </c>
      <c r="W1317" s="122">
        <f t="shared" si="40"/>
        <v>47087</v>
      </c>
      <c r="X1317" s="122">
        <f t="shared" si="41"/>
        <v>58284</v>
      </c>
    </row>
    <row r="1318" spans="2:24">
      <c r="B1318" t="s">
        <v>464</v>
      </c>
      <c r="C1318" t="s">
        <v>62</v>
      </c>
      <c r="F1318">
        <v>1</v>
      </c>
      <c r="G1318">
        <v>50</v>
      </c>
      <c r="H1318">
        <v>440</v>
      </c>
      <c r="J1318">
        <v>0</v>
      </c>
      <c r="M1318">
        <v>0</v>
      </c>
      <c r="N1318">
        <v>612</v>
      </c>
      <c r="O1318">
        <v>227</v>
      </c>
      <c r="P1318">
        <v>351</v>
      </c>
      <c r="Q1318">
        <v>130</v>
      </c>
      <c r="S1318">
        <v>0</v>
      </c>
      <c r="T1318">
        <v>0</v>
      </c>
      <c r="U1318">
        <v>0</v>
      </c>
      <c r="V1318">
        <v>357</v>
      </c>
      <c r="W1318" s="122">
        <f t="shared" si="40"/>
        <v>357</v>
      </c>
      <c r="X1318" s="122">
        <f t="shared" si="41"/>
        <v>963</v>
      </c>
    </row>
    <row r="1319" spans="2:24">
      <c r="B1319" t="s">
        <v>464</v>
      </c>
      <c r="C1319" t="s">
        <v>62</v>
      </c>
      <c r="D1319" t="s">
        <v>405</v>
      </c>
      <c r="E1319" t="s">
        <v>405</v>
      </c>
      <c r="F1319">
        <v>4</v>
      </c>
      <c r="G1319">
        <v>202</v>
      </c>
      <c r="H1319" s="122">
        <v>1682</v>
      </c>
      <c r="I1319" s="122">
        <v>41530</v>
      </c>
      <c r="J1319" s="122">
        <v>37755</v>
      </c>
      <c r="K1319">
        <v>70</v>
      </c>
      <c r="L1319" s="122">
        <v>11025</v>
      </c>
      <c r="M1319" s="122">
        <v>9291</v>
      </c>
      <c r="N1319" s="122">
        <v>4798</v>
      </c>
      <c r="O1319" s="122">
        <v>1777</v>
      </c>
      <c r="P1319" s="122">
        <v>1404</v>
      </c>
      <c r="Q1319">
        <v>520</v>
      </c>
      <c r="R1319" s="122">
        <v>16265</v>
      </c>
      <c r="S1319" s="122">
        <v>14786</v>
      </c>
      <c r="T1319" s="122">
        <v>9369</v>
      </c>
      <c r="U1319" s="122">
        <v>3470</v>
      </c>
      <c r="V1319" s="122">
        <v>67598</v>
      </c>
      <c r="W1319" s="122">
        <f t="shared" si="40"/>
        <v>67599</v>
      </c>
      <c r="X1319" s="122">
        <f t="shared" si="41"/>
        <v>84391</v>
      </c>
    </row>
    <row r="1320" spans="2:24">
      <c r="B1320" t="s">
        <v>464</v>
      </c>
      <c r="C1320" t="s">
        <v>62</v>
      </c>
      <c r="D1320" t="s">
        <v>137</v>
      </c>
      <c r="E1320" t="s">
        <v>137</v>
      </c>
      <c r="F1320">
        <v>84</v>
      </c>
      <c r="G1320" s="122">
        <v>4493</v>
      </c>
      <c r="H1320" s="122">
        <v>34611</v>
      </c>
      <c r="I1320" s="122">
        <v>1114356</v>
      </c>
      <c r="J1320" s="122">
        <v>412724</v>
      </c>
      <c r="K1320">
        <v>100</v>
      </c>
      <c r="L1320" s="122">
        <v>147315</v>
      </c>
      <c r="M1320" s="122">
        <v>66853</v>
      </c>
      <c r="N1320" s="122">
        <v>85523</v>
      </c>
      <c r="O1320" s="122">
        <v>31675</v>
      </c>
      <c r="P1320" s="122">
        <v>1235</v>
      </c>
      <c r="Q1320">
        <v>457</v>
      </c>
      <c r="R1320" s="122">
        <v>494005</v>
      </c>
      <c r="S1320" s="122">
        <v>182965</v>
      </c>
      <c r="T1320" s="122">
        <v>5105</v>
      </c>
      <c r="U1320" s="122">
        <v>1891</v>
      </c>
      <c r="V1320" s="122">
        <v>696565</v>
      </c>
      <c r="W1320" s="122">
        <f t="shared" si="40"/>
        <v>696565</v>
      </c>
      <c r="X1320" s="122">
        <f t="shared" si="41"/>
        <v>1847539</v>
      </c>
    </row>
    <row r="1321" spans="2:24">
      <c r="B1321" t="s">
        <v>464</v>
      </c>
      <c r="C1321" t="s">
        <v>62</v>
      </c>
      <c r="D1321" t="s">
        <v>406</v>
      </c>
      <c r="E1321" t="s">
        <v>406</v>
      </c>
      <c r="F1321">
        <v>4</v>
      </c>
      <c r="G1321">
        <v>868</v>
      </c>
      <c r="H1321" s="122">
        <v>1636</v>
      </c>
      <c r="I1321" s="122">
        <v>249378</v>
      </c>
      <c r="J1321" s="122">
        <v>226707</v>
      </c>
      <c r="K1321">
        <v>65</v>
      </c>
      <c r="L1321" s="122">
        <v>42889</v>
      </c>
      <c r="M1321" s="122">
        <v>23598</v>
      </c>
      <c r="N1321" s="122">
        <v>20737</v>
      </c>
      <c r="O1321" s="122">
        <v>7680</v>
      </c>
      <c r="P1321" s="122">
        <v>2484</v>
      </c>
      <c r="Q1321">
        <v>920</v>
      </c>
      <c r="R1321" s="122">
        <v>23849</v>
      </c>
      <c r="S1321" s="122">
        <v>21681</v>
      </c>
      <c r="T1321" s="122">
        <v>7483</v>
      </c>
      <c r="U1321" s="122">
        <v>2771</v>
      </c>
      <c r="V1321" s="122">
        <v>283357</v>
      </c>
      <c r="W1321" s="122">
        <f t="shared" si="40"/>
        <v>283357</v>
      </c>
      <c r="X1321" s="122">
        <f t="shared" si="41"/>
        <v>346820</v>
      </c>
    </row>
    <row r="1322" spans="2:24">
      <c r="B1322" t="s">
        <v>464</v>
      </c>
      <c r="C1322" t="s">
        <v>62</v>
      </c>
      <c r="D1322" t="s">
        <v>407</v>
      </c>
      <c r="E1322" t="s">
        <v>407</v>
      </c>
      <c r="F1322">
        <v>1</v>
      </c>
      <c r="G1322">
        <v>37</v>
      </c>
      <c r="H1322">
        <v>450</v>
      </c>
      <c r="I1322" s="122">
        <v>7573</v>
      </c>
      <c r="J1322" s="122">
        <v>6884</v>
      </c>
      <c r="K1322">
        <v>65</v>
      </c>
      <c r="L1322" s="122">
        <v>1733</v>
      </c>
      <c r="M1322" s="122">
        <v>1576</v>
      </c>
      <c r="N1322">
        <v>913</v>
      </c>
      <c r="O1322">
        <v>338</v>
      </c>
      <c r="P1322">
        <v>473</v>
      </c>
      <c r="Q1322">
        <v>175</v>
      </c>
      <c r="R1322" s="122">
        <v>4145</v>
      </c>
      <c r="S1322" s="122">
        <v>3768</v>
      </c>
      <c r="T1322" s="122">
        <v>2007</v>
      </c>
      <c r="U1322">
        <v>743</v>
      </c>
      <c r="V1322" s="122">
        <v>13485</v>
      </c>
      <c r="W1322" s="122">
        <f t="shared" si="40"/>
        <v>13484</v>
      </c>
      <c r="X1322" s="122">
        <f t="shared" si="41"/>
        <v>16844</v>
      </c>
    </row>
    <row r="1323" spans="2:24">
      <c r="B1323" t="s">
        <v>464</v>
      </c>
      <c r="C1323" t="s">
        <v>62</v>
      </c>
      <c r="D1323" t="s">
        <v>556</v>
      </c>
      <c r="E1323" t="s">
        <v>556</v>
      </c>
      <c r="F1323">
        <v>1</v>
      </c>
      <c r="G1323">
        <v>37</v>
      </c>
      <c r="H1323">
        <v>412</v>
      </c>
      <c r="I1323" s="122">
        <v>6985</v>
      </c>
      <c r="J1323" s="122">
        <v>5821</v>
      </c>
      <c r="K1323">
        <v>50</v>
      </c>
      <c r="L1323">
        <v>873</v>
      </c>
      <c r="M1323">
        <v>323</v>
      </c>
      <c r="N1323">
        <v>456</v>
      </c>
      <c r="O1323">
        <v>169</v>
      </c>
      <c r="P1323">
        <v>0</v>
      </c>
      <c r="Q1323">
        <v>0</v>
      </c>
      <c r="R1323" s="122">
        <v>5262</v>
      </c>
      <c r="S1323" s="122">
        <v>4385</v>
      </c>
      <c r="T1323" s="122">
        <v>1828</v>
      </c>
      <c r="U1323">
        <v>677</v>
      </c>
      <c r="V1323" s="122">
        <v>11375</v>
      </c>
      <c r="W1323" s="122">
        <f t="shared" ref="W1323:W1386" si="42">SUM(ABS(J1323),ABS(M1323),ABS(O1323),ABS(Q1323),ABS(S1323),ABS(U1323))</f>
        <v>11375</v>
      </c>
      <c r="X1323" s="122">
        <f t="shared" ref="X1323:X1386" si="43">SUM(ABS(I1323),ABS(N1323),ABS(P1323),ABS(R1323),ABS(T1323),ABS(L1323))</f>
        <v>15404</v>
      </c>
    </row>
    <row r="1324" spans="2:24">
      <c r="B1324" t="s">
        <v>464</v>
      </c>
      <c r="C1324" t="s">
        <v>62</v>
      </c>
      <c r="D1324" t="s">
        <v>426</v>
      </c>
      <c r="E1324" t="s">
        <v>137</v>
      </c>
      <c r="F1324">
        <v>1</v>
      </c>
      <c r="G1324">
        <v>59</v>
      </c>
      <c r="H1324">
        <v>449</v>
      </c>
      <c r="I1324" s="122">
        <v>21968</v>
      </c>
      <c r="J1324" s="122">
        <v>19971</v>
      </c>
      <c r="K1324">
        <v>30</v>
      </c>
      <c r="L1324">
        <v>0</v>
      </c>
      <c r="M1324" s="122">
        <v>1498</v>
      </c>
      <c r="N1324">
        <v>715</v>
      </c>
      <c r="O1324">
        <v>265</v>
      </c>
      <c r="P1324">
        <v>0</v>
      </c>
      <c r="Q1324">
        <v>0</v>
      </c>
      <c r="R1324" s="122">
        <v>3673</v>
      </c>
      <c r="S1324" s="122">
        <v>1360</v>
      </c>
      <c r="T1324">
        <v>0</v>
      </c>
      <c r="U1324">
        <v>0</v>
      </c>
      <c r="V1324" s="122">
        <v>23094</v>
      </c>
      <c r="W1324" s="122">
        <f t="shared" si="42"/>
        <v>23094</v>
      </c>
      <c r="X1324" s="122">
        <f t="shared" si="43"/>
        <v>26356</v>
      </c>
    </row>
    <row r="1325" spans="2:24">
      <c r="B1325" t="s">
        <v>464</v>
      </c>
      <c r="C1325" t="s">
        <v>62</v>
      </c>
      <c r="D1325" t="s">
        <v>426</v>
      </c>
      <c r="E1325" t="s">
        <v>426</v>
      </c>
      <c r="F1325">
        <v>3</v>
      </c>
      <c r="G1325">
        <v>153</v>
      </c>
      <c r="H1325" s="122">
        <v>1244</v>
      </c>
      <c r="I1325" s="122">
        <v>39299</v>
      </c>
      <c r="J1325" s="122">
        <v>35726</v>
      </c>
      <c r="K1325">
        <v>55</v>
      </c>
      <c r="L1325" s="122">
        <v>2701</v>
      </c>
      <c r="M1325" s="122">
        <v>1001</v>
      </c>
      <c r="N1325" s="122">
        <v>3718</v>
      </c>
      <c r="O1325" s="122">
        <v>1377</v>
      </c>
      <c r="P1325">
        <v>702</v>
      </c>
      <c r="Q1325">
        <v>260</v>
      </c>
      <c r="R1325" s="122">
        <v>11924</v>
      </c>
      <c r="S1325" s="122">
        <v>10840</v>
      </c>
      <c r="T1325" s="122">
        <v>4911</v>
      </c>
      <c r="U1325" s="122">
        <v>1819</v>
      </c>
      <c r="V1325" s="122">
        <v>51023</v>
      </c>
      <c r="W1325" s="122">
        <f t="shared" si="42"/>
        <v>51023</v>
      </c>
      <c r="X1325" s="122">
        <f t="shared" si="43"/>
        <v>63255</v>
      </c>
    </row>
    <row r="1326" spans="2:24">
      <c r="B1326" t="s">
        <v>464</v>
      </c>
      <c r="C1326" t="s">
        <v>64</v>
      </c>
      <c r="F1326">
        <v>4</v>
      </c>
      <c r="G1326">
        <v>135</v>
      </c>
      <c r="H1326" s="122">
        <v>2805</v>
      </c>
      <c r="J1326">
        <v>0</v>
      </c>
      <c r="M1326">
        <v>0</v>
      </c>
      <c r="N1326" s="122">
        <v>2769</v>
      </c>
      <c r="O1326" s="122">
        <v>1026</v>
      </c>
      <c r="P1326" s="122">
        <v>1242</v>
      </c>
      <c r="Q1326">
        <v>460</v>
      </c>
      <c r="S1326">
        <v>0</v>
      </c>
      <c r="T1326" s="122">
        <v>1024</v>
      </c>
      <c r="U1326">
        <v>379</v>
      </c>
      <c r="V1326" s="122">
        <v>1865</v>
      </c>
      <c r="W1326" s="122">
        <f t="shared" si="42"/>
        <v>1865</v>
      </c>
      <c r="X1326" s="122">
        <f t="shared" si="43"/>
        <v>5035</v>
      </c>
    </row>
    <row r="1327" spans="2:24">
      <c r="B1327" t="s">
        <v>464</v>
      </c>
      <c r="C1327" t="s">
        <v>64</v>
      </c>
      <c r="D1327" t="s">
        <v>405</v>
      </c>
      <c r="E1327" t="s">
        <v>405</v>
      </c>
      <c r="F1327">
        <v>2</v>
      </c>
      <c r="G1327">
        <v>418</v>
      </c>
      <c r="H1327" s="122">
        <v>1095</v>
      </c>
      <c r="I1327" s="122">
        <v>159457</v>
      </c>
      <c r="J1327" s="122">
        <v>144961</v>
      </c>
      <c r="K1327">
        <v>67</v>
      </c>
      <c r="L1327" s="122">
        <v>34171</v>
      </c>
      <c r="M1327" s="122">
        <v>31065</v>
      </c>
      <c r="N1327" s="122">
        <v>10175</v>
      </c>
      <c r="O1327" s="122">
        <v>3769</v>
      </c>
      <c r="P1327">
        <v>945</v>
      </c>
      <c r="Q1327">
        <v>350</v>
      </c>
      <c r="R1327" s="122">
        <v>15382</v>
      </c>
      <c r="S1327" s="122">
        <v>13983</v>
      </c>
      <c r="T1327" s="122">
        <v>2101</v>
      </c>
      <c r="U1327">
        <v>778</v>
      </c>
      <c r="V1327" s="122">
        <v>194906</v>
      </c>
      <c r="W1327" s="122">
        <f t="shared" si="42"/>
        <v>194906</v>
      </c>
      <c r="X1327" s="122">
        <f t="shared" si="43"/>
        <v>222231</v>
      </c>
    </row>
    <row r="1328" spans="2:24">
      <c r="B1328" t="s">
        <v>464</v>
      </c>
      <c r="C1328" t="s">
        <v>64</v>
      </c>
      <c r="D1328" t="s">
        <v>137</v>
      </c>
      <c r="E1328" t="s">
        <v>137</v>
      </c>
      <c r="F1328">
        <v>125</v>
      </c>
      <c r="G1328" s="122">
        <v>6138</v>
      </c>
      <c r="H1328" s="122">
        <v>75534</v>
      </c>
      <c r="I1328" s="122">
        <v>2590342</v>
      </c>
      <c r="J1328" s="122">
        <v>959386</v>
      </c>
      <c r="K1328">
        <v>100</v>
      </c>
      <c r="L1328" s="122">
        <v>319025</v>
      </c>
      <c r="M1328" s="122">
        <v>185254</v>
      </c>
      <c r="N1328" s="122">
        <v>128729</v>
      </c>
      <c r="O1328" s="122">
        <v>47677</v>
      </c>
      <c r="P1328">
        <v>0</v>
      </c>
      <c r="Q1328">
        <v>0</v>
      </c>
      <c r="R1328" s="122">
        <v>680700</v>
      </c>
      <c r="S1328" s="122">
        <v>252111</v>
      </c>
      <c r="T1328" s="122">
        <v>1431</v>
      </c>
      <c r="U1328">
        <v>530</v>
      </c>
      <c r="V1328" s="122">
        <v>1444958</v>
      </c>
      <c r="W1328" s="122">
        <f t="shared" si="42"/>
        <v>1444958</v>
      </c>
      <c r="X1328" s="122">
        <f t="shared" si="43"/>
        <v>3720227</v>
      </c>
    </row>
    <row r="1329" spans="2:24">
      <c r="B1329" t="s">
        <v>464</v>
      </c>
      <c r="C1329" t="s">
        <v>64</v>
      </c>
      <c r="D1329" t="s">
        <v>137</v>
      </c>
      <c r="E1329" t="s">
        <v>556</v>
      </c>
      <c r="F1329">
        <v>1</v>
      </c>
      <c r="G1329">
        <v>46</v>
      </c>
      <c r="H1329">
        <v>514</v>
      </c>
      <c r="I1329" s="122">
        <v>9047</v>
      </c>
      <c r="J1329" s="122">
        <v>3351</v>
      </c>
      <c r="K1329">
        <v>100</v>
      </c>
      <c r="L1329">
        <v>894</v>
      </c>
      <c r="M1329">
        <v>745</v>
      </c>
      <c r="N1329">
        <v>556</v>
      </c>
      <c r="O1329">
        <v>206</v>
      </c>
      <c r="P1329">
        <v>0</v>
      </c>
      <c r="Q1329">
        <v>0</v>
      </c>
      <c r="R1329" s="122">
        <v>9018</v>
      </c>
      <c r="S1329" s="122">
        <v>7515</v>
      </c>
      <c r="T1329" s="122">
        <v>3910</v>
      </c>
      <c r="U1329" s="122">
        <v>1448</v>
      </c>
      <c r="V1329" s="122">
        <v>13265</v>
      </c>
      <c r="W1329" s="122">
        <f t="shared" si="42"/>
        <v>13265</v>
      </c>
      <c r="X1329" s="122">
        <f t="shared" si="43"/>
        <v>23425</v>
      </c>
    </row>
    <row r="1330" spans="2:24">
      <c r="B1330" t="s">
        <v>464</v>
      </c>
      <c r="C1330" t="s">
        <v>64</v>
      </c>
      <c r="D1330" t="s">
        <v>406</v>
      </c>
      <c r="E1330" t="s">
        <v>137</v>
      </c>
      <c r="F1330">
        <v>1</v>
      </c>
      <c r="G1330">
        <v>44</v>
      </c>
      <c r="H1330">
        <v>482</v>
      </c>
      <c r="I1330" s="122">
        <v>16395</v>
      </c>
      <c r="J1330" s="122">
        <v>14905</v>
      </c>
      <c r="K1330">
        <v>86</v>
      </c>
      <c r="L1330">
        <v>0</v>
      </c>
      <c r="M1330">
        <v>0</v>
      </c>
      <c r="N1330">
        <v>542</v>
      </c>
      <c r="O1330">
        <v>201</v>
      </c>
      <c r="P1330">
        <v>621</v>
      </c>
      <c r="Q1330">
        <v>230</v>
      </c>
      <c r="R1330" s="122">
        <v>3894</v>
      </c>
      <c r="S1330" s="122">
        <v>1442</v>
      </c>
      <c r="T1330">
        <v>0</v>
      </c>
      <c r="U1330">
        <v>0</v>
      </c>
      <c r="V1330" s="122">
        <v>16778</v>
      </c>
      <c r="W1330" s="122">
        <f t="shared" si="42"/>
        <v>16778</v>
      </c>
      <c r="X1330" s="122">
        <f t="shared" si="43"/>
        <v>21452</v>
      </c>
    </row>
    <row r="1331" spans="2:24">
      <c r="B1331" t="s">
        <v>464</v>
      </c>
      <c r="C1331" t="s">
        <v>64</v>
      </c>
      <c r="D1331" t="s">
        <v>406</v>
      </c>
      <c r="E1331" t="s">
        <v>406</v>
      </c>
      <c r="F1331">
        <v>8</v>
      </c>
      <c r="G1331">
        <v>815</v>
      </c>
      <c r="H1331" s="122">
        <v>4969</v>
      </c>
      <c r="I1331" s="122">
        <v>353395</v>
      </c>
      <c r="J1331" s="122">
        <v>321268</v>
      </c>
      <c r="K1331">
        <v>66</v>
      </c>
      <c r="L1331" s="122">
        <v>66449</v>
      </c>
      <c r="M1331" s="122">
        <v>46088</v>
      </c>
      <c r="N1331" s="122">
        <v>18169</v>
      </c>
      <c r="O1331" s="122">
        <v>6729</v>
      </c>
      <c r="P1331" s="122">
        <v>5319</v>
      </c>
      <c r="Q1331" s="122">
        <v>1970</v>
      </c>
      <c r="R1331" s="122">
        <v>51264</v>
      </c>
      <c r="S1331" s="122">
        <v>46603</v>
      </c>
      <c r="T1331" s="122">
        <v>11714</v>
      </c>
      <c r="U1331" s="122">
        <v>4338</v>
      </c>
      <c r="V1331" s="122">
        <v>426997</v>
      </c>
      <c r="W1331" s="122">
        <f t="shared" si="42"/>
        <v>426996</v>
      </c>
      <c r="X1331" s="122">
        <f t="shared" si="43"/>
        <v>506310</v>
      </c>
    </row>
    <row r="1332" spans="2:24">
      <c r="B1332" t="s">
        <v>464</v>
      </c>
      <c r="C1332" t="s">
        <v>64</v>
      </c>
      <c r="D1332" t="s">
        <v>426</v>
      </c>
      <c r="E1332" t="s">
        <v>137</v>
      </c>
      <c r="F1332">
        <v>5</v>
      </c>
      <c r="G1332">
        <v>311</v>
      </c>
      <c r="H1332" s="122">
        <v>4318</v>
      </c>
      <c r="I1332" s="122">
        <v>225591</v>
      </c>
      <c r="J1332" s="122">
        <v>205083</v>
      </c>
      <c r="K1332">
        <v>48</v>
      </c>
      <c r="L1332" s="122">
        <v>26960</v>
      </c>
      <c r="M1332" s="122">
        <v>14867</v>
      </c>
      <c r="N1332" s="122">
        <v>7427</v>
      </c>
      <c r="O1332" s="122">
        <v>2751</v>
      </c>
      <c r="P1332">
        <v>0</v>
      </c>
      <c r="Q1332">
        <v>0</v>
      </c>
      <c r="R1332" s="122">
        <v>26814</v>
      </c>
      <c r="S1332" s="122">
        <v>9931</v>
      </c>
      <c r="T1332">
        <v>0</v>
      </c>
      <c r="U1332">
        <v>0</v>
      </c>
      <c r="V1332" s="122">
        <v>232632</v>
      </c>
      <c r="W1332" s="122">
        <f t="shared" si="42"/>
        <v>232632</v>
      </c>
      <c r="X1332" s="122">
        <f t="shared" si="43"/>
        <v>286792</v>
      </c>
    </row>
    <row r="1333" spans="2:24">
      <c r="B1333" t="s">
        <v>464</v>
      </c>
      <c r="C1333" t="s">
        <v>64</v>
      </c>
      <c r="D1333" t="s">
        <v>426</v>
      </c>
      <c r="E1333" t="s">
        <v>426</v>
      </c>
      <c r="F1333">
        <v>6</v>
      </c>
      <c r="G1333">
        <v>343</v>
      </c>
      <c r="H1333" s="122">
        <v>4753</v>
      </c>
      <c r="I1333" s="122">
        <v>251606</v>
      </c>
      <c r="J1333" s="122">
        <v>228733</v>
      </c>
      <c r="K1333">
        <v>52</v>
      </c>
      <c r="L1333" s="122">
        <v>12886</v>
      </c>
      <c r="M1333" s="122">
        <v>8750</v>
      </c>
      <c r="N1333" s="122">
        <v>7191</v>
      </c>
      <c r="O1333" s="122">
        <v>2663</v>
      </c>
      <c r="P1333" s="122">
        <v>1755</v>
      </c>
      <c r="Q1333">
        <v>650</v>
      </c>
      <c r="R1333" s="122">
        <v>30181</v>
      </c>
      <c r="S1333" s="122">
        <v>27437</v>
      </c>
      <c r="T1333" s="122">
        <v>10600</v>
      </c>
      <c r="U1333" s="122">
        <v>3926</v>
      </c>
      <c r="V1333" s="122">
        <v>272158</v>
      </c>
      <c r="W1333" s="122">
        <f t="shared" si="42"/>
        <v>272159</v>
      </c>
      <c r="X1333" s="122">
        <f t="shared" si="43"/>
        <v>314219</v>
      </c>
    </row>
    <row r="1334" spans="2:24">
      <c r="B1334" t="s">
        <v>465</v>
      </c>
      <c r="C1334" t="s">
        <v>48</v>
      </c>
      <c r="D1334" t="s">
        <v>137</v>
      </c>
      <c r="E1334" t="s">
        <v>137</v>
      </c>
      <c r="F1334">
        <v>53</v>
      </c>
      <c r="G1334" s="122">
        <v>4738</v>
      </c>
      <c r="H1334" s="122">
        <v>2640</v>
      </c>
      <c r="I1334" s="122">
        <v>5462</v>
      </c>
      <c r="J1334" s="122">
        <v>2023</v>
      </c>
      <c r="K1334">
        <v>510</v>
      </c>
      <c r="L1334" s="122">
        <v>3793</v>
      </c>
      <c r="M1334" s="122">
        <v>3448</v>
      </c>
      <c r="N1334" s="122">
        <v>57976</v>
      </c>
      <c r="O1334" s="122">
        <v>21473</v>
      </c>
      <c r="P1334" s="122">
        <v>39118</v>
      </c>
      <c r="Q1334" s="122">
        <v>14488</v>
      </c>
      <c r="R1334" s="122">
        <v>131100</v>
      </c>
      <c r="S1334" s="122">
        <v>48555</v>
      </c>
      <c r="T1334">
        <v>0</v>
      </c>
      <c r="U1334">
        <v>0</v>
      </c>
      <c r="V1334" s="122">
        <v>89987</v>
      </c>
      <c r="W1334" s="122">
        <f t="shared" si="42"/>
        <v>89987</v>
      </c>
      <c r="X1334" s="122">
        <f t="shared" si="43"/>
        <v>237449</v>
      </c>
    </row>
    <row r="1335" spans="2:24">
      <c r="B1335" t="s">
        <v>465</v>
      </c>
      <c r="C1335" t="s">
        <v>48</v>
      </c>
      <c r="D1335" t="s">
        <v>407</v>
      </c>
      <c r="E1335" t="s">
        <v>407</v>
      </c>
      <c r="F1335">
        <v>132</v>
      </c>
      <c r="G1335" s="122">
        <v>11881</v>
      </c>
      <c r="H1335" s="122">
        <v>7003</v>
      </c>
      <c r="I1335" s="122">
        <v>-17372</v>
      </c>
      <c r="J1335" s="122">
        <v>-15792</v>
      </c>
      <c r="K1335">
        <v>90</v>
      </c>
      <c r="L1335" s="122">
        <v>2353</v>
      </c>
      <c r="M1335" s="122">
        <v>1550</v>
      </c>
      <c r="N1335" s="122">
        <v>144984</v>
      </c>
      <c r="O1335" s="122">
        <v>53698</v>
      </c>
      <c r="P1335" s="122">
        <v>116536</v>
      </c>
      <c r="Q1335" s="122">
        <v>43162</v>
      </c>
      <c r="R1335" s="122">
        <v>382602</v>
      </c>
      <c r="S1335" s="122">
        <v>347820</v>
      </c>
      <c r="T1335">
        <v>0</v>
      </c>
      <c r="U1335">
        <v>0</v>
      </c>
      <c r="V1335" s="122">
        <v>430437</v>
      </c>
      <c r="W1335" s="122">
        <f t="shared" si="42"/>
        <v>462022</v>
      </c>
      <c r="X1335" s="122">
        <f t="shared" si="43"/>
        <v>663847</v>
      </c>
    </row>
    <row r="1336" spans="2:24">
      <c r="B1336" t="s">
        <v>465</v>
      </c>
      <c r="C1336" t="s">
        <v>50</v>
      </c>
      <c r="D1336" t="s">
        <v>137</v>
      </c>
      <c r="E1336" t="s">
        <v>137</v>
      </c>
      <c r="F1336">
        <v>1</v>
      </c>
      <c r="G1336">
        <v>473</v>
      </c>
      <c r="H1336">
        <v>95</v>
      </c>
      <c r="I1336" s="122">
        <v>26083</v>
      </c>
      <c r="J1336" s="122">
        <v>9660</v>
      </c>
      <c r="K1336">
        <v>362</v>
      </c>
      <c r="L1336" s="122">
        <v>7123</v>
      </c>
      <c r="M1336" s="122">
        <v>6476</v>
      </c>
      <c r="N1336" s="122">
        <v>5763</v>
      </c>
      <c r="O1336" s="122">
        <v>2134</v>
      </c>
      <c r="P1336">
        <v>351</v>
      </c>
      <c r="Q1336">
        <v>130</v>
      </c>
      <c r="R1336" s="122">
        <v>5846</v>
      </c>
      <c r="S1336" s="122">
        <v>2165</v>
      </c>
      <c r="T1336">
        <v>0</v>
      </c>
      <c r="U1336">
        <v>0</v>
      </c>
      <c r="V1336" s="122">
        <v>20566</v>
      </c>
      <c r="W1336" s="122">
        <f t="shared" si="42"/>
        <v>20565</v>
      </c>
      <c r="X1336" s="122">
        <f t="shared" si="43"/>
        <v>45166</v>
      </c>
    </row>
    <row r="1337" spans="2:24">
      <c r="B1337" t="s">
        <v>465</v>
      </c>
      <c r="C1337" t="s">
        <v>50</v>
      </c>
      <c r="D1337" t="s">
        <v>407</v>
      </c>
      <c r="E1337" t="s">
        <v>407</v>
      </c>
      <c r="F1337">
        <v>10</v>
      </c>
      <c r="G1337">
        <v>928</v>
      </c>
      <c r="H1337">
        <v>945</v>
      </c>
      <c r="I1337" s="122">
        <v>35637</v>
      </c>
      <c r="J1337" s="122">
        <v>32397</v>
      </c>
      <c r="K1337">
        <v>85</v>
      </c>
      <c r="L1337">
        <v>0</v>
      </c>
      <c r="M1337" s="122">
        <v>1325</v>
      </c>
      <c r="N1337" s="122">
        <v>17844</v>
      </c>
      <c r="O1337" s="122">
        <v>6609</v>
      </c>
      <c r="P1337" s="122">
        <v>4725</v>
      </c>
      <c r="Q1337" s="122">
        <v>1750</v>
      </c>
      <c r="R1337" s="122">
        <v>35284</v>
      </c>
      <c r="S1337" s="122">
        <v>32076</v>
      </c>
      <c r="T1337">
        <v>0</v>
      </c>
      <c r="U1337">
        <v>0</v>
      </c>
      <c r="V1337" s="122">
        <v>74157</v>
      </c>
      <c r="W1337" s="122">
        <f t="shared" si="42"/>
        <v>74157</v>
      </c>
      <c r="X1337" s="122">
        <f t="shared" si="43"/>
        <v>93490</v>
      </c>
    </row>
    <row r="1338" spans="2:24">
      <c r="B1338" t="s">
        <v>465</v>
      </c>
      <c r="C1338" t="s">
        <v>52</v>
      </c>
      <c r="F1338">
        <v>3</v>
      </c>
      <c r="G1338">
        <v>182</v>
      </c>
      <c r="H1338">
        <v>362</v>
      </c>
      <c r="J1338">
        <v>0</v>
      </c>
      <c r="M1338">
        <v>0</v>
      </c>
      <c r="N1338" s="122">
        <v>3970</v>
      </c>
      <c r="O1338" s="122">
        <v>1471</v>
      </c>
      <c r="P1338" s="122">
        <v>1053</v>
      </c>
      <c r="Q1338">
        <v>390</v>
      </c>
      <c r="S1338">
        <v>0</v>
      </c>
      <c r="T1338">
        <v>0</v>
      </c>
      <c r="U1338">
        <v>0</v>
      </c>
      <c r="V1338" s="122">
        <v>1861</v>
      </c>
      <c r="W1338" s="122">
        <f t="shared" si="42"/>
        <v>1861</v>
      </c>
      <c r="X1338" s="122">
        <f t="shared" si="43"/>
        <v>5023</v>
      </c>
    </row>
    <row r="1339" spans="2:24">
      <c r="B1339" t="s">
        <v>465</v>
      </c>
      <c r="C1339" t="s">
        <v>52</v>
      </c>
      <c r="D1339" t="s">
        <v>137</v>
      </c>
      <c r="E1339" t="s">
        <v>137</v>
      </c>
      <c r="F1339">
        <v>1</v>
      </c>
      <c r="G1339">
        <v>41</v>
      </c>
      <c r="H1339">
        <v>115</v>
      </c>
      <c r="I1339">
        <v>310</v>
      </c>
      <c r="J1339">
        <v>115</v>
      </c>
      <c r="K1339">
        <v>463</v>
      </c>
      <c r="L1339">
        <v>0</v>
      </c>
      <c r="M1339">
        <v>0</v>
      </c>
      <c r="N1339">
        <v>503</v>
      </c>
      <c r="O1339">
        <v>186</v>
      </c>
      <c r="P1339">
        <v>351</v>
      </c>
      <c r="Q1339">
        <v>130</v>
      </c>
      <c r="R1339" s="122">
        <v>3581</v>
      </c>
      <c r="S1339" s="122">
        <v>1326</v>
      </c>
      <c r="T1339">
        <v>0</v>
      </c>
      <c r="U1339">
        <v>0</v>
      </c>
      <c r="V1339" s="122">
        <v>1757</v>
      </c>
      <c r="W1339" s="122">
        <f t="shared" si="42"/>
        <v>1757</v>
      </c>
      <c r="X1339" s="122">
        <f t="shared" si="43"/>
        <v>4745</v>
      </c>
    </row>
    <row r="1340" spans="2:24">
      <c r="B1340" t="s">
        <v>465</v>
      </c>
      <c r="C1340" t="s">
        <v>52</v>
      </c>
      <c r="D1340" t="s">
        <v>406</v>
      </c>
      <c r="E1340" t="s">
        <v>406</v>
      </c>
      <c r="F1340">
        <v>1</v>
      </c>
      <c r="G1340">
        <v>281</v>
      </c>
      <c r="H1340">
        <v>120</v>
      </c>
      <c r="I1340" s="122">
        <v>18139</v>
      </c>
      <c r="J1340" s="122">
        <v>16490</v>
      </c>
      <c r="K1340">
        <v>95</v>
      </c>
      <c r="L1340" s="122">
        <v>2584</v>
      </c>
      <c r="M1340" s="122">
        <v>2349</v>
      </c>
      <c r="N1340" s="122">
        <v>3425</v>
      </c>
      <c r="O1340" s="122">
        <v>1268</v>
      </c>
      <c r="P1340" s="122">
        <v>3411</v>
      </c>
      <c r="Q1340" s="122">
        <v>1263</v>
      </c>
      <c r="R1340" s="122">
        <v>6158</v>
      </c>
      <c r="S1340" s="122">
        <v>5598</v>
      </c>
      <c r="T1340">
        <v>0</v>
      </c>
      <c r="U1340">
        <v>0</v>
      </c>
      <c r="V1340" s="122">
        <v>26969</v>
      </c>
      <c r="W1340" s="122">
        <f t="shared" si="42"/>
        <v>26968</v>
      </c>
      <c r="X1340" s="122">
        <f t="shared" si="43"/>
        <v>33717</v>
      </c>
    </row>
    <row r="1341" spans="2:24">
      <c r="B1341" t="s">
        <v>465</v>
      </c>
      <c r="C1341" t="s">
        <v>52</v>
      </c>
      <c r="D1341" t="s">
        <v>407</v>
      </c>
      <c r="E1341" t="s">
        <v>407</v>
      </c>
      <c r="F1341">
        <v>130</v>
      </c>
      <c r="G1341" s="122">
        <v>10434</v>
      </c>
      <c r="H1341" s="122">
        <v>15309</v>
      </c>
      <c r="I1341" s="122">
        <v>452032</v>
      </c>
      <c r="J1341" s="122">
        <v>410939</v>
      </c>
      <c r="K1341">
        <v>85</v>
      </c>
      <c r="L1341" s="122">
        <v>36793</v>
      </c>
      <c r="M1341" s="122">
        <v>31429</v>
      </c>
      <c r="N1341" s="122">
        <v>181219</v>
      </c>
      <c r="O1341" s="122">
        <v>67118</v>
      </c>
      <c r="P1341" s="122">
        <v>74086</v>
      </c>
      <c r="Q1341" s="122">
        <v>27439</v>
      </c>
      <c r="R1341" s="122">
        <v>478354</v>
      </c>
      <c r="S1341" s="122">
        <v>434867</v>
      </c>
      <c r="T1341" s="122">
        <v>17972</v>
      </c>
      <c r="U1341" s="122">
        <v>6656</v>
      </c>
      <c r="V1341" s="122">
        <v>978448</v>
      </c>
      <c r="W1341" s="122">
        <f t="shared" si="42"/>
        <v>978448</v>
      </c>
      <c r="X1341" s="122">
        <f t="shared" si="43"/>
        <v>1240456</v>
      </c>
    </row>
    <row r="1342" spans="2:24">
      <c r="B1342" t="s">
        <v>465</v>
      </c>
      <c r="C1342" t="s">
        <v>54</v>
      </c>
      <c r="F1342">
        <v>38</v>
      </c>
      <c r="G1342" s="122">
        <v>2592</v>
      </c>
      <c r="H1342" s="122">
        <v>5373</v>
      </c>
      <c r="J1342">
        <v>0</v>
      </c>
      <c r="M1342">
        <v>0</v>
      </c>
      <c r="N1342" s="122">
        <v>59694</v>
      </c>
      <c r="O1342" s="122">
        <v>22109</v>
      </c>
      <c r="P1342" s="122">
        <v>13338</v>
      </c>
      <c r="Q1342" s="122">
        <v>4940</v>
      </c>
      <c r="S1342">
        <v>0</v>
      </c>
      <c r="T1342">
        <v>0</v>
      </c>
      <c r="U1342">
        <v>0</v>
      </c>
      <c r="V1342" s="122">
        <v>27049</v>
      </c>
      <c r="W1342" s="122">
        <f t="shared" si="42"/>
        <v>27049</v>
      </c>
      <c r="X1342" s="122">
        <f t="shared" si="43"/>
        <v>73032</v>
      </c>
    </row>
    <row r="1343" spans="2:24">
      <c r="B1343" t="s">
        <v>465</v>
      </c>
      <c r="C1343" t="s">
        <v>54</v>
      </c>
      <c r="D1343" t="s">
        <v>405</v>
      </c>
      <c r="E1343" t="s">
        <v>425</v>
      </c>
      <c r="F1343">
        <v>1</v>
      </c>
      <c r="G1343">
        <v>304</v>
      </c>
      <c r="H1343">
        <v>142</v>
      </c>
      <c r="I1343" s="122">
        <v>26078</v>
      </c>
      <c r="J1343" s="122">
        <v>23707</v>
      </c>
      <c r="K1343">
        <v>92</v>
      </c>
      <c r="L1343" s="122">
        <v>4462</v>
      </c>
      <c r="M1343" s="122">
        <v>4057</v>
      </c>
      <c r="N1343" s="122">
        <v>5811</v>
      </c>
      <c r="O1343" s="122">
        <v>2152</v>
      </c>
      <c r="P1343">
        <v>473</v>
      </c>
      <c r="Q1343">
        <v>175</v>
      </c>
      <c r="R1343" s="122">
        <v>6451</v>
      </c>
      <c r="S1343" s="122">
        <v>5864</v>
      </c>
      <c r="T1343">
        <v>0</v>
      </c>
      <c r="U1343">
        <v>0</v>
      </c>
      <c r="V1343" s="122">
        <v>35956</v>
      </c>
      <c r="W1343" s="122">
        <f t="shared" si="42"/>
        <v>35955</v>
      </c>
      <c r="X1343" s="122">
        <f t="shared" si="43"/>
        <v>43275</v>
      </c>
    </row>
    <row r="1344" spans="2:24">
      <c r="B1344" t="s">
        <v>465</v>
      </c>
      <c r="C1344" t="s">
        <v>54</v>
      </c>
      <c r="D1344" t="s">
        <v>405</v>
      </c>
      <c r="E1344" t="s">
        <v>405</v>
      </c>
      <c r="F1344">
        <v>1</v>
      </c>
      <c r="G1344">
        <v>59</v>
      </c>
      <c r="H1344">
        <v>143</v>
      </c>
      <c r="I1344" s="122">
        <v>3024</v>
      </c>
      <c r="J1344" s="122">
        <v>2749</v>
      </c>
      <c r="K1344">
        <v>90</v>
      </c>
      <c r="L1344">
        <v>0</v>
      </c>
      <c r="M1344">
        <v>0</v>
      </c>
      <c r="N1344" s="122">
        <v>1442</v>
      </c>
      <c r="O1344">
        <v>534</v>
      </c>
      <c r="P1344">
        <v>473</v>
      </c>
      <c r="Q1344">
        <v>175</v>
      </c>
      <c r="R1344" s="122">
        <v>3501</v>
      </c>
      <c r="S1344" s="122">
        <v>3183</v>
      </c>
      <c r="T1344">
        <v>0</v>
      </c>
      <c r="U1344">
        <v>0</v>
      </c>
      <c r="V1344" s="122">
        <v>6641</v>
      </c>
      <c r="W1344" s="122">
        <f t="shared" si="42"/>
        <v>6641</v>
      </c>
      <c r="X1344" s="122">
        <f t="shared" si="43"/>
        <v>8440</v>
      </c>
    </row>
    <row r="1345" spans="2:24">
      <c r="B1345" t="s">
        <v>465</v>
      </c>
      <c r="C1345" t="s">
        <v>54</v>
      </c>
      <c r="D1345" t="s">
        <v>137</v>
      </c>
      <c r="E1345" t="s">
        <v>137</v>
      </c>
      <c r="F1345">
        <v>4</v>
      </c>
      <c r="G1345">
        <v>483</v>
      </c>
      <c r="H1345">
        <v>571</v>
      </c>
      <c r="I1345" s="122">
        <v>28304</v>
      </c>
      <c r="J1345" s="122">
        <v>10483</v>
      </c>
      <c r="K1345">
        <v>138</v>
      </c>
      <c r="L1345" s="122">
        <v>5267</v>
      </c>
      <c r="M1345" s="122">
        <v>4119</v>
      </c>
      <c r="N1345" s="122">
        <v>7155</v>
      </c>
      <c r="O1345" s="122">
        <v>2650</v>
      </c>
      <c r="P1345" s="122">
        <v>4623</v>
      </c>
      <c r="Q1345" s="122">
        <v>1712</v>
      </c>
      <c r="R1345" s="122">
        <v>22958</v>
      </c>
      <c r="S1345" s="122">
        <v>8503</v>
      </c>
      <c r="T1345">
        <v>0</v>
      </c>
      <c r="U1345">
        <v>0</v>
      </c>
      <c r="V1345" s="122">
        <v>27467</v>
      </c>
      <c r="W1345" s="122">
        <f t="shared" si="42"/>
        <v>27467</v>
      </c>
      <c r="X1345" s="122">
        <f t="shared" si="43"/>
        <v>68307</v>
      </c>
    </row>
    <row r="1346" spans="2:24">
      <c r="B1346" t="s">
        <v>465</v>
      </c>
      <c r="C1346" t="s">
        <v>54</v>
      </c>
      <c r="D1346" t="s">
        <v>406</v>
      </c>
      <c r="E1346" t="s">
        <v>406</v>
      </c>
      <c r="F1346">
        <v>2</v>
      </c>
      <c r="G1346">
        <v>342</v>
      </c>
      <c r="H1346">
        <v>295</v>
      </c>
      <c r="I1346" s="122">
        <v>34991</v>
      </c>
      <c r="J1346" s="122">
        <v>31810</v>
      </c>
      <c r="K1346">
        <v>85</v>
      </c>
      <c r="L1346" s="122">
        <v>5059</v>
      </c>
      <c r="M1346" s="122">
        <v>4599</v>
      </c>
      <c r="N1346" s="122">
        <v>6351</v>
      </c>
      <c r="O1346" s="122">
        <v>2352</v>
      </c>
      <c r="P1346" s="122">
        <v>1593</v>
      </c>
      <c r="Q1346">
        <v>590</v>
      </c>
      <c r="R1346" s="122">
        <v>12274</v>
      </c>
      <c r="S1346" s="122">
        <v>11158</v>
      </c>
      <c r="T1346">
        <v>0</v>
      </c>
      <c r="U1346">
        <v>0</v>
      </c>
      <c r="V1346" s="122">
        <v>50510</v>
      </c>
      <c r="W1346" s="122">
        <f t="shared" si="42"/>
        <v>50509</v>
      </c>
      <c r="X1346" s="122">
        <f t="shared" si="43"/>
        <v>60268</v>
      </c>
    </row>
    <row r="1347" spans="2:24">
      <c r="B1347" t="s">
        <v>465</v>
      </c>
      <c r="C1347" t="s">
        <v>54</v>
      </c>
      <c r="D1347" t="s">
        <v>407</v>
      </c>
      <c r="E1347" t="s">
        <v>407</v>
      </c>
      <c r="F1347">
        <v>333</v>
      </c>
      <c r="G1347" s="122">
        <v>26485</v>
      </c>
      <c r="H1347" s="122">
        <v>46708</v>
      </c>
      <c r="I1347" s="122">
        <v>1580160</v>
      </c>
      <c r="J1347" s="122">
        <v>1436510</v>
      </c>
      <c r="K1347">
        <v>83</v>
      </c>
      <c r="L1347" s="122">
        <v>128870</v>
      </c>
      <c r="M1347" s="122">
        <v>96495</v>
      </c>
      <c r="N1347" s="122">
        <v>525542</v>
      </c>
      <c r="O1347" s="122">
        <v>194645</v>
      </c>
      <c r="P1347" s="122">
        <v>158104</v>
      </c>
      <c r="Q1347" s="122">
        <v>58557</v>
      </c>
      <c r="R1347" s="122">
        <v>1309706</v>
      </c>
      <c r="S1347" s="122">
        <v>1190642</v>
      </c>
      <c r="T1347" s="122">
        <v>62319</v>
      </c>
      <c r="U1347" s="122">
        <v>23081</v>
      </c>
      <c r="V1347" s="122">
        <v>2999929</v>
      </c>
      <c r="W1347" s="122">
        <f t="shared" si="42"/>
        <v>2999930</v>
      </c>
      <c r="X1347" s="122">
        <f t="shared" si="43"/>
        <v>3764701</v>
      </c>
    </row>
    <row r="1348" spans="2:24">
      <c r="B1348" t="s">
        <v>465</v>
      </c>
      <c r="C1348" t="s">
        <v>56</v>
      </c>
      <c r="F1348">
        <v>44</v>
      </c>
      <c r="G1348" s="122">
        <v>2667</v>
      </c>
      <c r="H1348" s="122">
        <v>7487</v>
      </c>
      <c r="J1348">
        <v>0</v>
      </c>
      <c r="M1348">
        <v>0</v>
      </c>
      <c r="N1348" s="122">
        <v>60637</v>
      </c>
      <c r="O1348" s="122">
        <v>22458</v>
      </c>
      <c r="P1348" s="122">
        <v>15012</v>
      </c>
      <c r="Q1348" s="122">
        <v>5560</v>
      </c>
      <c r="S1348">
        <v>0</v>
      </c>
      <c r="T1348">
        <v>0</v>
      </c>
      <c r="U1348">
        <v>0</v>
      </c>
      <c r="V1348" s="122">
        <v>28018</v>
      </c>
      <c r="W1348" s="122">
        <f t="shared" si="42"/>
        <v>28018</v>
      </c>
      <c r="X1348" s="122">
        <f t="shared" si="43"/>
        <v>75649</v>
      </c>
    </row>
    <row r="1349" spans="2:24">
      <c r="B1349" t="s">
        <v>465</v>
      </c>
      <c r="C1349" t="s">
        <v>56</v>
      </c>
      <c r="D1349" t="s">
        <v>405</v>
      </c>
      <c r="E1349" t="s">
        <v>405</v>
      </c>
      <c r="F1349">
        <v>12</v>
      </c>
      <c r="G1349">
        <v>810</v>
      </c>
      <c r="H1349" s="122">
        <v>2336</v>
      </c>
      <c r="I1349" s="122">
        <v>82319</v>
      </c>
      <c r="J1349" s="122">
        <v>74835</v>
      </c>
      <c r="K1349">
        <v>82</v>
      </c>
      <c r="L1349" s="122">
        <v>2299</v>
      </c>
      <c r="M1349" s="122">
        <v>2090</v>
      </c>
      <c r="N1349" s="122">
        <v>19300</v>
      </c>
      <c r="O1349" s="122">
        <v>7148</v>
      </c>
      <c r="P1349" s="122">
        <v>5670</v>
      </c>
      <c r="Q1349" s="122">
        <v>2100</v>
      </c>
      <c r="R1349" s="122">
        <v>47576</v>
      </c>
      <c r="S1349" s="122">
        <v>43251</v>
      </c>
      <c r="T1349">
        <v>0</v>
      </c>
      <c r="U1349">
        <v>0</v>
      </c>
      <c r="V1349" s="122">
        <v>129424</v>
      </c>
      <c r="W1349" s="122">
        <f t="shared" si="42"/>
        <v>129424</v>
      </c>
      <c r="X1349" s="122">
        <f t="shared" si="43"/>
        <v>157164</v>
      </c>
    </row>
    <row r="1350" spans="2:24">
      <c r="B1350" t="s">
        <v>465</v>
      </c>
      <c r="C1350" t="s">
        <v>56</v>
      </c>
      <c r="D1350" t="s">
        <v>137</v>
      </c>
      <c r="E1350" t="s">
        <v>137</v>
      </c>
      <c r="F1350">
        <v>300</v>
      </c>
      <c r="G1350" s="122">
        <v>22379</v>
      </c>
      <c r="H1350" s="122">
        <v>59890</v>
      </c>
      <c r="I1350" s="122">
        <v>1850473</v>
      </c>
      <c r="J1350" s="122">
        <v>685360</v>
      </c>
      <c r="K1350">
        <v>100</v>
      </c>
      <c r="L1350" s="122">
        <v>235776</v>
      </c>
      <c r="M1350" s="122">
        <v>90874</v>
      </c>
      <c r="N1350" s="122">
        <v>434551</v>
      </c>
      <c r="O1350" s="122">
        <v>160945</v>
      </c>
      <c r="P1350" s="122">
        <v>2970</v>
      </c>
      <c r="Q1350" s="122">
        <v>1100</v>
      </c>
      <c r="R1350" s="122">
        <v>1903773</v>
      </c>
      <c r="S1350" s="122">
        <v>705101</v>
      </c>
      <c r="T1350" s="122">
        <v>35828</v>
      </c>
      <c r="U1350" s="122">
        <v>13270</v>
      </c>
      <c r="V1350" s="122">
        <v>1656650</v>
      </c>
      <c r="W1350" s="122">
        <f t="shared" si="42"/>
        <v>1656650</v>
      </c>
      <c r="X1350" s="122">
        <f t="shared" si="43"/>
        <v>4463371</v>
      </c>
    </row>
    <row r="1351" spans="2:24">
      <c r="B1351" t="s">
        <v>465</v>
      </c>
      <c r="C1351" t="s">
        <v>56</v>
      </c>
      <c r="D1351" t="s">
        <v>406</v>
      </c>
      <c r="E1351" t="s">
        <v>406</v>
      </c>
      <c r="F1351">
        <v>52</v>
      </c>
      <c r="G1351" s="122">
        <v>8245</v>
      </c>
      <c r="H1351" s="122">
        <v>9955</v>
      </c>
      <c r="I1351" s="122">
        <v>879629</v>
      </c>
      <c r="J1351" s="122">
        <v>799662</v>
      </c>
      <c r="K1351">
        <v>87</v>
      </c>
      <c r="L1351" s="122">
        <v>208468</v>
      </c>
      <c r="M1351" s="122">
        <v>184397</v>
      </c>
      <c r="N1351" s="122">
        <v>173558</v>
      </c>
      <c r="O1351" s="122">
        <v>64281</v>
      </c>
      <c r="P1351" s="122">
        <v>35222</v>
      </c>
      <c r="Q1351" s="122">
        <v>13045</v>
      </c>
      <c r="R1351" s="122">
        <v>272250</v>
      </c>
      <c r="S1351" s="122">
        <v>247500</v>
      </c>
      <c r="T1351" s="122">
        <v>50287</v>
      </c>
      <c r="U1351" s="122">
        <v>18625</v>
      </c>
      <c r="V1351" s="122">
        <v>1327510</v>
      </c>
      <c r="W1351" s="122">
        <f t="shared" si="42"/>
        <v>1327510</v>
      </c>
      <c r="X1351" s="122">
        <f t="shared" si="43"/>
        <v>1619414</v>
      </c>
    </row>
    <row r="1352" spans="2:24">
      <c r="B1352" t="s">
        <v>465</v>
      </c>
      <c r="C1352" t="s">
        <v>56</v>
      </c>
      <c r="D1352" t="s">
        <v>407</v>
      </c>
      <c r="E1352" t="s">
        <v>407</v>
      </c>
      <c r="F1352" s="122">
        <v>1275</v>
      </c>
      <c r="G1352" s="122">
        <v>93493</v>
      </c>
      <c r="H1352" s="122">
        <v>232563</v>
      </c>
      <c r="I1352" s="122">
        <v>7906633</v>
      </c>
      <c r="J1352" s="122">
        <v>7187848</v>
      </c>
      <c r="K1352">
        <v>80</v>
      </c>
      <c r="L1352" s="122">
        <v>830193</v>
      </c>
      <c r="M1352" s="122">
        <v>623760</v>
      </c>
      <c r="N1352" s="122">
        <v>1845447</v>
      </c>
      <c r="O1352" s="122">
        <v>683499</v>
      </c>
      <c r="P1352" s="122">
        <v>606335</v>
      </c>
      <c r="Q1352" s="122">
        <v>224569</v>
      </c>
      <c r="R1352" s="122">
        <v>5144364</v>
      </c>
      <c r="S1352" s="122">
        <v>4676695</v>
      </c>
      <c r="T1352" s="122">
        <v>680100</v>
      </c>
      <c r="U1352" s="122">
        <v>251889</v>
      </c>
      <c r="V1352" s="122">
        <v>13648258</v>
      </c>
      <c r="W1352" s="122">
        <f t="shared" si="42"/>
        <v>13648260</v>
      </c>
      <c r="X1352" s="122">
        <f t="shared" si="43"/>
        <v>17013072</v>
      </c>
    </row>
    <row r="1353" spans="2:24">
      <c r="B1353" t="s">
        <v>465</v>
      </c>
      <c r="C1353" t="s">
        <v>56</v>
      </c>
      <c r="D1353" t="s">
        <v>408</v>
      </c>
      <c r="E1353" t="s">
        <v>137</v>
      </c>
      <c r="F1353">
        <v>1</v>
      </c>
      <c r="G1353">
        <v>65</v>
      </c>
      <c r="H1353">
        <v>182</v>
      </c>
      <c r="I1353" s="122">
        <v>6441</v>
      </c>
      <c r="J1353" s="122">
        <v>5856</v>
      </c>
      <c r="K1353">
        <v>89</v>
      </c>
      <c r="L1353">
        <v>0</v>
      </c>
      <c r="M1353">
        <v>0</v>
      </c>
      <c r="N1353" s="122">
        <v>1109</v>
      </c>
      <c r="O1353">
        <v>411</v>
      </c>
      <c r="P1353">
        <v>351</v>
      </c>
      <c r="Q1353">
        <v>130</v>
      </c>
      <c r="R1353" s="122">
        <v>3902</v>
      </c>
      <c r="S1353" s="122">
        <v>1445</v>
      </c>
      <c r="T1353">
        <v>0</v>
      </c>
      <c r="U1353">
        <v>0</v>
      </c>
      <c r="V1353" s="122">
        <v>7841</v>
      </c>
      <c r="W1353" s="122">
        <f t="shared" si="42"/>
        <v>7842</v>
      </c>
      <c r="X1353" s="122">
        <f t="shared" si="43"/>
        <v>11803</v>
      </c>
    </row>
    <row r="1354" spans="2:24">
      <c r="B1354" t="s">
        <v>465</v>
      </c>
      <c r="C1354" t="s">
        <v>58</v>
      </c>
      <c r="F1354">
        <v>4</v>
      </c>
      <c r="G1354">
        <v>300</v>
      </c>
      <c r="H1354">
        <v>967</v>
      </c>
      <c r="J1354">
        <v>0</v>
      </c>
      <c r="M1354">
        <v>0</v>
      </c>
      <c r="N1354" s="122">
        <v>6941</v>
      </c>
      <c r="O1354" s="122">
        <v>2571</v>
      </c>
      <c r="P1354" s="122">
        <v>1053</v>
      </c>
      <c r="Q1354">
        <v>390</v>
      </c>
      <c r="S1354">
        <v>0</v>
      </c>
      <c r="T1354">
        <v>0</v>
      </c>
      <c r="U1354">
        <v>0</v>
      </c>
      <c r="V1354" s="122">
        <v>2961</v>
      </c>
      <c r="W1354" s="122">
        <f t="shared" si="42"/>
        <v>2961</v>
      </c>
      <c r="X1354" s="122">
        <f t="shared" si="43"/>
        <v>7994</v>
      </c>
    </row>
    <row r="1355" spans="2:24">
      <c r="B1355" t="s">
        <v>465</v>
      </c>
      <c r="C1355" t="s">
        <v>58</v>
      </c>
      <c r="D1355" t="s">
        <v>405</v>
      </c>
      <c r="E1355" t="s">
        <v>405</v>
      </c>
      <c r="F1355">
        <v>6</v>
      </c>
      <c r="G1355">
        <v>609</v>
      </c>
      <c r="H1355" s="122">
        <v>1485</v>
      </c>
      <c r="I1355" s="122">
        <v>93633</v>
      </c>
      <c r="J1355" s="122">
        <v>85121</v>
      </c>
      <c r="K1355">
        <v>80</v>
      </c>
      <c r="L1355" s="122">
        <v>7384</v>
      </c>
      <c r="M1355" s="122">
        <v>6713</v>
      </c>
      <c r="N1355" s="122">
        <v>12501</v>
      </c>
      <c r="O1355" s="122">
        <v>4630</v>
      </c>
      <c r="P1355" s="122">
        <v>2835</v>
      </c>
      <c r="Q1355" s="122">
        <v>1050</v>
      </c>
      <c r="R1355" s="122">
        <v>26373</v>
      </c>
      <c r="S1355" s="122">
        <v>23976</v>
      </c>
      <c r="T1355" s="122">
        <v>4431</v>
      </c>
      <c r="U1355" s="122">
        <v>1641</v>
      </c>
      <c r="V1355" s="122">
        <v>123131</v>
      </c>
      <c r="W1355" s="122">
        <f t="shared" si="42"/>
        <v>123131</v>
      </c>
      <c r="X1355" s="122">
        <f t="shared" si="43"/>
        <v>147157</v>
      </c>
    </row>
    <row r="1356" spans="2:24">
      <c r="B1356" t="s">
        <v>465</v>
      </c>
      <c r="C1356" t="s">
        <v>58</v>
      </c>
      <c r="D1356" t="s">
        <v>137</v>
      </c>
      <c r="E1356" t="s">
        <v>137</v>
      </c>
      <c r="F1356">
        <v>650</v>
      </c>
      <c r="G1356" s="122">
        <v>42446</v>
      </c>
      <c r="H1356" s="122">
        <v>170653</v>
      </c>
      <c r="I1356" s="122">
        <v>5505305</v>
      </c>
      <c r="J1356" s="122">
        <v>2039002</v>
      </c>
      <c r="K1356">
        <v>100</v>
      </c>
      <c r="L1356" s="122">
        <v>781743</v>
      </c>
      <c r="M1356" s="122">
        <v>311308</v>
      </c>
      <c r="N1356" s="122">
        <v>847147</v>
      </c>
      <c r="O1356" s="122">
        <v>313758</v>
      </c>
      <c r="P1356" s="122">
        <v>8463</v>
      </c>
      <c r="Q1356" s="122">
        <v>3135</v>
      </c>
      <c r="R1356" s="122">
        <v>3958396</v>
      </c>
      <c r="S1356" s="122">
        <v>1466073</v>
      </c>
      <c r="T1356" s="122">
        <v>45881</v>
      </c>
      <c r="U1356" s="122">
        <v>16993</v>
      </c>
      <c r="V1356" s="122">
        <v>4150268</v>
      </c>
      <c r="W1356" s="122">
        <f t="shared" si="42"/>
        <v>4150269</v>
      </c>
      <c r="X1356" s="122">
        <f t="shared" si="43"/>
        <v>11146935</v>
      </c>
    </row>
    <row r="1357" spans="2:24">
      <c r="B1357" t="s">
        <v>465</v>
      </c>
      <c r="C1357" t="s">
        <v>58</v>
      </c>
      <c r="D1357" t="s">
        <v>406</v>
      </c>
      <c r="E1357" t="s">
        <v>406</v>
      </c>
      <c r="F1357">
        <v>36</v>
      </c>
      <c r="G1357" s="122">
        <v>3686</v>
      </c>
      <c r="H1357" s="122">
        <v>9634</v>
      </c>
      <c r="I1357" s="122">
        <v>563359</v>
      </c>
      <c r="J1357" s="122">
        <v>512144</v>
      </c>
      <c r="K1357">
        <v>80</v>
      </c>
      <c r="L1357" s="122">
        <v>114457</v>
      </c>
      <c r="M1357" s="122">
        <v>100615</v>
      </c>
      <c r="N1357" s="122">
        <v>76139</v>
      </c>
      <c r="O1357" s="122">
        <v>28200</v>
      </c>
      <c r="P1357" s="122">
        <v>22356</v>
      </c>
      <c r="Q1357" s="122">
        <v>8280</v>
      </c>
      <c r="R1357" s="122">
        <v>167409</v>
      </c>
      <c r="S1357" s="122">
        <v>152190</v>
      </c>
      <c r="T1357" s="122">
        <v>57402</v>
      </c>
      <c r="U1357" s="122">
        <v>21260</v>
      </c>
      <c r="V1357" s="122">
        <v>822688</v>
      </c>
      <c r="W1357" s="122">
        <f t="shared" si="42"/>
        <v>822689</v>
      </c>
      <c r="X1357" s="122">
        <f t="shared" si="43"/>
        <v>1001122</v>
      </c>
    </row>
    <row r="1358" spans="2:24">
      <c r="B1358" t="s">
        <v>465</v>
      </c>
      <c r="C1358" t="s">
        <v>58</v>
      </c>
      <c r="D1358" t="s">
        <v>407</v>
      </c>
      <c r="E1358" t="s">
        <v>137</v>
      </c>
      <c r="F1358">
        <v>1</v>
      </c>
      <c r="G1358">
        <v>91</v>
      </c>
      <c r="H1358">
        <v>264</v>
      </c>
      <c r="I1358" s="122">
        <v>15359</v>
      </c>
      <c r="J1358" s="122">
        <v>13962</v>
      </c>
      <c r="K1358">
        <v>79</v>
      </c>
      <c r="L1358">
        <v>0</v>
      </c>
      <c r="M1358">
        <v>0</v>
      </c>
      <c r="N1358" s="122">
        <v>2213</v>
      </c>
      <c r="O1358">
        <v>820</v>
      </c>
      <c r="P1358">
        <v>473</v>
      </c>
      <c r="Q1358">
        <v>175</v>
      </c>
      <c r="R1358" s="122">
        <v>5945</v>
      </c>
      <c r="S1358" s="122">
        <v>2202</v>
      </c>
      <c r="T1358">
        <v>0</v>
      </c>
      <c r="U1358">
        <v>0</v>
      </c>
      <c r="V1358" s="122">
        <v>17159</v>
      </c>
      <c r="W1358" s="122">
        <f t="shared" si="42"/>
        <v>17159</v>
      </c>
      <c r="X1358" s="122">
        <f t="shared" si="43"/>
        <v>23990</v>
      </c>
    </row>
    <row r="1359" spans="2:24">
      <c r="B1359" t="s">
        <v>465</v>
      </c>
      <c r="C1359" t="s">
        <v>58</v>
      </c>
      <c r="D1359" t="s">
        <v>407</v>
      </c>
      <c r="E1359" t="s">
        <v>407</v>
      </c>
      <c r="F1359">
        <v>246</v>
      </c>
      <c r="G1359" s="122">
        <v>16071</v>
      </c>
      <c r="H1359" s="122">
        <v>62021</v>
      </c>
      <c r="I1359" s="122">
        <v>1965662</v>
      </c>
      <c r="J1359" s="122">
        <v>1786966</v>
      </c>
      <c r="K1359">
        <v>77</v>
      </c>
      <c r="L1359" s="122">
        <v>365908</v>
      </c>
      <c r="M1359" s="122">
        <v>301831</v>
      </c>
      <c r="N1359" s="122">
        <v>339957</v>
      </c>
      <c r="O1359" s="122">
        <v>125910</v>
      </c>
      <c r="P1359" s="122">
        <v>115641</v>
      </c>
      <c r="Q1359" s="122">
        <v>42830</v>
      </c>
      <c r="R1359" s="122">
        <v>990773</v>
      </c>
      <c r="S1359" s="122">
        <v>900703</v>
      </c>
      <c r="T1359" s="122">
        <v>271532</v>
      </c>
      <c r="U1359" s="122">
        <v>100568</v>
      </c>
      <c r="V1359" s="122">
        <v>3258808</v>
      </c>
      <c r="W1359" s="122">
        <f t="shared" si="42"/>
        <v>3258808</v>
      </c>
      <c r="X1359" s="122">
        <f t="shared" si="43"/>
        <v>4049473</v>
      </c>
    </row>
    <row r="1360" spans="2:24">
      <c r="B1360" t="s">
        <v>465</v>
      </c>
      <c r="C1360" t="s">
        <v>58</v>
      </c>
      <c r="D1360" t="s">
        <v>556</v>
      </c>
      <c r="E1360" t="s">
        <v>556</v>
      </c>
      <c r="F1360">
        <v>1</v>
      </c>
      <c r="G1360">
        <v>59</v>
      </c>
      <c r="H1360">
        <v>293</v>
      </c>
      <c r="I1360" s="122">
        <v>8088</v>
      </c>
      <c r="J1360" s="122">
        <v>6740</v>
      </c>
      <c r="K1360">
        <v>65</v>
      </c>
      <c r="L1360" s="122">
        <v>1314</v>
      </c>
      <c r="M1360">
        <v>487</v>
      </c>
      <c r="N1360" s="122">
        <v>1303</v>
      </c>
      <c r="O1360">
        <v>483</v>
      </c>
      <c r="P1360">
        <v>351</v>
      </c>
      <c r="Q1360">
        <v>130</v>
      </c>
      <c r="R1360" s="122">
        <v>4306</v>
      </c>
      <c r="S1360" s="122">
        <v>3589</v>
      </c>
      <c r="T1360" s="122">
        <v>2015</v>
      </c>
      <c r="U1360">
        <v>746</v>
      </c>
      <c r="V1360" s="122">
        <v>12174</v>
      </c>
      <c r="W1360" s="122">
        <f t="shared" si="42"/>
        <v>12175</v>
      </c>
      <c r="X1360" s="122">
        <f t="shared" si="43"/>
        <v>17377</v>
      </c>
    </row>
    <row r="1361" spans="2:24">
      <c r="B1361" t="s">
        <v>465</v>
      </c>
      <c r="C1361" t="s">
        <v>58</v>
      </c>
      <c r="D1361" t="s">
        <v>426</v>
      </c>
      <c r="E1361" t="s">
        <v>137</v>
      </c>
      <c r="F1361">
        <v>1</v>
      </c>
      <c r="G1361">
        <v>43</v>
      </c>
      <c r="H1361">
        <v>255</v>
      </c>
      <c r="I1361" s="122">
        <v>5648</v>
      </c>
      <c r="J1361" s="122">
        <v>5134</v>
      </c>
      <c r="K1361">
        <v>75</v>
      </c>
      <c r="L1361" s="122">
        <v>1154</v>
      </c>
      <c r="M1361">
        <v>427</v>
      </c>
      <c r="N1361">
        <v>522</v>
      </c>
      <c r="O1361">
        <v>193</v>
      </c>
      <c r="P1361">
        <v>0</v>
      </c>
      <c r="Q1361">
        <v>0</v>
      </c>
      <c r="R1361" s="122">
        <v>3627</v>
      </c>
      <c r="S1361" s="122">
        <v>1343</v>
      </c>
      <c r="T1361">
        <v>0</v>
      </c>
      <c r="U1361">
        <v>0</v>
      </c>
      <c r="V1361" s="122">
        <v>7098</v>
      </c>
      <c r="W1361" s="122">
        <f t="shared" si="42"/>
        <v>7097</v>
      </c>
      <c r="X1361" s="122">
        <f t="shared" si="43"/>
        <v>10951</v>
      </c>
    </row>
    <row r="1362" spans="2:24">
      <c r="B1362" t="s">
        <v>465</v>
      </c>
      <c r="C1362" t="s">
        <v>58</v>
      </c>
      <c r="D1362" t="s">
        <v>426</v>
      </c>
      <c r="E1362" t="s">
        <v>426</v>
      </c>
      <c r="F1362">
        <v>1</v>
      </c>
      <c r="G1362">
        <v>180</v>
      </c>
      <c r="H1362">
        <v>296</v>
      </c>
      <c r="I1362" s="122">
        <v>34203</v>
      </c>
      <c r="J1362" s="122">
        <v>31094</v>
      </c>
      <c r="K1362">
        <v>65</v>
      </c>
      <c r="L1362" s="122">
        <v>5489</v>
      </c>
      <c r="M1362" s="122">
        <v>4990</v>
      </c>
      <c r="N1362" s="122">
        <v>3954</v>
      </c>
      <c r="O1362" s="122">
        <v>1464</v>
      </c>
      <c r="P1362">
        <v>702</v>
      </c>
      <c r="Q1362">
        <v>260</v>
      </c>
      <c r="R1362" s="122">
        <v>5628</v>
      </c>
      <c r="S1362" s="122">
        <v>5116</v>
      </c>
      <c r="T1362" s="122">
        <v>3336</v>
      </c>
      <c r="U1362" s="122">
        <v>1235</v>
      </c>
      <c r="V1362" s="122">
        <v>44160</v>
      </c>
      <c r="W1362" s="122">
        <f t="shared" si="42"/>
        <v>44159</v>
      </c>
      <c r="X1362" s="122">
        <f t="shared" si="43"/>
        <v>53312</v>
      </c>
    </row>
    <row r="1363" spans="2:24">
      <c r="B1363" t="s">
        <v>465</v>
      </c>
      <c r="C1363" t="s">
        <v>60</v>
      </c>
      <c r="F1363">
        <v>2</v>
      </c>
      <c r="G1363">
        <v>131</v>
      </c>
      <c r="H1363">
        <v>679</v>
      </c>
      <c r="J1363">
        <v>0</v>
      </c>
      <c r="M1363">
        <v>0</v>
      </c>
      <c r="N1363" s="122">
        <v>2344</v>
      </c>
      <c r="O1363">
        <v>868</v>
      </c>
      <c r="P1363">
        <v>945</v>
      </c>
      <c r="Q1363">
        <v>350</v>
      </c>
      <c r="S1363">
        <v>0</v>
      </c>
      <c r="T1363">
        <v>0</v>
      </c>
      <c r="U1363">
        <v>0</v>
      </c>
      <c r="V1363" s="122">
        <v>1218</v>
      </c>
      <c r="W1363" s="122">
        <f t="shared" si="42"/>
        <v>1218</v>
      </c>
      <c r="X1363" s="122">
        <f t="shared" si="43"/>
        <v>3289</v>
      </c>
    </row>
    <row r="1364" spans="2:24">
      <c r="B1364" t="s">
        <v>465</v>
      </c>
      <c r="C1364" t="s">
        <v>60</v>
      </c>
      <c r="D1364" t="s">
        <v>137</v>
      </c>
      <c r="E1364" t="s">
        <v>137</v>
      </c>
      <c r="F1364">
        <v>447</v>
      </c>
      <c r="G1364" s="122">
        <v>25598</v>
      </c>
      <c r="H1364" s="122">
        <v>151060</v>
      </c>
      <c r="I1364" s="122">
        <v>4892229</v>
      </c>
      <c r="J1364" s="122">
        <v>1811936</v>
      </c>
      <c r="K1364">
        <v>100</v>
      </c>
      <c r="L1364" s="122">
        <v>584518</v>
      </c>
      <c r="M1364" s="122">
        <v>292716</v>
      </c>
      <c r="N1364" s="122">
        <v>507957</v>
      </c>
      <c r="O1364" s="122">
        <v>188132</v>
      </c>
      <c r="P1364" s="122">
        <v>5616</v>
      </c>
      <c r="Q1364" s="122">
        <v>2080</v>
      </c>
      <c r="R1364" s="122">
        <v>2634971</v>
      </c>
      <c r="S1364" s="122">
        <v>975915</v>
      </c>
      <c r="T1364" s="122">
        <v>18595</v>
      </c>
      <c r="U1364" s="122">
        <v>6887</v>
      </c>
      <c r="V1364" s="122">
        <v>3277667</v>
      </c>
      <c r="W1364" s="122">
        <f t="shared" si="42"/>
        <v>3277666</v>
      </c>
      <c r="X1364" s="122">
        <f t="shared" si="43"/>
        <v>8643886</v>
      </c>
    </row>
    <row r="1365" spans="2:24">
      <c r="B1365" t="s">
        <v>465</v>
      </c>
      <c r="C1365" t="s">
        <v>60</v>
      </c>
      <c r="D1365" t="s">
        <v>406</v>
      </c>
      <c r="E1365" t="s">
        <v>137</v>
      </c>
      <c r="F1365">
        <v>2</v>
      </c>
      <c r="G1365">
        <v>103</v>
      </c>
      <c r="H1365">
        <v>680</v>
      </c>
      <c r="I1365" s="122">
        <v>19920</v>
      </c>
      <c r="J1365" s="122">
        <v>18109</v>
      </c>
      <c r="K1365">
        <v>81</v>
      </c>
      <c r="L1365" s="122">
        <v>2076</v>
      </c>
      <c r="M1365" s="122">
        <v>1730</v>
      </c>
      <c r="N1365" s="122">
        <v>2034</v>
      </c>
      <c r="O1365">
        <v>753</v>
      </c>
      <c r="P1365" s="122">
        <v>1364</v>
      </c>
      <c r="Q1365">
        <v>505</v>
      </c>
      <c r="R1365" s="122">
        <v>9317</v>
      </c>
      <c r="S1365" s="122">
        <v>3451</v>
      </c>
      <c r="T1365">
        <v>0</v>
      </c>
      <c r="U1365">
        <v>0</v>
      </c>
      <c r="V1365" s="122">
        <v>24548</v>
      </c>
      <c r="W1365" s="122">
        <f t="shared" si="42"/>
        <v>24548</v>
      </c>
      <c r="X1365" s="122">
        <f t="shared" si="43"/>
        <v>34711</v>
      </c>
    </row>
    <row r="1366" spans="2:24">
      <c r="B1366" t="s">
        <v>465</v>
      </c>
      <c r="C1366" t="s">
        <v>60</v>
      </c>
      <c r="D1366" t="s">
        <v>406</v>
      </c>
      <c r="E1366" t="s">
        <v>406</v>
      </c>
      <c r="F1366">
        <v>10</v>
      </c>
      <c r="G1366">
        <v>966</v>
      </c>
      <c r="H1366" s="122">
        <v>3343</v>
      </c>
      <c r="I1366" s="122">
        <v>200774</v>
      </c>
      <c r="J1366" s="122">
        <v>182521</v>
      </c>
      <c r="K1366">
        <v>76</v>
      </c>
      <c r="L1366" s="122">
        <v>41417</v>
      </c>
      <c r="M1366" s="122">
        <v>35131</v>
      </c>
      <c r="N1366" s="122">
        <v>19634</v>
      </c>
      <c r="O1366" s="122">
        <v>7272</v>
      </c>
      <c r="P1366" s="122">
        <v>5940</v>
      </c>
      <c r="Q1366" s="122">
        <v>2200</v>
      </c>
      <c r="R1366" s="122">
        <v>44050</v>
      </c>
      <c r="S1366" s="122">
        <v>40046</v>
      </c>
      <c r="T1366" s="122">
        <v>13499</v>
      </c>
      <c r="U1366" s="122">
        <v>5000</v>
      </c>
      <c r="V1366" s="122">
        <v>272170</v>
      </c>
      <c r="W1366" s="122">
        <f t="shared" si="42"/>
        <v>272170</v>
      </c>
      <c r="X1366" s="122">
        <f t="shared" si="43"/>
        <v>325314</v>
      </c>
    </row>
    <row r="1367" spans="2:24">
      <c r="B1367" t="s">
        <v>465</v>
      </c>
      <c r="C1367" t="s">
        <v>60</v>
      </c>
      <c r="D1367" t="s">
        <v>407</v>
      </c>
      <c r="E1367" t="s">
        <v>406</v>
      </c>
      <c r="F1367">
        <v>1</v>
      </c>
      <c r="G1367">
        <v>86</v>
      </c>
      <c r="H1367">
        <v>347</v>
      </c>
      <c r="I1367" s="122">
        <v>15455</v>
      </c>
      <c r="J1367" s="122">
        <v>14050</v>
      </c>
      <c r="K1367">
        <v>86</v>
      </c>
      <c r="L1367" s="122">
        <v>7748</v>
      </c>
      <c r="M1367" s="122">
        <v>2870</v>
      </c>
      <c r="N1367" s="122">
        <v>1671</v>
      </c>
      <c r="O1367">
        <v>619</v>
      </c>
      <c r="P1367">
        <v>473</v>
      </c>
      <c r="Q1367">
        <v>175</v>
      </c>
      <c r="R1367" s="122">
        <v>4357</v>
      </c>
      <c r="S1367" s="122">
        <v>3961</v>
      </c>
      <c r="T1367">
        <v>0</v>
      </c>
      <c r="U1367">
        <v>0</v>
      </c>
      <c r="V1367" s="122">
        <v>21675</v>
      </c>
      <c r="W1367" s="122">
        <f t="shared" si="42"/>
        <v>21675</v>
      </c>
      <c r="X1367" s="122">
        <f t="shared" si="43"/>
        <v>29704</v>
      </c>
    </row>
    <row r="1368" spans="2:24">
      <c r="B1368" t="s">
        <v>465</v>
      </c>
      <c r="C1368" t="s">
        <v>60</v>
      </c>
      <c r="D1368" t="s">
        <v>407</v>
      </c>
      <c r="E1368" t="s">
        <v>407</v>
      </c>
      <c r="F1368">
        <v>48</v>
      </c>
      <c r="G1368" s="122">
        <v>2690</v>
      </c>
      <c r="H1368" s="122">
        <v>16158</v>
      </c>
      <c r="I1368" s="122">
        <v>501505</v>
      </c>
      <c r="J1368" s="122">
        <v>455914</v>
      </c>
      <c r="K1368">
        <v>76</v>
      </c>
      <c r="L1368" s="122">
        <v>89657</v>
      </c>
      <c r="M1368" s="122">
        <v>72895</v>
      </c>
      <c r="N1368" s="122">
        <v>53066</v>
      </c>
      <c r="O1368" s="122">
        <v>19654</v>
      </c>
      <c r="P1368" s="122">
        <v>22437</v>
      </c>
      <c r="Q1368" s="122">
        <v>8310</v>
      </c>
      <c r="R1368" s="122">
        <v>178082</v>
      </c>
      <c r="S1368" s="122">
        <v>161893</v>
      </c>
      <c r="T1368" s="122">
        <v>57183</v>
      </c>
      <c r="U1368" s="122">
        <v>21179</v>
      </c>
      <c r="V1368" s="122">
        <v>739845</v>
      </c>
      <c r="W1368" s="122">
        <f t="shared" si="42"/>
        <v>739845</v>
      </c>
      <c r="X1368" s="122">
        <f t="shared" si="43"/>
        <v>901930</v>
      </c>
    </row>
    <row r="1369" spans="2:24">
      <c r="B1369" t="s">
        <v>465</v>
      </c>
      <c r="C1369" t="s">
        <v>60</v>
      </c>
      <c r="D1369" t="s">
        <v>426</v>
      </c>
      <c r="E1369" t="s">
        <v>137</v>
      </c>
      <c r="F1369">
        <v>1</v>
      </c>
      <c r="G1369">
        <v>40</v>
      </c>
      <c r="H1369">
        <v>300</v>
      </c>
      <c r="I1369" s="122">
        <v>5327</v>
      </c>
      <c r="J1369" s="122">
        <v>4843</v>
      </c>
      <c r="K1369">
        <v>70</v>
      </c>
      <c r="L1369" s="122">
        <v>1017</v>
      </c>
      <c r="M1369">
        <v>377</v>
      </c>
      <c r="N1369">
        <v>731</v>
      </c>
      <c r="O1369">
        <v>271</v>
      </c>
      <c r="P1369">
        <v>351</v>
      </c>
      <c r="Q1369">
        <v>130</v>
      </c>
      <c r="R1369" s="122">
        <v>4577</v>
      </c>
      <c r="S1369" s="122">
        <v>1695</v>
      </c>
      <c r="T1369">
        <v>0</v>
      </c>
      <c r="U1369">
        <v>0</v>
      </c>
      <c r="V1369" s="122">
        <v>7316</v>
      </c>
      <c r="W1369" s="122">
        <f t="shared" si="42"/>
        <v>7316</v>
      </c>
      <c r="X1369" s="122">
        <f t="shared" si="43"/>
        <v>12003</v>
      </c>
    </row>
    <row r="1370" spans="2:24">
      <c r="B1370" t="s">
        <v>465</v>
      </c>
      <c r="C1370" t="s">
        <v>60</v>
      </c>
      <c r="D1370" t="s">
        <v>426</v>
      </c>
      <c r="E1370" t="s">
        <v>426</v>
      </c>
      <c r="F1370">
        <v>14</v>
      </c>
      <c r="G1370" s="122">
        <v>1435</v>
      </c>
      <c r="H1370" s="122">
        <v>4523</v>
      </c>
      <c r="I1370" s="122">
        <v>257116</v>
      </c>
      <c r="J1370" s="122">
        <v>233742</v>
      </c>
      <c r="K1370">
        <v>47</v>
      </c>
      <c r="L1370" s="122">
        <v>44674</v>
      </c>
      <c r="M1370" s="122">
        <v>40613</v>
      </c>
      <c r="N1370" s="122">
        <v>26338</v>
      </c>
      <c r="O1370" s="122">
        <v>9755</v>
      </c>
      <c r="P1370" s="122">
        <v>4914</v>
      </c>
      <c r="Q1370" s="122">
        <v>1820</v>
      </c>
      <c r="R1370" s="122">
        <v>93117</v>
      </c>
      <c r="S1370" s="122">
        <v>84652</v>
      </c>
      <c r="T1370" s="122">
        <v>37275</v>
      </c>
      <c r="U1370" s="122">
        <v>13805</v>
      </c>
      <c r="V1370" s="122">
        <v>384387</v>
      </c>
      <c r="W1370" s="122">
        <f t="shared" si="42"/>
        <v>384387</v>
      </c>
      <c r="X1370" s="122">
        <f t="shared" si="43"/>
        <v>463434</v>
      </c>
    </row>
    <row r="1371" spans="2:24">
      <c r="B1371" t="s">
        <v>465</v>
      </c>
      <c r="C1371" t="s">
        <v>62</v>
      </c>
      <c r="D1371" t="s">
        <v>137</v>
      </c>
      <c r="E1371" t="s">
        <v>137</v>
      </c>
      <c r="F1371">
        <v>148</v>
      </c>
      <c r="G1371" s="122">
        <v>8678</v>
      </c>
      <c r="H1371" s="122">
        <v>61070</v>
      </c>
      <c r="I1371" s="122">
        <v>2257197</v>
      </c>
      <c r="J1371" s="122">
        <v>835999</v>
      </c>
      <c r="K1371">
        <v>100</v>
      </c>
      <c r="L1371" s="122">
        <v>223880</v>
      </c>
      <c r="M1371" s="122">
        <v>128776</v>
      </c>
      <c r="N1371" s="122">
        <v>169486</v>
      </c>
      <c r="O1371" s="122">
        <v>62772</v>
      </c>
      <c r="P1371" s="122">
        <v>1542</v>
      </c>
      <c r="Q1371">
        <v>571</v>
      </c>
      <c r="R1371" s="122">
        <v>901886</v>
      </c>
      <c r="S1371" s="122">
        <v>334032</v>
      </c>
      <c r="T1371" s="122">
        <v>5523</v>
      </c>
      <c r="U1371" s="122">
        <v>2045</v>
      </c>
      <c r="V1371" s="122">
        <v>1364196</v>
      </c>
      <c r="W1371" s="122">
        <f t="shared" si="42"/>
        <v>1364195</v>
      </c>
      <c r="X1371" s="122">
        <f t="shared" si="43"/>
        <v>3559514</v>
      </c>
    </row>
    <row r="1372" spans="2:24">
      <c r="B1372" t="s">
        <v>465</v>
      </c>
      <c r="C1372" t="s">
        <v>62</v>
      </c>
      <c r="D1372" t="s">
        <v>406</v>
      </c>
      <c r="E1372" t="s">
        <v>137</v>
      </c>
      <c r="F1372">
        <v>1</v>
      </c>
      <c r="G1372">
        <v>39</v>
      </c>
      <c r="H1372">
        <v>433</v>
      </c>
      <c r="I1372" s="122">
        <v>10744</v>
      </c>
      <c r="J1372" s="122">
        <v>9767</v>
      </c>
      <c r="K1372">
        <v>65</v>
      </c>
      <c r="L1372" s="122">
        <v>1811</v>
      </c>
      <c r="M1372">
        <v>671</v>
      </c>
      <c r="N1372">
        <v>961</v>
      </c>
      <c r="O1372">
        <v>356</v>
      </c>
      <c r="P1372">
        <v>621</v>
      </c>
      <c r="Q1372">
        <v>230</v>
      </c>
      <c r="R1372" s="122">
        <v>2951</v>
      </c>
      <c r="S1372" s="122">
        <v>1093</v>
      </c>
      <c r="T1372">
        <v>0</v>
      </c>
      <c r="U1372">
        <v>0</v>
      </c>
      <c r="V1372" s="122">
        <v>12117</v>
      </c>
      <c r="W1372" s="122">
        <f t="shared" si="42"/>
        <v>12117</v>
      </c>
      <c r="X1372" s="122">
        <f t="shared" si="43"/>
        <v>17088</v>
      </c>
    </row>
    <row r="1373" spans="2:24">
      <c r="B1373" t="s">
        <v>465</v>
      </c>
      <c r="C1373" t="s">
        <v>62</v>
      </c>
      <c r="D1373" t="s">
        <v>406</v>
      </c>
      <c r="E1373" t="s">
        <v>406</v>
      </c>
      <c r="F1373">
        <v>15</v>
      </c>
      <c r="G1373" s="122">
        <v>1228</v>
      </c>
      <c r="H1373" s="122">
        <v>6202</v>
      </c>
      <c r="I1373" s="122">
        <v>325096</v>
      </c>
      <c r="J1373" s="122">
        <v>295542</v>
      </c>
      <c r="K1373">
        <v>73</v>
      </c>
      <c r="L1373" s="122">
        <v>59102</v>
      </c>
      <c r="M1373" s="122">
        <v>51008</v>
      </c>
      <c r="N1373" s="122">
        <v>25063</v>
      </c>
      <c r="O1373" s="122">
        <v>9283</v>
      </c>
      <c r="P1373" s="122">
        <v>9315</v>
      </c>
      <c r="Q1373" s="122">
        <v>3450</v>
      </c>
      <c r="R1373" s="122">
        <v>76555</v>
      </c>
      <c r="S1373" s="122">
        <v>69595</v>
      </c>
      <c r="T1373" s="122">
        <v>26925</v>
      </c>
      <c r="U1373" s="122">
        <v>9972</v>
      </c>
      <c r="V1373" s="122">
        <v>438850</v>
      </c>
      <c r="W1373" s="122">
        <f t="shared" si="42"/>
        <v>438850</v>
      </c>
      <c r="X1373" s="122">
        <f t="shared" si="43"/>
        <v>522056</v>
      </c>
    </row>
    <row r="1374" spans="2:24">
      <c r="B1374" t="s">
        <v>465</v>
      </c>
      <c r="C1374" t="s">
        <v>62</v>
      </c>
      <c r="D1374" t="s">
        <v>407</v>
      </c>
      <c r="E1374" t="s">
        <v>407</v>
      </c>
      <c r="F1374">
        <v>7</v>
      </c>
      <c r="G1374">
        <v>323</v>
      </c>
      <c r="H1374" s="122">
        <v>2948</v>
      </c>
      <c r="I1374" s="122">
        <v>89244</v>
      </c>
      <c r="J1374" s="122">
        <v>81131</v>
      </c>
      <c r="K1374">
        <v>77</v>
      </c>
      <c r="L1374" s="122">
        <v>1947</v>
      </c>
      <c r="M1374">
        <v>721</v>
      </c>
      <c r="N1374" s="122">
        <v>6742</v>
      </c>
      <c r="O1374" s="122">
        <v>2497</v>
      </c>
      <c r="P1374" s="122">
        <v>3308</v>
      </c>
      <c r="Q1374" s="122">
        <v>1225</v>
      </c>
      <c r="R1374" s="122">
        <v>25353</v>
      </c>
      <c r="S1374" s="122">
        <v>23048</v>
      </c>
      <c r="T1374" s="122">
        <v>9873</v>
      </c>
      <c r="U1374" s="122">
        <v>3657</v>
      </c>
      <c r="V1374" s="122">
        <v>112279</v>
      </c>
      <c r="W1374" s="122">
        <f t="shared" si="42"/>
        <v>112279</v>
      </c>
      <c r="X1374" s="122">
        <f t="shared" si="43"/>
        <v>136467</v>
      </c>
    </row>
    <row r="1375" spans="2:24">
      <c r="B1375" t="s">
        <v>465</v>
      </c>
      <c r="C1375" t="s">
        <v>62</v>
      </c>
      <c r="D1375" t="s">
        <v>426</v>
      </c>
      <c r="E1375" t="s">
        <v>426</v>
      </c>
      <c r="F1375">
        <v>1</v>
      </c>
      <c r="G1375">
        <v>71</v>
      </c>
      <c r="H1375">
        <v>437</v>
      </c>
      <c r="I1375" s="122">
        <v>19129</v>
      </c>
      <c r="J1375" s="122">
        <v>17390</v>
      </c>
      <c r="K1375">
        <v>65</v>
      </c>
      <c r="L1375" s="122">
        <v>4605</v>
      </c>
      <c r="M1375" s="122">
        <v>4187</v>
      </c>
      <c r="N1375" s="122">
        <v>1739</v>
      </c>
      <c r="O1375">
        <v>644</v>
      </c>
      <c r="P1375">
        <v>351</v>
      </c>
      <c r="Q1375">
        <v>130</v>
      </c>
      <c r="R1375" s="122">
        <v>3299</v>
      </c>
      <c r="S1375" s="122">
        <v>2999</v>
      </c>
      <c r="T1375" s="122">
        <v>2049</v>
      </c>
      <c r="U1375">
        <v>759</v>
      </c>
      <c r="V1375" s="122">
        <v>26108</v>
      </c>
      <c r="W1375" s="122">
        <f t="shared" si="42"/>
        <v>26109</v>
      </c>
      <c r="X1375" s="122">
        <f t="shared" si="43"/>
        <v>31172</v>
      </c>
    </row>
    <row r="1376" spans="2:24">
      <c r="B1376" t="s">
        <v>465</v>
      </c>
      <c r="C1376" t="s">
        <v>64</v>
      </c>
      <c r="F1376">
        <v>1</v>
      </c>
      <c r="G1376">
        <v>206</v>
      </c>
      <c r="H1376">
        <v>470</v>
      </c>
      <c r="J1376">
        <v>0</v>
      </c>
      <c r="M1376">
        <v>0</v>
      </c>
      <c r="N1376" s="122">
        <v>4769</v>
      </c>
      <c r="O1376" s="122">
        <v>1766</v>
      </c>
      <c r="P1376">
        <v>473</v>
      </c>
      <c r="Q1376">
        <v>175</v>
      </c>
      <c r="S1376">
        <v>0</v>
      </c>
      <c r="T1376">
        <v>0</v>
      </c>
      <c r="U1376">
        <v>0</v>
      </c>
      <c r="V1376" s="122">
        <v>1941</v>
      </c>
      <c r="W1376" s="122">
        <f t="shared" si="42"/>
        <v>1941</v>
      </c>
      <c r="X1376" s="122">
        <f t="shared" si="43"/>
        <v>5242</v>
      </c>
    </row>
    <row r="1377" spans="2:24">
      <c r="B1377" t="s">
        <v>465</v>
      </c>
      <c r="C1377" t="s">
        <v>64</v>
      </c>
      <c r="D1377" t="s">
        <v>137</v>
      </c>
      <c r="E1377" t="s">
        <v>137</v>
      </c>
      <c r="F1377">
        <v>121</v>
      </c>
      <c r="G1377" s="122">
        <v>6235</v>
      </c>
      <c r="H1377" s="122">
        <v>69391</v>
      </c>
      <c r="I1377" s="122">
        <v>2383432</v>
      </c>
      <c r="J1377" s="122">
        <v>882753</v>
      </c>
      <c r="K1377">
        <v>100</v>
      </c>
      <c r="L1377" s="122">
        <v>233692</v>
      </c>
      <c r="M1377" s="122">
        <v>146352</v>
      </c>
      <c r="N1377" s="122">
        <v>133064</v>
      </c>
      <c r="O1377" s="122">
        <v>49283</v>
      </c>
      <c r="P1377" s="122">
        <v>1001</v>
      </c>
      <c r="Q1377">
        <v>371</v>
      </c>
      <c r="R1377" s="122">
        <v>760408</v>
      </c>
      <c r="S1377" s="122">
        <v>281633</v>
      </c>
      <c r="T1377" s="122">
        <v>1343</v>
      </c>
      <c r="U1377">
        <v>497</v>
      </c>
      <c r="V1377" s="122">
        <v>1360889</v>
      </c>
      <c r="W1377" s="122">
        <f t="shared" si="42"/>
        <v>1360889</v>
      </c>
      <c r="X1377" s="122">
        <f t="shared" si="43"/>
        <v>3512940</v>
      </c>
    </row>
    <row r="1378" spans="2:24">
      <c r="B1378" t="s">
        <v>465</v>
      </c>
      <c r="C1378" t="s">
        <v>64</v>
      </c>
      <c r="D1378" t="s">
        <v>406</v>
      </c>
      <c r="E1378" t="s">
        <v>137</v>
      </c>
      <c r="F1378">
        <v>3</v>
      </c>
      <c r="G1378">
        <v>147</v>
      </c>
      <c r="H1378" s="122">
        <v>1582</v>
      </c>
      <c r="I1378" s="122">
        <v>45084</v>
      </c>
      <c r="J1378" s="122">
        <v>40986</v>
      </c>
      <c r="K1378">
        <v>67</v>
      </c>
      <c r="L1378" s="122">
        <v>4359</v>
      </c>
      <c r="M1378" s="122">
        <v>3963</v>
      </c>
      <c r="N1378" s="122">
        <v>3448</v>
      </c>
      <c r="O1378" s="122">
        <v>1277</v>
      </c>
      <c r="P1378">
        <v>621</v>
      </c>
      <c r="Q1378">
        <v>230</v>
      </c>
      <c r="R1378" s="122">
        <v>24124</v>
      </c>
      <c r="S1378" s="122">
        <v>8935</v>
      </c>
      <c r="T1378">
        <v>0</v>
      </c>
      <c r="U1378">
        <v>0</v>
      </c>
      <c r="V1378" s="122">
        <v>55390</v>
      </c>
      <c r="W1378" s="122">
        <f t="shared" si="42"/>
        <v>55391</v>
      </c>
      <c r="X1378" s="122">
        <f t="shared" si="43"/>
        <v>77636</v>
      </c>
    </row>
    <row r="1379" spans="2:24">
      <c r="B1379" t="s">
        <v>465</v>
      </c>
      <c r="C1379" t="s">
        <v>64</v>
      </c>
      <c r="D1379" t="s">
        <v>406</v>
      </c>
      <c r="E1379" t="s">
        <v>406</v>
      </c>
      <c r="F1379">
        <v>8</v>
      </c>
      <c r="G1379">
        <v>517</v>
      </c>
      <c r="H1379" s="122">
        <v>4386</v>
      </c>
      <c r="I1379" s="122">
        <v>192817</v>
      </c>
      <c r="J1379" s="122">
        <v>175288</v>
      </c>
      <c r="K1379">
        <v>73</v>
      </c>
      <c r="L1379" s="122">
        <v>22737</v>
      </c>
      <c r="M1379" s="122">
        <v>18418</v>
      </c>
      <c r="N1379" s="122">
        <v>9997</v>
      </c>
      <c r="O1379" s="122">
        <v>3703</v>
      </c>
      <c r="P1379" s="122">
        <v>4968</v>
      </c>
      <c r="Q1379" s="122">
        <v>1840</v>
      </c>
      <c r="R1379" s="122">
        <v>29383</v>
      </c>
      <c r="S1379" s="122">
        <v>26711</v>
      </c>
      <c r="T1379" s="122">
        <v>16942</v>
      </c>
      <c r="U1379" s="122">
        <v>6275</v>
      </c>
      <c r="V1379" s="122">
        <v>232235</v>
      </c>
      <c r="W1379" s="122">
        <f t="shared" si="42"/>
        <v>232235</v>
      </c>
      <c r="X1379" s="122">
        <f t="shared" si="43"/>
        <v>276844</v>
      </c>
    </row>
    <row r="1380" spans="2:24">
      <c r="B1380" t="s">
        <v>465</v>
      </c>
      <c r="C1380" t="s">
        <v>64</v>
      </c>
      <c r="D1380" t="s">
        <v>427</v>
      </c>
      <c r="E1380" t="s">
        <v>427</v>
      </c>
      <c r="F1380">
        <v>2</v>
      </c>
      <c r="G1380">
        <v>74</v>
      </c>
      <c r="H1380" s="122">
        <v>1921</v>
      </c>
      <c r="I1380" s="122">
        <v>38522</v>
      </c>
      <c r="J1380" s="122">
        <v>35020</v>
      </c>
      <c r="K1380">
        <v>45</v>
      </c>
      <c r="L1380" s="122">
        <v>4728</v>
      </c>
      <c r="M1380" s="122">
        <v>1751</v>
      </c>
      <c r="N1380" s="122">
        <v>1711</v>
      </c>
      <c r="O1380">
        <v>634</v>
      </c>
      <c r="P1380">
        <v>702</v>
      </c>
      <c r="Q1380">
        <v>260</v>
      </c>
      <c r="R1380" s="122">
        <v>17902</v>
      </c>
      <c r="S1380" s="122">
        <v>16275</v>
      </c>
      <c r="T1380" s="122">
        <v>7565</v>
      </c>
      <c r="U1380" s="122">
        <v>2802</v>
      </c>
      <c r="V1380" s="122">
        <v>56741</v>
      </c>
      <c r="W1380" s="122">
        <f t="shared" si="42"/>
        <v>56742</v>
      </c>
      <c r="X1380" s="122">
        <f t="shared" si="43"/>
        <v>71130</v>
      </c>
    </row>
    <row r="1381" spans="2:24">
      <c r="B1381" t="s">
        <v>465</v>
      </c>
      <c r="C1381" t="s">
        <v>64</v>
      </c>
      <c r="D1381" t="s">
        <v>407</v>
      </c>
      <c r="E1381" t="s">
        <v>407</v>
      </c>
      <c r="F1381">
        <v>9</v>
      </c>
      <c r="G1381">
        <v>474</v>
      </c>
      <c r="H1381" s="122">
        <v>4677</v>
      </c>
      <c r="I1381" s="122">
        <v>168269</v>
      </c>
      <c r="J1381" s="122">
        <v>152972</v>
      </c>
      <c r="K1381">
        <v>79</v>
      </c>
      <c r="L1381" s="122">
        <v>13975</v>
      </c>
      <c r="M1381" s="122">
        <v>12057</v>
      </c>
      <c r="N1381" s="122">
        <v>10286</v>
      </c>
      <c r="O1381" s="122">
        <v>3810</v>
      </c>
      <c r="P1381" s="122">
        <v>4253</v>
      </c>
      <c r="Q1381" s="122">
        <v>1575</v>
      </c>
      <c r="R1381" s="122">
        <v>31024</v>
      </c>
      <c r="S1381" s="122">
        <v>28204</v>
      </c>
      <c r="T1381" s="122">
        <v>17147</v>
      </c>
      <c r="U1381" s="122">
        <v>6351</v>
      </c>
      <c r="V1381" s="122">
        <v>204968</v>
      </c>
      <c r="W1381" s="122">
        <f t="shared" si="42"/>
        <v>204969</v>
      </c>
      <c r="X1381" s="122">
        <f t="shared" si="43"/>
        <v>244954</v>
      </c>
    </row>
    <row r="1382" spans="2:24">
      <c r="B1382" t="s">
        <v>465</v>
      </c>
      <c r="C1382" t="s">
        <v>64</v>
      </c>
      <c r="D1382" t="s">
        <v>556</v>
      </c>
      <c r="E1382" t="s">
        <v>556</v>
      </c>
      <c r="F1382">
        <v>1</v>
      </c>
      <c r="G1382">
        <v>76</v>
      </c>
      <c r="H1382" s="122">
        <v>1230</v>
      </c>
      <c r="I1382" s="122">
        <v>82618</v>
      </c>
      <c r="J1382" s="122">
        <v>68848</v>
      </c>
      <c r="K1382">
        <v>30</v>
      </c>
      <c r="L1382" s="122">
        <v>6196</v>
      </c>
      <c r="M1382" s="122">
        <v>2295</v>
      </c>
      <c r="N1382" s="122">
        <v>1856</v>
      </c>
      <c r="O1382">
        <v>687</v>
      </c>
      <c r="P1382">
        <v>0</v>
      </c>
      <c r="Q1382">
        <v>0</v>
      </c>
      <c r="R1382" s="122">
        <v>3027</v>
      </c>
      <c r="S1382" s="122">
        <v>2523</v>
      </c>
      <c r="T1382">
        <v>0</v>
      </c>
      <c r="U1382">
        <v>0</v>
      </c>
      <c r="V1382" s="122">
        <v>74353</v>
      </c>
      <c r="W1382" s="122">
        <f t="shared" si="42"/>
        <v>74353</v>
      </c>
      <c r="X1382" s="122">
        <f t="shared" si="43"/>
        <v>93697</v>
      </c>
    </row>
    <row r="1383" spans="2:24">
      <c r="B1383" t="s">
        <v>465</v>
      </c>
      <c r="C1383" t="s">
        <v>64</v>
      </c>
      <c r="D1383" t="s">
        <v>426</v>
      </c>
      <c r="E1383" t="s">
        <v>137</v>
      </c>
      <c r="F1383">
        <v>1</v>
      </c>
      <c r="G1383">
        <v>56</v>
      </c>
      <c r="H1383">
        <v>458</v>
      </c>
      <c r="I1383" s="122">
        <v>16387</v>
      </c>
      <c r="J1383" s="122">
        <v>14897</v>
      </c>
      <c r="K1383">
        <v>60</v>
      </c>
      <c r="L1383" s="122">
        <v>2681</v>
      </c>
      <c r="M1383">
        <v>993</v>
      </c>
      <c r="N1383">
        <v>874</v>
      </c>
      <c r="O1383">
        <v>324</v>
      </c>
      <c r="P1383">
        <v>0</v>
      </c>
      <c r="Q1383">
        <v>0</v>
      </c>
      <c r="R1383" s="122">
        <v>5538</v>
      </c>
      <c r="S1383" s="122">
        <v>2051</v>
      </c>
      <c r="T1383">
        <v>0</v>
      </c>
      <c r="U1383">
        <v>0</v>
      </c>
      <c r="V1383" s="122">
        <v>18265</v>
      </c>
      <c r="W1383" s="122">
        <f t="shared" si="42"/>
        <v>18265</v>
      </c>
      <c r="X1383" s="122">
        <f t="shared" si="43"/>
        <v>25480</v>
      </c>
    </row>
    <row r="1384" spans="2:24">
      <c r="B1384" t="s">
        <v>466</v>
      </c>
      <c r="C1384" t="s">
        <v>48</v>
      </c>
      <c r="D1384" t="s">
        <v>137</v>
      </c>
      <c r="E1384" t="s">
        <v>137</v>
      </c>
      <c r="F1384">
        <v>15</v>
      </c>
      <c r="G1384" s="122">
        <v>1285</v>
      </c>
      <c r="H1384">
        <v>800</v>
      </c>
      <c r="I1384" s="122">
        <v>16516</v>
      </c>
      <c r="J1384" s="122">
        <v>6117</v>
      </c>
      <c r="K1384">
        <v>483</v>
      </c>
      <c r="L1384">
        <v>0</v>
      </c>
      <c r="M1384">
        <v>0</v>
      </c>
      <c r="N1384" s="122">
        <v>15659</v>
      </c>
      <c r="O1384" s="122">
        <v>5800</v>
      </c>
      <c r="P1384" s="122">
        <v>5265</v>
      </c>
      <c r="Q1384" s="122">
        <v>1950</v>
      </c>
      <c r="R1384" s="122">
        <v>31043</v>
      </c>
      <c r="S1384" s="122">
        <v>11498</v>
      </c>
      <c r="T1384">
        <v>0</v>
      </c>
      <c r="U1384">
        <v>0</v>
      </c>
      <c r="V1384" s="122">
        <v>25364</v>
      </c>
      <c r="W1384" s="122">
        <f t="shared" si="42"/>
        <v>25365</v>
      </c>
      <c r="X1384" s="122">
        <f t="shared" si="43"/>
        <v>68483</v>
      </c>
    </row>
    <row r="1385" spans="2:24">
      <c r="B1385" t="s">
        <v>466</v>
      </c>
      <c r="C1385" t="s">
        <v>48</v>
      </c>
      <c r="D1385" t="s">
        <v>407</v>
      </c>
      <c r="E1385" t="s">
        <v>407</v>
      </c>
      <c r="F1385">
        <v>2</v>
      </c>
      <c r="G1385">
        <v>97</v>
      </c>
      <c r="H1385">
        <v>134</v>
      </c>
      <c r="I1385" s="122">
        <v>1212</v>
      </c>
      <c r="J1385" s="122">
        <v>1102</v>
      </c>
      <c r="K1385">
        <v>90</v>
      </c>
      <c r="L1385">
        <v>152</v>
      </c>
      <c r="M1385">
        <v>138</v>
      </c>
      <c r="N1385" s="122">
        <v>1665</v>
      </c>
      <c r="O1385">
        <v>617</v>
      </c>
      <c r="P1385">
        <v>945</v>
      </c>
      <c r="Q1385">
        <v>350</v>
      </c>
      <c r="R1385" s="122">
        <v>2565</v>
      </c>
      <c r="S1385" s="122">
        <v>2332</v>
      </c>
      <c r="T1385">
        <v>0</v>
      </c>
      <c r="U1385">
        <v>0</v>
      </c>
      <c r="V1385" s="122">
        <v>4539</v>
      </c>
      <c r="W1385" s="122">
        <f t="shared" si="42"/>
        <v>4539</v>
      </c>
      <c r="X1385" s="122">
        <f t="shared" si="43"/>
        <v>6539</v>
      </c>
    </row>
    <row r="1386" spans="2:24">
      <c r="B1386" t="s">
        <v>466</v>
      </c>
      <c r="C1386" t="s">
        <v>50</v>
      </c>
      <c r="D1386" t="s">
        <v>137</v>
      </c>
      <c r="E1386" t="s">
        <v>137</v>
      </c>
      <c r="F1386">
        <v>1</v>
      </c>
      <c r="G1386">
        <v>72</v>
      </c>
      <c r="H1386">
        <v>80</v>
      </c>
      <c r="I1386" s="122">
        <v>2162</v>
      </c>
      <c r="J1386">
        <v>801</v>
      </c>
      <c r="K1386">
        <v>395</v>
      </c>
      <c r="L1386">
        <v>0</v>
      </c>
      <c r="M1386">
        <v>0</v>
      </c>
      <c r="N1386">
        <v>879</v>
      </c>
      <c r="O1386">
        <v>326</v>
      </c>
      <c r="P1386">
        <v>351</v>
      </c>
      <c r="Q1386">
        <v>130</v>
      </c>
      <c r="R1386" s="122">
        <v>2365</v>
      </c>
      <c r="S1386">
        <v>876</v>
      </c>
      <c r="T1386">
        <v>0</v>
      </c>
      <c r="U1386">
        <v>0</v>
      </c>
      <c r="V1386" s="122">
        <v>2132</v>
      </c>
      <c r="W1386" s="122">
        <f t="shared" si="42"/>
        <v>2133</v>
      </c>
      <c r="X1386" s="122">
        <f t="shared" si="43"/>
        <v>5757</v>
      </c>
    </row>
    <row r="1387" spans="2:24">
      <c r="B1387" t="s">
        <v>466</v>
      </c>
      <c r="C1387" t="s">
        <v>50</v>
      </c>
      <c r="D1387" t="s">
        <v>406</v>
      </c>
      <c r="E1387" t="s">
        <v>406</v>
      </c>
      <c r="F1387">
        <v>1</v>
      </c>
      <c r="G1387">
        <v>195</v>
      </c>
      <c r="H1387">
        <v>100</v>
      </c>
      <c r="I1387" s="122">
        <v>9270</v>
      </c>
      <c r="J1387" s="122">
        <v>8428</v>
      </c>
      <c r="K1387">
        <v>94</v>
      </c>
      <c r="L1387" s="122">
        <v>1621</v>
      </c>
      <c r="M1387" s="122">
        <v>1473</v>
      </c>
      <c r="N1387" s="122">
        <v>3057</v>
      </c>
      <c r="O1387" s="122">
        <v>1132</v>
      </c>
      <c r="P1387">
        <v>621</v>
      </c>
      <c r="Q1387">
        <v>230</v>
      </c>
      <c r="R1387" s="122">
        <v>4808</v>
      </c>
      <c r="S1387" s="122">
        <v>4371</v>
      </c>
      <c r="T1387">
        <v>0</v>
      </c>
      <c r="U1387">
        <v>0</v>
      </c>
      <c r="V1387" s="122">
        <v>15634</v>
      </c>
      <c r="W1387" s="122">
        <f t="shared" ref="W1387:W1450" si="44">SUM(ABS(J1387),ABS(M1387),ABS(O1387),ABS(Q1387),ABS(S1387),ABS(U1387))</f>
        <v>15634</v>
      </c>
      <c r="X1387" s="122">
        <f t="shared" ref="X1387:X1450" si="45">SUM(ABS(I1387),ABS(N1387),ABS(P1387),ABS(R1387),ABS(T1387),ABS(L1387))</f>
        <v>19377</v>
      </c>
    </row>
    <row r="1388" spans="2:24">
      <c r="B1388" t="s">
        <v>466</v>
      </c>
      <c r="C1388" t="s">
        <v>50</v>
      </c>
      <c r="D1388" t="s">
        <v>407</v>
      </c>
      <c r="E1388" t="s">
        <v>407</v>
      </c>
      <c r="F1388">
        <v>7</v>
      </c>
      <c r="G1388">
        <v>590</v>
      </c>
      <c r="H1388">
        <v>665</v>
      </c>
      <c r="I1388" s="122">
        <v>18046</v>
      </c>
      <c r="J1388" s="122">
        <v>16406</v>
      </c>
      <c r="K1388">
        <v>89</v>
      </c>
      <c r="L1388" s="122">
        <v>1455</v>
      </c>
      <c r="M1388" s="122">
        <v>1323</v>
      </c>
      <c r="N1388" s="122">
        <v>9708</v>
      </c>
      <c r="O1388" s="122">
        <v>3595</v>
      </c>
      <c r="P1388" s="122">
        <v>3308</v>
      </c>
      <c r="Q1388" s="122">
        <v>1225</v>
      </c>
      <c r="R1388" s="122">
        <v>23474</v>
      </c>
      <c r="S1388" s="122">
        <v>21340</v>
      </c>
      <c r="T1388">
        <v>0</v>
      </c>
      <c r="U1388">
        <v>0</v>
      </c>
      <c r="V1388" s="122">
        <v>43889</v>
      </c>
      <c r="W1388" s="122">
        <f t="shared" si="44"/>
        <v>43889</v>
      </c>
      <c r="X1388" s="122">
        <f t="shared" si="45"/>
        <v>55991</v>
      </c>
    </row>
    <row r="1389" spans="2:24">
      <c r="B1389" t="s">
        <v>466</v>
      </c>
      <c r="C1389" t="s">
        <v>52</v>
      </c>
      <c r="D1389" t="s">
        <v>137</v>
      </c>
      <c r="E1389" t="s">
        <v>137</v>
      </c>
      <c r="F1389">
        <v>4</v>
      </c>
      <c r="G1389">
        <v>409</v>
      </c>
      <c r="H1389">
        <v>451</v>
      </c>
      <c r="I1389" s="122">
        <v>17359</v>
      </c>
      <c r="J1389" s="122">
        <v>6429</v>
      </c>
      <c r="K1389">
        <v>138</v>
      </c>
      <c r="L1389" s="122">
        <v>1598</v>
      </c>
      <c r="M1389" s="122">
        <v>1466</v>
      </c>
      <c r="N1389" s="122">
        <v>6734</v>
      </c>
      <c r="O1389" s="122">
        <v>2494</v>
      </c>
      <c r="P1389">
        <v>621</v>
      </c>
      <c r="Q1389">
        <v>230</v>
      </c>
      <c r="R1389" s="122">
        <v>27373</v>
      </c>
      <c r="S1389" s="122">
        <v>10138</v>
      </c>
      <c r="T1389">
        <v>0</v>
      </c>
      <c r="U1389">
        <v>0</v>
      </c>
      <c r="V1389" s="122">
        <v>20758</v>
      </c>
      <c r="W1389" s="122">
        <f t="shared" si="44"/>
        <v>20757</v>
      </c>
      <c r="X1389" s="122">
        <f t="shared" si="45"/>
        <v>53685</v>
      </c>
    </row>
    <row r="1390" spans="2:24">
      <c r="B1390" t="s">
        <v>466</v>
      </c>
      <c r="C1390" t="s">
        <v>52</v>
      </c>
      <c r="D1390" t="s">
        <v>406</v>
      </c>
      <c r="E1390" t="s">
        <v>406</v>
      </c>
      <c r="F1390">
        <v>1</v>
      </c>
      <c r="G1390">
        <v>237</v>
      </c>
      <c r="H1390">
        <v>114</v>
      </c>
      <c r="I1390" s="122">
        <v>14489</v>
      </c>
      <c r="J1390" s="122">
        <v>13172</v>
      </c>
      <c r="K1390">
        <v>95</v>
      </c>
      <c r="L1390" s="122">
        <v>2418</v>
      </c>
      <c r="M1390" s="122">
        <v>2198</v>
      </c>
      <c r="N1390" s="122">
        <v>3461</v>
      </c>
      <c r="O1390" s="122">
        <v>1282</v>
      </c>
      <c r="P1390">
        <v>621</v>
      </c>
      <c r="Q1390">
        <v>230</v>
      </c>
      <c r="R1390" s="122">
        <v>6004</v>
      </c>
      <c r="S1390" s="122">
        <v>5458</v>
      </c>
      <c r="T1390">
        <v>0</v>
      </c>
      <c r="U1390">
        <v>0</v>
      </c>
      <c r="V1390" s="122">
        <v>22340</v>
      </c>
      <c r="W1390" s="122">
        <f t="shared" si="44"/>
        <v>22340</v>
      </c>
      <c r="X1390" s="122">
        <f t="shared" si="45"/>
        <v>26993</v>
      </c>
    </row>
    <row r="1391" spans="2:24">
      <c r="B1391" t="s">
        <v>466</v>
      </c>
      <c r="C1391" t="s">
        <v>52</v>
      </c>
      <c r="D1391" t="s">
        <v>407</v>
      </c>
      <c r="E1391" t="s">
        <v>407</v>
      </c>
      <c r="F1391">
        <v>37</v>
      </c>
      <c r="G1391" s="122">
        <v>3510</v>
      </c>
      <c r="H1391" s="122">
        <v>4225</v>
      </c>
      <c r="I1391" s="122">
        <v>149690</v>
      </c>
      <c r="J1391" s="122">
        <v>136082</v>
      </c>
      <c r="K1391">
        <v>83</v>
      </c>
      <c r="L1391" s="122">
        <v>30218</v>
      </c>
      <c r="M1391" s="122">
        <v>27106</v>
      </c>
      <c r="N1391" s="122">
        <v>64831</v>
      </c>
      <c r="O1391" s="122">
        <v>24011</v>
      </c>
      <c r="P1391" s="122">
        <v>17483</v>
      </c>
      <c r="Q1391" s="122">
        <v>6475</v>
      </c>
      <c r="R1391" s="122">
        <v>147773</v>
      </c>
      <c r="S1391" s="122">
        <v>134339</v>
      </c>
      <c r="T1391" s="122">
        <v>6742</v>
      </c>
      <c r="U1391" s="122">
        <v>2497</v>
      </c>
      <c r="V1391" s="122">
        <v>330511</v>
      </c>
      <c r="W1391" s="122">
        <f t="shared" si="44"/>
        <v>330510</v>
      </c>
      <c r="X1391" s="122">
        <f t="shared" si="45"/>
        <v>416737</v>
      </c>
    </row>
    <row r="1392" spans="2:24">
      <c r="B1392" t="s">
        <v>466</v>
      </c>
      <c r="C1392" t="s">
        <v>54</v>
      </c>
      <c r="F1392">
        <v>2</v>
      </c>
      <c r="G1392">
        <v>74</v>
      </c>
      <c r="H1392">
        <v>296</v>
      </c>
      <c r="J1392">
        <v>0</v>
      </c>
      <c r="M1392">
        <v>0</v>
      </c>
      <c r="N1392" s="122">
        <v>1795</v>
      </c>
      <c r="O1392">
        <v>665</v>
      </c>
      <c r="P1392">
        <v>351</v>
      </c>
      <c r="Q1392">
        <v>130</v>
      </c>
      <c r="S1392">
        <v>0</v>
      </c>
      <c r="T1392">
        <v>0</v>
      </c>
      <c r="U1392">
        <v>0</v>
      </c>
      <c r="V1392">
        <v>795</v>
      </c>
      <c r="W1392" s="122">
        <f t="shared" si="44"/>
        <v>795</v>
      </c>
      <c r="X1392" s="122">
        <f t="shared" si="45"/>
        <v>2146</v>
      </c>
    </row>
    <row r="1393" spans="2:24">
      <c r="B1393" t="s">
        <v>466</v>
      </c>
      <c r="C1393" t="s">
        <v>54</v>
      </c>
      <c r="D1393" t="s">
        <v>137</v>
      </c>
      <c r="E1393" t="s">
        <v>137</v>
      </c>
      <c r="F1393">
        <v>5</v>
      </c>
      <c r="G1393">
        <v>391</v>
      </c>
      <c r="H1393">
        <v>676</v>
      </c>
      <c r="I1393" s="122">
        <v>3296</v>
      </c>
      <c r="J1393" s="122">
        <v>1221</v>
      </c>
      <c r="K1393">
        <v>100</v>
      </c>
      <c r="L1393">
        <v>824</v>
      </c>
      <c r="M1393">
        <v>305</v>
      </c>
      <c r="N1393" s="122">
        <v>9243</v>
      </c>
      <c r="O1393" s="122">
        <v>3423</v>
      </c>
      <c r="P1393">
        <v>0</v>
      </c>
      <c r="Q1393">
        <v>0</v>
      </c>
      <c r="R1393" s="122">
        <v>39840</v>
      </c>
      <c r="S1393" s="122">
        <v>14756</v>
      </c>
      <c r="T1393">
        <v>0</v>
      </c>
      <c r="U1393">
        <v>0</v>
      </c>
      <c r="V1393" s="122">
        <v>19705</v>
      </c>
      <c r="W1393" s="122">
        <f t="shared" si="44"/>
        <v>19705</v>
      </c>
      <c r="X1393" s="122">
        <f t="shared" si="45"/>
        <v>53203</v>
      </c>
    </row>
    <row r="1394" spans="2:24">
      <c r="B1394" t="s">
        <v>466</v>
      </c>
      <c r="C1394" t="s">
        <v>54</v>
      </c>
      <c r="D1394" t="s">
        <v>406</v>
      </c>
      <c r="E1394" t="s">
        <v>406</v>
      </c>
      <c r="F1394">
        <v>3</v>
      </c>
      <c r="G1394">
        <v>429</v>
      </c>
      <c r="H1394">
        <v>417</v>
      </c>
      <c r="I1394" s="122">
        <v>40448</v>
      </c>
      <c r="J1394" s="122">
        <v>36771</v>
      </c>
      <c r="K1394">
        <v>89</v>
      </c>
      <c r="L1394" s="122">
        <v>5521</v>
      </c>
      <c r="M1394" s="122">
        <v>5019</v>
      </c>
      <c r="N1394" s="122">
        <v>10588</v>
      </c>
      <c r="O1394" s="122">
        <v>3921</v>
      </c>
      <c r="P1394" s="122">
        <v>1863</v>
      </c>
      <c r="Q1394">
        <v>690</v>
      </c>
      <c r="R1394" s="122">
        <v>13823</v>
      </c>
      <c r="S1394" s="122">
        <v>12567</v>
      </c>
      <c r="T1394" s="122">
        <v>4047</v>
      </c>
      <c r="U1394" s="122">
        <v>1499</v>
      </c>
      <c r="V1394" s="122">
        <v>60467</v>
      </c>
      <c r="W1394" s="122">
        <f t="shared" si="44"/>
        <v>60467</v>
      </c>
      <c r="X1394" s="122">
        <f t="shared" si="45"/>
        <v>76290</v>
      </c>
    </row>
    <row r="1395" spans="2:24">
      <c r="B1395" t="s">
        <v>466</v>
      </c>
      <c r="C1395" t="s">
        <v>54</v>
      </c>
      <c r="D1395" t="s">
        <v>407</v>
      </c>
      <c r="E1395" t="s">
        <v>407</v>
      </c>
      <c r="F1395">
        <v>86</v>
      </c>
      <c r="G1395" s="122">
        <v>7412</v>
      </c>
      <c r="H1395" s="122">
        <v>11997</v>
      </c>
      <c r="I1395" s="122">
        <v>456930</v>
      </c>
      <c r="J1395" s="122">
        <v>415391</v>
      </c>
      <c r="K1395">
        <v>82</v>
      </c>
      <c r="L1395" s="122">
        <v>39760</v>
      </c>
      <c r="M1395" s="122">
        <v>37543</v>
      </c>
      <c r="N1395" s="122">
        <v>144470</v>
      </c>
      <c r="O1395" s="122">
        <v>53507</v>
      </c>
      <c r="P1395" s="122">
        <v>40163</v>
      </c>
      <c r="Q1395" s="122">
        <v>14875</v>
      </c>
      <c r="R1395" s="122">
        <v>333148</v>
      </c>
      <c r="S1395" s="122">
        <v>302861</v>
      </c>
      <c r="T1395" s="122">
        <v>29732</v>
      </c>
      <c r="U1395" s="122">
        <v>11012</v>
      </c>
      <c r="V1395" s="122">
        <v>835190</v>
      </c>
      <c r="W1395" s="122">
        <f t="shared" si="44"/>
        <v>835189</v>
      </c>
      <c r="X1395" s="122">
        <f t="shared" si="45"/>
        <v>1044203</v>
      </c>
    </row>
    <row r="1396" spans="2:24">
      <c r="B1396" t="s">
        <v>466</v>
      </c>
      <c r="C1396" t="s">
        <v>56</v>
      </c>
      <c r="F1396">
        <v>5</v>
      </c>
      <c r="G1396">
        <v>259</v>
      </c>
      <c r="H1396">
        <v>853</v>
      </c>
      <c r="J1396">
        <v>0</v>
      </c>
      <c r="M1396">
        <v>0</v>
      </c>
      <c r="N1396" s="122">
        <v>4810</v>
      </c>
      <c r="O1396" s="122">
        <v>1781</v>
      </c>
      <c r="P1396" s="122">
        <v>1755</v>
      </c>
      <c r="Q1396">
        <v>650</v>
      </c>
      <c r="S1396">
        <v>0</v>
      </c>
      <c r="T1396">
        <v>0</v>
      </c>
      <c r="U1396">
        <v>0</v>
      </c>
      <c r="V1396" s="122">
        <v>2431</v>
      </c>
      <c r="W1396" s="122">
        <f t="shared" si="44"/>
        <v>2431</v>
      </c>
      <c r="X1396" s="122">
        <f t="shared" si="45"/>
        <v>6565</v>
      </c>
    </row>
    <row r="1397" spans="2:24">
      <c r="B1397" t="s">
        <v>466</v>
      </c>
      <c r="C1397" t="s">
        <v>56</v>
      </c>
      <c r="D1397" t="s">
        <v>405</v>
      </c>
      <c r="E1397" t="s">
        <v>405</v>
      </c>
      <c r="F1397">
        <v>8</v>
      </c>
      <c r="G1397">
        <v>752</v>
      </c>
      <c r="H1397" s="122">
        <v>1515</v>
      </c>
      <c r="I1397" s="122">
        <v>75459</v>
      </c>
      <c r="J1397" s="122">
        <v>68599</v>
      </c>
      <c r="K1397">
        <v>86</v>
      </c>
      <c r="L1397" s="122">
        <v>17525</v>
      </c>
      <c r="M1397" s="122">
        <v>15932</v>
      </c>
      <c r="N1397" s="122">
        <v>13284</v>
      </c>
      <c r="O1397" s="122">
        <v>4920</v>
      </c>
      <c r="P1397" s="122">
        <v>3780</v>
      </c>
      <c r="Q1397" s="122">
        <v>1400</v>
      </c>
      <c r="R1397" s="122">
        <v>27060</v>
      </c>
      <c r="S1397" s="122">
        <v>24600</v>
      </c>
      <c r="T1397" s="122">
        <v>3936</v>
      </c>
      <c r="U1397" s="122">
        <v>1458</v>
      </c>
      <c r="V1397" s="122">
        <v>116908</v>
      </c>
      <c r="W1397" s="122">
        <f t="shared" si="44"/>
        <v>116909</v>
      </c>
      <c r="X1397" s="122">
        <f t="shared" si="45"/>
        <v>141044</v>
      </c>
    </row>
    <row r="1398" spans="2:24">
      <c r="B1398" t="s">
        <v>466</v>
      </c>
      <c r="C1398" t="s">
        <v>56</v>
      </c>
      <c r="D1398" t="s">
        <v>137</v>
      </c>
      <c r="E1398" t="s">
        <v>137</v>
      </c>
      <c r="F1398">
        <v>90</v>
      </c>
      <c r="G1398" s="122">
        <v>6522</v>
      </c>
      <c r="H1398" s="122">
        <v>17293</v>
      </c>
      <c r="I1398" s="122">
        <v>458432</v>
      </c>
      <c r="J1398" s="122">
        <v>169790</v>
      </c>
      <c r="K1398">
        <v>110</v>
      </c>
      <c r="L1398" s="122">
        <v>69659</v>
      </c>
      <c r="M1398" s="122">
        <v>26926</v>
      </c>
      <c r="N1398" s="122">
        <v>130719</v>
      </c>
      <c r="O1398" s="122">
        <v>48414</v>
      </c>
      <c r="P1398" s="122">
        <v>1053</v>
      </c>
      <c r="Q1398">
        <v>390</v>
      </c>
      <c r="R1398" s="122">
        <v>607884</v>
      </c>
      <c r="S1398" s="122">
        <v>225142</v>
      </c>
      <c r="T1398" s="122">
        <v>1947</v>
      </c>
      <c r="U1398">
        <v>721</v>
      </c>
      <c r="V1398" s="122">
        <v>471384</v>
      </c>
      <c r="W1398" s="122">
        <f t="shared" si="44"/>
        <v>471383</v>
      </c>
      <c r="X1398" s="122">
        <f t="shared" si="45"/>
        <v>1269694</v>
      </c>
    </row>
    <row r="1399" spans="2:24">
      <c r="B1399" t="s">
        <v>466</v>
      </c>
      <c r="C1399" t="s">
        <v>56</v>
      </c>
      <c r="D1399" t="s">
        <v>406</v>
      </c>
      <c r="E1399" t="s">
        <v>406</v>
      </c>
      <c r="F1399">
        <v>26</v>
      </c>
      <c r="G1399" s="122">
        <v>3098</v>
      </c>
      <c r="H1399" s="122">
        <v>4941</v>
      </c>
      <c r="I1399" s="122">
        <v>330132</v>
      </c>
      <c r="J1399" s="122">
        <v>300120</v>
      </c>
      <c r="K1399">
        <v>87</v>
      </c>
      <c r="L1399" s="122">
        <v>57795</v>
      </c>
      <c r="M1399" s="122">
        <v>51307</v>
      </c>
      <c r="N1399" s="122">
        <v>59771</v>
      </c>
      <c r="O1399" s="122">
        <v>22137</v>
      </c>
      <c r="P1399" s="122">
        <v>17062</v>
      </c>
      <c r="Q1399" s="122">
        <v>6319</v>
      </c>
      <c r="R1399" s="122">
        <v>114002</v>
      </c>
      <c r="S1399" s="122">
        <v>103638</v>
      </c>
      <c r="T1399" s="122">
        <v>29293</v>
      </c>
      <c r="U1399" s="122">
        <v>10849</v>
      </c>
      <c r="V1399" s="122">
        <v>494372</v>
      </c>
      <c r="W1399" s="122">
        <f t="shared" si="44"/>
        <v>494370</v>
      </c>
      <c r="X1399" s="122">
        <f t="shared" si="45"/>
        <v>608055</v>
      </c>
    </row>
    <row r="1400" spans="2:24">
      <c r="B1400" t="s">
        <v>466</v>
      </c>
      <c r="C1400" t="s">
        <v>56</v>
      </c>
      <c r="D1400" t="s">
        <v>407</v>
      </c>
      <c r="E1400" t="s">
        <v>407</v>
      </c>
      <c r="F1400">
        <v>306</v>
      </c>
      <c r="G1400" s="122">
        <v>23114</v>
      </c>
      <c r="H1400" s="122">
        <v>57145</v>
      </c>
      <c r="I1400" s="122">
        <v>1959864</v>
      </c>
      <c r="J1400" s="122">
        <v>1781695</v>
      </c>
      <c r="K1400">
        <v>80</v>
      </c>
      <c r="L1400" s="122">
        <v>289854</v>
      </c>
      <c r="M1400" s="122">
        <v>243129</v>
      </c>
      <c r="N1400" s="122">
        <v>452880</v>
      </c>
      <c r="O1400" s="122">
        <v>167733</v>
      </c>
      <c r="P1400" s="122">
        <v>140009</v>
      </c>
      <c r="Q1400" s="122">
        <v>51855</v>
      </c>
      <c r="R1400" s="122">
        <v>1268482</v>
      </c>
      <c r="S1400" s="122">
        <v>1153166</v>
      </c>
      <c r="T1400" s="122">
        <v>225907</v>
      </c>
      <c r="U1400" s="122">
        <v>83669</v>
      </c>
      <c r="V1400" s="122">
        <v>3481247</v>
      </c>
      <c r="W1400" s="122">
        <f t="shared" si="44"/>
        <v>3481247</v>
      </c>
      <c r="X1400" s="122">
        <f t="shared" si="45"/>
        <v>4336996</v>
      </c>
    </row>
    <row r="1401" spans="2:24">
      <c r="B1401" t="s">
        <v>466</v>
      </c>
      <c r="C1401" t="s">
        <v>56</v>
      </c>
      <c r="D1401" t="s">
        <v>426</v>
      </c>
      <c r="E1401" t="s">
        <v>426</v>
      </c>
      <c r="F1401">
        <v>1</v>
      </c>
      <c r="G1401">
        <v>51</v>
      </c>
      <c r="H1401">
        <v>216</v>
      </c>
      <c r="I1401" s="122">
        <v>5183</v>
      </c>
      <c r="J1401" s="122">
        <v>4711</v>
      </c>
      <c r="K1401">
        <v>65</v>
      </c>
      <c r="L1401">
        <v>0</v>
      </c>
      <c r="M1401">
        <v>0</v>
      </c>
      <c r="N1401">
        <v>876</v>
      </c>
      <c r="O1401">
        <v>325</v>
      </c>
      <c r="P1401">
        <v>351</v>
      </c>
      <c r="Q1401">
        <v>130</v>
      </c>
      <c r="R1401" s="122">
        <v>2940</v>
      </c>
      <c r="S1401" s="122">
        <v>2673</v>
      </c>
      <c r="T1401" s="122">
        <v>1767</v>
      </c>
      <c r="U1401">
        <v>654</v>
      </c>
      <c r="V1401" s="122">
        <v>8493</v>
      </c>
      <c r="W1401" s="122">
        <f t="shared" si="44"/>
        <v>8493</v>
      </c>
      <c r="X1401" s="122">
        <f t="shared" si="45"/>
        <v>11117</v>
      </c>
    </row>
    <row r="1402" spans="2:24">
      <c r="B1402" t="s">
        <v>466</v>
      </c>
      <c r="C1402" t="s">
        <v>58</v>
      </c>
      <c r="F1402">
        <v>2</v>
      </c>
      <c r="G1402">
        <v>200</v>
      </c>
      <c r="H1402">
        <v>575</v>
      </c>
      <c r="J1402">
        <v>0</v>
      </c>
      <c r="M1402">
        <v>0</v>
      </c>
      <c r="N1402" s="122">
        <v>4220</v>
      </c>
      <c r="O1402" s="122">
        <v>1563</v>
      </c>
      <c r="P1402">
        <v>351</v>
      </c>
      <c r="Q1402">
        <v>130</v>
      </c>
      <c r="S1402">
        <v>0</v>
      </c>
      <c r="T1402">
        <v>0</v>
      </c>
      <c r="U1402">
        <v>0</v>
      </c>
      <c r="V1402" s="122">
        <v>1693</v>
      </c>
      <c r="W1402" s="122">
        <f t="shared" si="44"/>
        <v>1693</v>
      </c>
      <c r="X1402" s="122">
        <f t="shared" si="45"/>
        <v>4571</v>
      </c>
    </row>
    <row r="1403" spans="2:24">
      <c r="B1403" t="s">
        <v>466</v>
      </c>
      <c r="C1403" t="s">
        <v>58</v>
      </c>
      <c r="D1403" t="s">
        <v>405</v>
      </c>
      <c r="E1403" t="s">
        <v>405</v>
      </c>
      <c r="F1403">
        <v>5</v>
      </c>
      <c r="G1403">
        <v>531</v>
      </c>
      <c r="H1403" s="122">
        <v>1264</v>
      </c>
      <c r="I1403" s="122">
        <v>73824</v>
      </c>
      <c r="J1403" s="122">
        <v>67113</v>
      </c>
      <c r="K1403">
        <v>88</v>
      </c>
      <c r="L1403" s="122">
        <v>30406</v>
      </c>
      <c r="M1403" s="122">
        <v>25603</v>
      </c>
      <c r="N1403" s="122">
        <v>9074</v>
      </c>
      <c r="O1403" s="122">
        <v>3361</v>
      </c>
      <c r="P1403" s="122">
        <v>2363</v>
      </c>
      <c r="Q1403">
        <v>875</v>
      </c>
      <c r="R1403" s="122">
        <v>17819</v>
      </c>
      <c r="S1403" s="122">
        <v>16199</v>
      </c>
      <c r="T1403" s="122">
        <v>1852</v>
      </c>
      <c r="U1403">
        <v>686</v>
      </c>
      <c r="V1403" s="122">
        <v>113836</v>
      </c>
      <c r="W1403" s="122">
        <f t="shared" si="44"/>
        <v>113837</v>
      </c>
      <c r="X1403" s="122">
        <f t="shared" si="45"/>
        <v>135338</v>
      </c>
    </row>
    <row r="1404" spans="2:24">
      <c r="B1404" t="s">
        <v>466</v>
      </c>
      <c r="C1404" t="s">
        <v>58</v>
      </c>
      <c r="D1404" t="s">
        <v>137</v>
      </c>
      <c r="E1404" t="s">
        <v>137</v>
      </c>
      <c r="F1404">
        <v>105</v>
      </c>
      <c r="G1404" s="122">
        <v>6777</v>
      </c>
      <c r="H1404" s="122">
        <v>28018</v>
      </c>
      <c r="I1404" s="122">
        <v>923008</v>
      </c>
      <c r="J1404" s="122">
        <v>341855</v>
      </c>
      <c r="K1404">
        <v>100</v>
      </c>
      <c r="L1404" s="122">
        <v>107339</v>
      </c>
      <c r="M1404" s="122">
        <v>44429</v>
      </c>
      <c r="N1404" s="122">
        <v>135742</v>
      </c>
      <c r="O1404" s="122">
        <v>50275</v>
      </c>
      <c r="P1404">
        <v>340</v>
      </c>
      <c r="Q1404">
        <v>126</v>
      </c>
      <c r="R1404" s="122">
        <v>643894</v>
      </c>
      <c r="S1404" s="122">
        <v>238479</v>
      </c>
      <c r="T1404">
        <v>0</v>
      </c>
      <c r="U1404">
        <v>0</v>
      </c>
      <c r="V1404" s="122">
        <v>675164</v>
      </c>
      <c r="W1404" s="122">
        <f t="shared" si="44"/>
        <v>675164</v>
      </c>
      <c r="X1404" s="122">
        <f t="shared" si="45"/>
        <v>1810323</v>
      </c>
    </row>
    <row r="1405" spans="2:24">
      <c r="B1405" t="s">
        <v>466</v>
      </c>
      <c r="C1405" t="s">
        <v>58</v>
      </c>
      <c r="D1405" t="s">
        <v>406</v>
      </c>
      <c r="E1405" t="s">
        <v>406</v>
      </c>
      <c r="F1405">
        <v>9</v>
      </c>
      <c r="G1405">
        <v>949</v>
      </c>
      <c r="H1405" s="122">
        <v>2372</v>
      </c>
      <c r="I1405" s="122">
        <v>132177</v>
      </c>
      <c r="J1405" s="122">
        <v>120161</v>
      </c>
      <c r="K1405">
        <v>80</v>
      </c>
      <c r="L1405" s="122">
        <v>30169</v>
      </c>
      <c r="M1405" s="122">
        <v>26828</v>
      </c>
      <c r="N1405" s="122">
        <v>20270</v>
      </c>
      <c r="O1405" s="122">
        <v>7507</v>
      </c>
      <c r="P1405" s="122">
        <v>5589</v>
      </c>
      <c r="Q1405" s="122">
        <v>2070</v>
      </c>
      <c r="R1405" s="122">
        <v>44334</v>
      </c>
      <c r="S1405" s="122">
        <v>40304</v>
      </c>
      <c r="T1405" s="122">
        <v>10657</v>
      </c>
      <c r="U1405" s="122">
        <v>3947</v>
      </c>
      <c r="V1405" s="122">
        <v>200818</v>
      </c>
      <c r="W1405" s="122">
        <f t="shared" si="44"/>
        <v>200817</v>
      </c>
      <c r="X1405" s="122">
        <f t="shared" si="45"/>
        <v>243196</v>
      </c>
    </row>
    <row r="1406" spans="2:24">
      <c r="B1406" t="s">
        <v>466</v>
      </c>
      <c r="C1406" t="s">
        <v>58</v>
      </c>
      <c r="D1406" t="s">
        <v>407</v>
      </c>
      <c r="E1406" t="s">
        <v>137</v>
      </c>
      <c r="F1406">
        <v>2</v>
      </c>
      <c r="G1406">
        <v>95</v>
      </c>
      <c r="H1406">
        <v>587</v>
      </c>
      <c r="I1406" s="122">
        <v>13708</v>
      </c>
      <c r="J1406" s="122">
        <v>12462</v>
      </c>
      <c r="K1406">
        <v>79</v>
      </c>
      <c r="L1406" s="122">
        <v>2411</v>
      </c>
      <c r="M1406" s="122">
        <v>2192</v>
      </c>
      <c r="N1406" s="122">
        <v>2016</v>
      </c>
      <c r="O1406">
        <v>747</v>
      </c>
      <c r="P1406">
        <v>945</v>
      </c>
      <c r="Q1406">
        <v>350</v>
      </c>
      <c r="R1406" s="122">
        <v>8739</v>
      </c>
      <c r="S1406" s="122">
        <v>3237</v>
      </c>
      <c r="T1406">
        <v>0</v>
      </c>
      <c r="U1406">
        <v>0</v>
      </c>
      <c r="V1406" s="122">
        <v>18987</v>
      </c>
      <c r="W1406" s="122">
        <f t="shared" si="44"/>
        <v>18988</v>
      </c>
      <c r="X1406" s="122">
        <f t="shared" si="45"/>
        <v>27819</v>
      </c>
    </row>
    <row r="1407" spans="2:24">
      <c r="B1407" t="s">
        <v>466</v>
      </c>
      <c r="C1407" t="s">
        <v>58</v>
      </c>
      <c r="D1407" t="s">
        <v>407</v>
      </c>
      <c r="E1407" t="s">
        <v>407</v>
      </c>
      <c r="F1407">
        <v>88</v>
      </c>
      <c r="G1407" s="122">
        <v>5416</v>
      </c>
      <c r="H1407" s="122">
        <v>22845</v>
      </c>
      <c r="I1407" s="122">
        <v>764631</v>
      </c>
      <c r="J1407" s="122">
        <v>695119</v>
      </c>
      <c r="K1407">
        <v>76</v>
      </c>
      <c r="L1407" s="122">
        <v>101952</v>
      </c>
      <c r="M1407" s="122">
        <v>86071</v>
      </c>
      <c r="N1407" s="122">
        <v>109881</v>
      </c>
      <c r="O1407" s="122">
        <v>40697</v>
      </c>
      <c r="P1407" s="122">
        <v>41000</v>
      </c>
      <c r="Q1407" s="122">
        <v>15185</v>
      </c>
      <c r="R1407" s="122">
        <v>320655</v>
      </c>
      <c r="S1407" s="122">
        <v>291504</v>
      </c>
      <c r="T1407" s="122">
        <v>72125</v>
      </c>
      <c r="U1407" s="122">
        <v>26713</v>
      </c>
      <c r="V1407" s="122">
        <v>1155289</v>
      </c>
      <c r="W1407" s="122">
        <f t="shared" si="44"/>
        <v>1155289</v>
      </c>
      <c r="X1407" s="122">
        <f t="shared" si="45"/>
        <v>1410244</v>
      </c>
    </row>
    <row r="1408" spans="2:24">
      <c r="B1408" t="s">
        <v>466</v>
      </c>
      <c r="C1408" t="s">
        <v>58</v>
      </c>
      <c r="D1408" t="s">
        <v>556</v>
      </c>
      <c r="E1408" t="s">
        <v>556</v>
      </c>
      <c r="F1408">
        <v>2</v>
      </c>
      <c r="G1408">
        <v>169</v>
      </c>
      <c r="H1408">
        <v>528</v>
      </c>
      <c r="I1408" s="122">
        <v>24817</v>
      </c>
      <c r="J1408" s="122">
        <v>20681</v>
      </c>
      <c r="K1408">
        <v>63</v>
      </c>
      <c r="L1408" s="122">
        <v>2911</v>
      </c>
      <c r="M1408" s="122">
        <v>2426</v>
      </c>
      <c r="N1408" s="122">
        <v>3744</v>
      </c>
      <c r="O1408" s="122">
        <v>1387</v>
      </c>
      <c r="P1408">
        <v>702</v>
      </c>
      <c r="Q1408">
        <v>260</v>
      </c>
      <c r="R1408" s="122">
        <v>10618</v>
      </c>
      <c r="S1408" s="122">
        <v>8848</v>
      </c>
      <c r="T1408" s="122">
        <v>2358</v>
      </c>
      <c r="U1408">
        <v>873</v>
      </c>
      <c r="V1408" s="122">
        <v>34475</v>
      </c>
      <c r="W1408" s="122">
        <f t="shared" si="44"/>
        <v>34475</v>
      </c>
      <c r="X1408" s="122">
        <f t="shared" si="45"/>
        <v>45150</v>
      </c>
    </row>
    <row r="1409" spans="2:24">
      <c r="B1409" t="s">
        <v>466</v>
      </c>
      <c r="C1409" t="s">
        <v>58</v>
      </c>
      <c r="D1409" t="s">
        <v>426</v>
      </c>
      <c r="E1409" t="s">
        <v>426</v>
      </c>
      <c r="F1409">
        <v>3</v>
      </c>
      <c r="G1409">
        <v>273</v>
      </c>
      <c r="H1409">
        <v>775</v>
      </c>
      <c r="I1409" s="122">
        <v>39299</v>
      </c>
      <c r="J1409" s="122">
        <v>35727</v>
      </c>
      <c r="K1409">
        <v>65</v>
      </c>
      <c r="L1409" s="122">
        <v>2493</v>
      </c>
      <c r="M1409" s="122">
        <v>2907</v>
      </c>
      <c r="N1409" s="122">
        <v>5171</v>
      </c>
      <c r="O1409" s="122">
        <v>1915</v>
      </c>
      <c r="P1409" s="122">
        <v>1323</v>
      </c>
      <c r="Q1409">
        <v>490</v>
      </c>
      <c r="R1409" s="122">
        <v>15551</v>
      </c>
      <c r="S1409" s="122">
        <v>14137</v>
      </c>
      <c r="T1409" s="122">
        <v>4773</v>
      </c>
      <c r="U1409" s="122">
        <v>1768</v>
      </c>
      <c r="V1409" s="122">
        <v>56944</v>
      </c>
      <c r="W1409" s="122">
        <f t="shared" si="44"/>
        <v>56944</v>
      </c>
      <c r="X1409" s="122">
        <f t="shared" si="45"/>
        <v>68610</v>
      </c>
    </row>
    <row r="1410" spans="2:24">
      <c r="B1410" t="s">
        <v>466</v>
      </c>
      <c r="C1410" t="s">
        <v>58</v>
      </c>
      <c r="D1410" t="s">
        <v>408</v>
      </c>
      <c r="E1410" t="s">
        <v>408</v>
      </c>
      <c r="F1410">
        <v>1</v>
      </c>
      <c r="G1410">
        <v>175</v>
      </c>
      <c r="H1410">
        <v>248</v>
      </c>
      <c r="I1410" s="122">
        <v>28320</v>
      </c>
      <c r="J1410" s="122">
        <v>25745</v>
      </c>
      <c r="K1410">
        <v>77</v>
      </c>
      <c r="L1410" s="122">
        <v>3475</v>
      </c>
      <c r="M1410" s="122">
        <v>3159</v>
      </c>
      <c r="N1410" s="122">
        <v>3129</v>
      </c>
      <c r="O1410" s="122">
        <v>1159</v>
      </c>
      <c r="P1410">
        <v>972</v>
      </c>
      <c r="Q1410">
        <v>360</v>
      </c>
      <c r="R1410" s="122">
        <v>4089</v>
      </c>
      <c r="S1410" s="122">
        <v>3717</v>
      </c>
      <c r="T1410" s="122">
        <v>3280</v>
      </c>
      <c r="U1410" s="122">
        <v>1215</v>
      </c>
      <c r="V1410" s="122">
        <v>35355</v>
      </c>
      <c r="W1410" s="122">
        <f t="shared" si="44"/>
        <v>35355</v>
      </c>
      <c r="X1410" s="122">
        <f t="shared" si="45"/>
        <v>43265</v>
      </c>
    </row>
    <row r="1411" spans="2:24">
      <c r="B1411" t="s">
        <v>466</v>
      </c>
      <c r="C1411" t="s">
        <v>60</v>
      </c>
      <c r="D1411" t="s">
        <v>405</v>
      </c>
      <c r="E1411" t="s">
        <v>405</v>
      </c>
      <c r="F1411">
        <v>1</v>
      </c>
      <c r="G1411">
        <v>104</v>
      </c>
      <c r="H1411">
        <v>313</v>
      </c>
      <c r="I1411" s="122">
        <v>18168</v>
      </c>
      <c r="J1411" s="122">
        <v>16516</v>
      </c>
      <c r="K1411">
        <v>78</v>
      </c>
      <c r="L1411" s="122">
        <v>5013</v>
      </c>
      <c r="M1411" s="122">
        <v>4557</v>
      </c>
      <c r="N1411" s="122">
        <v>2303</v>
      </c>
      <c r="O1411">
        <v>853</v>
      </c>
      <c r="P1411">
        <v>473</v>
      </c>
      <c r="Q1411">
        <v>175</v>
      </c>
      <c r="R1411" s="122">
        <v>4114</v>
      </c>
      <c r="S1411" s="122">
        <v>3740</v>
      </c>
      <c r="T1411" s="122">
        <v>2617</v>
      </c>
      <c r="U1411">
        <v>969</v>
      </c>
      <c r="V1411" s="122">
        <v>26811</v>
      </c>
      <c r="W1411" s="122">
        <f t="shared" si="44"/>
        <v>26810</v>
      </c>
      <c r="X1411" s="122">
        <f t="shared" si="45"/>
        <v>32688</v>
      </c>
    </row>
    <row r="1412" spans="2:24">
      <c r="B1412" t="s">
        <v>466</v>
      </c>
      <c r="C1412" t="s">
        <v>60</v>
      </c>
      <c r="D1412" t="s">
        <v>137</v>
      </c>
      <c r="E1412" t="s">
        <v>137</v>
      </c>
      <c r="F1412">
        <v>82</v>
      </c>
      <c r="G1412" s="122">
        <v>4877</v>
      </c>
      <c r="H1412" s="122">
        <v>27844</v>
      </c>
      <c r="I1412" s="122">
        <v>938102</v>
      </c>
      <c r="J1412" s="122">
        <v>347445</v>
      </c>
      <c r="K1412">
        <v>100</v>
      </c>
      <c r="L1412" s="122">
        <v>106416</v>
      </c>
      <c r="M1412" s="122">
        <v>54976</v>
      </c>
      <c r="N1412" s="122">
        <v>96236</v>
      </c>
      <c r="O1412" s="122">
        <v>35643</v>
      </c>
      <c r="P1412">
        <v>702</v>
      </c>
      <c r="Q1412">
        <v>260</v>
      </c>
      <c r="R1412" s="122">
        <v>508616</v>
      </c>
      <c r="S1412" s="122">
        <v>188376</v>
      </c>
      <c r="T1412">
        <v>0</v>
      </c>
      <c r="U1412">
        <v>0</v>
      </c>
      <c r="V1412" s="122">
        <v>626700</v>
      </c>
      <c r="W1412" s="122">
        <f t="shared" si="44"/>
        <v>626700</v>
      </c>
      <c r="X1412" s="122">
        <f t="shared" si="45"/>
        <v>1650072</v>
      </c>
    </row>
    <row r="1413" spans="2:24">
      <c r="B1413" t="s">
        <v>466</v>
      </c>
      <c r="C1413" t="s">
        <v>60</v>
      </c>
      <c r="D1413" t="s">
        <v>406</v>
      </c>
      <c r="E1413" t="s">
        <v>137</v>
      </c>
      <c r="F1413">
        <v>1</v>
      </c>
      <c r="G1413">
        <v>36</v>
      </c>
      <c r="H1413">
        <v>349</v>
      </c>
      <c r="I1413" s="122">
        <v>7400</v>
      </c>
      <c r="J1413" s="122">
        <v>6728</v>
      </c>
      <c r="K1413">
        <v>86</v>
      </c>
      <c r="L1413">
        <v>0</v>
      </c>
      <c r="M1413">
        <v>0</v>
      </c>
      <c r="N1413">
        <v>587</v>
      </c>
      <c r="O1413">
        <v>217</v>
      </c>
      <c r="P1413">
        <v>621</v>
      </c>
      <c r="Q1413">
        <v>230</v>
      </c>
      <c r="R1413" s="122">
        <v>4043</v>
      </c>
      <c r="S1413" s="122">
        <v>1497</v>
      </c>
      <c r="T1413">
        <v>0</v>
      </c>
      <c r="U1413">
        <v>0</v>
      </c>
      <c r="V1413" s="122">
        <v>8672</v>
      </c>
      <c r="W1413" s="122">
        <f t="shared" si="44"/>
        <v>8672</v>
      </c>
      <c r="X1413" s="122">
        <f t="shared" si="45"/>
        <v>12651</v>
      </c>
    </row>
    <row r="1414" spans="2:24">
      <c r="B1414" t="s">
        <v>466</v>
      </c>
      <c r="C1414" t="s">
        <v>60</v>
      </c>
      <c r="D1414" t="s">
        <v>406</v>
      </c>
      <c r="E1414" t="s">
        <v>406</v>
      </c>
      <c r="F1414">
        <v>8</v>
      </c>
      <c r="G1414">
        <v>783</v>
      </c>
      <c r="H1414" s="122">
        <v>2670</v>
      </c>
      <c r="I1414" s="122">
        <v>159494</v>
      </c>
      <c r="J1414" s="122">
        <v>144994</v>
      </c>
      <c r="K1414">
        <v>77</v>
      </c>
      <c r="L1414" s="122">
        <v>32029</v>
      </c>
      <c r="M1414" s="122">
        <v>29118</v>
      </c>
      <c r="N1414" s="122">
        <v>16212</v>
      </c>
      <c r="O1414" s="122">
        <v>6004</v>
      </c>
      <c r="P1414" s="122">
        <v>4968</v>
      </c>
      <c r="Q1414" s="122">
        <v>1840</v>
      </c>
      <c r="R1414" s="122">
        <v>37453</v>
      </c>
      <c r="S1414" s="122">
        <v>34048</v>
      </c>
      <c r="T1414" s="122">
        <v>8457</v>
      </c>
      <c r="U1414" s="122">
        <v>3132</v>
      </c>
      <c r="V1414" s="122">
        <v>219137</v>
      </c>
      <c r="W1414" s="122">
        <f t="shared" si="44"/>
        <v>219136</v>
      </c>
      <c r="X1414" s="122">
        <f t="shared" si="45"/>
        <v>258613</v>
      </c>
    </row>
    <row r="1415" spans="2:24">
      <c r="B1415" t="s">
        <v>466</v>
      </c>
      <c r="C1415" t="s">
        <v>60</v>
      </c>
      <c r="D1415" t="s">
        <v>407</v>
      </c>
      <c r="E1415" t="s">
        <v>407</v>
      </c>
      <c r="F1415">
        <v>7</v>
      </c>
      <c r="G1415">
        <v>432</v>
      </c>
      <c r="H1415" s="122">
        <v>2337</v>
      </c>
      <c r="I1415" s="122">
        <v>94420</v>
      </c>
      <c r="J1415" s="122">
        <v>85836</v>
      </c>
      <c r="K1415">
        <v>77</v>
      </c>
      <c r="L1415" s="122">
        <v>9003</v>
      </c>
      <c r="M1415" s="122">
        <v>7855</v>
      </c>
      <c r="N1415" s="122">
        <v>9516</v>
      </c>
      <c r="O1415" s="122">
        <v>3524</v>
      </c>
      <c r="P1415" s="122">
        <v>3308</v>
      </c>
      <c r="Q1415" s="122">
        <v>1225</v>
      </c>
      <c r="R1415" s="122">
        <v>24193</v>
      </c>
      <c r="S1415" s="122">
        <v>21994</v>
      </c>
      <c r="T1415" s="122">
        <v>4708</v>
      </c>
      <c r="U1415" s="122">
        <v>1744</v>
      </c>
      <c r="V1415" s="122">
        <v>122178</v>
      </c>
      <c r="W1415" s="122">
        <f t="shared" si="44"/>
        <v>122178</v>
      </c>
      <c r="X1415" s="122">
        <f t="shared" si="45"/>
        <v>145148</v>
      </c>
    </row>
    <row r="1416" spans="2:24">
      <c r="B1416" t="s">
        <v>466</v>
      </c>
      <c r="C1416" t="s">
        <v>60</v>
      </c>
      <c r="D1416" t="s">
        <v>426</v>
      </c>
      <c r="E1416" t="s">
        <v>426</v>
      </c>
      <c r="F1416">
        <v>2</v>
      </c>
      <c r="G1416">
        <v>92</v>
      </c>
      <c r="H1416">
        <v>673</v>
      </c>
      <c r="I1416" s="122">
        <v>15034</v>
      </c>
      <c r="J1416" s="122">
        <v>13667</v>
      </c>
      <c r="K1416">
        <v>65</v>
      </c>
      <c r="L1416" s="122">
        <v>1810</v>
      </c>
      <c r="M1416" s="122">
        <v>1645</v>
      </c>
      <c r="N1416" s="122">
        <v>1796</v>
      </c>
      <c r="O1416">
        <v>665</v>
      </c>
      <c r="P1416">
        <v>702</v>
      </c>
      <c r="Q1416">
        <v>260</v>
      </c>
      <c r="R1416" s="122">
        <v>7747</v>
      </c>
      <c r="S1416" s="122">
        <v>7042</v>
      </c>
      <c r="T1416" s="122">
        <v>3913</v>
      </c>
      <c r="U1416" s="122">
        <v>1449</v>
      </c>
      <c r="V1416" s="122">
        <v>24729</v>
      </c>
      <c r="W1416" s="122">
        <f t="shared" si="44"/>
        <v>24728</v>
      </c>
      <c r="X1416" s="122">
        <f t="shared" si="45"/>
        <v>31002</v>
      </c>
    </row>
    <row r="1417" spans="2:24">
      <c r="B1417" t="s">
        <v>466</v>
      </c>
      <c r="C1417" t="s">
        <v>62</v>
      </c>
      <c r="D1417" t="s">
        <v>137</v>
      </c>
      <c r="E1417" t="s">
        <v>137</v>
      </c>
      <c r="F1417">
        <v>36</v>
      </c>
      <c r="G1417" s="122">
        <v>2044</v>
      </c>
      <c r="H1417" s="122">
        <v>14891</v>
      </c>
      <c r="I1417" s="122">
        <v>514563</v>
      </c>
      <c r="J1417" s="122">
        <v>190579</v>
      </c>
      <c r="K1417">
        <v>100</v>
      </c>
      <c r="L1417" s="122">
        <v>55219</v>
      </c>
      <c r="M1417" s="122">
        <v>27307</v>
      </c>
      <c r="N1417" s="122">
        <v>42901</v>
      </c>
      <c r="O1417" s="122">
        <v>15889</v>
      </c>
      <c r="P1417">
        <v>702</v>
      </c>
      <c r="Q1417">
        <v>260</v>
      </c>
      <c r="R1417" s="122">
        <v>229306</v>
      </c>
      <c r="S1417" s="122">
        <v>84928</v>
      </c>
      <c r="T1417">
        <v>0</v>
      </c>
      <c r="U1417">
        <v>0</v>
      </c>
      <c r="V1417" s="122">
        <v>318962</v>
      </c>
      <c r="W1417" s="122">
        <f t="shared" si="44"/>
        <v>318963</v>
      </c>
      <c r="X1417" s="122">
        <f t="shared" si="45"/>
        <v>842691</v>
      </c>
    </row>
    <row r="1418" spans="2:24">
      <c r="B1418" t="s">
        <v>466</v>
      </c>
      <c r="C1418" t="s">
        <v>62</v>
      </c>
      <c r="D1418" t="s">
        <v>406</v>
      </c>
      <c r="E1418" t="s">
        <v>406</v>
      </c>
      <c r="F1418">
        <v>5</v>
      </c>
      <c r="G1418">
        <v>357</v>
      </c>
      <c r="H1418" s="122">
        <v>2063</v>
      </c>
      <c r="I1418" s="122">
        <v>100805</v>
      </c>
      <c r="J1418" s="122">
        <v>91641</v>
      </c>
      <c r="K1418">
        <v>75</v>
      </c>
      <c r="L1418" s="122">
        <v>15476</v>
      </c>
      <c r="M1418" s="122">
        <v>14069</v>
      </c>
      <c r="N1418" s="122">
        <v>7480</v>
      </c>
      <c r="O1418" s="122">
        <v>2770</v>
      </c>
      <c r="P1418" s="122">
        <v>3105</v>
      </c>
      <c r="Q1418" s="122">
        <v>1150</v>
      </c>
      <c r="R1418" s="122">
        <v>18423</v>
      </c>
      <c r="S1418" s="122">
        <v>16748</v>
      </c>
      <c r="T1418">
        <v>306</v>
      </c>
      <c r="U1418">
        <v>114</v>
      </c>
      <c r="V1418" s="122">
        <v>126492</v>
      </c>
      <c r="W1418" s="122">
        <f t="shared" si="44"/>
        <v>126492</v>
      </c>
      <c r="X1418" s="122">
        <f t="shared" si="45"/>
        <v>145595</v>
      </c>
    </row>
    <row r="1419" spans="2:24">
      <c r="B1419" t="s">
        <v>466</v>
      </c>
      <c r="C1419" t="s">
        <v>62</v>
      </c>
      <c r="D1419" t="s">
        <v>407</v>
      </c>
      <c r="E1419" t="s">
        <v>407</v>
      </c>
      <c r="F1419">
        <v>1</v>
      </c>
      <c r="G1419">
        <v>48</v>
      </c>
      <c r="H1419">
        <v>416</v>
      </c>
      <c r="I1419" s="122">
        <v>9574</v>
      </c>
      <c r="J1419" s="122">
        <v>8703</v>
      </c>
      <c r="K1419">
        <v>73</v>
      </c>
      <c r="L1419" s="122">
        <v>3691</v>
      </c>
      <c r="M1419" s="122">
        <v>3356</v>
      </c>
      <c r="N1419">
        <v>928</v>
      </c>
      <c r="O1419">
        <v>344</v>
      </c>
      <c r="P1419">
        <v>473</v>
      </c>
      <c r="Q1419">
        <v>175</v>
      </c>
      <c r="R1419" s="122">
        <v>5141</v>
      </c>
      <c r="S1419" s="122">
        <v>4673</v>
      </c>
      <c r="T1419">
        <v>0</v>
      </c>
      <c r="U1419">
        <v>0</v>
      </c>
      <c r="V1419" s="122">
        <v>17251</v>
      </c>
      <c r="W1419" s="122">
        <f t="shared" si="44"/>
        <v>17251</v>
      </c>
      <c r="X1419" s="122">
        <f t="shared" si="45"/>
        <v>19807</v>
      </c>
    </row>
    <row r="1420" spans="2:24">
      <c r="B1420" t="s">
        <v>466</v>
      </c>
      <c r="C1420" t="s">
        <v>62</v>
      </c>
      <c r="D1420" t="s">
        <v>426</v>
      </c>
      <c r="E1420" t="s">
        <v>426</v>
      </c>
      <c r="F1420">
        <v>1</v>
      </c>
      <c r="G1420">
        <v>91</v>
      </c>
      <c r="H1420">
        <v>431</v>
      </c>
      <c r="I1420" s="122">
        <v>24839</v>
      </c>
      <c r="J1420" s="122">
        <v>22581</v>
      </c>
      <c r="K1420">
        <v>55</v>
      </c>
      <c r="L1420" s="122">
        <v>5060</v>
      </c>
      <c r="M1420" s="122">
        <v>4600</v>
      </c>
      <c r="N1420" s="122">
        <v>1669</v>
      </c>
      <c r="O1420">
        <v>618</v>
      </c>
      <c r="P1420">
        <v>351</v>
      </c>
      <c r="Q1420">
        <v>130</v>
      </c>
      <c r="R1420" s="122">
        <v>5117</v>
      </c>
      <c r="S1420" s="122">
        <v>4652</v>
      </c>
      <c r="T1420" s="122">
        <v>2316</v>
      </c>
      <c r="U1420">
        <v>858</v>
      </c>
      <c r="V1420" s="122">
        <v>33438</v>
      </c>
      <c r="W1420" s="122">
        <f t="shared" si="44"/>
        <v>33439</v>
      </c>
      <c r="X1420" s="122">
        <f t="shared" si="45"/>
        <v>39352</v>
      </c>
    </row>
    <row r="1421" spans="2:24">
      <c r="B1421" t="s">
        <v>466</v>
      </c>
      <c r="C1421" t="s">
        <v>64</v>
      </c>
      <c r="F1421">
        <v>1</v>
      </c>
      <c r="G1421">
        <v>43</v>
      </c>
      <c r="H1421">
        <v>568</v>
      </c>
      <c r="J1421">
        <v>0</v>
      </c>
      <c r="M1421">
        <v>0</v>
      </c>
      <c r="N1421" s="122">
        <v>1044</v>
      </c>
      <c r="O1421">
        <v>387</v>
      </c>
      <c r="P1421">
        <v>621</v>
      </c>
      <c r="Q1421">
        <v>230</v>
      </c>
      <c r="S1421">
        <v>0</v>
      </c>
      <c r="T1421">
        <v>0</v>
      </c>
      <c r="U1421">
        <v>0</v>
      </c>
      <c r="V1421">
        <v>617</v>
      </c>
      <c r="W1421" s="122">
        <f t="shared" si="44"/>
        <v>617</v>
      </c>
      <c r="X1421" s="122">
        <f t="shared" si="45"/>
        <v>1665</v>
      </c>
    </row>
    <row r="1422" spans="2:24">
      <c r="B1422" t="s">
        <v>466</v>
      </c>
      <c r="C1422" t="s">
        <v>64</v>
      </c>
      <c r="D1422" t="s">
        <v>137</v>
      </c>
      <c r="E1422" t="s">
        <v>137</v>
      </c>
      <c r="F1422">
        <v>46</v>
      </c>
      <c r="G1422" s="122">
        <v>2561</v>
      </c>
      <c r="H1422" s="122">
        <v>28637</v>
      </c>
      <c r="I1422" s="122">
        <v>1131492</v>
      </c>
      <c r="J1422" s="122">
        <v>419071</v>
      </c>
      <c r="K1422">
        <v>100</v>
      </c>
      <c r="L1422" s="122">
        <v>120043</v>
      </c>
      <c r="M1422" s="122">
        <v>77477</v>
      </c>
      <c r="N1422" s="122">
        <v>52530</v>
      </c>
      <c r="O1422" s="122">
        <v>19456</v>
      </c>
      <c r="P1422" s="122">
        <v>1404</v>
      </c>
      <c r="Q1422">
        <v>520</v>
      </c>
      <c r="R1422" s="122">
        <v>291573</v>
      </c>
      <c r="S1422" s="122">
        <v>107990</v>
      </c>
      <c r="T1422">
        <v>0</v>
      </c>
      <c r="U1422">
        <v>0</v>
      </c>
      <c r="V1422" s="122">
        <v>624514</v>
      </c>
      <c r="W1422" s="122">
        <f t="shared" si="44"/>
        <v>624514</v>
      </c>
      <c r="X1422" s="122">
        <f t="shared" si="45"/>
        <v>1597042</v>
      </c>
    </row>
    <row r="1423" spans="2:24">
      <c r="B1423" t="s">
        <v>466</v>
      </c>
      <c r="C1423" t="s">
        <v>64</v>
      </c>
      <c r="D1423" t="s">
        <v>406</v>
      </c>
      <c r="E1423" t="s">
        <v>406</v>
      </c>
      <c r="F1423">
        <v>17</v>
      </c>
      <c r="G1423" s="122">
        <v>1462</v>
      </c>
      <c r="H1423" s="122">
        <v>9769</v>
      </c>
      <c r="I1423" s="122">
        <v>551496</v>
      </c>
      <c r="J1423" s="122">
        <v>501360</v>
      </c>
      <c r="K1423">
        <v>68</v>
      </c>
      <c r="L1423" s="122">
        <v>110268</v>
      </c>
      <c r="M1423" s="122">
        <v>93714</v>
      </c>
      <c r="N1423" s="122">
        <v>31947</v>
      </c>
      <c r="O1423" s="122">
        <v>11832</v>
      </c>
      <c r="P1423" s="122">
        <v>10557</v>
      </c>
      <c r="Q1423" s="122">
        <v>3910</v>
      </c>
      <c r="R1423" s="122">
        <v>76522</v>
      </c>
      <c r="S1423" s="122">
        <v>69566</v>
      </c>
      <c r="T1423" s="122">
        <v>31900</v>
      </c>
      <c r="U1423" s="122">
        <v>11815</v>
      </c>
      <c r="V1423" s="122">
        <v>692197</v>
      </c>
      <c r="W1423" s="122">
        <f t="shared" si="44"/>
        <v>692197</v>
      </c>
      <c r="X1423" s="122">
        <f t="shared" si="45"/>
        <v>812690</v>
      </c>
    </row>
    <row r="1424" spans="2:24">
      <c r="B1424" t="s">
        <v>466</v>
      </c>
      <c r="C1424" t="s">
        <v>64</v>
      </c>
      <c r="D1424" t="s">
        <v>407</v>
      </c>
      <c r="E1424" t="s">
        <v>407</v>
      </c>
      <c r="F1424">
        <v>3</v>
      </c>
      <c r="G1424">
        <v>285</v>
      </c>
      <c r="H1424" s="122">
        <v>1593</v>
      </c>
      <c r="I1424" s="122">
        <v>95539</v>
      </c>
      <c r="J1424" s="122">
        <v>86854</v>
      </c>
      <c r="K1424">
        <v>75</v>
      </c>
      <c r="L1424" s="122">
        <v>43731</v>
      </c>
      <c r="M1424" s="122">
        <v>21186</v>
      </c>
      <c r="N1424" s="122">
        <v>5770</v>
      </c>
      <c r="O1424" s="122">
        <v>2137</v>
      </c>
      <c r="P1424" s="122">
        <v>1418</v>
      </c>
      <c r="Q1424">
        <v>525</v>
      </c>
      <c r="R1424" s="122">
        <v>14563</v>
      </c>
      <c r="S1424" s="122">
        <v>13239</v>
      </c>
      <c r="T1424" s="122">
        <v>2151</v>
      </c>
      <c r="U1424">
        <v>797</v>
      </c>
      <c r="V1424" s="122">
        <v>124737</v>
      </c>
      <c r="W1424" s="122">
        <f t="shared" si="44"/>
        <v>124738</v>
      </c>
      <c r="X1424" s="122">
        <f t="shared" si="45"/>
        <v>163172</v>
      </c>
    </row>
    <row r="1425" spans="2:24">
      <c r="B1425" t="s">
        <v>372</v>
      </c>
      <c r="C1425" t="s">
        <v>48</v>
      </c>
      <c r="D1425" t="s">
        <v>137</v>
      </c>
      <c r="E1425" t="s">
        <v>137</v>
      </c>
      <c r="F1425">
        <v>1</v>
      </c>
      <c r="G1425">
        <v>209</v>
      </c>
      <c r="H1425">
        <v>46</v>
      </c>
      <c r="I1425" s="122">
        <v>1534</v>
      </c>
      <c r="J1425">
        <v>568</v>
      </c>
      <c r="K1425">
        <v>435</v>
      </c>
      <c r="L1425">
        <v>0</v>
      </c>
      <c r="M1425">
        <v>0</v>
      </c>
      <c r="N1425" s="122">
        <v>3050</v>
      </c>
      <c r="O1425" s="122">
        <v>1130</v>
      </c>
      <c r="P1425">
        <v>351</v>
      </c>
      <c r="Q1425">
        <v>130</v>
      </c>
      <c r="R1425" s="122">
        <v>4745</v>
      </c>
      <c r="S1425" s="122">
        <v>1757</v>
      </c>
      <c r="T1425">
        <v>0</v>
      </c>
      <c r="U1425">
        <v>0</v>
      </c>
      <c r="V1425" s="122">
        <v>3585</v>
      </c>
      <c r="W1425" s="122">
        <f t="shared" si="44"/>
        <v>3585</v>
      </c>
      <c r="X1425" s="122">
        <f t="shared" si="45"/>
        <v>9680</v>
      </c>
    </row>
    <row r="1426" spans="2:24">
      <c r="B1426" t="s">
        <v>372</v>
      </c>
      <c r="C1426" t="s">
        <v>50</v>
      </c>
      <c r="D1426" t="s">
        <v>407</v>
      </c>
      <c r="E1426" t="s">
        <v>407</v>
      </c>
      <c r="F1426">
        <v>5</v>
      </c>
      <c r="G1426">
        <v>390</v>
      </c>
      <c r="H1426">
        <v>472</v>
      </c>
      <c r="I1426" s="122">
        <v>12870</v>
      </c>
      <c r="J1426" s="122">
        <v>11700</v>
      </c>
      <c r="K1426">
        <v>88</v>
      </c>
      <c r="L1426" s="122">
        <v>1101</v>
      </c>
      <c r="M1426">
        <v>408</v>
      </c>
      <c r="N1426" s="122">
        <v>6367</v>
      </c>
      <c r="O1426" s="122">
        <v>2358</v>
      </c>
      <c r="P1426" s="122">
        <v>2363</v>
      </c>
      <c r="Q1426">
        <v>875</v>
      </c>
      <c r="R1426" s="122">
        <v>14183</v>
      </c>
      <c r="S1426" s="122">
        <v>12894</v>
      </c>
      <c r="T1426">
        <v>0</v>
      </c>
      <c r="U1426">
        <v>0</v>
      </c>
      <c r="V1426" s="122">
        <v>28235</v>
      </c>
      <c r="W1426" s="122">
        <f t="shared" si="44"/>
        <v>28235</v>
      </c>
      <c r="X1426" s="122">
        <f t="shared" si="45"/>
        <v>36884</v>
      </c>
    </row>
    <row r="1427" spans="2:24">
      <c r="B1427" t="s">
        <v>372</v>
      </c>
      <c r="C1427" t="s">
        <v>52</v>
      </c>
      <c r="D1427" t="s">
        <v>406</v>
      </c>
      <c r="E1427" t="s">
        <v>406</v>
      </c>
      <c r="F1427">
        <v>3</v>
      </c>
      <c r="G1427">
        <v>751</v>
      </c>
      <c r="H1427">
        <v>343</v>
      </c>
      <c r="I1427" s="122">
        <v>51434</v>
      </c>
      <c r="J1427" s="122">
        <v>46758</v>
      </c>
      <c r="K1427">
        <v>92</v>
      </c>
      <c r="L1427" s="122">
        <v>11499</v>
      </c>
      <c r="M1427" s="122">
        <v>10454</v>
      </c>
      <c r="N1427" s="122">
        <v>10031</v>
      </c>
      <c r="O1427" s="122">
        <v>3715</v>
      </c>
      <c r="P1427" s="122">
        <v>1863</v>
      </c>
      <c r="Q1427">
        <v>690</v>
      </c>
      <c r="R1427" s="122">
        <v>18816</v>
      </c>
      <c r="S1427" s="122">
        <v>17105</v>
      </c>
      <c r="T1427">
        <v>0</v>
      </c>
      <c r="U1427">
        <v>0</v>
      </c>
      <c r="V1427" s="122">
        <v>78723</v>
      </c>
      <c r="W1427" s="122">
        <f t="shared" si="44"/>
        <v>78722</v>
      </c>
      <c r="X1427" s="122">
        <f t="shared" si="45"/>
        <v>93643</v>
      </c>
    </row>
    <row r="1428" spans="2:24">
      <c r="B1428" t="s">
        <v>372</v>
      </c>
      <c r="C1428" t="s">
        <v>52</v>
      </c>
      <c r="D1428" t="s">
        <v>407</v>
      </c>
      <c r="E1428" t="s">
        <v>407</v>
      </c>
      <c r="F1428">
        <v>66</v>
      </c>
      <c r="G1428" s="122">
        <v>5137</v>
      </c>
      <c r="H1428" s="122">
        <v>7636</v>
      </c>
      <c r="I1428" s="122">
        <v>265142</v>
      </c>
      <c r="J1428" s="122">
        <v>241038</v>
      </c>
      <c r="K1428">
        <v>87</v>
      </c>
      <c r="L1428" s="122">
        <v>21806</v>
      </c>
      <c r="M1428" s="122">
        <v>17772</v>
      </c>
      <c r="N1428" s="122">
        <v>82254</v>
      </c>
      <c r="O1428" s="122">
        <v>30465</v>
      </c>
      <c r="P1428" s="122">
        <v>32940</v>
      </c>
      <c r="Q1428" s="122">
        <v>12200</v>
      </c>
      <c r="R1428" s="122">
        <v>201180</v>
      </c>
      <c r="S1428" s="122">
        <v>182891</v>
      </c>
      <c r="T1428" s="122">
        <v>11908</v>
      </c>
      <c r="U1428" s="122">
        <v>4410</v>
      </c>
      <c r="V1428" s="122">
        <v>488776</v>
      </c>
      <c r="W1428" s="122">
        <f t="shared" si="44"/>
        <v>488776</v>
      </c>
      <c r="X1428" s="122">
        <f t="shared" si="45"/>
        <v>615230</v>
      </c>
    </row>
    <row r="1429" spans="2:24">
      <c r="B1429" t="s">
        <v>372</v>
      </c>
      <c r="C1429" t="s">
        <v>54</v>
      </c>
      <c r="D1429" t="s">
        <v>405</v>
      </c>
      <c r="E1429" t="s">
        <v>405</v>
      </c>
      <c r="F1429">
        <v>1</v>
      </c>
      <c r="G1429">
        <v>172</v>
      </c>
      <c r="H1429">
        <v>133</v>
      </c>
      <c r="I1429" s="122">
        <v>18875</v>
      </c>
      <c r="J1429" s="122">
        <v>17159</v>
      </c>
      <c r="K1429">
        <v>92</v>
      </c>
      <c r="L1429" s="122">
        <v>2830</v>
      </c>
      <c r="M1429" s="122">
        <v>2572</v>
      </c>
      <c r="N1429" s="122">
        <v>3062</v>
      </c>
      <c r="O1429" s="122">
        <v>1134</v>
      </c>
      <c r="P1429">
        <v>824</v>
      </c>
      <c r="Q1429">
        <v>305</v>
      </c>
      <c r="R1429" s="122">
        <v>7715</v>
      </c>
      <c r="S1429" s="122">
        <v>7014</v>
      </c>
      <c r="T1429">
        <v>0</v>
      </c>
      <c r="U1429">
        <v>0</v>
      </c>
      <c r="V1429" s="122">
        <v>28184</v>
      </c>
      <c r="W1429" s="122">
        <f t="shared" si="44"/>
        <v>28184</v>
      </c>
      <c r="X1429" s="122">
        <f t="shared" si="45"/>
        <v>33306</v>
      </c>
    </row>
    <row r="1430" spans="2:24">
      <c r="B1430" t="s">
        <v>372</v>
      </c>
      <c r="C1430" t="s">
        <v>54</v>
      </c>
      <c r="D1430" t="s">
        <v>137</v>
      </c>
      <c r="E1430" t="s">
        <v>137</v>
      </c>
      <c r="F1430">
        <v>6</v>
      </c>
      <c r="G1430">
        <v>389</v>
      </c>
      <c r="H1430">
        <v>845</v>
      </c>
      <c r="I1430" s="122">
        <v>9950</v>
      </c>
      <c r="J1430" s="122">
        <v>3685</v>
      </c>
      <c r="K1430">
        <v>125</v>
      </c>
      <c r="L1430" s="122">
        <v>2234</v>
      </c>
      <c r="M1430" s="122">
        <v>1017</v>
      </c>
      <c r="N1430" s="122">
        <v>8609</v>
      </c>
      <c r="O1430" s="122">
        <v>3188</v>
      </c>
      <c r="P1430">
        <v>351</v>
      </c>
      <c r="Q1430">
        <v>130</v>
      </c>
      <c r="R1430" s="122">
        <v>33693</v>
      </c>
      <c r="S1430" s="122">
        <v>12479</v>
      </c>
      <c r="T1430">
        <v>0</v>
      </c>
      <c r="U1430">
        <v>0</v>
      </c>
      <c r="V1430" s="122">
        <v>20499</v>
      </c>
      <c r="W1430" s="122">
        <f t="shared" si="44"/>
        <v>20499</v>
      </c>
      <c r="X1430" s="122">
        <f t="shared" si="45"/>
        <v>54837</v>
      </c>
    </row>
    <row r="1431" spans="2:24">
      <c r="B1431" t="s">
        <v>372</v>
      </c>
      <c r="C1431" t="s">
        <v>54</v>
      </c>
      <c r="D1431" t="s">
        <v>406</v>
      </c>
      <c r="E1431" t="s">
        <v>406</v>
      </c>
      <c r="F1431">
        <v>4</v>
      </c>
      <c r="G1431" s="122">
        <v>1033</v>
      </c>
      <c r="H1431">
        <v>566</v>
      </c>
      <c r="I1431" s="122">
        <v>75420</v>
      </c>
      <c r="J1431" s="122">
        <v>68564</v>
      </c>
      <c r="K1431">
        <v>89</v>
      </c>
      <c r="L1431" s="122">
        <v>21462</v>
      </c>
      <c r="M1431" s="122">
        <v>19511</v>
      </c>
      <c r="N1431" s="122">
        <v>18537</v>
      </c>
      <c r="O1431" s="122">
        <v>6866</v>
      </c>
      <c r="P1431" s="122">
        <v>2484</v>
      </c>
      <c r="Q1431">
        <v>920</v>
      </c>
      <c r="R1431" s="122">
        <v>29783</v>
      </c>
      <c r="S1431" s="122">
        <v>27075</v>
      </c>
      <c r="T1431">
        <v>0</v>
      </c>
      <c r="U1431">
        <v>0</v>
      </c>
      <c r="V1431" s="122">
        <v>122936</v>
      </c>
      <c r="W1431" s="122">
        <f t="shared" si="44"/>
        <v>122936</v>
      </c>
      <c r="X1431" s="122">
        <f t="shared" si="45"/>
        <v>147686</v>
      </c>
    </row>
    <row r="1432" spans="2:24">
      <c r="B1432" t="s">
        <v>372</v>
      </c>
      <c r="C1432" t="s">
        <v>54</v>
      </c>
      <c r="D1432" t="s">
        <v>407</v>
      </c>
      <c r="E1432" t="s">
        <v>137</v>
      </c>
      <c r="F1432">
        <v>1</v>
      </c>
      <c r="G1432">
        <v>116</v>
      </c>
      <c r="H1432">
        <v>148</v>
      </c>
      <c r="I1432" s="122">
        <v>7760</v>
      </c>
      <c r="J1432" s="122">
        <v>7055</v>
      </c>
      <c r="K1432">
        <v>90</v>
      </c>
      <c r="L1432">
        <v>0</v>
      </c>
      <c r="M1432">
        <v>0</v>
      </c>
      <c r="N1432" s="122">
        <v>1411</v>
      </c>
      <c r="O1432">
        <v>522</v>
      </c>
      <c r="P1432" s="122">
        <v>2000</v>
      </c>
      <c r="Q1432">
        <v>741</v>
      </c>
      <c r="R1432" s="122">
        <v>6007</v>
      </c>
      <c r="S1432" s="122">
        <v>2225</v>
      </c>
      <c r="T1432">
        <v>0</v>
      </c>
      <c r="U1432">
        <v>0</v>
      </c>
      <c r="V1432" s="122">
        <v>10543</v>
      </c>
      <c r="W1432" s="122">
        <f t="shared" si="44"/>
        <v>10543</v>
      </c>
      <c r="X1432" s="122">
        <f t="shared" si="45"/>
        <v>17178</v>
      </c>
    </row>
    <row r="1433" spans="2:24">
      <c r="B1433" t="s">
        <v>372</v>
      </c>
      <c r="C1433" t="s">
        <v>54</v>
      </c>
      <c r="D1433" t="s">
        <v>407</v>
      </c>
      <c r="E1433" t="s">
        <v>407</v>
      </c>
      <c r="F1433">
        <v>82</v>
      </c>
      <c r="G1433" s="122">
        <v>6527</v>
      </c>
      <c r="H1433" s="122">
        <v>11355</v>
      </c>
      <c r="I1433" s="122">
        <v>426944</v>
      </c>
      <c r="J1433" s="122">
        <v>388131</v>
      </c>
      <c r="K1433">
        <v>84</v>
      </c>
      <c r="L1433" s="122">
        <v>34505</v>
      </c>
      <c r="M1433" s="122">
        <v>25472</v>
      </c>
      <c r="N1433" s="122">
        <v>111186</v>
      </c>
      <c r="O1433" s="122">
        <v>41180</v>
      </c>
      <c r="P1433" s="122">
        <v>39947</v>
      </c>
      <c r="Q1433" s="122">
        <v>14795</v>
      </c>
      <c r="R1433" s="122">
        <v>285593</v>
      </c>
      <c r="S1433" s="122">
        <v>259630</v>
      </c>
      <c r="T1433" s="122">
        <v>16491</v>
      </c>
      <c r="U1433" s="122">
        <v>6108</v>
      </c>
      <c r="V1433" s="122">
        <v>735315</v>
      </c>
      <c r="W1433" s="122">
        <f t="shared" si="44"/>
        <v>735316</v>
      </c>
      <c r="X1433" s="122">
        <f t="shared" si="45"/>
        <v>914666</v>
      </c>
    </row>
    <row r="1434" spans="2:24">
      <c r="B1434" t="s">
        <v>372</v>
      </c>
      <c r="C1434" t="s">
        <v>56</v>
      </c>
      <c r="D1434" t="s">
        <v>405</v>
      </c>
      <c r="E1434" t="s">
        <v>405</v>
      </c>
      <c r="F1434">
        <v>9</v>
      </c>
      <c r="G1434" s="122">
        <v>1076</v>
      </c>
      <c r="H1434" s="122">
        <v>1841</v>
      </c>
      <c r="I1434" s="122">
        <v>119031</v>
      </c>
      <c r="J1434" s="122">
        <v>108210</v>
      </c>
      <c r="K1434">
        <v>78</v>
      </c>
      <c r="L1434" s="122">
        <v>21219</v>
      </c>
      <c r="M1434" s="122">
        <v>19290</v>
      </c>
      <c r="N1434" s="122">
        <v>13106</v>
      </c>
      <c r="O1434" s="122">
        <v>4854</v>
      </c>
      <c r="P1434" s="122">
        <v>4253</v>
      </c>
      <c r="Q1434" s="122">
        <v>1575</v>
      </c>
      <c r="R1434" s="122">
        <v>54254</v>
      </c>
      <c r="S1434" s="122">
        <v>49322</v>
      </c>
      <c r="T1434">
        <v>0</v>
      </c>
      <c r="U1434">
        <v>0</v>
      </c>
      <c r="V1434" s="122">
        <v>183251</v>
      </c>
      <c r="W1434" s="122">
        <f t="shared" si="44"/>
        <v>183251</v>
      </c>
      <c r="X1434" s="122">
        <f t="shared" si="45"/>
        <v>211863</v>
      </c>
    </row>
    <row r="1435" spans="2:24">
      <c r="B1435" t="s">
        <v>372</v>
      </c>
      <c r="C1435" t="s">
        <v>56</v>
      </c>
      <c r="D1435" t="s">
        <v>137</v>
      </c>
      <c r="E1435" t="s">
        <v>137</v>
      </c>
      <c r="F1435">
        <v>84</v>
      </c>
      <c r="G1435" s="122">
        <v>6093</v>
      </c>
      <c r="H1435" s="122">
        <v>16928</v>
      </c>
      <c r="I1435" s="122">
        <v>505275</v>
      </c>
      <c r="J1435" s="122">
        <v>187139</v>
      </c>
      <c r="K1435">
        <v>100</v>
      </c>
      <c r="L1435" s="122">
        <v>53881</v>
      </c>
      <c r="M1435" s="122">
        <v>20207</v>
      </c>
      <c r="N1435" s="122">
        <v>125521</v>
      </c>
      <c r="O1435" s="122">
        <v>46489</v>
      </c>
      <c r="P1435">
        <v>0</v>
      </c>
      <c r="Q1435">
        <v>0</v>
      </c>
      <c r="R1435" s="122">
        <v>548293</v>
      </c>
      <c r="S1435" s="122">
        <v>203071</v>
      </c>
      <c r="T1435" s="122">
        <v>2349</v>
      </c>
      <c r="U1435">
        <v>870</v>
      </c>
      <c r="V1435" s="122">
        <v>457776</v>
      </c>
      <c r="W1435" s="122">
        <f t="shared" si="44"/>
        <v>457776</v>
      </c>
      <c r="X1435" s="122">
        <f t="shared" si="45"/>
        <v>1235319</v>
      </c>
    </row>
    <row r="1436" spans="2:24">
      <c r="B1436" t="s">
        <v>372</v>
      </c>
      <c r="C1436" t="s">
        <v>56</v>
      </c>
      <c r="D1436" t="s">
        <v>406</v>
      </c>
      <c r="E1436" t="s">
        <v>137</v>
      </c>
      <c r="F1436">
        <v>1</v>
      </c>
      <c r="G1436">
        <v>46</v>
      </c>
      <c r="H1436">
        <v>203</v>
      </c>
      <c r="I1436" s="122">
        <v>4382</v>
      </c>
      <c r="J1436" s="122">
        <v>3984</v>
      </c>
      <c r="K1436">
        <v>79</v>
      </c>
      <c r="L1436">
        <v>0</v>
      </c>
      <c r="M1436">
        <v>0</v>
      </c>
      <c r="N1436" s="122">
        <v>1123</v>
      </c>
      <c r="O1436">
        <v>416</v>
      </c>
      <c r="P1436">
        <v>621</v>
      </c>
      <c r="Q1436">
        <v>230</v>
      </c>
      <c r="R1436" s="122">
        <v>3204</v>
      </c>
      <c r="S1436" s="122">
        <v>1187</v>
      </c>
      <c r="T1436">
        <v>0</v>
      </c>
      <c r="U1436">
        <v>0</v>
      </c>
      <c r="V1436" s="122">
        <v>5816</v>
      </c>
      <c r="W1436" s="122">
        <f t="shared" si="44"/>
        <v>5817</v>
      </c>
      <c r="X1436" s="122">
        <f t="shared" si="45"/>
        <v>9330</v>
      </c>
    </row>
    <row r="1437" spans="2:24">
      <c r="B1437" t="s">
        <v>372</v>
      </c>
      <c r="C1437" t="s">
        <v>56</v>
      </c>
      <c r="D1437" t="s">
        <v>406</v>
      </c>
      <c r="E1437" t="s">
        <v>406</v>
      </c>
      <c r="F1437">
        <v>26</v>
      </c>
      <c r="G1437" s="122">
        <v>3362</v>
      </c>
      <c r="H1437" s="122">
        <v>4943</v>
      </c>
      <c r="I1437" s="122">
        <v>378844</v>
      </c>
      <c r="J1437" s="122">
        <v>344404</v>
      </c>
      <c r="K1437">
        <v>86</v>
      </c>
      <c r="L1437" s="122">
        <v>75501</v>
      </c>
      <c r="M1437" s="122">
        <v>66370</v>
      </c>
      <c r="N1437" s="122">
        <v>57072</v>
      </c>
      <c r="O1437" s="122">
        <v>21138</v>
      </c>
      <c r="P1437" s="122">
        <v>17753</v>
      </c>
      <c r="Q1437" s="122">
        <v>6575</v>
      </c>
      <c r="R1437" s="122">
        <v>134864</v>
      </c>
      <c r="S1437" s="122">
        <v>122603</v>
      </c>
      <c r="T1437" s="122">
        <v>16260</v>
      </c>
      <c r="U1437" s="122">
        <v>6022</v>
      </c>
      <c r="V1437" s="122">
        <v>567113</v>
      </c>
      <c r="W1437" s="122">
        <f t="shared" si="44"/>
        <v>567112</v>
      </c>
      <c r="X1437" s="122">
        <f t="shared" si="45"/>
        <v>680294</v>
      </c>
    </row>
    <row r="1438" spans="2:24">
      <c r="B1438" t="s">
        <v>372</v>
      </c>
      <c r="C1438" t="s">
        <v>56</v>
      </c>
      <c r="D1438" t="s">
        <v>406</v>
      </c>
      <c r="E1438" t="s">
        <v>556</v>
      </c>
      <c r="F1438">
        <v>1</v>
      </c>
      <c r="G1438">
        <v>94</v>
      </c>
      <c r="H1438">
        <v>159</v>
      </c>
      <c r="I1438" s="122">
        <v>7480</v>
      </c>
      <c r="J1438" s="122">
        <v>6800</v>
      </c>
      <c r="K1438">
        <v>85</v>
      </c>
      <c r="L1438" s="122">
        <v>1032</v>
      </c>
      <c r="M1438">
        <v>938</v>
      </c>
      <c r="N1438" s="122">
        <v>1150</v>
      </c>
      <c r="O1438">
        <v>426</v>
      </c>
      <c r="P1438">
        <v>621</v>
      </c>
      <c r="Q1438">
        <v>230</v>
      </c>
      <c r="R1438" s="122">
        <v>4687</v>
      </c>
      <c r="S1438" s="122">
        <v>3906</v>
      </c>
      <c r="T1438">
        <v>0</v>
      </c>
      <c r="U1438">
        <v>0</v>
      </c>
      <c r="V1438" s="122">
        <v>12299</v>
      </c>
      <c r="W1438" s="122">
        <f t="shared" si="44"/>
        <v>12300</v>
      </c>
      <c r="X1438" s="122">
        <f t="shared" si="45"/>
        <v>14970</v>
      </c>
    </row>
    <row r="1439" spans="2:24">
      <c r="B1439" t="s">
        <v>372</v>
      </c>
      <c r="C1439" t="s">
        <v>56</v>
      </c>
      <c r="D1439" t="s">
        <v>407</v>
      </c>
      <c r="E1439" t="s">
        <v>137</v>
      </c>
      <c r="F1439">
        <v>6</v>
      </c>
      <c r="G1439">
        <v>383</v>
      </c>
      <c r="H1439" s="122">
        <v>1209</v>
      </c>
      <c r="I1439" s="122">
        <v>41472</v>
      </c>
      <c r="J1439" s="122">
        <v>37702</v>
      </c>
      <c r="K1439">
        <v>79</v>
      </c>
      <c r="L1439">
        <v>0</v>
      </c>
      <c r="M1439">
        <v>0</v>
      </c>
      <c r="N1439" s="122">
        <v>8545</v>
      </c>
      <c r="O1439" s="122">
        <v>3165</v>
      </c>
      <c r="P1439" s="122">
        <v>2835</v>
      </c>
      <c r="Q1439" s="122">
        <v>1050</v>
      </c>
      <c r="R1439" s="122">
        <v>24499</v>
      </c>
      <c r="S1439" s="122">
        <v>9074</v>
      </c>
      <c r="T1439">
        <v>0</v>
      </c>
      <c r="U1439">
        <v>0</v>
      </c>
      <c r="V1439" s="122">
        <v>50990</v>
      </c>
      <c r="W1439" s="122">
        <f t="shared" si="44"/>
        <v>50991</v>
      </c>
      <c r="X1439" s="122">
        <f t="shared" si="45"/>
        <v>77351</v>
      </c>
    </row>
    <row r="1440" spans="2:24">
      <c r="B1440" t="s">
        <v>372</v>
      </c>
      <c r="C1440" t="s">
        <v>56</v>
      </c>
      <c r="D1440" t="s">
        <v>407</v>
      </c>
      <c r="E1440" t="s">
        <v>407</v>
      </c>
      <c r="F1440">
        <v>158</v>
      </c>
      <c r="G1440" s="122">
        <v>11743</v>
      </c>
      <c r="H1440" s="122">
        <v>29232</v>
      </c>
      <c r="I1440" s="122">
        <v>1056536</v>
      </c>
      <c r="J1440" s="122">
        <v>960487</v>
      </c>
      <c r="K1440">
        <v>80</v>
      </c>
      <c r="L1440" s="122">
        <v>127572</v>
      </c>
      <c r="M1440" s="122">
        <v>97102</v>
      </c>
      <c r="N1440" s="122">
        <v>228666</v>
      </c>
      <c r="O1440" s="122">
        <v>84691</v>
      </c>
      <c r="P1440" s="122">
        <v>75344</v>
      </c>
      <c r="Q1440" s="122">
        <v>27905</v>
      </c>
      <c r="R1440" s="122">
        <v>578870</v>
      </c>
      <c r="S1440" s="122">
        <v>526245</v>
      </c>
      <c r="T1440" s="122">
        <v>82447</v>
      </c>
      <c r="U1440" s="122">
        <v>30536</v>
      </c>
      <c r="V1440" s="122">
        <v>1726966</v>
      </c>
      <c r="W1440" s="122">
        <f t="shared" si="44"/>
        <v>1726966</v>
      </c>
      <c r="X1440" s="122">
        <f t="shared" si="45"/>
        <v>2149435</v>
      </c>
    </row>
    <row r="1441" spans="2:24">
      <c r="B1441" t="s">
        <v>372</v>
      </c>
      <c r="C1441" t="s">
        <v>58</v>
      </c>
      <c r="F1441">
        <v>1</v>
      </c>
      <c r="G1441">
        <v>68</v>
      </c>
      <c r="H1441">
        <v>244</v>
      </c>
      <c r="J1441">
        <v>0</v>
      </c>
      <c r="M1441">
        <v>0</v>
      </c>
      <c r="N1441" s="122">
        <v>1480</v>
      </c>
      <c r="O1441">
        <v>548</v>
      </c>
      <c r="P1441">
        <v>0</v>
      </c>
      <c r="Q1441">
        <v>0</v>
      </c>
      <c r="S1441">
        <v>0</v>
      </c>
      <c r="T1441">
        <v>0</v>
      </c>
      <c r="U1441">
        <v>0</v>
      </c>
      <c r="V1441">
        <v>548</v>
      </c>
      <c r="W1441" s="122">
        <f t="shared" si="44"/>
        <v>548</v>
      </c>
      <c r="X1441" s="122">
        <f t="shared" si="45"/>
        <v>1480</v>
      </c>
    </row>
    <row r="1442" spans="2:24">
      <c r="B1442" t="s">
        <v>372</v>
      </c>
      <c r="C1442" t="s">
        <v>58</v>
      </c>
      <c r="D1442" t="s">
        <v>405</v>
      </c>
      <c r="E1442" t="s">
        <v>405</v>
      </c>
      <c r="F1442">
        <v>1</v>
      </c>
      <c r="G1442">
        <v>83</v>
      </c>
      <c r="H1442">
        <v>250</v>
      </c>
      <c r="I1442" s="122">
        <v>13411</v>
      </c>
      <c r="J1442" s="122">
        <v>12192</v>
      </c>
      <c r="K1442">
        <v>81</v>
      </c>
      <c r="L1442">
        <v>0</v>
      </c>
      <c r="M1442">
        <v>0</v>
      </c>
      <c r="N1442" s="122">
        <v>1513</v>
      </c>
      <c r="O1442">
        <v>560</v>
      </c>
      <c r="P1442">
        <v>473</v>
      </c>
      <c r="Q1442">
        <v>175</v>
      </c>
      <c r="R1442" s="122">
        <v>5266</v>
      </c>
      <c r="S1442" s="122">
        <v>4787</v>
      </c>
      <c r="T1442">
        <v>0</v>
      </c>
      <c r="U1442">
        <v>0</v>
      </c>
      <c r="V1442" s="122">
        <v>17714</v>
      </c>
      <c r="W1442" s="122">
        <f t="shared" si="44"/>
        <v>17714</v>
      </c>
      <c r="X1442" s="122">
        <f t="shared" si="45"/>
        <v>20663</v>
      </c>
    </row>
    <row r="1443" spans="2:24">
      <c r="B1443" t="s">
        <v>372</v>
      </c>
      <c r="C1443" t="s">
        <v>58</v>
      </c>
      <c r="D1443" t="s">
        <v>137</v>
      </c>
      <c r="E1443" t="s">
        <v>137</v>
      </c>
      <c r="F1443">
        <v>172</v>
      </c>
      <c r="G1443" s="122">
        <v>11310</v>
      </c>
      <c r="H1443" s="122">
        <v>44902</v>
      </c>
      <c r="I1443" s="122">
        <v>1489465</v>
      </c>
      <c r="J1443" s="122">
        <v>551654</v>
      </c>
      <c r="K1443">
        <v>100</v>
      </c>
      <c r="L1443" s="122">
        <v>165772</v>
      </c>
      <c r="M1443" s="122">
        <v>66394</v>
      </c>
      <c r="N1443" s="122">
        <v>230666</v>
      </c>
      <c r="O1443" s="122">
        <v>85432</v>
      </c>
      <c r="P1443">
        <v>621</v>
      </c>
      <c r="Q1443">
        <v>230</v>
      </c>
      <c r="R1443" s="122">
        <v>1048313</v>
      </c>
      <c r="S1443" s="122">
        <v>388264</v>
      </c>
      <c r="T1443" s="122">
        <v>2087</v>
      </c>
      <c r="U1443">
        <v>773</v>
      </c>
      <c r="V1443" s="122">
        <v>1092746</v>
      </c>
      <c r="W1443" s="122">
        <f t="shared" si="44"/>
        <v>1092747</v>
      </c>
      <c r="X1443" s="122">
        <f t="shared" si="45"/>
        <v>2936924</v>
      </c>
    </row>
    <row r="1444" spans="2:24">
      <c r="B1444" t="s">
        <v>372</v>
      </c>
      <c r="C1444" t="s">
        <v>58</v>
      </c>
      <c r="D1444" t="s">
        <v>406</v>
      </c>
      <c r="E1444" t="s">
        <v>406</v>
      </c>
      <c r="F1444">
        <v>25</v>
      </c>
      <c r="G1444" s="122">
        <v>2514</v>
      </c>
      <c r="H1444" s="122">
        <v>6390</v>
      </c>
      <c r="I1444" s="122">
        <v>421262</v>
      </c>
      <c r="J1444" s="122">
        <v>382966</v>
      </c>
      <c r="K1444">
        <v>83</v>
      </c>
      <c r="L1444" s="122">
        <v>67261</v>
      </c>
      <c r="M1444" s="122">
        <v>60171</v>
      </c>
      <c r="N1444" s="122">
        <v>49630</v>
      </c>
      <c r="O1444" s="122">
        <v>18381</v>
      </c>
      <c r="P1444" s="122">
        <v>17327</v>
      </c>
      <c r="Q1444" s="122">
        <v>6417</v>
      </c>
      <c r="R1444" s="122">
        <v>114889</v>
      </c>
      <c r="S1444" s="122">
        <v>104444</v>
      </c>
      <c r="T1444" s="122">
        <v>29061</v>
      </c>
      <c r="U1444" s="122">
        <v>10763</v>
      </c>
      <c r="V1444" s="122">
        <v>583144</v>
      </c>
      <c r="W1444" s="122">
        <f t="shared" si="44"/>
        <v>583142</v>
      </c>
      <c r="X1444" s="122">
        <f t="shared" si="45"/>
        <v>699430</v>
      </c>
    </row>
    <row r="1445" spans="2:24">
      <c r="B1445" t="s">
        <v>372</v>
      </c>
      <c r="C1445" t="s">
        <v>58</v>
      </c>
      <c r="D1445" t="s">
        <v>407</v>
      </c>
      <c r="E1445" t="s">
        <v>137</v>
      </c>
      <c r="F1445">
        <v>3</v>
      </c>
      <c r="G1445">
        <v>185</v>
      </c>
      <c r="H1445">
        <v>703</v>
      </c>
      <c r="I1445" s="122">
        <v>26292</v>
      </c>
      <c r="J1445" s="122">
        <v>23901</v>
      </c>
      <c r="K1445">
        <v>79</v>
      </c>
      <c r="L1445">
        <v>0</v>
      </c>
      <c r="M1445">
        <v>0</v>
      </c>
      <c r="N1445" s="122">
        <v>4368</v>
      </c>
      <c r="O1445" s="122">
        <v>1618</v>
      </c>
      <c r="P1445" s="122">
        <v>1418</v>
      </c>
      <c r="Q1445">
        <v>525</v>
      </c>
      <c r="R1445" s="122">
        <v>11332</v>
      </c>
      <c r="S1445" s="122">
        <v>4197</v>
      </c>
      <c r="T1445">
        <v>0</v>
      </c>
      <c r="U1445">
        <v>0</v>
      </c>
      <c r="V1445" s="122">
        <v>30241</v>
      </c>
      <c r="W1445" s="122">
        <f t="shared" si="44"/>
        <v>30241</v>
      </c>
      <c r="X1445" s="122">
        <f t="shared" si="45"/>
        <v>43410</v>
      </c>
    </row>
    <row r="1446" spans="2:24">
      <c r="B1446" t="s">
        <v>372</v>
      </c>
      <c r="C1446" t="s">
        <v>58</v>
      </c>
      <c r="D1446" t="s">
        <v>407</v>
      </c>
      <c r="E1446" t="s">
        <v>407</v>
      </c>
      <c r="F1446">
        <v>26</v>
      </c>
      <c r="G1446" s="122">
        <v>2012</v>
      </c>
      <c r="H1446" s="122">
        <v>6572</v>
      </c>
      <c r="I1446" s="122">
        <v>304652</v>
      </c>
      <c r="J1446" s="122">
        <v>276957</v>
      </c>
      <c r="K1446">
        <v>81</v>
      </c>
      <c r="L1446" s="122">
        <v>29708</v>
      </c>
      <c r="M1446" s="122">
        <v>32980</v>
      </c>
      <c r="N1446" s="122">
        <v>40132</v>
      </c>
      <c r="O1446" s="122">
        <v>14864</v>
      </c>
      <c r="P1446" s="122">
        <v>12285</v>
      </c>
      <c r="Q1446" s="122">
        <v>4550</v>
      </c>
      <c r="R1446" s="122">
        <v>100172</v>
      </c>
      <c r="S1446" s="122">
        <v>91065</v>
      </c>
      <c r="T1446" s="122">
        <v>28429</v>
      </c>
      <c r="U1446" s="122">
        <v>10529</v>
      </c>
      <c r="V1446" s="122">
        <v>430945</v>
      </c>
      <c r="W1446" s="122">
        <f t="shared" si="44"/>
        <v>430945</v>
      </c>
      <c r="X1446" s="122">
        <f t="shared" si="45"/>
        <v>515378</v>
      </c>
    </row>
    <row r="1447" spans="2:24">
      <c r="B1447" t="s">
        <v>372</v>
      </c>
      <c r="C1447" t="s">
        <v>58</v>
      </c>
      <c r="D1447" t="s">
        <v>556</v>
      </c>
      <c r="E1447" t="s">
        <v>556</v>
      </c>
      <c r="F1447">
        <v>6</v>
      </c>
      <c r="G1447">
        <v>398</v>
      </c>
      <c r="H1447" s="122">
        <v>1490</v>
      </c>
      <c r="I1447" s="122">
        <v>45900</v>
      </c>
      <c r="J1447" s="122">
        <v>38250</v>
      </c>
      <c r="K1447">
        <v>55</v>
      </c>
      <c r="L1447">
        <v>0</v>
      </c>
      <c r="M1447">
        <v>0</v>
      </c>
      <c r="N1447" s="122">
        <v>7405</v>
      </c>
      <c r="O1447" s="122">
        <v>2743</v>
      </c>
      <c r="P1447" s="122">
        <v>2106</v>
      </c>
      <c r="Q1447">
        <v>780</v>
      </c>
      <c r="R1447" s="122">
        <v>31063</v>
      </c>
      <c r="S1447" s="122">
        <v>25885</v>
      </c>
      <c r="T1447" s="122">
        <v>12411</v>
      </c>
      <c r="U1447" s="122">
        <v>4597</v>
      </c>
      <c r="V1447" s="122">
        <v>72255</v>
      </c>
      <c r="W1447" s="122">
        <f t="shared" si="44"/>
        <v>72255</v>
      </c>
      <c r="X1447" s="122">
        <f t="shared" si="45"/>
        <v>98885</v>
      </c>
    </row>
    <row r="1448" spans="2:24">
      <c r="B1448" t="s">
        <v>372</v>
      </c>
      <c r="C1448" t="s">
        <v>58</v>
      </c>
      <c r="D1448" t="s">
        <v>426</v>
      </c>
      <c r="E1448" t="s">
        <v>426</v>
      </c>
      <c r="F1448">
        <v>5</v>
      </c>
      <c r="G1448">
        <v>389</v>
      </c>
      <c r="H1448" s="122">
        <v>1450</v>
      </c>
      <c r="I1448" s="122">
        <v>59469</v>
      </c>
      <c r="J1448" s="122">
        <v>54063</v>
      </c>
      <c r="K1448">
        <v>63</v>
      </c>
      <c r="L1448" s="122">
        <v>12335</v>
      </c>
      <c r="M1448" s="122">
        <v>11214</v>
      </c>
      <c r="N1448" s="122">
        <v>7033</v>
      </c>
      <c r="O1448" s="122">
        <v>2605</v>
      </c>
      <c r="P1448" s="122">
        <v>2025</v>
      </c>
      <c r="Q1448">
        <v>750</v>
      </c>
      <c r="R1448" s="122">
        <v>23561</v>
      </c>
      <c r="S1448" s="122">
        <v>21419</v>
      </c>
      <c r="T1448" s="122">
        <v>8837</v>
      </c>
      <c r="U1448" s="122">
        <v>3273</v>
      </c>
      <c r="V1448" s="122">
        <v>93324</v>
      </c>
      <c r="W1448" s="122">
        <f t="shared" si="44"/>
        <v>93324</v>
      </c>
      <c r="X1448" s="122">
        <f t="shared" si="45"/>
        <v>113260</v>
      </c>
    </row>
    <row r="1449" spans="2:24">
      <c r="B1449" t="s">
        <v>372</v>
      </c>
      <c r="C1449" t="s">
        <v>60</v>
      </c>
      <c r="D1449" t="s">
        <v>137</v>
      </c>
      <c r="E1449" t="s">
        <v>137</v>
      </c>
      <c r="F1449">
        <v>75</v>
      </c>
      <c r="G1449" s="122">
        <v>4308</v>
      </c>
      <c r="H1449" s="122">
        <v>25056</v>
      </c>
      <c r="I1449" s="122">
        <v>803624</v>
      </c>
      <c r="J1449" s="122">
        <v>297638</v>
      </c>
      <c r="K1449">
        <v>100</v>
      </c>
      <c r="L1449" s="122">
        <v>87303</v>
      </c>
      <c r="M1449" s="122">
        <v>41522</v>
      </c>
      <c r="N1449" s="122">
        <v>89606</v>
      </c>
      <c r="O1449" s="122">
        <v>33187</v>
      </c>
      <c r="P1449">
        <v>351</v>
      </c>
      <c r="Q1449">
        <v>130</v>
      </c>
      <c r="R1449" s="122">
        <v>449911</v>
      </c>
      <c r="S1449" s="122">
        <v>166634</v>
      </c>
      <c r="T1449" s="122">
        <v>4144</v>
      </c>
      <c r="U1449" s="122">
        <v>1535</v>
      </c>
      <c r="V1449" s="122">
        <v>540646</v>
      </c>
      <c r="W1449" s="122">
        <f t="shared" si="44"/>
        <v>540646</v>
      </c>
      <c r="X1449" s="122">
        <f t="shared" si="45"/>
        <v>1434939</v>
      </c>
    </row>
    <row r="1450" spans="2:24">
      <c r="B1450" t="s">
        <v>372</v>
      </c>
      <c r="C1450" t="s">
        <v>60</v>
      </c>
      <c r="D1450" t="s">
        <v>137</v>
      </c>
      <c r="E1450" t="s">
        <v>426</v>
      </c>
      <c r="F1450">
        <v>1</v>
      </c>
      <c r="G1450">
        <v>79</v>
      </c>
      <c r="H1450">
        <v>319</v>
      </c>
      <c r="I1450" s="122">
        <v>15029</v>
      </c>
      <c r="J1450" s="122">
        <v>5566</v>
      </c>
      <c r="K1450">
        <v>100</v>
      </c>
      <c r="L1450" s="122">
        <v>1237</v>
      </c>
      <c r="M1450" s="122">
        <v>1124</v>
      </c>
      <c r="N1450" s="122">
        <v>1496</v>
      </c>
      <c r="O1450">
        <v>554</v>
      </c>
      <c r="P1450">
        <v>351</v>
      </c>
      <c r="Q1450">
        <v>130</v>
      </c>
      <c r="R1450" s="122">
        <v>4866</v>
      </c>
      <c r="S1450" s="122">
        <v>4423</v>
      </c>
      <c r="T1450" s="122">
        <v>2148</v>
      </c>
      <c r="U1450">
        <v>796</v>
      </c>
      <c r="V1450" s="122">
        <v>12594</v>
      </c>
      <c r="W1450" s="122">
        <f t="shared" si="44"/>
        <v>12593</v>
      </c>
      <c r="X1450" s="122">
        <f t="shared" si="45"/>
        <v>25127</v>
      </c>
    </row>
    <row r="1451" spans="2:24">
      <c r="B1451" t="s">
        <v>372</v>
      </c>
      <c r="C1451" t="s">
        <v>60</v>
      </c>
      <c r="D1451" t="s">
        <v>406</v>
      </c>
      <c r="E1451" t="s">
        <v>406</v>
      </c>
      <c r="F1451">
        <v>9</v>
      </c>
      <c r="G1451">
        <v>821</v>
      </c>
      <c r="H1451" s="122">
        <v>3209</v>
      </c>
      <c r="I1451" s="122">
        <v>194909</v>
      </c>
      <c r="J1451" s="122">
        <v>177190</v>
      </c>
      <c r="K1451">
        <v>78</v>
      </c>
      <c r="L1451" s="122">
        <v>20449</v>
      </c>
      <c r="M1451" s="122">
        <v>18258</v>
      </c>
      <c r="N1451" s="122">
        <v>14986</v>
      </c>
      <c r="O1451" s="122">
        <v>5550</v>
      </c>
      <c r="P1451" s="122">
        <v>5670</v>
      </c>
      <c r="Q1451" s="122">
        <v>2100</v>
      </c>
      <c r="R1451" s="122">
        <v>42419</v>
      </c>
      <c r="S1451" s="122">
        <v>38563</v>
      </c>
      <c r="T1451" s="122">
        <v>10728</v>
      </c>
      <c r="U1451" s="122">
        <v>3973</v>
      </c>
      <c r="V1451" s="122">
        <v>245635</v>
      </c>
      <c r="W1451" s="122">
        <f t="shared" ref="W1451:W1514" si="46">SUM(ABS(J1451),ABS(M1451),ABS(O1451),ABS(Q1451),ABS(S1451),ABS(U1451))</f>
        <v>245634</v>
      </c>
      <c r="X1451" s="122">
        <f t="shared" ref="X1451:X1514" si="47">SUM(ABS(I1451),ABS(N1451),ABS(P1451),ABS(R1451),ABS(T1451),ABS(L1451))</f>
        <v>289161</v>
      </c>
    </row>
    <row r="1452" spans="2:24">
      <c r="B1452" t="s">
        <v>372</v>
      </c>
      <c r="C1452" t="s">
        <v>60</v>
      </c>
      <c r="D1452" t="s">
        <v>407</v>
      </c>
      <c r="E1452" t="s">
        <v>407</v>
      </c>
      <c r="F1452">
        <v>6</v>
      </c>
      <c r="G1452">
        <v>310</v>
      </c>
      <c r="H1452" s="122">
        <v>1984</v>
      </c>
      <c r="I1452" s="122">
        <v>57408</v>
      </c>
      <c r="J1452" s="122">
        <v>52189</v>
      </c>
      <c r="K1452">
        <v>75</v>
      </c>
      <c r="L1452" s="122">
        <v>4659</v>
      </c>
      <c r="M1452" s="122">
        <v>9887</v>
      </c>
      <c r="N1452" s="122">
        <v>6405</v>
      </c>
      <c r="O1452" s="122">
        <v>2372</v>
      </c>
      <c r="P1452" s="122">
        <v>2835</v>
      </c>
      <c r="Q1452" s="122">
        <v>1050</v>
      </c>
      <c r="R1452" s="122">
        <v>20888</v>
      </c>
      <c r="S1452" s="122">
        <v>18989</v>
      </c>
      <c r="T1452" s="122">
        <v>9747</v>
      </c>
      <c r="U1452" s="122">
        <v>3610</v>
      </c>
      <c r="V1452" s="122">
        <v>88097</v>
      </c>
      <c r="W1452" s="122">
        <f t="shared" si="46"/>
        <v>88097</v>
      </c>
      <c r="X1452" s="122">
        <f t="shared" si="47"/>
        <v>101942</v>
      </c>
    </row>
    <row r="1453" spans="2:24">
      <c r="B1453" t="s">
        <v>372</v>
      </c>
      <c r="C1453" t="s">
        <v>60</v>
      </c>
      <c r="D1453" t="s">
        <v>556</v>
      </c>
      <c r="E1453" t="s">
        <v>556</v>
      </c>
      <c r="F1453">
        <v>1</v>
      </c>
      <c r="G1453">
        <v>67</v>
      </c>
      <c r="H1453">
        <v>321</v>
      </c>
      <c r="I1453" s="122">
        <v>14485</v>
      </c>
      <c r="J1453" s="122">
        <v>12071</v>
      </c>
      <c r="K1453">
        <v>55</v>
      </c>
      <c r="L1453">
        <v>0</v>
      </c>
      <c r="M1453">
        <v>0</v>
      </c>
      <c r="N1453">
        <v>935</v>
      </c>
      <c r="O1453">
        <v>346</v>
      </c>
      <c r="P1453">
        <v>351</v>
      </c>
      <c r="Q1453">
        <v>130</v>
      </c>
      <c r="R1453" s="122">
        <v>4322</v>
      </c>
      <c r="S1453" s="122">
        <v>3602</v>
      </c>
      <c r="T1453" s="122">
        <v>1547</v>
      </c>
      <c r="U1453">
        <v>573</v>
      </c>
      <c r="V1453" s="122">
        <v>16722</v>
      </c>
      <c r="W1453" s="122">
        <f t="shared" si="46"/>
        <v>16722</v>
      </c>
      <c r="X1453" s="122">
        <f t="shared" si="47"/>
        <v>21640</v>
      </c>
    </row>
    <row r="1454" spans="2:24">
      <c r="B1454" t="s">
        <v>372</v>
      </c>
      <c r="C1454" t="s">
        <v>60</v>
      </c>
      <c r="D1454" t="s">
        <v>426</v>
      </c>
      <c r="E1454" t="s">
        <v>426</v>
      </c>
      <c r="F1454">
        <v>1</v>
      </c>
      <c r="G1454">
        <v>97</v>
      </c>
      <c r="H1454">
        <v>314</v>
      </c>
      <c r="I1454" s="122">
        <v>19445</v>
      </c>
      <c r="J1454" s="122">
        <v>17677</v>
      </c>
      <c r="K1454">
        <v>55</v>
      </c>
      <c r="L1454">
        <v>0</v>
      </c>
      <c r="M1454">
        <v>0</v>
      </c>
      <c r="N1454" s="122">
        <v>2004</v>
      </c>
      <c r="O1454">
        <v>742</v>
      </c>
      <c r="P1454">
        <v>351</v>
      </c>
      <c r="Q1454">
        <v>130</v>
      </c>
      <c r="R1454" s="122">
        <v>5905</v>
      </c>
      <c r="S1454" s="122">
        <v>5368</v>
      </c>
      <c r="T1454" s="122">
        <v>2839</v>
      </c>
      <c r="U1454" s="122">
        <v>1051</v>
      </c>
      <c r="V1454" s="122">
        <v>24968</v>
      </c>
      <c r="W1454" s="122">
        <f t="shared" si="46"/>
        <v>24968</v>
      </c>
      <c r="X1454" s="122">
        <f t="shared" si="47"/>
        <v>30544</v>
      </c>
    </row>
    <row r="1455" spans="2:24">
      <c r="B1455" t="s">
        <v>372</v>
      </c>
      <c r="C1455" t="s">
        <v>62</v>
      </c>
      <c r="F1455">
        <v>3</v>
      </c>
      <c r="G1455">
        <v>131</v>
      </c>
      <c r="H1455" s="122">
        <v>1297</v>
      </c>
      <c r="J1455">
        <v>0</v>
      </c>
      <c r="M1455">
        <v>0</v>
      </c>
      <c r="N1455" s="122">
        <v>2747</v>
      </c>
      <c r="O1455" s="122">
        <v>1017</v>
      </c>
      <c r="P1455">
        <v>0</v>
      </c>
      <c r="Q1455">
        <v>0</v>
      </c>
      <c r="S1455">
        <v>0</v>
      </c>
      <c r="T1455">
        <v>0</v>
      </c>
      <c r="U1455">
        <v>0</v>
      </c>
      <c r="V1455" s="122">
        <v>1017</v>
      </c>
      <c r="W1455" s="122">
        <f t="shared" si="46"/>
        <v>1017</v>
      </c>
      <c r="X1455" s="122">
        <f t="shared" si="47"/>
        <v>2747</v>
      </c>
    </row>
    <row r="1456" spans="2:24">
      <c r="B1456" t="s">
        <v>372</v>
      </c>
      <c r="C1456" t="s">
        <v>62</v>
      </c>
      <c r="D1456" t="s">
        <v>137</v>
      </c>
      <c r="E1456" t="s">
        <v>137</v>
      </c>
      <c r="F1456">
        <v>24</v>
      </c>
      <c r="G1456" s="122">
        <v>1216</v>
      </c>
      <c r="H1456" s="122">
        <v>9832</v>
      </c>
      <c r="I1456" s="122">
        <v>309742</v>
      </c>
      <c r="J1456" s="122">
        <v>114719</v>
      </c>
      <c r="K1456">
        <v>100</v>
      </c>
      <c r="L1456" s="122">
        <v>23566</v>
      </c>
      <c r="M1456" s="122">
        <v>11898</v>
      </c>
      <c r="N1456" s="122">
        <v>24732</v>
      </c>
      <c r="O1456" s="122">
        <v>9160</v>
      </c>
      <c r="P1456">
        <v>0</v>
      </c>
      <c r="Q1456">
        <v>0</v>
      </c>
      <c r="R1456" s="122">
        <v>140411</v>
      </c>
      <c r="S1456" s="122">
        <v>52004</v>
      </c>
      <c r="T1456">
        <v>0</v>
      </c>
      <c r="U1456">
        <v>0</v>
      </c>
      <c r="V1456" s="122">
        <v>187781</v>
      </c>
      <c r="W1456" s="122">
        <f t="shared" si="46"/>
        <v>187781</v>
      </c>
      <c r="X1456" s="122">
        <f t="shared" si="47"/>
        <v>498451</v>
      </c>
    </row>
    <row r="1457" spans="2:24">
      <c r="B1457" t="s">
        <v>372</v>
      </c>
      <c r="C1457" t="s">
        <v>62</v>
      </c>
      <c r="D1457" t="s">
        <v>406</v>
      </c>
      <c r="E1457" t="s">
        <v>406</v>
      </c>
      <c r="F1457">
        <v>2</v>
      </c>
      <c r="G1457">
        <v>244</v>
      </c>
      <c r="H1457">
        <v>781</v>
      </c>
      <c r="I1457" s="122">
        <v>67164</v>
      </c>
      <c r="J1457" s="122">
        <v>61058</v>
      </c>
      <c r="K1457">
        <v>82</v>
      </c>
      <c r="L1457" s="122">
        <v>8768</v>
      </c>
      <c r="M1457" s="122">
        <v>7971</v>
      </c>
      <c r="N1457" s="122">
        <v>5563</v>
      </c>
      <c r="O1457" s="122">
        <v>2060</v>
      </c>
      <c r="P1457" s="122">
        <v>1242</v>
      </c>
      <c r="Q1457">
        <v>460</v>
      </c>
      <c r="R1457" s="122">
        <v>7636</v>
      </c>
      <c r="S1457" s="122">
        <v>6942</v>
      </c>
      <c r="T1457" s="122">
        <v>5624</v>
      </c>
      <c r="U1457" s="122">
        <v>2083</v>
      </c>
      <c r="V1457" s="122">
        <v>80574</v>
      </c>
      <c r="W1457" s="122">
        <f t="shared" si="46"/>
        <v>80574</v>
      </c>
      <c r="X1457" s="122">
        <f t="shared" si="47"/>
        <v>95997</v>
      </c>
    </row>
    <row r="1458" spans="2:24">
      <c r="B1458" t="s">
        <v>372</v>
      </c>
      <c r="C1458" t="s">
        <v>62</v>
      </c>
      <c r="D1458" t="s">
        <v>407</v>
      </c>
      <c r="E1458" t="s">
        <v>407</v>
      </c>
      <c r="F1458">
        <v>2</v>
      </c>
      <c r="G1458">
        <v>266</v>
      </c>
      <c r="H1458">
        <v>782</v>
      </c>
      <c r="I1458" s="122">
        <v>62054</v>
      </c>
      <c r="J1458" s="122">
        <v>56412</v>
      </c>
      <c r="K1458">
        <v>78</v>
      </c>
      <c r="L1458" s="122">
        <v>21485</v>
      </c>
      <c r="M1458" s="122">
        <v>18708</v>
      </c>
      <c r="N1458" s="122">
        <v>5489</v>
      </c>
      <c r="O1458" s="122">
        <v>2033</v>
      </c>
      <c r="P1458">
        <v>945</v>
      </c>
      <c r="Q1458">
        <v>350</v>
      </c>
      <c r="R1458" s="122">
        <v>10291</v>
      </c>
      <c r="S1458" s="122">
        <v>9355</v>
      </c>
      <c r="T1458" s="122">
        <v>3324</v>
      </c>
      <c r="U1458" s="122">
        <v>1231</v>
      </c>
      <c r="V1458" s="122">
        <v>88089</v>
      </c>
      <c r="W1458" s="122">
        <f t="shared" si="46"/>
        <v>88089</v>
      </c>
      <c r="X1458" s="122">
        <f t="shared" si="47"/>
        <v>103588</v>
      </c>
    </row>
    <row r="1459" spans="2:24">
      <c r="B1459" t="s">
        <v>372</v>
      </c>
      <c r="C1459" t="s">
        <v>62</v>
      </c>
      <c r="D1459" t="s">
        <v>426</v>
      </c>
      <c r="E1459" t="s">
        <v>137</v>
      </c>
      <c r="F1459">
        <v>1</v>
      </c>
      <c r="G1459">
        <v>41</v>
      </c>
      <c r="H1459">
        <v>424</v>
      </c>
      <c r="I1459" s="122">
        <v>10261</v>
      </c>
      <c r="J1459" s="122">
        <v>9328</v>
      </c>
      <c r="K1459">
        <v>55</v>
      </c>
      <c r="L1459" s="122">
        <v>1539</v>
      </c>
      <c r="M1459">
        <v>570</v>
      </c>
      <c r="N1459">
        <v>997</v>
      </c>
      <c r="O1459">
        <v>369</v>
      </c>
      <c r="P1459">
        <v>351</v>
      </c>
      <c r="Q1459">
        <v>130</v>
      </c>
      <c r="R1459" s="122">
        <v>4214</v>
      </c>
      <c r="S1459" s="122">
        <v>1561</v>
      </c>
      <c r="T1459">
        <v>0</v>
      </c>
      <c r="U1459">
        <v>0</v>
      </c>
      <c r="V1459" s="122">
        <v>11958</v>
      </c>
      <c r="W1459" s="122">
        <f t="shared" si="46"/>
        <v>11958</v>
      </c>
      <c r="X1459" s="122">
        <f t="shared" si="47"/>
        <v>17362</v>
      </c>
    </row>
    <row r="1460" spans="2:24">
      <c r="B1460" t="s">
        <v>372</v>
      </c>
      <c r="C1460" t="s">
        <v>64</v>
      </c>
      <c r="F1460">
        <v>1</v>
      </c>
      <c r="G1460">
        <v>39</v>
      </c>
      <c r="H1460">
        <v>509</v>
      </c>
      <c r="J1460">
        <v>0</v>
      </c>
      <c r="M1460">
        <v>0</v>
      </c>
      <c r="N1460">
        <v>950</v>
      </c>
      <c r="O1460">
        <v>352</v>
      </c>
      <c r="P1460">
        <v>0</v>
      </c>
      <c r="Q1460">
        <v>0</v>
      </c>
      <c r="S1460">
        <v>0</v>
      </c>
      <c r="T1460">
        <v>0</v>
      </c>
      <c r="U1460">
        <v>0</v>
      </c>
      <c r="V1460">
        <v>352</v>
      </c>
      <c r="W1460" s="122">
        <f t="shared" si="46"/>
        <v>352</v>
      </c>
      <c r="X1460" s="122">
        <f t="shared" si="47"/>
        <v>950</v>
      </c>
    </row>
    <row r="1461" spans="2:24">
      <c r="B1461" t="s">
        <v>372</v>
      </c>
      <c r="C1461" t="s">
        <v>64</v>
      </c>
      <c r="D1461" t="s">
        <v>137</v>
      </c>
      <c r="E1461" t="s">
        <v>137</v>
      </c>
      <c r="F1461">
        <v>33</v>
      </c>
      <c r="G1461" s="122">
        <v>1618</v>
      </c>
      <c r="H1461" s="122">
        <v>21553</v>
      </c>
      <c r="I1461" s="122">
        <v>758740</v>
      </c>
      <c r="J1461" s="122">
        <v>281015</v>
      </c>
      <c r="K1461">
        <v>100</v>
      </c>
      <c r="L1461" s="122">
        <v>67479</v>
      </c>
      <c r="M1461" s="122">
        <v>42965</v>
      </c>
      <c r="N1461" s="122">
        <v>35072</v>
      </c>
      <c r="O1461" s="122">
        <v>12990</v>
      </c>
      <c r="P1461">
        <v>0</v>
      </c>
      <c r="Q1461">
        <v>0</v>
      </c>
      <c r="R1461" s="122">
        <v>185601</v>
      </c>
      <c r="S1461" s="122">
        <v>68741</v>
      </c>
      <c r="T1461">
        <v>0</v>
      </c>
      <c r="U1461">
        <v>0</v>
      </c>
      <c r="V1461" s="122">
        <v>405710</v>
      </c>
      <c r="W1461" s="122">
        <f t="shared" si="46"/>
        <v>405711</v>
      </c>
      <c r="X1461" s="122">
        <f t="shared" si="47"/>
        <v>1046892</v>
      </c>
    </row>
    <row r="1462" spans="2:24">
      <c r="B1462" t="s">
        <v>372</v>
      </c>
      <c r="C1462" t="s">
        <v>64</v>
      </c>
      <c r="D1462" t="s">
        <v>137</v>
      </c>
      <c r="E1462" t="s">
        <v>406</v>
      </c>
      <c r="F1462">
        <v>1</v>
      </c>
      <c r="G1462">
        <v>71</v>
      </c>
      <c r="H1462">
        <v>487</v>
      </c>
      <c r="I1462" s="122">
        <v>23721</v>
      </c>
      <c r="J1462" s="122">
        <v>8785</v>
      </c>
      <c r="K1462">
        <v>100</v>
      </c>
      <c r="L1462" s="122">
        <v>4027</v>
      </c>
      <c r="M1462" s="122">
        <v>3661</v>
      </c>
      <c r="N1462" s="122">
        <v>1740</v>
      </c>
      <c r="O1462">
        <v>644</v>
      </c>
      <c r="P1462">
        <v>0</v>
      </c>
      <c r="Q1462">
        <v>0</v>
      </c>
      <c r="R1462" s="122">
        <v>3709</v>
      </c>
      <c r="S1462" s="122">
        <v>3372</v>
      </c>
      <c r="T1462" s="122">
        <v>1604</v>
      </c>
      <c r="U1462">
        <v>594</v>
      </c>
      <c r="V1462" s="122">
        <v>17057</v>
      </c>
      <c r="W1462" s="122">
        <f t="shared" si="46"/>
        <v>17056</v>
      </c>
      <c r="X1462" s="122">
        <f t="shared" si="47"/>
        <v>34801</v>
      </c>
    </row>
    <row r="1463" spans="2:24">
      <c r="B1463" t="s">
        <v>372</v>
      </c>
      <c r="C1463" t="s">
        <v>64</v>
      </c>
      <c r="D1463" t="s">
        <v>406</v>
      </c>
      <c r="E1463" t="s">
        <v>406</v>
      </c>
      <c r="F1463">
        <v>6</v>
      </c>
      <c r="G1463">
        <v>639</v>
      </c>
      <c r="H1463" s="122">
        <v>2992</v>
      </c>
      <c r="I1463" s="122">
        <v>210542</v>
      </c>
      <c r="J1463" s="122">
        <v>191402</v>
      </c>
      <c r="K1463">
        <v>73</v>
      </c>
      <c r="L1463" s="122">
        <v>44534</v>
      </c>
      <c r="M1463" s="122">
        <v>40485</v>
      </c>
      <c r="N1463" s="122">
        <v>14810</v>
      </c>
      <c r="O1463" s="122">
        <v>5485</v>
      </c>
      <c r="P1463" s="122">
        <v>3726</v>
      </c>
      <c r="Q1463" s="122">
        <v>1380</v>
      </c>
      <c r="R1463" s="122">
        <v>33673</v>
      </c>
      <c r="S1463" s="122">
        <v>30612</v>
      </c>
      <c r="T1463" s="122">
        <v>10870</v>
      </c>
      <c r="U1463" s="122">
        <v>4026</v>
      </c>
      <c r="V1463" s="122">
        <v>273390</v>
      </c>
      <c r="W1463" s="122">
        <f t="shared" si="46"/>
        <v>273390</v>
      </c>
      <c r="X1463" s="122">
        <f t="shared" si="47"/>
        <v>318155</v>
      </c>
    </row>
    <row r="1464" spans="2:24">
      <c r="B1464" t="s">
        <v>372</v>
      </c>
      <c r="C1464" t="s">
        <v>64</v>
      </c>
      <c r="D1464" t="s">
        <v>407</v>
      </c>
      <c r="E1464" t="s">
        <v>407</v>
      </c>
      <c r="F1464">
        <v>1</v>
      </c>
      <c r="G1464">
        <v>70</v>
      </c>
      <c r="H1464">
        <v>666</v>
      </c>
      <c r="I1464" s="122">
        <v>30586</v>
      </c>
      <c r="J1464" s="122">
        <v>27805</v>
      </c>
      <c r="K1464">
        <v>80</v>
      </c>
      <c r="L1464" s="122">
        <v>9343</v>
      </c>
      <c r="M1464" s="122">
        <v>7785</v>
      </c>
      <c r="N1464" s="122">
        <v>1699</v>
      </c>
      <c r="O1464">
        <v>629</v>
      </c>
      <c r="P1464">
        <v>473</v>
      </c>
      <c r="Q1464">
        <v>175</v>
      </c>
      <c r="R1464" s="122">
        <v>4355</v>
      </c>
      <c r="S1464" s="122">
        <v>3959</v>
      </c>
      <c r="T1464">
        <v>0</v>
      </c>
      <c r="U1464">
        <v>0</v>
      </c>
      <c r="V1464" s="122">
        <v>40354</v>
      </c>
      <c r="W1464" s="122">
        <f t="shared" si="46"/>
        <v>40353</v>
      </c>
      <c r="X1464" s="122">
        <f t="shared" si="47"/>
        <v>46456</v>
      </c>
    </row>
    <row r="1465" spans="2:24">
      <c r="B1465" t="s">
        <v>372</v>
      </c>
      <c r="C1465" t="s">
        <v>64</v>
      </c>
      <c r="D1465" t="s">
        <v>556</v>
      </c>
      <c r="E1465" t="s">
        <v>137</v>
      </c>
      <c r="F1465">
        <v>1</v>
      </c>
      <c r="G1465">
        <v>43</v>
      </c>
      <c r="H1465">
        <v>763</v>
      </c>
      <c r="I1465" s="122">
        <v>26835</v>
      </c>
      <c r="J1465" s="122">
        <v>22362</v>
      </c>
      <c r="K1465">
        <v>60</v>
      </c>
      <c r="L1465">
        <v>0</v>
      </c>
      <c r="M1465">
        <v>0</v>
      </c>
      <c r="N1465">
        <v>528</v>
      </c>
      <c r="O1465">
        <v>195</v>
      </c>
      <c r="P1465">
        <v>0</v>
      </c>
      <c r="Q1465">
        <v>0</v>
      </c>
      <c r="R1465" s="122">
        <v>5670</v>
      </c>
      <c r="S1465" s="122">
        <v>2100</v>
      </c>
      <c r="T1465">
        <v>0</v>
      </c>
      <c r="U1465">
        <v>0</v>
      </c>
      <c r="V1465" s="122">
        <v>24658</v>
      </c>
      <c r="W1465" s="122">
        <f t="shared" si="46"/>
        <v>24657</v>
      </c>
      <c r="X1465" s="122">
        <f t="shared" si="47"/>
        <v>33033</v>
      </c>
    </row>
    <row r="1466" spans="2:24">
      <c r="B1466" t="s">
        <v>372</v>
      </c>
      <c r="C1466" t="s">
        <v>64</v>
      </c>
      <c r="D1466" t="s">
        <v>556</v>
      </c>
      <c r="E1466" t="s">
        <v>556</v>
      </c>
      <c r="F1466">
        <v>1</v>
      </c>
      <c r="G1466">
        <v>101</v>
      </c>
      <c r="H1466">
        <v>569</v>
      </c>
      <c r="I1466" s="122">
        <v>39937</v>
      </c>
      <c r="J1466" s="122">
        <v>33281</v>
      </c>
      <c r="K1466">
        <v>65</v>
      </c>
      <c r="L1466" s="122">
        <v>9614</v>
      </c>
      <c r="M1466" s="122">
        <v>8012</v>
      </c>
      <c r="N1466" s="122">
        <v>1233</v>
      </c>
      <c r="O1466">
        <v>457</v>
      </c>
      <c r="P1466">
        <v>351</v>
      </c>
      <c r="Q1466">
        <v>130</v>
      </c>
      <c r="R1466" s="122">
        <v>6391</v>
      </c>
      <c r="S1466" s="122">
        <v>5326</v>
      </c>
      <c r="T1466">
        <v>0</v>
      </c>
      <c r="U1466">
        <v>0</v>
      </c>
      <c r="V1466" s="122">
        <v>47205</v>
      </c>
      <c r="W1466" s="122">
        <f t="shared" si="46"/>
        <v>47206</v>
      </c>
      <c r="X1466" s="122">
        <f t="shared" si="47"/>
        <v>57526</v>
      </c>
    </row>
    <row r="1467" spans="2:24">
      <c r="B1467" t="s">
        <v>372</v>
      </c>
      <c r="C1467" t="s">
        <v>64</v>
      </c>
      <c r="D1467" t="s">
        <v>426</v>
      </c>
      <c r="E1467" t="s">
        <v>137</v>
      </c>
      <c r="F1467">
        <v>1</v>
      </c>
      <c r="G1467">
        <v>30</v>
      </c>
      <c r="H1467" s="122">
        <v>1030</v>
      </c>
      <c r="I1467" s="122">
        <v>27960</v>
      </c>
      <c r="J1467" s="122">
        <v>25418</v>
      </c>
      <c r="K1467">
        <v>30</v>
      </c>
      <c r="L1467">
        <v>0</v>
      </c>
      <c r="M1467">
        <v>0</v>
      </c>
      <c r="N1467">
        <v>740</v>
      </c>
      <c r="O1467">
        <v>274</v>
      </c>
      <c r="P1467">
        <v>0</v>
      </c>
      <c r="Q1467">
        <v>0</v>
      </c>
      <c r="R1467" s="122">
        <v>2600</v>
      </c>
      <c r="S1467">
        <v>963</v>
      </c>
      <c r="T1467">
        <v>0</v>
      </c>
      <c r="U1467">
        <v>0</v>
      </c>
      <c r="V1467" s="122">
        <v>26655</v>
      </c>
      <c r="W1467" s="122">
        <f t="shared" si="46"/>
        <v>26655</v>
      </c>
      <c r="X1467" s="122">
        <f t="shared" si="47"/>
        <v>31300</v>
      </c>
    </row>
    <row r="1468" spans="2:24">
      <c r="B1468" t="s">
        <v>372</v>
      </c>
      <c r="C1468" t="s">
        <v>64</v>
      </c>
      <c r="D1468" t="s">
        <v>426</v>
      </c>
      <c r="E1468" t="s">
        <v>426</v>
      </c>
      <c r="F1468">
        <v>4</v>
      </c>
      <c r="G1468">
        <v>363</v>
      </c>
      <c r="H1468" s="122">
        <v>2481</v>
      </c>
      <c r="I1468" s="122">
        <v>162853</v>
      </c>
      <c r="J1468" s="122">
        <v>148048</v>
      </c>
      <c r="K1468">
        <v>50</v>
      </c>
      <c r="L1468" s="122">
        <v>26177</v>
      </c>
      <c r="M1468" s="122">
        <v>23798</v>
      </c>
      <c r="N1468" s="122">
        <v>7309</v>
      </c>
      <c r="O1468" s="122">
        <v>2707</v>
      </c>
      <c r="P1468" s="122">
        <v>1404</v>
      </c>
      <c r="Q1468">
        <v>520</v>
      </c>
      <c r="R1468" s="122">
        <v>22915</v>
      </c>
      <c r="S1468" s="122">
        <v>20832</v>
      </c>
      <c r="T1468" s="122">
        <v>9142</v>
      </c>
      <c r="U1468" s="122">
        <v>3386</v>
      </c>
      <c r="V1468" s="122">
        <v>199291</v>
      </c>
      <c r="W1468" s="122">
        <f t="shared" si="46"/>
        <v>199291</v>
      </c>
      <c r="X1468" s="122">
        <f t="shared" si="47"/>
        <v>229800</v>
      </c>
    </row>
    <row r="1469" spans="2:24">
      <c r="B1469" t="s">
        <v>467</v>
      </c>
      <c r="C1469" t="s">
        <v>50</v>
      </c>
      <c r="D1469" t="s">
        <v>407</v>
      </c>
      <c r="E1469" t="s">
        <v>407</v>
      </c>
      <c r="F1469">
        <v>1</v>
      </c>
      <c r="G1469">
        <v>128</v>
      </c>
      <c r="H1469">
        <v>99</v>
      </c>
      <c r="I1469" s="122">
        <v>3284</v>
      </c>
      <c r="J1469" s="122">
        <v>2985</v>
      </c>
      <c r="K1469">
        <v>80</v>
      </c>
      <c r="L1469">
        <v>682</v>
      </c>
      <c r="M1469">
        <v>253</v>
      </c>
      <c r="N1469" s="122">
        <v>2666</v>
      </c>
      <c r="O1469">
        <v>988</v>
      </c>
      <c r="P1469">
        <v>473</v>
      </c>
      <c r="Q1469">
        <v>175</v>
      </c>
      <c r="R1469" s="122">
        <v>5586</v>
      </c>
      <c r="S1469" s="122">
        <v>5078</v>
      </c>
      <c r="T1469">
        <v>0</v>
      </c>
      <c r="U1469">
        <v>0</v>
      </c>
      <c r="V1469" s="122">
        <v>9479</v>
      </c>
      <c r="W1469" s="122">
        <f t="shared" si="46"/>
        <v>9479</v>
      </c>
      <c r="X1469" s="122">
        <f t="shared" si="47"/>
        <v>12691</v>
      </c>
    </row>
    <row r="1470" spans="2:24">
      <c r="B1470" t="s">
        <v>467</v>
      </c>
      <c r="C1470" t="s">
        <v>52</v>
      </c>
      <c r="D1470" t="s">
        <v>405</v>
      </c>
      <c r="E1470" t="s">
        <v>405</v>
      </c>
      <c r="F1470">
        <v>4</v>
      </c>
      <c r="G1470">
        <v>472</v>
      </c>
      <c r="H1470">
        <v>452</v>
      </c>
      <c r="I1470" s="122">
        <v>19752</v>
      </c>
      <c r="J1470" s="122">
        <v>17957</v>
      </c>
      <c r="K1470">
        <v>83</v>
      </c>
      <c r="L1470" s="122">
        <v>3578</v>
      </c>
      <c r="M1470" s="122">
        <v>1325</v>
      </c>
      <c r="N1470" s="122">
        <v>10552</v>
      </c>
      <c r="O1470" s="122">
        <v>3908</v>
      </c>
      <c r="P1470" s="122">
        <v>1526</v>
      </c>
      <c r="Q1470">
        <v>565</v>
      </c>
      <c r="R1470" s="122">
        <v>17558</v>
      </c>
      <c r="S1470" s="122">
        <v>15962</v>
      </c>
      <c r="T1470">
        <v>0</v>
      </c>
      <c r="U1470">
        <v>0</v>
      </c>
      <c r="V1470" s="122">
        <v>39716</v>
      </c>
      <c r="W1470" s="122">
        <f t="shared" si="46"/>
        <v>39717</v>
      </c>
      <c r="X1470" s="122">
        <f t="shared" si="47"/>
        <v>52966</v>
      </c>
    </row>
    <row r="1471" spans="2:24">
      <c r="B1471" t="s">
        <v>467</v>
      </c>
      <c r="C1471" t="s">
        <v>52</v>
      </c>
      <c r="D1471" t="s">
        <v>137</v>
      </c>
      <c r="E1471" t="s">
        <v>137</v>
      </c>
      <c r="F1471">
        <v>4</v>
      </c>
      <c r="G1471">
        <v>348</v>
      </c>
      <c r="H1471">
        <v>472</v>
      </c>
      <c r="I1471" s="122">
        <v>8079</v>
      </c>
      <c r="J1471" s="122">
        <v>2992</v>
      </c>
      <c r="K1471">
        <v>176</v>
      </c>
      <c r="L1471" s="122">
        <v>1653</v>
      </c>
      <c r="M1471" s="122">
        <v>1089</v>
      </c>
      <c r="N1471" s="122">
        <v>7029</v>
      </c>
      <c r="O1471" s="122">
        <v>2603</v>
      </c>
      <c r="P1471">
        <v>351</v>
      </c>
      <c r="Q1471">
        <v>130</v>
      </c>
      <c r="R1471" s="122">
        <v>23920</v>
      </c>
      <c r="S1471" s="122">
        <v>8859</v>
      </c>
      <c r="T1471">
        <v>0</v>
      </c>
      <c r="U1471">
        <v>0</v>
      </c>
      <c r="V1471" s="122">
        <v>15673</v>
      </c>
      <c r="W1471" s="122">
        <f t="shared" si="46"/>
        <v>15673</v>
      </c>
      <c r="X1471" s="122">
        <f t="shared" si="47"/>
        <v>41032</v>
      </c>
    </row>
    <row r="1472" spans="2:24">
      <c r="B1472" t="s">
        <v>467</v>
      </c>
      <c r="C1472" t="s">
        <v>54</v>
      </c>
      <c r="D1472" t="s">
        <v>405</v>
      </c>
      <c r="E1472" t="s">
        <v>405</v>
      </c>
      <c r="F1472">
        <v>10</v>
      </c>
      <c r="G1472" s="122">
        <v>1219</v>
      </c>
      <c r="H1472" s="122">
        <v>1330</v>
      </c>
      <c r="I1472" s="122">
        <v>73816</v>
      </c>
      <c r="J1472" s="122">
        <v>67105</v>
      </c>
      <c r="K1472">
        <v>82</v>
      </c>
      <c r="L1472" s="122">
        <v>12752</v>
      </c>
      <c r="M1472" s="122">
        <v>4723</v>
      </c>
      <c r="N1472" s="122">
        <v>26397</v>
      </c>
      <c r="O1472" s="122">
        <v>9777</v>
      </c>
      <c r="P1472" s="122">
        <v>4482</v>
      </c>
      <c r="Q1472" s="122">
        <v>1660</v>
      </c>
      <c r="R1472" s="122">
        <v>42687</v>
      </c>
      <c r="S1472" s="122">
        <v>38807</v>
      </c>
      <c r="T1472" s="122">
        <v>2333</v>
      </c>
      <c r="U1472">
        <v>864</v>
      </c>
      <c r="V1472" s="122">
        <v>122936</v>
      </c>
      <c r="W1472" s="122">
        <f t="shared" si="46"/>
        <v>122936</v>
      </c>
      <c r="X1472" s="122">
        <f t="shared" si="47"/>
        <v>162467</v>
      </c>
    </row>
    <row r="1473" spans="2:24">
      <c r="B1473" t="s">
        <v>467</v>
      </c>
      <c r="C1473" t="s">
        <v>54</v>
      </c>
      <c r="D1473" t="s">
        <v>137</v>
      </c>
      <c r="E1473" t="s">
        <v>137</v>
      </c>
      <c r="F1473">
        <v>1</v>
      </c>
      <c r="G1473">
        <v>49</v>
      </c>
      <c r="H1473">
        <v>137</v>
      </c>
      <c r="I1473">
        <v>598</v>
      </c>
      <c r="J1473">
        <v>221</v>
      </c>
      <c r="K1473">
        <v>100</v>
      </c>
      <c r="L1473">
        <v>106</v>
      </c>
      <c r="M1473">
        <v>39</v>
      </c>
      <c r="N1473">
        <v>797</v>
      </c>
      <c r="O1473">
        <v>295</v>
      </c>
      <c r="P1473">
        <v>0</v>
      </c>
      <c r="Q1473">
        <v>0</v>
      </c>
      <c r="R1473" s="122">
        <v>5257</v>
      </c>
      <c r="S1473" s="122">
        <v>1947</v>
      </c>
      <c r="T1473">
        <v>0</v>
      </c>
      <c r="U1473">
        <v>0</v>
      </c>
      <c r="V1473" s="122">
        <v>2503</v>
      </c>
      <c r="W1473" s="122">
        <f t="shared" si="46"/>
        <v>2502</v>
      </c>
      <c r="X1473" s="122">
        <f t="shared" si="47"/>
        <v>6758</v>
      </c>
    </row>
    <row r="1474" spans="2:24">
      <c r="B1474" t="s">
        <v>467</v>
      </c>
      <c r="C1474" t="s">
        <v>54</v>
      </c>
      <c r="D1474" t="s">
        <v>406</v>
      </c>
      <c r="E1474" t="s">
        <v>406</v>
      </c>
      <c r="F1474">
        <v>1</v>
      </c>
      <c r="G1474">
        <v>210</v>
      </c>
      <c r="H1474">
        <v>134</v>
      </c>
      <c r="I1474" s="122">
        <v>13185</v>
      </c>
      <c r="J1474" s="122">
        <v>11986</v>
      </c>
      <c r="K1474">
        <v>95</v>
      </c>
      <c r="L1474" s="122">
        <v>2200</v>
      </c>
      <c r="M1474" s="122">
        <v>2000</v>
      </c>
      <c r="N1474" s="122">
        <v>5126</v>
      </c>
      <c r="O1474" s="122">
        <v>1898</v>
      </c>
      <c r="P1474">
        <v>621</v>
      </c>
      <c r="Q1474">
        <v>230</v>
      </c>
      <c r="R1474" s="122">
        <v>7058</v>
      </c>
      <c r="S1474" s="122">
        <v>6416</v>
      </c>
      <c r="T1474">
        <v>0</v>
      </c>
      <c r="U1474">
        <v>0</v>
      </c>
      <c r="V1474" s="122">
        <v>22531</v>
      </c>
      <c r="W1474" s="122">
        <f t="shared" si="46"/>
        <v>22530</v>
      </c>
      <c r="X1474" s="122">
        <f t="shared" si="47"/>
        <v>28190</v>
      </c>
    </row>
    <row r="1475" spans="2:24">
      <c r="B1475" t="s">
        <v>467</v>
      </c>
      <c r="C1475" t="s">
        <v>54</v>
      </c>
      <c r="D1475" t="s">
        <v>407</v>
      </c>
      <c r="E1475" t="s">
        <v>407</v>
      </c>
      <c r="F1475">
        <v>1</v>
      </c>
      <c r="G1475">
        <v>127</v>
      </c>
      <c r="H1475">
        <v>139</v>
      </c>
      <c r="I1475" s="122">
        <v>10747</v>
      </c>
      <c r="J1475" s="122">
        <v>9770</v>
      </c>
      <c r="K1475">
        <v>80</v>
      </c>
      <c r="L1475">
        <v>0</v>
      </c>
      <c r="M1475">
        <v>0</v>
      </c>
      <c r="N1475" s="122">
        <v>2700</v>
      </c>
      <c r="O1475" s="122">
        <v>1000</v>
      </c>
      <c r="P1475">
        <v>473</v>
      </c>
      <c r="Q1475">
        <v>175</v>
      </c>
      <c r="R1475" s="122">
        <v>3741</v>
      </c>
      <c r="S1475" s="122">
        <v>3401</v>
      </c>
      <c r="T1475">
        <v>0</v>
      </c>
      <c r="U1475">
        <v>0</v>
      </c>
      <c r="V1475" s="122">
        <v>14346</v>
      </c>
      <c r="W1475" s="122">
        <f t="shared" si="46"/>
        <v>14346</v>
      </c>
      <c r="X1475" s="122">
        <f t="shared" si="47"/>
        <v>17661</v>
      </c>
    </row>
    <row r="1476" spans="2:24">
      <c r="B1476" t="s">
        <v>467</v>
      </c>
      <c r="C1476" t="s">
        <v>56</v>
      </c>
      <c r="D1476" t="s">
        <v>405</v>
      </c>
      <c r="E1476" t="s">
        <v>405</v>
      </c>
      <c r="F1476">
        <v>29</v>
      </c>
      <c r="G1476" s="122">
        <v>2689</v>
      </c>
      <c r="H1476" s="122">
        <v>5116</v>
      </c>
      <c r="I1476" s="122">
        <v>236032</v>
      </c>
      <c r="J1476" s="122">
        <v>214575</v>
      </c>
      <c r="K1476">
        <v>80</v>
      </c>
      <c r="L1476" s="122">
        <v>47292</v>
      </c>
      <c r="M1476" s="122">
        <v>19458</v>
      </c>
      <c r="N1476" s="122">
        <v>60776</v>
      </c>
      <c r="O1476" s="122">
        <v>22510</v>
      </c>
      <c r="P1476" s="122">
        <v>11786</v>
      </c>
      <c r="Q1476" s="122">
        <v>4365</v>
      </c>
      <c r="R1476" s="122">
        <v>102809</v>
      </c>
      <c r="S1476" s="122">
        <v>93462</v>
      </c>
      <c r="T1476" s="122">
        <v>10920</v>
      </c>
      <c r="U1476" s="122">
        <v>4045</v>
      </c>
      <c r="V1476" s="122">
        <v>358415</v>
      </c>
      <c r="W1476" s="122">
        <f t="shared" si="46"/>
        <v>358415</v>
      </c>
      <c r="X1476" s="122">
        <f t="shared" si="47"/>
        <v>469615</v>
      </c>
    </row>
    <row r="1477" spans="2:24">
      <c r="B1477" t="s">
        <v>467</v>
      </c>
      <c r="C1477" t="s">
        <v>56</v>
      </c>
      <c r="D1477" t="s">
        <v>137</v>
      </c>
      <c r="E1477" t="s">
        <v>137</v>
      </c>
      <c r="F1477">
        <v>142</v>
      </c>
      <c r="G1477" s="122">
        <v>11100</v>
      </c>
      <c r="H1477" s="122">
        <v>28114</v>
      </c>
      <c r="I1477" s="122">
        <v>922456</v>
      </c>
      <c r="J1477" s="122">
        <v>341650</v>
      </c>
      <c r="K1477">
        <v>100</v>
      </c>
      <c r="L1477" s="122">
        <v>125352</v>
      </c>
      <c r="M1477" s="122">
        <v>46427</v>
      </c>
      <c r="N1477" s="122">
        <v>226541</v>
      </c>
      <c r="O1477" s="122">
        <v>83904</v>
      </c>
      <c r="P1477" s="122">
        <v>1053</v>
      </c>
      <c r="Q1477">
        <v>390</v>
      </c>
      <c r="R1477" s="122">
        <v>916871</v>
      </c>
      <c r="S1477" s="122">
        <v>339582</v>
      </c>
      <c r="T1477">
        <v>0</v>
      </c>
      <c r="U1477">
        <v>0</v>
      </c>
      <c r="V1477" s="122">
        <v>811953</v>
      </c>
      <c r="W1477" s="122">
        <f t="shared" si="46"/>
        <v>811953</v>
      </c>
      <c r="X1477" s="122">
        <f t="shared" si="47"/>
        <v>2192273</v>
      </c>
    </row>
    <row r="1478" spans="2:24">
      <c r="B1478" t="s">
        <v>467</v>
      </c>
      <c r="C1478" t="s">
        <v>56</v>
      </c>
      <c r="D1478" t="s">
        <v>406</v>
      </c>
      <c r="E1478" t="s">
        <v>406</v>
      </c>
      <c r="F1478">
        <v>24</v>
      </c>
      <c r="G1478" s="122">
        <v>3238</v>
      </c>
      <c r="H1478" s="122">
        <v>4701</v>
      </c>
      <c r="I1478" s="122">
        <v>329897</v>
      </c>
      <c r="J1478" s="122">
        <v>299906</v>
      </c>
      <c r="K1478">
        <v>85</v>
      </c>
      <c r="L1478" s="122">
        <v>88021</v>
      </c>
      <c r="M1478" s="122">
        <v>78610</v>
      </c>
      <c r="N1478" s="122">
        <v>69953</v>
      </c>
      <c r="O1478" s="122">
        <v>25909</v>
      </c>
      <c r="P1478" s="122">
        <v>15606</v>
      </c>
      <c r="Q1478" s="122">
        <v>5780</v>
      </c>
      <c r="R1478" s="122">
        <v>124598</v>
      </c>
      <c r="S1478" s="122">
        <v>113271</v>
      </c>
      <c r="T1478" s="122">
        <v>24521</v>
      </c>
      <c r="U1478" s="122">
        <v>9082</v>
      </c>
      <c r="V1478" s="122">
        <v>532557</v>
      </c>
      <c r="W1478" s="122">
        <f t="shared" si="46"/>
        <v>532558</v>
      </c>
      <c r="X1478" s="122">
        <f t="shared" si="47"/>
        <v>652596</v>
      </c>
    </row>
    <row r="1479" spans="2:24">
      <c r="B1479" t="s">
        <v>467</v>
      </c>
      <c r="C1479" t="s">
        <v>58</v>
      </c>
      <c r="D1479" t="s">
        <v>405</v>
      </c>
      <c r="E1479" t="s">
        <v>405</v>
      </c>
      <c r="F1479">
        <v>2</v>
      </c>
      <c r="G1479">
        <v>155</v>
      </c>
      <c r="H1479">
        <v>526</v>
      </c>
      <c r="I1479" s="122">
        <v>24860</v>
      </c>
      <c r="J1479" s="122">
        <v>22600</v>
      </c>
      <c r="K1479">
        <v>85</v>
      </c>
      <c r="L1479" s="122">
        <v>6568</v>
      </c>
      <c r="M1479" s="122">
        <v>4505</v>
      </c>
      <c r="N1479" s="122">
        <v>3782</v>
      </c>
      <c r="O1479" s="122">
        <v>1401</v>
      </c>
      <c r="P1479">
        <v>945</v>
      </c>
      <c r="Q1479">
        <v>350</v>
      </c>
      <c r="R1479" s="122">
        <v>4672</v>
      </c>
      <c r="S1479" s="122">
        <v>4247</v>
      </c>
      <c r="T1479">
        <v>0</v>
      </c>
      <c r="U1479">
        <v>0</v>
      </c>
      <c r="V1479" s="122">
        <v>33103</v>
      </c>
      <c r="W1479" s="122">
        <f t="shared" si="46"/>
        <v>33103</v>
      </c>
      <c r="X1479" s="122">
        <f t="shared" si="47"/>
        <v>40827</v>
      </c>
    </row>
    <row r="1480" spans="2:24">
      <c r="B1480" t="s">
        <v>467</v>
      </c>
      <c r="C1480" t="s">
        <v>58</v>
      </c>
      <c r="D1480" t="s">
        <v>137</v>
      </c>
      <c r="E1480" t="s">
        <v>137</v>
      </c>
      <c r="F1480">
        <v>182</v>
      </c>
      <c r="G1480" s="122">
        <v>13351</v>
      </c>
      <c r="H1480" s="122">
        <v>47534</v>
      </c>
      <c r="I1480" s="122">
        <v>1774340</v>
      </c>
      <c r="J1480" s="122">
        <v>657163</v>
      </c>
      <c r="K1480">
        <v>100</v>
      </c>
      <c r="L1480" s="122">
        <v>245943</v>
      </c>
      <c r="M1480" s="122">
        <v>95872</v>
      </c>
      <c r="N1480" s="122">
        <v>287506</v>
      </c>
      <c r="O1480" s="122">
        <v>106484</v>
      </c>
      <c r="P1480" s="122">
        <v>1053</v>
      </c>
      <c r="Q1480">
        <v>390</v>
      </c>
      <c r="R1480" s="122">
        <v>1190403</v>
      </c>
      <c r="S1480" s="122">
        <v>440890</v>
      </c>
      <c r="T1480">
        <v>0</v>
      </c>
      <c r="U1480">
        <v>0</v>
      </c>
      <c r="V1480" s="122">
        <v>1300799</v>
      </c>
      <c r="W1480" s="122">
        <f t="shared" si="46"/>
        <v>1300799</v>
      </c>
      <c r="X1480" s="122">
        <f t="shared" si="47"/>
        <v>3499245</v>
      </c>
    </row>
    <row r="1481" spans="2:24">
      <c r="B1481" t="s">
        <v>467</v>
      </c>
      <c r="C1481" t="s">
        <v>58</v>
      </c>
      <c r="D1481" t="s">
        <v>406</v>
      </c>
      <c r="E1481" t="s">
        <v>406</v>
      </c>
      <c r="F1481">
        <v>12</v>
      </c>
      <c r="G1481" s="122">
        <v>1113</v>
      </c>
      <c r="H1481" s="122">
        <v>3072</v>
      </c>
      <c r="I1481" s="122">
        <v>151195</v>
      </c>
      <c r="J1481" s="122">
        <v>137450</v>
      </c>
      <c r="K1481">
        <v>80</v>
      </c>
      <c r="L1481" s="122">
        <v>33300</v>
      </c>
      <c r="M1481" s="122">
        <v>30272</v>
      </c>
      <c r="N1481" s="122">
        <v>22879</v>
      </c>
      <c r="O1481" s="122">
        <v>8474</v>
      </c>
      <c r="P1481" s="122">
        <v>7803</v>
      </c>
      <c r="Q1481" s="122">
        <v>2890</v>
      </c>
      <c r="R1481" s="122">
        <v>62671</v>
      </c>
      <c r="S1481" s="122">
        <v>56974</v>
      </c>
      <c r="T1481" s="122">
        <v>10056</v>
      </c>
      <c r="U1481" s="122">
        <v>3725</v>
      </c>
      <c r="V1481" s="122">
        <v>239785</v>
      </c>
      <c r="W1481" s="122">
        <f t="shared" si="46"/>
        <v>239785</v>
      </c>
      <c r="X1481" s="122">
        <f t="shared" si="47"/>
        <v>287904</v>
      </c>
    </row>
    <row r="1482" spans="2:24">
      <c r="B1482" t="s">
        <v>467</v>
      </c>
      <c r="C1482" t="s">
        <v>58</v>
      </c>
      <c r="D1482" t="s">
        <v>407</v>
      </c>
      <c r="E1482" t="s">
        <v>407</v>
      </c>
      <c r="F1482">
        <v>4</v>
      </c>
      <c r="G1482">
        <v>312</v>
      </c>
      <c r="H1482" s="122">
        <v>1074</v>
      </c>
      <c r="I1482" s="122">
        <v>60919</v>
      </c>
      <c r="J1482" s="122">
        <v>55381</v>
      </c>
      <c r="K1482">
        <v>73</v>
      </c>
      <c r="L1482" s="122">
        <v>1317</v>
      </c>
      <c r="M1482" s="122">
        <v>1198</v>
      </c>
      <c r="N1482" s="122">
        <v>7263</v>
      </c>
      <c r="O1482" s="122">
        <v>2690</v>
      </c>
      <c r="P1482" s="122">
        <v>1890</v>
      </c>
      <c r="Q1482">
        <v>700</v>
      </c>
      <c r="R1482" s="122">
        <v>12277</v>
      </c>
      <c r="S1482" s="122">
        <v>11161</v>
      </c>
      <c r="T1482">
        <v>0</v>
      </c>
      <c r="U1482">
        <v>0</v>
      </c>
      <c r="V1482" s="122">
        <v>71129</v>
      </c>
      <c r="W1482" s="122">
        <f t="shared" si="46"/>
        <v>71130</v>
      </c>
      <c r="X1482" s="122">
        <f t="shared" si="47"/>
        <v>83666</v>
      </c>
    </row>
    <row r="1483" spans="2:24">
      <c r="B1483" t="s">
        <v>467</v>
      </c>
      <c r="C1483" t="s">
        <v>60</v>
      </c>
      <c r="D1483" t="s">
        <v>137</v>
      </c>
      <c r="E1483" t="s">
        <v>137</v>
      </c>
      <c r="F1483">
        <v>60</v>
      </c>
      <c r="G1483" s="122">
        <v>4002</v>
      </c>
      <c r="H1483" s="122">
        <v>20300</v>
      </c>
      <c r="I1483" s="122">
        <v>787647</v>
      </c>
      <c r="J1483" s="122">
        <v>291721</v>
      </c>
      <c r="K1483">
        <v>100</v>
      </c>
      <c r="L1483" s="122">
        <v>95924</v>
      </c>
      <c r="M1483" s="122">
        <v>35527</v>
      </c>
      <c r="N1483" s="122">
        <v>86225</v>
      </c>
      <c r="O1483" s="122">
        <v>31935</v>
      </c>
      <c r="P1483" s="122">
        <v>1014</v>
      </c>
      <c r="Q1483">
        <v>376</v>
      </c>
      <c r="R1483" s="122">
        <v>377204</v>
      </c>
      <c r="S1483" s="122">
        <v>139705</v>
      </c>
      <c r="T1483">
        <v>0</v>
      </c>
      <c r="U1483">
        <v>0</v>
      </c>
      <c r="V1483" s="122">
        <v>499264</v>
      </c>
      <c r="W1483" s="122">
        <f t="shared" si="46"/>
        <v>499264</v>
      </c>
      <c r="X1483" s="122">
        <f t="shared" si="47"/>
        <v>1348014</v>
      </c>
    </row>
    <row r="1484" spans="2:24">
      <c r="B1484" t="s">
        <v>467</v>
      </c>
      <c r="C1484" t="s">
        <v>60</v>
      </c>
      <c r="D1484" t="s">
        <v>406</v>
      </c>
      <c r="E1484" t="s">
        <v>406</v>
      </c>
      <c r="F1484">
        <v>6</v>
      </c>
      <c r="G1484">
        <v>675</v>
      </c>
      <c r="H1484" s="122">
        <v>1989</v>
      </c>
      <c r="I1484" s="122">
        <v>138298</v>
      </c>
      <c r="J1484" s="122">
        <v>125726</v>
      </c>
      <c r="K1484">
        <v>72</v>
      </c>
      <c r="L1484" s="122">
        <v>25984</v>
      </c>
      <c r="M1484" s="122">
        <v>23622</v>
      </c>
      <c r="N1484" s="122">
        <v>13499</v>
      </c>
      <c r="O1484" s="122">
        <v>5000</v>
      </c>
      <c r="P1484" s="122">
        <v>4428</v>
      </c>
      <c r="Q1484" s="122">
        <v>1640</v>
      </c>
      <c r="R1484" s="122">
        <v>26740</v>
      </c>
      <c r="S1484" s="122">
        <v>24309</v>
      </c>
      <c r="T1484" s="122">
        <v>14467</v>
      </c>
      <c r="U1484" s="122">
        <v>5358</v>
      </c>
      <c r="V1484" s="122">
        <v>185655</v>
      </c>
      <c r="W1484" s="122">
        <f t="shared" si="46"/>
        <v>185655</v>
      </c>
      <c r="X1484" s="122">
        <f t="shared" si="47"/>
        <v>223416</v>
      </c>
    </row>
    <row r="1485" spans="2:24">
      <c r="B1485" t="s">
        <v>467</v>
      </c>
      <c r="C1485" t="s">
        <v>62</v>
      </c>
      <c r="D1485" t="s">
        <v>137</v>
      </c>
      <c r="E1485" t="s">
        <v>137</v>
      </c>
      <c r="F1485">
        <v>22</v>
      </c>
      <c r="G1485" s="122">
        <v>1330</v>
      </c>
      <c r="H1485" s="122">
        <v>9059</v>
      </c>
      <c r="I1485" s="122">
        <v>324738</v>
      </c>
      <c r="J1485" s="122">
        <v>120273</v>
      </c>
      <c r="K1485">
        <v>100</v>
      </c>
      <c r="L1485" s="122">
        <v>57384</v>
      </c>
      <c r="M1485" s="122">
        <v>21253</v>
      </c>
      <c r="N1485" s="122">
        <v>25131</v>
      </c>
      <c r="O1485" s="122">
        <v>9308</v>
      </c>
      <c r="P1485" s="122">
        <v>1540</v>
      </c>
      <c r="Q1485">
        <v>571</v>
      </c>
      <c r="R1485" s="122">
        <v>135991</v>
      </c>
      <c r="S1485" s="122">
        <v>50367</v>
      </c>
      <c r="T1485">
        <v>0</v>
      </c>
      <c r="U1485">
        <v>0</v>
      </c>
      <c r="V1485" s="122">
        <v>201772</v>
      </c>
      <c r="W1485" s="122">
        <f t="shared" si="46"/>
        <v>201772</v>
      </c>
      <c r="X1485" s="122">
        <f t="shared" si="47"/>
        <v>544784</v>
      </c>
    </row>
    <row r="1486" spans="2:24">
      <c r="B1486" t="s">
        <v>467</v>
      </c>
      <c r="C1486" t="s">
        <v>62</v>
      </c>
      <c r="D1486" t="s">
        <v>406</v>
      </c>
      <c r="E1486" t="s">
        <v>406</v>
      </c>
      <c r="F1486">
        <v>3</v>
      </c>
      <c r="G1486">
        <v>271</v>
      </c>
      <c r="H1486" s="122">
        <v>1284</v>
      </c>
      <c r="I1486" s="122">
        <v>95003</v>
      </c>
      <c r="J1486" s="122">
        <v>86366</v>
      </c>
      <c r="K1486">
        <v>80</v>
      </c>
      <c r="L1486" s="122">
        <v>23381</v>
      </c>
      <c r="M1486" s="122">
        <v>21255</v>
      </c>
      <c r="N1486" s="122">
        <v>7683</v>
      </c>
      <c r="O1486" s="122">
        <v>2845</v>
      </c>
      <c r="P1486" s="122">
        <v>1863</v>
      </c>
      <c r="Q1486">
        <v>690</v>
      </c>
      <c r="R1486" s="122">
        <v>17937</v>
      </c>
      <c r="S1486" s="122">
        <v>16306</v>
      </c>
      <c r="T1486" s="122">
        <v>4086</v>
      </c>
      <c r="U1486" s="122">
        <v>1513</v>
      </c>
      <c r="V1486" s="122">
        <v>128977</v>
      </c>
      <c r="W1486" s="122">
        <f t="shared" si="46"/>
        <v>128975</v>
      </c>
      <c r="X1486" s="122">
        <f t="shared" si="47"/>
        <v>149953</v>
      </c>
    </row>
    <row r="1487" spans="2:24">
      <c r="B1487" t="s">
        <v>467</v>
      </c>
      <c r="C1487" t="s">
        <v>64</v>
      </c>
      <c r="D1487" t="s">
        <v>137</v>
      </c>
      <c r="E1487" t="s">
        <v>137</v>
      </c>
      <c r="F1487">
        <v>12</v>
      </c>
      <c r="G1487">
        <v>904</v>
      </c>
      <c r="H1487" s="122">
        <v>7798</v>
      </c>
      <c r="I1487" s="122">
        <v>435658</v>
      </c>
      <c r="J1487" s="122">
        <v>161355</v>
      </c>
      <c r="K1487">
        <v>100</v>
      </c>
      <c r="L1487" s="122">
        <v>44773</v>
      </c>
      <c r="M1487" s="122">
        <v>30384</v>
      </c>
      <c r="N1487" s="122">
        <v>19977</v>
      </c>
      <c r="O1487" s="122">
        <v>7399</v>
      </c>
      <c r="P1487">
        <v>351</v>
      </c>
      <c r="Q1487">
        <v>130</v>
      </c>
      <c r="R1487" s="122">
        <v>78837</v>
      </c>
      <c r="S1487" s="122">
        <v>29199</v>
      </c>
      <c r="T1487" s="122">
        <v>1767</v>
      </c>
      <c r="U1487">
        <v>654</v>
      </c>
      <c r="V1487" s="122">
        <v>229121</v>
      </c>
      <c r="W1487" s="122">
        <f t="shared" si="46"/>
        <v>229121</v>
      </c>
      <c r="X1487" s="122">
        <f t="shared" si="47"/>
        <v>581363</v>
      </c>
    </row>
    <row r="1488" spans="2:24">
      <c r="B1488" t="s">
        <v>467</v>
      </c>
      <c r="C1488" t="s">
        <v>64</v>
      </c>
      <c r="D1488" t="s">
        <v>406</v>
      </c>
      <c r="E1488" t="s">
        <v>406</v>
      </c>
      <c r="F1488">
        <v>7</v>
      </c>
      <c r="G1488">
        <v>611</v>
      </c>
      <c r="H1488" s="122">
        <v>3816</v>
      </c>
      <c r="I1488" s="122">
        <v>228116</v>
      </c>
      <c r="J1488" s="122">
        <v>207378</v>
      </c>
      <c r="K1488">
        <v>73</v>
      </c>
      <c r="L1488" s="122">
        <v>42990</v>
      </c>
      <c r="M1488" s="122">
        <v>39082</v>
      </c>
      <c r="N1488" s="122">
        <v>12819</v>
      </c>
      <c r="O1488" s="122">
        <v>4748</v>
      </c>
      <c r="P1488" s="122">
        <v>5400</v>
      </c>
      <c r="Q1488" s="122">
        <v>2000</v>
      </c>
      <c r="R1488" s="122">
        <v>38590</v>
      </c>
      <c r="S1488" s="122">
        <v>35082</v>
      </c>
      <c r="T1488" s="122">
        <v>6587</v>
      </c>
      <c r="U1488" s="122">
        <v>2440</v>
      </c>
      <c r="V1488" s="122">
        <v>290728</v>
      </c>
      <c r="W1488" s="122">
        <f t="shared" si="46"/>
        <v>290730</v>
      </c>
      <c r="X1488" s="122">
        <f t="shared" si="47"/>
        <v>334502</v>
      </c>
    </row>
    <row r="1489" spans="2:24">
      <c r="B1489" t="s">
        <v>467</v>
      </c>
      <c r="C1489" t="s">
        <v>64</v>
      </c>
      <c r="D1489" t="s">
        <v>427</v>
      </c>
      <c r="E1489" t="s">
        <v>427</v>
      </c>
      <c r="F1489">
        <v>2</v>
      </c>
      <c r="G1489">
        <v>132</v>
      </c>
      <c r="H1489" s="122">
        <v>1083</v>
      </c>
      <c r="I1489" s="122">
        <v>50238</v>
      </c>
      <c r="J1489" s="122">
        <v>45671</v>
      </c>
      <c r="K1489">
        <v>63</v>
      </c>
      <c r="L1489" s="122">
        <v>7004</v>
      </c>
      <c r="M1489" s="122">
        <v>6368</v>
      </c>
      <c r="N1489" s="122">
        <v>2574</v>
      </c>
      <c r="O1489">
        <v>953</v>
      </c>
      <c r="P1489">
        <v>702</v>
      </c>
      <c r="Q1489">
        <v>260</v>
      </c>
      <c r="R1489" s="122">
        <v>13754</v>
      </c>
      <c r="S1489" s="122">
        <v>12503</v>
      </c>
      <c r="T1489">
        <v>0</v>
      </c>
      <c r="U1489">
        <v>0</v>
      </c>
      <c r="V1489" s="122">
        <v>65755</v>
      </c>
      <c r="W1489" s="122">
        <f t="shared" si="46"/>
        <v>65755</v>
      </c>
      <c r="X1489" s="122">
        <f t="shared" si="47"/>
        <v>74272</v>
      </c>
    </row>
    <row r="1490" spans="2:24">
      <c r="B1490" t="s">
        <v>467</v>
      </c>
      <c r="C1490" t="s">
        <v>64</v>
      </c>
      <c r="D1490" t="s">
        <v>426</v>
      </c>
      <c r="E1490" t="s">
        <v>426</v>
      </c>
      <c r="F1490">
        <v>3</v>
      </c>
      <c r="G1490">
        <v>246</v>
      </c>
      <c r="H1490" s="122">
        <v>1802</v>
      </c>
      <c r="I1490" s="122">
        <v>102174</v>
      </c>
      <c r="J1490" s="122">
        <v>92885</v>
      </c>
      <c r="K1490">
        <v>48</v>
      </c>
      <c r="L1490" s="122">
        <v>18117</v>
      </c>
      <c r="M1490" s="122">
        <v>16470</v>
      </c>
      <c r="N1490" s="122">
        <v>4459</v>
      </c>
      <c r="O1490" s="122">
        <v>1651</v>
      </c>
      <c r="P1490" s="122">
        <v>1053</v>
      </c>
      <c r="Q1490">
        <v>390</v>
      </c>
      <c r="R1490" s="122">
        <v>14717</v>
      </c>
      <c r="S1490" s="122">
        <v>13379</v>
      </c>
      <c r="T1490" s="122">
        <v>6047</v>
      </c>
      <c r="U1490" s="122">
        <v>2239</v>
      </c>
      <c r="V1490" s="122">
        <v>127015</v>
      </c>
      <c r="W1490" s="122">
        <f t="shared" si="46"/>
        <v>127014</v>
      </c>
      <c r="X1490" s="122">
        <f t="shared" si="47"/>
        <v>146567</v>
      </c>
    </row>
    <row r="1491" spans="2:24">
      <c r="B1491" t="s">
        <v>468</v>
      </c>
      <c r="C1491" t="s">
        <v>48</v>
      </c>
      <c r="F1491">
        <v>19</v>
      </c>
      <c r="G1491" s="122">
        <v>1324</v>
      </c>
      <c r="H1491" s="122">
        <v>1343</v>
      </c>
      <c r="J1491">
        <v>0</v>
      </c>
      <c r="M1491">
        <v>0</v>
      </c>
      <c r="N1491" s="122">
        <v>16128</v>
      </c>
      <c r="O1491" s="122">
        <v>5973</v>
      </c>
      <c r="P1491" s="122">
        <v>11530</v>
      </c>
      <c r="Q1491" s="122">
        <v>4270</v>
      </c>
      <c r="S1491">
        <v>0</v>
      </c>
      <c r="T1491">
        <v>0</v>
      </c>
      <c r="U1491">
        <v>0</v>
      </c>
      <c r="V1491" s="122">
        <v>10243</v>
      </c>
      <c r="W1491" s="122">
        <f t="shared" si="46"/>
        <v>10243</v>
      </c>
      <c r="X1491" s="122">
        <f t="shared" si="47"/>
        <v>27658</v>
      </c>
    </row>
    <row r="1492" spans="2:24">
      <c r="B1492" t="s">
        <v>468</v>
      </c>
      <c r="C1492" t="s">
        <v>48</v>
      </c>
      <c r="D1492" t="s">
        <v>407</v>
      </c>
      <c r="E1492" t="s">
        <v>407</v>
      </c>
      <c r="F1492">
        <v>6</v>
      </c>
      <c r="G1492">
        <v>359</v>
      </c>
      <c r="H1492">
        <v>419</v>
      </c>
      <c r="I1492" s="122">
        <v>3093</v>
      </c>
      <c r="J1492" s="122">
        <v>2812</v>
      </c>
      <c r="K1492">
        <v>90</v>
      </c>
      <c r="L1492">
        <v>0</v>
      </c>
      <c r="M1492">
        <v>0</v>
      </c>
      <c r="N1492" s="122">
        <v>8016</v>
      </c>
      <c r="O1492" s="122">
        <v>2969</v>
      </c>
      <c r="P1492" s="122">
        <v>2835</v>
      </c>
      <c r="Q1492" s="122">
        <v>1050</v>
      </c>
      <c r="R1492" s="122">
        <v>10950</v>
      </c>
      <c r="S1492" s="122">
        <v>9955</v>
      </c>
      <c r="T1492">
        <v>0</v>
      </c>
      <c r="U1492">
        <v>0</v>
      </c>
      <c r="V1492" s="122">
        <v>16786</v>
      </c>
      <c r="W1492" s="122">
        <f t="shared" si="46"/>
        <v>16786</v>
      </c>
      <c r="X1492" s="122">
        <f t="shared" si="47"/>
        <v>24894</v>
      </c>
    </row>
    <row r="1493" spans="2:24">
      <c r="B1493" t="s">
        <v>468</v>
      </c>
      <c r="C1493" t="s">
        <v>50</v>
      </c>
      <c r="F1493">
        <v>21</v>
      </c>
      <c r="G1493" s="122">
        <v>2279</v>
      </c>
      <c r="H1493" s="122">
        <v>1879</v>
      </c>
      <c r="J1493">
        <v>0</v>
      </c>
      <c r="M1493">
        <v>0</v>
      </c>
      <c r="N1493" s="122">
        <v>27763</v>
      </c>
      <c r="O1493" s="122">
        <v>10283</v>
      </c>
      <c r="P1493" s="122">
        <v>9926</v>
      </c>
      <c r="Q1493" s="122">
        <v>3676</v>
      </c>
      <c r="S1493">
        <v>0</v>
      </c>
      <c r="T1493">
        <v>0</v>
      </c>
      <c r="U1493">
        <v>0</v>
      </c>
      <c r="V1493" s="122">
        <v>13959</v>
      </c>
      <c r="W1493" s="122">
        <f t="shared" si="46"/>
        <v>13959</v>
      </c>
      <c r="X1493" s="122">
        <f t="shared" si="47"/>
        <v>37689</v>
      </c>
    </row>
    <row r="1494" spans="2:24">
      <c r="B1494" t="s">
        <v>468</v>
      </c>
      <c r="C1494" t="s">
        <v>50</v>
      </c>
      <c r="D1494" t="s">
        <v>407</v>
      </c>
      <c r="E1494" t="s">
        <v>407</v>
      </c>
      <c r="F1494">
        <v>25</v>
      </c>
      <c r="G1494" s="122">
        <v>1729</v>
      </c>
      <c r="H1494" s="122">
        <v>2237</v>
      </c>
      <c r="I1494" s="122">
        <v>49672</v>
      </c>
      <c r="J1494" s="122">
        <v>45156</v>
      </c>
      <c r="K1494">
        <v>90</v>
      </c>
      <c r="L1494">
        <v>983</v>
      </c>
      <c r="M1494">
        <v>364</v>
      </c>
      <c r="N1494" s="122">
        <v>30294</v>
      </c>
      <c r="O1494" s="122">
        <v>11220</v>
      </c>
      <c r="P1494" s="122">
        <v>11813</v>
      </c>
      <c r="Q1494" s="122">
        <v>4375</v>
      </c>
      <c r="R1494" s="122">
        <v>60115</v>
      </c>
      <c r="S1494" s="122">
        <v>54650</v>
      </c>
      <c r="T1494">
        <v>0</v>
      </c>
      <c r="U1494">
        <v>0</v>
      </c>
      <c r="V1494" s="122">
        <v>115765</v>
      </c>
      <c r="W1494" s="122">
        <f t="shared" si="46"/>
        <v>115765</v>
      </c>
      <c r="X1494" s="122">
        <f t="shared" si="47"/>
        <v>152877</v>
      </c>
    </row>
    <row r="1495" spans="2:24">
      <c r="B1495" t="s">
        <v>468</v>
      </c>
      <c r="C1495" t="s">
        <v>52</v>
      </c>
      <c r="F1495">
        <v>15</v>
      </c>
      <c r="G1495" s="122">
        <v>1611</v>
      </c>
      <c r="H1495" s="122">
        <v>1798</v>
      </c>
      <c r="J1495">
        <v>0</v>
      </c>
      <c r="M1495">
        <v>0</v>
      </c>
      <c r="N1495" s="122">
        <v>25721</v>
      </c>
      <c r="O1495" s="122">
        <v>9526</v>
      </c>
      <c r="P1495" s="122">
        <v>3308</v>
      </c>
      <c r="Q1495" s="122">
        <v>1225</v>
      </c>
      <c r="S1495">
        <v>0</v>
      </c>
      <c r="T1495">
        <v>0</v>
      </c>
      <c r="U1495">
        <v>0</v>
      </c>
      <c r="V1495" s="122">
        <v>10751</v>
      </c>
      <c r="W1495" s="122">
        <f t="shared" si="46"/>
        <v>10751</v>
      </c>
      <c r="X1495" s="122">
        <f t="shared" si="47"/>
        <v>29029</v>
      </c>
    </row>
    <row r="1496" spans="2:24">
      <c r="B1496" t="s">
        <v>468</v>
      </c>
      <c r="C1496" t="s">
        <v>52</v>
      </c>
      <c r="D1496" t="s">
        <v>137</v>
      </c>
      <c r="E1496" t="s">
        <v>137</v>
      </c>
      <c r="F1496">
        <v>1</v>
      </c>
      <c r="G1496">
        <v>70</v>
      </c>
      <c r="H1496">
        <v>107</v>
      </c>
      <c r="I1496">
        <v>256</v>
      </c>
      <c r="J1496">
        <v>95</v>
      </c>
      <c r="K1496">
        <v>100</v>
      </c>
      <c r="L1496">
        <v>64</v>
      </c>
      <c r="M1496">
        <v>24</v>
      </c>
      <c r="N1496" s="122">
        <v>1016</v>
      </c>
      <c r="O1496">
        <v>376</v>
      </c>
      <c r="P1496">
        <v>0</v>
      </c>
      <c r="Q1496">
        <v>0</v>
      </c>
      <c r="R1496" s="122">
        <v>6154</v>
      </c>
      <c r="S1496" s="122">
        <v>2279</v>
      </c>
      <c r="T1496">
        <v>0</v>
      </c>
      <c r="U1496">
        <v>0</v>
      </c>
      <c r="V1496" s="122">
        <v>2774</v>
      </c>
      <c r="W1496" s="122">
        <f t="shared" si="46"/>
        <v>2774</v>
      </c>
      <c r="X1496" s="122">
        <f t="shared" si="47"/>
        <v>7490</v>
      </c>
    </row>
    <row r="1497" spans="2:24">
      <c r="B1497" t="s">
        <v>468</v>
      </c>
      <c r="C1497" t="s">
        <v>52</v>
      </c>
      <c r="D1497" t="s">
        <v>407</v>
      </c>
      <c r="E1497" t="s">
        <v>407</v>
      </c>
      <c r="F1497">
        <v>79</v>
      </c>
      <c r="G1497" s="122">
        <v>6381</v>
      </c>
      <c r="H1497" s="122">
        <v>9088</v>
      </c>
      <c r="I1497" s="122">
        <v>265794</v>
      </c>
      <c r="J1497" s="122">
        <v>241631</v>
      </c>
      <c r="K1497">
        <v>87</v>
      </c>
      <c r="L1497" s="122">
        <v>24959</v>
      </c>
      <c r="M1497" s="122">
        <v>18634</v>
      </c>
      <c r="N1497" s="122">
        <v>122185</v>
      </c>
      <c r="O1497" s="122">
        <v>45254</v>
      </c>
      <c r="P1497" s="122">
        <v>37328</v>
      </c>
      <c r="Q1497" s="122">
        <v>13825</v>
      </c>
      <c r="R1497" s="122">
        <v>276340</v>
      </c>
      <c r="S1497" s="122">
        <v>251218</v>
      </c>
      <c r="T1497" s="122">
        <v>6931</v>
      </c>
      <c r="U1497" s="122">
        <v>2567</v>
      </c>
      <c r="V1497" s="122">
        <v>573129</v>
      </c>
      <c r="W1497" s="122">
        <f t="shared" si="46"/>
        <v>573129</v>
      </c>
      <c r="X1497" s="122">
        <f t="shared" si="47"/>
        <v>733537</v>
      </c>
    </row>
    <row r="1498" spans="2:24">
      <c r="B1498" t="s">
        <v>468</v>
      </c>
      <c r="C1498" t="s">
        <v>54</v>
      </c>
      <c r="F1498">
        <v>18</v>
      </c>
      <c r="G1498" s="122">
        <v>1391</v>
      </c>
      <c r="H1498" s="122">
        <v>2474</v>
      </c>
      <c r="J1498">
        <v>0</v>
      </c>
      <c r="M1498">
        <v>0</v>
      </c>
      <c r="N1498" s="122">
        <v>24404</v>
      </c>
      <c r="O1498" s="122">
        <v>9038</v>
      </c>
      <c r="P1498" s="122">
        <v>2835</v>
      </c>
      <c r="Q1498" s="122">
        <v>1050</v>
      </c>
      <c r="S1498">
        <v>0</v>
      </c>
      <c r="T1498">
        <v>0</v>
      </c>
      <c r="U1498">
        <v>0</v>
      </c>
      <c r="V1498" s="122">
        <v>10088</v>
      </c>
      <c r="W1498" s="122">
        <f t="shared" si="46"/>
        <v>10088</v>
      </c>
      <c r="X1498" s="122">
        <f t="shared" si="47"/>
        <v>27239</v>
      </c>
    </row>
    <row r="1499" spans="2:24">
      <c r="B1499" t="s">
        <v>468</v>
      </c>
      <c r="C1499" t="s">
        <v>54</v>
      </c>
      <c r="D1499" t="s">
        <v>137</v>
      </c>
      <c r="E1499" t="s">
        <v>137</v>
      </c>
      <c r="F1499">
        <v>63</v>
      </c>
      <c r="G1499" s="122">
        <v>5157</v>
      </c>
      <c r="H1499" s="122">
        <v>8933</v>
      </c>
      <c r="I1499" s="122">
        <v>186823</v>
      </c>
      <c r="J1499" s="122">
        <v>69194</v>
      </c>
      <c r="K1499">
        <v>108</v>
      </c>
      <c r="L1499" s="122">
        <v>20910</v>
      </c>
      <c r="M1499" s="122">
        <v>7744</v>
      </c>
      <c r="N1499" s="122">
        <v>107213</v>
      </c>
      <c r="O1499" s="122">
        <v>39708</v>
      </c>
      <c r="P1499" s="122">
        <v>1156</v>
      </c>
      <c r="Q1499">
        <v>428</v>
      </c>
      <c r="R1499" s="122">
        <v>416346</v>
      </c>
      <c r="S1499" s="122">
        <v>154202</v>
      </c>
      <c r="T1499">
        <v>0</v>
      </c>
      <c r="U1499">
        <v>0</v>
      </c>
      <c r="V1499" s="122">
        <v>271277</v>
      </c>
      <c r="W1499" s="122">
        <f t="shared" si="46"/>
        <v>271276</v>
      </c>
      <c r="X1499" s="122">
        <f t="shared" si="47"/>
        <v>732448</v>
      </c>
    </row>
    <row r="1500" spans="2:24">
      <c r="B1500" t="s">
        <v>468</v>
      </c>
      <c r="C1500" t="s">
        <v>54</v>
      </c>
      <c r="D1500" t="s">
        <v>407</v>
      </c>
      <c r="E1500" t="s">
        <v>425</v>
      </c>
      <c r="F1500">
        <v>1</v>
      </c>
      <c r="G1500">
        <v>105</v>
      </c>
      <c r="H1500">
        <v>146</v>
      </c>
      <c r="I1500" s="122">
        <v>5011</v>
      </c>
      <c r="J1500" s="122">
        <v>4555</v>
      </c>
      <c r="K1500">
        <v>80</v>
      </c>
      <c r="L1500" s="122">
        <v>1052</v>
      </c>
      <c r="M1500">
        <v>957</v>
      </c>
      <c r="N1500" s="122">
        <v>2382</v>
      </c>
      <c r="O1500">
        <v>882</v>
      </c>
      <c r="P1500">
        <v>473</v>
      </c>
      <c r="Q1500">
        <v>175</v>
      </c>
      <c r="R1500" s="122">
        <v>3908</v>
      </c>
      <c r="S1500" s="122">
        <v>3552</v>
      </c>
      <c r="T1500" s="122">
        <v>2485</v>
      </c>
      <c r="U1500">
        <v>920</v>
      </c>
      <c r="V1500" s="122">
        <v>11042</v>
      </c>
      <c r="W1500" s="122">
        <f t="shared" si="46"/>
        <v>11041</v>
      </c>
      <c r="X1500" s="122">
        <f t="shared" si="47"/>
        <v>15311</v>
      </c>
    </row>
    <row r="1501" spans="2:24">
      <c r="B1501" t="s">
        <v>468</v>
      </c>
      <c r="C1501" t="s">
        <v>54</v>
      </c>
      <c r="D1501" t="s">
        <v>407</v>
      </c>
      <c r="E1501" t="s">
        <v>407</v>
      </c>
      <c r="F1501">
        <v>163</v>
      </c>
      <c r="G1501" s="122">
        <v>13293</v>
      </c>
      <c r="H1501" s="122">
        <v>22408</v>
      </c>
      <c r="I1501" s="122">
        <v>689037</v>
      </c>
      <c r="J1501" s="122">
        <v>626397</v>
      </c>
      <c r="K1501">
        <v>84</v>
      </c>
      <c r="L1501" s="122">
        <v>62938</v>
      </c>
      <c r="M1501" s="122">
        <v>43469</v>
      </c>
      <c r="N1501" s="122">
        <v>284549</v>
      </c>
      <c r="O1501" s="122">
        <v>105389</v>
      </c>
      <c r="P1501" s="122">
        <v>77247</v>
      </c>
      <c r="Q1501" s="122">
        <v>28610</v>
      </c>
      <c r="R1501" s="122">
        <v>665718</v>
      </c>
      <c r="S1501" s="122">
        <v>605198</v>
      </c>
      <c r="T1501" s="122">
        <v>55625</v>
      </c>
      <c r="U1501" s="122">
        <v>20602</v>
      </c>
      <c r="V1501" s="122">
        <v>1429665</v>
      </c>
      <c r="W1501" s="122">
        <f t="shared" si="46"/>
        <v>1429665</v>
      </c>
      <c r="X1501" s="122">
        <f t="shared" si="47"/>
        <v>1835114</v>
      </c>
    </row>
    <row r="1502" spans="2:24">
      <c r="B1502" t="s">
        <v>468</v>
      </c>
      <c r="C1502" t="s">
        <v>56</v>
      </c>
      <c r="F1502">
        <v>26</v>
      </c>
      <c r="G1502" s="122">
        <v>1477</v>
      </c>
      <c r="H1502" s="122">
        <v>4355</v>
      </c>
      <c r="J1502">
        <v>0</v>
      </c>
      <c r="M1502">
        <v>0</v>
      </c>
      <c r="N1502" s="122">
        <v>34587</v>
      </c>
      <c r="O1502" s="122">
        <v>12810</v>
      </c>
      <c r="P1502">
        <v>0</v>
      </c>
      <c r="Q1502">
        <v>0</v>
      </c>
      <c r="S1502">
        <v>0</v>
      </c>
      <c r="T1502">
        <v>0</v>
      </c>
      <c r="U1502">
        <v>0</v>
      </c>
      <c r="V1502" s="122">
        <v>12810</v>
      </c>
      <c r="W1502" s="122">
        <f t="shared" si="46"/>
        <v>12810</v>
      </c>
      <c r="X1502" s="122">
        <f t="shared" si="47"/>
        <v>34587</v>
      </c>
    </row>
    <row r="1503" spans="2:24">
      <c r="B1503" t="s">
        <v>468</v>
      </c>
      <c r="C1503" t="s">
        <v>56</v>
      </c>
      <c r="D1503" t="s">
        <v>137</v>
      </c>
      <c r="E1503" t="s">
        <v>137</v>
      </c>
      <c r="F1503">
        <v>939</v>
      </c>
      <c r="G1503" s="122">
        <v>66555</v>
      </c>
      <c r="H1503" s="122">
        <v>180729</v>
      </c>
      <c r="I1503" s="122">
        <v>4843439</v>
      </c>
      <c r="J1503" s="122">
        <v>1793866</v>
      </c>
      <c r="K1503">
        <v>104</v>
      </c>
      <c r="L1503" s="122">
        <v>668402</v>
      </c>
      <c r="M1503" s="122">
        <v>284014</v>
      </c>
      <c r="N1503" s="122">
        <v>1397197</v>
      </c>
      <c r="O1503" s="122">
        <v>517480</v>
      </c>
      <c r="P1503" s="122">
        <v>39076</v>
      </c>
      <c r="Q1503" s="122">
        <v>14473</v>
      </c>
      <c r="R1503" s="122">
        <v>5864986</v>
      </c>
      <c r="S1503" s="122">
        <v>2172217</v>
      </c>
      <c r="T1503" s="122">
        <v>5622</v>
      </c>
      <c r="U1503" s="122">
        <v>2082</v>
      </c>
      <c r="V1503" s="122">
        <v>4784133</v>
      </c>
      <c r="W1503" s="122">
        <f t="shared" si="46"/>
        <v>4784132</v>
      </c>
      <c r="X1503" s="122">
        <f t="shared" si="47"/>
        <v>12818722</v>
      </c>
    </row>
    <row r="1504" spans="2:24">
      <c r="B1504" t="s">
        <v>468</v>
      </c>
      <c r="C1504" t="s">
        <v>56</v>
      </c>
      <c r="D1504" t="s">
        <v>406</v>
      </c>
      <c r="E1504" t="s">
        <v>406</v>
      </c>
      <c r="F1504">
        <v>14</v>
      </c>
      <c r="G1504" s="122">
        <v>1834</v>
      </c>
      <c r="H1504" s="122">
        <v>2680</v>
      </c>
      <c r="I1504" s="122">
        <v>186941</v>
      </c>
      <c r="J1504" s="122">
        <v>169946</v>
      </c>
      <c r="K1504">
        <v>88</v>
      </c>
      <c r="L1504" s="122">
        <v>40427</v>
      </c>
      <c r="M1504" s="122">
        <v>35018</v>
      </c>
      <c r="N1504" s="122">
        <v>35658</v>
      </c>
      <c r="O1504" s="122">
        <v>13207</v>
      </c>
      <c r="P1504" s="122">
        <v>9045</v>
      </c>
      <c r="Q1504" s="122">
        <v>3350</v>
      </c>
      <c r="R1504" s="122">
        <v>63446</v>
      </c>
      <c r="S1504" s="122">
        <v>57679</v>
      </c>
      <c r="T1504" s="122">
        <v>8450</v>
      </c>
      <c r="U1504" s="122">
        <v>3130</v>
      </c>
      <c r="V1504" s="122">
        <v>282329</v>
      </c>
      <c r="W1504" s="122">
        <f t="shared" si="46"/>
        <v>282330</v>
      </c>
      <c r="X1504" s="122">
        <f t="shared" si="47"/>
        <v>343967</v>
      </c>
    </row>
    <row r="1505" spans="2:24">
      <c r="B1505" t="s">
        <v>468</v>
      </c>
      <c r="C1505" t="s">
        <v>56</v>
      </c>
      <c r="D1505" t="s">
        <v>407</v>
      </c>
      <c r="E1505" t="s">
        <v>137</v>
      </c>
      <c r="F1505">
        <v>35</v>
      </c>
      <c r="G1505" s="122">
        <v>2631</v>
      </c>
      <c r="H1505" s="122">
        <v>6903</v>
      </c>
      <c r="I1505" s="122">
        <v>151680</v>
      </c>
      <c r="J1505" s="122">
        <v>137891</v>
      </c>
      <c r="K1505">
        <v>80</v>
      </c>
      <c r="L1505" s="122">
        <v>1073</v>
      </c>
      <c r="M1505">
        <v>975</v>
      </c>
      <c r="N1505" s="122">
        <v>61392</v>
      </c>
      <c r="O1505" s="122">
        <v>22738</v>
      </c>
      <c r="P1505" s="122">
        <v>16538</v>
      </c>
      <c r="Q1505" s="122">
        <v>6125</v>
      </c>
      <c r="R1505" s="122">
        <v>288340</v>
      </c>
      <c r="S1505" s="122">
        <v>106793</v>
      </c>
      <c r="T1505">
        <v>0</v>
      </c>
      <c r="U1505">
        <v>0</v>
      </c>
      <c r="V1505" s="122">
        <v>274522</v>
      </c>
      <c r="W1505" s="122">
        <f t="shared" si="46"/>
        <v>274522</v>
      </c>
      <c r="X1505" s="122">
        <f t="shared" si="47"/>
        <v>519023</v>
      </c>
    </row>
    <row r="1506" spans="2:24">
      <c r="B1506" t="s">
        <v>468</v>
      </c>
      <c r="C1506" t="s">
        <v>56</v>
      </c>
      <c r="D1506" t="s">
        <v>407</v>
      </c>
      <c r="E1506" t="s">
        <v>407</v>
      </c>
      <c r="F1506">
        <v>665</v>
      </c>
      <c r="G1506" s="122">
        <v>49849</v>
      </c>
      <c r="H1506" s="122">
        <v>121878</v>
      </c>
      <c r="I1506" s="122">
        <v>4083702</v>
      </c>
      <c r="J1506" s="122">
        <v>3712456</v>
      </c>
      <c r="K1506">
        <v>80</v>
      </c>
      <c r="L1506" s="122">
        <v>431426</v>
      </c>
      <c r="M1506" s="122">
        <v>331888</v>
      </c>
      <c r="N1506" s="122">
        <v>1055907</v>
      </c>
      <c r="O1506" s="122">
        <v>391077</v>
      </c>
      <c r="P1506" s="122">
        <v>315819</v>
      </c>
      <c r="Q1506" s="122">
        <v>116970</v>
      </c>
      <c r="R1506" s="122">
        <v>2671942</v>
      </c>
      <c r="S1506" s="122">
        <v>2429038</v>
      </c>
      <c r="T1506" s="122">
        <v>544655</v>
      </c>
      <c r="U1506" s="122">
        <v>201724</v>
      </c>
      <c r="V1506" s="122">
        <v>7183153</v>
      </c>
      <c r="W1506" s="122">
        <f t="shared" si="46"/>
        <v>7183153</v>
      </c>
      <c r="X1506" s="122">
        <f t="shared" si="47"/>
        <v>9103451</v>
      </c>
    </row>
    <row r="1507" spans="2:24">
      <c r="B1507" t="s">
        <v>468</v>
      </c>
      <c r="C1507" t="s">
        <v>58</v>
      </c>
      <c r="F1507">
        <v>10</v>
      </c>
      <c r="G1507">
        <v>551</v>
      </c>
      <c r="H1507" s="122">
        <v>2871</v>
      </c>
      <c r="J1507">
        <v>0</v>
      </c>
      <c r="M1507">
        <v>0</v>
      </c>
      <c r="N1507" s="122">
        <v>10539</v>
      </c>
      <c r="O1507" s="122">
        <v>3904</v>
      </c>
      <c r="P1507" s="122">
        <v>4361</v>
      </c>
      <c r="Q1507" s="122">
        <v>1615</v>
      </c>
      <c r="S1507">
        <v>0</v>
      </c>
      <c r="T1507" s="122">
        <v>19254</v>
      </c>
      <c r="U1507" s="122">
        <v>7131</v>
      </c>
      <c r="V1507" s="122">
        <v>12650</v>
      </c>
      <c r="W1507" s="122">
        <f t="shared" si="46"/>
        <v>12650</v>
      </c>
      <c r="X1507" s="122">
        <f t="shared" si="47"/>
        <v>34154</v>
      </c>
    </row>
    <row r="1508" spans="2:24">
      <c r="B1508" t="s">
        <v>468</v>
      </c>
      <c r="C1508" t="s">
        <v>58</v>
      </c>
      <c r="D1508" t="s">
        <v>425</v>
      </c>
      <c r="E1508" t="s">
        <v>406</v>
      </c>
      <c r="F1508">
        <v>1</v>
      </c>
      <c r="G1508">
        <v>138</v>
      </c>
      <c r="H1508">
        <v>247</v>
      </c>
      <c r="I1508" s="122">
        <v>26167</v>
      </c>
      <c r="J1508" s="122">
        <v>23788</v>
      </c>
      <c r="K1508">
        <v>60</v>
      </c>
      <c r="L1508" s="122">
        <v>6026</v>
      </c>
      <c r="M1508" s="122">
        <v>5022</v>
      </c>
      <c r="N1508" s="122">
        <v>3427</v>
      </c>
      <c r="O1508" s="122">
        <v>1269</v>
      </c>
      <c r="P1508">
        <v>621</v>
      </c>
      <c r="Q1508">
        <v>230</v>
      </c>
      <c r="R1508" s="122">
        <v>7220</v>
      </c>
      <c r="S1508" s="122">
        <v>6563</v>
      </c>
      <c r="T1508" s="122">
        <v>3888</v>
      </c>
      <c r="U1508" s="122">
        <v>1440</v>
      </c>
      <c r="V1508" s="122">
        <v>38313</v>
      </c>
      <c r="W1508" s="122">
        <f t="shared" si="46"/>
        <v>38312</v>
      </c>
      <c r="X1508" s="122">
        <f t="shared" si="47"/>
        <v>47349</v>
      </c>
    </row>
    <row r="1509" spans="2:24">
      <c r="B1509" t="s">
        <v>468</v>
      </c>
      <c r="C1509" t="s">
        <v>58</v>
      </c>
      <c r="D1509" t="s">
        <v>137</v>
      </c>
      <c r="E1509" t="s">
        <v>137</v>
      </c>
      <c r="F1509">
        <v>621</v>
      </c>
      <c r="G1509" s="122">
        <v>39809</v>
      </c>
      <c r="H1509" s="122">
        <v>162992</v>
      </c>
      <c r="I1509" s="122">
        <v>5174972</v>
      </c>
      <c r="J1509" s="122">
        <v>1916656</v>
      </c>
      <c r="K1509">
        <v>100</v>
      </c>
      <c r="L1509" s="122">
        <v>713803</v>
      </c>
      <c r="M1509" s="122">
        <v>274530</v>
      </c>
      <c r="N1509" s="122">
        <v>804889</v>
      </c>
      <c r="O1509" s="122">
        <v>298107</v>
      </c>
      <c r="P1509" s="122">
        <v>27458</v>
      </c>
      <c r="Q1509" s="122">
        <v>10169</v>
      </c>
      <c r="R1509" s="122">
        <v>3724166</v>
      </c>
      <c r="S1509" s="122">
        <v>1379321</v>
      </c>
      <c r="T1509">
        <v>0</v>
      </c>
      <c r="U1509">
        <v>0</v>
      </c>
      <c r="V1509" s="122">
        <v>3878783</v>
      </c>
      <c r="W1509" s="122">
        <f t="shared" si="46"/>
        <v>3878783</v>
      </c>
      <c r="X1509" s="122">
        <f t="shared" si="47"/>
        <v>10445288</v>
      </c>
    </row>
    <row r="1510" spans="2:24">
      <c r="B1510" t="s">
        <v>468</v>
      </c>
      <c r="C1510" t="s">
        <v>58</v>
      </c>
      <c r="D1510" t="s">
        <v>406</v>
      </c>
      <c r="E1510" t="s">
        <v>406</v>
      </c>
      <c r="F1510">
        <v>10</v>
      </c>
      <c r="G1510" s="122">
        <v>1147</v>
      </c>
      <c r="H1510" s="122">
        <v>2548</v>
      </c>
      <c r="I1510" s="122">
        <v>163582</v>
      </c>
      <c r="J1510" s="122">
        <v>148711</v>
      </c>
      <c r="K1510">
        <v>81</v>
      </c>
      <c r="L1510" s="122">
        <v>42118</v>
      </c>
      <c r="M1510" s="122">
        <v>36742</v>
      </c>
      <c r="N1510" s="122">
        <v>23735</v>
      </c>
      <c r="O1510" s="122">
        <v>8791</v>
      </c>
      <c r="P1510" s="122">
        <v>6561</v>
      </c>
      <c r="Q1510" s="122">
        <v>2430</v>
      </c>
      <c r="R1510" s="122">
        <v>49484</v>
      </c>
      <c r="S1510" s="122">
        <v>44985</v>
      </c>
      <c r="T1510" s="122">
        <v>11850</v>
      </c>
      <c r="U1510" s="122">
        <v>4389</v>
      </c>
      <c r="V1510" s="122">
        <v>246048</v>
      </c>
      <c r="W1510" s="122">
        <f t="shared" si="46"/>
        <v>246048</v>
      </c>
      <c r="X1510" s="122">
        <f t="shared" si="47"/>
        <v>297330</v>
      </c>
    </row>
    <row r="1511" spans="2:24">
      <c r="B1511" t="s">
        <v>468</v>
      </c>
      <c r="C1511" t="s">
        <v>58</v>
      </c>
      <c r="D1511" t="s">
        <v>407</v>
      </c>
      <c r="E1511" t="s">
        <v>407</v>
      </c>
      <c r="F1511">
        <v>144</v>
      </c>
      <c r="G1511" s="122">
        <v>9438</v>
      </c>
      <c r="H1511" s="122">
        <v>36781</v>
      </c>
      <c r="I1511" s="122">
        <v>1210647</v>
      </c>
      <c r="J1511" s="122">
        <v>1100588</v>
      </c>
      <c r="K1511">
        <v>77</v>
      </c>
      <c r="L1511" s="122">
        <v>220710</v>
      </c>
      <c r="M1511" s="122">
        <v>182664</v>
      </c>
      <c r="N1511" s="122">
        <v>197052</v>
      </c>
      <c r="O1511" s="122">
        <v>72982</v>
      </c>
      <c r="P1511" s="122">
        <v>67953</v>
      </c>
      <c r="Q1511" s="122">
        <v>25168</v>
      </c>
      <c r="R1511" s="122">
        <v>577501</v>
      </c>
      <c r="S1511" s="122">
        <v>525001</v>
      </c>
      <c r="T1511" s="122">
        <v>167430</v>
      </c>
      <c r="U1511" s="122">
        <v>62011</v>
      </c>
      <c r="V1511" s="122">
        <v>1968415</v>
      </c>
      <c r="W1511" s="122">
        <f t="shared" si="46"/>
        <v>1968414</v>
      </c>
      <c r="X1511" s="122">
        <f t="shared" si="47"/>
        <v>2441293</v>
      </c>
    </row>
    <row r="1512" spans="2:24">
      <c r="B1512" t="s">
        <v>468</v>
      </c>
      <c r="C1512" t="s">
        <v>58</v>
      </c>
      <c r="D1512" t="s">
        <v>556</v>
      </c>
      <c r="E1512" t="s">
        <v>137</v>
      </c>
      <c r="F1512">
        <v>1</v>
      </c>
      <c r="G1512">
        <v>60</v>
      </c>
      <c r="H1512">
        <v>293</v>
      </c>
      <c r="I1512" s="122">
        <v>9433</v>
      </c>
      <c r="J1512" s="122">
        <v>7861</v>
      </c>
      <c r="K1512">
        <v>60</v>
      </c>
      <c r="L1512" s="122">
        <v>1415</v>
      </c>
      <c r="M1512">
        <v>524</v>
      </c>
      <c r="N1512" s="122">
        <v>1361</v>
      </c>
      <c r="O1512">
        <v>504</v>
      </c>
      <c r="P1512">
        <v>0</v>
      </c>
      <c r="Q1512">
        <v>0</v>
      </c>
      <c r="R1512" s="122">
        <v>5311</v>
      </c>
      <c r="S1512" s="122">
        <v>1967</v>
      </c>
      <c r="T1512">
        <v>0</v>
      </c>
      <c r="U1512">
        <v>0</v>
      </c>
      <c r="V1512" s="122">
        <v>10856</v>
      </c>
      <c r="W1512" s="122">
        <f t="shared" si="46"/>
        <v>10856</v>
      </c>
      <c r="X1512" s="122">
        <f t="shared" si="47"/>
        <v>17520</v>
      </c>
    </row>
    <row r="1513" spans="2:24">
      <c r="B1513" t="s">
        <v>468</v>
      </c>
      <c r="C1513" t="s">
        <v>58</v>
      </c>
      <c r="D1513" t="s">
        <v>426</v>
      </c>
      <c r="E1513" t="s">
        <v>426</v>
      </c>
      <c r="F1513">
        <v>1</v>
      </c>
      <c r="G1513">
        <v>98</v>
      </c>
      <c r="H1513">
        <v>293</v>
      </c>
      <c r="I1513" s="122">
        <v>21410</v>
      </c>
      <c r="J1513" s="122">
        <v>19464</v>
      </c>
      <c r="K1513">
        <v>65</v>
      </c>
      <c r="L1513">
        <v>0</v>
      </c>
      <c r="M1513">
        <v>0</v>
      </c>
      <c r="N1513" s="122">
        <v>1196</v>
      </c>
      <c r="O1513">
        <v>443</v>
      </c>
      <c r="P1513">
        <v>351</v>
      </c>
      <c r="Q1513">
        <v>130</v>
      </c>
      <c r="R1513" s="122">
        <v>5785</v>
      </c>
      <c r="S1513" s="122">
        <v>5259</v>
      </c>
      <c r="T1513">
        <v>0</v>
      </c>
      <c r="U1513">
        <v>0</v>
      </c>
      <c r="V1513" s="122">
        <v>25296</v>
      </c>
      <c r="W1513" s="122">
        <f t="shared" si="46"/>
        <v>25296</v>
      </c>
      <c r="X1513" s="122">
        <f t="shared" si="47"/>
        <v>28742</v>
      </c>
    </row>
    <row r="1514" spans="2:24">
      <c r="B1514" t="s">
        <v>468</v>
      </c>
      <c r="C1514" t="s">
        <v>60</v>
      </c>
      <c r="F1514">
        <v>6</v>
      </c>
      <c r="G1514">
        <v>241</v>
      </c>
      <c r="H1514" s="122">
        <v>2137</v>
      </c>
      <c r="J1514">
        <v>0</v>
      </c>
      <c r="M1514">
        <v>0</v>
      </c>
      <c r="N1514" s="122">
        <v>5382</v>
      </c>
      <c r="O1514" s="122">
        <v>1993</v>
      </c>
      <c r="P1514" s="122">
        <v>2363</v>
      </c>
      <c r="Q1514">
        <v>875</v>
      </c>
      <c r="S1514">
        <v>0</v>
      </c>
      <c r="T1514">
        <v>0</v>
      </c>
      <c r="U1514">
        <v>0</v>
      </c>
      <c r="V1514" s="122">
        <v>2868</v>
      </c>
      <c r="W1514" s="122">
        <f t="shared" si="46"/>
        <v>2868</v>
      </c>
      <c r="X1514" s="122">
        <f t="shared" si="47"/>
        <v>7745</v>
      </c>
    </row>
    <row r="1515" spans="2:24">
      <c r="B1515" t="s">
        <v>468</v>
      </c>
      <c r="C1515" t="s">
        <v>60</v>
      </c>
      <c r="D1515" t="s">
        <v>137</v>
      </c>
      <c r="E1515" t="s">
        <v>137</v>
      </c>
      <c r="F1515">
        <v>256</v>
      </c>
      <c r="G1515" s="122">
        <v>15211</v>
      </c>
      <c r="H1515" s="122">
        <v>86508</v>
      </c>
      <c r="I1515" s="122">
        <v>2923682</v>
      </c>
      <c r="J1515" s="122">
        <v>1082845</v>
      </c>
      <c r="K1515">
        <v>100</v>
      </c>
      <c r="L1515" s="122">
        <v>388455</v>
      </c>
      <c r="M1515" s="122">
        <v>160907</v>
      </c>
      <c r="N1515" s="122">
        <v>315076</v>
      </c>
      <c r="O1515" s="122">
        <v>116695</v>
      </c>
      <c r="P1515" s="122">
        <v>7722</v>
      </c>
      <c r="Q1515" s="122">
        <v>2860</v>
      </c>
      <c r="R1515" s="122">
        <v>1500871</v>
      </c>
      <c r="S1515" s="122">
        <v>555878</v>
      </c>
      <c r="T1515" s="122">
        <v>4364</v>
      </c>
      <c r="U1515" s="122">
        <v>1616</v>
      </c>
      <c r="V1515" s="122">
        <v>1920802</v>
      </c>
      <c r="W1515" s="122">
        <f t="shared" ref="W1515:W1578" si="48">SUM(ABS(J1515),ABS(M1515),ABS(O1515),ABS(Q1515),ABS(S1515),ABS(U1515))</f>
        <v>1920801</v>
      </c>
      <c r="X1515" s="122">
        <f t="shared" ref="X1515:X1578" si="49">SUM(ABS(I1515),ABS(N1515),ABS(P1515),ABS(R1515),ABS(T1515),ABS(L1515))</f>
        <v>5140170</v>
      </c>
    </row>
    <row r="1516" spans="2:24">
      <c r="B1516" t="s">
        <v>468</v>
      </c>
      <c r="C1516" t="s">
        <v>60</v>
      </c>
      <c r="D1516" t="s">
        <v>406</v>
      </c>
      <c r="E1516" t="s">
        <v>406</v>
      </c>
      <c r="F1516">
        <v>6</v>
      </c>
      <c r="G1516">
        <v>563</v>
      </c>
      <c r="H1516" s="122">
        <v>2037</v>
      </c>
      <c r="I1516" s="122">
        <v>104969</v>
      </c>
      <c r="J1516" s="122">
        <v>95426</v>
      </c>
      <c r="K1516">
        <v>80</v>
      </c>
      <c r="L1516" s="122">
        <v>34113</v>
      </c>
      <c r="M1516" s="122">
        <v>25973</v>
      </c>
      <c r="N1516" s="122">
        <v>11175</v>
      </c>
      <c r="O1516" s="122">
        <v>4139</v>
      </c>
      <c r="P1516" s="122">
        <v>3726</v>
      </c>
      <c r="Q1516" s="122">
        <v>1380</v>
      </c>
      <c r="R1516" s="122">
        <v>25425</v>
      </c>
      <c r="S1516" s="122">
        <v>23114</v>
      </c>
      <c r="T1516" s="122">
        <v>10317</v>
      </c>
      <c r="U1516" s="122">
        <v>3821</v>
      </c>
      <c r="V1516" s="122">
        <v>153853</v>
      </c>
      <c r="W1516" s="122">
        <f t="shared" si="48"/>
        <v>153853</v>
      </c>
      <c r="X1516" s="122">
        <f t="shared" si="49"/>
        <v>189725</v>
      </c>
    </row>
    <row r="1517" spans="2:24">
      <c r="B1517" t="s">
        <v>468</v>
      </c>
      <c r="C1517" t="s">
        <v>60</v>
      </c>
      <c r="D1517" t="s">
        <v>407</v>
      </c>
      <c r="E1517" t="s">
        <v>137</v>
      </c>
      <c r="F1517">
        <v>4</v>
      </c>
      <c r="G1517">
        <v>172</v>
      </c>
      <c r="H1517" s="122">
        <v>1354</v>
      </c>
      <c r="I1517" s="122">
        <v>33625</v>
      </c>
      <c r="J1517" s="122">
        <v>30568</v>
      </c>
      <c r="K1517">
        <v>80</v>
      </c>
      <c r="L1517" s="122">
        <v>3211</v>
      </c>
      <c r="M1517" s="122">
        <v>2676</v>
      </c>
      <c r="N1517" s="122">
        <v>3050</v>
      </c>
      <c r="O1517" s="122">
        <v>1130</v>
      </c>
      <c r="P1517" s="122">
        <v>1890</v>
      </c>
      <c r="Q1517">
        <v>700</v>
      </c>
      <c r="R1517" s="122">
        <v>16712</v>
      </c>
      <c r="S1517" s="122">
        <v>6190</v>
      </c>
      <c r="T1517">
        <v>0</v>
      </c>
      <c r="U1517">
        <v>0</v>
      </c>
      <c r="V1517" s="122">
        <v>41263</v>
      </c>
      <c r="W1517" s="122">
        <f t="shared" si="48"/>
        <v>41264</v>
      </c>
      <c r="X1517" s="122">
        <f t="shared" si="49"/>
        <v>58488</v>
      </c>
    </row>
    <row r="1518" spans="2:24">
      <c r="B1518" t="s">
        <v>468</v>
      </c>
      <c r="C1518" t="s">
        <v>60</v>
      </c>
      <c r="D1518" t="s">
        <v>407</v>
      </c>
      <c r="E1518" t="s">
        <v>407</v>
      </c>
      <c r="F1518">
        <v>27</v>
      </c>
      <c r="G1518" s="122">
        <v>1616</v>
      </c>
      <c r="H1518" s="122">
        <v>9099</v>
      </c>
      <c r="I1518" s="122">
        <v>312375</v>
      </c>
      <c r="J1518" s="122">
        <v>283977</v>
      </c>
      <c r="K1518">
        <v>74</v>
      </c>
      <c r="L1518" s="122">
        <v>40689</v>
      </c>
      <c r="M1518" s="122">
        <v>35500</v>
      </c>
      <c r="N1518" s="122">
        <v>33246</v>
      </c>
      <c r="O1518" s="122">
        <v>12313</v>
      </c>
      <c r="P1518" s="122">
        <v>12952</v>
      </c>
      <c r="Q1518" s="122">
        <v>4797</v>
      </c>
      <c r="R1518" s="122">
        <v>114295</v>
      </c>
      <c r="S1518" s="122">
        <v>103905</v>
      </c>
      <c r="T1518" s="122">
        <v>28288</v>
      </c>
      <c r="U1518" s="122">
        <v>10477</v>
      </c>
      <c r="V1518" s="122">
        <v>450969</v>
      </c>
      <c r="W1518" s="122">
        <f t="shared" si="48"/>
        <v>450969</v>
      </c>
      <c r="X1518" s="122">
        <f t="shared" si="49"/>
        <v>541845</v>
      </c>
    </row>
    <row r="1519" spans="2:24">
      <c r="B1519" t="s">
        <v>468</v>
      </c>
      <c r="C1519" t="s">
        <v>60</v>
      </c>
      <c r="D1519" t="s">
        <v>556</v>
      </c>
      <c r="E1519" t="s">
        <v>137</v>
      </c>
      <c r="F1519">
        <v>1</v>
      </c>
      <c r="G1519">
        <v>49</v>
      </c>
      <c r="H1519">
        <v>312</v>
      </c>
      <c r="I1519" s="122">
        <v>9885</v>
      </c>
      <c r="J1519" s="122">
        <v>8238</v>
      </c>
      <c r="K1519">
        <v>65</v>
      </c>
      <c r="L1519">
        <v>0</v>
      </c>
      <c r="M1519">
        <v>0</v>
      </c>
      <c r="N1519" s="122">
        <v>1105</v>
      </c>
      <c r="O1519">
        <v>409</v>
      </c>
      <c r="P1519">
        <v>351</v>
      </c>
      <c r="Q1519">
        <v>130</v>
      </c>
      <c r="R1519" s="122">
        <v>3888</v>
      </c>
      <c r="S1519" s="122">
        <v>1440</v>
      </c>
      <c r="T1519">
        <v>0</v>
      </c>
      <c r="U1519">
        <v>0</v>
      </c>
      <c r="V1519" s="122">
        <v>10217</v>
      </c>
      <c r="W1519" s="122">
        <f t="shared" si="48"/>
        <v>10217</v>
      </c>
      <c r="X1519" s="122">
        <f t="shared" si="49"/>
        <v>15229</v>
      </c>
    </row>
    <row r="1520" spans="2:24">
      <c r="B1520" t="s">
        <v>468</v>
      </c>
      <c r="C1520" t="s">
        <v>62</v>
      </c>
      <c r="D1520" t="s">
        <v>137</v>
      </c>
      <c r="E1520" t="s">
        <v>137</v>
      </c>
      <c r="F1520">
        <v>106</v>
      </c>
      <c r="G1520" s="122">
        <v>6129</v>
      </c>
      <c r="H1520" s="122">
        <v>43504</v>
      </c>
      <c r="I1520" s="122">
        <v>1588403</v>
      </c>
      <c r="J1520" s="122">
        <v>588297</v>
      </c>
      <c r="K1520">
        <v>100</v>
      </c>
      <c r="L1520" s="122">
        <v>197242</v>
      </c>
      <c r="M1520" s="122">
        <v>83478</v>
      </c>
      <c r="N1520" s="122">
        <v>129633</v>
      </c>
      <c r="O1520" s="122">
        <v>48012</v>
      </c>
      <c r="P1520" s="122">
        <v>1053</v>
      </c>
      <c r="Q1520">
        <v>390</v>
      </c>
      <c r="R1520" s="122">
        <v>594172</v>
      </c>
      <c r="S1520" s="122">
        <v>220064</v>
      </c>
      <c r="T1520" s="122">
        <v>1877</v>
      </c>
      <c r="U1520">
        <v>695</v>
      </c>
      <c r="V1520" s="122">
        <v>940937</v>
      </c>
      <c r="W1520" s="122">
        <f t="shared" si="48"/>
        <v>940936</v>
      </c>
      <c r="X1520" s="122">
        <f t="shared" si="49"/>
        <v>2512380</v>
      </c>
    </row>
    <row r="1521" spans="2:24">
      <c r="B1521" t="s">
        <v>468</v>
      </c>
      <c r="C1521" t="s">
        <v>62</v>
      </c>
      <c r="D1521" t="s">
        <v>406</v>
      </c>
      <c r="E1521" t="s">
        <v>406</v>
      </c>
      <c r="F1521">
        <v>3</v>
      </c>
      <c r="G1521">
        <v>314</v>
      </c>
      <c r="H1521" s="122">
        <v>1274</v>
      </c>
      <c r="I1521" s="122">
        <v>84638</v>
      </c>
      <c r="J1521" s="122">
        <v>76944</v>
      </c>
      <c r="K1521">
        <v>65</v>
      </c>
      <c r="L1521" s="122">
        <v>14951</v>
      </c>
      <c r="M1521" s="122">
        <v>12963</v>
      </c>
      <c r="N1521" s="122">
        <v>5576</v>
      </c>
      <c r="O1521" s="122">
        <v>2065</v>
      </c>
      <c r="P1521" s="122">
        <v>1863</v>
      </c>
      <c r="Q1521">
        <v>690</v>
      </c>
      <c r="R1521" s="122">
        <v>16914</v>
      </c>
      <c r="S1521" s="122">
        <v>15377</v>
      </c>
      <c r="T1521" s="122">
        <v>9327</v>
      </c>
      <c r="U1521" s="122">
        <v>3454</v>
      </c>
      <c r="V1521" s="122">
        <v>111493</v>
      </c>
      <c r="W1521" s="122">
        <f t="shared" si="48"/>
        <v>111493</v>
      </c>
      <c r="X1521" s="122">
        <f t="shared" si="49"/>
        <v>133269</v>
      </c>
    </row>
    <row r="1522" spans="2:24">
      <c r="B1522" t="s">
        <v>468</v>
      </c>
      <c r="C1522" t="s">
        <v>62</v>
      </c>
      <c r="D1522" t="s">
        <v>407</v>
      </c>
      <c r="E1522" t="s">
        <v>407</v>
      </c>
      <c r="F1522">
        <v>14</v>
      </c>
      <c r="G1522">
        <v>895</v>
      </c>
      <c r="H1522" s="122">
        <v>5775</v>
      </c>
      <c r="I1522" s="122">
        <v>233414</v>
      </c>
      <c r="J1522" s="122">
        <v>212195</v>
      </c>
      <c r="K1522">
        <v>72</v>
      </c>
      <c r="L1522" s="122">
        <v>32656</v>
      </c>
      <c r="M1522" s="122">
        <v>26221</v>
      </c>
      <c r="N1522" s="122">
        <v>19209</v>
      </c>
      <c r="O1522" s="122">
        <v>7115</v>
      </c>
      <c r="P1522" s="122">
        <v>7074</v>
      </c>
      <c r="Q1522" s="122">
        <v>2620</v>
      </c>
      <c r="R1522" s="122">
        <v>59598</v>
      </c>
      <c r="S1522" s="122">
        <v>54180</v>
      </c>
      <c r="T1522" s="122">
        <v>14015</v>
      </c>
      <c r="U1522" s="122">
        <v>5191</v>
      </c>
      <c r="V1522" s="122">
        <v>307521</v>
      </c>
      <c r="W1522" s="122">
        <f t="shared" si="48"/>
        <v>307522</v>
      </c>
      <c r="X1522" s="122">
        <f t="shared" si="49"/>
        <v>365966</v>
      </c>
    </row>
    <row r="1523" spans="2:24">
      <c r="B1523" t="s">
        <v>468</v>
      </c>
      <c r="C1523" t="s">
        <v>62</v>
      </c>
      <c r="D1523" t="s">
        <v>556</v>
      </c>
      <c r="E1523" t="s">
        <v>137</v>
      </c>
      <c r="F1523">
        <v>1</v>
      </c>
      <c r="G1523">
        <v>58</v>
      </c>
      <c r="H1523">
        <v>423</v>
      </c>
      <c r="I1523" s="122">
        <v>13668</v>
      </c>
      <c r="J1523" s="122">
        <v>11390</v>
      </c>
      <c r="K1523">
        <v>60</v>
      </c>
      <c r="L1523" s="122">
        <v>4613</v>
      </c>
      <c r="M1523" s="122">
        <v>1709</v>
      </c>
      <c r="N1523" s="122">
        <v>1283</v>
      </c>
      <c r="O1523">
        <v>475</v>
      </c>
      <c r="P1523">
        <v>0</v>
      </c>
      <c r="Q1523">
        <v>0</v>
      </c>
      <c r="R1523" s="122">
        <v>5190</v>
      </c>
      <c r="S1523" s="122">
        <v>1922</v>
      </c>
      <c r="T1523">
        <v>0</v>
      </c>
      <c r="U1523">
        <v>0</v>
      </c>
      <c r="V1523" s="122">
        <v>15496</v>
      </c>
      <c r="W1523" s="122">
        <f t="shared" si="48"/>
        <v>15496</v>
      </c>
      <c r="X1523" s="122">
        <f t="shared" si="49"/>
        <v>24754</v>
      </c>
    </row>
    <row r="1524" spans="2:24">
      <c r="B1524" t="s">
        <v>468</v>
      </c>
      <c r="C1524" t="s">
        <v>62</v>
      </c>
      <c r="D1524" t="s">
        <v>556</v>
      </c>
      <c r="E1524" t="s">
        <v>556</v>
      </c>
      <c r="F1524">
        <v>1</v>
      </c>
      <c r="G1524">
        <v>109</v>
      </c>
      <c r="H1524">
        <v>443</v>
      </c>
      <c r="I1524" s="122">
        <v>30127</v>
      </c>
      <c r="J1524" s="122">
        <v>25106</v>
      </c>
      <c r="K1524">
        <v>55</v>
      </c>
      <c r="L1524" s="122">
        <v>9321</v>
      </c>
      <c r="M1524" s="122">
        <v>3452</v>
      </c>
      <c r="N1524" s="122">
        <v>1334</v>
      </c>
      <c r="O1524">
        <v>494</v>
      </c>
      <c r="P1524">
        <v>351</v>
      </c>
      <c r="Q1524">
        <v>130</v>
      </c>
      <c r="R1524" s="122">
        <v>5230</v>
      </c>
      <c r="S1524" s="122">
        <v>4359</v>
      </c>
      <c r="T1524" s="122">
        <v>2101</v>
      </c>
      <c r="U1524">
        <v>778</v>
      </c>
      <c r="V1524" s="122">
        <v>34319</v>
      </c>
      <c r="W1524" s="122">
        <f t="shared" si="48"/>
        <v>34319</v>
      </c>
      <c r="X1524" s="122">
        <f t="shared" si="49"/>
        <v>48464</v>
      </c>
    </row>
    <row r="1525" spans="2:24">
      <c r="B1525" t="s">
        <v>468</v>
      </c>
      <c r="C1525" t="s">
        <v>64</v>
      </c>
      <c r="D1525" t="s">
        <v>137</v>
      </c>
      <c r="E1525" t="s">
        <v>137</v>
      </c>
      <c r="F1525">
        <v>119</v>
      </c>
      <c r="G1525" s="122">
        <v>6073</v>
      </c>
      <c r="H1525" s="122">
        <v>74011</v>
      </c>
      <c r="I1525" s="122">
        <v>2655198</v>
      </c>
      <c r="J1525" s="122">
        <v>983407</v>
      </c>
      <c r="K1525">
        <v>100</v>
      </c>
      <c r="L1525" s="122">
        <v>362570</v>
      </c>
      <c r="M1525" s="122">
        <v>163122</v>
      </c>
      <c r="N1525" s="122">
        <v>133138</v>
      </c>
      <c r="O1525" s="122">
        <v>49310</v>
      </c>
      <c r="P1525">
        <v>702</v>
      </c>
      <c r="Q1525">
        <v>260</v>
      </c>
      <c r="R1525" s="122">
        <v>602906</v>
      </c>
      <c r="S1525" s="122">
        <v>223299</v>
      </c>
      <c r="T1525" s="122">
        <v>2663</v>
      </c>
      <c r="U1525">
        <v>986</v>
      </c>
      <c r="V1525" s="122">
        <v>1420384</v>
      </c>
      <c r="W1525" s="122">
        <f t="shared" si="48"/>
        <v>1420384</v>
      </c>
      <c r="X1525" s="122">
        <f t="shared" si="49"/>
        <v>3757177</v>
      </c>
    </row>
    <row r="1526" spans="2:24">
      <c r="B1526" t="s">
        <v>468</v>
      </c>
      <c r="C1526" t="s">
        <v>64</v>
      </c>
      <c r="D1526" t="s">
        <v>406</v>
      </c>
      <c r="E1526" t="s">
        <v>406</v>
      </c>
      <c r="F1526">
        <v>8</v>
      </c>
      <c r="G1526" s="122">
        <v>1129</v>
      </c>
      <c r="H1526" s="122">
        <v>4462</v>
      </c>
      <c r="I1526" s="122">
        <v>416759</v>
      </c>
      <c r="J1526" s="122">
        <v>378872</v>
      </c>
      <c r="K1526">
        <v>70</v>
      </c>
      <c r="L1526" s="122">
        <v>94291</v>
      </c>
      <c r="M1526" s="122">
        <v>83136</v>
      </c>
      <c r="N1526" s="122">
        <v>24276</v>
      </c>
      <c r="O1526" s="122">
        <v>8991</v>
      </c>
      <c r="P1526" s="122">
        <v>4968</v>
      </c>
      <c r="Q1526" s="122">
        <v>1840</v>
      </c>
      <c r="R1526" s="122">
        <v>35551</v>
      </c>
      <c r="S1526" s="122">
        <v>32319</v>
      </c>
      <c r="T1526" s="122">
        <v>13810</v>
      </c>
      <c r="U1526" s="122">
        <v>5115</v>
      </c>
      <c r="V1526" s="122">
        <v>510273</v>
      </c>
      <c r="W1526" s="122">
        <f t="shared" si="48"/>
        <v>510273</v>
      </c>
      <c r="X1526" s="122">
        <f t="shared" si="49"/>
        <v>589655</v>
      </c>
    </row>
    <row r="1527" spans="2:24">
      <c r="B1527" t="s">
        <v>468</v>
      </c>
      <c r="C1527" t="s">
        <v>64</v>
      </c>
      <c r="D1527" t="s">
        <v>427</v>
      </c>
      <c r="E1527" t="s">
        <v>137</v>
      </c>
      <c r="F1527">
        <v>1</v>
      </c>
      <c r="G1527">
        <v>182</v>
      </c>
      <c r="H1527" s="122">
        <v>1284</v>
      </c>
      <c r="I1527" s="122">
        <v>222962</v>
      </c>
      <c r="J1527" s="122">
        <v>202692</v>
      </c>
      <c r="K1527">
        <v>30</v>
      </c>
      <c r="L1527">
        <v>0</v>
      </c>
      <c r="M1527">
        <v>0</v>
      </c>
      <c r="N1527" s="122">
        <v>3801</v>
      </c>
      <c r="O1527" s="122">
        <v>1408</v>
      </c>
      <c r="P1527">
        <v>0</v>
      </c>
      <c r="Q1527">
        <v>0</v>
      </c>
      <c r="R1527" s="122">
        <v>7497</v>
      </c>
      <c r="S1527" s="122">
        <v>2777</v>
      </c>
      <c r="T1527">
        <v>0</v>
      </c>
      <c r="U1527">
        <v>0</v>
      </c>
      <c r="V1527" s="122">
        <v>206877</v>
      </c>
      <c r="W1527" s="122">
        <f t="shared" si="48"/>
        <v>206877</v>
      </c>
      <c r="X1527" s="122">
        <f t="shared" si="49"/>
        <v>234260</v>
      </c>
    </row>
    <row r="1528" spans="2:24">
      <c r="B1528" t="s">
        <v>468</v>
      </c>
      <c r="C1528" t="s">
        <v>64</v>
      </c>
      <c r="D1528" t="s">
        <v>407</v>
      </c>
      <c r="E1528" t="s">
        <v>137</v>
      </c>
      <c r="F1528">
        <v>1</v>
      </c>
      <c r="G1528">
        <v>32</v>
      </c>
      <c r="H1528">
        <v>650</v>
      </c>
      <c r="I1528" s="122">
        <v>8427</v>
      </c>
      <c r="J1528" s="122">
        <v>7661</v>
      </c>
      <c r="K1528">
        <v>77</v>
      </c>
      <c r="L1528">
        <v>0</v>
      </c>
      <c r="M1528">
        <v>0</v>
      </c>
      <c r="N1528">
        <v>483</v>
      </c>
      <c r="O1528">
        <v>179</v>
      </c>
      <c r="P1528">
        <v>473</v>
      </c>
      <c r="Q1528">
        <v>175</v>
      </c>
      <c r="R1528" s="122">
        <v>11220</v>
      </c>
      <c r="S1528" s="122">
        <v>4156</v>
      </c>
      <c r="T1528">
        <v>0</v>
      </c>
      <c r="U1528">
        <v>0</v>
      </c>
      <c r="V1528" s="122">
        <v>12170</v>
      </c>
      <c r="W1528" s="122">
        <f t="shared" si="48"/>
        <v>12171</v>
      </c>
      <c r="X1528" s="122">
        <f t="shared" si="49"/>
        <v>20603</v>
      </c>
    </row>
    <row r="1529" spans="2:24">
      <c r="B1529" t="s">
        <v>468</v>
      </c>
      <c r="C1529" t="s">
        <v>64</v>
      </c>
      <c r="D1529" t="s">
        <v>407</v>
      </c>
      <c r="E1529" t="s">
        <v>407</v>
      </c>
      <c r="F1529">
        <v>9</v>
      </c>
      <c r="G1529">
        <v>455</v>
      </c>
      <c r="H1529" s="122">
        <v>4774</v>
      </c>
      <c r="I1529" s="122">
        <v>153405</v>
      </c>
      <c r="J1529" s="122">
        <v>139459</v>
      </c>
      <c r="K1529">
        <v>70</v>
      </c>
      <c r="L1529" s="122">
        <v>19291</v>
      </c>
      <c r="M1529" s="122">
        <v>16488</v>
      </c>
      <c r="N1529" s="122">
        <v>9859</v>
      </c>
      <c r="O1529" s="122">
        <v>3652</v>
      </c>
      <c r="P1529" s="122">
        <v>4131</v>
      </c>
      <c r="Q1529" s="122">
        <v>1530</v>
      </c>
      <c r="R1529" s="122">
        <v>32213</v>
      </c>
      <c r="S1529" s="122">
        <v>29284</v>
      </c>
      <c r="T1529" s="122">
        <v>14878</v>
      </c>
      <c r="U1529" s="122">
        <v>5510</v>
      </c>
      <c r="V1529" s="122">
        <v>195923</v>
      </c>
      <c r="W1529" s="122">
        <f t="shared" si="48"/>
        <v>195923</v>
      </c>
      <c r="X1529" s="122">
        <f t="shared" si="49"/>
        <v>233777</v>
      </c>
    </row>
    <row r="1530" spans="2:24">
      <c r="B1530" t="s">
        <v>468</v>
      </c>
      <c r="C1530" t="s">
        <v>64</v>
      </c>
      <c r="D1530" t="s">
        <v>556</v>
      </c>
      <c r="E1530" t="s">
        <v>137</v>
      </c>
      <c r="F1530">
        <v>4</v>
      </c>
      <c r="G1530">
        <v>189</v>
      </c>
      <c r="H1530" s="122">
        <v>2863</v>
      </c>
      <c r="I1530" s="122">
        <v>105281</v>
      </c>
      <c r="J1530" s="122">
        <v>87734</v>
      </c>
      <c r="K1530">
        <v>30</v>
      </c>
      <c r="L1530" s="122">
        <v>7896</v>
      </c>
      <c r="M1530" s="122">
        <v>2924</v>
      </c>
      <c r="N1530" s="122">
        <v>4064</v>
      </c>
      <c r="O1530" s="122">
        <v>1505</v>
      </c>
      <c r="P1530">
        <v>0</v>
      </c>
      <c r="Q1530">
        <v>0</v>
      </c>
      <c r="R1530" s="122">
        <v>22674</v>
      </c>
      <c r="S1530" s="122">
        <v>8398</v>
      </c>
      <c r="T1530">
        <v>0</v>
      </c>
      <c r="U1530">
        <v>0</v>
      </c>
      <c r="V1530" s="122">
        <v>100561</v>
      </c>
      <c r="W1530" s="122">
        <f t="shared" si="48"/>
        <v>100561</v>
      </c>
      <c r="X1530" s="122">
        <f t="shared" si="49"/>
        <v>139915</v>
      </c>
    </row>
    <row r="1531" spans="2:24">
      <c r="B1531" t="s">
        <v>468</v>
      </c>
      <c r="C1531" t="s">
        <v>64</v>
      </c>
      <c r="D1531" t="s">
        <v>556</v>
      </c>
      <c r="E1531" t="s">
        <v>556</v>
      </c>
      <c r="F1531">
        <v>3</v>
      </c>
      <c r="G1531">
        <v>171</v>
      </c>
      <c r="H1531" s="122">
        <v>1474</v>
      </c>
      <c r="I1531" s="122">
        <v>57173</v>
      </c>
      <c r="J1531" s="122">
        <v>47645</v>
      </c>
      <c r="K1531">
        <v>58</v>
      </c>
      <c r="L1531" s="122">
        <v>5439</v>
      </c>
      <c r="M1531" s="122">
        <v>2014</v>
      </c>
      <c r="N1531" s="122">
        <v>3347</v>
      </c>
      <c r="O1531" s="122">
        <v>1240</v>
      </c>
      <c r="P1531" s="122">
        <v>1053</v>
      </c>
      <c r="Q1531">
        <v>390</v>
      </c>
      <c r="R1531" s="122">
        <v>12574</v>
      </c>
      <c r="S1531" s="122">
        <v>10478</v>
      </c>
      <c r="T1531" s="122">
        <v>4770</v>
      </c>
      <c r="U1531" s="122">
        <v>1767</v>
      </c>
      <c r="V1531" s="122">
        <v>63533</v>
      </c>
      <c r="W1531" s="122">
        <f t="shared" si="48"/>
        <v>63534</v>
      </c>
      <c r="X1531" s="122">
        <f t="shared" si="49"/>
        <v>84356</v>
      </c>
    </row>
    <row r="1532" spans="2:24">
      <c r="B1532" t="s">
        <v>468</v>
      </c>
      <c r="C1532" t="s">
        <v>64</v>
      </c>
      <c r="D1532" t="s">
        <v>426</v>
      </c>
      <c r="E1532" t="s">
        <v>426</v>
      </c>
      <c r="F1532">
        <v>3</v>
      </c>
      <c r="G1532">
        <v>353</v>
      </c>
      <c r="H1532" s="122">
        <v>1951</v>
      </c>
      <c r="I1532" s="122">
        <v>160972</v>
      </c>
      <c r="J1532" s="122">
        <v>146338</v>
      </c>
      <c r="K1532">
        <v>58</v>
      </c>
      <c r="L1532" s="122">
        <v>34790</v>
      </c>
      <c r="M1532" s="122">
        <v>31627</v>
      </c>
      <c r="N1532" s="122">
        <v>7950</v>
      </c>
      <c r="O1532" s="122">
        <v>2945</v>
      </c>
      <c r="P1532" s="122">
        <v>1053</v>
      </c>
      <c r="Q1532">
        <v>390</v>
      </c>
      <c r="R1532" s="122">
        <v>15173</v>
      </c>
      <c r="S1532" s="122">
        <v>13794</v>
      </c>
      <c r="T1532" s="122">
        <v>7276</v>
      </c>
      <c r="U1532" s="122">
        <v>2695</v>
      </c>
      <c r="V1532" s="122">
        <v>197789</v>
      </c>
      <c r="W1532" s="122">
        <f t="shared" si="48"/>
        <v>197789</v>
      </c>
      <c r="X1532" s="122">
        <f t="shared" si="49"/>
        <v>227214</v>
      </c>
    </row>
    <row r="1533" spans="2:24">
      <c r="B1533" t="s">
        <v>469</v>
      </c>
      <c r="C1533" t="s">
        <v>48</v>
      </c>
      <c r="D1533" t="s">
        <v>137</v>
      </c>
      <c r="E1533" t="s">
        <v>137</v>
      </c>
      <c r="F1533">
        <v>1</v>
      </c>
      <c r="G1533">
        <v>197</v>
      </c>
      <c r="H1533">
        <v>73</v>
      </c>
      <c r="I1533" s="122">
        <v>3620</v>
      </c>
      <c r="J1533" s="122">
        <v>1341</v>
      </c>
      <c r="K1533">
        <v>471</v>
      </c>
      <c r="L1533" s="122">
        <v>1403</v>
      </c>
      <c r="M1533" s="122">
        <v>1169</v>
      </c>
      <c r="N1533" s="122">
        <v>2395</v>
      </c>
      <c r="O1533">
        <v>887</v>
      </c>
      <c r="P1533">
        <v>351</v>
      </c>
      <c r="Q1533">
        <v>130</v>
      </c>
      <c r="R1533" s="122">
        <v>6629</v>
      </c>
      <c r="S1533" s="122">
        <v>2455</v>
      </c>
      <c r="T1533">
        <v>0</v>
      </c>
      <c r="U1533">
        <v>0</v>
      </c>
      <c r="V1533" s="122">
        <v>5982</v>
      </c>
      <c r="W1533" s="122">
        <f t="shared" si="48"/>
        <v>5982</v>
      </c>
      <c r="X1533" s="122">
        <f t="shared" si="49"/>
        <v>14398</v>
      </c>
    </row>
    <row r="1534" spans="2:24">
      <c r="B1534" t="s">
        <v>469</v>
      </c>
      <c r="C1534" t="s">
        <v>48</v>
      </c>
      <c r="D1534" t="s">
        <v>407</v>
      </c>
      <c r="E1534" t="s">
        <v>407</v>
      </c>
      <c r="F1534">
        <v>1</v>
      </c>
      <c r="G1534">
        <v>116</v>
      </c>
      <c r="H1534">
        <v>73</v>
      </c>
      <c r="I1534" s="122">
        <v>3460</v>
      </c>
      <c r="J1534" s="122">
        <v>3145</v>
      </c>
      <c r="K1534">
        <v>90</v>
      </c>
      <c r="L1534">
        <v>0</v>
      </c>
      <c r="M1534">
        <v>0</v>
      </c>
      <c r="N1534" s="122">
        <v>1532</v>
      </c>
      <c r="O1534">
        <v>567</v>
      </c>
      <c r="P1534">
        <v>473</v>
      </c>
      <c r="Q1534">
        <v>175</v>
      </c>
      <c r="R1534" s="122">
        <v>2989</v>
      </c>
      <c r="S1534" s="122">
        <v>2717</v>
      </c>
      <c r="T1534">
        <v>0</v>
      </c>
      <c r="U1534">
        <v>0</v>
      </c>
      <c r="V1534" s="122">
        <v>6605</v>
      </c>
      <c r="W1534" s="122">
        <f t="shared" si="48"/>
        <v>6604</v>
      </c>
      <c r="X1534" s="122">
        <f t="shared" si="49"/>
        <v>8454</v>
      </c>
    </row>
    <row r="1535" spans="2:24">
      <c r="B1535" t="s">
        <v>469</v>
      </c>
      <c r="C1535" t="s">
        <v>50</v>
      </c>
      <c r="D1535" t="s">
        <v>406</v>
      </c>
      <c r="E1535" t="s">
        <v>406</v>
      </c>
      <c r="F1535">
        <v>1</v>
      </c>
      <c r="G1535">
        <v>281</v>
      </c>
      <c r="H1535">
        <v>100</v>
      </c>
      <c r="I1535" s="122">
        <v>12716</v>
      </c>
      <c r="J1535" s="122">
        <v>11560</v>
      </c>
      <c r="K1535">
        <v>95</v>
      </c>
      <c r="L1535" s="122">
        <v>2232</v>
      </c>
      <c r="M1535" s="122">
        <v>2029</v>
      </c>
      <c r="N1535" s="122">
        <v>3973</v>
      </c>
      <c r="O1535" s="122">
        <v>1472</v>
      </c>
      <c r="P1535" s="122">
        <v>2962</v>
      </c>
      <c r="Q1535" s="122">
        <v>1097</v>
      </c>
      <c r="R1535" s="122">
        <v>6183</v>
      </c>
      <c r="S1535" s="122">
        <v>5621</v>
      </c>
      <c r="T1535">
        <v>0</v>
      </c>
      <c r="U1535">
        <v>0</v>
      </c>
      <c r="V1535" s="122">
        <v>21779</v>
      </c>
      <c r="W1535" s="122">
        <f t="shared" si="48"/>
        <v>21779</v>
      </c>
      <c r="X1535" s="122">
        <f t="shared" si="49"/>
        <v>28066</v>
      </c>
    </row>
    <row r="1536" spans="2:24">
      <c r="B1536" t="s">
        <v>469</v>
      </c>
      <c r="C1536" t="s">
        <v>50</v>
      </c>
      <c r="D1536" t="s">
        <v>407</v>
      </c>
      <c r="E1536" t="s">
        <v>407</v>
      </c>
      <c r="F1536">
        <v>8</v>
      </c>
      <c r="G1536">
        <v>661</v>
      </c>
      <c r="H1536">
        <v>769</v>
      </c>
      <c r="I1536" s="122">
        <v>19624</v>
      </c>
      <c r="J1536" s="122">
        <v>17840</v>
      </c>
      <c r="K1536">
        <v>91</v>
      </c>
      <c r="L1536" s="122">
        <v>4844</v>
      </c>
      <c r="M1536" s="122">
        <v>1794</v>
      </c>
      <c r="N1536" s="122">
        <v>16063</v>
      </c>
      <c r="O1536" s="122">
        <v>5949</v>
      </c>
      <c r="P1536" s="122">
        <v>3780</v>
      </c>
      <c r="Q1536" s="122">
        <v>1400</v>
      </c>
      <c r="R1536" s="122">
        <v>19152</v>
      </c>
      <c r="S1536" s="122">
        <v>17411</v>
      </c>
      <c r="T1536">
        <v>0</v>
      </c>
      <c r="U1536">
        <v>0</v>
      </c>
      <c r="V1536" s="122">
        <v>44394</v>
      </c>
      <c r="W1536" s="122">
        <f t="shared" si="48"/>
        <v>44394</v>
      </c>
      <c r="X1536" s="122">
        <f t="shared" si="49"/>
        <v>63463</v>
      </c>
    </row>
    <row r="1537" spans="2:24">
      <c r="B1537" t="s">
        <v>469</v>
      </c>
      <c r="C1537" t="s">
        <v>52</v>
      </c>
      <c r="F1537">
        <v>6</v>
      </c>
      <c r="G1537">
        <v>379</v>
      </c>
      <c r="H1537">
        <v>722</v>
      </c>
      <c r="J1537">
        <v>0</v>
      </c>
      <c r="M1537">
        <v>0</v>
      </c>
      <c r="N1537" s="122">
        <v>9240</v>
      </c>
      <c r="O1537" s="122">
        <v>3422</v>
      </c>
      <c r="P1537">
        <v>0</v>
      </c>
      <c r="Q1537">
        <v>0</v>
      </c>
      <c r="S1537">
        <v>0</v>
      </c>
      <c r="T1537">
        <v>0</v>
      </c>
      <c r="U1537">
        <v>0</v>
      </c>
      <c r="V1537" s="122">
        <v>3422</v>
      </c>
      <c r="W1537" s="122">
        <f t="shared" si="48"/>
        <v>3422</v>
      </c>
      <c r="X1537" s="122">
        <f t="shared" si="49"/>
        <v>9240</v>
      </c>
    </row>
    <row r="1538" spans="2:24">
      <c r="B1538" t="s">
        <v>469</v>
      </c>
      <c r="C1538" t="s">
        <v>52</v>
      </c>
      <c r="D1538" t="s">
        <v>407</v>
      </c>
      <c r="E1538" t="s">
        <v>407</v>
      </c>
      <c r="F1538">
        <v>66</v>
      </c>
      <c r="G1538" s="122">
        <v>5294</v>
      </c>
      <c r="H1538" s="122">
        <v>7532</v>
      </c>
      <c r="I1538" s="122">
        <v>225710</v>
      </c>
      <c r="J1538" s="122">
        <v>205191</v>
      </c>
      <c r="K1538">
        <v>90</v>
      </c>
      <c r="L1538" s="122">
        <v>47682</v>
      </c>
      <c r="M1538" s="122">
        <v>20627</v>
      </c>
      <c r="N1538" s="122">
        <v>123785</v>
      </c>
      <c r="O1538" s="122">
        <v>45846</v>
      </c>
      <c r="P1538" s="122">
        <v>31064</v>
      </c>
      <c r="Q1538" s="122">
        <v>11505</v>
      </c>
      <c r="R1538" s="122">
        <v>175975</v>
      </c>
      <c r="S1538" s="122">
        <v>159977</v>
      </c>
      <c r="T1538" s="122">
        <v>1806</v>
      </c>
      <c r="U1538">
        <v>669</v>
      </c>
      <c r="V1538" s="122">
        <v>443815</v>
      </c>
      <c r="W1538" s="122">
        <f t="shared" si="48"/>
        <v>443815</v>
      </c>
      <c r="X1538" s="122">
        <f t="shared" si="49"/>
        <v>606022</v>
      </c>
    </row>
    <row r="1539" spans="2:24">
      <c r="B1539" t="s">
        <v>469</v>
      </c>
      <c r="C1539" t="s">
        <v>54</v>
      </c>
      <c r="F1539">
        <v>13</v>
      </c>
      <c r="G1539">
        <v>703</v>
      </c>
      <c r="H1539" s="122">
        <v>1815</v>
      </c>
      <c r="J1539">
        <v>0</v>
      </c>
      <c r="M1539">
        <v>0</v>
      </c>
      <c r="N1539" s="122">
        <v>17129</v>
      </c>
      <c r="O1539" s="122">
        <v>6344</v>
      </c>
      <c r="P1539">
        <v>0</v>
      </c>
      <c r="Q1539">
        <v>0</v>
      </c>
      <c r="S1539">
        <v>0</v>
      </c>
      <c r="T1539">
        <v>0</v>
      </c>
      <c r="U1539">
        <v>0</v>
      </c>
      <c r="V1539" s="122">
        <v>6344</v>
      </c>
      <c r="W1539" s="122">
        <f t="shared" si="48"/>
        <v>6344</v>
      </c>
      <c r="X1539" s="122">
        <f t="shared" si="49"/>
        <v>17129</v>
      </c>
    </row>
    <row r="1540" spans="2:24">
      <c r="B1540" t="s">
        <v>469</v>
      </c>
      <c r="C1540" t="s">
        <v>54</v>
      </c>
      <c r="D1540" t="s">
        <v>137</v>
      </c>
      <c r="E1540" t="s">
        <v>137</v>
      </c>
      <c r="F1540">
        <v>32</v>
      </c>
      <c r="G1540" s="122">
        <v>2186</v>
      </c>
      <c r="H1540" s="122">
        <v>4575</v>
      </c>
      <c r="I1540" s="122">
        <v>76283</v>
      </c>
      <c r="J1540" s="122">
        <v>28253</v>
      </c>
      <c r="K1540">
        <v>119</v>
      </c>
      <c r="L1540" s="122">
        <v>14515</v>
      </c>
      <c r="M1540" s="122">
        <v>5376</v>
      </c>
      <c r="N1540" s="122">
        <v>38534</v>
      </c>
      <c r="O1540" s="122">
        <v>14272</v>
      </c>
      <c r="P1540">
        <v>205</v>
      </c>
      <c r="Q1540">
        <v>76</v>
      </c>
      <c r="R1540" s="122">
        <v>183146</v>
      </c>
      <c r="S1540" s="122">
        <v>67832</v>
      </c>
      <c r="T1540">
        <v>0</v>
      </c>
      <c r="U1540">
        <v>0</v>
      </c>
      <c r="V1540" s="122">
        <v>115808</v>
      </c>
      <c r="W1540" s="122">
        <f t="shared" si="48"/>
        <v>115809</v>
      </c>
      <c r="X1540" s="122">
        <f t="shared" si="49"/>
        <v>312683</v>
      </c>
    </row>
    <row r="1541" spans="2:24">
      <c r="B1541" t="s">
        <v>469</v>
      </c>
      <c r="C1541" t="s">
        <v>54</v>
      </c>
      <c r="D1541" t="s">
        <v>406</v>
      </c>
      <c r="E1541" t="s">
        <v>406</v>
      </c>
      <c r="F1541">
        <v>5</v>
      </c>
      <c r="G1541">
        <v>666</v>
      </c>
      <c r="H1541">
        <v>705</v>
      </c>
      <c r="I1541" s="122">
        <v>46111</v>
      </c>
      <c r="J1541" s="122">
        <v>41919</v>
      </c>
      <c r="K1541">
        <v>93</v>
      </c>
      <c r="L1541" s="122">
        <v>10656</v>
      </c>
      <c r="M1541" s="122">
        <v>9687</v>
      </c>
      <c r="N1541" s="122">
        <v>10149</v>
      </c>
      <c r="O1541" s="122">
        <v>3759</v>
      </c>
      <c r="P1541" s="122">
        <v>3807</v>
      </c>
      <c r="Q1541" s="122">
        <v>1410</v>
      </c>
      <c r="R1541" s="122">
        <v>22204</v>
      </c>
      <c r="S1541" s="122">
        <v>20185</v>
      </c>
      <c r="T1541">
        <v>0</v>
      </c>
      <c r="U1541">
        <v>0</v>
      </c>
      <c r="V1541" s="122">
        <v>76960</v>
      </c>
      <c r="W1541" s="122">
        <f t="shared" si="48"/>
        <v>76960</v>
      </c>
      <c r="X1541" s="122">
        <f t="shared" si="49"/>
        <v>92927</v>
      </c>
    </row>
    <row r="1542" spans="2:24">
      <c r="B1542" t="s">
        <v>469</v>
      </c>
      <c r="C1542" t="s">
        <v>54</v>
      </c>
      <c r="D1542" t="s">
        <v>407</v>
      </c>
      <c r="E1542" t="s">
        <v>407</v>
      </c>
      <c r="F1542">
        <v>88</v>
      </c>
      <c r="G1542" s="122">
        <v>7378</v>
      </c>
      <c r="H1542" s="122">
        <v>12220</v>
      </c>
      <c r="I1542" s="122">
        <v>441957</v>
      </c>
      <c r="J1542" s="122">
        <v>401779</v>
      </c>
      <c r="K1542">
        <v>87</v>
      </c>
      <c r="L1542" s="122">
        <v>71944</v>
      </c>
      <c r="M1542" s="122">
        <v>36323</v>
      </c>
      <c r="N1542" s="122">
        <v>161890</v>
      </c>
      <c r="O1542" s="122">
        <v>59959</v>
      </c>
      <c r="P1542" s="122">
        <v>41229</v>
      </c>
      <c r="Q1542" s="122">
        <v>15270</v>
      </c>
      <c r="R1542" s="122">
        <v>289881</v>
      </c>
      <c r="S1542" s="122">
        <v>263528</v>
      </c>
      <c r="T1542" s="122">
        <v>34696</v>
      </c>
      <c r="U1542" s="122">
        <v>12850</v>
      </c>
      <c r="V1542" s="122">
        <v>789709</v>
      </c>
      <c r="W1542" s="122">
        <f t="shared" si="48"/>
        <v>789709</v>
      </c>
      <c r="X1542" s="122">
        <f t="shared" si="49"/>
        <v>1041597</v>
      </c>
    </row>
    <row r="1543" spans="2:24">
      <c r="B1543" t="s">
        <v>469</v>
      </c>
      <c r="C1543" t="s">
        <v>56</v>
      </c>
      <c r="F1543">
        <v>31</v>
      </c>
      <c r="G1543" s="122">
        <v>1596</v>
      </c>
      <c r="H1543" s="122">
        <v>5491</v>
      </c>
      <c r="J1543">
        <v>0</v>
      </c>
      <c r="M1543">
        <v>0</v>
      </c>
      <c r="N1543" s="122">
        <v>37900</v>
      </c>
      <c r="O1543" s="122">
        <v>14037</v>
      </c>
      <c r="P1543">
        <v>351</v>
      </c>
      <c r="Q1543">
        <v>130</v>
      </c>
      <c r="S1543">
        <v>0</v>
      </c>
      <c r="T1543">
        <v>0</v>
      </c>
      <c r="U1543">
        <v>0</v>
      </c>
      <c r="V1543" s="122">
        <v>14167</v>
      </c>
      <c r="W1543" s="122">
        <f t="shared" si="48"/>
        <v>14167</v>
      </c>
      <c r="X1543" s="122">
        <f t="shared" si="49"/>
        <v>38251</v>
      </c>
    </row>
    <row r="1544" spans="2:24">
      <c r="B1544" t="s">
        <v>469</v>
      </c>
      <c r="C1544" t="s">
        <v>56</v>
      </c>
      <c r="D1544" t="s">
        <v>405</v>
      </c>
      <c r="E1544" t="s">
        <v>405</v>
      </c>
      <c r="F1544">
        <v>2</v>
      </c>
      <c r="G1544">
        <v>413</v>
      </c>
      <c r="H1544">
        <v>341</v>
      </c>
      <c r="I1544" s="122">
        <v>45214</v>
      </c>
      <c r="J1544" s="122">
        <v>41104</v>
      </c>
      <c r="K1544">
        <v>90</v>
      </c>
      <c r="L1544" s="122">
        <v>5130</v>
      </c>
      <c r="M1544" s="122">
        <v>4663</v>
      </c>
      <c r="N1544" s="122">
        <v>9342</v>
      </c>
      <c r="O1544" s="122">
        <v>3460</v>
      </c>
      <c r="P1544" s="122">
        <v>1418</v>
      </c>
      <c r="Q1544">
        <v>525</v>
      </c>
      <c r="R1544" s="122">
        <v>11515</v>
      </c>
      <c r="S1544" s="122">
        <v>10469</v>
      </c>
      <c r="T1544">
        <v>0</v>
      </c>
      <c r="U1544">
        <v>0</v>
      </c>
      <c r="V1544" s="122">
        <v>60220</v>
      </c>
      <c r="W1544" s="122">
        <f t="shared" si="48"/>
        <v>60221</v>
      </c>
      <c r="X1544" s="122">
        <f t="shared" si="49"/>
        <v>72619</v>
      </c>
    </row>
    <row r="1545" spans="2:24">
      <c r="B1545" t="s">
        <v>469</v>
      </c>
      <c r="C1545" t="s">
        <v>56</v>
      </c>
      <c r="D1545" t="s">
        <v>137</v>
      </c>
      <c r="E1545" t="s">
        <v>137</v>
      </c>
      <c r="F1545">
        <v>536</v>
      </c>
      <c r="G1545" s="122">
        <v>40057</v>
      </c>
      <c r="H1545" s="122">
        <v>103144</v>
      </c>
      <c r="I1545" s="122">
        <v>3215595</v>
      </c>
      <c r="J1545" s="122">
        <v>1190961</v>
      </c>
      <c r="K1545">
        <v>106</v>
      </c>
      <c r="L1545" s="122">
        <v>281982</v>
      </c>
      <c r="M1545" s="122">
        <v>128003</v>
      </c>
      <c r="N1545" s="122">
        <v>790940</v>
      </c>
      <c r="O1545" s="122">
        <v>292941</v>
      </c>
      <c r="P1545" s="122">
        <v>2575</v>
      </c>
      <c r="Q1545">
        <v>954</v>
      </c>
      <c r="R1545" s="122">
        <v>3391556</v>
      </c>
      <c r="S1545" s="122">
        <v>1256132</v>
      </c>
      <c r="T1545">
        <v>0</v>
      </c>
      <c r="U1545">
        <v>0</v>
      </c>
      <c r="V1545" s="122">
        <v>2868991</v>
      </c>
      <c r="W1545" s="122">
        <f t="shared" si="48"/>
        <v>2868991</v>
      </c>
      <c r="X1545" s="122">
        <f t="shared" si="49"/>
        <v>7682648</v>
      </c>
    </row>
    <row r="1546" spans="2:24">
      <c r="B1546" t="s">
        <v>469</v>
      </c>
      <c r="C1546" t="s">
        <v>56</v>
      </c>
      <c r="D1546" t="s">
        <v>406</v>
      </c>
      <c r="E1546" t="s">
        <v>406</v>
      </c>
      <c r="F1546">
        <v>38</v>
      </c>
      <c r="G1546" s="122">
        <v>4156</v>
      </c>
      <c r="H1546" s="122">
        <v>7537</v>
      </c>
      <c r="I1546" s="122">
        <v>434802</v>
      </c>
      <c r="J1546" s="122">
        <v>395274</v>
      </c>
      <c r="K1546">
        <v>88</v>
      </c>
      <c r="L1546" s="122">
        <v>79420</v>
      </c>
      <c r="M1546" s="122">
        <v>67342</v>
      </c>
      <c r="N1546" s="122">
        <v>81123</v>
      </c>
      <c r="O1546" s="122">
        <v>30046</v>
      </c>
      <c r="P1546" s="122">
        <v>24651</v>
      </c>
      <c r="Q1546" s="122">
        <v>9130</v>
      </c>
      <c r="R1546" s="122">
        <v>164682</v>
      </c>
      <c r="S1546" s="122">
        <v>149711</v>
      </c>
      <c r="T1546" s="122">
        <v>55710</v>
      </c>
      <c r="U1546" s="122">
        <v>20633</v>
      </c>
      <c r="V1546" s="122">
        <v>672136</v>
      </c>
      <c r="W1546" s="122">
        <f t="shared" si="48"/>
        <v>672136</v>
      </c>
      <c r="X1546" s="122">
        <f t="shared" si="49"/>
        <v>840388</v>
      </c>
    </row>
    <row r="1547" spans="2:24">
      <c r="B1547" t="s">
        <v>469</v>
      </c>
      <c r="C1547" t="s">
        <v>56</v>
      </c>
      <c r="D1547" t="s">
        <v>407</v>
      </c>
      <c r="E1547" t="s">
        <v>137</v>
      </c>
      <c r="F1547">
        <v>1</v>
      </c>
      <c r="G1547">
        <v>66</v>
      </c>
      <c r="H1547">
        <v>220</v>
      </c>
      <c r="I1547" s="122">
        <v>6255</v>
      </c>
      <c r="J1547" s="122">
        <v>5686</v>
      </c>
      <c r="K1547">
        <v>65</v>
      </c>
      <c r="L1547">
        <v>0</v>
      </c>
      <c r="M1547">
        <v>0</v>
      </c>
      <c r="N1547" s="122">
        <v>1048</v>
      </c>
      <c r="O1547">
        <v>388</v>
      </c>
      <c r="P1547">
        <v>473</v>
      </c>
      <c r="Q1547">
        <v>175</v>
      </c>
      <c r="R1547" s="122">
        <v>6800</v>
      </c>
      <c r="S1547" s="122">
        <v>2518</v>
      </c>
      <c r="T1547">
        <v>0</v>
      </c>
      <c r="U1547">
        <v>0</v>
      </c>
      <c r="V1547" s="122">
        <v>8768</v>
      </c>
      <c r="W1547" s="122">
        <f t="shared" si="48"/>
        <v>8767</v>
      </c>
      <c r="X1547" s="122">
        <f t="shared" si="49"/>
        <v>14576</v>
      </c>
    </row>
    <row r="1548" spans="2:24">
      <c r="B1548" t="s">
        <v>469</v>
      </c>
      <c r="C1548" t="s">
        <v>56</v>
      </c>
      <c r="D1548" t="s">
        <v>407</v>
      </c>
      <c r="E1548" t="s">
        <v>407</v>
      </c>
      <c r="F1548">
        <v>321</v>
      </c>
      <c r="G1548" s="122">
        <v>29015</v>
      </c>
      <c r="H1548" s="122">
        <v>60038</v>
      </c>
      <c r="I1548" s="122">
        <v>2704029</v>
      </c>
      <c r="J1548" s="122">
        <v>2458208</v>
      </c>
      <c r="K1548">
        <v>80</v>
      </c>
      <c r="L1548" s="122">
        <v>281192</v>
      </c>
      <c r="M1548" s="122">
        <v>207872</v>
      </c>
      <c r="N1548" s="122">
        <v>631560</v>
      </c>
      <c r="O1548" s="122">
        <v>233911</v>
      </c>
      <c r="P1548" s="122">
        <v>151821</v>
      </c>
      <c r="Q1548" s="122">
        <v>56230</v>
      </c>
      <c r="R1548" s="122">
        <v>1288418</v>
      </c>
      <c r="S1548" s="122">
        <v>1171289</v>
      </c>
      <c r="T1548" s="122">
        <v>348642</v>
      </c>
      <c r="U1548" s="122">
        <v>129127</v>
      </c>
      <c r="V1548" s="122">
        <v>4256637</v>
      </c>
      <c r="W1548" s="122">
        <f t="shared" si="48"/>
        <v>4256637</v>
      </c>
      <c r="X1548" s="122">
        <f t="shared" si="49"/>
        <v>5405662</v>
      </c>
    </row>
    <row r="1549" spans="2:24">
      <c r="B1549" t="s">
        <v>469</v>
      </c>
      <c r="C1549" t="s">
        <v>56</v>
      </c>
      <c r="D1549" t="s">
        <v>407</v>
      </c>
      <c r="E1549" t="s">
        <v>556</v>
      </c>
      <c r="F1549">
        <v>1</v>
      </c>
      <c r="G1549">
        <v>113</v>
      </c>
      <c r="H1549">
        <v>162</v>
      </c>
      <c r="I1549" s="122">
        <v>8806</v>
      </c>
      <c r="J1549" s="122">
        <v>8006</v>
      </c>
      <c r="K1549">
        <v>73</v>
      </c>
      <c r="L1549" s="122">
        <v>2264</v>
      </c>
      <c r="M1549" s="122">
        <v>2058</v>
      </c>
      <c r="N1549" s="122">
        <v>2511</v>
      </c>
      <c r="O1549">
        <v>930</v>
      </c>
      <c r="P1549">
        <v>473</v>
      </c>
      <c r="Q1549">
        <v>175</v>
      </c>
      <c r="R1549" s="122">
        <v>4156</v>
      </c>
      <c r="S1549" s="122">
        <v>3463</v>
      </c>
      <c r="T1549">
        <v>0</v>
      </c>
      <c r="U1549">
        <v>0</v>
      </c>
      <c r="V1549" s="122">
        <v>14632</v>
      </c>
      <c r="W1549" s="122">
        <f t="shared" si="48"/>
        <v>14632</v>
      </c>
      <c r="X1549" s="122">
        <f t="shared" si="49"/>
        <v>18210</v>
      </c>
    </row>
    <row r="1550" spans="2:24">
      <c r="B1550" t="s">
        <v>469</v>
      </c>
      <c r="C1550" t="s">
        <v>58</v>
      </c>
      <c r="F1550">
        <v>3</v>
      </c>
      <c r="G1550">
        <v>126</v>
      </c>
      <c r="H1550">
        <v>748</v>
      </c>
      <c r="J1550">
        <v>0</v>
      </c>
      <c r="M1550">
        <v>0</v>
      </c>
      <c r="N1550" s="122">
        <v>2891</v>
      </c>
      <c r="O1550" s="122">
        <v>1071</v>
      </c>
      <c r="P1550">
        <v>0</v>
      </c>
      <c r="Q1550">
        <v>0</v>
      </c>
      <c r="S1550">
        <v>0</v>
      </c>
      <c r="T1550">
        <v>0</v>
      </c>
      <c r="U1550">
        <v>0</v>
      </c>
      <c r="V1550" s="122">
        <v>1071</v>
      </c>
      <c r="W1550" s="122">
        <f t="shared" si="48"/>
        <v>1071</v>
      </c>
      <c r="X1550" s="122">
        <f t="shared" si="49"/>
        <v>2891</v>
      </c>
    </row>
    <row r="1551" spans="2:24">
      <c r="B1551" t="s">
        <v>469</v>
      </c>
      <c r="C1551" t="s">
        <v>58</v>
      </c>
      <c r="D1551" t="s">
        <v>137</v>
      </c>
      <c r="E1551" t="s">
        <v>137</v>
      </c>
      <c r="F1551">
        <v>656</v>
      </c>
      <c r="G1551" s="122">
        <v>47768</v>
      </c>
      <c r="H1551" s="122">
        <v>172751</v>
      </c>
      <c r="I1551" s="122">
        <v>7136138</v>
      </c>
      <c r="J1551" s="122">
        <v>2643014</v>
      </c>
      <c r="K1551">
        <v>100</v>
      </c>
      <c r="L1551" s="122">
        <v>398426</v>
      </c>
      <c r="M1551" s="122">
        <v>173166</v>
      </c>
      <c r="N1551" s="122">
        <v>905676</v>
      </c>
      <c r="O1551" s="122">
        <v>335436</v>
      </c>
      <c r="P1551" s="122">
        <v>10383</v>
      </c>
      <c r="Q1551" s="122">
        <v>3846</v>
      </c>
      <c r="R1551" s="122">
        <v>4095651</v>
      </c>
      <c r="S1551" s="122">
        <v>1516908</v>
      </c>
      <c r="T1551" s="122">
        <v>3290</v>
      </c>
      <c r="U1551" s="122">
        <v>1219</v>
      </c>
      <c r="V1551" s="122">
        <v>4673588</v>
      </c>
      <c r="W1551" s="122">
        <f t="shared" si="48"/>
        <v>4673589</v>
      </c>
      <c r="X1551" s="122">
        <f t="shared" si="49"/>
        <v>12549564</v>
      </c>
    </row>
    <row r="1552" spans="2:24">
      <c r="B1552" t="s">
        <v>469</v>
      </c>
      <c r="C1552" t="s">
        <v>58</v>
      </c>
      <c r="D1552" t="s">
        <v>406</v>
      </c>
      <c r="E1552" t="s">
        <v>406</v>
      </c>
      <c r="F1552">
        <v>25</v>
      </c>
      <c r="G1552" s="122">
        <v>2495</v>
      </c>
      <c r="H1552" s="122">
        <v>6734</v>
      </c>
      <c r="I1552" s="122">
        <v>365587</v>
      </c>
      <c r="J1552" s="122">
        <v>332352</v>
      </c>
      <c r="K1552">
        <v>79</v>
      </c>
      <c r="L1552" s="122">
        <v>82904</v>
      </c>
      <c r="M1552" s="122">
        <v>68379</v>
      </c>
      <c r="N1552" s="122">
        <v>50012</v>
      </c>
      <c r="O1552" s="122">
        <v>18523</v>
      </c>
      <c r="P1552" s="122">
        <v>15525</v>
      </c>
      <c r="Q1552" s="122">
        <v>5750</v>
      </c>
      <c r="R1552" s="122">
        <v>116128</v>
      </c>
      <c r="S1552" s="122">
        <v>105571</v>
      </c>
      <c r="T1552" s="122">
        <v>41884</v>
      </c>
      <c r="U1552" s="122">
        <v>15512</v>
      </c>
      <c r="V1552" s="122">
        <v>546088</v>
      </c>
      <c r="W1552" s="122">
        <f t="shared" si="48"/>
        <v>546087</v>
      </c>
      <c r="X1552" s="122">
        <f t="shared" si="49"/>
        <v>672040</v>
      </c>
    </row>
    <row r="1553" spans="2:24">
      <c r="B1553" t="s">
        <v>469</v>
      </c>
      <c r="C1553" t="s">
        <v>58</v>
      </c>
      <c r="D1553" t="s">
        <v>407</v>
      </c>
      <c r="E1553" t="s">
        <v>137</v>
      </c>
      <c r="F1553">
        <v>2</v>
      </c>
      <c r="G1553">
        <v>82</v>
      </c>
      <c r="H1553">
        <v>544</v>
      </c>
      <c r="I1553" s="122">
        <v>10755</v>
      </c>
      <c r="J1553" s="122">
        <v>9777</v>
      </c>
      <c r="K1553">
        <v>73</v>
      </c>
      <c r="L1553">
        <v>752</v>
      </c>
      <c r="M1553">
        <v>279</v>
      </c>
      <c r="N1553" s="122">
        <v>1733</v>
      </c>
      <c r="O1553">
        <v>642</v>
      </c>
      <c r="P1553">
        <v>594</v>
      </c>
      <c r="Q1553">
        <v>220</v>
      </c>
      <c r="R1553" s="122">
        <v>8345</v>
      </c>
      <c r="S1553" s="122">
        <v>3091</v>
      </c>
      <c r="T1553">
        <v>0</v>
      </c>
      <c r="U1553">
        <v>0</v>
      </c>
      <c r="V1553" s="122">
        <v>14009</v>
      </c>
      <c r="W1553" s="122">
        <f t="shared" si="48"/>
        <v>14009</v>
      </c>
      <c r="X1553" s="122">
        <f t="shared" si="49"/>
        <v>22179</v>
      </c>
    </row>
    <row r="1554" spans="2:24">
      <c r="B1554" t="s">
        <v>469</v>
      </c>
      <c r="C1554" t="s">
        <v>58</v>
      </c>
      <c r="D1554" t="s">
        <v>407</v>
      </c>
      <c r="E1554" t="s">
        <v>407</v>
      </c>
      <c r="F1554">
        <v>65</v>
      </c>
      <c r="G1554" s="122">
        <v>4343</v>
      </c>
      <c r="H1554" s="122">
        <v>16712</v>
      </c>
      <c r="I1554" s="122">
        <v>616158</v>
      </c>
      <c r="J1554" s="122">
        <v>560143</v>
      </c>
      <c r="K1554">
        <v>79</v>
      </c>
      <c r="L1554" s="122">
        <v>81184</v>
      </c>
      <c r="M1554" s="122">
        <v>66989</v>
      </c>
      <c r="N1554" s="122">
        <v>89379</v>
      </c>
      <c r="O1554" s="122">
        <v>33103</v>
      </c>
      <c r="P1554" s="122">
        <v>30591</v>
      </c>
      <c r="Q1554" s="122">
        <v>11330</v>
      </c>
      <c r="R1554" s="122">
        <v>236088</v>
      </c>
      <c r="S1554" s="122">
        <v>214625</v>
      </c>
      <c r="T1554" s="122">
        <v>61338</v>
      </c>
      <c r="U1554" s="122">
        <v>22718</v>
      </c>
      <c r="V1554" s="122">
        <v>908908</v>
      </c>
      <c r="W1554" s="122">
        <f t="shared" si="48"/>
        <v>908908</v>
      </c>
      <c r="X1554" s="122">
        <f t="shared" si="49"/>
        <v>1114738</v>
      </c>
    </row>
    <row r="1555" spans="2:24">
      <c r="B1555" t="s">
        <v>469</v>
      </c>
      <c r="C1555" t="s">
        <v>58</v>
      </c>
      <c r="D1555" t="s">
        <v>426</v>
      </c>
      <c r="E1555" t="s">
        <v>137</v>
      </c>
      <c r="F1555">
        <v>2</v>
      </c>
      <c r="G1555">
        <v>92</v>
      </c>
      <c r="H1555">
        <v>571</v>
      </c>
      <c r="I1555" s="122">
        <v>6862</v>
      </c>
      <c r="J1555" s="122">
        <v>6238</v>
      </c>
      <c r="K1555">
        <v>100</v>
      </c>
      <c r="L1555" s="122">
        <v>7627</v>
      </c>
      <c r="M1555" s="122">
        <v>2825</v>
      </c>
      <c r="N1555" s="122">
        <v>1596</v>
      </c>
      <c r="O1555">
        <v>591</v>
      </c>
      <c r="P1555">
        <v>0</v>
      </c>
      <c r="Q1555">
        <v>0</v>
      </c>
      <c r="R1555" s="122">
        <v>10363</v>
      </c>
      <c r="S1555" s="122">
        <v>3838</v>
      </c>
      <c r="T1555">
        <v>0</v>
      </c>
      <c r="U1555">
        <v>0</v>
      </c>
      <c r="V1555" s="122">
        <v>13493</v>
      </c>
      <c r="W1555" s="122">
        <f t="shared" si="48"/>
        <v>13492</v>
      </c>
      <c r="X1555" s="122">
        <f t="shared" si="49"/>
        <v>26448</v>
      </c>
    </row>
    <row r="1556" spans="2:24">
      <c r="B1556" t="s">
        <v>469</v>
      </c>
      <c r="C1556" t="s">
        <v>58</v>
      </c>
      <c r="D1556" t="s">
        <v>426</v>
      </c>
      <c r="E1556" t="s">
        <v>426</v>
      </c>
      <c r="F1556">
        <v>8</v>
      </c>
      <c r="G1556">
        <v>469</v>
      </c>
      <c r="H1556" s="122">
        <v>2173</v>
      </c>
      <c r="I1556" s="122">
        <v>63647</v>
      </c>
      <c r="J1556" s="122">
        <v>57860</v>
      </c>
      <c r="K1556">
        <v>64</v>
      </c>
      <c r="L1556" s="122">
        <v>4483</v>
      </c>
      <c r="M1556" s="122">
        <v>4076</v>
      </c>
      <c r="N1556" s="122">
        <v>8302</v>
      </c>
      <c r="O1556" s="122">
        <v>3075</v>
      </c>
      <c r="P1556" s="122">
        <v>2808</v>
      </c>
      <c r="Q1556" s="122">
        <v>1040</v>
      </c>
      <c r="R1556" s="122">
        <v>32000</v>
      </c>
      <c r="S1556" s="122">
        <v>29091</v>
      </c>
      <c r="T1556" s="122">
        <v>15373</v>
      </c>
      <c r="U1556" s="122">
        <v>5694</v>
      </c>
      <c r="V1556" s="122">
        <v>100835</v>
      </c>
      <c r="W1556" s="122">
        <f t="shared" si="48"/>
        <v>100836</v>
      </c>
      <c r="X1556" s="122">
        <f t="shared" si="49"/>
        <v>126613</v>
      </c>
    </row>
    <row r="1557" spans="2:24">
      <c r="B1557" t="s">
        <v>469</v>
      </c>
      <c r="C1557" t="s">
        <v>60</v>
      </c>
      <c r="F1557">
        <v>1</v>
      </c>
      <c r="G1557">
        <v>52</v>
      </c>
      <c r="H1557">
        <v>379</v>
      </c>
      <c r="J1557">
        <v>0</v>
      </c>
      <c r="M1557">
        <v>0</v>
      </c>
      <c r="N1557" s="122">
        <v>1261</v>
      </c>
      <c r="O1557">
        <v>467</v>
      </c>
      <c r="P1557">
        <v>0</v>
      </c>
      <c r="Q1557">
        <v>0</v>
      </c>
      <c r="S1557">
        <v>0</v>
      </c>
      <c r="T1557">
        <v>0</v>
      </c>
      <c r="U1557">
        <v>0</v>
      </c>
      <c r="V1557">
        <v>467</v>
      </c>
      <c r="W1557" s="122">
        <f t="shared" si="48"/>
        <v>467</v>
      </c>
      <c r="X1557" s="122">
        <f t="shared" si="49"/>
        <v>1261</v>
      </c>
    </row>
    <row r="1558" spans="2:24">
      <c r="B1558" t="s">
        <v>469</v>
      </c>
      <c r="C1558" t="s">
        <v>60</v>
      </c>
      <c r="D1558" t="s">
        <v>425</v>
      </c>
      <c r="E1558" t="s">
        <v>406</v>
      </c>
      <c r="F1558">
        <v>1</v>
      </c>
      <c r="G1558">
        <v>67</v>
      </c>
      <c r="H1558">
        <v>354</v>
      </c>
      <c r="I1558" s="122">
        <v>13216</v>
      </c>
      <c r="J1558" s="122">
        <v>12014</v>
      </c>
      <c r="K1558">
        <v>79</v>
      </c>
      <c r="L1558" s="122">
        <v>3671</v>
      </c>
      <c r="M1558" s="122">
        <v>3337</v>
      </c>
      <c r="N1558" s="122">
        <v>1224</v>
      </c>
      <c r="O1558">
        <v>454</v>
      </c>
      <c r="P1558">
        <v>621</v>
      </c>
      <c r="Q1558">
        <v>230</v>
      </c>
      <c r="R1558" s="122">
        <v>2849</v>
      </c>
      <c r="S1558" s="122">
        <v>2590</v>
      </c>
      <c r="T1558" s="122">
        <v>2166</v>
      </c>
      <c r="U1558">
        <v>802</v>
      </c>
      <c r="V1558" s="122">
        <v>19427</v>
      </c>
      <c r="W1558" s="122">
        <f t="shared" si="48"/>
        <v>19427</v>
      </c>
      <c r="X1558" s="122">
        <f t="shared" si="49"/>
        <v>23747</v>
      </c>
    </row>
    <row r="1559" spans="2:24">
      <c r="B1559" t="s">
        <v>469</v>
      </c>
      <c r="C1559" t="s">
        <v>60</v>
      </c>
      <c r="D1559" t="s">
        <v>137</v>
      </c>
      <c r="E1559" t="s">
        <v>137</v>
      </c>
      <c r="F1559">
        <v>289</v>
      </c>
      <c r="G1559" s="122">
        <v>18434</v>
      </c>
      <c r="H1559" s="122">
        <v>96299</v>
      </c>
      <c r="I1559" s="122">
        <v>3701808</v>
      </c>
      <c r="J1559" s="122">
        <v>1371040</v>
      </c>
      <c r="K1559">
        <v>100</v>
      </c>
      <c r="L1559" s="122">
        <v>314483</v>
      </c>
      <c r="M1559" s="122">
        <v>144558</v>
      </c>
      <c r="N1559" s="122">
        <v>383457</v>
      </c>
      <c r="O1559" s="122">
        <v>142021</v>
      </c>
      <c r="P1559" s="122">
        <v>5616</v>
      </c>
      <c r="Q1559" s="122">
        <v>2080</v>
      </c>
      <c r="R1559" s="122">
        <v>1727407</v>
      </c>
      <c r="S1559" s="122">
        <v>639780</v>
      </c>
      <c r="T1559" s="122">
        <v>1522</v>
      </c>
      <c r="U1559">
        <v>564</v>
      </c>
      <c r="V1559" s="122">
        <v>2300043</v>
      </c>
      <c r="W1559" s="122">
        <f t="shared" si="48"/>
        <v>2300043</v>
      </c>
      <c r="X1559" s="122">
        <f t="shared" si="49"/>
        <v>6134293</v>
      </c>
    </row>
    <row r="1560" spans="2:24">
      <c r="B1560" t="s">
        <v>469</v>
      </c>
      <c r="C1560" t="s">
        <v>60</v>
      </c>
      <c r="D1560" t="s">
        <v>406</v>
      </c>
      <c r="E1560" t="s">
        <v>406</v>
      </c>
      <c r="F1560">
        <v>14</v>
      </c>
      <c r="G1560" s="122">
        <v>1211</v>
      </c>
      <c r="H1560" s="122">
        <v>4712</v>
      </c>
      <c r="I1560" s="122">
        <v>245316</v>
      </c>
      <c r="J1560" s="122">
        <v>223015</v>
      </c>
      <c r="K1560">
        <v>77</v>
      </c>
      <c r="L1560" s="122">
        <v>48346</v>
      </c>
      <c r="M1560" s="122">
        <v>42651</v>
      </c>
      <c r="N1560" s="122">
        <v>25844</v>
      </c>
      <c r="O1560" s="122">
        <v>9572</v>
      </c>
      <c r="P1560" s="122">
        <v>8694</v>
      </c>
      <c r="Q1560" s="122">
        <v>3220</v>
      </c>
      <c r="R1560" s="122">
        <v>69886</v>
      </c>
      <c r="S1560" s="122">
        <v>63533</v>
      </c>
      <c r="T1560" s="122">
        <v>15380</v>
      </c>
      <c r="U1560" s="122">
        <v>5696</v>
      </c>
      <c r="V1560" s="122">
        <v>347687</v>
      </c>
      <c r="W1560" s="122">
        <f t="shared" si="48"/>
        <v>347687</v>
      </c>
      <c r="X1560" s="122">
        <f t="shared" si="49"/>
        <v>413466</v>
      </c>
    </row>
    <row r="1561" spans="2:24">
      <c r="B1561" t="s">
        <v>469</v>
      </c>
      <c r="C1561" t="s">
        <v>60</v>
      </c>
      <c r="D1561" t="s">
        <v>407</v>
      </c>
      <c r="E1561" t="s">
        <v>407</v>
      </c>
      <c r="F1561">
        <v>26</v>
      </c>
      <c r="G1561" s="122">
        <v>1463</v>
      </c>
      <c r="H1561" s="122">
        <v>8621</v>
      </c>
      <c r="I1561" s="122">
        <v>273100</v>
      </c>
      <c r="J1561" s="122">
        <v>248273</v>
      </c>
      <c r="K1561">
        <v>76</v>
      </c>
      <c r="L1561" s="122">
        <v>40210</v>
      </c>
      <c r="M1561" s="122">
        <v>30699</v>
      </c>
      <c r="N1561" s="122">
        <v>30095</v>
      </c>
      <c r="O1561" s="122">
        <v>11146</v>
      </c>
      <c r="P1561" s="122">
        <v>12515</v>
      </c>
      <c r="Q1561" s="122">
        <v>4635</v>
      </c>
      <c r="R1561" s="122">
        <v>101069</v>
      </c>
      <c r="S1561" s="122">
        <v>91881</v>
      </c>
      <c r="T1561" s="122">
        <v>26176</v>
      </c>
      <c r="U1561" s="122">
        <v>9695</v>
      </c>
      <c r="V1561" s="122">
        <v>396329</v>
      </c>
      <c r="W1561" s="122">
        <f t="shared" si="48"/>
        <v>396329</v>
      </c>
      <c r="X1561" s="122">
        <f t="shared" si="49"/>
        <v>483165</v>
      </c>
    </row>
    <row r="1562" spans="2:24">
      <c r="B1562" t="s">
        <v>469</v>
      </c>
      <c r="C1562" t="s">
        <v>60</v>
      </c>
      <c r="D1562" t="s">
        <v>556</v>
      </c>
      <c r="E1562" t="s">
        <v>556</v>
      </c>
      <c r="F1562">
        <v>1</v>
      </c>
      <c r="G1562">
        <v>49</v>
      </c>
      <c r="H1562">
        <v>376</v>
      </c>
      <c r="I1562" s="122">
        <v>8812</v>
      </c>
      <c r="J1562" s="122">
        <v>7343</v>
      </c>
      <c r="K1562">
        <v>55</v>
      </c>
      <c r="L1562" s="122">
        <v>1212</v>
      </c>
      <c r="M1562">
        <v>449</v>
      </c>
      <c r="N1562" s="122">
        <v>1135</v>
      </c>
      <c r="O1562">
        <v>420</v>
      </c>
      <c r="P1562">
        <v>351</v>
      </c>
      <c r="Q1562">
        <v>130</v>
      </c>
      <c r="R1562" s="122">
        <v>5045</v>
      </c>
      <c r="S1562" s="122">
        <v>4204</v>
      </c>
      <c r="T1562" s="122">
        <v>1988</v>
      </c>
      <c r="U1562">
        <v>736</v>
      </c>
      <c r="V1562" s="122">
        <v>13283</v>
      </c>
      <c r="W1562" s="122">
        <f t="shared" si="48"/>
        <v>13282</v>
      </c>
      <c r="X1562" s="122">
        <f t="shared" si="49"/>
        <v>18543</v>
      </c>
    </row>
    <row r="1563" spans="2:24">
      <c r="B1563" t="s">
        <v>469</v>
      </c>
      <c r="C1563" t="s">
        <v>60</v>
      </c>
      <c r="D1563" t="s">
        <v>426</v>
      </c>
      <c r="E1563" t="s">
        <v>426</v>
      </c>
      <c r="F1563">
        <v>4</v>
      </c>
      <c r="G1563">
        <v>204</v>
      </c>
      <c r="H1563" s="122">
        <v>1338</v>
      </c>
      <c r="I1563" s="122">
        <v>35568</v>
      </c>
      <c r="J1563" s="122">
        <v>32334</v>
      </c>
      <c r="K1563">
        <v>59</v>
      </c>
      <c r="L1563" s="122">
        <v>2717</v>
      </c>
      <c r="M1563" s="122">
        <v>2470</v>
      </c>
      <c r="N1563" s="122">
        <v>4892</v>
      </c>
      <c r="O1563" s="122">
        <v>1812</v>
      </c>
      <c r="P1563" s="122">
        <v>1404</v>
      </c>
      <c r="Q1563">
        <v>520</v>
      </c>
      <c r="R1563" s="122">
        <v>16625</v>
      </c>
      <c r="S1563" s="122">
        <v>15114</v>
      </c>
      <c r="T1563" s="122">
        <v>7396</v>
      </c>
      <c r="U1563" s="122">
        <v>2739</v>
      </c>
      <c r="V1563" s="122">
        <v>54989</v>
      </c>
      <c r="W1563" s="122">
        <f t="shared" si="48"/>
        <v>54989</v>
      </c>
      <c r="X1563" s="122">
        <f t="shared" si="49"/>
        <v>68602</v>
      </c>
    </row>
    <row r="1564" spans="2:24">
      <c r="B1564" t="s">
        <v>469</v>
      </c>
      <c r="C1564" t="s">
        <v>62</v>
      </c>
      <c r="F1564">
        <v>1</v>
      </c>
      <c r="G1564">
        <v>44</v>
      </c>
      <c r="H1564">
        <v>442</v>
      </c>
      <c r="J1564">
        <v>0</v>
      </c>
      <c r="M1564">
        <v>0</v>
      </c>
      <c r="N1564" s="122">
        <v>1062</v>
      </c>
      <c r="O1564">
        <v>393</v>
      </c>
      <c r="P1564">
        <v>0</v>
      </c>
      <c r="Q1564">
        <v>0</v>
      </c>
      <c r="S1564">
        <v>0</v>
      </c>
      <c r="T1564">
        <v>0</v>
      </c>
      <c r="U1564">
        <v>0</v>
      </c>
      <c r="V1564">
        <v>393</v>
      </c>
      <c r="W1564" s="122">
        <f t="shared" si="48"/>
        <v>393</v>
      </c>
      <c r="X1564" s="122">
        <f t="shared" si="49"/>
        <v>1062</v>
      </c>
    </row>
    <row r="1565" spans="2:24">
      <c r="B1565" t="s">
        <v>469</v>
      </c>
      <c r="C1565" t="s">
        <v>62</v>
      </c>
      <c r="D1565" t="s">
        <v>137</v>
      </c>
      <c r="E1565" t="s">
        <v>137</v>
      </c>
      <c r="F1565">
        <v>71</v>
      </c>
      <c r="G1565" s="122">
        <v>4159</v>
      </c>
      <c r="H1565" s="122">
        <v>29383</v>
      </c>
      <c r="I1565" s="122">
        <v>1043732</v>
      </c>
      <c r="J1565" s="122">
        <v>386567</v>
      </c>
      <c r="K1565">
        <v>100</v>
      </c>
      <c r="L1565" s="122">
        <v>168257</v>
      </c>
      <c r="M1565" s="122">
        <v>75069</v>
      </c>
      <c r="N1565" s="122">
        <v>84031</v>
      </c>
      <c r="O1565" s="122">
        <v>31123</v>
      </c>
      <c r="P1565" s="122">
        <v>2457</v>
      </c>
      <c r="Q1565">
        <v>910</v>
      </c>
      <c r="R1565" s="122">
        <v>421880</v>
      </c>
      <c r="S1565" s="122">
        <v>156252</v>
      </c>
      <c r="T1565" s="122">
        <v>1835</v>
      </c>
      <c r="U1565">
        <v>680</v>
      </c>
      <c r="V1565" s="122">
        <v>650601</v>
      </c>
      <c r="W1565" s="122">
        <f t="shared" si="48"/>
        <v>650601</v>
      </c>
      <c r="X1565" s="122">
        <f t="shared" si="49"/>
        <v>1722192</v>
      </c>
    </row>
    <row r="1566" spans="2:24">
      <c r="B1566" t="s">
        <v>469</v>
      </c>
      <c r="C1566" t="s">
        <v>62</v>
      </c>
      <c r="D1566" t="s">
        <v>406</v>
      </c>
      <c r="E1566" t="s">
        <v>137</v>
      </c>
      <c r="F1566">
        <v>1</v>
      </c>
      <c r="G1566">
        <v>40</v>
      </c>
      <c r="H1566">
        <v>430</v>
      </c>
      <c r="I1566" s="122">
        <v>10682</v>
      </c>
      <c r="J1566" s="122">
        <v>9710</v>
      </c>
      <c r="K1566">
        <v>65</v>
      </c>
      <c r="L1566">
        <v>0</v>
      </c>
      <c r="M1566">
        <v>0</v>
      </c>
      <c r="N1566">
        <v>968</v>
      </c>
      <c r="O1566">
        <v>358</v>
      </c>
      <c r="P1566">
        <v>621</v>
      </c>
      <c r="Q1566">
        <v>230</v>
      </c>
      <c r="R1566" s="122">
        <v>4798</v>
      </c>
      <c r="S1566" s="122">
        <v>1777</v>
      </c>
      <c r="T1566">
        <v>0</v>
      </c>
      <c r="U1566">
        <v>0</v>
      </c>
      <c r="V1566" s="122">
        <v>12076</v>
      </c>
      <c r="W1566" s="122">
        <f t="shared" si="48"/>
        <v>12075</v>
      </c>
      <c r="X1566" s="122">
        <f t="shared" si="49"/>
        <v>17069</v>
      </c>
    </row>
    <row r="1567" spans="2:24">
      <c r="B1567" t="s">
        <v>469</v>
      </c>
      <c r="C1567" t="s">
        <v>62</v>
      </c>
      <c r="D1567" t="s">
        <v>406</v>
      </c>
      <c r="E1567" t="s">
        <v>406</v>
      </c>
      <c r="F1567">
        <v>4</v>
      </c>
      <c r="G1567">
        <v>370</v>
      </c>
      <c r="H1567" s="122">
        <v>1687</v>
      </c>
      <c r="I1567" s="122">
        <v>100289</v>
      </c>
      <c r="J1567" s="122">
        <v>91171</v>
      </c>
      <c r="K1567">
        <v>71</v>
      </c>
      <c r="L1567" s="122">
        <v>17013</v>
      </c>
      <c r="M1567" s="122">
        <v>15466</v>
      </c>
      <c r="N1567" s="122">
        <v>8761</v>
      </c>
      <c r="O1567" s="122">
        <v>3245</v>
      </c>
      <c r="P1567" s="122">
        <v>2835</v>
      </c>
      <c r="Q1567" s="122">
        <v>1050</v>
      </c>
      <c r="R1567" s="122">
        <v>24123</v>
      </c>
      <c r="S1567" s="122">
        <v>21930</v>
      </c>
      <c r="T1567" s="122">
        <v>2577</v>
      </c>
      <c r="U1567">
        <v>954</v>
      </c>
      <c r="V1567" s="122">
        <v>133817</v>
      </c>
      <c r="W1567" s="122">
        <f t="shared" si="48"/>
        <v>133816</v>
      </c>
      <c r="X1567" s="122">
        <f t="shared" si="49"/>
        <v>155598</v>
      </c>
    </row>
    <row r="1568" spans="2:24">
      <c r="B1568" t="s">
        <v>469</v>
      </c>
      <c r="C1568" t="s">
        <v>62</v>
      </c>
      <c r="D1568" t="s">
        <v>407</v>
      </c>
      <c r="E1568" t="s">
        <v>137</v>
      </c>
      <c r="F1568">
        <v>2</v>
      </c>
      <c r="G1568">
        <v>93</v>
      </c>
      <c r="H1568">
        <v>829</v>
      </c>
      <c r="I1568" s="122">
        <v>27523</v>
      </c>
      <c r="J1568" s="122">
        <v>25021</v>
      </c>
      <c r="K1568">
        <v>71</v>
      </c>
      <c r="L1568">
        <v>0</v>
      </c>
      <c r="M1568">
        <v>0</v>
      </c>
      <c r="N1568" s="122">
        <v>2013</v>
      </c>
      <c r="O1568">
        <v>745</v>
      </c>
      <c r="P1568">
        <v>945</v>
      </c>
      <c r="Q1568">
        <v>350</v>
      </c>
      <c r="R1568" s="122">
        <v>7742</v>
      </c>
      <c r="S1568" s="122">
        <v>2868</v>
      </c>
      <c r="T1568">
        <v>0</v>
      </c>
      <c r="U1568">
        <v>0</v>
      </c>
      <c r="V1568" s="122">
        <v>28984</v>
      </c>
      <c r="W1568" s="122">
        <f t="shared" si="48"/>
        <v>28984</v>
      </c>
      <c r="X1568" s="122">
        <f t="shared" si="49"/>
        <v>38223</v>
      </c>
    </row>
    <row r="1569" spans="2:24">
      <c r="B1569" t="s">
        <v>469</v>
      </c>
      <c r="C1569" t="s">
        <v>62</v>
      </c>
      <c r="D1569" t="s">
        <v>407</v>
      </c>
      <c r="E1569" t="s">
        <v>407</v>
      </c>
      <c r="F1569">
        <v>6</v>
      </c>
      <c r="G1569">
        <v>279</v>
      </c>
      <c r="H1569" s="122">
        <v>2444</v>
      </c>
      <c r="I1569" s="122">
        <v>70473</v>
      </c>
      <c r="J1569" s="122">
        <v>64067</v>
      </c>
      <c r="K1569">
        <v>71</v>
      </c>
      <c r="L1569" s="122">
        <v>3345</v>
      </c>
      <c r="M1569" s="122">
        <v>2787</v>
      </c>
      <c r="N1569" s="122">
        <v>6389</v>
      </c>
      <c r="O1569" s="122">
        <v>2366</v>
      </c>
      <c r="P1569" s="122">
        <v>2835</v>
      </c>
      <c r="Q1569" s="122">
        <v>1050</v>
      </c>
      <c r="R1569" s="122">
        <v>21555</v>
      </c>
      <c r="S1569" s="122">
        <v>19596</v>
      </c>
      <c r="T1569" s="122">
        <v>8176</v>
      </c>
      <c r="U1569" s="122">
        <v>3028</v>
      </c>
      <c r="V1569" s="122">
        <v>92894</v>
      </c>
      <c r="W1569" s="122">
        <f t="shared" si="48"/>
        <v>92894</v>
      </c>
      <c r="X1569" s="122">
        <f t="shared" si="49"/>
        <v>112773</v>
      </c>
    </row>
    <row r="1570" spans="2:24">
      <c r="B1570" t="s">
        <v>469</v>
      </c>
      <c r="C1570" t="s">
        <v>62</v>
      </c>
      <c r="D1570" t="s">
        <v>426</v>
      </c>
      <c r="E1570" t="s">
        <v>137</v>
      </c>
      <c r="F1570">
        <v>1</v>
      </c>
      <c r="G1570">
        <v>104</v>
      </c>
      <c r="H1570">
        <v>427</v>
      </c>
      <c r="I1570" s="122">
        <v>30126</v>
      </c>
      <c r="J1570" s="122">
        <v>27387</v>
      </c>
      <c r="K1570">
        <v>55</v>
      </c>
      <c r="L1570" s="122">
        <v>4519</v>
      </c>
      <c r="M1570" s="122">
        <v>1674</v>
      </c>
      <c r="N1570" s="122">
        <v>1900</v>
      </c>
      <c r="O1570">
        <v>704</v>
      </c>
      <c r="P1570">
        <v>351</v>
      </c>
      <c r="Q1570">
        <v>130</v>
      </c>
      <c r="R1570" s="122">
        <v>7509</v>
      </c>
      <c r="S1570" s="122">
        <v>2781</v>
      </c>
      <c r="T1570">
        <v>0</v>
      </c>
      <c r="U1570">
        <v>0</v>
      </c>
      <c r="V1570" s="122">
        <v>32675</v>
      </c>
      <c r="W1570" s="122">
        <f t="shared" si="48"/>
        <v>32676</v>
      </c>
      <c r="X1570" s="122">
        <f t="shared" si="49"/>
        <v>44405</v>
      </c>
    </row>
    <row r="1571" spans="2:24">
      <c r="B1571" t="s">
        <v>469</v>
      </c>
      <c r="C1571" t="s">
        <v>62</v>
      </c>
      <c r="D1571" t="s">
        <v>426</v>
      </c>
      <c r="E1571" t="s">
        <v>426</v>
      </c>
      <c r="F1571">
        <v>3</v>
      </c>
      <c r="G1571">
        <v>235</v>
      </c>
      <c r="H1571" s="122">
        <v>1249</v>
      </c>
      <c r="I1571" s="122">
        <v>60219</v>
      </c>
      <c r="J1571" s="122">
        <v>54744</v>
      </c>
      <c r="K1571">
        <v>58</v>
      </c>
      <c r="L1571" s="122">
        <v>4855</v>
      </c>
      <c r="M1571" s="122">
        <v>4414</v>
      </c>
      <c r="N1571" s="122">
        <v>5393</v>
      </c>
      <c r="O1571" s="122">
        <v>1998</v>
      </c>
      <c r="P1571" s="122">
        <v>1053</v>
      </c>
      <c r="Q1571">
        <v>390</v>
      </c>
      <c r="R1571" s="122">
        <v>17952</v>
      </c>
      <c r="S1571" s="122">
        <v>16320</v>
      </c>
      <c r="T1571" s="122">
        <v>9611</v>
      </c>
      <c r="U1571" s="122">
        <v>3560</v>
      </c>
      <c r="V1571" s="122">
        <v>81425</v>
      </c>
      <c r="W1571" s="122">
        <f t="shared" si="48"/>
        <v>81426</v>
      </c>
      <c r="X1571" s="122">
        <f t="shared" si="49"/>
        <v>99083</v>
      </c>
    </row>
    <row r="1572" spans="2:24">
      <c r="B1572" t="s">
        <v>469</v>
      </c>
      <c r="C1572" t="s">
        <v>64</v>
      </c>
      <c r="F1572">
        <v>3</v>
      </c>
      <c r="G1572">
        <v>139</v>
      </c>
      <c r="H1572" s="122">
        <v>1731</v>
      </c>
      <c r="J1572">
        <v>0</v>
      </c>
      <c r="M1572">
        <v>0</v>
      </c>
      <c r="N1572" s="122">
        <v>3206</v>
      </c>
      <c r="O1572" s="122">
        <v>1188</v>
      </c>
      <c r="P1572">
        <v>0</v>
      </c>
      <c r="Q1572">
        <v>0</v>
      </c>
      <c r="S1572">
        <v>0</v>
      </c>
      <c r="T1572">
        <v>0</v>
      </c>
      <c r="U1572">
        <v>0</v>
      </c>
      <c r="V1572" s="122">
        <v>1188</v>
      </c>
      <c r="W1572" s="122">
        <f t="shared" si="48"/>
        <v>1188</v>
      </c>
      <c r="X1572" s="122">
        <f t="shared" si="49"/>
        <v>3206</v>
      </c>
    </row>
    <row r="1573" spans="2:24">
      <c r="B1573" t="s">
        <v>469</v>
      </c>
      <c r="C1573" t="s">
        <v>64</v>
      </c>
      <c r="D1573" t="s">
        <v>137</v>
      </c>
      <c r="E1573" t="s">
        <v>137</v>
      </c>
      <c r="F1573">
        <v>83</v>
      </c>
      <c r="G1573" s="122">
        <v>4585</v>
      </c>
      <c r="H1573" s="122">
        <v>49666</v>
      </c>
      <c r="I1573" s="122">
        <v>1945462</v>
      </c>
      <c r="J1573" s="122">
        <v>720542</v>
      </c>
      <c r="K1573">
        <v>100</v>
      </c>
      <c r="L1573" s="122">
        <v>210420</v>
      </c>
      <c r="M1573" s="122">
        <v>116163</v>
      </c>
      <c r="N1573" s="122">
        <v>104742</v>
      </c>
      <c r="O1573" s="122">
        <v>38793</v>
      </c>
      <c r="P1573" s="122">
        <v>2066</v>
      </c>
      <c r="Q1573">
        <v>765</v>
      </c>
      <c r="R1573" s="122">
        <v>467017</v>
      </c>
      <c r="S1573" s="122">
        <v>172969</v>
      </c>
      <c r="T1573" s="122">
        <v>4142</v>
      </c>
      <c r="U1573" s="122">
        <v>1534</v>
      </c>
      <c r="V1573" s="122">
        <v>1050766</v>
      </c>
      <c r="W1573" s="122">
        <f t="shared" si="48"/>
        <v>1050766</v>
      </c>
      <c r="X1573" s="122">
        <f t="shared" si="49"/>
        <v>2733849</v>
      </c>
    </row>
    <row r="1574" spans="2:24">
      <c r="B1574" t="s">
        <v>469</v>
      </c>
      <c r="C1574" t="s">
        <v>64</v>
      </c>
      <c r="D1574" t="s">
        <v>406</v>
      </c>
      <c r="E1574" t="s">
        <v>137</v>
      </c>
      <c r="F1574">
        <v>2</v>
      </c>
      <c r="G1574">
        <v>108</v>
      </c>
      <c r="H1574">
        <v>999</v>
      </c>
      <c r="I1574" s="122">
        <v>36690</v>
      </c>
      <c r="J1574" s="122">
        <v>33354</v>
      </c>
      <c r="K1574">
        <v>65</v>
      </c>
      <c r="L1574">
        <v>0</v>
      </c>
      <c r="M1574">
        <v>0</v>
      </c>
      <c r="N1574" s="122">
        <v>2435</v>
      </c>
      <c r="O1574">
        <v>902</v>
      </c>
      <c r="P1574" s="122">
        <v>1242</v>
      </c>
      <c r="Q1574">
        <v>460</v>
      </c>
      <c r="R1574" s="122">
        <v>12474</v>
      </c>
      <c r="S1574" s="122">
        <v>4620</v>
      </c>
      <c r="T1574">
        <v>0</v>
      </c>
      <c r="U1574">
        <v>0</v>
      </c>
      <c r="V1574" s="122">
        <v>39336</v>
      </c>
      <c r="W1574" s="122">
        <f t="shared" si="48"/>
        <v>39336</v>
      </c>
      <c r="X1574" s="122">
        <f t="shared" si="49"/>
        <v>52841</v>
      </c>
    </row>
    <row r="1575" spans="2:24">
      <c r="B1575" t="s">
        <v>469</v>
      </c>
      <c r="C1575" t="s">
        <v>64</v>
      </c>
      <c r="D1575" t="s">
        <v>406</v>
      </c>
      <c r="E1575" t="s">
        <v>406</v>
      </c>
      <c r="F1575">
        <v>6</v>
      </c>
      <c r="G1575">
        <v>350</v>
      </c>
      <c r="H1575" s="122">
        <v>3062</v>
      </c>
      <c r="I1575" s="122">
        <v>135352</v>
      </c>
      <c r="J1575" s="122">
        <v>123047</v>
      </c>
      <c r="K1575">
        <v>78</v>
      </c>
      <c r="L1575" s="122">
        <v>26691</v>
      </c>
      <c r="M1575" s="122">
        <v>19290</v>
      </c>
      <c r="N1575" s="122">
        <v>6644</v>
      </c>
      <c r="O1575" s="122">
        <v>2461</v>
      </c>
      <c r="P1575" s="122">
        <v>3726</v>
      </c>
      <c r="Q1575" s="122">
        <v>1380</v>
      </c>
      <c r="R1575" s="122">
        <v>23358</v>
      </c>
      <c r="S1575" s="122">
        <v>21234</v>
      </c>
      <c r="T1575" s="122">
        <v>5496</v>
      </c>
      <c r="U1575" s="122">
        <v>2035</v>
      </c>
      <c r="V1575" s="122">
        <v>169448</v>
      </c>
      <c r="W1575" s="122">
        <f t="shared" si="48"/>
        <v>169447</v>
      </c>
      <c r="X1575" s="122">
        <f t="shared" si="49"/>
        <v>201267</v>
      </c>
    </row>
    <row r="1576" spans="2:24">
      <c r="B1576" t="s">
        <v>469</v>
      </c>
      <c r="C1576" t="s">
        <v>64</v>
      </c>
      <c r="D1576" t="s">
        <v>407</v>
      </c>
      <c r="E1576" t="s">
        <v>407</v>
      </c>
      <c r="F1576">
        <v>7</v>
      </c>
      <c r="G1576">
        <v>356</v>
      </c>
      <c r="H1576" s="122">
        <v>3758</v>
      </c>
      <c r="I1576" s="122">
        <v>140088</v>
      </c>
      <c r="J1576" s="122">
        <v>127352</v>
      </c>
      <c r="K1576">
        <v>72</v>
      </c>
      <c r="L1576" s="122">
        <v>6003</v>
      </c>
      <c r="M1576" s="122">
        <v>5002</v>
      </c>
      <c r="N1576" s="122">
        <v>8458</v>
      </c>
      <c r="O1576" s="122">
        <v>3133</v>
      </c>
      <c r="P1576" s="122">
        <v>5137</v>
      </c>
      <c r="Q1576" s="122">
        <v>1903</v>
      </c>
      <c r="R1576" s="122">
        <v>27050</v>
      </c>
      <c r="S1576" s="122">
        <v>24591</v>
      </c>
      <c r="T1576" s="122">
        <v>5420</v>
      </c>
      <c r="U1576" s="122">
        <v>2007</v>
      </c>
      <c r="V1576" s="122">
        <v>163989</v>
      </c>
      <c r="W1576" s="122">
        <f t="shared" si="48"/>
        <v>163988</v>
      </c>
      <c r="X1576" s="122">
        <f t="shared" si="49"/>
        <v>192156</v>
      </c>
    </row>
    <row r="1577" spans="2:24">
      <c r="B1577" t="s">
        <v>469</v>
      </c>
      <c r="C1577" t="s">
        <v>64</v>
      </c>
      <c r="D1577" t="s">
        <v>426</v>
      </c>
      <c r="E1577" t="s">
        <v>137</v>
      </c>
      <c r="F1577">
        <v>1</v>
      </c>
      <c r="G1577">
        <v>63</v>
      </c>
      <c r="H1577" s="122">
        <v>1832</v>
      </c>
      <c r="I1577" s="122">
        <v>110533</v>
      </c>
      <c r="J1577" s="122">
        <v>100484</v>
      </c>
      <c r="K1577">
        <v>30</v>
      </c>
      <c r="L1577">
        <v>0</v>
      </c>
      <c r="M1577">
        <v>0</v>
      </c>
      <c r="N1577" s="122">
        <v>1285</v>
      </c>
      <c r="O1577">
        <v>476</v>
      </c>
      <c r="P1577">
        <v>0</v>
      </c>
      <c r="Q1577">
        <v>0</v>
      </c>
      <c r="R1577" s="122">
        <v>3834</v>
      </c>
      <c r="S1577" s="122">
        <v>1420</v>
      </c>
      <c r="T1577">
        <v>0</v>
      </c>
      <c r="U1577">
        <v>0</v>
      </c>
      <c r="V1577" s="122">
        <v>102380</v>
      </c>
      <c r="W1577" s="122">
        <f t="shared" si="48"/>
        <v>102380</v>
      </c>
      <c r="X1577" s="122">
        <f t="shared" si="49"/>
        <v>115652</v>
      </c>
    </row>
    <row r="1578" spans="2:24">
      <c r="B1578" t="s">
        <v>469</v>
      </c>
      <c r="C1578" t="s">
        <v>64</v>
      </c>
      <c r="D1578" t="s">
        <v>426</v>
      </c>
      <c r="E1578" t="s">
        <v>426</v>
      </c>
      <c r="F1578">
        <v>2</v>
      </c>
      <c r="G1578">
        <v>136</v>
      </c>
      <c r="H1578" s="122">
        <v>1638</v>
      </c>
      <c r="I1578" s="122">
        <v>68449</v>
      </c>
      <c r="J1578" s="122">
        <v>62227</v>
      </c>
      <c r="K1578">
        <v>50</v>
      </c>
      <c r="L1578" s="122">
        <v>2819</v>
      </c>
      <c r="M1578" s="122">
        <v>2563</v>
      </c>
      <c r="N1578" s="122">
        <v>3205</v>
      </c>
      <c r="O1578" s="122">
        <v>1187</v>
      </c>
      <c r="P1578">
        <v>702</v>
      </c>
      <c r="Q1578">
        <v>260</v>
      </c>
      <c r="R1578" s="122">
        <v>8927</v>
      </c>
      <c r="S1578" s="122">
        <v>8116</v>
      </c>
      <c r="T1578" s="122">
        <v>3074</v>
      </c>
      <c r="U1578" s="122">
        <v>1139</v>
      </c>
      <c r="V1578" s="122">
        <v>75491</v>
      </c>
      <c r="W1578" s="122">
        <f t="shared" si="48"/>
        <v>75492</v>
      </c>
      <c r="X1578" s="122">
        <f t="shared" si="49"/>
        <v>87176</v>
      </c>
    </row>
    <row r="1579" spans="2:24">
      <c r="B1579" t="s">
        <v>469</v>
      </c>
      <c r="C1579" t="s">
        <v>64</v>
      </c>
      <c r="D1579" t="s">
        <v>433</v>
      </c>
      <c r="E1579" t="s">
        <v>433</v>
      </c>
      <c r="F1579">
        <v>1</v>
      </c>
      <c r="G1579">
        <v>73</v>
      </c>
      <c r="H1579">
        <v>468</v>
      </c>
      <c r="I1579" s="122">
        <v>26345</v>
      </c>
      <c r="J1579" s="122">
        <v>23950</v>
      </c>
      <c r="K1579">
        <v>68</v>
      </c>
      <c r="L1579">
        <v>0</v>
      </c>
      <c r="M1579">
        <v>0</v>
      </c>
      <c r="N1579" s="122">
        <v>1776</v>
      </c>
      <c r="O1579">
        <v>658</v>
      </c>
      <c r="P1579">
        <v>351</v>
      </c>
      <c r="Q1579">
        <v>130</v>
      </c>
      <c r="R1579" s="122">
        <v>3380</v>
      </c>
      <c r="S1579" s="122">
        <v>3073</v>
      </c>
      <c r="T1579" s="122">
        <v>2248</v>
      </c>
      <c r="U1579">
        <v>832</v>
      </c>
      <c r="V1579" s="122">
        <v>28643</v>
      </c>
      <c r="W1579" s="122">
        <f t="shared" ref="W1579:W1642" si="50">SUM(ABS(J1579),ABS(M1579),ABS(O1579),ABS(Q1579),ABS(S1579),ABS(U1579))</f>
        <v>28643</v>
      </c>
      <c r="X1579" s="122">
        <f t="shared" ref="X1579:X1642" si="51">SUM(ABS(I1579),ABS(N1579),ABS(P1579),ABS(R1579),ABS(T1579),ABS(L1579))</f>
        <v>34100</v>
      </c>
    </row>
    <row r="1580" spans="2:24">
      <c r="B1580" t="s">
        <v>469</v>
      </c>
      <c r="C1580" t="s">
        <v>64</v>
      </c>
      <c r="D1580" t="s">
        <v>429</v>
      </c>
      <c r="E1580" t="s">
        <v>137</v>
      </c>
      <c r="F1580">
        <v>1</v>
      </c>
      <c r="G1580">
        <v>38</v>
      </c>
      <c r="H1580">
        <v>818</v>
      </c>
      <c r="I1580" s="122">
        <v>25351</v>
      </c>
      <c r="J1580" s="122">
        <v>23046</v>
      </c>
      <c r="K1580">
        <v>65</v>
      </c>
      <c r="L1580">
        <v>0</v>
      </c>
      <c r="M1580">
        <v>0</v>
      </c>
      <c r="N1580">
        <v>926</v>
      </c>
      <c r="O1580">
        <v>343</v>
      </c>
      <c r="P1580">
        <v>351</v>
      </c>
      <c r="Q1580">
        <v>130</v>
      </c>
      <c r="R1580" s="122">
        <v>4456</v>
      </c>
      <c r="S1580" s="122">
        <v>1650</v>
      </c>
      <c r="T1580">
        <v>0</v>
      </c>
      <c r="U1580">
        <v>0</v>
      </c>
      <c r="V1580" s="122">
        <v>25170</v>
      </c>
      <c r="W1580" s="122">
        <f t="shared" si="50"/>
        <v>25169</v>
      </c>
      <c r="X1580" s="122">
        <f t="shared" si="51"/>
        <v>31084</v>
      </c>
    </row>
    <row r="1581" spans="2:24">
      <c r="B1581" t="s">
        <v>470</v>
      </c>
      <c r="C1581" t="s">
        <v>48</v>
      </c>
      <c r="D1581" t="s">
        <v>137</v>
      </c>
      <c r="E1581" t="s">
        <v>137</v>
      </c>
      <c r="F1581">
        <v>2</v>
      </c>
      <c r="G1581">
        <v>279</v>
      </c>
      <c r="H1581">
        <v>110</v>
      </c>
      <c r="I1581">
        <v>-127</v>
      </c>
      <c r="J1581">
        <v>-47</v>
      </c>
      <c r="K1581">
        <v>364</v>
      </c>
      <c r="L1581">
        <v>-558</v>
      </c>
      <c r="M1581">
        <v>-507</v>
      </c>
      <c r="N1581" s="122">
        <v>4803</v>
      </c>
      <c r="O1581" s="122">
        <v>1779</v>
      </c>
      <c r="P1581" s="122">
        <v>1323</v>
      </c>
      <c r="Q1581">
        <v>490</v>
      </c>
      <c r="R1581" s="122">
        <v>8493</v>
      </c>
      <c r="S1581" s="122">
        <v>3145</v>
      </c>
      <c r="T1581">
        <v>0</v>
      </c>
      <c r="U1581">
        <v>0</v>
      </c>
      <c r="V1581" s="122">
        <v>4861</v>
      </c>
      <c r="W1581" s="122">
        <f t="shared" si="50"/>
        <v>5968</v>
      </c>
      <c r="X1581" s="122">
        <f t="shared" si="51"/>
        <v>15304</v>
      </c>
    </row>
    <row r="1582" spans="2:24">
      <c r="B1582" t="s">
        <v>470</v>
      </c>
      <c r="C1582" t="s">
        <v>48</v>
      </c>
      <c r="D1582" t="s">
        <v>407</v>
      </c>
      <c r="E1582" t="s">
        <v>407</v>
      </c>
      <c r="F1582">
        <v>6</v>
      </c>
      <c r="G1582">
        <v>500</v>
      </c>
      <c r="H1582">
        <v>437</v>
      </c>
      <c r="I1582" s="122">
        <v>12964</v>
      </c>
      <c r="J1582" s="122">
        <v>11786</v>
      </c>
      <c r="K1582">
        <v>90</v>
      </c>
      <c r="L1582">
        <v>0</v>
      </c>
      <c r="M1582">
        <v>0</v>
      </c>
      <c r="N1582" s="122">
        <v>6092</v>
      </c>
      <c r="O1582" s="122">
        <v>2256</v>
      </c>
      <c r="P1582" s="122">
        <v>2835</v>
      </c>
      <c r="Q1582" s="122">
        <v>1050</v>
      </c>
      <c r="R1582" s="122">
        <v>14510</v>
      </c>
      <c r="S1582" s="122">
        <v>13191</v>
      </c>
      <c r="T1582">
        <v>0</v>
      </c>
      <c r="U1582">
        <v>0</v>
      </c>
      <c r="V1582" s="122">
        <v>28284</v>
      </c>
      <c r="W1582" s="122">
        <f t="shared" si="50"/>
        <v>28283</v>
      </c>
      <c r="X1582" s="122">
        <f t="shared" si="51"/>
        <v>36401</v>
      </c>
    </row>
    <row r="1583" spans="2:24">
      <c r="B1583" t="s">
        <v>470</v>
      </c>
      <c r="C1583" t="s">
        <v>50</v>
      </c>
      <c r="D1583" t="s">
        <v>405</v>
      </c>
      <c r="E1583" t="s">
        <v>405</v>
      </c>
      <c r="F1583">
        <v>1</v>
      </c>
      <c r="G1583">
        <v>137</v>
      </c>
      <c r="H1583">
        <v>94</v>
      </c>
      <c r="I1583" s="122">
        <v>3689</v>
      </c>
      <c r="J1583" s="122">
        <v>3354</v>
      </c>
      <c r="K1583">
        <v>81</v>
      </c>
      <c r="L1583">
        <v>0</v>
      </c>
      <c r="M1583">
        <v>0</v>
      </c>
      <c r="N1583" s="122">
        <v>3233</v>
      </c>
      <c r="O1583" s="122">
        <v>1197</v>
      </c>
      <c r="P1583">
        <v>473</v>
      </c>
      <c r="Q1583">
        <v>175</v>
      </c>
      <c r="R1583" s="122">
        <v>5422</v>
      </c>
      <c r="S1583" s="122">
        <v>4929</v>
      </c>
      <c r="T1583">
        <v>0</v>
      </c>
      <c r="U1583">
        <v>0</v>
      </c>
      <c r="V1583" s="122">
        <v>9656</v>
      </c>
      <c r="W1583" s="122">
        <f t="shared" si="50"/>
        <v>9655</v>
      </c>
      <c r="X1583" s="122">
        <f t="shared" si="51"/>
        <v>12817</v>
      </c>
    </row>
    <row r="1584" spans="2:24">
      <c r="B1584" t="s">
        <v>470</v>
      </c>
      <c r="C1584" t="s">
        <v>50</v>
      </c>
      <c r="D1584" t="s">
        <v>407</v>
      </c>
      <c r="E1584" t="s">
        <v>407</v>
      </c>
      <c r="F1584">
        <v>2</v>
      </c>
      <c r="G1584">
        <v>167</v>
      </c>
      <c r="H1584">
        <v>182</v>
      </c>
      <c r="I1584" s="122">
        <v>7374</v>
      </c>
      <c r="J1584" s="122">
        <v>6704</v>
      </c>
      <c r="K1584">
        <v>90</v>
      </c>
      <c r="L1584">
        <v>0</v>
      </c>
      <c r="M1584">
        <v>0</v>
      </c>
      <c r="N1584" s="122">
        <v>2032</v>
      </c>
      <c r="O1584">
        <v>753</v>
      </c>
      <c r="P1584">
        <v>945</v>
      </c>
      <c r="Q1584">
        <v>350</v>
      </c>
      <c r="R1584" s="122">
        <v>4840</v>
      </c>
      <c r="S1584" s="122">
        <v>4400</v>
      </c>
      <c r="T1584">
        <v>0</v>
      </c>
      <c r="U1584">
        <v>0</v>
      </c>
      <c r="V1584" s="122">
        <v>12206</v>
      </c>
      <c r="W1584" s="122">
        <f t="shared" si="50"/>
        <v>12207</v>
      </c>
      <c r="X1584" s="122">
        <f t="shared" si="51"/>
        <v>15191</v>
      </c>
    </row>
    <row r="1585" spans="2:24">
      <c r="B1585" t="s">
        <v>470</v>
      </c>
      <c r="C1585" t="s">
        <v>52</v>
      </c>
      <c r="D1585" t="s">
        <v>425</v>
      </c>
      <c r="E1585" t="s">
        <v>425</v>
      </c>
      <c r="F1585">
        <v>1</v>
      </c>
      <c r="G1585">
        <v>130</v>
      </c>
      <c r="H1585">
        <v>119</v>
      </c>
      <c r="I1585" s="122">
        <v>6454</v>
      </c>
      <c r="J1585" s="122">
        <v>5868</v>
      </c>
      <c r="K1585">
        <v>81</v>
      </c>
      <c r="L1585">
        <v>0</v>
      </c>
      <c r="M1585">
        <v>0</v>
      </c>
      <c r="N1585" s="122">
        <v>3156</v>
      </c>
      <c r="O1585" s="122">
        <v>1169</v>
      </c>
      <c r="P1585">
        <v>473</v>
      </c>
      <c r="Q1585">
        <v>175</v>
      </c>
      <c r="R1585" s="122">
        <v>5294</v>
      </c>
      <c r="S1585" s="122">
        <v>4813</v>
      </c>
      <c r="T1585">
        <v>0</v>
      </c>
      <c r="U1585">
        <v>0</v>
      </c>
      <c r="V1585" s="122">
        <v>12024</v>
      </c>
      <c r="W1585" s="122">
        <f t="shared" si="50"/>
        <v>12025</v>
      </c>
      <c r="X1585" s="122">
        <f t="shared" si="51"/>
        <v>15377</v>
      </c>
    </row>
    <row r="1586" spans="2:24">
      <c r="B1586" t="s">
        <v>470</v>
      </c>
      <c r="C1586" t="s">
        <v>52</v>
      </c>
      <c r="D1586" t="s">
        <v>406</v>
      </c>
      <c r="E1586" t="s">
        <v>406</v>
      </c>
      <c r="F1586">
        <v>2</v>
      </c>
      <c r="G1586">
        <v>212</v>
      </c>
      <c r="H1586">
        <v>227</v>
      </c>
      <c r="I1586" s="122">
        <v>8427</v>
      </c>
      <c r="J1586" s="122">
        <v>7661</v>
      </c>
      <c r="K1586">
        <v>89</v>
      </c>
      <c r="L1586">
        <v>0</v>
      </c>
      <c r="M1586">
        <v>587</v>
      </c>
      <c r="N1586" s="122">
        <v>4287</v>
      </c>
      <c r="O1586" s="122">
        <v>1588</v>
      </c>
      <c r="P1586" s="122">
        <v>1242</v>
      </c>
      <c r="Q1586">
        <v>460</v>
      </c>
      <c r="R1586" s="122">
        <v>9877</v>
      </c>
      <c r="S1586" s="122">
        <v>8979</v>
      </c>
      <c r="T1586">
        <v>0</v>
      </c>
      <c r="U1586">
        <v>0</v>
      </c>
      <c r="V1586" s="122">
        <v>19275</v>
      </c>
      <c r="W1586" s="122">
        <f t="shared" si="50"/>
        <v>19275</v>
      </c>
      <c r="X1586" s="122">
        <f t="shared" si="51"/>
        <v>23833</v>
      </c>
    </row>
    <row r="1587" spans="2:24">
      <c r="B1587" t="s">
        <v>470</v>
      </c>
      <c r="C1587" t="s">
        <v>52</v>
      </c>
      <c r="D1587" t="s">
        <v>407</v>
      </c>
      <c r="E1587" t="s">
        <v>407</v>
      </c>
      <c r="F1587">
        <v>3</v>
      </c>
      <c r="G1587">
        <v>374</v>
      </c>
      <c r="H1587">
        <v>354</v>
      </c>
      <c r="I1587" s="122">
        <v>21598</v>
      </c>
      <c r="J1587" s="122">
        <v>19634</v>
      </c>
      <c r="K1587">
        <v>83</v>
      </c>
      <c r="L1587" s="122">
        <v>1073</v>
      </c>
      <c r="M1587">
        <v>398</v>
      </c>
      <c r="N1587" s="122">
        <v>7155</v>
      </c>
      <c r="O1587" s="122">
        <v>2650</v>
      </c>
      <c r="P1587" s="122">
        <v>1418</v>
      </c>
      <c r="Q1587">
        <v>525</v>
      </c>
      <c r="R1587" s="122">
        <v>12743</v>
      </c>
      <c r="S1587" s="122">
        <v>11584</v>
      </c>
      <c r="T1587">
        <v>0</v>
      </c>
      <c r="U1587">
        <v>0</v>
      </c>
      <c r="V1587" s="122">
        <v>34791</v>
      </c>
      <c r="W1587" s="122">
        <f t="shared" si="50"/>
        <v>34791</v>
      </c>
      <c r="X1587" s="122">
        <f t="shared" si="51"/>
        <v>43987</v>
      </c>
    </row>
    <row r="1588" spans="2:24">
      <c r="B1588" t="s">
        <v>470</v>
      </c>
      <c r="C1588" t="s">
        <v>54</v>
      </c>
      <c r="F1588">
        <v>3</v>
      </c>
      <c r="G1588">
        <v>136</v>
      </c>
      <c r="H1588">
        <v>423</v>
      </c>
      <c r="J1588">
        <v>0</v>
      </c>
      <c r="M1588">
        <v>0</v>
      </c>
      <c r="N1588" s="122">
        <v>1655</v>
      </c>
      <c r="O1588">
        <v>613</v>
      </c>
      <c r="P1588">
        <v>0</v>
      </c>
      <c r="Q1588">
        <v>0</v>
      </c>
      <c r="S1588">
        <v>0</v>
      </c>
      <c r="T1588" s="122">
        <v>4898</v>
      </c>
      <c r="U1588" s="122">
        <v>1814</v>
      </c>
      <c r="V1588" s="122">
        <v>2427</v>
      </c>
      <c r="W1588" s="122">
        <f t="shared" si="50"/>
        <v>2427</v>
      </c>
      <c r="X1588" s="122">
        <f t="shared" si="51"/>
        <v>6553</v>
      </c>
    </row>
    <row r="1589" spans="2:24">
      <c r="B1589" t="s">
        <v>470</v>
      </c>
      <c r="C1589" t="s">
        <v>54</v>
      </c>
      <c r="D1589" t="s">
        <v>405</v>
      </c>
      <c r="E1589" t="s">
        <v>405</v>
      </c>
      <c r="F1589">
        <v>3</v>
      </c>
      <c r="G1589">
        <v>263</v>
      </c>
      <c r="H1589">
        <v>407</v>
      </c>
      <c r="I1589" s="122">
        <v>13225</v>
      </c>
      <c r="J1589" s="122">
        <v>12023</v>
      </c>
      <c r="K1589">
        <v>78</v>
      </c>
      <c r="L1589">
        <v>0</v>
      </c>
      <c r="M1589">
        <v>0</v>
      </c>
      <c r="N1589" s="122">
        <v>5733</v>
      </c>
      <c r="O1589" s="122">
        <v>2123</v>
      </c>
      <c r="P1589" s="122">
        <v>1418</v>
      </c>
      <c r="Q1589">
        <v>525</v>
      </c>
      <c r="R1589" s="122">
        <v>14647</v>
      </c>
      <c r="S1589" s="122">
        <v>13315</v>
      </c>
      <c r="T1589">
        <v>0</v>
      </c>
      <c r="U1589">
        <v>0</v>
      </c>
      <c r="V1589" s="122">
        <v>27986</v>
      </c>
      <c r="W1589" s="122">
        <f t="shared" si="50"/>
        <v>27986</v>
      </c>
      <c r="X1589" s="122">
        <f t="shared" si="51"/>
        <v>35023</v>
      </c>
    </row>
    <row r="1590" spans="2:24">
      <c r="B1590" t="s">
        <v>470</v>
      </c>
      <c r="C1590" t="s">
        <v>54</v>
      </c>
      <c r="D1590" t="s">
        <v>137</v>
      </c>
      <c r="E1590" t="s">
        <v>137</v>
      </c>
      <c r="F1590">
        <v>1</v>
      </c>
      <c r="G1590">
        <v>69</v>
      </c>
      <c r="H1590">
        <v>128</v>
      </c>
      <c r="I1590" s="122">
        <v>1554</v>
      </c>
      <c r="J1590">
        <v>576</v>
      </c>
      <c r="K1590">
        <v>100</v>
      </c>
      <c r="L1590">
        <v>0</v>
      </c>
      <c r="M1590">
        <v>0</v>
      </c>
      <c r="N1590" s="122">
        <v>1153</v>
      </c>
      <c r="O1590">
        <v>427</v>
      </c>
      <c r="P1590">
        <v>0</v>
      </c>
      <c r="Q1590">
        <v>0</v>
      </c>
      <c r="R1590" s="122">
        <v>6111</v>
      </c>
      <c r="S1590" s="122">
        <v>2263</v>
      </c>
      <c r="T1590">
        <v>0</v>
      </c>
      <c r="U1590">
        <v>0</v>
      </c>
      <c r="V1590" s="122">
        <v>3266</v>
      </c>
      <c r="W1590" s="122">
        <f t="shared" si="50"/>
        <v>3266</v>
      </c>
      <c r="X1590" s="122">
        <f t="shared" si="51"/>
        <v>8818</v>
      </c>
    </row>
    <row r="1591" spans="2:24">
      <c r="B1591" t="s">
        <v>470</v>
      </c>
      <c r="C1591" t="s">
        <v>54</v>
      </c>
      <c r="D1591" t="s">
        <v>406</v>
      </c>
      <c r="E1591" t="s">
        <v>406</v>
      </c>
      <c r="F1591">
        <v>4</v>
      </c>
      <c r="G1591">
        <v>474</v>
      </c>
      <c r="H1591">
        <v>576</v>
      </c>
      <c r="I1591" s="122">
        <v>30765</v>
      </c>
      <c r="J1591" s="122">
        <v>27969</v>
      </c>
      <c r="K1591">
        <v>87</v>
      </c>
      <c r="L1591" s="122">
        <v>6179</v>
      </c>
      <c r="M1591" s="122">
        <v>5617</v>
      </c>
      <c r="N1591" s="122">
        <v>8660</v>
      </c>
      <c r="O1591" s="122">
        <v>3207</v>
      </c>
      <c r="P1591" s="122">
        <v>2484</v>
      </c>
      <c r="Q1591">
        <v>920</v>
      </c>
      <c r="R1591" s="122">
        <v>20031</v>
      </c>
      <c r="S1591" s="122">
        <v>18210</v>
      </c>
      <c r="T1591">
        <v>0</v>
      </c>
      <c r="U1591">
        <v>0</v>
      </c>
      <c r="V1591" s="122">
        <v>55923</v>
      </c>
      <c r="W1591" s="122">
        <f t="shared" si="50"/>
        <v>55923</v>
      </c>
      <c r="X1591" s="122">
        <f t="shared" si="51"/>
        <v>68119</v>
      </c>
    </row>
    <row r="1592" spans="2:24">
      <c r="B1592" t="s">
        <v>470</v>
      </c>
      <c r="C1592" t="s">
        <v>54</v>
      </c>
      <c r="D1592" t="s">
        <v>407</v>
      </c>
      <c r="E1592" t="s">
        <v>407</v>
      </c>
      <c r="F1592">
        <v>1</v>
      </c>
      <c r="G1592">
        <v>86</v>
      </c>
      <c r="H1592">
        <v>129</v>
      </c>
      <c r="I1592" s="122">
        <v>7184</v>
      </c>
      <c r="J1592" s="122">
        <v>6531</v>
      </c>
      <c r="K1592">
        <v>90</v>
      </c>
      <c r="L1592">
        <v>0</v>
      </c>
      <c r="M1592">
        <v>0</v>
      </c>
      <c r="N1592" s="122">
        <v>1053</v>
      </c>
      <c r="O1592">
        <v>390</v>
      </c>
      <c r="P1592">
        <v>473</v>
      </c>
      <c r="Q1592">
        <v>175</v>
      </c>
      <c r="R1592" s="122">
        <v>2475</v>
      </c>
      <c r="S1592" s="122">
        <v>2250</v>
      </c>
      <c r="T1592">
        <v>0</v>
      </c>
      <c r="U1592">
        <v>0</v>
      </c>
      <c r="V1592" s="122">
        <v>9346</v>
      </c>
      <c r="W1592" s="122">
        <f t="shared" si="50"/>
        <v>9346</v>
      </c>
      <c r="X1592" s="122">
        <f t="shared" si="51"/>
        <v>11185</v>
      </c>
    </row>
    <row r="1593" spans="2:24">
      <c r="B1593" t="s">
        <v>470</v>
      </c>
      <c r="C1593" t="s">
        <v>56</v>
      </c>
      <c r="F1593">
        <v>3</v>
      </c>
      <c r="G1593">
        <v>212</v>
      </c>
      <c r="H1593">
        <v>537</v>
      </c>
      <c r="J1593">
        <v>0</v>
      </c>
      <c r="M1593">
        <v>0</v>
      </c>
      <c r="N1593" s="122">
        <v>2582</v>
      </c>
      <c r="O1593">
        <v>956</v>
      </c>
      <c r="P1593">
        <v>0</v>
      </c>
      <c r="Q1593">
        <v>0</v>
      </c>
      <c r="S1593">
        <v>0</v>
      </c>
      <c r="T1593" s="122">
        <v>6144</v>
      </c>
      <c r="U1593" s="122">
        <v>2276</v>
      </c>
      <c r="V1593" s="122">
        <v>3232</v>
      </c>
      <c r="W1593" s="122">
        <f t="shared" si="50"/>
        <v>3232</v>
      </c>
      <c r="X1593" s="122">
        <f t="shared" si="51"/>
        <v>8726</v>
      </c>
    </row>
    <row r="1594" spans="2:24">
      <c r="B1594" t="s">
        <v>470</v>
      </c>
      <c r="C1594" t="s">
        <v>56</v>
      </c>
      <c r="D1594" t="s">
        <v>405</v>
      </c>
      <c r="E1594" t="s">
        <v>405</v>
      </c>
      <c r="F1594">
        <v>7</v>
      </c>
      <c r="G1594">
        <v>569</v>
      </c>
      <c r="H1594" s="122">
        <v>1287</v>
      </c>
      <c r="I1594" s="122">
        <v>44560</v>
      </c>
      <c r="J1594" s="122">
        <v>40509</v>
      </c>
      <c r="K1594">
        <v>77</v>
      </c>
      <c r="L1594" s="122">
        <v>9682</v>
      </c>
      <c r="M1594" s="122">
        <v>8551</v>
      </c>
      <c r="N1594" s="122">
        <v>12313</v>
      </c>
      <c r="O1594" s="122">
        <v>4560</v>
      </c>
      <c r="P1594" s="122">
        <v>3065</v>
      </c>
      <c r="Q1594" s="122">
        <v>1135</v>
      </c>
      <c r="R1594" s="122">
        <v>32488</v>
      </c>
      <c r="S1594" s="122">
        <v>29534</v>
      </c>
      <c r="T1594" s="122">
        <v>5441</v>
      </c>
      <c r="U1594" s="122">
        <v>2015</v>
      </c>
      <c r="V1594" s="122">
        <v>86304</v>
      </c>
      <c r="W1594" s="122">
        <f t="shared" si="50"/>
        <v>86304</v>
      </c>
      <c r="X1594" s="122">
        <f t="shared" si="51"/>
        <v>107549</v>
      </c>
    </row>
    <row r="1595" spans="2:24">
      <c r="B1595" t="s">
        <v>470</v>
      </c>
      <c r="C1595" t="s">
        <v>56</v>
      </c>
      <c r="D1595" t="s">
        <v>137</v>
      </c>
      <c r="E1595" t="s">
        <v>137</v>
      </c>
      <c r="F1595">
        <v>120</v>
      </c>
      <c r="G1595" s="122">
        <v>8657</v>
      </c>
      <c r="H1595" s="122">
        <v>23765</v>
      </c>
      <c r="I1595" s="122">
        <v>690044</v>
      </c>
      <c r="J1595" s="122">
        <v>255572</v>
      </c>
      <c r="K1595">
        <v>100</v>
      </c>
      <c r="L1595" s="122">
        <v>98457</v>
      </c>
      <c r="M1595" s="122">
        <v>37171</v>
      </c>
      <c r="N1595" s="122">
        <v>188006</v>
      </c>
      <c r="O1595" s="122">
        <v>69632</v>
      </c>
      <c r="P1595" s="122">
        <v>1404</v>
      </c>
      <c r="Q1595">
        <v>520</v>
      </c>
      <c r="R1595" s="122">
        <v>739922</v>
      </c>
      <c r="S1595" s="122">
        <v>274045</v>
      </c>
      <c r="T1595">
        <v>0</v>
      </c>
      <c r="U1595">
        <v>0</v>
      </c>
      <c r="V1595" s="122">
        <v>636941</v>
      </c>
      <c r="W1595" s="122">
        <f t="shared" si="50"/>
        <v>636940</v>
      </c>
      <c r="X1595" s="122">
        <f t="shared" si="51"/>
        <v>1717833</v>
      </c>
    </row>
    <row r="1596" spans="2:24">
      <c r="B1596" t="s">
        <v>470</v>
      </c>
      <c r="C1596" t="s">
        <v>56</v>
      </c>
      <c r="D1596" t="s">
        <v>406</v>
      </c>
      <c r="E1596" t="s">
        <v>406</v>
      </c>
      <c r="F1596">
        <v>19</v>
      </c>
      <c r="G1596" s="122">
        <v>2924</v>
      </c>
      <c r="H1596" s="122">
        <v>3617</v>
      </c>
      <c r="I1596" s="122">
        <v>305114</v>
      </c>
      <c r="J1596" s="122">
        <v>277376</v>
      </c>
      <c r="K1596">
        <v>84</v>
      </c>
      <c r="L1596" s="122">
        <v>59035</v>
      </c>
      <c r="M1596" s="122">
        <v>53484</v>
      </c>
      <c r="N1596" s="122">
        <v>62847</v>
      </c>
      <c r="O1596" s="122">
        <v>23277</v>
      </c>
      <c r="P1596" s="122">
        <v>12852</v>
      </c>
      <c r="Q1596" s="122">
        <v>4760</v>
      </c>
      <c r="R1596" s="122">
        <v>105995</v>
      </c>
      <c r="S1596" s="122">
        <v>96359</v>
      </c>
      <c r="T1596" s="122">
        <v>15724</v>
      </c>
      <c r="U1596" s="122">
        <v>5824</v>
      </c>
      <c r="V1596" s="122">
        <v>461079</v>
      </c>
      <c r="W1596" s="122">
        <f t="shared" si="50"/>
        <v>461080</v>
      </c>
      <c r="X1596" s="122">
        <f t="shared" si="51"/>
        <v>561567</v>
      </c>
    </row>
    <row r="1597" spans="2:24">
      <c r="B1597" t="s">
        <v>470</v>
      </c>
      <c r="C1597" t="s">
        <v>56</v>
      </c>
      <c r="D1597" t="s">
        <v>407</v>
      </c>
      <c r="E1597" t="s">
        <v>407</v>
      </c>
      <c r="F1597">
        <v>9</v>
      </c>
      <c r="G1597">
        <v>599</v>
      </c>
      <c r="H1597" s="122">
        <v>1588</v>
      </c>
      <c r="I1597" s="122">
        <v>42714</v>
      </c>
      <c r="J1597" s="122">
        <v>38830</v>
      </c>
      <c r="K1597">
        <v>80</v>
      </c>
      <c r="L1597" s="122">
        <v>3304</v>
      </c>
      <c r="M1597" s="122">
        <v>3004</v>
      </c>
      <c r="N1597" s="122">
        <v>11231</v>
      </c>
      <c r="O1597" s="122">
        <v>4160</v>
      </c>
      <c r="P1597" s="122">
        <v>4253</v>
      </c>
      <c r="Q1597" s="122">
        <v>1575</v>
      </c>
      <c r="R1597" s="122">
        <v>44280</v>
      </c>
      <c r="S1597" s="122">
        <v>40254</v>
      </c>
      <c r="T1597">
        <v>0</v>
      </c>
      <c r="U1597">
        <v>0</v>
      </c>
      <c r="V1597" s="122">
        <v>87823</v>
      </c>
      <c r="W1597" s="122">
        <f t="shared" si="50"/>
        <v>87823</v>
      </c>
      <c r="X1597" s="122">
        <f t="shared" si="51"/>
        <v>105782</v>
      </c>
    </row>
    <row r="1598" spans="2:24">
      <c r="B1598" t="s">
        <v>470</v>
      </c>
      <c r="C1598" t="s">
        <v>56</v>
      </c>
      <c r="D1598" t="s">
        <v>426</v>
      </c>
      <c r="E1598" t="s">
        <v>426</v>
      </c>
      <c r="F1598">
        <v>1</v>
      </c>
      <c r="G1598">
        <v>113</v>
      </c>
      <c r="H1598">
        <v>211</v>
      </c>
      <c r="I1598" s="122">
        <v>11292</v>
      </c>
      <c r="J1598" s="122">
        <v>10265</v>
      </c>
      <c r="K1598">
        <v>65</v>
      </c>
      <c r="L1598" s="122">
        <v>2002</v>
      </c>
      <c r="M1598">
        <v>741</v>
      </c>
      <c r="N1598" s="122">
        <v>2612</v>
      </c>
      <c r="O1598">
        <v>967</v>
      </c>
      <c r="P1598">
        <v>351</v>
      </c>
      <c r="Q1598">
        <v>130</v>
      </c>
      <c r="R1598" s="122">
        <v>4847</v>
      </c>
      <c r="S1598" s="122">
        <v>4406</v>
      </c>
      <c r="T1598" s="122">
        <v>2722</v>
      </c>
      <c r="U1598" s="122">
        <v>1008</v>
      </c>
      <c r="V1598" s="122">
        <v>17518</v>
      </c>
      <c r="W1598" s="122">
        <f t="shared" si="50"/>
        <v>17517</v>
      </c>
      <c r="X1598" s="122">
        <f t="shared" si="51"/>
        <v>23826</v>
      </c>
    </row>
    <row r="1599" spans="2:24">
      <c r="B1599" t="s">
        <v>470</v>
      </c>
      <c r="C1599" t="s">
        <v>58</v>
      </c>
      <c r="F1599">
        <v>2</v>
      </c>
      <c r="G1599">
        <v>89</v>
      </c>
      <c r="H1599">
        <v>589</v>
      </c>
      <c r="J1599">
        <v>0</v>
      </c>
      <c r="M1599">
        <v>0</v>
      </c>
      <c r="N1599" s="122">
        <v>1398</v>
      </c>
      <c r="O1599">
        <v>518</v>
      </c>
      <c r="P1599">
        <v>621</v>
      </c>
      <c r="Q1599">
        <v>230</v>
      </c>
      <c r="S1599">
        <v>0</v>
      </c>
      <c r="T1599" s="122">
        <v>1895</v>
      </c>
      <c r="U1599">
        <v>702</v>
      </c>
      <c r="V1599" s="122">
        <v>1450</v>
      </c>
      <c r="W1599" s="122">
        <f t="shared" si="50"/>
        <v>1450</v>
      </c>
      <c r="X1599" s="122">
        <f t="shared" si="51"/>
        <v>3914</v>
      </c>
    </row>
    <row r="1600" spans="2:24">
      <c r="B1600" t="s">
        <v>470</v>
      </c>
      <c r="C1600" t="s">
        <v>58</v>
      </c>
      <c r="D1600" t="s">
        <v>405</v>
      </c>
      <c r="E1600" t="s">
        <v>405</v>
      </c>
      <c r="F1600">
        <v>4</v>
      </c>
      <c r="G1600">
        <v>310</v>
      </c>
      <c r="H1600" s="122">
        <v>1017</v>
      </c>
      <c r="I1600" s="122">
        <v>38961</v>
      </c>
      <c r="J1600" s="122">
        <v>35419</v>
      </c>
      <c r="K1600">
        <v>76</v>
      </c>
      <c r="L1600" s="122">
        <v>10436</v>
      </c>
      <c r="M1600" s="122">
        <v>9487</v>
      </c>
      <c r="N1600" s="122">
        <v>6530</v>
      </c>
      <c r="O1600" s="122">
        <v>2419</v>
      </c>
      <c r="P1600" s="122">
        <v>1890</v>
      </c>
      <c r="Q1600">
        <v>700</v>
      </c>
      <c r="R1600" s="122">
        <v>18138</v>
      </c>
      <c r="S1600" s="122">
        <v>16489</v>
      </c>
      <c r="T1600" s="122">
        <v>2860</v>
      </c>
      <c r="U1600" s="122">
        <v>1059</v>
      </c>
      <c r="V1600" s="122">
        <v>65574</v>
      </c>
      <c r="W1600" s="122">
        <f t="shared" si="50"/>
        <v>65573</v>
      </c>
      <c r="X1600" s="122">
        <f t="shared" si="51"/>
        <v>78815</v>
      </c>
    </row>
    <row r="1601" spans="2:24">
      <c r="B1601" t="s">
        <v>470</v>
      </c>
      <c r="C1601" t="s">
        <v>58</v>
      </c>
      <c r="D1601" t="s">
        <v>137</v>
      </c>
      <c r="E1601" t="s">
        <v>137</v>
      </c>
      <c r="F1601">
        <v>212</v>
      </c>
      <c r="G1601" s="122">
        <v>13778</v>
      </c>
      <c r="H1601" s="122">
        <v>55533</v>
      </c>
      <c r="I1601" s="122">
        <v>1803816</v>
      </c>
      <c r="J1601" s="122">
        <v>668080</v>
      </c>
      <c r="K1601">
        <v>100</v>
      </c>
      <c r="L1601" s="122">
        <v>245675</v>
      </c>
      <c r="M1601" s="122">
        <v>93482</v>
      </c>
      <c r="N1601" s="122">
        <v>298746</v>
      </c>
      <c r="O1601" s="122">
        <v>110647</v>
      </c>
      <c r="P1601" s="122">
        <v>1256</v>
      </c>
      <c r="Q1601">
        <v>465</v>
      </c>
      <c r="R1601" s="122">
        <v>1258342</v>
      </c>
      <c r="S1601" s="122">
        <v>466053</v>
      </c>
      <c r="T1601">
        <v>0</v>
      </c>
      <c r="U1601">
        <v>0</v>
      </c>
      <c r="V1601" s="122">
        <v>1338726</v>
      </c>
      <c r="W1601" s="122">
        <f t="shared" si="50"/>
        <v>1338727</v>
      </c>
      <c r="X1601" s="122">
        <f t="shared" si="51"/>
        <v>3607835</v>
      </c>
    </row>
    <row r="1602" spans="2:24">
      <c r="B1602" t="s">
        <v>470</v>
      </c>
      <c r="C1602" t="s">
        <v>58</v>
      </c>
      <c r="D1602" t="s">
        <v>406</v>
      </c>
      <c r="E1602" t="s">
        <v>406</v>
      </c>
      <c r="F1602">
        <v>4</v>
      </c>
      <c r="G1602">
        <v>447</v>
      </c>
      <c r="H1602" s="122">
        <v>1068</v>
      </c>
      <c r="I1602" s="122">
        <v>69571</v>
      </c>
      <c r="J1602" s="122">
        <v>63246</v>
      </c>
      <c r="K1602">
        <v>76</v>
      </c>
      <c r="L1602" s="122">
        <v>14877</v>
      </c>
      <c r="M1602" s="122">
        <v>12644</v>
      </c>
      <c r="N1602" s="122">
        <v>7466</v>
      </c>
      <c r="O1602" s="122">
        <v>2765</v>
      </c>
      <c r="P1602" s="122">
        <v>2484</v>
      </c>
      <c r="Q1602">
        <v>920</v>
      </c>
      <c r="R1602" s="122">
        <v>19210</v>
      </c>
      <c r="S1602" s="122">
        <v>17464</v>
      </c>
      <c r="T1602" s="122">
        <v>3768</v>
      </c>
      <c r="U1602" s="122">
        <v>1396</v>
      </c>
      <c r="V1602" s="122">
        <v>98435</v>
      </c>
      <c r="W1602" s="122">
        <f t="shared" si="50"/>
        <v>98435</v>
      </c>
      <c r="X1602" s="122">
        <f t="shared" si="51"/>
        <v>117376</v>
      </c>
    </row>
    <row r="1603" spans="2:24">
      <c r="B1603" t="s">
        <v>470</v>
      </c>
      <c r="C1603" t="s">
        <v>58</v>
      </c>
      <c r="D1603" t="s">
        <v>426</v>
      </c>
      <c r="E1603" t="s">
        <v>137</v>
      </c>
      <c r="F1603">
        <v>1</v>
      </c>
      <c r="G1603">
        <v>42</v>
      </c>
      <c r="H1603">
        <v>266</v>
      </c>
      <c r="I1603" s="122">
        <v>8155</v>
      </c>
      <c r="J1603" s="122">
        <v>7413</v>
      </c>
      <c r="K1603">
        <v>60</v>
      </c>
      <c r="L1603" s="122">
        <v>1268</v>
      </c>
      <c r="M1603">
        <v>470</v>
      </c>
      <c r="N1603">
        <v>942</v>
      </c>
      <c r="O1603">
        <v>349</v>
      </c>
      <c r="P1603">
        <v>0</v>
      </c>
      <c r="Q1603">
        <v>0</v>
      </c>
      <c r="R1603" s="122">
        <v>6113</v>
      </c>
      <c r="S1603" s="122">
        <v>2264</v>
      </c>
      <c r="T1603">
        <v>0</v>
      </c>
      <c r="U1603">
        <v>0</v>
      </c>
      <c r="V1603" s="122">
        <v>10496</v>
      </c>
      <c r="W1603" s="122">
        <f t="shared" si="50"/>
        <v>10496</v>
      </c>
      <c r="X1603" s="122">
        <f t="shared" si="51"/>
        <v>16478</v>
      </c>
    </row>
    <row r="1604" spans="2:24">
      <c r="B1604" t="s">
        <v>470</v>
      </c>
      <c r="C1604" t="s">
        <v>60</v>
      </c>
      <c r="F1604">
        <v>1</v>
      </c>
      <c r="G1604">
        <v>37</v>
      </c>
      <c r="H1604">
        <v>367</v>
      </c>
      <c r="J1604">
        <v>0</v>
      </c>
      <c r="M1604">
        <v>0</v>
      </c>
      <c r="N1604">
        <v>808</v>
      </c>
      <c r="O1604">
        <v>299</v>
      </c>
      <c r="P1604">
        <v>0</v>
      </c>
      <c r="Q1604">
        <v>0</v>
      </c>
      <c r="S1604">
        <v>0</v>
      </c>
      <c r="T1604">
        <v>0</v>
      </c>
      <c r="U1604">
        <v>0</v>
      </c>
      <c r="V1604">
        <v>299</v>
      </c>
      <c r="W1604" s="122">
        <f t="shared" si="50"/>
        <v>299</v>
      </c>
      <c r="X1604" s="122">
        <f t="shared" si="51"/>
        <v>808</v>
      </c>
    </row>
    <row r="1605" spans="2:24">
      <c r="B1605" t="s">
        <v>470</v>
      </c>
      <c r="C1605" t="s">
        <v>60</v>
      </c>
      <c r="D1605" t="s">
        <v>137</v>
      </c>
      <c r="E1605" t="s">
        <v>137</v>
      </c>
      <c r="F1605">
        <v>88</v>
      </c>
      <c r="G1605" s="122">
        <v>5355</v>
      </c>
      <c r="H1605" s="122">
        <v>29429</v>
      </c>
      <c r="I1605" s="122">
        <v>1049365</v>
      </c>
      <c r="J1605" s="122">
        <v>388654</v>
      </c>
      <c r="K1605">
        <v>100</v>
      </c>
      <c r="L1605" s="122">
        <v>108012</v>
      </c>
      <c r="M1605" s="122">
        <v>45609</v>
      </c>
      <c r="N1605" s="122">
        <v>114308</v>
      </c>
      <c r="O1605" s="122">
        <v>42336</v>
      </c>
      <c r="P1605">
        <v>702</v>
      </c>
      <c r="Q1605">
        <v>260</v>
      </c>
      <c r="R1605" s="122">
        <v>519713</v>
      </c>
      <c r="S1605" s="122">
        <v>192486</v>
      </c>
      <c r="T1605">
        <v>0</v>
      </c>
      <c r="U1605">
        <v>0</v>
      </c>
      <c r="V1605" s="122">
        <v>669344</v>
      </c>
      <c r="W1605" s="122">
        <f t="shared" si="50"/>
        <v>669345</v>
      </c>
      <c r="X1605" s="122">
        <f t="shared" si="51"/>
        <v>1792100</v>
      </c>
    </row>
    <row r="1606" spans="2:24">
      <c r="B1606" t="s">
        <v>470</v>
      </c>
      <c r="C1606" t="s">
        <v>60</v>
      </c>
      <c r="D1606" t="s">
        <v>406</v>
      </c>
      <c r="E1606" t="s">
        <v>406</v>
      </c>
      <c r="F1606">
        <v>6</v>
      </c>
      <c r="G1606">
        <v>728</v>
      </c>
      <c r="H1606" s="122">
        <v>2056</v>
      </c>
      <c r="I1606" s="122">
        <v>164047</v>
      </c>
      <c r="J1606" s="122">
        <v>149134</v>
      </c>
      <c r="K1606">
        <v>82</v>
      </c>
      <c r="L1606" s="122">
        <v>29372</v>
      </c>
      <c r="M1606" s="122">
        <v>25531</v>
      </c>
      <c r="N1606" s="122">
        <v>15095</v>
      </c>
      <c r="O1606" s="122">
        <v>5591</v>
      </c>
      <c r="P1606" s="122">
        <v>3456</v>
      </c>
      <c r="Q1606" s="122">
        <v>1280</v>
      </c>
      <c r="R1606" s="122">
        <v>31061</v>
      </c>
      <c r="S1606" s="122">
        <v>28238</v>
      </c>
      <c r="T1606" s="122">
        <v>7502</v>
      </c>
      <c r="U1606" s="122">
        <v>2779</v>
      </c>
      <c r="V1606" s="122">
        <v>212552</v>
      </c>
      <c r="W1606" s="122">
        <f t="shared" si="50"/>
        <v>212553</v>
      </c>
      <c r="X1606" s="122">
        <f t="shared" si="51"/>
        <v>250533</v>
      </c>
    </row>
    <row r="1607" spans="2:24">
      <c r="B1607" t="s">
        <v>470</v>
      </c>
      <c r="C1607" t="s">
        <v>60</v>
      </c>
      <c r="D1607" t="s">
        <v>426</v>
      </c>
      <c r="E1607" t="s">
        <v>426</v>
      </c>
      <c r="F1607">
        <v>1</v>
      </c>
      <c r="G1607">
        <v>132</v>
      </c>
      <c r="H1607">
        <v>306</v>
      </c>
      <c r="I1607" s="122">
        <v>24583</v>
      </c>
      <c r="J1607" s="122">
        <v>22348</v>
      </c>
      <c r="K1607">
        <v>45</v>
      </c>
      <c r="L1607" s="122">
        <v>2049</v>
      </c>
      <c r="M1607" s="122">
        <v>1862</v>
      </c>
      <c r="N1607" s="122">
        <v>2364</v>
      </c>
      <c r="O1607">
        <v>876</v>
      </c>
      <c r="P1607">
        <v>351</v>
      </c>
      <c r="Q1607">
        <v>130</v>
      </c>
      <c r="R1607" s="122">
        <v>7831</v>
      </c>
      <c r="S1607" s="122">
        <v>7119</v>
      </c>
      <c r="T1607" s="122">
        <v>3173</v>
      </c>
      <c r="U1607" s="122">
        <v>1175</v>
      </c>
      <c r="V1607" s="122">
        <v>33511</v>
      </c>
      <c r="W1607" s="122">
        <f t="shared" si="50"/>
        <v>33510</v>
      </c>
      <c r="X1607" s="122">
        <f t="shared" si="51"/>
        <v>40351</v>
      </c>
    </row>
    <row r="1608" spans="2:24">
      <c r="B1608" t="s">
        <v>470</v>
      </c>
      <c r="C1608" t="s">
        <v>62</v>
      </c>
      <c r="F1608">
        <v>1</v>
      </c>
      <c r="G1608">
        <v>58</v>
      </c>
      <c r="H1608">
        <v>386</v>
      </c>
      <c r="J1608">
        <v>0</v>
      </c>
      <c r="M1608">
        <v>0</v>
      </c>
      <c r="N1608" s="122">
        <v>1090</v>
      </c>
      <c r="O1608">
        <v>404</v>
      </c>
      <c r="P1608">
        <v>270</v>
      </c>
      <c r="Q1608">
        <v>100</v>
      </c>
      <c r="S1608">
        <v>0</v>
      </c>
      <c r="T1608">
        <v>0</v>
      </c>
      <c r="U1608">
        <v>0</v>
      </c>
      <c r="V1608">
        <v>504</v>
      </c>
      <c r="W1608" s="122">
        <f t="shared" si="50"/>
        <v>504</v>
      </c>
      <c r="X1608" s="122">
        <f t="shared" si="51"/>
        <v>1360</v>
      </c>
    </row>
    <row r="1609" spans="2:24">
      <c r="B1609" t="s">
        <v>470</v>
      </c>
      <c r="C1609" t="s">
        <v>62</v>
      </c>
      <c r="D1609" t="s">
        <v>425</v>
      </c>
      <c r="E1609" t="s">
        <v>425</v>
      </c>
      <c r="F1609">
        <v>1</v>
      </c>
      <c r="G1609">
        <v>115</v>
      </c>
      <c r="H1609">
        <v>433</v>
      </c>
      <c r="I1609" s="122">
        <v>30803</v>
      </c>
      <c r="J1609" s="122">
        <v>28003</v>
      </c>
      <c r="K1609">
        <v>65</v>
      </c>
      <c r="L1609" s="122">
        <v>7050</v>
      </c>
      <c r="M1609" s="122">
        <v>6409</v>
      </c>
      <c r="N1609" s="122">
        <v>2652</v>
      </c>
      <c r="O1609">
        <v>982</v>
      </c>
      <c r="P1609">
        <v>473</v>
      </c>
      <c r="Q1609">
        <v>175</v>
      </c>
      <c r="R1609" s="122">
        <v>5548</v>
      </c>
      <c r="S1609" s="122">
        <v>5044</v>
      </c>
      <c r="T1609" s="122">
        <v>3055</v>
      </c>
      <c r="U1609" s="122">
        <v>1131</v>
      </c>
      <c r="V1609" s="122">
        <v>41744</v>
      </c>
      <c r="W1609" s="122">
        <f t="shared" si="50"/>
        <v>41744</v>
      </c>
      <c r="X1609" s="122">
        <f t="shared" si="51"/>
        <v>49581</v>
      </c>
    </row>
    <row r="1610" spans="2:24">
      <c r="B1610" t="s">
        <v>470</v>
      </c>
      <c r="C1610" t="s">
        <v>62</v>
      </c>
      <c r="D1610" t="s">
        <v>137</v>
      </c>
      <c r="E1610" t="s">
        <v>137</v>
      </c>
      <c r="F1610">
        <v>19</v>
      </c>
      <c r="G1610">
        <v>914</v>
      </c>
      <c r="H1610" s="122">
        <v>7756</v>
      </c>
      <c r="I1610" s="122">
        <v>238825</v>
      </c>
      <c r="J1610" s="122">
        <v>88454</v>
      </c>
      <c r="K1610">
        <v>100</v>
      </c>
      <c r="L1610" s="122">
        <v>12429</v>
      </c>
      <c r="M1610" s="122">
        <v>4603</v>
      </c>
      <c r="N1610" s="122">
        <v>17733</v>
      </c>
      <c r="O1610" s="122">
        <v>6568</v>
      </c>
      <c r="P1610">
        <v>0</v>
      </c>
      <c r="Q1610">
        <v>0</v>
      </c>
      <c r="R1610" s="122">
        <v>104055</v>
      </c>
      <c r="S1610" s="122">
        <v>38539</v>
      </c>
      <c r="T1610">
        <v>0</v>
      </c>
      <c r="U1610">
        <v>0</v>
      </c>
      <c r="V1610" s="122">
        <v>138164</v>
      </c>
      <c r="W1610" s="122">
        <f t="shared" si="50"/>
        <v>138164</v>
      </c>
      <c r="X1610" s="122">
        <f t="shared" si="51"/>
        <v>373042</v>
      </c>
    </row>
    <row r="1611" spans="2:24">
      <c r="B1611" t="s">
        <v>470</v>
      </c>
      <c r="C1611" t="s">
        <v>62</v>
      </c>
      <c r="D1611" t="s">
        <v>406</v>
      </c>
      <c r="E1611" t="s">
        <v>406</v>
      </c>
      <c r="F1611">
        <v>2</v>
      </c>
      <c r="G1611">
        <v>228</v>
      </c>
      <c r="H1611">
        <v>879</v>
      </c>
      <c r="I1611" s="122">
        <v>62840</v>
      </c>
      <c r="J1611" s="122">
        <v>57127</v>
      </c>
      <c r="K1611">
        <v>77</v>
      </c>
      <c r="L1611" s="122">
        <v>18536</v>
      </c>
      <c r="M1611" s="122">
        <v>16851</v>
      </c>
      <c r="N1611" s="122">
        <v>4753</v>
      </c>
      <c r="O1611" s="122">
        <v>1760</v>
      </c>
      <c r="P1611" s="122">
        <v>1242</v>
      </c>
      <c r="Q1611">
        <v>460</v>
      </c>
      <c r="R1611" s="122">
        <v>10697</v>
      </c>
      <c r="S1611" s="122">
        <v>9725</v>
      </c>
      <c r="T1611" s="122">
        <v>2235</v>
      </c>
      <c r="U1611">
        <v>828</v>
      </c>
      <c r="V1611" s="122">
        <v>86750</v>
      </c>
      <c r="W1611" s="122">
        <f t="shared" si="50"/>
        <v>86751</v>
      </c>
      <c r="X1611" s="122">
        <f t="shared" si="51"/>
        <v>100303</v>
      </c>
    </row>
    <row r="1612" spans="2:24">
      <c r="B1612" t="s">
        <v>470</v>
      </c>
      <c r="C1612" t="s">
        <v>62</v>
      </c>
      <c r="D1612" t="s">
        <v>427</v>
      </c>
      <c r="E1612" t="s">
        <v>427</v>
      </c>
      <c r="F1612">
        <v>1</v>
      </c>
      <c r="G1612">
        <v>109</v>
      </c>
      <c r="H1612">
        <v>390</v>
      </c>
      <c r="I1612" s="122">
        <v>24770</v>
      </c>
      <c r="J1612" s="122">
        <v>22519</v>
      </c>
      <c r="K1612">
        <v>65</v>
      </c>
      <c r="L1612" s="122">
        <v>5963</v>
      </c>
      <c r="M1612" s="122">
        <v>5421</v>
      </c>
      <c r="N1612" s="122">
        <v>2600</v>
      </c>
      <c r="O1612">
        <v>963</v>
      </c>
      <c r="P1612">
        <v>351</v>
      </c>
      <c r="Q1612">
        <v>130</v>
      </c>
      <c r="R1612" s="122">
        <v>5522</v>
      </c>
      <c r="S1612" s="122">
        <v>5020</v>
      </c>
      <c r="T1612" s="122">
        <v>3252</v>
      </c>
      <c r="U1612" s="122">
        <v>1204</v>
      </c>
      <c r="V1612" s="122">
        <v>35257</v>
      </c>
      <c r="W1612" s="122">
        <f t="shared" si="50"/>
        <v>35257</v>
      </c>
      <c r="X1612" s="122">
        <f t="shared" si="51"/>
        <v>42458</v>
      </c>
    </row>
    <row r="1613" spans="2:24">
      <c r="B1613" t="s">
        <v>470</v>
      </c>
      <c r="C1613" t="s">
        <v>62</v>
      </c>
      <c r="D1613" t="s">
        <v>426</v>
      </c>
      <c r="E1613" t="s">
        <v>426</v>
      </c>
      <c r="F1613">
        <v>1</v>
      </c>
      <c r="G1613">
        <v>37</v>
      </c>
      <c r="H1613">
        <v>446</v>
      </c>
      <c r="I1613" s="122">
        <v>8064</v>
      </c>
      <c r="J1613" s="122">
        <v>7331</v>
      </c>
      <c r="K1613">
        <v>65</v>
      </c>
      <c r="L1613" s="122">
        <v>1430</v>
      </c>
      <c r="M1613">
        <v>529</v>
      </c>
      <c r="N1613">
        <v>753</v>
      </c>
      <c r="O1613">
        <v>279</v>
      </c>
      <c r="P1613">
        <v>351</v>
      </c>
      <c r="Q1613">
        <v>130</v>
      </c>
      <c r="R1613" s="122">
        <v>3930</v>
      </c>
      <c r="S1613" s="122">
        <v>3573</v>
      </c>
      <c r="T1613" s="122">
        <v>2001</v>
      </c>
      <c r="U1613">
        <v>741</v>
      </c>
      <c r="V1613" s="122">
        <v>12584</v>
      </c>
      <c r="W1613" s="122">
        <f t="shared" si="50"/>
        <v>12583</v>
      </c>
      <c r="X1613" s="122">
        <f t="shared" si="51"/>
        <v>16529</v>
      </c>
    </row>
    <row r="1614" spans="2:24">
      <c r="B1614" t="s">
        <v>470</v>
      </c>
      <c r="C1614" t="s">
        <v>64</v>
      </c>
      <c r="D1614" t="s">
        <v>137</v>
      </c>
      <c r="E1614" t="s">
        <v>137</v>
      </c>
      <c r="F1614">
        <v>29</v>
      </c>
      <c r="G1614" s="122">
        <v>1372</v>
      </c>
      <c r="H1614" s="122">
        <v>17965</v>
      </c>
      <c r="I1614" s="122">
        <v>589381</v>
      </c>
      <c r="J1614" s="122">
        <v>218289</v>
      </c>
      <c r="K1614">
        <v>100</v>
      </c>
      <c r="L1614" s="122">
        <v>80972</v>
      </c>
      <c r="M1614" s="122">
        <v>44026</v>
      </c>
      <c r="N1614" s="122">
        <v>30310</v>
      </c>
      <c r="O1614" s="122">
        <v>11226</v>
      </c>
      <c r="P1614">
        <v>0</v>
      </c>
      <c r="Q1614">
        <v>0</v>
      </c>
      <c r="R1614" s="122">
        <v>131852</v>
      </c>
      <c r="S1614" s="122">
        <v>48834</v>
      </c>
      <c r="T1614">
        <v>0</v>
      </c>
      <c r="U1614">
        <v>0</v>
      </c>
      <c r="V1614" s="122">
        <v>322376</v>
      </c>
      <c r="W1614" s="122">
        <f t="shared" si="50"/>
        <v>322375</v>
      </c>
      <c r="X1614" s="122">
        <f t="shared" si="51"/>
        <v>832515</v>
      </c>
    </row>
    <row r="1615" spans="2:24">
      <c r="B1615" t="s">
        <v>470</v>
      </c>
      <c r="C1615" t="s">
        <v>64</v>
      </c>
      <c r="D1615" t="s">
        <v>406</v>
      </c>
      <c r="E1615" t="s">
        <v>406</v>
      </c>
      <c r="F1615">
        <v>3</v>
      </c>
      <c r="G1615">
        <v>262</v>
      </c>
      <c r="H1615" s="122">
        <v>1779</v>
      </c>
      <c r="I1615" s="122">
        <v>101558</v>
      </c>
      <c r="J1615" s="122">
        <v>92325</v>
      </c>
      <c r="K1615">
        <v>63</v>
      </c>
      <c r="L1615" s="122">
        <v>22481</v>
      </c>
      <c r="M1615" s="122">
        <v>20437</v>
      </c>
      <c r="N1615" s="122">
        <v>5867</v>
      </c>
      <c r="O1615" s="122">
        <v>2173</v>
      </c>
      <c r="P1615" s="122">
        <v>1863</v>
      </c>
      <c r="Q1615">
        <v>690</v>
      </c>
      <c r="R1615" s="122">
        <v>16814</v>
      </c>
      <c r="S1615" s="122">
        <v>15286</v>
      </c>
      <c r="T1615" s="122">
        <v>4347</v>
      </c>
      <c r="U1615" s="122">
        <v>1610</v>
      </c>
      <c r="V1615" s="122">
        <v>132522</v>
      </c>
      <c r="W1615" s="122">
        <f t="shared" si="50"/>
        <v>132521</v>
      </c>
      <c r="X1615" s="122">
        <f t="shared" si="51"/>
        <v>152930</v>
      </c>
    </row>
    <row r="1616" spans="2:24">
      <c r="B1616" t="s">
        <v>470</v>
      </c>
      <c r="C1616" t="s">
        <v>64</v>
      </c>
      <c r="D1616" t="s">
        <v>426</v>
      </c>
      <c r="E1616" t="s">
        <v>426</v>
      </c>
      <c r="F1616">
        <v>2</v>
      </c>
      <c r="G1616">
        <v>95</v>
      </c>
      <c r="H1616" s="122">
        <v>1328</v>
      </c>
      <c r="I1616" s="122">
        <v>37083</v>
      </c>
      <c r="J1616" s="122">
        <v>33711</v>
      </c>
      <c r="K1616">
        <v>60</v>
      </c>
      <c r="L1616" s="122">
        <v>9374</v>
      </c>
      <c r="M1616" s="122">
        <v>3472</v>
      </c>
      <c r="N1616" s="122">
        <v>2050</v>
      </c>
      <c r="O1616">
        <v>759</v>
      </c>
      <c r="P1616">
        <v>702</v>
      </c>
      <c r="Q1616">
        <v>260</v>
      </c>
      <c r="R1616" s="122">
        <v>9277</v>
      </c>
      <c r="S1616" s="122">
        <v>8434</v>
      </c>
      <c r="T1616" s="122">
        <v>4264</v>
      </c>
      <c r="U1616" s="122">
        <v>1579</v>
      </c>
      <c r="V1616" s="122">
        <v>48216</v>
      </c>
      <c r="W1616" s="122">
        <f t="shared" si="50"/>
        <v>48215</v>
      </c>
      <c r="X1616" s="122">
        <f t="shared" si="51"/>
        <v>62750</v>
      </c>
    </row>
    <row r="1617" spans="2:24">
      <c r="B1617" t="s">
        <v>471</v>
      </c>
      <c r="C1617" t="s">
        <v>48</v>
      </c>
      <c r="F1617">
        <v>12</v>
      </c>
      <c r="G1617">
        <v>859</v>
      </c>
      <c r="H1617">
        <v>825</v>
      </c>
      <c r="J1617">
        <v>0</v>
      </c>
      <c r="M1617">
        <v>0</v>
      </c>
      <c r="N1617" s="122">
        <v>11229</v>
      </c>
      <c r="O1617" s="122">
        <v>4159</v>
      </c>
      <c r="P1617" s="122">
        <v>5891</v>
      </c>
      <c r="Q1617" s="122">
        <v>2182</v>
      </c>
      <c r="S1617">
        <v>0</v>
      </c>
      <c r="T1617" s="122">
        <v>19495</v>
      </c>
      <c r="U1617" s="122">
        <v>7220</v>
      </c>
      <c r="V1617" s="122">
        <v>13561</v>
      </c>
      <c r="W1617" s="122">
        <f t="shared" si="50"/>
        <v>13561</v>
      </c>
      <c r="X1617" s="122">
        <f t="shared" si="51"/>
        <v>36615</v>
      </c>
    </row>
    <row r="1618" spans="2:24">
      <c r="B1618" t="s">
        <v>471</v>
      </c>
      <c r="C1618" t="s">
        <v>48</v>
      </c>
      <c r="D1618" t="s">
        <v>137</v>
      </c>
      <c r="E1618" t="s">
        <v>137</v>
      </c>
      <c r="F1618">
        <v>10</v>
      </c>
      <c r="G1618">
        <v>893</v>
      </c>
      <c r="H1618">
        <v>462</v>
      </c>
      <c r="I1618" s="122">
        <v>-4223</v>
      </c>
      <c r="J1618" s="122">
        <v>-1564</v>
      </c>
      <c r="K1618">
        <v>531</v>
      </c>
      <c r="L1618" s="122">
        <v>1286</v>
      </c>
      <c r="M1618" s="122">
        <v>1169</v>
      </c>
      <c r="N1618" s="122">
        <v>13000</v>
      </c>
      <c r="O1618" s="122">
        <v>4815</v>
      </c>
      <c r="P1618" s="122">
        <v>8971</v>
      </c>
      <c r="Q1618" s="122">
        <v>3323</v>
      </c>
      <c r="R1618" s="122">
        <v>25549</v>
      </c>
      <c r="S1618" s="122">
        <v>9463</v>
      </c>
      <c r="T1618">
        <v>0</v>
      </c>
      <c r="U1618">
        <v>0</v>
      </c>
      <c r="V1618" s="122">
        <v>17205</v>
      </c>
      <c r="W1618" s="122">
        <f t="shared" si="50"/>
        <v>20334</v>
      </c>
      <c r="X1618" s="122">
        <f t="shared" si="51"/>
        <v>53029</v>
      </c>
    </row>
    <row r="1619" spans="2:24">
      <c r="B1619" t="s">
        <v>471</v>
      </c>
      <c r="C1619" t="s">
        <v>48</v>
      </c>
      <c r="D1619" t="s">
        <v>407</v>
      </c>
      <c r="E1619" t="s">
        <v>407</v>
      </c>
      <c r="F1619">
        <v>45</v>
      </c>
      <c r="G1619" s="122">
        <v>3368</v>
      </c>
      <c r="H1619" s="122">
        <v>2612</v>
      </c>
      <c r="I1619" s="122">
        <v>7786</v>
      </c>
      <c r="J1619" s="122">
        <v>7078</v>
      </c>
      <c r="K1619">
        <v>92</v>
      </c>
      <c r="L1619">
        <v>0</v>
      </c>
      <c r="M1619">
        <v>0</v>
      </c>
      <c r="N1619" s="122">
        <v>62378</v>
      </c>
      <c r="O1619" s="122">
        <v>23103</v>
      </c>
      <c r="P1619" s="122">
        <v>21263</v>
      </c>
      <c r="Q1619" s="122">
        <v>7875</v>
      </c>
      <c r="R1619" s="122">
        <v>104111</v>
      </c>
      <c r="S1619" s="122">
        <v>94646</v>
      </c>
      <c r="T1619">
        <v>0</v>
      </c>
      <c r="U1619">
        <v>0</v>
      </c>
      <c r="V1619" s="122">
        <v>132702</v>
      </c>
      <c r="W1619" s="122">
        <f t="shared" si="50"/>
        <v>132702</v>
      </c>
      <c r="X1619" s="122">
        <f t="shared" si="51"/>
        <v>195538</v>
      </c>
    </row>
    <row r="1620" spans="2:24">
      <c r="B1620" t="s">
        <v>471</v>
      </c>
      <c r="C1620" t="s">
        <v>50</v>
      </c>
      <c r="F1620">
        <v>6</v>
      </c>
      <c r="G1620">
        <v>416</v>
      </c>
      <c r="H1620">
        <v>508</v>
      </c>
      <c r="J1620">
        <v>0</v>
      </c>
      <c r="M1620">
        <v>0</v>
      </c>
      <c r="N1620" s="122">
        <v>5072</v>
      </c>
      <c r="O1620" s="122">
        <v>1878</v>
      </c>
      <c r="P1620" s="122">
        <v>3936</v>
      </c>
      <c r="Q1620" s="122">
        <v>1458</v>
      </c>
      <c r="S1620">
        <v>0</v>
      </c>
      <c r="T1620" s="122">
        <v>11586</v>
      </c>
      <c r="U1620" s="122">
        <v>4291</v>
      </c>
      <c r="V1620" s="122">
        <v>7627</v>
      </c>
      <c r="W1620" s="122">
        <f t="shared" si="50"/>
        <v>7627</v>
      </c>
      <c r="X1620" s="122">
        <f t="shared" si="51"/>
        <v>20594</v>
      </c>
    </row>
    <row r="1621" spans="2:24">
      <c r="B1621" t="s">
        <v>471</v>
      </c>
      <c r="C1621" t="s">
        <v>50</v>
      </c>
      <c r="D1621" t="s">
        <v>407</v>
      </c>
      <c r="E1621" t="s">
        <v>407</v>
      </c>
      <c r="F1621">
        <v>33</v>
      </c>
      <c r="G1621" s="122">
        <v>2725</v>
      </c>
      <c r="H1621" s="122">
        <v>3009</v>
      </c>
      <c r="I1621" s="122">
        <v>94579</v>
      </c>
      <c r="J1621" s="122">
        <v>85981</v>
      </c>
      <c r="K1621">
        <v>89</v>
      </c>
      <c r="L1621" s="122">
        <v>1765</v>
      </c>
      <c r="M1621" s="122">
        <v>1605</v>
      </c>
      <c r="N1621" s="122">
        <v>45742</v>
      </c>
      <c r="O1621" s="122">
        <v>16942</v>
      </c>
      <c r="P1621" s="122">
        <v>15593</v>
      </c>
      <c r="Q1621" s="122">
        <v>5775</v>
      </c>
      <c r="R1621" s="122">
        <v>91421</v>
      </c>
      <c r="S1621" s="122">
        <v>83110</v>
      </c>
      <c r="T1621">
        <v>0</v>
      </c>
      <c r="U1621">
        <v>0</v>
      </c>
      <c r="V1621" s="122">
        <v>193412</v>
      </c>
      <c r="W1621" s="122">
        <f t="shared" si="50"/>
        <v>193413</v>
      </c>
      <c r="X1621" s="122">
        <f t="shared" si="51"/>
        <v>249100</v>
      </c>
    </row>
    <row r="1622" spans="2:24">
      <c r="B1622" t="s">
        <v>471</v>
      </c>
      <c r="C1622" t="s">
        <v>52</v>
      </c>
      <c r="D1622" t="s">
        <v>405</v>
      </c>
      <c r="E1622" t="s">
        <v>405</v>
      </c>
      <c r="F1622">
        <v>1</v>
      </c>
      <c r="G1622">
        <v>50</v>
      </c>
      <c r="H1622">
        <v>105</v>
      </c>
      <c r="I1622" s="122">
        <v>5558</v>
      </c>
      <c r="J1622" s="122">
        <v>5053</v>
      </c>
      <c r="K1622">
        <v>92</v>
      </c>
      <c r="L1622">
        <v>0</v>
      </c>
      <c r="M1622">
        <v>0</v>
      </c>
      <c r="N1622" s="122">
        <v>1151</v>
      </c>
      <c r="O1622">
        <v>426</v>
      </c>
      <c r="P1622">
        <v>473</v>
      </c>
      <c r="Q1622">
        <v>175</v>
      </c>
      <c r="R1622" s="122">
        <v>2707</v>
      </c>
      <c r="S1622" s="122">
        <v>2461</v>
      </c>
      <c r="T1622">
        <v>0</v>
      </c>
      <c r="U1622">
        <v>0</v>
      </c>
      <c r="V1622" s="122">
        <v>8115</v>
      </c>
      <c r="W1622" s="122">
        <f t="shared" si="50"/>
        <v>8115</v>
      </c>
      <c r="X1622" s="122">
        <f t="shared" si="51"/>
        <v>9889</v>
      </c>
    </row>
    <row r="1623" spans="2:24">
      <c r="B1623" t="s">
        <v>471</v>
      </c>
      <c r="C1623" t="s">
        <v>52</v>
      </c>
      <c r="D1623" t="s">
        <v>137</v>
      </c>
      <c r="E1623" t="s">
        <v>137</v>
      </c>
      <c r="F1623">
        <v>3</v>
      </c>
      <c r="G1623">
        <v>217</v>
      </c>
      <c r="H1623">
        <v>354</v>
      </c>
      <c r="I1623" s="122">
        <v>8358</v>
      </c>
      <c r="J1623" s="122">
        <v>3095</v>
      </c>
      <c r="K1623">
        <v>250</v>
      </c>
      <c r="L1623">
        <v>0</v>
      </c>
      <c r="M1623">
        <v>0</v>
      </c>
      <c r="N1623" s="122">
        <v>3958</v>
      </c>
      <c r="O1623" s="122">
        <v>1466</v>
      </c>
      <c r="P1623" s="122">
        <v>1053</v>
      </c>
      <c r="Q1623">
        <v>390</v>
      </c>
      <c r="R1623" s="122">
        <v>12130</v>
      </c>
      <c r="S1623" s="122">
        <v>4493</v>
      </c>
      <c r="T1623">
        <v>0</v>
      </c>
      <c r="U1623">
        <v>0</v>
      </c>
      <c r="V1623" s="122">
        <v>9444</v>
      </c>
      <c r="W1623" s="122">
        <f t="shared" si="50"/>
        <v>9444</v>
      </c>
      <c r="X1623" s="122">
        <f t="shared" si="51"/>
        <v>25499</v>
      </c>
    </row>
    <row r="1624" spans="2:24">
      <c r="B1624" t="s">
        <v>471</v>
      </c>
      <c r="C1624" t="s">
        <v>52</v>
      </c>
      <c r="D1624" t="s">
        <v>406</v>
      </c>
      <c r="E1624" t="s">
        <v>406</v>
      </c>
      <c r="F1624">
        <v>2</v>
      </c>
      <c r="G1624">
        <v>550</v>
      </c>
      <c r="H1624">
        <v>236</v>
      </c>
      <c r="I1624" s="122">
        <v>38030</v>
      </c>
      <c r="J1624" s="122">
        <v>34573</v>
      </c>
      <c r="K1624">
        <v>92</v>
      </c>
      <c r="L1624" s="122">
        <v>7064</v>
      </c>
      <c r="M1624" s="122">
        <v>6422</v>
      </c>
      <c r="N1624" s="122">
        <v>7222</v>
      </c>
      <c r="O1624" s="122">
        <v>2675</v>
      </c>
      <c r="P1624" s="122">
        <v>1242</v>
      </c>
      <c r="Q1624">
        <v>460</v>
      </c>
      <c r="R1624" s="122">
        <v>11122</v>
      </c>
      <c r="S1624" s="122">
        <v>10111</v>
      </c>
      <c r="T1624">
        <v>0</v>
      </c>
      <c r="U1624">
        <v>0</v>
      </c>
      <c r="V1624" s="122">
        <v>54240</v>
      </c>
      <c r="W1624" s="122">
        <f t="shared" si="50"/>
        <v>54241</v>
      </c>
      <c r="X1624" s="122">
        <f t="shared" si="51"/>
        <v>64680</v>
      </c>
    </row>
    <row r="1625" spans="2:24">
      <c r="B1625" t="s">
        <v>471</v>
      </c>
      <c r="C1625" t="s">
        <v>52</v>
      </c>
      <c r="D1625" t="s">
        <v>407</v>
      </c>
      <c r="E1625" t="s">
        <v>137</v>
      </c>
      <c r="F1625">
        <v>1</v>
      </c>
      <c r="G1625">
        <v>67</v>
      </c>
      <c r="H1625">
        <v>102</v>
      </c>
      <c r="I1625" s="122">
        <v>2793</v>
      </c>
      <c r="J1625" s="122">
        <v>2539</v>
      </c>
      <c r="K1625">
        <v>91</v>
      </c>
      <c r="L1625">
        <v>313</v>
      </c>
      <c r="M1625">
        <v>284</v>
      </c>
      <c r="N1625">
        <v>817</v>
      </c>
      <c r="O1625">
        <v>303</v>
      </c>
      <c r="P1625">
        <v>473</v>
      </c>
      <c r="Q1625">
        <v>175</v>
      </c>
      <c r="R1625" s="122">
        <v>2456</v>
      </c>
      <c r="S1625">
        <v>910</v>
      </c>
      <c r="T1625">
        <v>0</v>
      </c>
      <c r="U1625">
        <v>0</v>
      </c>
      <c r="V1625" s="122">
        <v>4211</v>
      </c>
      <c r="W1625" s="122">
        <f t="shared" si="50"/>
        <v>4211</v>
      </c>
      <c r="X1625" s="122">
        <f t="shared" si="51"/>
        <v>6852</v>
      </c>
    </row>
    <row r="1626" spans="2:24">
      <c r="B1626" t="s">
        <v>471</v>
      </c>
      <c r="C1626" t="s">
        <v>52</v>
      </c>
      <c r="D1626" t="s">
        <v>407</v>
      </c>
      <c r="E1626" t="s">
        <v>407</v>
      </c>
      <c r="F1626">
        <v>153</v>
      </c>
      <c r="G1626" s="122">
        <v>12847</v>
      </c>
      <c r="H1626" s="122">
        <v>17659</v>
      </c>
      <c r="I1626" s="122">
        <v>597249</v>
      </c>
      <c r="J1626" s="122">
        <v>542954</v>
      </c>
      <c r="K1626">
        <v>87</v>
      </c>
      <c r="L1626" s="122">
        <v>46549</v>
      </c>
      <c r="M1626" s="122">
        <v>36268</v>
      </c>
      <c r="N1626" s="122">
        <v>235205</v>
      </c>
      <c r="O1626" s="122">
        <v>87113</v>
      </c>
      <c r="P1626" s="122">
        <v>73594</v>
      </c>
      <c r="Q1626" s="122">
        <v>27257</v>
      </c>
      <c r="R1626" s="122">
        <v>533561</v>
      </c>
      <c r="S1626" s="122">
        <v>485055</v>
      </c>
      <c r="T1626" s="122">
        <v>6908</v>
      </c>
      <c r="U1626" s="122">
        <v>2558</v>
      </c>
      <c r="V1626" s="122">
        <v>1181205</v>
      </c>
      <c r="W1626" s="122">
        <f t="shared" si="50"/>
        <v>1181205</v>
      </c>
      <c r="X1626" s="122">
        <f t="shared" si="51"/>
        <v>1493066</v>
      </c>
    </row>
    <row r="1627" spans="2:24">
      <c r="B1627" t="s">
        <v>471</v>
      </c>
      <c r="C1627" t="s">
        <v>54</v>
      </c>
      <c r="D1627" t="s">
        <v>405</v>
      </c>
      <c r="E1627" t="s">
        <v>405</v>
      </c>
      <c r="F1627">
        <v>4</v>
      </c>
      <c r="G1627">
        <v>421</v>
      </c>
      <c r="H1627">
        <v>565</v>
      </c>
      <c r="I1627" s="122">
        <v>26967</v>
      </c>
      <c r="J1627" s="122">
        <v>24515</v>
      </c>
      <c r="K1627">
        <v>85</v>
      </c>
      <c r="L1627" s="122">
        <v>8396</v>
      </c>
      <c r="M1627" s="122">
        <v>7633</v>
      </c>
      <c r="N1627" s="122">
        <v>9975</v>
      </c>
      <c r="O1627" s="122">
        <v>3694</v>
      </c>
      <c r="P1627" s="122">
        <v>1890</v>
      </c>
      <c r="Q1627">
        <v>700</v>
      </c>
      <c r="R1627" s="122">
        <v>12558</v>
      </c>
      <c r="S1627" s="122">
        <v>11417</v>
      </c>
      <c r="T1627">
        <v>0</v>
      </c>
      <c r="U1627">
        <v>0</v>
      </c>
      <c r="V1627" s="122">
        <v>47959</v>
      </c>
      <c r="W1627" s="122">
        <f t="shared" si="50"/>
        <v>47959</v>
      </c>
      <c r="X1627" s="122">
        <f t="shared" si="51"/>
        <v>59786</v>
      </c>
    </row>
    <row r="1628" spans="2:24">
      <c r="B1628" t="s">
        <v>471</v>
      </c>
      <c r="C1628" t="s">
        <v>54</v>
      </c>
      <c r="D1628" t="s">
        <v>137</v>
      </c>
      <c r="E1628" t="s">
        <v>137</v>
      </c>
      <c r="F1628">
        <v>5</v>
      </c>
      <c r="G1628">
        <v>495</v>
      </c>
      <c r="H1628">
        <v>716</v>
      </c>
      <c r="I1628" s="122">
        <v>22447</v>
      </c>
      <c r="J1628" s="122">
        <v>8314</v>
      </c>
      <c r="K1628">
        <v>130</v>
      </c>
      <c r="L1628" s="122">
        <v>1987</v>
      </c>
      <c r="M1628">
        <v>736</v>
      </c>
      <c r="N1628" s="122">
        <v>11017</v>
      </c>
      <c r="O1628" s="122">
        <v>4081</v>
      </c>
      <c r="P1628" s="122">
        <v>2737</v>
      </c>
      <c r="Q1628" s="122">
        <v>1014</v>
      </c>
      <c r="R1628" s="122">
        <v>33214</v>
      </c>
      <c r="S1628" s="122">
        <v>12301</v>
      </c>
      <c r="T1628">
        <v>0</v>
      </c>
      <c r="U1628">
        <v>0</v>
      </c>
      <c r="V1628" s="122">
        <v>26445</v>
      </c>
      <c r="W1628" s="122">
        <f t="shared" si="50"/>
        <v>26446</v>
      </c>
      <c r="X1628" s="122">
        <f t="shared" si="51"/>
        <v>71402</v>
      </c>
    </row>
    <row r="1629" spans="2:24">
      <c r="B1629" t="s">
        <v>471</v>
      </c>
      <c r="C1629" t="s">
        <v>54</v>
      </c>
      <c r="D1629" t="s">
        <v>406</v>
      </c>
      <c r="E1629" t="s">
        <v>406</v>
      </c>
      <c r="F1629">
        <v>10</v>
      </c>
      <c r="G1629" s="122">
        <v>1287</v>
      </c>
      <c r="H1629" s="122">
        <v>1421</v>
      </c>
      <c r="I1629" s="122">
        <v>95521</v>
      </c>
      <c r="J1629" s="122">
        <v>86837</v>
      </c>
      <c r="K1629">
        <v>89</v>
      </c>
      <c r="L1629" s="122">
        <v>15328</v>
      </c>
      <c r="M1629" s="122">
        <v>13785</v>
      </c>
      <c r="N1629" s="122">
        <v>18159</v>
      </c>
      <c r="O1629" s="122">
        <v>6726</v>
      </c>
      <c r="P1629" s="122">
        <v>6210</v>
      </c>
      <c r="Q1629" s="122">
        <v>2300</v>
      </c>
      <c r="R1629" s="122">
        <v>46355</v>
      </c>
      <c r="S1629" s="122">
        <v>42141</v>
      </c>
      <c r="T1629">
        <v>0</v>
      </c>
      <c r="U1629">
        <v>0</v>
      </c>
      <c r="V1629" s="122">
        <v>151789</v>
      </c>
      <c r="W1629" s="122">
        <f t="shared" si="50"/>
        <v>151789</v>
      </c>
      <c r="X1629" s="122">
        <f t="shared" si="51"/>
        <v>181573</v>
      </c>
    </row>
    <row r="1630" spans="2:24">
      <c r="B1630" t="s">
        <v>471</v>
      </c>
      <c r="C1630" t="s">
        <v>54</v>
      </c>
      <c r="D1630" t="s">
        <v>407</v>
      </c>
      <c r="E1630" t="s">
        <v>407</v>
      </c>
      <c r="F1630">
        <v>249</v>
      </c>
      <c r="G1630" s="122">
        <v>20229</v>
      </c>
      <c r="H1630" s="122">
        <v>34364</v>
      </c>
      <c r="I1630" s="122">
        <v>1211959</v>
      </c>
      <c r="J1630" s="122">
        <v>1101781</v>
      </c>
      <c r="K1630">
        <v>84</v>
      </c>
      <c r="L1630" s="122">
        <v>146069</v>
      </c>
      <c r="M1630" s="122">
        <v>105018</v>
      </c>
      <c r="N1630" s="122">
        <v>381569</v>
      </c>
      <c r="O1630" s="122">
        <v>141322</v>
      </c>
      <c r="P1630" s="122">
        <v>121472</v>
      </c>
      <c r="Q1630" s="122">
        <v>44990</v>
      </c>
      <c r="R1630" s="122">
        <v>905227</v>
      </c>
      <c r="S1630" s="122">
        <v>822934</v>
      </c>
      <c r="T1630" s="122">
        <v>35028</v>
      </c>
      <c r="U1630" s="122">
        <v>12973</v>
      </c>
      <c r="V1630" s="122">
        <v>2229018</v>
      </c>
      <c r="W1630" s="122">
        <f t="shared" si="50"/>
        <v>2229018</v>
      </c>
      <c r="X1630" s="122">
        <f t="shared" si="51"/>
        <v>2801324</v>
      </c>
    </row>
    <row r="1631" spans="2:24">
      <c r="B1631" t="s">
        <v>471</v>
      </c>
      <c r="C1631" t="s">
        <v>56</v>
      </c>
      <c r="F1631">
        <v>4</v>
      </c>
      <c r="G1631">
        <v>210</v>
      </c>
      <c r="H1631">
        <v>798</v>
      </c>
      <c r="J1631">
        <v>0</v>
      </c>
      <c r="M1631">
        <v>0</v>
      </c>
      <c r="N1631" s="122">
        <v>4024</v>
      </c>
      <c r="O1631" s="122">
        <v>1490</v>
      </c>
      <c r="P1631" s="122">
        <v>1013</v>
      </c>
      <c r="Q1631">
        <v>375</v>
      </c>
      <c r="S1631">
        <v>0</v>
      </c>
      <c r="T1631">
        <v>0</v>
      </c>
      <c r="U1631">
        <v>0</v>
      </c>
      <c r="V1631" s="122">
        <v>1865</v>
      </c>
      <c r="W1631" s="122">
        <f t="shared" si="50"/>
        <v>1865</v>
      </c>
      <c r="X1631" s="122">
        <f t="shared" si="51"/>
        <v>5037</v>
      </c>
    </row>
    <row r="1632" spans="2:24">
      <c r="B1632" t="s">
        <v>471</v>
      </c>
      <c r="C1632" t="s">
        <v>56</v>
      </c>
      <c r="D1632" t="s">
        <v>405</v>
      </c>
      <c r="E1632" t="s">
        <v>405</v>
      </c>
      <c r="F1632">
        <v>33</v>
      </c>
      <c r="G1632" s="122">
        <v>2357</v>
      </c>
      <c r="H1632" s="122">
        <v>6203</v>
      </c>
      <c r="I1632" s="122">
        <v>234398</v>
      </c>
      <c r="J1632" s="122">
        <v>213089</v>
      </c>
      <c r="K1632">
        <v>79</v>
      </c>
      <c r="L1632" s="122">
        <v>37482</v>
      </c>
      <c r="M1632" s="122">
        <v>29778</v>
      </c>
      <c r="N1632" s="122">
        <v>53831</v>
      </c>
      <c r="O1632" s="122">
        <v>19937</v>
      </c>
      <c r="P1632" s="122">
        <v>12758</v>
      </c>
      <c r="Q1632" s="122">
        <v>4725</v>
      </c>
      <c r="R1632" s="122">
        <v>89069</v>
      </c>
      <c r="S1632" s="122">
        <v>80972</v>
      </c>
      <c r="T1632" s="122">
        <v>2566</v>
      </c>
      <c r="U1632">
        <v>950</v>
      </c>
      <c r="V1632" s="122">
        <v>349452</v>
      </c>
      <c r="W1632" s="122">
        <f t="shared" si="50"/>
        <v>349451</v>
      </c>
      <c r="X1632" s="122">
        <f t="shared" si="51"/>
        <v>430104</v>
      </c>
    </row>
    <row r="1633" spans="2:24">
      <c r="B1633" t="s">
        <v>471</v>
      </c>
      <c r="C1633" t="s">
        <v>56</v>
      </c>
      <c r="D1633" t="s">
        <v>137</v>
      </c>
      <c r="E1633" t="s">
        <v>137</v>
      </c>
      <c r="F1633">
        <v>102</v>
      </c>
      <c r="G1633" s="122">
        <v>7916</v>
      </c>
      <c r="H1633" s="122">
        <v>19827</v>
      </c>
      <c r="I1633" s="122">
        <v>635084</v>
      </c>
      <c r="J1633" s="122">
        <v>235216</v>
      </c>
      <c r="K1633">
        <v>103</v>
      </c>
      <c r="L1633" s="122">
        <v>57083</v>
      </c>
      <c r="M1633" s="122">
        <v>21142</v>
      </c>
      <c r="N1633" s="122">
        <v>157285</v>
      </c>
      <c r="O1633" s="122">
        <v>58254</v>
      </c>
      <c r="P1633" s="122">
        <v>12612</v>
      </c>
      <c r="Q1633" s="122">
        <v>4671</v>
      </c>
      <c r="R1633" s="122">
        <v>666616</v>
      </c>
      <c r="S1633" s="122">
        <v>246895</v>
      </c>
      <c r="T1633">
        <v>0</v>
      </c>
      <c r="U1633">
        <v>0</v>
      </c>
      <c r="V1633" s="122">
        <v>566178</v>
      </c>
      <c r="W1633" s="122">
        <f t="shared" si="50"/>
        <v>566178</v>
      </c>
      <c r="X1633" s="122">
        <f t="shared" si="51"/>
        <v>1528680</v>
      </c>
    </row>
    <row r="1634" spans="2:24">
      <c r="B1634" t="s">
        <v>471</v>
      </c>
      <c r="C1634" t="s">
        <v>56</v>
      </c>
      <c r="D1634" t="s">
        <v>406</v>
      </c>
      <c r="E1634" t="s">
        <v>406</v>
      </c>
      <c r="F1634">
        <v>25</v>
      </c>
      <c r="G1634" s="122">
        <v>3937</v>
      </c>
      <c r="H1634" s="122">
        <v>4614</v>
      </c>
      <c r="I1634" s="122">
        <v>416430</v>
      </c>
      <c r="J1634" s="122">
        <v>378573</v>
      </c>
      <c r="K1634">
        <v>86</v>
      </c>
      <c r="L1634" s="122">
        <v>99615</v>
      </c>
      <c r="M1634" s="122">
        <v>87446</v>
      </c>
      <c r="N1634" s="122">
        <v>80418</v>
      </c>
      <c r="O1634" s="122">
        <v>29784</v>
      </c>
      <c r="P1634" s="122">
        <v>15525</v>
      </c>
      <c r="Q1634" s="122">
        <v>5750</v>
      </c>
      <c r="R1634" s="122">
        <v>120676</v>
      </c>
      <c r="S1634" s="122">
        <v>109705</v>
      </c>
      <c r="T1634" s="122">
        <v>26528</v>
      </c>
      <c r="U1634" s="122">
        <v>9825</v>
      </c>
      <c r="V1634" s="122">
        <v>621084</v>
      </c>
      <c r="W1634" s="122">
        <f t="shared" si="50"/>
        <v>621083</v>
      </c>
      <c r="X1634" s="122">
        <f t="shared" si="51"/>
        <v>759192</v>
      </c>
    </row>
    <row r="1635" spans="2:24">
      <c r="B1635" t="s">
        <v>471</v>
      </c>
      <c r="C1635" t="s">
        <v>56</v>
      </c>
      <c r="D1635" t="s">
        <v>407</v>
      </c>
      <c r="E1635" t="s">
        <v>137</v>
      </c>
      <c r="F1635">
        <v>2</v>
      </c>
      <c r="G1635">
        <v>167</v>
      </c>
      <c r="H1635">
        <v>416</v>
      </c>
      <c r="I1635" s="122">
        <v>8231</v>
      </c>
      <c r="J1635" s="122">
        <v>7483</v>
      </c>
      <c r="K1635">
        <v>73</v>
      </c>
      <c r="L1635" s="122">
        <v>1558</v>
      </c>
      <c r="M1635">
        <v>577</v>
      </c>
      <c r="N1635" s="122">
        <v>2776</v>
      </c>
      <c r="O1635" s="122">
        <v>1028</v>
      </c>
      <c r="P1635">
        <v>945</v>
      </c>
      <c r="Q1635">
        <v>350</v>
      </c>
      <c r="R1635" s="122">
        <v>21882</v>
      </c>
      <c r="S1635" s="122">
        <v>8104</v>
      </c>
      <c r="T1635">
        <v>0</v>
      </c>
      <c r="U1635">
        <v>0</v>
      </c>
      <c r="V1635" s="122">
        <v>17542</v>
      </c>
      <c r="W1635" s="122">
        <f t="shared" si="50"/>
        <v>17542</v>
      </c>
      <c r="X1635" s="122">
        <f t="shared" si="51"/>
        <v>35392</v>
      </c>
    </row>
    <row r="1636" spans="2:24">
      <c r="B1636" t="s">
        <v>471</v>
      </c>
      <c r="C1636" t="s">
        <v>56</v>
      </c>
      <c r="D1636" t="s">
        <v>407</v>
      </c>
      <c r="E1636" t="s">
        <v>407</v>
      </c>
      <c r="F1636">
        <v>715</v>
      </c>
      <c r="G1636" s="122">
        <v>54522</v>
      </c>
      <c r="H1636" s="122">
        <v>130634</v>
      </c>
      <c r="I1636" s="122">
        <v>4740204</v>
      </c>
      <c r="J1636" s="122">
        <v>4309277</v>
      </c>
      <c r="K1636">
        <v>81</v>
      </c>
      <c r="L1636" s="122">
        <v>645269</v>
      </c>
      <c r="M1636" s="122">
        <v>463354</v>
      </c>
      <c r="N1636" s="122">
        <v>1092747</v>
      </c>
      <c r="O1636" s="122">
        <v>404721</v>
      </c>
      <c r="P1636" s="122">
        <v>346503</v>
      </c>
      <c r="Q1636" s="122">
        <v>128335</v>
      </c>
      <c r="R1636" s="122">
        <v>2752156</v>
      </c>
      <c r="S1636" s="122">
        <v>2501960</v>
      </c>
      <c r="T1636" s="122">
        <v>343379</v>
      </c>
      <c r="U1636" s="122">
        <v>127177</v>
      </c>
      <c r="V1636" s="122">
        <v>7934824</v>
      </c>
      <c r="W1636" s="122">
        <f t="shared" si="50"/>
        <v>7934824</v>
      </c>
      <c r="X1636" s="122">
        <f t="shared" si="51"/>
        <v>9920258</v>
      </c>
    </row>
    <row r="1637" spans="2:24">
      <c r="B1637" t="s">
        <v>471</v>
      </c>
      <c r="C1637" t="s">
        <v>58</v>
      </c>
      <c r="F1637">
        <v>4</v>
      </c>
      <c r="G1637">
        <v>201</v>
      </c>
      <c r="H1637" s="122">
        <v>1123</v>
      </c>
      <c r="J1637">
        <v>0</v>
      </c>
      <c r="M1637">
        <v>0</v>
      </c>
      <c r="N1637" s="122">
        <v>3432</v>
      </c>
      <c r="O1637" s="122">
        <v>1271</v>
      </c>
      <c r="P1637" s="122">
        <v>1431</v>
      </c>
      <c r="Q1637">
        <v>530</v>
      </c>
      <c r="S1637">
        <v>0</v>
      </c>
      <c r="T1637" s="122">
        <v>1747</v>
      </c>
      <c r="U1637">
        <v>647</v>
      </c>
      <c r="V1637" s="122">
        <v>2448</v>
      </c>
      <c r="W1637" s="122">
        <f t="shared" si="50"/>
        <v>2448</v>
      </c>
      <c r="X1637" s="122">
        <f t="shared" si="51"/>
        <v>6610</v>
      </c>
    </row>
    <row r="1638" spans="2:24">
      <c r="B1638" t="s">
        <v>471</v>
      </c>
      <c r="C1638" t="s">
        <v>58</v>
      </c>
      <c r="D1638" t="s">
        <v>405</v>
      </c>
      <c r="E1638" t="s">
        <v>405</v>
      </c>
      <c r="F1638">
        <v>4</v>
      </c>
      <c r="G1638">
        <v>196</v>
      </c>
      <c r="H1638">
        <v>988</v>
      </c>
      <c r="I1638" s="122">
        <v>29088</v>
      </c>
      <c r="J1638" s="122">
        <v>26444</v>
      </c>
      <c r="K1638">
        <v>78</v>
      </c>
      <c r="L1638" s="122">
        <v>5010</v>
      </c>
      <c r="M1638" s="122">
        <v>2569</v>
      </c>
      <c r="N1638" s="122">
        <v>3853</v>
      </c>
      <c r="O1638" s="122">
        <v>1427</v>
      </c>
      <c r="P1638">
        <v>945</v>
      </c>
      <c r="Q1638">
        <v>350</v>
      </c>
      <c r="R1638" s="122">
        <v>9388</v>
      </c>
      <c r="S1638" s="122">
        <v>8535</v>
      </c>
      <c r="T1638">
        <v>0</v>
      </c>
      <c r="U1638">
        <v>0</v>
      </c>
      <c r="V1638" s="122">
        <v>39325</v>
      </c>
      <c r="W1638" s="122">
        <f t="shared" si="50"/>
        <v>39325</v>
      </c>
      <c r="X1638" s="122">
        <f t="shared" si="51"/>
        <v>48284</v>
      </c>
    </row>
    <row r="1639" spans="2:24">
      <c r="B1639" t="s">
        <v>471</v>
      </c>
      <c r="C1639" t="s">
        <v>58</v>
      </c>
      <c r="D1639" t="s">
        <v>137</v>
      </c>
      <c r="E1639" t="s">
        <v>137</v>
      </c>
      <c r="F1639">
        <v>198</v>
      </c>
      <c r="G1639" s="122">
        <v>12687</v>
      </c>
      <c r="H1639" s="122">
        <v>52138</v>
      </c>
      <c r="I1639" s="122">
        <v>1713101</v>
      </c>
      <c r="J1639" s="122">
        <v>634482</v>
      </c>
      <c r="K1639">
        <v>100</v>
      </c>
      <c r="L1639" s="122">
        <v>185273</v>
      </c>
      <c r="M1639" s="122">
        <v>82086</v>
      </c>
      <c r="N1639" s="122">
        <v>244608</v>
      </c>
      <c r="O1639" s="122">
        <v>90596</v>
      </c>
      <c r="P1639" s="122">
        <v>1053</v>
      </c>
      <c r="Q1639">
        <v>390</v>
      </c>
      <c r="R1639" s="122">
        <v>1198530</v>
      </c>
      <c r="S1639" s="122">
        <v>443900</v>
      </c>
      <c r="T1639">
        <v>0</v>
      </c>
      <c r="U1639">
        <v>0</v>
      </c>
      <c r="V1639" s="122">
        <v>1251454</v>
      </c>
      <c r="W1639" s="122">
        <f t="shared" si="50"/>
        <v>1251454</v>
      </c>
      <c r="X1639" s="122">
        <f t="shared" si="51"/>
        <v>3342565</v>
      </c>
    </row>
    <row r="1640" spans="2:24">
      <c r="B1640" t="s">
        <v>471</v>
      </c>
      <c r="C1640" t="s">
        <v>58</v>
      </c>
      <c r="D1640" t="s">
        <v>406</v>
      </c>
      <c r="E1640" t="s">
        <v>137</v>
      </c>
      <c r="F1640">
        <v>1</v>
      </c>
      <c r="G1640">
        <v>52</v>
      </c>
      <c r="H1640">
        <v>282</v>
      </c>
      <c r="I1640" s="122">
        <v>9482</v>
      </c>
      <c r="J1640" s="122">
        <v>8620</v>
      </c>
      <c r="K1640">
        <v>94</v>
      </c>
      <c r="L1640">
        <v>0</v>
      </c>
      <c r="M1640">
        <v>0</v>
      </c>
      <c r="N1640">
        <v>637</v>
      </c>
      <c r="O1640">
        <v>236</v>
      </c>
      <c r="P1640">
        <v>621</v>
      </c>
      <c r="Q1640">
        <v>230</v>
      </c>
      <c r="R1640" s="122">
        <v>4003</v>
      </c>
      <c r="S1640" s="122">
        <v>1483</v>
      </c>
      <c r="T1640">
        <v>0</v>
      </c>
      <c r="U1640">
        <v>0</v>
      </c>
      <c r="V1640" s="122">
        <v>10569</v>
      </c>
      <c r="W1640" s="122">
        <f t="shared" si="50"/>
        <v>10569</v>
      </c>
      <c r="X1640" s="122">
        <f t="shared" si="51"/>
        <v>14743</v>
      </c>
    </row>
    <row r="1641" spans="2:24">
      <c r="B1641" t="s">
        <v>471</v>
      </c>
      <c r="C1641" t="s">
        <v>58</v>
      </c>
      <c r="D1641" t="s">
        <v>406</v>
      </c>
      <c r="E1641" t="s">
        <v>406</v>
      </c>
      <c r="F1641">
        <v>21</v>
      </c>
      <c r="G1641" s="122">
        <v>2615</v>
      </c>
      <c r="H1641" s="122">
        <v>5650</v>
      </c>
      <c r="I1641" s="122">
        <v>403998</v>
      </c>
      <c r="J1641" s="122">
        <v>367271</v>
      </c>
      <c r="K1641">
        <v>79</v>
      </c>
      <c r="L1641" s="122">
        <v>79720</v>
      </c>
      <c r="M1641" s="122">
        <v>71017</v>
      </c>
      <c r="N1641" s="122">
        <v>48508</v>
      </c>
      <c r="O1641" s="122">
        <v>17966</v>
      </c>
      <c r="P1641" s="122">
        <v>13743</v>
      </c>
      <c r="Q1641" s="122">
        <v>5090</v>
      </c>
      <c r="R1641" s="122">
        <v>119278</v>
      </c>
      <c r="S1641" s="122">
        <v>108434</v>
      </c>
      <c r="T1641" s="122">
        <v>33582</v>
      </c>
      <c r="U1641" s="122">
        <v>12438</v>
      </c>
      <c r="V1641" s="122">
        <v>582216</v>
      </c>
      <c r="W1641" s="122">
        <f t="shared" si="50"/>
        <v>582216</v>
      </c>
      <c r="X1641" s="122">
        <f t="shared" si="51"/>
        <v>698829</v>
      </c>
    </row>
    <row r="1642" spans="2:24">
      <c r="B1642" t="s">
        <v>471</v>
      </c>
      <c r="C1642" t="s">
        <v>58</v>
      </c>
      <c r="D1642" t="s">
        <v>407</v>
      </c>
      <c r="E1642" t="s">
        <v>137</v>
      </c>
      <c r="F1642">
        <v>1</v>
      </c>
      <c r="G1642">
        <v>54</v>
      </c>
      <c r="H1642">
        <v>225</v>
      </c>
      <c r="I1642" s="122">
        <v>6489</v>
      </c>
      <c r="J1642" s="122">
        <v>5899</v>
      </c>
      <c r="K1642">
        <v>78</v>
      </c>
      <c r="L1642">
        <v>0</v>
      </c>
      <c r="M1642">
        <v>0</v>
      </c>
      <c r="N1642">
        <v>882</v>
      </c>
      <c r="O1642">
        <v>327</v>
      </c>
      <c r="P1642">
        <v>473</v>
      </c>
      <c r="Q1642">
        <v>175</v>
      </c>
      <c r="R1642" s="122">
        <v>4336</v>
      </c>
      <c r="S1642" s="122">
        <v>1606</v>
      </c>
      <c r="T1642">
        <v>0</v>
      </c>
      <c r="U1642">
        <v>0</v>
      </c>
      <c r="V1642" s="122">
        <v>8007</v>
      </c>
      <c r="W1642" s="122">
        <f t="shared" si="50"/>
        <v>8007</v>
      </c>
      <c r="X1642" s="122">
        <f t="shared" si="51"/>
        <v>12180</v>
      </c>
    </row>
    <row r="1643" spans="2:24">
      <c r="B1643" t="s">
        <v>471</v>
      </c>
      <c r="C1643" t="s">
        <v>58</v>
      </c>
      <c r="D1643" t="s">
        <v>407</v>
      </c>
      <c r="E1643" t="s">
        <v>407</v>
      </c>
      <c r="F1643">
        <v>150</v>
      </c>
      <c r="G1643" s="122">
        <v>9985</v>
      </c>
      <c r="H1643" s="122">
        <v>37573</v>
      </c>
      <c r="I1643" s="122">
        <v>1256518</v>
      </c>
      <c r="J1643" s="122">
        <v>1142289</v>
      </c>
      <c r="K1643">
        <v>78</v>
      </c>
      <c r="L1643" s="122">
        <v>245938</v>
      </c>
      <c r="M1643" s="122">
        <v>202948</v>
      </c>
      <c r="N1643" s="122">
        <v>201147</v>
      </c>
      <c r="O1643" s="122">
        <v>74499</v>
      </c>
      <c r="P1643" s="122">
        <v>71866</v>
      </c>
      <c r="Q1643" s="122">
        <v>26617</v>
      </c>
      <c r="R1643" s="122">
        <v>602561</v>
      </c>
      <c r="S1643" s="122">
        <v>547783</v>
      </c>
      <c r="T1643" s="122">
        <v>125418</v>
      </c>
      <c r="U1643" s="122">
        <v>46451</v>
      </c>
      <c r="V1643" s="122">
        <v>2040588</v>
      </c>
      <c r="W1643" s="122">
        <f t="shared" ref="W1643:W1706" si="52">SUM(ABS(J1643),ABS(M1643),ABS(O1643),ABS(Q1643),ABS(S1643),ABS(U1643))</f>
        <v>2040587</v>
      </c>
      <c r="X1643" s="122">
        <f t="shared" ref="X1643:X1706" si="53">SUM(ABS(I1643),ABS(N1643),ABS(P1643),ABS(R1643),ABS(T1643),ABS(L1643))</f>
        <v>2503448</v>
      </c>
    </row>
    <row r="1644" spans="2:24">
      <c r="B1644" t="s">
        <v>471</v>
      </c>
      <c r="C1644" t="s">
        <v>60</v>
      </c>
      <c r="F1644">
        <v>1</v>
      </c>
      <c r="G1644">
        <v>36</v>
      </c>
      <c r="H1644">
        <v>333</v>
      </c>
      <c r="J1644">
        <v>0</v>
      </c>
      <c r="M1644">
        <v>0</v>
      </c>
      <c r="N1644">
        <v>762</v>
      </c>
      <c r="O1644">
        <v>282</v>
      </c>
      <c r="P1644">
        <v>621</v>
      </c>
      <c r="Q1644">
        <v>230</v>
      </c>
      <c r="S1644">
        <v>0</v>
      </c>
      <c r="T1644" s="122">
        <v>1091</v>
      </c>
      <c r="U1644">
        <v>404</v>
      </c>
      <c r="V1644">
        <v>916</v>
      </c>
      <c r="W1644" s="122">
        <f t="shared" si="52"/>
        <v>916</v>
      </c>
      <c r="X1644" s="122">
        <f t="shared" si="53"/>
        <v>2474</v>
      </c>
    </row>
    <row r="1645" spans="2:24">
      <c r="B1645" t="s">
        <v>471</v>
      </c>
      <c r="C1645" t="s">
        <v>60</v>
      </c>
      <c r="D1645" t="s">
        <v>137</v>
      </c>
      <c r="E1645" t="s">
        <v>137</v>
      </c>
      <c r="F1645">
        <v>160</v>
      </c>
      <c r="G1645" s="122">
        <v>9451</v>
      </c>
      <c r="H1645" s="122">
        <v>53529</v>
      </c>
      <c r="I1645" s="122">
        <v>1782876</v>
      </c>
      <c r="J1645" s="122">
        <v>660325</v>
      </c>
      <c r="K1645">
        <v>100</v>
      </c>
      <c r="L1645" s="122">
        <v>222626</v>
      </c>
      <c r="M1645" s="122">
        <v>105662</v>
      </c>
      <c r="N1645" s="122">
        <v>181730</v>
      </c>
      <c r="O1645" s="122">
        <v>67308</v>
      </c>
      <c r="P1645" s="122">
        <v>3337</v>
      </c>
      <c r="Q1645" s="122">
        <v>1236</v>
      </c>
      <c r="R1645" s="122">
        <v>961008</v>
      </c>
      <c r="S1645" s="122">
        <v>355929</v>
      </c>
      <c r="T1645" s="122">
        <v>3488</v>
      </c>
      <c r="U1645" s="122">
        <v>1292</v>
      </c>
      <c r="V1645" s="122">
        <v>1191751</v>
      </c>
      <c r="W1645" s="122">
        <f t="shared" si="52"/>
        <v>1191752</v>
      </c>
      <c r="X1645" s="122">
        <f t="shared" si="53"/>
        <v>3155065</v>
      </c>
    </row>
    <row r="1646" spans="2:24">
      <c r="B1646" t="s">
        <v>471</v>
      </c>
      <c r="C1646" t="s">
        <v>60</v>
      </c>
      <c r="D1646" t="s">
        <v>406</v>
      </c>
      <c r="E1646" t="s">
        <v>405</v>
      </c>
      <c r="F1646">
        <v>1</v>
      </c>
      <c r="G1646">
        <v>103</v>
      </c>
      <c r="H1646">
        <v>344</v>
      </c>
      <c r="I1646" s="122">
        <v>19255</v>
      </c>
      <c r="J1646" s="122">
        <v>17504</v>
      </c>
      <c r="K1646">
        <v>83</v>
      </c>
      <c r="L1646" s="122">
        <v>5620</v>
      </c>
      <c r="M1646" s="122">
        <v>5109</v>
      </c>
      <c r="N1646" s="122">
        <v>1470</v>
      </c>
      <c r="O1646">
        <v>544</v>
      </c>
      <c r="P1646">
        <v>621</v>
      </c>
      <c r="Q1646">
        <v>230</v>
      </c>
      <c r="R1646" s="122">
        <v>8531</v>
      </c>
      <c r="S1646" s="122">
        <v>7755</v>
      </c>
      <c r="T1646">
        <v>0</v>
      </c>
      <c r="U1646">
        <v>0</v>
      </c>
      <c r="V1646" s="122">
        <v>31143</v>
      </c>
      <c r="W1646" s="122">
        <f t="shared" si="52"/>
        <v>31142</v>
      </c>
      <c r="X1646" s="122">
        <f t="shared" si="53"/>
        <v>35497</v>
      </c>
    </row>
    <row r="1647" spans="2:24">
      <c r="B1647" t="s">
        <v>471</v>
      </c>
      <c r="C1647" t="s">
        <v>60</v>
      </c>
      <c r="D1647" t="s">
        <v>406</v>
      </c>
      <c r="E1647" t="s">
        <v>406</v>
      </c>
      <c r="F1647">
        <v>10</v>
      </c>
      <c r="G1647">
        <v>984</v>
      </c>
      <c r="H1647" s="122">
        <v>3452</v>
      </c>
      <c r="I1647" s="122">
        <v>203369</v>
      </c>
      <c r="J1647" s="122">
        <v>184881</v>
      </c>
      <c r="K1647">
        <v>78</v>
      </c>
      <c r="L1647" s="122">
        <v>48676</v>
      </c>
      <c r="M1647" s="122">
        <v>43115</v>
      </c>
      <c r="N1647" s="122">
        <v>20368</v>
      </c>
      <c r="O1647" s="122">
        <v>7544</v>
      </c>
      <c r="P1647" s="122">
        <v>7067</v>
      </c>
      <c r="Q1647" s="122">
        <v>2618</v>
      </c>
      <c r="R1647" s="122">
        <v>46692</v>
      </c>
      <c r="S1647" s="122">
        <v>42447</v>
      </c>
      <c r="T1647" s="122">
        <v>15976</v>
      </c>
      <c r="U1647" s="122">
        <v>5917</v>
      </c>
      <c r="V1647" s="122">
        <v>286521</v>
      </c>
      <c r="W1647" s="122">
        <f t="shared" si="52"/>
        <v>286522</v>
      </c>
      <c r="X1647" s="122">
        <f t="shared" si="53"/>
        <v>342148</v>
      </c>
    </row>
    <row r="1648" spans="2:24">
      <c r="B1648" t="s">
        <v>471</v>
      </c>
      <c r="C1648" t="s">
        <v>60</v>
      </c>
      <c r="D1648" t="s">
        <v>407</v>
      </c>
      <c r="E1648" t="s">
        <v>137</v>
      </c>
      <c r="F1648">
        <v>1</v>
      </c>
      <c r="G1648">
        <v>51</v>
      </c>
      <c r="H1648">
        <v>364</v>
      </c>
      <c r="I1648" s="122">
        <v>12742</v>
      </c>
      <c r="J1648" s="122">
        <v>11584</v>
      </c>
      <c r="K1648">
        <v>73</v>
      </c>
      <c r="L1648">
        <v>0</v>
      </c>
      <c r="M1648">
        <v>0</v>
      </c>
      <c r="N1648" s="122">
        <v>1233</v>
      </c>
      <c r="O1648">
        <v>456</v>
      </c>
      <c r="P1648">
        <v>473</v>
      </c>
      <c r="Q1648">
        <v>175</v>
      </c>
      <c r="R1648" s="122">
        <v>3968</v>
      </c>
      <c r="S1648" s="122">
        <v>1470</v>
      </c>
      <c r="T1648">
        <v>0</v>
      </c>
      <c r="U1648">
        <v>0</v>
      </c>
      <c r="V1648" s="122">
        <v>13685</v>
      </c>
      <c r="W1648" s="122">
        <f t="shared" si="52"/>
        <v>13685</v>
      </c>
      <c r="X1648" s="122">
        <f t="shared" si="53"/>
        <v>18416</v>
      </c>
    </row>
    <row r="1649" spans="2:24">
      <c r="B1649" t="s">
        <v>471</v>
      </c>
      <c r="C1649" t="s">
        <v>60</v>
      </c>
      <c r="D1649" t="s">
        <v>407</v>
      </c>
      <c r="E1649" t="s">
        <v>407</v>
      </c>
      <c r="F1649">
        <v>44</v>
      </c>
      <c r="G1649" s="122">
        <v>2483</v>
      </c>
      <c r="H1649" s="122">
        <v>14499</v>
      </c>
      <c r="I1649" s="122">
        <v>470424</v>
      </c>
      <c r="J1649" s="122">
        <v>427658</v>
      </c>
      <c r="K1649">
        <v>78</v>
      </c>
      <c r="L1649" s="122">
        <v>78504</v>
      </c>
      <c r="M1649" s="122">
        <v>69011</v>
      </c>
      <c r="N1649" s="122">
        <v>52062</v>
      </c>
      <c r="O1649" s="122">
        <v>19282</v>
      </c>
      <c r="P1649" s="122">
        <v>20790</v>
      </c>
      <c r="Q1649" s="122">
        <v>7700</v>
      </c>
      <c r="R1649" s="122">
        <v>165227</v>
      </c>
      <c r="S1649" s="122">
        <v>150207</v>
      </c>
      <c r="T1649" s="122">
        <v>38416</v>
      </c>
      <c r="U1649" s="122">
        <v>14228</v>
      </c>
      <c r="V1649" s="122">
        <v>688086</v>
      </c>
      <c r="W1649" s="122">
        <f t="shared" si="52"/>
        <v>688086</v>
      </c>
      <c r="X1649" s="122">
        <f t="shared" si="53"/>
        <v>825423</v>
      </c>
    </row>
    <row r="1650" spans="2:24">
      <c r="B1650" t="s">
        <v>471</v>
      </c>
      <c r="C1650" t="s">
        <v>60</v>
      </c>
      <c r="D1650" t="s">
        <v>426</v>
      </c>
      <c r="E1650" t="s">
        <v>426</v>
      </c>
      <c r="F1650">
        <v>1</v>
      </c>
      <c r="G1650">
        <v>59</v>
      </c>
      <c r="H1650">
        <v>329</v>
      </c>
      <c r="I1650" s="122">
        <v>12522</v>
      </c>
      <c r="J1650" s="122">
        <v>11383</v>
      </c>
      <c r="K1650">
        <v>73</v>
      </c>
      <c r="L1650">
        <v>0</v>
      </c>
      <c r="M1650">
        <v>0</v>
      </c>
      <c r="N1650" s="122">
        <v>1448</v>
      </c>
      <c r="O1650">
        <v>536</v>
      </c>
      <c r="P1650">
        <v>351</v>
      </c>
      <c r="Q1650">
        <v>130</v>
      </c>
      <c r="R1650" s="122">
        <v>3349</v>
      </c>
      <c r="S1650" s="122">
        <v>3045</v>
      </c>
      <c r="T1650" s="122">
        <v>1882</v>
      </c>
      <c r="U1650">
        <v>697</v>
      </c>
      <c r="V1650" s="122">
        <v>15792</v>
      </c>
      <c r="W1650" s="122">
        <f t="shared" si="52"/>
        <v>15791</v>
      </c>
      <c r="X1650" s="122">
        <f t="shared" si="53"/>
        <v>19552</v>
      </c>
    </row>
    <row r="1651" spans="2:24">
      <c r="B1651" t="s">
        <v>471</v>
      </c>
      <c r="C1651" t="s">
        <v>62</v>
      </c>
      <c r="D1651" t="s">
        <v>137</v>
      </c>
      <c r="E1651" t="s">
        <v>137</v>
      </c>
      <c r="F1651">
        <v>55</v>
      </c>
      <c r="G1651" s="122">
        <v>2932</v>
      </c>
      <c r="H1651" s="122">
        <v>22505</v>
      </c>
      <c r="I1651" s="122">
        <v>730870</v>
      </c>
      <c r="J1651" s="122">
        <v>270693</v>
      </c>
      <c r="K1651">
        <v>100</v>
      </c>
      <c r="L1651" s="122">
        <v>73961</v>
      </c>
      <c r="M1651" s="122">
        <v>41070</v>
      </c>
      <c r="N1651" s="122">
        <v>59587</v>
      </c>
      <c r="O1651" s="122">
        <v>22069</v>
      </c>
      <c r="P1651" s="122">
        <v>1477</v>
      </c>
      <c r="Q1651">
        <v>547</v>
      </c>
      <c r="R1651" s="122">
        <v>335901</v>
      </c>
      <c r="S1651" s="122">
        <v>124408</v>
      </c>
      <c r="T1651">
        <v>0</v>
      </c>
      <c r="U1651">
        <v>0</v>
      </c>
      <c r="V1651" s="122">
        <v>458787</v>
      </c>
      <c r="W1651" s="122">
        <f t="shared" si="52"/>
        <v>458787</v>
      </c>
      <c r="X1651" s="122">
        <f t="shared" si="53"/>
        <v>1201796</v>
      </c>
    </row>
    <row r="1652" spans="2:24">
      <c r="B1652" t="s">
        <v>471</v>
      </c>
      <c r="C1652" t="s">
        <v>62</v>
      </c>
      <c r="D1652" t="s">
        <v>406</v>
      </c>
      <c r="E1652" t="s">
        <v>137</v>
      </c>
      <c r="F1652">
        <v>1</v>
      </c>
      <c r="G1652">
        <v>110</v>
      </c>
      <c r="H1652">
        <v>397</v>
      </c>
      <c r="I1652" s="122">
        <v>25659</v>
      </c>
      <c r="J1652" s="122">
        <v>23326</v>
      </c>
      <c r="K1652">
        <v>65</v>
      </c>
      <c r="L1652" s="122">
        <v>5873</v>
      </c>
      <c r="M1652" s="122">
        <v>5339</v>
      </c>
      <c r="N1652" s="122">
        <v>2674</v>
      </c>
      <c r="O1652">
        <v>990</v>
      </c>
      <c r="P1652">
        <v>621</v>
      </c>
      <c r="Q1652">
        <v>230</v>
      </c>
      <c r="R1652" s="122">
        <v>8778</v>
      </c>
      <c r="S1652" s="122">
        <v>3251</v>
      </c>
      <c r="T1652">
        <v>0</v>
      </c>
      <c r="U1652">
        <v>0</v>
      </c>
      <c r="V1652" s="122">
        <v>33137</v>
      </c>
      <c r="W1652" s="122">
        <f t="shared" si="52"/>
        <v>33136</v>
      </c>
      <c r="X1652" s="122">
        <f t="shared" si="53"/>
        <v>43605</v>
      </c>
    </row>
    <row r="1653" spans="2:24">
      <c r="B1653" t="s">
        <v>471</v>
      </c>
      <c r="C1653" t="s">
        <v>62</v>
      </c>
      <c r="D1653" t="s">
        <v>406</v>
      </c>
      <c r="E1653" t="s">
        <v>406</v>
      </c>
      <c r="F1653">
        <v>13</v>
      </c>
      <c r="G1653" s="122">
        <v>1086</v>
      </c>
      <c r="H1653" s="122">
        <v>5313</v>
      </c>
      <c r="I1653" s="122">
        <v>280672</v>
      </c>
      <c r="J1653" s="122">
        <v>255156</v>
      </c>
      <c r="K1653">
        <v>74</v>
      </c>
      <c r="L1653" s="122">
        <v>56920</v>
      </c>
      <c r="M1653" s="122">
        <v>48160</v>
      </c>
      <c r="N1653" s="122">
        <v>21427</v>
      </c>
      <c r="O1653" s="122">
        <v>7936</v>
      </c>
      <c r="P1653" s="122">
        <v>8073</v>
      </c>
      <c r="Q1653" s="122">
        <v>2990</v>
      </c>
      <c r="R1653" s="122">
        <v>56077</v>
      </c>
      <c r="S1653" s="122">
        <v>50979</v>
      </c>
      <c r="T1653" s="122">
        <v>28750</v>
      </c>
      <c r="U1653" s="122">
        <v>10648</v>
      </c>
      <c r="V1653" s="122">
        <v>375868</v>
      </c>
      <c r="W1653" s="122">
        <f t="shared" si="52"/>
        <v>375869</v>
      </c>
      <c r="X1653" s="122">
        <f t="shared" si="53"/>
        <v>451919</v>
      </c>
    </row>
    <row r="1654" spans="2:24">
      <c r="B1654" t="s">
        <v>471</v>
      </c>
      <c r="C1654" t="s">
        <v>62</v>
      </c>
      <c r="D1654" t="s">
        <v>407</v>
      </c>
      <c r="E1654" t="s">
        <v>407</v>
      </c>
      <c r="F1654">
        <v>12</v>
      </c>
      <c r="G1654">
        <v>742</v>
      </c>
      <c r="H1654" s="122">
        <v>4954</v>
      </c>
      <c r="I1654" s="122">
        <v>209421</v>
      </c>
      <c r="J1654" s="122">
        <v>190383</v>
      </c>
      <c r="K1654">
        <v>76</v>
      </c>
      <c r="L1654" s="122">
        <v>18604</v>
      </c>
      <c r="M1654" s="122">
        <v>16090</v>
      </c>
      <c r="N1654" s="122">
        <v>14402</v>
      </c>
      <c r="O1654" s="122">
        <v>5334</v>
      </c>
      <c r="P1654" s="122">
        <v>5670</v>
      </c>
      <c r="Q1654" s="122">
        <v>2100</v>
      </c>
      <c r="R1654" s="122">
        <v>43157</v>
      </c>
      <c r="S1654" s="122">
        <v>39233</v>
      </c>
      <c r="T1654" s="122">
        <v>14812</v>
      </c>
      <c r="U1654" s="122">
        <v>5486</v>
      </c>
      <c r="V1654" s="122">
        <v>258626</v>
      </c>
      <c r="W1654" s="122">
        <f t="shared" si="52"/>
        <v>258626</v>
      </c>
      <c r="X1654" s="122">
        <f t="shared" si="53"/>
        <v>306066</v>
      </c>
    </row>
    <row r="1655" spans="2:24">
      <c r="B1655" t="s">
        <v>471</v>
      </c>
      <c r="C1655" t="s">
        <v>62</v>
      </c>
      <c r="D1655" t="s">
        <v>556</v>
      </c>
      <c r="E1655" t="s">
        <v>556</v>
      </c>
      <c r="F1655">
        <v>2</v>
      </c>
      <c r="G1655">
        <v>186</v>
      </c>
      <c r="H1655">
        <v>851</v>
      </c>
      <c r="I1655" s="122">
        <v>53976</v>
      </c>
      <c r="J1655" s="122">
        <v>44980</v>
      </c>
      <c r="K1655">
        <v>53</v>
      </c>
      <c r="L1655" s="122">
        <v>5173</v>
      </c>
      <c r="M1655" s="122">
        <v>4311</v>
      </c>
      <c r="N1655" s="122">
        <v>3735</v>
      </c>
      <c r="O1655" s="122">
        <v>1383</v>
      </c>
      <c r="P1655">
        <v>351</v>
      </c>
      <c r="Q1655">
        <v>130</v>
      </c>
      <c r="R1655" s="122">
        <v>11439</v>
      </c>
      <c r="S1655" s="122">
        <v>9532</v>
      </c>
      <c r="T1655" s="122">
        <v>4493</v>
      </c>
      <c r="U1655" s="122">
        <v>1664</v>
      </c>
      <c r="V1655" s="122">
        <v>62001</v>
      </c>
      <c r="W1655" s="122">
        <f t="shared" si="52"/>
        <v>62000</v>
      </c>
      <c r="X1655" s="122">
        <f t="shared" si="53"/>
        <v>79167</v>
      </c>
    </row>
    <row r="1656" spans="2:24">
      <c r="B1656" t="s">
        <v>471</v>
      </c>
      <c r="C1656" t="s">
        <v>64</v>
      </c>
      <c r="D1656" t="s">
        <v>137</v>
      </c>
      <c r="E1656" t="s">
        <v>137</v>
      </c>
      <c r="F1656">
        <v>59</v>
      </c>
      <c r="G1656" s="122">
        <v>3257</v>
      </c>
      <c r="H1656" s="122">
        <v>37707</v>
      </c>
      <c r="I1656" s="122">
        <v>1457268</v>
      </c>
      <c r="J1656" s="122">
        <v>539729</v>
      </c>
      <c r="K1656">
        <v>100</v>
      </c>
      <c r="L1656" s="122">
        <v>147002</v>
      </c>
      <c r="M1656" s="122">
        <v>94945</v>
      </c>
      <c r="N1656" s="122">
        <v>70664</v>
      </c>
      <c r="O1656" s="122">
        <v>26172</v>
      </c>
      <c r="P1656" s="122">
        <v>2334</v>
      </c>
      <c r="Q1656">
        <v>864</v>
      </c>
      <c r="R1656" s="122">
        <v>333255</v>
      </c>
      <c r="S1656" s="122">
        <v>123428</v>
      </c>
      <c r="T1656">
        <v>0</v>
      </c>
      <c r="U1656">
        <v>0</v>
      </c>
      <c r="V1656" s="122">
        <v>785138</v>
      </c>
      <c r="W1656" s="122">
        <f t="shared" si="52"/>
        <v>785138</v>
      </c>
      <c r="X1656" s="122">
        <f t="shared" si="53"/>
        <v>2010523</v>
      </c>
    </row>
    <row r="1657" spans="2:24">
      <c r="B1657" t="s">
        <v>471</v>
      </c>
      <c r="C1657" t="s">
        <v>64</v>
      </c>
      <c r="D1657" t="s">
        <v>406</v>
      </c>
      <c r="E1657" t="s">
        <v>137</v>
      </c>
      <c r="F1657">
        <v>1</v>
      </c>
      <c r="G1657">
        <v>245</v>
      </c>
      <c r="H1657">
        <v>503</v>
      </c>
      <c r="I1657" s="122">
        <v>88209</v>
      </c>
      <c r="J1657" s="122">
        <v>80190</v>
      </c>
      <c r="K1657">
        <v>60</v>
      </c>
      <c r="L1657" s="122">
        <v>19602</v>
      </c>
      <c r="M1657" s="122">
        <v>17820</v>
      </c>
      <c r="N1657" s="122">
        <v>5970</v>
      </c>
      <c r="O1657" s="122">
        <v>2211</v>
      </c>
      <c r="P1657">
        <v>621</v>
      </c>
      <c r="Q1657">
        <v>230</v>
      </c>
      <c r="R1657" s="122">
        <v>8898</v>
      </c>
      <c r="S1657" s="122">
        <v>3296</v>
      </c>
      <c r="T1657">
        <v>0</v>
      </c>
      <c r="U1657">
        <v>0</v>
      </c>
      <c r="V1657" s="122">
        <v>103747</v>
      </c>
      <c r="W1657" s="122">
        <f t="shared" si="52"/>
        <v>103747</v>
      </c>
      <c r="X1657" s="122">
        <f t="shared" si="53"/>
        <v>123300</v>
      </c>
    </row>
    <row r="1658" spans="2:24">
      <c r="B1658" t="s">
        <v>471</v>
      </c>
      <c r="C1658" t="s">
        <v>64</v>
      </c>
      <c r="D1658" t="s">
        <v>406</v>
      </c>
      <c r="E1658" t="s">
        <v>406</v>
      </c>
      <c r="F1658">
        <v>21</v>
      </c>
      <c r="G1658" s="122">
        <v>1531</v>
      </c>
      <c r="H1658" s="122">
        <v>12506</v>
      </c>
      <c r="I1658" s="122">
        <v>633985</v>
      </c>
      <c r="J1658" s="122">
        <v>576350</v>
      </c>
      <c r="K1658">
        <v>68</v>
      </c>
      <c r="L1658" s="122">
        <v>91496</v>
      </c>
      <c r="M1658" s="122">
        <v>78543</v>
      </c>
      <c r="N1658" s="122">
        <v>33793</v>
      </c>
      <c r="O1658" s="122">
        <v>12516</v>
      </c>
      <c r="P1658" s="122">
        <v>13041</v>
      </c>
      <c r="Q1658" s="122">
        <v>4830</v>
      </c>
      <c r="R1658" s="122">
        <v>80976</v>
      </c>
      <c r="S1658" s="122">
        <v>73615</v>
      </c>
      <c r="T1658" s="122">
        <v>33090</v>
      </c>
      <c r="U1658" s="122">
        <v>12256</v>
      </c>
      <c r="V1658" s="122">
        <v>758109</v>
      </c>
      <c r="W1658" s="122">
        <f t="shared" si="52"/>
        <v>758110</v>
      </c>
      <c r="X1658" s="122">
        <f t="shared" si="53"/>
        <v>886381</v>
      </c>
    </row>
    <row r="1659" spans="2:24">
      <c r="B1659" t="s">
        <v>471</v>
      </c>
      <c r="C1659" t="s">
        <v>64</v>
      </c>
      <c r="D1659" t="s">
        <v>407</v>
      </c>
      <c r="E1659" t="s">
        <v>137</v>
      </c>
      <c r="F1659">
        <v>3</v>
      </c>
      <c r="G1659">
        <v>138</v>
      </c>
      <c r="H1659" s="122">
        <v>1817</v>
      </c>
      <c r="I1659" s="122">
        <v>64974</v>
      </c>
      <c r="J1659" s="122">
        <v>59067</v>
      </c>
      <c r="K1659">
        <v>65</v>
      </c>
      <c r="L1659">
        <v>0</v>
      </c>
      <c r="M1659">
        <v>0</v>
      </c>
      <c r="N1659" s="122">
        <v>2475</v>
      </c>
      <c r="O1659">
        <v>917</v>
      </c>
      <c r="P1659" s="122">
        <v>1418</v>
      </c>
      <c r="Q1659">
        <v>525</v>
      </c>
      <c r="R1659" s="122">
        <v>14934</v>
      </c>
      <c r="S1659" s="122">
        <v>5531</v>
      </c>
      <c r="T1659">
        <v>0</v>
      </c>
      <c r="U1659">
        <v>0</v>
      </c>
      <c r="V1659" s="122">
        <v>66040</v>
      </c>
      <c r="W1659" s="122">
        <f t="shared" si="52"/>
        <v>66040</v>
      </c>
      <c r="X1659" s="122">
        <f t="shared" si="53"/>
        <v>83801</v>
      </c>
    </row>
    <row r="1660" spans="2:24">
      <c r="B1660" t="s">
        <v>471</v>
      </c>
      <c r="C1660" t="s">
        <v>64</v>
      </c>
      <c r="D1660" t="s">
        <v>407</v>
      </c>
      <c r="E1660" t="s">
        <v>407</v>
      </c>
      <c r="F1660">
        <v>8</v>
      </c>
      <c r="G1660">
        <v>747</v>
      </c>
      <c r="H1660" s="122">
        <v>4150</v>
      </c>
      <c r="I1660" s="122">
        <v>276971</v>
      </c>
      <c r="J1660" s="122">
        <v>251792</v>
      </c>
      <c r="K1660">
        <v>74</v>
      </c>
      <c r="L1660" s="122">
        <v>58723</v>
      </c>
      <c r="M1660" s="122">
        <v>51097</v>
      </c>
      <c r="N1660" s="122">
        <v>13357</v>
      </c>
      <c r="O1660" s="122">
        <v>4947</v>
      </c>
      <c r="P1660" s="122">
        <v>3780</v>
      </c>
      <c r="Q1660" s="122">
        <v>1400</v>
      </c>
      <c r="R1660" s="122">
        <v>31505</v>
      </c>
      <c r="S1660" s="122">
        <v>28641</v>
      </c>
      <c r="T1660" s="122">
        <v>11764</v>
      </c>
      <c r="U1660" s="122">
        <v>4357</v>
      </c>
      <c r="V1660" s="122">
        <v>342234</v>
      </c>
      <c r="W1660" s="122">
        <f t="shared" si="52"/>
        <v>342234</v>
      </c>
      <c r="X1660" s="122">
        <f t="shared" si="53"/>
        <v>396100</v>
      </c>
    </row>
    <row r="1661" spans="2:24">
      <c r="B1661" t="s">
        <v>471</v>
      </c>
      <c r="C1661" t="s">
        <v>64</v>
      </c>
      <c r="D1661" t="s">
        <v>556</v>
      </c>
      <c r="E1661" t="s">
        <v>556</v>
      </c>
      <c r="F1661">
        <v>2</v>
      </c>
      <c r="G1661">
        <v>163</v>
      </c>
      <c r="H1661" s="122">
        <v>1516</v>
      </c>
      <c r="I1661" s="122">
        <v>76658</v>
      </c>
      <c r="J1661" s="122">
        <v>63882</v>
      </c>
      <c r="K1661">
        <v>50</v>
      </c>
      <c r="L1661" s="122">
        <v>8666</v>
      </c>
      <c r="M1661" s="122">
        <v>7222</v>
      </c>
      <c r="N1661" s="122">
        <v>2452</v>
      </c>
      <c r="O1661">
        <v>908</v>
      </c>
      <c r="P1661">
        <v>702</v>
      </c>
      <c r="Q1661">
        <v>260</v>
      </c>
      <c r="R1661" s="122">
        <v>11992</v>
      </c>
      <c r="S1661" s="122">
        <v>9994</v>
      </c>
      <c r="T1661" s="122">
        <v>4192</v>
      </c>
      <c r="U1661" s="122">
        <v>1553</v>
      </c>
      <c r="V1661" s="122">
        <v>83818</v>
      </c>
      <c r="W1661" s="122">
        <f t="shared" si="52"/>
        <v>83819</v>
      </c>
      <c r="X1661" s="122">
        <f t="shared" si="53"/>
        <v>104662</v>
      </c>
    </row>
    <row r="1662" spans="2:24">
      <c r="B1662" t="s">
        <v>471</v>
      </c>
      <c r="C1662" t="s">
        <v>64</v>
      </c>
      <c r="D1662" t="s">
        <v>426</v>
      </c>
      <c r="E1662" t="s">
        <v>426</v>
      </c>
      <c r="F1662">
        <v>1</v>
      </c>
      <c r="G1662">
        <v>50</v>
      </c>
      <c r="H1662" s="122">
        <v>1334</v>
      </c>
      <c r="I1662" s="122">
        <v>57657</v>
      </c>
      <c r="J1662" s="122">
        <v>52415</v>
      </c>
      <c r="K1662">
        <v>30</v>
      </c>
      <c r="L1662">
        <v>0</v>
      </c>
      <c r="M1662" s="122">
        <v>5824</v>
      </c>
      <c r="N1662" s="122">
        <v>1226</v>
      </c>
      <c r="O1662">
        <v>454</v>
      </c>
      <c r="P1662">
        <v>351</v>
      </c>
      <c r="Q1662">
        <v>130</v>
      </c>
      <c r="R1662" s="122">
        <v>6598</v>
      </c>
      <c r="S1662" s="122">
        <v>5998</v>
      </c>
      <c r="T1662" s="122">
        <v>1306</v>
      </c>
      <c r="U1662">
        <v>484</v>
      </c>
      <c r="V1662" s="122">
        <v>65306</v>
      </c>
      <c r="W1662" s="122">
        <f t="shared" si="52"/>
        <v>65305</v>
      </c>
      <c r="X1662" s="122">
        <f t="shared" si="53"/>
        <v>67138</v>
      </c>
    </row>
    <row r="1663" spans="2:24">
      <c r="B1663" t="s">
        <v>472</v>
      </c>
      <c r="C1663" t="s">
        <v>48</v>
      </c>
      <c r="D1663" t="s">
        <v>406</v>
      </c>
      <c r="E1663" t="s">
        <v>406</v>
      </c>
      <c r="F1663">
        <v>1</v>
      </c>
      <c r="G1663">
        <v>228</v>
      </c>
      <c r="H1663">
        <v>71</v>
      </c>
      <c r="I1663" s="122">
        <v>4436</v>
      </c>
      <c r="J1663" s="122">
        <v>4033</v>
      </c>
      <c r="K1663">
        <v>95</v>
      </c>
      <c r="L1663">
        <v>635</v>
      </c>
      <c r="M1663">
        <v>578</v>
      </c>
      <c r="N1663" s="122">
        <v>3938</v>
      </c>
      <c r="O1663" s="122">
        <v>1458</v>
      </c>
      <c r="P1663" s="122">
        <v>2628</v>
      </c>
      <c r="Q1663">
        <v>973</v>
      </c>
      <c r="R1663" s="122">
        <v>4449</v>
      </c>
      <c r="S1663" s="122">
        <v>4044</v>
      </c>
      <c r="T1663">
        <v>0</v>
      </c>
      <c r="U1663">
        <v>0</v>
      </c>
      <c r="V1663" s="122">
        <v>11086</v>
      </c>
      <c r="W1663" s="122">
        <f t="shared" si="52"/>
        <v>11086</v>
      </c>
      <c r="X1663" s="122">
        <f t="shared" si="53"/>
        <v>16086</v>
      </c>
    </row>
    <row r="1664" spans="2:24">
      <c r="B1664" t="s">
        <v>472</v>
      </c>
      <c r="C1664" t="s">
        <v>48</v>
      </c>
      <c r="D1664" t="s">
        <v>407</v>
      </c>
      <c r="E1664" t="s">
        <v>407</v>
      </c>
      <c r="F1664">
        <v>10</v>
      </c>
      <c r="G1664">
        <v>761</v>
      </c>
      <c r="H1664">
        <v>627</v>
      </c>
      <c r="I1664">
        <v>-918</v>
      </c>
      <c r="J1664">
        <v>-834</v>
      </c>
      <c r="K1664">
        <v>91</v>
      </c>
      <c r="L1664">
        <v>0</v>
      </c>
      <c r="M1664">
        <v>0</v>
      </c>
      <c r="N1664" s="122">
        <v>9277</v>
      </c>
      <c r="O1664" s="122">
        <v>3436</v>
      </c>
      <c r="P1664" s="122">
        <v>9841</v>
      </c>
      <c r="Q1664" s="122">
        <v>3645</v>
      </c>
      <c r="R1664" s="122">
        <v>29491</v>
      </c>
      <c r="S1664" s="122">
        <v>26810</v>
      </c>
      <c r="T1664">
        <v>0</v>
      </c>
      <c r="U1664">
        <v>0</v>
      </c>
      <c r="V1664" s="122">
        <v>33057</v>
      </c>
      <c r="W1664" s="122">
        <f t="shared" si="52"/>
        <v>34725</v>
      </c>
      <c r="X1664" s="122">
        <f t="shared" si="53"/>
        <v>49527</v>
      </c>
    </row>
    <row r="1665" spans="2:24">
      <c r="B1665" t="s">
        <v>472</v>
      </c>
      <c r="C1665" t="s">
        <v>50</v>
      </c>
      <c r="D1665" t="s">
        <v>137</v>
      </c>
      <c r="E1665" t="s">
        <v>137</v>
      </c>
      <c r="F1665">
        <v>1</v>
      </c>
      <c r="G1665">
        <v>72</v>
      </c>
      <c r="H1665">
        <v>76</v>
      </c>
      <c r="I1665" s="122">
        <v>2430</v>
      </c>
      <c r="J1665">
        <v>900</v>
      </c>
      <c r="K1665">
        <v>365</v>
      </c>
      <c r="L1665">
        <v>0</v>
      </c>
      <c r="M1665">
        <v>0</v>
      </c>
      <c r="N1665">
        <v>871</v>
      </c>
      <c r="O1665">
        <v>323</v>
      </c>
      <c r="P1665">
        <v>351</v>
      </c>
      <c r="Q1665">
        <v>130</v>
      </c>
      <c r="R1665" s="122">
        <v>1813</v>
      </c>
      <c r="S1665">
        <v>671</v>
      </c>
      <c r="T1665">
        <v>0</v>
      </c>
      <c r="U1665">
        <v>0</v>
      </c>
      <c r="V1665" s="122">
        <v>2024</v>
      </c>
      <c r="W1665" s="122">
        <f t="shared" si="52"/>
        <v>2024</v>
      </c>
      <c r="X1665" s="122">
        <f t="shared" si="53"/>
        <v>5465</v>
      </c>
    </row>
    <row r="1666" spans="2:24">
      <c r="B1666" t="s">
        <v>472</v>
      </c>
      <c r="C1666" t="s">
        <v>50</v>
      </c>
      <c r="D1666" t="s">
        <v>407</v>
      </c>
      <c r="E1666" t="s">
        <v>407</v>
      </c>
      <c r="F1666">
        <v>7</v>
      </c>
      <c r="G1666">
        <v>542</v>
      </c>
      <c r="H1666">
        <v>637</v>
      </c>
      <c r="I1666" s="122">
        <v>13761</v>
      </c>
      <c r="J1666" s="122">
        <v>12510</v>
      </c>
      <c r="K1666">
        <v>87</v>
      </c>
      <c r="L1666">
        <v>-36</v>
      </c>
      <c r="M1666">
        <v>-33</v>
      </c>
      <c r="N1666" s="122">
        <v>9680</v>
      </c>
      <c r="O1666" s="122">
        <v>3585</v>
      </c>
      <c r="P1666" s="122">
        <v>3650</v>
      </c>
      <c r="Q1666" s="122">
        <v>1352</v>
      </c>
      <c r="R1666" s="122">
        <v>22489</v>
      </c>
      <c r="S1666" s="122">
        <v>20445</v>
      </c>
      <c r="T1666">
        <v>0</v>
      </c>
      <c r="U1666">
        <v>0</v>
      </c>
      <c r="V1666" s="122">
        <v>37859</v>
      </c>
      <c r="W1666" s="122">
        <f t="shared" si="52"/>
        <v>37925</v>
      </c>
      <c r="X1666" s="122">
        <f t="shared" si="53"/>
        <v>49616</v>
      </c>
    </row>
    <row r="1667" spans="2:24">
      <c r="B1667" t="s">
        <v>472</v>
      </c>
      <c r="C1667" t="s">
        <v>52</v>
      </c>
      <c r="D1667" t="s">
        <v>425</v>
      </c>
      <c r="E1667" t="s">
        <v>425</v>
      </c>
      <c r="F1667">
        <v>3</v>
      </c>
      <c r="G1667">
        <v>389</v>
      </c>
      <c r="H1667">
        <v>320</v>
      </c>
      <c r="I1667" s="122">
        <v>18309</v>
      </c>
      <c r="J1667" s="122">
        <v>16645</v>
      </c>
      <c r="K1667">
        <v>92</v>
      </c>
      <c r="L1667">
        <v>0</v>
      </c>
      <c r="M1667" s="122">
        <v>5357</v>
      </c>
      <c r="N1667" s="122">
        <v>4741</v>
      </c>
      <c r="O1667" s="122">
        <v>1756</v>
      </c>
      <c r="P1667" s="122">
        <v>1418</v>
      </c>
      <c r="Q1667">
        <v>525</v>
      </c>
      <c r="R1667" s="122">
        <v>17050</v>
      </c>
      <c r="S1667" s="122">
        <v>15500</v>
      </c>
      <c r="T1667">
        <v>0</v>
      </c>
      <c r="U1667">
        <v>0</v>
      </c>
      <c r="V1667" s="122">
        <v>39783</v>
      </c>
      <c r="W1667" s="122">
        <f t="shared" si="52"/>
        <v>39783</v>
      </c>
      <c r="X1667" s="122">
        <f t="shared" si="53"/>
        <v>41518</v>
      </c>
    </row>
    <row r="1668" spans="2:24">
      <c r="B1668" t="s">
        <v>472</v>
      </c>
      <c r="C1668" t="s">
        <v>52</v>
      </c>
      <c r="D1668" t="s">
        <v>405</v>
      </c>
      <c r="E1668" t="s">
        <v>405</v>
      </c>
      <c r="F1668">
        <v>11</v>
      </c>
      <c r="G1668" s="122">
        <v>1387</v>
      </c>
      <c r="H1668" s="122">
        <v>1262</v>
      </c>
      <c r="I1668" s="122">
        <v>71761</v>
      </c>
      <c r="J1668" s="122">
        <v>65237</v>
      </c>
      <c r="K1668">
        <v>91</v>
      </c>
      <c r="L1668" s="122">
        <v>14000</v>
      </c>
      <c r="M1668" s="122">
        <v>18960</v>
      </c>
      <c r="N1668" s="122">
        <v>17678</v>
      </c>
      <c r="O1668" s="122">
        <v>6547</v>
      </c>
      <c r="P1668" s="122">
        <v>5198</v>
      </c>
      <c r="Q1668" s="122">
        <v>1925</v>
      </c>
      <c r="R1668" s="122">
        <v>50538</v>
      </c>
      <c r="S1668" s="122">
        <v>45944</v>
      </c>
      <c r="T1668">
        <v>0</v>
      </c>
      <c r="U1668">
        <v>0</v>
      </c>
      <c r="V1668" s="122">
        <v>138613</v>
      </c>
      <c r="W1668" s="122">
        <f t="shared" si="52"/>
        <v>138613</v>
      </c>
      <c r="X1668" s="122">
        <f t="shared" si="53"/>
        <v>159175</v>
      </c>
    </row>
    <row r="1669" spans="2:24">
      <c r="B1669" t="s">
        <v>472</v>
      </c>
      <c r="C1669" t="s">
        <v>52</v>
      </c>
      <c r="D1669" t="s">
        <v>137</v>
      </c>
      <c r="E1669" t="s">
        <v>137</v>
      </c>
      <c r="F1669">
        <v>1</v>
      </c>
      <c r="G1669">
        <v>242</v>
      </c>
      <c r="H1669">
        <v>110</v>
      </c>
      <c r="I1669" s="122">
        <v>9320</v>
      </c>
      <c r="J1669" s="122">
        <v>3452</v>
      </c>
      <c r="K1669">
        <v>398</v>
      </c>
      <c r="L1669" s="122">
        <v>5597</v>
      </c>
      <c r="M1669" s="122">
        <v>5088</v>
      </c>
      <c r="N1669" s="122">
        <v>4454</v>
      </c>
      <c r="O1669" s="122">
        <v>1650</v>
      </c>
      <c r="P1669" s="122">
        <v>3222</v>
      </c>
      <c r="Q1669" s="122">
        <v>1193</v>
      </c>
      <c r="R1669" s="122">
        <v>4082</v>
      </c>
      <c r="S1669" s="122">
        <v>1512</v>
      </c>
      <c r="T1669">
        <v>0</v>
      </c>
      <c r="U1669">
        <v>0</v>
      </c>
      <c r="V1669" s="122">
        <v>12895</v>
      </c>
      <c r="W1669" s="122">
        <f t="shared" si="52"/>
        <v>12895</v>
      </c>
      <c r="X1669" s="122">
        <f t="shared" si="53"/>
        <v>26675</v>
      </c>
    </row>
    <row r="1670" spans="2:24">
      <c r="B1670" t="s">
        <v>472</v>
      </c>
      <c r="C1670" t="s">
        <v>52</v>
      </c>
      <c r="D1670" t="s">
        <v>406</v>
      </c>
      <c r="E1670" t="s">
        <v>406</v>
      </c>
      <c r="F1670">
        <v>2</v>
      </c>
      <c r="G1670">
        <v>380</v>
      </c>
      <c r="H1670">
        <v>241</v>
      </c>
      <c r="I1670" s="122">
        <v>28537</v>
      </c>
      <c r="J1670" s="122">
        <v>25943</v>
      </c>
      <c r="K1670">
        <v>96</v>
      </c>
      <c r="L1670" s="122">
        <v>4326</v>
      </c>
      <c r="M1670" s="122">
        <v>3933</v>
      </c>
      <c r="N1670" s="122">
        <v>9676</v>
      </c>
      <c r="O1670" s="122">
        <v>3584</v>
      </c>
      <c r="P1670" s="122">
        <v>2997</v>
      </c>
      <c r="Q1670" s="122">
        <v>1110</v>
      </c>
      <c r="R1670" s="122">
        <v>11515</v>
      </c>
      <c r="S1670" s="122">
        <v>10468</v>
      </c>
      <c r="T1670">
        <v>0</v>
      </c>
      <c r="U1670">
        <v>0</v>
      </c>
      <c r="V1670" s="122">
        <v>45038</v>
      </c>
      <c r="W1670" s="122">
        <f t="shared" si="52"/>
        <v>45038</v>
      </c>
      <c r="X1670" s="122">
        <f t="shared" si="53"/>
        <v>57051</v>
      </c>
    </row>
    <row r="1671" spans="2:24">
      <c r="B1671" t="s">
        <v>472</v>
      </c>
      <c r="C1671" t="s">
        <v>52</v>
      </c>
      <c r="D1671" t="s">
        <v>407</v>
      </c>
      <c r="E1671" t="s">
        <v>407</v>
      </c>
      <c r="F1671">
        <v>19</v>
      </c>
      <c r="G1671" s="122">
        <v>1268</v>
      </c>
      <c r="H1671" s="122">
        <v>2146</v>
      </c>
      <c r="I1671" s="122">
        <v>51803</v>
      </c>
      <c r="J1671" s="122">
        <v>47094</v>
      </c>
      <c r="K1671">
        <v>90</v>
      </c>
      <c r="L1671">
        <v>0</v>
      </c>
      <c r="M1671" s="122">
        <v>2365</v>
      </c>
      <c r="N1671" s="122">
        <v>16607</v>
      </c>
      <c r="O1671" s="122">
        <v>6151</v>
      </c>
      <c r="P1671" s="122">
        <v>12893</v>
      </c>
      <c r="Q1671" s="122">
        <v>4775</v>
      </c>
      <c r="R1671" s="122">
        <v>61546</v>
      </c>
      <c r="S1671" s="122">
        <v>55951</v>
      </c>
      <c r="T1671">
        <v>0</v>
      </c>
      <c r="U1671">
        <v>0</v>
      </c>
      <c r="V1671" s="122">
        <v>116335</v>
      </c>
      <c r="W1671" s="122">
        <f t="shared" si="52"/>
        <v>116336</v>
      </c>
      <c r="X1671" s="122">
        <f t="shared" si="53"/>
        <v>142849</v>
      </c>
    </row>
    <row r="1672" spans="2:24">
      <c r="B1672" t="s">
        <v>472</v>
      </c>
      <c r="C1672" t="s">
        <v>54</v>
      </c>
      <c r="D1672" t="s">
        <v>405</v>
      </c>
      <c r="E1672" t="s">
        <v>405</v>
      </c>
      <c r="F1672">
        <v>17</v>
      </c>
      <c r="G1672" s="122">
        <v>1342</v>
      </c>
      <c r="H1672" s="122">
        <v>2329</v>
      </c>
      <c r="I1672" s="122">
        <v>91736</v>
      </c>
      <c r="J1672" s="122">
        <v>83396</v>
      </c>
      <c r="K1672">
        <v>91</v>
      </c>
      <c r="L1672" s="122">
        <v>4028</v>
      </c>
      <c r="M1672" s="122">
        <v>2839</v>
      </c>
      <c r="N1672" s="122">
        <v>29253</v>
      </c>
      <c r="O1672" s="122">
        <v>10835</v>
      </c>
      <c r="P1672" s="122">
        <v>8033</v>
      </c>
      <c r="Q1672" s="122">
        <v>2975</v>
      </c>
      <c r="R1672" s="122">
        <v>50655</v>
      </c>
      <c r="S1672" s="122">
        <v>46050</v>
      </c>
      <c r="T1672">
        <v>0</v>
      </c>
      <c r="U1672">
        <v>0</v>
      </c>
      <c r="V1672" s="122">
        <v>146095</v>
      </c>
      <c r="W1672" s="122">
        <f t="shared" si="52"/>
        <v>146095</v>
      </c>
      <c r="X1672" s="122">
        <f t="shared" si="53"/>
        <v>183705</v>
      </c>
    </row>
    <row r="1673" spans="2:24">
      <c r="B1673" t="s">
        <v>472</v>
      </c>
      <c r="C1673" t="s">
        <v>54</v>
      </c>
      <c r="D1673" t="s">
        <v>137</v>
      </c>
      <c r="E1673" t="s">
        <v>137</v>
      </c>
      <c r="F1673">
        <v>22</v>
      </c>
      <c r="G1673" s="122">
        <v>1710</v>
      </c>
      <c r="H1673" s="122">
        <v>3109</v>
      </c>
      <c r="I1673" s="122">
        <v>57771</v>
      </c>
      <c r="J1673" s="122">
        <v>21397</v>
      </c>
      <c r="K1673">
        <v>213</v>
      </c>
      <c r="L1673" s="122">
        <v>6390</v>
      </c>
      <c r="M1673" s="122">
        <v>2367</v>
      </c>
      <c r="N1673" s="122">
        <v>33785</v>
      </c>
      <c r="O1673" s="122">
        <v>12513</v>
      </c>
      <c r="P1673" s="122">
        <v>2106</v>
      </c>
      <c r="Q1673">
        <v>780</v>
      </c>
      <c r="R1673" s="122">
        <v>140392</v>
      </c>
      <c r="S1673" s="122">
        <v>51997</v>
      </c>
      <c r="T1673">
        <v>0</v>
      </c>
      <c r="U1673">
        <v>0</v>
      </c>
      <c r="V1673" s="122">
        <v>89053</v>
      </c>
      <c r="W1673" s="122">
        <f t="shared" si="52"/>
        <v>89054</v>
      </c>
      <c r="X1673" s="122">
        <f t="shared" si="53"/>
        <v>240444</v>
      </c>
    </row>
    <row r="1674" spans="2:24">
      <c r="B1674" t="s">
        <v>472</v>
      </c>
      <c r="C1674" t="s">
        <v>54</v>
      </c>
      <c r="D1674" t="s">
        <v>406</v>
      </c>
      <c r="E1674" t="s">
        <v>406</v>
      </c>
      <c r="F1674">
        <v>10</v>
      </c>
      <c r="G1674" s="122">
        <v>1736</v>
      </c>
      <c r="H1674" s="122">
        <v>1414</v>
      </c>
      <c r="I1674" s="122">
        <v>155185</v>
      </c>
      <c r="J1674" s="122">
        <v>141077</v>
      </c>
      <c r="K1674">
        <v>90</v>
      </c>
      <c r="L1674" s="122">
        <v>28080</v>
      </c>
      <c r="M1674" s="122">
        <v>25527</v>
      </c>
      <c r="N1674" s="122">
        <v>33589</v>
      </c>
      <c r="O1674" s="122">
        <v>12440</v>
      </c>
      <c r="P1674" s="122">
        <v>6210</v>
      </c>
      <c r="Q1674" s="122">
        <v>2300</v>
      </c>
      <c r="R1674" s="122">
        <v>56099</v>
      </c>
      <c r="S1674" s="122">
        <v>50999</v>
      </c>
      <c r="T1674" s="122">
        <v>2644</v>
      </c>
      <c r="U1674">
        <v>979</v>
      </c>
      <c r="V1674" s="122">
        <v>233323</v>
      </c>
      <c r="W1674" s="122">
        <f t="shared" si="52"/>
        <v>233322</v>
      </c>
      <c r="X1674" s="122">
        <f t="shared" si="53"/>
        <v>281807</v>
      </c>
    </row>
    <row r="1675" spans="2:24">
      <c r="B1675" t="s">
        <v>472</v>
      </c>
      <c r="C1675" t="s">
        <v>54</v>
      </c>
      <c r="D1675" t="s">
        <v>407</v>
      </c>
      <c r="E1675" t="s">
        <v>407</v>
      </c>
      <c r="F1675">
        <v>18</v>
      </c>
      <c r="G1675" s="122">
        <v>1281</v>
      </c>
      <c r="H1675" s="122">
        <v>2442</v>
      </c>
      <c r="I1675" s="122">
        <v>75823</v>
      </c>
      <c r="J1675" s="122">
        <v>68930</v>
      </c>
      <c r="K1675">
        <v>90</v>
      </c>
      <c r="L1675" s="122">
        <v>3161</v>
      </c>
      <c r="M1675" s="122">
        <v>2874</v>
      </c>
      <c r="N1675" s="122">
        <v>19232</v>
      </c>
      <c r="O1675" s="122">
        <v>7123</v>
      </c>
      <c r="P1675" s="122">
        <v>13651</v>
      </c>
      <c r="Q1675" s="122">
        <v>5056</v>
      </c>
      <c r="R1675" s="122">
        <v>60272</v>
      </c>
      <c r="S1675" s="122">
        <v>54792</v>
      </c>
      <c r="T1675">
        <v>0</v>
      </c>
      <c r="U1675">
        <v>0</v>
      </c>
      <c r="V1675" s="122">
        <v>138775</v>
      </c>
      <c r="W1675" s="122">
        <f t="shared" si="52"/>
        <v>138775</v>
      </c>
      <c r="X1675" s="122">
        <f t="shared" si="53"/>
        <v>172139</v>
      </c>
    </row>
    <row r="1676" spans="2:24">
      <c r="B1676" t="s">
        <v>472</v>
      </c>
      <c r="C1676" t="s">
        <v>56</v>
      </c>
      <c r="F1676">
        <v>9</v>
      </c>
      <c r="G1676">
        <v>376</v>
      </c>
      <c r="H1676" s="122">
        <v>1853</v>
      </c>
      <c r="J1676">
        <v>0</v>
      </c>
      <c r="M1676">
        <v>0</v>
      </c>
      <c r="N1676" s="122">
        <v>7190</v>
      </c>
      <c r="O1676" s="122">
        <v>2663</v>
      </c>
      <c r="P1676">
        <v>621</v>
      </c>
      <c r="Q1676">
        <v>230</v>
      </c>
      <c r="S1676">
        <v>0</v>
      </c>
      <c r="T1676" s="122">
        <v>15814</v>
      </c>
      <c r="U1676" s="122">
        <v>5857</v>
      </c>
      <c r="V1676" s="122">
        <v>8750</v>
      </c>
      <c r="W1676" s="122">
        <f t="shared" si="52"/>
        <v>8750</v>
      </c>
      <c r="X1676" s="122">
        <f t="shared" si="53"/>
        <v>23625</v>
      </c>
    </row>
    <row r="1677" spans="2:24">
      <c r="B1677" t="s">
        <v>472</v>
      </c>
      <c r="C1677" t="s">
        <v>56</v>
      </c>
      <c r="D1677" t="s">
        <v>425</v>
      </c>
      <c r="E1677" t="s">
        <v>425</v>
      </c>
      <c r="F1677">
        <v>2</v>
      </c>
      <c r="G1677">
        <v>161</v>
      </c>
      <c r="H1677">
        <v>439</v>
      </c>
      <c r="I1677" s="122">
        <v>12381</v>
      </c>
      <c r="J1677" s="122">
        <v>11255</v>
      </c>
      <c r="K1677">
        <v>92</v>
      </c>
      <c r="L1677" s="122">
        <v>3998</v>
      </c>
      <c r="M1677" s="122">
        <v>3634</v>
      </c>
      <c r="N1677" s="122">
        <v>2882</v>
      </c>
      <c r="O1677" s="122">
        <v>1067</v>
      </c>
      <c r="P1677">
        <v>945</v>
      </c>
      <c r="Q1677">
        <v>350</v>
      </c>
      <c r="R1677" s="122">
        <v>8537</v>
      </c>
      <c r="S1677" s="122">
        <v>7761</v>
      </c>
      <c r="T1677" s="122">
        <v>6828</v>
      </c>
      <c r="U1677" s="122">
        <v>2529</v>
      </c>
      <c r="V1677" s="122">
        <v>26598</v>
      </c>
      <c r="W1677" s="122">
        <f t="shared" si="52"/>
        <v>26596</v>
      </c>
      <c r="X1677" s="122">
        <f t="shared" si="53"/>
        <v>35571</v>
      </c>
    </row>
    <row r="1678" spans="2:24">
      <c r="B1678" t="s">
        <v>472</v>
      </c>
      <c r="C1678" t="s">
        <v>56</v>
      </c>
      <c r="D1678" t="s">
        <v>405</v>
      </c>
      <c r="E1678" t="s">
        <v>405</v>
      </c>
      <c r="F1678">
        <v>30</v>
      </c>
      <c r="G1678" s="122">
        <v>2395</v>
      </c>
      <c r="H1678" s="122">
        <v>5193</v>
      </c>
      <c r="I1678" s="122">
        <v>216236</v>
      </c>
      <c r="J1678" s="122">
        <v>196578</v>
      </c>
      <c r="K1678">
        <v>84</v>
      </c>
      <c r="L1678" s="122">
        <v>24850</v>
      </c>
      <c r="M1678" s="122">
        <v>16893</v>
      </c>
      <c r="N1678" s="122">
        <v>50759</v>
      </c>
      <c r="O1678" s="122">
        <v>18800</v>
      </c>
      <c r="P1678" s="122">
        <v>14054</v>
      </c>
      <c r="Q1678" s="122">
        <v>5205</v>
      </c>
      <c r="R1678" s="122">
        <v>98446</v>
      </c>
      <c r="S1678" s="122">
        <v>89496</v>
      </c>
      <c r="T1678" s="122">
        <v>8101</v>
      </c>
      <c r="U1678" s="122">
        <v>3000</v>
      </c>
      <c r="V1678" s="122">
        <v>329972</v>
      </c>
      <c r="W1678" s="122">
        <f t="shared" si="52"/>
        <v>329972</v>
      </c>
      <c r="X1678" s="122">
        <f t="shared" si="53"/>
        <v>412446</v>
      </c>
    </row>
    <row r="1679" spans="2:24">
      <c r="B1679" t="s">
        <v>472</v>
      </c>
      <c r="C1679" t="s">
        <v>56</v>
      </c>
      <c r="D1679" t="s">
        <v>405</v>
      </c>
      <c r="E1679" t="s">
        <v>137</v>
      </c>
      <c r="F1679">
        <v>1</v>
      </c>
      <c r="G1679">
        <v>96</v>
      </c>
      <c r="H1679">
        <v>181</v>
      </c>
      <c r="I1679" s="122">
        <v>7612</v>
      </c>
      <c r="J1679" s="122">
        <v>6920</v>
      </c>
      <c r="K1679">
        <v>83</v>
      </c>
      <c r="L1679">
        <v>702</v>
      </c>
      <c r="M1679">
        <v>638</v>
      </c>
      <c r="N1679" s="122">
        <v>1516</v>
      </c>
      <c r="O1679">
        <v>561</v>
      </c>
      <c r="P1679">
        <v>473</v>
      </c>
      <c r="Q1679">
        <v>175</v>
      </c>
      <c r="R1679" s="122">
        <v>7035</v>
      </c>
      <c r="S1679" s="122">
        <v>2605</v>
      </c>
      <c r="T1679">
        <v>0</v>
      </c>
      <c r="U1679">
        <v>0</v>
      </c>
      <c r="V1679" s="122">
        <v>10900</v>
      </c>
      <c r="W1679" s="122">
        <f t="shared" si="52"/>
        <v>10899</v>
      </c>
      <c r="X1679" s="122">
        <f t="shared" si="53"/>
        <v>17338</v>
      </c>
    </row>
    <row r="1680" spans="2:24">
      <c r="B1680" t="s">
        <v>472</v>
      </c>
      <c r="C1680" t="s">
        <v>56</v>
      </c>
      <c r="D1680" t="s">
        <v>137</v>
      </c>
      <c r="E1680" t="s">
        <v>137</v>
      </c>
      <c r="F1680">
        <v>303</v>
      </c>
      <c r="G1680" s="122">
        <v>22839</v>
      </c>
      <c r="H1680" s="122">
        <v>59072</v>
      </c>
      <c r="I1680" s="122">
        <v>1893854</v>
      </c>
      <c r="J1680" s="122">
        <v>701428</v>
      </c>
      <c r="K1680">
        <v>112</v>
      </c>
      <c r="L1680" s="122">
        <v>179763</v>
      </c>
      <c r="M1680" s="122">
        <v>72585</v>
      </c>
      <c r="N1680" s="122">
        <v>458478</v>
      </c>
      <c r="O1680" s="122">
        <v>169807</v>
      </c>
      <c r="P1680" s="122">
        <v>2106</v>
      </c>
      <c r="Q1680">
        <v>780</v>
      </c>
      <c r="R1680" s="122">
        <v>1948886</v>
      </c>
      <c r="S1680" s="122">
        <v>721810</v>
      </c>
      <c r="T1680" s="122">
        <v>4783</v>
      </c>
      <c r="U1680" s="122">
        <v>1771</v>
      </c>
      <c r="V1680" s="122">
        <v>1668180</v>
      </c>
      <c r="W1680" s="122">
        <f t="shared" si="52"/>
        <v>1668181</v>
      </c>
      <c r="X1680" s="122">
        <f t="shared" si="53"/>
        <v>4487870</v>
      </c>
    </row>
    <row r="1681" spans="2:24">
      <c r="B1681" t="s">
        <v>472</v>
      </c>
      <c r="C1681" t="s">
        <v>56</v>
      </c>
      <c r="D1681" t="s">
        <v>406</v>
      </c>
      <c r="E1681" t="s">
        <v>137</v>
      </c>
      <c r="F1681">
        <v>2</v>
      </c>
      <c r="G1681">
        <v>123</v>
      </c>
      <c r="H1681">
        <v>382</v>
      </c>
      <c r="I1681" s="122">
        <v>8589</v>
      </c>
      <c r="J1681" s="122">
        <v>7808</v>
      </c>
      <c r="K1681">
        <v>95</v>
      </c>
      <c r="L1681">
        <v>0</v>
      </c>
      <c r="M1681">
        <v>0</v>
      </c>
      <c r="N1681" s="122">
        <v>2861</v>
      </c>
      <c r="O1681" s="122">
        <v>1059</v>
      </c>
      <c r="P1681" s="122">
        <v>1242</v>
      </c>
      <c r="Q1681">
        <v>460</v>
      </c>
      <c r="R1681" s="122">
        <v>10753</v>
      </c>
      <c r="S1681" s="122">
        <v>3983</v>
      </c>
      <c r="T1681">
        <v>0</v>
      </c>
      <c r="U1681">
        <v>0</v>
      </c>
      <c r="V1681" s="122">
        <v>13310</v>
      </c>
      <c r="W1681" s="122">
        <f t="shared" si="52"/>
        <v>13310</v>
      </c>
      <c r="X1681" s="122">
        <f t="shared" si="53"/>
        <v>23445</v>
      </c>
    </row>
    <row r="1682" spans="2:24">
      <c r="B1682" t="s">
        <v>472</v>
      </c>
      <c r="C1682" t="s">
        <v>56</v>
      </c>
      <c r="D1682" t="s">
        <v>406</v>
      </c>
      <c r="E1682" t="s">
        <v>406</v>
      </c>
      <c r="F1682">
        <v>63</v>
      </c>
      <c r="G1682" s="122">
        <v>8081</v>
      </c>
      <c r="H1682" s="122">
        <v>12021</v>
      </c>
      <c r="I1682" s="122">
        <v>824998</v>
      </c>
      <c r="J1682" s="122">
        <v>749998</v>
      </c>
      <c r="K1682">
        <v>84</v>
      </c>
      <c r="L1682" s="122">
        <v>160064</v>
      </c>
      <c r="M1682" s="122">
        <v>141296</v>
      </c>
      <c r="N1682" s="122">
        <v>160462</v>
      </c>
      <c r="O1682" s="122">
        <v>59430</v>
      </c>
      <c r="P1682" s="122">
        <v>40446</v>
      </c>
      <c r="Q1682" s="122">
        <v>14980</v>
      </c>
      <c r="R1682" s="122">
        <v>300076</v>
      </c>
      <c r="S1682" s="122">
        <v>272797</v>
      </c>
      <c r="T1682" s="122">
        <v>96709</v>
      </c>
      <c r="U1682" s="122">
        <v>35818</v>
      </c>
      <c r="V1682" s="122">
        <v>1274320</v>
      </c>
      <c r="W1682" s="122">
        <f t="shared" si="52"/>
        <v>1274319</v>
      </c>
      <c r="X1682" s="122">
        <f t="shared" si="53"/>
        <v>1582755</v>
      </c>
    </row>
    <row r="1683" spans="2:24">
      <c r="B1683" t="s">
        <v>472</v>
      </c>
      <c r="C1683" t="s">
        <v>56</v>
      </c>
      <c r="D1683" t="s">
        <v>407</v>
      </c>
      <c r="E1683" t="s">
        <v>407</v>
      </c>
      <c r="F1683">
        <v>52</v>
      </c>
      <c r="G1683" s="122">
        <v>3047</v>
      </c>
      <c r="H1683" s="122">
        <v>9527</v>
      </c>
      <c r="I1683" s="122">
        <v>278654</v>
      </c>
      <c r="J1683" s="122">
        <v>253322</v>
      </c>
      <c r="K1683">
        <v>89</v>
      </c>
      <c r="L1683" s="122">
        <v>54621</v>
      </c>
      <c r="M1683" s="122">
        <v>25746</v>
      </c>
      <c r="N1683" s="122">
        <v>53712</v>
      </c>
      <c r="O1683" s="122">
        <v>19893</v>
      </c>
      <c r="P1683" s="122">
        <v>25756</v>
      </c>
      <c r="Q1683" s="122">
        <v>9539</v>
      </c>
      <c r="R1683" s="122">
        <v>142804</v>
      </c>
      <c r="S1683" s="122">
        <v>129822</v>
      </c>
      <c r="T1683" s="122">
        <v>9046</v>
      </c>
      <c r="U1683" s="122">
        <v>3350</v>
      </c>
      <c r="V1683" s="122">
        <v>441672</v>
      </c>
      <c r="W1683" s="122">
        <f t="shared" si="52"/>
        <v>441672</v>
      </c>
      <c r="X1683" s="122">
        <f t="shared" si="53"/>
        <v>564593</v>
      </c>
    </row>
    <row r="1684" spans="2:24">
      <c r="B1684" t="s">
        <v>472</v>
      </c>
      <c r="C1684" t="s">
        <v>58</v>
      </c>
      <c r="F1684">
        <v>6</v>
      </c>
      <c r="G1684">
        <v>309</v>
      </c>
      <c r="H1684" s="122">
        <v>1559</v>
      </c>
      <c r="J1684">
        <v>0</v>
      </c>
      <c r="M1684">
        <v>0</v>
      </c>
      <c r="N1684" s="122">
        <v>5928</v>
      </c>
      <c r="O1684" s="122">
        <v>2196</v>
      </c>
      <c r="P1684" s="122">
        <v>1863</v>
      </c>
      <c r="Q1684">
        <v>690</v>
      </c>
      <c r="S1684">
        <v>0</v>
      </c>
      <c r="T1684" s="122">
        <v>6072</v>
      </c>
      <c r="U1684" s="122">
        <v>2249</v>
      </c>
      <c r="V1684" s="122">
        <v>5135</v>
      </c>
      <c r="W1684" s="122">
        <f t="shared" si="52"/>
        <v>5135</v>
      </c>
      <c r="X1684" s="122">
        <f t="shared" si="53"/>
        <v>13863</v>
      </c>
    </row>
    <row r="1685" spans="2:24">
      <c r="B1685" t="s">
        <v>472</v>
      </c>
      <c r="C1685" t="s">
        <v>58</v>
      </c>
      <c r="D1685" t="s">
        <v>425</v>
      </c>
      <c r="E1685" t="s">
        <v>425</v>
      </c>
      <c r="F1685">
        <v>2</v>
      </c>
      <c r="G1685">
        <v>111</v>
      </c>
      <c r="H1685">
        <v>481</v>
      </c>
      <c r="I1685" s="122">
        <v>9272</v>
      </c>
      <c r="J1685" s="122">
        <v>8429</v>
      </c>
      <c r="K1685">
        <v>83</v>
      </c>
      <c r="L1685" s="122">
        <v>2718</v>
      </c>
      <c r="M1685" s="122">
        <v>2471</v>
      </c>
      <c r="N1685" s="122">
        <v>2628</v>
      </c>
      <c r="O1685">
        <v>973</v>
      </c>
      <c r="P1685">
        <v>945</v>
      </c>
      <c r="Q1685">
        <v>350</v>
      </c>
      <c r="R1685" s="122">
        <v>6787</v>
      </c>
      <c r="S1685" s="122">
        <v>6170</v>
      </c>
      <c r="T1685" s="122">
        <v>4187</v>
      </c>
      <c r="U1685" s="122">
        <v>1551</v>
      </c>
      <c r="V1685" s="122">
        <v>19945</v>
      </c>
      <c r="W1685" s="122">
        <f t="shared" si="52"/>
        <v>19944</v>
      </c>
      <c r="X1685" s="122">
        <f t="shared" si="53"/>
        <v>26537</v>
      </c>
    </row>
    <row r="1686" spans="2:24">
      <c r="B1686" t="s">
        <v>472</v>
      </c>
      <c r="C1686" t="s">
        <v>58</v>
      </c>
      <c r="D1686" t="s">
        <v>405</v>
      </c>
      <c r="E1686" t="s">
        <v>405</v>
      </c>
      <c r="F1686">
        <v>7</v>
      </c>
      <c r="G1686">
        <v>426</v>
      </c>
      <c r="H1686" s="122">
        <v>1888</v>
      </c>
      <c r="I1686" s="122">
        <v>63300</v>
      </c>
      <c r="J1686" s="122">
        <v>57546</v>
      </c>
      <c r="K1686">
        <v>74</v>
      </c>
      <c r="L1686" s="122">
        <v>3431</v>
      </c>
      <c r="M1686" s="122">
        <v>2045</v>
      </c>
      <c r="N1686" s="122">
        <v>7700</v>
      </c>
      <c r="O1686" s="122">
        <v>2852</v>
      </c>
      <c r="P1686" s="122">
        <v>3186</v>
      </c>
      <c r="Q1686" s="122">
        <v>1180</v>
      </c>
      <c r="R1686" s="122">
        <v>24600</v>
      </c>
      <c r="S1686" s="122">
        <v>22363</v>
      </c>
      <c r="T1686" s="122">
        <v>11907</v>
      </c>
      <c r="U1686" s="122">
        <v>4410</v>
      </c>
      <c r="V1686" s="122">
        <v>90395</v>
      </c>
      <c r="W1686" s="122">
        <f t="shared" si="52"/>
        <v>90396</v>
      </c>
      <c r="X1686" s="122">
        <f t="shared" si="53"/>
        <v>114124</v>
      </c>
    </row>
    <row r="1687" spans="2:24">
      <c r="B1687" t="s">
        <v>472</v>
      </c>
      <c r="C1687" t="s">
        <v>58</v>
      </c>
      <c r="D1687" t="s">
        <v>137</v>
      </c>
      <c r="E1687" t="s">
        <v>425</v>
      </c>
      <c r="F1687">
        <v>1</v>
      </c>
      <c r="G1687">
        <v>48</v>
      </c>
      <c r="H1687">
        <v>280</v>
      </c>
      <c r="I1687" s="122">
        <v>11194</v>
      </c>
      <c r="J1687" s="122">
        <v>4146</v>
      </c>
      <c r="K1687">
        <v>100</v>
      </c>
      <c r="L1687">
        <v>0</v>
      </c>
      <c r="M1687">
        <v>0</v>
      </c>
      <c r="N1687">
        <v>582</v>
      </c>
      <c r="O1687">
        <v>215</v>
      </c>
      <c r="P1687">
        <v>122</v>
      </c>
      <c r="Q1687">
        <v>45</v>
      </c>
      <c r="R1687" s="122">
        <v>1474</v>
      </c>
      <c r="S1687" s="122">
        <v>1340</v>
      </c>
      <c r="T1687">
        <v>0</v>
      </c>
      <c r="U1687">
        <v>0</v>
      </c>
      <c r="V1687" s="122">
        <v>5746</v>
      </c>
      <c r="W1687" s="122">
        <f t="shared" si="52"/>
        <v>5746</v>
      </c>
      <c r="X1687" s="122">
        <f t="shared" si="53"/>
        <v>13372</v>
      </c>
    </row>
    <row r="1688" spans="2:24">
      <c r="B1688" t="s">
        <v>472</v>
      </c>
      <c r="C1688" t="s">
        <v>58</v>
      </c>
      <c r="D1688" t="s">
        <v>137</v>
      </c>
      <c r="E1688" t="s">
        <v>137</v>
      </c>
      <c r="F1688">
        <v>438</v>
      </c>
      <c r="G1688" s="122">
        <v>29865</v>
      </c>
      <c r="H1688" s="122">
        <v>115389</v>
      </c>
      <c r="I1688" s="122">
        <v>4073644</v>
      </c>
      <c r="J1688" s="122">
        <v>1508757</v>
      </c>
      <c r="K1688">
        <v>100</v>
      </c>
      <c r="L1688" s="122">
        <v>417226</v>
      </c>
      <c r="M1688" s="122">
        <v>176667</v>
      </c>
      <c r="N1688" s="122">
        <v>585649</v>
      </c>
      <c r="O1688" s="122">
        <v>216907</v>
      </c>
      <c r="P1688" s="122">
        <v>10342</v>
      </c>
      <c r="Q1688" s="122">
        <v>3830</v>
      </c>
      <c r="R1688" s="122">
        <v>2778029</v>
      </c>
      <c r="S1688" s="122">
        <v>1028900</v>
      </c>
      <c r="T1688" s="122">
        <v>2141</v>
      </c>
      <c r="U1688">
        <v>793</v>
      </c>
      <c r="V1688" s="122">
        <v>2935855</v>
      </c>
      <c r="W1688" s="122">
        <f t="shared" si="52"/>
        <v>2935854</v>
      </c>
      <c r="X1688" s="122">
        <f t="shared" si="53"/>
        <v>7867031</v>
      </c>
    </row>
    <row r="1689" spans="2:24">
      <c r="B1689" t="s">
        <v>472</v>
      </c>
      <c r="C1689" t="s">
        <v>58</v>
      </c>
      <c r="D1689" t="s">
        <v>137</v>
      </c>
      <c r="E1689" t="s">
        <v>406</v>
      </c>
      <c r="F1689">
        <v>1</v>
      </c>
      <c r="G1689">
        <v>80</v>
      </c>
      <c r="H1689">
        <v>229</v>
      </c>
      <c r="I1689" s="122">
        <v>12094</v>
      </c>
      <c r="J1689" s="122">
        <v>4479</v>
      </c>
      <c r="K1689">
        <v>100</v>
      </c>
      <c r="L1689">
        <v>0</v>
      </c>
      <c r="M1689">
        <v>0</v>
      </c>
      <c r="N1689" s="122">
        <v>1629</v>
      </c>
      <c r="O1689">
        <v>603</v>
      </c>
      <c r="P1689">
        <v>0</v>
      </c>
      <c r="Q1689">
        <v>0</v>
      </c>
      <c r="R1689" s="122">
        <v>4538</v>
      </c>
      <c r="S1689" s="122">
        <v>4125</v>
      </c>
      <c r="T1689">
        <v>0</v>
      </c>
      <c r="U1689">
        <v>0</v>
      </c>
      <c r="V1689" s="122">
        <v>9208</v>
      </c>
      <c r="W1689" s="122">
        <f t="shared" si="52"/>
        <v>9207</v>
      </c>
      <c r="X1689" s="122">
        <f t="shared" si="53"/>
        <v>18261</v>
      </c>
    </row>
    <row r="1690" spans="2:24">
      <c r="B1690" t="s">
        <v>472</v>
      </c>
      <c r="C1690" t="s">
        <v>58</v>
      </c>
      <c r="D1690" t="s">
        <v>406</v>
      </c>
      <c r="E1690" t="s">
        <v>137</v>
      </c>
      <c r="F1690">
        <v>1</v>
      </c>
      <c r="G1690">
        <v>46</v>
      </c>
      <c r="H1690">
        <v>249</v>
      </c>
      <c r="I1690" s="122">
        <v>5757</v>
      </c>
      <c r="J1690" s="122">
        <v>5234</v>
      </c>
      <c r="K1690">
        <v>70</v>
      </c>
      <c r="L1690" s="122">
        <v>1044</v>
      </c>
      <c r="M1690">
        <v>387</v>
      </c>
      <c r="N1690">
        <v>945</v>
      </c>
      <c r="O1690">
        <v>350</v>
      </c>
      <c r="P1690">
        <v>621</v>
      </c>
      <c r="Q1690">
        <v>230</v>
      </c>
      <c r="R1690" s="122">
        <v>3218</v>
      </c>
      <c r="S1690" s="122">
        <v>1192</v>
      </c>
      <c r="T1690">
        <v>0</v>
      </c>
      <c r="U1690">
        <v>0</v>
      </c>
      <c r="V1690" s="122">
        <v>7392</v>
      </c>
      <c r="W1690" s="122">
        <f t="shared" si="52"/>
        <v>7393</v>
      </c>
      <c r="X1690" s="122">
        <f t="shared" si="53"/>
        <v>11585</v>
      </c>
    </row>
    <row r="1691" spans="2:24">
      <c r="B1691" t="s">
        <v>472</v>
      </c>
      <c r="C1691" t="s">
        <v>58</v>
      </c>
      <c r="D1691" t="s">
        <v>406</v>
      </c>
      <c r="E1691" t="s">
        <v>406</v>
      </c>
      <c r="F1691">
        <v>71</v>
      </c>
      <c r="G1691" s="122">
        <v>7600</v>
      </c>
      <c r="H1691" s="122">
        <v>18563</v>
      </c>
      <c r="I1691" s="122">
        <v>1156936</v>
      </c>
      <c r="J1691" s="122">
        <v>1051760</v>
      </c>
      <c r="K1691">
        <v>81</v>
      </c>
      <c r="L1691" s="122">
        <v>206779</v>
      </c>
      <c r="M1691" s="122">
        <v>183335</v>
      </c>
      <c r="N1691" s="122">
        <v>156720</v>
      </c>
      <c r="O1691" s="122">
        <v>58045</v>
      </c>
      <c r="P1691" s="122">
        <v>49078</v>
      </c>
      <c r="Q1691" s="122">
        <v>18177</v>
      </c>
      <c r="R1691" s="122">
        <v>315523</v>
      </c>
      <c r="S1691" s="122">
        <v>286839</v>
      </c>
      <c r="T1691" s="122">
        <v>119140</v>
      </c>
      <c r="U1691" s="122">
        <v>44126</v>
      </c>
      <c r="V1691" s="122">
        <v>1642281</v>
      </c>
      <c r="W1691" s="122">
        <f t="shared" si="52"/>
        <v>1642282</v>
      </c>
      <c r="X1691" s="122">
        <f t="shared" si="53"/>
        <v>2004176</v>
      </c>
    </row>
    <row r="1692" spans="2:24">
      <c r="B1692" t="s">
        <v>472</v>
      </c>
      <c r="C1692" t="s">
        <v>58</v>
      </c>
      <c r="D1692" t="s">
        <v>407</v>
      </c>
      <c r="E1692" t="s">
        <v>407</v>
      </c>
      <c r="F1692">
        <v>14</v>
      </c>
      <c r="G1692">
        <v>708</v>
      </c>
      <c r="H1692" s="122">
        <v>3626</v>
      </c>
      <c r="I1692" s="122">
        <v>109996</v>
      </c>
      <c r="J1692" s="122">
        <v>99996</v>
      </c>
      <c r="K1692">
        <v>87</v>
      </c>
      <c r="L1692" s="122">
        <v>17620</v>
      </c>
      <c r="M1692" s="122">
        <v>8701</v>
      </c>
      <c r="N1692" s="122">
        <v>15520</v>
      </c>
      <c r="O1692" s="122">
        <v>5748</v>
      </c>
      <c r="P1692" s="122">
        <v>6615</v>
      </c>
      <c r="Q1692" s="122">
        <v>2450</v>
      </c>
      <c r="R1692" s="122">
        <v>32810</v>
      </c>
      <c r="S1692" s="122">
        <v>29827</v>
      </c>
      <c r="T1692" s="122">
        <v>2167</v>
      </c>
      <c r="U1692">
        <v>803</v>
      </c>
      <c r="V1692" s="122">
        <v>147525</v>
      </c>
      <c r="W1692" s="122">
        <f t="shared" si="52"/>
        <v>147525</v>
      </c>
      <c r="X1692" s="122">
        <f t="shared" si="53"/>
        <v>184728</v>
      </c>
    </row>
    <row r="1693" spans="2:24">
      <c r="B1693" t="s">
        <v>472</v>
      </c>
      <c r="C1693" t="s">
        <v>58</v>
      </c>
      <c r="D1693" t="s">
        <v>426</v>
      </c>
      <c r="E1693" t="s">
        <v>137</v>
      </c>
      <c r="F1693">
        <v>2</v>
      </c>
      <c r="G1693">
        <v>115</v>
      </c>
      <c r="H1693">
        <v>554</v>
      </c>
      <c r="I1693" s="122">
        <v>15508</v>
      </c>
      <c r="J1693" s="122">
        <v>14098</v>
      </c>
      <c r="K1693">
        <v>55</v>
      </c>
      <c r="L1693" s="122">
        <v>5234</v>
      </c>
      <c r="M1693" s="122">
        <v>1938</v>
      </c>
      <c r="N1693" s="122">
        <v>1675</v>
      </c>
      <c r="O1693">
        <v>620</v>
      </c>
      <c r="P1693">
        <v>702</v>
      </c>
      <c r="Q1693">
        <v>260</v>
      </c>
      <c r="R1693" s="122">
        <v>9016</v>
      </c>
      <c r="S1693" s="122">
        <v>3339</v>
      </c>
      <c r="T1693">
        <v>0</v>
      </c>
      <c r="U1693">
        <v>0</v>
      </c>
      <c r="V1693" s="122">
        <v>20256</v>
      </c>
      <c r="W1693" s="122">
        <f t="shared" si="52"/>
        <v>20255</v>
      </c>
      <c r="X1693" s="122">
        <f t="shared" si="53"/>
        <v>32135</v>
      </c>
    </row>
    <row r="1694" spans="2:24">
      <c r="B1694" t="s">
        <v>472</v>
      </c>
      <c r="C1694" t="s">
        <v>58</v>
      </c>
      <c r="D1694" t="s">
        <v>426</v>
      </c>
      <c r="E1694" t="s">
        <v>426</v>
      </c>
      <c r="F1694">
        <v>5</v>
      </c>
      <c r="G1694">
        <v>358</v>
      </c>
      <c r="H1694" s="122">
        <v>1349</v>
      </c>
      <c r="I1694" s="122">
        <v>52136</v>
      </c>
      <c r="J1694" s="122">
        <v>47396</v>
      </c>
      <c r="K1694">
        <v>61</v>
      </c>
      <c r="L1694" s="122">
        <v>6748</v>
      </c>
      <c r="M1694" s="122">
        <v>3726</v>
      </c>
      <c r="N1694" s="122">
        <v>7064</v>
      </c>
      <c r="O1694" s="122">
        <v>2616</v>
      </c>
      <c r="P1694" s="122">
        <v>2025</v>
      </c>
      <c r="Q1694">
        <v>750</v>
      </c>
      <c r="R1694" s="122">
        <v>19450</v>
      </c>
      <c r="S1694" s="122">
        <v>17682</v>
      </c>
      <c r="T1694" s="122">
        <v>8919</v>
      </c>
      <c r="U1694" s="122">
        <v>3303</v>
      </c>
      <c r="V1694" s="122">
        <v>75474</v>
      </c>
      <c r="W1694" s="122">
        <f t="shared" si="52"/>
        <v>75473</v>
      </c>
      <c r="X1694" s="122">
        <f t="shared" si="53"/>
        <v>96342</v>
      </c>
    </row>
    <row r="1695" spans="2:24">
      <c r="B1695" t="s">
        <v>472</v>
      </c>
      <c r="C1695" t="s">
        <v>60</v>
      </c>
      <c r="D1695" t="s">
        <v>425</v>
      </c>
      <c r="E1695" t="s">
        <v>425</v>
      </c>
      <c r="F1695">
        <v>3</v>
      </c>
      <c r="G1695">
        <v>150</v>
      </c>
      <c r="H1695">
        <v>978</v>
      </c>
      <c r="I1695" s="122">
        <v>22522</v>
      </c>
      <c r="J1695" s="122">
        <v>20475</v>
      </c>
      <c r="K1695">
        <v>68</v>
      </c>
      <c r="L1695" s="122">
        <v>6421</v>
      </c>
      <c r="M1695" s="122">
        <v>5838</v>
      </c>
      <c r="N1695" s="122">
        <v>3062</v>
      </c>
      <c r="O1695" s="122">
        <v>1134</v>
      </c>
      <c r="P1695" s="122">
        <v>1418</v>
      </c>
      <c r="Q1695">
        <v>525</v>
      </c>
      <c r="R1695" s="122">
        <v>10286</v>
      </c>
      <c r="S1695" s="122">
        <v>9351</v>
      </c>
      <c r="T1695" s="122">
        <v>4788</v>
      </c>
      <c r="U1695" s="122">
        <v>1773</v>
      </c>
      <c r="V1695" s="122">
        <v>39096</v>
      </c>
      <c r="W1695" s="122">
        <f t="shared" si="52"/>
        <v>39096</v>
      </c>
      <c r="X1695" s="122">
        <f t="shared" si="53"/>
        <v>48497</v>
      </c>
    </row>
    <row r="1696" spans="2:24">
      <c r="B1696" t="s">
        <v>472</v>
      </c>
      <c r="C1696" t="s">
        <v>60</v>
      </c>
      <c r="D1696" t="s">
        <v>137</v>
      </c>
      <c r="E1696" t="s">
        <v>137</v>
      </c>
      <c r="F1696">
        <v>194</v>
      </c>
      <c r="G1696" s="122">
        <v>12447</v>
      </c>
      <c r="H1696" s="122">
        <v>64670</v>
      </c>
      <c r="I1696" s="122">
        <v>2411099</v>
      </c>
      <c r="J1696" s="122">
        <v>892999</v>
      </c>
      <c r="K1696">
        <v>100</v>
      </c>
      <c r="L1696" s="122">
        <v>268285</v>
      </c>
      <c r="M1696" s="122">
        <v>130972</v>
      </c>
      <c r="N1696" s="122">
        <v>244123</v>
      </c>
      <c r="O1696" s="122">
        <v>90416</v>
      </c>
      <c r="P1696" s="122">
        <v>4603</v>
      </c>
      <c r="Q1696" s="122">
        <v>1705</v>
      </c>
      <c r="R1696" s="122">
        <v>1220338</v>
      </c>
      <c r="S1696" s="122">
        <v>451977</v>
      </c>
      <c r="T1696">
        <v>0</v>
      </c>
      <c r="U1696">
        <v>0</v>
      </c>
      <c r="V1696" s="122">
        <v>1568070</v>
      </c>
      <c r="W1696" s="122">
        <f t="shared" si="52"/>
        <v>1568069</v>
      </c>
      <c r="X1696" s="122">
        <f t="shared" si="53"/>
        <v>4148448</v>
      </c>
    </row>
    <row r="1697" spans="2:24">
      <c r="B1697" t="s">
        <v>472</v>
      </c>
      <c r="C1697" t="s">
        <v>60</v>
      </c>
      <c r="D1697" t="s">
        <v>406</v>
      </c>
      <c r="E1697" t="s">
        <v>137</v>
      </c>
      <c r="F1697">
        <v>1</v>
      </c>
      <c r="G1697">
        <v>40</v>
      </c>
      <c r="H1697">
        <v>312</v>
      </c>
      <c r="I1697" s="122">
        <v>6030</v>
      </c>
      <c r="J1697" s="122">
        <v>5481</v>
      </c>
      <c r="K1697">
        <v>79</v>
      </c>
      <c r="L1697" s="122">
        <v>1233</v>
      </c>
      <c r="M1697">
        <v>457</v>
      </c>
      <c r="N1697">
        <v>982</v>
      </c>
      <c r="O1697">
        <v>364</v>
      </c>
      <c r="P1697">
        <v>621</v>
      </c>
      <c r="Q1697">
        <v>230</v>
      </c>
      <c r="R1697" s="122">
        <v>3696</v>
      </c>
      <c r="S1697" s="122">
        <v>1369</v>
      </c>
      <c r="T1697">
        <v>0</v>
      </c>
      <c r="U1697">
        <v>0</v>
      </c>
      <c r="V1697" s="122">
        <v>7901</v>
      </c>
      <c r="W1697" s="122">
        <f t="shared" si="52"/>
        <v>7901</v>
      </c>
      <c r="X1697" s="122">
        <f t="shared" si="53"/>
        <v>12562</v>
      </c>
    </row>
    <row r="1698" spans="2:24">
      <c r="B1698" t="s">
        <v>472</v>
      </c>
      <c r="C1698" t="s">
        <v>60</v>
      </c>
      <c r="D1698" t="s">
        <v>406</v>
      </c>
      <c r="E1698" t="s">
        <v>406</v>
      </c>
      <c r="F1698">
        <v>21</v>
      </c>
      <c r="G1698" s="122">
        <v>1998</v>
      </c>
      <c r="H1698" s="122">
        <v>7191</v>
      </c>
      <c r="I1698" s="122">
        <v>420207</v>
      </c>
      <c r="J1698" s="122">
        <v>382006</v>
      </c>
      <c r="K1698">
        <v>76</v>
      </c>
      <c r="L1698" s="122">
        <v>73385</v>
      </c>
      <c r="M1698" s="122">
        <v>66482</v>
      </c>
      <c r="N1698" s="122">
        <v>39802</v>
      </c>
      <c r="O1698" s="122">
        <v>14741</v>
      </c>
      <c r="P1698" s="122">
        <v>13392</v>
      </c>
      <c r="Q1698" s="122">
        <v>4960</v>
      </c>
      <c r="R1698" s="122">
        <v>113446</v>
      </c>
      <c r="S1698" s="122">
        <v>103133</v>
      </c>
      <c r="T1698" s="122">
        <v>27051</v>
      </c>
      <c r="U1698" s="122">
        <v>10019</v>
      </c>
      <c r="V1698" s="122">
        <v>581341</v>
      </c>
      <c r="W1698" s="122">
        <f t="shared" si="52"/>
        <v>581341</v>
      </c>
      <c r="X1698" s="122">
        <f t="shared" si="53"/>
        <v>687283</v>
      </c>
    </row>
    <row r="1699" spans="2:24">
      <c r="B1699" t="s">
        <v>472</v>
      </c>
      <c r="C1699" t="s">
        <v>60</v>
      </c>
      <c r="D1699" t="s">
        <v>407</v>
      </c>
      <c r="E1699" t="s">
        <v>407</v>
      </c>
      <c r="F1699">
        <v>1</v>
      </c>
      <c r="G1699">
        <v>226</v>
      </c>
      <c r="H1699">
        <v>339</v>
      </c>
      <c r="I1699" s="122">
        <v>48905</v>
      </c>
      <c r="J1699" s="122">
        <v>44459</v>
      </c>
      <c r="K1699">
        <v>90</v>
      </c>
      <c r="L1699" s="122">
        <v>12031</v>
      </c>
      <c r="M1699" s="122">
        <v>4456</v>
      </c>
      <c r="N1699" s="122">
        <v>5083</v>
      </c>
      <c r="O1699" s="122">
        <v>1883</v>
      </c>
      <c r="P1699" s="122">
        <v>1773</v>
      </c>
      <c r="Q1699">
        <v>657</v>
      </c>
      <c r="R1699" s="122">
        <v>4342</v>
      </c>
      <c r="S1699" s="122">
        <v>3947</v>
      </c>
      <c r="T1699" s="122">
        <v>4191</v>
      </c>
      <c r="U1699" s="122">
        <v>1552</v>
      </c>
      <c r="V1699" s="122">
        <v>56953</v>
      </c>
      <c r="W1699" s="122">
        <f t="shared" si="52"/>
        <v>56954</v>
      </c>
      <c r="X1699" s="122">
        <f t="shared" si="53"/>
        <v>76325</v>
      </c>
    </row>
    <row r="1700" spans="2:24">
      <c r="B1700" t="s">
        <v>472</v>
      </c>
      <c r="C1700" t="s">
        <v>60</v>
      </c>
      <c r="D1700" t="s">
        <v>431</v>
      </c>
      <c r="E1700" t="s">
        <v>431</v>
      </c>
      <c r="F1700">
        <v>1</v>
      </c>
      <c r="G1700">
        <v>108</v>
      </c>
      <c r="H1700">
        <v>352</v>
      </c>
      <c r="I1700" s="122">
        <v>23392</v>
      </c>
      <c r="J1700" s="122">
        <v>21266</v>
      </c>
      <c r="K1700">
        <v>65</v>
      </c>
      <c r="L1700" s="122">
        <v>5631</v>
      </c>
      <c r="M1700" s="122">
        <v>5119</v>
      </c>
      <c r="N1700" s="122">
        <v>1712</v>
      </c>
      <c r="O1700">
        <v>634</v>
      </c>
      <c r="P1700">
        <v>351</v>
      </c>
      <c r="Q1700">
        <v>130</v>
      </c>
      <c r="R1700" s="122">
        <v>4489</v>
      </c>
      <c r="S1700" s="122">
        <v>4080</v>
      </c>
      <c r="T1700" s="122">
        <v>2440</v>
      </c>
      <c r="U1700">
        <v>904</v>
      </c>
      <c r="V1700" s="122">
        <v>32133</v>
      </c>
      <c r="W1700" s="122">
        <f t="shared" si="52"/>
        <v>32133</v>
      </c>
      <c r="X1700" s="122">
        <f t="shared" si="53"/>
        <v>38015</v>
      </c>
    </row>
    <row r="1701" spans="2:24">
      <c r="B1701" t="s">
        <v>472</v>
      </c>
      <c r="C1701" t="s">
        <v>60</v>
      </c>
      <c r="D1701" t="s">
        <v>426</v>
      </c>
      <c r="E1701" t="s">
        <v>137</v>
      </c>
      <c r="F1701">
        <v>2</v>
      </c>
      <c r="G1701">
        <v>83</v>
      </c>
      <c r="H1701">
        <v>700</v>
      </c>
      <c r="I1701" s="122">
        <v>19826</v>
      </c>
      <c r="J1701" s="122">
        <v>18024</v>
      </c>
      <c r="K1701">
        <v>48</v>
      </c>
      <c r="L1701" s="122">
        <v>1465</v>
      </c>
      <c r="M1701">
        <v>542</v>
      </c>
      <c r="N1701" s="122">
        <v>1645</v>
      </c>
      <c r="O1701">
        <v>609</v>
      </c>
      <c r="P1701">
        <v>0</v>
      </c>
      <c r="Q1701">
        <v>0</v>
      </c>
      <c r="R1701" s="122">
        <v>6242</v>
      </c>
      <c r="S1701" s="122">
        <v>2312</v>
      </c>
      <c r="T1701">
        <v>0</v>
      </c>
      <c r="U1701">
        <v>0</v>
      </c>
      <c r="V1701" s="122">
        <v>21487</v>
      </c>
      <c r="W1701" s="122">
        <f t="shared" si="52"/>
        <v>21487</v>
      </c>
      <c r="X1701" s="122">
        <f t="shared" si="53"/>
        <v>29178</v>
      </c>
    </row>
    <row r="1702" spans="2:24">
      <c r="B1702" t="s">
        <v>472</v>
      </c>
      <c r="C1702" t="s">
        <v>60</v>
      </c>
      <c r="D1702" t="s">
        <v>426</v>
      </c>
      <c r="E1702" t="s">
        <v>426</v>
      </c>
      <c r="F1702">
        <v>4</v>
      </c>
      <c r="G1702">
        <v>301</v>
      </c>
      <c r="H1702" s="122">
        <v>1438</v>
      </c>
      <c r="I1702" s="122">
        <v>63410</v>
      </c>
      <c r="J1702" s="122">
        <v>57646</v>
      </c>
      <c r="K1702">
        <v>58</v>
      </c>
      <c r="L1702" s="122">
        <v>7659</v>
      </c>
      <c r="M1702" s="122">
        <v>6053</v>
      </c>
      <c r="N1702" s="122">
        <v>6468</v>
      </c>
      <c r="O1702" s="122">
        <v>2396</v>
      </c>
      <c r="P1702" s="122">
        <v>1404</v>
      </c>
      <c r="Q1702">
        <v>520</v>
      </c>
      <c r="R1702" s="122">
        <v>21068</v>
      </c>
      <c r="S1702" s="122">
        <v>19152</v>
      </c>
      <c r="T1702" s="122">
        <v>6728</v>
      </c>
      <c r="U1702" s="122">
        <v>2492</v>
      </c>
      <c r="V1702" s="122">
        <v>88258</v>
      </c>
      <c r="W1702" s="122">
        <f t="shared" si="52"/>
        <v>88259</v>
      </c>
      <c r="X1702" s="122">
        <f t="shared" si="53"/>
        <v>106737</v>
      </c>
    </row>
    <row r="1703" spans="2:24">
      <c r="B1703" t="s">
        <v>472</v>
      </c>
      <c r="C1703" t="s">
        <v>62</v>
      </c>
      <c r="D1703" t="s">
        <v>137</v>
      </c>
      <c r="E1703" t="s">
        <v>404</v>
      </c>
      <c r="F1703">
        <v>1</v>
      </c>
      <c r="G1703">
        <v>71</v>
      </c>
      <c r="H1703">
        <v>411</v>
      </c>
      <c r="I1703" s="122">
        <v>18497</v>
      </c>
      <c r="J1703" s="122">
        <v>6851</v>
      </c>
      <c r="K1703">
        <v>100</v>
      </c>
      <c r="L1703" s="122">
        <v>3264</v>
      </c>
      <c r="M1703" s="122">
        <v>1209</v>
      </c>
      <c r="N1703" s="122">
        <v>1238</v>
      </c>
      <c r="O1703">
        <v>459</v>
      </c>
      <c r="P1703">
        <v>0</v>
      </c>
      <c r="Q1703">
        <v>0</v>
      </c>
      <c r="R1703" s="122">
        <v>6195</v>
      </c>
      <c r="S1703" s="122">
        <v>2294</v>
      </c>
      <c r="T1703">
        <v>0</v>
      </c>
      <c r="U1703">
        <v>0</v>
      </c>
      <c r="V1703" s="122">
        <v>10813</v>
      </c>
      <c r="W1703" s="122">
        <f t="shared" si="52"/>
        <v>10813</v>
      </c>
      <c r="X1703" s="122">
        <f t="shared" si="53"/>
        <v>29194</v>
      </c>
    </row>
    <row r="1704" spans="2:24">
      <c r="B1704" t="s">
        <v>472</v>
      </c>
      <c r="C1704" t="s">
        <v>62</v>
      </c>
      <c r="D1704" t="s">
        <v>137</v>
      </c>
      <c r="E1704" t="s">
        <v>137</v>
      </c>
      <c r="F1704">
        <v>63</v>
      </c>
      <c r="G1704" s="122">
        <v>3576</v>
      </c>
      <c r="H1704" s="122">
        <v>26057</v>
      </c>
      <c r="I1704" s="122">
        <v>939650</v>
      </c>
      <c r="J1704" s="122">
        <v>348019</v>
      </c>
      <c r="K1704">
        <v>100</v>
      </c>
      <c r="L1704" s="122">
        <v>93148</v>
      </c>
      <c r="M1704" s="122">
        <v>48327</v>
      </c>
      <c r="N1704" s="122">
        <v>71219</v>
      </c>
      <c r="O1704" s="122">
        <v>26377</v>
      </c>
      <c r="P1704">
        <v>317</v>
      </c>
      <c r="Q1704">
        <v>118</v>
      </c>
      <c r="R1704" s="122">
        <v>373279</v>
      </c>
      <c r="S1704" s="122">
        <v>138251</v>
      </c>
      <c r="T1704">
        <v>0</v>
      </c>
      <c r="U1704">
        <v>0</v>
      </c>
      <c r="V1704" s="122">
        <v>561092</v>
      </c>
      <c r="W1704" s="122">
        <f t="shared" si="52"/>
        <v>561092</v>
      </c>
      <c r="X1704" s="122">
        <f t="shared" si="53"/>
        <v>1477613</v>
      </c>
    </row>
    <row r="1705" spans="2:24">
      <c r="B1705" t="s">
        <v>472</v>
      </c>
      <c r="C1705" t="s">
        <v>62</v>
      </c>
      <c r="D1705" t="s">
        <v>406</v>
      </c>
      <c r="E1705" t="s">
        <v>406</v>
      </c>
      <c r="F1705">
        <v>18</v>
      </c>
      <c r="G1705" s="122">
        <v>1603</v>
      </c>
      <c r="H1705" s="122">
        <v>7531</v>
      </c>
      <c r="I1705" s="122">
        <v>436073</v>
      </c>
      <c r="J1705" s="122">
        <v>396430</v>
      </c>
      <c r="K1705">
        <v>76</v>
      </c>
      <c r="L1705" s="122">
        <v>83716</v>
      </c>
      <c r="M1705" s="122">
        <v>69616</v>
      </c>
      <c r="N1705" s="122">
        <v>35986</v>
      </c>
      <c r="O1705" s="122">
        <v>13328</v>
      </c>
      <c r="P1705" s="122">
        <v>11880</v>
      </c>
      <c r="Q1705" s="122">
        <v>4400</v>
      </c>
      <c r="R1705" s="122">
        <v>79274</v>
      </c>
      <c r="S1705" s="122">
        <v>72067</v>
      </c>
      <c r="T1705" s="122">
        <v>19560</v>
      </c>
      <c r="U1705" s="122">
        <v>7244</v>
      </c>
      <c r="V1705" s="122">
        <v>563085</v>
      </c>
      <c r="W1705" s="122">
        <f t="shared" si="52"/>
        <v>563085</v>
      </c>
      <c r="X1705" s="122">
        <f t="shared" si="53"/>
        <v>666489</v>
      </c>
    </row>
    <row r="1706" spans="2:24">
      <c r="B1706" t="s">
        <v>472</v>
      </c>
      <c r="C1706" t="s">
        <v>62</v>
      </c>
      <c r="D1706" t="s">
        <v>431</v>
      </c>
      <c r="E1706" t="s">
        <v>431</v>
      </c>
      <c r="F1706">
        <v>1</v>
      </c>
      <c r="G1706">
        <v>89</v>
      </c>
      <c r="H1706">
        <v>422</v>
      </c>
      <c r="I1706" s="122">
        <v>24775</v>
      </c>
      <c r="J1706" s="122">
        <v>22523</v>
      </c>
      <c r="K1706">
        <v>45</v>
      </c>
      <c r="L1706" s="122">
        <v>2065</v>
      </c>
      <c r="M1706" s="122">
        <v>1877</v>
      </c>
      <c r="N1706" s="122">
        <v>1896</v>
      </c>
      <c r="O1706">
        <v>702</v>
      </c>
      <c r="P1706">
        <v>351</v>
      </c>
      <c r="Q1706">
        <v>130</v>
      </c>
      <c r="R1706" s="122">
        <v>6196</v>
      </c>
      <c r="S1706" s="122">
        <v>5633</v>
      </c>
      <c r="T1706" s="122">
        <v>2284</v>
      </c>
      <c r="U1706">
        <v>846</v>
      </c>
      <c r="V1706" s="122">
        <v>31711</v>
      </c>
      <c r="W1706" s="122">
        <f t="shared" si="52"/>
        <v>31711</v>
      </c>
      <c r="X1706" s="122">
        <f t="shared" si="53"/>
        <v>37567</v>
      </c>
    </row>
    <row r="1707" spans="2:24">
      <c r="B1707" t="s">
        <v>472</v>
      </c>
      <c r="C1707" t="s">
        <v>62</v>
      </c>
      <c r="D1707" t="s">
        <v>426</v>
      </c>
      <c r="E1707" t="s">
        <v>426</v>
      </c>
      <c r="F1707">
        <v>4</v>
      </c>
      <c r="G1707">
        <v>300</v>
      </c>
      <c r="H1707" s="122">
        <v>1631</v>
      </c>
      <c r="I1707" s="122">
        <v>68024</v>
      </c>
      <c r="J1707" s="122">
        <v>61840</v>
      </c>
      <c r="K1707">
        <v>48</v>
      </c>
      <c r="L1707" s="122">
        <v>12101</v>
      </c>
      <c r="M1707" s="122">
        <v>9631</v>
      </c>
      <c r="N1707" s="122">
        <v>5408</v>
      </c>
      <c r="O1707" s="122">
        <v>2003</v>
      </c>
      <c r="P1707" s="122">
        <v>1404</v>
      </c>
      <c r="Q1707">
        <v>520</v>
      </c>
      <c r="R1707" s="122">
        <v>26627</v>
      </c>
      <c r="S1707" s="122">
        <v>24206</v>
      </c>
      <c r="T1707" s="122">
        <v>7729</v>
      </c>
      <c r="U1707" s="122">
        <v>2863</v>
      </c>
      <c r="V1707" s="122">
        <v>101063</v>
      </c>
      <c r="W1707" s="122">
        <f t="shared" ref="W1707:W1770" si="54">SUM(ABS(J1707),ABS(M1707),ABS(O1707),ABS(Q1707),ABS(S1707),ABS(U1707))</f>
        <v>101063</v>
      </c>
      <c r="X1707" s="122">
        <f t="shared" ref="X1707:X1770" si="55">SUM(ABS(I1707),ABS(N1707),ABS(P1707),ABS(R1707),ABS(T1707),ABS(L1707))</f>
        <v>121293</v>
      </c>
    </row>
    <row r="1708" spans="2:24">
      <c r="B1708" t="s">
        <v>472</v>
      </c>
      <c r="C1708" t="s">
        <v>64</v>
      </c>
      <c r="F1708">
        <v>4</v>
      </c>
      <c r="G1708">
        <v>284</v>
      </c>
      <c r="H1708" s="122">
        <v>1991</v>
      </c>
      <c r="J1708">
        <v>0</v>
      </c>
      <c r="M1708">
        <v>0</v>
      </c>
      <c r="N1708" s="122">
        <v>5480</v>
      </c>
      <c r="O1708" s="122">
        <v>2030</v>
      </c>
      <c r="P1708" s="122">
        <v>1863</v>
      </c>
      <c r="Q1708">
        <v>690</v>
      </c>
      <c r="S1708">
        <v>0</v>
      </c>
      <c r="T1708" s="122">
        <v>6243</v>
      </c>
      <c r="U1708" s="122">
        <v>2312</v>
      </c>
      <c r="V1708" s="122">
        <v>5032</v>
      </c>
      <c r="W1708" s="122">
        <f t="shared" si="54"/>
        <v>5032</v>
      </c>
      <c r="X1708" s="122">
        <f t="shared" si="55"/>
        <v>13586</v>
      </c>
    </row>
    <row r="1709" spans="2:24">
      <c r="B1709" t="s">
        <v>472</v>
      </c>
      <c r="C1709" t="s">
        <v>64</v>
      </c>
      <c r="D1709" t="s">
        <v>425</v>
      </c>
      <c r="E1709" t="s">
        <v>425</v>
      </c>
      <c r="F1709">
        <v>1</v>
      </c>
      <c r="G1709">
        <v>60</v>
      </c>
      <c r="H1709">
        <v>582</v>
      </c>
      <c r="I1709" s="122">
        <v>18385</v>
      </c>
      <c r="J1709" s="122">
        <v>16714</v>
      </c>
      <c r="K1709">
        <v>73</v>
      </c>
      <c r="L1709" s="122">
        <v>4726</v>
      </c>
      <c r="M1709" s="122">
        <v>4296</v>
      </c>
      <c r="N1709" s="122">
        <v>1202</v>
      </c>
      <c r="O1709">
        <v>445</v>
      </c>
      <c r="P1709">
        <v>351</v>
      </c>
      <c r="Q1709">
        <v>130</v>
      </c>
      <c r="R1709" s="122">
        <v>6210</v>
      </c>
      <c r="S1709" s="122">
        <v>5646</v>
      </c>
      <c r="T1709" s="122">
        <v>4120</v>
      </c>
      <c r="U1709" s="122">
        <v>1526</v>
      </c>
      <c r="V1709" s="122">
        <v>28757</v>
      </c>
      <c r="W1709" s="122">
        <f t="shared" si="54"/>
        <v>28757</v>
      </c>
      <c r="X1709" s="122">
        <f t="shared" si="55"/>
        <v>34994</v>
      </c>
    </row>
    <row r="1710" spans="2:24">
      <c r="B1710" t="s">
        <v>472</v>
      </c>
      <c r="C1710" t="s">
        <v>64</v>
      </c>
      <c r="D1710" t="s">
        <v>405</v>
      </c>
      <c r="E1710" t="s">
        <v>431</v>
      </c>
      <c r="F1710">
        <v>1</v>
      </c>
      <c r="G1710">
        <v>103</v>
      </c>
      <c r="H1710">
        <v>571</v>
      </c>
      <c r="I1710" s="122">
        <v>44116</v>
      </c>
      <c r="J1710" s="122">
        <v>40105</v>
      </c>
      <c r="K1710">
        <v>86</v>
      </c>
      <c r="L1710" s="122">
        <v>6176</v>
      </c>
      <c r="M1710" s="122">
        <v>5615</v>
      </c>
      <c r="N1710" s="122">
        <v>2096</v>
      </c>
      <c r="O1710">
        <v>776</v>
      </c>
      <c r="P1710">
        <v>473</v>
      </c>
      <c r="Q1710">
        <v>175</v>
      </c>
      <c r="R1710" s="122">
        <v>3954</v>
      </c>
      <c r="S1710" s="122">
        <v>3595</v>
      </c>
      <c r="T1710" s="122">
        <v>2020</v>
      </c>
      <c r="U1710">
        <v>748</v>
      </c>
      <c r="V1710" s="122">
        <v>51014</v>
      </c>
      <c r="W1710" s="122">
        <f t="shared" si="54"/>
        <v>51014</v>
      </c>
      <c r="X1710" s="122">
        <f t="shared" si="55"/>
        <v>58835</v>
      </c>
    </row>
    <row r="1711" spans="2:24">
      <c r="B1711" t="s">
        <v>472</v>
      </c>
      <c r="C1711" t="s">
        <v>64</v>
      </c>
      <c r="D1711" t="s">
        <v>137</v>
      </c>
      <c r="E1711" t="s">
        <v>137</v>
      </c>
      <c r="F1711">
        <v>72</v>
      </c>
      <c r="G1711" s="122">
        <v>3691</v>
      </c>
      <c r="H1711" s="122">
        <v>43921</v>
      </c>
      <c r="I1711" s="122">
        <v>1623797</v>
      </c>
      <c r="J1711" s="122">
        <v>601406</v>
      </c>
      <c r="K1711">
        <v>100</v>
      </c>
      <c r="L1711" s="122">
        <v>150214</v>
      </c>
      <c r="M1711" s="122">
        <v>71033</v>
      </c>
      <c r="N1711" s="122">
        <v>82238</v>
      </c>
      <c r="O1711" s="122">
        <v>30458</v>
      </c>
      <c r="P1711">
        <v>0</v>
      </c>
      <c r="Q1711">
        <v>0</v>
      </c>
      <c r="R1711" s="122">
        <v>383978</v>
      </c>
      <c r="S1711" s="122">
        <v>142214</v>
      </c>
      <c r="T1711">
        <v>0</v>
      </c>
      <c r="U1711">
        <v>0</v>
      </c>
      <c r="V1711" s="122">
        <v>845112</v>
      </c>
      <c r="W1711" s="122">
        <f t="shared" si="54"/>
        <v>845111</v>
      </c>
      <c r="X1711" s="122">
        <f t="shared" si="55"/>
        <v>2240227</v>
      </c>
    </row>
    <row r="1712" spans="2:24">
      <c r="B1712" t="s">
        <v>472</v>
      </c>
      <c r="C1712" t="s">
        <v>64</v>
      </c>
      <c r="D1712" t="s">
        <v>137</v>
      </c>
      <c r="E1712" t="s">
        <v>426</v>
      </c>
      <c r="F1712">
        <v>1</v>
      </c>
      <c r="G1712">
        <v>91</v>
      </c>
      <c r="H1712">
        <v>674</v>
      </c>
      <c r="I1712" s="122">
        <v>44375</v>
      </c>
      <c r="J1712" s="122">
        <v>16435</v>
      </c>
      <c r="K1712">
        <v>100</v>
      </c>
      <c r="L1712" s="122">
        <v>6696</v>
      </c>
      <c r="M1712" s="122">
        <v>6087</v>
      </c>
      <c r="N1712" s="122">
        <v>1225</v>
      </c>
      <c r="O1712">
        <v>454</v>
      </c>
      <c r="P1712">
        <v>0</v>
      </c>
      <c r="Q1712">
        <v>0</v>
      </c>
      <c r="R1712" s="122">
        <v>6749</v>
      </c>
      <c r="S1712" s="122">
        <v>6136</v>
      </c>
      <c r="T1712" s="122">
        <v>2585</v>
      </c>
      <c r="U1712">
        <v>957</v>
      </c>
      <c r="V1712" s="122">
        <v>30069</v>
      </c>
      <c r="W1712" s="122">
        <f t="shared" si="54"/>
        <v>30069</v>
      </c>
      <c r="X1712" s="122">
        <f t="shared" si="55"/>
        <v>61630</v>
      </c>
    </row>
    <row r="1713" spans="2:24">
      <c r="B1713" t="s">
        <v>472</v>
      </c>
      <c r="C1713" t="s">
        <v>64</v>
      </c>
      <c r="D1713" t="s">
        <v>406</v>
      </c>
      <c r="E1713" t="s">
        <v>406</v>
      </c>
      <c r="F1713">
        <v>8</v>
      </c>
      <c r="G1713">
        <v>766</v>
      </c>
      <c r="H1713" s="122">
        <v>4034</v>
      </c>
      <c r="I1713" s="122">
        <v>264318</v>
      </c>
      <c r="J1713" s="122">
        <v>240289</v>
      </c>
      <c r="K1713">
        <v>79</v>
      </c>
      <c r="L1713" s="122">
        <v>58057</v>
      </c>
      <c r="M1713" s="122">
        <v>52780</v>
      </c>
      <c r="N1713" s="122">
        <v>16383</v>
      </c>
      <c r="O1713" s="122">
        <v>6068</v>
      </c>
      <c r="P1713" s="122">
        <v>5319</v>
      </c>
      <c r="Q1713" s="122">
        <v>1970</v>
      </c>
      <c r="R1713" s="122">
        <v>33912</v>
      </c>
      <c r="S1713" s="122">
        <v>30829</v>
      </c>
      <c r="T1713" s="122">
        <v>9307</v>
      </c>
      <c r="U1713" s="122">
        <v>3447</v>
      </c>
      <c r="V1713" s="122">
        <v>335382</v>
      </c>
      <c r="W1713" s="122">
        <f t="shared" si="54"/>
        <v>335383</v>
      </c>
      <c r="X1713" s="122">
        <f t="shared" si="55"/>
        <v>387296</v>
      </c>
    </row>
    <row r="1714" spans="2:24">
      <c r="B1714" t="s">
        <v>472</v>
      </c>
      <c r="C1714" t="s">
        <v>64</v>
      </c>
      <c r="D1714" t="s">
        <v>431</v>
      </c>
      <c r="E1714" t="s">
        <v>431</v>
      </c>
      <c r="F1714">
        <v>1</v>
      </c>
      <c r="G1714">
        <v>83</v>
      </c>
      <c r="H1714">
        <v>551</v>
      </c>
      <c r="I1714" s="122">
        <v>31345</v>
      </c>
      <c r="J1714" s="122">
        <v>28496</v>
      </c>
      <c r="K1714">
        <v>45</v>
      </c>
      <c r="L1714" s="122">
        <v>5224</v>
      </c>
      <c r="M1714" s="122">
        <v>4749</v>
      </c>
      <c r="N1714" s="122">
        <v>1512</v>
      </c>
      <c r="O1714">
        <v>560</v>
      </c>
      <c r="P1714">
        <v>473</v>
      </c>
      <c r="Q1714">
        <v>175</v>
      </c>
      <c r="R1714" s="122">
        <v>5228</v>
      </c>
      <c r="S1714" s="122">
        <v>4753</v>
      </c>
      <c r="T1714" s="122">
        <v>1757</v>
      </c>
      <c r="U1714">
        <v>651</v>
      </c>
      <c r="V1714" s="122">
        <v>39383</v>
      </c>
      <c r="W1714" s="122">
        <f t="shared" si="54"/>
        <v>39384</v>
      </c>
      <c r="X1714" s="122">
        <f t="shared" si="55"/>
        <v>45539</v>
      </c>
    </row>
    <row r="1715" spans="2:24">
      <c r="B1715" t="s">
        <v>472</v>
      </c>
      <c r="C1715" t="s">
        <v>64</v>
      </c>
      <c r="D1715" t="s">
        <v>426</v>
      </c>
      <c r="E1715" t="s">
        <v>137</v>
      </c>
      <c r="F1715">
        <v>1</v>
      </c>
      <c r="G1715">
        <v>53</v>
      </c>
      <c r="H1715">
        <v>849</v>
      </c>
      <c r="I1715" s="122">
        <v>35737</v>
      </c>
      <c r="J1715" s="122">
        <v>32488</v>
      </c>
      <c r="K1715">
        <v>30</v>
      </c>
      <c r="L1715" s="122">
        <v>4412</v>
      </c>
      <c r="M1715" s="122">
        <v>1634</v>
      </c>
      <c r="N1715" s="122">
        <v>1295</v>
      </c>
      <c r="O1715">
        <v>480</v>
      </c>
      <c r="P1715">
        <v>0</v>
      </c>
      <c r="Q1715">
        <v>0</v>
      </c>
      <c r="R1715" s="122">
        <v>3651</v>
      </c>
      <c r="S1715" s="122">
        <v>1352</v>
      </c>
      <c r="T1715">
        <v>0</v>
      </c>
      <c r="U1715">
        <v>0</v>
      </c>
      <c r="V1715" s="122">
        <v>35954</v>
      </c>
      <c r="W1715" s="122">
        <f t="shared" si="54"/>
        <v>35954</v>
      </c>
      <c r="X1715" s="122">
        <f t="shared" si="55"/>
        <v>45095</v>
      </c>
    </row>
    <row r="1716" spans="2:24">
      <c r="B1716" t="s">
        <v>472</v>
      </c>
      <c r="C1716" t="s">
        <v>64</v>
      </c>
      <c r="D1716" t="s">
        <v>426</v>
      </c>
      <c r="E1716" t="s">
        <v>426</v>
      </c>
      <c r="F1716">
        <v>7</v>
      </c>
      <c r="G1716">
        <v>512</v>
      </c>
      <c r="H1716" s="122">
        <v>4881</v>
      </c>
      <c r="I1716" s="122">
        <v>271346</v>
      </c>
      <c r="J1716" s="122">
        <v>246678</v>
      </c>
      <c r="K1716">
        <v>53</v>
      </c>
      <c r="L1716" s="122">
        <v>41544</v>
      </c>
      <c r="M1716" s="122">
        <v>37767</v>
      </c>
      <c r="N1716" s="122">
        <v>10952</v>
      </c>
      <c r="O1716" s="122">
        <v>4056</v>
      </c>
      <c r="P1716" s="122">
        <v>2106</v>
      </c>
      <c r="Q1716">
        <v>780</v>
      </c>
      <c r="R1716" s="122">
        <v>28336</v>
      </c>
      <c r="S1716" s="122">
        <v>25760</v>
      </c>
      <c r="T1716" s="122">
        <v>12104</v>
      </c>
      <c r="U1716" s="122">
        <v>4483</v>
      </c>
      <c r="V1716" s="122">
        <v>319525</v>
      </c>
      <c r="W1716" s="122">
        <f t="shared" si="54"/>
        <v>319524</v>
      </c>
      <c r="X1716" s="122">
        <f t="shared" si="55"/>
        <v>366388</v>
      </c>
    </row>
    <row r="1717" spans="2:24">
      <c r="B1717" t="s">
        <v>378</v>
      </c>
      <c r="C1717" t="s">
        <v>48</v>
      </c>
      <c r="D1717" t="s">
        <v>137</v>
      </c>
      <c r="E1717" t="s">
        <v>137</v>
      </c>
      <c r="F1717">
        <v>34</v>
      </c>
      <c r="G1717" s="122">
        <v>3142</v>
      </c>
      <c r="H1717" s="122">
        <v>1801</v>
      </c>
      <c r="I1717" s="122">
        <v>11941</v>
      </c>
      <c r="J1717" s="122">
        <v>4423</v>
      </c>
      <c r="K1717">
        <v>441</v>
      </c>
      <c r="L1717">
        <v>0</v>
      </c>
      <c r="M1717">
        <v>0</v>
      </c>
      <c r="N1717" s="122">
        <v>38286</v>
      </c>
      <c r="O1717" s="122">
        <v>14180</v>
      </c>
      <c r="P1717" s="122">
        <v>11934</v>
      </c>
      <c r="Q1717" s="122">
        <v>4420</v>
      </c>
      <c r="R1717" s="122">
        <v>100821</v>
      </c>
      <c r="S1717" s="122">
        <v>37341</v>
      </c>
      <c r="T1717">
        <v>0</v>
      </c>
      <c r="U1717">
        <v>0</v>
      </c>
      <c r="V1717" s="122">
        <v>60364</v>
      </c>
      <c r="W1717" s="122">
        <f t="shared" si="54"/>
        <v>60364</v>
      </c>
      <c r="X1717" s="122">
        <f t="shared" si="55"/>
        <v>162982</v>
      </c>
    </row>
    <row r="1718" spans="2:24">
      <c r="B1718" t="s">
        <v>378</v>
      </c>
      <c r="C1718" t="s">
        <v>48</v>
      </c>
      <c r="D1718" t="s">
        <v>407</v>
      </c>
      <c r="E1718" t="s">
        <v>407</v>
      </c>
      <c r="F1718">
        <v>19</v>
      </c>
      <c r="G1718" s="122">
        <v>1679</v>
      </c>
      <c r="H1718" s="122">
        <v>1187</v>
      </c>
      <c r="I1718" s="122">
        <v>14609</v>
      </c>
      <c r="J1718" s="122">
        <v>13281</v>
      </c>
      <c r="K1718">
        <v>89</v>
      </c>
      <c r="L1718">
        <v>0</v>
      </c>
      <c r="M1718">
        <v>0</v>
      </c>
      <c r="N1718" s="122">
        <v>20457</v>
      </c>
      <c r="O1718" s="122">
        <v>7577</v>
      </c>
      <c r="P1718" s="122">
        <v>21917</v>
      </c>
      <c r="Q1718" s="122">
        <v>8118</v>
      </c>
      <c r="R1718" s="122">
        <v>48396</v>
      </c>
      <c r="S1718" s="122">
        <v>43996</v>
      </c>
      <c r="T1718">
        <v>0</v>
      </c>
      <c r="U1718">
        <v>0</v>
      </c>
      <c r="V1718" s="122">
        <v>72971</v>
      </c>
      <c r="W1718" s="122">
        <f t="shared" si="54"/>
        <v>72972</v>
      </c>
      <c r="X1718" s="122">
        <f t="shared" si="55"/>
        <v>105379</v>
      </c>
    </row>
    <row r="1719" spans="2:24">
      <c r="B1719" t="s">
        <v>378</v>
      </c>
      <c r="C1719" t="s">
        <v>50</v>
      </c>
      <c r="F1719">
        <v>1</v>
      </c>
      <c r="G1719">
        <v>48</v>
      </c>
      <c r="H1719">
        <v>78</v>
      </c>
      <c r="J1719">
        <v>0</v>
      </c>
      <c r="M1719">
        <v>0</v>
      </c>
      <c r="N1719">
        <v>585</v>
      </c>
      <c r="O1719">
        <v>217</v>
      </c>
      <c r="P1719">
        <v>351</v>
      </c>
      <c r="Q1719">
        <v>130</v>
      </c>
      <c r="S1719">
        <v>0</v>
      </c>
      <c r="T1719">
        <v>0</v>
      </c>
      <c r="U1719">
        <v>0</v>
      </c>
      <c r="V1719">
        <v>347</v>
      </c>
      <c r="W1719" s="122">
        <f t="shared" si="54"/>
        <v>347</v>
      </c>
      <c r="X1719" s="122">
        <f t="shared" si="55"/>
        <v>936</v>
      </c>
    </row>
    <row r="1720" spans="2:24">
      <c r="B1720" t="s">
        <v>378</v>
      </c>
      <c r="C1720" t="s">
        <v>50</v>
      </c>
      <c r="D1720" t="s">
        <v>406</v>
      </c>
      <c r="E1720" t="s">
        <v>406</v>
      </c>
      <c r="F1720">
        <v>3</v>
      </c>
      <c r="G1720" s="122">
        <v>1022</v>
      </c>
      <c r="H1720">
        <v>282</v>
      </c>
      <c r="I1720" s="122">
        <v>58679</v>
      </c>
      <c r="J1720" s="122">
        <v>53345</v>
      </c>
      <c r="K1720">
        <v>93</v>
      </c>
      <c r="L1720" s="122">
        <v>10265</v>
      </c>
      <c r="M1720" s="122">
        <v>9086</v>
      </c>
      <c r="N1720" s="122">
        <v>13042</v>
      </c>
      <c r="O1720" s="122">
        <v>4830</v>
      </c>
      <c r="P1720" s="122">
        <v>1863</v>
      </c>
      <c r="Q1720">
        <v>690</v>
      </c>
      <c r="R1720" s="122">
        <v>16343</v>
      </c>
      <c r="S1720" s="122">
        <v>14857</v>
      </c>
      <c r="T1720">
        <v>0</v>
      </c>
      <c r="U1720">
        <v>0</v>
      </c>
      <c r="V1720" s="122">
        <v>82808</v>
      </c>
      <c r="W1720" s="122">
        <f t="shared" si="54"/>
        <v>82808</v>
      </c>
      <c r="X1720" s="122">
        <f t="shared" si="55"/>
        <v>100192</v>
      </c>
    </row>
    <row r="1721" spans="2:24">
      <c r="B1721" t="s">
        <v>378</v>
      </c>
      <c r="C1721" t="s">
        <v>50</v>
      </c>
      <c r="D1721" t="s">
        <v>407</v>
      </c>
      <c r="E1721" t="s">
        <v>407</v>
      </c>
      <c r="F1721">
        <v>41</v>
      </c>
      <c r="G1721" s="122">
        <v>3967</v>
      </c>
      <c r="H1721" s="122">
        <v>3792</v>
      </c>
      <c r="I1721" s="122">
        <v>131860</v>
      </c>
      <c r="J1721" s="122">
        <v>119873</v>
      </c>
      <c r="K1721">
        <v>90</v>
      </c>
      <c r="L1721" s="122">
        <v>13500</v>
      </c>
      <c r="M1721" s="122">
        <v>7858</v>
      </c>
      <c r="N1721" s="122">
        <v>65878</v>
      </c>
      <c r="O1721" s="122">
        <v>24399</v>
      </c>
      <c r="P1721" s="122">
        <v>19373</v>
      </c>
      <c r="Q1721" s="122">
        <v>7175</v>
      </c>
      <c r="R1721" s="122">
        <v>135584</v>
      </c>
      <c r="S1721" s="122">
        <v>123258</v>
      </c>
      <c r="T1721">
        <v>0</v>
      </c>
      <c r="U1721">
        <v>0</v>
      </c>
      <c r="V1721" s="122">
        <v>282563</v>
      </c>
      <c r="W1721" s="122">
        <f t="shared" si="54"/>
        <v>282563</v>
      </c>
      <c r="X1721" s="122">
        <f t="shared" si="55"/>
        <v>366195</v>
      </c>
    </row>
    <row r="1722" spans="2:24">
      <c r="B1722" t="s">
        <v>378</v>
      </c>
      <c r="C1722" t="s">
        <v>52</v>
      </c>
      <c r="D1722" t="s">
        <v>406</v>
      </c>
      <c r="E1722" t="s">
        <v>406</v>
      </c>
      <c r="F1722">
        <v>1</v>
      </c>
      <c r="G1722">
        <v>170</v>
      </c>
      <c r="H1722">
        <v>125</v>
      </c>
      <c r="I1722" s="122">
        <v>19545</v>
      </c>
      <c r="J1722" s="122">
        <v>17768</v>
      </c>
      <c r="K1722">
        <v>86</v>
      </c>
      <c r="L1722" s="122">
        <v>3214</v>
      </c>
      <c r="M1722" s="122">
        <v>2922</v>
      </c>
      <c r="N1722" s="122">
        <v>4362</v>
      </c>
      <c r="O1722" s="122">
        <v>1616</v>
      </c>
      <c r="P1722">
        <v>621</v>
      </c>
      <c r="Q1722">
        <v>230</v>
      </c>
      <c r="R1722" s="122">
        <v>4658</v>
      </c>
      <c r="S1722" s="122">
        <v>4235</v>
      </c>
      <c r="T1722">
        <v>0</v>
      </c>
      <c r="U1722">
        <v>0</v>
      </c>
      <c r="V1722" s="122">
        <v>26770</v>
      </c>
      <c r="W1722" s="122">
        <f t="shared" si="54"/>
        <v>26771</v>
      </c>
      <c r="X1722" s="122">
        <f t="shared" si="55"/>
        <v>32400</v>
      </c>
    </row>
    <row r="1723" spans="2:24">
      <c r="B1723" t="s">
        <v>378</v>
      </c>
      <c r="C1723" t="s">
        <v>52</v>
      </c>
      <c r="D1723" t="s">
        <v>407</v>
      </c>
      <c r="E1723" t="s">
        <v>407</v>
      </c>
      <c r="F1723">
        <v>210</v>
      </c>
      <c r="G1723" s="122">
        <v>19403</v>
      </c>
      <c r="H1723" s="122">
        <v>23973</v>
      </c>
      <c r="I1723" s="122">
        <v>885399</v>
      </c>
      <c r="J1723" s="122">
        <v>804908</v>
      </c>
      <c r="K1723">
        <v>87</v>
      </c>
      <c r="L1723" s="122">
        <v>50106</v>
      </c>
      <c r="M1723" s="122">
        <v>32912</v>
      </c>
      <c r="N1723" s="122">
        <v>323790</v>
      </c>
      <c r="O1723" s="122">
        <v>119922</v>
      </c>
      <c r="P1723" s="122">
        <v>106409</v>
      </c>
      <c r="Q1723" s="122">
        <v>39411</v>
      </c>
      <c r="R1723" s="122">
        <v>832698</v>
      </c>
      <c r="S1723" s="122">
        <v>756999</v>
      </c>
      <c r="T1723" s="122">
        <v>18275</v>
      </c>
      <c r="U1723" s="122">
        <v>6768</v>
      </c>
      <c r="V1723" s="122">
        <v>1760920</v>
      </c>
      <c r="W1723" s="122">
        <f t="shared" si="54"/>
        <v>1760920</v>
      </c>
      <c r="X1723" s="122">
        <f t="shared" si="55"/>
        <v>2216677</v>
      </c>
    </row>
    <row r="1724" spans="2:24">
      <c r="B1724" t="s">
        <v>378</v>
      </c>
      <c r="C1724" t="s">
        <v>54</v>
      </c>
      <c r="D1724" t="s">
        <v>405</v>
      </c>
      <c r="E1724" t="s">
        <v>405</v>
      </c>
      <c r="F1724">
        <v>2</v>
      </c>
      <c r="G1724">
        <v>220</v>
      </c>
      <c r="H1724">
        <v>281</v>
      </c>
      <c r="I1724" s="122">
        <v>19645</v>
      </c>
      <c r="J1724" s="122">
        <v>17859</v>
      </c>
      <c r="K1724">
        <v>84</v>
      </c>
      <c r="L1724" s="122">
        <v>1405</v>
      </c>
      <c r="M1724" s="122">
        <v>1277</v>
      </c>
      <c r="N1724" s="122">
        <v>2675</v>
      </c>
      <c r="O1724">
        <v>991</v>
      </c>
      <c r="P1724">
        <v>945</v>
      </c>
      <c r="Q1724">
        <v>350</v>
      </c>
      <c r="R1724" s="122">
        <v>6232</v>
      </c>
      <c r="S1724" s="122">
        <v>5665</v>
      </c>
      <c r="T1724">
        <v>0</v>
      </c>
      <c r="U1724">
        <v>0</v>
      </c>
      <c r="V1724" s="122">
        <v>26142</v>
      </c>
      <c r="W1724" s="122">
        <f t="shared" si="54"/>
        <v>26142</v>
      </c>
      <c r="X1724" s="122">
        <f t="shared" si="55"/>
        <v>30902</v>
      </c>
    </row>
    <row r="1725" spans="2:24">
      <c r="B1725" t="s">
        <v>378</v>
      </c>
      <c r="C1725" t="s">
        <v>54</v>
      </c>
      <c r="D1725" t="s">
        <v>137</v>
      </c>
      <c r="E1725" t="s">
        <v>137</v>
      </c>
      <c r="F1725">
        <v>17</v>
      </c>
      <c r="G1725" s="122">
        <v>1271</v>
      </c>
      <c r="H1725" s="122">
        <v>2385</v>
      </c>
      <c r="I1725" s="122">
        <v>41441</v>
      </c>
      <c r="J1725" s="122">
        <v>15348</v>
      </c>
      <c r="K1725">
        <v>116</v>
      </c>
      <c r="L1725" s="122">
        <v>7846</v>
      </c>
      <c r="M1725" s="122">
        <v>3538</v>
      </c>
      <c r="N1725" s="122">
        <v>23437</v>
      </c>
      <c r="O1725" s="122">
        <v>8680</v>
      </c>
      <c r="P1725">
        <v>0</v>
      </c>
      <c r="Q1725">
        <v>0</v>
      </c>
      <c r="R1725" s="122">
        <v>105556</v>
      </c>
      <c r="S1725" s="122">
        <v>39095</v>
      </c>
      <c r="T1725">
        <v>0</v>
      </c>
      <c r="U1725">
        <v>0</v>
      </c>
      <c r="V1725" s="122">
        <v>66661</v>
      </c>
      <c r="W1725" s="122">
        <f t="shared" si="54"/>
        <v>66661</v>
      </c>
      <c r="X1725" s="122">
        <f t="shared" si="55"/>
        <v>178280</v>
      </c>
    </row>
    <row r="1726" spans="2:24">
      <c r="B1726" t="s">
        <v>378</v>
      </c>
      <c r="C1726" t="s">
        <v>54</v>
      </c>
      <c r="D1726" t="s">
        <v>137</v>
      </c>
      <c r="E1726" t="s">
        <v>426</v>
      </c>
      <c r="F1726">
        <v>1</v>
      </c>
      <c r="G1726">
        <v>75</v>
      </c>
      <c r="H1726">
        <v>146</v>
      </c>
      <c r="I1726" s="122">
        <v>7208</v>
      </c>
      <c r="J1726" s="122">
        <v>2670</v>
      </c>
      <c r="K1726">
        <v>100</v>
      </c>
      <c r="L1726">
        <v>0</v>
      </c>
      <c r="M1726">
        <v>0</v>
      </c>
      <c r="N1726" s="122">
        <v>1279</v>
      </c>
      <c r="O1726">
        <v>474</v>
      </c>
      <c r="P1726">
        <v>0</v>
      </c>
      <c r="Q1726">
        <v>0</v>
      </c>
      <c r="R1726" s="122">
        <v>2450</v>
      </c>
      <c r="S1726" s="122">
        <v>2227</v>
      </c>
      <c r="T1726">
        <v>0</v>
      </c>
      <c r="U1726">
        <v>0</v>
      </c>
      <c r="V1726" s="122">
        <v>5370</v>
      </c>
      <c r="W1726" s="122">
        <f t="shared" si="54"/>
        <v>5371</v>
      </c>
      <c r="X1726" s="122">
        <f t="shared" si="55"/>
        <v>10937</v>
      </c>
    </row>
    <row r="1727" spans="2:24">
      <c r="B1727" t="s">
        <v>378</v>
      </c>
      <c r="C1727" t="s">
        <v>54</v>
      </c>
      <c r="D1727" t="s">
        <v>406</v>
      </c>
      <c r="E1727" t="s">
        <v>406</v>
      </c>
      <c r="F1727">
        <v>9</v>
      </c>
      <c r="G1727" s="122">
        <v>1399</v>
      </c>
      <c r="H1727" s="122">
        <v>1266</v>
      </c>
      <c r="I1727" s="122">
        <v>105400</v>
      </c>
      <c r="J1727" s="122">
        <v>95818</v>
      </c>
      <c r="K1727">
        <v>90</v>
      </c>
      <c r="L1727" s="122">
        <v>24221</v>
      </c>
      <c r="M1727" s="122">
        <v>22019</v>
      </c>
      <c r="N1727" s="122">
        <v>25606</v>
      </c>
      <c r="O1727" s="122">
        <v>9484</v>
      </c>
      <c r="P1727" s="122">
        <v>6642</v>
      </c>
      <c r="Q1727" s="122">
        <v>2460</v>
      </c>
      <c r="R1727" s="122">
        <v>45823</v>
      </c>
      <c r="S1727" s="122">
        <v>41657</v>
      </c>
      <c r="T1727" s="122">
        <v>2376</v>
      </c>
      <c r="U1727">
        <v>880</v>
      </c>
      <c r="V1727" s="122">
        <v>172318</v>
      </c>
      <c r="W1727" s="122">
        <f t="shared" si="54"/>
        <v>172318</v>
      </c>
      <c r="X1727" s="122">
        <f t="shared" si="55"/>
        <v>210068</v>
      </c>
    </row>
    <row r="1728" spans="2:24">
      <c r="B1728" t="s">
        <v>378</v>
      </c>
      <c r="C1728" t="s">
        <v>54</v>
      </c>
      <c r="D1728" t="s">
        <v>407</v>
      </c>
      <c r="E1728" t="s">
        <v>407</v>
      </c>
      <c r="F1728">
        <v>341</v>
      </c>
      <c r="G1728" s="122">
        <v>28554</v>
      </c>
      <c r="H1728" s="122">
        <v>47318</v>
      </c>
      <c r="I1728" s="122">
        <v>1680461</v>
      </c>
      <c r="J1728" s="122">
        <v>1527692</v>
      </c>
      <c r="K1728">
        <v>84</v>
      </c>
      <c r="L1728" s="122">
        <v>161328</v>
      </c>
      <c r="M1728" s="122">
        <v>128254</v>
      </c>
      <c r="N1728" s="122">
        <v>522015</v>
      </c>
      <c r="O1728" s="122">
        <v>193339</v>
      </c>
      <c r="P1728" s="122">
        <v>168718</v>
      </c>
      <c r="Q1728" s="122">
        <v>62488</v>
      </c>
      <c r="R1728" s="122">
        <v>1374703</v>
      </c>
      <c r="S1728" s="122">
        <v>1249730</v>
      </c>
      <c r="T1728" s="122">
        <v>76442</v>
      </c>
      <c r="U1728" s="122">
        <v>28312</v>
      </c>
      <c r="V1728" s="122">
        <v>3189814</v>
      </c>
      <c r="W1728" s="122">
        <f t="shared" si="54"/>
        <v>3189815</v>
      </c>
      <c r="X1728" s="122">
        <f t="shared" si="55"/>
        <v>3983667</v>
      </c>
    </row>
    <row r="1729" spans="2:24">
      <c r="B1729" t="s">
        <v>378</v>
      </c>
      <c r="C1729" t="s">
        <v>56</v>
      </c>
      <c r="F1729">
        <v>3</v>
      </c>
      <c r="G1729">
        <v>182</v>
      </c>
      <c r="H1729">
        <v>554</v>
      </c>
      <c r="J1729">
        <v>0</v>
      </c>
      <c r="M1729">
        <v>0</v>
      </c>
      <c r="N1729" s="122">
        <v>4327</v>
      </c>
      <c r="O1729" s="122">
        <v>1603</v>
      </c>
      <c r="P1729">
        <v>0</v>
      </c>
      <c r="Q1729">
        <v>0</v>
      </c>
      <c r="S1729">
        <v>0</v>
      </c>
      <c r="T1729">
        <v>0</v>
      </c>
      <c r="U1729">
        <v>0</v>
      </c>
      <c r="V1729" s="122">
        <v>1603</v>
      </c>
      <c r="W1729" s="122">
        <f t="shared" si="54"/>
        <v>1603</v>
      </c>
      <c r="X1729" s="122">
        <f t="shared" si="55"/>
        <v>4327</v>
      </c>
    </row>
    <row r="1730" spans="2:24">
      <c r="B1730" t="s">
        <v>378</v>
      </c>
      <c r="C1730" t="s">
        <v>56</v>
      </c>
      <c r="D1730" t="s">
        <v>405</v>
      </c>
      <c r="E1730" t="s">
        <v>405</v>
      </c>
      <c r="F1730">
        <v>12</v>
      </c>
      <c r="G1730" s="122">
        <v>1023</v>
      </c>
      <c r="H1730" s="122">
        <v>2152</v>
      </c>
      <c r="I1730" s="122">
        <v>87750</v>
      </c>
      <c r="J1730" s="122">
        <v>79773</v>
      </c>
      <c r="K1730">
        <v>82</v>
      </c>
      <c r="L1730" s="122">
        <v>27156</v>
      </c>
      <c r="M1730" s="122">
        <v>24688</v>
      </c>
      <c r="N1730" s="122">
        <v>15935</v>
      </c>
      <c r="O1730" s="122">
        <v>5902</v>
      </c>
      <c r="P1730" s="122">
        <v>5670</v>
      </c>
      <c r="Q1730" s="122">
        <v>2100</v>
      </c>
      <c r="R1730" s="122">
        <v>49100</v>
      </c>
      <c r="S1730" s="122">
        <v>44637</v>
      </c>
      <c r="T1730">
        <v>0</v>
      </c>
      <c r="U1730">
        <v>0</v>
      </c>
      <c r="V1730" s="122">
        <v>157099</v>
      </c>
      <c r="W1730" s="122">
        <f t="shared" si="54"/>
        <v>157100</v>
      </c>
      <c r="X1730" s="122">
        <f t="shared" si="55"/>
        <v>185611</v>
      </c>
    </row>
    <row r="1731" spans="2:24">
      <c r="B1731" t="s">
        <v>378</v>
      </c>
      <c r="C1731" t="s">
        <v>56</v>
      </c>
      <c r="D1731" t="s">
        <v>137</v>
      </c>
      <c r="E1731" t="s">
        <v>137</v>
      </c>
      <c r="F1731">
        <v>348</v>
      </c>
      <c r="G1731" s="122">
        <v>26128</v>
      </c>
      <c r="H1731" s="122">
        <v>68177</v>
      </c>
      <c r="I1731" s="122">
        <v>2147122</v>
      </c>
      <c r="J1731" s="122">
        <v>795230</v>
      </c>
      <c r="K1731">
        <v>100</v>
      </c>
      <c r="L1731" s="122">
        <v>231093</v>
      </c>
      <c r="M1731" s="122">
        <v>94308</v>
      </c>
      <c r="N1731" s="122">
        <v>506573</v>
      </c>
      <c r="O1731" s="122">
        <v>187620</v>
      </c>
      <c r="P1731" s="122">
        <v>3087</v>
      </c>
      <c r="Q1731" s="122">
        <v>1143</v>
      </c>
      <c r="R1731" s="122">
        <v>2224151</v>
      </c>
      <c r="S1731" s="122">
        <v>823760</v>
      </c>
      <c r="T1731" s="122">
        <v>6630</v>
      </c>
      <c r="U1731" s="122">
        <v>2456</v>
      </c>
      <c r="V1731" s="122">
        <v>1904516</v>
      </c>
      <c r="W1731" s="122">
        <f t="shared" si="54"/>
        <v>1904517</v>
      </c>
      <c r="X1731" s="122">
        <f t="shared" si="55"/>
        <v>5118656</v>
      </c>
    </row>
    <row r="1732" spans="2:24">
      <c r="B1732" t="s">
        <v>378</v>
      </c>
      <c r="C1732" t="s">
        <v>56</v>
      </c>
      <c r="D1732" t="s">
        <v>406</v>
      </c>
      <c r="E1732" t="s">
        <v>137</v>
      </c>
      <c r="F1732">
        <v>1</v>
      </c>
      <c r="G1732">
        <v>96</v>
      </c>
      <c r="H1732">
        <v>187</v>
      </c>
      <c r="I1732" s="122">
        <v>8000</v>
      </c>
      <c r="J1732" s="122">
        <v>7273</v>
      </c>
      <c r="K1732">
        <v>85</v>
      </c>
      <c r="L1732" s="122">
        <v>1196</v>
      </c>
      <c r="M1732" s="122">
        <v>1087</v>
      </c>
      <c r="N1732" s="122">
        <v>1988</v>
      </c>
      <c r="O1732">
        <v>736</v>
      </c>
      <c r="P1732">
        <v>621</v>
      </c>
      <c r="Q1732">
        <v>230</v>
      </c>
      <c r="R1732" s="122">
        <v>6188</v>
      </c>
      <c r="S1732" s="122">
        <v>2292</v>
      </c>
      <c r="T1732">
        <v>0</v>
      </c>
      <c r="U1732">
        <v>0</v>
      </c>
      <c r="V1732" s="122">
        <v>11618</v>
      </c>
      <c r="W1732" s="122">
        <f t="shared" si="54"/>
        <v>11618</v>
      </c>
      <c r="X1732" s="122">
        <f t="shared" si="55"/>
        <v>17993</v>
      </c>
    </row>
    <row r="1733" spans="2:24">
      <c r="B1733" t="s">
        <v>378</v>
      </c>
      <c r="C1733" t="s">
        <v>56</v>
      </c>
      <c r="D1733" t="s">
        <v>406</v>
      </c>
      <c r="E1733" t="s">
        <v>406</v>
      </c>
      <c r="F1733">
        <v>42</v>
      </c>
      <c r="G1733" s="122">
        <v>5235</v>
      </c>
      <c r="H1733" s="122">
        <v>8287</v>
      </c>
      <c r="I1733" s="122">
        <v>541487</v>
      </c>
      <c r="J1733" s="122">
        <v>492261</v>
      </c>
      <c r="K1733">
        <v>85</v>
      </c>
      <c r="L1733" s="122">
        <v>106365</v>
      </c>
      <c r="M1733" s="122">
        <v>92980</v>
      </c>
      <c r="N1733" s="122">
        <v>102783</v>
      </c>
      <c r="O1733" s="122">
        <v>38068</v>
      </c>
      <c r="P1733" s="122">
        <v>28005</v>
      </c>
      <c r="Q1733" s="122">
        <v>10372</v>
      </c>
      <c r="R1733" s="122">
        <v>201010</v>
      </c>
      <c r="S1733" s="122">
        <v>182737</v>
      </c>
      <c r="T1733" s="122">
        <v>52555</v>
      </c>
      <c r="U1733" s="122">
        <v>19465</v>
      </c>
      <c r="V1733" s="122">
        <v>835882</v>
      </c>
      <c r="W1733" s="122">
        <f t="shared" si="54"/>
        <v>835883</v>
      </c>
      <c r="X1733" s="122">
        <f t="shared" si="55"/>
        <v>1032205</v>
      </c>
    </row>
    <row r="1734" spans="2:24">
      <c r="B1734" t="s">
        <v>378</v>
      </c>
      <c r="C1734" t="s">
        <v>56</v>
      </c>
      <c r="D1734" t="s">
        <v>407</v>
      </c>
      <c r="E1734" t="s">
        <v>137</v>
      </c>
      <c r="F1734">
        <v>2</v>
      </c>
      <c r="G1734">
        <v>134</v>
      </c>
      <c r="H1734">
        <v>385</v>
      </c>
      <c r="I1734" s="122">
        <v>13116</v>
      </c>
      <c r="J1734" s="122">
        <v>11923</v>
      </c>
      <c r="K1734">
        <v>77</v>
      </c>
      <c r="L1734">
        <v>519</v>
      </c>
      <c r="M1734">
        <v>471</v>
      </c>
      <c r="N1734" s="122">
        <v>3263</v>
      </c>
      <c r="O1734" s="122">
        <v>1208</v>
      </c>
      <c r="P1734">
        <v>945</v>
      </c>
      <c r="Q1734">
        <v>350</v>
      </c>
      <c r="R1734" s="122">
        <v>7943</v>
      </c>
      <c r="S1734" s="122">
        <v>2942</v>
      </c>
      <c r="T1734">
        <v>0</v>
      </c>
      <c r="U1734">
        <v>0</v>
      </c>
      <c r="V1734" s="122">
        <v>16895</v>
      </c>
      <c r="W1734" s="122">
        <f t="shared" si="54"/>
        <v>16894</v>
      </c>
      <c r="X1734" s="122">
        <f t="shared" si="55"/>
        <v>25786</v>
      </c>
    </row>
    <row r="1735" spans="2:24">
      <c r="B1735" t="s">
        <v>378</v>
      </c>
      <c r="C1735" t="s">
        <v>56</v>
      </c>
      <c r="D1735" t="s">
        <v>407</v>
      </c>
      <c r="E1735" t="s">
        <v>407</v>
      </c>
      <c r="F1735">
        <v>903</v>
      </c>
      <c r="G1735" s="122">
        <v>66667</v>
      </c>
      <c r="H1735" s="122">
        <v>166029</v>
      </c>
      <c r="I1735" s="122">
        <v>5500207</v>
      </c>
      <c r="J1735" s="122">
        <v>5000188</v>
      </c>
      <c r="K1735">
        <v>80</v>
      </c>
      <c r="L1735" s="122">
        <v>663881</v>
      </c>
      <c r="M1735" s="122">
        <v>506782</v>
      </c>
      <c r="N1735" s="122">
        <v>1283864</v>
      </c>
      <c r="O1735" s="122">
        <v>475505</v>
      </c>
      <c r="P1735" s="122">
        <v>428822</v>
      </c>
      <c r="Q1735" s="122">
        <v>158823</v>
      </c>
      <c r="R1735" s="122">
        <v>3775817</v>
      </c>
      <c r="S1735" s="122">
        <v>3432561</v>
      </c>
      <c r="T1735" s="122">
        <v>588086</v>
      </c>
      <c r="U1735" s="122">
        <v>217810</v>
      </c>
      <c r="V1735" s="122">
        <v>9791668</v>
      </c>
      <c r="W1735" s="122">
        <f t="shared" si="54"/>
        <v>9791669</v>
      </c>
      <c r="X1735" s="122">
        <f t="shared" si="55"/>
        <v>12240677</v>
      </c>
    </row>
    <row r="1736" spans="2:24">
      <c r="B1736" t="s">
        <v>378</v>
      </c>
      <c r="C1736" t="s">
        <v>56</v>
      </c>
      <c r="D1736" t="s">
        <v>408</v>
      </c>
      <c r="E1736" t="s">
        <v>137</v>
      </c>
      <c r="F1736">
        <v>1</v>
      </c>
      <c r="G1736">
        <v>68</v>
      </c>
      <c r="H1736">
        <v>205</v>
      </c>
      <c r="I1736" s="122">
        <v>5410</v>
      </c>
      <c r="J1736" s="122">
        <v>4918</v>
      </c>
      <c r="K1736">
        <v>85</v>
      </c>
      <c r="L1736" s="122">
        <v>1703</v>
      </c>
      <c r="M1736" s="122">
        <v>1548</v>
      </c>
      <c r="N1736" s="122">
        <v>1645</v>
      </c>
      <c r="O1736">
        <v>609</v>
      </c>
      <c r="P1736">
        <v>351</v>
      </c>
      <c r="Q1736">
        <v>130</v>
      </c>
      <c r="R1736" s="122">
        <v>4696</v>
      </c>
      <c r="S1736" s="122">
        <v>1739</v>
      </c>
      <c r="T1736">
        <v>0</v>
      </c>
      <c r="U1736">
        <v>0</v>
      </c>
      <c r="V1736" s="122">
        <v>8945</v>
      </c>
      <c r="W1736" s="122">
        <f t="shared" si="54"/>
        <v>8944</v>
      </c>
      <c r="X1736" s="122">
        <f t="shared" si="55"/>
        <v>13805</v>
      </c>
    </row>
    <row r="1737" spans="2:24">
      <c r="B1737" t="s">
        <v>378</v>
      </c>
      <c r="C1737" t="s">
        <v>58</v>
      </c>
      <c r="D1737" t="s">
        <v>405</v>
      </c>
      <c r="E1737" t="s">
        <v>405</v>
      </c>
      <c r="F1737">
        <v>2</v>
      </c>
      <c r="G1737">
        <v>156</v>
      </c>
      <c r="H1737">
        <v>586</v>
      </c>
      <c r="I1737" s="122">
        <v>22584</v>
      </c>
      <c r="J1737" s="122">
        <v>20531</v>
      </c>
      <c r="K1737">
        <v>71</v>
      </c>
      <c r="L1737" s="122">
        <v>7158</v>
      </c>
      <c r="M1737" s="122">
        <v>6507</v>
      </c>
      <c r="N1737" s="122">
        <v>3149</v>
      </c>
      <c r="O1737" s="122">
        <v>1166</v>
      </c>
      <c r="P1737">
        <v>945</v>
      </c>
      <c r="Q1737">
        <v>350</v>
      </c>
      <c r="R1737" s="122">
        <v>7545</v>
      </c>
      <c r="S1737" s="122">
        <v>6859</v>
      </c>
      <c r="T1737" s="122">
        <v>4398</v>
      </c>
      <c r="U1737" s="122">
        <v>1629</v>
      </c>
      <c r="V1737" s="122">
        <v>37042</v>
      </c>
      <c r="W1737" s="122">
        <f t="shared" si="54"/>
        <v>37042</v>
      </c>
      <c r="X1737" s="122">
        <f t="shared" si="55"/>
        <v>45779</v>
      </c>
    </row>
    <row r="1738" spans="2:24">
      <c r="B1738" t="s">
        <v>378</v>
      </c>
      <c r="C1738" t="s">
        <v>58</v>
      </c>
      <c r="D1738" t="s">
        <v>137</v>
      </c>
      <c r="E1738" t="s">
        <v>137</v>
      </c>
      <c r="F1738">
        <v>481</v>
      </c>
      <c r="G1738" s="122">
        <v>32254</v>
      </c>
      <c r="H1738" s="122">
        <v>125848</v>
      </c>
      <c r="I1738" s="122">
        <v>4336800</v>
      </c>
      <c r="J1738" s="122">
        <v>1606222</v>
      </c>
      <c r="K1738">
        <v>100</v>
      </c>
      <c r="L1738" s="122">
        <v>444490</v>
      </c>
      <c r="M1738" s="122">
        <v>192107</v>
      </c>
      <c r="N1738" s="122">
        <v>628071</v>
      </c>
      <c r="O1738" s="122">
        <v>232619</v>
      </c>
      <c r="P1738" s="122">
        <v>4981</v>
      </c>
      <c r="Q1738" s="122">
        <v>1845</v>
      </c>
      <c r="R1738" s="122">
        <v>3011620</v>
      </c>
      <c r="S1738" s="122">
        <v>1115415</v>
      </c>
      <c r="T1738" s="122">
        <v>8295</v>
      </c>
      <c r="U1738" s="122">
        <v>3072</v>
      </c>
      <c r="V1738" s="122">
        <v>3151279</v>
      </c>
      <c r="W1738" s="122">
        <f t="shared" si="54"/>
        <v>3151280</v>
      </c>
      <c r="X1738" s="122">
        <f t="shared" si="55"/>
        <v>8434257</v>
      </c>
    </row>
    <row r="1739" spans="2:24">
      <c r="B1739" t="s">
        <v>378</v>
      </c>
      <c r="C1739" t="s">
        <v>58</v>
      </c>
      <c r="D1739" t="s">
        <v>406</v>
      </c>
      <c r="E1739" t="s">
        <v>406</v>
      </c>
      <c r="F1739">
        <v>45</v>
      </c>
      <c r="G1739" s="122">
        <v>5307</v>
      </c>
      <c r="H1739" s="122">
        <v>12064</v>
      </c>
      <c r="I1739" s="122">
        <v>838159</v>
      </c>
      <c r="J1739" s="122">
        <v>761963</v>
      </c>
      <c r="K1739">
        <v>80</v>
      </c>
      <c r="L1739" s="122">
        <v>178751</v>
      </c>
      <c r="M1739" s="122">
        <v>153195</v>
      </c>
      <c r="N1739" s="122">
        <v>106925</v>
      </c>
      <c r="O1739" s="122">
        <v>39602</v>
      </c>
      <c r="P1739" s="122">
        <v>30402</v>
      </c>
      <c r="Q1739" s="122">
        <v>11260</v>
      </c>
      <c r="R1739" s="122">
        <v>228040</v>
      </c>
      <c r="S1739" s="122">
        <v>207309</v>
      </c>
      <c r="T1739" s="122">
        <v>60604</v>
      </c>
      <c r="U1739" s="122">
        <v>22446</v>
      </c>
      <c r="V1739" s="122">
        <v>1195775</v>
      </c>
      <c r="W1739" s="122">
        <f t="shared" si="54"/>
        <v>1195775</v>
      </c>
      <c r="X1739" s="122">
        <f t="shared" si="55"/>
        <v>1442881</v>
      </c>
    </row>
    <row r="1740" spans="2:24">
      <c r="B1740" t="s">
        <v>378</v>
      </c>
      <c r="C1740" t="s">
        <v>58</v>
      </c>
      <c r="D1740" t="s">
        <v>407</v>
      </c>
      <c r="E1740" t="s">
        <v>137</v>
      </c>
      <c r="F1740">
        <v>1</v>
      </c>
      <c r="G1740">
        <v>62</v>
      </c>
      <c r="H1740">
        <v>240</v>
      </c>
      <c r="I1740" s="122">
        <v>2325</v>
      </c>
      <c r="J1740" s="122">
        <v>2113</v>
      </c>
      <c r="K1740">
        <v>90</v>
      </c>
      <c r="L1740">
        <v>518</v>
      </c>
      <c r="M1740">
        <v>471</v>
      </c>
      <c r="N1740" s="122">
        <v>1429</v>
      </c>
      <c r="O1740">
        <v>529</v>
      </c>
      <c r="P1740">
        <v>473</v>
      </c>
      <c r="Q1740">
        <v>175</v>
      </c>
      <c r="R1740" s="122">
        <v>10083</v>
      </c>
      <c r="S1740" s="122">
        <v>3735</v>
      </c>
      <c r="T1740">
        <v>0</v>
      </c>
      <c r="U1740">
        <v>0</v>
      </c>
      <c r="V1740" s="122">
        <v>7023</v>
      </c>
      <c r="W1740" s="122">
        <f t="shared" si="54"/>
        <v>7023</v>
      </c>
      <c r="X1740" s="122">
        <f t="shared" si="55"/>
        <v>14828</v>
      </c>
    </row>
    <row r="1741" spans="2:24">
      <c r="B1741" t="s">
        <v>378</v>
      </c>
      <c r="C1741" t="s">
        <v>58</v>
      </c>
      <c r="D1741" t="s">
        <v>407</v>
      </c>
      <c r="E1741" t="s">
        <v>407</v>
      </c>
      <c r="F1741">
        <v>118</v>
      </c>
      <c r="G1741" s="122">
        <v>8087</v>
      </c>
      <c r="H1741" s="122">
        <v>29432</v>
      </c>
      <c r="I1741" s="122">
        <v>1028667</v>
      </c>
      <c r="J1741" s="122">
        <v>935152</v>
      </c>
      <c r="K1741">
        <v>79</v>
      </c>
      <c r="L1741" s="122">
        <v>141345</v>
      </c>
      <c r="M1741" s="122">
        <v>117593</v>
      </c>
      <c r="N1741" s="122">
        <v>168875</v>
      </c>
      <c r="O1741" s="122">
        <v>62546</v>
      </c>
      <c r="P1741" s="122">
        <v>56639</v>
      </c>
      <c r="Q1741" s="122">
        <v>20978</v>
      </c>
      <c r="R1741" s="122">
        <v>451383</v>
      </c>
      <c r="S1741" s="122">
        <v>410348</v>
      </c>
      <c r="T1741" s="122">
        <v>164350</v>
      </c>
      <c r="U1741" s="122">
        <v>60870</v>
      </c>
      <c r="V1741" s="122">
        <v>1607488</v>
      </c>
      <c r="W1741" s="122">
        <f t="shared" si="54"/>
        <v>1607487</v>
      </c>
      <c r="X1741" s="122">
        <f t="shared" si="55"/>
        <v>2011259</v>
      </c>
    </row>
    <row r="1742" spans="2:24">
      <c r="B1742" t="s">
        <v>378</v>
      </c>
      <c r="C1742" t="s">
        <v>60</v>
      </c>
      <c r="D1742" t="s">
        <v>137</v>
      </c>
      <c r="E1742" t="s">
        <v>137</v>
      </c>
      <c r="F1742">
        <v>234</v>
      </c>
      <c r="G1742" s="122">
        <v>14332</v>
      </c>
      <c r="H1742" s="122">
        <v>78460</v>
      </c>
      <c r="I1742" s="122">
        <v>2804478</v>
      </c>
      <c r="J1742" s="122">
        <v>1038696</v>
      </c>
      <c r="K1742">
        <v>100</v>
      </c>
      <c r="L1742" s="122">
        <v>316765</v>
      </c>
      <c r="M1742" s="122">
        <v>145787</v>
      </c>
      <c r="N1742" s="122">
        <v>292092</v>
      </c>
      <c r="O1742" s="122">
        <v>108182</v>
      </c>
      <c r="P1742" s="122">
        <v>1896</v>
      </c>
      <c r="Q1742">
        <v>702</v>
      </c>
      <c r="R1742" s="122">
        <v>1444640</v>
      </c>
      <c r="S1742" s="122">
        <v>535052</v>
      </c>
      <c r="T1742" s="122">
        <v>1818</v>
      </c>
      <c r="U1742">
        <v>673</v>
      </c>
      <c r="V1742" s="122">
        <v>1829092</v>
      </c>
      <c r="W1742" s="122">
        <f t="shared" si="54"/>
        <v>1829092</v>
      </c>
      <c r="X1742" s="122">
        <f t="shared" si="55"/>
        <v>4861689</v>
      </c>
    </row>
    <row r="1743" spans="2:24">
      <c r="B1743" t="s">
        <v>378</v>
      </c>
      <c r="C1743" t="s">
        <v>60</v>
      </c>
      <c r="D1743" t="s">
        <v>406</v>
      </c>
      <c r="E1743" t="s">
        <v>137</v>
      </c>
      <c r="F1743">
        <v>3</v>
      </c>
      <c r="G1743">
        <v>187</v>
      </c>
      <c r="H1743" s="122">
        <v>1069</v>
      </c>
      <c r="I1743" s="122">
        <v>35334</v>
      </c>
      <c r="J1743" s="122">
        <v>32122</v>
      </c>
      <c r="K1743">
        <v>75</v>
      </c>
      <c r="L1743" s="122">
        <v>4668</v>
      </c>
      <c r="M1743" s="122">
        <v>4244</v>
      </c>
      <c r="N1743" s="122">
        <v>3359</v>
      </c>
      <c r="O1743" s="122">
        <v>1244</v>
      </c>
      <c r="P1743" s="122">
        <v>1242</v>
      </c>
      <c r="Q1743">
        <v>460</v>
      </c>
      <c r="R1743" s="122">
        <v>20016</v>
      </c>
      <c r="S1743" s="122">
        <v>7413</v>
      </c>
      <c r="T1743">
        <v>0</v>
      </c>
      <c r="U1743">
        <v>0</v>
      </c>
      <c r="V1743" s="122">
        <v>45483</v>
      </c>
      <c r="W1743" s="122">
        <f t="shared" si="54"/>
        <v>45483</v>
      </c>
      <c r="X1743" s="122">
        <f t="shared" si="55"/>
        <v>64619</v>
      </c>
    </row>
    <row r="1744" spans="2:24">
      <c r="B1744" t="s">
        <v>378</v>
      </c>
      <c r="C1744" t="s">
        <v>60</v>
      </c>
      <c r="D1744" t="s">
        <v>406</v>
      </c>
      <c r="E1744" t="s">
        <v>406</v>
      </c>
      <c r="F1744">
        <v>20</v>
      </c>
      <c r="G1744" s="122">
        <v>2368</v>
      </c>
      <c r="H1744" s="122">
        <v>6741</v>
      </c>
      <c r="I1744" s="122">
        <v>500805</v>
      </c>
      <c r="J1744" s="122">
        <v>455277</v>
      </c>
      <c r="K1744">
        <v>78</v>
      </c>
      <c r="L1744" s="122">
        <v>93162</v>
      </c>
      <c r="M1744" s="122">
        <v>82648</v>
      </c>
      <c r="N1744" s="122">
        <v>51089</v>
      </c>
      <c r="O1744" s="122">
        <v>18922</v>
      </c>
      <c r="P1744" s="122">
        <v>12501</v>
      </c>
      <c r="Q1744" s="122">
        <v>4630</v>
      </c>
      <c r="R1744" s="122">
        <v>96464</v>
      </c>
      <c r="S1744" s="122">
        <v>87694</v>
      </c>
      <c r="T1744" s="122">
        <v>36451</v>
      </c>
      <c r="U1744" s="122">
        <v>13500</v>
      </c>
      <c r="V1744" s="122">
        <v>662672</v>
      </c>
      <c r="W1744" s="122">
        <f t="shared" si="54"/>
        <v>662671</v>
      </c>
      <c r="X1744" s="122">
        <f t="shared" si="55"/>
        <v>790472</v>
      </c>
    </row>
    <row r="1745" spans="2:24">
      <c r="B1745" t="s">
        <v>378</v>
      </c>
      <c r="C1745" t="s">
        <v>60</v>
      </c>
      <c r="D1745" t="s">
        <v>407</v>
      </c>
      <c r="E1745" t="s">
        <v>137</v>
      </c>
      <c r="F1745">
        <v>1</v>
      </c>
      <c r="G1745">
        <v>53</v>
      </c>
      <c r="H1745">
        <v>324</v>
      </c>
      <c r="I1745" s="122">
        <v>5501</v>
      </c>
      <c r="J1745" s="122">
        <v>5001</v>
      </c>
      <c r="K1745">
        <v>79</v>
      </c>
      <c r="L1745">
        <v>481</v>
      </c>
      <c r="M1745">
        <v>437</v>
      </c>
      <c r="N1745" s="122">
        <v>1298</v>
      </c>
      <c r="O1745">
        <v>481</v>
      </c>
      <c r="P1745">
        <v>473</v>
      </c>
      <c r="Q1745">
        <v>175</v>
      </c>
      <c r="R1745" s="122">
        <v>9515</v>
      </c>
      <c r="S1745" s="122">
        <v>3524</v>
      </c>
      <c r="T1745">
        <v>0</v>
      </c>
      <c r="U1745">
        <v>0</v>
      </c>
      <c r="V1745" s="122">
        <v>9619</v>
      </c>
      <c r="W1745" s="122">
        <f t="shared" si="54"/>
        <v>9618</v>
      </c>
      <c r="X1745" s="122">
        <f t="shared" si="55"/>
        <v>17268</v>
      </c>
    </row>
    <row r="1746" spans="2:24">
      <c r="B1746" t="s">
        <v>378</v>
      </c>
      <c r="C1746" t="s">
        <v>60</v>
      </c>
      <c r="D1746" t="s">
        <v>407</v>
      </c>
      <c r="E1746" t="s">
        <v>407</v>
      </c>
      <c r="F1746">
        <v>12</v>
      </c>
      <c r="G1746">
        <v>744</v>
      </c>
      <c r="H1746" s="122">
        <v>3977</v>
      </c>
      <c r="I1746" s="122">
        <v>137002</v>
      </c>
      <c r="J1746" s="122">
        <v>124548</v>
      </c>
      <c r="K1746">
        <v>73</v>
      </c>
      <c r="L1746" s="122">
        <v>18213</v>
      </c>
      <c r="M1746" s="122">
        <v>15895</v>
      </c>
      <c r="N1746" s="122">
        <v>16019</v>
      </c>
      <c r="O1746" s="122">
        <v>5933</v>
      </c>
      <c r="P1746" s="122">
        <v>5670</v>
      </c>
      <c r="Q1746" s="122">
        <v>2100</v>
      </c>
      <c r="R1746" s="122">
        <v>49404</v>
      </c>
      <c r="S1746" s="122">
        <v>44912</v>
      </c>
      <c r="T1746" s="122">
        <v>20547</v>
      </c>
      <c r="U1746" s="122">
        <v>7610</v>
      </c>
      <c r="V1746" s="122">
        <v>200997</v>
      </c>
      <c r="W1746" s="122">
        <f t="shared" si="54"/>
        <v>200998</v>
      </c>
      <c r="X1746" s="122">
        <f t="shared" si="55"/>
        <v>246855</v>
      </c>
    </row>
    <row r="1747" spans="2:24">
      <c r="B1747" t="s">
        <v>378</v>
      </c>
      <c r="C1747" t="s">
        <v>62</v>
      </c>
      <c r="D1747" t="s">
        <v>137</v>
      </c>
      <c r="E1747" t="s">
        <v>137</v>
      </c>
      <c r="F1747">
        <v>58</v>
      </c>
      <c r="G1747" s="122">
        <v>3203</v>
      </c>
      <c r="H1747" s="122">
        <v>23967</v>
      </c>
      <c r="I1747" s="122">
        <v>823223</v>
      </c>
      <c r="J1747" s="122">
        <v>304897</v>
      </c>
      <c r="K1747">
        <v>100</v>
      </c>
      <c r="L1747" s="122">
        <v>103538</v>
      </c>
      <c r="M1747" s="122">
        <v>45600</v>
      </c>
      <c r="N1747" s="122">
        <v>65493</v>
      </c>
      <c r="O1747" s="122">
        <v>24257</v>
      </c>
      <c r="P1747">
        <v>0</v>
      </c>
      <c r="Q1747">
        <v>0</v>
      </c>
      <c r="R1747" s="122">
        <v>331796</v>
      </c>
      <c r="S1747" s="122">
        <v>122887</v>
      </c>
      <c r="T1747">
        <v>0</v>
      </c>
      <c r="U1747">
        <v>0</v>
      </c>
      <c r="V1747" s="122">
        <v>497641</v>
      </c>
      <c r="W1747" s="122">
        <f t="shared" si="54"/>
        <v>497641</v>
      </c>
      <c r="X1747" s="122">
        <f t="shared" si="55"/>
        <v>1324050</v>
      </c>
    </row>
    <row r="1748" spans="2:24">
      <c r="B1748" t="s">
        <v>378</v>
      </c>
      <c r="C1748" t="s">
        <v>62</v>
      </c>
      <c r="D1748" t="s">
        <v>406</v>
      </c>
      <c r="E1748" t="s">
        <v>406</v>
      </c>
      <c r="F1748">
        <v>9</v>
      </c>
      <c r="G1748">
        <v>947</v>
      </c>
      <c r="H1748" s="122">
        <v>3698</v>
      </c>
      <c r="I1748" s="122">
        <v>281641</v>
      </c>
      <c r="J1748" s="122">
        <v>256038</v>
      </c>
      <c r="K1748">
        <v>77</v>
      </c>
      <c r="L1748" s="122">
        <v>29547</v>
      </c>
      <c r="M1748" s="122">
        <v>24121</v>
      </c>
      <c r="N1748" s="122">
        <v>19973</v>
      </c>
      <c r="O1748" s="122">
        <v>7397</v>
      </c>
      <c r="P1748" s="122">
        <v>5589</v>
      </c>
      <c r="Q1748" s="122">
        <v>2070</v>
      </c>
      <c r="R1748" s="122">
        <v>50932</v>
      </c>
      <c r="S1748" s="122">
        <v>46302</v>
      </c>
      <c r="T1748" s="122">
        <v>7236</v>
      </c>
      <c r="U1748" s="122">
        <v>2680</v>
      </c>
      <c r="V1748" s="122">
        <v>338608</v>
      </c>
      <c r="W1748" s="122">
        <f t="shared" si="54"/>
        <v>338608</v>
      </c>
      <c r="X1748" s="122">
        <f t="shared" si="55"/>
        <v>394918</v>
      </c>
    </row>
    <row r="1749" spans="2:24">
      <c r="B1749" t="s">
        <v>378</v>
      </c>
      <c r="C1749" t="s">
        <v>62</v>
      </c>
      <c r="D1749" t="s">
        <v>407</v>
      </c>
      <c r="E1749" t="s">
        <v>407</v>
      </c>
      <c r="F1749">
        <v>3</v>
      </c>
      <c r="G1749">
        <v>255</v>
      </c>
      <c r="H1749" s="122">
        <v>1264</v>
      </c>
      <c r="I1749" s="122">
        <v>72244</v>
      </c>
      <c r="J1749" s="122">
        <v>65676</v>
      </c>
      <c r="K1749">
        <v>74</v>
      </c>
      <c r="L1749" s="122">
        <v>10092</v>
      </c>
      <c r="M1749" s="122">
        <v>9174</v>
      </c>
      <c r="N1749" s="122">
        <v>5545</v>
      </c>
      <c r="O1749" s="122">
        <v>2054</v>
      </c>
      <c r="P1749" s="122">
        <v>1566</v>
      </c>
      <c r="Q1749">
        <v>580</v>
      </c>
      <c r="R1749" s="122">
        <v>11428</v>
      </c>
      <c r="S1749" s="122">
        <v>10389</v>
      </c>
      <c r="T1749" s="122">
        <v>6433</v>
      </c>
      <c r="U1749" s="122">
        <v>2382</v>
      </c>
      <c r="V1749" s="122">
        <v>90255</v>
      </c>
      <c r="W1749" s="122">
        <f t="shared" si="54"/>
        <v>90255</v>
      </c>
      <c r="X1749" s="122">
        <f t="shared" si="55"/>
        <v>107308</v>
      </c>
    </row>
    <row r="1750" spans="2:24">
      <c r="B1750" t="s">
        <v>378</v>
      </c>
      <c r="C1750" t="s">
        <v>64</v>
      </c>
      <c r="F1750">
        <v>1</v>
      </c>
      <c r="G1750">
        <v>184</v>
      </c>
      <c r="H1750">
        <v>595</v>
      </c>
      <c r="J1750">
        <v>0</v>
      </c>
      <c r="M1750">
        <v>0</v>
      </c>
      <c r="N1750" s="122">
        <v>3982</v>
      </c>
      <c r="O1750" s="122">
        <v>1475</v>
      </c>
      <c r="P1750">
        <v>621</v>
      </c>
      <c r="Q1750">
        <v>230</v>
      </c>
      <c r="S1750">
        <v>0</v>
      </c>
      <c r="T1750" s="122">
        <v>3368</v>
      </c>
      <c r="U1750" s="122">
        <v>1247</v>
      </c>
      <c r="V1750" s="122">
        <v>2952</v>
      </c>
      <c r="W1750" s="122">
        <f t="shared" si="54"/>
        <v>2952</v>
      </c>
      <c r="X1750" s="122">
        <f t="shared" si="55"/>
        <v>7971</v>
      </c>
    </row>
    <row r="1751" spans="2:24">
      <c r="B1751" t="s">
        <v>378</v>
      </c>
      <c r="C1751" t="s">
        <v>64</v>
      </c>
      <c r="D1751" t="s">
        <v>137</v>
      </c>
      <c r="E1751" t="s">
        <v>137</v>
      </c>
      <c r="F1751">
        <v>61</v>
      </c>
      <c r="G1751" s="122">
        <v>3402</v>
      </c>
      <c r="H1751" s="122">
        <v>37555</v>
      </c>
      <c r="I1751" s="122">
        <v>1485784</v>
      </c>
      <c r="J1751" s="122">
        <v>550290</v>
      </c>
      <c r="K1751">
        <v>100</v>
      </c>
      <c r="L1751" s="122">
        <v>163482</v>
      </c>
      <c r="M1751" s="122">
        <v>92670</v>
      </c>
      <c r="N1751" s="122">
        <v>67850</v>
      </c>
      <c r="O1751" s="122">
        <v>25130</v>
      </c>
      <c r="P1751">
        <v>702</v>
      </c>
      <c r="Q1751">
        <v>260</v>
      </c>
      <c r="R1751" s="122">
        <v>326403</v>
      </c>
      <c r="S1751" s="122">
        <v>120890</v>
      </c>
      <c r="T1751" s="122">
        <v>4900</v>
      </c>
      <c r="U1751" s="122">
        <v>1815</v>
      </c>
      <c r="V1751" s="122">
        <v>791055</v>
      </c>
      <c r="W1751" s="122">
        <f t="shared" si="54"/>
        <v>791055</v>
      </c>
      <c r="X1751" s="122">
        <f t="shared" si="55"/>
        <v>2049121</v>
      </c>
    </row>
    <row r="1752" spans="2:24">
      <c r="B1752" t="s">
        <v>378</v>
      </c>
      <c r="C1752" t="s">
        <v>64</v>
      </c>
      <c r="D1752" t="s">
        <v>406</v>
      </c>
      <c r="E1752" t="s">
        <v>406</v>
      </c>
      <c r="F1752">
        <v>9</v>
      </c>
      <c r="G1752">
        <v>587</v>
      </c>
      <c r="H1752" s="122">
        <v>5069</v>
      </c>
      <c r="I1752" s="122">
        <v>210512</v>
      </c>
      <c r="J1752" s="122">
        <v>191375</v>
      </c>
      <c r="K1752">
        <v>72</v>
      </c>
      <c r="L1752" s="122">
        <v>30156</v>
      </c>
      <c r="M1752" s="122">
        <v>26441</v>
      </c>
      <c r="N1752" s="122">
        <v>12771</v>
      </c>
      <c r="O1752" s="122">
        <v>4730</v>
      </c>
      <c r="P1752" s="122">
        <v>4968</v>
      </c>
      <c r="Q1752" s="122">
        <v>1840</v>
      </c>
      <c r="R1752" s="122">
        <v>57981</v>
      </c>
      <c r="S1752" s="122">
        <v>52710</v>
      </c>
      <c r="T1752" s="122">
        <v>5076</v>
      </c>
      <c r="U1752" s="122">
        <v>1880</v>
      </c>
      <c r="V1752" s="122">
        <v>278976</v>
      </c>
      <c r="W1752" s="122">
        <f t="shared" si="54"/>
        <v>278976</v>
      </c>
      <c r="X1752" s="122">
        <f t="shared" si="55"/>
        <v>321464</v>
      </c>
    </row>
    <row r="1753" spans="2:24">
      <c r="B1753" t="s">
        <v>378</v>
      </c>
      <c r="C1753" t="s">
        <v>64</v>
      </c>
      <c r="D1753" t="s">
        <v>427</v>
      </c>
      <c r="E1753" t="s">
        <v>427</v>
      </c>
      <c r="F1753">
        <v>1</v>
      </c>
      <c r="G1753">
        <v>52</v>
      </c>
      <c r="H1753" s="122">
        <v>1090</v>
      </c>
      <c r="I1753" s="122">
        <v>41426</v>
      </c>
      <c r="J1753" s="122">
        <v>37660</v>
      </c>
      <c r="K1753">
        <v>45</v>
      </c>
      <c r="L1753" s="122">
        <v>6904</v>
      </c>
      <c r="M1753" s="122">
        <v>6277</v>
      </c>
      <c r="N1753" s="122">
        <v>1265</v>
      </c>
      <c r="O1753">
        <v>468</v>
      </c>
      <c r="P1753">
        <v>351</v>
      </c>
      <c r="Q1753">
        <v>130</v>
      </c>
      <c r="R1753" s="122">
        <v>6628</v>
      </c>
      <c r="S1753" s="122">
        <v>6025</v>
      </c>
      <c r="T1753">
        <v>0</v>
      </c>
      <c r="U1753">
        <v>0</v>
      </c>
      <c r="V1753" s="122">
        <v>50560</v>
      </c>
      <c r="W1753" s="122">
        <f t="shared" si="54"/>
        <v>50560</v>
      </c>
      <c r="X1753" s="122">
        <f t="shared" si="55"/>
        <v>56574</v>
      </c>
    </row>
    <row r="1754" spans="2:24">
      <c r="B1754" t="s">
        <v>378</v>
      </c>
      <c r="C1754" t="s">
        <v>64</v>
      </c>
      <c r="D1754" t="s">
        <v>426</v>
      </c>
      <c r="E1754" t="s">
        <v>137</v>
      </c>
      <c r="F1754">
        <v>1</v>
      </c>
      <c r="G1754">
        <v>32</v>
      </c>
      <c r="H1754">
        <v>456</v>
      </c>
      <c r="I1754" s="122">
        <v>8054</v>
      </c>
      <c r="J1754" s="122">
        <v>7322</v>
      </c>
      <c r="K1754">
        <v>60</v>
      </c>
      <c r="L1754" s="122">
        <v>1318</v>
      </c>
      <c r="M1754">
        <v>488</v>
      </c>
      <c r="N1754">
        <v>386</v>
      </c>
      <c r="O1754">
        <v>143</v>
      </c>
      <c r="P1754">
        <v>0</v>
      </c>
      <c r="Q1754">
        <v>0</v>
      </c>
      <c r="R1754" s="122">
        <v>4676</v>
      </c>
      <c r="S1754" s="122">
        <v>1732</v>
      </c>
      <c r="T1754">
        <v>0</v>
      </c>
      <c r="U1754">
        <v>0</v>
      </c>
      <c r="V1754" s="122">
        <v>9685</v>
      </c>
      <c r="W1754" s="122">
        <f t="shared" si="54"/>
        <v>9685</v>
      </c>
      <c r="X1754" s="122">
        <f t="shared" si="55"/>
        <v>14434</v>
      </c>
    </row>
    <row r="1755" spans="2:24">
      <c r="B1755" t="s">
        <v>378</v>
      </c>
      <c r="C1755" t="s">
        <v>64</v>
      </c>
      <c r="D1755" t="s">
        <v>426</v>
      </c>
      <c r="E1755" t="s">
        <v>426</v>
      </c>
      <c r="F1755">
        <v>3</v>
      </c>
      <c r="G1755">
        <v>212</v>
      </c>
      <c r="H1755" s="122">
        <v>2893</v>
      </c>
      <c r="I1755" s="122">
        <v>148372</v>
      </c>
      <c r="J1755" s="122">
        <v>134884</v>
      </c>
      <c r="K1755">
        <v>48</v>
      </c>
      <c r="L1755" s="122">
        <v>21086</v>
      </c>
      <c r="M1755" s="122">
        <v>19169</v>
      </c>
      <c r="N1755" s="122">
        <v>4402</v>
      </c>
      <c r="O1755" s="122">
        <v>1630</v>
      </c>
      <c r="P1755" s="122">
        <v>1053</v>
      </c>
      <c r="Q1755">
        <v>390</v>
      </c>
      <c r="R1755" s="122">
        <v>15169</v>
      </c>
      <c r="S1755" s="122">
        <v>13790</v>
      </c>
      <c r="T1755" s="122">
        <v>5673</v>
      </c>
      <c r="U1755" s="122">
        <v>2101</v>
      </c>
      <c r="V1755" s="122">
        <v>171965</v>
      </c>
      <c r="W1755" s="122">
        <f t="shared" si="54"/>
        <v>171964</v>
      </c>
      <c r="X1755" s="122">
        <f t="shared" si="55"/>
        <v>195755</v>
      </c>
    </row>
    <row r="1756" spans="2:24">
      <c r="B1756" t="s">
        <v>379</v>
      </c>
      <c r="C1756" t="s">
        <v>48</v>
      </c>
      <c r="D1756" t="s">
        <v>137</v>
      </c>
      <c r="E1756" t="s">
        <v>137</v>
      </c>
      <c r="F1756">
        <v>3</v>
      </c>
      <c r="G1756">
        <v>255</v>
      </c>
      <c r="H1756">
        <v>177</v>
      </c>
      <c r="I1756">
        <v>-932</v>
      </c>
      <c r="J1756">
        <v>-345</v>
      </c>
      <c r="K1756">
        <v>483</v>
      </c>
      <c r="L1756">
        <v>-500</v>
      </c>
      <c r="M1756">
        <v>-185</v>
      </c>
      <c r="N1756" s="122">
        <v>3103</v>
      </c>
      <c r="O1756" s="122">
        <v>1149</v>
      </c>
      <c r="P1756" s="122">
        <v>1053</v>
      </c>
      <c r="Q1756">
        <v>390</v>
      </c>
      <c r="R1756" s="122">
        <v>12341</v>
      </c>
      <c r="S1756" s="122">
        <v>4571</v>
      </c>
      <c r="T1756">
        <v>0</v>
      </c>
      <c r="U1756">
        <v>0</v>
      </c>
      <c r="V1756" s="122">
        <v>5580</v>
      </c>
      <c r="W1756" s="122">
        <f t="shared" si="54"/>
        <v>6640</v>
      </c>
      <c r="X1756" s="122">
        <f t="shared" si="55"/>
        <v>17929</v>
      </c>
    </row>
    <row r="1757" spans="2:24">
      <c r="B1757" t="s">
        <v>379</v>
      </c>
      <c r="C1757" t="s">
        <v>50</v>
      </c>
      <c r="D1757" t="s">
        <v>406</v>
      </c>
      <c r="E1757" t="s">
        <v>406</v>
      </c>
      <c r="F1757">
        <v>1</v>
      </c>
      <c r="G1757">
        <v>273</v>
      </c>
      <c r="H1757">
        <v>90</v>
      </c>
      <c r="I1757" s="122">
        <v>11384</v>
      </c>
      <c r="J1757" s="122">
        <v>10349</v>
      </c>
      <c r="K1757">
        <v>79</v>
      </c>
      <c r="L1757" s="122">
        <v>1537</v>
      </c>
      <c r="M1757" s="122">
        <v>1398</v>
      </c>
      <c r="N1757" s="122">
        <v>3323</v>
      </c>
      <c r="O1757" s="122">
        <v>1231</v>
      </c>
      <c r="P1757">
        <v>972</v>
      </c>
      <c r="Q1757">
        <v>360</v>
      </c>
      <c r="R1757" s="122">
        <v>7461</v>
      </c>
      <c r="S1757" s="122">
        <v>6782</v>
      </c>
      <c r="T1757">
        <v>0</v>
      </c>
      <c r="U1757">
        <v>0</v>
      </c>
      <c r="V1757" s="122">
        <v>20120</v>
      </c>
      <c r="W1757" s="122">
        <f t="shared" si="54"/>
        <v>20120</v>
      </c>
      <c r="X1757" s="122">
        <f t="shared" si="55"/>
        <v>24677</v>
      </c>
    </row>
    <row r="1758" spans="2:24">
      <c r="B1758" t="s">
        <v>379</v>
      </c>
      <c r="C1758" t="s">
        <v>50</v>
      </c>
      <c r="D1758" t="s">
        <v>407</v>
      </c>
      <c r="E1758" t="s">
        <v>407</v>
      </c>
      <c r="F1758">
        <v>2</v>
      </c>
      <c r="G1758">
        <v>122</v>
      </c>
      <c r="H1758">
        <v>178</v>
      </c>
      <c r="I1758" s="122">
        <v>3605</v>
      </c>
      <c r="J1758" s="122">
        <v>3277</v>
      </c>
      <c r="K1758">
        <v>90</v>
      </c>
      <c r="L1758">
        <v>0</v>
      </c>
      <c r="M1758">
        <v>0</v>
      </c>
      <c r="N1758" s="122">
        <v>2290</v>
      </c>
      <c r="O1758">
        <v>848</v>
      </c>
      <c r="P1758">
        <v>945</v>
      </c>
      <c r="Q1758">
        <v>350</v>
      </c>
      <c r="R1758" s="122">
        <v>3978</v>
      </c>
      <c r="S1758" s="122">
        <v>3616</v>
      </c>
      <c r="T1758">
        <v>0</v>
      </c>
      <c r="U1758">
        <v>0</v>
      </c>
      <c r="V1758" s="122">
        <v>8092</v>
      </c>
      <c r="W1758" s="122">
        <f t="shared" si="54"/>
        <v>8091</v>
      </c>
      <c r="X1758" s="122">
        <f t="shared" si="55"/>
        <v>10818</v>
      </c>
    </row>
    <row r="1759" spans="2:24">
      <c r="B1759" t="s">
        <v>379</v>
      </c>
      <c r="C1759" t="s">
        <v>52</v>
      </c>
      <c r="D1759" t="s">
        <v>405</v>
      </c>
      <c r="E1759" t="s">
        <v>405</v>
      </c>
      <c r="F1759">
        <v>22</v>
      </c>
      <c r="G1759" s="122">
        <v>1720</v>
      </c>
      <c r="H1759" s="122">
        <v>2543</v>
      </c>
      <c r="I1759" s="122">
        <v>97511</v>
      </c>
      <c r="J1759" s="122">
        <v>88646</v>
      </c>
      <c r="K1759">
        <v>91</v>
      </c>
      <c r="L1759">
        <v>919</v>
      </c>
      <c r="M1759">
        <v>340</v>
      </c>
      <c r="N1759" s="122">
        <v>37396</v>
      </c>
      <c r="O1759" s="122">
        <v>13850</v>
      </c>
      <c r="P1759" s="122">
        <v>10274</v>
      </c>
      <c r="Q1759" s="122">
        <v>3805</v>
      </c>
      <c r="R1759" s="122">
        <v>51354</v>
      </c>
      <c r="S1759" s="122">
        <v>46685</v>
      </c>
      <c r="T1759">
        <v>0</v>
      </c>
      <c r="U1759">
        <v>0</v>
      </c>
      <c r="V1759" s="122">
        <v>153327</v>
      </c>
      <c r="W1759" s="122">
        <f t="shared" si="54"/>
        <v>153326</v>
      </c>
      <c r="X1759" s="122">
        <f t="shared" si="55"/>
        <v>197454</v>
      </c>
    </row>
    <row r="1760" spans="2:24">
      <c r="B1760" t="s">
        <v>379</v>
      </c>
      <c r="C1760" t="s">
        <v>52</v>
      </c>
      <c r="D1760" t="s">
        <v>406</v>
      </c>
      <c r="E1760" t="s">
        <v>406</v>
      </c>
      <c r="F1760">
        <v>1</v>
      </c>
      <c r="G1760">
        <v>206</v>
      </c>
      <c r="H1760">
        <v>113</v>
      </c>
      <c r="I1760" s="122">
        <v>19999</v>
      </c>
      <c r="J1760" s="122">
        <v>18181</v>
      </c>
      <c r="K1760">
        <v>93</v>
      </c>
      <c r="L1760" s="122">
        <v>3429</v>
      </c>
      <c r="M1760" s="122">
        <v>3118</v>
      </c>
      <c r="N1760" s="122">
        <v>7016</v>
      </c>
      <c r="O1760" s="122">
        <v>2599</v>
      </c>
      <c r="P1760">
        <v>621</v>
      </c>
      <c r="Q1760">
        <v>230</v>
      </c>
      <c r="R1760" s="122">
        <v>7297</v>
      </c>
      <c r="S1760" s="122">
        <v>6634</v>
      </c>
      <c r="T1760">
        <v>0</v>
      </c>
      <c r="U1760">
        <v>0</v>
      </c>
      <c r="V1760" s="122">
        <v>30761</v>
      </c>
      <c r="W1760" s="122">
        <f t="shared" si="54"/>
        <v>30762</v>
      </c>
      <c r="X1760" s="122">
        <f t="shared" si="55"/>
        <v>38362</v>
      </c>
    </row>
    <row r="1761" spans="2:24">
      <c r="B1761" t="s">
        <v>379</v>
      </c>
      <c r="C1761" t="s">
        <v>52</v>
      </c>
      <c r="D1761" t="s">
        <v>407</v>
      </c>
      <c r="E1761" t="s">
        <v>407</v>
      </c>
      <c r="F1761">
        <v>2</v>
      </c>
      <c r="G1761">
        <v>138</v>
      </c>
      <c r="H1761">
        <v>246</v>
      </c>
      <c r="I1761" s="122">
        <v>8479</v>
      </c>
      <c r="J1761" s="122">
        <v>7708</v>
      </c>
      <c r="K1761">
        <v>79</v>
      </c>
      <c r="L1761">
        <v>0</v>
      </c>
      <c r="M1761">
        <v>0</v>
      </c>
      <c r="N1761" s="122">
        <v>2572</v>
      </c>
      <c r="O1761">
        <v>953</v>
      </c>
      <c r="P1761">
        <v>945</v>
      </c>
      <c r="Q1761">
        <v>350</v>
      </c>
      <c r="R1761" s="122">
        <v>4923</v>
      </c>
      <c r="S1761" s="122">
        <v>4475</v>
      </c>
      <c r="T1761">
        <v>0</v>
      </c>
      <c r="U1761">
        <v>0</v>
      </c>
      <c r="V1761" s="122">
        <v>13486</v>
      </c>
      <c r="W1761" s="122">
        <f t="shared" si="54"/>
        <v>13486</v>
      </c>
      <c r="X1761" s="122">
        <f t="shared" si="55"/>
        <v>16919</v>
      </c>
    </row>
    <row r="1762" spans="2:24">
      <c r="B1762" t="s">
        <v>379</v>
      </c>
      <c r="C1762" t="s">
        <v>54</v>
      </c>
      <c r="D1762" t="s">
        <v>425</v>
      </c>
      <c r="E1762" t="s">
        <v>425</v>
      </c>
      <c r="F1762">
        <v>1</v>
      </c>
      <c r="G1762">
        <v>77</v>
      </c>
      <c r="H1762">
        <v>135</v>
      </c>
      <c r="I1762" s="122">
        <v>6717</v>
      </c>
      <c r="J1762" s="122">
        <v>6107</v>
      </c>
      <c r="K1762">
        <v>91</v>
      </c>
      <c r="L1762">
        <v>0</v>
      </c>
      <c r="M1762">
        <v>588</v>
      </c>
      <c r="N1762" s="122">
        <v>1227</v>
      </c>
      <c r="O1762">
        <v>454</v>
      </c>
      <c r="P1762">
        <v>473</v>
      </c>
      <c r="Q1762">
        <v>175</v>
      </c>
      <c r="R1762" s="122">
        <v>2042</v>
      </c>
      <c r="S1762" s="122">
        <v>1856</v>
      </c>
      <c r="T1762">
        <v>0</v>
      </c>
      <c r="U1762">
        <v>0</v>
      </c>
      <c r="V1762" s="122">
        <v>9180</v>
      </c>
      <c r="W1762" s="122">
        <f t="shared" si="54"/>
        <v>9180</v>
      </c>
      <c r="X1762" s="122">
        <f t="shared" si="55"/>
        <v>10459</v>
      </c>
    </row>
    <row r="1763" spans="2:24">
      <c r="B1763" t="s">
        <v>379</v>
      </c>
      <c r="C1763" t="s">
        <v>54</v>
      </c>
      <c r="D1763" t="s">
        <v>405</v>
      </c>
      <c r="E1763" t="s">
        <v>405</v>
      </c>
      <c r="F1763">
        <v>20</v>
      </c>
      <c r="G1763" s="122">
        <v>1558</v>
      </c>
      <c r="H1763" s="122">
        <v>2784</v>
      </c>
      <c r="I1763" s="122">
        <v>112021</v>
      </c>
      <c r="J1763" s="122">
        <v>101837</v>
      </c>
      <c r="K1763">
        <v>90</v>
      </c>
      <c r="L1763" s="122">
        <v>12800</v>
      </c>
      <c r="M1763" s="122">
        <v>6747</v>
      </c>
      <c r="N1763" s="122">
        <v>32726</v>
      </c>
      <c r="O1763" s="122">
        <v>12121</v>
      </c>
      <c r="P1763" s="122">
        <v>9329</v>
      </c>
      <c r="Q1763" s="122">
        <v>3455</v>
      </c>
      <c r="R1763" s="122">
        <v>50060</v>
      </c>
      <c r="S1763" s="122">
        <v>45509</v>
      </c>
      <c r="T1763">
        <v>0</v>
      </c>
      <c r="U1763">
        <v>0</v>
      </c>
      <c r="V1763" s="122">
        <v>169669</v>
      </c>
      <c r="W1763" s="122">
        <f t="shared" si="54"/>
        <v>169669</v>
      </c>
      <c r="X1763" s="122">
        <f t="shared" si="55"/>
        <v>216936</v>
      </c>
    </row>
    <row r="1764" spans="2:24">
      <c r="B1764" t="s">
        <v>379</v>
      </c>
      <c r="C1764" t="s">
        <v>54</v>
      </c>
      <c r="D1764" t="s">
        <v>137</v>
      </c>
      <c r="E1764" t="s">
        <v>137</v>
      </c>
      <c r="F1764">
        <v>1</v>
      </c>
      <c r="G1764">
        <v>104</v>
      </c>
      <c r="H1764">
        <v>142</v>
      </c>
      <c r="I1764" s="122">
        <v>5662</v>
      </c>
      <c r="J1764" s="122">
        <v>2097</v>
      </c>
      <c r="K1764">
        <v>100</v>
      </c>
      <c r="L1764" s="122">
        <v>1415</v>
      </c>
      <c r="M1764">
        <v>524</v>
      </c>
      <c r="N1764" s="122">
        <v>2433</v>
      </c>
      <c r="O1764">
        <v>901</v>
      </c>
      <c r="P1764">
        <v>0</v>
      </c>
      <c r="Q1764">
        <v>0</v>
      </c>
      <c r="R1764" s="122">
        <v>5236</v>
      </c>
      <c r="S1764" s="122">
        <v>1939</v>
      </c>
      <c r="T1764">
        <v>0</v>
      </c>
      <c r="U1764">
        <v>0</v>
      </c>
      <c r="V1764" s="122">
        <v>5462</v>
      </c>
      <c r="W1764" s="122">
        <f t="shared" si="54"/>
        <v>5461</v>
      </c>
      <c r="X1764" s="122">
        <f t="shared" si="55"/>
        <v>14746</v>
      </c>
    </row>
    <row r="1765" spans="2:24">
      <c r="B1765" t="s">
        <v>379</v>
      </c>
      <c r="C1765" t="s">
        <v>54</v>
      </c>
      <c r="D1765" t="s">
        <v>406</v>
      </c>
      <c r="E1765" t="s">
        <v>406</v>
      </c>
      <c r="F1765">
        <v>5</v>
      </c>
      <c r="G1765" s="122">
        <v>1169</v>
      </c>
      <c r="H1765">
        <v>722</v>
      </c>
      <c r="I1765" s="122">
        <v>92194</v>
      </c>
      <c r="J1765" s="122">
        <v>83812</v>
      </c>
      <c r="K1765">
        <v>86</v>
      </c>
      <c r="L1765" s="122">
        <v>17884</v>
      </c>
      <c r="M1765" s="122">
        <v>16258</v>
      </c>
      <c r="N1765" s="122">
        <v>24429</v>
      </c>
      <c r="O1765" s="122">
        <v>9048</v>
      </c>
      <c r="P1765" s="122">
        <v>3105</v>
      </c>
      <c r="Q1765" s="122">
        <v>1150</v>
      </c>
      <c r="R1765" s="122">
        <v>30886</v>
      </c>
      <c r="S1765" s="122">
        <v>28079</v>
      </c>
      <c r="T1765">
        <v>0</v>
      </c>
      <c r="U1765">
        <v>0</v>
      </c>
      <c r="V1765" s="122">
        <v>138347</v>
      </c>
      <c r="W1765" s="122">
        <f t="shared" si="54"/>
        <v>138347</v>
      </c>
      <c r="X1765" s="122">
        <f t="shared" si="55"/>
        <v>168498</v>
      </c>
    </row>
    <row r="1766" spans="2:24">
      <c r="B1766" t="s">
        <v>379</v>
      </c>
      <c r="C1766" t="s">
        <v>54</v>
      </c>
      <c r="D1766" t="s">
        <v>407</v>
      </c>
      <c r="E1766" t="s">
        <v>407</v>
      </c>
      <c r="F1766">
        <v>12</v>
      </c>
      <c r="G1766">
        <v>878</v>
      </c>
      <c r="H1766" s="122">
        <v>1686</v>
      </c>
      <c r="I1766" s="122">
        <v>53277</v>
      </c>
      <c r="J1766" s="122">
        <v>48434</v>
      </c>
      <c r="K1766">
        <v>82</v>
      </c>
      <c r="L1766" s="122">
        <v>14246</v>
      </c>
      <c r="M1766" s="122">
        <v>6485</v>
      </c>
      <c r="N1766" s="122">
        <v>12316</v>
      </c>
      <c r="O1766" s="122">
        <v>4561</v>
      </c>
      <c r="P1766" s="122">
        <v>5670</v>
      </c>
      <c r="Q1766" s="122">
        <v>2100</v>
      </c>
      <c r="R1766" s="122">
        <v>38412</v>
      </c>
      <c r="S1766" s="122">
        <v>34920</v>
      </c>
      <c r="T1766">
        <v>0</v>
      </c>
      <c r="U1766">
        <v>0</v>
      </c>
      <c r="V1766" s="122">
        <v>96500</v>
      </c>
      <c r="W1766" s="122">
        <f t="shared" si="54"/>
        <v>96500</v>
      </c>
      <c r="X1766" s="122">
        <f t="shared" si="55"/>
        <v>123921</v>
      </c>
    </row>
    <row r="1767" spans="2:24">
      <c r="B1767" t="s">
        <v>379</v>
      </c>
      <c r="C1767" t="s">
        <v>56</v>
      </c>
      <c r="F1767">
        <v>1</v>
      </c>
      <c r="G1767">
        <v>71</v>
      </c>
      <c r="H1767">
        <v>160</v>
      </c>
      <c r="J1767">
        <v>0</v>
      </c>
      <c r="M1767">
        <v>0</v>
      </c>
      <c r="N1767" s="122">
        <v>1362</v>
      </c>
      <c r="O1767">
        <v>504</v>
      </c>
      <c r="P1767">
        <v>621</v>
      </c>
      <c r="Q1767">
        <v>230</v>
      </c>
      <c r="S1767">
        <v>0</v>
      </c>
      <c r="T1767">
        <v>0</v>
      </c>
      <c r="U1767">
        <v>0</v>
      </c>
      <c r="V1767">
        <v>734</v>
      </c>
      <c r="W1767" s="122">
        <f t="shared" si="54"/>
        <v>734</v>
      </c>
      <c r="X1767" s="122">
        <f t="shared" si="55"/>
        <v>1983</v>
      </c>
    </row>
    <row r="1768" spans="2:24">
      <c r="B1768" t="s">
        <v>379</v>
      </c>
      <c r="C1768" t="s">
        <v>56</v>
      </c>
      <c r="D1768" t="s">
        <v>425</v>
      </c>
      <c r="E1768" t="s">
        <v>425</v>
      </c>
      <c r="F1768">
        <v>1</v>
      </c>
      <c r="G1768">
        <v>48</v>
      </c>
      <c r="H1768">
        <v>181</v>
      </c>
      <c r="I1768" s="122">
        <v>5754</v>
      </c>
      <c r="J1768" s="122">
        <v>5231</v>
      </c>
      <c r="K1768">
        <v>91</v>
      </c>
      <c r="L1768">
        <v>0</v>
      </c>
      <c r="M1768">
        <v>503</v>
      </c>
      <c r="N1768">
        <v>869</v>
      </c>
      <c r="O1768">
        <v>322</v>
      </c>
      <c r="P1768">
        <v>473</v>
      </c>
      <c r="Q1768">
        <v>175</v>
      </c>
      <c r="R1768" s="122">
        <v>1533</v>
      </c>
      <c r="S1768" s="122">
        <v>1394</v>
      </c>
      <c r="T1768">
        <v>0</v>
      </c>
      <c r="U1768">
        <v>0</v>
      </c>
      <c r="V1768" s="122">
        <v>7625</v>
      </c>
      <c r="W1768" s="122">
        <f t="shared" si="54"/>
        <v>7625</v>
      </c>
      <c r="X1768" s="122">
        <f t="shared" si="55"/>
        <v>8629</v>
      </c>
    </row>
    <row r="1769" spans="2:24">
      <c r="B1769" t="s">
        <v>379</v>
      </c>
      <c r="C1769" t="s">
        <v>56</v>
      </c>
      <c r="D1769" t="s">
        <v>405</v>
      </c>
      <c r="E1769" t="s">
        <v>405</v>
      </c>
      <c r="F1769">
        <v>29</v>
      </c>
      <c r="G1769" s="122">
        <v>1832</v>
      </c>
      <c r="H1769" s="122">
        <v>5117</v>
      </c>
      <c r="I1769" s="122">
        <v>154427</v>
      </c>
      <c r="J1769" s="122">
        <v>140388</v>
      </c>
      <c r="K1769">
        <v>83</v>
      </c>
      <c r="L1769" s="122">
        <v>3882</v>
      </c>
      <c r="M1769" s="122">
        <v>1438</v>
      </c>
      <c r="N1769" s="122">
        <v>29548</v>
      </c>
      <c r="O1769" s="122">
        <v>10944</v>
      </c>
      <c r="P1769" s="122">
        <v>13703</v>
      </c>
      <c r="Q1769" s="122">
        <v>5075</v>
      </c>
      <c r="R1769" s="122">
        <v>109058</v>
      </c>
      <c r="S1769" s="122">
        <v>99144</v>
      </c>
      <c r="T1769" s="122">
        <v>11457</v>
      </c>
      <c r="U1769" s="122">
        <v>4243</v>
      </c>
      <c r="V1769" s="122">
        <v>261232</v>
      </c>
      <c r="W1769" s="122">
        <f t="shared" si="54"/>
        <v>261232</v>
      </c>
      <c r="X1769" s="122">
        <f t="shared" si="55"/>
        <v>322075</v>
      </c>
    </row>
    <row r="1770" spans="2:24">
      <c r="B1770" t="s">
        <v>379</v>
      </c>
      <c r="C1770" t="s">
        <v>56</v>
      </c>
      <c r="D1770" t="s">
        <v>137</v>
      </c>
      <c r="E1770" t="s">
        <v>137</v>
      </c>
      <c r="F1770">
        <v>42</v>
      </c>
      <c r="G1770" s="122">
        <v>2999</v>
      </c>
      <c r="H1770" s="122">
        <v>8278</v>
      </c>
      <c r="I1770" s="122">
        <v>229901</v>
      </c>
      <c r="J1770" s="122">
        <v>85149</v>
      </c>
      <c r="K1770">
        <v>100</v>
      </c>
      <c r="L1770" s="122">
        <v>32395</v>
      </c>
      <c r="M1770" s="122">
        <v>13245</v>
      </c>
      <c r="N1770" s="122">
        <v>57365</v>
      </c>
      <c r="O1770" s="122">
        <v>21246</v>
      </c>
      <c r="P1770" s="122">
        <v>2851</v>
      </c>
      <c r="Q1770" s="122">
        <v>1056</v>
      </c>
      <c r="R1770" s="122">
        <v>261028</v>
      </c>
      <c r="S1770" s="122">
        <v>96677</v>
      </c>
      <c r="T1770" s="122">
        <v>6492</v>
      </c>
      <c r="U1770" s="122">
        <v>2404</v>
      </c>
      <c r="V1770" s="122">
        <v>219778</v>
      </c>
      <c r="W1770" s="122">
        <f t="shared" si="54"/>
        <v>219777</v>
      </c>
      <c r="X1770" s="122">
        <f t="shared" si="55"/>
        <v>590032</v>
      </c>
    </row>
    <row r="1771" spans="2:24">
      <c r="B1771" t="s">
        <v>379</v>
      </c>
      <c r="C1771" t="s">
        <v>56</v>
      </c>
      <c r="D1771" t="s">
        <v>406</v>
      </c>
      <c r="E1771" t="s">
        <v>406</v>
      </c>
      <c r="F1771">
        <v>38</v>
      </c>
      <c r="G1771" s="122">
        <v>4483</v>
      </c>
      <c r="H1771" s="122">
        <v>6985</v>
      </c>
      <c r="I1771" s="122">
        <v>431463</v>
      </c>
      <c r="J1771" s="122">
        <v>392239</v>
      </c>
      <c r="K1771">
        <v>87</v>
      </c>
      <c r="L1771" s="122">
        <v>88569</v>
      </c>
      <c r="M1771" s="122">
        <v>74694</v>
      </c>
      <c r="N1771" s="122">
        <v>89078</v>
      </c>
      <c r="O1771" s="122">
        <v>32992</v>
      </c>
      <c r="P1771" s="122">
        <v>27665</v>
      </c>
      <c r="Q1771" s="122">
        <v>10246</v>
      </c>
      <c r="R1771" s="122">
        <v>182266</v>
      </c>
      <c r="S1771" s="122">
        <v>165696</v>
      </c>
      <c r="T1771" s="122">
        <v>11605</v>
      </c>
      <c r="U1771" s="122">
        <v>4298</v>
      </c>
      <c r="V1771" s="122">
        <v>680165</v>
      </c>
      <c r="W1771" s="122">
        <f t="shared" ref="W1771:W1834" si="56">SUM(ABS(J1771),ABS(M1771),ABS(O1771),ABS(Q1771),ABS(S1771),ABS(U1771))</f>
        <v>680165</v>
      </c>
      <c r="X1771" s="122">
        <f t="shared" ref="X1771:X1834" si="57">SUM(ABS(I1771),ABS(N1771),ABS(P1771),ABS(R1771),ABS(T1771),ABS(L1771))</f>
        <v>830646</v>
      </c>
    </row>
    <row r="1772" spans="2:24">
      <c r="B1772" t="s">
        <v>379</v>
      </c>
      <c r="C1772" t="s">
        <v>56</v>
      </c>
      <c r="D1772" t="s">
        <v>407</v>
      </c>
      <c r="E1772" t="s">
        <v>407</v>
      </c>
      <c r="F1772">
        <v>43</v>
      </c>
      <c r="G1772" s="122">
        <v>2837</v>
      </c>
      <c r="H1772" s="122">
        <v>7849</v>
      </c>
      <c r="I1772" s="122">
        <v>272730</v>
      </c>
      <c r="J1772" s="122">
        <v>247936</v>
      </c>
      <c r="K1772">
        <v>84</v>
      </c>
      <c r="L1772" s="122">
        <v>32052</v>
      </c>
      <c r="M1772" s="122">
        <v>22526</v>
      </c>
      <c r="N1772" s="122">
        <v>51303</v>
      </c>
      <c r="O1772" s="122">
        <v>19001</v>
      </c>
      <c r="P1772" s="122">
        <v>20561</v>
      </c>
      <c r="Q1772" s="122">
        <v>7615</v>
      </c>
      <c r="R1772" s="122">
        <v>134032</v>
      </c>
      <c r="S1772" s="122">
        <v>121848</v>
      </c>
      <c r="T1772" s="122">
        <v>3967</v>
      </c>
      <c r="U1772" s="122">
        <v>1469</v>
      </c>
      <c r="V1772" s="122">
        <v>420395</v>
      </c>
      <c r="W1772" s="122">
        <f t="shared" si="56"/>
        <v>420395</v>
      </c>
      <c r="X1772" s="122">
        <f t="shared" si="57"/>
        <v>514645</v>
      </c>
    </row>
    <row r="1773" spans="2:24">
      <c r="B1773" t="s">
        <v>379</v>
      </c>
      <c r="C1773" t="s">
        <v>58</v>
      </c>
      <c r="F1773">
        <v>2</v>
      </c>
      <c r="G1773">
        <v>79</v>
      </c>
      <c r="H1773">
        <v>476</v>
      </c>
      <c r="J1773">
        <v>0</v>
      </c>
      <c r="M1773">
        <v>0</v>
      </c>
      <c r="N1773" s="122">
        <v>1741</v>
      </c>
      <c r="O1773">
        <v>645</v>
      </c>
      <c r="P1773">
        <v>0</v>
      </c>
      <c r="Q1773">
        <v>0</v>
      </c>
      <c r="S1773">
        <v>0</v>
      </c>
      <c r="T1773">
        <v>0</v>
      </c>
      <c r="U1773">
        <v>0</v>
      </c>
      <c r="V1773">
        <v>645</v>
      </c>
      <c r="W1773" s="122">
        <f t="shared" si="56"/>
        <v>645</v>
      </c>
      <c r="X1773" s="122">
        <f t="shared" si="57"/>
        <v>1741</v>
      </c>
    </row>
    <row r="1774" spans="2:24">
      <c r="B1774" t="s">
        <v>379</v>
      </c>
      <c r="C1774" t="s">
        <v>58</v>
      </c>
      <c r="D1774" t="s">
        <v>425</v>
      </c>
      <c r="E1774" t="s">
        <v>425</v>
      </c>
      <c r="F1774">
        <v>1</v>
      </c>
      <c r="G1774">
        <v>67</v>
      </c>
      <c r="H1774">
        <v>228</v>
      </c>
      <c r="I1774" s="122">
        <v>8940</v>
      </c>
      <c r="J1774" s="122">
        <v>8128</v>
      </c>
      <c r="K1774">
        <v>83</v>
      </c>
      <c r="L1774">
        <v>0</v>
      </c>
      <c r="M1774">
        <v>0</v>
      </c>
      <c r="N1774" s="122">
        <v>1119</v>
      </c>
      <c r="O1774">
        <v>414</v>
      </c>
      <c r="P1774">
        <v>473</v>
      </c>
      <c r="Q1774">
        <v>175</v>
      </c>
      <c r="R1774" s="122">
        <v>4774</v>
      </c>
      <c r="S1774" s="122">
        <v>4340</v>
      </c>
      <c r="T1774">
        <v>0</v>
      </c>
      <c r="U1774">
        <v>0</v>
      </c>
      <c r="V1774" s="122">
        <v>13057</v>
      </c>
      <c r="W1774" s="122">
        <f t="shared" si="56"/>
        <v>13057</v>
      </c>
      <c r="X1774" s="122">
        <f t="shared" si="57"/>
        <v>15306</v>
      </c>
    </row>
    <row r="1775" spans="2:24">
      <c r="B1775" t="s">
        <v>379</v>
      </c>
      <c r="C1775" t="s">
        <v>58</v>
      </c>
      <c r="D1775" t="s">
        <v>425</v>
      </c>
      <c r="E1775" t="s">
        <v>406</v>
      </c>
      <c r="F1775">
        <v>1</v>
      </c>
      <c r="G1775">
        <v>136</v>
      </c>
      <c r="H1775">
        <v>277</v>
      </c>
      <c r="I1775" s="122">
        <v>22585</v>
      </c>
      <c r="J1775" s="122">
        <v>20532</v>
      </c>
      <c r="K1775">
        <v>79</v>
      </c>
      <c r="L1775" s="122">
        <v>2896</v>
      </c>
      <c r="M1775" s="122">
        <v>2632</v>
      </c>
      <c r="N1775" s="122">
        <v>2872</v>
      </c>
      <c r="O1775" s="122">
        <v>1064</v>
      </c>
      <c r="P1775">
        <v>621</v>
      </c>
      <c r="Q1775">
        <v>230</v>
      </c>
      <c r="R1775" s="122">
        <v>5142</v>
      </c>
      <c r="S1775" s="122">
        <v>4675</v>
      </c>
      <c r="T1775" s="122">
        <v>3579</v>
      </c>
      <c r="U1775" s="122">
        <v>1325</v>
      </c>
      <c r="V1775" s="122">
        <v>30458</v>
      </c>
      <c r="W1775" s="122">
        <f t="shared" si="56"/>
        <v>30458</v>
      </c>
      <c r="X1775" s="122">
        <f t="shared" si="57"/>
        <v>37695</v>
      </c>
    </row>
    <row r="1776" spans="2:24">
      <c r="B1776" t="s">
        <v>379</v>
      </c>
      <c r="C1776" t="s">
        <v>58</v>
      </c>
      <c r="D1776" t="s">
        <v>405</v>
      </c>
      <c r="E1776" t="s">
        <v>405</v>
      </c>
      <c r="F1776">
        <v>2</v>
      </c>
      <c r="G1776">
        <v>125</v>
      </c>
      <c r="H1776">
        <v>497</v>
      </c>
      <c r="I1776" s="122">
        <v>18203</v>
      </c>
      <c r="J1776" s="122">
        <v>16548</v>
      </c>
      <c r="K1776">
        <v>85</v>
      </c>
      <c r="L1776" s="122">
        <v>2356</v>
      </c>
      <c r="M1776">
        <v>873</v>
      </c>
      <c r="N1776" s="122">
        <v>2393</v>
      </c>
      <c r="O1776">
        <v>886</v>
      </c>
      <c r="P1776" s="122">
        <v>1094</v>
      </c>
      <c r="Q1776">
        <v>405</v>
      </c>
      <c r="R1776" s="122">
        <v>7096</v>
      </c>
      <c r="S1776" s="122">
        <v>6451</v>
      </c>
      <c r="T1776">
        <v>0</v>
      </c>
      <c r="U1776">
        <v>0</v>
      </c>
      <c r="V1776" s="122">
        <v>25162</v>
      </c>
      <c r="W1776" s="122">
        <f t="shared" si="56"/>
        <v>25163</v>
      </c>
      <c r="X1776" s="122">
        <f t="shared" si="57"/>
        <v>31142</v>
      </c>
    </row>
    <row r="1777" spans="2:24">
      <c r="B1777" t="s">
        <v>379</v>
      </c>
      <c r="C1777" t="s">
        <v>58</v>
      </c>
      <c r="D1777" t="s">
        <v>137</v>
      </c>
      <c r="E1777" t="s">
        <v>137</v>
      </c>
      <c r="F1777">
        <v>88</v>
      </c>
      <c r="G1777" s="122">
        <v>5390</v>
      </c>
      <c r="H1777" s="122">
        <v>23259</v>
      </c>
      <c r="I1777" s="122">
        <v>696027</v>
      </c>
      <c r="J1777" s="122">
        <v>257788</v>
      </c>
      <c r="K1777">
        <v>100</v>
      </c>
      <c r="L1777" s="122">
        <v>67822</v>
      </c>
      <c r="M1777" s="122">
        <v>31991</v>
      </c>
      <c r="N1777" s="122">
        <v>105985</v>
      </c>
      <c r="O1777" s="122">
        <v>39254</v>
      </c>
      <c r="P1777" s="122">
        <v>5202</v>
      </c>
      <c r="Q1777" s="122">
        <v>1927</v>
      </c>
      <c r="R1777" s="122">
        <v>549940</v>
      </c>
      <c r="S1777" s="122">
        <v>203682</v>
      </c>
      <c r="T1777" s="122">
        <v>3759</v>
      </c>
      <c r="U1777" s="122">
        <v>1392</v>
      </c>
      <c r="V1777" s="122">
        <v>536033</v>
      </c>
      <c r="W1777" s="122">
        <f t="shared" si="56"/>
        <v>536034</v>
      </c>
      <c r="X1777" s="122">
        <f t="shared" si="57"/>
        <v>1428735</v>
      </c>
    </row>
    <row r="1778" spans="2:24">
      <c r="B1778" t="s">
        <v>379</v>
      </c>
      <c r="C1778" t="s">
        <v>58</v>
      </c>
      <c r="D1778" t="s">
        <v>137</v>
      </c>
      <c r="E1778" t="s">
        <v>426</v>
      </c>
      <c r="F1778">
        <v>1</v>
      </c>
      <c r="G1778">
        <v>47</v>
      </c>
      <c r="H1778">
        <v>290</v>
      </c>
      <c r="I1778" s="122">
        <v>11425</v>
      </c>
      <c r="J1778" s="122">
        <v>4232</v>
      </c>
      <c r="K1778">
        <v>100</v>
      </c>
      <c r="L1778">
        <v>0</v>
      </c>
      <c r="M1778">
        <v>0</v>
      </c>
      <c r="N1778">
        <v>690</v>
      </c>
      <c r="O1778">
        <v>256</v>
      </c>
      <c r="P1778">
        <v>0</v>
      </c>
      <c r="Q1778">
        <v>0</v>
      </c>
      <c r="R1778" s="122">
        <v>1556</v>
      </c>
      <c r="S1778" s="122">
        <v>1415</v>
      </c>
      <c r="T1778">
        <v>0</v>
      </c>
      <c r="U1778">
        <v>0</v>
      </c>
      <c r="V1778" s="122">
        <v>5902</v>
      </c>
      <c r="W1778" s="122">
        <f t="shared" si="56"/>
        <v>5903</v>
      </c>
      <c r="X1778" s="122">
        <f t="shared" si="57"/>
        <v>13671</v>
      </c>
    </row>
    <row r="1779" spans="2:24">
      <c r="B1779" t="s">
        <v>379</v>
      </c>
      <c r="C1779" t="s">
        <v>58</v>
      </c>
      <c r="D1779" t="s">
        <v>406</v>
      </c>
      <c r="E1779" t="s">
        <v>137</v>
      </c>
      <c r="F1779">
        <v>2</v>
      </c>
      <c r="G1779">
        <v>144</v>
      </c>
      <c r="H1779">
        <v>534</v>
      </c>
      <c r="I1779" s="122">
        <v>20842</v>
      </c>
      <c r="J1779" s="122">
        <v>18947</v>
      </c>
      <c r="K1779">
        <v>90</v>
      </c>
      <c r="L1779" s="122">
        <v>5015</v>
      </c>
      <c r="M1779" s="122">
        <v>4559</v>
      </c>
      <c r="N1779" s="122">
        <v>2712</v>
      </c>
      <c r="O1779" s="122">
        <v>1004</v>
      </c>
      <c r="P1779" s="122">
        <v>1242</v>
      </c>
      <c r="Q1779">
        <v>460</v>
      </c>
      <c r="R1779" s="122">
        <v>9425</v>
      </c>
      <c r="S1779" s="122">
        <v>3491</v>
      </c>
      <c r="T1779">
        <v>0</v>
      </c>
      <c r="U1779">
        <v>0</v>
      </c>
      <c r="V1779" s="122">
        <v>28461</v>
      </c>
      <c r="W1779" s="122">
        <f t="shared" si="56"/>
        <v>28461</v>
      </c>
      <c r="X1779" s="122">
        <f t="shared" si="57"/>
        <v>39236</v>
      </c>
    </row>
    <row r="1780" spans="2:24">
      <c r="B1780" t="s">
        <v>379</v>
      </c>
      <c r="C1780" t="s">
        <v>58</v>
      </c>
      <c r="D1780" t="s">
        <v>406</v>
      </c>
      <c r="E1780" t="s">
        <v>406</v>
      </c>
      <c r="F1780">
        <v>17</v>
      </c>
      <c r="G1780" s="122">
        <v>1666</v>
      </c>
      <c r="H1780" s="122">
        <v>4406</v>
      </c>
      <c r="I1780" s="122">
        <v>241548</v>
      </c>
      <c r="J1780" s="122">
        <v>219589</v>
      </c>
      <c r="K1780">
        <v>81</v>
      </c>
      <c r="L1780" s="122">
        <v>60485</v>
      </c>
      <c r="M1780" s="122">
        <v>52549</v>
      </c>
      <c r="N1780" s="122">
        <v>39488</v>
      </c>
      <c r="O1780" s="122">
        <v>14625</v>
      </c>
      <c r="P1780" s="122">
        <v>10557</v>
      </c>
      <c r="Q1780" s="122">
        <v>3910</v>
      </c>
      <c r="R1780" s="122">
        <v>75244</v>
      </c>
      <c r="S1780" s="122">
        <v>68403</v>
      </c>
      <c r="T1780" s="122">
        <v>30617</v>
      </c>
      <c r="U1780" s="122">
        <v>11340</v>
      </c>
      <c r="V1780" s="122">
        <v>370417</v>
      </c>
      <c r="W1780" s="122">
        <f t="shared" si="56"/>
        <v>370416</v>
      </c>
      <c r="X1780" s="122">
        <f t="shared" si="57"/>
        <v>457939</v>
      </c>
    </row>
    <row r="1781" spans="2:24">
      <c r="B1781" t="s">
        <v>379</v>
      </c>
      <c r="C1781" t="s">
        <v>58</v>
      </c>
      <c r="D1781" t="s">
        <v>427</v>
      </c>
      <c r="E1781" t="s">
        <v>137</v>
      </c>
      <c r="F1781">
        <v>1</v>
      </c>
      <c r="G1781">
        <v>91</v>
      </c>
      <c r="H1781">
        <v>278</v>
      </c>
      <c r="I1781" s="122">
        <v>13959</v>
      </c>
      <c r="J1781" s="122">
        <v>12690</v>
      </c>
      <c r="K1781">
        <v>30</v>
      </c>
      <c r="L1781" s="122">
        <v>2570</v>
      </c>
      <c r="M1781">
        <v>952</v>
      </c>
      <c r="N1781" s="122">
        <v>2226</v>
      </c>
      <c r="O1781">
        <v>824</v>
      </c>
      <c r="P1781">
        <v>0</v>
      </c>
      <c r="Q1781">
        <v>0</v>
      </c>
      <c r="R1781" s="122">
        <v>6613</v>
      </c>
      <c r="S1781" s="122">
        <v>2449</v>
      </c>
      <c r="T1781">
        <v>0</v>
      </c>
      <c r="U1781">
        <v>0</v>
      </c>
      <c r="V1781" s="122">
        <v>16915</v>
      </c>
      <c r="W1781" s="122">
        <f t="shared" si="56"/>
        <v>16915</v>
      </c>
      <c r="X1781" s="122">
        <f t="shared" si="57"/>
        <v>25368</v>
      </c>
    </row>
    <row r="1782" spans="2:24">
      <c r="B1782" t="s">
        <v>379</v>
      </c>
      <c r="C1782" t="s">
        <v>58</v>
      </c>
      <c r="D1782" t="s">
        <v>407</v>
      </c>
      <c r="E1782" t="s">
        <v>407</v>
      </c>
      <c r="F1782">
        <v>10</v>
      </c>
      <c r="G1782">
        <v>578</v>
      </c>
      <c r="H1782" s="122">
        <v>2645</v>
      </c>
      <c r="I1782" s="122">
        <v>101625</v>
      </c>
      <c r="J1782" s="122">
        <v>92386</v>
      </c>
      <c r="K1782">
        <v>83</v>
      </c>
      <c r="L1782" s="122">
        <v>8230</v>
      </c>
      <c r="M1782" s="122">
        <v>6840</v>
      </c>
      <c r="N1782" s="122">
        <v>10683</v>
      </c>
      <c r="O1782" s="122">
        <v>3957</v>
      </c>
      <c r="P1782" s="122">
        <v>4725</v>
      </c>
      <c r="Q1782" s="122">
        <v>1750</v>
      </c>
      <c r="R1782" s="122">
        <v>24256</v>
      </c>
      <c r="S1782" s="122">
        <v>22051</v>
      </c>
      <c r="T1782" s="122">
        <v>3889</v>
      </c>
      <c r="U1782" s="122">
        <v>1440</v>
      </c>
      <c r="V1782" s="122">
        <v>128425</v>
      </c>
      <c r="W1782" s="122">
        <f t="shared" si="56"/>
        <v>128424</v>
      </c>
      <c r="X1782" s="122">
        <f t="shared" si="57"/>
        <v>153408</v>
      </c>
    </row>
    <row r="1783" spans="2:24">
      <c r="B1783" t="s">
        <v>379</v>
      </c>
      <c r="C1783" t="s">
        <v>60</v>
      </c>
      <c r="F1783">
        <v>1</v>
      </c>
      <c r="G1783">
        <v>44</v>
      </c>
      <c r="H1783">
        <v>345</v>
      </c>
      <c r="J1783">
        <v>0</v>
      </c>
      <c r="M1783">
        <v>0</v>
      </c>
      <c r="N1783">
        <v>928</v>
      </c>
      <c r="O1783">
        <v>344</v>
      </c>
      <c r="P1783">
        <v>621</v>
      </c>
      <c r="Q1783">
        <v>230</v>
      </c>
      <c r="S1783">
        <v>0</v>
      </c>
      <c r="T1783">
        <v>0</v>
      </c>
      <c r="U1783">
        <v>0</v>
      </c>
      <c r="V1783">
        <v>574</v>
      </c>
      <c r="W1783" s="122">
        <f t="shared" si="56"/>
        <v>574</v>
      </c>
      <c r="X1783" s="122">
        <f t="shared" si="57"/>
        <v>1549</v>
      </c>
    </row>
    <row r="1784" spans="2:24">
      <c r="B1784" t="s">
        <v>379</v>
      </c>
      <c r="C1784" t="s">
        <v>60</v>
      </c>
      <c r="D1784" t="s">
        <v>425</v>
      </c>
      <c r="E1784" t="s">
        <v>405</v>
      </c>
      <c r="F1784">
        <v>1</v>
      </c>
      <c r="G1784">
        <v>44</v>
      </c>
      <c r="H1784">
        <v>372</v>
      </c>
      <c r="I1784" s="122">
        <v>11779</v>
      </c>
      <c r="J1784" s="122">
        <v>10708</v>
      </c>
      <c r="K1784">
        <v>90</v>
      </c>
      <c r="L1784">
        <v>0</v>
      </c>
      <c r="M1784">
        <v>0</v>
      </c>
      <c r="N1784">
        <v>641</v>
      </c>
      <c r="O1784">
        <v>237</v>
      </c>
      <c r="P1784">
        <v>473</v>
      </c>
      <c r="Q1784">
        <v>175</v>
      </c>
      <c r="R1784" s="122">
        <v>2224</v>
      </c>
      <c r="S1784" s="122">
        <v>2021</v>
      </c>
      <c r="T1784" s="122">
        <v>1211</v>
      </c>
      <c r="U1784">
        <v>449</v>
      </c>
      <c r="V1784" s="122">
        <v>13591</v>
      </c>
      <c r="W1784" s="122">
        <f t="shared" si="56"/>
        <v>13590</v>
      </c>
      <c r="X1784" s="122">
        <f t="shared" si="57"/>
        <v>16328</v>
      </c>
    </row>
    <row r="1785" spans="2:24">
      <c r="B1785" t="s">
        <v>379</v>
      </c>
      <c r="C1785" t="s">
        <v>60</v>
      </c>
      <c r="D1785" t="s">
        <v>137</v>
      </c>
      <c r="E1785" t="s">
        <v>425</v>
      </c>
      <c r="F1785">
        <v>1</v>
      </c>
      <c r="G1785">
        <v>89</v>
      </c>
      <c r="H1785">
        <v>337</v>
      </c>
      <c r="I1785" s="122">
        <v>20995</v>
      </c>
      <c r="J1785" s="122">
        <v>7776</v>
      </c>
      <c r="K1785">
        <v>100</v>
      </c>
      <c r="L1785" s="122">
        <v>1819</v>
      </c>
      <c r="M1785" s="122">
        <v>1653</v>
      </c>
      <c r="N1785" s="122">
        <v>1439</v>
      </c>
      <c r="O1785">
        <v>533</v>
      </c>
      <c r="P1785">
        <v>473</v>
      </c>
      <c r="Q1785">
        <v>175</v>
      </c>
      <c r="R1785" s="122">
        <v>5211</v>
      </c>
      <c r="S1785" s="122">
        <v>4737</v>
      </c>
      <c r="T1785">
        <v>0</v>
      </c>
      <c r="U1785">
        <v>0</v>
      </c>
      <c r="V1785" s="122">
        <v>14874</v>
      </c>
      <c r="W1785" s="122">
        <f t="shared" si="56"/>
        <v>14874</v>
      </c>
      <c r="X1785" s="122">
        <f t="shared" si="57"/>
        <v>29937</v>
      </c>
    </row>
    <row r="1786" spans="2:24">
      <c r="B1786" t="s">
        <v>379</v>
      </c>
      <c r="C1786" t="s">
        <v>60</v>
      </c>
      <c r="D1786" t="s">
        <v>137</v>
      </c>
      <c r="E1786" t="s">
        <v>137</v>
      </c>
      <c r="F1786">
        <v>55</v>
      </c>
      <c r="G1786" s="122">
        <v>3066</v>
      </c>
      <c r="H1786" s="122">
        <v>18774</v>
      </c>
      <c r="I1786" s="122">
        <v>568802</v>
      </c>
      <c r="J1786" s="122">
        <v>210667</v>
      </c>
      <c r="K1786">
        <v>100</v>
      </c>
      <c r="L1786" s="122">
        <v>50234</v>
      </c>
      <c r="M1786" s="122">
        <v>20674</v>
      </c>
      <c r="N1786" s="122">
        <v>66837</v>
      </c>
      <c r="O1786" s="122">
        <v>24754</v>
      </c>
      <c r="P1786" s="122">
        <v>2249</v>
      </c>
      <c r="Q1786">
        <v>833</v>
      </c>
      <c r="R1786" s="122">
        <v>355447</v>
      </c>
      <c r="S1786" s="122">
        <v>131647</v>
      </c>
      <c r="T1786">
        <v>0</v>
      </c>
      <c r="U1786">
        <v>0</v>
      </c>
      <c r="V1786" s="122">
        <v>388576</v>
      </c>
      <c r="W1786" s="122">
        <f t="shared" si="56"/>
        <v>388575</v>
      </c>
      <c r="X1786" s="122">
        <f t="shared" si="57"/>
        <v>1043569</v>
      </c>
    </row>
    <row r="1787" spans="2:24">
      <c r="B1787" t="s">
        <v>379</v>
      </c>
      <c r="C1787" t="s">
        <v>60</v>
      </c>
      <c r="D1787" t="s">
        <v>406</v>
      </c>
      <c r="E1787" t="s">
        <v>137</v>
      </c>
      <c r="F1787">
        <v>2</v>
      </c>
      <c r="G1787">
        <v>97</v>
      </c>
      <c r="H1787">
        <v>706</v>
      </c>
      <c r="I1787" s="122">
        <v>14564</v>
      </c>
      <c r="J1787" s="122">
        <v>13240</v>
      </c>
      <c r="K1787">
        <v>82</v>
      </c>
      <c r="L1787" s="122">
        <v>4021</v>
      </c>
      <c r="M1787" s="122">
        <v>3655</v>
      </c>
      <c r="N1787" s="122">
        <v>1780</v>
      </c>
      <c r="O1787">
        <v>659</v>
      </c>
      <c r="P1787" s="122">
        <v>1242</v>
      </c>
      <c r="Q1787">
        <v>460</v>
      </c>
      <c r="R1787" s="122">
        <v>13013</v>
      </c>
      <c r="S1787" s="122">
        <v>4819</v>
      </c>
      <c r="T1787">
        <v>0</v>
      </c>
      <c r="U1787">
        <v>0</v>
      </c>
      <c r="V1787" s="122">
        <v>22834</v>
      </c>
      <c r="W1787" s="122">
        <f t="shared" si="56"/>
        <v>22833</v>
      </c>
      <c r="X1787" s="122">
        <f t="shared" si="57"/>
        <v>34620</v>
      </c>
    </row>
    <row r="1788" spans="2:24">
      <c r="B1788" t="s">
        <v>379</v>
      </c>
      <c r="C1788" t="s">
        <v>60</v>
      </c>
      <c r="D1788" t="s">
        <v>406</v>
      </c>
      <c r="E1788" t="s">
        <v>406</v>
      </c>
      <c r="F1788">
        <v>19</v>
      </c>
      <c r="G1788" s="122">
        <v>1875</v>
      </c>
      <c r="H1788" s="122">
        <v>6300</v>
      </c>
      <c r="I1788" s="122">
        <v>387366</v>
      </c>
      <c r="J1788" s="122">
        <v>352151</v>
      </c>
      <c r="K1788">
        <v>76</v>
      </c>
      <c r="L1788" s="122">
        <v>59544</v>
      </c>
      <c r="M1788" s="122">
        <v>43793</v>
      </c>
      <c r="N1788" s="122">
        <v>38298</v>
      </c>
      <c r="O1788" s="122">
        <v>14184</v>
      </c>
      <c r="P1788" s="122">
        <v>12150</v>
      </c>
      <c r="Q1788" s="122">
        <v>4500</v>
      </c>
      <c r="R1788" s="122">
        <v>82920</v>
      </c>
      <c r="S1788" s="122">
        <v>75381</v>
      </c>
      <c r="T1788" s="122">
        <v>37606</v>
      </c>
      <c r="U1788" s="122">
        <v>13928</v>
      </c>
      <c r="V1788" s="122">
        <v>503939</v>
      </c>
      <c r="W1788" s="122">
        <f t="shared" si="56"/>
        <v>503937</v>
      </c>
      <c r="X1788" s="122">
        <f t="shared" si="57"/>
        <v>617884</v>
      </c>
    </row>
    <row r="1789" spans="2:24">
      <c r="B1789" t="s">
        <v>379</v>
      </c>
      <c r="C1789" t="s">
        <v>60</v>
      </c>
      <c r="D1789" t="s">
        <v>406</v>
      </c>
      <c r="E1789" t="s">
        <v>426</v>
      </c>
      <c r="F1789">
        <v>1</v>
      </c>
      <c r="G1789">
        <v>80</v>
      </c>
      <c r="H1789">
        <v>369</v>
      </c>
      <c r="I1789" s="122">
        <v>19569</v>
      </c>
      <c r="J1789" s="122">
        <v>17790</v>
      </c>
      <c r="K1789">
        <v>65</v>
      </c>
      <c r="L1789" s="122">
        <v>2067</v>
      </c>
      <c r="M1789" s="122">
        <v>1879</v>
      </c>
      <c r="N1789" s="122">
        <v>1835</v>
      </c>
      <c r="O1789">
        <v>680</v>
      </c>
      <c r="P1789">
        <v>621</v>
      </c>
      <c r="Q1789">
        <v>230</v>
      </c>
      <c r="R1789" s="122">
        <v>3567</v>
      </c>
      <c r="S1789" s="122">
        <v>3243</v>
      </c>
      <c r="T1789" s="122">
        <v>1716</v>
      </c>
      <c r="U1789">
        <v>636</v>
      </c>
      <c r="V1789" s="122">
        <v>24457</v>
      </c>
      <c r="W1789" s="122">
        <f t="shared" si="56"/>
        <v>24458</v>
      </c>
      <c r="X1789" s="122">
        <f t="shared" si="57"/>
        <v>29375</v>
      </c>
    </row>
    <row r="1790" spans="2:24">
      <c r="B1790" t="s">
        <v>379</v>
      </c>
      <c r="C1790" t="s">
        <v>60</v>
      </c>
      <c r="D1790" t="s">
        <v>427</v>
      </c>
      <c r="E1790" t="s">
        <v>427</v>
      </c>
      <c r="F1790">
        <v>2</v>
      </c>
      <c r="G1790">
        <v>106</v>
      </c>
      <c r="H1790">
        <v>676</v>
      </c>
      <c r="I1790" s="122">
        <v>20608</v>
      </c>
      <c r="J1790" s="122">
        <v>18734</v>
      </c>
      <c r="K1790">
        <v>53</v>
      </c>
      <c r="L1790">
        <v>0</v>
      </c>
      <c r="M1790">
        <v>0</v>
      </c>
      <c r="N1790" s="122">
        <v>1292</v>
      </c>
      <c r="O1790">
        <v>478</v>
      </c>
      <c r="P1790">
        <v>702</v>
      </c>
      <c r="Q1790">
        <v>260</v>
      </c>
      <c r="R1790" s="122">
        <v>9492</v>
      </c>
      <c r="S1790" s="122">
        <v>8629</v>
      </c>
      <c r="T1790" s="122">
        <v>3847</v>
      </c>
      <c r="U1790" s="122">
        <v>1425</v>
      </c>
      <c r="V1790" s="122">
        <v>29527</v>
      </c>
      <c r="W1790" s="122">
        <f t="shared" si="56"/>
        <v>29526</v>
      </c>
      <c r="X1790" s="122">
        <f t="shared" si="57"/>
        <v>35941</v>
      </c>
    </row>
    <row r="1791" spans="2:24">
      <c r="B1791" t="s">
        <v>379</v>
      </c>
      <c r="C1791" t="s">
        <v>60</v>
      </c>
      <c r="D1791" t="s">
        <v>407</v>
      </c>
      <c r="E1791" t="s">
        <v>407</v>
      </c>
      <c r="F1791">
        <v>2</v>
      </c>
      <c r="G1791">
        <v>155</v>
      </c>
      <c r="H1791">
        <v>739</v>
      </c>
      <c r="I1791" s="122">
        <v>46393</v>
      </c>
      <c r="J1791" s="122">
        <v>42175</v>
      </c>
      <c r="K1791">
        <v>87</v>
      </c>
      <c r="L1791">
        <v>0</v>
      </c>
      <c r="M1791">
        <v>0</v>
      </c>
      <c r="N1791" s="122">
        <v>3167</v>
      </c>
      <c r="O1791" s="122">
        <v>1173</v>
      </c>
      <c r="P1791">
        <v>945</v>
      </c>
      <c r="Q1791">
        <v>350</v>
      </c>
      <c r="R1791" s="122">
        <v>6403</v>
      </c>
      <c r="S1791" s="122">
        <v>5821</v>
      </c>
      <c r="T1791">
        <v>0</v>
      </c>
      <c r="U1791">
        <v>0</v>
      </c>
      <c r="V1791" s="122">
        <v>49520</v>
      </c>
      <c r="W1791" s="122">
        <f t="shared" si="56"/>
        <v>49519</v>
      </c>
      <c r="X1791" s="122">
        <f t="shared" si="57"/>
        <v>56908</v>
      </c>
    </row>
    <row r="1792" spans="2:24">
      <c r="B1792" t="s">
        <v>379</v>
      </c>
      <c r="C1792" t="s">
        <v>60</v>
      </c>
      <c r="D1792" t="s">
        <v>426</v>
      </c>
      <c r="E1792" t="s">
        <v>426</v>
      </c>
      <c r="F1792">
        <v>2</v>
      </c>
      <c r="G1792">
        <v>131</v>
      </c>
      <c r="H1792">
        <v>692</v>
      </c>
      <c r="I1792" s="122">
        <v>27048</v>
      </c>
      <c r="J1792" s="122">
        <v>24589</v>
      </c>
      <c r="K1792">
        <v>60</v>
      </c>
      <c r="L1792" s="122">
        <v>1739</v>
      </c>
      <c r="M1792" s="122">
        <v>1581</v>
      </c>
      <c r="N1792" s="122">
        <v>3062</v>
      </c>
      <c r="O1792" s="122">
        <v>1134</v>
      </c>
      <c r="P1792">
        <v>972</v>
      </c>
      <c r="Q1792">
        <v>360</v>
      </c>
      <c r="R1792" s="122">
        <v>8383</v>
      </c>
      <c r="S1792" s="122">
        <v>7621</v>
      </c>
      <c r="T1792" s="122">
        <v>3891</v>
      </c>
      <c r="U1792" s="122">
        <v>1441</v>
      </c>
      <c r="V1792" s="122">
        <v>36725</v>
      </c>
      <c r="W1792" s="122">
        <f t="shared" si="56"/>
        <v>36726</v>
      </c>
      <c r="X1792" s="122">
        <f t="shared" si="57"/>
        <v>45095</v>
      </c>
    </row>
    <row r="1793" spans="2:24">
      <c r="B1793" t="s">
        <v>379</v>
      </c>
      <c r="C1793" t="s">
        <v>62</v>
      </c>
      <c r="F1793">
        <v>2</v>
      </c>
      <c r="G1793">
        <v>118</v>
      </c>
      <c r="H1793">
        <v>846</v>
      </c>
      <c r="J1793">
        <v>0</v>
      </c>
      <c r="M1793">
        <v>0</v>
      </c>
      <c r="N1793" s="122">
        <v>2730</v>
      </c>
      <c r="O1793" s="122">
        <v>1011</v>
      </c>
      <c r="P1793">
        <v>621</v>
      </c>
      <c r="Q1793">
        <v>230</v>
      </c>
      <c r="S1793">
        <v>0</v>
      </c>
      <c r="T1793">
        <v>0</v>
      </c>
      <c r="U1793">
        <v>0</v>
      </c>
      <c r="V1793" s="122">
        <v>1241</v>
      </c>
      <c r="W1793" s="122">
        <f t="shared" si="56"/>
        <v>1241</v>
      </c>
      <c r="X1793" s="122">
        <f t="shared" si="57"/>
        <v>3351</v>
      </c>
    </row>
    <row r="1794" spans="2:24">
      <c r="B1794" t="s">
        <v>379</v>
      </c>
      <c r="C1794" t="s">
        <v>62</v>
      </c>
      <c r="D1794" t="s">
        <v>137</v>
      </c>
      <c r="E1794" t="s">
        <v>137</v>
      </c>
      <c r="F1794">
        <v>24</v>
      </c>
      <c r="G1794" s="122">
        <v>1236</v>
      </c>
      <c r="H1794" s="122">
        <v>9824</v>
      </c>
      <c r="I1794" s="122">
        <v>303139</v>
      </c>
      <c r="J1794" s="122">
        <v>112274</v>
      </c>
      <c r="K1794">
        <v>100</v>
      </c>
      <c r="L1794" s="122">
        <v>35668</v>
      </c>
      <c r="M1794" s="122">
        <v>14166</v>
      </c>
      <c r="N1794" s="122">
        <v>25092</v>
      </c>
      <c r="O1794" s="122">
        <v>9293</v>
      </c>
      <c r="P1794" s="122">
        <v>1053</v>
      </c>
      <c r="Q1794">
        <v>390</v>
      </c>
      <c r="R1794" s="122">
        <v>140313</v>
      </c>
      <c r="S1794" s="122">
        <v>51968</v>
      </c>
      <c r="T1794">
        <v>0</v>
      </c>
      <c r="U1794">
        <v>0</v>
      </c>
      <c r="V1794" s="122">
        <v>188091</v>
      </c>
      <c r="W1794" s="122">
        <f t="shared" si="56"/>
        <v>188091</v>
      </c>
      <c r="X1794" s="122">
        <f t="shared" si="57"/>
        <v>505265</v>
      </c>
    </row>
    <row r="1795" spans="2:24">
      <c r="B1795" t="s">
        <v>379</v>
      </c>
      <c r="C1795" t="s">
        <v>62</v>
      </c>
      <c r="D1795" t="s">
        <v>406</v>
      </c>
      <c r="E1795" t="s">
        <v>137</v>
      </c>
      <c r="F1795">
        <v>1</v>
      </c>
      <c r="G1795">
        <v>63</v>
      </c>
      <c r="H1795">
        <v>383</v>
      </c>
      <c r="I1795" s="122">
        <v>11476</v>
      </c>
      <c r="J1795" s="122">
        <v>10433</v>
      </c>
      <c r="K1795">
        <v>79</v>
      </c>
      <c r="L1795" s="122">
        <v>3188</v>
      </c>
      <c r="M1795" s="122">
        <v>2898</v>
      </c>
      <c r="N1795" s="122">
        <v>1531</v>
      </c>
      <c r="O1795">
        <v>567</v>
      </c>
      <c r="P1795">
        <v>621</v>
      </c>
      <c r="Q1795">
        <v>230</v>
      </c>
      <c r="R1795" s="122">
        <v>7226</v>
      </c>
      <c r="S1795" s="122">
        <v>2676</v>
      </c>
      <c r="T1795">
        <v>0</v>
      </c>
      <c r="U1795">
        <v>0</v>
      </c>
      <c r="V1795" s="122">
        <v>16804</v>
      </c>
      <c r="W1795" s="122">
        <f t="shared" si="56"/>
        <v>16804</v>
      </c>
      <c r="X1795" s="122">
        <f t="shared" si="57"/>
        <v>24042</v>
      </c>
    </row>
    <row r="1796" spans="2:24">
      <c r="B1796" t="s">
        <v>379</v>
      </c>
      <c r="C1796" t="s">
        <v>62</v>
      </c>
      <c r="D1796" t="s">
        <v>406</v>
      </c>
      <c r="E1796" t="s">
        <v>406</v>
      </c>
      <c r="F1796">
        <v>6</v>
      </c>
      <c r="G1796">
        <v>552</v>
      </c>
      <c r="H1796" s="122">
        <v>2560</v>
      </c>
      <c r="I1796" s="122">
        <v>154542</v>
      </c>
      <c r="J1796" s="122">
        <v>140493</v>
      </c>
      <c r="K1796">
        <v>75</v>
      </c>
      <c r="L1796" s="122">
        <v>26416</v>
      </c>
      <c r="M1796" s="122">
        <v>23261</v>
      </c>
      <c r="N1796" s="122">
        <v>13098</v>
      </c>
      <c r="O1796" s="122">
        <v>4851</v>
      </c>
      <c r="P1796" s="122">
        <v>3726</v>
      </c>
      <c r="Q1796" s="122">
        <v>1380</v>
      </c>
      <c r="R1796" s="122">
        <v>25534</v>
      </c>
      <c r="S1796" s="122">
        <v>23213</v>
      </c>
      <c r="T1796" s="122">
        <v>10662</v>
      </c>
      <c r="U1796" s="122">
        <v>3949</v>
      </c>
      <c r="V1796" s="122">
        <v>197147</v>
      </c>
      <c r="W1796" s="122">
        <f t="shared" si="56"/>
        <v>197147</v>
      </c>
      <c r="X1796" s="122">
        <f t="shared" si="57"/>
        <v>233978</v>
      </c>
    </row>
    <row r="1797" spans="2:24">
      <c r="B1797" t="s">
        <v>379</v>
      </c>
      <c r="C1797" t="s">
        <v>62</v>
      </c>
      <c r="D1797" t="s">
        <v>427</v>
      </c>
      <c r="E1797" t="s">
        <v>137</v>
      </c>
      <c r="F1797">
        <v>1</v>
      </c>
      <c r="G1797">
        <v>53</v>
      </c>
      <c r="H1797">
        <v>446</v>
      </c>
      <c r="I1797" s="122">
        <v>14410</v>
      </c>
      <c r="J1797" s="122">
        <v>13100</v>
      </c>
      <c r="K1797">
        <v>30</v>
      </c>
      <c r="L1797" s="122">
        <v>2653</v>
      </c>
      <c r="M1797">
        <v>982</v>
      </c>
      <c r="N1797" s="122">
        <v>1142</v>
      </c>
      <c r="O1797">
        <v>423</v>
      </c>
      <c r="P1797">
        <v>0</v>
      </c>
      <c r="Q1797">
        <v>0</v>
      </c>
      <c r="R1797" s="122">
        <v>5421</v>
      </c>
      <c r="S1797" s="122">
        <v>2008</v>
      </c>
      <c r="T1797">
        <v>0</v>
      </c>
      <c r="U1797">
        <v>0</v>
      </c>
      <c r="V1797" s="122">
        <v>16513</v>
      </c>
      <c r="W1797" s="122">
        <f t="shared" si="56"/>
        <v>16513</v>
      </c>
      <c r="X1797" s="122">
        <f t="shared" si="57"/>
        <v>23626</v>
      </c>
    </row>
    <row r="1798" spans="2:24">
      <c r="B1798" t="s">
        <v>379</v>
      </c>
      <c r="C1798" t="s">
        <v>62</v>
      </c>
      <c r="D1798" t="s">
        <v>427</v>
      </c>
      <c r="E1798" t="s">
        <v>427</v>
      </c>
      <c r="F1798">
        <v>1</v>
      </c>
      <c r="G1798">
        <v>52</v>
      </c>
      <c r="H1798">
        <v>402</v>
      </c>
      <c r="I1798" s="122">
        <v>14027</v>
      </c>
      <c r="J1798" s="122">
        <v>12752</v>
      </c>
      <c r="K1798">
        <v>55</v>
      </c>
      <c r="L1798">
        <v>0</v>
      </c>
      <c r="M1798">
        <v>0</v>
      </c>
      <c r="N1798">
        <v>636</v>
      </c>
      <c r="O1798">
        <v>235</v>
      </c>
      <c r="P1798">
        <v>351</v>
      </c>
      <c r="Q1798">
        <v>130</v>
      </c>
      <c r="R1798" s="122">
        <v>3894</v>
      </c>
      <c r="S1798" s="122">
        <v>3540</v>
      </c>
      <c r="T1798" s="122">
        <v>2046</v>
      </c>
      <c r="U1798">
        <v>758</v>
      </c>
      <c r="V1798" s="122">
        <v>17415</v>
      </c>
      <c r="W1798" s="122">
        <f t="shared" si="56"/>
        <v>17415</v>
      </c>
      <c r="X1798" s="122">
        <f t="shared" si="57"/>
        <v>20954</v>
      </c>
    </row>
    <row r="1799" spans="2:24">
      <c r="B1799" t="s">
        <v>379</v>
      </c>
      <c r="C1799" t="s">
        <v>62</v>
      </c>
      <c r="D1799" t="s">
        <v>407</v>
      </c>
      <c r="E1799" t="s">
        <v>407</v>
      </c>
      <c r="F1799">
        <v>1</v>
      </c>
      <c r="G1799">
        <v>69</v>
      </c>
      <c r="H1799">
        <v>395</v>
      </c>
      <c r="I1799" s="122">
        <v>21435</v>
      </c>
      <c r="J1799" s="122">
        <v>19486</v>
      </c>
      <c r="K1799">
        <v>83</v>
      </c>
      <c r="L1799">
        <v>0</v>
      </c>
      <c r="M1799">
        <v>0</v>
      </c>
      <c r="N1799" s="122">
        <v>1520</v>
      </c>
      <c r="O1799">
        <v>563</v>
      </c>
      <c r="P1799">
        <v>473</v>
      </c>
      <c r="Q1799">
        <v>175</v>
      </c>
      <c r="R1799" s="122">
        <v>3959</v>
      </c>
      <c r="S1799" s="122">
        <v>3599</v>
      </c>
      <c r="T1799">
        <v>0</v>
      </c>
      <c r="U1799">
        <v>0</v>
      </c>
      <c r="V1799" s="122">
        <v>23823</v>
      </c>
      <c r="W1799" s="122">
        <f t="shared" si="56"/>
        <v>23823</v>
      </c>
      <c r="X1799" s="122">
        <f t="shared" si="57"/>
        <v>27387</v>
      </c>
    </row>
    <row r="1800" spans="2:24">
      <c r="B1800" t="s">
        <v>379</v>
      </c>
      <c r="C1800" t="s">
        <v>64</v>
      </c>
      <c r="F1800">
        <v>8</v>
      </c>
      <c r="G1800">
        <v>424</v>
      </c>
      <c r="H1800" s="122">
        <v>4403</v>
      </c>
      <c r="J1800">
        <v>0</v>
      </c>
      <c r="M1800">
        <v>0</v>
      </c>
      <c r="N1800" s="122">
        <v>9478</v>
      </c>
      <c r="O1800" s="122">
        <v>3510</v>
      </c>
      <c r="P1800" s="122">
        <v>4968</v>
      </c>
      <c r="Q1800" s="122">
        <v>1840</v>
      </c>
      <c r="S1800">
        <v>0</v>
      </c>
      <c r="T1800" s="122">
        <v>4478</v>
      </c>
      <c r="U1800" s="122">
        <v>1659</v>
      </c>
      <c r="V1800" s="122">
        <v>7009</v>
      </c>
      <c r="W1800" s="122">
        <f t="shared" si="56"/>
        <v>7009</v>
      </c>
      <c r="X1800" s="122">
        <f t="shared" si="57"/>
        <v>18924</v>
      </c>
    </row>
    <row r="1801" spans="2:24">
      <c r="B1801" t="s">
        <v>379</v>
      </c>
      <c r="C1801" t="s">
        <v>64</v>
      </c>
      <c r="D1801" t="s">
        <v>137</v>
      </c>
      <c r="E1801" t="s">
        <v>137</v>
      </c>
      <c r="F1801">
        <v>65</v>
      </c>
      <c r="G1801" s="122">
        <v>3702</v>
      </c>
      <c r="H1801" s="122">
        <v>39625</v>
      </c>
      <c r="I1801" s="122">
        <v>1680049</v>
      </c>
      <c r="J1801" s="122">
        <v>622240</v>
      </c>
      <c r="K1801">
        <v>100</v>
      </c>
      <c r="L1801" s="122">
        <v>155738</v>
      </c>
      <c r="M1801" s="122">
        <v>92289</v>
      </c>
      <c r="N1801" s="122">
        <v>81013</v>
      </c>
      <c r="O1801" s="122">
        <v>30005</v>
      </c>
      <c r="P1801" s="122">
        <v>1175</v>
      </c>
      <c r="Q1801">
        <v>435</v>
      </c>
      <c r="R1801" s="122">
        <v>351792</v>
      </c>
      <c r="S1801" s="122">
        <v>130294</v>
      </c>
      <c r="T1801" s="122">
        <v>2092</v>
      </c>
      <c r="U1801">
        <v>775</v>
      </c>
      <c r="V1801" s="122">
        <v>876037</v>
      </c>
      <c r="W1801" s="122">
        <f t="shared" si="56"/>
        <v>876038</v>
      </c>
      <c r="X1801" s="122">
        <f t="shared" si="57"/>
        <v>2271859</v>
      </c>
    </row>
    <row r="1802" spans="2:24">
      <c r="B1802" t="s">
        <v>379</v>
      </c>
      <c r="C1802" t="s">
        <v>64</v>
      </c>
      <c r="D1802" t="s">
        <v>406</v>
      </c>
      <c r="E1802" t="s">
        <v>137</v>
      </c>
      <c r="F1802">
        <v>2</v>
      </c>
      <c r="G1802">
        <v>322</v>
      </c>
      <c r="H1802">
        <v>933</v>
      </c>
      <c r="I1802" s="122">
        <v>101884</v>
      </c>
      <c r="J1802" s="122">
        <v>92622</v>
      </c>
      <c r="K1802">
        <v>72</v>
      </c>
      <c r="L1802" s="122">
        <v>24900</v>
      </c>
      <c r="M1802" s="122">
        <v>22637</v>
      </c>
      <c r="N1802" s="122">
        <v>7502</v>
      </c>
      <c r="O1802" s="122">
        <v>2778</v>
      </c>
      <c r="P1802" s="122">
        <v>1242</v>
      </c>
      <c r="Q1802">
        <v>460</v>
      </c>
      <c r="R1802" s="122">
        <v>16060</v>
      </c>
      <c r="S1802" s="122">
        <v>5948</v>
      </c>
      <c r="T1802">
        <v>0</v>
      </c>
      <c r="U1802">
        <v>0</v>
      </c>
      <c r="V1802" s="122">
        <v>124445</v>
      </c>
      <c r="W1802" s="122">
        <f t="shared" si="56"/>
        <v>124445</v>
      </c>
      <c r="X1802" s="122">
        <f t="shared" si="57"/>
        <v>151588</v>
      </c>
    </row>
    <row r="1803" spans="2:24">
      <c r="B1803" t="s">
        <v>379</v>
      </c>
      <c r="C1803" t="s">
        <v>64</v>
      </c>
      <c r="D1803" t="s">
        <v>406</v>
      </c>
      <c r="E1803" t="s">
        <v>406</v>
      </c>
      <c r="F1803">
        <v>8</v>
      </c>
      <c r="G1803">
        <v>858</v>
      </c>
      <c r="H1803" s="122">
        <v>4114</v>
      </c>
      <c r="I1803" s="122">
        <v>315304</v>
      </c>
      <c r="J1803" s="122">
        <v>286640</v>
      </c>
      <c r="K1803">
        <v>70</v>
      </c>
      <c r="L1803" s="122">
        <v>36956</v>
      </c>
      <c r="M1803" s="122">
        <v>33596</v>
      </c>
      <c r="N1803" s="122">
        <v>17795</v>
      </c>
      <c r="O1803" s="122">
        <v>6591</v>
      </c>
      <c r="P1803" s="122">
        <v>5670</v>
      </c>
      <c r="Q1803" s="122">
        <v>2100</v>
      </c>
      <c r="R1803" s="122">
        <v>39343</v>
      </c>
      <c r="S1803" s="122">
        <v>35767</v>
      </c>
      <c r="T1803" s="122">
        <v>13093</v>
      </c>
      <c r="U1803" s="122">
        <v>4849</v>
      </c>
      <c r="V1803" s="122">
        <v>369543</v>
      </c>
      <c r="W1803" s="122">
        <f t="shared" si="56"/>
        <v>369543</v>
      </c>
      <c r="X1803" s="122">
        <f t="shared" si="57"/>
        <v>428161</v>
      </c>
    </row>
    <row r="1804" spans="2:24">
      <c r="B1804" t="s">
        <v>379</v>
      </c>
      <c r="C1804" t="s">
        <v>64</v>
      </c>
      <c r="D1804" t="s">
        <v>427</v>
      </c>
      <c r="E1804" t="s">
        <v>427</v>
      </c>
      <c r="F1804">
        <v>3</v>
      </c>
      <c r="G1804">
        <v>258</v>
      </c>
      <c r="H1804" s="122">
        <v>1946</v>
      </c>
      <c r="I1804" s="122">
        <v>115851</v>
      </c>
      <c r="J1804" s="122">
        <v>105319</v>
      </c>
      <c r="K1804">
        <v>55</v>
      </c>
      <c r="L1804" s="122">
        <v>22739</v>
      </c>
      <c r="M1804" s="122">
        <v>20672</v>
      </c>
      <c r="N1804" s="122">
        <v>5551</v>
      </c>
      <c r="O1804" s="122">
        <v>2056</v>
      </c>
      <c r="P1804" s="122">
        <v>1053</v>
      </c>
      <c r="Q1804">
        <v>390</v>
      </c>
      <c r="R1804" s="122">
        <v>21869</v>
      </c>
      <c r="S1804" s="122">
        <v>19881</v>
      </c>
      <c r="T1804">
        <v>0</v>
      </c>
      <c r="U1804">
        <v>0</v>
      </c>
      <c r="V1804" s="122">
        <v>148318</v>
      </c>
      <c r="W1804" s="122">
        <f t="shared" si="56"/>
        <v>148318</v>
      </c>
      <c r="X1804" s="122">
        <f t="shared" si="57"/>
        <v>167063</v>
      </c>
    </row>
    <row r="1805" spans="2:24">
      <c r="B1805" t="s">
        <v>379</v>
      </c>
      <c r="C1805" t="s">
        <v>64</v>
      </c>
      <c r="D1805" t="s">
        <v>426</v>
      </c>
      <c r="E1805" t="s">
        <v>426</v>
      </c>
      <c r="F1805">
        <v>4</v>
      </c>
      <c r="G1805">
        <v>367</v>
      </c>
      <c r="H1805" s="122">
        <v>2548</v>
      </c>
      <c r="I1805" s="122">
        <v>216529</v>
      </c>
      <c r="J1805" s="122">
        <v>196845</v>
      </c>
      <c r="K1805">
        <v>49</v>
      </c>
      <c r="L1805" s="122">
        <v>13784</v>
      </c>
      <c r="M1805" s="122">
        <v>12531</v>
      </c>
      <c r="N1805" s="122">
        <v>7565</v>
      </c>
      <c r="O1805" s="122">
        <v>2802</v>
      </c>
      <c r="P1805" s="122">
        <v>1404</v>
      </c>
      <c r="Q1805">
        <v>520</v>
      </c>
      <c r="R1805" s="122">
        <v>21390</v>
      </c>
      <c r="S1805" s="122">
        <v>19445</v>
      </c>
      <c r="T1805" s="122">
        <v>10573</v>
      </c>
      <c r="U1805" s="122">
        <v>3916</v>
      </c>
      <c r="V1805" s="122">
        <v>236059</v>
      </c>
      <c r="W1805" s="122">
        <f t="shared" si="56"/>
        <v>236059</v>
      </c>
      <c r="X1805" s="122">
        <f t="shared" si="57"/>
        <v>271245</v>
      </c>
    </row>
    <row r="1806" spans="2:24">
      <c r="B1806" t="s">
        <v>473</v>
      </c>
      <c r="C1806" t="s">
        <v>52</v>
      </c>
      <c r="D1806" t="s">
        <v>406</v>
      </c>
      <c r="E1806" t="s">
        <v>406</v>
      </c>
      <c r="F1806">
        <v>4</v>
      </c>
      <c r="G1806">
        <v>714</v>
      </c>
      <c r="H1806">
        <v>464</v>
      </c>
      <c r="I1806" s="122">
        <v>48845</v>
      </c>
      <c r="J1806" s="122">
        <v>44405</v>
      </c>
      <c r="K1806">
        <v>93</v>
      </c>
      <c r="L1806" s="122">
        <v>7581</v>
      </c>
      <c r="M1806" s="122">
        <v>6892</v>
      </c>
      <c r="N1806" s="122">
        <v>17626</v>
      </c>
      <c r="O1806" s="122">
        <v>6528</v>
      </c>
      <c r="P1806" s="122">
        <v>1863</v>
      </c>
      <c r="Q1806">
        <v>690</v>
      </c>
      <c r="R1806" s="122">
        <v>20671</v>
      </c>
      <c r="S1806" s="122">
        <v>18792</v>
      </c>
      <c r="T1806">
        <v>0</v>
      </c>
      <c r="U1806">
        <v>0</v>
      </c>
      <c r="V1806" s="122">
        <v>77307</v>
      </c>
      <c r="W1806" s="122">
        <f t="shared" si="56"/>
        <v>77307</v>
      </c>
      <c r="X1806" s="122">
        <f t="shared" si="57"/>
        <v>96586</v>
      </c>
    </row>
    <row r="1807" spans="2:24">
      <c r="B1807" t="s">
        <v>473</v>
      </c>
      <c r="C1807" t="s">
        <v>52</v>
      </c>
      <c r="D1807" t="s">
        <v>407</v>
      </c>
      <c r="E1807" t="s">
        <v>407</v>
      </c>
      <c r="F1807">
        <v>9</v>
      </c>
      <c r="G1807" s="122">
        <v>1031</v>
      </c>
      <c r="H1807" s="122">
        <v>1072</v>
      </c>
      <c r="I1807" s="122">
        <v>46201</v>
      </c>
      <c r="J1807" s="122">
        <v>42001</v>
      </c>
      <c r="K1807">
        <v>85</v>
      </c>
      <c r="L1807">
        <v>0</v>
      </c>
      <c r="M1807">
        <v>0</v>
      </c>
      <c r="N1807" s="122">
        <v>23906</v>
      </c>
      <c r="O1807" s="122">
        <v>8854</v>
      </c>
      <c r="P1807" s="122">
        <v>4253</v>
      </c>
      <c r="Q1807" s="122">
        <v>1575</v>
      </c>
      <c r="R1807" s="122">
        <v>34878</v>
      </c>
      <c r="S1807" s="122">
        <v>31707</v>
      </c>
      <c r="T1807" s="122">
        <v>13755</v>
      </c>
      <c r="U1807" s="122">
        <v>5094</v>
      </c>
      <c r="V1807" s="122">
        <v>89232</v>
      </c>
      <c r="W1807" s="122">
        <f t="shared" si="56"/>
        <v>89231</v>
      </c>
      <c r="X1807" s="122">
        <f t="shared" si="57"/>
        <v>122993</v>
      </c>
    </row>
    <row r="1808" spans="2:24">
      <c r="B1808" t="s">
        <v>473</v>
      </c>
      <c r="C1808" t="s">
        <v>54</v>
      </c>
      <c r="F1808">
        <v>1</v>
      </c>
      <c r="G1808">
        <v>113</v>
      </c>
      <c r="H1808">
        <v>141</v>
      </c>
      <c r="J1808">
        <v>0</v>
      </c>
      <c r="M1808">
        <v>0</v>
      </c>
      <c r="N1808" s="122">
        <v>2743</v>
      </c>
      <c r="O1808" s="122">
        <v>1016</v>
      </c>
      <c r="P1808">
        <v>621</v>
      </c>
      <c r="Q1808">
        <v>230</v>
      </c>
      <c r="S1808">
        <v>0</v>
      </c>
      <c r="T1808" s="122">
        <v>2540</v>
      </c>
      <c r="U1808">
        <v>941</v>
      </c>
      <c r="V1808" s="122">
        <v>2187</v>
      </c>
      <c r="W1808" s="122">
        <f t="shared" si="56"/>
        <v>2187</v>
      </c>
      <c r="X1808" s="122">
        <f t="shared" si="57"/>
        <v>5904</v>
      </c>
    </row>
    <row r="1809" spans="2:24">
      <c r="B1809" t="s">
        <v>473</v>
      </c>
      <c r="C1809" t="s">
        <v>54</v>
      </c>
      <c r="D1809" t="s">
        <v>405</v>
      </c>
      <c r="E1809" t="s">
        <v>405</v>
      </c>
      <c r="F1809">
        <v>3</v>
      </c>
      <c r="G1809">
        <v>259</v>
      </c>
      <c r="H1809">
        <v>423</v>
      </c>
      <c r="I1809" s="122">
        <v>21672</v>
      </c>
      <c r="J1809" s="122">
        <v>19702</v>
      </c>
      <c r="K1809">
        <v>87</v>
      </c>
      <c r="L1809">
        <v>0</v>
      </c>
      <c r="M1809">
        <v>0</v>
      </c>
      <c r="N1809" s="122">
        <v>5558</v>
      </c>
      <c r="O1809" s="122">
        <v>2058</v>
      </c>
      <c r="P1809" s="122">
        <v>1418</v>
      </c>
      <c r="Q1809">
        <v>525</v>
      </c>
      <c r="R1809" s="122">
        <v>7780</v>
      </c>
      <c r="S1809" s="122">
        <v>7072</v>
      </c>
      <c r="T1809">
        <v>0</v>
      </c>
      <c r="U1809">
        <v>0</v>
      </c>
      <c r="V1809" s="122">
        <v>29358</v>
      </c>
      <c r="W1809" s="122">
        <f t="shared" si="56"/>
        <v>29357</v>
      </c>
      <c r="X1809" s="122">
        <f t="shared" si="57"/>
        <v>36428</v>
      </c>
    </row>
    <row r="1810" spans="2:24">
      <c r="B1810" t="s">
        <v>473</v>
      </c>
      <c r="C1810" t="s">
        <v>54</v>
      </c>
      <c r="D1810" t="s">
        <v>137</v>
      </c>
      <c r="E1810" t="s">
        <v>137</v>
      </c>
      <c r="F1810">
        <v>9</v>
      </c>
      <c r="G1810">
        <v>555</v>
      </c>
      <c r="H1810" s="122">
        <v>1304</v>
      </c>
      <c r="I1810" s="122">
        <v>24849</v>
      </c>
      <c r="J1810" s="122">
        <v>9204</v>
      </c>
      <c r="K1810">
        <v>167</v>
      </c>
      <c r="L1810" s="122">
        <v>4111</v>
      </c>
      <c r="M1810" s="122">
        <v>2784</v>
      </c>
      <c r="N1810" s="122">
        <v>7713</v>
      </c>
      <c r="O1810" s="122">
        <v>2857</v>
      </c>
      <c r="P1810" s="122">
        <v>1404</v>
      </c>
      <c r="Q1810">
        <v>520</v>
      </c>
      <c r="R1810" s="122">
        <v>42402</v>
      </c>
      <c r="S1810" s="122">
        <v>15704</v>
      </c>
      <c r="T1810">
        <v>0</v>
      </c>
      <c r="U1810">
        <v>0</v>
      </c>
      <c r="V1810" s="122">
        <v>31069</v>
      </c>
      <c r="W1810" s="122">
        <f t="shared" si="56"/>
        <v>31069</v>
      </c>
      <c r="X1810" s="122">
        <f t="shared" si="57"/>
        <v>80479</v>
      </c>
    </row>
    <row r="1811" spans="2:24">
      <c r="B1811" t="s">
        <v>473</v>
      </c>
      <c r="C1811" t="s">
        <v>54</v>
      </c>
      <c r="D1811" t="s">
        <v>406</v>
      </c>
      <c r="E1811" t="s">
        <v>406</v>
      </c>
      <c r="F1811">
        <v>3</v>
      </c>
      <c r="G1811">
        <v>728</v>
      </c>
      <c r="H1811">
        <v>419</v>
      </c>
      <c r="I1811" s="122">
        <v>65729</v>
      </c>
      <c r="J1811" s="122">
        <v>59754</v>
      </c>
      <c r="K1811">
        <v>90</v>
      </c>
      <c r="L1811" s="122">
        <v>10569</v>
      </c>
      <c r="M1811" s="122">
        <v>9608</v>
      </c>
      <c r="N1811" s="122">
        <v>13723</v>
      </c>
      <c r="O1811" s="122">
        <v>5082</v>
      </c>
      <c r="P1811" s="122">
        <v>1863</v>
      </c>
      <c r="Q1811">
        <v>690</v>
      </c>
      <c r="R1811" s="122">
        <v>9217</v>
      </c>
      <c r="S1811" s="122">
        <v>8379</v>
      </c>
      <c r="T1811">
        <v>0</v>
      </c>
      <c r="U1811">
        <v>0</v>
      </c>
      <c r="V1811" s="122">
        <v>83514</v>
      </c>
      <c r="W1811" s="122">
        <f t="shared" si="56"/>
        <v>83513</v>
      </c>
      <c r="X1811" s="122">
        <f t="shared" si="57"/>
        <v>101101</v>
      </c>
    </row>
    <row r="1812" spans="2:24">
      <c r="B1812" t="s">
        <v>473</v>
      </c>
      <c r="C1812" t="s">
        <v>54</v>
      </c>
      <c r="D1812" t="s">
        <v>407</v>
      </c>
      <c r="E1812" t="s">
        <v>137</v>
      </c>
      <c r="F1812">
        <v>1</v>
      </c>
      <c r="G1812">
        <v>118</v>
      </c>
      <c r="H1812">
        <v>149</v>
      </c>
      <c r="I1812" s="122">
        <v>8388</v>
      </c>
      <c r="J1812" s="122">
        <v>7626</v>
      </c>
      <c r="K1812">
        <v>80</v>
      </c>
      <c r="L1812">
        <v>0</v>
      </c>
      <c r="M1812">
        <v>0</v>
      </c>
      <c r="N1812" s="122">
        <v>2046</v>
      </c>
      <c r="O1812">
        <v>758</v>
      </c>
      <c r="P1812">
        <v>473</v>
      </c>
      <c r="Q1812">
        <v>175</v>
      </c>
      <c r="R1812" s="122">
        <v>6693</v>
      </c>
      <c r="S1812" s="122">
        <v>2479</v>
      </c>
      <c r="T1812">
        <v>0</v>
      </c>
      <c r="U1812">
        <v>0</v>
      </c>
      <c r="V1812" s="122">
        <v>11037</v>
      </c>
      <c r="W1812" s="122">
        <f t="shared" si="56"/>
        <v>11038</v>
      </c>
      <c r="X1812" s="122">
        <f t="shared" si="57"/>
        <v>17600</v>
      </c>
    </row>
    <row r="1813" spans="2:24">
      <c r="B1813" t="s">
        <v>473</v>
      </c>
      <c r="C1813" t="s">
        <v>54</v>
      </c>
      <c r="D1813" t="s">
        <v>407</v>
      </c>
      <c r="E1813" t="s">
        <v>407</v>
      </c>
      <c r="F1813">
        <v>24</v>
      </c>
      <c r="G1813" s="122">
        <v>2607</v>
      </c>
      <c r="H1813" s="122">
        <v>3331</v>
      </c>
      <c r="I1813" s="122">
        <v>136724</v>
      </c>
      <c r="J1813" s="122">
        <v>124295</v>
      </c>
      <c r="K1813">
        <v>81</v>
      </c>
      <c r="L1813" s="122">
        <v>6169</v>
      </c>
      <c r="M1813" s="122">
        <v>3295</v>
      </c>
      <c r="N1813" s="122">
        <v>59223</v>
      </c>
      <c r="O1813" s="122">
        <v>21934</v>
      </c>
      <c r="P1813" s="122">
        <v>11340</v>
      </c>
      <c r="Q1813" s="122">
        <v>4200</v>
      </c>
      <c r="R1813" s="122">
        <v>105189</v>
      </c>
      <c r="S1813" s="122">
        <v>95626</v>
      </c>
      <c r="T1813" s="122">
        <v>41601</v>
      </c>
      <c r="U1813" s="122">
        <v>15408</v>
      </c>
      <c r="V1813" s="122">
        <v>264758</v>
      </c>
      <c r="W1813" s="122">
        <f t="shared" si="56"/>
        <v>264758</v>
      </c>
      <c r="X1813" s="122">
        <f t="shared" si="57"/>
        <v>360246</v>
      </c>
    </row>
    <row r="1814" spans="2:24">
      <c r="B1814" t="s">
        <v>473</v>
      </c>
      <c r="C1814" t="s">
        <v>56</v>
      </c>
      <c r="F1814">
        <v>16</v>
      </c>
      <c r="G1814">
        <v>794</v>
      </c>
      <c r="H1814" s="122">
        <v>3043</v>
      </c>
      <c r="J1814">
        <v>0</v>
      </c>
      <c r="M1814">
        <v>0</v>
      </c>
      <c r="N1814" s="122">
        <v>16303</v>
      </c>
      <c r="O1814" s="122">
        <v>6038</v>
      </c>
      <c r="P1814" s="122">
        <v>6858</v>
      </c>
      <c r="Q1814" s="122">
        <v>2540</v>
      </c>
      <c r="S1814">
        <v>0</v>
      </c>
      <c r="T1814" s="122">
        <v>4629</v>
      </c>
      <c r="U1814" s="122">
        <v>1714</v>
      </c>
      <c r="V1814" s="122">
        <v>10293</v>
      </c>
      <c r="W1814" s="122">
        <f t="shared" si="56"/>
        <v>10292</v>
      </c>
      <c r="X1814" s="122">
        <f t="shared" si="57"/>
        <v>27790</v>
      </c>
    </row>
    <row r="1815" spans="2:24">
      <c r="B1815" t="s">
        <v>473</v>
      </c>
      <c r="C1815" t="s">
        <v>56</v>
      </c>
      <c r="D1815" t="s">
        <v>425</v>
      </c>
      <c r="E1815" t="s">
        <v>425</v>
      </c>
      <c r="F1815">
        <v>1</v>
      </c>
      <c r="G1815">
        <v>141</v>
      </c>
      <c r="H1815">
        <v>185</v>
      </c>
      <c r="I1815" s="122">
        <v>14683</v>
      </c>
      <c r="J1815" s="122">
        <v>13348</v>
      </c>
      <c r="K1815">
        <v>92</v>
      </c>
      <c r="L1815" s="122">
        <v>2201</v>
      </c>
      <c r="M1815" s="122">
        <v>2001</v>
      </c>
      <c r="N1815" s="122">
        <v>2240</v>
      </c>
      <c r="O1815">
        <v>830</v>
      </c>
      <c r="P1815">
        <v>824</v>
      </c>
      <c r="Q1815">
        <v>305</v>
      </c>
      <c r="R1815" s="122">
        <v>6276</v>
      </c>
      <c r="S1815" s="122">
        <v>5705</v>
      </c>
      <c r="T1815">
        <v>0</v>
      </c>
      <c r="U1815">
        <v>0</v>
      </c>
      <c r="V1815" s="122">
        <v>22190</v>
      </c>
      <c r="W1815" s="122">
        <f t="shared" si="56"/>
        <v>22189</v>
      </c>
      <c r="X1815" s="122">
        <f t="shared" si="57"/>
        <v>26224</v>
      </c>
    </row>
    <row r="1816" spans="2:24">
      <c r="B1816" t="s">
        <v>473</v>
      </c>
      <c r="C1816" t="s">
        <v>56</v>
      </c>
      <c r="D1816" t="s">
        <v>405</v>
      </c>
      <c r="E1816" t="s">
        <v>405</v>
      </c>
      <c r="F1816">
        <v>5</v>
      </c>
      <c r="G1816">
        <v>427</v>
      </c>
      <c r="H1816">
        <v>901</v>
      </c>
      <c r="I1816" s="122">
        <v>45154</v>
      </c>
      <c r="J1816" s="122">
        <v>41049</v>
      </c>
      <c r="K1816">
        <v>87</v>
      </c>
      <c r="L1816" s="122">
        <v>5162</v>
      </c>
      <c r="M1816" s="122">
        <v>4693</v>
      </c>
      <c r="N1816" s="122">
        <v>9053</v>
      </c>
      <c r="O1816" s="122">
        <v>3353</v>
      </c>
      <c r="P1816" s="122">
        <v>2363</v>
      </c>
      <c r="Q1816">
        <v>875</v>
      </c>
      <c r="R1816" s="122">
        <v>14537</v>
      </c>
      <c r="S1816" s="122">
        <v>13216</v>
      </c>
      <c r="T1816">
        <v>0</v>
      </c>
      <c r="U1816">
        <v>0</v>
      </c>
      <c r="V1816" s="122">
        <v>63185</v>
      </c>
      <c r="W1816" s="122">
        <f t="shared" si="56"/>
        <v>63186</v>
      </c>
      <c r="X1816" s="122">
        <f t="shared" si="57"/>
        <v>76269</v>
      </c>
    </row>
    <row r="1817" spans="2:24">
      <c r="B1817" t="s">
        <v>473</v>
      </c>
      <c r="C1817" t="s">
        <v>56</v>
      </c>
      <c r="D1817" t="s">
        <v>137</v>
      </c>
      <c r="E1817" t="s">
        <v>137</v>
      </c>
      <c r="F1817">
        <v>100</v>
      </c>
      <c r="G1817" s="122">
        <v>7424</v>
      </c>
      <c r="H1817" s="122">
        <v>19765</v>
      </c>
      <c r="I1817" s="122">
        <v>569152</v>
      </c>
      <c r="J1817" s="122">
        <v>210797</v>
      </c>
      <c r="K1817">
        <v>100</v>
      </c>
      <c r="L1817" s="122">
        <v>75390</v>
      </c>
      <c r="M1817" s="122">
        <v>29011</v>
      </c>
      <c r="N1817" s="122">
        <v>144148</v>
      </c>
      <c r="O1817" s="122">
        <v>53388</v>
      </c>
      <c r="P1817">
        <v>0</v>
      </c>
      <c r="Q1817">
        <v>0</v>
      </c>
      <c r="R1817" s="122">
        <v>667495</v>
      </c>
      <c r="S1817" s="122">
        <v>247220</v>
      </c>
      <c r="T1817">
        <v>0</v>
      </c>
      <c r="U1817">
        <v>0</v>
      </c>
      <c r="V1817" s="122">
        <v>540417</v>
      </c>
      <c r="W1817" s="122">
        <f t="shared" si="56"/>
        <v>540416</v>
      </c>
      <c r="X1817" s="122">
        <f t="shared" si="57"/>
        <v>1456185</v>
      </c>
    </row>
    <row r="1818" spans="2:24">
      <c r="B1818" t="s">
        <v>473</v>
      </c>
      <c r="C1818" t="s">
        <v>56</v>
      </c>
      <c r="D1818" t="s">
        <v>406</v>
      </c>
      <c r="E1818" t="s">
        <v>406</v>
      </c>
      <c r="F1818">
        <v>25</v>
      </c>
      <c r="G1818" s="122">
        <v>2511</v>
      </c>
      <c r="H1818" s="122">
        <v>4653</v>
      </c>
      <c r="I1818" s="122">
        <v>244831</v>
      </c>
      <c r="J1818" s="122">
        <v>222574</v>
      </c>
      <c r="K1818">
        <v>86</v>
      </c>
      <c r="L1818" s="122">
        <v>40245</v>
      </c>
      <c r="M1818" s="122">
        <v>33210</v>
      </c>
      <c r="N1818" s="122">
        <v>49556</v>
      </c>
      <c r="O1818" s="122">
        <v>18354</v>
      </c>
      <c r="P1818" s="122">
        <v>14094</v>
      </c>
      <c r="Q1818" s="122">
        <v>5220</v>
      </c>
      <c r="R1818" s="122">
        <v>101210</v>
      </c>
      <c r="S1818" s="122">
        <v>92009</v>
      </c>
      <c r="T1818" s="122">
        <v>17710</v>
      </c>
      <c r="U1818" s="122">
        <v>6559</v>
      </c>
      <c r="V1818" s="122">
        <v>377926</v>
      </c>
      <c r="W1818" s="122">
        <f t="shared" si="56"/>
        <v>377926</v>
      </c>
      <c r="X1818" s="122">
        <f t="shared" si="57"/>
        <v>467646</v>
      </c>
    </row>
    <row r="1819" spans="2:24">
      <c r="B1819" t="s">
        <v>473</v>
      </c>
      <c r="C1819" t="s">
        <v>56</v>
      </c>
      <c r="D1819" t="s">
        <v>407</v>
      </c>
      <c r="E1819" t="s">
        <v>407</v>
      </c>
      <c r="F1819">
        <v>56</v>
      </c>
      <c r="G1819" s="122">
        <v>4496</v>
      </c>
      <c r="H1819" s="122">
        <v>9675</v>
      </c>
      <c r="I1819" s="122">
        <v>331930</v>
      </c>
      <c r="J1819" s="122">
        <v>301755</v>
      </c>
      <c r="K1819">
        <v>81</v>
      </c>
      <c r="L1819" s="122">
        <v>22472</v>
      </c>
      <c r="M1819" s="122">
        <v>16687</v>
      </c>
      <c r="N1819" s="122">
        <v>99348</v>
      </c>
      <c r="O1819" s="122">
        <v>36795</v>
      </c>
      <c r="P1819" s="122">
        <v>26811</v>
      </c>
      <c r="Q1819" s="122">
        <v>9930</v>
      </c>
      <c r="R1819" s="122">
        <v>210176</v>
      </c>
      <c r="S1819" s="122">
        <v>191069</v>
      </c>
      <c r="T1819" s="122">
        <v>88192</v>
      </c>
      <c r="U1819" s="122">
        <v>32664</v>
      </c>
      <c r="V1819" s="122">
        <v>588900</v>
      </c>
      <c r="W1819" s="122">
        <f t="shared" si="56"/>
        <v>588900</v>
      </c>
      <c r="X1819" s="122">
        <f t="shared" si="57"/>
        <v>778929</v>
      </c>
    </row>
    <row r="1820" spans="2:24">
      <c r="B1820" t="s">
        <v>473</v>
      </c>
      <c r="C1820" t="s">
        <v>56</v>
      </c>
      <c r="D1820" t="s">
        <v>426</v>
      </c>
      <c r="E1820" t="s">
        <v>426</v>
      </c>
      <c r="F1820">
        <v>1</v>
      </c>
      <c r="G1820">
        <v>63</v>
      </c>
      <c r="H1820">
        <v>218</v>
      </c>
      <c r="I1820" s="122">
        <v>5581</v>
      </c>
      <c r="J1820" s="122">
        <v>5073</v>
      </c>
      <c r="K1820">
        <v>73</v>
      </c>
      <c r="L1820" s="122">
        <v>1111</v>
      </c>
      <c r="M1820">
        <v>412</v>
      </c>
      <c r="N1820">
        <v>952</v>
      </c>
      <c r="O1820">
        <v>353</v>
      </c>
      <c r="P1820">
        <v>351</v>
      </c>
      <c r="Q1820">
        <v>130</v>
      </c>
      <c r="R1820" s="122">
        <v>3565</v>
      </c>
      <c r="S1820" s="122">
        <v>3241</v>
      </c>
      <c r="T1820" s="122">
        <v>2059</v>
      </c>
      <c r="U1820">
        <v>763</v>
      </c>
      <c r="V1820" s="122">
        <v>9971</v>
      </c>
      <c r="W1820" s="122">
        <f t="shared" si="56"/>
        <v>9972</v>
      </c>
      <c r="X1820" s="122">
        <f t="shared" si="57"/>
        <v>13619</v>
      </c>
    </row>
    <row r="1821" spans="2:24">
      <c r="B1821" t="s">
        <v>473</v>
      </c>
      <c r="C1821" t="s">
        <v>58</v>
      </c>
      <c r="F1821">
        <v>11</v>
      </c>
      <c r="G1821">
        <v>546</v>
      </c>
      <c r="H1821" s="122">
        <v>2880</v>
      </c>
      <c r="J1821">
        <v>0</v>
      </c>
      <c r="M1821">
        <v>0</v>
      </c>
      <c r="N1821" s="122">
        <v>8869</v>
      </c>
      <c r="O1821" s="122">
        <v>3285</v>
      </c>
      <c r="P1821" s="122">
        <v>5508</v>
      </c>
      <c r="Q1821" s="122">
        <v>2040</v>
      </c>
      <c r="S1821">
        <v>0</v>
      </c>
      <c r="T1821" s="122">
        <v>3066</v>
      </c>
      <c r="U1821" s="122">
        <v>1135</v>
      </c>
      <c r="V1821" s="122">
        <v>6460</v>
      </c>
      <c r="W1821" s="122">
        <f t="shared" si="56"/>
        <v>6460</v>
      </c>
      <c r="X1821" s="122">
        <f t="shared" si="57"/>
        <v>17443</v>
      </c>
    </row>
    <row r="1822" spans="2:24">
      <c r="B1822" t="s">
        <v>473</v>
      </c>
      <c r="C1822" t="s">
        <v>58</v>
      </c>
      <c r="D1822" t="s">
        <v>137</v>
      </c>
      <c r="E1822" t="s">
        <v>137</v>
      </c>
      <c r="F1822">
        <v>188</v>
      </c>
      <c r="G1822" s="122">
        <v>11970</v>
      </c>
      <c r="H1822" s="122">
        <v>49811</v>
      </c>
      <c r="I1822" s="122">
        <v>1540501</v>
      </c>
      <c r="J1822" s="122">
        <v>570556</v>
      </c>
      <c r="K1822">
        <v>100</v>
      </c>
      <c r="L1822" s="122">
        <v>191258</v>
      </c>
      <c r="M1822" s="122">
        <v>87470</v>
      </c>
      <c r="N1822" s="122">
        <v>245931</v>
      </c>
      <c r="O1822" s="122">
        <v>91086</v>
      </c>
      <c r="P1822" s="122">
        <v>2106</v>
      </c>
      <c r="Q1822">
        <v>780</v>
      </c>
      <c r="R1822" s="122">
        <v>1183595</v>
      </c>
      <c r="S1822" s="122">
        <v>438369</v>
      </c>
      <c r="T1822">
        <v>0</v>
      </c>
      <c r="U1822">
        <v>0</v>
      </c>
      <c r="V1822" s="122">
        <v>1188260</v>
      </c>
      <c r="W1822" s="122">
        <f t="shared" si="56"/>
        <v>1188261</v>
      </c>
      <c r="X1822" s="122">
        <f t="shared" si="57"/>
        <v>3163391</v>
      </c>
    </row>
    <row r="1823" spans="2:24">
      <c r="B1823" t="s">
        <v>473</v>
      </c>
      <c r="C1823" t="s">
        <v>58</v>
      </c>
      <c r="D1823" t="s">
        <v>406</v>
      </c>
      <c r="E1823" t="s">
        <v>137</v>
      </c>
      <c r="F1823">
        <v>5</v>
      </c>
      <c r="G1823">
        <v>191</v>
      </c>
      <c r="H1823" s="122">
        <v>1318</v>
      </c>
      <c r="I1823" s="122">
        <v>27665</v>
      </c>
      <c r="J1823" s="122">
        <v>25150</v>
      </c>
      <c r="K1823">
        <v>85</v>
      </c>
      <c r="L1823">
        <v>0</v>
      </c>
      <c r="M1823">
        <v>0</v>
      </c>
      <c r="N1823" s="122">
        <v>3996</v>
      </c>
      <c r="O1823" s="122">
        <v>1480</v>
      </c>
      <c r="P1823" s="122">
        <v>3105</v>
      </c>
      <c r="Q1823" s="122">
        <v>1150</v>
      </c>
      <c r="R1823" s="122">
        <v>15069</v>
      </c>
      <c r="S1823" s="122">
        <v>5581</v>
      </c>
      <c r="T1823">
        <v>0</v>
      </c>
      <c r="U1823">
        <v>0</v>
      </c>
      <c r="V1823" s="122">
        <v>33361</v>
      </c>
      <c r="W1823" s="122">
        <f t="shared" si="56"/>
        <v>33361</v>
      </c>
      <c r="X1823" s="122">
        <f t="shared" si="57"/>
        <v>49835</v>
      </c>
    </row>
    <row r="1824" spans="2:24">
      <c r="B1824" t="s">
        <v>473</v>
      </c>
      <c r="C1824" t="s">
        <v>58</v>
      </c>
      <c r="D1824" t="s">
        <v>406</v>
      </c>
      <c r="E1824" t="s">
        <v>406</v>
      </c>
      <c r="F1824">
        <v>19</v>
      </c>
      <c r="G1824" s="122">
        <v>1904</v>
      </c>
      <c r="H1824" s="122">
        <v>5116</v>
      </c>
      <c r="I1824" s="122">
        <v>316282</v>
      </c>
      <c r="J1824" s="122">
        <v>287529</v>
      </c>
      <c r="K1824">
        <v>83</v>
      </c>
      <c r="L1824" s="122">
        <v>39329</v>
      </c>
      <c r="M1824" s="122">
        <v>38844</v>
      </c>
      <c r="N1824" s="122">
        <v>37238</v>
      </c>
      <c r="O1824" s="122">
        <v>13792</v>
      </c>
      <c r="P1824" s="122">
        <v>12852</v>
      </c>
      <c r="Q1824" s="122">
        <v>4760</v>
      </c>
      <c r="R1824" s="122">
        <v>77098</v>
      </c>
      <c r="S1824" s="122">
        <v>70090</v>
      </c>
      <c r="T1824" s="122">
        <v>37730</v>
      </c>
      <c r="U1824" s="122">
        <v>13974</v>
      </c>
      <c r="V1824" s="122">
        <v>428989</v>
      </c>
      <c r="W1824" s="122">
        <f t="shared" si="56"/>
        <v>428989</v>
      </c>
      <c r="X1824" s="122">
        <f t="shared" si="57"/>
        <v>520529</v>
      </c>
    </row>
    <row r="1825" spans="2:24">
      <c r="B1825" t="s">
        <v>473</v>
      </c>
      <c r="C1825" t="s">
        <v>58</v>
      </c>
      <c r="D1825" t="s">
        <v>407</v>
      </c>
      <c r="E1825" t="s">
        <v>407</v>
      </c>
      <c r="F1825">
        <v>3</v>
      </c>
      <c r="G1825">
        <v>193</v>
      </c>
      <c r="H1825">
        <v>719</v>
      </c>
      <c r="I1825" s="122">
        <v>28862</v>
      </c>
      <c r="J1825" s="122">
        <v>26238</v>
      </c>
      <c r="K1825">
        <v>79</v>
      </c>
      <c r="L1825">
        <v>0</v>
      </c>
      <c r="M1825">
        <v>0</v>
      </c>
      <c r="N1825" s="122">
        <v>4052</v>
      </c>
      <c r="O1825" s="122">
        <v>1501</v>
      </c>
      <c r="P1825" s="122">
        <v>1418</v>
      </c>
      <c r="Q1825">
        <v>525</v>
      </c>
      <c r="R1825" s="122">
        <v>8072</v>
      </c>
      <c r="S1825" s="122">
        <v>7338</v>
      </c>
      <c r="T1825" s="122">
        <v>3718</v>
      </c>
      <c r="U1825" s="122">
        <v>1377</v>
      </c>
      <c r="V1825" s="122">
        <v>36979</v>
      </c>
      <c r="W1825" s="122">
        <f t="shared" si="56"/>
        <v>36979</v>
      </c>
      <c r="X1825" s="122">
        <f t="shared" si="57"/>
        <v>46122</v>
      </c>
    </row>
    <row r="1826" spans="2:24">
      <c r="B1826" t="s">
        <v>473</v>
      </c>
      <c r="C1826" t="s">
        <v>58</v>
      </c>
      <c r="D1826" t="s">
        <v>426</v>
      </c>
      <c r="E1826" t="s">
        <v>426</v>
      </c>
      <c r="F1826">
        <v>6</v>
      </c>
      <c r="G1826">
        <v>497</v>
      </c>
      <c r="H1826" s="122">
        <v>1612</v>
      </c>
      <c r="I1826" s="122">
        <v>70507</v>
      </c>
      <c r="J1826" s="122">
        <v>64097</v>
      </c>
      <c r="K1826">
        <v>64</v>
      </c>
      <c r="L1826" s="122">
        <v>13600</v>
      </c>
      <c r="M1826" s="122">
        <v>7923</v>
      </c>
      <c r="N1826" s="122">
        <v>9433</v>
      </c>
      <c r="O1826" s="122">
        <v>3494</v>
      </c>
      <c r="P1826" s="122">
        <v>2106</v>
      </c>
      <c r="Q1826">
        <v>780</v>
      </c>
      <c r="R1826" s="122">
        <v>27675</v>
      </c>
      <c r="S1826" s="122">
        <v>25159</v>
      </c>
      <c r="T1826" s="122">
        <v>12304</v>
      </c>
      <c r="U1826" s="122">
        <v>4557</v>
      </c>
      <c r="V1826" s="122">
        <v>106011</v>
      </c>
      <c r="W1826" s="122">
        <f t="shared" si="56"/>
        <v>106010</v>
      </c>
      <c r="X1826" s="122">
        <f t="shared" si="57"/>
        <v>135625</v>
      </c>
    </row>
    <row r="1827" spans="2:24">
      <c r="B1827" t="s">
        <v>473</v>
      </c>
      <c r="C1827" t="s">
        <v>60</v>
      </c>
      <c r="F1827">
        <v>5</v>
      </c>
      <c r="G1827">
        <v>190</v>
      </c>
      <c r="H1827" s="122">
        <v>1684</v>
      </c>
      <c r="J1827">
        <v>0</v>
      </c>
      <c r="M1827">
        <v>0</v>
      </c>
      <c r="N1827" s="122">
        <v>4118</v>
      </c>
      <c r="O1827" s="122">
        <v>1525</v>
      </c>
      <c r="P1827" s="122">
        <v>1701</v>
      </c>
      <c r="Q1827">
        <v>630</v>
      </c>
      <c r="S1827">
        <v>0</v>
      </c>
      <c r="T1827" s="122">
        <v>1432</v>
      </c>
      <c r="U1827">
        <v>530</v>
      </c>
      <c r="V1827" s="122">
        <v>2686</v>
      </c>
      <c r="W1827" s="122">
        <f t="shared" si="56"/>
        <v>2685</v>
      </c>
      <c r="X1827" s="122">
        <f t="shared" si="57"/>
        <v>7251</v>
      </c>
    </row>
    <row r="1828" spans="2:24">
      <c r="B1828" t="s">
        <v>473</v>
      </c>
      <c r="C1828" t="s">
        <v>60</v>
      </c>
      <c r="D1828" t="s">
        <v>137</v>
      </c>
      <c r="E1828" t="s">
        <v>137</v>
      </c>
      <c r="F1828">
        <v>100</v>
      </c>
      <c r="G1828" s="122">
        <v>5559</v>
      </c>
      <c r="H1828" s="122">
        <v>33341</v>
      </c>
      <c r="I1828" s="122">
        <v>1053996</v>
      </c>
      <c r="J1828" s="122">
        <v>390369</v>
      </c>
      <c r="K1828">
        <v>100</v>
      </c>
      <c r="L1828" s="122">
        <v>129344</v>
      </c>
      <c r="M1828" s="122">
        <v>59701</v>
      </c>
      <c r="N1828" s="122">
        <v>110517</v>
      </c>
      <c r="O1828" s="122">
        <v>40932</v>
      </c>
      <c r="P1828">
        <v>351</v>
      </c>
      <c r="Q1828">
        <v>130</v>
      </c>
      <c r="R1828" s="122">
        <v>559381</v>
      </c>
      <c r="S1828" s="122">
        <v>207178</v>
      </c>
      <c r="T1828">
        <v>0</v>
      </c>
      <c r="U1828">
        <v>0</v>
      </c>
      <c r="V1828" s="122">
        <v>698310</v>
      </c>
      <c r="W1828" s="122">
        <f t="shared" si="56"/>
        <v>698310</v>
      </c>
      <c r="X1828" s="122">
        <f t="shared" si="57"/>
        <v>1853589</v>
      </c>
    </row>
    <row r="1829" spans="2:24">
      <c r="B1829" t="s">
        <v>473</v>
      </c>
      <c r="C1829" t="s">
        <v>60</v>
      </c>
      <c r="D1829" t="s">
        <v>406</v>
      </c>
      <c r="E1829" t="s">
        <v>137</v>
      </c>
      <c r="F1829">
        <v>2</v>
      </c>
      <c r="G1829">
        <v>73</v>
      </c>
      <c r="H1829">
        <v>735</v>
      </c>
      <c r="I1829" s="122">
        <v>14667</v>
      </c>
      <c r="J1829" s="122">
        <v>13334</v>
      </c>
      <c r="K1829">
        <v>86</v>
      </c>
      <c r="L1829" s="122">
        <v>3256</v>
      </c>
      <c r="M1829" s="122">
        <v>1206</v>
      </c>
      <c r="N1829" s="122">
        <v>1789</v>
      </c>
      <c r="O1829">
        <v>662</v>
      </c>
      <c r="P1829" s="122">
        <v>1242</v>
      </c>
      <c r="Q1829">
        <v>460</v>
      </c>
      <c r="R1829" s="122">
        <v>5992</v>
      </c>
      <c r="S1829" s="122">
        <v>2219</v>
      </c>
      <c r="T1829">
        <v>0</v>
      </c>
      <c r="U1829">
        <v>0</v>
      </c>
      <c r="V1829" s="122">
        <v>17882</v>
      </c>
      <c r="W1829" s="122">
        <f t="shared" si="56"/>
        <v>17881</v>
      </c>
      <c r="X1829" s="122">
        <f t="shared" si="57"/>
        <v>26946</v>
      </c>
    </row>
    <row r="1830" spans="2:24">
      <c r="B1830" t="s">
        <v>473</v>
      </c>
      <c r="C1830" t="s">
        <v>60</v>
      </c>
      <c r="D1830" t="s">
        <v>406</v>
      </c>
      <c r="E1830" t="s">
        <v>406</v>
      </c>
      <c r="F1830">
        <v>13</v>
      </c>
      <c r="G1830">
        <v>874</v>
      </c>
      <c r="H1830" s="122">
        <v>4289</v>
      </c>
      <c r="I1830" s="122">
        <v>182338</v>
      </c>
      <c r="J1830" s="122">
        <v>165762</v>
      </c>
      <c r="K1830">
        <v>82</v>
      </c>
      <c r="L1830" s="122">
        <v>13156</v>
      </c>
      <c r="M1830" s="122">
        <v>11960</v>
      </c>
      <c r="N1830" s="122">
        <v>16988</v>
      </c>
      <c r="O1830" s="122">
        <v>6292</v>
      </c>
      <c r="P1830" s="122">
        <v>8424</v>
      </c>
      <c r="Q1830" s="122">
        <v>3120</v>
      </c>
      <c r="R1830" s="122">
        <v>46830</v>
      </c>
      <c r="S1830" s="122">
        <v>42573</v>
      </c>
      <c r="T1830" s="122">
        <v>20064</v>
      </c>
      <c r="U1830" s="122">
        <v>7431</v>
      </c>
      <c r="V1830" s="122">
        <v>237138</v>
      </c>
      <c r="W1830" s="122">
        <f t="shared" si="56"/>
        <v>237138</v>
      </c>
      <c r="X1830" s="122">
        <f t="shared" si="57"/>
        <v>287800</v>
      </c>
    </row>
    <row r="1831" spans="2:24">
      <c r="B1831" t="s">
        <v>473</v>
      </c>
      <c r="C1831" t="s">
        <v>60</v>
      </c>
      <c r="D1831" t="s">
        <v>427</v>
      </c>
      <c r="E1831" t="s">
        <v>427</v>
      </c>
      <c r="F1831">
        <v>1</v>
      </c>
      <c r="G1831">
        <v>53</v>
      </c>
      <c r="H1831">
        <v>310</v>
      </c>
      <c r="I1831" s="122">
        <v>8325</v>
      </c>
      <c r="J1831" s="122">
        <v>7568</v>
      </c>
      <c r="K1831">
        <v>55</v>
      </c>
      <c r="L1831">
        <v>0</v>
      </c>
      <c r="M1831">
        <v>0</v>
      </c>
      <c r="N1831" s="122">
        <v>1291</v>
      </c>
      <c r="O1831">
        <v>478</v>
      </c>
      <c r="P1831">
        <v>351</v>
      </c>
      <c r="Q1831">
        <v>130</v>
      </c>
      <c r="R1831" s="122">
        <v>4528</v>
      </c>
      <c r="S1831" s="122">
        <v>4116</v>
      </c>
      <c r="T1831" s="122">
        <v>1924</v>
      </c>
      <c r="U1831">
        <v>712</v>
      </c>
      <c r="V1831" s="122">
        <v>13005</v>
      </c>
      <c r="W1831" s="122">
        <f t="shared" si="56"/>
        <v>13004</v>
      </c>
      <c r="X1831" s="122">
        <f t="shared" si="57"/>
        <v>16419</v>
      </c>
    </row>
    <row r="1832" spans="2:24">
      <c r="B1832" t="s">
        <v>473</v>
      </c>
      <c r="C1832" t="s">
        <v>60</v>
      </c>
      <c r="D1832" t="s">
        <v>407</v>
      </c>
      <c r="E1832" t="s">
        <v>137</v>
      </c>
      <c r="F1832">
        <v>1</v>
      </c>
      <c r="G1832">
        <v>49</v>
      </c>
      <c r="H1832">
        <v>319</v>
      </c>
      <c r="I1832" s="122">
        <v>10021</v>
      </c>
      <c r="J1832" s="122">
        <v>9110</v>
      </c>
      <c r="K1832">
        <v>58</v>
      </c>
      <c r="L1832" s="122">
        <v>1585</v>
      </c>
      <c r="M1832">
        <v>587</v>
      </c>
      <c r="N1832">
        <v>597</v>
      </c>
      <c r="O1832">
        <v>221</v>
      </c>
      <c r="P1832">
        <v>122</v>
      </c>
      <c r="Q1832">
        <v>45</v>
      </c>
      <c r="R1832" s="122">
        <v>3312</v>
      </c>
      <c r="S1832" s="122">
        <v>1227</v>
      </c>
      <c r="T1832">
        <v>0</v>
      </c>
      <c r="U1832">
        <v>0</v>
      </c>
      <c r="V1832" s="122">
        <v>11190</v>
      </c>
      <c r="W1832" s="122">
        <f t="shared" si="56"/>
        <v>11190</v>
      </c>
      <c r="X1832" s="122">
        <f t="shared" si="57"/>
        <v>15637</v>
      </c>
    </row>
    <row r="1833" spans="2:24">
      <c r="B1833" t="s">
        <v>473</v>
      </c>
      <c r="C1833" t="s">
        <v>60</v>
      </c>
      <c r="D1833" t="s">
        <v>407</v>
      </c>
      <c r="E1833" t="s">
        <v>407</v>
      </c>
      <c r="F1833">
        <v>1</v>
      </c>
      <c r="G1833">
        <v>64</v>
      </c>
      <c r="H1833">
        <v>324</v>
      </c>
      <c r="I1833" s="122">
        <v>13474</v>
      </c>
      <c r="J1833" s="122">
        <v>12249</v>
      </c>
      <c r="K1833">
        <v>80</v>
      </c>
      <c r="L1833">
        <v>0</v>
      </c>
      <c r="M1833">
        <v>0</v>
      </c>
      <c r="N1833" s="122">
        <v>1554</v>
      </c>
      <c r="O1833">
        <v>576</v>
      </c>
      <c r="P1833">
        <v>473</v>
      </c>
      <c r="Q1833">
        <v>175</v>
      </c>
      <c r="R1833" s="122">
        <v>5165</v>
      </c>
      <c r="S1833" s="122">
        <v>4696</v>
      </c>
      <c r="T1833">
        <v>0</v>
      </c>
      <c r="U1833">
        <v>0</v>
      </c>
      <c r="V1833" s="122">
        <v>17695</v>
      </c>
      <c r="W1833" s="122">
        <f t="shared" si="56"/>
        <v>17696</v>
      </c>
      <c r="X1833" s="122">
        <f t="shared" si="57"/>
        <v>20666</v>
      </c>
    </row>
    <row r="1834" spans="2:24">
      <c r="B1834" t="s">
        <v>473</v>
      </c>
      <c r="C1834" t="s">
        <v>60</v>
      </c>
      <c r="D1834" t="s">
        <v>426</v>
      </c>
      <c r="E1834" t="s">
        <v>426</v>
      </c>
      <c r="F1834">
        <v>5</v>
      </c>
      <c r="G1834">
        <v>365</v>
      </c>
      <c r="H1834" s="122">
        <v>1701</v>
      </c>
      <c r="I1834" s="122">
        <v>70656</v>
      </c>
      <c r="J1834" s="122">
        <v>64233</v>
      </c>
      <c r="K1834">
        <v>61</v>
      </c>
      <c r="L1834" s="122">
        <v>14210</v>
      </c>
      <c r="M1834" s="122">
        <v>10147</v>
      </c>
      <c r="N1834" s="122">
        <v>6396</v>
      </c>
      <c r="O1834" s="122">
        <v>2369</v>
      </c>
      <c r="P1834" s="122">
        <v>1755</v>
      </c>
      <c r="Q1834">
        <v>650</v>
      </c>
      <c r="R1834" s="122">
        <v>21285</v>
      </c>
      <c r="S1834" s="122">
        <v>19350</v>
      </c>
      <c r="T1834" s="122">
        <v>10814</v>
      </c>
      <c r="U1834" s="122">
        <v>4005</v>
      </c>
      <c r="V1834" s="122">
        <v>100753</v>
      </c>
      <c r="W1834" s="122">
        <f t="shared" si="56"/>
        <v>100754</v>
      </c>
      <c r="X1834" s="122">
        <f t="shared" si="57"/>
        <v>125116</v>
      </c>
    </row>
    <row r="1835" spans="2:24">
      <c r="B1835" t="s">
        <v>473</v>
      </c>
      <c r="C1835" t="s">
        <v>62</v>
      </c>
      <c r="F1835">
        <v>2</v>
      </c>
      <c r="G1835">
        <v>94</v>
      </c>
      <c r="H1835">
        <v>823</v>
      </c>
      <c r="J1835">
        <v>0</v>
      </c>
      <c r="M1835">
        <v>0</v>
      </c>
      <c r="N1835" s="122">
        <v>1892</v>
      </c>
      <c r="O1835">
        <v>701</v>
      </c>
      <c r="P1835">
        <v>270</v>
      </c>
      <c r="Q1835">
        <v>100</v>
      </c>
      <c r="S1835">
        <v>0</v>
      </c>
      <c r="T1835">
        <v>0</v>
      </c>
      <c r="U1835">
        <v>0</v>
      </c>
      <c r="V1835">
        <v>801</v>
      </c>
      <c r="W1835" s="122">
        <f t="shared" ref="W1835:W1898" si="58">SUM(ABS(J1835),ABS(M1835),ABS(O1835),ABS(Q1835),ABS(S1835),ABS(U1835))</f>
        <v>801</v>
      </c>
      <c r="X1835" s="122">
        <f t="shared" ref="X1835:X1898" si="59">SUM(ABS(I1835),ABS(N1835),ABS(P1835),ABS(R1835),ABS(T1835),ABS(L1835))</f>
        <v>2162</v>
      </c>
    </row>
    <row r="1836" spans="2:24">
      <c r="B1836" t="s">
        <v>473</v>
      </c>
      <c r="C1836" t="s">
        <v>62</v>
      </c>
      <c r="D1836" t="s">
        <v>137</v>
      </c>
      <c r="E1836" t="s">
        <v>137</v>
      </c>
      <c r="F1836">
        <v>45</v>
      </c>
      <c r="G1836" s="122">
        <v>2395</v>
      </c>
      <c r="H1836" s="122">
        <v>18601</v>
      </c>
      <c r="I1836" s="122">
        <v>600410</v>
      </c>
      <c r="J1836" s="122">
        <v>222374</v>
      </c>
      <c r="K1836">
        <v>100</v>
      </c>
      <c r="L1836" s="122">
        <v>79486</v>
      </c>
      <c r="M1836" s="122">
        <v>42488</v>
      </c>
      <c r="N1836" s="122">
        <v>47303</v>
      </c>
      <c r="O1836" s="122">
        <v>17519</v>
      </c>
      <c r="P1836">
        <v>0</v>
      </c>
      <c r="Q1836">
        <v>0</v>
      </c>
      <c r="R1836" s="122">
        <v>261717</v>
      </c>
      <c r="S1836" s="122">
        <v>96932</v>
      </c>
      <c r="T1836">
        <v>0</v>
      </c>
      <c r="U1836">
        <v>0</v>
      </c>
      <c r="V1836" s="122">
        <v>379314</v>
      </c>
      <c r="W1836" s="122">
        <f t="shared" si="58"/>
        <v>379313</v>
      </c>
      <c r="X1836" s="122">
        <f t="shared" si="59"/>
        <v>988916</v>
      </c>
    </row>
    <row r="1837" spans="2:24">
      <c r="B1837" t="s">
        <v>473</v>
      </c>
      <c r="C1837" t="s">
        <v>62</v>
      </c>
      <c r="D1837" t="s">
        <v>406</v>
      </c>
      <c r="E1837" t="s">
        <v>137</v>
      </c>
      <c r="F1837">
        <v>1</v>
      </c>
      <c r="G1837">
        <v>40</v>
      </c>
      <c r="H1837">
        <v>447</v>
      </c>
      <c r="I1837" s="122">
        <v>10773</v>
      </c>
      <c r="J1837" s="122">
        <v>9794</v>
      </c>
      <c r="K1837">
        <v>86</v>
      </c>
      <c r="L1837" s="122">
        <v>2392</v>
      </c>
      <c r="M1837">
        <v>886</v>
      </c>
      <c r="N1837">
        <v>975</v>
      </c>
      <c r="O1837">
        <v>361</v>
      </c>
      <c r="P1837">
        <v>621</v>
      </c>
      <c r="Q1837">
        <v>230</v>
      </c>
      <c r="R1837" s="122">
        <v>3129</v>
      </c>
      <c r="S1837" s="122">
        <v>1159</v>
      </c>
      <c r="T1837">
        <v>0</v>
      </c>
      <c r="U1837">
        <v>0</v>
      </c>
      <c r="V1837" s="122">
        <v>12429</v>
      </c>
      <c r="W1837" s="122">
        <f t="shared" si="58"/>
        <v>12430</v>
      </c>
      <c r="X1837" s="122">
        <f t="shared" si="59"/>
        <v>17890</v>
      </c>
    </row>
    <row r="1838" spans="2:24">
      <c r="B1838" t="s">
        <v>473</v>
      </c>
      <c r="C1838" t="s">
        <v>62</v>
      </c>
      <c r="D1838" t="s">
        <v>406</v>
      </c>
      <c r="E1838" t="s">
        <v>406</v>
      </c>
      <c r="F1838">
        <v>3</v>
      </c>
      <c r="G1838">
        <v>218</v>
      </c>
      <c r="H1838" s="122">
        <v>1220</v>
      </c>
      <c r="I1838" s="122">
        <v>54062</v>
      </c>
      <c r="J1838" s="122">
        <v>49148</v>
      </c>
      <c r="K1838">
        <v>88</v>
      </c>
      <c r="L1838" s="122">
        <v>14327</v>
      </c>
      <c r="M1838" s="122">
        <v>13025</v>
      </c>
      <c r="N1838" s="122">
        <v>4752</v>
      </c>
      <c r="O1838" s="122">
        <v>1760</v>
      </c>
      <c r="P1838" s="122">
        <v>1863</v>
      </c>
      <c r="Q1838">
        <v>690</v>
      </c>
      <c r="R1838" s="122">
        <v>9301</v>
      </c>
      <c r="S1838" s="122">
        <v>8455</v>
      </c>
      <c r="T1838" s="122">
        <v>4462</v>
      </c>
      <c r="U1838" s="122">
        <v>1652</v>
      </c>
      <c r="V1838" s="122">
        <v>74730</v>
      </c>
      <c r="W1838" s="122">
        <f t="shared" si="58"/>
        <v>74730</v>
      </c>
      <c r="X1838" s="122">
        <f t="shared" si="59"/>
        <v>88767</v>
      </c>
    </row>
    <row r="1839" spans="2:24">
      <c r="B1839" t="s">
        <v>473</v>
      </c>
      <c r="C1839" t="s">
        <v>62</v>
      </c>
      <c r="D1839" t="s">
        <v>427</v>
      </c>
      <c r="E1839" t="s">
        <v>427</v>
      </c>
      <c r="F1839">
        <v>3</v>
      </c>
      <c r="G1839">
        <v>165</v>
      </c>
      <c r="H1839" s="122">
        <v>1250</v>
      </c>
      <c r="I1839" s="122">
        <v>23772</v>
      </c>
      <c r="J1839" s="122">
        <v>21610</v>
      </c>
      <c r="K1839">
        <v>55</v>
      </c>
      <c r="L1839" s="122">
        <v>4842</v>
      </c>
      <c r="M1839" s="122">
        <v>4402</v>
      </c>
      <c r="N1839" s="122">
        <v>3645</v>
      </c>
      <c r="O1839" s="122">
        <v>1350</v>
      </c>
      <c r="P1839" s="122">
        <v>1053</v>
      </c>
      <c r="Q1839">
        <v>390</v>
      </c>
      <c r="R1839" s="122">
        <v>23153</v>
      </c>
      <c r="S1839" s="122">
        <v>21048</v>
      </c>
      <c r="T1839" s="122">
        <v>12134</v>
      </c>
      <c r="U1839" s="122">
        <v>4494</v>
      </c>
      <c r="V1839" s="122">
        <v>53295</v>
      </c>
      <c r="W1839" s="122">
        <f t="shared" si="58"/>
        <v>53294</v>
      </c>
      <c r="X1839" s="122">
        <f t="shared" si="59"/>
        <v>68599</v>
      </c>
    </row>
    <row r="1840" spans="2:24">
      <c r="B1840" t="s">
        <v>473</v>
      </c>
      <c r="C1840" t="s">
        <v>62</v>
      </c>
      <c r="D1840" t="s">
        <v>407</v>
      </c>
      <c r="E1840" t="s">
        <v>407</v>
      </c>
      <c r="F1840">
        <v>1</v>
      </c>
      <c r="G1840">
        <v>40</v>
      </c>
      <c r="H1840">
        <v>410</v>
      </c>
      <c r="I1840" s="122">
        <v>10201</v>
      </c>
      <c r="J1840" s="122">
        <v>9274</v>
      </c>
      <c r="K1840">
        <v>80</v>
      </c>
      <c r="L1840">
        <v>0</v>
      </c>
      <c r="M1840">
        <v>0</v>
      </c>
      <c r="N1840">
        <v>965</v>
      </c>
      <c r="O1840">
        <v>357</v>
      </c>
      <c r="P1840">
        <v>473</v>
      </c>
      <c r="Q1840">
        <v>175</v>
      </c>
      <c r="R1840" s="122">
        <v>4595</v>
      </c>
      <c r="S1840" s="122">
        <v>4177</v>
      </c>
      <c r="T1840">
        <v>0</v>
      </c>
      <c r="U1840">
        <v>0</v>
      </c>
      <c r="V1840" s="122">
        <v>13983</v>
      </c>
      <c r="W1840" s="122">
        <f t="shared" si="58"/>
        <v>13983</v>
      </c>
      <c r="X1840" s="122">
        <f t="shared" si="59"/>
        <v>16234</v>
      </c>
    </row>
    <row r="1841" spans="2:24">
      <c r="B1841" t="s">
        <v>473</v>
      </c>
      <c r="C1841" t="s">
        <v>62</v>
      </c>
      <c r="D1841" t="s">
        <v>426</v>
      </c>
      <c r="E1841" t="s">
        <v>426</v>
      </c>
      <c r="F1841">
        <v>4</v>
      </c>
      <c r="G1841">
        <v>403</v>
      </c>
      <c r="H1841" s="122">
        <v>1634</v>
      </c>
      <c r="I1841" s="122">
        <v>113568</v>
      </c>
      <c r="J1841" s="122">
        <v>103243</v>
      </c>
      <c r="K1841">
        <v>55</v>
      </c>
      <c r="L1841" s="122">
        <v>11952</v>
      </c>
      <c r="M1841" s="122">
        <v>10865</v>
      </c>
      <c r="N1841" s="122">
        <v>8027</v>
      </c>
      <c r="O1841" s="122">
        <v>2973</v>
      </c>
      <c r="P1841" s="122">
        <v>1674</v>
      </c>
      <c r="Q1841">
        <v>620</v>
      </c>
      <c r="R1841" s="122">
        <v>24444</v>
      </c>
      <c r="S1841" s="122">
        <v>22222</v>
      </c>
      <c r="T1841" s="122">
        <v>6608</v>
      </c>
      <c r="U1841" s="122">
        <v>2448</v>
      </c>
      <c r="V1841" s="122">
        <v>142371</v>
      </c>
      <c r="W1841" s="122">
        <f t="shared" si="58"/>
        <v>142371</v>
      </c>
      <c r="X1841" s="122">
        <f t="shared" si="59"/>
        <v>166273</v>
      </c>
    </row>
    <row r="1842" spans="2:24">
      <c r="B1842" t="s">
        <v>473</v>
      </c>
      <c r="C1842" t="s">
        <v>64</v>
      </c>
      <c r="F1842">
        <v>4</v>
      </c>
      <c r="G1842">
        <v>197</v>
      </c>
      <c r="H1842" s="122">
        <v>2270</v>
      </c>
      <c r="J1842">
        <v>0</v>
      </c>
      <c r="M1842">
        <v>0</v>
      </c>
      <c r="N1842" s="122">
        <v>4646</v>
      </c>
      <c r="O1842" s="122">
        <v>1721</v>
      </c>
      <c r="P1842" s="122">
        <v>1242</v>
      </c>
      <c r="Q1842">
        <v>460</v>
      </c>
      <c r="S1842">
        <v>0</v>
      </c>
      <c r="T1842">
        <v>0</v>
      </c>
      <c r="U1842">
        <v>0</v>
      </c>
      <c r="V1842" s="122">
        <v>2181</v>
      </c>
      <c r="W1842" s="122">
        <f t="shared" si="58"/>
        <v>2181</v>
      </c>
      <c r="X1842" s="122">
        <f t="shared" si="59"/>
        <v>5888</v>
      </c>
    </row>
    <row r="1843" spans="2:24">
      <c r="B1843" t="s">
        <v>473</v>
      </c>
      <c r="C1843" t="s">
        <v>64</v>
      </c>
      <c r="D1843" t="s">
        <v>137</v>
      </c>
      <c r="E1843" t="s">
        <v>137</v>
      </c>
      <c r="F1843">
        <v>44</v>
      </c>
      <c r="G1843" s="122">
        <v>2139</v>
      </c>
      <c r="H1843" s="122">
        <v>25222</v>
      </c>
      <c r="I1843" s="122">
        <v>876107</v>
      </c>
      <c r="J1843" s="122">
        <v>324484</v>
      </c>
      <c r="K1843">
        <v>100</v>
      </c>
      <c r="L1843" s="122">
        <v>93265</v>
      </c>
      <c r="M1843" s="122">
        <v>39226</v>
      </c>
      <c r="N1843" s="122">
        <v>44568</v>
      </c>
      <c r="O1843" s="122">
        <v>16507</v>
      </c>
      <c r="P1843">
        <v>243</v>
      </c>
      <c r="Q1843">
        <v>90</v>
      </c>
      <c r="R1843" s="122">
        <v>205588</v>
      </c>
      <c r="S1843" s="122">
        <v>76144</v>
      </c>
      <c r="T1843">
        <v>0</v>
      </c>
      <c r="U1843">
        <v>0</v>
      </c>
      <c r="V1843" s="122">
        <v>456450</v>
      </c>
      <c r="W1843" s="122">
        <f t="shared" si="58"/>
        <v>456451</v>
      </c>
      <c r="X1843" s="122">
        <f t="shared" si="59"/>
        <v>1219771</v>
      </c>
    </row>
    <row r="1844" spans="2:24">
      <c r="B1844" t="s">
        <v>473</v>
      </c>
      <c r="C1844" t="s">
        <v>64</v>
      </c>
      <c r="D1844" t="s">
        <v>406</v>
      </c>
      <c r="E1844" t="s">
        <v>137</v>
      </c>
      <c r="F1844">
        <v>1</v>
      </c>
      <c r="G1844">
        <v>40</v>
      </c>
      <c r="H1844">
        <v>497</v>
      </c>
      <c r="I1844" s="122">
        <v>12420</v>
      </c>
      <c r="J1844" s="122">
        <v>11291</v>
      </c>
      <c r="K1844">
        <v>86</v>
      </c>
      <c r="L1844" s="122">
        <v>2757</v>
      </c>
      <c r="M1844" s="122">
        <v>1021</v>
      </c>
      <c r="N1844">
        <v>975</v>
      </c>
      <c r="O1844">
        <v>361</v>
      </c>
      <c r="P1844">
        <v>621</v>
      </c>
      <c r="Q1844">
        <v>230</v>
      </c>
      <c r="R1844" s="122">
        <v>3129</v>
      </c>
      <c r="S1844" s="122">
        <v>1159</v>
      </c>
      <c r="T1844">
        <v>0</v>
      </c>
      <c r="U1844">
        <v>0</v>
      </c>
      <c r="V1844" s="122">
        <v>14062</v>
      </c>
      <c r="W1844" s="122">
        <f t="shared" si="58"/>
        <v>14062</v>
      </c>
      <c r="X1844" s="122">
        <f t="shared" si="59"/>
        <v>19902</v>
      </c>
    </row>
    <row r="1845" spans="2:24">
      <c r="B1845" t="s">
        <v>473</v>
      </c>
      <c r="C1845" t="s">
        <v>64</v>
      </c>
      <c r="D1845" t="s">
        <v>406</v>
      </c>
      <c r="E1845" t="s">
        <v>406</v>
      </c>
      <c r="F1845">
        <v>3</v>
      </c>
      <c r="G1845">
        <v>164</v>
      </c>
      <c r="H1845" s="122">
        <v>1556</v>
      </c>
      <c r="I1845" s="122">
        <v>58110</v>
      </c>
      <c r="J1845" s="122">
        <v>52827</v>
      </c>
      <c r="K1845">
        <v>83</v>
      </c>
      <c r="L1845" s="122">
        <v>11141</v>
      </c>
      <c r="M1845" s="122">
        <v>9284</v>
      </c>
      <c r="N1845" s="122">
        <v>3897</v>
      </c>
      <c r="O1845" s="122">
        <v>1443</v>
      </c>
      <c r="P1845" s="122">
        <v>1863</v>
      </c>
      <c r="Q1845">
        <v>690</v>
      </c>
      <c r="R1845" s="122">
        <v>8693</v>
      </c>
      <c r="S1845" s="122">
        <v>7903</v>
      </c>
      <c r="T1845" s="122">
        <v>1479</v>
      </c>
      <c r="U1845">
        <v>548</v>
      </c>
      <c r="V1845" s="122">
        <v>72695</v>
      </c>
      <c r="W1845" s="122">
        <f t="shared" si="58"/>
        <v>72695</v>
      </c>
      <c r="X1845" s="122">
        <f t="shared" si="59"/>
        <v>85183</v>
      </c>
    </row>
    <row r="1846" spans="2:24">
      <c r="B1846" t="s">
        <v>473</v>
      </c>
      <c r="C1846" t="s">
        <v>64</v>
      </c>
      <c r="D1846" t="s">
        <v>406</v>
      </c>
      <c r="E1846" t="s">
        <v>426</v>
      </c>
      <c r="F1846">
        <v>1</v>
      </c>
      <c r="G1846">
        <v>150</v>
      </c>
      <c r="H1846">
        <v>552</v>
      </c>
      <c r="I1846" s="122">
        <v>56598</v>
      </c>
      <c r="J1846" s="122">
        <v>51453</v>
      </c>
      <c r="K1846">
        <v>65</v>
      </c>
      <c r="L1846" s="122">
        <v>12955</v>
      </c>
      <c r="M1846" s="122">
        <v>11777</v>
      </c>
      <c r="N1846" s="122">
        <v>3545</v>
      </c>
      <c r="O1846" s="122">
        <v>1313</v>
      </c>
      <c r="P1846">
        <v>621</v>
      </c>
      <c r="Q1846">
        <v>230</v>
      </c>
      <c r="R1846" s="122">
        <v>9101</v>
      </c>
      <c r="S1846" s="122">
        <v>8274</v>
      </c>
      <c r="T1846">
        <v>0</v>
      </c>
      <c r="U1846">
        <v>0</v>
      </c>
      <c r="V1846" s="122">
        <v>73047</v>
      </c>
      <c r="W1846" s="122">
        <f t="shared" si="58"/>
        <v>73047</v>
      </c>
      <c r="X1846" s="122">
        <f t="shared" si="59"/>
        <v>82820</v>
      </c>
    </row>
    <row r="1847" spans="2:24">
      <c r="B1847" t="s">
        <v>473</v>
      </c>
      <c r="C1847" t="s">
        <v>64</v>
      </c>
      <c r="D1847" t="s">
        <v>427</v>
      </c>
      <c r="E1847" t="s">
        <v>427</v>
      </c>
      <c r="F1847">
        <v>1</v>
      </c>
      <c r="G1847">
        <v>52</v>
      </c>
      <c r="H1847">
        <v>467</v>
      </c>
      <c r="I1847" s="122">
        <v>9205</v>
      </c>
      <c r="J1847" s="122">
        <v>8369</v>
      </c>
      <c r="K1847">
        <v>55</v>
      </c>
      <c r="L1847" s="122">
        <v>1875</v>
      </c>
      <c r="M1847" s="122">
        <v>1705</v>
      </c>
      <c r="N1847" s="122">
        <v>1164</v>
      </c>
      <c r="O1847">
        <v>431</v>
      </c>
      <c r="P1847">
        <v>351</v>
      </c>
      <c r="Q1847">
        <v>130</v>
      </c>
      <c r="R1847" s="122">
        <v>7653</v>
      </c>
      <c r="S1847" s="122">
        <v>6957</v>
      </c>
      <c r="T1847" s="122">
        <v>4002</v>
      </c>
      <c r="U1847" s="122">
        <v>1482</v>
      </c>
      <c r="V1847" s="122">
        <v>19074</v>
      </c>
      <c r="W1847" s="122">
        <f t="shared" si="58"/>
        <v>19074</v>
      </c>
      <c r="X1847" s="122">
        <f t="shared" si="59"/>
        <v>24250</v>
      </c>
    </row>
    <row r="1848" spans="2:24">
      <c r="B1848" t="s">
        <v>473</v>
      </c>
      <c r="C1848" t="s">
        <v>64</v>
      </c>
      <c r="D1848" t="s">
        <v>426</v>
      </c>
      <c r="E1848" t="s">
        <v>137</v>
      </c>
      <c r="F1848">
        <v>1</v>
      </c>
      <c r="G1848">
        <v>56</v>
      </c>
      <c r="H1848">
        <v>894</v>
      </c>
      <c r="I1848" s="122">
        <v>42092</v>
      </c>
      <c r="J1848" s="122">
        <v>38265</v>
      </c>
      <c r="K1848">
        <v>30</v>
      </c>
      <c r="L1848" s="122">
        <v>3444</v>
      </c>
      <c r="M1848" s="122">
        <v>1276</v>
      </c>
      <c r="N1848">
        <v>879</v>
      </c>
      <c r="O1848">
        <v>326</v>
      </c>
      <c r="P1848">
        <v>0</v>
      </c>
      <c r="Q1848">
        <v>0</v>
      </c>
      <c r="R1848" s="122">
        <v>3571</v>
      </c>
      <c r="S1848" s="122">
        <v>1323</v>
      </c>
      <c r="T1848">
        <v>0</v>
      </c>
      <c r="U1848">
        <v>0</v>
      </c>
      <c r="V1848" s="122">
        <v>41189</v>
      </c>
      <c r="W1848" s="122">
        <f t="shared" si="58"/>
        <v>41190</v>
      </c>
      <c r="X1848" s="122">
        <f t="shared" si="59"/>
        <v>49986</v>
      </c>
    </row>
    <row r="1849" spans="2:24">
      <c r="B1849" t="s">
        <v>473</v>
      </c>
      <c r="C1849" t="s">
        <v>64</v>
      </c>
      <c r="D1849" t="s">
        <v>426</v>
      </c>
      <c r="E1849" t="s">
        <v>426</v>
      </c>
      <c r="F1849">
        <v>5</v>
      </c>
      <c r="G1849">
        <v>470</v>
      </c>
      <c r="H1849" s="122">
        <v>2516</v>
      </c>
      <c r="I1849" s="122">
        <v>151254</v>
      </c>
      <c r="J1849" s="122">
        <v>137503</v>
      </c>
      <c r="K1849">
        <v>55</v>
      </c>
      <c r="L1849" s="122">
        <v>30226</v>
      </c>
      <c r="M1849" s="122">
        <v>27478</v>
      </c>
      <c r="N1849" s="122">
        <v>9631</v>
      </c>
      <c r="O1849" s="122">
        <v>3567</v>
      </c>
      <c r="P1849" s="122">
        <v>1755</v>
      </c>
      <c r="Q1849">
        <v>650</v>
      </c>
      <c r="R1849" s="122">
        <v>33608</v>
      </c>
      <c r="S1849" s="122">
        <v>30552</v>
      </c>
      <c r="T1849" s="122">
        <v>10012</v>
      </c>
      <c r="U1849" s="122">
        <v>3708</v>
      </c>
      <c r="V1849" s="122">
        <v>203459</v>
      </c>
      <c r="W1849" s="122">
        <f t="shared" si="58"/>
        <v>203458</v>
      </c>
      <c r="X1849" s="122">
        <f t="shared" si="59"/>
        <v>236486</v>
      </c>
    </row>
    <row r="1850" spans="2:24">
      <c r="B1850" t="s">
        <v>381</v>
      </c>
      <c r="C1850" t="s">
        <v>50</v>
      </c>
      <c r="D1850" t="s">
        <v>137</v>
      </c>
      <c r="E1850" t="s">
        <v>137</v>
      </c>
      <c r="F1850">
        <v>9</v>
      </c>
      <c r="G1850">
        <v>702</v>
      </c>
      <c r="H1850">
        <v>848</v>
      </c>
      <c r="I1850" s="122">
        <v>-8158</v>
      </c>
      <c r="J1850" s="122">
        <v>-3021</v>
      </c>
      <c r="K1850">
        <v>486</v>
      </c>
      <c r="L1850">
        <v>0</v>
      </c>
      <c r="M1850">
        <v>0</v>
      </c>
      <c r="N1850" s="122">
        <v>14149</v>
      </c>
      <c r="O1850" s="122">
        <v>5240</v>
      </c>
      <c r="P1850" s="122">
        <v>3197</v>
      </c>
      <c r="Q1850" s="122">
        <v>1184</v>
      </c>
      <c r="R1850" s="122">
        <v>57025</v>
      </c>
      <c r="S1850" s="122">
        <v>21120</v>
      </c>
      <c r="T1850">
        <v>0</v>
      </c>
      <c r="U1850">
        <v>0</v>
      </c>
      <c r="V1850" s="122">
        <v>24523</v>
      </c>
      <c r="W1850" s="122">
        <f t="shared" si="58"/>
        <v>30565</v>
      </c>
      <c r="X1850" s="122">
        <f t="shared" si="59"/>
        <v>82529</v>
      </c>
    </row>
    <row r="1851" spans="2:24">
      <c r="B1851" t="s">
        <v>381</v>
      </c>
      <c r="C1851" t="s">
        <v>52</v>
      </c>
      <c r="D1851" t="s">
        <v>137</v>
      </c>
      <c r="E1851" t="s">
        <v>137</v>
      </c>
      <c r="F1851">
        <v>3</v>
      </c>
      <c r="G1851">
        <v>241</v>
      </c>
      <c r="H1851">
        <v>323</v>
      </c>
      <c r="I1851" s="122">
        <v>2451</v>
      </c>
      <c r="J1851">
        <v>908</v>
      </c>
      <c r="K1851">
        <v>359</v>
      </c>
      <c r="L1851">
        <v>402</v>
      </c>
      <c r="M1851">
        <v>149</v>
      </c>
      <c r="N1851" s="122">
        <v>5287</v>
      </c>
      <c r="O1851" s="122">
        <v>1958</v>
      </c>
      <c r="P1851">
        <v>593</v>
      </c>
      <c r="Q1851">
        <v>219</v>
      </c>
      <c r="R1851" s="122">
        <v>17504</v>
      </c>
      <c r="S1851" s="122">
        <v>6483</v>
      </c>
      <c r="T1851">
        <v>0</v>
      </c>
      <c r="U1851">
        <v>0</v>
      </c>
      <c r="V1851" s="122">
        <v>9717</v>
      </c>
      <c r="W1851" s="122">
        <f t="shared" si="58"/>
        <v>9717</v>
      </c>
      <c r="X1851" s="122">
        <f t="shared" si="59"/>
        <v>26237</v>
      </c>
    </row>
    <row r="1852" spans="2:24">
      <c r="B1852" t="s">
        <v>381</v>
      </c>
      <c r="C1852" t="s">
        <v>52</v>
      </c>
      <c r="D1852" t="s">
        <v>406</v>
      </c>
      <c r="E1852" t="s">
        <v>406</v>
      </c>
      <c r="F1852">
        <v>1</v>
      </c>
      <c r="G1852">
        <v>122</v>
      </c>
      <c r="H1852">
        <v>107</v>
      </c>
      <c r="I1852" s="122">
        <v>5336</v>
      </c>
      <c r="J1852" s="122">
        <v>4851</v>
      </c>
      <c r="K1852">
        <v>94</v>
      </c>
      <c r="L1852">
        <v>680</v>
      </c>
      <c r="M1852">
        <v>618</v>
      </c>
      <c r="N1852" s="122">
        <v>1482</v>
      </c>
      <c r="O1852">
        <v>549</v>
      </c>
      <c r="P1852" s="122">
        <v>2575</v>
      </c>
      <c r="Q1852">
        <v>954</v>
      </c>
      <c r="R1852" s="122">
        <v>2928</v>
      </c>
      <c r="S1852" s="122">
        <v>2662</v>
      </c>
      <c r="T1852">
        <v>0</v>
      </c>
      <c r="U1852">
        <v>0</v>
      </c>
      <c r="V1852" s="122">
        <v>9633</v>
      </c>
      <c r="W1852" s="122">
        <f t="shared" si="58"/>
        <v>9634</v>
      </c>
      <c r="X1852" s="122">
        <f t="shared" si="59"/>
        <v>13001</v>
      </c>
    </row>
    <row r="1853" spans="2:24">
      <c r="B1853" t="s">
        <v>381</v>
      </c>
      <c r="C1853" t="s">
        <v>52</v>
      </c>
      <c r="D1853" t="s">
        <v>407</v>
      </c>
      <c r="E1853" t="s">
        <v>407</v>
      </c>
      <c r="F1853">
        <v>5</v>
      </c>
      <c r="G1853">
        <v>457</v>
      </c>
      <c r="H1853">
        <v>605</v>
      </c>
      <c r="I1853" s="122">
        <v>21680</v>
      </c>
      <c r="J1853" s="122">
        <v>19709</v>
      </c>
      <c r="K1853">
        <v>79</v>
      </c>
      <c r="L1853" s="122">
        <v>1760</v>
      </c>
      <c r="M1853">
        <v>652</v>
      </c>
      <c r="N1853" s="122">
        <v>10308</v>
      </c>
      <c r="O1853" s="122">
        <v>3818</v>
      </c>
      <c r="P1853" s="122">
        <v>2363</v>
      </c>
      <c r="Q1853">
        <v>875</v>
      </c>
      <c r="R1853" s="122">
        <v>19501</v>
      </c>
      <c r="S1853" s="122">
        <v>17728</v>
      </c>
      <c r="T1853">
        <v>0</v>
      </c>
      <c r="U1853">
        <v>0</v>
      </c>
      <c r="V1853" s="122">
        <v>42782</v>
      </c>
      <c r="W1853" s="122">
        <f t="shared" si="58"/>
        <v>42782</v>
      </c>
      <c r="X1853" s="122">
        <f t="shared" si="59"/>
        <v>55612</v>
      </c>
    </row>
    <row r="1854" spans="2:24">
      <c r="B1854" t="s">
        <v>381</v>
      </c>
      <c r="C1854" t="s">
        <v>54</v>
      </c>
      <c r="D1854" t="s">
        <v>137</v>
      </c>
      <c r="E1854" t="s">
        <v>137</v>
      </c>
      <c r="F1854">
        <v>4</v>
      </c>
      <c r="G1854">
        <v>373</v>
      </c>
      <c r="H1854">
        <v>550</v>
      </c>
      <c r="I1854" s="122">
        <v>15314</v>
      </c>
      <c r="J1854" s="122">
        <v>5672</v>
      </c>
      <c r="K1854">
        <v>100</v>
      </c>
      <c r="L1854" s="122">
        <v>2052</v>
      </c>
      <c r="M1854">
        <v>760</v>
      </c>
      <c r="N1854" s="122">
        <v>6322</v>
      </c>
      <c r="O1854" s="122">
        <v>2342</v>
      </c>
      <c r="P1854">
        <v>0</v>
      </c>
      <c r="Q1854">
        <v>0</v>
      </c>
      <c r="R1854" s="122">
        <v>27804</v>
      </c>
      <c r="S1854" s="122">
        <v>10298</v>
      </c>
      <c r="T1854">
        <v>0</v>
      </c>
      <c r="U1854">
        <v>0</v>
      </c>
      <c r="V1854" s="122">
        <v>19071</v>
      </c>
      <c r="W1854" s="122">
        <f t="shared" si="58"/>
        <v>19072</v>
      </c>
      <c r="X1854" s="122">
        <f t="shared" si="59"/>
        <v>51492</v>
      </c>
    </row>
    <row r="1855" spans="2:24">
      <c r="B1855" t="s">
        <v>381</v>
      </c>
      <c r="C1855" t="s">
        <v>54</v>
      </c>
      <c r="D1855" t="s">
        <v>407</v>
      </c>
      <c r="E1855" t="s">
        <v>407</v>
      </c>
      <c r="F1855">
        <v>14</v>
      </c>
      <c r="G1855" s="122">
        <v>1435</v>
      </c>
      <c r="H1855" s="122">
        <v>1936</v>
      </c>
      <c r="I1855" s="122">
        <v>76619</v>
      </c>
      <c r="J1855" s="122">
        <v>69654</v>
      </c>
      <c r="K1855">
        <v>78</v>
      </c>
      <c r="L1855" s="122">
        <v>11859</v>
      </c>
      <c r="M1855" s="122">
        <v>5100</v>
      </c>
      <c r="N1855" s="122">
        <v>27719</v>
      </c>
      <c r="O1855" s="122">
        <v>10266</v>
      </c>
      <c r="P1855" s="122">
        <v>6615</v>
      </c>
      <c r="Q1855" s="122">
        <v>2450</v>
      </c>
      <c r="R1855" s="122">
        <v>69930</v>
      </c>
      <c r="S1855" s="122">
        <v>63573</v>
      </c>
      <c r="T1855" s="122">
        <v>5455</v>
      </c>
      <c r="U1855" s="122">
        <v>2020</v>
      </c>
      <c r="V1855" s="122">
        <v>153064</v>
      </c>
      <c r="W1855" s="122">
        <f t="shared" si="58"/>
        <v>153063</v>
      </c>
      <c r="X1855" s="122">
        <f t="shared" si="59"/>
        <v>198197</v>
      </c>
    </row>
    <row r="1856" spans="2:24">
      <c r="B1856" t="s">
        <v>381</v>
      </c>
      <c r="C1856" t="s">
        <v>56</v>
      </c>
      <c r="D1856" t="s">
        <v>405</v>
      </c>
      <c r="E1856" t="s">
        <v>405</v>
      </c>
      <c r="F1856">
        <v>18</v>
      </c>
      <c r="G1856" s="122">
        <v>1371</v>
      </c>
      <c r="H1856" s="122">
        <v>3508</v>
      </c>
      <c r="I1856" s="122">
        <v>130958</v>
      </c>
      <c r="J1856" s="122">
        <v>119053</v>
      </c>
      <c r="K1856">
        <v>78</v>
      </c>
      <c r="L1856" s="122">
        <v>25314</v>
      </c>
      <c r="M1856" s="122">
        <v>17644</v>
      </c>
      <c r="N1856" s="122">
        <v>30308</v>
      </c>
      <c r="O1856" s="122">
        <v>11225</v>
      </c>
      <c r="P1856" s="122">
        <v>8141</v>
      </c>
      <c r="Q1856" s="122">
        <v>3015</v>
      </c>
      <c r="R1856" s="122">
        <v>67352</v>
      </c>
      <c r="S1856" s="122">
        <v>61229</v>
      </c>
      <c r="T1856" s="122">
        <v>4088</v>
      </c>
      <c r="U1856" s="122">
        <v>1514</v>
      </c>
      <c r="V1856" s="122">
        <v>213681</v>
      </c>
      <c r="W1856" s="122">
        <f t="shared" si="58"/>
        <v>213680</v>
      </c>
      <c r="X1856" s="122">
        <f t="shared" si="59"/>
        <v>266161</v>
      </c>
    </row>
    <row r="1857" spans="2:24">
      <c r="B1857" t="s">
        <v>381</v>
      </c>
      <c r="C1857" t="s">
        <v>56</v>
      </c>
      <c r="D1857" t="s">
        <v>137</v>
      </c>
      <c r="E1857" t="s">
        <v>137</v>
      </c>
      <c r="F1857">
        <v>81</v>
      </c>
      <c r="G1857" s="122">
        <v>6270</v>
      </c>
      <c r="H1857" s="122">
        <v>16735</v>
      </c>
      <c r="I1857" s="122">
        <v>522909</v>
      </c>
      <c r="J1857" s="122">
        <v>193670</v>
      </c>
      <c r="K1857">
        <v>100</v>
      </c>
      <c r="L1857" s="122">
        <v>100252</v>
      </c>
      <c r="M1857" s="122">
        <v>37131</v>
      </c>
      <c r="N1857" s="122">
        <v>130048</v>
      </c>
      <c r="O1857" s="122">
        <v>48166</v>
      </c>
      <c r="P1857" s="122">
        <v>1377</v>
      </c>
      <c r="Q1857">
        <v>510</v>
      </c>
      <c r="R1857" s="122">
        <v>539237</v>
      </c>
      <c r="S1857" s="122">
        <v>199717</v>
      </c>
      <c r="T1857">
        <v>0</v>
      </c>
      <c r="U1857">
        <v>0</v>
      </c>
      <c r="V1857" s="122">
        <v>479194</v>
      </c>
      <c r="W1857" s="122">
        <f t="shared" si="58"/>
        <v>479194</v>
      </c>
      <c r="X1857" s="122">
        <f t="shared" si="59"/>
        <v>1293823</v>
      </c>
    </row>
    <row r="1858" spans="2:24">
      <c r="B1858" t="s">
        <v>381</v>
      </c>
      <c r="C1858" t="s">
        <v>56</v>
      </c>
      <c r="D1858" t="s">
        <v>406</v>
      </c>
      <c r="E1858" t="s">
        <v>406</v>
      </c>
      <c r="F1858">
        <v>24</v>
      </c>
      <c r="G1858" s="122">
        <v>3306</v>
      </c>
      <c r="H1858" s="122">
        <v>4768</v>
      </c>
      <c r="I1858" s="122">
        <v>356556</v>
      </c>
      <c r="J1858" s="122">
        <v>324142</v>
      </c>
      <c r="K1858">
        <v>83</v>
      </c>
      <c r="L1858" s="122">
        <v>69727</v>
      </c>
      <c r="M1858" s="122">
        <v>62208</v>
      </c>
      <c r="N1858" s="122">
        <v>66255</v>
      </c>
      <c r="O1858" s="122">
        <v>24539</v>
      </c>
      <c r="P1858" s="122">
        <v>15255</v>
      </c>
      <c r="Q1858" s="122">
        <v>5650</v>
      </c>
      <c r="R1858" s="122">
        <v>120186</v>
      </c>
      <c r="S1858" s="122">
        <v>109260</v>
      </c>
      <c r="T1858" s="122">
        <v>33571</v>
      </c>
      <c r="U1858" s="122">
        <v>12434</v>
      </c>
      <c r="V1858" s="122">
        <v>538233</v>
      </c>
      <c r="W1858" s="122">
        <f t="shared" si="58"/>
        <v>538233</v>
      </c>
      <c r="X1858" s="122">
        <f t="shared" si="59"/>
        <v>661550</v>
      </c>
    </row>
    <row r="1859" spans="2:24">
      <c r="B1859" t="s">
        <v>381</v>
      </c>
      <c r="C1859" t="s">
        <v>56</v>
      </c>
      <c r="D1859" t="s">
        <v>406</v>
      </c>
      <c r="E1859" t="s">
        <v>427</v>
      </c>
      <c r="F1859">
        <v>1</v>
      </c>
      <c r="G1859">
        <v>155</v>
      </c>
      <c r="H1859">
        <v>221</v>
      </c>
      <c r="I1859" s="122">
        <v>26450</v>
      </c>
      <c r="J1859" s="122">
        <v>24046</v>
      </c>
      <c r="K1859">
        <v>70</v>
      </c>
      <c r="L1859" s="122">
        <v>6515</v>
      </c>
      <c r="M1859" s="122">
        <v>5922</v>
      </c>
      <c r="N1859" s="122">
        <v>4813</v>
      </c>
      <c r="O1859" s="122">
        <v>1782</v>
      </c>
      <c r="P1859">
        <v>351</v>
      </c>
      <c r="Q1859">
        <v>130</v>
      </c>
      <c r="R1859" s="122">
        <v>8765</v>
      </c>
      <c r="S1859" s="122">
        <v>7968</v>
      </c>
      <c r="T1859">
        <v>0</v>
      </c>
      <c r="U1859">
        <v>0</v>
      </c>
      <c r="V1859" s="122">
        <v>39848</v>
      </c>
      <c r="W1859" s="122">
        <f t="shared" si="58"/>
        <v>39848</v>
      </c>
      <c r="X1859" s="122">
        <f t="shared" si="59"/>
        <v>46894</v>
      </c>
    </row>
    <row r="1860" spans="2:24">
      <c r="B1860" t="s">
        <v>381</v>
      </c>
      <c r="C1860" t="s">
        <v>56</v>
      </c>
      <c r="D1860" t="s">
        <v>407</v>
      </c>
      <c r="E1860" t="s">
        <v>407</v>
      </c>
      <c r="F1860">
        <v>40</v>
      </c>
      <c r="G1860" s="122">
        <v>3089</v>
      </c>
      <c r="H1860" s="122">
        <v>7058</v>
      </c>
      <c r="I1860" s="122">
        <v>249971</v>
      </c>
      <c r="J1860" s="122">
        <v>227246</v>
      </c>
      <c r="K1860">
        <v>77</v>
      </c>
      <c r="L1860" s="122">
        <v>32525</v>
      </c>
      <c r="M1860" s="122">
        <v>15707</v>
      </c>
      <c r="N1860" s="122">
        <v>64058</v>
      </c>
      <c r="O1860" s="122">
        <v>23725</v>
      </c>
      <c r="P1860" s="122">
        <v>18900</v>
      </c>
      <c r="Q1860" s="122">
        <v>7000</v>
      </c>
      <c r="R1860" s="122">
        <v>170045</v>
      </c>
      <c r="S1860" s="122">
        <v>154586</v>
      </c>
      <c r="T1860" s="122">
        <v>6086</v>
      </c>
      <c r="U1860" s="122">
        <v>2254</v>
      </c>
      <c r="V1860" s="122">
        <v>430519</v>
      </c>
      <c r="W1860" s="122">
        <f t="shared" si="58"/>
        <v>430518</v>
      </c>
      <c r="X1860" s="122">
        <f t="shared" si="59"/>
        <v>541585</v>
      </c>
    </row>
    <row r="1861" spans="2:24">
      <c r="B1861" t="s">
        <v>381</v>
      </c>
      <c r="C1861" t="s">
        <v>56</v>
      </c>
      <c r="D1861" t="s">
        <v>426</v>
      </c>
      <c r="E1861" t="s">
        <v>137</v>
      </c>
      <c r="F1861">
        <v>1</v>
      </c>
      <c r="G1861">
        <v>56</v>
      </c>
      <c r="H1861">
        <v>193</v>
      </c>
      <c r="I1861" s="122">
        <v>3592</v>
      </c>
      <c r="J1861" s="122">
        <v>3266</v>
      </c>
      <c r="K1861">
        <v>60</v>
      </c>
      <c r="L1861">
        <v>588</v>
      </c>
      <c r="M1861">
        <v>218</v>
      </c>
      <c r="N1861">
        <v>997</v>
      </c>
      <c r="O1861">
        <v>369</v>
      </c>
      <c r="P1861">
        <v>0</v>
      </c>
      <c r="Q1861">
        <v>0</v>
      </c>
      <c r="R1861" s="122">
        <v>5541</v>
      </c>
      <c r="S1861" s="122">
        <v>2052</v>
      </c>
      <c r="T1861">
        <v>0</v>
      </c>
      <c r="U1861">
        <v>0</v>
      </c>
      <c r="V1861" s="122">
        <v>5905</v>
      </c>
      <c r="W1861" s="122">
        <f t="shared" si="58"/>
        <v>5905</v>
      </c>
      <c r="X1861" s="122">
        <f t="shared" si="59"/>
        <v>10718</v>
      </c>
    </row>
    <row r="1862" spans="2:24">
      <c r="B1862" t="s">
        <v>381</v>
      </c>
      <c r="C1862" t="s">
        <v>56</v>
      </c>
      <c r="D1862" t="s">
        <v>408</v>
      </c>
      <c r="E1862" t="s">
        <v>408</v>
      </c>
      <c r="F1862">
        <v>1</v>
      </c>
      <c r="G1862">
        <v>88</v>
      </c>
      <c r="H1862">
        <v>185</v>
      </c>
      <c r="I1862" s="122">
        <v>9729</v>
      </c>
      <c r="J1862" s="122">
        <v>8844</v>
      </c>
      <c r="K1862">
        <v>93</v>
      </c>
      <c r="L1862">
        <v>0</v>
      </c>
      <c r="M1862">
        <v>0</v>
      </c>
      <c r="N1862" s="122">
        <v>1072</v>
      </c>
      <c r="O1862">
        <v>397</v>
      </c>
      <c r="P1862">
        <v>351</v>
      </c>
      <c r="Q1862">
        <v>130</v>
      </c>
      <c r="R1862" s="122">
        <v>2544</v>
      </c>
      <c r="S1862" s="122">
        <v>2313</v>
      </c>
      <c r="T1862" s="122">
        <v>2539</v>
      </c>
      <c r="U1862">
        <v>941</v>
      </c>
      <c r="V1862" s="122">
        <v>12625</v>
      </c>
      <c r="W1862" s="122">
        <f t="shared" si="58"/>
        <v>12625</v>
      </c>
      <c r="X1862" s="122">
        <f t="shared" si="59"/>
        <v>16235</v>
      </c>
    </row>
    <row r="1863" spans="2:24">
      <c r="B1863" t="s">
        <v>381</v>
      </c>
      <c r="C1863" t="s">
        <v>58</v>
      </c>
      <c r="F1863">
        <v>1</v>
      </c>
      <c r="G1863">
        <v>68</v>
      </c>
      <c r="H1863">
        <v>240</v>
      </c>
      <c r="J1863">
        <v>0</v>
      </c>
      <c r="M1863">
        <v>0</v>
      </c>
      <c r="N1863" s="122">
        <v>1381</v>
      </c>
      <c r="O1863">
        <v>512</v>
      </c>
      <c r="P1863">
        <v>621</v>
      </c>
      <c r="Q1863">
        <v>230</v>
      </c>
      <c r="S1863">
        <v>0</v>
      </c>
      <c r="T1863">
        <v>0</v>
      </c>
      <c r="U1863">
        <v>0</v>
      </c>
      <c r="V1863">
        <v>742</v>
      </c>
      <c r="W1863" s="122">
        <f t="shared" si="58"/>
        <v>742</v>
      </c>
      <c r="X1863" s="122">
        <f t="shared" si="59"/>
        <v>2002</v>
      </c>
    </row>
    <row r="1864" spans="2:24">
      <c r="B1864" t="s">
        <v>381</v>
      </c>
      <c r="C1864" t="s">
        <v>58</v>
      </c>
      <c r="D1864" t="s">
        <v>405</v>
      </c>
      <c r="E1864" t="s">
        <v>405</v>
      </c>
      <c r="F1864">
        <v>4</v>
      </c>
      <c r="G1864">
        <v>299</v>
      </c>
      <c r="H1864">
        <v>969</v>
      </c>
      <c r="I1864" s="122">
        <v>32481</v>
      </c>
      <c r="J1864" s="122">
        <v>29528</v>
      </c>
      <c r="K1864">
        <v>78</v>
      </c>
      <c r="L1864" s="122">
        <v>13374</v>
      </c>
      <c r="M1864" s="122">
        <v>12158</v>
      </c>
      <c r="N1864" s="122">
        <v>6545</v>
      </c>
      <c r="O1864" s="122">
        <v>2424</v>
      </c>
      <c r="P1864" s="122">
        <v>1769</v>
      </c>
      <c r="Q1864">
        <v>655</v>
      </c>
      <c r="R1864" s="122">
        <v>18272</v>
      </c>
      <c r="S1864" s="122">
        <v>16611</v>
      </c>
      <c r="T1864">
        <v>0</v>
      </c>
      <c r="U1864">
        <v>0</v>
      </c>
      <c r="V1864" s="122">
        <v>61376</v>
      </c>
      <c r="W1864" s="122">
        <f t="shared" si="58"/>
        <v>61376</v>
      </c>
      <c r="X1864" s="122">
        <f t="shared" si="59"/>
        <v>72441</v>
      </c>
    </row>
    <row r="1865" spans="2:24">
      <c r="B1865" t="s">
        <v>381</v>
      </c>
      <c r="C1865" t="s">
        <v>58</v>
      </c>
      <c r="D1865" t="s">
        <v>137</v>
      </c>
      <c r="E1865" t="s">
        <v>137</v>
      </c>
      <c r="F1865">
        <v>133</v>
      </c>
      <c r="G1865" s="122">
        <v>9682</v>
      </c>
      <c r="H1865" s="122">
        <v>35100</v>
      </c>
      <c r="I1865" s="122">
        <v>1377189</v>
      </c>
      <c r="J1865" s="122">
        <v>510070</v>
      </c>
      <c r="K1865">
        <v>100</v>
      </c>
      <c r="L1865" s="122">
        <v>128862</v>
      </c>
      <c r="M1865" s="122">
        <v>61147</v>
      </c>
      <c r="N1865" s="122">
        <v>194015</v>
      </c>
      <c r="O1865" s="122">
        <v>71857</v>
      </c>
      <c r="P1865" s="122">
        <v>1053</v>
      </c>
      <c r="Q1865">
        <v>390</v>
      </c>
      <c r="R1865" s="122">
        <v>858985</v>
      </c>
      <c r="S1865" s="122">
        <v>318142</v>
      </c>
      <c r="T1865">
        <v>0</v>
      </c>
      <c r="U1865">
        <v>0</v>
      </c>
      <c r="V1865" s="122">
        <v>961607</v>
      </c>
      <c r="W1865" s="122">
        <f t="shared" si="58"/>
        <v>961606</v>
      </c>
      <c r="X1865" s="122">
        <f t="shared" si="59"/>
        <v>2560104</v>
      </c>
    </row>
    <row r="1866" spans="2:24">
      <c r="B1866" t="s">
        <v>381</v>
      </c>
      <c r="C1866" t="s">
        <v>58</v>
      </c>
      <c r="D1866" t="s">
        <v>406</v>
      </c>
      <c r="E1866" t="s">
        <v>137</v>
      </c>
      <c r="F1866">
        <v>2</v>
      </c>
      <c r="G1866">
        <v>112</v>
      </c>
      <c r="H1866">
        <v>526</v>
      </c>
      <c r="I1866" s="122">
        <v>17907</v>
      </c>
      <c r="J1866" s="122">
        <v>16279</v>
      </c>
      <c r="K1866">
        <v>86</v>
      </c>
      <c r="L1866">
        <v>0</v>
      </c>
      <c r="M1866">
        <v>0</v>
      </c>
      <c r="N1866" s="122">
        <v>2623</v>
      </c>
      <c r="O1866">
        <v>971</v>
      </c>
      <c r="P1866" s="122">
        <v>1242</v>
      </c>
      <c r="Q1866">
        <v>460</v>
      </c>
      <c r="R1866" s="122">
        <v>7821</v>
      </c>
      <c r="S1866" s="122">
        <v>2897</v>
      </c>
      <c r="T1866">
        <v>0</v>
      </c>
      <c r="U1866">
        <v>0</v>
      </c>
      <c r="V1866" s="122">
        <v>20608</v>
      </c>
      <c r="W1866" s="122">
        <f t="shared" si="58"/>
        <v>20607</v>
      </c>
      <c r="X1866" s="122">
        <f t="shared" si="59"/>
        <v>29593</v>
      </c>
    </row>
    <row r="1867" spans="2:24">
      <c r="B1867" t="s">
        <v>381</v>
      </c>
      <c r="C1867" t="s">
        <v>58</v>
      </c>
      <c r="D1867" t="s">
        <v>406</v>
      </c>
      <c r="E1867" t="s">
        <v>406</v>
      </c>
      <c r="F1867">
        <v>11</v>
      </c>
      <c r="G1867" s="122">
        <v>1158</v>
      </c>
      <c r="H1867" s="122">
        <v>2899</v>
      </c>
      <c r="I1867" s="122">
        <v>164262</v>
      </c>
      <c r="J1867" s="122">
        <v>149330</v>
      </c>
      <c r="K1867">
        <v>84</v>
      </c>
      <c r="L1867" s="122">
        <v>33004</v>
      </c>
      <c r="M1867" s="122">
        <v>29348</v>
      </c>
      <c r="N1867" s="122">
        <v>25103</v>
      </c>
      <c r="O1867" s="122">
        <v>9297</v>
      </c>
      <c r="P1867" s="122">
        <v>7547</v>
      </c>
      <c r="Q1867" s="122">
        <v>2795</v>
      </c>
      <c r="R1867" s="122">
        <v>43400</v>
      </c>
      <c r="S1867" s="122">
        <v>39454</v>
      </c>
      <c r="T1867" s="122">
        <v>27461</v>
      </c>
      <c r="U1867" s="122">
        <v>10171</v>
      </c>
      <c r="V1867" s="122">
        <v>240395</v>
      </c>
      <c r="W1867" s="122">
        <f t="shared" si="58"/>
        <v>240395</v>
      </c>
      <c r="X1867" s="122">
        <f t="shared" si="59"/>
        <v>300777</v>
      </c>
    </row>
    <row r="1868" spans="2:24">
      <c r="B1868" t="s">
        <v>381</v>
      </c>
      <c r="C1868" t="s">
        <v>58</v>
      </c>
      <c r="D1868" t="s">
        <v>407</v>
      </c>
      <c r="E1868" t="s">
        <v>407</v>
      </c>
      <c r="F1868">
        <v>4</v>
      </c>
      <c r="G1868">
        <v>294</v>
      </c>
      <c r="H1868">
        <v>982</v>
      </c>
      <c r="I1868" s="122">
        <v>36670</v>
      </c>
      <c r="J1868" s="122">
        <v>33336</v>
      </c>
      <c r="K1868">
        <v>76</v>
      </c>
      <c r="L1868" s="122">
        <v>5836</v>
      </c>
      <c r="M1868" s="122">
        <v>4208</v>
      </c>
      <c r="N1868" s="122">
        <v>6254</v>
      </c>
      <c r="O1868" s="122">
        <v>2316</v>
      </c>
      <c r="P1868" s="122">
        <v>1890</v>
      </c>
      <c r="Q1868">
        <v>700</v>
      </c>
      <c r="R1868" s="122">
        <v>18673</v>
      </c>
      <c r="S1868" s="122">
        <v>16976</v>
      </c>
      <c r="T1868" s="122">
        <v>2420</v>
      </c>
      <c r="U1868">
        <v>896</v>
      </c>
      <c r="V1868" s="122">
        <v>58432</v>
      </c>
      <c r="W1868" s="122">
        <f t="shared" si="58"/>
        <v>58432</v>
      </c>
      <c r="X1868" s="122">
        <f t="shared" si="59"/>
        <v>71743</v>
      </c>
    </row>
    <row r="1869" spans="2:24">
      <c r="B1869" t="s">
        <v>381</v>
      </c>
      <c r="C1869" t="s">
        <v>60</v>
      </c>
      <c r="D1869" t="s">
        <v>137</v>
      </c>
      <c r="E1869" t="s">
        <v>137</v>
      </c>
      <c r="F1869">
        <v>69</v>
      </c>
      <c r="G1869" s="122">
        <v>4519</v>
      </c>
      <c r="H1869" s="122">
        <v>22879</v>
      </c>
      <c r="I1869" s="122">
        <v>837062</v>
      </c>
      <c r="J1869" s="122">
        <v>310023</v>
      </c>
      <c r="K1869">
        <v>100</v>
      </c>
      <c r="L1869" s="122">
        <v>99381</v>
      </c>
      <c r="M1869" s="122">
        <v>44331</v>
      </c>
      <c r="N1869" s="122">
        <v>99685</v>
      </c>
      <c r="O1869" s="122">
        <v>36920</v>
      </c>
      <c r="P1869" s="122">
        <v>1053</v>
      </c>
      <c r="Q1869">
        <v>390</v>
      </c>
      <c r="R1869" s="122">
        <v>458223</v>
      </c>
      <c r="S1869" s="122">
        <v>169712</v>
      </c>
      <c r="T1869" s="122">
        <v>3177</v>
      </c>
      <c r="U1869" s="122">
        <v>1177</v>
      </c>
      <c r="V1869" s="122">
        <v>562553</v>
      </c>
      <c r="W1869" s="122">
        <f t="shared" si="58"/>
        <v>562553</v>
      </c>
      <c r="X1869" s="122">
        <f t="shared" si="59"/>
        <v>1498581</v>
      </c>
    </row>
    <row r="1870" spans="2:24">
      <c r="B1870" t="s">
        <v>381</v>
      </c>
      <c r="C1870" t="s">
        <v>60</v>
      </c>
      <c r="D1870" t="s">
        <v>137</v>
      </c>
      <c r="E1870" t="s">
        <v>426</v>
      </c>
      <c r="F1870">
        <v>1</v>
      </c>
      <c r="G1870">
        <v>56</v>
      </c>
      <c r="H1870">
        <v>361</v>
      </c>
      <c r="I1870" s="122">
        <v>14941</v>
      </c>
      <c r="J1870" s="122">
        <v>5534</v>
      </c>
      <c r="K1870">
        <v>100</v>
      </c>
      <c r="L1870" s="122">
        <v>1660</v>
      </c>
      <c r="M1870">
        <v>615</v>
      </c>
      <c r="N1870" s="122">
        <v>1353</v>
      </c>
      <c r="O1870">
        <v>501</v>
      </c>
      <c r="P1870">
        <v>0</v>
      </c>
      <c r="Q1870">
        <v>0</v>
      </c>
      <c r="R1870" s="122">
        <v>2104</v>
      </c>
      <c r="S1870" s="122">
        <v>1913</v>
      </c>
      <c r="T1870">
        <v>0</v>
      </c>
      <c r="U1870">
        <v>0</v>
      </c>
      <c r="V1870" s="122">
        <v>8562</v>
      </c>
      <c r="W1870" s="122">
        <f t="shared" si="58"/>
        <v>8563</v>
      </c>
      <c r="X1870" s="122">
        <f t="shared" si="59"/>
        <v>20058</v>
      </c>
    </row>
    <row r="1871" spans="2:24">
      <c r="B1871" t="s">
        <v>381</v>
      </c>
      <c r="C1871" t="s">
        <v>60</v>
      </c>
      <c r="D1871" t="s">
        <v>406</v>
      </c>
      <c r="E1871" t="s">
        <v>137</v>
      </c>
      <c r="F1871">
        <v>1</v>
      </c>
      <c r="G1871">
        <v>45</v>
      </c>
      <c r="H1871">
        <v>304</v>
      </c>
      <c r="I1871" s="122">
        <v>8504</v>
      </c>
      <c r="J1871" s="122">
        <v>7731</v>
      </c>
      <c r="K1871">
        <v>79</v>
      </c>
      <c r="L1871">
        <v>0</v>
      </c>
      <c r="M1871">
        <v>0</v>
      </c>
      <c r="N1871">
        <v>830</v>
      </c>
      <c r="O1871">
        <v>307</v>
      </c>
      <c r="P1871">
        <v>621</v>
      </c>
      <c r="Q1871">
        <v>230</v>
      </c>
      <c r="R1871" s="122">
        <v>3854</v>
      </c>
      <c r="S1871" s="122">
        <v>1427</v>
      </c>
      <c r="T1871">
        <v>0</v>
      </c>
      <c r="U1871">
        <v>0</v>
      </c>
      <c r="V1871" s="122">
        <v>9696</v>
      </c>
      <c r="W1871" s="122">
        <f t="shared" si="58"/>
        <v>9695</v>
      </c>
      <c r="X1871" s="122">
        <f t="shared" si="59"/>
        <v>13809</v>
      </c>
    </row>
    <row r="1872" spans="2:24">
      <c r="B1872" t="s">
        <v>381</v>
      </c>
      <c r="C1872" t="s">
        <v>60</v>
      </c>
      <c r="D1872" t="s">
        <v>406</v>
      </c>
      <c r="E1872" t="s">
        <v>406</v>
      </c>
      <c r="F1872">
        <v>13</v>
      </c>
      <c r="G1872" s="122">
        <v>1144</v>
      </c>
      <c r="H1872" s="122">
        <v>4431</v>
      </c>
      <c r="I1872" s="122">
        <v>244416</v>
      </c>
      <c r="J1872" s="122">
        <v>222197</v>
      </c>
      <c r="K1872">
        <v>82</v>
      </c>
      <c r="L1872" s="122">
        <v>38016</v>
      </c>
      <c r="M1872" s="122">
        <v>38661</v>
      </c>
      <c r="N1872" s="122">
        <v>21747</v>
      </c>
      <c r="O1872" s="122">
        <v>8054</v>
      </c>
      <c r="P1872" s="122">
        <v>8424</v>
      </c>
      <c r="Q1872" s="122">
        <v>3120</v>
      </c>
      <c r="R1872" s="122">
        <v>52053</v>
      </c>
      <c r="S1872" s="122">
        <v>47321</v>
      </c>
      <c r="T1872" s="122">
        <v>21161</v>
      </c>
      <c r="U1872" s="122">
        <v>7837</v>
      </c>
      <c r="V1872" s="122">
        <v>327190</v>
      </c>
      <c r="W1872" s="122">
        <f t="shared" si="58"/>
        <v>327190</v>
      </c>
      <c r="X1872" s="122">
        <f t="shared" si="59"/>
        <v>385817</v>
      </c>
    </row>
    <row r="1873" spans="2:24">
      <c r="B1873" t="s">
        <v>381</v>
      </c>
      <c r="C1873" t="s">
        <v>60</v>
      </c>
      <c r="D1873" t="s">
        <v>426</v>
      </c>
      <c r="E1873" t="s">
        <v>426</v>
      </c>
      <c r="F1873">
        <v>2</v>
      </c>
      <c r="G1873">
        <v>228</v>
      </c>
      <c r="H1873">
        <v>670</v>
      </c>
      <c r="I1873" s="122">
        <v>48955</v>
      </c>
      <c r="J1873" s="122">
        <v>44504</v>
      </c>
      <c r="K1873">
        <v>65</v>
      </c>
      <c r="L1873" s="122">
        <v>5893</v>
      </c>
      <c r="M1873" s="122">
        <v>5357</v>
      </c>
      <c r="N1873" s="122">
        <v>3790</v>
      </c>
      <c r="O1873" s="122">
        <v>1404</v>
      </c>
      <c r="P1873" s="122">
        <v>1323</v>
      </c>
      <c r="Q1873">
        <v>490</v>
      </c>
      <c r="R1873" s="122">
        <v>9407</v>
      </c>
      <c r="S1873" s="122">
        <v>8552</v>
      </c>
      <c r="T1873" s="122">
        <v>5218</v>
      </c>
      <c r="U1873" s="122">
        <v>1933</v>
      </c>
      <c r="V1873" s="122">
        <v>62239</v>
      </c>
      <c r="W1873" s="122">
        <f t="shared" si="58"/>
        <v>62240</v>
      </c>
      <c r="X1873" s="122">
        <f t="shared" si="59"/>
        <v>74586</v>
      </c>
    </row>
    <row r="1874" spans="2:24">
      <c r="B1874" t="s">
        <v>381</v>
      </c>
      <c r="C1874" t="s">
        <v>62</v>
      </c>
      <c r="D1874" t="s">
        <v>137</v>
      </c>
      <c r="E1874" t="s">
        <v>137</v>
      </c>
      <c r="F1874">
        <v>21</v>
      </c>
      <c r="G1874" s="122">
        <v>1233</v>
      </c>
      <c r="H1874" s="122">
        <v>8589</v>
      </c>
      <c r="I1874" s="122">
        <v>321213</v>
      </c>
      <c r="J1874" s="122">
        <v>118968</v>
      </c>
      <c r="K1874">
        <v>100</v>
      </c>
      <c r="L1874" s="122">
        <v>35256</v>
      </c>
      <c r="M1874" s="122">
        <v>16013</v>
      </c>
      <c r="N1874" s="122">
        <v>25927</v>
      </c>
      <c r="O1874" s="122">
        <v>9603</v>
      </c>
      <c r="P1874">
        <v>199</v>
      </c>
      <c r="Q1874">
        <v>74</v>
      </c>
      <c r="R1874" s="122">
        <v>124504</v>
      </c>
      <c r="S1874" s="122">
        <v>46113</v>
      </c>
      <c r="T1874">
        <v>0</v>
      </c>
      <c r="U1874">
        <v>0</v>
      </c>
      <c r="V1874" s="122">
        <v>190770</v>
      </c>
      <c r="W1874" s="122">
        <f t="shared" si="58"/>
        <v>190771</v>
      </c>
      <c r="X1874" s="122">
        <f t="shared" si="59"/>
        <v>507099</v>
      </c>
    </row>
    <row r="1875" spans="2:24">
      <c r="B1875" t="s">
        <v>381</v>
      </c>
      <c r="C1875" t="s">
        <v>62</v>
      </c>
      <c r="D1875" t="s">
        <v>406</v>
      </c>
      <c r="E1875" t="s">
        <v>406</v>
      </c>
      <c r="F1875">
        <v>5</v>
      </c>
      <c r="G1875">
        <v>574</v>
      </c>
      <c r="H1875" s="122">
        <v>2117</v>
      </c>
      <c r="I1875" s="122">
        <v>167754</v>
      </c>
      <c r="J1875" s="122">
        <v>152504</v>
      </c>
      <c r="K1875">
        <v>79</v>
      </c>
      <c r="L1875" s="122">
        <v>22786</v>
      </c>
      <c r="M1875" s="122">
        <v>20714</v>
      </c>
      <c r="N1875" s="122">
        <v>12078</v>
      </c>
      <c r="O1875" s="122">
        <v>4473</v>
      </c>
      <c r="P1875" s="122">
        <v>3105</v>
      </c>
      <c r="Q1875" s="122">
        <v>1150</v>
      </c>
      <c r="R1875" s="122">
        <v>24311</v>
      </c>
      <c r="S1875" s="122">
        <v>22101</v>
      </c>
      <c r="T1875" s="122">
        <v>11319</v>
      </c>
      <c r="U1875" s="122">
        <v>4192</v>
      </c>
      <c r="V1875" s="122">
        <v>205134</v>
      </c>
      <c r="W1875" s="122">
        <f t="shared" si="58"/>
        <v>205134</v>
      </c>
      <c r="X1875" s="122">
        <f t="shared" si="59"/>
        <v>241353</v>
      </c>
    </row>
    <row r="1876" spans="2:24">
      <c r="B1876" t="s">
        <v>381</v>
      </c>
      <c r="C1876" t="s">
        <v>64</v>
      </c>
      <c r="D1876" t="s">
        <v>137</v>
      </c>
      <c r="E1876" t="s">
        <v>137</v>
      </c>
      <c r="F1876">
        <v>27</v>
      </c>
      <c r="G1876" s="122">
        <v>1451</v>
      </c>
      <c r="H1876" s="122">
        <v>16145</v>
      </c>
      <c r="I1876" s="122">
        <v>653836</v>
      </c>
      <c r="J1876" s="122">
        <v>242161</v>
      </c>
      <c r="K1876">
        <v>100</v>
      </c>
      <c r="L1876" s="122">
        <v>57000</v>
      </c>
      <c r="M1876" s="122">
        <v>31770</v>
      </c>
      <c r="N1876" s="122">
        <v>30163</v>
      </c>
      <c r="O1876" s="122">
        <v>11171</v>
      </c>
      <c r="P1876">
        <v>0</v>
      </c>
      <c r="Q1876">
        <v>0</v>
      </c>
      <c r="R1876" s="122">
        <v>135413</v>
      </c>
      <c r="S1876" s="122">
        <v>50153</v>
      </c>
      <c r="T1876">
        <v>0</v>
      </c>
      <c r="U1876">
        <v>0</v>
      </c>
      <c r="V1876" s="122">
        <v>335256</v>
      </c>
      <c r="W1876" s="122">
        <f t="shared" si="58"/>
        <v>335255</v>
      </c>
      <c r="X1876" s="122">
        <f t="shared" si="59"/>
        <v>876412</v>
      </c>
    </row>
    <row r="1877" spans="2:24">
      <c r="B1877" t="s">
        <v>381</v>
      </c>
      <c r="C1877" t="s">
        <v>64</v>
      </c>
      <c r="D1877" t="s">
        <v>406</v>
      </c>
      <c r="E1877" t="s">
        <v>406</v>
      </c>
      <c r="F1877">
        <v>8</v>
      </c>
      <c r="G1877">
        <v>771</v>
      </c>
      <c r="H1877" s="122">
        <v>4076</v>
      </c>
      <c r="I1877" s="122">
        <v>251201</v>
      </c>
      <c r="J1877" s="122">
        <v>228365</v>
      </c>
      <c r="K1877">
        <v>78</v>
      </c>
      <c r="L1877" s="122">
        <v>62733</v>
      </c>
      <c r="M1877" s="122">
        <v>52194</v>
      </c>
      <c r="N1877" s="122">
        <v>17549</v>
      </c>
      <c r="O1877" s="122">
        <v>6500</v>
      </c>
      <c r="P1877" s="122">
        <v>4968</v>
      </c>
      <c r="Q1877" s="122">
        <v>1840</v>
      </c>
      <c r="R1877" s="122">
        <v>36576</v>
      </c>
      <c r="S1877" s="122">
        <v>33251</v>
      </c>
      <c r="T1877" s="122">
        <v>23562</v>
      </c>
      <c r="U1877" s="122">
        <v>8727</v>
      </c>
      <c r="V1877" s="122">
        <v>330875</v>
      </c>
      <c r="W1877" s="122">
        <f t="shared" si="58"/>
        <v>330877</v>
      </c>
      <c r="X1877" s="122">
        <f t="shared" si="59"/>
        <v>396589</v>
      </c>
    </row>
    <row r="1878" spans="2:24">
      <c r="B1878" t="s">
        <v>381</v>
      </c>
      <c r="C1878" t="s">
        <v>64</v>
      </c>
      <c r="D1878" t="s">
        <v>427</v>
      </c>
      <c r="E1878" t="s">
        <v>427</v>
      </c>
      <c r="F1878">
        <v>1</v>
      </c>
      <c r="G1878">
        <v>88</v>
      </c>
      <c r="H1878">
        <v>614</v>
      </c>
      <c r="I1878" s="122">
        <v>35572</v>
      </c>
      <c r="J1878" s="122">
        <v>32338</v>
      </c>
      <c r="K1878">
        <v>55</v>
      </c>
      <c r="L1878" s="122">
        <v>7246</v>
      </c>
      <c r="M1878" s="122">
        <v>6587</v>
      </c>
      <c r="N1878" s="122">
        <v>1539</v>
      </c>
      <c r="O1878">
        <v>570</v>
      </c>
      <c r="P1878">
        <v>351</v>
      </c>
      <c r="Q1878">
        <v>130</v>
      </c>
      <c r="R1878" s="122">
        <v>9132</v>
      </c>
      <c r="S1878" s="122">
        <v>8302</v>
      </c>
      <c r="T1878">
        <v>0</v>
      </c>
      <c r="U1878">
        <v>0</v>
      </c>
      <c r="V1878" s="122">
        <v>47927</v>
      </c>
      <c r="W1878" s="122">
        <f t="shared" si="58"/>
        <v>47927</v>
      </c>
      <c r="X1878" s="122">
        <f t="shared" si="59"/>
        <v>53840</v>
      </c>
    </row>
    <row r="1879" spans="2:24">
      <c r="B1879" t="s">
        <v>381</v>
      </c>
      <c r="C1879" t="s">
        <v>64</v>
      </c>
      <c r="D1879" t="s">
        <v>426</v>
      </c>
      <c r="E1879" t="s">
        <v>137</v>
      </c>
      <c r="F1879">
        <v>3</v>
      </c>
      <c r="G1879">
        <v>165</v>
      </c>
      <c r="H1879" s="122">
        <v>3420</v>
      </c>
      <c r="I1879" s="122">
        <v>160582</v>
      </c>
      <c r="J1879" s="122">
        <v>145983</v>
      </c>
      <c r="K1879">
        <v>30</v>
      </c>
      <c r="L1879" s="122">
        <v>15534</v>
      </c>
      <c r="M1879" s="122">
        <v>9075</v>
      </c>
      <c r="N1879" s="122">
        <v>3920</v>
      </c>
      <c r="O1879" s="122">
        <v>1452</v>
      </c>
      <c r="P1879">
        <v>0</v>
      </c>
      <c r="Q1879">
        <v>0</v>
      </c>
      <c r="R1879" s="122">
        <v>11249</v>
      </c>
      <c r="S1879" s="122">
        <v>4166</v>
      </c>
      <c r="T1879">
        <v>0</v>
      </c>
      <c r="U1879">
        <v>0</v>
      </c>
      <c r="V1879" s="122">
        <v>160676</v>
      </c>
      <c r="W1879" s="122">
        <f t="shared" si="58"/>
        <v>160676</v>
      </c>
      <c r="X1879" s="122">
        <f t="shared" si="59"/>
        <v>191285</v>
      </c>
    </row>
    <row r="1880" spans="2:24">
      <c r="B1880" t="s">
        <v>381</v>
      </c>
      <c r="C1880" t="s">
        <v>64</v>
      </c>
      <c r="D1880" t="s">
        <v>426</v>
      </c>
      <c r="E1880" t="s">
        <v>426</v>
      </c>
      <c r="F1880">
        <v>5</v>
      </c>
      <c r="G1880">
        <v>357</v>
      </c>
      <c r="H1880" s="122">
        <v>3675</v>
      </c>
      <c r="I1880" s="122">
        <v>179691</v>
      </c>
      <c r="J1880" s="122">
        <v>163356</v>
      </c>
      <c r="K1880">
        <v>61</v>
      </c>
      <c r="L1880" s="122">
        <v>24131</v>
      </c>
      <c r="M1880" s="122">
        <v>21938</v>
      </c>
      <c r="N1880" s="122">
        <v>7796</v>
      </c>
      <c r="O1880" s="122">
        <v>2887</v>
      </c>
      <c r="P1880" s="122">
        <v>1404</v>
      </c>
      <c r="Q1880">
        <v>520</v>
      </c>
      <c r="R1880" s="122">
        <v>20300</v>
      </c>
      <c r="S1880" s="122">
        <v>18455</v>
      </c>
      <c r="T1880" s="122">
        <v>8696</v>
      </c>
      <c r="U1880" s="122">
        <v>3221</v>
      </c>
      <c r="V1880" s="122">
        <v>210376</v>
      </c>
      <c r="W1880" s="122">
        <f t="shared" si="58"/>
        <v>210377</v>
      </c>
      <c r="X1880" s="122">
        <f t="shared" si="59"/>
        <v>242018</v>
      </c>
    </row>
    <row r="1881" spans="2:24">
      <c r="B1881" t="s">
        <v>382</v>
      </c>
      <c r="C1881" t="s">
        <v>48</v>
      </c>
      <c r="D1881" t="s">
        <v>137</v>
      </c>
      <c r="E1881" t="s">
        <v>137</v>
      </c>
      <c r="F1881">
        <v>9</v>
      </c>
      <c r="G1881">
        <v>683</v>
      </c>
      <c r="H1881">
        <v>498</v>
      </c>
      <c r="I1881" s="122">
        <v>1433</v>
      </c>
      <c r="J1881">
        <v>531</v>
      </c>
      <c r="K1881">
        <v>524</v>
      </c>
      <c r="L1881">
        <v>0</v>
      </c>
      <c r="M1881">
        <v>0</v>
      </c>
      <c r="N1881" s="122">
        <v>8326</v>
      </c>
      <c r="O1881" s="122">
        <v>3084</v>
      </c>
      <c r="P1881" s="122">
        <v>4563</v>
      </c>
      <c r="Q1881" s="122">
        <v>1690</v>
      </c>
      <c r="R1881" s="122">
        <v>23428</v>
      </c>
      <c r="S1881" s="122">
        <v>8677</v>
      </c>
      <c r="T1881">
        <v>0</v>
      </c>
      <c r="U1881">
        <v>0</v>
      </c>
      <c r="V1881" s="122">
        <v>13981</v>
      </c>
      <c r="W1881" s="122">
        <f t="shared" si="58"/>
        <v>13982</v>
      </c>
      <c r="X1881" s="122">
        <f t="shared" si="59"/>
        <v>37750</v>
      </c>
    </row>
    <row r="1882" spans="2:24">
      <c r="B1882" t="s">
        <v>382</v>
      </c>
      <c r="C1882" t="s">
        <v>50</v>
      </c>
      <c r="D1882" t="s">
        <v>405</v>
      </c>
      <c r="E1882" t="s">
        <v>405</v>
      </c>
      <c r="F1882">
        <v>8</v>
      </c>
      <c r="G1882">
        <v>708</v>
      </c>
      <c r="H1882">
        <v>730</v>
      </c>
      <c r="I1882" s="122">
        <v>26181</v>
      </c>
      <c r="J1882" s="122">
        <v>23801</v>
      </c>
      <c r="K1882">
        <v>92</v>
      </c>
      <c r="L1882">
        <v>938</v>
      </c>
      <c r="M1882">
        <v>348</v>
      </c>
      <c r="N1882" s="122">
        <v>13294</v>
      </c>
      <c r="O1882" s="122">
        <v>4924</v>
      </c>
      <c r="P1882" s="122">
        <v>3659</v>
      </c>
      <c r="Q1882" s="122">
        <v>1355</v>
      </c>
      <c r="R1882" s="122">
        <v>20622</v>
      </c>
      <c r="S1882" s="122">
        <v>18747</v>
      </c>
      <c r="T1882">
        <v>0</v>
      </c>
      <c r="U1882">
        <v>0</v>
      </c>
      <c r="V1882" s="122">
        <v>49175</v>
      </c>
      <c r="W1882" s="122">
        <f t="shared" si="58"/>
        <v>49175</v>
      </c>
      <c r="X1882" s="122">
        <f t="shared" si="59"/>
        <v>64694</v>
      </c>
    </row>
    <row r="1883" spans="2:24">
      <c r="B1883" t="s">
        <v>382</v>
      </c>
      <c r="C1883" t="s">
        <v>52</v>
      </c>
      <c r="D1883" t="s">
        <v>405</v>
      </c>
      <c r="E1883" t="s">
        <v>425</v>
      </c>
      <c r="F1883">
        <v>1</v>
      </c>
      <c r="G1883">
        <v>87</v>
      </c>
      <c r="H1883">
        <v>113</v>
      </c>
      <c r="I1883" s="122">
        <v>3356</v>
      </c>
      <c r="J1883" s="122">
        <v>3051</v>
      </c>
      <c r="K1883">
        <v>92</v>
      </c>
      <c r="L1883">
        <v>843</v>
      </c>
      <c r="M1883">
        <v>312</v>
      </c>
      <c r="N1883" s="122">
        <v>1295</v>
      </c>
      <c r="O1883">
        <v>479</v>
      </c>
      <c r="P1883">
        <v>473</v>
      </c>
      <c r="Q1883">
        <v>175</v>
      </c>
      <c r="R1883" s="122">
        <v>3890</v>
      </c>
      <c r="S1883" s="122">
        <v>3536</v>
      </c>
      <c r="T1883">
        <v>0</v>
      </c>
      <c r="U1883">
        <v>0</v>
      </c>
      <c r="V1883" s="122">
        <v>7554</v>
      </c>
      <c r="W1883" s="122">
        <f t="shared" si="58"/>
        <v>7553</v>
      </c>
      <c r="X1883" s="122">
        <f t="shared" si="59"/>
        <v>9857</v>
      </c>
    </row>
    <row r="1884" spans="2:24">
      <c r="B1884" t="s">
        <v>382</v>
      </c>
      <c r="C1884" t="s">
        <v>52</v>
      </c>
      <c r="D1884" t="s">
        <v>405</v>
      </c>
      <c r="E1884" t="s">
        <v>405</v>
      </c>
      <c r="F1884">
        <v>35</v>
      </c>
      <c r="G1884" s="122">
        <v>3391</v>
      </c>
      <c r="H1884" s="122">
        <v>3913</v>
      </c>
      <c r="I1884" s="122">
        <v>182388</v>
      </c>
      <c r="J1884" s="122">
        <v>165807</v>
      </c>
      <c r="K1884">
        <v>90</v>
      </c>
      <c r="L1884" s="122">
        <v>3830</v>
      </c>
      <c r="M1884" s="122">
        <v>1668</v>
      </c>
      <c r="N1884" s="122">
        <v>71764</v>
      </c>
      <c r="O1884" s="122">
        <v>26579</v>
      </c>
      <c r="P1884" s="122">
        <v>16767</v>
      </c>
      <c r="Q1884" s="122">
        <v>6210</v>
      </c>
      <c r="R1884" s="122">
        <v>104891</v>
      </c>
      <c r="S1884" s="122">
        <v>95355</v>
      </c>
      <c r="T1884">
        <v>0</v>
      </c>
      <c r="U1884">
        <v>0</v>
      </c>
      <c r="V1884" s="122">
        <v>295620</v>
      </c>
      <c r="W1884" s="122">
        <f t="shared" si="58"/>
        <v>295619</v>
      </c>
      <c r="X1884" s="122">
        <f t="shared" si="59"/>
        <v>379640</v>
      </c>
    </row>
    <row r="1885" spans="2:24">
      <c r="B1885" t="s">
        <v>382</v>
      </c>
      <c r="C1885" t="s">
        <v>52</v>
      </c>
      <c r="D1885" t="s">
        <v>137</v>
      </c>
      <c r="E1885" t="s">
        <v>137</v>
      </c>
      <c r="F1885">
        <v>1</v>
      </c>
      <c r="G1885">
        <v>92</v>
      </c>
      <c r="H1885">
        <v>114</v>
      </c>
      <c r="I1885" s="122">
        <v>1336</v>
      </c>
      <c r="J1885">
        <v>495</v>
      </c>
      <c r="K1885">
        <v>100</v>
      </c>
      <c r="L1885">
        <v>0</v>
      </c>
      <c r="M1885">
        <v>0</v>
      </c>
      <c r="N1885" s="122">
        <v>2122</v>
      </c>
      <c r="O1885">
        <v>786</v>
      </c>
      <c r="P1885">
        <v>0</v>
      </c>
      <c r="Q1885">
        <v>0</v>
      </c>
      <c r="R1885" s="122">
        <v>7051</v>
      </c>
      <c r="S1885" s="122">
        <v>2612</v>
      </c>
      <c r="T1885">
        <v>0</v>
      </c>
      <c r="U1885">
        <v>0</v>
      </c>
      <c r="V1885" s="122">
        <v>3893</v>
      </c>
      <c r="W1885" s="122">
        <f t="shared" si="58"/>
        <v>3893</v>
      </c>
      <c r="X1885" s="122">
        <f t="shared" si="59"/>
        <v>10509</v>
      </c>
    </row>
    <row r="1886" spans="2:24">
      <c r="B1886" t="s">
        <v>382</v>
      </c>
      <c r="C1886" t="s">
        <v>52</v>
      </c>
      <c r="D1886" t="s">
        <v>406</v>
      </c>
      <c r="E1886" t="s">
        <v>406</v>
      </c>
      <c r="F1886">
        <v>2</v>
      </c>
      <c r="G1886">
        <v>637</v>
      </c>
      <c r="H1886">
        <v>230</v>
      </c>
      <c r="I1886" s="122">
        <v>34790</v>
      </c>
      <c r="J1886" s="122">
        <v>31627</v>
      </c>
      <c r="K1886">
        <v>93</v>
      </c>
      <c r="L1886" s="122">
        <v>5869</v>
      </c>
      <c r="M1886" s="122">
        <v>5335</v>
      </c>
      <c r="N1886" s="122">
        <v>14455</v>
      </c>
      <c r="O1886" s="122">
        <v>5354</v>
      </c>
      <c r="P1886" s="122">
        <v>1593</v>
      </c>
      <c r="Q1886">
        <v>590</v>
      </c>
      <c r="R1886" s="122">
        <v>11596</v>
      </c>
      <c r="S1886" s="122">
        <v>10542</v>
      </c>
      <c r="T1886" s="122">
        <v>4171</v>
      </c>
      <c r="U1886" s="122">
        <v>1545</v>
      </c>
      <c r="V1886" s="122">
        <v>54993</v>
      </c>
      <c r="W1886" s="122">
        <f t="shared" si="58"/>
        <v>54993</v>
      </c>
      <c r="X1886" s="122">
        <f t="shared" si="59"/>
        <v>72474</v>
      </c>
    </row>
    <row r="1887" spans="2:24">
      <c r="B1887" t="s">
        <v>382</v>
      </c>
      <c r="C1887" t="s">
        <v>52</v>
      </c>
      <c r="D1887" t="s">
        <v>407</v>
      </c>
      <c r="E1887" t="s">
        <v>407</v>
      </c>
      <c r="F1887">
        <v>5</v>
      </c>
      <c r="G1887">
        <v>497</v>
      </c>
      <c r="H1887">
        <v>558</v>
      </c>
      <c r="I1887" s="122">
        <v>12577</v>
      </c>
      <c r="J1887" s="122">
        <v>11433</v>
      </c>
      <c r="K1887">
        <v>84</v>
      </c>
      <c r="L1887" s="122">
        <v>1211</v>
      </c>
      <c r="M1887">
        <v>448</v>
      </c>
      <c r="N1887" s="122">
        <v>11745</v>
      </c>
      <c r="O1887" s="122">
        <v>4350</v>
      </c>
      <c r="P1887" s="122">
        <v>2363</v>
      </c>
      <c r="Q1887">
        <v>875</v>
      </c>
      <c r="R1887" s="122">
        <v>27164</v>
      </c>
      <c r="S1887" s="122">
        <v>24695</v>
      </c>
      <c r="T1887">
        <v>0</v>
      </c>
      <c r="U1887">
        <v>0</v>
      </c>
      <c r="V1887" s="122">
        <v>41801</v>
      </c>
      <c r="W1887" s="122">
        <f t="shared" si="58"/>
        <v>41801</v>
      </c>
      <c r="X1887" s="122">
        <f t="shared" si="59"/>
        <v>55060</v>
      </c>
    </row>
    <row r="1888" spans="2:24">
      <c r="B1888" t="s">
        <v>382</v>
      </c>
      <c r="C1888" t="s">
        <v>54</v>
      </c>
      <c r="D1888" t="s">
        <v>425</v>
      </c>
      <c r="E1888" t="s">
        <v>405</v>
      </c>
      <c r="F1888">
        <v>1</v>
      </c>
      <c r="G1888">
        <v>74</v>
      </c>
      <c r="H1888">
        <v>144</v>
      </c>
      <c r="I1888" s="122">
        <v>3830</v>
      </c>
      <c r="J1888" s="122">
        <v>3482</v>
      </c>
      <c r="K1888">
        <v>82</v>
      </c>
      <c r="L1888">
        <v>856</v>
      </c>
      <c r="M1888">
        <v>317</v>
      </c>
      <c r="N1888" s="122">
        <v>1306</v>
      </c>
      <c r="O1888">
        <v>484</v>
      </c>
      <c r="P1888">
        <v>473</v>
      </c>
      <c r="Q1888">
        <v>175</v>
      </c>
      <c r="R1888" s="122">
        <v>4161</v>
      </c>
      <c r="S1888" s="122">
        <v>3783</v>
      </c>
      <c r="T1888">
        <v>0</v>
      </c>
      <c r="U1888">
        <v>0</v>
      </c>
      <c r="V1888" s="122">
        <v>8240</v>
      </c>
      <c r="W1888" s="122">
        <f t="shared" si="58"/>
        <v>8241</v>
      </c>
      <c r="X1888" s="122">
        <f t="shared" si="59"/>
        <v>10626</v>
      </c>
    </row>
    <row r="1889" spans="2:24">
      <c r="B1889" t="s">
        <v>382</v>
      </c>
      <c r="C1889" t="s">
        <v>54</v>
      </c>
      <c r="D1889" t="s">
        <v>405</v>
      </c>
      <c r="E1889" t="s">
        <v>405</v>
      </c>
      <c r="F1889">
        <v>56</v>
      </c>
      <c r="G1889" s="122">
        <v>4117</v>
      </c>
      <c r="H1889" s="122">
        <v>7692</v>
      </c>
      <c r="I1889" s="122">
        <v>294673</v>
      </c>
      <c r="J1889" s="122">
        <v>267884</v>
      </c>
      <c r="K1889">
        <v>87</v>
      </c>
      <c r="L1889" s="122">
        <v>4226</v>
      </c>
      <c r="M1889" s="122">
        <v>2248</v>
      </c>
      <c r="N1889" s="122">
        <v>84544</v>
      </c>
      <c r="O1889" s="122">
        <v>31312</v>
      </c>
      <c r="P1889" s="122">
        <v>27216</v>
      </c>
      <c r="Q1889" s="122">
        <v>10080</v>
      </c>
      <c r="R1889" s="122">
        <v>166882</v>
      </c>
      <c r="S1889" s="122">
        <v>151711</v>
      </c>
      <c r="T1889" s="122">
        <v>2841</v>
      </c>
      <c r="U1889" s="122">
        <v>1052</v>
      </c>
      <c r="V1889" s="122">
        <v>464288</v>
      </c>
      <c r="W1889" s="122">
        <f t="shared" si="58"/>
        <v>464287</v>
      </c>
      <c r="X1889" s="122">
        <f t="shared" si="59"/>
        <v>580382</v>
      </c>
    </row>
    <row r="1890" spans="2:24">
      <c r="B1890" t="s">
        <v>382</v>
      </c>
      <c r="C1890" t="s">
        <v>54</v>
      </c>
      <c r="D1890" t="s">
        <v>137</v>
      </c>
      <c r="E1890" t="s">
        <v>137</v>
      </c>
      <c r="F1890">
        <v>25</v>
      </c>
      <c r="G1890" s="122">
        <v>2419</v>
      </c>
      <c r="H1890" s="122">
        <v>3514</v>
      </c>
      <c r="I1890" s="122">
        <v>87287</v>
      </c>
      <c r="J1890" s="122">
        <v>32328</v>
      </c>
      <c r="K1890">
        <v>100</v>
      </c>
      <c r="L1890" s="122">
        <v>17015</v>
      </c>
      <c r="M1890" s="122">
        <v>6302</v>
      </c>
      <c r="N1890" s="122">
        <v>54159</v>
      </c>
      <c r="O1890" s="122">
        <v>20059</v>
      </c>
      <c r="P1890">
        <v>525</v>
      </c>
      <c r="Q1890">
        <v>195</v>
      </c>
      <c r="R1890" s="122">
        <v>180562</v>
      </c>
      <c r="S1890" s="122">
        <v>66875</v>
      </c>
      <c r="T1890">
        <v>0</v>
      </c>
      <c r="U1890">
        <v>0</v>
      </c>
      <c r="V1890" s="122">
        <v>125759</v>
      </c>
      <c r="W1890" s="122">
        <f t="shared" si="58"/>
        <v>125759</v>
      </c>
      <c r="X1890" s="122">
        <f t="shared" si="59"/>
        <v>339548</v>
      </c>
    </row>
    <row r="1891" spans="2:24">
      <c r="B1891" t="s">
        <v>382</v>
      </c>
      <c r="C1891" t="s">
        <v>54</v>
      </c>
      <c r="D1891" t="s">
        <v>137</v>
      </c>
      <c r="E1891" t="s">
        <v>406</v>
      </c>
      <c r="F1891">
        <v>20</v>
      </c>
      <c r="G1891" s="122">
        <v>1552</v>
      </c>
      <c r="H1891" s="122">
        <v>2828</v>
      </c>
      <c r="I1891" s="122">
        <v>111255</v>
      </c>
      <c r="J1891" s="122">
        <v>41205</v>
      </c>
      <c r="K1891">
        <v>100</v>
      </c>
      <c r="L1891">
        <v>0</v>
      </c>
      <c r="M1891">
        <v>0</v>
      </c>
      <c r="N1891" s="122">
        <v>36983</v>
      </c>
      <c r="O1891" s="122">
        <v>13697</v>
      </c>
      <c r="P1891">
        <v>0</v>
      </c>
      <c r="Q1891">
        <v>0</v>
      </c>
      <c r="R1891" s="122">
        <v>71247</v>
      </c>
      <c r="S1891" s="122">
        <v>64770</v>
      </c>
      <c r="T1891">
        <v>0</v>
      </c>
      <c r="U1891">
        <v>0</v>
      </c>
      <c r="V1891" s="122">
        <v>119673</v>
      </c>
      <c r="W1891" s="122">
        <f t="shared" si="58"/>
        <v>119672</v>
      </c>
      <c r="X1891" s="122">
        <f t="shared" si="59"/>
        <v>219485</v>
      </c>
    </row>
    <row r="1892" spans="2:24">
      <c r="B1892" t="s">
        <v>382</v>
      </c>
      <c r="C1892" t="s">
        <v>54</v>
      </c>
      <c r="D1892" t="s">
        <v>406</v>
      </c>
      <c r="E1892" t="s">
        <v>406</v>
      </c>
      <c r="F1892">
        <v>4</v>
      </c>
      <c r="G1892">
        <v>768</v>
      </c>
      <c r="H1892">
        <v>549</v>
      </c>
      <c r="I1892" s="122">
        <v>55959</v>
      </c>
      <c r="J1892" s="122">
        <v>50872</v>
      </c>
      <c r="K1892">
        <v>93</v>
      </c>
      <c r="L1892" s="122">
        <v>9257</v>
      </c>
      <c r="M1892" s="122">
        <v>8416</v>
      </c>
      <c r="N1892" s="122">
        <v>16301</v>
      </c>
      <c r="O1892" s="122">
        <v>6037</v>
      </c>
      <c r="P1892" s="122">
        <v>2835</v>
      </c>
      <c r="Q1892" s="122">
        <v>1050</v>
      </c>
      <c r="R1892" s="122">
        <v>17220</v>
      </c>
      <c r="S1892" s="122">
        <v>15655</v>
      </c>
      <c r="T1892" s="122">
        <v>4360</v>
      </c>
      <c r="U1892" s="122">
        <v>1615</v>
      </c>
      <c r="V1892" s="122">
        <v>83645</v>
      </c>
      <c r="W1892" s="122">
        <f t="shared" si="58"/>
        <v>83645</v>
      </c>
      <c r="X1892" s="122">
        <f t="shared" si="59"/>
        <v>105932</v>
      </c>
    </row>
    <row r="1893" spans="2:24">
      <c r="B1893" t="s">
        <v>382</v>
      </c>
      <c r="C1893" t="s">
        <v>54</v>
      </c>
      <c r="D1893" t="s">
        <v>407</v>
      </c>
      <c r="E1893" t="s">
        <v>407</v>
      </c>
      <c r="F1893">
        <v>10</v>
      </c>
      <c r="G1893">
        <v>934</v>
      </c>
      <c r="H1893" s="122">
        <v>1391</v>
      </c>
      <c r="I1893" s="122">
        <v>51390</v>
      </c>
      <c r="J1893" s="122">
        <v>46718</v>
      </c>
      <c r="K1893">
        <v>84</v>
      </c>
      <c r="L1893" s="122">
        <v>3201</v>
      </c>
      <c r="M1893" s="122">
        <v>2145</v>
      </c>
      <c r="N1893" s="122">
        <v>21633</v>
      </c>
      <c r="O1893" s="122">
        <v>8012</v>
      </c>
      <c r="P1893" s="122">
        <v>5076</v>
      </c>
      <c r="Q1893" s="122">
        <v>1880</v>
      </c>
      <c r="R1893" s="122">
        <v>45938</v>
      </c>
      <c r="S1893" s="122">
        <v>41761</v>
      </c>
      <c r="T1893" s="122">
        <v>2034</v>
      </c>
      <c r="U1893">
        <v>753</v>
      </c>
      <c r="V1893" s="122">
        <v>101271</v>
      </c>
      <c r="W1893" s="122">
        <f t="shared" si="58"/>
        <v>101269</v>
      </c>
      <c r="X1893" s="122">
        <f t="shared" si="59"/>
        <v>129272</v>
      </c>
    </row>
    <row r="1894" spans="2:24">
      <c r="B1894" t="s">
        <v>382</v>
      </c>
      <c r="C1894" t="s">
        <v>56</v>
      </c>
      <c r="D1894" t="s">
        <v>405</v>
      </c>
      <c r="E1894" t="s">
        <v>405</v>
      </c>
      <c r="F1894">
        <v>79</v>
      </c>
      <c r="G1894" s="122">
        <v>5522</v>
      </c>
      <c r="H1894" s="122">
        <v>13829</v>
      </c>
      <c r="I1894" s="122">
        <v>516982</v>
      </c>
      <c r="J1894" s="122">
        <v>469984</v>
      </c>
      <c r="K1894">
        <v>83</v>
      </c>
      <c r="L1894" s="122">
        <v>17859</v>
      </c>
      <c r="M1894" s="122">
        <v>12511</v>
      </c>
      <c r="N1894" s="122">
        <v>112177</v>
      </c>
      <c r="O1894" s="122">
        <v>41547</v>
      </c>
      <c r="P1894" s="122">
        <v>36342</v>
      </c>
      <c r="Q1894" s="122">
        <v>13460</v>
      </c>
      <c r="R1894" s="122">
        <v>272350</v>
      </c>
      <c r="S1894" s="122">
        <v>247591</v>
      </c>
      <c r="T1894" s="122">
        <v>10672</v>
      </c>
      <c r="U1894" s="122">
        <v>3953</v>
      </c>
      <c r="V1894" s="122">
        <v>789045</v>
      </c>
      <c r="W1894" s="122">
        <f t="shared" si="58"/>
        <v>789046</v>
      </c>
      <c r="X1894" s="122">
        <f t="shared" si="59"/>
        <v>966382</v>
      </c>
    </row>
    <row r="1895" spans="2:24">
      <c r="B1895" t="s">
        <v>382</v>
      </c>
      <c r="C1895" t="s">
        <v>56</v>
      </c>
      <c r="D1895" t="s">
        <v>137</v>
      </c>
      <c r="E1895" t="s">
        <v>137</v>
      </c>
      <c r="F1895">
        <v>295</v>
      </c>
      <c r="G1895" s="122">
        <v>22680</v>
      </c>
      <c r="H1895" s="122">
        <v>59037</v>
      </c>
      <c r="I1895" s="122">
        <v>2014393</v>
      </c>
      <c r="J1895" s="122">
        <v>746071</v>
      </c>
      <c r="K1895">
        <v>100</v>
      </c>
      <c r="L1895" s="122">
        <v>215837</v>
      </c>
      <c r="M1895" s="122">
        <v>86599</v>
      </c>
      <c r="N1895" s="122">
        <v>468049</v>
      </c>
      <c r="O1895" s="122">
        <v>173352</v>
      </c>
      <c r="P1895">
        <v>351</v>
      </c>
      <c r="Q1895">
        <v>130</v>
      </c>
      <c r="R1895" s="122">
        <v>1925908</v>
      </c>
      <c r="S1895" s="122">
        <v>713299</v>
      </c>
      <c r="T1895">
        <v>0</v>
      </c>
      <c r="U1895">
        <v>0</v>
      </c>
      <c r="V1895" s="122">
        <v>1719451</v>
      </c>
      <c r="W1895" s="122">
        <f t="shared" si="58"/>
        <v>1719451</v>
      </c>
      <c r="X1895" s="122">
        <f t="shared" si="59"/>
        <v>4624538</v>
      </c>
    </row>
    <row r="1896" spans="2:24">
      <c r="B1896" t="s">
        <v>382</v>
      </c>
      <c r="C1896" t="s">
        <v>56</v>
      </c>
      <c r="D1896" t="s">
        <v>137</v>
      </c>
      <c r="E1896" t="s">
        <v>406</v>
      </c>
      <c r="F1896">
        <v>53</v>
      </c>
      <c r="G1896" s="122">
        <v>4100</v>
      </c>
      <c r="H1896" s="122">
        <v>10116</v>
      </c>
      <c r="I1896" s="122">
        <v>494325</v>
      </c>
      <c r="J1896" s="122">
        <v>183083</v>
      </c>
      <c r="K1896">
        <v>100</v>
      </c>
      <c r="L1896">
        <v>0</v>
      </c>
      <c r="M1896">
        <v>0</v>
      </c>
      <c r="N1896" s="122">
        <v>98594</v>
      </c>
      <c r="O1896" s="122">
        <v>36516</v>
      </c>
      <c r="P1896">
        <v>0</v>
      </c>
      <c r="Q1896">
        <v>0</v>
      </c>
      <c r="R1896" s="122">
        <v>189706</v>
      </c>
      <c r="S1896" s="122">
        <v>172460</v>
      </c>
      <c r="T1896">
        <v>0</v>
      </c>
      <c r="U1896">
        <v>0</v>
      </c>
      <c r="V1896" s="122">
        <v>392059</v>
      </c>
      <c r="W1896" s="122">
        <f t="shared" si="58"/>
        <v>392059</v>
      </c>
      <c r="X1896" s="122">
        <f t="shared" si="59"/>
        <v>782625</v>
      </c>
    </row>
    <row r="1897" spans="2:24">
      <c r="B1897" t="s">
        <v>382</v>
      </c>
      <c r="C1897" t="s">
        <v>56</v>
      </c>
      <c r="D1897" t="s">
        <v>406</v>
      </c>
      <c r="E1897" t="s">
        <v>406</v>
      </c>
      <c r="F1897">
        <v>45</v>
      </c>
      <c r="G1897" s="122">
        <v>4584</v>
      </c>
      <c r="H1897" s="122">
        <v>8487</v>
      </c>
      <c r="I1897" s="122">
        <v>434313</v>
      </c>
      <c r="J1897" s="122">
        <v>394830</v>
      </c>
      <c r="K1897">
        <v>87</v>
      </c>
      <c r="L1897" s="122">
        <v>86936</v>
      </c>
      <c r="M1897" s="122">
        <v>76828</v>
      </c>
      <c r="N1897" s="122">
        <v>88755</v>
      </c>
      <c r="O1897" s="122">
        <v>32872</v>
      </c>
      <c r="P1897" s="122">
        <v>31559</v>
      </c>
      <c r="Q1897" s="122">
        <v>11688</v>
      </c>
      <c r="R1897" s="122">
        <v>206778</v>
      </c>
      <c r="S1897" s="122">
        <v>187980</v>
      </c>
      <c r="T1897" s="122">
        <v>31697</v>
      </c>
      <c r="U1897" s="122">
        <v>11740</v>
      </c>
      <c r="V1897" s="122">
        <v>715937</v>
      </c>
      <c r="W1897" s="122">
        <f t="shared" si="58"/>
        <v>715938</v>
      </c>
      <c r="X1897" s="122">
        <f t="shared" si="59"/>
        <v>880038</v>
      </c>
    </row>
    <row r="1898" spans="2:24">
      <c r="B1898" t="s">
        <v>382</v>
      </c>
      <c r="C1898" t="s">
        <v>56</v>
      </c>
      <c r="D1898" t="s">
        <v>407</v>
      </c>
      <c r="E1898" t="s">
        <v>407</v>
      </c>
      <c r="F1898">
        <v>22</v>
      </c>
      <c r="G1898" s="122">
        <v>1504</v>
      </c>
      <c r="H1898" s="122">
        <v>3689</v>
      </c>
      <c r="I1898" s="122">
        <v>99809</v>
      </c>
      <c r="J1898" s="122">
        <v>90736</v>
      </c>
      <c r="K1898">
        <v>81</v>
      </c>
      <c r="L1898">
        <v>0</v>
      </c>
      <c r="M1898">
        <v>0</v>
      </c>
      <c r="N1898" s="122">
        <v>32454</v>
      </c>
      <c r="O1898" s="122">
        <v>12020</v>
      </c>
      <c r="P1898" s="122">
        <v>10395</v>
      </c>
      <c r="Q1898" s="122">
        <v>3850</v>
      </c>
      <c r="R1898" s="122">
        <v>98241</v>
      </c>
      <c r="S1898" s="122">
        <v>89310</v>
      </c>
      <c r="T1898" s="122">
        <v>7120</v>
      </c>
      <c r="U1898" s="122">
        <v>2637</v>
      </c>
      <c r="V1898" s="122">
        <v>198553</v>
      </c>
      <c r="W1898" s="122">
        <f t="shared" si="58"/>
        <v>198553</v>
      </c>
      <c r="X1898" s="122">
        <f t="shared" si="59"/>
        <v>248019</v>
      </c>
    </row>
    <row r="1899" spans="2:24">
      <c r="B1899" t="s">
        <v>382</v>
      </c>
      <c r="C1899" t="s">
        <v>56</v>
      </c>
      <c r="D1899" t="s">
        <v>426</v>
      </c>
      <c r="E1899" t="s">
        <v>426</v>
      </c>
      <c r="F1899">
        <v>1</v>
      </c>
      <c r="G1899">
        <v>67</v>
      </c>
      <c r="H1899">
        <v>221</v>
      </c>
      <c r="I1899" s="122">
        <v>6064</v>
      </c>
      <c r="J1899" s="122">
        <v>5513</v>
      </c>
      <c r="K1899">
        <v>55</v>
      </c>
      <c r="L1899">
        <v>910</v>
      </c>
      <c r="M1899">
        <v>337</v>
      </c>
      <c r="N1899">
        <v>815</v>
      </c>
      <c r="O1899">
        <v>302</v>
      </c>
      <c r="P1899">
        <v>351</v>
      </c>
      <c r="Q1899">
        <v>130</v>
      </c>
      <c r="R1899" s="122">
        <v>4622</v>
      </c>
      <c r="S1899" s="122">
        <v>4202</v>
      </c>
      <c r="T1899" s="122">
        <v>1986</v>
      </c>
      <c r="U1899">
        <v>736</v>
      </c>
      <c r="V1899" s="122">
        <v>11219</v>
      </c>
      <c r="W1899" s="122">
        <f t="shared" ref="W1899:W1962" si="60">SUM(ABS(J1899),ABS(M1899),ABS(O1899),ABS(Q1899),ABS(S1899),ABS(U1899))</f>
        <v>11220</v>
      </c>
      <c r="X1899" s="122">
        <f t="shared" ref="X1899:X1962" si="61">SUM(ABS(I1899),ABS(N1899),ABS(P1899),ABS(R1899),ABS(T1899),ABS(L1899))</f>
        <v>14748</v>
      </c>
    </row>
    <row r="1900" spans="2:24">
      <c r="B1900" t="s">
        <v>382</v>
      </c>
      <c r="C1900" t="s">
        <v>58</v>
      </c>
      <c r="F1900">
        <v>5</v>
      </c>
      <c r="G1900">
        <v>447</v>
      </c>
      <c r="H1900" s="122">
        <v>1339</v>
      </c>
      <c r="J1900">
        <v>0</v>
      </c>
      <c r="M1900">
        <v>0</v>
      </c>
      <c r="N1900" s="122">
        <v>10881</v>
      </c>
      <c r="O1900" s="122">
        <v>4030</v>
      </c>
      <c r="P1900" s="122">
        <v>1755</v>
      </c>
      <c r="Q1900">
        <v>650</v>
      </c>
      <c r="S1900">
        <v>0</v>
      </c>
      <c r="T1900">
        <v>0</v>
      </c>
      <c r="U1900">
        <v>0</v>
      </c>
      <c r="V1900" s="122">
        <v>4680</v>
      </c>
      <c r="W1900" s="122">
        <f t="shared" si="60"/>
        <v>4680</v>
      </c>
      <c r="X1900" s="122">
        <f t="shared" si="61"/>
        <v>12636</v>
      </c>
    </row>
    <row r="1901" spans="2:24">
      <c r="B1901" t="s">
        <v>382</v>
      </c>
      <c r="C1901" t="s">
        <v>58</v>
      </c>
      <c r="D1901" t="s">
        <v>405</v>
      </c>
      <c r="E1901" t="s">
        <v>405</v>
      </c>
      <c r="F1901">
        <v>12</v>
      </c>
      <c r="G1901">
        <v>775</v>
      </c>
      <c r="H1901" s="122">
        <v>3029</v>
      </c>
      <c r="I1901" s="122">
        <v>124340</v>
      </c>
      <c r="J1901" s="122">
        <v>113037</v>
      </c>
      <c r="K1901">
        <v>81</v>
      </c>
      <c r="L1901" s="122">
        <v>4031</v>
      </c>
      <c r="M1901" s="122">
        <v>3664</v>
      </c>
      <c r="N1901" s="122">
        <v>16273</v>
      </c>
      <c r="O1901" s="122">
        <v>6027</v>
      </c>
      <c r="P1901" s="122">
        <v>5819</v>
      </c>
      <c r="Q1901" s="122">
        <v>2155</v>
      </c>
      <c r="R1901" s="122">
        <v>41617</v>
      </c>
      <c r="S1901" s="122">
        <v>37834</v>
      </c>
      <c r="T1901">
        <v>0</v>
      </c>
      <c r="U1901">
        <v>0</v>
      </c>
      <c r="V1901" s="122">
        <v>162717</v>
      </c>
      <c r="W1901" s="122">
        <f t="shared" si="60"/>
        <v>162717</v>
      </c>
      <c r="X1901" s="122">
        <f t="shared" si="61"/>
        <v>192080</v>
      </c>
    </row>
    <row r="1902" spans="2:24">
      <c r="B1902" t="s">
        <v>382</v>
      </c>
      <c r="C1902" t="s">
        <v>58</v>
      </c>
      <c r="D1902" t="s">
        <v>137</v>
      </c>
      <c r="E1902" t="s">
        <v>137</v>
      </c>
      <c r="F1902">
        <v>584</v>
      </c>
      <c r="G1902" s="122">
        <v>40133</v>
      </c>
      <c r="H1902" s="122">
        <v>153458</v>
      </c>
      <c r="I1902" s="122">
        <v>5691908</v>
      </c>
      <c r="J1902" s="122">
        <v>2108114</v>
      </c>
      <c r="K1902">
        <v>100</v>
      </c>
      <c r="L1902" s="122">
        <v>522333</v>
      </c>
      <c r="M1902" s="122">
        <v>226019</v>
      </c>
      <c r="N1902" s="122">
        <v>734898</v>
      </c>
      <c r="O1902" s="122">
        <v>272184</v>
      </c>
      <c r="P1902" s="122">
        <v>7140</v>
      </c>
      <c r="Q1902" s="122">
        <v>2645</v>
      </c>
      <c r="R1902" s="122">
        <v>3601315</v>
      </c>
      <c r="S1902" s="122">
        <v>1333820</v>
      </c>
      <c r="T1902">
        <v>0</v>
      </c>
      <c r="U1902">
        <v>0</v>
      </c>
      <c r="V1902" s="122">
        <v>3942782</v>
      </c>
      <c r="W1902" s="122">
        <f t="shared" si="60"/>
        <v>3942782</v>
      </c>
      <c r="X1902" s="122">
        <f t="shared" si="61"/>
        <v>10557594</v>
      </c>
    </row>
    <row r="1903" spans="2:24">
      <c r="B1903" t="s">
        <v>382</v>
      </c>
      <c r="C1903" t="s">
        <v>58</v>
      </c>
      <c r="D1903" t="s">
        <v>137</v>
      </c>
      <c r="E1903" t="s">
        <v>406</v>
      </c>
      <c r="F1903">
        <v>1</v>
      </c>
      <c r="G1903">
        <v>77</v>
      </c>
      <c r="H1903">
        <v>226</v>
      </c>
      <c r="I1903" s="122">
        <v>11930</v>
      </c>
      <c r="J1903" s="122">
        <v>4418</v>
      </c>
      <c r="K1903">
        <v>100</v>
      </c>
      <c r="L1903">
        <v>0</v>
      </c>
      <c r="M1903">
        <v>0</v>
      </c>
      <c r="N1903" s="122">
        <v>1887</v>
      </c>
      <c r="O1903">
        <v>699</v>
      </c>
      <c r="P1903">
        <v>0</v>
      </c>
      <c r="Q1903">
        <v>0</v>
      </c>
      <c r="R1903" s="122">
        <v>3670</v>
      </c>
      <c r="S1903" s="122">
        <v>3337</v>
      </c>
      <c r="T1903">
        <v>0</v>
      </c>
      <c r="U1903">
        <v>0</v>
      </c>
      <c r="V1903" s="122">
        <v>8454</v>
      </c>
      <c r="W1903" s="122">
        <f t="shared" si="60"/>
        <v>8454</v>
      </c>
      <c r="X1903" s="122">
        <f t="shared" si="61"/>
        <v>17487</v>
      </c>
    </row>
    <row r="1904" spans="2:24">
      <c r="B1904" t="s">
        <v>382</v>
      </c>
      <c r="C1904" t="s">
        <v>58</v>
      </c>
      <c r="D1904" t="s">
        <v>406</v>
      </c>
      <c r="E1904" t="s">
        <v>137</v>
      </c>
      <c r="F1904">
        <v>3</v>
      </c>
      <c r="G1904">
        <v>148</v>
      </c>
      <c r="H1904">
        <v>867</v>
      </c>
      <c r="I1904" s="122">
        <v>18082</v>
      </c>
      <c r="J1904" s="122">
        <v>16438</v>
      </c>
      <c r="K1904">
        <v>78</v>
      </c>
      <c r="L1904" s="122">
        <v>3898</v>
      </c>
      <c r="M1904" s="122">
        <v>3543</v>
      </c>
      <c r="N1904" s="122">
        <v>2613</v>
      </c>
      <c r="O1904">
        <v>968</v>
      </c>
      <c r="P1904" s="122">
        <v>1863</v>
      </c>
      <c r="Q1904">
        <v>690</v>
      </c>
      <c r="R1904" s="122">
        <v>16610</v>
      </c>
      <c r="S1904" s="122">
        <v>6152</v>
      </c>
      <c r="T1904">
        <v>0</v>
      </c>
      <c r="U1904">
        <v>0</v>
      </c>
      <c r="V1904" s="122">
        <v>27791</v>
      </c>
      <c r="W1904" s="122">
        <f t="shared" si="60"/>
        <v>27791</v>
      </c>
      <c r="X1904" s="122">
        <f t="shared" si="61"/>
        <v>43066</v>
      </c>
    </row>
    <row r="1905" spans="2:24">
      <c r="B1905" t="s">
        <v>382</v>
      </c>
      <c r="C1905" t="s">
        <v>58</v>
      </c>
      <c r="D1905" t="s">
        <v>406</v>
      </c>
      <c r="E1905" t="s">
        <v>406</v>
      </c>
      <c r="F1905">
        <v>27</v>
      </c>
      <c r="G1905" s="122">
        <v>2290</v>
      </c>
      <c r="H1905" s="122">
        <v>6831</v>
      </c>
      <c r="I1905" s="122">
        <v>310230</v>
      </c>
      <c r="J1905" s="122">
        <v>282027</v>
      </c>
      <c r="K1905">
        <v>81</v>
      </c>
      <c r="L1905" s="122">
        <v>57415</v>
      </c>
      <c r="M1905" s="122">
        <v>51528</v>
      </c>
      <c r="N1905" s="122">
        <v>45238</v>
      </c>
      <c r="O1905" s="122">
        <v>16755</v>
      </c>
      <c r="P1905" s="122">
        <v>20628</v>
      </c>
      <c r="Q1905" s="122">
        <v>7640</v>
      </c>
      <c r="R1905" s="122">
        <v>119832</v>
      </c>
      <c r="S1905" s="122">
        <v>108938</v>
      </c>
      <c r="T1905" s="122">
        <v>35317</v>
      </c>
      <c r="U1905" s="122">
        <v>13080</v>
      </c>
      <c r="V1905" s="122">
        <v>479969</v>
      </c>
      <c r="W1905" s="122">
        <f t="shared" si="60"/>
        <v>479968</v>
      </c>
      <c r="X1905" s="122">
        <f t="shared" si="61"/>
        <v>588660</v>
      </c>
    </row>
    <row r="1906" spans="2:24">
      <c r="B1906" t="s">
        <v>382</v>
      </c>
      <c r="C1906" t="s">
        <v>58</v>
      </c>
      <c r="D1906" t="s">
        <v>556</v>
      </c>
      <c r="E1906" t="s">
        <v>556</v>
      </c>
      <c r="F1906">
        <v>13</v>
      </c>
      <c r="G1906">
        <v>897</v>
      </c>
      <c r="H1906" s="122">
        <v>3573</v>
      </c>
      <c r="I1906" s="122">
        <v>129973</v>
      </c>
      <c r="J1906" s="122">
        <v>108311</v>
      </c>
      <c r="K1906">
        <v>58</v>
      </c>
      <c r="L1906" s="122">
        <v>1195</v>
      </c>
      <c r="M1906">
        <v>443</v>
      </c>
      <c r="N1906" s="122">
        <v>17760</v>
      </c>
      <c r="O1906" s="122">
        <v>6578</v>
      </c>
      <c r="P1906" s="122">
        <v>4563</v>
      </c>
      <c r="Q1906" s="122">
        <v>1690</v>
      </c>
      <c r="R1906" s="122">
        <v>67926</v>
      </c>
      <c r="S1906" s="122">
        <v>56605</v>
      </c>
      <c r="T1906" s="122">
        <v>25484</v>
      </c>
      <c r="U1906" s="122">
        <v>9439</v>
      </c>
      <c r="V1906" s="122">
        <v>183065</v>
      </c>
      <c r="W1906" s="122">
        <f t="shared" si="60"/>
        <v>183066</v>
      </c>
      <c r="X1906" s="122">
        <f t="shared" si="61"/>
        <v>246901</v>
      </c>
    </row>
    <row r="1907" spans="2:24">
      <c r="B1907" t="s">
        <v>382</v>
      </c>
      <c r="C1907" t="s">
        <v>58</v>
      </c>
      <c r="D1907" t="s">
        <v>426</v>
      </c>
      <c r="E1907" t="s">
        <v>426</v>
      </c>
      <c r="F1907">
        <v>2</v>
      </c>
      <c r="G1907">
        <v>198</v>
      </c>
      <c r="H1907">
        <v>571</v>
      </c>
      <c r="I1907" s="122">
        <v>45933</v>
      </c>
      <c r="J1907" s="122">
        <v>41757</v>
      </c>
      <c r="K1907">
        <v>60</v>
      </c>
      <c r="L1907" s="122">
        <v>3669</v>
      </c>
      <c r="M1907" s="122">
        <v>3336</v>
      </c>
      <c r="N1907" s="122">
        <v>4928</v>
      </c>
      <c r="O1907" s="122">
        <v>1825</v>
      </c>
      <c r="P1907">
        <v>972</v>
      </c>
      <c r="Q1907">
        <v>360</v>
      </c>
      <c r="R1907" s="122">
        <v>10437</v>
      </c>
      <c r="S1907" s="122">
        <v>9488</v>
      </c>
      <c r="T1907" s="122">
        <v>5480</v>
      </c>
      <c r="U1907" s="122">
        <v>2030</v>
      </c>
      <c r="V1907" s="122">
        <v>58795</v>
      </c>
      <c r="W1907" s="122">
        <f t="shared" si="60"/>
        <v>58796</v>
      </c>
      <c r="X1907" s="122">
        <f t="shared" si="61"/>
        <v>71419</v>
      </c>
    </row>
    <row r="1908" spans="2:24">
      <c r="B1908" t="s">
        <v>382</v>
      </c>
      <c r="C1908" t="s">
        <v>60</v>
      </c>
      <c r="F1908">
        <v>3</v>
      </c>
      <c r="G1908">
        <v>199</v>
      </c>
      <c r="H1908" s="122">
        <v>1039</v>
      </c>
      <c r="J1908">
        <v>0</v>
      </c>
      <c r="M1908">
        <v>0</v>
      </c>
      <c r="N1908" s="122">
        <v>4449</v>
      </c>
      <c r="O1908" s="122">
        <v>1648</v>
      </c>
      <c r="P1908">
        <v>351</v>
      </c>
      <c r="Q1908">
        <v>130</v>
      </c>
      <c r="S1908">
        <v>0</v>
      </c>
      <c r="T1908">
        <v>0</v>
      </c>
      <c r="U1908">
        <v>0</v>
      </c>
      <c r="V1908" s="122">
        <v>1778</v>
      </c>
      <c r="W1908" s="122">
        <f t="shared" si="60"/>
        <v>1778</v>
      </c>
      <c r="X1908" s="122">
        <f t="shared" si="61"/>
        <v>4800</v>
      </c>
    </row>
    <row r="1909" spans="2:24">
      <c r="B1909" t="s">
        <v>382</v>
      </c>
      <c r="C1909" t="s">
        <v>60</v>
      </c>
      <c r="D1909" t="s">
        <v>405</v>
      </c>
      <c r="E1909" t="s">
        <v>405</v>
      </c>
      <c r="F1909">
        <v>4</v>
      </c>
      <c r="G1909">
        <v>176</v>
      </c>
      <c r="H1909" s="122">
        <v>1362</v>
      </c>
      <c r="I1909" s="122">
        <v>42762</v>
      </c>
      <c r="J1909" s="122">
        <v>38875</v>
      </c>
      <c r="K1909">
        <v>77</v>
      </c>
      <c r="L1909">
        <v>0</v>
      </c>
      <c r="M1909">
        <v>0</v>
      </c>
      <c r="N1909" s="122">
        <v>3490</v>
      </c>
      <c r="O1909" s="122">
        <v>1293</v>
      </c>
      <c r="P1909" s="122">
        <v>1890</v>
      </c>
      <c r="Q1909">
        <v>700</v>
      </c>
      <c r="R1909" s="122">
        <v>11161</v>
      </c>
      <c r="S1909" s="122">
        <v>10147</v>
      </c>
      <c r="T1909">
        <v>0</v>
      </c>
      <c r="U1909">
        <v>0</v>
      </c>
      <c r="V1909" s="122">
        <v>51014</v>
      </c>
      <c r="W1909" s="122">
        <f t="shared" si="60"/>
        <v>51015</v>
      </c>
      <c r="X1909" s="122">
        <f t="shared" si="61"/>
        <v>59303</v>
      </c>
    </row>
    <row r="1910" spans="2:24">
      <c r="B1910" t="s">
        <v>382</v>
      </c>
      <c r="C1910" t="s">
        <v>60</v>
      </c>
      <c r="D1910" t="s">
        <v>137</v>
      </c>
      <c r="E1910" t="s">
        <v>137</v>
      </c>
      <c r="F1910">
        <v>398</v>
      </c>
      <c r="G1910" s="122">
        <v>26668</v>
      </c>
      <c r="H1910" s="122">
        <v>131631</v>
      </c>
      <c r="I1910" s="122">
        <v>5280987</v>
      </c>
      <c r="J1910" s="122">
        <v>1955921</v>
      </c>
      <c r="K1910">
        <v>100</v>
      </c>
      <c r="L1910" s="122">
        <v>517849</v>
      </c>
      <c r="M1910" s="122">
        <v>3968053</v>
      </c>
      <c r="N1910" s="122">
        <v>565726</v>
      </c>
      <c r="O1910" s="122">
        <v>209528</v>
      </c>
      <c r="P1910" s="122">
        <v>2044</v>
      </c>
      <c r="Q1910">
        <v>757</v>
      </c>
      <c r="R1910" s="122">
        <v>2447966</v>
      </c>
      <c r="S1910" s="122">
        <v>906654</v>
      </c>
      <c r="T1910" s="122">
        <v>8000</v>
      </c>
      <c r="U1910" s="122">
        <v>2963</v>
      </c>
      <c r="V1910" s="122">
        <v>7043877</v>
      </c>
      <c r="W1910" s="122">
        <f t="shared" si="60"/>
        <v>7043876</v>
      </c>
      <c r="X1910" s="122">
        <f t="shared" si="61"/>
        <v>8822572</v>
      </c>
    </row>
    <row r="1911" spans="2:24">
      <c r="B1911" t="s">
        <v>382</v>
      </c>
      <c r="C1911" t="s">
        <v>60</v>
      </c>
      <c r="D1911" t="s">
        <v>406</v>
      </c>
      <c r="E1911" t="s">
        <v>137</v>
      </c>
      <c r="F1911">
        <v>2</v>
      </c>
      <c r="G1911">
        <v>125</v>
      </c>
      <c r="H1911">
        <v>687</v>
      </c>
      <c r="I1911" s="122">
        <v>27280</v>
      </c>
      <c r="J1911" s="122">
        <v>24800</v>
      </c>
      <c r="K1911">
        <v>85</v>
      </c>
      <c r="L1911" s="122">
        <v>3655</v>
      </c>
      <c r="M1911" s="122">
        <v>3323</v>
      </c>
      <c r="N1911" s="122">
        <v>2725</v>
      </c>
      <c r="O1911" s="122">
        <v>1009</v>
      </c>
      <c r="P1911" s="122">
        <v>1242</v>
      </c>
      <c r="Q1911">
        <v>460</v>
      </c>
      <c r="R1911" s="122">
        <v>7803</v>
      </c>
      <c r="S1911" s="122">
        <v>2890</v>
      </c>
      <c r="T1911">
        <v>0</v>
      </c>
      <c r="U1911">
        <v>0</v>
      </c>
      <c r="V1911" s="122">
        <v>32483</v>
      </c>
      <c r="W1911" s="122">
        <f t="shared" si="60"/>
        <v>32482</v>
      </c>
      <c r="X1911" s="122">
        <f t="shared" si="61"/>
        <v>42705</v>
      </c>
    </row>
    <row r="1912" spans="2:24">
      <c r="B1912" t="s">
        <v>382</v>
      </c>
      <c r="C1912" t="s">
        <v>60</v>
      </c>
      <c r="D1912" t="s">
        <v>406</v>
      </c>
      <c r="E1912" t="s">
        <v>406</v>
      </c>
      <c r="F1912">
        <v>8</v>
      </c>
      <c r="G1912">
        <v>622</v>
      </c>
      <c r="H1912" s="122">
        <v>2626</v>
      </c>
      <c r="I1912" s="122">
        <v>116266</v>
      </c>
      <c r="J1912" s="122">
        <v>105696</v>
      </c>
      <c r="K1912">
        <v>81</v>
      </c>
      <c r="L1912" s="122">
        <v>23556</v>
      </c>
      <c r="M1912" s="122">
        <v>20875</v>
      </c>
      <c r="N1912" s="122">
        <v>12721</v>
      </c>
      <c r="O1912" s="122">
        <v>4712</v>
      </c>
      <c r="P1912" s="122">
        <v>5319</v>
      </c>
      <c r="Q1912" s="122">
        <v>1970</v>
      </c>
      <c r="R1912" s="122">
        <v>34962</v>
      </c>
      <c r="S1912" s="122">
        <v>31784</v>
      </c>
      <c r="T1912" s="122">
        <v>11200</v>
      </c>
      <c r="U1912" s="122">
        <v>4148</v>
      </c>
      <c r="V1912" s="122">
        <v>169185</v>
      </c>
      <c r="W1912" s="122">
        <f t="shared" si="60"/>
        <v>169185</v>
      </c>
      <c r="X1912" s="122">
        <f t="shared" si="61"/>
        <v>204024</v>
      </c>
    </row>
    <row r="1913" spans="2:24">
      <c r="B1913" t="s">
        <v>382</v>
      </c>
      <c r="C1913" t="s">
        <v>60</v>
      </c>
      <c r="D1913" t="s">
        <v>427</v>
      </c>
      <c r="E1913" t="s">
        <v>427</v>
      </c>
      <c r="F1913">
        <v>1</v>
      </c>
      <c r="G1913">
        <v>33</v>
      </c>
      <c r="H1913">
        <v>330</v>
      </c>
      <c r="I1913" s="122">
        <v>4463</v>
      </c>
      <c r="J1913" s="122">
        <v>4058</v>
      </c>
      <c r="K1913">
        <v>55</v>
      </c>
      <c r="L1913">
        <v>0</v>
      </c>
      <c r="M1913">
        <v>0</v>
      </c>
      <c r="N1913">
        <v>704</v>
      </c>
      <c r="O1913">
        <v>261</v>
      </c>
      <c r="P1913">
        <v>351</v>
      </c>
      <c r="Q1913">
        <v>130</v>
      </c>
      <c r="R1913" s="122">
        <v>3883</v>
      </c>
      <c r="S1913" s="122">
        <v>3530</v>
      </c>
      <c r="T1913" s="122">
        <v>1495</v>
      </c>
      <c r="U1913">
        <v>554</v>
      </c>
      <c r="V1913" s="122">
        <v>8532</v>
      </c>
      <c r="W1913" s="122">
        <f t="shared" si="60"/>
        <v>8533</v>
      </c>
      <c r="X1913" s="122">
        <f t="shared" si="61"/>
        <v>10896</v>
      </c>
    </row>
    <row r="1914" spans="2:24">
      <c r="B1914" t="s">
        <v>382</v>
      </c>
      <c r="C1914" t="s">
        <v>60</v>
      </c>
      <c r="D1914" t="s">
        <v>556</v>
      </c>
      <c r="E1914" t="s">
        <v>556</v>
      </c>
      <c r="F1914">
        <v>15</v>
      </c>
      <c r="G1914">
        <v>835</v>
      </c>
      <c r="H1914" s="122">
        <v>5085</v>
      </c>
      <c r="I1914" s="122">
        <v>150764</v>
      </c>
      <c r="J1914" s="122">
        <v>125637</v>
      </c>
      <c r="K1914">
        <v>56</v>
      </c>
      <c r="L1914" s="122">
        <v>2785</v>
      </c>
      <c r="M1914" s="122">
        <v>2144</v>
      </c>
      <c r="N1914" s="122">
        <v>17475</v>
      </c>
      <c r="O1914" s="122">
        <v>6472</v>
      </c>
      <c r="P1914" s="122">
        <v>5265</v>
      </c>
      <c r="Q1914" s="122">
        <v>1950</v>
      </c>
      <c r="R1914" s="122">
        <v>75927</v>
      </c>
      <c r="S1914" s="122">
        <v>63272</v>
      </c>
      <c r="T1914" s="122">
        <v>30078</v>
      </c>
      <c r="U1914" s="122">
        <v>11140</v>
      </c>
      <c r="V1914" s="122">
        <v>210616</v>
      </c>
      <c r="W1914" s="122">
        <f t="shared" si="60"/>
        <v>210615</v>
      </c>
      <c r="X1914" s="122">
        <f t="shared" si="61"/>
        <v>282294</v>
      </c>
    </row>
    <row r="1915" spans="2:24">
      <c r="B1915" t="s">
        <v>382</v>
      </c>
      <c r="C1915" t="s">
        <v>62</v>
      </c>
      <c r="D1915" t="s">
        <v>137</v>
      </c>
      <c r="E1915" t="s">
        <v>137</v>
      </c>
      <c r="F1915">
        <v>65</v>
      </c>
      <c r="G1915" s="122">
        <v>3652</v>
      </c>
      <c r="H1915" s="122">
        <v>26306</v>
      </c>
      <c r="I1915" s="122">
        <v>947487</v>
      </c>
      <c r="J1915" s="122">
        <v>350921</v>
      </c>
      <c r="K1915">
        <v>100</v>
      </c>
      <c r="L1915" s="122">
        <v>91335</v>
      </c>
      <c r="M1915" s="122">
        <v>1493090</v>
      </c>
      <c r="N1915" s="122">
        <v>73755</v>
      </c>
      <c r="O1915" s="122">
        <v>27317</v>
      </c>
      <c r="P1915">
        <v>351</v>
      </c>
      <c r="Q1915">
        <v>130</v>
      </c>
      <c r="R1915" s="122">
        <v>372002</v>
      </c>
      <c r="S1915" s="122">
        <v>137779</v>
      </c>
      <c r="T1915" s="122">
        <v>2038</v>
      </c>
      <c r="U1915">
        <v>755</v>
      </c>
      <c r="V1915" s="122">
        <v>2009991</v>
      </c>
      <c r="W1915" s="122">
        <f t="shared" si="60"/>
        <v>2009992</v>
      </c>
      <c r="X1915" s="122">
        <f t="shared" si="61"/>
        <v>1486968</v>
      </c>
    </row>
    <row r="1916" spans="2:24">
      <c r="B1916" t="s">
        <v>382</v>
      </c>
      <c r="C1916" t="s">
        <v>62</v>
      </c>
      <c r="D1916" t="s">
        <v>406</v>
      </c>
      <c r="E1916" t="s">
        <v>137</v>
      </c>
      <c r="F1916">
        <v>1</v>
      </c>
      <c r="G1916">
        <v>82</v>
      </c>
      <c r="H1916">
        <v>442</v>
      </c>
      <c r="I1916" s="122">
        <v>28199</v>
      </c>
      <c r="J1916" s="122">
        <v>25636</v>
      </c>
      <c r="K1916">
        <v>65</v>
      </c>
      <c r="L1916">
        <v>0</v>
      </c>
      <c r="M1916">
        <v>0</v>
      </c>
      <c r="N1916" s="122">
        <v>1992</v>
      </c>
      <c r="O1916">
        <v>738</v>
      </c>
      <c r="P1916">
        <v>621</v>
      </c>
      <c r="Q1916">
        <v>230</v>
      </c>
      <c r="R1916" s="122">
        <v>5284</v>
      </c>
      <c r="S1916" s="122">
        <v>1957</v>
      </c>
      <c r="T1916">
        <v>0</v>
      </c>
      <c r="U1916">
        <v>0</v>
      </c>
      <c r="V1916" s="122">
        <v>28560</v>
      </c>
      <c r="W1916" s="122">
        <f t="shared" si="60"/>
        <v>28561</v>
      </c>
      <c r="X1916" s="122">
        <f t="shared" si="61"/>
        <v>36096</v>
      </c>
    </row>
    <row r="1917" spans="2:24">
      <c r="B1917" t="s">
        <v>382</v>
      </c>
      <c r="C1917" t="s">
        <v>62</v>
      </c>
      <c r="D1917" t="s">
        <v>406</v>
      </c>
      <c r="E1917" t="s">
        <v>406</v>
      </c>
      <c r="F1917">
        <v>3</v>
      </c>
      <c r="G1917">
        <v>278</v>
      </c>
      <c r="H1917" s="122">
        <v>1209</v>
      </c>
      <c r="I1917" s="122">
        <v>87171</v>
      </c>
      <c r="J1917" s="122">
        <v>79246</v>
      </c>
      <c r="K1917">
        <v>70</v>
      </c>
      <c r="L1917" s="122">
        <v>19516</v>
      </c>
      <c r="M1917" s="122">
        <v>15903</v>
      </c>
      <c r="N1917" s="122">
        <v>7272</v>
      </c>
      <c r="O1917" s="122">
        <v>2693</v>
      </c>
      <c r="P1917" s="122">
        <v>1863</v>
      </c>
      <c r="Q1917">
        <v>690</v>
      </c>
      <c r="R1917" s="122">
        <v>12841</v>
      </c>
      <c r="S1917" s="122">
        <v>11673</v>
      </c>
      <c r="T1917" s="122">
        <v>7197</v>
      </c>
      <c r="U1917" s="122">
        <v>2666</v>
      </c>
      <c r="V1917" s="122">
        <v>112872</v>
      </c>
      <c r="W1917" s="122">
        <f t="shared" si="60"/>
        <v>112871</v>
      </c>
      <c r="X1917" s="122">
        <f t="shared" si="61"/>
        <v>135860</v>
      </c>
    </row>
    <row r="1918" spans="2:24">
      <c r="B1918" t="s">
        <v>382</v>
      </c>
      <c r="C1918" t="s">
        <v>62</v>
      </c>
      <c r="D1918" t="s">
        <v>427</v>
      </c>
      <c r="E1918" t="s">
        <v>427</v>
      </c>
      <c r="F1918">
        <v>1</v>
      </c>
      <c r="G1918">
        <v>57</v>
      </c>
      <c r="H1918">
        <v>407</v>
      </c>
      <c r="I1918" s="122">
        <v>13132</v>
      </c>
      <c r="J1918" s="122">
        <v>11938</v>
      </c>
      <c r="K1918">
        <v>55</v>
      </c>
      <c r="L1918" s="122">
        <v>1970</v>
      </c>
      <c r="M1918">
        <v>730</v>
      </c>
      <c r="N1918">
        <v>693</v>
      </c>
      <c r="O1918">
        <v>257</v>
      </c>
      <c r="P1918">
        <v>0</v>
      </c>
      <c r="Q1918">
        <v>0</v>
      </c>
      <c r="R1918" s="122">
        <v>5081</v>
      </c>
      <c r="S1918" s="122">
        <v>4619</v>
      </c>
      <c r="T1918" s="122">
        <v>2291</v>
      </c>
      <c r="U1918">
        <v>849</v>
      </c>
      <c r="V1918" s="122">
        <v>18392</v>
      </c>
      <c r="W1918" s="122">
        <f t="shared" si="60"/>
        <v>18393</v>
      </c>
      <c r="X1918" s="122">
        <f t="shared" si="61"/>
        <v>23167</v>
      </c>
    </row>
    <row r="1919" spans="2:24">
      <c r="B1919" t="s">
        <v>382</v>
      </c>
      <c r="C1919" t="s">
        <v>62</v>
      </c>
      <c r="D1919" t="s">
        <v>556</v>
      </c>
      <c r="E1919" t="s">
        <v>556</v>
      </c>
      <c r="F1919">
        <v>2</v>
      </c>
      <c r="G1919">
        <v>72</v>
      </c>
      <c r="H1919">
        <v>806</v>
      </c>
      <c r="I1919" s="122">
        <v>12260</v>
      </c>
      <c r="J1919" s="122">
        <v>10216</v>
      </c>
      <c r="K1919">
        <v>55</v>
      </c>
      <c r="L1919">
        <v>0</v>
      </c>
      <c r="M1919">
        <v>0</v>
      </c>
      <c r="N1919" s="122">
        <v>1241</v>
      </c>
      <c r="O1919">
        <v>460</v>
      </c>
      <c r="P1919">
        <v>702</v>
      </c>
      <c r="Q1919">
        <v>260</v>
      </c>
      <c r="R1919" s="122">
        <v>10523</v>
      </c>
      <c r="S1919" s="122">
        <v>8769</v>
      </c>
      <c r="T1919" s="122">
        <v>4240</v>
      </c>
      <c r="U1919" s="122">
        <v>1570</v>
      </c>
      <c r="V1919" s="122">
        <v>21276</v>
      </c>
      <c r="W1919" s="122">
        <f t="shared" si="60"/>
        <v>21275</v>
      </c>
      <c r="X1919" s="122">
        <f t="shared" si="61"/>
        <v>28966</v>
      </c>
    </row>
    <row r="1920" spans="2:24">
      <c r="B1920" t="s">
        <v>382</v>
      </c>
      <c r="C1920" t="s">
        <v>62</v>
      </c>
      <c r="D1920" t="s">
        <v>426</v>
      </c>
      <c r="E1920" t="s">
        <v>426</v>
      </c>
      <c r="F1920">
        <v>2</v>
      </c>
      <c r="G1920">
        <v>106</v>
      </c>
      <c r="H1920">
        <v>867</v>
      </c>
      <c r="I1920" s="122">
        <v>24499</v>
      </c>
      <c r="J1920" s="122">
        <v>22272</v>
      </c>
      <c r="K1920">
        <v>45</v>
      </c>
      <c r="L1920">
        <v>0</v>
      </c>
      <c r="M1920">
        <v>0</v>
      </c>
      <c r="N1920" s="122">
        <v>2496</v>
      </c>
      <c r="O1920">
        <v>925</v>
      </c>
      <c r="P1920">
        <v>702</v>
      </c>
      <c r="Q1920">
        <v>260</v>
      </c>
      <c r="R1920" s="122">
        <v>13194</v>
      </c>
      <c r="S1920" s="122">
        <v>11994</v>
      </c>
      <c r="T1920" s="122">
        <v>5004</v>
      </c>
      <c r="U1920" s="122">
        <v>1853</v>
      </c>
      <c r="V1920" s="122">
        <v>37304</v>
      </c>
      <c r="W1920" s="122">
        <f t="shared" si="60"/>
        <v>37304</v>
      </c>
      <c r="X1920" s="122">
        <f t="shared" si="61"/>
        <v>45895</v>
      </c>
    </row>
    <row r="1921" spans="2:24">
      <c r="B1921" t="s">
        <v>382</v>
      </c>
      <c r="C1921" t="s">
        <v>64</v>
      </c>
      <c r="F1921">
        <v>2</v>
      </c>
      <c r="G1921">
        <v>178</v>
      </c>
      <c r="H1921" s="122">
        <v>1082</v>
      </c>
      <c r="J1921">
        <v>0</v>
      </c>
      <c r="M1921">
        <v>0</v>
      </c>
      <c r="N1921" s="122">
        <v>4328</v>
      </c>
      <c r="O1921" s="122">
        <v>1603</v>
      </c>
      <c r="P1921" s="122">
        <v>1242</v>
      </c>
      <c r="Q1921">
        <v>460</v>
      </c>
      <c r="S1921">
        <v>0</v>
      </c>
      <c r="T1921">
        <v>0</v>
      </c>
      <c r="U1921">
        <v>0</v>
      </c>
      <c r="V1921" s="122">
        <v>2063</v>
      </c>
      <c r="W1921" s="122">
        <f t="shared" si="60"/>
        <v>2063</v>
      </c>
      <c r="X1921" s="122">
        <f t="shared" si="61"/>
        <v>5570</v>
      </c>
    </row>
    <row r="1922" spans="2:24">
      <c r="B1922" t="s">
        <v>382</v>
      </c>
      <c r="C1922" t="s">
        <v>64</v>
      </c>
      <c r="D1922" t="s">
        <v>425</v>
      </c>
      <c r="E1922" t="s">
        <v>137</v>
      </c>
      <c r="F1922">
        <v>1</v>
      </c>
      <c r="G1922">
        <v>120</v>
      </c>
      <c r="H1922">
        <v>462</v>
      </c>
      <c r="I1922" s="122">
        <v>40138</v>
      </c>
      <c r="J1922" s="122">
        <v>36489</v>
      </c>
      <c r="K1922">
        <v>65</v>
      </c>
      <c r="L1922" s="122">
        <v>4594</v>
      </c>
      <c r="M1922" s="122">
        <v>4176</v>
      </c>
      <c r="N1922" s="122">
        <v>2701</v>
      </c>
      <c r="O1922" s="122">
        <v>1001</v>
      </c>
      <c r="P1922">
        <v>824</v>
      </c>
      <c r="Q1922">
        <v>305</v>
      </c>
      <c r="R1922" s="122">
        <v>7106</v>
      </c>
      <c r="S1922" s="122">
        <v>2632</v>
      </c>
      <c r="T1922">
        <v>0</v>
      </c>
      <c r="U1922">
        <v>0</v>
      </c>
      <c r="V1922" s="122">
        <v>44603</v>
      </c>
      <c r="W1922" s="122">
        <f t="shared" si="60"/>
        <v>44603</v>
      </c>
      <c r="X1922" s="122">
        <f t="shared" si="61"/>
        <v>55363</v>
      </c>
    </row>
    <row r="1923" spans="2:24">
      <c r="B1923" t="s">
        <v>382</v>
      </c>
      <c r="C1923" t="s">
        <v>64</v>
      </c>
      <c r="D1923" t="s">
        <v>405</v>
      </c>
      <c r="E1923" t="s">
        <v>405</v>
      </c>
      <c r="F1923">
        <v>1</v>
      </c>
      <c r="G1923">
        <v>81</v>
      </c>
      <c r="H1923">
        <v>476</v>
      </c>
      <c r="I1923" s="122">
        <v>27144</v>
      </c>
      <c r="J1923" s="122">
        <v>24676</v>
      </c>
      <c r="K1923">
        <v>65</v>
      </c>
      <c r="L1923" s="122">
        <v>3921</v>
      </c>
      <c r="M1923" s="122">
        <v>3564</v>
      </c>
      <c r="N1923" s="122">
        <v>1755</v>
      </c>
      <c r="O1923">
        <v>650</v>
      </c>
      <c r="P1923">
        <v>621</v>
      </c>
      <c r="Q1923">
        <v>230</v>
      </c>
      <c r="R1923" s="122">
        <v>3596</v>
      </c>
      <c r="S1923" s="122">
        <v>3269</v>
      </c>
      <c r="T1923" s="122">
        <v>1739</v>
      </c>
      <c r="U1923">
        <v>644</v>
      </c>
      <c r="V1923" s="122">
        <v>33034</v>
      </c>
      <c r="W1923" s="122">
        <f t="shared" si="60"/>
        <v>33033</v>
      </c>
      <c r="X1923" s="122">
        <f t="shared" si="61"/>
        <v>38776</v>
      </c>
    </row>
    <row r="1924" spans="2:24">
      <c r="B1924" t="s">
        <v>382</v>
      </c>
      <c r="C1924" t="s">
        <v>64</v>
      </c>
      <c r="D1924" t="s">
        <v>405</v>
      </c>
      <c r="E1924" t="s">
        <v>137</v>
      </c>
      <c r="F1924">
        <v>1</v>
      </c>
      <c r="G1924">
        <v>75</v>
      </c>
      <c r="H1924">
        <v>550</v>
      </c>
      <c r="I1924" s="122">
        <v>30665</v>
      </c>
      <c r="J1924" s="122">
        <v>27877</v>
      </c>
      <c r="K1924">
        <v>55</v>
      </c>
      <c r="L1924" s="122">
        <v>2823</v>
      </c>
      <c r="M1924" s="122">
        <v>2566</v>
      </c>
      <c r="N1924" s="122">
        <v>1732</v>
      </c>
      <c r="O1924">
        <v>641</v>
      </c>
      <c r="P1924">
        <v>621</v>
      </c>
      <c r="Q1924">
        <v>230</v>
      </c>
      <c r="R1924" s="122">
        <v>5263</v>
      </c>
      <c r="S1924" s="122">
        <v>1949</v>
      </c>
      <c r="T1924">
        <v>0</v>
      </c>
      <c r="U1924">
        <v>0</v>
      </c>
      <c r="V1924" s="122">
        <v>33264</v>
      </c>
      <c r="W1924" s="122">
        <f t="shared" si="60"/>
        <v>33263</v>
      </c>
      <c r="X1924" s="122">
        <f t="shared" si="61"/>
        <v>41104</v>
      </c>
    </row>
    <row r="1925" spans="2:24">
      <c r="B1925" t="s">
        <v>382</v>
      </c>
      <c r="C1925" t="s">
        <v>64</v>
      </c>
      <c r="D1925" t="s">
        <v>137</v>
      </c>
      <c r="E1925" t="s">
        <v>137</v>
      </c>
      <c r="F1925">
        <v>33</v>
      </c>
      <c r="G1925" s="122">
        <v>1668</v>
      </c>
      <c r="H1925" s="122">
        <v>20069</v>
      </c>
      <c r="I1925" s="122">
        <v>727238</v>
      </c>
      <c r="J1925" s="122">
        <v>269347</v>
      </c>
      <c r="K1925">
        <v>100</v>
      </c>
      <c r="L1925" s="122">
        <v>90784</v>
      </c>
      <c r="M1925" s="122">
        <v>56179</v>
      </c>
      <c r="N1925" s="122">
        <v>36591</v>
      </c>
      <c r="O1925" s="122">
        <v>13552</v>
      </c>
      <c r="P1925">
        <v>0</v>
      </c>
      <c r="Q1925">
        <v>0</v>
      </c>
      <c r="R1925" s="122">
        <v>175186</v>
      </c>
      <c r="S1925" s="122">
        <v>64884</v>
      </c>
      <c r="T1925" s="122">
        <v>1661</v>
      </c>
      <c r="U1925">
        <v>615</v>
      </c>
      <c r="V1925" s="122">
        <v>404577</v>
      </c>
      <c r="W1925" s="122">
        <f t="shared" si="60"/>
        <v>404577</v>
      </c>
      <c r="X1925" s="122">
        <f t="shared" si="61"/>
        <v>1031460</v>
      </c>
    </row>
    <row r="1926" spans="2:24">
      <c r="B1926" t="s">
        <v>382</v>
      </c>
      <c r="C1926" t="s">
        <v>64</v>
      </c>
      <c r="D1926" t="s">
        <v>137</v>
      </c>
      <c r="E1926" t="s">
        <v>426</v>
      </c>
      <c r="F1926">
        <v>1</v>
      </c>
      <c r="G1926">
        <v>48</v>
      </c>
      <c r="H1926">
        <v>625</v>
      </c>
      <c r="I1926" s="122">
        <v>17791</v>
      </c>
      <c r="J1926" s="122">
        <v>6589</v>
      </c>
      <c r="K1926">
        <v>100</v>
      </c>
      <c r="L1926" s="122">
        <v>2558</v>
      </c>
      <c r="M1926" s="122">
        <v>2326</v>
      </c>
      <c r="N1926" s="122">
        <v>1179</v>
      </c>
      <c r="O1926">
        <v>437</v>
      </c>
      <c r="P1926">
        <v>0</v>
      </c>
      <c r="Q1926">
        <v>0</v>
      </c>
      <c r="R1926" s="122">
        <v>6123</v>
      </c>
      <c r="S1926" s="122">
        <v>5567</v>
      </c>
      <c r="T1926" s="122">
        <v>2614</v>
      </c>
      <c r="U1926">
        <v>968</v>
      </c>
      <c r="V1926" s="122">
        <v>15887</v>
      </c>
      <c r="W1926" s="122">
        <f t="shared" si="60"/>
        <v>15887</v>
      </c>
      <c r="X1926" s="122">
        <f t="shared" si="61"/>
        <v>30265</v>
      </c>
    </row>
    <row r="1927" spans="2:24">
      <c r="B1927" t="s">
        <v>382</v>
      </c>
      <c r="C1927" t="s">
        <v>64</v>
      </c>
      <c r="D1927" t="s">
        <v>406</v>
      </c>
      <c r="E1927" t="s">
        <v>406</v>
      </c>
      <c r="F1927">
        <v>6</v>
      </c>
      <c r="G1927">
        <v>461</v>
      </c>
      <c r="H1927" s="122">
        <v>3251</v>
      </c>
      <c r="I1927" s="122">
        <v>170700</v>
      </c>
      <c r="J1927" s="122">
        <v>155182</v>
      </c>
      <c r="K1927">
        <v>70</v>
      </c>
      <c r="L1927" s="122">
        <v>29130</v>
      </c>
      <c r="M1927" s="122">
        <v>22474</v>
      </c>
      <c r="N1927" s="122">
        <v>9519</v>
      </c>
      <c r="O1927" s="122">
        <v>3526</v>
      </c>
      <c r="P1927" s="122">
        <v>3375</v>
      </c>
      <c r="Q1927" s="122">
        <v>1250</v>
      </c>
      <c r="R1927" s="122">
        <v>24854</v>
      </c>
      <c r="S1927" s="122">
        <v>22595</v>
      </c>
      <c r="T1927" s="122">
        <v>14011</v>
      </c>
      <c r="U1927" s="122">
        <v>5189</v>
      </c>
      <c r="V1927" s="122">
        <v>210216</v>
      </c>
      <c r="W1927" s="122">
        <f t="shared" si="60"/>
        <v>210216</v>
      </c>
      <c r="X1927" s="122">
        <f t="shared" si="61"/>
        <v>251589</v>
      </c>
    </row>
    <row r="1928" spans="2:24">
      <c r="B1928" t="s">
        <v>382</v>
      </c>
      <c r="C1928" t="s">
        <v>64</v>
      </c>
      <c r="D1928" t="s">
        <v>556</v>
      </c>
      <c r="E1928" t="s">
        <v>137</v>
      </c>
      <c r="F1928">
        <v>1</v>
      </c>
      <c r="G1928">
        <v>56</v>
      </c>
      <c r="H1928" s="122">
        <v>1368</v>
      </c>
      <c r="I1928" s="122">
        <v>65682</v>
      </c>
      <c r="J1928" s="122">
        <v>54735</v>
      </c>
      <c r="K1928">
        <v>30</v>
      </c>
      <c r="L1928" s="122">
        <v>4926</v>
      </c>
      <c r="M1928" s="122">
        <v>1824</v>
      </c>
      <c r="N1928" s="122">
        <v>1239</v>
      </c>
      <c r="O1928">
        <v>459</v>
      </c>
      <c r="P1928">
        <v>0</v>
      </c>
      <c r="Q1928">
        <v>0</v>
      </c>
      <c r="R1928" s="122">
        <v>4187</v>
      </c>
      <c r="S1928" s="122">
        <v>1551</v>
      </c>
      <c r="T1928">
        <v>0</v>
      </c>
      <c r="U1928">
        <v>0</v>
      </c>
      <c r="V1928" s="122">
        <v>58569</v>
      </c>
      <c r="W1928" s="122">
        <f t="shared" si="60"/>
        <v>58569</v>
      </c>
      <c r="X1928" s="122">
        <f t="shared" si="61"/>
        <v>76034</v>
      </c>
    </row>
    <row r="1929" spans="2:24">
      <c r="B1929" t="s">
        <v>382</v>
      </c>
      <c r="C1929" t="s">
        <v>64</v>
      </c>
      <c r="D1929" t="s">
        <v>556</v>
      </c>
      <c r="E1929" t="s">
        <v>556</v>
      </c>
      <c r="F1929">
        <v>2</v>
      </c>
      <c r="G1929">
        <v>70</v>
      </c>
      <c r="H1929" s="122">
        <v>1184</v>
      </c>
      <c r="I1929" s="122">
        <v>28268</v>
      </c>
      <c r="J1929" s="122">
        <v>23557</v>
      </c>
      <c r="K1929">
        <v>55</v>
      </c>
      <c r="L1929">
        <v>0</v>
      </c>
      <c r="M1929">
        <v>0</v>
      </c>
      <c r="N1929" s="122">
        <v>1406</v>
      </c>
      <c r="O1929">
        <v>521</v>
      </c>
      <c r="P1929">
        <v>702</v>
      </c>
      <c r="Q1929">
        <v>260</v>
      </c>
      <c r="R1929" s="122">
        <v>7833</v>
      </c>
      <c r="S1929" s="122">
        <v>6527</v>
      </c>
      <c r="T1929" s="122">
        <v>2600</v>
      </c>
      <c r="U1929">
        <v>963</v>
      </c>
      <c r="V1929" s="122">
        <v>31828</v>
      </c>
      <c r="W1929" s="122">
        <f t="shared" si="60"/>
        <v>31828</v>
      </c>
      <c r="X1929" s="122">
        <f t="shared" si="61"/>
        <v>40809</v>
      </c>
    </row>
    <row r="1930" spans="2:24">
      <c r="B1930" t="s">
        <v>382</v>
      </c>
      <c r="C1930" t="s">
        <v>64</v>
      </c>
      <c r="D1930" t="s">
        <v>426</v>
      </c>
      <c r="E1930" t="s">
        <v>137</v>
      </c>
      <c r="F1930">
        <v>1</v>
      </c>
      <c r="G1930">
        <v>39</v>
      </c>
      <c r="H1930" s="122">
        <v>1714</v>
      </c>
      <c r="I1930" s="122">
        <v>54603</v>
      </c>
      <c r="J1930" s="122">
        <v>49639</v>
      </c>
      <c r="K1930">
        <v>30</v>
      </c>
      <c r="L1930" s="122">
        <v>4468</v>
      </c>
      <c r="M1930" s="122">
        <v>1655</v>
      </c>
      <c r="N1930">
        <v>949</v>
      </c>
      <c r="O1930">
        <v>352</v>
      </c>
      <c r="P1930">
        <v>0</v>
      </c>
      <c r="Q1930">
        <v>0</v>
      </c>
      <c r="R1930" s="122">
        <v>6745</v>
      </c>
      <c r="S1930" s="122">
        <v>2498</v>
      </c>
      <c r="T1930">
        <v>0</v>
      </c>
      <c r="U1930">
        <v>0</v>
      </c>
      <c r="V1930" s="122">
        <v>54143</v>
      </c>
      <c r="W1930" s="122">
        <f t="shared" si="60"/>
        <v>54144</v>
      </c>
      <c r="X1930" s="122">
        <f t="shared" si="61"/>
        <v>66765</v>
      </c>
    </row>
    <row r="1931" spans="2:24">
      <c r="B1931" t="s">
        <v>382</v>
      </c>
      <c r="C1931" t="s">
        <v>64</v>
      </c>
      <c r="D1931" t="s">
        <v>426</v>
      </c>
      <c r="E1931" t="s">
        <v>426</v>
      </c>
      <c r="F1931">
        <v>1</v>
      </c>
      <c r="G1931">
        <v>84</v>
      </c>
      <c r="H1931">
        <v>824</v>
      </c>
      <c r="I1931" s="122">
        <v>51167</v>
      </c>
      <c r="J1931" s="122">
        <v>46515</v>
      </c>
      <c r="K1931">
        <v>45</v>
      </c>
      <c r="L1931" s="122">
        <v>8528</v>
      </c>
      <c r="M1931" s="122">
        <v>7753</v>
      </c>
      <c r="N1931" s="122">
        <v>1781</v>
      </c>
      <c r="O1931">
        <v>659</v>
      </c>
      <c r="P1931">
        <v>351</v>
      </c>
      <c r="Q1931">
        <v>130</v>
      </c>
      <c r="R1931" s="122">
        <v>5247</v>
      </c>
      <c r="S1931" s="122">
        <v>4770</v>
      </c>
      <c r="T1931" s="122">
        <v>1767</v>
      </c>
      <c r="U1931">
        <v>655</v>
      </c>
      <c r="V1931" s="122">
        <v>60482</v>
      </c>
      <c r="W1931" s="122">
        <f t="shared" si="60"/>
        <v>60482</v>
      </c>
      <c r="X1931" s="122">
        <f t="shared" si="61"/>
        <v>68841</v>
      </c>
    </row>
    <row r="1932" spans="2:24">
      <c r="B1932" t="s">
        <v>474</v>
      </c>
      <c r="C1932" t="s">
        <v>48</v>
      </c>
      <c r="F1932">
        <v>1</v>
      </c>
      <c r="G1932">
        <v>95</v>
      </c>
      <c r="H1932">
        <v>75</v>
      </c>
      <c r="J1932">
        <v>0</v>
      </c>
      <c r="M1932">
        <v>0</v>
      </c>
      <c r="N1932" s="122">
        <v>1158</v>
      </c>
      <c r="O1932">
        <v>429</v>
      </c>
      <c r="P1932">
        <v>351</v>
      </c>
      <c r="Q1932">
        <v>130</v>
      </c>
      <c r="S1932">
        <v>0</v>
      </c>
      <c r="T1932">
        <v>0</v>
      </c>
      <c r="U1932">
        <v>0</v>
      </c>
      <c r="V1932">
        <v>559</v>
      </c>
      <c r="W1932" s="122">
        <f t="shared" si="60"/>
        <v>559</v>
      </c>
      <c r="X1932" s="122">
        <f t="shared" si="61"/>
        <v>1509</v>
      </c>
    </row>
    <row r="1933" spans="2:24">
      <c r="B1933" t="s">
        <v>474</v>
      </c>
      <c r="C1933" t="s">
        <v>48</v>
      </c>
      <c r="D1933" t="s">
        <v>137</v>
      </c>
      <c r="E1933" t="s">
        <v>137</v>
      </c>
      <c r="F1933">
        <v>1</v>
      </c>
      <c r="G1933">
        <v>80</v>
      </c>
      <c r="H1933">
        <v>72</v>
      </c>
      <c r="I1933" s="122">
        <v>-1761</v>
      </c>
      <c r="J1933">
        <v>-652</v>
      </c>
      <c r="K1933">
        <v>300</v>
      </c>
      <c r="L1933">
        <v>-279</v>
      </c>
      <c r="M1933">
        <v>-254</v>
      </c>
      <c r="N1933">
        <v>972</v>
      </c>
      <c r="O1933">
        <v>360</v>
      </c>
      <c r="P1933">
        <v>351</v>
      </c>
      <c r="Q1933">
        <v>130</v>
      </c>
      <c r="R1933" s="122">
        <v>6476</v>
      </c>
      <c r="S1933" s="122">
        <v>2398</v>
      </c>
      <c r="T1933">
        <v>0</v>
      </c>
      <c r="U1933">
        <v>0</v>
      </c>
      <c r="V1933" s="122">
        <v>1982</v>
      </c>
      <c r="W1933" s="122">
        <f t="shared" si="60"/>
        <v>3794</v>
      </c>
      <c r="X1933" s="122">
        <f t="shared" si="61"/>
        <v>9839</v>
      </c>
    </row>
    <row r="1934" spans="2:24">
      <c r="B1934" t="s">
        <v>474</v>
      </c>
      <c r="C1934" t="s">
        <v>50</v>
      </c>
      <c r="F1934">
        <v>4</v>
      </c>
      <c r="G1934">
        <v>402</v>
      </c>
      <c r="H1934">
        <v>355</v>
      </c>
      <c r="J1934">
        <v>0</v>
      </c>
      <c r="M1934">
        <v>0</v>
      </c>
      <c r="N1934" s="122">
        <v>4893</v>
      </c>
      <c r="O1934" s="122">
        <v>1812</v>
      </c>
      <c r="P1934" s="122">
        <v>1404</v>
      </c>
      <c r="Q1934">
        <v>520</v>
      </c>
      <c r="S1934">
        <v>0</v>
      </c>
      <c r="T1934">
        <v>0</v>
      </c>
      <c r="U1934">
        <v>0</v>
      </c>
      <c r="V1934" s="122">
        <v>2332</v>
      </c>
      <c r="W1934" s="122">
        <f t="shared" si="60"/>
        <v>2332</v>
      </c>
      <c r="X1934" s="122">
        <f t="shared" si="61"/>
        <v>6297</v>
      </c>
    </row>
    <row r="1935" spans="2:24">
      <c r="B1935" t="s">
        <v>474</v>
      </c>
      <c r="C1935" t="s">
        <v>50</v>
      </c>
      <c r="D1935" t="s">
        <v>137</v>
      </c>
      <c r="E1935" t="s">
        <v>137</v>
      </c>
      <c r="F1935">
        <v>5</v>
      </c>
      <c r="G1935">
        <v>400</v>
      </c>
      <c r="H1935">
        <v>468</v>
      </c>
      <c r="I1935" s="122">
        <v>9621</v>
      </c>
      <c r="J1935" s="122">
        <v>3563</v>
      </c>
      <c r="K1935">
        <v>376</v>
      </c>
      <c r="L1935" s="122">
        <v>4956</v>
      </c>
      <c r="M1935" s="122">
        <v>4461</v>
      </c>
      <c r="N1935" s="122">
        <v>4876</v>
      </c>
      <c r="O1935" s="122">
        <v>1806</v>
      </c>
      <c r="P1935" s="122">
        <v>1755</v>
      </c>
      <c r="Q1935">
        <v>650</v>
      </c>
      <c r="R1935" s="122">
        <v>16150</v>
      </c>
      <c r="S1935" s="122">
        <v>5981</v>
      </c>
      <c r="T1935">
        <v>0</v>
      </c>
      <c r="U1935">
        <v>0</v>
      </c>
      <c r="V1935" s="122">
        <v>16461</v>
      </c>
      <c r="W1935" s="122">
        <f t="shared" si="60"/>
        <v>16461</v>
      </c>
      <c r="X1935" s="122">
        <f t="shared" si="61"/>
        <v>37358</v>
      </c>
    </row>
    <row r="1936" spans="2:24">
      <c r="B1936" t="s">
        <v>474</v>
      </c>
      <c r="C1936" t="s">
        <v>52</v>
      </c>
      <c r="D1936" t="s">
        <v>137</v>
      </c>
      <c r="E1936" t="s">
        <v>137</v>
      </c>
      <c r="F1936">
        <v>6</v>
      </c>
      <c r="G1936">
        <v>376</v>
      </c>
      <c r="H1936">
        <v>679</v>
      </c>
      <c r="I1936" s="122">
        <v>10313</v>
      </c>
      <c r="J1936" s="122">
        <v>3820</v>
      </c>
      <c r="K1936">
        <v>342</v>
      </c>
      <c r="L1936" s="122">
        <v>5652</v>
      </c>
      <c r="M1936" s="122">
        <v>5138</v>
      </c>
      <c r="N1936" s="122">
        <v>5329</v>
      </c>
      <c r="O1936" s="122">
        <v>1974</v>
      </c>
      <c r="P1936" s="122">
        <v>1755</v>
      </c>
      <c r="Q1936">
        <v>650</v>
      </c>
      <c r="R1936" s="122">
        <v>19059</v>
      </c>
      <c r="S1936" s="122">
        <v>7059</v>
      </c>
      <c r="T1936">
        <v>0</v>
      </c>
      <c r="U1936">
        <v>0</v>
      </c>
      <c r="V1936" s="122">
        <v>18640</v>
      </c>
      <c r="W1936" s="122">
        <f t="shared" si="60"/>
        <v>18641</v>
      </c>
      <c r="X1936" s="122">
        <f t="shared" si="61"/>
        <v>42108</v>
      </c>
    </row>
    <row r="1937" spans="2:24">
      <c r="B1937" t="s">
        <v>474</v>
      </c>
      <c r="C1937" t="s">
        <v>52</v>
      </c>
      <c r="D1937" t="s">
        <v>406</v>
      </c>
      <c r="E1937" t="s">
        <v>406</v>
      </c>
      <c r="F1937">
        <v>2</v>
      </c>
      <c r="G1937">
        <v>229</v>
      </c>
      <c r="H1937">
        <v>245</v>
      </c>
      <c r="I1937" s="122">
        <v>14201</v>
      </c>
      <c r="J1937" s="122">
        <v>12910</v>
      </c>
      <c r="K1937">
        <v>94</v>
      </c>
      <c r="L1937" s="122">
        <v>2320</v>
      </c>
      <c r="M1937" s="122">
        <v>2109</v>
      </c>
      <c r="N1937" s="122">
        <v>2884</v>
      </c>
      <c r="O1937" s="122">
        <v>1068</v>
      </c>
      <c r="P1937" s="122">
        <v>1242</v>
      </c>
      <c r="Q1937">
        <v>460</v>
      </c>
      <c r="R1937" s="122">
        <v>6641</v>
      </c>
      <c r="S1937" s="122">
        <v>6037</v>
      </c>
      <c r="T1937">
        <v>817</v>
      </c>
      <c r="U1937">
        <v>302</v>
      </c>
      <c r="V1937" s="122">
        <v>22887</v>
      </c>
      <c r="W1937" s="122">
        <f t="shared" si="60"/>
        <v>22886</v>
      </c>
      <c r="X1937" s="122">
        <f t="shared" si="61"/>
        <v>28105</v>
      </c>
    </row>
    <row r="1938" spans="2:24">
      <c r="B1938" t="s">
        <v>474</v>
      </c>
      <c r="C1938" t="s">
        <v>52</v>
      </c>
      <c r="D1938" t="s">
        <v>407</v>
      </c>
      <c r="E1938" t="s">
        <v>407</v>
      </c>
      <c r="F1938">
        <v>2</v>
      </c>
      <c r="G1938">
        <v>186</v>
      </c>
      <c r="H1938">
        <v>231</v>
      </c>
      <c r="I1938" s="122">
        <v>9956</v>
      </c>
      <c r="J1938" s="122">
        <v>9051</v>
      </c>
      <c r="K1938">
        <v>91</v>
      </c>
      <c r="L1938" s="122">
        <v>1681</v>
      </c>
      <c r="M1938" s="122">
        <v>1529</v>
      </c>
      <c r="N1938" s="122">
        <v>4521</v>
      </c>
      <c r="O1938" s="122">
        <v>1674</v>
      </c>
      <c r="P1938">
        <v>945</v>
      </c>
      <c r="Q1938">
        <v>350</v>
      </c>
      <c r="R1938" s="122">
        <v>4294</v>
      </c>
      <c r="S1938" s="122">
        <v>3903</v>
      </c>
      <c r="T1938">
        <v>0</v>
      </c>
      <c r="U1938">
        <v>0</v>
      </c>
      <c r="V1938" s="122">
        <v>16507</v>
      </c>
      <c r="W1938" s="122">
        <f t="shared" si="60"/>
        <v>16507</v>
      </c>
      <c r="X1938" s="122">
        <f t="shared" si="61"/>
        <v>21397</v>
      </c>
    </row>
    <row r="1939" spans="2:24">
      <c r="B1939" t="s">
        <v>474</v>
      </c>
      <c r="C1939" t="s">
        <v>54</v>
      </c>
      <c r="D1939" t="s">
        <v>137</v>
      </c>
      <c r="E1939" t="s">
        <v>137</v>
      </c>
      <c r="F1939">
        <v>22</v>
      </c>
      <c r="G1939" s="122">
        <v>1240</v>
      </c>
      <c r="H1939" s="122">
        <v>3048</v>
      </c>
      <c r="I1939" s="122">
        <v>37864</v>
      </c>
      <c r="J1939" s="122">
        <v>14024</v>
      </c>
      <c r="K1939">
        <v>208</v>
      </c>
      <c r="L1939" s="122">
        <v>8833</v>
      </c>
      <c r="M1939" s="122">
        <v>7274</v>
      </c>
      <c r="N1939" s="122">
        <v>20943</v>
      </c>
      <c r="O1939" s="122">
        <v>7757</v>
      </c>
      <c r="P1939" s="122">
        <v>5616</v>
      </c>
      <c r="Q1939" s="122">
        <v>2080</v>
      </c>
      <c r="R1939" s="122">
        <v>99269</v>
      </c>
      <c r="S1939" s="122">
        <v>36766</v>
      </c>
      <c r="T1939">
        <v>0</v>
      </c>
      <c r="U1939">
        <v>0</v>
      </c>
      <c r="V1939" s="122">
        <v>67901</v>
      </c>
      <c r="W1939" s="122">
        <f t="shared" si="60"/>
        <v>67901</v>
      </c>
      <c r="X1939" s="122">
        <f t="shared" si="61"/>
        <v>172525</v>
      </c>
    </row>
    <row r="1940" spans="2:24">
      <c r="B1940" t="s">
        <v>474</v>
      </c>
      <c r="C1940" t="s">
        <v>54</v>
      </c>
      <c r="D1940" t="s">
        <v>137</v>
      </c>
      <c r="E1940" t="s">
        <v>406</v>
      </c>
      <c r="F1940">
        <v>1</v>
      </c>
      <c r="G1940">
        <v>199</v>
      </c>
      <c r="H1940">
        <v>134</v>
      </c>
      <c r="I1940" s="122">
        <v>16294</v>
      </c>
      <c r="J1940" s="122">
        <v>6035</v>
      </c>
      <c r="K1940">
        <v>342</v>
      </c>
      <c r="L1940" s="122">
        <v>2061</v>
      </c>
      <c r="M1940" s="122">
        <v>1874</v>
      </c>
      <c r="N1940" s="122">
        <v>2427</v>
      </c>
      <c r="O1940">
        <v>899</v>
      </c>
      <c r="P1940">
        <v>972</v>
      </c>
      <c r="Q1940">
        <v>360</v>
      </c>
      <c r="R1940" s="122">
        <v>4936</v>
      </c>
      <c r="S1940" s="122">
        <v>4487</v>
      </c>
      <c r="T1940">
        <v>0</v>
      </c>
      <c r="U1940">
        <v>0</v>
      </c>
      <c r="V1940" s="122">
        <v>13655</v>
      </c>
      <c r="W1940" s="122">
        <f t="shared" si="60"/>
        <v>13655</v>
      </c>
      <c r="X1940" s="122">
        <f t="shared" si="61"/>
        <v>26690</v>
      </c>
    </row>
    <row r="1941" spans="2:24">
      <c r="B1941" t="s">
        <v>474</v>
      </c>
      <c r="C1941" t="s">
        <v>54</v>
      </c>
      <c r="D1941" t="s">
        <v>406</v>
      </c>
      <c r="E1941" t="s">
        <v>406</v>
      </c>
      <c r="F1941">
        <v>6</v>
      </c>
      <c r="G1941" s="122">
        <v>1377</v>
      </c>
      <c r="H1941">
        <v>835</v>
      </c>
      <c r="I1941" s="122">
        <v>101139</v>
      </c>
      <c r="J1941" s="122">
        <v>91944</v>
      </c>
      <c r="K1941">
        <v>89</v>
      </c>
      <c r="L1941" s="122">
        <v>21699</v>
      </c>
      <c r="M1941" s="122">
        <v>18752</v>
      </c>
      <c r="N1941" s="122">
        <v>26030</v>
      </c>
      <c r="O1941" s="122">
        <v>9641</v>
      </c>
      <c r="P1941" s="122">
        <v>3726</v>
      </c>
      <c r="Q1941" s="122">
        <v>1380</v>
      </c>
      <c r="R1941" s="122">
        <v>30309</v>
      </c>
      <c r="S1941" s="122">
        <v>27554</v>
      </c>
      <c r="T1941" s="122">
        <v>6208</v>
      </c>
      <c r="U1941" s="122">
        <v>2299</v>
      </c>
      <c r="V1941" s="122">
        <v>151570</v>
      </c>
      <c r="W1941" s="122">
        <f t="shared" si="60"/>
        <v>151570</v>
      </c>
      <c r="X1941" s="122">
        <f t="shared" si="61"/>
        <v>189111</v>
      </c>
    </row>
    <row r="1942" spans="2:24">
      <c r="B1942" t="s">
        <v>474</v>
      </c>
      <c r="C1942" t="s">
        <v>54</v>
      </c>
      <c r="D1942" t="s">
        <v>406</v>
      </c>
      <c r="E1942" t="s">
        <v>426</v>
      </c>
      <c r="F1942">
        <v>1</v>
      </c>
      <c r="G1942">
        <v>270</v>
      </c>
      <c r="H1942">
        <v>139</v>
      </c>
      <c r="I1942" s="122">
        <v>18966</v>
      </c>
      <c r="J1942" s="122">
        <v>17242</v>
      </c>
      <c r="K1942">
        <v>79</v>
      </c>
      <c r="L1942" s="122">
        <v>5268</v>
      </c>
      <c r="M1942" s="122">
        <v>4789</v>
      </c>
      <c r="N1942" s="122">
        <v>4276</v>
      </c>
      <c r="O1942" s="122">
        <v>1584</v>
      </c>
      <c r="P1942">
        <v>621</v>
      </c>
      <c r="Q1942">
        <v>230</v>
      </c>
      <c r="R1942" s="122">
        <v>8423</v>
      </c>
      <c r="S1942" s="122">
        <v>7658</v>
      </c>
      <c r="T1942">
        <v>0</v>
      </c>
      <c r="U1942">
        <v>0</v>
      </c>
      <c r="V1942" s="122">
        <v>31503</v>
      </c>
      <c r="W1942" s="122">
        <f t="shared" si="60"/>
        <v>31503</v>
      </c>
      <c r="X1942" s="122">
        <f t="shared" si="61"/>
        <v>37554</v>
      </c>
    </row>
    <row r="1943" spans="2:24">
      <c r="B1943" t="s">
        <v>474</v>
      </c>
      <c r="C1943" t="s">
        <v>54</v>
      </c>
      <c r="D1943" t="s">
        <v>407</v>
      </c>
      <c r="E1943" t="s">
        <v>407</v>
      </c>
      <c r="F1943">
        <v>9</v>
      </c>
      <c r="G1943">
        <v>967</v>
      </c>
      <c r="H1943" s="122">
        <v>1234</v>
      </c>
      <c r="I1943" s="122">
        <v>59972</v>
      </c>
      <c r="J1943" s="122">
        <v>54520</v>
      </c>
      <c r="K1943">
        <v>86</v>
      </c>
      <c r="L1943" s="122">
        <v>11411</v>
      </c>
      <c r="M1943" s="122">
        <v>9329</v>
      </c>
      <c r="N1943" s="122">
        <v>17610</v>
      </c>
      <c r="O1943" s="122">
        <v>6522</v>
      </c>
      <c r="P1943" s="122">
        <v>4604</v>
      </c>
      <c r="Q1943" s="122">
        <v>1705</v>
      </c>
      <c r="R1943" s="122">
        <v>36228</v>
      </c>
      <c r="S1943" s="122">
        <v>32935</v>
      </c>
      <c r="T1943" s="122">
        <v>2123</v>
      </c>
      <c r="U1943">
        <v>786</v>
      </c>
      <c r="V1943" s="122">
        <v>105798</v>
      </c>
      <c r="W1943" s="122">
        <f t="shared" si="60"/>
        <v>105797</v>
      </c>
      <c r="X1943" s="122">
        <f t="shared" si="61"/>
        <v>131948</v>
      </c>
    </row>
    <row r="1944" spans="2:24">
      <c r="B1944" t="s">
        <v>474</v>
      </c>
      <c r="C1944" t="s">
        <v>56</v>
      </c>
      <c r="F1944">
        <v>2</v>
      </c>
      <c r="G1944">
        <v>116</v>
      </c>
      <c r="H1944">
        <v>388</v>
      </c>
      <c r="J1944">
        <v>0</v>
      </c>
      <c r="M1944">
        <v>0</v>
      </c>
      <c r="N1944" s="122">
        <v>1460</v>
      </c>
      <c r="O1944">
        <v>541</v>
      </c>
      <c r="P1944">
        <v>351</v>
      </c>
      <c r="Q1944">
        <v>130</v>
      </c>
      <c r="S1944">
        <v>0</v>
      </c>
      <c r="T1944">
        <v>0</v>
      </c>
      <c r="U1944">
        <v>0</v>
      </c>
      <c r="V1944">
        <v>671</v>
      </c>
      <c r="W1944" s="122">
        <f t="shared" si="60"/>
        <v>671</v>
      </c>
      <c r="X1944" s="122">
        <f t="shared" si="61"/>
        <v>1811</v>
      </c>
    </row>
    <row r="1945" spans="2:24">
      <c r="B1945" t="s">
        <v>474</v>
      </c>
      <c r="C1945" t="s">
        <v>56</v>
      </c>
      <c r="D1945" t="s">
        <v>405</v>
      </c>
      <c r="E1945" t="s">
        <v>405</v>
      </c>
      <c r="F1945">
        <v>4</v>
      </c>
      <c r="G1945">
        <v>320</v>
      </c>
      <c r="H1945">
        <v>836</v>
      </c>
      <c r="I1945" s="122">
        <v>30342</v>
      </c>
      <c r="J1945" s="122">
        <v>27584</v>
      </c>
      <c r="K1945">
        <v>75</v>
      </c>
      <c r="L1945" s="122">
        <v>5388</v>
      </c>
      <c r="M1945" s="122">
        <v>2675</v>
      </c>
      <c r="N1945" s="122">
        <v>5746</v>
      </c>
      <c r="O1945" s="122">
        <v>2128</v>
      </c>
      <c r="P1945" s="122">
        <v>1890</v>
      </c>
      <c r="Q1945">
        <v>700</v>
      </c>
      <c r="R1945" s="122">
        <v>23492</v>
      </c>
      <c r="S1945" s="122">
        <v>21357</v>
      </c>
      <c r="T1945">
        <v>0</v>
      </c>
      <c r="U1945">
        <v>0</v>
      </c>
      <c r="V1945" s="122">
        <v>54443</v>
      </c>
      <c r="W1945" s="122">
        <f t="shared" si="60"/>
        <v>54444</v>
      </c>
      <c r="X1945" s="122">
        <f t="shared" si="61"/>
        <v>66858</v>
      </c>
    </row>
    <row r="1946" spans="2:24">
      <c r="B1946" t="s">
        <v>474</v>
      </c>
      <c r="C1946" t="s">
        <v>56</v>
      </c>
      <c r="D1946" t="s">
        <v>137</v>
      </c>
      <c r="E1946" t="s">
        <v>137</v>
      </c>
      <c r="F1946">
        <v>139</v>
      </c>
      <c r="G1946" s="122">
        <v>9533</v>
      </c>
      <c r="H1946" s="122">
        <v>27524</v>
      </c>
      <c r="I1946" s="122">
        <v>788654</v>
      </c>
      <c r="J1946" s="122">
        <v>292094</v>
      </c>
      <c r="K1946">
        <v>100</v>
      </c>
      <c r="L1946" s="122">
        <v>88585</v>
      </c>
      <c r="M1946" s="122">
        <v>32809</v>
      </c>
      <c r="N1946" s="122">
        <v>191992</v>
      </c>
      <c r="O1946" s="122">
        <v>71108</v>
      </c>
      <c r="P1946" s="122">
        <v>1256</v>
      </c>
      <c r="Q1946">
        <v>465</v>
      </c>
      <c r="R1946" s="122">
        <v>827578</v>
      </c>
      <c r="S1946" s="122">
        <v>306511</v>
      </c>
      <c r="T1946" s="122">
        <v>1697</v>
      </c>
      <c r="U1946">
        <v>629</v>
      </c>
      <c r="V1946" s="122">
        <v>703616</v>
      </c>
      <c r="W1946" s="122">
        <f t="shared" si="60"/>
        <v>703616</v>
      </c>
      <c r="X1946" s="122">
        <f t="shared" si="61"/>
        <v>1899762</v>
      </c>
    </row>
    <row r="1947" spans="2:24">
      <c r="B1947" t="s">
        <v>474</v>
      </c>
      <c r="C1947" t="s">
        <v>56</v>
      </c>
      <c r="D1947" t="s">
        <v>406</v>
      </c>
      <c r="E1947" t="s">
        <v>406</v>
      </c>
      <c r="F1947">
        <v>49</v>
      </c>
      <c r="G1947" s="122">
        <v>6497</v>
      </c>
      <c r="H1947" s="122">
        <v>9389</v>
      </c>
      <c r="I1947" s="122">
        <v>680777</v>
      </c>
      <c r="J1947" s="122">
        <v>618888</v>
      </c>
      <c r="K1947">
        <v>85</v>
      </c>
      <c r="L1947" s="122">
        <v>139857</v>
      </c>
      <c r="M1947" s="122">
        <v>126931</v>
      </c>
      <c r="N1947" s="122">
        <v>128840</v>
      </c>
      <c r="O1947" s="122">
        <v>47719</v>
      </c>
      <c r="P1947" s="122">
        <v>30780</v>
      </c>
      <c r="Q1947" s="122">
        <v>11400</v>
      </c>
      <c r="R1947" s="122">
        <v>236231</v>
      </c>
      <c r="S1947" s="122">
        <v>214755</v>
      </c>
      <c r="T1947" s="122">
        <v>57251</v>
      </c>
      <c r="U1947" s="122">
        <v>21204</v>
      </c>
      <c r="V1947" s="122">
        <v>1040897</v>
      </c>
      <c r="W1947" s="122">
        <f t="shared" si="60"/>
        <v>1040897</v>
      </c>
      <c r="X1947" s="122">
        <f t="shared" si="61"/>
        <v>1273736</v>
      </c>
    </row>
    <row r="1948" spans="2:24">
      <c r="B1948" t="s">
        <v>474</v>
      </c>
      <c r="C1948" t="s">
        <v>56</v>
      </c>
      <c r="D1948" t="s">
        <v>407</v>
      </c>
      <c r="E1948" t="s">
        <v>137</v>
      </c>
      <c r="F1948">
        <v>1</v>
      </c>
      <c r="G1948">
        <v>65</v>
      </c>
      <c r="H1948">
        <v>199</v>
      </c>
      <c r="I1948" s="122">
        <v>6013</v>
      </c>
      <c r="J1948" s="122">
        <v>5467</v>
      </c>
      <c r="K1948">
        <v>79</v>
      </c>
      <c r="L1948">
        <v>0</v>
      </c>
      <c r="M1948">
        <v>0</v>
      </c>
      <c r="N1948">
        <v>990</v>
      </c>
      <c r="O1948">
        <v>367</v>
      </c>
      <c r="P1948">
        <v>473</v>
      </c>
      <c r="Q1948">
        <v>175</v>
      </c>
      <c r="R1948" s="122">
        <v>5468</v>
      </c>
      <c r="S1948" s="122">
        <v>2025</v>
      </c>
      <c r="T1948">
        <v>0</v>
      </c>
      <c r="U1948">
        <v>0</v>
      </c>
      <c r="V1948" s="122">
        <v>8034</v>
      </c>
      <c r="W1948" s="122">
        <f t="shared" si="60"/>
        <v>8034</v>
      </c>
      <c r="X1948" s="122">
        <f t="shared" si="61"/>
        <v>12944</v>
      </c>
    </row>
    <row r="1949" spans="2:24">
      <c r="B1949" t="s">
        <v>474</v>
      </c>
      <c r="C1949" t="s">
        <v>56</v>
      </c>
      <c r="D1949" t="s">
        <v>407</v>
      </c>
      <c r="E1949" t="s">
        <v>407</v>
      </c>
      <c r="F1949">
        <v>57</v>
      </c>
      <c r="G1949" s="122">
        <v>4567</v>
      </c>
      <c r="H1949" s="122">
        <v>10931</v>
      </c>
      <c r="I1949" s="122">
        <v>463799</v>
      </c>
      <c r="J1949" s="122">
        <v>421635</v>
      </c>
      <c r="K1949">
        <v>82</v>
      </c>
      <c r="L1949" s="122">
        <v>49429</v>
      </c>
      <c r="M1949" s="122">
        <v>41174</v>
      </c>
      <c r="N1949" s="122">
        <v>86757</v>
      </c>
      <c r="O1949" s="122">
        <v>32132</v>
      </c>
      <c r="P1949" s="122">
        <v>26811</v>
      </c>
      <c r="Q1949" s="122">
        <v>9930</v>
      </c>
      <c r="R1949" s="122">
        <v>217873</v>
      </c>
      <c r="S1949" s="122">
        <v>198066</v>
      </c>
      <c r="T1949" s="122">
        <v>28315</v>
      </c>
      <c r="U1949" s="122">
        <v>10487</v>
      </c>
      <c r="V1949" s="122">
        <v>713425</v>
      </c>
      <c r="W1949" s="122">
        <f t="shared" si="60"/>
        <v>713424</v>
      </c>
      <c r="X1949" s="122">
        <f t="shared" si="61"/>
        <v>872984</v>
      </c>
    </row>
    <row r="1950" spans="2:24">
      <c r="B1950" t="s">
        <v>474</v>
      </c>
      <c r="C1950" t="s">
        <v>58</v>
      </c>
      <c r="F1950">
        <v>1</v>
      </c>
      <c r="G1950">
        <v>48</v>
      </c>
      <c r="H1950">
        <v>226</v>
      </c>
      <c r="J1950">
        <v>0</v>
      </c>
      <c r="M1950">
        <v>0</v>
      </c>
      <c r="N1950" s="122">
        <v>1176</v>
      </c>
      <c r="O1950">
        <v>436</v>
      </c>
      <c r="P1950">
        <v>621</v>
      </c>
      <c r="Q1950">
        <v>230</v>
      </c>
      <c r="S1950">
        <v>0</v>
      </c>
      <c r="T1950" s="122">
        <v>1989</v>
      </c>
      <c r="U1950">
        <v>737</v>
      </c>
      <c r="V1950" s="122">
        <v>1402</v>
      </c>
      <c r="W1950" s="122">
        <f t="shared" si="60"/>
        <v>1403</v>
      </c>
      <c r="X1950" s="122">
        <f t="shared" si="61"/>
        <v>3786</v>
      </c>
    </row>
    <row r="1951" spans="2:24">
      <c r="B1951" t="s">
        <v>474</v>
      </c>
      <c r="C1951" t="s">
        <v>58</v>
      </c>
      <c r="D1951" t="s">
        <v>425</v>
      </c>
      <c r="E1951" t="s">
        <v>425</v>
      </c>
      <c r="F1951">
        <v>2</v>
      </c>
      <c r="G1951">
        <v>103</v>
      </c>
      <c r="H1951">
        <v>533</v>
      </c>
      <c r="I1951" s="122">
        <v>14280</v>
      </c>
      <c r="J1951" s="122">
        <v>12982</v>
      </c>
      <c r="K1951">
        <v>83</v>
      </c>
      <c r="L1951" s="122">
        <v>5354</v>
      </c>
      <c r="M1951" s="122">
        <v>3224</v>
      </c>
      <c r="N1951" s="122">
        <v>2107</v>
      </c>
      <c r="O1951">
        <v>780</v>
      </c>
      <c r="P1951">
        <v>945</v>
      </c>
      <c r="Q1951">
        <v>350</v>
      </c>
      <c r="R1951" s="122">
        <v>4020</v>
      </c>
      <c r="S1951" s="122">
        <v>3655</v>
      </c>
      <c r="T1951">
        <v>0</v>
      </c>
      <c r="U1951">
        <v>0</v>
      </c>
      <c r="V1951" s="122">
        <v>20990</v>
      </c>
      <c r="W1951" s="122">
        <f t="shared" si="60"/>
        <v>20991</v>
      </c>
      <c r="X1951" s="122">
        <f t="shared" si="61"/>
        <v>26706</v>
      </c>
    </row>
    <row r="1952" spans="2:24">
      <c r="B1952" t="s">
        <v>474</v>
      </c>
      <c r="C1952" t="s">
        <v>58</v>
      </c>
      <c r="D1952" t="s">
        <v>405</v>
      </c>
      <c r="E1952" t="s">
        <v>405</v>
      </c>
      <c r="F1952">
        <v>2</v>
      </c>
      <c r="G1952">
        <v>129</v>
      </c>
      <c r="H1952">
        <v>474</v>
      </c>
      <c r="I1952" s="122">
        <v>17482</v>
      </c>
      <c r="J1952" s="122">
        <v>15893</v>
      </c>
      <c r="K1952">
        <v>73</v>
      </c>
      <c r="L1952" s="122">
        <v>1568</v>
      </c>
      <c r="M1952">
        <v>581</v>
      </c>
      <c r="N1952" s="122">
        <v>2382</v>
      </c>
      <c r="O1952">
        <v>882</v>
      </c>
      <c r="P1952">
        <v>945</v>
      </c>
      <c r="Q1952">
        <v>350</v>
      </c>
      <c r="R1952" s="122">
        <v>8340</v>
      </c>
      <c r="S1952" s="122">
        <v>7582</v>
      </c>
      <c r="T1952">
        <v>0</v>
      </c>
      <c r="U1952">
        <v>0</v>
      </c>
      <c r="V1952" s="122">
        <v>25288</v>
      </c>
      <c r="W1952" s="122">
        <f t="shared" si="60"/>
        <v>25288</v>
      </c>
      <c r="X1952" s="122">
        <f t="shared" si="61"/>
        <v>30717</v>
      </c>
    </row>
    <row r="1953" spans="2:24">
      <c r="B1953" t="s">
        <v>474</v>
      </c>
      <c r="C1953" t="s">
        <v>58</v>
      </c>
      <c r="D1953" t="s">
        <v>137</v>
      </c>
      <c r="E1953" t="s">
        <v>137</v>
      </c>
      <c r="F1953">
        <v>322</v>
      </c>
      <c r="G1953" s="122">
        <v>19626</v>
      </c>
      <c r="H1953" s="122">
        <v>85629</v>
      </c>
      <c r="I1953" s="122">
        <v>2682072</v>
      </c>
      <c r="J1953" s="122">
        <v>993360</v>
      </c>
      <c r="K1953">
        <v>100</v>
      </c>
      <c r="L1953" s="122">
        <v>216239</v>
      </c>
      <c r="M1953" s="122">
        <v>93055</v>
      </c>
      <c r="N1953" s="122">
        <v>396184</v>
      </c>
      <c r="O1953" s="122">
        <v>146735</v>
      </c>
      <c r="P1953" s="122">
        <v>7260</v>
      </c>
      <c r="Q1953" s="122">
        <v>2689</v>
      </c>
      <c r="R1953" s="122">
        <v>1965492</v>
      </c>
      <c r="S1953" s="122">
        <v>727960</v>
      </c>
      <c r="T1953">
        <v>0</v>
      </c>
      <c r="U1953">
        <v>0</v>
      </c>
      <c r="V1953" s="122">
        <v>1963799</v>
      </c>
      <c r="W1953" s="122">
        <f t="shared" si="60"/>
        <v>1963799</v>
      </c>
      <c r="X1953" s="122">
        <f t="shared" si="61"/>
        <v>5267247</v>
      </c>
    </row>
    <row r="1954" spans="2:24">
      <c r="B1954" t="s">
        <v>474</v>
      </c>
      <c r="C1954" t="s">
        <v>58</v>
      </c>
      <c r="D1954" t="s">
        <v>137</v>
      </c>
      <c r="E1954" t="s">
        <v>426</v>
      </c>
      <c r="F1954">
        <v>1</v>
      </c>
      <c r="G1954">
        <v>47</v>
      </c>
      <c r="H1954">
        <v>289</v>
      </c>
      <c r="I1954" s="122">
        <v>10469</v>
      </c>
      <c r="J1954" s="122">
        <v>3877</v>
      </c>
      <c r="K1954">
        <v>100</v>
      </c>
      <c r="L1954">
        <v>0</v>
      </c>
      <c r="M1954">
        <v>0</v>
      </c>
      <c r="N1954" s="122">
        <v>1146</v>
      </c>
      <c r="O1954">
        <v>424</v>
      </c>
      <c r="P1954">
        <v>0</v>
      </c>
      <c r="Q1954">
        <v>0</v>
      </c>
      <c r="R1954" s="122">
        <v>1993</v>
      </c>
      <c r="S1954" s="122">
        <v>1812</v>
      </c>
      <c r="T1954">
        <v>0</v>
      </c>
      <c r="U1954">
        <v>0</v>
      </c>
      <c r="V1954" s="122">
        <v>6113</v>
      </c>
      <c r="W1954" s="122">
        <f t="shared" si="60"/>
        <v>6113</v>
      </c>
      <c r="X1954" s="122">
        <f t="shared" si="61"/>
        <v>13608</v>
      </c>
    </row>
    <row r="1955" spans="2:24">
      <c r="B1955" t="s">
        <v>474</v>
      </c>
      <c r="C1955" t="s">
        <v>58</v>
      </c>
      <c r="D1955" t="s">
        <v>406</v>
      </c>
      <c r="E1955" t="s">
        <v>137</v>
      </c>
      <c r="F1955">
        <v>3</v>
      </c>
      <c r="G1955">
        <v>219</v>
      </c>
      <c r="H1955">
        <v>857</v>
      </c>
      <c r="I1955" s="122">
        <v>36029</v>
      </c>
      <c r="J1955" s="122">
        <v>32754</v>
      </c>
      <c r="K1955">
        <v>67</v>
      </c>
      <c r="L1955" s="122">
        <v>5604</v>
      </c>
      <c r="M1955" s="122">
        <v>2453</v>
      </c>
      <c r="N1955" s="122">
        <v>3858</v>
      </c>
      <c r="O1955" s="122">
        <v>1429</v>
      </c>
      <c r="P1955" s="122">
        <v>1863</v>
      </c>
      <c r="Q1955">
        <v>690</v>
      </c>
      <c r="R1955" s="122">
        <v>14876</v>
      </c>
      <c r="S1955" s="122">
        <v>5510</v>
      </c>
      <c r="T1955">
        <v>0</v>
      </c>
      <c r="U1955">
        <v>0</v>
      </c>
      <c r="V1955" s="122">
        <v>42835</v>
      </c>
      <c r="W1955" s="122">
        <f t="shared" si="60"/>
        <v>42836</v>
      </c>
      <c r="X1955" s="122">
        <f t="shared" si="61"/>
        <v>62230</v>
      </c>
    </row>
    <row r="1956" spans="2:24">
      <c r="B1956" t="s">
        <v>474</v>
      </c>
      <c r="C1956" t="s">
        <v>58</v>
      </c>
      <c r="D1956" t="s">
        <v>406</v>
      </c>
      <c r="E1956" t="s">
        <v>406</v>
      </c>
      <c r="F1956">
        <v>47</v>
      </c>
      <c r="G1956" s="122">
        <v>4376</v>
      </c>
      <c r="H1956" s="122">
        <v>12454</v>
      </c>
      <c r="I1956" s="122">
        <v>668201</v>
      </c>
      <c r="J1956" s="122">
        <v>607455</v>
      </c>
      <c r="K1956">
        <v>81</v>
      </c>
      <c r="L1956" s="122">
        <v>113425</v>
      </c>
      <c r="M1956" s="122">
        <v>98674</v>
      </c>
      <c r="N1956" s="122">
        <v>90352</v>
      </c>
      <c r="O1956" s="122">
        <v>33464</v>
      </c>
      <c r="P1956" s="122">
        <v>29187</v>
      </c>
      <c r="Q1956" s="122">
        <v>10810</v>
      </c>
      <c r="R1956" s="122">
        <v>212856</v>
      </c>
      <c r="S1956" s="122">
        <v>193506</v>
      </c>
      <c r="T1956" s="122">
        <v>68237</v>
      </c>
      <c r="U1956" s="122">
        <v>25273</v>
      </c>
      <c r="V1956" s="122">
        <v>969181</v>
      </c>
      <c r="W1956" s="122">
        <f t="shared" si="60"/>
        <v>969182</v>
      </c>
      <c r="X1956" s="122">
        <f t="shared" si="61"/>
        <v>1182258</v>
      </c>
    </row>
    <row r="1957" spans="2:24">
      <c r="B1957" t="s">
        <v>474</v>
      </c>
      <c r="C1957" t="s">
        <v>58</v>
      </c>
      <c r="D1957" t="s">
        <v>406</v>
      </c>
      <c r="E1957" t="s">
        <v>426</v>
      </c>
      <c r="F1957">
        <v>1</v>
      </c>
      <c r="G1957">
        <v>137</v>
      </c>
      <c r="H1957">
        <v>268</v>
      </c>
      <c r="I1957" s="122">
        <v>26911</v>
      </c>
      <c r="J1957" s="122">
        <v>24465</v>
      </c>
      <c r="K1957">
        <v>70</v>
      </c>
      <c r="L1957" s="122">
        <v>3314</v>
      </c>
      <c r="M1957" s="122">
        <v>3013</v>
      </c>
      <c r="N1957" s="122">
        <v>2474</v>
      </c>
      <c r="O1957">
        <v>916</v>
      </c>
      <c r="P1957">
        <v>621</v>
      </c>
      <c r="Q1957">
        <v>230</v>
      </c>
      <c r="R1957" s="122">
        <v>2800</v>
      </c>
      <c r="S1957" s="122">
        <v>2546</v>
      </c>
      <c r="T1957">
        <v>617</v>
      </c>
      <c r="U1957">
        <v>229</v>
      </c>
      <c r="V1957" s="122">
        <v>31398</v>
      </c>
      <c r="W1957" s="122">
        <f t="shared" si="60"/>
        <v>31399</v>
      </c>
      <c r="X1957" s="122">
        <f t="shared" si="61"/>
        <v>36737</v>
      </c>
    </row>
    <row r="1958" spans="2:24">
      <c r="B1958" t="s">
        <v>474</v>
      </c>
      <c r="C1958" t="s">
        <v>58</v>
      </c>
      <c r="D1958" t="s">
        <v>407</v>
      </c>
      <c r="E1958" t="s">
        <v>407</v>
      </c>
      <c r="F1958">
        <v>49</v>
      </c>
      <c r="G1958" s="122">
        <v>3047</v>
      </c>
      <c r="H1958" s="122">
        <v>12630</v>
      </c>
      <c r="I1958" s="122">
        <v>445499</v>
      </c>
      <c r="J1958" s="122">
        <v>404999</v>
      </c>
      <c r="K1958">
        <v>79</v>
      </c>
      <c r="L1958" s="122">
        <v>44183</v>
      </c>
      <c r="M1958" s="122">
        <v>37744</v>
      </c>
      <c r="N1958" s="122">
        <v>59973</v>
      </c>
      <c r="O1958" s="122">
        <v>22212</v>
      </c>
      <c r="P1958" s="122">
        <v>23031</v>
      </c>
      <c r="Q1958" s="122">
        <v>8530</v>
      </c>
      <c r="R1958" s="122">
        <v>177613</v>
      </c>
      <c r="S1958" s="122">
        <v>161466</v>
      </c>
      <c r="T1958" s="122">
        <v>37812</v>
      </c>
      <c r="U1958" s="122">
        <v>14005</v>
      </c>
      <c r="V1958" s="122">
        <v>648956</v>
      </c>
      <c r="W1958" s="122">
        <f t="shared" si="60"/>
        <v>648956</v>
      </c>
      <c r="X1958" s="122">
        <f t="shared" si="61"/>
        <v>788111</v>
      </c>
    </row>
    <row r="1959" spans="2:24">
      <c r="B1959" t="s">
        <v>474</v>
      </c>
      <c r="C1959" t="s">
        <v>58</v>
      </c>
      <c r="D1959" t="s">
        <v>426</v>
      </c>
      <c r="E1959" t="s">
        <v>137</v>
      </c>
      <c r="F1959">
        <v>2</v>
      </c>
      <c r="G1959">
        <v>86</v>
      </c>
      <c r="H1959">
        <v>593</v>
      </c>
      <c r="I1959" s="122">
        <v>5691</v>
      </c>
      <c r="J1959" s="122">
        <v>5174</v>
      </c>
      <c r="K1959">
        <v>100</v>
      </c>
      <c r="L1959" s="122">
        <v>11641</v>
      </c>
      <c r="M1959" s="122">
        <v>4312</v>
      </c>
      <c r="N1959" s="122">
        <v>2015</v>
      </c>
      <c r="O1959">
        <v>746</v>
      </c>
      <c r="P1959">
        <v>0</v>
      </c>
      <c r="Q1959">
        <v>0</v>
      </c>
      <c r="R1959" s="122">
        <v>6182</v>
      </c>
      <c r="S1959" s="122">
        <v>2290</v>
      </c>
      <c r="T1959">
        <v>0</v>
      </c>
      <c r="U1959">
        <v>0</v>
      </c>
      <c r="V1959" s="122">
        <v>12521</v>
      </c>
      <c r="W1959" s="122">
        <f t="shared" si="60"/>
        <v>12522</v>
      </c>
      <c r="X1959" s="122">
        <f t="shared" si="61"/>
        <v>25529</v>
      </c>
    </row>
    <row r="1960" spans="2:24">
      <c r="B1960" t="s">
        <v>474</v>
      </c>
      <c r="C1960" t="s">
        <v>58</v>
      </c>
      <c r="D1960" t="s">
        <v>426</v>
      </c>
      <c r="E1960" t="s">
        <v>426</v>
      </c>
      <c r="F1960">
        <v>2</v>
      </c>
      <c r="G1960">
        <v>88</v>
      </c>
      <c r="H1960">
        <v>558</v>
      </c>
      <c r="I1960" s="122">
        <v>10402</v>
      </c>
      <c r="J1960" s="122">
        <v>9456</v>
      </c>
      <c r="K1960">
        <v>65</v>
      </c>
      <c r="L1960">
        <v>0</v>
      </c>
      <c r="M1960">
        <v>0</v>
      </c>
      <c r="N1960" s="122">
        <v>1076</v>
      </c>
      <c r="O1960">
        <v>398</v>
      </c>
      <c r="P1960">
        <v>702</v>
      </c>
      <c r="Q1960">
        <v>260</v>
      </c>
      <c r="R1960" s="122">
        <v>8127</v>
      </c>
      <c r="S1960" s="122">
        <v>7388</v>
      </c>
      <c r="T1960" s="122">
        <v>4213</v>
      </c>
      <c r="U1960" s="122">
        <v>1560</v>
      </c>
      <c r="V1960" s="122">
        <v>19063</v>
      </c>
      <c r="W1960" s="122">
        <f t="shared" si="60"/>
        <v>19062</v>
      </c>
      <c r="X1960" s="122">
        <f t="shared" si="61"/>
        <v>24520</v>
      </c>
    </row>
    <row r="1961" spans="2:24">
      <c r="B1961" t="s">
        <v>474</v>
      </c>
      <c r="C1961" t="s">
        <v>60</v>
      </c>
      <c r="F1961">
        <v>3</v>
      </c>
      <c r="G1961">
        <v>122</v>
      </c>
      <c r="H1961" s="122">
        <v>1010</v>
      </c>
      <c r="J1961">
        <v>0</v>
      </c>
      <c r="M1961">
        <v>0</v>
      </c>
      <c r="N1961" s="122">
        <v>2164</v>
      </c>
      <c r="O1961">
        <v>801</v>
      </c>
      <c r="P1961">
        <v>0</v>
      </c>
      <c r="Q1961">
        <v>0</v>
      </c>
      <c r="S1961">
        <v>0</v>
      </c>
      <c r="T1961">
        <v>0</v>
      </c>
      <c r="U1961">
        <v>0</v>
      </c>
      <c r="V1961">
        <v>801</v>
      </c>
      <c r="W1961" s="122">
        <f t="shared" si="60"/>
        <v>801</v>
      </c>
      <c r="X1961" s="122">
        <f t="shared" si="61"/>
        <v>2164</v>
      </c>
    </row>
    <row r="1962" spans="2:24">
      <c r="B1962" t="s">
        <v>474</v>
      </c>
      <c r="C1962" t="s">
        <v>60</v>
      </c>
      <c r="D1962" t="s">
        <v>425</v>
      </c>
      <c r="E1962" t="s">
        <v>425</v>
      </c>
      <c r="F1962">
        <v>1</v>
      </c>
      <c r="G1962">
        <v>52</v>
      </c>
      <c r="H1962">
        <v>341</v>
      </c>
      <c r="I1962" s="122">
        <v>12461</v>
      </c>
      <c r="J1962" s="122">
        <v>11328</v>
      </c>
      <c r="K1962">
        <v>91</v>
      </c>
      <c r="L1962" s="122">
        <v>1996</v>
      </c>
      <c r="M1962" s="122">
        <v>1815</v>
      </c>
      <c r="N1962">
        <v>954</v>
      </c>
      <c r="O1962">
        <v>353</v>
      </c>
      <c r="P1962">
        <v>473</v>
      </c>
      <c r="Q1962">
        <v>175</v>
      </c>
      <c r="R1962" s="122">
        <v>1902</v>
      </c>
      <c r="S1962" s="122">
        <v>1729</v>
      </c>
      <c r="T1962">
        <v>0</v>
      </c>
      <c r="U1962">
        <v>0</v>
      </c>
      <c r="V1962" s="122">
        <v>15400</v>
      </c>
      <c r="W1962" s="122">
        <f t="shared" si="60"/>
        <v>15400</v>
      </c>
      <c r="X1962" s="122">
        <f t="shared" si="61"/>
        <v>17786</v>
      </c>
    </row>
    <row r="1963" spans="2:24">
      <c r="B1963" t="s">
        <v>474</v>
      </c>
      <c r="C1963" t="s">
        <v>60</v>
      </c>
      <c r="D1963" t="s">
        <v>137</v>
      </c>
      <c r="E1963" t="s">
        <v>137</v>
      </c>
      <c r="F1963">
        <v>197</v>
      </c>
      <c r="G1963" s="122">
        <v>11110</v>
      </c>
      <c r="H1963" s="122">
        <v>66656</v>
      </c>
      <c r="I1963" s="122">
        <v>2183800</v>
      </c>
      <c r="J1963" s="122">
        <v>808815</v>
      </c>
      <c r="K1963">
        <v>100</v>
      </c>
      <c r="L1963" s="122">
        <v>173976</v>
      </c>
      <c r="M1963" s="122">
        <v>86408</v>
      </c>
      <c r="N1963" s="122">
        <v>218901</v>
      </c>
      <c r="O1963" s="122">
        <v>81074</v>
      </c>
      <c r="P1963" s="122">
        <v>7192</v>
      </c>
      <c r="Q1963" s="122">
        <v>2664</v>
      </c>
      <c r="R1963" s="122">
        <v>1185770</v>
      </c>
      <c r="S1963" s="122">
        <v>439174</v>
      </c>
      <c r="T1963">
        <v>0</v>
      </c>
      <c r="U1963">
        <v>0</v>
      </c>
      <c r="V1963" s="122">
        <v>1418134</v>
      </c>
      <c r="W1963" s="122">
        <f t="shared" ref="W1963:W2026" si="62">SUM(ABS(J1963),ABS(M1963),ABS(O1963),ABS(Q1963),ABS(S1963),ABS(U1963))</f>
        <v>1418135</v>
      </c>
      <c r="X1963" s="122">
        <f t="shared" ref="X1963:X2026" si="63">SUM(ABS(I1963),ABS(N1963),ABS(P1963),ABS(R1963),ABS(T1963),ABS(L1963))</f>
        <v>3769639</v>
      </c>
    </row>
    <row r="1964" spans="2:24">
      <c r="B1964" t="s">
        <v>474</v>
      </c>
      <c r="C1964" t="s">
        <v>60</v>
      </c>
      <c r="D1964" t="s">
        <v>406</v>
      </c>
      <c r="E1964" t="s">
        <v>137</v>
      </c>
      <c r="F1964">
        <v>2</v>
      </c>
      <c r="G1964">
        <v>105</v>
      </c>
      <c r="H1964">
        <v>665</v>
      </c>
      <c r="I1964" s="122">
        <v>21121</v>
      </c>
      <c r="J1964" s="122">
        <v>19201</v>
      </c>
      <c r="K1964">
        <v>79</v>
      </c>
      <c r="L1964" s="122">
        <v>2484</v>
      </c>
      <c r="M1964" s="122">
        <v>1716</v>
      </c>
      <c r="N1964" s="122">
        <v>2363</v>
      </c>
      <c r="O1964">
        <v>875</v>
      </c>
      <c r="P1964" s="122">
        <v>1242</v>
      </c>
      <c r="Q1964">
        <v>460</v>
      </c>
      <c r="R1964" s="122">
        <v>7854</v>
      </c>
      <c r="S1964" s="122">
        <v>2909</v>
      </c>
      <c r="T1964">
        <v>0</v>
      </c>
      <c r="U1964">
        <v>0</v>
      </c>
      <c r="V1964" s="122">
        <v>25161</v>
      </c>
      <c r="W1964" s="122">
        <f t="shared" si="62"/>
        <v>25161</v>
      </c>
      <c r="X1964" s="122">
        <f t="shared" si="63"/>
        <v>35064</v>
      </c>
    </row>
    <row r="1965" spans="2:24">
      <c r="B1965" t="s">
        <v>474</v>
      </c>
      <c r="C1965" t="s">
        <v>60</v>
      </c>
      <c r="D1965" t="s">
        <v>406</v>
      </c>
      <c r="E1965" t="s">
        <v>406</v>
      </c>
      <c r="F1965">
        <v>23</v>
      </c>
      <c r="G1965" s="122">
        <v>1991</v>
      </c>
      <c r="H1965" s="122">
        <v>7646</v>
      </c>
      <c r="I1965" s="122">
        <v>409573</v>
      </c>
      <c r="J1965" s="122">
        <v>372339</v>
      </c>
      <c r="K1965">
        <v>78</v>
      </c>
      <c r="L1965" s="122">
        <v>60835</v>
      </c>
      <c r="M1965" s="122">
        <v>49160</v>
      </c>
      <c r="N1965" s="122">
        <v>40127</v>
      </c>
      <c r="O1965" s="122">
        <v>14862</v>
      </c>
      <c r="P1965" s="122">
        <v>14283</v>
      </c>
      <c r="Q1965" s="122">
        <v>5290</v>
      </c>
      <c r="R1965" s="122">
        <v>106414</v>
      </c>
      <c r="S1965" s="122">
        <v>96740</v>
      </c>
      <c r="T1965" s="122">
        <v>36329</v>
      </c>
      <c r="U1965" s="122">
        <v>13455</v>
      </c>
      <c r="V1965" s="122">
        <v>551846</v>
      </c>
      <c r="W1965" s="122">
        <f t="shared" si="62"/>
        <v>551846</v>
      </c>
      <c r="X1965" s="122">
        <f t="shared" si="63"/>
        <v>667561</v>
      </c>
    </row>
    <row r="1966" spans="2:24">
      <c r="B1966" t="s">
        <v>474</v>
      </c>
      <c r="C1966" t="s">
        <v>60</v>
      </c>
      <c r="D1966" t="s">
        <v>407</v>
      </c>
      <c r="E1966" t="s">
        <v>407</v>
      </c>
      <c r="F1966">
        <v>14</v>
      </c>
      <c r="G1966">
        <v>674</v>
      </c>
      <c r="H1966" s="122">
        <v>4738</v>
      </c>
      <c r="I1966" s="122">
        <v>131431</v>
      </c>
      <c r="J1966" s="122">
        <v>119483</v>
      </c>
      <c r="K1966">
        <v>77</v>
      </c>
      <c r="L1966" s="122">
        <v>16943</v>
      </c>
      <c r="M1966" s="122">
        <v>13447</v>
      </c>
      <c r="N1966" s="122">
        <v>13752</v>
      </c>
      <c r="O1966" s="122">
        <v>5093</v>
      </c>
      <c r="P1966" s="122">
        <v>6615</v>
      </c>
      <c r="Q1966" s="122">
        <v>2450</v>
      </c>
      <c r="R1966" s="122">
        <v>47025</v>
      </c>
      <c r="S1966" s="122">
        <v>42750</v>
      </c>
      <c r="T1966" s="122">
        <v>13125</v>
      </c>
      <c r="U1966" s="122">
        <v>4861</v>
      </c>
      <c r="V1966" s="122">
        <v>188083</v>
      </c>
      <c r="W1966" s="122">
        <f t="shared" si="62"/>
        <v>188084</v>
      </c>
      <c r="X1966" s="122">
        <f t="shared" si="63"/>
        <v>228891</v>
      </c>
    </row>
    <row r="1967" spans="2:24">
      <c r="B1967" t="s">
        <v>474</v>
      </c>
      <c r="C1967" t="s">
        <v>60</v>
      </c>
      <c r="D1967" t="s">
        <v>426</v>
      </c>
      <c r="E1967" t="s">
        <v>426</v>
      </c>
      <c r="F1967">
        <v>4</v>
      </c>
      <c r="G1967">
        <v>245</v>
      </c>
      <c r="H1967" s="122">
        <v>1311</v>
      </c>
      <c r="I1967" s="122">
        <v>47080</v>
      </c>
      <c r="J1967" s="122">
        <v>42800</v>
      </c>
      <c r="K1967">
        <v>64</v>
      </c>
      <c r="L1967" s="122">
        <v>6708</v>
      </c>
      <c r="M1967" s="122">
        <v>5382</v>
      </c>
      <c r="N1967" s="122">
        <v>3594</v>
      </c>
      <c r="O1967" s="122">
        <v>1331</v>
      </c>
      <c r="P1967" s="122">
        <v>1944</v>
      </c>
      <c r="Q1967">
        <v>720</v>
      </c>
      <c r="R1967" s="122">
        <v>15975</v>
      </c>
      <c r="S1967" s="122">
        <v>14523</v>
      </c>
      <c r="T1967" s="122">
        <v>5516</v>
      </c>
      <c r="U1967" s="122">
        <v>2043</v>
      </c>
      <c r="V1967" s="122">
        <v>66799</v>
      </c>
      <c r="W1967" s="122">
        <f t="shared" si="62"/>
        <v>66799</v>
      </c>
      <c r="X1967" s="122">
        <f t="shared" si="63"/>
        <v>80817</v>
      </c>
    </row>
    <row r="1968" spans="2:24">
      <c r="B1968" t="s">
        <v>474</v>
      </c>
      <c r="C1968" t="s">
        <v>62</v>
      </c>
      <c r="F1968">
        <v>2</v>
      </c>
      <c r="G1968">
        <v>68</v>
      </c>
      <c r="H1968">
        <v>877</v>
      </c>
      <c r="J1968">
        <v>0</v>
      </c>
      <c r="M1968">
        <v>0</v>
      </c>
      <c r="N1968" s="122">
        <v>1178</v>
      </c>
      <c r="O1968">
        <v>436</v>
      </c>
      <c r="P1968">
        <v>0</v>
      </c>
      <c r="Q1968">
        <v>0</v>
      </c>
      <c r="S1968">
        <v>0</v>
      </c>
      <c r="T1968">
        <v>0</v>
      </c>
      <c r="U1968">
        <v>0</v>
      </c>
      <c r="V1968">
        <v>436</v>
      </c>
      <c r="W1968" s="122">
        <f t="shared" si="62"/>
        <v>436</v>
      </c>
      <c r="X1968" s="122">
        <f t="shared" si="63"/>
        <v>1178</v>
      </c>
    </row>
    <row r="1969" spans="2:24">
      <c r="B1969" t="s">
        <v>474</v>
      </c>
      <c r="C1969" t="s">
        <v>62</v>
      </c>
      <c r="D1969" t="s">
        <v>137</v>
      </c>
      <c r="E1969" t="s">
        <v>137</v>
      </c>
      <c r="F1969">
        <v>73</v>
      </c>
      <c r="G1969" s="122">
        <v>3936</v>
      </c>
      <c r="H1969" s="122">
        <v>30024</v>
      </c>
      <c r="I1969" s="122">
        <v>1025330</v>
      </c>
      <c r="J1969" s="122">
        <v>379752</v>
      </c>
      <c r="K1969">
        <v>100</v>
      </c>
      <c r="L1969" s="122">
        <v>58324</v>
      </c>
      <c r="M1969" s="122">
        <v>26991</v>
      </c>
      <c r="N1969" s="122">
        <v>80296</v>
      </c>
      <c r="O1969" s="122">
        <v>29739</v>
      </c>
      <c r="P1969" s="122">
        <v>2808</v>
      </c>
      <c r="Q1969" s="122">
        <v>1040</v>
      </c>
      <c r="R1969" s="122">
        <v>450732</v>
      </c>
      <c r="S1969" s="122">
        <v>166938</v>
      </c>
      <c r="T1969">
        <v>0</v>
      </c>
      <c r="U1969">
        <v>0</v>
      </c>
      <c r="V1969" s="122">
        <v>604460</v>
      </c>
      <c r="W1969" s="122">
        <f t="shared" si="62"/>
        <v>604460</v>
      </c>
      <c r="X1969" s="122">
        <f t="shared" si="63"/>
        <v>1617490</v>
      </c>
    </row>
    <row r="1970" spans="2:24">
      <c r="B1970" t="s">
        <v>474</v>
      </c>
      <c r="C1970" t="s">
        <v>62</v>
      </c>
      <c r="D1970" t="s">
        <v>406</v>
      </c>
      <c r="E1970" t="s">
        <v>137</v>
      </c>
      <c r="F1970">
        <v>2</v>
      </c>
      <c r="G1970">
        <v>240</v>
      </c>
      <c r="H1970">
        <v>848</v>
      </c>
      <c r="I1970" s="122">
        <v>63848</v>
      </c>
      <c r="J1970" s="122">
        <v>58043</v>
      </c>
      <c r="K1970">
        <v>89</v>
      </c>
      <c r="L1970" s="122">
        <v>11465</v>
      </c>
      <c r="M1970" s="122">
        <v>10422</v>
      </c>
      <c r="N1970" s="122">
        <v>5060</v>
      </c>
      <c r="O1970" s="122">
        <v>1874</v>
      </c>
      <c r="P1970" s="122">
        <v>1242</v>
      </c>
      <c r="Q1970">
        <v>460</v>
      </c>
      <c r="R1970" s="122">
        <v>17268</v>
      </c>
      <c r="S1970" s="122">
        <v>6395</v>
      </c>
      <c r="T1970">
        <v>0</v>
      </c>
      <c r="U1970">
        <v>0</v>
      </c>
      <c r="V1970" s="122">
        <v>77195</v>
      </c>
      <c r="W1970" s="122">
        <f t="shared" si="62"/>
        <v>77194</v>
      </c>
      <c r="X1970" s="122">
        <f t="shared" si="63"/>
        <v>98883</v>
      </c>
    </row>
    <row r="1971" spans="2:24">
      <c r="B1971" t="s">
        <v>474</v>
      </c>
      <c r="C1971" t="s">
        <v>62</v>
      </c>
      <c r="D1971" t="s">
        <v>406</v>
      </c>
      <c r="E1971" t="s">
        <v>406</v>
      </c>
      <c r="F1971">
        <v>14</v>
      </c>
      <c r="G1971" s="122">
        <v>1356</v>
      </c>
      <c r="H1971" s="122">
        <v>6007</v>
      </c>
      <c r="I1971" s="122">
        <v>399690</v>
      </c>
      <c r="J1971" s="122">
        <v>363355</v>
      </c>
      <c r="K1971">
        <v>78</v>
      </c>
      <c r="L1971" s="122">
        <v>61530</v>
      </c>
      <c r="M1971" s="122">
        <v>48626</v>
      </c>
      <c r="N1971" s="122">
        <v>29027</v>
      </c>
      <c r="O1971" s="122">
        <v>10751</v>
      </c>
      <c r="P1971" s="122">
        <v>8694</v>
      </c>
      <c r="Q1971" s="122">
        <v>3220</v>
      </c>
      <c r="R1971" s="122">
        <v>69406</v>
      </c>
      <c r="S1971" s="122">
        <v>63097</v>
      </c>
      <c r="T1971" s="122">
        <v>11385</v>
      </c>
      <c r="U1971" s="122">
        <v>4217</v>
      </c>
      <c r="V1971" s="122">
        <v>493265</v>
      </c>
      <c r="W1971" s="122">
        <f t="shared" si="62"/>
        <v>493266</v>
      </c>
      <c r="X1971" s="122">
        <f t="shared" si="63"/>
        <v>579732</v>
      </c>
    </row>
    <row r="1972" spans="2:24">
      <c r="B1972" t="s">
        <v>474</v>
      </c>
      <c r="C1972" t="s">
        <v>62</v>
      </c>
      <c r="D1972" t="s">
        <v>407</v>
      </c>
      <c r="E1972" t="s">
        <v>407</v>
      </c>
      <c r="F1972">
        <v>7</v>
      </c>
      <c r="G1972">
        <v>464</v>
      </c>
      <c r="H1972" s="122">
        <v>2765</v>
      </c>
      <c r="I1972" s="122">
        <v>113347</v>
      </c>
      <c r="J1972" s="122">
        <v>103043</v>
      </c>
      <c r="K1972">
        <v>71</v>
      </c>
      <c r="L1972" s="122">
        <v>18597</v>
      </c>
      <c r="M1972" s="122">
        <v>16326</v>
      </c>
      <c r="N1972" s="122">
        <v>10767</v>
      </c>
      <c r="O1972" s="122">
        <v>3988</v>
      </c>
      <c r="P1972" s="122">
        <v>3186</v>
      </c>
      <c r="Q1972" s="122">
        <v>1180</v>
      </c>
      <c r="R1972" s="122">
        <v>31711</v>
      </c>
      <c r="S1972" s="122">
        <v>28828</v>
      </c>
      <c r="T1972" s="122">
        <v>5332</v>
      </c>
      <c r="U1972" s="122">
        <v>1975</v>
      </c>
      <c r="V1972" s="122">
        <v>155340</v>
      </c>
      <c r="W1972" s="122">
        <f t="shared" si="62"/>
        <v>155340</v>
      </c>
      <c r="X1972" s="122">
        <f t="shared" si="63"/>
        <v>182940</v>
      </c>
    </row>
    <row r="1973" spans="2:24">
      <c r="B1973" t="s">
        <v>474</v>
      </c>
      <c r="C1973" t="s">
        <v>62</v>
      </c>
      <c r="D1973" t="s">
        <v>426</v>
      </c>
      <c r="E1973" t="s">
        <v>426</v>
      </c>
      <c r="F1973">
        <v>3</v>
      </c>
      <c r="G1973">
        <v>198</v>
      </c>
      <c r="H1973" s="122">
        <v>1219</v>
      </c>
      <c r="I1973" s="122">
        <v>40662</v>
      </c>
      <c r="J1973" s="122">
        <v>36965</v>
      </c>
      <c r="K1973">
        <v>48</v>
      </c>
      <c r="L1973" s="122">
        <v>4413</v>
      </c>
      <c r="M1973" s="122">
        <v>3052</v>
      </c>
      <c r="N1973" s="122">
        <v>4558</v>
      </c>
      <c r="O1973" s="122">
        <v>1688</v>
      </c>
      <c r="P1973" s="122">
        <v>1053</v>
      </c>
      <c r="Q1973">
        <v>390</v>
      </c>
      <c r="R1973" s="122">
        <v>20995</v>
      </c>
      <c r="S1973" s="122">
        <v>19086</v>
      </c>
      <c r="T1973" s="122">
        <v>8720</v>
      </c>
      <c r="U1973" s="122">
        <v>3230</v>
      </c>
      <c r="V1973" s="122">
        <v>64411</v>
      </c>
      <c r="W1973" s="122">
        <f t="shared" si="62"/>
        <v>64411</v>
      </c>
      <c r="X1973" s="122">
        <f t="shared" si="63"/>
        <v>80401</v>
      </c>
    </row>
    <row r="1974" spans="2:24">
      <c r="B1974" t="s">
        <v>474</v>
      </c>
      <c r="C1974" t="s">
        <v>64</v>
      </c>
      <c r="F1974">
        <v>6</v>
      </c>
      <c r="G1974">
        <v>273</v>
      </c>
      <c r="H1974" s="122">
        <v>3494</v>
      </c>
      <c r="J1974">
        <v>0</v>
      </c>
      <c r="M1974">
        <v>0</v>
      </c>
      <c r="N1974" s="122">
        <v>5786</v>
      </c>
      <c r="O1974" s="122">
        <v>2143</v>
      </c>
      <c r="P1974" s="122">
        <v>1242</v>
      </c>
      <c r="Q1974">
        <v>460</v>
      </c>
      <c r="S1974">
        <v>0</v>
      </c>
      <c r="T1974">
        <v>0</v>
      </c>
      <c r="U1974">
        <v>0</v>
      </c>
      <c r="V1974" s="122">
        <v>2603</v>
      </c>
      <c r="W1974" s="122">
        <f t="shared" si="62"/>
        <v>2603</v>
      </c>
      <c r="X1974" s="122">
        <f t="shared" si="63"/>
        <v>7028</v>
      </c>
    </row>
    <row r="1975" spans="2:24">
      <c r="B1975" t="s">
        <v>474</v>
      </c>
      <c r="C1975" t="s">
        <v>64</v>
      </c>
      <c r="D1975" t="s">
        <v>405</v>
      </c>
      <c r="E1975" t="s">
        <v>405</v>
      </c>
      <c r="F1975">
        <v>1</v>
      </c>
      <c r="G1975">
        <v>82</v>
      </c>
      <c r="H1975">
        <v>524</v>
      </c>
      <c r="I1975" s="122">
        <v>28247</v>
      </c>
      <c r="J1975" s="122">
        <v>25679</v>
      </c>
      <c r="K1975">
        <v>80</v>
      </c>
      <c r="L1975" s="122">
        <v>7982</v>
      </c>
      <c r="M1975" s="122">
        <v>7257</v>
      </c>
      <c r="N1975" s="122">
        <v>1571</v>
      </c>
      <c r="O1975">
        <v>582</v>
      </c>
      <c r="P1975">
        <v>351</v>
      </c>
      <c r="Q1975">
        <v>130</v>
      </c>
      <c r="R1975" s="122">
        <v>4578</v>
      </c>
      <c r="S1975" s="122">
        <v>4162</v>
      </c>
      <c r="T1975">
        <v>0</v>
      </c>
      <c r="U1975">
        <v>0</v>
      </c>
      <c r="V1975" s="122">
        <v>37809</v>
      </c>
      <c r="W1975" s="122">
        <f t="shared" si="62"/>
        <v>37810</v>
      </c>
      <c r="X1975" s="122">
        <f t="shared" si="63"/>
        <v>42729</v>
      </c>
    </row>
    <row r="1976" spans="2:24">
      <c r="B1976" t="s">
        <v>474</v>
      </c>
      <c r="C1976" t="s">
        <v>64</v>
      </c>
      <c r="D1976" t="s">
        <v>137</v>
      </c>
      <c r="E1976" t="s">
        <v>137</v>
      </c>
      <c r="F1976">
        <v>124</v>
      </c>
      <c r="G1976" s="122">
        <v>6158</v>
      </c>
      <c r="H1976" s="122">
        <v>85182</v>
      </c>
      <c r="I1976" s="122">
        <v>2784328</v>
      </c>
      <c r="J1976" s="122">
        <v>1031233</v>
      </c>
      <c r="K1976">
        <v>100</v>
      </c>
      <c r="L1976" s="122">
        <v>882430</v>
      </c>
      <c r="M1976" s="122">
        <v>597520</v>
      </c>
      <c r="N1976" s="122">
        <v>136529</v>
      </c>
      <c r="O1976" s="122">
        <v>50566</v>
      </c>
      <c r="P1976" s="122">
        <v>2808</v>
      </c>
      <c r="Q1976" s="122">
        <v>1040</v>
      </c>
      <c r="R1976" s="122">
        <v>628989</v>
      </c>
      <c r="S1976" s="122">
        <v>232959</v>
      </c>
      <c r="T1976" s="122">
        <v>2505</v>
      </c>
      <c r="U1976">
        <v>928</v>
      </c>
      <c r="V1976" s="122">
        <v>1914245</v>
      </c>
      <c r="W1976" s="122">
        <f t="shared" si="62"/>
        <v>1914246</v>
      </c>
      <c r="X1976" s="122">
        <f t="shared" si="63"/>
        <v>4437589</v>
      </c>
    </row>
    <row r="1977" spans="2:24">
      <c r="B1977" t="s">
        <v>474</v>
      </c>
      <c r="C1977" t="s">
        <v>64</v>
      </c>
      <c r="D1977" t="s">
        <v>406</v>
      </c>
      <c r="E1977" t="s">
        <v>137</v>
      </c>
      <c r="F1977">
        <v>2</v>
      </c>
      <c r="G1977">
        <v>75</v>
      </c>
      <c r="H1977" s="122">
        <v>1104</v>
      </c>
      <c r="I1977" s="122">
        <v>26799</v>
      </c>
      <c r="J1977" s="122">
        <v>24363</v>
      </c>
      <c r="K1977">
        <v>68</v>
      </c>
      <c r="L1977" s="122">
        <v>5752</v>
      </c>
      <c r="M1977" s="122">
        <v>4237</v>
      </c>
      <c r="N1977" s="122">
        <v>1622</v>
      </c>
      <c r="O1977">
        <v>601</v>
      </c>
      <c r="P1977" s="122">
        <v>1242</v>
      </c>
      <c r="Q1977">
        <v>460</v>
      </c>
      <c r="R1977" s="122">
        <v>6281</v>
      </c>
      <c r="S1977" s="122">
        <v>2326</v>
      </c>
      <c r="T1977">
        <v>0</v>
      </c>
      <c r="U1977">
        <v>0</v>
      </c>
      <c r="V1977" s="122">
        <v>31987</v>
      </c>
      <c r="W1977" s="122">
        <f t="shared" si="62"/>
        <v>31987</v>
      </c>
      <c r="X1977" s="122">
        <f t="shared" si="63"/>
        <v>41696</v>
      </c>
    </row>
    <row r="1978" spans="2:24">
      <c r="B1978" t="s">
        <v>474</v>
      </c>
      <c r="C1978" t="s">
        <v>64</v>
      </c>
      <c r="D1978" t="s">
        <v>406</v>
      </c>
      <c r="E1978" t="s">
        <v>406</v>
      </c>
      <c r="F1978">
        <v>16</v>
      </c>
      <c r="G1978" s="122">
        <v>1361</v>
      </c>
      <c r="H1978" s="122">
        <v>8956</v>
      </c>
      <c r="I1978" s="122">
        <v>530401</v>
      </c>
      <c r="J1978" s="122">
        <v>482183</v>
      </c>
      <c r="K1978">
        <v>71</v>
      </c>
      <c r="L1978" s="122">
        <v>95747</v>
      </c>
      <c r="M1978" s="122">
        <v>80173</v>
      </c>
      <c r="N1978" s="122">
        <v>32003</v>
      </c>
      <c r="O1978" s="122">
        <v>11853</v>
      </c>
      <c r="P1978" s="122">
        <v>10058</v>
      </c>
      <c r="Q1978" s="122">
        <v>3725</v>
      </c>
      <c r="R1978" s="122">
        <v>78738</v>
      </c>
      <c r="S1978" s="122">
        <v>71580</v>
      </c>
      <c r="T1978" s="122">
        <v>30288</v>
      </c>
      <c r="U1978" s="122">
        <v>11218</v>
      </c>
      <c r="V1978" s="122">
        <v>660732</v>
      </c>
      <c r="W1978" s="122">
        <f t="shared" si="62"/>
        <v>660732</v>
      </c>
      <c r="X1978" s="122">
        <f t="shared" si="63"/>
        <v>777235</v>
      </c>
    </row>
    <row r="1979" spans="2:24">
      <c r="B1979" t="s">
        <v>474</v>
      </c>
      <c r="C1979" t="s">
        <v>64</v>
      </c>
      <c r="D1979" t="s">
        <v>407</v>
      </c>
      <c r="E1979" t="s">
        <v>407</v>
      </c>
      <c r="F1979">
        <v>2</v>
      </c>
      <c r="G1979">
        <v>80</v>
      </c>
      <c r="H1979">
        <v>942</v>
      </c>
      <c r="I1979" s="122">
        <v>18997</v>
      </c>
      <c r="J1979" s="122">
        <v>17270</v>
      </c>
      <c r="K1979">
        <v>69</v>
      </c>
      <c r="L1979" s="122">
        <v>2762</v>
      </c>
      <c r="M1979" s="122">
        <v>2511</v>
      </c>
      <c r="N1979" s="122">
        <v>1456</v>
      </c>
      <c r="O1979">
        <v>539</v>
      </c>
      <c r="P1979">
        <v>945</v>
      </c>
      <c r="Q1979">
        <v>350</v>
      </c>
      <c r="R1979" s="122">
        <v>8715</v>
      </c>
      <c r="S1979" s="122">
        <v>7923</v>
      </c>
      <c r="T1979" s="122">
        <v>4619</v>
      </c>
      <c r="U1979" s="122">
        <v>1711</v>
      </c>
      <c r="V1979" s="122">
        <v>30304</v>
      </c>
      <c r="W1979" s="122">
        <f t="shared" si="62"/>
        <v>30304</v>
      </c>
      <c r="X1979" s="122">
        <f t="shared" si="63"/>
        <v>37494</v>
      </c>
    </row>
    <row r="1980" spans="2:24">
      <c r="B1980" t="s">
        <v>474</v>
      </c>
      <c r="C1980" t="s">
        <v>64</v>
      </c>
      <c r="D1980" t="s">
        <v>556</v>
      </c>
      <c r="E1980" t="s">
        <v>556</v>
      </c>
      <c r="F1980">
        <v>1</v>
      </c>
      <c r="G1980">
        <v>126</v>
      </c>
      <c r="H1980">
        <v>495</v>
      </c>
      <c r="I1980" s="122">
        <v>41935</v>
      </c>
      <c r="J1980" s="122">
        <v>34945</v>
      </c>
      <c r="K1980">
        <v>55</v>
      </c>
      <c r="L1980" s="122">
        <v>8107</v>
      </c>
      <c r="M1980" s="122">
        <v>6756</v>
      </c>
      <c r="N1980" s="122">
        <v>3064</v>
      </c>
      <c r="O1980" s="122">
        <v>1135</v>
      </c>
      <c r="P1980">
        <v>351</v>
      </c>
      <c r="Q1980">
        <v>130</v>
      </c>
      <c r="R1980" s="122">
        <v>8725</v>
      </c>
      <c r="S1980" s="122">
        <v>7271</v>
      </c>
      <c r="T1980">
        <v>0</v>
      </c>
      <c r="U1980">
        <v>0</v>
      </c>
      <c r="V1980" s="122">
        <v>50237</v>
      </c>
      <c r="W1980" s="122">
        <f t="shared" si="62"/>
        <v>50237</v>
      </c>
      <c r="X1980" s="122">
        <f t="shared" si="63"/>
        <v>62182</v>
      </c>
    </row>
    <row r="1981" spans="2:24">
      <c r="B1981" t="s">
        <v>474</v>
      </c>
      <c r="C1981" t="s">
        <v>64</v>
      </c>
      <c r="D1981" t="s">
        <v>426</v>
      </c>
      <c r="E1981" t="s">
        <v>137</v>
      </c>
      <c r="F1981">
        <v>4</v>
      </c>
      <c r="G1981">
        <v>295</v>
      </c>
      <c r="H1981" s="122">
        <v>2455</v>
      </c>
      <c r="I1981" s="122">
        <v>125923</v>
      </c>
      <c r="J1981" s="122">
        <v>114476</v>
      </c>
      <c r="K1981">
        <v>54</v>
      </c>
      <c r="L1981" s="122">
        <v>21309</v>
      </c>
      <c r="M1981" s="122">
        <v>14249</v>
      </c>
      <c r="N1981" s="122">
        <v>7037</v>
      </c>
      <c r="O1981" s="122">
        <v>2606</v>
      </c>
      <c r="P1981" s="122">
        <v>1175</v>
      </c>
      <c r="Q1981">
        <v>435</v>
      </c>
      <c r="R1981" s="122">
        <v>21885</v>
      </c>
      <c r="S1981" s="122">
        <v>8106</v>
      </c>
      <c r="T1981">
        <v>0</v>
      </c>
      <c r="U1981">
        <v>0</v>
      </c>
      <c r="V1981" s="122">
        <v>139871</v>
      </c>
      <c r="W1981" s="122">
        <f t="shared" si="62"/>
        <v>139872</v>
      </c>
      <c r="X1981" s="122">
        <f t="shared" si="63"/>
        <v>177329</v>
      </c>
    </row>
    <row r="1982" spans="2:24">
      <c r="B1982" t="s">
        <v>474</v>
      </c>
      <c r="C1982" t="s">
        <v>64</v>
      </c>
      <c r="D1982" t="s">
        <v>426</v>
      </c>
      <c r="E1982" t="s">
        <v>426</v>
      </c>
      <c r="F1982">
        <v>10</v>
      </c>
      <c r="G1982">
        <v>617</v>
      </c>
      <c r="H1982" s="122">
        <v>5447</v>
      </c>
      <c r="I1982" s="122">
        <v>237525</v>
      </c>
      <c r="J1982" s="122">
        <v>215932</v>
      </c>
      <c r="K1982">
        <v>52</v>
      </c>
      <c r="L1982" s="122">
        <v>11530</v>
      </c>
      <c r="M1982" s="122">
        <v>14413</v>
      </c>
      <c r="N1982" s="122">
        <v>13100</v>
      </c>
      <c r="O1982" s="122">
        <v>4852</v>
      </c>
      <c r="P1982" s="122">
        <v>3510</v>
      </c>
      <c r="Q1982" s="122">
        <v>1300</v>
      </c>
      <c r="R1982" s="122">
        <v>46566</v>
      </c>
      <c r="S1982" s="122">
        <v>42333</v>
      </c>
      <c r="T1982" s="122">
        <v>18533</v>
      </c>
      <c r="U1982" s="122">
        <v>6864</v>
      </c>
      <c r="V1982" s="122">
        <v>285693</v>
      </c>
      <c r="W1982" s="122">
        <f t="shared" si="62"/>
        <v>285694</v>
      </c>
      <c r="X1982" s="122">
        <f t="shared" si="63"/>
        <v>330764</v>
      </c>
    </row>
    <row r="1983" spans="2:24">
      <c r="B1983" t="s">
        <v>475</v>
      </c>
      <c r="C1983" t="s">
        <v>48</v>
      </c>
      <c r="D1983" t="s">
        <v>403</v>
      </c>
      <c r="E1983" t="s">
        <v>137</v>
      </c>
      <c r="F1983">
        <v>1</v>
      </c>
      <c r="G1983">
        <v>48</v>
      </c>
      <c r="H1983">
        <v>50</v>
      </c>
      <c r="I1983">
        <v>16</v>
      </c>
      <c r="J1983">
        <v>6</v>
      </c>
      <c r="K1983">
        <v>523</v>
      </c>
      <c r="L1983">
        <v>0</v>
      </c>
      <c r="M1983">
        <v>0</v>
      </c>
      <c r="N1983">
        <v>586</v>
      </c>
      <c r="O1983">
        <v>217</v>
      </c>
      <c r="P1983">
        <v>351</v>
      </c>
      <c r="Q1983">
        <v>130</v>
      </c>
      <c r="R1983" s="122">
        <v>1468</v>
      </c>
      <c r="S1983">
        <v>544</v>
      </c>
      <c r="T1983">
        <v>0</v>
      </c>
      <c r="U1983">
        <v>0</v>
      </c>
      <c r="V1983">
        <v>897</v>
      </c>
      <c r="W1983" s="122">
        <f t="shared" si="62"/>
        <v>897</v>
      </c>
      <c r="X1983" s="122">
        <f t="shared" si="63"/>
        <v>2421</v>
      </c>
    </row>
    <row r="1984" spans="2:24">
      <c r="B1984" t="s">
        <v>475</v>
      </c>
      <c r="C1984" t="s">
        <v>48</v>
      </c>
      <c r="D1984" t="s">
        <v>137</v>
      </c>
      <c r="E1984" t="s">
        <v>137</v>
      </c>
      <c r="F1984">
        <v>50</v>
      </c>
      <c r="G1984" s="122">
        <v>2934</v>
      </c>
      <c r="H1984" s="122">
        <v>3179</v>
      </c>
      <c r="I1984" s="122">
        <v>30225</v>
      </c>
      <c r="J1984" s="122">
        <v>11195</v>
      </c>
      <c r="K1984">
        <v>457</v>
      </c>
      <c r="L1984">
        <v>453</v>
      </c>
      <c r="M1984">
        <v>378</v>
      </c>
      <c r="N1984" s="122">
        <v>37917</v>
      </c>
      <c r="O1984" s="122">
        <v>14043</v>
      </c>
      <c r="P1984" s="122">
        <v>17550</v>
      </c>
      <c r="Q1984" s="122">
        <v>6500</v>
      </c>
      <c r="R1984" s="122">
        <v>96538</v>
      </c>
      <c r="S1984" s="122">
        <v>35755</v>
      </c>
      <c r="T1984">
        <v>0</v>
      </c>
      <c r="U1984">
        <v>0</v>
      </c>
      <c r="V1984" s="122">
        <v>67871</v>
      </c>
      <c r="W1984" s="122">
        <f t="shared" si="62"/>
        <v>67871</v>
      </c>
      <c r="X1984" s="122">
        <f t="shared" si="63"/>
        <v>182683</v>
      </c>
    </row>
    <row r="1985" spans="2:24">
      <c r="B1985" t="s">
        <v>475</v>
      </c>
      <c r="C1985" t="s">
        <v>48</v>
      </c>
      <c r="D1985" t="s">
        <v>407</v>
      </c>
      <c r="E1985" t="s">
        <v>407</v>
      </c>
      <c r="F1985">
        <v>12</v>
      </c>
      <c r="G1985">
        <v>883</v>
      </c>
      <c r="H1985">
        <v>735</v>
      </c>
      <c r="I1985" s="122">
        <v>10571</v>
      </c>
      <c r="J1985" s="122">
        <v>9610</v>
      </c>
      <c r="K1985">
        <v>90</v>
      </c>
      <c r="L1985">
        <v>0</v>
      </c>
      <c r="M1985">
        <v>0</v>
      </c>
      <c r="N1985" s="122">
        <v>10755</v>
      </c>
      <c r="O1985" s="122">
        <v>3983</v>
      </c>
      <c r="P1985" s="122">
        <v>5670</v>
      </c>
      <c r="Q1985" s="122">
        <v>2100</v>
      </c>
      <c r="R1985" s="122">
        <v>26836</v>
      </c>
      <c r="S1985" s="122">
        <v>24396</v>
      </c>
      <c r="T1985">
        <v>0</v>
      </c>
      <c r="U1985">
        <v>0</v>
      </c>
      <c r="V1985" s="122">
        <v>40089</v>
      </c>
      <c r="W1985" s="122">
        <f t="shared" si="62"/>
        <v>40089</v>
      </c>
      <c r="X1985" s="122">
        <f t="shared" si="63"/>
        <v>53832</v>
      </c>
    </row>
    <row r="1986" spans="2:24">
      <c r="B1986" t="s">
        <v>475</v>
      </c>
      <c r="C1986" t="s">
        <v>50</v>
      </c>
      <c r="D1986" t="s">
        <v>137</v>
      </c>
      <c r="E1986" t="s">
        <v>137</v>
      </c>
      <c r="F1986">
        <v>8</v>
      </c>
      <c r="G1986">
        <v>429</v>
      </c>
      <c r="H1986">
        <v>627</v>
      </c>
      <c r="I1986" s="122">
        <v>10203</v>
      </c>
      <c r="J1986" s="122">
        <v>3779</v>
      </c>
      <c r="K1986">
        <v>372</v>
      </c>
      <c r="L1986">
        <v>0</v>
      </c>
      <c r="M1986">
        <v>0</v>
      </c>
      <c r="N1986" s="122">
        <v>5228</v>
      </c>
      <c r="O1986" s="122">
        <v>1936</v>
      </c>
      <c r="P1986" s="122">
        <v>2808</v>
      </c>
      <c r="Q1986" s="122">
        <v>1040</v>
      </c>
      <c r="R1986" s="122">
        <v>15406</v>
      </c>
      <c r="S1986" s="122">
        <v>5706</v>
      </c>
      <c r="T1986">
        <v>0</v>
      </c>
      <c r="U1986">
        <v>0</v>
      </c>
      <c r="V1986" s="122">
        <v>12461</v>
      </c>
      <c r="W1986" s="122">
        <f t="shared" si="62"/>
        <v>12461</v>
      </c>
      <c r="X1986" s="122">
        <f t="shared" si="63"/>
        <v>33645</v>
      </c>
    </row>
    <row r="1987" spans="2:24">
      <c r="B1987" t="s">
        <v>475</v>
      </c>
      <c r="C1987" t="s">
        <v>50</v>
      </c>
      <c r="D1987" t="s">
        <v>407</v>
      </c>
      <c r="E1987" t="s">
        <v>407</v>
      </c>
      <c r="F1987">
        <v>1</v>
      </c>
      <c r="G1987">
        <v>47</v>
      </c>
      <c r="H1987">
        <v>75</v>
      </c>
      <c r="I1987">
        <v>786</v>
      </c>
      <c r="J1987">
        <v>714</v>
      </c>
      <c r="K1987">
        <v>90</v>
      </c>
      <c r="L1987">
        <v>0</v>
      </c>
      <c r="M1987">
        <v>0</v>
      </c>
      <c r="N1987">
        <v>575</v>
      </c>
      <c r="O1987">
        <v>213</v>
      </c>
      <c r="P1987">
        <v>473</v>
      </c>
      <c r="Q1987">
        <v>175</v>
      </c>
      <c r="R1987" s="122">
        <v>1727</v>
      </c>
      <c r="S1987" s="122">
        <v>1570</v>
      </c>
      <c r="T1987">
        <v>0</v>
      </c>
      <c r="U1987">
        <v>0</v>
      </c>
      <c r="V1987" s="122">
        <v>2672</v>
      </c>
      <c r="W1987" s="122">
        <f t="shared" si="62"/>
        <v>2672</v>
      </c>
      <c r="X1987" s="122">
        <f t="shared" si="63"/>
        <v>3561</v>
      </c>
    </row>
    <row r="1988" spans="2:24">
      <c r="B1988" t="s">
        <v>475</v>
      </c>
      <c r="C1988" t="s">
        <v>52</v>
      </c>
      <c r="D1988" t="s">
        <v>137</v>
      </c>
      <c r="E1988" t="s">
        <v>137</v>
      </c>
      <c r="F1988">
        <v>2</v>
      </c>
      <c r="G1988">
        <v>135</v>
      </c>
      <c r="H1988">
        <v>246</v>
      </c>
      <c r="I1988" s="122">
        <v>2162</v>
      </c>
      <c r="J1988">
        <v>801</v>
      </c>
      <c r="K1988">
        <v>250</v>
      </c>
      <c r="L1988">
        <v>0</v>
      </c>
      <c r="M1988">
        <v>0</v>
      </c>
      <c r="N1988" s="122">
        <v>2581</v>
      </c>
      <c r="O1988">
        <v>956</v>
      </c>
      <c r="P1988">
        <v>351</v>
      </c>
      <c r="Q1988">
        <v>130</v>
      </c>
      <c r="R1988" s="122">
        <v>11514</v>
      </c>
      <c r="S1988" s="122">
        <v>4264</v>
      </c>
      <c r="T1988">
        <v>0</v>
      </c>
      <c r="U1988">
        <v>0</v>
      </c>
      <c r="V1988" s="122">
        <v>6151</v>
      </c>
      <c r="W1988" s="122">
        <f t="shared" si="62"/>
        <v>6151</v>
      </c>
      <c r="X1988" s="122">
        <f t="shared" si="63"/>
        <v>16608</v>
      </c>
    </row>
    <row r="1989" spans="2:24">
      <c r="B1989" t="s">
        <v>475</v>
      </c>
      <c r="C1989" t="s">
        <v>52</v>
      </c>
      <c r="D1989" t="s">
        <v>407</v>
      </c>
      <c r="E1989" t="s">
        <v>407</v>
      </c>
      <c r="F1989">
        <v>9</v>
      </c>
      <c r="G1989">
        <v>581</v>
      </c>
      <c r="H1989" s="122">
        <v>1026</v>
      </c>
      <c r="I1989" s="122">
        <v>24890</v>
      </c>
      <c r="J1989" s="122">
        <v>22627</v>
      </c>
      <c r="K1989">
        <v>84</v>
      </c>
      <c r="L1989">
        <v>0</v>
      </c>
      <c r="M1989">
        <v>0</v>
      </c>
      <c r="N1989" s="122">
        <v>11695</v>
      </c>
      <c r="O1989" s="122">
        <v>4332</v>
      </c>
      <c r="P1989" s="122">
        <v>4253</v>
      </c>
      <c r="Q1989" s="122">
        <v>1575</v>
      </c>
      <c r="R1989" s="122">
        <v>25542</v>
      </c>
      <c r="S1989" s="122">
        <v>23220</v>
      </c>
      <c r="T1989">
        <v>0</v>
      </c>
      <c r="U1989">
        <v>0</v>
      </c>
      <c r="V1989" s="122">
        <v>51754</v>
      </c>
      <c r="W1989" s="122">
        <f t="shared" si="62"/>
        <v>51754</v>
      </c>
      <c r="X1989" s="122">
        <f t="shared" si="63"/>
        <v>66380</v>
      </c>
    </row>
    <row r="1990" spans="2:24">
      <c r="B1990" t="s">
        <v>475</v>
      </c>
      <c r="C1990" t="s">
        <v>54</v>
      </c>
      <c r="D1990" t="s">
        <v>137</v>
      </c>
      <c r="E1990" t="s">
        <v>137</v>
      </c>
      <c r="F1990">
        <v>19</v>
      </c>
      <c r="G1990">
        <v>983</v>
      </c>
      <c r="H1990" s="122">
        <v>2677</v>
      </c>
      <c r="I1990" s="122">
        <v>25041</v>
      </c>
      <c r="J1990" s="122">
        <v>9274</v>
      </c>
      <c r="K1990">
        <v>304</v>
      </c>
      <c r="L1990" s="122">
        <v>6366</v>
      </c>
      <c r="M1990" s="122">
        <v>3711</v>
      </c>
      <c r="N1990" s="122">
        <v>16356</v>
      </c>
      <c r="O1990" s="122">
        <v>6058</v>
      </c>
      <c r="P1990" s="122">
        <v>4563</v>
      </c>
      <c r="Q1990" s="122">
        <v>1690</v>
      </c>
      <c r="R1990" s="122">
        <v>84876</v>
      </c>
      <c r="S1990" s="122">
        <v>31436</v>
      </c>
      <c r="T1990">
        <v>0</v>
      </c>
      <c r="U1990">
        <v>0</v>
      </c>
      <c r="V1990" s="122">
        <v>52169</v>
      </c>
      <c r="W1990" s="122">
        <f t="shared" si="62"/>
        <v>52169</v>
      </c>
      <c r="X1990" s="122">
        <f t="shared" si="63"/>
        <v>137202</v>
      </c>
    </row>
    <row r="1991" spans="2:24">
      <c r="B1991" t="s">
        <v>475</v>
      </c>
      <c r="C1991" t="s">
        <v>54</v>
      </c>
      <c r="D1991" t="s">
        <v>407</v>
      </c>
      <c r="E1991" t="s">
        <v>407</v>
      </c>
      <c r="F1991">
        <v>57</v>
      </c>
      <c r="G1991" s="122">
        <v>4162</v>
      </c>
      <c r="H1991" s="122">
        <v>7792</v>
      </c>
      <c r="I1991" s="122">
        <v>247119</v>
      </c>
      <c r="J1991" s="122">
        <v>224653</v>
      </c>
      <c r="K1991">
        <v>82</v>
      </c>
      <c r="L1991" s="122">
        <v>6319</v>
      </c>
      <c r="M1991" s="122">
        <v>4879</v>
      </c>
      <c r="N1991" s="122">
        <v>76797</v>
      </c>
      <c r="O1991" s="122">
        <v>28443</v>
      </c>
      <c r="P1991" s="122">
        <v>26933</v>
      </c>
      <c r="Q1991" s="122">
        <v>9975</v>
      </c>
      <c r="R1991" s="122">
        <v>201823</v>
      </c>
      <c r="S1991" s="122">
        <v>183475</v>
      </c>
      <c r="T1991" s="122">
        <v>8953</v>
      </c>
      <c r="U1991" s="122">
        <v>3316</v>
      </c>
      <c r="V1991" s="122">
        <v>454742</v>
      </c>
      <c r="W1991" s="122">
        <f t="shared" si="62"/>
        <v>454741</v>
      </c>
      <c r="X1991" s="122">
        <f t="shared" si="63"/>
        <v>567944</v>
      </c>
    </row>
    <row r="1992" spans="2:24">
      <c r="B1992" t="s">
        <v>475</v>
      </c>
      <c r="C1992" t="s">
        <v>56</v>
      </c>
      <c r="F1992">
        <v>2</v>
      </c>
      <c r="G1992">
        <v>116</v>
      </c>
      <c r="H1992">
        <v>375</v>
      </c>
      <c r="J1992">
        <v>0</v>
      </c>
      <c r="M1992">
        <v>0</v>
      </c>
      <c r="N1992" s="122">
        <v>2024</v>
      </c>
      <c r="O1992">
        <v>750</v>
      </c>
      <c r="P1992">
        <v>473</v>
      </c>
      <c r="Q1992">
        <v>175</v>
      </c>
      <c r="S1992">
        <v>0</v>
      </c>
      <c r="T1992">
        <v>0</v>
      </c>
      <c r="U1992">
        <v>0</v>
      </c>
      <c r="V1992">
        <v>925</v>
      </c>
      <c r="W1992" s="122">
        <f t="shared" si="62"/>
        <v>925</v>
      </c>
      <c r="X1992" s="122">
        <f t="shared" si="63"/>
        <v>2497</v>
      </c>
    </row>
    <row r="1993" spans="2:24">
      <c r="B1993" t="s">
        <v>475</v>
      </c>
      <c r="C1993" t="s">
        <v>56</v>
      </c>
      <c r="D1993" t="s">
        <v>137</v>
      </c>
      <c r="E1993" t="s">
        <v>137</v>
      </c>
      <c r="F1993">
        <v>374</v>
      </c>
      <c r="G1993" s="122">
        <v>23880</v>
      </c>
      <c r="H1993" s="122">
        <v>72288</v>
      </c>
      <c r="I1993" s="122">
        <v>1667632</v>
      </c>
      <c r="J1993" s="122">
        <v>617641</v>
      </c>
      <c r="K1993">
        <v>126</v>
      </c>
      <c r="L1993" s="122">
        <v>263600</v>
      </c>
      <c r="M1993" s="122">
        <v>100502</v>
      </c>
      <c r="N1993" s="122">
        <v>448563</v>
      </c>
      <c r="O1993" s="122">
        <v>166134</v>
      </c>
      <c r="P1993" s="122">
        <v>6281</v>
      </c>
      <c r="Q1993" s="122">
        <v>2326</v>
      </c>
      <c r="R1993" s="122">
        <v>2241315</v>
      </c>
      <c r="S1993" s="122">
        <v>830117</v>
      </c>
      <c r="T1993">
        <v>0</v>
      </c>
      <c r="U1993">
        <v>0</v>
      </c>
      <c r="V1993" s="122">
        <v>1716721</v>
      </c>
      <c r="W1993" s="122">
        <f t="shared" si="62"/>
        <v>1716720</v>
      </c>
      <c r="X1993" s="122">
        <f t="shared" si="63"/>
        <v>4627391</v>
      </c>
    </row>
    <row r="1994" spans="2:24">
      <c r="B1994" t="s">
        <v>475</v>
      </c>
      <c r="C1994" t="s">
        <v>56</v>
      </c>
      <c r="D1994" t="s">
        <v>406</v>
      </c>
      <c r="E1994" t="s">
        <v>406</v>
      </c>
      <c r="F1994">
        <v>2</v>
      </c>
      <c r="G1994">
        <v>566</v>
      </c>
      <c r="H1994">
        <v>424</v>
      </c>
      <c r="I1994" s="122">
        <v>74269</v>
      </c>
      <c r="J1994" s="122">
        <v>67517</v>
      </c>
      <c r="K1994">
        <v>79</v>
      </c>
      <c r="L1994" s="122">
        <v>13398</v>
      </c>
      <c r="M1994" s="122">
        <v>11658</v>
      </c>
      <c r="N1994" s="122">
        <v>12520</v>
      </c>
      <c r="O1994" s="122">
        <v>4637</v>
      </c>
      <c r="P1994" s="122">
        <v>2295</v>
      </c>
      <c r="Q1994">
        <v>850</v>
      </c>
      <c r="R1994" s="122">
        <v>13564</v>
      </c>
      <c r="S1994" s="122">
        <v>12331</v>
      </c>
      <c r="T1994" s="122">
        <v>3535</v>
      </c>
      <c r="U1994" s="122">
        <v>1309</v>
      </c>
      <c r="V1994" s="122">
        <v>98302</v>
      </c>
      <c r="W1994" s="122">
        <f t="shared" si="62"/>
        <v>98302</v>
      </c>
      <c r="X1994" s="122">
        <f t="shared" si="63"/>
        <v>119581</v>
      </c>
    </row>
    <row r="1995" spans="2:24">
      <c r="B1995" t="s">
        <v>475</v>
      </c>
      <c r="C1995" t="s">
        <v>56</v>
      </c>
      <c r="D1995" t="s">
        <v>407</v>
      </c>
      <c r="E1995" t="s">
        <v>407</v>
      </c>
      <c r="F1995">
        <v>183</v>
      </c>
      <c r="G1995" s="122">
        <v>12457</v>
      </c>
      <c r="H1995" s="122">
        <v>33931</v>
      </c>
      <c r="I1995" s="122">
        <v>1139271</v>
      </c>
      <c r="J1995" s="122">
        <v>1035701</v>
      </c>
      <c r="K1995">
        <v>81</v>
      </c>
      <c r="L1995" s="122">
        <v>128620</v>
      </c>
      <c r="M1995" s="122">
        <v>97930</v>
      </c>
      <c r="N1995" s="122">
        <v>242158</v>
      </c>
      <c r="O1995" s="122">
        <v>89688</v>
      </c>
      <c r="P1995" s="122">
        <v>86346</v>
      </c>
      <c r="Q1995" s="122">
        <v>31980</v>
      </c>
      <c r="R1995" s="122">
        <v>619676</v>
      </c>
      <c r="S1995" s="122">
        <v>563342</v>
      </c>
      <c r="T1995" s="122">
        <v>93396</v>
      </c>
      <c r="U1995" s="122">
        <v>34591</v>
      </c>
      <c r="V1995" s="122">
        <v>1853232</v>
      </c>
      <c r="W1995" s="122">
        <f t="shared" si="62"/>
        <v>1853232</v>
      </c>
      <c r="X1995" s="122">
        <f t="shared" si="63"/>
        <v>2309467</v>
      </c>
    </row>
    <row r="1996" spans="2:24">
      <c r="B1996" t="s">
        <v>475</v>
      </c>
      <c r="C1996" t="s">
        <v>58</v>
      </c>
      <c r="F1996">
        <v>1</v>
      </c>
      <c r="G1996">
        <v>45</v>
      </c>
      <c r="H1996">
        <v>257</v>
      </c>
      <c r="J1996">
        <v>0</v>
      </c>
      <c r="M1996">
        <v>0</v>
      </c>
      <c r="N1996">
        <v>989</v>
      </c>
      <c r="O1996">
        <v>366</v>
      </c>
      <c r="P1996">
        <v>0</v>
      </c>
      <c r="Q1996">
        <v>0</v>
      </c>
      <c r="S1996">
        <v>0</v>
      </c>
      <c r="T1996">
        <v>0</v>
      </c>
      <c r="U1996">
        <v>0</v>
      </c>
      <c r="V1996">
        <v>366</v>
      </c>
      <c r="W1996" s="122">
        <f t="shared" si="62"/>
        <v>366</v>
      </c>
      <c r="X1996" s="122">
        <f t="shared" si="63"/>
        <v>989</v>
      </c>
    </row>
    <row r="1997" spans="2:24">
      <c r="B1997" t="s">
        <v>475</v>
      </c>
      <c r="C1997" t="s">
        <v>58</v>
      </c>
      <c r="D1997" t="s">
        <v>137</v>
      </c>
      <c r="E1997" t="s">
        <v>137</v>
      </c>
      <c r="F1997">
        <v>439</v>
      </c>
      <c r="G1997" s="122">
        <v>28412</v>
      </c>
      <c r="H1997" s="122">
        <v>115048</v>
      </c>
      <c r="I1997" s="122">
        <v>3709322</v>
      </c>
      <c r="J1997" s="122">
        <v>1373823</v>
      </c>
      <c r="K1997">
        <v>100</v>
      </c>
      <c r="L1997" s="122">
        <v>527670</v>
      </c>
      <c r="M1997" s="122">
        <v>200133</v>
      </c>
      <c r="N1997" s="122">
        <v>514108</v>
      </c>
      <c r="O1997" s="122">
        <v>190410</v>
      </c>
      <c r="P1997">
        <v>719</v>
      </c>
      <c r="Q1997">
        <v>266</v>
      </c>
      <c r="R1997" s="122">
        <v>2679045</v>
      </c>
      <c r="S1997" s="122">
        <v>992239</v>
      </c>
      <c r="T1997">
        <v>0</v>
      </c>
      <c r="U1997">
        <v>0</v>
      </c>
      <c r="V1997" s="122">
        <v>2756871</v>
      </c>
      <c r="W1997" s="122">
        <f t="shared" si="62"/>
        <v>2756871</v>
      </c>
      <c r="X1997" s="122">
        <f t="shared" si="63"/>
        <v>7430864</v>
      </c>
    </row>
    <row r="1998" spans="2:24">
      <c r="B1998" t="s">
        <v>475</v>
      </c>
      <c r="C1998" t="s">
        <v>58</v>
      </c>
      <c r="D1998" t="s">
        <v>406</v>
      </c>
      <c r="E1998" t="s">
        <v>406</v>
      </c>
      <c r="F1998">
        <v>11</v>
      </c>
      <c r="G1998" s="122">
        <v>1068</v>
      </c>
      <c r="H1998" s="122">
        <v>2995</v>
      </c>
      <c r="I1998" s="122">
        <v>160464</v>
      </c>
      <c r="J1998" s="122">
        <v>145876</v>
      </c>
      <c r="K1998">
        <v>82</v>
      </c>
      <c r="L1998" s="122">
        <v>37513</v>
      </c>
      <c r="M1998" s="122">
        <v>27675</v>
      </c>
      <c r="N1998" s="122">
        <v>21129</v>
      </c>
      <c r="O1998" s="122">
        <v>7825</v>
      </c>
      <c r="P1998" s="122">
        <v>6831</v>
      </c>
      <c r="Q1998" s="122">
        <v>2530</v>
      </c>
      <c r="R1998" s="122">
        <v>42954</v>
      </c>
      <c r="S1998" s="122">
        <v>39049</v>
      </c>
      <c r="T1998" s="122">
        <v>18275</v>
      </c>
      <c r="U1998" s="122">
        <v>6768</v>
      </c>
      <c r="V1998" s="122">
        <v>229724</v>
      </c>
      <c r="W1998" s="122">
        <f t="shared" si="62"/>
        <v>229723</v>
      </c>
      <c r="X1998" s="122">
        <f t="shared" si="63"/>
        <v>287166</v>
      </c>
    </row>
    <row r="1999" spans="2:24">
      <c r="B1999" t="s">
        <v>475</v>
      </c>
      <c r="C1999" t="s">
        <v>58</v>
      </c>
      <c r="D1999" t="s">
        <v>427</v>
      </c>
      <c r="E1999" t="s">
        <v>427</v>
      </c>
      <c r="F1999">
        <v>1</v>
      </c>
      <c r="G1999">
        <v>60</v>
      </c>
      <c r="H1999">
        <v>288</v>
      </c>
      <c r="I1999" s="122">
        <v>7032</v>
      </c>
      <c r="J1999" s="122">
        <v>6392</v>
      </c>
      <c r="K1999">
        <v>55</v>
      </c>
      <c r="L1999" s="122">
        <v>1055</v>
      </c>
      <c r="M1999">
        <v>391</v>
      </c>
      <c r="N1999" s="122">
        <v>1148</v>
      </c>
      <c r="O1999">
        <v>425</v>
      </c>
      <c r="P1999">
        <v>351</v>
      </c>
      <c r="Q1999">
        <v>130</v>
      </c>
      <c r="R1999" s="122">
        <v>7682</v>
      </c>
      <c r="S1999" s="122">
        <v>6984</v>
      </c>
      <c r="T1999">
        <v>0</v>
      </c>
      <c r="U1999">
        <v>0</v>
      </c>
      <c r="V1999" s="122">
        <v>14322</v>
      </c>
      <c r="W1999" s="122">
        <f t="shared" si="62"/>
        <v>14322</v>
      </c>
      <c r="X1999" s="122">
        <f t="shared" si="63"/>
        <v>17268</v>
      </c>
    </row>
    <row r="2000" spans="2:24">
      <c r="B2000" t="s">
        <v>475</v>
      </c>
      <c r="C2000" t="s">
        <v>58</v>
      </c>
      <c r="D2000" t="s">
        <v>407</v>
      </c>
      <c r="E2000" t="s">
        <v>137</v>
      </c>
      <c r="F2000">
        <v>5</v>
      </c>
      <c r="G2000">
        <v>258</v>
      </c>
      <c r="H2000" s="122">
        <v>1263</v>
      </c>
      <c r="I2000" s="122">
        <v>28912</v>
      </c>
      <c r="J2000" s="122">
        <v>26283</v>
      </c>
      <c r="K2000">
        <v>79</v>
      </c>
      <c r="L2000">
        <v>0</v>
      </c>
      <c r="M2000">
        <v>0</v>
      </c>
      <c r="N2000" s="122">
        <v>4678</v>
      </c>
      <c r="O2000" s="122">
        <v>1733</v>
      </c>
      <c r="P2000" s="122">
        <v>2363</v>
      </c>
      <c r="Q2000">
        <v>875</v>
      </c>
      <c r="R2000" s="122">
        <v>29233</v>
      </c>
      <c r="S2000" s="122">
        <v>10827</v>
      </c>
      <c r="T2000">
        <v>0</v>
      </c>
      <c r="U2000">
        <v>0</v>
      </c>
      <c r="V2000" s="122">
        <v>39718</v>
      </c>
      <c r="W2000" s="122">
        <f t="shared" si="62"/>
        <v>39718</v>
      </c>
      <c r="X2000" s="122">
        <f t="shared" si="63"/>
        <v>65186</v>
      </c>
    </row>
    <row r="2001" spans="2:24">
      <c r="B2001" t="s">
        <v>475</v>
      </c>
      <c r="C2001" t="s">
        <v>58</v>
      </c>
      <c r="D2001" t="s">
        <v>407</v>
      </c>
      <c r="E2001" t="s">
        <v>407</v>
      </c>
      <c r="F2001">
        <v>58</v>
      </c>
      <c r="G2001" s="122">
        <v>3483</v>
      </c>
      <c r="H2001" s="122">
        <v>14829</v>
      </c>
      <c r="I2001" s="122">
        <v>460680</v>
      </c>
      <c r="J2001" s="122">
        <v>418800</v>
      </c>
      <c r="K2001">
        <v>79</v>
      </c>
      <c r="L2001" s="122">
        <v>65838</v>
      </c>
      <c r="M2001" s="122">
        <v>52665</v>
      </c>
      <c r="N2001" s="122">
        <v>70935</v>
      </c>
      <c r="O2001" s="122">
        <v>26272</v>
      </c>
      <c r="P2001" s="122">
        <v>27405</v>
      </c>
      <c r="Q2001" s="122">
        <v>10150</v>
      </c>
      <c r="R2001" s="122">
        <v>217575</v>
      </c>
      <c r="S2001" s="122">
        <v>197795</v>
      </c>
      <c r="T2001" s="122">
        <v>49244</v>
      </c>
      <c r="U2001" s="122">
        <v>18238</v>
      </c>
      <c r="V2001" s="122">
        <v>723921</v>
      </c>
      <c r="W2001" s="122">
        <f t="shared" si="62"/>
        <v>723920</v>
      </c>
      <c r="X2001" s="122">
        <f t="shared" si="63"/>
        <v>891677</v>
      </c>
    </row>
    <row r="2002" spans="2:24">
      <c r="B2002" t="s">
        <v>475</v>
      </c>
      <c r="C2002" t="s">
        <v>60</v>
      </c>
      <c r="F2002">
        <v>4</v>
      </c>
      <c r="G2002">
        <v>192</v>
      </c>
      <c r="H2002" s="122">
        <v>1291</v>
      </c>
      <c r="J2002">
        <v>0</v>
      </c>
      <c r="M2002">
        <v>0</v>
      </c>
      <c r="N2002" s="122">
        <v>4294</v>
      </c>
      <c r="O2002" s="122">
        <v>1590</v>
      </c>
      <c r="P2002">
        <v>473</v>
      </c>
      <c r="Q2002">
        <v>175</v>
      </c>
      <c r="S2002">
        <v>0</v>
      </c>
      <c r="T2002" s="122">
        <v>2031</v>
      </c>
      <c r="U2002">
        <v>752</v>
      </c>
      <c r="V2002" s="122">
        <v>2518</v>
      </c>
      <c r="W2002" s="122">
        <f t="shared" si="62"/>
        <v>2517</v>
      </c>
      <c r="X2002" s="122">
        <f t="shared" si="63"/>
        <v>6798</v>
      </c>
    </row>
    <row r="2003" spans="2:24">
      <c r="B2003" t="s">
        <v>475</v>
      </c>
      <c r="C2003" t="s">
        <v>60</v>
      </c>
      <c r="D2003" t="s">
        <v>137</v>
      </c>
      <c r="E2003" t="s">
        <v>137</v>
      </c>
      <c r="F2003">
        <v>264</v>
      </c>
      <c r="G2003" s="122">
        <v>16235</v>
      </c>
      <c r="H2003" s="122">
        <v>88569</v>
      </c>
      <c r="I2003" s="122">
        <v>3156578</v>
      </c>
      <c r="J2003" s="122">
        <v>1169103</v>
      </c>
      <c r="K2003">
        <v>100</v>
      </c>
      <c r="L2003" s="122">
        <v>475643</v>
      </c>
      <c r="M2003" s="122">
        <v>187054</v>
      </c>
      <c r="N2003" s="122">
        <v>280043</v>
      </c>
      <c r="O2003" s="122">
        <v>103720</v>
      </c>
      <c r="P2003" s="122">
        <v>1048</v>
      </c>
      <c r="Q2003">
        <v>388</v>
      </c>
      <c r="R2003" s="122">
        <v>1527492</v>
      </c>
      <c r="S2003" s="122">
        <v>565738</v>
      </c>
      <c r="T2003" s="122">
        <v>1881</v>
      </c>
      <c r="U2003">
        <v>697</v>
      </c>
      <c r="V2003" s="122">
        <v>2026699</v>
      </c>
      <c r="W2003" s="122">
        <f t="shared" si="62"/>
        <v>2026700</v>
      </c>
      <c r="X2003" s="122">
        <f t="shared" si="63"/>
        <v>5442685</v>
      </c>
    </row>
    <row r="2004" spans="2:24">
      <c r="B2004" t="s">
        <v>475</v>
      </c>
      <c r="C2004" t="s">
        <v>60</v>
      </c>
      <c r="D2004" t="s">
        <v>407</v>
      </c>
      <c r="E2004" t="s">
        <v>137</v>
      </c>
      <c r="F2004">
        <v>1</v>
      </c>
      <c r="G2004">
        <v>141</v>
      </c>
      <c r="H2004">
        <v>344</v>
      </c>
      <c r="I2004" s="122">
        <v>31469</v>
      </c>
      <c r="J2004" s="122">
        <v>28608</v>
      </c>
      <c r="K2004">
        <v>65</v>
      </c>
      <c r="L2004" s="122">
        <v>7858</v>
      </c>
      <c r="M2004" s="122">
        <v>6548</v>
      </c>
      <c r="N2004" s="122">
        <v>2268</v>
      </c>
      <c r="O2004">
        <v>840</v>
      </c>
      <c r="P2004">
        <v>473</v>
      </c>
      <c r="Q2004">
        <v>175</v>
      </c>
      <c r="R2004" s="122">
        <v>6373</v>
      </c>
      <c r="S2004" s="122">
        <v>2360</v>
      </c>
      <c r="T2004">
        <v>0</v>
      </c>
      <c r="U2004">
        <v>0</v>
      </c>
      <c r="V2004" s="122">
        <v>38531</v>
      </c>
      <c r="W2004" s="122">
        <f t="shared" si="62"/>
        <v>38531</v>
      </c>
      <c r="X2004" s="122">
        <f t="shared" si="63"/>
        <v>48441</v>
      </c>
    </row>
    <row r="2005" spans="2:24">
      <c r="B2005" t="s">
        <v>475</v>
      </c>
      <c r="C2005" t="s">
        <v>60</v>
      </c>
      <c r="D2005" t="s">
        <v>407</v>
      </c>
      <c r="E2005" t="s">
        <v>407</v>
      </c>
      <c r="F2005">
        <v>21</v>
      </c>
      <c r="G2005" s="122">
        <v>1189</v>
      </c>
      <c r="H2005" s="122">
        <v>6921</v>
      </c>
      <c r="I2005" s="122">
        <v>253366</v>
      </c>
      <c r="J2005" s="122">
        <v>230332</v>
      </c>
      <c r="K2005">
        <v>78</v>
      </c>
      <c r="L2005" s="122">
        <v>27695</v>
      </c>
      <c r="M2005" s="122">
        <v>22872</v>
      </c>
      <c r="N2005" s="122">
        <v>22668</v>
      </c>
      <c r="O2005" s="122">
        <v>8396</v>
      </c>
      <c r="P2005" s="122">
        <v>9923</v>
      </c>
      <c r="Q2005" s="122">
        <v>3675</v>
      </c>
      <c r="R2005" s="122">
        <v>64754</v>
      </c>
      <c r="S2005" s="122">
        <v>58867</v>
      </c>
      <c r="T2005" s="122">
        <v>14724</v>
      </c>
      <c r="U2005" s="122">
        <v>5453</v>
      </c>
      <c r="V2005" s="122">
        <v>329596</v>
      </c>
      <c r="W2005" s="122">
        <f t="shared" si="62"/>
        <v>329595</v>
      </c>
      <c r="X2005" s="122">
        <f t="shared" si="63"/>
        <v>393130</v>
      </c>
    </row>
    <row r="2006" spans="2:24">
      <c r="B2006" t="s">
        <v>475</v>
      </c>
      <c r="C2006" t="s">
        <v>60</v>
      </c>
      <c r="D2006" t="s">
        <v>556</v>
      </c>
      <c r="E2006" t="s">
        <v>556</v>
      </c>
      <c r="F2006">
        <v>3</v>
      </c>
      <c r="G2006">
        <v>226</v>
      </c>
      <c r="H2006" s="122">
        <v>1008</v>
      </c>
      <c r="I2006" s="122">
        <v>48202</v>
      </c>
      <c r="J2006" s="122">
        <v>40168</v>
      </c>
      <c r="K2006">
        <v>58</v>
      </c>
      <c r="L2006">
        <v>0</v>
      </c>
      <c r="M2006">
        <v>0</v>
      </c>
      <c r="N2006" s="122">
        <v>4480</v>
      </c>
      <c r="O2006" s="122">
        <v>1659</v>
      </c>
      <c r="P2006" s="122">
        <v>1053</v>
      </c>
      <c r="Q2006">
        <v>390</v>
      </c>
      <c r="R2006" s="122">
        <v>16183</v>
      </c>
      <c r="S2006" s="122">
        <v>13486</v>
      </c>
      <c r="T2006" s="122">
        <v>7143</v>
      </c>
      <c r="U2006" s="122">
        <v>2646</v>
      </c>
      <c r="V2006" s="122">
        <v>58349</v>
      </c>
      <c r="W2006" s="122">
        <f t="shared" si="62"/>
        <v>58349</v>
      </c>
      <c r="X2006" s="122">
        <f t="shared" si="63"/>
        <v>77061</v>
      </c>
    </row>
    <row r="2007" spans="2:24">
      <c r="B2007" t="s">
        <v>475</v>
      </c>
      <c r="C2007" t="s">
        <v>62</v>
      </c>
      <c r="F2007">
        <v>1</v>
      </c>
      <c r="G2007">
        <v>51</v>
      </c>
      <c r="H2007">
        <v>381</v>
      </c>
      <c r="J2007">
        <v>0</v>
      </c>
      <c r="M2007">
        <v>0</v>
      </c>
      <c r="N2007">
        <v>752</v>
      </c>
      <c r="O2007">
        <v>279</v>
      </c>
      <c r="P2007">
        <v>621</v>
      </c>
      <c r="Q2007">
        <v>230</v>
      </c>
      <c r="S2007">
        <v>0</v>
      </c>
      <c r="T2007">
        <v>0</v>
      </c>
      <c r="U2007">
        <v>0</v>
      </c>
      <c r="V2007">
        <v>509</v>
      </c>
      <c r="W2007" s="122">
        <f t="shared" si="62"/>
        <v>509</v>
      </c>
      <c r="X2007" s="122">
        <f t="shared" si="63"/>
        <v>1373</v>
      </c>
    </row>
    <row r="2008" spans="2:24">
      <c r="B2008" t="s">
        <v>475</v>
      </c>
      <c r="C2008" t="s">
        <v>62</v>
      </c>
      <c r="D2008" t="s">
        <v>137</v>
      </c>
      <c r="E2008" t="s">
        <v>137</v>
      </c>
      <c r="F2008">
        <v>69</v>
      </c>
      <c r="G2008" s="122">
        <v>4065</v>
      </c>
      <c r="H2008" s="122">
        <v>28347</v>
      </c>
      <c r="I2008" s="122">
        <v>1027906</v>
      </c>
      <c r="J2008" s="122">
        <v>380706</v>
      </c>
      <c r="K2008">
        <v>100</v>
      </c>
      <c r="L2008" s="122">
        <v>185941</v>
      </c>
      <c r="M2008" s="122">
        <v>75702</v>
      </c>
      <c r="N2008" s="122">
        <v>74728</v>
      </c>
      <c r="O2008" s="122">
        <v>27677</v>
      </c>
      <c r="P2008">
        <v>175</v>
      </c>
      <c r="Q2008">
        <v>65</v>
      </c>
      <c r="R2008" s="122">
        <v>378345</v>
      </c>
      <c r="S2008" s="122">
        <v>140128</v>
      </c>
      <c r="T2008">
        <v>0</v>
      </c>
      <c r="U2008">
        <v>0</v>
      </c>
      <c r="V2008" s="122">
        <v>624277</v>
      </c>
      <c r="W2008" s="122">
        <f t="shared" si="62"/>
        <v>624278</v>
      </c>
      <c r="X2008" s="122">
        <f t="shared" si="63"/>
        <v>1667095</v>
      </c>
    </row>
    <row r="2009" spans="2:24">
      <c r="B2009" t="s">
        <v>475</v>
      </c>
      <c r="C2009" t="s">
        <v>62</v>
      </c>
      <c r="D2009" t="s">
        <v>406</v>
      </c>
      <c r="E2009" t="s">
        <v>406</v>
      </c>
      <c r="F2009">
        <v>2</v>
      </c>
      <c r="G2009">
        <v>235</v>
      </c>
      <c r="H2009">
        <v>802</v>
      </c>
      <c r="I2009" s="122">
        <v>64846</v>
      </c>
      <c r="J2009" s="122">
        <v>58951</v>
      </c>
      <c r="K2009">
        <v>72</v>
      </c>
      <c r="L2009" s="122">
        <v>10039</v>
      </c>
      <c r="M2009" s="122">
        <v>7268</v>
      </c>
      <c r="N2009" s="122">
        <v>5365</v>
      </c>
      <c r="O2009" s="122">
        <v>1987</v>
      </c>
      <c r="P2009" s="122">
        <v>1593</v>
      </c>
      <c r="Q2009">
        <v>590</v>
      </c>
      <c r="R2009" s="122">
        <v>8543</v>
      </c>
      <c r="S2009" s="122">
        <v>7766</v>
      </c>
      <c r="T2009" s="122">
        <v>4675</v>
      </c>
      <c r="U2009" s="122">
        <v>1732</v>
      </c>
      <c r="V2009" s="122">
        <v>78294</v>
      </c>
      <c r="W2009" s="122">
        <f t="shared" si="62"/>
        <v>78294</v>
      </c>
      <c r="X2009" s="122">
        <f t="shared" si="63"/>
        <v>95061</v>
      </c>
    </row>
    <row r="2010" spans="2:24">
      <c r="B2010" t="s">
        <v>475</v>
      </c>
      <c r="C2010" t="s">
        <v>62</v>
      </c>
      <c r="D2010" t="s">
        <v>407</v>
      </c>
      <c r="E2010" t="s">
        <v>137</v>
      </c>
      <c r="F2010">
        <v>1</v>
      </c>
      <c r="G2010">
        <v>42</v>
      </c>
      <c r="H2010">
        <v>444</v>
      </c>
      <c r="I2010" s="122">
        <v>13878</v>
      </c>
      <c r="J2010" s="122">
        <v>12616</v>
      </c>
      <c r="K2010">
        <v>65</v>
      </c>
      <c r="L2010">
        <v>0</v>
      </c>
      <c r="M2010">
        <v>0</v>
      </c>
      <c r="N2010">
        <v>927</v>
      </c>
      <c r="O2010">
        <v>343</v>
      </c>
      <c r="P2010">
        <v>473</v>
      </c>
      <c r="Q2010">
        <v>175</v>
      </c>
      <c r="R2010" s="122">
        <v>3192</v>
      </c>
      <c r="S2010" s="122">
        <v>1182</v>
      </c>
      <c r="T2010">
        <v>0</v>
      </c>
      <c r="U2010">
        <v>0</v>
      </c>
      <c r="V2010" s="122">
        <v>14317</v>
      </c>
      <c r="W2010" s="122">
        <f t="shared" si="62"/>
        <v>14316</v>
      </c>
      <c r="X2010" s="122">
        <f t="shared" si="63"/>
        <v>18470</v>
      </c>
    </row>
    <row r="2011" spans="2:24">
      <c r="B2011" t="s">
        <v>475</v>
      </c>
      <c r="C2011" t="s">
        <v>62</v>
      </c>
      <c r="D2011" t="s">
        <v>407</v>
      </c>
      <c r="E2011" t="s">
        <v>407</v>
      </c>
      <c r="F2011">
        <v>8</v>
      </c>
      <c r="G2011">
        <v>388</v>
      </c>
      <c r="H2011" s="122">
        <v>3314</v>
      </c>
      <c r="I2011" s="122">
        <v>104633</v>
      </c>
      <c r="J2011" s="122">
        <v>95121</v>
      </c>
      <c r="K2011">
        <v>79</v>
      </c>
      <c r="L2011" s="122">
        <v>11449</v>
      </c>
      <c r="M2011" s="122">
        <v>9950</v>
      </c>
      <c r="N2011" s="122">
        <v>7744</v>
      </c>
      <c r="O2011" s="122">
        <v>2868</v>
      </c>
      <c r="P2011" s="122">
        <v>3780</v>
      </c>
      <c r="Q2011" s="122">
        <v>1400</v>
      </c>
      <c r="R2011" s="122">
        <v>25082</v>
      </c>
      <c r="S2011" s="122">
        <v>22802</v>
      </c>
      <c r="T2011" s="122">
        <v>8278</v>
      </c>
      <c r="U2011" s="122">
        <v>3066</v>
      </c>
      <c r="V2011" s="122">
        <v>135207</v>
      </c>
      <c r="W2011" s="122">
        <f t="shared" si="62"/>
        <v>135207</v>
      </c>
      <c r="X2011" s="122">
        <f t="shared" si="63"/>
        <v>160966</v>
      </c>
    </row>
    <row r="2012" spans="2:24">
      <c r="B2012" t="s">
        <v>475</v>
      </c>
      <c r="C2012" t="s">
        <v>64</v>
      </c>
      <c r="F2012">
        <v>2</v>
      </c>
      <c r="G2012">
        <v>75</v>
      </c>
      <c r="H2012" s="122">
        <v>1055</v>
      </c>
      <c r="J2012">
        <v>0</v>
      </c>
      <c r="M2012">
        <v>0</v>
      </c>
      <c r="N2012" s="122">
        <v>1822</v>
      </c>
      <c r="O2012">
        <v>675</v>
      </c>
      <c r="P2012">
        <v>0</v>
      </c>
      <c r="Q2012">
        <v>0</v>
      </c>
      <c r="S2012">
        <v>0</v>
      </c>
      <c r="T2012">
        <v>861</v>
      </c>
      <c r="U2012">
        <v>319</v>
      </c>
      <c r="V2012">
        <v>994</v>
      </c>
      <c r="W2012" s="122">
        <f t="shared" si="62"/>
        <v>994</v>
      </c>
      <c r="X2012" s="122">
        <f t="shared" si="63"/>
        <v>2683</v>
      </c>
    </row>
    <row r="2013" spans="2:24">
      <c r="B2013" t="s">
        <v>475</v>
      </c>
      <c r="C2013" t="s">
        <v>64</v>
      </c>
      <c r="D2013" t="s">
        <v>137</v>
      </c>
      <c r="E2013" t="s">
        <v>137</v>
      </c>
      <c r="F2013">
        <v>73</v>
      </c>
      <c r="G2013" s="122">
        <v>3318</v>
      </c>
      <c r="H2013" s="122">
        <v>45892</v>
      </c>
      <c r="I2013" s="122">
        <v>1493813</v>
      </c>
      <c r="J2013" s="122">
        <v>553264</v>
      </c>
      <c r="K2013">
        <v>100</v>
      </c>
      <c r="L2013" s="122">
        <v>181013</v>
      </c>
      <c r="M2013" s="122">
        <v>102225</v>
      </c>
      <c r="N2013" s="122">
        <v>65263</v>
      </c>
      <c r="O2013" s="122">
        <v>24172</v>
      </c>
      <c r="P2013" s="122">
        <v>1812</v>
      </c>
      <c r="Q2013">
        <v>671</v>
      </c>
      <c r="R2013" s="122">
        <v>366132</v>
      </c>
      <c r="S2013" s="122">
        <v>135604</v>
      </c>
      <c r="T2013" s="122">
        <v>3641</v>
      </c>
      <c r="U2013" s="122">
        <v>1348</v>
      </c>
      <c r="V2013" s="122">
        <v>817284</v>
      </c>
      <c r="W2013" s="122">
        <f t="shared" si="62"/>
        <v>817284</v>
      </c>
      <c r="X2013" s="122">
        <f t="shared" si="63"/>
        <v>2111674</v>
      </c>
    </row>
    <row r="2014" spans="2:24">
      <c r="B2014" t="s">
        <v>475</v>
      </c>
      <c r="C2014" t="s">
        <v>64</v>
      </c>
      <c r="D2014" t="s">
        <v>137</v>
      </c>
      <c r="E2014" t="s">
        <v>556</v>
      </c>
      <c r="F2014">
        <v>2</v>
      </c>
      <c r="G2014">
        <v>94</v>
      </c>
      <c r="H2014" s="122">
        <v>1435</v>
      </c>
      <c r="I2014" s="122">
        <v>44497</v>
      </c>
      <c r="J2014" s="122">
        <v>16480</v>
      </c>
      <c r="K2014">
        <v>100</v>
      </c>
      <c r="L2014" s="122">
        <v>8850</v>
      </c>
      <c r="M2014" s="122">
        <v>7375</v>
      </c>
      <c r="N2014" s="122">
        <v>1752</v>
      </c>
      <c r="O2014">
        <v>649</v>
      </c>
      <c r="P2014">
        <v>0</v>
      </c>
      <c r="Q2014">
        <v>0</v>
      </c>
      <c r="R2014" s="122">
        <v>11073</v>
      </c>
      <c r="S2014" s="122">
        <v>9228</v>
      </c>
      <c r="T2014" s="122">
        <v>2516</v>
      </c>
      <c r="U2014">
        <v>932</v>
      </c>
      <c r="V2014" s="122">
        <v>34664</v>
      </c>
      <c r="W2014" s="122">
        <f t="shared" si="62"/>
        <v>34664</v>
      </c>
      <c r="X2014" s="122">
        <f t="shared" si="63"/>
        <v>68688</v>
      </c>
    </row>
    <row r="2015" spans="2:24">
      <c r="B2015" t="s">
        <v>475</v>
      </c>
      <c r="C2015" t="s">
        <v>64</v>
      </c>
      <c r="D2015" t="s">
        <v>407</v>
      </c>
      <c r="E2015" t="s">
        <v>407</v>
      </c>
      <c r="F2015">
        <v>4</v>
      </c>
      <c r="G2015">
        <v>234</v>
      </c>
      <c r="H2015" s="122">
        <v>1942</v>
      </c>
      <c r="I2015" s="122">
        <v>79350</v>
      </c>
      <c r="J2015" s="122">
        <v>72136</v>
      </c>
      <c r="K2015">
        <v>78</v>
      </c>
      <c r="L2015" s="122">
        <v>7059</v>
      </c>
      <c r="M2015" s="122">
        <v>5882</v>
      </c>
      <c r="N2015" s="122">
        <v>4517</v>
      </c>
      <c r="O2015" s="122">
        <v>1673</v>
      </c>
      <c r="P2015" s="122">
        <v>1769</v>
      </c>
      <c r="Q2015">
        <v>655</v>
      </c>
      <c r="R2015" s="122">
        <v>12847</v>
      </c>
      <c r="S2015" s="122">
        <v>11679</v>
      </c>
      <c r="T2015" s="122">
        <v>8083</v>
      </c>
      <c r="U2015" s="122">
        <v>2994</v>
      </c>
      <c r="V2015" s="122">
        <v>95019</v>
      </c>
      <c r="W2015" s="122">
        <f t="shared" si="62"/>
        <v>95019</v>
      </c>
      <c r="X2015" s="122">
        <f t="shared" si="63"/>
        <v>113625</v>
      </c>
    </row>
    <row r="2016" spans="2:24">
      <c r="B2016" t="s">
        <v>475</v>
      </c>
      <c r="C2016" t="s">
        <v>64</v>
      </c>
      <c r="D2016" t="s">
        <v>556</v>
      </c>
      <c r="E2016" t="s">
        <v>137</v>
      </c>
      <c r="F2016">
        <v>2</v>
      </c>
      <c r="G2016">
        <v>96</v>
      </c>
      <c r="H2016" s="122">
        <v>1586</v>
      </c>
      <c r="I2016" s="122">
        <v>57100</v>
      </c>
      <c r="J2016" s="122">
        <v>47583</v>
      </c>
      <c r="K2016">
        <v>45</v>
      </c>
      <c r="L2016" s="122">
        <v>9019</v>
      </c>
      <c r="M2016" s="122">
        <v>5195</v>
      </c>
      <c r="N2016" s="122">
        <v>1287</v>
      </c>
      <c r="O2016">
        <v>477</v>
      </c>
      <c r="P2016">
        <v>0</v>
      </c>
      <c r="Q2016">
        <v>0</v>
      </c>
      <c r="R2016" s="122">
        <v>8973</v>
      </c>
      <c r="S2016" s="122">
        <v>3323</v>
      </c>
      <c r="T2016">
        <v>0</v>
      </c>
      <c r="U2016">
        <v>0</v>
      </c>
      <c r="V2016" s="122">
        <v>56579</v>
      </c>
      <c r="W2016" s="122">
        <f t="shared" si="62"/>
        <v>56578</v>
      </c>
      <c r="X2016" s="122">
        <f t="shared" si="63"/>
        <v>76379</v>
      </c>
    </row>
    <row r="2017" spans="2:24">
      <c r="B2017" t="s">
        <v>475</v>
      </c>
      <c r="C2017" t="s">
        <v>64</v>
      </c>
      <c r="D2017" t="s">
        <v>556</v>
      </c>
      <c r="E2017" t="s">
        <v>556</v>
      </c>
      <c r="F2017">
        <v>1</v>
      </c>
      <c r="G2017">
        <v>36</v>
      </c>
      <c r="H2017">
        <v>636</v>
      </c>
      <c r="I2017" s="122">
        <v>17470</v>
      </c>
      <c r="J2017" s="122">
        <v>14558</v>
      </c>
      <c r="K2017">
        <v>55</v>
      </c>
      <c r="L2017">
        <v>0</v>
      </c>
      <c r="M2017">
        <v>0</v>
      </c>
      <c r="N2017">
        <v>620</v>
      </c>
      <c r="O2017">
        <v>230</v>
      </c>
      <c r="P2017">
        <v>351</v>
      </c>
      <c r="Q2017">
        <v>130</v>
      </c>
      <c r="R2017" s="122">
        <v>3588</v>
      </c>
      <c r="S2017" s="122">
        <v>2990</v>
      </c>
      <c r="T2017" s="122">
        <v>1100</v>
      </c>
      <c r="U2017">
        <v>407</v>
      </c>
      <c r="V2017" s="122">
        <v>18315</v>
      </c>
      <c r="W2017" s="122">
        <f t="shared" si="62"/>
        <v>18315</v>
      </c>
      <c r="X2017" s="122">
        <f t="shared" si="63"/>
        <v>23129</v>
      </c>
    </row>
    <row r="2018" spans="2:24">
      <c r="B2018" t="s">
        <v>476</v>
      </c>
      <c r="C2018" t="s">
        <v>48</v>
      </c>
      <c r="D2018" t="s">
        <v>137</v>
      </c>
      <c r="E2018" t="s">
        <v>137</v>
      </c>
      <c r="F2018">
        <v>9</v>
      </c>
      <c r="G2018">
        <v>645</v>
      </c>
      <c r="H2018">
        <v>562</v>
      </c>
      <c r="I2018">
        <v>532</v>
      </c>
      <c r="J2018">
        <v>197</v>
      </c>
      <c r="K2018">
        <v>494</v>
      </c>
      <c r="L2018">
        <v>329</v>
      </c>
      <c r="M2018">
        <v>299</v>
      </c>
      <c r="N2018" s="122">
        <v>8792</v>
      </c>
      <c r="O2018" s="122">
        <v>3256</v>
      </c>
      <c r="P2018" s="122">
        <v>4914</v>
      </c>
      <c r="Q2018" s="122">
        <v>1820</v>
      </c>
      <c r="R2018" s="122">
        <v>23419</v>
      </c>
      <c r="S2018" s="122">
        <v>8674</v>
      </c>
      <c r="T2018">
        <v>0</v>
      </c>
      <c r="U2018">
        <v>0</v>
      </c>
      <c r="V2018" s="122">
        <v>14246</v>
      </c>
      <c r="W2018" s="122">
        <f t="shared" si="62"/>
        <v>14246</v>
      </c>
      <c r="X2018" s="122">
        <f t="shared" si="63"/>
        <v>37986</v>
      </c>
    </row>
    <row r="2019" spans="2:24">
      <c r="B2019" t="s">
        <v>476</v>
      </c>
      <c r="C2019" t="s">
        <v>48</v>
      </c>
      <c r="D2019" t="s">
        <v>407</v>
      </c>
      <c r="E2019" t="s">
        <v>407</v>
      </c>
      <c r="F2019">
        <v>3</v>
      </c>
      <c r="G2019">
        <v>278</v>
      </c>
      <c r="H2019">
        <v>198</v>
      </c>
      <c r="I2019" s="122">
        <v>5034</v>
      </c>
      <c r="J2019" s="122">
        <v>4577</v>
      </c>
      <c r="K2019">
        <v>92</v>
      </c>
      <c r="L2019">
        <v>0</v>
      </c>
      <c r="M2019">
        <v>0</v>
      </c>
      <c r="N2019" s="122">
        <v>3392</v>
      </c>
      <c r="O2019" s="122">
        <v>1256</v>
      </c>
      <c r="P2019" s="122">
        <v>1418</v>
      </c>
      <c r="Q2019">
        <v>525</v>
      </c>
      <c r="R2019" s="122">
        <v>8497</v>
      </c>
      <c r="S2019" s="122">
        <v>7724</v>
      </c>
      <c r="T2019">
        <v>0</v>
      </c>
      <c r="U2019">
        <v>0</v>
      </c>
      <c r="V2019" s="122">
        <v>14082</v>
      </c>
      <c r="W2019" s="122">
        <f t="shared" si="62"/>
        <v>14082</v>
      </c>
      <c r="X2019" s="122">
        <f t="shared" si="63"/>
        <v>18341</v>
      </c>
    </row>
    <row r="2020" spans="2:24">
      <c r="B2020" t="s">
        <v>476</v>
      </c>
      <c r="C2020" t="s">
        <v>50</v>
      </c>
      <c r="F2020">
        <v>7</v>
      </c>
      <c r="G2020">
        <v>577</v>
      </c>
      <c r="H2020">
        <v>588</v>
      </c>
      <c r="J2020">
        <v>0</v>
      </c>
      <c r="M2020">
        <v>0</v>
      </c>
      <c r="N2020" s="122">
        <v>7140</v>
      </c>
      <c r="O2020" s="122">
        <v>2644</v>
      </c>
      <c r="P2020" s="122">
        <v>2106</v>
      </c>
      <c r="Q2020">
        <v>780</v>
      </c>
      <c r="S2020">
        <v>0</v>
      </c>
      <c r="T2020">
        <v>0</v>
      </c>
      <c r="U2020">
        <v>0</v>
      </c>
      <c r="V2020" s="122">
        <v>3424</v>
      </c>
      <c r="W2020" s="122">
        <f t="shared" si="62"/>
        <v>3424</v>
      </c>
      <c r="X2020" s="122">
        <f t="shared" si="63"/>
        <v>9246</v>
      </c>
    </row>
    <row r="2021" spans="2:24">
      <c r="B2021" t="s">
        <v>476</v>
      </c>
      <c r="C2021" t="s">
        <v>52</v>
      </c>
      <c r="F2021">
        <v>9</v>
      </c>
      <c r="G2021">
        <v>564</v>
      </c>
      <c r="H2021" s="122">
        <v>1075</v>
      </c>
      <c r="J2021">
        <v>0</v>
      </c>
      <c r="M2021">
        <v>0</v>
      </c>
      <c r="N2021" s="122">
        <v>9249</v>
      </c>
      <c r="O2021" s="122">
        <v>3425</v>
      </c>
      <c r="P2021" s="122">
        <v>1755</v>
      </c>
      <c r="Q2021">
        <v>650</v>
      </c>
      <c r="S2021">
        <v>0</v>
      </c>
      <c r="T2021">
        <v>0</v>
      </c>
      <c r="U2021">
        <v>0</v>
      </c>
      <c r="V2021" s="122">
        <v>4075</v>
      </c>
      <c r="W2021" s="122">
        <f t="shared" si="62"/>
        <v>4075</v>
      </c>
      <c r="X2021" s="122">
        <f t="shared" si="63"/>
        <v>11004</v>
      </c>
    </row>
    <row r="2022" spans="2:24">
      <c r="B2022" t="s">
        <v>476</v>
      </c>
      <c r="C2022" t="s">
        <v>52</v>
      </c>
      <c r="D2022" t="s">
        <v>137</v>
      </c>
      <c r="E2022" t="s">
        <v>137</v>
      </c>
      <c r="F2022">
        <v>10</v>
      </c>
      <c r="G2022">
        <v>638</v>
      </c>
      <c r="H2022" s="122">
        <v>1073</v>
      </c>
      <c r="I2022" s="122">
        <v>11629</v>
      </c>
      <c r="J2022" s="122">
        <v>4307</v>
      </c>
      <c r="K2022">
        <v>384</v>
      </c>
      <c r="L2022" s="122">
        <v>2642</v>
      </c>
      <c r="M2022" s="122">
        <v>2402</v>
      </c>
      <c r="N2022" s="122">
        <v>13312</v>
      </c>
      <c r="O2022" s="122">
        <v>4930</v>
      </c>
      <c r="P2022" s="122">
        <v>3510</v>
      </c>
      <c r="Q2022" s="122">
        <v>1300</v>
      </c>
      <c r="R2022" s="122">
        <v>37306</v>
      </c>
      <c r="S2022" s="122">
        <v>13817</v>
      </c>
      <c r="T2022">
        <v>0</v>
      </c>
      <c r="U2022">
        <v>0</v>
      </c>
      <c r="V2022" s="122">
        <v>26756</v>
      </c>
      <c r="W2022" s="122">
        <f t="shared" si="62"/>
        <v>26756</v>
      </c>
      <c r="X2022" s="122">
        <f t="shared" si="63"/>
        <v>68399</v>
      </c>
    </row>
    <row r="2023" spans="2:24">
      <c r="B2023" t="s">
        <v>476</v>
      </c>
      <c r="C2023" t="s">
        <v>52</v>
      </c>
      <c r="D2023" t="s">
        <v>407</v>
      </c>
      <c r="E2023" t="s">
        <v>407</v>
      </c>
      <c r="F2023">
        <v>8</v>
      </c>
      <c r="G2023">
        <v>699</v>
      </c>
      <c r="H2023">
        <v>925</v>
      </c>
      <c r="I2023" s="122">
        <v>23672</v>
      </c>
      <c r="J2023" s="122">
        <v>21520</v>
      </c>
      <c r="K2023">
        <v>78</v>
      </c>
      <c r="L2023" s="122">
        <v>2060</v>
      </c>
      <c r="M2023" s="122">
        <v>1789</v>
      </c>
      <c r="N2023" s="122">
        <v>14123</v>
      </c>
      <c r="O2023" s="122">
        <v>5231</v>
      </c>
      <c r="P2023" s="122">
        <v>3780</v>
      </c>
      <c r="Q2023" s="122">
        <v>1400</v>
      </c>
      <c r="R2023" s="122">
        <v>37298</v>
      </c>
      <c r="S2023" s="122">
        <v>33907</v>
      </c>
      <c r="T2023">
        <v>0</v>
      </c>
      <c r="U2023">
        <v>0</v>
      </c>
      <c r="V2023" s="122">
        <v>63846</v>
      </c>
      <c r="W2023" s="122">
        <f t="shared" si="62"/>
        <v>63847</v>
      </c>
      <c r="X2023" s="122">
        <f t="shared" si="63"/>
        <v>80933</v>
      </c>
    </row>
    <row r="2024" spans="2:24">
      <c r="B2024" t="s">
        <v>476</v>
      </c>
      <c r="C2024" t="s">
        <v>54</v>
      </c>
      <c r="F2024">
        <v>15</v>
      </c>
      <c r="G2024">
        <v>945</v>
      </c>
      <c r="H2024" s="122">
        <v>2063</v>
      </c>
      <c r="J2024">
        <v>0</v>
      </c>
      <c r="M2024">
        <v>0</v>
      </c>
      <c r="N2024" s="122">
        <v>14732</v>
      </c>
      <c r="O2024" s="122">
        <v>5456</v>
      </c>
      <c r="P2024" s="122">
        <v>2808</v>
      </c>
      <c r="Q2024" s="122">
        <v>1040</v>
      </c>
      <c r="S2024">
        <v>0</v>
      </c>
      <c r="T2024">
        <v>0</v>
      </c>
      <c r="U2024">
        <v>0</v>
      </c>
      <c r="V2024" s="122">
        <v>6496</v>
      </c>
      <c r="W2024" s="122">
        <f t="shared" si="62"/>
        <v>6496</v>
      </c>
      <c r="X2024" s="122">
        <f t="shared" si="63"/>
        <v>17540</v>
      </c>
    </row>
    <row r="2025" spans="2:24">
      <c r="B2025" t="s">
        <v>476</v>
      </c>
      <c r="C2025" t="s">
        <v>54</v>
      </c>
      <c r="D2025" t="s">
        <v>405</v>
      </c>
      <c r="E2025" t="s">
        <v>405</v>
      </c>
      <c r="F2025">
        <v>1</v>
      </c>
      <c r="G2025">
        <v>83</v>
      </c>
      <c r="H2025">
        <v>141</v>
      </c>
      <c r="I2025" s="122">
        <v>5404</v>
      </c>
      <c r="J2025" s="122">
        <v>4912</v>
      </c>
      <c r="K2025">
        <v>73</v>
      </c>
      <c r="L2025">
        <v>0</v>
      </c>
      <c r="M2025">
        <v>0</v>
      </c>
      <c r="N2025" s="122">
        <v>1320</v>
      </c>
      <c r="O2025">
        <v>489</v>
      </c>
      <c r="P2025">
        <v>473</v>
      </c>
      <c r="Q2025">
        <v>175</v>
      </c>
      <c r="R2025" s="122">
        <v>4491</v>
      </c>
      <c r="S2025" s="122">
        <v>4083</v>
      </c>
      <c r="T2025">
        <v>0</v>
      </c>
      <c r="U2025">
        <v>0</v>
      </c>
      <c r="V2025" s="122">
        <v>9659</v>
      </c>
      <c r="W2025" s="122">
        <f t="shared" si="62"/>
        <v>9659</v>
      </c>
      <c r="X2025" s="122">
        <f t="shared" si="63"/>
        <v>11688</v>
      </c>
    </row>
    <row r="2026" spans="2:24">
      <c r="B2026" t="s">
        <v>476</v>
      </c>
      <c r="C2026" t="s">
        <v>54</v>
      </c>
      <c r="D2026" t="s">
        <v>137</v>
      </c>
      <c r="E2026" t="s">
        <v>137</v>
      </c>
      <c r="F2026">
        <v>5</v>
      </c>
      <c r="G2026">
        <v>395</v>
      </c>
      <c r="H2026">
        <v>700</v>
      </c>
      <c r="I2026" s="122">
        <v>13949</v>
      </c>
      <c r="J2026" s="122">
        <v>5166</v>
      </c>
      <c r="K2026">
        <v>160</v>
      </c>
      <c r="L2026" s="122">
        <v>3514</v>
      </c>
      <c r="M2026" s="122">
        <v>1420</v>
      </c>
      <c r="N2026" s="122">
        <v>6575</v>
      </c>
      <c r="O2026" s="122">
        <v>2435</v>
      </c>
      <c r="P2026">
        <v>351</v>
      </c>
      <c r="Q2026">
        <v>130</v>
      </c>
      <c r="R2026" s="122">
        <v>30689</v>
      </c>
      <c r="S2026" s="122">
        <v>11366</v>
      </c>
      <c r="T2026">
        <v>0</v>
      </c>
      <c r="U2026">
        <v>0</v>
      </c>
      <c r="V2026" s="122">
        <v>20518</v>
      </c>
      <c r="W2026" s="122">
        <f t="shared" si="62"/>
        <v>20517</v>
      </c>
      <c r="X2026" s="122">
        <f t="shared" si="63"/>
        <v>55078</v>
      </c>
    </row>
    <row r="2027" spans="2:24">
      <c r="B2027" t="s">
        <v>476</v>
      </c>
      <c r="C2027" t="s">
        <v>54</v>
      </c>
      <c r="D2027" t="s">
        <v>406</v>
      </c>
      <c r="E2027" t="s">
        <v>406</v>
      </c>
      <c r="F2027">
        <v>2</v>
      </c>
      <c r="G2027">
        <v>300</v>
      </c>
      <c r="H2027">
        <v>296</v>
      </c>
      <c r="I2027" s="122">
        <v>32562</v>
      </c>
      <c r="J2027" s="122">
        <v>29601</v>
      </c>
      <c r="K2027">
        <v>93</v>
      </c>
      <c r="L2027" s="122">
        <v>5693</v>
      </c>
      <c r="M2027" s="122">
        <v>4459</v>
      </c>
      <c r="N2027" s="122">
        <v>8615</v>
      </c>
      <c r="O2027" s="122">
        <v>3191</v>
      </c>
      <c r="P2027" s="122">
        <v>1242</v>
      </c>
      <c r="Q2027">
        <v>460</v>
      </c>
      <c r="R2027" s="122">
        <v>10020</v>
      </c>
      <c r="S2027" s="122">
        <v>9109</v>
      </c>
      <c r="T2027" s="122">
        <v>2444</v>
      </c>
      <c r="U2027">
        <v>905</v>
      </c>
      <c r="V2027" s="122">
        <v>47726</v>
      </c>
      <c r="W2027" s="122">
        <f t="shared" ref="W2027:W2090" si="64">SUM(ABS(J2027),ABS(M2027),ABS(O2027),ABS(Q2027),ABS(S2027),ABS(U2027))</f>
        <v>47725</v>
      </c>
      <c r="X2027" s="122">
        <f t="shared" ref="X2027:X2090" si="65">SUM(ABS(I2027),ABS(N2027),ABS(P2027),ABS(R2027),ABS(T2027),ABS(L2027))</f>
        <v>60576</v>
      </c>
    </row>
    <row r="2028" spans="2:24">
      <c r="B2028" t="s">
        <v>476</v>
      </c>
      <c r="C2028" t="s">
        <v>54</v>
      </c>
      <c r="D2028" t="s">
        <v>407</v>
      </c>
      <c r="E2028" t="s">
        <v>407</v>
      </c>
      <c r="F2028">
        <v>20</v>
      </c>
      <c r="G2028" s="122">
        <v>1580</v>
      </c>
      <c r="H2028" s="122">
        <v>2846</v>
      </c>
      <c r="I2028" s="122">
        <v>88651</v>
      </c>
      <c r="J2028" s="122">
        <v>80591</v>
      </c>
      <c r="K2028">
        <v>82</v>
      </c>
      <c r="L2028" s="122">
        <v>12543</v>
      </c>
      <c r="M2028" s="122">
        <v>10445</v>
      </c>
      <c r="N2028" s="122">
        <v>34939</v>
      </c>
      <c r="O2028" s="122">
        <v>12940</v>
      </c>
      <c r="P2028" s="122">
        <v>9329</v>
      </c>
      <c r="Q2028" s="122">
        <v>3455</v>
      </c>
      <c r="R2028" s="122">
        <v>76404</v>
      </c>
      <c r="S2028" s="122">
        <v>69458</v>
      </c>
      <c r="T2028" s="122">
        <v>2471</v>
      </c>
      <c r="U2028">
        <v>915</v>
      </c>
      <c r="V2028" s="122">
        <v>177805</v>
      </c>
      <c r="W2028" s="122">
        <f t="shared" si="64"/>
        <v>177804</v>
      </c>
      <c r="X2028" s="122">
        <f t="shared" si="65"/>
        <v>224337</v>
      </c>
    </row>
    <row r="2029" spans="2:24">
      <c r="B2029" t="s">
        <v>476</v>
      </c>
      <c r="C2029" t="s">
        <v>54</v>
      </c>
      <c r="D2029" t="s">
        <v>408</v>
      </c>
      <c r="E2029" t="s">
        <v>408</v>
      </c>
      <c r="F2029">
        <v>1</v>
      </c>
      <c r="G2029">
        <v>77</v>
      </c>
      <c r="H2029">
        <v>134</v>
      </c>
      <c r="I2029" s="122">
        <v>3730</v>
      </c>
      <c r="J2029" s="122">
        <v>3391</v>
      </c>
      <c r="K2029">
        <v>75</v>
      </c>
      <c r="L2029" s="122">
        <v>1212</v>
      </c>
      <c r="M2029">
        <v>449</v>
      </c>
      <c r="N2029">
        <v>933</v>
      </c>
      <c r="O2029">
        <v>346</v>
      </c>
      <c r="P2029">
        <v>351</v>
      </c>
      <c r="Q2029">
        <v>130</v>
      </c>
      <c r="R2029" s="122">
        <v>4018</v>
      </c>
      <c r="S2029" s="122">
        <v>3653</v>
      </c>
      <c r="T2029">
        <v>0</v>
      </c>
      <c r="U2029">
        <v>0</v>
      </c>
      <c r="V2029" s="122">
        <v>7968</v>
      </c>
      <c r="W2029" s="122">
        <f t="shared" si="64"/>
        <v>7969</v>
      </c>
      <c r="X2029" s="122">
        <f t="shared" si="65"/>
        <v>10244</v>
      </c>
    </row>
    <row r="2030" spans="2:24">
      <c r="B2030" t="s">
        <v>476</v>
      </c>
      <c r="C2030" t="s">
        <v>56</v>
      </c>
      <c r="F2030">
        <v>14</v>
      </c>
      <c r="G2030" s="122">
        <v>1014</v>
      </c>
      <c r="H2030" s="122">
        <v>2419</v>
      </c>
      <c r="J2030">
        <v>0</v>
      </c>
      <c r="M2030">
        <v>0</v>
      </c>
      <c r="N2030" s="122">
        <v>18675</v>
      </c>
      <c r="O2030" s="122">
        <v>6917</v>
      </c>
      <c r="P2030" s="122">
        <v>3429</v>
      </c>
      <c r="Q2030" s="122">
        <v>1270</v>
      </c>
      <c r="S2030">
        <v>0</v>
      </c>
      <c r="T2030">
        <v>0</v>
      </c>
      <c r="U2030">
        <v>0</v>
      </c>
      <c r="V2030" s="122">
        <v>8187</v>
      </c>
      <c r="W2030" s="122">
        <f t="shared" si="64"/>
        <v>8187</v>
      </c>
      <c r="X2030" s="122">
        <f t="shared" si="65"/>
        <v>22104</v>
      </c>
    </row>
    <row r="2031" spans="2:24">
      <c r="B2031" t="s">
        <v>476</v>
      </c>
      <c r="C2031" t="s">
        <v>56</v>
      </c>
      <c r="D2031" t="s">
        <v>405</v>
      </c>
      <c r="E2031" t="s">
        <v>425</v>
      </c>
      <c r="F2031">
        <v>1</v>
      </c>
      <c r="G2031">
        <v>117</v>
      </c>
      <c r="H2031">
        <v>209</v>
      </c>
      <c r="I2031" s="122">
        <v>12617</v>
      </c>
      <c r="J2031" s="122">
        <v>11470</v>
      </c>
      <c r="K2031">
        <v>78</v>
      </c>
      <c r="L2031" s="122">
        <v>2308</v>
      </c>
      <c r="M2031" s="122">
        <v>2099</v>
      </c>
      <c r="N2031" s="122">
        <v>2642</v>
      </c>
      <c r="O2031">
        <v>978</v>
      </c>
      <c r="P2031">
        <v>473</v>
      </c>
      <c r="Q2031">
        <v>175</v>
      </c>
      <c r="R2031" s="122">
        <v>6434</v>
      </c>
      <c r="S2031" s="122">
        <v>5849</v>
      </c>
      <c r="T2031">
        <v>0</v>
      </c>
      <c r="U2031">
        <v>0</v>
      </c>
      <c r="V2031" s="122">
        <v>20571</v>
      </c>
      <c r="W2031" s="122">
        <f t="shared" si="64"/>
        <v>20571</v>
      </c>
      <c r="X2031" s="122">
        <f t="shared" si="65"/>
        <v>24474</v>
      </c>
    </row>
    <row r="2032" spans="2:24">
      <c r="B2032" t="s">
        <v>476</v>
      </c>
      <c r="C2032" t="s">
        <v>56</v>
      </c>
      <c r="D2032" t="s">
        <v>405</v>
      </c>
      <c r="E2032" t="s">
        <v>405</v>
      </c>
      <c r="F2032">
        <v>16</v>
      </c>
      <c r="G2032" s="122">
        <v>1252</v>
      </c>
      <c r="H2032" s="122">
        <v>2913</v>
      </c>
      <c r="I2032" s="122">
        <v>111070</v>
      </c>
      <c r="J2032" s="122">
        <v>100973</v>
      </c>
      <c r="K2032">
        <v>75</v>
      </c>
      <c r="L2032" s="122">
        <v>5043</v>
      </c>
      <c r="M2032" s="122">
        <v>4585</v>
      </c>
      <c r="N2032" s="122">
        <v>25747</v>
      </c>
      <c r="O2032" s="122">
        <v>9536</v>
      </c>
      <c r="P2032" s="122">
        <v>7560</v>
      </c>
      <c r="Q2032" s="122">
        <v>2800</v>
      </c>
      <c r="R2032" s="122">
        <v>76903</v>
      </c>
      <c r="S2032" s="122">
        <v>69912</v>
      </c>
      <c r="T2032">
        <v>0</v>
      </c>
      <c r="U2032">
        <v>0</v>
      </c>
      <c r="V2032" s="122">
        <v>187806</v>
      </c>
      <c r="W2032" s="122">
        <f t="shared" si="64"/>
        <v>187806</v>
      </c>
      <c r="X2032" s="122">
        <f t="shared" si="65"/>
        <v>226323</v>
      </c>
    </row>
    <row r="2033" spans="2:24">
      <c r="B2033" t="s">
        <v>476</v>
      </c>
      <c r="C2033" t="s">
        <v>56</v>
      </c>
      <c r="D2033" t="s">
        <v>137</v>
      </c>
      <c r="E2033" t="s">
        <v>137</v>
      </c>
      <c r="F2033">
        <v>177</v>
      </c>
      <c r="G2033" s="122">
        <v>12069</v>
      </c>
      <c r="H2033" s="122">
        <v>35434</v>
      </c>
      <c r="I2033" s="122">
        <v>1002179</v>
      </c>
      <c r="J2033" s="122">
        <v>371177</v>
      </c>
      <c r="K2033">
        <v>108</v>
      </c>
      <c r="L2033" s="122">
        <v>120957</v>
      </c>
      <c r="M2033" s="122">
        <v>55824</v>
      </c>
      <c r="N2033" s="122">
        <v>229766</v>
      </c>
      <c r="O2033" s="122">
        <v>85098</v>
      </c>
      <c r="P2033" s="122">
        <v>2483</v>
      </c>
      <c r="Q2033">
        <v>919</v>
      </c>
      <c r="R2033" s="122">
        <v>1070306</v>
      </c>
      <c r="S2033" s="122">
        <v>396410</v>
      </c>
      <c r="T2033">
        <v>0</v>
      </c>
      <c r="U2033">
        <v>0</v>
      </c>
      <c r="V2033" s="122">
        <v>909429</v>
      </c>
      <c r="W2033" s="122">
        <f t="shared" si="64"/>
        <v>909428</v>
      </c>
      <c r="X2033" s="122">
        <f t="shared" si="65"/>
        <v>2425691</v>
      </c>
    </row>
    <row r="2034" spans="2:24">
      <c r="B2034" t="s">
        <v>476</v>
      </c>
      <c r="C2034" t="s">
        <v>56</v>
      </c>
      <c r="D2034" t="s">
        <v>406</v>
      </c>
      <c r="E2034" t="s">
        <v>406</v>
      </c>
      <c r="F2034">
        <v>15</v>
      </c>
      <c r="G2034" s="122">
        <v>1965</v>
      </c>
      <c r="H2034" s="122">
        <v>2832</v>
      </c>
      <c r="I2034" s="122">
        <v>203305</v>
      </c>
      <c r="J2034" s="122">
        <v>184823</v>
      </c>
      <c r="K2034">
        <v>86</v>
      </c>
      <c r="L2034" s="122">
        <v>45891</v>
      </c>
      <c r="M2034" s="122">
        <v>40145</v>
      </c>
      <c r="N2034" s="122">
        <v>33969</v>
      </c>
      <c r="O2034" s="122">
        <v>12581</v>
      </c>
      <c r="P2034" s="122">
        <v>9315</v>
      </c>
      <c r="Q2034" s="122">
        <v>3450</v>
      </c>
      <c r="R2034" s="122">
        <v>71439</v>
      </c>
      <c r="S2034" s="122">
        <v>64945</v>
      </c>
      <c r="T2034" s="122">
        <v>17061</v>
      </c>
      <c r="U2034" s="122">
        <v>6319</v>
      </c>
      <c r="V2034" s="122">
        <v>312262</v>
      </c>
      <c r="W2034" s="122">
        <f t="shared" si="64"/>
        <v>312263</v>
      </c>
      <c r="X2034" s="122">
        <f t="shared" si="65"/>
        <v>380980</v>
      </c>
    </row>
    <row r="2035" spans="2:24">
      <c r="B2035" t="s">
        <v>476</v>
      </c>
      <c r="C2035" t="s">
        <v>56</v>
      </c>
      <c r="D2035" t="s">
        <v>407</v>
      </c>
      <c r="E2035" t="s">
        <v>405</v>
      </c>
      <c r="F2035">
        <v>1</v>
      </c>
      <c r="G2035">
        <v>72</v>
      </c>
      <c r="H2035">
        <v>164</v>
      </c>
      <c r="I2035" s="122">
        <v>3945</v>
      </c>
      <c r="J2035" s="122">
        <v>3587</v>
      </c>
      <c r="K2035">
        <v>80</v>
      </c>
      <c r="L2035">
        <v>832</v>
      </c>
      <c r="M2035">
        <v>756</v>
      </c>
      <c r="N2035" s="122">
        <v>1658</v>
      </c>
      <c r="O2035">
        <v>614</v>
      </c>
      <c r="P2035">
        <v>473</v>
      </c>
      <c r="Q2035">
        <v>175</v>
      </c>
      <c r="R2035" s="122">
        <v>2834</v>
      </c>
      <c r="S2035" s="122">
        <v>2577</v>
      </c>
      <c r="T2035" s="122">
        <v>2058</v>
      </c>
      <c r="U2035">
        <v>762</v>
      </c>
      <c r="V2035" s="122">
        <v>8471</v>
      </c>
      <c r="W2035" s="122">
        <f t="shared" si="64"/>
        <v>8471</v>
      </c>
      <c r="X2035" s="122">
        <f t="shared" si="65"/>
        <v>11800</v>
      </c>
    </row>
    <row r="2036" spans="2:24">
      <c r="B2036" t="s">
        <v>476</v>
      </c>
      <c r="C2036" t="s">
        <v>56</v>
      </c>
      <c r="D2036" t="s">
        <v>407</v>
      </c>
      <c r="E2036" t="s">
        <v>407</v>
      </c>
      <c r="F2036">
        <v>51</v>
      </c>
      <c r="G2036" s="122">
        <v>3326</v>
      </c>
      <c r="H2036" s="122">
        <v>9567</v>
      </c>
      <c r="I2036" s="122">
        <v>268844</v>
      </c>
      <c r="J2036" s="122">
        <v>244403</v>
      </c>
      <c r="K2036">
        <v>81</v>
      </c>
      <c r="L2036" s="122">
        <v>32560</v>
      </c>
      <c r="M2036" s="122">
        <v>24093</v>
      </c>
      <c r="N2036" s="122">
        <v>68320</v>
      </c>
      <c r="O2036" s="122">
        <v>25304</v>
      </c>
      <c r="P2036" s="122">
        <v>24678</v>
      </c>
      <c r="Q2036" s="122">
        <v>9140</v>
      </c>
      <c r="R2036" s="122">
        <v>197341</v>
      </c>
      <c r="S2036" s="122">
        <v>179401</v>
      </c>
      <c r="T2036" s="122">
        <v>24448</v>
      </c>
      <c r="U2036" s="122">
        <v>9055</v>
      </c>
      <c r="V2036" s="122">
        <v>491396</v>
      </c>
      <c r="W2036" s="122">
        <f t="shared" si="64"/>
        <v>491396</v>
      </c>
      <c r="X2036" s="122">
        <f t="shared" si="65"/>
        <v>616191</v>
      </c>
    </row>
    <row r="2037" spans="2:24">
      <c r="B2037" t="s">
        <v>476</v>
      </c>
      <c r="C2037" t="s">
        <v>58</v>
      </c>
      <c r="F2037">
        <v>4</v>
      </c>
      <c r="G2037">
        <v>246</v>
      </c>
      <c r="H2037" s="122">
        <v>1103</v>
      </c>
      <c r="J2037">
        <v>0</v>
      </c>
      <c r="M2037">
        <v>0</v>
      </c>
      <c r="N2037" s="122">
        <v>3751</v>
      </c>
      <c r="O2037" s="122">
        <v>1389</v>
      </c>
      <c r="P2037" s="122">
        <v>2336</v>
      </c>
      <c r="Q2037">
        <v>865</v>
      </c>
      <c r="S2037">
        <v>0</v>
      </c>
      <c r="T2037" s="122">
        <v>6262</v>
      </c>
      <c r="U2037" s="122">
        <v>2319</v>
      </c>
      <c r="V2037" s="122">
        <v>4574</v>
      </c>
      <c r="W2037" s="122">
        <f t="shared" si="64"/>
        <v>4573</v>
      </c>
      <c r="X2037" s="122">
        <f t="shared" si="65"/>
        <v>12349</v>
      </c>
    </row>
    <row r="2038" spans="2:24">
      <c r="B2038" t="s">
        <v>476</v>
      </c>
      <c r="C2038" t="s">
        <v>58</v>
      </c>
      <c r="D2038" t="s">
        <v>405</v>
      </c>
      <c r="E2038" t="s">
        <v>405</v>
      </c>
      <c r="F2038">
        <v>2</v>
      </c>
      <c r="G2038">
        <v>85</v>
      </c>
      <c r="H2038">
        <v>570</v>
      </c>
      <c r="I2038" s="122">
        <v>12566</v>
      </c>
      <c r="J2038" s="122">
        <v>11424</v>
      </c>
      <c r="K2038">
        <v>82</v>
      </c>
      <c r="L2038">
        <v>705</v>
      </c>
      <c r="M2038">
        <v>261</v>
      </c>
      <c r="N2038" s="122">
        <v>1676</v>
      </c>
      <c r="O2038">
        <v>621</v>
      </c>
      <c r="P2038">
        <v>945</v>
      </c>
      <c r="Q2038">
        <v>350</v>
      </c>
      <c r="R2038" s="122">
        <v>6174</v>
      </c>
      <c r="S2038" s="122">
        <v>5613</v>
      </c>
      <c r="T2038" s="122">
        <v>1895</v>
      </c>
      <c r="U2038">
        <v>702</v>
      </c>
      <c r="V2038" s="122">
        <v>18970</v>
      </c>
      <c r="W2038" s="122">
        <f t="shared" si="64"/>
        <v>18971</v>
      </c>
      <c r="X2038" s="122">
        <f t="shared" si="65"/>
        <v>23961</v>
      </c>
    </row>
    <row r="2039" spans="2:24">
      <c r="B2039" t="s">
        <v>476</v>
      </c>
      <c r="C2039" t="s">
        <v>58</v>
      </c>
      <c r="D2039" t="s">
        <v>137</v>
      </c>
      <c r="E2039" t="s">
        <v>137</v>
      </c>
      <c r="F2039">
        <v>302</v>
      </c>
      <c r="G2039" s="122">
        <v>19646</v>
      </c>
      <c r="H2039" s="122">
        <v>79401</v>
      </c>
      <c r="I2039" s="122">
        <v>2665688</v>
      </c>
      <c r="J2039" s="122">
        <v>987292</v>
      </c>
      <c r="K2039">
        <v>100</v>
      </c>
      <c r="L2039" s="122">
        <v>306860</v>
      </c>
      <c r="M2039" s="122">
        <v>133622</v>
      </c>
      <c r="N2039" s="122">
        <v>381739</v>
      </c>
      <c r="O2039" s="122">
        <v>141385</v>
      </c>
      <c r="P2039" s="122">
        <v>2106</v>
      </c>
      <c r="Q2039">
        <v>780</v>
      </c>
      <c r="R2039" s="122">
        <v>1783765</v>
      </c>
      <c r="S2039" s="122">
        <v>660654</v>
      </c>
      <c r="T2039">
        <v>0</v>
      </c>
      <c r="U2039">
        <v>0</v>
      </c>
      <c r="V2039" s="122">
        <v>1923732</v>
      </c>
      <c r="W2039" s="122">
        <f t="shared" si="64"/>
        <v>1923733</v>
      </c>
      <c r="X2039" s="122">
        <f t="shared" si="65"/>
        <v>5140158</v>
      </c>
    </row>
    <row r="2040" spans="2:24">
      <c r="B2040" t="s">
        <v>476</v>
      </c>
      <c r="C2040" t="s">
        <v>58</v>
      </c>
      <c r="D2040" t="s">
        <v>406</v>
      </c>
      <c r="E2040" t="s">
        <v>137</v>
      </c>
      <c r="F2040">
        <v>1</v>
      </c>
      <c r="G2040">
        <v>72</v>
      </c>
      <c r="H2040">
        <v>230</v>
      </c>
      <c r="I2040" s="122">
        <v>9125</v>
      </c>
      <c r="J2040" s="122">
        <v>8296</v>
      </c>
      <c r="K2040">
        <v>85</v>
      </c>
      <c r="L2040">
        <v>0</v>
      </c>
      <c r="M2040">
        <v>0</v>
      </c>
      <c r="N2040" s="122">
        <v>1763</v>
      </c>
      <c r="O2040">
        <v>653</v>
      </c>
      <c r="P2040">
        <v>621</v>
      </c>
      <c r="Q2040">
        <v>230</v>
      </c>
      <c r="R2040" s="122">
        <v>5156</v>
      </c>
      <c r="S2040" s="122">
        <v>1910</v>
      </c>
      <c r="T2040">
        <v>0</v>
      </c>
      <c r="U2040">
        <v>0</v>
      </c>
      <c r="V2040" s="122">
        <v>11088</v>
      </c>
      <c r="W2040" s="122">
        <f t="shared" si="64"/>
        <v>11089</v>
      </c>
      <c r="X2040" s="122">
        <f t="shared" si="65"/>
        <v>16665</v>
      </c>
    </row>
    <row r="2041" spans="2:24">
      <c r="B2041" t="s">
        <v>476</v>
      </c>
      <c r="C2041" t="s">
        <v>58</v>
      </c>
      <c r="D2041" t="s">
        <v>406</v>
      </c>
      <c r="E2041" t="s">
        <v>406</v>
      </c>
      <c r="F2041">
        <v>7</v>
      </c>
      <c r="G2041">
        <v>834</v>
      </c>
      <c r="H2041" s="122">
        <v>1893</v>
      </c>
      <c r="I2041" s="122">
        <v>137010</v>
      </c>
      <c r="J2041" s="122">
        <v>124555</v>
      </c>
      <c r="K2041">
        <v>82</v>
      </c>
      <c r="L2041" s="122">
        <v>23583</v>
      </c>
      <c r="M2041" s="122">
        <v>21439</v>
      </c>
      <c r="N2041" s="122">
        <v>17588</v>
      </c>
      <c r="O2041" s="122">
        <v>6514</v>
      </c>
      <c r="P2041" s="122">
        <v>4698</v>
      </c>
      <c r="Q2041" s="122">
        <v>1740</v>
      </c>
      <c r="R2041" s="122">
        <v>37032</v>
      </c>
      <c r="S2041" s="122">
        <v>33665</v>
      </c>
      <c r="T2041" s="122">
        <v>7299</v>
      </c>
      <c r="U2041" s="122">
        <v>2703</v>
      </c>
      <c r="V2041" s="122">
        <v>190617</v>
      </c>
      <c r="W2041" s="122">
        <f t="shared" si="64"/>
        <v>190616</v>
      </c>
      <c r="X2041" s="122">
        <f t="shared" si="65"/>
        <v>227210</v>
      </c>
    </row>
    <row r="2042" spans="2:24">
      <c r="B2042" t="s">
        <v>476</v>
      </c>
      <c r="C2042" t="s">
        <v>58</v>
      </c>
      <c r="D2042" t="s">
        <v>407</v>
      </c>
      <c r="E2042" t="s">
        <v>137</v>
      </c>
      <c r="F2042">
        <v>1</v>
      </c>
      <c r="G2042">
        <v>44</v>
      </c>
      <c r="H2042">
        <v>272</v>
      </c>
      <c r="I2042" s="122">
        <v>6280</v>
      </c>
      <c r="J2042" s="122">
        <v>5709</v>
      </c>
      <c r="K2042">
        <v>90</v>
      </c>
      <c r="L2042" s="122">
        <v>1541</v>
      </c>
      <c r="M2042">
        <v>571</v>
      </c>
      <c r="N2042" s="122">
        <v>1076</v>
      </c>
      <c r="O2042">
        <v>399</v>
      </c>
      <c r="P2042">
        <v>0</v>
      </c>
      <c r="Q2042">
        <v>0</v>
      </c>
      <c r="R2042" s="122">
        <v>3132</v>
      </c>
      <c r="S2042" s="122">
        <v>1160</v>
      </c>
      <c r="T2042">
        <v>0</v>
      </c>
      <c r="U2042">
        <v>0</v>
      </c>
      <c r="V2042" s="122">
        <v>7838</v>
      </c>
      <c r="W2042" s="122">
        <f t="shared" si="64"/>
        <v>7839</v>
      </c>
      <c r="X2042" s="122">
        <f t="shared" si="65"/>
        <v>12029</v>
      </c>
    </row>
    <row r="2043" spans="2:24">
      <c r="B2043" t="s">
        <v>476</v>
      </c>
      <c r="C2043" t="s">
        <v>58</v>
      </c>
      <c r="D2043" t="s">
        <v>407</v>
      </c>
      <c r="E2043" t="s">
        <v>407</v>
      </c>
      <c r="F2043">
        <v>25</v>
      </c>
      <c r="G2043" s="122">
        <v>1410</v>
      </c>
      <c r="H2043" s="122">
        <v>6453</v>
      </c>
      <c r="I2043" s="122">
        <v>186264</v>
      </c>
      <c r="J2043" s="122">
        <v>169331</v>
      </c>
      <c r="K2043">
        <v>80</v>
      </c>
      <c r="L2043" s="122">
        <v>31116</v>
      </c>
      <c r="M2043" s="122">
        <v>26367</v>
      </c>
      <c r="N2043" s="122">
        <v>29335</v>
      </c>
      <c r="O2043" s="122">
        <v>10865</v>
      </c>
      <c r="P2043" s="122">
        <v>11691</v>
      </c>
      <c r="Q2043" s="122">
        <v>4330</v>
      </c>
      <c r="R2043" s="122">
        <v>89960</v>
      </c>
      <c r="S2043" s="122">
        <v>81782</v>
      </c>
      <c r="T2043" s="122">
        <v>22367</v>
      </c>
      <c r="U2043" s="122">
        <v>8284</v>
      </c>
      <c r="V2043" s="122">
        <v>300959</v>
      </c>
      <c r="W2043" s="122">
        <f t="shared" si="64"/>
        <v>300959</v>
      </c>
      <c r="X2043" s="122">
        <f t="shared" si="65"/>
        <v>370733</v>
      </c>
    </row>
    <row r="2044" spans="2:24">
      <c r="B2044" t="s">
        <v>476</v>
      </c>
      <c r="C2044" t="s">
        <v>58</v>
      </c>
      <c r="D2044" t="s">
        <v>426</v>
      </c>
      <c r="E2044" t="s">
        <v>137</v>
      </c>
      <c r="F2044">
        <v>1</v>
      </c>
      <c r="G2044">
        <v>56</v>
      </c>
      <c r="H2044">
        <v>284</v>
      </c>
      <c r="I2044" s="122">
        <v>7580</v>
      </c>
      <c r="J2044" s="122">
        <v>6891</v>
      </c>
      <c r="K2044">
        <v>60</v>
      </c>
      <c r="L2044" s="122">
        <v>1240</v>
      </c>
      <c r="M2044">
        <v>459</v>
      </c>
      <c r="N2044" s="122">
        <v>1142</v>
      </c>
      <c r="O2044">
        <v>423</v>
      </c>
      <c r="P2044">
        <v>0</v>
      </c>
      <c r="Q2044">
        <v>0</v>
      </c>
      <c r="R2044" s="122">
        <v>5966</v>
      </c>
      <c r="S2044" s="122">
        <v>2209</v>
      </c>
      <c r="T2044">
        <v>0</v>
      </c>
      <c r="U2044">
        <v>0</v>
      </c>
      <c r="V2044" s="122">
        <v>9983</v>
      </c>
      <c r="W2044" s="122">
        <f t="shared" si="64"/>
        <v>9982</v>
      </c>
      <c r="X2044" s="122">
        <f t="shared" si="65"/>
        <v>15928</v>
      </c>
    </row>
    <row r="2045" spans="2:24">
      <c r="B2045" t="s">
        <v>476</v>
      </c>
      <c r="C2045" t="s">
        <v>58</v>
      </c>
      <c r="D2045" t="s">
        <v>426</v>
      </c>
      <c r="E2045" t="s">
        <v>426</v>
      </c>
      <c r="F2045">
        <v>2</v>
      </c>
      <c r="G2045">
        <v>152</v>
      </c>
      <c r="H2045">
        <v>551</v>
      </c>
      <c r="I2045" s="122">
        <v>22934</v>
      </c>
      <c r="J2045" s="122">
        <v>20849</v>
      </c>
      <c r="K2045">
        <v>55</v>
      </c>
      <c r="L2045">
        <v>0</v>
      </c>
      <c r="M2045">
        <v>0</v>
      </c>
      <c r="N2045" s="122">
        <v>3704</v>
      </c>
      <c r="O2045" s="122">
        <v>1372</v>
      </c>
      <c r="P2045">
        <v>702</v>
      </c>
      <c r="Q2045">
        <v>260</v>
      </c>
      <c r="R2045" s="122">
        <v>10024</v>
      </c>
      <c r="S2045" s="122">
        <v>9112</v>
      </c>
      <c r="T2045" s="122">
        <v>4491</v>
      </c>
      <c r="U2045" s="122">
        <v>1663</v>
      </c>
      <c r="V2045" s="122">
        <v>33257</v>
      </c>
      <c r="W2045" s="122">
        <f t="shared" si="64"/>
        <v>33256</v>
      </c>
      <c r="X2045" s="122">
        <f t="shared" si="65"/>
        <v>41855</v>
      </c>
    </row>
    <row r="2046" spans="2:24">
      <c r="B2046" t="s">
        <v>476</v>
      </c>
      <c r="C2046" t="s">
        <v>60</v>
      </c>
      <c r="D2046" t="s">
        <v>137</v>
      </c>
      <c r="E2046" t="s">
        <v>137</v>
      </c>
      <c r="F2046">
        <v>148</v>
      </c>
      <c r="G2046" s="122">
        <v>9427</v>
      </c>
      <c r="H2046" s="122">
        <v>49886</v>
      </c>
      <c r="I2046" s="122">
        <v>1870227</v>
      </c>
      <c r="J2046" s="122">
        <v>692677</v>
      </c>
      <c r="K2046">
        <v>100</v>
      </c>
      <c r="L2046" s="122">
        <v>248542</v>
      </c>
      <c r="M2046" s="122">
        <v>103806</v>
      </c>
      <c r="N2046" s="122">
        <v>193128</v>
      </c>
      <c r="O2046" s="122">
        <v>71529</v>
      </c>
      <c r="P2046">
        <v>351</v>
      </c>
      <c r="Q2046">
        <v>130</v>
      </c>
      <c r="R2046" s="122">
        <v>870556</v>
      </c>
      <c r="S2046" s="122">
        <v>322428</v>
      </c>
      <c r="T2046">
        <v>0</v>
      </c>
      <c r="U2046">
        <v>0</v>
      </c>
      <c r="V2046" s="122">
        <v>1190570</v>
      </c>
      <c r="W2046" s="122">
        <f t="shared" si="64"/>
        <v>1190570</v>
      </c>
      <c r="X2046" s="122">
        <f t="shared" si="65"/>
        <v>3182804</v>
      </c>
    </row>
    <row r="2047" spans="2:24">
      <c r="B2047" t="s">
        <v>476</v>
      </c>
      <c r="C2047" t="s">
        <v>60</v>
      </c>
      <c r="D2047" t="s">
        <v>406</v>
      </c>
      <c r="E2047" t="s">
        <v>137</v>
      </c>
      <c r="F2047">
        <v>2</v>
      </c>
      <c r="G2047">
        <v>291</v>
      </c>
      <c r="H2047">
        <v>709</v>
      </c>
      <c r="I2047" s="122">
        <v>70469</v>
      </c>
      <c r="J2047" s="122">
        <v>64063</v>
      </c>
      <c r="K2047">
        <v>78</v>
      </c>
      <c r="L2047" s="122">
        <v>13137</v>
      </c>
      <c r="M2047" s="122">
        <v>11943</v>
      </c>
      <c r="N2047" s="122">
        <v>6728</v>
      </c>
      <c r="O2047" s="122">
        <v>2492</v>
      </c>
      <c r="P2047" s="122">
        <v>1242</v>
      </c>
      <c r="Q2047">
        <v>460</v>
      </c>
      <c r="R2047" s="122">
        <v>14979</v>
      </c>
      <c r="S2047" s="122">
        <v>5548</v>
      </c>
      <c r="T2047">
        <v>0</v>
      </c>
      <c r="U2047">
        <v>0</v>
      </c>
      <c r="V2047" s="122">
        <v>84506</v>
      </c>
      <c r="W2047" s="122">
        <f t="shared" si="64"/>
        <v>84506</v>
      </c>
      <c r="X2047" s="122">
        <f t="shared" si="65"/>
        <v>106555</v>
      </c>
    </row>
    <row r="2048" spans="2:24">
      <c r="B2048" t="s">
        <v>476</v>
      </c>
      <c r="C2048" t="s">
        <v>60</v>
      </c>
      <c r="D2048" t="s">
        <v>406</v>
      </c>
      <c r="E2048" t="s">
        <v>406</v>
      </c>
      <c r="F2048">
        <v>3</v>
      </c>
      <c r="G2048">
        <v>255</v>
      </c>
      <c r="H2048">
        <v>968</v>
      </c>
      <c r="I2048" s="122">
        <v>51458</v>
      </c>
      <c r="J2048" s="122">
        <v>46780</v>
      </c>
      <c r="K2048">
        <v>76</v>
      </c>
      <c r="L2048" s="122">
        <v>2747</v>
      </c>
      <c r="M2048" s="122">
        <v>2497</v>
      </c>
      <c r="N2048" s="122">
        <v>4079</v>
      </c>
      <c r="O2048" s="122">
        <v>1511</v>
      </c>
      <c r="P2048" s="122">
        <v>1863</v>
      </c>
      <c r="Q2048">
        <v>690</v>
      </c>
      <c r="R2048" s="122">
        <v>17576</v>
      </c>
      <c r="S2048" s="122">
        <v>15978</v>
      </c>
      <c r="T2048" s="122">
        <v>4660</v>
      </c>
      <c r="U2048" s="122">
        <v>1726</v>
      </c>
      <c r="V2048" s="122">
        <v>69182</v>
      </c>
      <c r="W2048" s="122">
        <f t="shared" si="64"/>
        <v>69182</v>
      </c>
      <c r="X2048" s="122">
        <f t="shared" si="65"/>
        <v>82383</v>
      </c>
    </row>
    <row r="2049" spans="2:24">
      <c r="B2049" t="s">
        <v>476</v>
      </c>
      <c r="C2049" t="s">
        <v>60</v>
      </c>
      <c r="D2049" t="s">
        <v>427</v>
      </c>
      <c r="E2049" t="s">
        <v>427</v>
      </c>
      <c r="F2049">
        <v>2</v>
      </c>
      <c r="G2049">
        <v>248</v>
      </c>
      <c r="H2049">
        <v>658</v>
      </c>
      <c r="I2049" s="122">
        <v>56051</v>
      </c>
      <c r="J2049" s="122">
        <v>50955</v>
      </c>
      <c r="K2049">
        <v>65</v>
      </c>
      <c r="L2049" s="122">
        <v>7123</v>
      </c>
      <c r="M2049" s="122">
        <v>6476</v>
      </c>
      <c r="N2049" s="122">
        <v>4276</v>
      </c>
      <c r="O2049" s="122">
        <v>1584</v>
      </c>
      <c r="P2049">
        <v>702</v>
      </c>
      <c r="Q2049">
        <v>260</v>
      </c>
      <c r="R2049" s="122">
        <v>9575</v>
      </c>
      <c r="S2049" s="122">
        <v>8704</v>
      </c>
      <c r="T2049" s="122">
        <v>5409</v>
      </c>
      <c r="U2049" s="122">
        <v>2003</v>
      </c>
      <c r="V2049" s="122">
        <v>69982</v>
      </c>
      <c r="W2049" s="122">
        <f t="shared" si="64"/>
        <v>69982</v>
      </c>
      <c r="X2049" s="122">
        <f t="shared" si="65"/>
        <v>83136</v>
      </c>
    </row>
    <row r="2050" spans="2:24">
      <c r="B2050" t="s">
        <v>476</v>
      </c>
      <c r="C2050" t="s">
        <v>60</v>
      </c>
      <c r="D2050" t="s">
        <v>407</v>
      </c>
      <c r="E2050" t="s">
        <v>137</v>
      </c>
      <c r="F2050">
        <v>3</v>
      </c>
      <c r="G2050">
        <v>105</v>
      </c>
      <c r="H2050" s="122">
        <v>1035</v>
      </c>
      <c r="I2050" s="122">
        <v>23193</v>
      </c>
      <c r="J2050" s="122">
        <v>21085</v>
      </c>
      <c r="K2050">
        <v>55</v>
      </c>
      <c r="L2050">
        <v>0</v>
      </c>
      <c r="M2050">
        <v>0</v>
      </c>
      <c r="N2050" s="122">
        <v>2549</v>
      </c>
      <c r="O2050">
        <v>944</v>
      </c>
      <c r="P2050" s="122">
        <v>1418</v>
      </c>
      <c r="Q2050">
        <v>525</v>
      </c>
      <c r="R2050" s="122">
        <v>8765</v>
      </c>
      <c r="S2050" s="122">
        <v>3246</v>
      </c>
      <c r="T2050">
        <v>0</v>
      </c>
      <c r="U2050">
        <v>0</v>
      </c>
      <c r="V2050" s="122">
        <v>25800</v>
      </c>
      <c r="W2050" s="122">
        <f t="shared" si="64"/>
        <v>25800</v>
      </c>
      <c r="X2050" s="122">
        <f t="shared" si="65"/>
        <v>35925</v>
      </c>
    </row>
    <row r="2051" spans="2:24">
      <c r="B2051" t="s">
        <v>476</v>
      </c>
      <c r="C2051" t="s">
        <v>60</v>
      </c>
      <c r="D2051" t="s">
        <v>407</v>
      </c>
      <c r="E2051" t="s">
        <v>407</v>
      </c>
      <c r="F2051">
        <v>1</v>
      </c>
      <c r="G2051">
        <v>76</v>
      </c>
      <c r="H2051">
        <v>321</v>
      </c>
      <c r="I2051" s="122">
        <v>16821</v>
      </c>
      <c r="J2051" s="122">
        <v>15292</v>
      </c>
      <c r="K2051">
        <v>79</v>
      </c>
      <c r="L2051">
        <v>0</v>
      </c>
      <c r="M2051">
        <v>0</v>
      </c>
      <c r="N2051" s="122">
        <v>1653</v>
      </c>
      <c r="O2051">
        <v>612</v>
      </c>
      <c r="P2051">
        <v>473</v>
      </c>
      <c r="Q2051">
        <v>175</v>
      </c>
      <c r="R2051" s="122">
        <v>5480</v>
      </c>
      <c r="S2051" s="122">
        <v>4982</v>
      </c>
      <c r="T2051">
        <v>0</v>
      </c>
      <c r="U2051">
        <v>0</v>
      </c>
      <c r="V2051" s="122">
        <v>21060</v>
      </c>
      <c r="W2051" s="122">
        <f t="shared" si="64"/>
        <v>21061</v>
      </c>
      <c r="X2051" s="122">
        <f t="shared" si="65"/>
        <v>24427</v>
      </c>
    </row>
    <row r="2052" spans="2:24">
      <c r="B2052" t="s">
        <v>476</v>
      </c>
      <c r="C2052" t="s">
        <v>60</v>
      </c>
      <c r="D2052" t="s">
        <v>426</v>
      </c>
      <c r="E2052" t="s">
        <v>426</v>
      </c>
      <c r="F2052">
        <v>6</v>
      </c>
      <c r="G2052">
        <v>281</v>
      </c>
      <c r="H2052" s="122">
        <v>2007</v>
      </c>
      <c r="I2052" s="122">
        <v>45842</v>
      </c>
      <c r="J2052" s="122">
        <v>41674</v>
      </c>
      <c r="K2052">
        <v>55</v>
      </c>
      <c r="L2052" s="122">
        <v>1773</v>
      </c>
      <c r="M2052">
        <v>657</v>
      </c>
      <c r="N2052" s="122">
        <v>6163</v>
      </c>
      <c r="O2052" s="122">
        <v>2282</v>
      </c>
      <c r="P2052" s="122">
        <v>2106</v>
      </c>
      <c r="Q2052">
        <v>780</v>
      </c>
      <c r="R2052" s="122">
        <v>27096</v>
      </c>
      <c r="S2052" s="122">
        <v>24633</v>
      </c>
      <c r="T2052" s="122">
        <v>10149</v>
      </c>
      <c r="U2052" s="122">
        <v>3759</v>
      </c>
      <c r="V2052" s="122">
        <v>73785</v>
      </c>
      <c r="W2052" s="122">
        <f t="shared" si="64"/>
        <v>73785</v>
      </c>
      <c r="X2052" s="122">
        <f t="shared" si="65"/>
        <v>93129</v>
      </c>
    </row>
    <row r="2053" spans="2:24">
      <c r="B2053" t="s">
        <v>476</v>
      </c>
      <c r="C2053" t="s">
        <v>62</v>
      </c>
      <c r="F2053">
        <v>1</v>
      </c>
      <c r="G2053">
        <v>41</v>
      </c>
      <c r="H2053">
        <v>426</v>
      </c>
      <c r="J2053">
        <v>0</v>
      </c>
      <c r="M2053">
        <v>0</v>
      </c>
      <c r="N2053">
        <v>499</v>
      </c>
      <c r="O2053">
        <v>185</v>
      </c>
      <c r="P2053">
        <v>621</v>
      </c>
      <c r="Q2053">
        <v>230</v>
      </c>
      <c r="S2053">
        <v>0</v>
      </c>
      <c r="T2053" s="122">
        <v>1881</v>
      </c>
      <c r="U2053">
        <v>697</v>
      </c>
      <c r="V2053" s="122">
        <v>1111</v>
      </c>
      <c r="W2053" s="122">
        <f t="shared" si="64"/>
        <v>1112</v>
      </c>
      <c r="X2053" s="122">
        <f t="shared" si="65"/>
        <v>3001</v>
      </c>
    </row>
    <row r="2054" spans="2:24">
      <c r="B2054" t="s">
        <v>476</v>
      </c>
      <c r="C2054" t="s">
        <v>62</v>
      </c>
      <c r="D2054" t="s">
        <v>405</v>
      </c>
      <c r="E2054" t="s">
        <v>405</v>
      </c>
      <c r="F2054">
        <v>1</v>
      </c>
      <c r="G2054">
        <v>149</v>
      </c>
      <c r="H2054">
        <v>394</v>
      </c>
      <c r="I2054" s="122">
        <v>41124</v>
      </c>
      <c r="J2054" s="122">
        <v>37386</v>
      </c>
      <c r="K2054">
        <v>73</v>
      </c>
      <c r="L2054" s="122">
        <v>7928</v>
      </c>
      <c r="M2054" s="122">
        <v>7207</v>
      </c>
      <c r="N2054" s="122">
        <v>2873</v>
      </c>
      <c r="O2054" s="122">
        <v>1064</v>
      </c>
      <c r="P2054">
        <v>351</v>
      </c>
      <c r="Q2054">
        <v>130</v>
      </c>
      <c r="R2054" s="122">
        <v>6503</v>
      </c>
      <c r="S2054" s="122">
        <v>5912</v>
      </c>
      <c r="T2054">
        <v>0</v>
      </c>
      <c r="U2054">
        <v>0</v>
      </c>
      <c r="V2054" s="122">
        <v>51699</v>
      </c>
      <c r="W2054" s="122">
        <f t="shared" si="64"/>
        <v>51699</v>
      </c>
      <c r="X2054" s="122">
        <f t="shared" si="65"/>
        <v>58779</v>
      </c>
    </row>
    <row r="2055" spans="2:24">
      <c r="B2055" t="s">
        <v>476</v>
      </c>
      <c r="C2055" t="s">
        <v>62</v>
      </c>
      <c r="D2055" t="s">
        <v>137</v>
      </c>
      <c r="E2055" t="s">
        <v>137</v>
      </c>
      <c r="F2055">
        <v>31</v>
      </c>
      <c r="G2055" s="122">
        <v>1812</v>
      </c>
      <c r="H2055" s="122">
        <v>12637</v>
      </c>
      <c r="I2055" s="122">
        <v>479307</v>
      </c>
      <c r="J2055" s="122">
        <v>177521</v>
      </c>
      <c r="K2055">
        <v>100</v>
      </c>
      <c r="L2055" s="122">
        <v>48014</v>
      </c>
      <c r="M2055" s="122">
        <v>19500</v>
      </c>
      <c r="N2055" s="122">
        <v>35222</v>
      </c>
      <c r="O2055" s="122">
        <v>13045</v>
      </c>
      <c r="P2055">
        <v>702</v>
      </c>
      <c r="Q2055">
        <v>260</v>
      </c>
      <c r="R2055" s="122">
        <v>173812</v>
      </c>
      <c r="S2055" s="122">
        <v>64375</v>
      </c>
      <c r="T2055">
        <v>0</v>
      </c>
      <c r="U2055">
        <v>0</v>
      </c>
      <c r="V2055" s="122">
        <v>274701</v>
      </c>
      <c r="W2055" s="122">
        <f t="shared" si="64"/>
        <v>274701</v>
      </c>
      <c r="X2055" s="122">
        <f t="shared" si="65"/>
        <v>737057</v>
      </c>
    </row>
    <row r="2056" spans="2:24">
      <c r="B2056" t="s">
        <v>476</v>
      </c>
      <c r="C2056" t="s">
        <v>62</v>
      </c>
      <c r="D2056" t="s">
        <v>406</v>
      </c>
      <c r="E2056" t="s">
        <v>406</v>
      </c>
      <c r="F2056">
        <v>2</v>
      </c>
      <c r="G2056">
        <v>170</v>
      </c>
      <c r="H2056">
        <v>833</v>
      </c>
      <c r="I2056" s="122">
        <v>43670</v>
      </c>
      <c r="J2056" s="122">
        <v>39700</v>
      </c>
      <c r="K2056">
        <v>86</v>
      </c>
      <c r="L2056" s="122">
        <v>6386</v>
      </c>
      <c r="M2056" s="122">
        <v>5805</v>
      </c>
      <c r="N2056" s="122">
        <v>3919</v>
      </c>
      <c r="O2056" s="122">
        <v>1451</v>
      </c>
      <c r="P2056" s="122">
        <v>1242</v>
      </c>
      <c r="Q2056">
        <v>460</v>
      </c>
      <c r="R2056" s="122">
        <v>12507</v>
      </c>
      <c r="S2056" s="122">
        <v>11370</v>
      </c>
      <c r="T2056" s="122">
        <v>2934</v>
      </c>
      <c r="U2056" s="122">
        <v>1087</v>
      </c>
      <c r="V2056" s="122">
        <v>59873</v>
      </c>
      <c r="W2056" s="122">
        <f t="shared" si="64"/>
        <v>59873</v>
      </c>
      <c r="X2056" s="122">
        <f t="shared" si="65"/>
        <v>70658</v>
      </c>
    </row>
    <row r="2057" spans="2:24">
      <c r="B2057" t="s">
        <v>476</v>
      </c>
      <c r="C2057" t="s">
        <v>62</v>
      </c>
      <c r="D2057" t="s">
        <v>407</v>
      </c>
      <c r="E2057" t="s">
        <v>407</v>
      </c>
      <c r="F2057">
        <v>7</v>
      </c>
      <c r="G2057">
        <v>282</v>
      </c>
      <c r="H2057" s="122">
        <v>2938</v>
      </c>
      <c r="I2057" s="122">
        <v>70673</v>
      </c>
      <c r="J2057" s="122">
        <v>64248</v>
      </c>
      <c r="K2057">
        <v>72</v>
      </c>
      <c r="L2057">
        <v>0</v>
      </c>
      <c r="M2057">
        <v>0</v>
      </c>
      <c r="N2057" s="122">
        <v>6312</v>
      </c>
      <c r="O2057" s="122">
        <v>2338</v>
      </c>
      <c r="P2057" s="122">
        <v>3308</v>
      </c>
      <c r="Q2057" s="122">
        <v>1225</v>
      </c>
      <c r="R2057" s="122">
        <v>31514</v>
      </c>
      <c r="S2057" s="122">
        <v>28649</v>
      </c>
      <c r="T2057" s="122">
        <v>6680</v>
      </c>
      <c r="U2057" s="122">
        <v>2474</v>
      </c>
      <c r="V2057" s="122">
        <v>98934</v>
      </c>
      <c r="W2057" s="122">
        <f t="shared" si="64"/>
        <v>98934</v>
      </c>
      <c r="X2057" s="122">
        <f t="shared" si="65"/>
        <v>118487</v>
      </c>
    </row>
    <row r="2058" spans="2:24">
      <c r="B2058" t="s">
        <v>476</v>
      </c>
      <c r="C2058" t="s">
        <v>62</v>
      </c>
      <c r="D2058" t="s">
        <v>426</v>
      </c>
      <c r="E2058" t="s">
        <v>137</v>
      </c>
      <c r="F2058">
        <v>1</v>
      </c>
      <c r="G2058">
        <v>129</v>
      </c>
      <c r="H2058">
        <v>393</v>
      </c>
      <c r="I2058" s="122">
        <v>42003</v>
      </c>
      <c r="J2058" s="122">
        <v>38184</v>
      </c>
      <c r="K2058">
        <v>60</v>
      </c>
      <c r="L2058">
        <v>0</v>
      </c>
      <c r="M2058">
        <v>0</v>
      </c>
      <c r="N2058" s="122">
        <v>1572</v>
      </c>
      <c r="O2058">
        <v>582</v>
      </c>
      <c r="P2058">
        <v>0</v>
      </c>
      <c r="Q2058">
        <v>0</v>
      </c>
      <c r="R2058" s="122">
        <v>7080</v>
      </c>
      <c r="S2058" s="122">
        <v>2622</v>
      </c>
      <c r="T2058">
        <v>0</v>
      </c>
      <c r="U2058">
        <v>0</v>
      </c>
      <c r="V2058" s="122">
        <v>41389</v>
      </c>
      <c r="W2058" s="122">
        <f t="shared" si="64"/>
        <v>41388</v>
      </c>
      <c r="X2058" s="122">
        <f t="shared" si="65"/>
        <v>50655</v>
      </c>
    </row>
    <row r="2059" spans="2:24">
      <c r="B2059" t="s">
        <v>476</v>
      </c>
      <c r="C2059" t="s">
        <v>62</v>
      </c>
      <c r="D2059" t="s">
        <v>426</v>
      </c>
      <c r="E2059" t="s">
        <v>426</v>
      </c>
      <c r="F2059">
        <v>1</v>
      </c>
      <c r="G2059">
        <v>57</v>
      </c>
      <c r="H2059">
        <v>445</v>
      </c>
      <c r="I2059" s="122">
        <v>14656</v>
      </c>
      <c r="J2059" s="122">
        <v>13324</v>
      </c>
      <c r="K2059">
        <v>55</v>
      </c>
      <c r="L2059">
        <v>0</v>
      </c>
      <c r="M2059">
        <v>0</v>
      </c>
      <c r="N2059" s="122">
        <v>1377</v>
      </c>
      <c r="O2059">
        <v>510</v>
      </c>
      <c r="P2059">
        <v>621</v>
      </c>
      <c r="Q2059">
        <v>230</v>
      </c>
      <c r="R2059" s="122">
        <v>5743</v>
      </c>
      <c r="S2059" s="122">
        <v>5221</v>
      </c>
      <c r="T2059" s="122">
        <v>2731</v>
      </c>
      <c r="U2059" s="122">
        <v>1012</v>
      </c>
      <c r="V2059" s="122">
        <v>20296</v>
      </c>
      <c r="W2059" s="122">
        <f t="shared" si="64"/>
        <v>20297</v>
      </c>
      <c r="X2059" s="122">
        <f t="shared" si="65"/>
        <v>25128</v>
      </c>
    </row>
    <row r="2060" spans="2:24">
      <c r="B2060" t="s">
        <v>476</v>
      </c>
      <c r="C2060" t="s">
        <v>64</v>
      </c>
      <c r="F2060">
        <v>1</v>
      </c>
      <c r="G2060">
        <v>38</v>
      </c>
      <c r="H2060">
        <v>526</v>
      </c>
      <c r="J2060">
        <v>0</v>
      </c>
      <c r="M2060">
        <v>0</v>
      </c>
      <c r="N2060">
        <v>459</v>
      </c>
      <c r="O2060">
        <v>170</v>
      </c>
      <c r="P2060">
        <v>621</v>
      </c>
      <c r="Q2060">
        <v>230</v>
      </c>
      <c r="S2060">
        <v>0</v>
      </c>
      <c r="T2060" s="122">
        <v>1832</v>
      </c>
      <c r="U2060">
        <v>679</v>
      </c>
      <c r="V2060" s="122">
        <v>1079</v>
      </c>
      <c r="W2060" s="122">
        <f t="shared" si="64"/>
        <v>1079</v>
      </c>
      <c r="X2060" s="122">
        <f t="shared" si="65"/>
        <v>2912</v>
      </c>
    </row>
    <row r="2061" spans="2:24">
      <c r="B2061" t="s">
        <v>476</v>
      </c>
      <c r="C2061" t="s">
        <v>64</v>
      </c>
      <c r="D2061" t="s">
        <v>137</v>
      </c>
      <c r="E2061" t="s">
        <v>137</v>
      </c>
      <c r="F2061">
        <v>52</v>
      </c>
      <c r="G2061" s="122">
        <v>2710</v>
      </c>
      <c r="H2061" s="122">
        <v>33125</v>
      </c>
      <c r="I2061" s="122">
        <v>1263776</v>
      </c>
      <c r="J2061" s="122">
        <v>468065</v>
      </c>
      <c r="K2061">
        <v>100</v>
      </c>
      <c r="L2061" s="122">
        <v>161495</v>
      </c>
      <c r="M2061" s="122">
        <v>102107</v>
      </c>
      <c r="N2061" s="122">
        <v>59088</v>
      </c>
      <c r="O2061" s="122">
        <v>21884</v>
      </c>
      <c r="P2061">
        <v>0</v>
      </c>
      <c r="Q2061">
        <v>0</v>
      </c>
      <c r="R2061" s="122">
        <v>268589</v>
      </c>
      <c r="S2061" s="122">
        <v>99477</v>
      </c>
      <c r="T2061">
        <v>0</v>
      </c>
      <c r="U2061">
        <v>0</v>
      </c>
      <c r="V2061" s="122">
        <v>691533</v>
      </c>
      <c r="W2061" s="122">
        <f t="shared" si="64"/>
        <v>691533</v>
      </c>
      <c r="X2061" s="122">
        <f t="shared" si="65"/>
        <v>1752948</v>
      </c>
    </row>
    <row r="2062" spans="2:24">
      <c r="B2062" t="s">
        <v>476</v>
      </c>
      <c r="C2062" t="s">
        <v>64</v>
      </c>
      <c r="D2062" t="s">
        <v>406</v>
      </c>
      <c r="E2062" t="s">
        <v>406</v>
      </c>
      <c r="F2062">
        <v>6</v>
      </c>
      <c r="G2062">
        <v>614</v>
      </c>
      <c r="H2062" s="122">
        <v>3759</v>
      </c>
      <c r="I2062" s="122">
        <v>288000</v>
      </c>
      <c r="J2062" s="122">
        <v>261818</v>
      </c>
      <c r="K2062">
        <v>69</v>
      </c>
      <c r="L2062" s="122">
        <v>45709</v>
      </c>
      <c r="M2062" s="122">
        <v>41554</v>
      </c>
      <c r="N2062" s="122">
        <v>13410</v>
      </c>
      <c r="O2062" s="122">
        <v>4967</v>
      </c>
      <c r="P2062" s="122">
        <v>3929</v>
      </c>
      <c r="Q2062" s="122">
        <v>1455</v>
      </c>
      <c r="R2062" s="122">
        <v>34859</v>
      </c>
      <c r="S2062" s="122">
        <v>31690</v>
      </c>
      <c r="T2062" s="122">
        <v>4077</v>
      </c>
      <c r="U2062" s="122">
        <v>1510</v>
      </c>
      <c r="V2062" s="122">
        <v>342993</v>
      </c>
      <c r="W2062" s="122">
        <f t="shared" si="64"/>
        <v>342994</v>
      </c>
      <c r="X2062" s="122">
        <f t="shared" si="65"/>
        <v>389984</v>
      </c>
    </row>
    <row r="2063" spans="2:24">
      <c r="B2063" t="s">
        <v>476</v>
      </c>
      <c r="C2063" t="s">
        <v>64</v>
      </c>
      <c r="D2063" t="s">
        <v>427</v>
      </c>
      <c r="E2063" t="s">
        <v>137</v>
      </c>
      <c r="F2063">
        <v>1</v>
      </c>
      <c r="G2063">
        <v>39</v>
      </c>
      <c r="H2063">
        <v>895</v>
      </c>
      <c r="I2063" s="122">
        <v>24090</v>
      </c>
      <c r="J2063" s="122">
        <v>21900</v>
      </c>
      <c r="K2063">
        <v>30</v>
      </c>
      <c r="L2063" s="122">
        <v>1971</v>
      </c>
      <c r="M2063">
        <v>730</v>
      </c>
      <c r="N2063">
        <v>939</v>
      </c>
      <c r="O2063">
        <v>348</v>
      </c>
      <c r="P2063">
        <v>0</v>
      </c>
      <c r="Q2063">
        <v>0</v>
      </c>
      <c r="R2063" s="122">
        <v>7482</v>
      </c>
      <c r="S2063" s="122">
        <v>2771</v>
      </c>
      <c r="T2063">
        <v>0</v>
      </c>
      <c r="U2063">
        <v>0</v>
      </c>
      <c r="V2063" s="122">
        <v>25749</v>
      </c>
      <c r="W2063" s="122">
        <f t="shared" si="64"/>
        <v>25749</v>
      </c>
      <c r="X2063" s="122">
        <f t="shared" si="65"/>
        <v>34482</v>
      </c>
    </row>
    <row r="2064" spans="2:24">
      <c r="B2064" t="s">
        <v>476</v>
      </c>
      <c r="C2064" t="s">
        <v>64</v>
      </c>
      <c r="D2064" t="s">
        <v>407</v>
      </c>
      <c r="E2064" t="s">
        <v>137</v>
      </c>
      <c r="F2064">
        <v>1</v>
      </c>
      <c r="G2064">
        <v>39</v>
      </c>
      <c r="H2064">
        <v>558</v>
      </c>
      <c r="I2064" s="122">
        <v>17153</v>
      </c>
      <c r="J2064" s="122">
        <v>15594</v>
      </c>
      <c r="K2064">
        <v>55</v>
      </c>
      <c r="L2064">
        <v>0</v>
      </c>
      <c r="M2064">
        <v>0</v>
      </c>
      <c r="N2064">
        <v>945</v>
      </c>
      <c r="O2064">
        <v>350</v>
      </c>
      <c r="P2064">
        <v>473</v>
      </c>
      <c r="Q2064">
        <v>175</v>
      </c>
      <c r="R2064" s="122">
        <v>3081</v>
      </c>
      <c r="S2064" s="122">
        <v>1141</v>
      </c>
      <c r="T2064">
        <v>0</v>
      </c>
      <c r="U2064">
        <v>0</v>
      </c>
      <c r="V2064" s="122">
        <v>17260</v>
      </c>
      <c r="W2064" s="122">
        <f t="shared" si="64"/>
        <v>17260</v>
      </c>
      <c r="X2064" s="122">
        <f t="shared" si="65"/>
        <v>21652</v>
      </c>
    </row>
    <row r="2065" spans="2:24">
      <c r="B2065" t="s">
        <v>476</v>
      </c>
      <c r="C2065" t="s">
        <v>64</v>
      </c>
      <c r="D2065" t="s">
        <v>407</v>
      </c>
      <c r="E2065" t="s">
        <v>407</v>
      </c>
      <c r="F2065">
        <v>5</v>
      </c>
      <c r="G2065">
        <v>272</v>
      </c>
      <c r="H2065" s="122">
        <v>2773</v>
      </c>
      <c r="I2065" s="122">
        <v>102389</v>
      </c>
      <c r="J2065" s="122">
        <v>93081</v>
      </c>
      <c r="K2065">
        <v>72</v>
      </c>
      <c r="L2065" s="122">
        <v>7186</v>
      </c>
      <c r="M2065" s="122">
        <v>6532</v>
      </c>
      <c r="N2065" s="122">
        <v>6570</v>
      </c>
      <c r="O2065" s="122">
        <v>2433</v>
      </c>
      <c r="P2065" s="122">
        <v>2363</v>
      </c>
      <c r="Q2065">
        <v>875</v>
      </c>
      <c r="R2065" s="122">
        <v>20773</v>
      </c>
      <c r="S2065" s="122">
        <v>18885</v>
      </c>
      <c r="T2065" s="122">
        <v>6754</v>
      </c>
      <c r="U2065" s="122">
        <v>2502</v>
      </c>
      <c r="V2065" s="122">
        <v>124308</v>
      </c>
      <c r="W2065" s="122">
        <f t="shared" si="64"/>
        <v>124308</v>
      </c>
      <c r="X2065" s="122">
        <f t="shared" si="65"/>
        <v>146035</v>
      </c>
    </row>
    <row r="2066" spans="2:24">
      <c r="B2066" t="s">
        <v>476</v>
      </c>
      <c r="C2066" t="s">
        <v>64</v>
      </c>
      <c r="D2066" t="s">
        <v>556</v>
      </c>
      <c r="E2066" t="s">
        <v>137</v>
      </c>
      <c r="F2066">
        <v>1</v>
      </c>
      <c r="G2066">
        <v>49</v>
      </c>
      <c r="H2066">
        <v>519</v>
      </c>
      <c r="I2066" s="122">
        <v>19251</v>
      </c>
      <c r="J2066" s="122">
        <v>16043</v>
      </c>
      <c r="K2066">
        <v>65</v>
      </c>
      <c r="L2066">
        <v>0</v>
      </c>
      <c r="M2066">
        <v>0</v>
      </c>
      <c r="N2066">
        <v>723</v>
      </c>
      <c r="O2066">
        <v>268</v>
      </c>
      <c r="P2066">
        <v>351</v>
      </c>
      <c r="Q2066">
        <v>130</v>
      </c>
      <c r="R2066" s="122">
        <v>5356</v>
      </c>
      <c r="S2066" s="122">
        <v>1984</v>
      </c>
      <c r="T2066">
        <v>0</v>
      </c>
      <c r="U2066">
        <v>0</v>
      </c>
      <c r="V2066" s="122">
        <v>18424</v>
      </c>
      <c r="W2066" s="122">
        <f t="shared" si="64"/>
        <v>18425</v>
      </c>
      <c r="X2066" s="122">
        <f t="shared" si="65"/>
        <v>25681</v>
      </c>
    </row>
    <row r="2067" spans="2:24">
      <c r="B2067" t="s">
        <v>477</v>
      </c>
      <c r="C2067" t="s">
        <v>48</v>
      </c>
      <c r="D2067" t="s">
        <v>137</v>
      </c>
      <c r="E2067" t="s">
        <v>137</v>
      </c>
      <c r="F2067">
        <v>3</v>
      </c>
      <c r="G2067">
        <v>419</v>
      </c>
      <c r="H2067">
        <v>195</v>
      </c>
      <c r="I2067" s="122">
        <v>5398</v>
      </c>
      <c r="J2067" s="122">
        <v>1999</v>
      </c>
      <c r="K2067">
        <v>444</v>
      </c>
      <c r="L2067">
        <v>643</v>
      </c>
      <c r="M2067">
        <v>584</v>
      </c>
      <c r="N2067" s="122">
        <v>5110</v>
      </c>
      <c r="O2067" s="122">
        <v>1892</v>
      </c>
      <c r="P2067" s="122">
        <v>3463</v>
      </c>
      <c r="Q2067" s="122">
        <v>1283</v>
      </c>
      <c r="R2067" s="122">
        <v>11632</v>
      </c>
      <c r="S2067" s="122">
        <v>4308</v>
      </c>
      <c r="T2067">
        <v>0</v>
      </c>
      <c r="U2067">
        <v>0</v>
      </c>
      <c r="V2067" s="122">
        <v>10067</v>
      </c>
      <c r="W2067" s="122">
        <f t="shared" si="64"/>
        <v>10066</v>
      </c>
      <c r="X2067" s="122">
        <f t="shared" si="65"/>
        <v>26246</v>
      </c>
    </row>
    <row r="2068" spans="2:24">
      <c r="B2068" t="s">
        <v>477</v>
      </c>
      <c r="C2068" t="s">
        <v>50</v>
      </c>
      <c r="D2068" t="s">
        <v>405</v>
      </c>
      <c r="E2068" t="s">
        <v>405</v>
      </c>
      <c r="F2068">
        <v>1</v>
      </c>
      <c r="G2068">
        <v>78</v>
      </c>
      <c r="H2068">
        <v>93</v>
      </c>
      <c r="I2068" s="122">
        <v>2147</v>
      </c>
      <c r="J2068" s="122">
        <v>1952</v>
      </c>
      <c r="K2068">
        <v>81</v>
      </c>
      <c r="L2068">
        <v>0</v>
      </c>
      <c r="M2068">
        <v>0</v>
      </c>
      <c r="N2068" s="122">
        <v>1893</v>
      </c>
      <c r="O2068">
        <v>701</v>
      </c>
      <c r="P2068">
        <v>473</v>
      </c>
      <c r="Q2068">
        <v>175</v>
      </c>
      <c r="R2068" s="122">
        <v>2723</v>
      </c>
      <c r="S2068" s="122">
        <v>2476</v>
      </c>
      <c r="T2068">
        <v>0</v>
      </c>
      <c r="U2068">
        <v>0</v>
      </c>
      <c r="V2068" s="122">
        <v>5304</v>
      </c>
      <c r="W2068" s="122">
        <f t="shared" si="64"/>
        <v>5304</v>
      </c>
      <c r="X2068" s="122">
        <f t="shared" si="65"/>
        <v>7236</v>
      </c>
    </row>
    <row r="2069" spans="2:24">
      <c r="B2069" t="s">
        <v>477</v>
      </c>
      <c r="C2069" t="s">
        <v>50</v>
      </c>
      <c r="D2069" t="s">
        <v>137</v>
      </c>
      <c r="E2069" t="s">
        <v>137</v>
      </c>
      <c r="F2069">
        <v>1</v>
      </c>
      <c r="G2069">
        <v>223</v>
      </c>
      <c r="H2069">
        <v>88</v>
      </c>
      <c r="I2069" s="122">
        <v>2937</v>
      </c>
      <c r="J2069" s="122">
        <v>1088</v>
      </c>
      <c r="K2069">
        <v>363</v>
      </c>
      <c r="L2069">
        <v>689</v>
      </c>
      <c r="M2069">
        <v>627</v>
      </c>
      <c r="N2069" s="122">
        <v>2719</v>
      </c>
      <c r="O2069" s="122">
        <v>1007</v>
      </c>
      <c r="P2069" s="122">
        <v>2782</v>
      </c>
      <c r="Q2069" s="122">
        <v>1031</v>
      </c>
      <c r="R2069" s="122">
        <v>10496</v>
      </c>
      <c r="S2069" s="122">
        <v>3887</v>
      </c>
      <c r="T2069">
        <v>0</v>
      </c>
      <c r="U2069">
        <v>0</v>
      </c>
      <c r="V2069" s="122">
        <v>7640</v>
      </c>
      <c r="W2069" s="122">
        <f t="shared" si="64"/>
        <v>7640</v>
      </c>
      <c r="X2069" s="122">
        <f t="shared" si="65"/>
        <v>19623</v>
      </c>
    </row>
    <row r="2070" spans="2:24">
      <c r="B2070" t="s">
        <v>477</v>
      </c>
      <c r="C2070" t="s">
        <v>50</v>
      </c>
      <c r="D2070" t="s">
        <v>407</v>
      </c>
      <c r="E2070" t="s">
        <v>407</v>
      </c>
      <c r="F2070">
        <v>27</v>
      </c>
      <c r="G2070" s="122">
        <v>2680</v>
      </c>
      <c r="H2070" s="122">
        <v>2484</v>
      </c>
      <c r="I2070" s="122">
        <v>60907</v>
      </c>
      <c r="J2070" s="122">
        <v>55370</v>
      </c>
      <c r="K2070">
        <v>79</v>
      </c>
      <c r="L2070" s="122">
        <v>7162</v>
      </c>
      <c r="M2070" s="122">
        <v>4618</v>
      </c>
      <c r="N2070" s="122">
        <v>45432</v>
      </c>
      <c r="O2070" s="122">
        <v>16827</v>
      </c>
      <c r="P2070" s="122">
        <v>12758</v>
      </c>
      <c r="Q2070" s="122">
        <v>4725</v>
      </c>
      <c r="R2070" s="122">
        <v>120150</v>
      </c>
      <c r="S2070" s="122">
        <v>109227</v>
      </c>
      <c r="T2070">
        <v>0</v>
      </c>
      <c r="U2070">
        <v>0</v>
      </c>
      <c r="V2070" s="122">
        <v>190766</v>
      </c>
      <c r="W2070" s="122">
        <f t="shared" si="64"/>
        <v>190767</v>
      </c>
      <c r="X2070" s="122">
        <f t="shared" si="65"/>
        <v>246409</v>
      </c>
    </row>
    <row r="2071" spans="2:24">
      <c r="B2071" t="s">
        <v>477</v>
      </c>
      <c r="C2071" t="s">
        <v>52</v>
      </c>
      <c r="D2071" t="s">
        <v>405</v>
      </c>
      <c r="E2071" t="s">
        <v>405</v>
      </c>
      <c r="F2071">
        <v>4</v>
      </c>
      <c r="G2071">
        <v>307</v>
      </c>
      <c r="H2071">
        <v>474</v>
      </c>
      <c r="I2071" s="122">
        <v>12709</v>
      </c>
      <c r="J2071" s="122">
        <v>11554</v>
      </c>
      <c r="K2071">
        <v>80</v>
      </c>
      <c r="L2071" s="122">
        <v>1169</v>
      </c>
      <c r="M2071">
        <v>433</v>
      </c>
      <c r="N2071" s="122">
        <v>7020</v>
      </c>
      <c r="O2071" s="122">
        <v>2600</v>
      </c>
      <c r="P2071" s="122">
        <v>1890</v>
      </c>
      <c r="Q2071">
        <v>700</v>
      </c>
      <c r="R2071" s="122">
        <v>13667</v>
      </c>
      <c r="S2071" s="122">
        <v>12425</v>
      </c>
      <c r="T2071">
        <v>0</v>
      </c>
      <c r="U2071">
        <v>0</v>
      </c>
      <c r="V2071" s="122">
        <v>27711</v>
      </c>
      <c r="W2071" s="122">
        <f t="shared" si="64"/>
        <v>27712</v>
      </c>
      <c r="X2071" s="122">
        <f t="shared" si="65"/>
        <v>36455</v>
      </c>
    </row>
    <row r="2072" spans="2:24">
      <c r="B2072" t="s">
        <v>477</v>
      </c>
      <c r="C2072" t="s">
        <v>52</v>
      </c>
      <c r="D2072" t="s">
        <v>137</v>
      </c>
      <c r="E2072" t="s">
        <v>137</v>
      </c>
      <c r="F2072">
        <v>1</v>
      </c>
      <c r="G2072">
        <v>62</v>
      </c>
      <c r="H2072">
        <v>110</v>
      </c>
      <c r="I2072" s="122">
        <v>2817</v>
      </c>
      <c r="J2072" s="122">
        <v>1043</v>
      </c>
      <c r="K2072">
        <v>320</v>
      </c>
      <c r="L2072">
        <v>0</v>
      </c>
      <c r="M2072">
        <v>0</v>
      </c>
      <c r="N2072">
        <v>753</v>
      </c>
      <c r="O2072">
        <v>279</v>
      </c>
      <c r="P2072">
        <v>351</v>
      </c>
      <c r="Q2072">
        <v>130</v>
      </c>
      <c r="R2072" s="122">
        <v>2905</v>
      </c>
      <c r="S2072" s="122">
        <v>1076</v>
      </c>
      <c r="T2072">
        <v>0</v>
      </c>
      <c r="U2072">
        <v>0</v>
      </c>
      <c r="V2072" s="122">
        <v>2528</v>
      </c>
      <c r="W2072" s="122">
        <f t="shared" si="64"/>
        <v>2528</v>
      </c>
      <c r="X2072" s="122">
        <f t="shared" si="65"/>
        <v>6826</v>
      </c>
    </row>
    <row r="2073" spans="2:24">
      <c r="B2073" t="s">
        <v>477</v>
      </c>
      <c r="C2073" t="s">
        <v>52</v>
      </c>
      <c r="D2073" t="s">
        <v>406</v>
      </c>
      <c r="E2073" t="s">
        <v>406</v>
      </c>
      <c r="F2073">
        <v>1</v>
      </c>
      <c r="G2073">
        <v>124</v>
      </c>
      <c r="H2073">
        <v>123</v>
      </c>
      <c r="I2073" s="122">
        <v>7726</v>
      </c>
      <c r="J2073" s="122">
        <v>7024</v>
      </c>
      <c r="K2073">
        <v>94</v>
      </c>
      <c r="L2073" s="122">
        <v>1273</v>
      </c>
      <c r="M2073" s="122">
        <v>1158</v>
      </c>
      <c r="N2073" s="122">
        <v>1507</v>
      </c>
      <c r="O2073">
        <v>558</v>
      </c>
      <c r="P2073">
        <v>621</v>
      </c>
      <c r="Q2073">
        <v>230</v>
      </c>
      <c r="R2073" s="122">
        <v>4093</v>
      </c>
      <c r="S2073" s="122">
        <v>3721</v>
      </c>
      <c r="T2073">
        <v>0</v>
      </c>
      <c r="U2073">
        <v>0</v>
      </c>
      <c r="V2073" s="122">
        <v>12690</v>
      </c>
      <c r="W2073" s="122">
        <f t="shared" si="64"/>
        <v>12691</v>
      </c>
      <c r="X2073" s="122">
        <f t="shared" si="65"/>
        <v>15220</v>
      </c>
    </row>
    <row r="2074" spans="2:24">
      <c r="B2074" t="s">
        <v>477</v>
      </c>
      <c r="C2074" t="s">
        <v>52</v>
      </c>
      <c r="D2074" t="s">
        <v>407</v>
      </c>
      <c r="E2074" t="s">
        <v>407</v>
      </c>
      <c r="F2074">
        <v>120</v>
      </c>
      <c r="G2074" s="122">
        <v>10749</v>
      </c>
      <c r="H2074" s="122">
        <v>13666</v>
      </c>
      <c r="I2074" s="122">
        <v>392350</v>
      </c>
      <c r="J2074" s="122">
        <v>356682</v>
      </c>
      <c r="K2074">
        <v>81</v>
      </c>
      <c r="L2074" s="122">
        <v>66942</v>
      </c>
      <c r="M2074" s="122">
        <v>47377</v>
      </c>
      <c r="N2074" s="122">
        <v>204231</v>
      </c>
      <c r="O2074" s="122">
        <v>75641</v>
      </c>
      <c r="P2074" s="122">
        <v>56700</v>
      </c>
      <c r="Q2074" s="122">
        <v>21000</v>
      </c>
      <c r="R2074" s="122">
        <v>501423</v>
      </c>
      <c r="S2074" s="122">
        <v>455840</v>
      </c>
      <c r="T2074">
        <v>0</v>
      </c>
      <c r="U2074">
        <v>0</v>
      </c>
      <c r="V2074" s="122">
        <v>956540</v>
      </c>
      <c r="W2074" s="122">
        <f t="shared" si="64"/>
        <v>956540</v>
      </c>
      <c r="X2074" s="122">
        <f t="shared" si="65"/>
        <v>1221646</v>
      </c>
    </row>
    <row r="2075" spans="2:24">
      <c r="B2075" t="s">
        <v>477</v>
      </c>
      <c r="C2075" t="s">
        <v>54</v>
      </c>
      <c r="D2075" t="s">
        <v>405</v>
      </c>
      <c r="E2075" t="s">
        <v>425</v>
      </c>
      <c r="F2075">
        <v>1</v>
      </c>
      <c r="G2075">
        <v>86</v>
      </c>
      <c r="H2075">
        <v>137</v>
      </c>
      <c r="I2075" s="122">
        <v>3663</v>
      </c>
      <c r="J2075" s="122">
        <v>3330</v>
      </c>
      <c r="K2075">
        <v>73</v>
      </c>
      <c r="L2075">
        <v>0</v>
      </c>
      <c r="M2075">
        <v>0</v>
      </c>
      <c r="N2075" s="122">
        <v>1461</v>
      </c>
      <c r="O2075">
        <v>541</v>
      </c>
      <c r="P2075">
        <v>473</v>
      </c>
      <c r="Q2075">
        <v>175</v>
      </c>
      <c r="R2075" s="122">
        <v>6163</v>
      </c>
      <c r="S2075" s="122">
        <v>5603</v>
      </c>
      <c r="T2075">
        <v>0</v>
      </c>
      <c r="U2075">
        <v>0</v>
      </c>
      <c r="V2075" s="122">
        <v>9649</v>
      </c>
      <c r="W2075" s="122">
        <f t="shared" si="64"/>
        <v>9649</v>
      </c>
      <c r="X2075" s="122">
        <f t="shared" si="65"/>
        <v>11760</v>
      </c>
    </row>
    <row r="2076" spans="2:24">
      <c r="B2076" t="s">
        <v>477</v>
      </c>
      <c r="C2076" t="s">
        <v>54</v>
      </c>
      <c r="D2076" t="s">
        <v>405</v>
      </c>
      <c r="E2076" t="s">
        <v>405</v>
      </c>
      <c r="F2076">
        <v>11</v>
      </c>
      <c r="G2076" s="122">
        <v>1063</v>
      </c>
      <c r="H2076" s="122">
        <v>1528</v>
      </c>
      <c r="I2076" s="122">
        <v>67715</v>
      </c>
      <c r="J2076" s="122">
        <v>61559</v>
      </c>
      <c r="K2076">
        <v>80</v>
      </c>
      <c r="L2076" s="122">
        <v>4458</v>
      </c>
      <c r="M2076" s="122">
        <v>3969</v>
      </c>
      <c r="N2076" s="122">
        <v>18658</v>
      </c>
      <c r="O2076" s="122">
        <v>6910</v>
      </c>
      <c r="P2076" s="122">
        <v>5670</v>
      </c>
      <c r="Q2076" s="122">
        <v>2100</v>
      </c>
      <c r="R2076" s="122">
        <v>51690</v>
      </c>
      <c r="S2076" s="122">
        <v>46991</v>
      </c>
      <c r="T2076">
        <v>0</v>
      </c>
      <c r="U2076">
        <v>0</v>
      </c>
      <c r="V2076" s="122">
        <v>121529</v>
      </c>
      <c r="W2076" s="122">
        <f t="shared" si="64"/>
        <v>121529</v>
      </c>
      <c r="X2076" s="122">
        <f t="shared" si="65"/>
        <v>148191</v>
      </c>
    </row>
    <row r="2077" spans="2:24">
      <c r="B2077" t="s">
        <v>477</v>
      </c>
      <c r="C2077" t="s">
        <v>54</v>
      </c>
      <c r="D2077" t="s">
        <v>137</v>
      </c>
      <c r="E2077" t="s">
        <v>137</v>
      </c>
      <c r="F2077">
        <v>19</v>
      </c>
      <c r="G2077" s="122">
        <v>1488</v>
      </c>
      <c r="H2077" s="122">
        <v>2692</v>
      </c>
      <c r="I2077" s="122">
        <v>53423</v>
      </c>
      <c r="J2077" s="122">
        <v>19786</v>
      </c>
      <c r="K2077">
        <v>127</v>
      </c>
      <c r="L2077" s="122">
        <v>9639</v>
      </c>
      <c r="M2077" s="122">
        <v>3570</v>
      </c>
      <c r="N2077" s="122">
        <v>27688</v>
      </c>
      <c r="O2077" s="122">
        <v>10255</v>
      </c>
      <c r="P2077" s="122">
        <v>1801</v>
      </c>
      <c r="Q2077">
        <v>667</v>
      </c>
      <c r="R2077" s="122">
        <v>118236</v>
      </c>
      <c r="S2077" s="122">
        <v>43791</v>
      </c>
      <c r="T2077">
        <v>0</v>
      </c>
      <c r="U2077">
        <v>0</v>
      </c>
      <c r="V2077" s="122">
        <v>78069</v>
      </c>
      <c r="W2077" s="122">
        <f t="shared" si="64"/>
        <v>78069</v>
      </c>
      <c r="X2077" s="122">
        <f t="shared" si="65"/>
        <v>210787</v>
      </c>
    </row>
    <row r="2078" spans="2:24">
      <c r="B2078" t="s">
        <v>477</v>
      </c>
      <c r="C2078" t="s">
        <v>54</v>
      </c>
      <c r="D2078" t="s">
        <v>406</v>
      </c>
      <c r="E2078" t="s">
        <v>406</v>
      </c>
      <c r="F2078">
        <v>4</v>
      </c>
      <c r="G2078">
        <v>778</v>
      </c>
      <c r="H2078">
        <v>561</v>
      </c>
      <c r="I2078" s="122">
        <v>61571</v>
      </c>
      <c r="J2078" s="122">
        <v>55974</v>
      </c>
      <c r="K2078">
        <v>95</v>
      </c>
      <c r="L2078" s="122">
        <v>8894</v>
      </c>
      <c r="M2078" s="122">
        <v>7890</v>
      </c>
      <c r="N2078" s="122">
        <v>11592</v>
      </c>
      <c r="O2078" s="122">
        <v>4293</v>
      </c>
      <c r="P2078" s="122">
        <v>2484</v>
      </c>
      <c r="Q2078">
        <v>920</v>
      </c>
      <c r="R2078" s="122">
        <v>19508</v>
      </c>
      <c r="S2078" s="122">
        <v>17734</v>
      </c>
      <c r="T2078" s="122">
        <v>4196</v>
      </c>
      <c r="U2078" s="122">
        <v>1554</v>
      </c>
      <c r="V2078" s="122">
        <v>88366</v>
      </c>
      <c r="W2078" s="122">
        <f t="shared" si="64"/>
        <v>88365</v>
      </c>
      <c r="X2078" s="122">
        <f t="shared" si="65"/>
        <v>108245</v>
      </c>
    </row>
    <row r="2079" spans="2:24">
      <c r="B2079" t="s">
        <v>477</v>
      </c>
      <c r="C2079" t="s">
        <v>54</v>
      </c>
      <c r="D2079" t="s">
        <v>407</v>
      </c>
      <c r="E2079" t="s">
        <v>407</v>
      </c>
      <c r="F2079">
        <v>144</v>
      </c>
      <c r="G2079" s="122">
        <v>12056</v>
      </c>
      <c r="H2079" s="122">
        <v>19951</v>
      </c>
      <c r="I2079" s="122">
        <v>697765</v>
      </c>
      <c r="J2079" s="122">
        <v>634332</v>
      </c>
      <c r="K2079">
        <v>82</v>
      </c>
      <c r="L2079" s="122">
        <v>81929</v>
      </c>
      <c r="M2079" s="122">
        <v>56832</v>
      </c>
      <c r="N2079" s="122">
        <v>233933</v>
      </c>
      <c r="O2079" s="122">
        <v>86642</v>
      </c>
      <c r="P2079" s="122">
        <v>68040</v>
      </c>
      <c r="Q2079" s="122">
        <v>25200</v>
      </c>
      <c r="R2079" s="122">
        <v>556317</v>
      </c>
      <c r="S2079" s="122">
        <v>505742</v>
      </c>
      <c r="T2079" s="122">
        <v>33989</v>
      </c>
      <c r="U2079" s="122">
        <v>12589</v>
      </c>
      <c r="V2079" s="122">
        <v>1321337</v>
      </c>
      <c r="W2079" s="122">
        <f t="shared" si="64"/>
        <v>1321337</v>
      </c>
      <c r="X2079" s="122">
        <f t="shared" si="65"/>
        <v>1671973</v>
      </c>
    </row>
    <row r="2080" spans="2:24">
      <c r="B2080" t="s">
        <v>477</v>
      </c>
      <c r="C2080" t="s">
        <v>56</v>
      </c>
      <c r="F2080">
        <v>4</v>
      </c>
      <c r="G2080">
        <v>514</v>
      </c>
      <c r="H2080">
        <v>811</v>
      </c>
      <c r="J2080">
        <v>0</v>
      </c>
      <c r="M2080">
        <v>0</v>
      </c>
      <c r="N2080" s="122">
        <v>8469</v>
      </c>
      <c r="O2080" s="122">
        <v>3137</v>
      </c>
      <c r="P2080">
        <v>621</v>
      </c>
      <c r="Q2080">
        <v>230</v>
      </c>
      <c r="S2080">
        <v>0</v>
      </c>
      <c r="T2080" s="122">
        <v>3400</v>
      </c>
      <c r="U2080" s="122">
        <v>1259</v>
      </c>
      <c r="V2080" s="122">
        <v>4626</v>
      </c>
      <c r="W2080" s="122">
        <f t="shared" si="64"/>
        <v>4626</v>
      </c>
      <c r="X2080" s="122">
        <f t="shared" si="65"/>
        <v>12490</v>
      </c>
    </row>
    <row r="2081" spans="2:24">
      <c r="B2081" t="s">
        <v>477</v>
      </c>
      <c r="C2081" t="s">
        <v>56</v>
      </c>
      <c r="D2081" t="s">
        <v>425</v>
      </c>
      <c r="E2081" t="s">
        <v>425</v>
      </c>
      <c r="F2081">
        <v>2</v>
      </c>
      <c r="G2081">
        <v>161</v>
      </c>
      <c r="H2081">
        <v>340</v>
      </c>
      <c r="I2081" s="122">
        <v>11505</v>
      </c>
      <c r="J2081" s="122">
        <v>10459</v>
      </c>
      <c r="K2081">
        <v>85</v>
      </c>
      <c r="L2081">
        <v>979</v>
      </c>
      <c r="M2081">
        <v>890</v>
      </c>
      <c r="N2081" s="122">
        <v>3615</v>
      </c>
      <c r="O2081" s="122">
        <v>1339</v>
      </c>
      <c r="P2081">
        <v>945</v>
      </c>
      <c r="Q2081">
        <v>350</v>
      </c>
      <c r="R2081" s="122">
        <v>10455</v>
      </c>
      <c r="S2081" s="122">
        <v>9505</v>
      </c>
      <c r="T2081">
        <v>0</v>
      </c>
      <c r="U2081">
        <v>0</v>
      </c>
      <c r="V2081" s="122">
        <v>22543</v>
      </c>
      <c r="W2081" s="122">
        <f t="shared" si="64"/>
        <v>22543</v>
      </c>
      <c r="X2081" s="122">
        <f t="shared" si="65"/>
        <v>27499</v>
      </c>
    </row>
    <row r="2082" spans="2:24">
      <c r="B2082" t="s">
        <v>477</v>
      </c>
      <c r="C2082" t="s">
        <v>56</v>
      </c>
      <c r="D2082" t="s">
        <v>425</v>
      </c>
      <c r="E2082" t="s">
        <v>405</v>
      </c>
      <c r="F2082">
        <v>1</v>
      </c>
      <c r="G2082">
        <v>82</v>
      </c>
      <c r="H2082">
        <v>208</v>
      </c>
      <c r="I2082" s="122">
        <v>7532</v>
      </c>
      <c r="J2082" s="122">
        <v>6847</v>
      </c>
      <c r="K2082">
        <v>73</v>
      </c>
      <c r="L2082" s="122">
        <v>1056</v>
      </c>
      <c r="M2082">
        <v>880</v>
      </c>
      <c r="N2082" s="122">
        <v>1602</v>
      </c>
      <c r="O2082">
        <v>593</v>
      </c>
      <c r="P2082">
        <v>473</v>
      </c>
      <c r="Q2082">
        <v>175</v>
      </c>
      <c r="R2082" s="122">
        <v>4074</v>
      </c>
      <c r="S2082" s="122">
        <v>3704</v>
      </c>
      <c r="T2082" s="122">
        <v>2329</v>
      </c>
      <c r="U2082">
        <v>863</v>
      </c>
      <c r="V2082" s="122">
        <v>13062</v>
      </c>
      <c r="W2082" s="122">
        <f t="shared" si="64"/>
        <v>13062</v>
      </c>
      <c r="X2082" s="122">
        <f t="shared" si="65"/>
        <v>17066</v>
      </c>
    </row>
    <row r="2083" spans="2:24">
      <c r="B2083" t="s">
        <v>477</v>
      </c>
      <c r="C2083" t="s">
        <v>56</v>
      </c>
      <c r="D2083" t="s">
        <v>405</v>
      </c>
      <c r="E2083" t="s">
        <v>425</v>
      </c>
      <c r="F2083">
        <v>1</v>
      </c>
      <c r="G2083">
        <v>86</v>
      </c>
      <c r="H2083">
        <v>215</v>
      </c>
      <c r="I2083" s="122">
        <v>8778</v>
      </c>
      <c r="J2083" s="122">
        <v>7980</v>
      </c>
      <c r="K2083">
        <v>73</v>
      </c>
      <c r="L2083">
        <v>0</v>
      </c>
      <c r="M2083">
        <v>0</v>
      </c>
      <c r="N2083" s="122">
        <v>1670</v>
      </c>
      <c r="O2083">
        <v>619</v>
      </c>
      <c r="P2083">
        <v>473</v>
      </c>
      <c r="Q2083">
        <v>175</v>
      </c>
      <c r="R2083" s="122">
        <v>7512</v>
      </c>
      <c r="S2083" s="122">
        <v>6829</v>
      </c>
      <c r="T2083">
        <v>0</v>
      </c>
      <c r="U2083">
        <v>0</v>
      </c>
      <c r="V2083" s="122">
        <v>15602</v>
      </c>
      <c r="W2083" s="122">
        <f t="shared" si="64"/>
        <v>15603</v>
      </c>
      <c r="X2083" s="122">
        <f t="shared" si="65"/>
        <v>18433</v>
      </c>
    </row>
    <row r="2084" spans="2:24">
      <c r="B2084" t="s">
        <v>477</v>
      </c>
      <c r="C2084" t="s">
        <v>56</v>
      </c>
      <c r="D2084" t="s">
        <v>405</v>
      </c>
      <c r="E2084" t="s">
        <v>405</v>
      </c>
      <c r="F2084">
        <v>29</v>
      </c>
      <c r="G2084" s="122">
        <v>2076</v>
      </c>
      <c r="H2084" s="122">
        <v>5308</v>
      </c>
      <c r="I2084" s="122">
        <v>168695</v>
      </c>
      <c r="J2084" s="122">
        <v>153359</v>
      </c>
      <c r="K2084">
        <v>81</v>
      </c>
      <c r="L2084" s="122">
        <v>22164</v>
      </c>
      <c r="M2084" s="122">
        <v>17390</v>
      </c>
      <c r="N2084" s="122">
        <v>38139</v>
      </c>
      <c r="O2084" s="122">
        <v>14125</v>
      </c>
      <c r="P2084" s="122">
        <v>14351</v>
      </c>
      <c r="Q2084" s="122">
        <v>5315</v>
      </c>
      <c r="R2084" s="122">
        <v>131107</v>
      </c>
      <c r="S2084" s="122">
        <v>119189</v>
      </c>
      <c r="T2084" s="122">
        <v>9226</v>
      </c>
      <c r="U2084" s="122">
        <v>3417</v>
      </c>
      <c r="V2084" s="122">
        <v>312794</v>
      </c>
      <c r="W2084" s="122">
        <f t="shared" si="64"/>
        <v>312795</v>
      </c>
      <c r="X2084" s="122">
        <f t="shared" si="65"/>
        <v>383682</v>
      </c>
    </row>
    <row r="2085" spans="2:24">
      <c r="B2085" t="s">
        <v>477</v>
      </c>
      <c r="C2085" t="s">
        <v>56</v>
      </c>
      <c r="D2085" t="s">
        <v>137</v>
      </c>
      <c r="E2085" t="s">
        <v>137</v>
      </c>
      <c r="F2085">
        <v>417</v>
      </c>
      <c r="G2085" s="122">
        <v>31663</v>
      </c>
      <c r="H2085" s="122">
        <v>81975</v>
      </c>
      <c r="I2085" s="122">
        <v>2552097</v>
      </c>
      <c r="J2085" s="122">
        <v>945221</v>
      </c>
      <c r="K2085">
        <v>101</v>
      </c>
      <c r="L2085" s="122">
        <v>379316</v>
      </c>
      <c r="M2085" s="122">
        <v>154604</v>
      </c>
      <c r="N2085" s="122">
        <v>626864</v>
      </c>
      <c r="O2085" s="122">
        <v>232172</v>
      </c>
      <c r="P2085" s="122">
        <v>5609</v>
      </c>
      <c r="Q2085" s="122">
        <v>2078</v>
      </c>
      <c r="R2085" s="122">
        <v>2667697</v>
      </c>
      <c r="S2085" s="122">
        <v>988036</v>
      </c>
      <c r="T2085" s="122">
        <v>4020</v>
      </c>
      <c r="U2085" s="122">
        <v>1489</v>
      </c>
      <c r="V2085" s="122">
        <v>2323599</v>
      </c>
      <c r="W2085" s="122">
        <f t="shared" si="64"/>
        <v>2323600</v>
      </c>
      <c r="X2085" s="122">
        <f t="shared" si="65"/>
        <v>6235603</v>
      </c>
    </row>
    <row r="2086" spans="2:24">
      <c r="B2086" t="s">
        <v>477</v>
      </c>
      <c r="C2086" t="s">
        <v>56</v>
      </c>
      <c r="D2086" t="s">
        <v>406</v>
      </c>
      <c r="E2086" t="s">
        <v>406</v>
      </c>
      <c r="F2086">
        <v>34</v>
      </c>
      <c r="G2086" s="122">
        <v>4334</v>
      </c>
      <c r="H2086" s="122">
        <v>6632</v>
      </c>
      <c r="I2086" s="122">
        <v>446984</v>
      </c>
      <c r="J2086" s="122">
        <v>406349</v>
      </c>
      <c r="K2086">
        <v>85</v>
      </c>
      <c r="L2086" s="122">
        <v>85040</v>
      </c>
      <c r="M2086" s="122">
        <v>69457</v>
      </c>
      <c r="N2086" s="122">
        <v>87849</v>
      </c>
      <c r="O2086" s="122">
        <v>32537</v>
      </c>
      <c r="P2086" s="122">
        <v>24032</v>
      </c>
      <c r="Q2086" s="122">
        <v>8901</v>
      </c>
      <c r="R2086" s="122">
        <v>164156</v>
      </c>
      <c r="S2086" s="122">
        <v>149232</v>
      </c>
      <c r="T2086" s="122">
        <v>36851</v>
      </c>
      <c r="U2086" s="122">
        <v>13649</v>
      </c>
      <c r="V2086" s="122">
        <v>680125</v>
      </c>
      <c r="W2086" s="122">
        <f t="shared" si="64"/>
        <v>680125</v>
      </c>
      <c r="X2086" s="122">
        <f t="shared" si="65"/>
        <v>844912</v>
      </c>
    </row>
    <row r="2087" spans="2:24">
      <c r="B2087" t="s">
        <v>477</v>
      </c>
      <c r="C2087" t="s">
        <v>56</v>
      </c>
      <c r="D2087" t="s">
        <v>407</v>
      </c>
      <c r="E2087" t="s">
        <v>407</v>
      </c>
      <c r="F2087">
        <v>171</v>
      </c>
      <c r="G2087" s="122">
        <v>11381</v>
      </c>
      <c r="H2087" s="122">
        <v>32104</v>
      </c>
      <c r="I2087" s="122">
        <v>934526</v>
      </c>
      <c r="J2087" s="122">
        <v>849569</v>
      </c>
      <c r="K2087">
        <v>80</v>
      </c>
      <c r="L2087" s="122">
        <v>151725</v>
      </c>
      <c r="M2087" s="122">
        <v>112516</v>
      </c>
      <c r="N2087" s="122">
        <v>226403</v>
      </c>
      <c r="O2087" s="122">
        <v>83853</v>
      </c>
      <c r="P2087" s="122">
        <v>80555</v>
      </c>
      <c r="Q2087" s="122">
        <v>29835</v>
      </c>
      <c r="R2087" s="122">
        <v>637937</v>
      </c>
      <c r="S2087" s="122">
        <v>579943</v>
      </c>
      <c r="T2087" s="122">
        <v>100119</v>
      </c>
      <c r="U2087" s="122">
        <v>37081</v>
      </c>
      <c r="V2087" s="122">
        <v>1692798</v>
      </c>
      <c r="W2087" s="122">
        <f t="shared" si="64"/>
        <v>1692797</v>
      </c>
      <c r="X2087" s="122">
        <f t="shared" si="65"/>
        <v>2131265</v>
      </c>
    </row>
    <row r="2088" spans="2:24">
      <c r="B2088" t="s">
        <v>477</v>
      </c>
      <c r="C2088" t="s">
        <v>58</v>
      </c>
      <c r="F2088">
        <v>4</v>
      </c>
      <c r="G2088">
        <v>448</v>
      </c>
      <c r="H2088">
        <v>984</v>
      </c>
      <c r="J2088">
        <v>0</v>
      </c>
      <c r="M2088">
        <v>0</v>
      </c>
      <c r="N2088" s="122">
        <v>5459</v>
      </c>
      <c r="O2088" s="122">
        <v>2022</v>
      </c>
      <c r="P2088">
        <v>0</v>
      </c>
      <c r="Q2088">
        <v>0</v>
      </c>
      <c r="S2088">
        <v>0</v>
      </c>
      <c r="T2088">
        <v>0</v>
      </c>
      <c r="U2088">
        <v>0</v>
      </c>
      <c r="V2088" s="122">
        <v>2022</v>
      </c>
      <c r="W2088" s="122">
        <f t="shared" si="64"/>
        <v>2022</v>
      </c>
      <c r="X2088" s="122">
        <f t="shared" si="65"/>
        <v>5459</v>
      </c>
    </row>
    <row r="2089" spans="2:24">
      <c r="B2089" t="s">
        <v>477</v>
      </c>
      <c r="C2089" t="s">
        <v>58</v>
      </c>
      <c r="D2089" t="s">
        <v>425</v>
      </c>
      <c r="E2089" t="s">
        <v>425</v>
      </c>
      <c r="F2089">
        <v>1</v>
      </c>
      <c r="G2089">
        <v>64</v>
      </c>
      <c r="H2089">
        <v>239</v>
      </c>
      <c r="I2089" s="122">
        <v>5638</v>
      </c>
      <c r="J2089" s="122">
        <v>5126</v>
      </c>
      <c r="K2089">
        <v>93</v>
      </c>
      <c r="L2089" s="122">
        <v>2772</v>
      </c>
      <c r="M2089" s="122">
        <v>2520</v>
      </c>
      <c r="N2089">
        <v>871</v>
      </c>
      <c r="O2089">
        <v>323</v>
      </c>
      <c r="P2089">
        <v>473</v>
      </c>
      <c r="Q2089">
        <v>175</v>
      </c>
      <c r="R2089" s="122">
        <v>3256</v>
      </c>
      <c r="S2089" s="122">
        <v>2960</v>
      </c>
      <c r="T2089" s="122">
        <v>2398</v>
      </c>
      <c r="U2089">
        <v>888</v>
      </c>
      <c r="V2089" s="122">
        <v>11991</v>
      </c>
      <c r="W2089" s="122">
        <f t="shared" si="64"/>
        <v>11992</v>
      </c>
      <c r="X2089" s="122">
        <f t="shared" si="65"/>
        <v>15408</v>
      </c>
    </row>
    <row r="2090" spans="2:24">
      <c r="B2090" t="s">
        <v>477</v>
      </c>
      <c r="C2090" t="s">
        <v>58</v>
      </c>
      <c r="D2090" t="s">
        <v>405</v>
      </c>
      <c r="E2090" t="s">
        <v>405</v>
      </c>
      <c r="F2090">
        <v>2</v>
      </c>
      <c r="G2090">
        <v>153</v>
      </c>
      <c r="H2090">
        <v>502</v>
      </c>
      <c r="I2090" s="122">
        <v>17328</v>
      </c>
      <c r="J2090" s="122">
        <v>15753</v>
      </c>
      <c r="K2090">
        <v>76</v>
      </c>
      <c r="L2090" s="122">
        <v>4621</v>
      </c>
      <c r="M2090" s="122">
        <v>4201</v>
      </c>
      <c r="N2090" s="122">
        <v>3635</v>
      </c>
      <c r="O2090" s="122">
        <v>1346</v>
      </c>
      <c r="P2090">
        <v>945</v>
      </c>
      <c r="Q2090">
        <v>350</v>
      </c>
      <c r="R2090" s="122">
        <v>9677</v>
      </c>
      <c r="S2090" s="122">
        <v>8798</v>
      </c>
      <c r="T2090" s="122">
        <v>2182</v>
      </c>
      <c r="U2090">
        <v>808</v>
      </c>
      <c r="V2090" s="122">
        <v>31256</v>
      </c>
      <c r="W2090" s="122">
        <f t="shared" si="64"/>
        <v>31256</v>
      </c>
      <c r="X2090" s="122">
        <f t="shared" si="65"/>
        <v>38388</v>
      </c>
    </row>
    <row r="2091" spans="2:24">
      <c r="B2091" t="s">
        <v>477</v>
      </c>
      <c r="C2091" t="s">
        <v>58</v>
      </c>
      <c r="D2091" t="s">
        <v>137</v>
      </c>
      <c r="E2091" t="s">
        <v>137</v>
      </c>
      <c r="F2091">
        <v>604</v>
      </c>
      <c r="G2091" s="122">
        <v>40306</v>
      </c>
      <c r="H2091" s="122">
        <v>158237</v>
      </c>
      <c r="I2091" s="122">
        <v>5361216</v>
      </c>
      <c r="J2091" s="122">
        <v>1985635</v>
      </c>
      <c r="K2091">
        <v>100</v>
      </c>
      <c r="L2091" s="122">
        <v>676151</v>
      </c>
      <c r="M2091" s="122">
        <v>386306</v>
      </c>
      <c r="N2091" s="122">
        <v>788206</v>
      </c>
      <c r="O2091" s="122">
        <v>291928</v>
      </c>
      <c r="P2091" s="122">
        <v>4685</v>
      </c>
      <c r="Q2091" s="122">
        <v>1735</v>
      </c>
      <c r="R2091" s="122">
        <v>3776653</v>
      </c>
      <c r="S2091" s="122">
        <v>1398760</v>
      </c>
      <c r="T2091">
        <v>0</v>
      </c>
      <c r="U2091">
        <v>0</v>
      </c>
      <c r="V2091" s="122">
        <v>4064365</v>
      </c>
      <c r="W2091" s="122">
        <f t="shared" ref="W2091:W2154" si="66">SUM(ABS(J2091),ABS(M2091),ABS(O2091),ABS(Q2091),ABS(S2091),ABS(U2091))</f>
        <v>4064364</v>
      </c>
      <c r="X2091" s="122">
        <f t="shared" ref="X2091:X2154" si="67">SUM(ABS(I2091),ABS(N2091),ABS(P2091),ABS(R2091),ABS(T2091),ABS(L2091))</f>
        <v>10606911</v>
      </c>
    </row>
    <row r="2092" spans="2:24">
      <c r="B2092" t="s">
        <v>477</v>
      </c>
      <c r="C2092" t="s">
        <v>58</v>
      </c>
      <c r="D2092" t="s">
        <v>406</v>
      </c>
      <c r="E2092" t="s">
        <v>406</v>
      </c>
      <c r="F2092">
        <v>15</v>
      </c>
      <c r="G2092" s="122">
        <v>1224</v>
      </c>
      <c r="H2092" s="122">
        <v>4002</v>
      </c>
      <c r="I2092" s="122">
        <v>162283</v>
      </c>
      <c r="J2092" s="122">
        <v>147530</v>
      </c>
      <c r="K2092">
        <v>79</v>
      </c>
      <c r="L2092" s="122">
        <v>36371</v>
      </c>
      <c r="M2092" s="122">
        <v>31942</v>
      </c>
      <c r="N2092" s="122">
        <v>25307</v>
      </c>
      <c r="O2092" s="122">
        <v>9373</v>
      </c>
      <c r="P2092" s="122">
        <v>9315</v>
      </c>
      <c r="Q2092" s="122">
        <v>3450</v>
      </c>
      <c r="R2092" s="122">
        <v>69839</v>
      </c>
      <c r="S2092" s="122">
        <v>63490</v>
      </c>
      <c r="T2092" s="122">
        <v>22118</v>
      </c>
      <c r="U2092" s="122">
        <v>8192</v>
      </c>
      <c r="V2092" s="122">
        <v>263977</v>
      </c>
      <c r="W2092" s="122">
        <f t="shared" si="66"/>
        <v>263977</v>
      </c>
      <c r="X2092" s="122">
        <f t="shared" si="67"/>
        <v>325233</v>
      </c>
    </row>
    <row r="2093" spans="2:24">
      <c r="B2093" t="s">
        <v>477</v>
      </c>
      <c r="C2093" t="s">
        <v>58</v>
      </c>
      <c r="D2093" t="s">
        <v>427</v>
      </c>
      <c r="E2093" t="s">
        <v>427</v>
      </c>
      <c r="F2093">
        <v>1</v>
      </c>
      <c r="G2093">
        <v>81</v>
      </c>
      <c r="H2093">
        <v>298</v>
      </c>
      <c r="I2093" s="122">
        <v>11987</v>
      </c>
      <c r="J2093" s="122">
        <v>10897</v>
      </c>
      <c r="K2093">
        <v>55</v>
      </c>
      <c r="L2093" s="122">
        <v>1798</v>
      </c>
      <c r="M2093">
        <v>666</v>
      </c>
      <c r="N2093">
        <v>984</v>
      </c>
      <c r="O2093">
        <v>364</v>
      </c>
      <c r="P2093">
        <v>351</v>
      </c>
      <c r="Q2093">
        <v>130</v>
      </c>
      <c r="R2093" s="122">
        <v>8925</v>
      </c>
      <c r="S2093" s="122">
        <v>8114</v>
      </c>
      <c r="T2093">
        <v>0</v>
      </c>
      <c r="U2093">
        <v>0</v>
      </c>
      <c r="V2093" s="122">
        <v>20171</v>
      </c>
      <c r="W2093" s="122">
        <f t="shared" si="66"/>
        <v>20171</v>
      </c>
      <c r="X2093" s="122">
        <f t="shared" si="67"/>
        <v>24045</v>
      </c>
    </row>
    <row r="2094" spans="2:24">
      <c r="B2094" t="s">
        <v>477</v>
      </c>
      <c r="C2094" t="s">
        <v>58</v>
      </c>
      <c r="D2094" t="s">
        <v>407</v>
      </c>
      <c r="E2094" t="s">
        <v>407</v>
      </c>
      <c r="F2094">
        <v>28</v>
      </c>
      <c r="G2094" s="122">
        <v>1765</v>
      </c>
      <c r="H2094" s="122">
        <v>7135</v>
      </c>
      <c r="I2094" s="122">
        <v>213507</v>
      </c>
      <c r="J2094" s="122">
        <v>194097</v>
      </c>
      <c r="K2094">
        <v>79</v>
      </c>
      <c r="L2094" s="122">
        <v>47282</v>
      </c>
      <c r="M2094" s="122">
        <v>37881</v>
      </c>
      <c r="N2094" s="122">
        <v>39117</v>
      </c>
      <c r="O2094" s="122">
        <v>14488</v>
      </c>
      <c r="P2094" s="122">
        <v>13851</v>
      </c>
      <c r="Q2094" s="122">
        <v>5130</v>
      </c>
      <c r="R2094" s="122">
        <v>114992</v>
      </c>
      <c r="S2094" s="122">
        <v>104539</v>
      </c>
      <c r="T2094" s="122">
        <v>21087</v>
      </c>
      <c r="U2094" s="122">
        <v>7810</v>
      </c>
      <c r="V2094" s="122">
        <v>363944</v>
      </c>
      <c r="W2094" s="122">
        <f t="shared" si="66"/>
        <v>363945</v>
      </c>
      <c r="X2094" s="122">
        <f t="shared" si="67"/>
        <v>449836</v>
      </c>
    </row>
    <row r="2095" spans="2:24">
      <c r="B2095" t="s">
        <v>477</v>
      </c>
      <c r="C2095" t="s">
        <v>58</v>
      </c>
      <c r="D2095" t="s">
        <v>426</v>
      </c>
      <c r="E2095" t="s">
        <v>426</v>
      </c>
      <c r="F2095">
        <v>5</v>
      </c>
      <c r="G2095">
        <v>270</v>
      </c>
      <c r="H2095" s="122">
        <v>1296</v>
      </c>
      <c r="I2095" s="122">
        <v>30357</v>
      </c>
      <c r="J2095" s="122">
        <v>27597</v>
      </c>
      <c r="K2095">
        <v>58</v>
      </c>
      <c r="L2095" s="122">
        <v>3052</v>
      </c>
      <c r="M2095" s="122">
        <v>2299</v>
      </c>
      <c r="N2095" s="122">
        <v>6352</v>
      </c>
      <c r="O2095" s="122">
        <v>2353</v>
      </c>
      <c r="P2095" s="122">
        <v>1755</v>
      </c>
      <c r="Q2095">
        <v>650</v>
      </c>
      <c r="R2095" s="122">
        <v>20545</v>
      </c>
      <c r="S2095" s="122">
        <v>18677</v>
      </c>
      <c r="T2095" s="122">
        <v>8558</v>
      </c>
      <c r="U2095" s="122">
        <v>3170</v>
      </c>
      <c r="V2095" s="122">
        <v>54745</v>
      </c>
      <c r="W2095" s="122">
        <f t="shared" si="66"/>
        <v>54746</v>
      </c>
      <c r="X2095" s="122">
        <f t="shared" si="67"/>
        <v>70619</v>
      </c>
    </row>
    <row r="2096" spans="2:24">
      <c r="B2096" t="s">
        <v>477</v>
      </c>
      <c r="C2096" t="s">
        <v>60</v>
      </c>
      <c r="F2096">
        <v>7</v>
      </c>
      <c r="G2096">
        <v>532</v>
      </c>
      <c r="H2096" s="122">
        <v>2386</v>
      </c>
      <c r="J2096">
        <v>0</v>
      </c>
      <c r="M2096">
        <v>0</v>
      </c>
      <c r="N2096" s="122">
        <v>7843</v>
      </c>
      <c r="O2096" s="122">
        <v>2905</v>
      </c>
      <c r="P2096">
        <v>621</v>
      </c>
      <c r="Q2096">
        <v>230</v>
      </c>
      <c r="S2096">
        <v>0</v>
      </c>
      <c r="T2096" s="122">
        <v>7799</v>
      </c>
      <c r="U2096" s="122">
        <v>2888</v>
      </c>
      <c r="V2096" s="122">
        <v>6023</v>
      </c>
      <c r="W2096" s="122">
        <f t="shared" si="66"/>
        <v>6023</v>
      </c>
      <c r="X2096" s="122">
        <f t="shared" si="67"/>
        <v>16263</v>
      </c>
    </row>
    <row r="2097" spans="2:24">
      <c r="B2097" t="s">
        <v>477</v>
      </c>
      <c r="C2097" t="s">
        <v>60</v>
      </c>
      <c r="D2097" t="s">
        <v>405</v>
      </c>
      <c r="E2097" t="s">
        <v>405</v>
      </c>
      <c r="F2097">
        <v>1</v>
      </c>
      <c r="G2097">
        <v>73</v>
      </c>
      <c r="H2097">
        <v>308</v>
      </c>
      <c r="I2097" s="122">
        <v>10884</v>
      </c>
      <c r="J2097" s="122">
        <v>9895</v>
      </c>
      <c r="K2097">
        <v>68</v>
      </c>
      <c r="L2097" s="122">
        <v>2841</v>
      </c>
      <c r="M2097" s="122">
        <v>2367</v>
      </c>
      <c r="N2097" s="122">
        <v>1702</v>
      </c>
      <c r="O2097">
        <v>630</v>
      </c>
      <c r="P2097">
        <v>473</v>
      </c>
      <c r="Q2097">
        <v>175</v>
      </c>
      <c r="R2097" s="122">
        <v>6539</v>
      </c>
      <c r="S2097" s="122">
        <v>5945</v>
      </c>
      <c r="T2097">
        <v>0</v>
      </c>
      <c r="U2097">
        <v>0</v>
      </c>
      <c r="V2097" s="122">
        <v>19012</v>
      </c>
      <c r="W2097" s="122">
        <f t="shared" si="66"/>
        <v>19012</v>
      </c>
      <c r="X2097" s="122">
        <f t="shared" si="67"/>
        <v>22439</v>
      </c>
    </row>
    <row r="2098" spans="2:24">
      <c r="B2098" t="s">
        <v>477</v>
      </c>
      <c r="C2098" t="s">
        <v>60</v>
      </c>
      <c r="D2098" t="s">
        <v>405</v>
      </c>
      <c r="E2098" t="s">
        <v>137</v>
      </c>
      <c r="F2098">
        <v>1</v>
      </c>
      <c r="G2098">
        <v>60</v>
      </c>
      <c r="H2098">
        <v>305</v>
      </c>
      <c r="I2098" s="122">
        <v>5242</v>
      </c>
      <c r="J2098" s="122">
        <v>4766</v>
      </c>
      <c r="K2098">
        <v>87</v>
      </c>
      <c r="L2098" s="122">
        <v>1610</v>
      </c>
      <c r="M2098" s="122">
        <v>1463</v>
      </c>
      <c r="N2098" s="122">
        <v>1382</v>
      </c>
      <c r="O2098">
        <v>512</v>
      </c>
      <c r="P2098">
        <v>473</v>
      </c>
      <c r="Q2098">
        <v>175</v>
      </c>
      <c r="R2098" s="122">
        <v>9522</v>
      </c>
      <c r="S2098" s="122">
        <v>3527</v>
      </c>
      <c r="T2098">
        <v>0</v>
      </c>
      <c r="U2098">
        <v>0</v>
      </c>
      <c r="V2098" s="122">
        <v>10442</v>
      </c>
      <c r="W2098" s="122">
        <f t="shared" si="66"/>
        <v>10443</v>
      </c>
      <c r="X2098" s="122">
        <f t="shared" si="67"/>
        <v>18229</v>
      </c>
    </row>
    <row r="2099" spans="2:24">
      <c r="B2099" t="s">
        <v>477</v>
      </c>
      <c r="C2099" t="s">
        <v>60</v>
      </c>
      <c r="D2099" t="s">
        <v>137</v>
      </c>
      <c r="E2099" t="s">
        <v>137</v>
      </c>
      <c r="F2099">
        <v>261</v>
      </c>
      <c r="G2099" s="122">
        <v>16230</v>
      </c>
      <c r="H2099" s="122">
        <v>88096</v>
      </c>
      <c r="I2099" s="122">
        <v>3210516</v>
      </c>
      <c r="J2099" s="122">
        <v>1189080</v>
      </c>
      <c r="K2099">
        <v>100</v>
      </c>
      <c r="L2099" s="122">
        <v>390467</v>
      </c>
      <c r="M2099" s="122">
        <v>200329</v>
      </c>
      <c r="N2099" s="122">
        <v>326638</v>
      </c>
      <c r="O2099" s="122">
        <v>120977</v>
      </c>
      <c r="P2099" s="122">
        <v>2276</v>
      </c>
      <c r="Q2099">
        <v>843</v>
      </c>
      <c r="R2099" s="122">
        <v>1538663</v>
      </c>
      <c r="S2099" s="122">
        <v>569875</v>
      </c>
      <c r="T2099" s="122">
        <v>2396</v>
      </c>
      <c r="U2099">
        <v>888</v>
      </c>
      <c r="V2099" s="122">
        <v>2081992</v>
      </c>
      <c r="W2099" s="122">
        <f t="shared" si="66"/>
        <v>2081992</v>
      </c>
      <c r="X2099" s="122">
        <f t="shared" si="67"/>
        <v>5470956</v>
      </c>
    </row>
    <row r="2100" spans="2:24">
      <c r="B2100" t="s">
        <v>477</v>
      </c>
      <c r="C2100" t="s">
        <v>60</v>
      </c>
      <c r="D2100" t="s">
        <v>137</v>
      </c>
      <c r="E2100" t="s">
        <v>426</v>
      </c>
      <c r="F2100">
        <v>1</v>
      </c>
      <c r="G2100">
        <v>55</v>
      </c>
      <c r="H2100">
        <v>366</v>
      </c>
      <c r="I2100" s="122">
        <v>13270</v>
      </c>
      <c r="J2100" s="122">
        <v>4915</v>
      </c>
      <c r="K2100">
        <v>100</v>
      </c>
      <c r="L2100" s="122">
        <v>1735</v>
      </c>
      <c r="M2100" s="122">
        <v>1577</v>
      </c>
      <c r="N2100">
        <v>670</v>
      </c>
      <c r="O2100">
        <v>248</v>
      </c>
      <c r="P2100">
        <v>351</v>
      </c>
      <c r="Q2100">
        <v>130</v>
      </c>
      <c r="R2100" s="122">
        <v>4082</v>
      </c>
      <c r="S2100" s="122">
        <v>3711</v>
      </c>
      <c r="T2100">
        <v>0</v>
      </c>
      <c r="U2100">
        <v>0</v>
      </c>
      <c r="V2100" s="122">
        <v>10581</v>
      </c>
      <c r="W2100" s="122">
        <f t="shared" si="66"/>
        <v>10581</v>
      </c>
      <c r="X2100" s="122">
        <f t="shared" si="67"/>
        <v>20108</v>
      </c>
    </row>
    <row r="2101" spans="2:24">
      <c r="B2101" t="s">
        <v>477</v>
      </c>
      <c r="C2101" t="s">
        <v>60</v>
      </c>
      <c r="D2101" t="s">
        <v>406</v>
      </c>
      <c r="E2101" t="s">
        <v>137</v>
      </c>
      <c r="F2101">
        <v>2</v>
      </c>
      <c r="G2101">
        <v>125</v>
      </c>
      <c r="H2101">
        <v>677</v>
      </c>
      <c r="I2101" s="122">
        <v>26223</v>
      </c>
      <c r="J2101" s="122">
        <v>23839</v>
      </c>
      <c r="K2101">
        <v>85</v>
      </c>
      <c r="L2101" s="122">
        <v>3143</v>
      </c>
      <c r="M2101" s="122">
        <v>12499</v>
      </c>
      <c r="N2101" s="122">
        <v>2459</v>
      </c>
      <c r="O2101">
        <v>911</v>
      </c>
      <c r="P2101" s="122">
        <v>1242</v>
      </c>
      <c r="Q2101">
        <v>460</v>
      </c>
      <c r="R2101" s="122">
        <v>9203</v>
      </c>
      <c r="S2101" s="122">
        <v>3409</v>
      </c>
      <c r="T2101">
        <v>0</v>
      </c>
      <c r="U2101">
        <v>0</v>
      </c>
      <c r="V2101" s="122">
        <v>41117</v>
      </c>
      <c r="W2101" s="122">
        <f t="shared" si="66"/>
        <v>41118</v>
      </c>
      <c r="X2101" s="122">
        <f t="shared" si="67"/>
        <v>42270</v>
      </c>
    </row>
    <row r="2102" spans="2:24">
      <c r="B2102" t="s">
        <v>477</v>
      </c>
      <c r="C2102" t="s">
        <v>60</v>
      </c>
      <c r="D2102" t="s">
        <v>406</v>
      </c>
      <c r="E2102" t="s">
        <v>406</v>
      </c>
      <c r="F2102">
        <v>15</v>
      </c>
      <c r="G2102" s="122">
        <v>1424</v>
      </c>
      <c r="H2102" s="122">
        <v>4925</v>
      </c>
      <c r="I2102" s="122">
        <v>292815</v>
      </c>
      <c r="J2102" s="122">
        <v>266195</v>
      </c>
      <c r="K2102">
        <v>78</v>
      </c>
      <c r="L2102" s="122">
        <v>41683</v>
      </c>
      <c r="M2102" s="122">
        <v>36910</v>
      </c>
      <c r="N2102" s="122">
        <v>28635</v>
      </c>
      <c r="O2102" s="122">
        <v>10605</v>
      </c>
      <c r="P2102" s="122">
        <v>8775</v>
      </c>
      <c r="Q2102" s="122">
        <v>3250</v>
      </c>
      <c r="R2102" s="122">
        <v>78625</v>
      </c>
      <c r="S2102" s="122">
        <v>71477</v>
      </c>
      <c r="T2102" s="122">
        <v>14049</v>
      </c>
      <c r="U2102" s="122">
        <v>5203</v>
      </c>
      <c r="V2102" s="122">
        <v>393641</v>
      </c>
      <c r="W2102" s="122">
        <f t="shared" si="66"/>
        <v>393640</v>
      </c>
      <c r="X2102" s="122">
        <f t="shared" si="67"/>
        <v>464582</v>
      </c>
    </row>
    <row r="2103" spans="2:24">
      <c r="B2103" t="s">
        <v>477</v>
      </c>
      <c r="C2103" t="s">
        <v>60</v>
      </c>
      <c r="D2103" t="s">
        <v>407</v>
      </c>
      <c r="E2103" t="s">
        <v>137</v>
      </c>
      <c r="F2103">
        <v>1</v>
      </c>
      <c r="G2103">
        <v>125</v>
      </c>
      <c r="H2103">
        <v>310</v>
      </c>
      <c r="I2103" s="122">
        <v>29526</v>
      </c>
      <c r="J2103" s="122">
        <v>26842</v>
      </c>
      <c r="K2103">
        <v>68</v>
      </c>
      <c r="L2103">
        <v>0</v>
      </c>
      <c r="M2103">
        <v>0</v>
      </c>
      <c r="N2103" s="122">
        <v>1521</v>
      </c>
      <c r="O2103">
        <v>563</v>
      </c>
      <c r="P2103">
        <v>0</v>
      </c>
      <c r="Q2103">
        <v>0</v>
      </c>
      <c r="R2103" s="122">
        <v>7646</v>
      </c>
      <c r="S2103" s="122">
        <v>2832</v>
      </c>
      <c r="T2103">
        <v>0</v>
      </c>
      <c r="U2103">
        <v>0</v>
      </c>
      <c r="V2103" s="122">
        <v>30237</v>
      </c>
      <c r="W2103" s="122">
        <f t="shared" si="66"/>
        <v>30237</v>
      </c>
      <c r="X2103" s="122">
        <f t="shared" si="67"/>
        <v>38693</v>
      </c>
    </row>
    <row r="2104" spans="2:24">
      <c r="B2104" t="s">
        <v>477</v>
      </c>
      <c r="C2104" t="s">
        <v>60</v>
      </c>
      <c r="D2104" t="s">
        <v>407</v>
      </c>
      <c r="E2104" t="s">
        <v>407</v>
      </c>
      <c r="F2104">
        <v>3</v>
      </c>
      <c r="G2104">
        <v>216</v>
      </c>
      <c r="H2104">
        <v>971</v>
      </c>
      <c r="I2104" s="122">
        <v>34104</v>
      </c>
      <c r="J2104" s="122">
        <v>31004</v>
      </c>
      <c r="K2104">
        <v>75</v>
      </c>
      <c r="L2104" s="122">
        <v>9895</v>
      </c>
      <c r="M2104" s="122">
        <v>8366</v>
      </c>
      <c r="N2104" s="122">
        <v>4080</v>
      </c>
      <c r="O2104" s="122">
        <v>1511</v>
      </c>
      <c r="P2104" s="122">
        <v>1418</v>
      </c>
      <c r="Q2104">
        <v>525</v>
      </c>
      <c r="R2104" s="122">
        <v>12142</v>
      </c>
      <c r="S2104" s="122">
        <v>11039</v>
      </c>
      <c r="T2104" s="122">
        <v>8395</v>
      </c>
      <c r="U2104" s="122">
        <v>3109</v>
      </c>
      <c r="V2104" s="122">
        <v>55554</v>
      </c>
      <c r="W2104" s="122">
        <f t="shared" si="66"/>
        <v>55554</v>
      </c>
      <c r="X2104" s="122">
        <f t="shared" si="67"/>
        <v>70034</v>
      </c>
    </row>
    <row r="2105" spans="2:24">
      <c r="B2105" t="s">
        <v>477</v>
      </c>
      <c r="C2105" t="s">
        <v>60</v>
      </c>
      <c r="D2105" t="s">
        <v>556</v>
      </c>
      <c r="E2105" t="s">
        <v>556</v>
      </c>
      <c r="F2105">
        <v>5</v>
      </c>
      <c r="G2105">
        <v>348</v>
      </c>
      <c r="H2105" s="122">
        <v>1684</v>
      </c>
      <c r="I2105" s="122">
        <v>59434</v>
      </c>
      <c r="J2105" s="122">
        <v>49528</v>
      </c>
      <c r="K2105">
        <v>53</v>
      </c>
      <c r="L2105" s="122">
        <v>8574</v>
      </c>
      <c r="M2105" s="122">
        <v>5707</v>
      </c>
      <c r="N2105" s="122">
        <v>7480</v>
      </c>
      <c r="O2105" s="122">
        <v>2770</v>
      </c>
      <c r="P2105" s="122">
        <v>1755</v>
      </c>
      <c r="Q2105">
        <v>650</v>
      </c>
      <c r="R2105" s="122">
        <v>30855</v>
      </c>
      <c r="S2105" s="122">
        <v>25712</v>
      </c>
      <c r="T2105" s="122">
        <v>9128</v>
      </c>
      <c r="U2105" s="122">
        <v>3381</v>
      </c>
      <c r="V2105" s="122">
        <v>87749</v>
      </c>
      <c r="W2105" s="122">
        <f t="shared" si="66"/>
        <v>87748</v>
      </c>
      <c r="X2105" s="122">
        <f t="shared" si="67"/>
        <v>117226</v>
      </c>
    </row>
    <row r="2106" spans="2:24">
      <c r="B2106" t="s">
        <v>477</v>
      </c>
      <c r="C2106" t="s">
        <v>60</v>
      </c>
      <c r="D2106" t="s">
        <v>428</v>
      </c>
      <c r="E2106" t="s">
        <v>428</v>
      </c>
      <c r="F2106">
        <v>1</v>
      </c>
      <c r="G2106">
        <v>46</v>
      </c>
      <c r="H2106">
        <v>365</v>
      </c>
      <c r="I2106" s="122">
        <v>9782</v>
      </c>
      <c r="J2106" s="122">
        <v>8893</v>
      </c>
      <c r="K2106">
        <v>55</v>
      </c>
      <c r="L2106">
        <v>0</v>
      </c>
      <c r="M2106">
        <v>0</v>
      </c>
      <c r="N2106" s="122">
        <v>1064</v>
      </c>
      <c r="O2106">
        <v>394</v>
      </c>
      <c r="P2106">
        <v>351</v>
      </c>
      <c r="Q2106">
        <v>130</v>
      </c>
      <c r="R2106" s="122">
        <v>4117</v>
      </c>
      <c r="S2106" s="122">
        <v>3742</v>
      </c>
      <c r="T2106" s="122">
        <v>1650</v>
      </c>
      <c r="U2106">
        <v>611</v>
      </c>
      <c r="V2106" s="122">
        <v>13770</v>
      </c>
      <c r="W2106" s="122">
        <f t="shared" si="66"/>
        <v>13770</v>
      </c>
      <c r="X2106" s="122">
        <f t="shared" si="67"/>
        <v>16964</v>
      </c>
    </row>
    <row r="2107" spans="2:24">
      <c r="B2107" t="s">
        <v>477</v>
      </c>
      <c r="C2107" t="s">
        <v>60</v>
      </c>
      <c r="D2107" t="s">
        <v>426</v>
      </c>
      <c r="E2107" t="s">
        <v>426</v>
      </c>
      <c r="F2107">
        <v>3</v>
      </c>
      <c r="G2107">
        <v>217</v>
      </c>
      <c r="H2107" s="122">
        <v>1012</v>
      </c>
      <c r="I2107" s="122">
        <v>44171</v>
      </c>
      <c r="J2107" s="122">
        <v>40156</v>
      </c>
      <c r="K2107">
        <v>62</v>
      </c>
      <c r="L2107" s="122">
        <v>6913</v>
      </c>
      <c r="M2107" s="122">
        <v>6284</v>
      </c>
      <c r="N2107" s="122">
        <v>4122</v>
      </c>
      <c r="O2107" s="122">
        <v>1527</v>
      </c>
      <c r="P2107" s="122">
        <v>1323</v>
      </c>
      <c r="Q2107">
        <v>490</v>
      </c>
      <c r="R2107" s="122">
        <v>11679</v>
      </c>
      <c r="S2107" s="122">
        <v>10617</v>
      </c>
      <c r="T2107" s="122">
        <v>5985</v>
      </c>
      <c r="U2107" s="122">
        <v>2217</v>
      </c>
      <c r="V2107" s="122">
        <v>61291</v>
      </c>
      <c r="W2107" s="122">
        <f t="shared" si="66"/>
        <v>61291</v>
      </c>
      <c r="X2107" s="122">
        <f t="shared" si="67"/>
        <v>74193</v>
      </c>
    </row>
    <row r="2108" spans="2:24">
      <c r="B2108" t="s">
        <v>477</v>
      </c>
      <c r="C2108" t="s">
        <v>62</v>
      </c>
      <c r="F2108">
        <v>1</v>
      </c>
      <c r="G2108">
        <v>50</v>
      </c>
      <c r="H2108">
        <v>402</v>
      </c>
      <c r="J2108">
        <v>0</v>
      </c>
      <c r="M2108">
        <v>0</v>
      </c>
      <c r="N2108">
        <v>975</v>
      </c>
      <c r="O2108">
        <v>361</v>
      </c>
      <c r="P2108">
        <v>0</v>
      </c>
      <c r="Q2108">
        <v>0</v>
      </c>
      <c r="S2108">
        <v>0</v>
      </c>
      <c r="T2108" s="122">
        <v>2638</v>
      </c>
      <c r="U2108">
        <v>977</v>
      </c>
      <c r="V2108" s="122">
        <v>1338</v>
      </c>
      <c r="W2108" s="122">
        <f t="shared" si="66"/>
        <v>1338</v>
      </c>
      <c r="X2108" s="122">
        <f t="shared" si="67"/>
        <v>3613</v>
      </c>
    </row>
    <row r="2109" spans="2:24">
      <c r="B2109" t="s">
        <v>477</v>
      </c>
      <c r="C2109" t="s">
        <v>62</v>
      </c>
      <c r="D2109" t="s">
        <v>405</v>
      </c>
      <c r="E2109" t="s">
        <v>137</v>
      </c>
      <c r="F2109">
        <v>1</v>
      </c>
      <c r="G2109">
        <v>60</v>
      </c>
      <c r="H2109">
        <v>395</v>
      </c>
      <c r="I2109" s="122">
        <v>9848</v>
      </c>
      <c r="J2109" s="122">
        <v>8953</v>
      </c>
      <c r="K2109">
        <v>72</v>
      </c>
      <c r="L2109" s="122">
        <v>2495</v>
      </c>
      <c r="M2109" s="122">
        <v>2268</v>
      </c>
      <c r="N2109" s="122">
        <v>1273</v>
      </c>
      <c r="O2109">
        <v>471</v>
      </c>
      <c r="P2109">
        <v>473</v>
      </c>
      <c r="Q2109">
        <v>175</v>
      </c>
      <c r="R2109" s="122">
        <v>9522</v>
      </c>
      <c r="S2109" s="122">
        <v>3527</v>
      </c>
      <c r="T2109">
        <v>0</v>
      </c>
      <c r="U2109">
        <v>0</v>
      </c>
      <c r="V2109" s="122">
        <v>15394</v>
      </c>
      <c r="W2109" s="122">
        <f t="shared" si="66"/>
        <v>15394</v>
      </c>
      <c r="X2109" s="122">
        <f t="shared" si="67"/>
        <v>23611</v>
      </c>
    </row>
    <row r="2110" spans="2:24">
      <c r="B2110" t="s">
        <v>477</v>
      </c>
      <c r="C2110" t="s">
        <v>62</v>
      </c>
      <c r="D2110" t="s">
        <v>137</v>
      </c>
      <c r="E2110" t="s">
        <v>137</v>
      </c>
      <c r="F2110">
        <v>95</v>
      </c>
      <c r="G2110" s="122">
        <v>5351</v>
      </c>
      <c r="H2110" s="122">
        <v>39473</v>
      </c>
      <c r="I2110" s="122">
        <v>1375148</v>
      </c>
      <c r="J2110" s="122">
        <v>509314</v>
      </c>
      <c r="K2110">
        <v>100</v>
      </c>
      <c r="L2110" s="122">
        <v>147342</v>
      </c>
      <c r="M2110" s="122">
        <v>68760</v>
      </c>
      <c r="N2110" s="122">
        <v>112583</v>
      </c>
      <c r="O2110" s="122">
        <v>41697</v>
      </c>
      <c r="P2110">
        <v>351</v>
      </c>
      <c r="Q2110">
        <v>130</v>
      </c>
      <c r="R2110" s="122">
        <v>574661</v>
      </c>
      <c r="S2110" s="122">
        <v>212838</v>
      </c>
      <c r="T2110">
        <v>0</v>
      </c>
      <c r="U2110">
        <v>0</v>
      </c>
      <c r="V2110" s="122">
        <v>832739</v>
      </c>
      <c r="W2110" s="122">
        <f t="shared" si="66"/>
        <v>832739</v>
      </c>
      <c r="X2110" s="122">
        <f t="shared" si="67"/>
        <v>2210085</v>
      </c>
    </row>
    <row r="2111" spans="2:24">
      <c r="B2111" t="s">
        <v>477</v>
      </c>
      <c r="C2111" t="s">
        <v>62</v>
      </c>
      <c r="D2111" t="s">
        <v>406</v>
      </c>
      <c r="E2111" t="s">
        <v>137</v>
      </c>
      <c r="F2111">
        <v>2</v>
      </c>
      <c r="G2111">
        <v>139</v>
      </c>
      <c r="H2111">
        <v>851</v>
      </c>
      <c r="I2111" s="122">
        <v>34901</v>
      </c>
      <c r="J2111" s="122">
        <v>31728</v>
      </c>
      <c r="K2111">
        <v>72</v>
      </c>
      <c r="L2111" s="122">
        <v>5373</v>
      </c>
      <c r="M2111" s="122">
        <v>3619</v>
      </c>
      <c r="N2111" s="122">
        <v>3095</v>
      </c>
      <c r="O2111" s="122">
        <v>1146</v>
      </c>
      <c r="P2111" s="122">
        <v>1242</v>
      </c>
      <c r="Q2111">
        <v>460</v>
      </c>
      <c r="R2111" s="122">
        <v>14155</v>
      </c>
      <c r="S2111" s="122">
        <v>5243</v>
      </c>
      <c r="T2111">
        <v>0</v>
      </c>
      <c r="U2111">
        <v>0</v>
      </c>
      <c r="V2111" s="122">
        <v>42197</v>
      </c>
      <c r="W2111" s="122">
        <f t="shared" si="66"/>
        <v>42196</v>
      </c>
      <c r="X2111" s="122">
        <f t="shared" si="67"/>
        <v>58766</v>
      </c>
    </row>
    <row r="2112" spans="2:24">
      <c r="B2112" t="s">
        <v>477</v>
      </c>
      <c r="C2112" t="s">
        <v>62</v>
      </c>
      <c r="D2112" t="s">
        <v>406</v>
      </c>
      <c r="E2112" t="s">
        <v>406</v>
      </c>
      <c r="F2112">
        <v>9</v>
      </c>
      <c r="G2112">
        <v>557</v>
      </c>
      <c r="H2112" s="122">
        <v>3736</v>
      </c>
      <c r="I2112" s="122">
        <v>149469</v>
      </c>
      <c r="J2112" s="122">
        <v>135881</v>
      </c>
      <c r="K2112">
        <v>79</v>
      </c>
      <c r="L2112" s="122">
        <v>28354</v>
      </c>
      <c r="M2112" s="122">
        <v>21990</v>
      </c>
      <c r="N2112" s="122">
        <v>12031</v>
      </c>
      <c r="O2112" s="122">
        <v>4456</v>
      </c>
      <c r="P2112" s="122">
        <v>5319</v>
      </c>
      <c r="Q2112" s="122">
        <v>1970</v>
      </c>
      <c r="R2112" s="122">
        <v>38298</v>
      </c>
      <c r="S2112" s="122">
        <v>34817</v>
      </c>
      <c r="T2112" s="122">
        <v>7985</v>
      </c>
      <c r="U2112" s="122">
        <v>2957</v>
      </c>
      <c r="V2112" s="122">
        <v>202071</v>
      </c>
      <c r="W2112" s="122">
        <f t="shared" si="66"/>
        <v>202071</v>
      </c>
      <c r="X2112" s="122">
        <f t="shared" si="67"/>
        <v>241456</v>
      </c>
    </row>
    <row r="2113" spans="2:24">
      <c r="B2113" t="s">
        <v>477</v>
      </c>
      <c r="C2113" t="s">
        <v>62</v>
      </c>
      <c r="D2113" t="s">
        <v>427</v>
      </c>
      <c r="E2113" t="s">
        <v>406</v>
      </c>
      <c r="F2113">
        <v>1</v>
      </c>
      <c r="G2113">
        <v>189</v>
      </c>
      <c r="H2113">
        <v>384</v>
      </c>
      <c r="I2113" s="122">
        <v>51209</v>
      </c>
      <c r="J2113" s="122">
        <v>46553</v>
      </c>
      <c r="K2113">
        <v>79</v>
      </c>
      <c r="L2113" s="122">
        <v>7112</v>
      </c>
      <c r="M2113" s="122">
        <v>6466</v>
      </c>
      <c r="N2113" s="122">
        <v>4603</v>
      </c>
      <c r="O2113" s="122">
        <v>1705</v>
      </c>
      <c r="P2113">
        <v>621</v>
      </c>
      <c r="Q2113">
        <v>230</v>
      </c>
      <c r="R2113" s="122">
        <v>5261</v>
      </c>
      <c r="S2113" s="122">
        <v>4783</v>
      </c>
      <c r="T2113" s="122">
        <v>3686</v>
      </c>
      <c r="U2113" s="122">
        <v>1365</v>
      </c>
      <c r="V2113" s="122">
        <v>61102</v>
      </c>
      <c r="W2113" s="122">
        <f t="shared" si="66"/>
        <v>61102</v>
      </c>
      <c r="X2113" s="122">
        <f t="shared" si="67"/>
        <v>72492</v>
      </c>
    </row>
    <row r="2114" spans="2:24">
      <c r="B2114" t="s">
        <v>477</v>
      </c>
      <c r="C2114" t="s">
        <v>62</v>
      </c>
      <c r="D2114" t="s">
        <v>407</v>
      </c>
      <c r="E2114" t="s">
        <v>407</v>
      </c>
      <c r="F2114">
        <v>3</v>
      </c>
      <c r="G2114">
        <v>182</v>
      </c>
      <c r="H2114" s="122">
        <v>1271</v>
      </c>
      <c r="I2114" s="122">
        <v>44798</v>
      </c>
      <c r="J2114" s="122">
        <v>40725</v>
      </c>
      <c r="K2114">
        <v>82</v>
      </c>
      <c r="L2114" s="122">
        <v>13561</v>
      </c>
      <c r="M2114" s="122">
        <v>12051</v>
      </c>
      <c r="N2114" s="122">
        <v>4447</v>
      </c>
      <c r="O2114" s="122">
        <v>1647</v>
      </c>
      <c r="P2114" s="122">
        <v>1418</v>
      </c>
      <c r="Q2114">
        <v>525</v>
      </c>
      <c r="R2114" s="122">
        <v>7894</v>
      </c>
      <c r="S2114" s="122">
        <v>7177</v>
      </c>
      <c r="T2114" s="122">
        <v>5259</v>
      </c>
      <c r="U2114" s="122">
        <v>1948</v>
      </c>
      <c r="V2114" s="122">
        <v>64073</v>
      </c>
      <c r="W2114" s="122">
        <f t="shared" si="66"/>
        <v>64073</v>
      </c>
      <c r="X2114" s="122">
        <f t="shared" si="67"/>
        <v>77377</v>
      </c>
    </row>
    <row r="2115" spans="2:24">
      <c r="B2115" t="s">
        <v>477</v>
      </c>
      <c r="C2115" t="s">
        <v>62</v>
      </c>
      <c r="D2115" t="s">
        <v>556</v>
      </c>
      <c r="E2115" t="s">
        <v>556</v>
      </c>
      <c r="F2115">
        <v>1</v>
      </c>
      <c r="G2115">
        <v>63</v>
      </c>
      <c r="H2115">
        <v>421</v>
      </c>
      <c r="I2115" s="122">
        <v>16803</v>
      </c>
      <c r="J2115" s="122">
        <v>14003</v>
      </c>
      <c r="K2115">
        <v>55</v>
      </c>
      <c r="L2115" s="122">
        <v>2193</v>
      </c>
      <c r="M2115">
        <v>812</v>
      </c>
      <c r="N2115" s="122">
        <v>1454</v>
      </c>
      <c r="O2115">
        <v>539</v>
      </c>
      <c r="P2115">
        <v>351</v>
      </c>
      <c r="Q2115">
        <v>130</v>
      </c>
      <c r="R2115" s="122">
        <v>4457</v>
      </c>
      <c r="S2115" s="122">
        <v>3714</v>
      </c>
      <c r="T2115" s="122">
        <v>1494</v>
      </c>
      <c r="U2115">
        <v>553</v>
      </c>
      <c r="V2115" s="122">
        <v>19751</v>
      </c>
      <c r="W2115" s="122">
        <f t="shared" si="66"/>
        <v>19751</v>
      </c>
      <c r="X2115" s="122">
        <f t="shared" si="67"/>
        <v>26752</v>
      </c>
    </row>
    <row r="2116" spans="2:24">
      <c r="B2116" t="s">
        <v>477</v>
      </c>
      <c r="C2116" t="s">
        <v>62</v>
      </c>
      <c r="D2116" t="s">
        <v>426</v>
      </c>
      <c r="E2116" t="s">
        <v>137</v>
      </c>
      <c r="F2116">
        <v>1</v>
      </c>
      <c r="G2116">
        <v>82</v>
      </c>
      <c r="H2116">
        <v>386</v>
      </c>
      <c r="I2116" s="122">
        <v>22851</v>
      </c>
      <c r="J2116" s="122">
        <v>20774</v>
      </c>
      <c r="K2116">
        <v>45</v>
      </c>
      <c r="L2116">
        <v>0</v>
      </c>
      <c r="M2116">
        <v>0</v>
      </c>
      <c r="N2116" s="122">
        <v>1818</v>
      </c>
      <c r="O2116">
        <v>673</v>
      </c>
      <c r="P2116">
        <v>351</v>
      </c>
      <c r="Q2116">
        <v>130</v>
      </c>
      <c r="R2116" s="122">
        <v>6643</v>
      </c>
      <c r="S2116" s="122">
        <v>2460</v>
      </c>
      <c r="T2116">
        <v>0</v>
      </c>
      <c r="U2116">
        <v>0</v>
      </c>
      <c r="V2116" s="122">
        <v>24038</v>
      </c>
      <c r="W2116" s="122">
        <f t="shared" si="66"/>
        <v>24037</v>
      </c>
      <c r="X2116" s="122">
        <f t="shared" si="67"/>
        <v>31663</v>
      </c>
    </row>
    <row r="2117" spans="2:24">
      <c r="B2117" t="s">
        <v>477</v>
      </c>
      <c r="C2117" t="s">
        <v>62</v>
      </c>
      <c r="D2117" t="s">
        <v>426</v>
      </c>
      <c r="E2117" t="s">
        <v>426</v>
      </c>
      <c r="F2117">
        <v>1</v>
      </c>
      <c r="G2117">
        <v>47</v>
      </c>
      <c r="H2117">
        <v>381</v>
      </c>
      <c r="I2117" s="122">
        <v>9333</v>
      </c>
      <c r="J2117" s="122">
        <v>8485</v>
      </c>
      <c r="K2117">
        <v>55</v>
      </c>
      <c r="L2117" s="122">
        <v>1400</v>
      </c>
      <c r="M2117">
        <v>519</v>
      </c>
      <c r="N2117" s="122">
        <v>1146</v>
      </c>
      <c r="O2117">
        <v>424</v>
      </c>
      <c r="P2117">
        <v>351</v>
      </c>
      <c r="Q2117">
        <v>130</v>
      </c>
      <c r="R2117" s="122">
        <v>4062</v>
      </c>
      <c r="S2117" s="122">
        <v>3693</v>
      </c>
      <c r="T2117" s="122">
        <v>1614</v>
      </c>
      <c r="U2117">
        <v>598</v>
      </c>
      <c r="V2117" s="122">
        <v>13849</v>
      </c>
      <c r="W2117" s="122">
        <f t="shared" si="66"/>
        <v>13849</v>
      </c>
      <c r="X2117" s="122">
        <f t="shared" si="67"/>
        <v>17906</v>
      </c>
    </row>
    <row r="2118" spans="2:24">
      <c r="B2118" t="s">
        <v>477</v>
      </c>
      <c r="C2118" t="s">
        <v>64</v>
      </c>
      <c r="F2118">
        <v>1</v>
      </c>
      <c r="G2118">
        <v>33</v>
      </c>
      <c r="H2118">
        <v>456</v>
      </c>
      <c r="J2118">
        <v>0</v>
      </c>
      <c r="M2118">
        <v>0</v>
      </c>
      <c r="N2118">
        <v>795</v>
      </c>
      <c r="O2118">
        <v>294</v>
      </c>
      <c r="P2118">
        <v>0</v>
      </c>
      <c r="Q2118">
        <v>0</v>
      </c>
      <c r="S2118">
        <v>0</v>
      </c>
      <c r="T2118" s="122">
        <v>2380</v>
      </c>
      <c r="U2118">
        <v>882</v>
      </c>
      <c r="V2118" s="122">
        <v>1176</v>
      </c>
      <c r="W2118" s="122">
        <f t="shared" si="66"/>
        <v>1176</v>
      </c>
      <c r="X2118" s="122">
        <f t="shared" si="67"/>
        <v>3175</v>
      </c>
    </row>
    <row r="2119" spans="2:24">
      <c r="B2119" t="s">
        <v>477</v>
      </c>
      <c r="C2119" t="s">
        <v>64</v>
      </c>
      <c r="D2119" t="s">
        <v>137</v>
      </c>
      <c r="E2119" t="s">
        <v>137</v>
      </c>
      <c r="F2119">
        <v>69</v>
      </c>
      <c r="G2119" s="122">
        <v>3037</v>
      </c>
      <c r="H2119" s="122">
        <v>40404</v>
      </c>
      <c r="I2119" s="122">
        <v>1270927</v>
      </c>
      <c r="J2119" s="122">
        <v>470714</v>
      </c>
      <c r="K2119">
        <v>100</v>
      </c>
      <c r="L2119" s="122">
        <v>77649</v>
      </c>
      <c r="M2119" s="122">
        <v>34735</v>
      </c>
      <c r="N2119" s="122">
        <v>61952</v>
      </c>
      <c r="O2119" s="122">
        <v>22945</v>
      </c>
      <c r="P2119">
        <v>351</v>
      </c>
      <c r="Q2119">
        <v>130</v>
      </c>
      <c r="R2119" s="122">
        <v>348314</v>
      </c>
      <c r="S2119" s="122">
        <v>129005</v>
      </c>
      <c r="T2119">
        <v>0</v>
      </c>
      <c r="U2119">
        <v>0</v>
      </c>
      <c r="V2119" s="122">
        <v>657529</v>
      </c>
      <c r="W2119" s="122">
        <f t="shared" si="66"/>
        <v>657529</v>
      </c>
      <c r="X2119" s="122">
        <f t="shared" si="67"/>
        <v>1759193</v>
      </c>
    </row>
    <row r="2120" spans="2:24">
      <c r="B2120" t="s">
        <v>477</v>
      </c>
      <c r="C2120" t="s">
        <v>64</v>
      </c>
      <c r="D2120" t="s">
        <v>406</v>
      </c>
      <c r="E2120" t="s">
        <v>137</v>
      </c>
      <c r="F2120">
        <v>2</v>
      </c>
      <c r="G2120">
        <v>103</v>
      </c>
      <c r="H2120" s="122">
        <v>1155</v>
      </c>
      <c r="I2120" s="122">
        <v>36318</v>
      </c>
      <c r="J2120" s="122">
        <v>33016</v>
      </c>
      <c r="K2120">
        <v>75</v>
      </c>
      <c r="L2120" s="122">
        <v>8344</v>
      </c>
      <c r="M2120" s="122">
        <v>6953</v>
      </c>
      <c r="N2120" s="122">
        <v>2511</v>
      </c>
      <c r="O2120">
        <v>930</v>
      </c>
      <c r="P2120" s="122">
        <v>1242</v>
      </c>
      <c r="Q2120">
        <v>460</v>
      </c>
      <c r="R2120" s="122">
        <v>11554</v>
      </c>
      <c r="S2120" s="122">
        <v>4279</v>
      </c>
      <c r="T2120">
        <v>0</v>
      </c>
      <c r="U2120">
        <v>0</v>
      </c>
      <c r="V2120" s="122">
        <v>45638</v>
      </c>
      <c r="W2120" s="122">
        <f t="shared" si="66"/>
        <v>45638</v>
      </c>
      <c r="X2120" s="122">
        <f t="shared" si="67"/>
        <v>59969</v>
      </c>
    </row>
    <row r="2121" spans="2:24">
      <c r="B2121" t="s">
        <v>477</v>
      </c>
      <c r="C2121" t="s">
        <v>64</v>
      </c>
      <c r="D2121" t="s">
        <v>406</v>
      </c>
      <c r="E2121" t="s">
        <v>406</v>
      </c>
      <c r="F2121">
        <v>10</v>
      </c>
      <c r="G2121">
        <v>911</v>
      </c>
      <c r="H2121" s="122">
        <v>5416</v>
      </c>
      <c r="I2121" s="122">
        <v>359760</v>
      </c>
      <c r="J2121" s="122">
        <v>327054</v>
      </c>
      <c r="K2121">
        <v>70</v>
      </c>
      <c r="L2121" s="122">
        <v>42450</v>
      </c>
      <c r="M2121" s="122">
        <v>35644</v>
      </c>
      <c r="N2121" s="122">
        <v>18163</v>
      </c>
      <c r="O2121" s="122">
        <v>6727</v>
      </c>
      <c r="P2121" s="122">
        <v>6210</v>
      </c>
      <c r="Q2121" s="122">
        <v>2300</v>
      </c>
      <c r="R2121" s="122">
        <v>56894</v>
      </c>
      <c r="S2121" s="122">
        <v>51721</v>
      </c>
      <c r="T2121" s="122">
        <v>21060</v>
      </c>
      <c r="U2121" s="122">
        <v>7800</v>
      </c>
      <c r="V2121" s="122">
        <v>431246</v>
      </c>
      <c r="W2121" s="122">
        <f t="shared" si="66"/>
        <v>431246</v>
      </c>
      <c r="X2121" s="122">
        <f t="shared" si="67"/>
        <v>504537</v>
      </c>
    </row>
    <row r="2122" spans="2:24">
      <c r="B2122" t="s">
        <v>477</v>
      </c>
      <c r="C2122" t="s">
        <v>64</v>
      </c>
      <c r="D2122" t="s">
        <v>556</v>
      </c>
      <c r="E2122" t="s">
        <v>556</v>
      </c>
      <c r="F2122">
        <v>2</v>
      </c>
      <c r="G2122">
        <v>89</v>
      </c>
      <c r="H2122" s="122">
        <v>1314</v>
      </c>
      <c r="I2122" s="122">
        <v>37166</v>
      </c>
      <c r="J2122" s="122">
        <v>30971</v>
      </c>
      <c r="K2122">
        <v>50</v>
      </c>
      <c r="L2122" s="122">
        <v>5757</v>
      </c>
      <c r="M2122" s="122">
        <v>3843</v>
      </c>
      <c r="N2122" s="122">
        <v>1918</v>
      </c>
      <c r="O2122">
        <v>710</v>
      </c>
      <c r="P2122">
        <v>702</v>
      </c>
      <c r="Q2122">
        <v>260</v>
      </c>
      <c r="R2122" s="122">
        <v>8474</v>
      </c>
      <c r="S2122" s="122">
        <v>7062</v>
      </c>
      <c r="T2122" s="122">
        <v>2435</v>
      </c>
      <c r="U2122">
        <v>902</v>
      </c>
      <c r="V2122" s="122">
        <v>43749</v>
      </c>
      <c r="W2122" s="122">
        <f t="shared" si="66"/>
        <v>43748</v>
      </c>
      <c r="X2122" s="122">
        <f t="shared" si="67"/>
        <v>56452</v>
      </c>
    </row>
    <row r="2123" spans="2:24">
      <c r="B2123" t="s">
        <v>477</v>
      </c>
      <c r="C2123" t="s">
        <v>64</v>
      </c>
      <c r="D2123" t="s">
        <v>428</v>
      </c>
      <c r="E2123" t="s">
        <v>428</v>
      </c>
      <c r="F2123">
        <v>4</v>
      </c>
      <c r="G2123">
        <v>134</v>
      </c>
      <c r="H2123" s="122">
        <v>3461</v>
      </c>
      <c r="I2123" s="122">
        <v>89108</v>
      </c>
      <c r="J2123" s="122">
        <v>81007</v>
      </c>
      <c r="K2123">
        <v>55</v>
      </c>
      <c r="L2123">
        <v>0</v>
      </c>
      <c r="M2123">
        <v>0</v>
      </c>
      <c r="N2123" s="122">
        <v>3262</v>
      </c>
      <c r="O2123" s="122">
        <v>1208</v>
      </c>
      <c r="P2123" s="122">
        <v>1404</v>
      </c>
      <c r="Q2123">
        <v>520</v>
      </c>
      <c r="R2123" s="122">
        <v>16378</v>
      </c>
      <c r="S2123" s="122">
        <v>14889</v>
      </c>
      <c r="T2123" s="122">
        <v>6542</v>
      </c>
      <c r="U2123" s="122">
        <v>2423</v>
      </c>
      <c r="V2123" s="122">
        <v>100047</v>
      </c>
      <c r="W2123" s="122">
        <f t="shared" si="66"/>
        <v>100047</v>
      </c>
      <c r="X2123" s="122">
        <f t="shared" si="67"/>
        <v>116694</v>
      </c>
    </row>
    <row r="2124" spans="2:24">
      <c r="B2124" t="s">
        <v>477</v>
      </c>
      <c r="C2124" t="s">
        <v>64</v>
      </c>
      <c r="D2124" t="s">
        <v>426</v>
      </c>
      <c r="E2124" t="s">
        <v>137</v>
      </c>
      <c r="F2124">
        <v>1</v>
      </c>
      <c r="G2124">
        <v>45</v>
      </c>
      <c r="H2124" s="122">
        <v>1438</v>
      </c>
      <c r="I2124" s="122">
        <v>54154</v>
      </c>
      <c r="J2124" s="122">
        <v>49231</v>
      </c>
      <c r="K2124">
        <v>30</v>
      </c>
      <c r="L2124" s="122">
        <v>6017</v>
      </c>
      <c r="M2124" s="122">
        <v>5470</v>
      </c>
      <c r="N2124" s="122">
        <v>1092</v>
      </c>
      <c r="O2124">
        <v>404</v>
      </c>
      <c r="P2124">
        <v>0</v>
      </c>
      <c r="Q2124">
        <v>0</v>
      </c>
      <c r="R2124" s="122">
        <v>3156</v>
      </c>
      <c r="S2124" s="122">
        <v>1169</v>
      </c>
      <c r="T2124">
        <v>0</v>
      </c>
      <c r="U2124">
        <v>0</v>
      </c>
      <c r="V2124" s="122">
        <v>56274</v>
      </c>
      <c r="W2124" s="122">
        <f t="shared" si="66"/>
        <v>56274</v>
      </c>
      <c r="X2124" s="122">
        <f t="shared" si="67"/>
        <v>64419</v>
      </c>
    </row>
    <row r="2125" spans="2:24">
      <c r="B2125" t="s">
        <v>477</v>
      </c>
      <c r="C2125" t="s">
        <v>64</v>
      </c>
      <c r="D2125" t="s">
        <v>426</v>
      </c>
      <c r="E2125" t="s">
        <v>426</v>
      </c>
      <c r="F2125">
        <v>1</v>
      </c>
      <c r="G2125">
        <v>133</v>
      </c>
      <c r="H2125">
        <v>529</v>
      </c>
      <c r="I2125" s="122">
        <v>53601</v>
      </c>
      <c r="J2125" s="122">
        <v>48728</v>
      </c>
      <c r="K2125">
        <v>55</v>
      </c>
      <c r="L2125" s="122">
        <v>5039</v>
      </c>
      <c r="M2125" s="122">
        <v>4581</v>
      </c>
      <c r="N2125" s="122">
        <v>2398</v>
      </c>
      <c r="O2125">
        <v>888</v>
      </c>
      <c r="P2125">
        <v>621</v>
      </c>
      <c r="Q2125">
        <v>230</v>
      </c>
      <c r="R2125" s="122">
        <v>5888</v>
      </c>
      <c r="S2125" s="122">
        <v>5353</v>
      </c>
      <c r="T2125" s="122">
        <v>2828</v>
      </c>
      <c r="U2125" s="122">
        <v>1048</v>
      </c>
      <c r="V2125" s="122">
        <v>60828</v>
      </c>
      <c r="W2125" s="122">
        <f t="shared" si="66"/>
        <v>60828</v>
      </c>
      <c r="X2125" s="122">
        <f t="shared" si="67"/>
        <v>70375</v>
      </c>
    </row>
    <row r="2126" spans="2:24">
      <c r="B2126" t="s">
        <v>478</v>
      </c>
      <c r="C2126" t="s">
        <v>48</v>
      </c>
      <c r="D2126" t="s">
        <v>137</v>
      </c>
      <c r="E2126" t="s">
        <v>137</v>
      </c>
      <c r="F2126">
        <v>8</v>
      </c>
      <c r="G2126">
        <v>812</v>
      </c>
      <c r="H2126">
        <v>406</v>
      </c>
      <c r="I2126" s="122">
        <v>-11537</v>
      </c>
      <c r="J2126" s="122">
        <v>-4273</v>
      </c>
      <c r="K2126">
        <v>365</v>
      </c>
      <c r="L2126" s="122">
        <v>-2128</v>
      </c>
      <c r="M2126" s="122">
        <v>-1934</v>
      </c>
      <c r="N2126" s="122">
        <v>10017</v>
      </c>
      <c r="O2126" s="122">
        <v>3710</v>
      </c>
      <c r="P2126" s="122">
        <v>6108</v>
      </c>
      <c r="Q2126" s="122">
        <v>2262</v>
      </c>
      <c r="R2126" s="122">
        <v>35747</v>
      </c>
      <c r="S2126" s="122">
        <v>13240</v>
      </c>
      <c r="T2126">
        <v>0</v>
      </c>
      <c r="U2126">
        <v>0</v>
      </c>
      <c r="V2126" s="122">
        <v>13004</v>
      </c>
      <c r="W2126" s="122">
        <f t="shared" si="66"/>
        <v>25419</v>
      </c>
      <c r="X2126" s="122">
        <f t="shared" si="67"/>
        <v>65537</v>
      </c>
    </row>
    <row r="2127" spans="2:24">
      <c r="B2127" t="s">
        <v>478</v>
      </c>
      <c r="C2127" t="s">
        <v>50</v>
      </c>
      <c r="F2127">
        <v>14</v>
      </c>
      <c r="G2127" s="122">
        <v>1235</v>
      </c>
      <c r="H2127" s="122">
        <v>1265</v>
      </c>
      <c r="J2127">
        <v>0</v>
      </c>
      <c r="M2127">
        <v>0</v>
      </c>
      <c r="N2127" s="122">
        <v>15048</v>
      </c>
      <c r="O2127" s="122">
        <v>5573</v>
      </c>
      <c r="P2127" s="122">
        <v>4914</v>
      </c>
      <c r="Q2127" s="122">
        <v>1820</v>
      </c>
      <c r="S2127">
        <v>0</v>
      </c>
      <c r="T2127">
        <v>0</v>
      </c>
      <c r="U2127">
        <v>0</v>
      </c>
      <c r="V2127" s="122">
        <v>7393</v>
      </c>
      <c r="W2127" s="122">
        <f t="shared" si="66"/>
        <v>7393</v>
      </c>
      <c r="X2127" s="122">
        <f t="shared" si="67"/>
        <v>19962</v>
      </c>
    </row>
    <row r="2128" spans="2:24">
      <c r="B2128" t="s">
        <v>478</v>
      </c>
      <c r="C2128" t="s">
        <v>50</v>
      </c>
      <c r="D2128" t="s">
        <v>137</v>
      </c>
      <c r="E2128" t="s">
        <v>137</v>
      </c>
      <c r="F2128">
        <v>6</v>
      </c>
      <c r="G2128">
        <v>355</v>
      </c>
      <c r="H2128">
        <v>564</v>
      </c>
      <c r="I2128" s="122">
        <v>5557</v>
      </c>
      <c r="J2128" s="122">
        <v>2058</v>
      </c>
      <c r="K2128">
        <v>390</v>
      </c>
      <c r="L2128">
        <v>876</v>
      </c>
      <c r="M2128">
        <v>796</v>
      </c>
      <c r="N2128" s="122">
        <v>6696</v>
      </c>
      <c r="O2128" s="122">
        <v>2480</v>
      </c>
      <c r="P2128" s="122">
        <v>2106</v>
      </c>
      <c r="Q2128">
        <v>780</v>
      </c>
      <c r="R2128" s="122">
        <v>18131</v>
      </c>
      <c r="S2128" s="122">
        <v>6715</v>
      </c>
      <c r="T2128">
        <v>0</v>
      </c>
      <c r="U2128">
        <v>0</v>
      </c>
      <c r="V2128" s="122">
        <v>12830</v>
      </c>
      <c r="W2128" s="122">
        <f t="shared" si="66"/>
        <v>12829</v>
      </c>
      <c r="X2128" s="122">
        <f t="shared" si="67"/>
        <v>33366</v>
      </c>
    </row>
    <row r="2129" spans="2:24">
      <c r="B2129" t="s">
        <v>478</v>
      </c>
      <c r="C2129" t="s">
        <v>50</v>
      </c>
      <c r="D2129" t="s">
        <v>406</v>
      </c>
      <c r="E2129" t="s">
        <v>406</v>
      </c>
      <c r="F2129">
        <v>1</v>
      </c>
      <c r="G2129">
        <v>197</v>
      </c>
      <c r="H2129">
        <v>84</v>
      </c>
      <c r="I2129" s="122">
        <v>7696</v>
      </c>
      <c r="J2129" s="122">
        <v>6997</v>
      </c>
      <c r="K2129">
        <v>97</v>
      </c>
      <c r="L2129" s="122">
        <v>1264</v>
      </c>
      <c r="M2129" s="122">
        <v>1150</v>
      </c>
      <c r="N2129" s="122">
        <v>2405</v>
      </c>
      <c r="O2129">
        <v>891</v>
      </c>
      <c r="P2129">
        <v>621</v>
      </c>
      <c r="Q2129">
        <v>230</v>
      </c>
      <c r="R2129" s="122">
        <v>4491</v>
      </c>
      <c r="S2129" s="122">
        <v>4082</v>
      </c>
      <c r="T2129">
        <v>0</v>
      </c>
      <c r="U2129">
        <v>0</v>
      </c>
      <c r="V2129" s="122">
        <v>13349</v>
      </c>
      <c r="W2129" s="122">
        <f t="shared" si="66"/>
        <v>13350</v>
      </c>
      <c r="X2129" s="122">
        <f t="shared" si="67"/>
        <v>16477</v>
      </c>
    </row>
    <row r="2130" spans="2:24">
      <c r="B2130" t="s">
        <v>478</v>
      </c>
      <c r="C2130" t="s">
        <v>52</v>
      </c>
      <c r="F2130">
        <v>11</v>
      </c>
      <c r="G2130" s="122">
        <v>1059</v>
      </c>
      <c r="H2130" s="122">
        <v>1223</v>
      </c>
      <c r="J2130">
        <v>0</v>
      </c>
      <c r="M2130">
        <v>0</v>
      </c>
      <c r="N2130" s="122">
        <v>12898</v>
      </c>
      <c r="O2130" s="122">
        <v>4777</v>
      </c>
      <c r="P2130" s="122">
        <v>3861</v>
      </c>
      <c r="Q2130" s="122">
        <v>1430</v>
      </c>
      <c r="S2130">
        <v>0</v>
      </c>
      <c r="T2130">
        <v>0</v>
      </c>
      <c r="U2130">
        <v>0</v>
      </c>
      <c r="V2130" s="122">
        <v>6207</v>
      </c>
      <c r="W2130" s="122">
        <f t="shared" si="66"/>
        <v>6207</v>
      </c>
      <c r="X2130" s="122">
        <f t="shared" si="67"/>
        <v>16759</v>
      </c>
    </row>
    <row r="2131" spans="2:24">
      <c r="B2131" t="s">
        <v>478</v>
      </c>
      <c r="C2131" t="s">
        <v>52</v>
      </c>
      <c r="D2131" t="s">
        <v>405</v>
      </c>
      <c r="E2131" t="s">
        <v>405</v>
      </c>
      <c r="F2131">
        <v>13</v>
      </c>
      <c r="G2131" s="122">
        <v>1030</v>
      </c>
      <c r="H2131" s="122">
        <v>1566</v>
      </c>
      <c r="I2131" s="122">
        <v>42313</v>
      </c>
      <c r="J2131" s="122">
        <v>38466</v>
      </c>
      <c r="K2131">
        <v>82</v>
      </c>
      <c r="L2131">
        <v>0</v>
      </c>
      <c r="M2131">
        <v>0</v>
      </c>
      <c r="N2131" s="122">
        <v>24124</v>
      </c>
      <c r="O2131" s="122">
        <v>8935</v>
      </c>
      <c r="P2131" s="122">
        <v>6143</v>
      </c>
      <c r="Q2131" s="122">
        <v>2275</v>
      </c>
      <c r="R2131" s="122">
        <v>51401</v>
      </c>
      <c r="S2131" s="122">
        <v>46729</v>
      </c>
      <c r="T2131">
        <v>0</v>
      </c>
      <c r="U2131">
        <v>0</v>
      </c>
      <c r="V2131" s="122">
        <v>96405</v>
      </c>
      <c r="W2131" s="122">
        <f t="shared" si="66"/>
        <v>96405</v>
      </c>
      <c r="X2131" s="122">
        <f t="shared" si="67"/>
        <v>123981</v>
      </c>
    </row>
    <row r="2132" spans="2:24">
      <c r="B2132" t="s">
        <v>478</v>
      </c>
      <c r="C2132" t="s">
        <v>52</v>
      </c>
      <c r="D2132" t="s">
        <v>137</v>
      </c>
      <c r="E2132" t="s">
        <v>137</v>
      </c>
      <c r="F2132">
        <v>5</v>
      </c>
      <c r="G2132">
        <v>421</v>
      </c>
      <c r="H2132">
        <v>569</v>
      </c>
      <c r="I2132" s="122">
        <v>14819</v>
      </c>
      <c r="J2132" s="122">
        <v>5489</v>
      </c>
      <c r="K2132">
        <v>398</v>
      </c>
      <c r="L2132" s="122">
        <v>2423</v>
      </c>
      <c r="M2132" s="122">
        <v>2137</v>
      </c>
      <c r="N2132" s="122">
        <v>7780</v>
      </c>
      <c r="O2132" s="122">
        <v>2881</v>
      </c>
      <c r="P2132" s="122">
        <v>4719</v>
      </c>
      <c r="Q2132" s="122">
        <v>1748</v>
      </c>
      <c r="R2132" s="122">
        <v>17501</v>
      </c>
      <c r="S2132" s="122">
        <v>6482</v>
      </c>
      <c r="T2132">
        <v>0</v>
      </c>
      <c r="U2132">
        <v>0</v>
      </c>
      <c r="V2132" s="122">
        <v>18736</v>
      </c>
      <c r="W2132" s="122">
        <f t="shared" si="66"/>
        <v>18737</v>
      </c>
      <c r="X2132" s="122">
        <f t="shared" si="67"/>
        <v>47242</v>
      </c>
    </row>
    <row r="2133" spans="2:24">
      <c r="B2133" t="s">
        <v>478</v>
      </c>
      <c r="C2133" t="s">
        <v>52</v>
      </c>
      <c r="D2133" t="s">
        <v>406</v>
      </c>
      <c r="E2133" t="s">
        <v>406</v>
      </c>
      <c r="F2133">
        <v>4</v>
      </c>
      <c r="G2133">
        <v>774</v>
      </c>
      <c r="H2133">
        <v>475</v>
      </c>
      <c r="I2133" s="122">
        <v>64590</v>
      </c>
      <c r="J2133" s="122">
        <v>58718</v>
      </c>
      <c r="K2133">
        <v>92</v>
      </c>
      <c r="L2133" s="122">
        <v>10305</v>
      </c>
      <c r="M2133" s="122">
        <v>9182</v>
      </c>
      <c r="N2133" s="122">
        <v>16830</v>
      </c>
      <c r="O2133" s="122">
        <v>6233</v>
      </c>
      <c r="P2133" s="122">
        <v>2835</v>
      </c>
      <c r="Q2133" s="122">
        <v>1050</v>
      </c>
      <c r="R2133" s="122">
        <v>22564</v>
      </c>
      <c r="S2133" s="122">
        <v>20512</v>
      </c>
      <c r="T2133">
        <v>0</v>
      </c>
      <c r="U2133">
        <v>0</v>
      </c>
      <c r="V2133" s="122">
        <v>95695</v>
      </c>
      <c r="W2133" s="122">
        <f t="shared" si="66"/>
        <v>95695</v>
      </c>
      <c r="X2133" s="122">
        <f t="shared" si="67"/>
        <v>117124</v>
      </c>
    </row>
    <row r="2134" spans="2:24">
      <c r="B2134" t="s">
        <v>478</v>
      </c>
      <c r="C2134" t="s">
        <v>52</v>
      </c>
      <c r="D2134" t="s">
        <v>407</v>
      </c>
      <c r="E2134" t="s">
        <v>407</v>
      </c>
      <c r="F2134">
        <v>8</v>
      </c>
      <c r="G2134">
        <v>653</v>
      </c>
      <c r="H2134">
        <v>942</v>
      </c>
      <c r="I2134" s="122">
        <v>35485</v>
      </c>
      <c r="J2134" s="122">
        <v>32259</v>
      </c>
      <c r="K2134">
        <v>83</v>
      </c>
      <c r="L2134">
        <v>0</v>
      </c>
      <c r="M2134">
        <v>0</v>
      </c>
      <c r="N2134" s="122">
        <v>15478</v>
      </c>
      <c r="O2134" s="122">
        <v>5733</v>
      </c>
      <c r="P2134" s="122">
        <v>3780</v>
      </c>
      <c r="Q2134" s="122">
        <v>1400</v>
      </c>
      <c r="R2134" s="122">
        <v>22095</v>
      </c>
      <c r="S2134" s="122">
        <v>20086</v>
      </c>
      <c r="T2134">
        <v>0</v>
      </c>
      <c r="U2134">
        <v>0</v>
      </c>
      <c r="V2134" s="122">
        <v>59478</v>
      </c>
      <c r="W2134" s="122">
        <f t="shared" si="66"/>
        <v>59478</v>
      </c>
      <c r="X2134" s="122">
        <f t="shared" si="67"/>
        <v>76838</v>
      </c>
    </row>
    <row r="2135" spans="2:24">
      <c r="B2135" t="s">
        <v>478</v>
      </c>
      <c r="C2135" t="s">
        <v>54</v>
      </c>
      <c r="F2135">
        <v>12</v>
      </c>
      <c r="G2135" s="122">
        <v>1460</v>
      </c>
      <c r="H2135" s="122">
        <v>1657</v>
      </c>
      <c r="J2135">
        <v>0</v>
      </c>
      <c r="M2135">
        <v>0</v>
      </c>
      <c r="N2135" s="122">
        <v>28376</v>
      </c>
      <c r="O2135" s="122">
        <v>10509</v>
      </c>
      <c r="P2135" s="122">
        <v>3510</v>
      </c>
      <c r="Q2135" s="122">
        <v>1300</v>
      </c>
      <c r="S2135">
        <v>0</v>
      </c>
      <c r="T2135">
        <v>0</v>
      </c>
      <c r="U2135">
        <v>0</v>
      </c>
      <c r="V2135" s="122">
        <v>11809</v>
      </c>
      <c r="W2135" s="122">
        <f t="shared" si="66"/>
        <v>11809</v>
      </c>
      <c r="X2135" s="122">
        <f t="shared" si="67"/>
        <v>31886</v>
      </c>
    </row>
    <row r="2136" spans="2:24">
      <c r="B2136" t="s">
        <v>478</v>
      </c>
      <c r="C2136" t="s">
        <v>54</v>
      </c>
      <c r="D2136" t="s">
        <v>405</v>
      </c>
      <c r="E2136" t="s">
        <v>405</v>
      </c>
      <c r="F2136">
        <v>41</v>
      </c>
      <c r="G2136" s="122">
        <v>3243</v>
      </c>
      <c r="H2136" s="122">
        <v>5512</v>
      </c>
      <c r="I2136" s="122">
        <v>177664</v>
      </c>
      <c r="J2136" s="122">
        <v>161513</v>
      </c>
      <c r="K2136">
        <v>84</v>
      </c>
      <c r="L2136" s="122">
        <v>13279</v>
      </c>
      <c r="M2136" s="122">
        <v>11245</v>
      </c>
      <c r="N2136" s="122">
        <v>74929</v>
      </c>
      <c r="O2136" s="122">
        <v>27751</v>
      </c>
      <c r="P2136" s="122">
        <v>19373</v>
      </c>
      <c r="Q2136" s="122">
        <v>7175</v>
      </c>
      <c r="R2136" s="122">
        <v>154872</v>
      </c>
      <c r="S2136" s="122">
        <v>140793</v>
      </c>
      <c r="T2136" s="122">
        <v>3948</v>
      </c>
      <c r="U2136" s="122">
        <v>1462</v>
      </c>
      <c r="V2136" s="122">
        <v>349940</v>
      </c>
      <c r="W2136" s="122">
        <f t="shared" si="66"/>
        <v>349939</v>
      </c>
      <c r="X2136" s="122">
        <f t="shared" si="67"/>
        <v>444065</v>
      </c>
    </row>
    <row r="2137" spans="2:24">
      <c r="B2137" t="s">
        <v>478</v>
      </c>
      <c r="C2137" t="s">
        <v>54</v>
      </c>
      <c r="D2137" t="s">
        <v>137</v>
      </c>
      <c r="E2137" t="s">
        <v>405</v>
      </c>
      <c r="F2137">
        <v>1</v>
      </c>
      <c r="G2137">
        <v>49</v>
      </c>
      <c r="H2137">
        <v>143</v>
      </c>
      <c r="I2137" s="122">
        <v>3331</v>
      </c>
      <c r="J2137" s="122">
        <v>1234</v>
      </c>
      <c r="K2137">
        <v>100</v>
      </c>
      <c r="L2137">
        <v>0</v>
      </c>
      <c r="M2137">
        <v>0</v>
      </c>
      <c r="N2137">
        <v>592</v>
      </c>
      <c r="O2137">
        <v>219</v>
      </c>
      <c r="P2137">
        <v>0</v>
      </c>
      <c r="Q2137">
        <v>0</v>
      </c>
      <c r="R2137" s="122">
        <v>3021</v>
      </c>
      <c r="S2137" s="122">
        <v>2746</v>
      </c>
      <c r="T2137">
        <v>0</v>
      </c>
      <c r="U2137">
        <v>0</v>
      </c>
      <c r="V2137" s="122">
        <v>4199</v>
      </c>
      <c r="W2137" s="122">
        <f t="shared" si="66"/>
        <v>4199</v>
      </c>
      <c r="X2137" s="122">
        <f t="shared" si="67"/>
        <v>6944</v>
      </c>
    </row>
    <row r="2138" spans="2:24">
      <c r="B2138" t="s">
        <v>478</v>
      </c>
      <c r="C2138" t="s">
        <v>54</v>
      </c>
      <c r="D2138" t="s">
        <v>137</v>
      </c>
      <c r="E2138" t="s">
        <v>137</v>
      </c>
      <c r="F2138">
        <v>14</v>
      </c>
      <c r="G2138" s="122">
        <v>1060</v>
      </c>
      <c r="H2138" s="122">
        <v>1994</v>
      </c>
      <c r="I2138" s="122">
        <v>38263</v>
      </c>
      <c r="J2138" s="122">
        <v>14172</v>
      </c>
      <c r="K2138">
        <v>143</v>
      </c>
      <c r="L2138" s="122">
        <v>5046</v>
      </c>
      <c r="M2138" s="122">
        <v>2448</v>
      </c>
      <c r="N2138" s="122">
        <v>21519</v>
      </c>
      <c r="O2138" s="122">
        <v>7970</v>
      </c>
      <c r="P2138">
        <v>702</v>
      </c>
      <c r="Q2138">
        <v>260</v>
      </c>
      <c r="R2138" s="122">
        <v>85652</v>
      </c>
      <c r="S2138" s="122">
        <v>31723</v>
      </c>
      <c r="T2138">
        <v>0</v>
      </c>
      <c r="U2138">
        <v>0</v>
      </c>
      <c r="V2138" s="122">
        <v>56573</v>
      </c>
      <c r="W2138" s="122">
        <f t="shared" si="66"/>
        <v>56573</v>
      </c>
      <c r="X2138" s="122">
        <f t="shared" si="67"/>
        <v>151182</v>
      </c>
    </row>
    <row r="2139" spans="2:24">
      <c r="B2139" t="s">
        <v>478</v>
      </c>
      <c r="C2139" t="s">
        <v>54</v>
      </c>
      <c r="D2139" t="s">
        <v>406</v>
      </c>
      <c r="E2139" t="s">
        <v>406</v>
      </c>
      <c r="F2139">
        <v>24</v>
      </c>
      <c r="G2139" s="122">
        <v>3935</v>
      </c>
      <c r="H2139" s="122">
        <v>3394</v>
      </c>
      <c r="I2139" s="122">
        <v>294178</v>
      </c>
      <c r="J2139" s="122">
        <v>267434</v>
      </c>
      <c r="K2139">
        <v>92</v>
      </c>
      <c r="L2139" s="122">
        <v>58213</v>
      </c>
      <c r="M2139" s="122">
        <v>52245</v>
      </c>
      <c r="N2139" s="122">
        <v>69406</v>
      </c>
      <c r="O2139" s="122">
        <v>25706</v>
      </c>
      <c r="P2139" s="122">
        <v>18070</v>
      </c>
      <c r="Q2139" s="122">
        <v>6693</v>
      </c>
      <c r="R2139" s="122">
        <v>109110</v>
      </c>
      <c r="S2139" s="122">
        <v>99191</v>
      </c>
      <c r="T2139" s="122">
        <v>27062</v>
      </c>
      <c r="U2139" s="122">
        <v>10023</v>
      </c>
      <c r="V2139" s="122">
        <v>461291</v>
      </c>
      <c r="W2139" s="122">
        <f t="shared" si="66"/>
        <v>461292</v>
      </c>
      <c r="X2139" s="122">
        <f t="shared" si="67"/>
        <v>576039</v>
      </c>
    </row>
    <row r="2140" spans="2:24">
      <c r="B2140" t="s">
        <v>478</v>
      </c>
      <c r="C2140" t="s">
        <v>54</v>
      </c>
      <c r="D2140" t="s">
        <v>407</v>
      </c>
      <c r="E2140" t="s">
        <v>407</v>
      </c>
      <c r="F2140">
        <v>19</v>
      </c>
      <c r="G2140" s="122">
        <v>1853</v>
      </c>
      <c r="H2140" s="122">
        <v>2652</v>
      </c>
      <c r="I2140" s="122">
        <v>141330</v>
      </c>
      <c r="J2140" s="122">
        <v>128482</v>
      </c>
      <c r="K2140">
        <v>82</v>
      </c>
      <c r="L2140" s="122">
        <v>2677</v>
      </c>
      <c r="M2140" s="122">
        <v>2189</v>
      </c>
      <c r="N2140" s="122">
        <v>40286</v>
      </c>
      <c r="O2140" s="122">
        <v>14921</v>
      </c>
      <c r="P2140" s="122">
        <v>8978</v>
      </c>
      <c r="Q2140" s="122">
        <v>3325</v>
      </c>
      <c r="R2140" s="122">
        <v>64972</v>
      </c>
      <c r="S2140" s="122">
        <v>59066</v>
      </c>
      <c r="T2140">
        <v>0</v>
      </c>
      <c r="U2140">
        <v>0</v>
      </c>
      <c r="V2140" s="122">
        <v>207983</v>
      </c>
      <c r="W2140" s="122">
        <f t="shared" si="66"/>
        <v>207983</v>
      </c>
      <c r="X2140" s="122">
        <f t="shared" si="67"/>
        <v>258243</v>
      </c>
    </row>
    <row r="2141" spans="2:24">
      <c r="B2141" t="s">
        <v>478</v>
      </c>
      <c r="C2141" t="s">
        <v>56</v>
      </c>
      <c r="F2141">
        <v>18</v>
      </c>
      <c r="G2141" s="122">
        <v>1499</v>
      </c>
      <c r="H2141" s="122">
        <v>3101</v>
      </c>
      <c r="J2141">
        <v>0</v>
      </c>
      <c r="M2141">
        <v>0</v>
      </c>
      <c r="N2141" s="122">
        <v>30589</v>
      </c>
      <c r="O2141" s="122">
        <v>11329</v>
      </c>
      <c r="P2141" s="122">
        <v>5184</v>
      </c>
      <c r="Q2141" s="122">
        <v>1920</v>
      </c>
      <c r="S2141">
        <v>0</v>
      </c>
      <c r="T2141" s="122">
        <v>3031</v>
      </c>
      <c r="U2141" s="122">
        <v>1123</v>
      </c>
      <c r="V2141" s="122">
        <v>14372</v>
      </c>
      <c r="W2141" s="122">
        <f t="shared" si="66"/>
        <v>14372</v>
      </c>
      <c r="X2141" s="122">
        <f t="shared" si="67"/>
        <v>38804</v>
      </c>
    </row>
    <row r="2142" spans="2:24">
      <c r="B2142" t="s">
        <v>478</v>
      </c>
      <c r="C2142" t="s">
        <v>56</v>
      </c>
      <c r="D2142" t="s">
        <v>425</v>
      </c>
      <c r="E2142" t="s">
        <v>425</v>
      </c>
      <c r="F2142">
        <v>6</v>
      </c>
      <c r="G2142">
        <v>547</v>
      </c>
      <c r="H2142" s="122">
        <v>1136</v>
      </c>
      <c r="I2142" s="122">
        <v>52354</v>
      </c>
      <c r="J2142" s="122">
        <v>47594</v>
      </c>
      <c r="K2142">
        <v>81</v>
      </c>
      <c r="L2142" s="122">
        <v>3761</v>
      </c>
      <c r="M2142" s="122">
        <v>2243</v>
      </c>
      <c r="N2142" s="122">
        <v>9503</v>
      </c>
      <c r="O2142" s="122">
        <v>3520</v>
      </c>
      <c r="P2142" s="122">
        <v>2714</v>
      </c>
      <c r="Q2142" s="122">
        <v>1005</v>
      </c>
      <c r="R2142" s="122">
        <v>23445</v>
      </c>
      <c r="S2142" s="122">
        <v>21314</v>
      </c>
      <c r="T2142" s="122">
        <v>10480</v>
      </c>
      <c r="U2142" s="122">
        <v>3882</v>
      </c>
      <c r="V2142" s="122">
        <v>79558</v>
      </c>
      <c r="W2142" s="122">
        <f t="shared" si="66"/>
        <v>79558</v>
      </c>
      <c r="X2142" s="122">
        <f t="shared" si="67"/>
        <v>102257</v>
      </c>
    </row>
    <row r="2143" spans="2:24">
      <c r="B2143" t="s">
        <v>478</v>
      </c>
      <c r="C2143" t="s">
        <v>56</v>
      </c>
      <c r="D2143" t="s">
        <v>405</v>
      </c>
      <c r="E2143" t="s">
        <v>405</v>
      </c>
      <c r="F2143">
        <v>69</v>
      </c>
      <c r="G2143" s="122">
        <v>5507</v>
      </c>
      <c r="H2143" s="122">
        <v>12257</v>
      </c>
      <c r="I2143" s="122">
        <v>497987</v>
      </c>
      <c r="J2143" s="122">
        <v>452715</v>
      </c>
      <c r="K2143">
        <v>81</v>
      </c>
      <c r="L2143" s="122">
        <v>57824</v>
      </c>
      <c r="M2143" s="122">
        <v>47942</v>
      </c>
      <c r="N2143" s="122">
        <v>111856</v>
      </c>
      <c r="O2143" s="122">
        <v>41428</v>
      </c>
      <c r="P2143" s="122">
        <v>30753</v>
      </c>
      <c r="Q2143" s="122">
        <v>11390</v>
      </c>
      <c r="R2143" s="122">
        <v>265436</v>
      </c>
      <c r="S2143" s="122">
        <v>241306</v>
      </c>
      <c r="T2143" s="122">
        <v>18771</v>
      </c>
      <c r="U2143" s="122">
        <v>6952</v>
      </c>
      <c r="V2143" s="122">
        <v>801734</v>
      </c>
      <c r="W2143" s="122">
        <f t="shared" si="66"/>
        <v>801733</v>
      </c>
      <c r="X2143" s="122">
        <f t="shared" si="67"/>
        <v>982627</v>
      </c>
    </row>
    <row r="2144" spans="2:24">
      <c r="B2144" t="s">
        <v>478</v>
      </c>
      <c r="C2144" t="s">
        <v>56</v>
      </c>
      <c r="D2144" t="s">
        <v>405</v>
      </c>
      <c r="E2144" t="s">
        <v>137</v>
      </c>
      <c r="F2144">
        <v>8</v>
      </c>
      <c r="G2144">
        <v>732</v>
      </c>
      <c r="H2144" s="122">
        <v>1514</v>
      </c>
      <c r="I2144" s="122">
        <v>70252</v>
      </c>
      <c r="J2144" s="122">
        <v>63866</v>
      </c>
      <c r="K2144">
        <v>81</v>
      </c>
      <c r="L2144">
        <v>0</v>
      </c>
      <c r="M2144">
        <v>0</v>
      </c>
      <c r="N2144" s="122">
        <v>17844</v>
      </c>
      <c r="O2144" s="122">
        <v>6609</v>
      </c>
      <c r="P2144" s="122">
        <v>3780</v>
      </c>
      <c r="Q2144" s="122">
        <v>1400</v>
      </c>
      <c r="R2144" s="122">
        <v>45264</v>
      </c>
      <c r="S2144" s="122">
        <v>16764</v>
      </c>
      <c r="T2144">
        <v>0</v>
      </c>
      <c r="U2144">
        <v>0</v>
      </c>
      <c r="V2144" s="122">
        <v>88639</v>
      </c>
      <c r="W2144" s="122">
        <f t="shared" si="66"/>
        <v>88639</v>
      </c>
      <c r="X2144" s="122">
        <f t="shared" si="67"/>
        <v>137140</v>
      </c>
    </row>
    <row r="2145" spans="2:24">
      <c r="B2145" t="s">
        <v>478</v>
      </c>
      <c r="C2145" t="s">
        <v>56</v>
      </c>
      <c r="D2145" t="s">
        <v>137</v>
      </c>
      <c r="E2145" t="s">
        <v>405</v>
      </c>
      <c r="F2145">
        <v>1</v>
      </c>
      <c r="G2145">
        <v>49</v>
      </c>
      <c r="H2145">
        <v>152</v>
      </c>
      <c r="I2145" s="122">
        <v>3414</v>
      </c>
      <c r="J2145" s="122">
        <v>1265</v>
      </c>
      <c r="K2145">
        <v>100</v>
      </c>
      <c r="L2145">
        <v>379</v>
      </c>
      <c r="M2145">
        <v>141</v>
      </c>
      <c r="N2145">
        <v>592</v>
      </c>
      <c r="O2145">
        <v>219</v>
      </c>
      <c r="P2145">
        <v>0</v>
      </c>
      <c r="Q2145">
        <v>0</v>
      </c>
      <c r="R2145" s="122">
        <v>3021</v>
      </c>
      <c r="S2145" s="122">
        <v>2746</v>
      </c>
      <c r="T2145">
        <v>0</v>
      </c>
      <c r="U2145">
        <v>0</v>
      </c>
      <c r="V2145" s="122">
        <v>4371</v>
      </c>
      <c r="W2145" s="122">
        <f t="shared" si="66"/>
        <v>4371</v>
      </c>
      <c r="X2145" s="122">
        <f t="shared" si="67"/>
        <v>7406</v>
      </c>
    </row>
    <row r="2146" spans="2:24">
      <c r="B2146" t="s">
        <v>478</v>
      </c>
      <c r="C2146" t="s">
        <v>56</v>
      </c>
      <c r="D2146" t="s">
        <v>137</v>
      </c>
      <c r="E2146" t="s">
        <v>137</v>
      </c>
      <c r="F2146">
        <v>330</v>
      </c>
      <c r="G2146" s="122">
        <v>23996</v>
      </c>
      <c r="H2146" s="122">
        <v>64177</v>
      </c>
      <c r="I2146" s="122">
        <v>1896683</v>
      </c>
      <c r="J2146" s="122">
        <v>702475</v>
      </c>
      <c r="K2146">
        <v>101</v>
      </c>
      <c r="L2146" s="122">
        <v>237907</v>
      </c>
      <c r="M2146" s="122">
        <v>100496</v>
      </c>
      <c r="N2146" s="122">
        <v>483727</v>
      </c>
      <c r="O2146" s="122">
        <v>179158</v>
      </c>
      <c r="P2146" s="122">
        <v>1755</v>
      </c>
      <c r="Q2146">
        <v>650</v>
      </c>
      <c r="R2146" s="122">
        <v>2064602</v>
      </c>
      <c r="S2146" s="122">
        <v>764667</v>
      </c>
      <c r="T2146" s="122">
        <v>9176</v>
      </c>
      <c r="U2146" s="122">
        <v>3399</v>
      </c>
      <c r="V2146" s="122">
        <v>1750845</v>
      </c>
      <c r="W2146" s="122">
        <f t="shared" si="66"/>
        <v>1750845</v>
      </c>
      <c r="X2146" s="122">
        <f t="shared" si="67"/>
        <v>4693850</v>
      </c>
    </row>
    <row r="2147" spans="2:24">
      <c r="B2147" t="s">
        <v>478</v>
      </c>
      <c r="C2147" t="s">
        <v>56</v>
      </c>
      <c r="D2147" t="s">
        <v>406</v>
      </c>
      <c r="E2147" t="s">
        <v>137</v>
      </c>
      <c r="F2147">
        <v>1</v>
      </c>
      <c r="G2147">
        <v>93</v>
      </c>
      <c r="H2147">
        <v>150</v>
      </c>
      <c r="I2147" s="122">
        <v>2491</v>
      </c>
      <c r="J2147" s="122">
        <v>2264</v>
      </c>
      <c r="K2147">
        <v>83</v>
      </c>
      <c r="L2147">
        <v>0</v>
      </c>
      <c r="M2147">
        <v>0</v>
      </c>
      <c r="N2147" s="122">
        <v>1331</v>
      </c>
      <c r="O2147">
        <v>493</v>
      </c>
      <c r="P2147">
        <v>621</v>
      </c>
      <c r="Q2147">
        <v>230</v>
      </c>
      <c r="R2147" s="122">
        <v>9475</v>
      </c>
      <c r="S2147" s="122">
        <v>3509</v>
      </c>
      <c r="T2147">
        <v>0</v>
      </c>
      <c r="U2147">
        <v>0</v>
      </c>
      <c r="V2147" s="122">
        <v>6496</v>
      </c>
      <c r="W2147" s="122">
        <f t="shared" si="66"/>
        <v>6496</v>
      </c>
      <c r="X2147" s="122">
        <f t="shared" si="67"/>
        <v>13918</v>
      </c>
    </row>
    <row r="2148" spans="2:24">
      <c r="B2148" t="s">
        <v>478</v>
      </c>
      <c r="C2148" t="s">
        <v>56</v>
      </c>
      <c r="D2148" t="s">
        <v>406</v>
      </c>
      <c r="E2148" t="s">
        <v>406</v>
      </c>
      <c r="F2148">
        <v>137</v>
      </c>
      <c r="G2148" s="122">
        <v>16429</v>
      </c>
      <c r="H2148" s="122">
        <v>26539</v>
      </c>
      <c r="I2148" s="122">
        <v>1722227</v>
      </c>
      <c r="J2148" s="122">
        <v>1565661</v>
      </c>
      <c r="K2148">
        <v>86</v>
      </c>
      <c r="L2148" s="122">
        <v>365621</v>
      </c>
      <c r="M2148" s="122">
        <v>317788</v>
      </c>
      <c r="N2148" s="122">
        <v>339292</v>
      </c>
      <c r="O2148" s="122">
        <v>125664</v>
      </c>
      <c r="P2148" s="122">
        <v>89222</v>
      </c>
      <c r="Q2148" s="122">
        <v>33045</v>
      </c>
      <c r="R2148" s="122">
        <v>631731</v>
      </c>
      <c r="S2148" s="122">
        <v>574301</v>
      </c>
      <c r="T2148" s="122">
        <v>198945</v>
      </c>
      <c r="U2148" s="122">
        <v>73683</v>
      </c>
      <c r="V2148" s="122">
        <v>2690142</v>
      </c>
      <c r="W2148" s="122">
        <f t="shared" si="66"/>
        <v>2690142</v>
      </c>
      <c r="X2148" s="122">
        <f t="shared" si="67"/>
        <v>3347038</v>
      </c>
    </row>
    <row r="2149" spans="2:24">
      <c r="B2149" t="s">
        <v>478</v>
      </c>
      <c r="C2149" t="s">
        <v>56</v>
      </c>
      <c r="D2149" t="s">
        <v>407</v>
      </c>
      <c r="E2149" t="s">
        <v>137</v>
      </c>
      <c r="F2149">
        <v>1</v>
      </c>
      <c r="G2149">
        <v>165</v>
      </c>
      <c r="H2149">
        <v>191</v>
      </c>
      <c r="I2149" s="122">
        <v>18754</v>
      </c>
      <c r="J2149" s="122">
        <v>17049</v>
      </c>
      <c r="K2149">
        <v>78</v>
      </c>
      <c r="L2149">
        <v>0</v>
      </c>
      <c r="M2149">
        <v>0</v>
      </c>
      <c r="N2149" s="122">
        <v>4017</v>
      </c>
      <c r="O2149" s="122">
        <v>1488</v>
      </c>
      <c r="P2149">
        <v>473</v>
      </c>
      <c r="Q2149">
        <v>175</v>
      </c>
      <c r="R2149" s="122">
        <v>8282</v>
      </c>
      <c r="S2149" s="122">
        <v>3067</v>
      </c>
      <c r="T2149">
        <v>0</v>
      </c>
      <c r="U2149">
        <v>0</v>
      </c>
      <c r="V2149" s="122">
        <v>21779</v>
      </c>
      <c r="W2149" s="122">
        <f t="shared" si="66"/>
        <v>21779</v>
      </c>
      <c r="X2149" s="122">
        <f t="shared" si="67"/>
        <v>31526</v>
      </c>
    </row>
    <row r="2150" spans="2:24">
      <c r="B2150" t="s">
        <v>478</v>
      </c>
      <c r="C2150" t="s">
        <v>56</v>
      </c>
      <c r="D2150" t="s">
        <v>407</v>
      </c>
      <c r="E2150" t="s">
        <v>407</v>
      </c>
      <c r="F2150">
        <v>25</v>
      </c>
      <c r="G2150" s="122">
        <v>2104</v>
      </c>
      <c r="H2150" s="122">
        <v>4419</v>
      </c>
      <c r="I2150" s="122">
        <v>184583</v>
      </c>
      <c r="J2150" s="122">
        <v>167803</v>
      </c>
      <c r="K2150">
        <v>78</v>
      </c>
      <c r="L2150" s="122">
        <v>18093</v>
      </c>
      <c r="M2150" s="122">
        <v>13354</v>
      </c>
      <c r="N2150" s="122">
        <v>46193</v>
      </c>
      <c r="O2150" s="122">
        <v>17108</v>
      </c>
      <c r="P2150" s="122">
        <v>11570</v>
      </c>
      <c r="Q2150" s="122">
        <v>4285</v>
      </c>
      <c r="R2150" s="122">
        <v>98540</v>
      </c>
      <c r="S2150" s="122">
        <v>89581</v>
      </c>
      <c r="T2150" s="122">
        <v>11146</v>
      </c>
      <c r="U2150" s="122">
        <v>4128</v>
      </c>
      <c r="V2150" s="122">
        <v>296260</v>
      </c>
      <c r="W2150" s="122">
        <f t="shared" si="66"/>
        <v>296259</v>
      </c>
      <c r="X2150" s="122">
        <f t="shared" si="67"/>
        <v>370125</v>
      </c>
    </row>
    <row r="2151" spans="2:24">
      <c r="B2151" t="s">
        <v>478</v>
      </c>
      <c r="C2151" t="s">
        <v>56</v>
      </c>
      <c r="D2151" t="s">
        <v>426</v>
      </c>
      <c r="E2151" t="s">
        <v>426</v>
      </c>
      <c r="F2151">
        <v>2</v>
      </c>
      <c r="G2151">
        <v>140</v>
      </c>
      <c r="H2151">
        <v>437</v>
      </c>
      <c r="I2151" s="122">
        <v>14165</v>
      </c>
      <c r="J2151" s="122">
        <v>12877</v>
      </c>
      <c r="K2151">
        <v>65</v>
      </c>
      <c r="L2151">
        <v>0</v>
      </c>
      <c r="M2151">
        <v>0</v>
      </c>
      <c r="N2151" s="122">
        <v>3200</v>
      </c>
      <c r="O2151" s="122">
        <v>1185</v>
      </c>
      <c r="P2151" s="122">
        <v>1385</v>
      </c>
      <c r="Q2151">
        <v>513</v>
      </c>
      <c r="R2151" s="122">
        <v>7757</v>
      </c>
      <c r="S2151" s="122">
        <v>7052</v>
      </c>
      <c r="T2151" s="122">
        <v>3922</v>
      </c>
      <c r="U2151" s="122">
        <v>1452</v>
      </c>
      <c r="V2151" s="122">
        <v>23080</v>
      </c>
      <c r="W2151" s="122">
        <f t="shared" si="66"/>
        <v>23079</v>
      </c>
      <c r="X2151" s="122">
        <f t="shared" si="67"/>
        <v>30429</v>
      </c>
    </row>
    <row r="2152" spans="2:24">
      <c r="B2152" t="s">
        <v>478</v>
      </c>
      <c r="C2152" t="s">
        <v>58</v>
      </c>
      <c r="F2152">
        <v>18</v>
      </c>
      <c r="G2152">
        <v>872</v>
      </c>
      <c r="H2152" s="122">
        <v>4561</v>
      </c>
      <c r="J2152">
        <v>0</v>
      </c>
      <c r="M2152">
        <v>0</v>
      </c>
      <c r="N2152" s="122">
        <v>19804</v>
      </c>
      <c r="O2152" s="122">
        <v>7335</v>
      </c>
      <c r="P2152" s="122">
        <v>1755</v>
      </c>
      <c r="Q2152">
        <v>650</v>
      </c>
      <c r="S2152">
        <v>0</v>
      </c>
      <c r="T2152" s="122">
        <v>2544</v>
      </c>
      <c r="U2152">
        <v>942</v>
      </c>
      <c r="V2152" s="122">
        <v>8927</v>
      </c>
      <c r="W2152" s="122">
        <f t="shared" si="66"/>
        <v>8927</v>
      </c>
      <c r="X2152" s="122">
        <f t="shared" si="67"/>
        <v>24103</v>
      </c>
    </row>
    <row r="2153" spans="2:24">
      <c r="B2153" t="s">
        <v>478</v>
      </c>
      <c r="C2153" t="s">
        <v>58</v>
      </c>
      <c r="D2153" t="s">
        <v>425</v>
      </c>
      <c r="E2153" t="s">
        <v>425</v>
      </c>
      <c r="F2153">
        <v>1</v>
      </c>
      <c r="G2153">
        <v>96</v>
      </c>
      <c r="H2153">
        <v>294</v>
      </c>
      <c r="I2153" s="122">
        <v>15876</v>
      </c>
      <c r="J2153" s="122">
        <v>14433</v>
      </c>
      <c r="K2153">
        <v>73</v>
      </c>
      <c r="L2153" s="122">
        <v>3005</v>
      </c>
      <c r="M2153" s="122">
        <v>1113</v>
      </c>
      <c r="N2153" s="122">
        <v>1970</v>
      </c>
      <c r="O2153">
        <v>730</v>
      </c>
      <c r="P2153">
        <v>473</v>
      </c>
      <c r="Q2153">
        <v>175</v>
      </c>
      <c r="R2153" s="122">
        <v>4285</v>
      </c>
      <c r="S2153" s="122">
        <v>3896</v>
      </c>
      <c r="T2153" s="122">
        <v>2506</v>
      </c>
      <c r="U2153">
        <v>928</v>
      </c>
      <c r="V2153" s="122">
        <v>21274</v>
      </c>
      <c r="W2153" s="122">
        <f t="shared" si="66"/>
        <v>21275</v>
      </c>
      <c r="X2153" s="122">
        <f t="shared" si="67"/>
        <v>28115</v>
      </c>
    </row>
    <row r="2154" spans="2:24">
      <c r="B2154" t="s">
        <v>478</v>
      </c>
      <c r="C2154" t="s">
        <v>58</v>
      </c>
      <c r="D2154" t="s">
        <v>425</v>
      </c>
      <c r="E2154" t="s">
        <v>137</v>
      </c>
      <c r="F2154">
        <v>1</v>
      </c>
      <c r="G2154">
        <v>101</v>
      </c>
      <c r="H2154">
        <v>264</v>
      </c>
      <c r="I2154" s="122">
        <v>15789</v>
      </c>
      <c r="J2154" s="122">
        <v>14353</v>
      </c>
      <c r="K2154">
        <v>69</v>
      </c>
      <c r="L2154" s="122">
        <v>1915</v>
      </c>
      <c r="M2154" s="122">
        <v>1741</v>
      </c>
      <c r="N2154" s="122">
        <v>2235</v>
      </c>
      <c r="O2154">
        <v>828</v>
      </c>
      <c r="P2154">
        <v>351</v>
      </c>
      <c r="Q2154">
        <v>130</v>
      </c>
      <c r="R2154" s="122">
        <v>6356</v>
      </c>
      <c r="S2154" s="122">
        <v>2354</v>
      </c>
      <c r="T2154">
        <v>0</v>
      </c>
      <c r="U2154">
        <v>0</v>
      </c>
      <c r="V2154" s="122">
        <v>19406</v>
      </c>
      <c r="W2154" s="122">
        <f t="shared" si="66"/>
        <v>19406</v>
      </c>
      <c r="X2154" s="122">
        <f t="shared" si="67"/>
        <v>26646</v>
      </c>
    </row>
    <row r="2155" spans="2:24">
      <c r="B2155" t="s">
        <v>478</v>
      </c>
      <c r="C2155" t="s">
        <v>58</v>
      </c>
      <c r="D2155" t="s">
        <v>405</v>
      </c>
      <c r="E2155" t="s">
        <v>405</v>
      </c>
      <c r="F2155">
        <v>4</v>
      </c>
      <c r="G2155">
        <v>294</v>
      </c>
      <c r="H2155" s="122">
        <v>1033</v>
      </c>
      <c r="I2155" s="122">
        <v>39499</v>
      </c>
      <c r="J2155" s="122">
        <v>35909</v>
      </c>
      <c r="K2155">
        <v>69</v>
      </c>
      <c r="L2155" s="122">
        <v>5235</v>
      </c>
      <c r="M2155" s="122">
        <v>4655</v>
      </c>
      <c r="N2155" s="122">
        <v>5189</v>
      </c>
      <c r="O2155" s="122">
        <v>1922</v>
      </c>
      <c r="P2155" s="122">
        <v>1647</v>
      </c>
      <c r="Q2155">
        <v>610</v>
      </c>
      <c r="R2155" s="122">
        <v>19669</v>
      </c>
      <c r="S2155" s="122">
        <v>17881</v>
      </c>
      <c r="T2155" s="122">
        <v>4370</v>
      </c>
      <c r="U2155" s="122">
        <v>1619</v>
      </c>
      <c r="V2155" s="122">
        <v>62595</v>
      </c>
      <c r="W2155" s="122">
        <f t="shared" ref="W2155:W2218" si="68">SUM(ABS(J2155),ABS(M2155),ABS(O2155),ABS(Q2155),ABS(S2155),ABS(U2155))</f>
        <v>62596</v>
      </c>
      <c r="X2155" s="122">
        <f t="shared" ref="X2155:X2218" si="69">SUM(ABS(I2155),ABS(N2155),ABS(P2155),ABS(R2155),ABS(T2155),ABS(L2155))</f>
        <v>75609</v>
      </c>
    </row>
    <row r="2156" spans="2:24">
      <c r="B2156" t="s">
        <v>478</v>
      </c>
      <c r="C2156" t="s">
        <v>58</v>
      </c>
      <c r="D2156" t="s">
        <v>137</v>
      </c>
      <c r="E2156" t="s">
        <v>137</v>
      </c>
      <c r="F2156">
        <v>519</v>
      </c>
      <c r="G2156" s="122">
        <v>35145</v>
      </c>
      <c r="H2156" s="122">
        <v>136716</v>
      </c>
      <c r="I2156" s="122">
        <v>4714047</v>
      </c>
      <c r="J2156" s="122">
        <v>1745943</v>
      </c>
      <c r="K2156">
        <v>100</v>
      </c>
      <c r="L2156" s="122">
        <v>534702</v>
      </c>
      <c r="M2156" s="122">
        <v>243396</v>
      </c>
      <c r="N2156" s="122">
        <v>740988</v>
      </c>
      <c r="O2156" s="122">
        <v>274440</v>
      </c>
      <c r="P2156" s="122">
        <v>4111</v>
      </c>
      <c r="Q2156" s="122">
        <v>1523</v>
      </c>
      <c r="R2156" s="122">
        <v>3302672</v>
      </c>
      <c r="S2156" s="122">
        <v>1223212</v>
      </c>
      <c r="T2156" s="122">
        <v>3958</v>
      </c>
      <c r="U2156" s="122">
        <v>1466</v>
      </c>
      <c r="V2156" s="122">
        <v>3489979</v>
      </c>
      <c r="W2156" s="122">
        <f t="shared" si="68"/>
        <v>3489980</v>
      </c>
      <c r="X2156" s="122">
        <f t="shared" si="69"/>
        <v>9300478</v>
      </c>
    </row>
    <row r="2157" spans="2:24">
      <c r="B2157" t="s">
        <v>478</v>
      </c>
      <c r="C2157" t="s">
        <v>58</v>
      </c>
      <c r="D2157" t="s">
        <v>137</v>
      </c>
      <c r="E2157" t="s">
        <v>426</v>
      </c>
      <c r="F2157">
        <v>1</v>
      </c>
      <c r="G2157">
        <v>60</v>
      </c>
      <c r="H2157">
        <v>293</v>
      </c>
      <c r="I2157" s="122">
        <v>10691</v>
      </c>
      <c r="J2157" s="122">
        <v>3960</v>
      </c>
      <c r="K2157">
        <v>100</v>
      </c>
      <c r="L2157" s="122">
        <v>2673</v>
      </c>
      <c r="M2157">
        <v>990</v>
      </c>
      <c r="N2157" s="122">
        <v>1132</v>
      </c>
      <c r="O2157">
        <v>419</v>
      </c>
      <c r="P2157">
        <v>0</v>
      </c>
      <c r="Q2157">
        <v>0</v>
      </c>
      <c r="R2157" s="122">
        <v>2941</v>
      </c>
      <c r="S2157" s="122">
        <v>2674</v>
      </c>
      <c r="T2157">
        <v>0</v>
      </c>
      <c r="U2157">
        <v>0</v>
      </c>
      <c r="V2157" s="122">
        <v>8043</v>
      </c>
      <c r="W2157" s="122">
        <f t="shared" si="68"/>
        <v>8043</v>
      </c>
      <c r="X2157" s="122">
        <f t="shared" si="69"/>
        <v>17437</v>
      </c>
    </row>
    <row r="2158" spans="2:24">
      <c r="B2158" t="s">
        <v>478</v>
      </c>
      <c r="C2158" t="s">
        <v>58</v>
      </c>
      <c r="D2158" t="s">
        <v>406</v>
      </c>
      <c r="E2158" t="s">
        <v>406</v>
      </c>
      <c r="F2158">
        <v>84</v>
      </c>
      <c r="G2158" s="122">
        <v>8957</v>
      </c>
      <c r="H2158" s="122">
        <v>21375</v>
      </c>
      <c r="I2158" s="122">
        <v>1305040</v>
      </c>
      <c r="J2158" s="122">
        <v>1186400</v>
      </c>
      <c r="K2158">
        <v>82</v>
      </c>
      <c r="L2158" s="122">
        <v>265083</v>
      </c>
      <c r="M2158" s="122">
        <v>228699</v>
      </c>
      <c r="N2158" s="122">
        <v>176819</v>
      </c>
      <c r="O2158" s="122">
        <v>65488</v>
      </c>
      <c r="P2158" s="122">
        <v>54009</v>
      </c>
      <c r="Q2158" s="122">
        <v>20003</v>
      </c>
      <c r="R2158" s="122">
        <v>365197</v>
      </c>
      <c r="S2158" s="122">
        <v>331998</v>
      </c>
      <c r="T2158" s="122">
        <v>161678</v>
      </c>
      <c r="U2158" s="122">
        <v>59881</v>
      </c>
      <c r="V2158" s="122">
        <v>1892468</v>
      </c>
      <c r="W2158" s="122">
        <f t="shared" si="68"/>
        <v>1892469</v>
      </c>
      <c r="X2158" s="122">
        <f t="shared" si="69"/>
        <v>2327826</v>
      </c>
    </row>
    <row r="2159" spans="2:24">
      <c r="B2159" t="s">
        <v>478</v>
      </c>
      <c r="C2159" t="s">
        <v>58</v>
      </c>
      <c r="D2159" t="s">
        <v>407</v>
      </c>
      <c r="E2159" t="s">
        <v>407</v>
      </c>
      <c r="F2159">
        <v>9</v>
      </c>
      <c r="G2159">
        <v>573</v>
      </c>
      <c r="H2159" s="122">
        <v>2220</v>
      </c>
      <c r="I2159" s="122">
        <v>71764</v>
      </c>
      <c r="J2159" s="122">
        <v>65240</v>
      </c>
      <c r="K2159">
        <v>79</v>
      </c>
      <c r="L2159" s="122">
        <v>10580</v>
      </c>
      <c r="M2159" s="122">
        <v>8642</v>
      </c>
      <c r="N2159" s="122">
        <v>10816</v>
      </c>
      <c r="O2159" s="122">
        <v>4006</v>
      </c>
      <c r="P2159" s="122">
        <v>4010</v>
      </c>
      <c r="Q2159" s="122">
        <v>1485</v>
      </c>
      <c r="R2159" s="122">
        <v>39226</v>
      </c>
      <c r="S2159" s="122">
        <v>35660</v>
      </c>
      <c r="T2159" s="122">
        <v>4829</v>
      </c>
      <c r="U2159" s="122">
        <v>1788</v>
      </c>
      <c r="V2159" s="122">
        <v>116821</v>
      </c>
      <c r="W2159" s="122">
        <f t="shared" si="68"/>
        <v>116821</v>
      </c>
      <c r="X2159" s="122">
        <f t="shared" si="69"/>
        <v>141225</v>
      </c>
    </row>
    <row r="2160" spans="2:24">
      <c r="B2160" t="s">
        <v>478</v>
      </c>
      <c r="C2160" t="s">
        <v>58</v>
      </c>
      <c r="D2160" t="s">
        <v>556</v>
      </c>
      <c r="E2160" t="s">
        <v>556</v>
      </c>
      <c r="F2160">
        <v>9</v>
      </c>
      <c r="G2160">
        <v>587</v>
      </c>
      <c r="H2160" s="122">
        <v>2650</v>
      </c>
      <c r="I2160" s="122">
        <v>86907</v>
      </c>
      <c r="J2160" s="122">
        <v>72422</v>
      </c>
      <c r="K2160">
        <v>55</v>
      </c>
      <c r="L2160" s="122">
        <v>2475</v>
      </c>
      <c r="M2160">
        <v>917</v>
      </c>
      <c r="N2160" s="122">
        <v>10811</v>
      </c>
      <c r="O2160" s="122">
        <v>4004</v>
      </c>
      <c r="P2160" s="122">
        <v>3159</v>
      </c>
      <c r="Q2160" s="122">
        <v>1170</v>
      </c>
      <c r="R2160" s="122">
        <v>49282</v>
      </c>
      <c r="S2160" s="122">
        <v>41068</v>
      </c>
      <c r="T2160" s="122">
        <v>20255</v>
      </c>
      <c r="U2160" s="122">
        <v>7502</v>
      </c>
      <c r="V2160" s="122">
        <v>127083</v>
      </c>
      <c r="W2160" s="122">
        <f t="shared" si="68"/>
        <v>127083</v>
      </c>
      <c r="X2160" s="122">
        <f t="shared" si="69"/>
        <v>172889</v>
      </c>
    </row>
    <row r="2161" spans="2:24">
      <c r="B2161" t="s">
        <v>478</v>
      </c>
      <c r="C2161" t="s">
        <v>58</v>
      </c>
      <c r="D2161" t="s">
        <v>426</v>
      </c>
      <c r="E2161" t="s">
        <v>426</v>
      </c>
      <c r="F2161">
        <v>8</v>
      </c>
      <c r="G2161">
        <v>581</v>
      </c>
      <c r="H2161" s="122">
        <v>2109</v>
      </c>
      <c r="I2161" s="122">
        <v>83825</v>
      </c>
      <c r="J2161" s="122">
        <v>76205</v>
      </c>
      <c r="K2161">
        <v>62</v>
      </c>
      <c r="L2161" s="122">
        <v>5151</v>
      </c>
      <c r="M2161" s="122">
        <v>4682</v>
      </c>
      <c r="N2161" s="122">
        <v>11791</v>
      </c>
      <c r="O2161" s="122">
        <v>4367</v>
      </c>
      <c r="P2161" s="122">
        <v>3078</v>
      </c>
      <c r="Q2161" s="122">
        <v>1140</v>
      </c>
      <c r="R2161" s="122">
        <v>35643</v>
      </c>
      <c r="S2161" s="122">
        <v>32403</v>
      </c>
      <c r="T2161" s="122">
        <v>13261</v>
      </c>
      <c r="U2161" s="122">
        <v>4911</v>
      </c>
      <c r="V2161" s="122">
        <v>123708</v>
      </c>
      <c r="W2161" s="122">
        <f t="shared" si="68"/>
        <v>123708</v>
      </c>
      <c r="X2161" s="122">
        <f t="shared" si="69"/>
        <v>152749</v>
      </c>
    </row>
    <row r="2162" spans="2:24">
      <c r="B2162" t="s">
        <v>478</v>
      </c>
      <c r="C2162" t="s">
        <v>60</v>
      </c>
      <c r="F2162">
        <v>23</v>
      </c>
      <c r="G2162">
        <v>706</v>
      </c>
      <c r="H2162" s="122">
        <v>7469</v>
      </c>
      <c r="J2162">
        <v>0</v>
      </c>
      <c r="M2162">
        <v>0</v>
      </c>
      <c r="N2162" s="122">
        <v>16994</v>
      </c>
      <c r="O2162" s="122">
        <v>6294</v>
      </c>
      <c r="P2162">
        <v>621</v>
      </c>
      <c r="Q2162">
        <v>230</v>
      </c>
      <c r="S2162">
        <v>0</v>
      </c>
      <c r="T2162">
        <v>0</v>
      </c>
      <c r="U2162">
        <v>0</v>
      </c>
      <c r="V2162" s="122">
        <v>6524</v>
      </c>
      <c r="W2162" s="122">
        <f t="shared" si="68"/>
        <v>6524</v>
      </c>
      <c r="X2162" s="122">
        <f t="shared" si="69"/>
        <v>17615</v>
      </c>
    </row>
    <row r="2163" spans="2:24">
      <c r="B2163" t="s">
        <v>478</v>
      </c>
      <c r="C2163" t="s">
        <v>60</v>
      </c>
      <c r="D2163" t="s">
        <v>555</v>
      </c>
      <c r="E2163" t="s">
        <v>137</v>
      </c>
      <c r="F2163">
        <v>2</v>
      </c>
      <c r="G2163">
        <v>106</v>
      </c>
      <c r="H2163">
        <v>714</v>
      </c>
      <c r="I2163" s="122">
        <v>19940</v>
      </c>
      <c r="J2163" s="122">
        <v>18127</v>
      </c>
      <c r="K2163">
        <v>77</v>
      </c>
      <c r="L2163" s="122">
        <v>4187</v>
      </c>
      <c r="M2163" s="122">
        <v>1551</v>
      </c>
      <c r="N2163" s="122">
        <v>1958</v>
      </c>
      <c r="O2163">
        <v>725</v>
      </c>
      <c r="P2163">
        <v>0</v>
      </c>
      <c r="Q2163">
        <v>0</v>
      </c>
      <c r="R2163" s="122">
        <v>11663</v>
      </c>
      <c r="S2163" s="122">
        <v>4320</v>
      </c>
      <c r="T2163">
        <v>0</v>
      </c>
      <c r="U2163">
        <v>0</v>
      </c>
      <c r="V2163" s="122">
        <v>24723</v>
      </c>
      <c r="W2163" s="122">
        <f t="shared" si="68"/>
        <v>24723</v>
      </c>
      <c r="X2163" s="122">
        <f t="shared" si="69"/>
        <v>37748</v>
      </c>
    </row>
    <row r="2164" spans="2:24">
      <c r="B2164" t="s">
        <v>478</v>
      </c>
      <c r="C2164" t="s">
        <v>60</v>
      </c>
      <c r="D2164" t="s">
        <v>425</v>
      </c>
      <c r="E2164" t="s">
        <v>425</v>
      </c>
      <c r="F2164">
        <v>1</v>
      </c>
      <c r="G2164">
        <v>86</v>
      </c>
      <c r="H2164">
        <v>331</v>
      </c>
      <c r="I2164" s="122">
        <v>20123</v>
      </c>
      <c r="J2164" s="122">
        <v>18293</v>
      </c>
      <c r="K2164">
        <v>73</v>
      </c>
      <c r="L2164" s="122">
        <v>2821</v>
      </c>
      <c r="M2164" s="122">
        <v>2351</v>
      </c>
      <c r="N2164" s="122">
        <v>1991</v>
      </c>
      <c r="O2164">
        <v>737</v>
      </c>
      <c r="P2164">
        <v>473</v>
      </c>
      <c r="Q2164">
        <v>175</v>
      </c>
      <c r="R2164" s="122">
        <v>3216</v>
      </c>
      <c r="S2164" s="122">
        <v>2923</v>
      </c>
      <c r="T2164">
        <v>0</v>
      </c>
      <c r="U2164">
        <v>0</v>
      </c>
      <c r="V2164" s="122">
        <v>24480</v>
      </c>
      <c r="W2164" s="122">
        <f t="shared" si="68"/>
        <v>24479</v>
      </c>
      <c r="X2164" s="122">
        <f t="shared" si="69"/>
        <v>28624</v>
      </c>
    </row>
    <row r="2165" spans="2:24">
      <c r="B2165" t="s">
        <v>478</v>
      </c>
      <c r="C2165" t="s">
        <v>60</v>
      </c>
      <c r="D2165" t="s">
        <v>405</v>
      </c>
      <c r="E2165" t="s">
        <v>405</v>
      </c>
      <c r="F2165">
        <v>2</v>
      </c>
      <c r="G2165">
        <v>144</v>
      </c>
      <c r="H2165">
        <v>626</v>
      </c>
      <c r="I2165" s="122">
        <v>22881</v>
      </c>
      <c r="J2165" s="122">
        <v>20801</v>
      </c>
      <c r="K2165">
        <v>73</v>
      </c>
      <c r="L2165" s="122">
        <v>6141</v>
      </c>
      <c r="M2165" s="122">
        <v>5373</v>
      </c>
      <c r="N2165" s="122">
        <v>2328</v>
      </c>
      <c r="O2165">
        <v>862</v>
      </c>
      <c r="P2165">
        <v>945</v>
      </c>
      <c r="Q2165">
        <v>350</v>
      </c>
      <c r="R2165" s="122">
        <v>7877</v>
      </c>
      <c r="S2165" s="122">
        <v>7161</v>
      </c>
      <c r="T2165" s="122">
        <v>4734</v>
      </c>
      <c r="U2165" s="122">
        <v>1753</v>
      </c>
      <c r="V2165" s="122">
        <v>36301</v>
      </c>
      <c r="W2165" s="122">
        <f t="shared" si="68"/>
        <v>36300</v>
      </c>
      <c r="X2165" s="122">
        <f t="shared" si="69"/>
        <v>44906</v>
      </c>
    </row>
    <row r="2166" spans="2:24">
      <c r="B2166" t="s">
        <v>478</v>
      </c>
      <c r="C2166" t="s">
        <v>60</v>
      </c>
      <c r="D2166" t="s">
        <v>137</v>
      </c>
      <c r="E2166" t="s">
        <v>137</v>
      </c>
      <c r="F2166">
        <v>336</v>
      </c>
      <c r="G2166" s="122">
        <v>21333</v>
      </c>
      <c r="H2166" s="122">
        <v>112981</v>
      </c>
      <c r="I2166" s="122">
        <v>4201688</v>
      </c>
      <c r="J2166" s="122">
        <v>1556181</v>
      </c>
      <c r="K2166">
        <v>100</v>
      </c>
      <c r="L2166" s="122">
        <v>399576</v>
      </c>
      <c r="M2166" s="122">
        <v>208012</v>
      </c>
      <c r="N2166" s="122">
        <v>448090</v>
      </c>
      <c r="O2166" s="122">
        <v>165959</v>
      </c>
      <c r="P2166" s="122">
        <v>2727</v>
      </c>
      <c r="Q2166" s="122">
        <v>1010</v>
      </c>
      <c r="R2166" s="122">
        <v>2125953</v>
      </c>
      <c r="S2166" s="122">
        <v>787390</v>
      </c>
      <c r="T2166" s="122">
        <v>2019</v>
      </c>
      <c r="U2166">
        <v>748</v>
      </c>
      <c r="V2166" s="122">
        <v>2719300</v>
      </c>
      <c r="W2166" s="122">
        <f t="shared" si="68"/>
        <v>2719300</v>
      </c>
      <c r="X2166" s="122">
        <f t="shared" si="69"/>
        <v>7180053</v>
      </c>
    </row>
    <row r="2167" spans="2:24">
      <c r="B2167" t="s">
        <v>478</v>
      </c>
      <c r="C2167" t="s">
        <v>60</v>
      </c>
      <c r="D2167" t="s">
        <v>406</v>
      </c>
      <c r="E2167" t="s">
        <v>137</v>
      </c>
      <c r="F2167">
        <v>3</v>
      </c>
      <c r="G2167">
        <v>199</v>
      </c>
      <c r="H2167">
        <v>991</v>
      </c>
      <c r="I2167" s="122">
        <v>37264</v>
      </c>
      <c r="J2167" s="122">
        <v>33876</v>
      </c>
      <c r="K2167">
        <v>83</v>
      </c>
      <c r="L2167" s="122">
        <v>10843</v>
      </c>
      <c r="M2167" s="122">
        <v>11616</v>
      </c>
      <c r="N2167" s="122">
        <v>4366</v>
      </c>
      <c r="O2167" s="122">
        <v>1617</v>
      </c>
      <c r="P2167" s="122">
        <v>1863</v>
      </c>
      <c r="Q2167">
        <v>690</v>
      </c>
      <c r="R2167" s="122">
        <v>11883</v>
      </c>
      <c r="S2167" s="122">
        <v>4401</v>
      </c>
      <c r="T2167">
        <v>0</v>
      </c>
      <c r="U2167">
        <v>0</v>
      </c>
      <c r="V2167" s="122">
        <v>52200</v>
      </c>
      <c r="W2167" s="122">
        <f t="shared" si="68"/>
        <v>52200</v>
      </c>
      <c r="X2167" s="122">
        <f t="shared" si="69"/>
        <v>66219</v>
      </c>
    </row>
    <row r="2168" spans="2:24">
      <c r="B2168" t="s">
        <v>478</v>
      </c>
      <c r="C2168" t="s">
        <v>60</v>
      </c>
      <c r="D2168" t="s">
        <v>406</v>
      </c>
      <c r="E2168" t="s">
        <v>406</v>
      </c>
      <c r="F2168">
        <v>32</v>
      </c>
      <c r="G2168" s="122">
        <v>3062</v>
      </c>
      <c r="H2168" s="122">
        <v>10875</v>
      </c>
      <c r="I2168" s="122">
        <v>644053</v>
      </c>
      <c r="J2168" s="122">
        <v>585503</v>
      </c>
      <c r="K2168">
        <v>79</v>
      </c>
      <c r="L2168" s="122">
        <v>119733</v>
      </c>
      <c r="M2168" s="122">
        <v>102288</v>
      </c>
      <c r="N2168" s="122">
        <v>62870</v>
      </c>
      <c r="O2168" s="122">
        <v>23285</v>
      </c>
      <c r="P2168" s="122">
        <v>20345</v>
      </c>
      <c r="Q2168" s="122">
        <v>7535</v>
      </c>
      <c r="R2168" s="122">
        <v>144451</v>
      </c>
      <c r="S2168" s="122">
        <v>131319</v>
      </c>
      <c r="T2168" s="122">
        <v>51376</v>
      </c>
      <c r="U2168" s="122">
        <v>19028</v>
      </c>
      <c r="V2168" s="122">
        <v>868957</v>
      </c>
      <c r="W2168" s="122">
        <f t="shared" si="68"/>
        <v>868958</v>
      </c>
      <c r="X2168" s="122">
        <f t="shared" si="69"/>
        <v>1042828</v>
      </c>
    </row>
    <row r="2169" spans="2:24">
      <c r="B2169" t="s">
        <v>478</v>
      </c>
      <c r="C2169" t="s">
        <v>60</v>
      </c>
      <c r="D2169" t="s">
        <v>427</v>
      </c>
      <c r="E2169" t="s">
        <v>427</v>
      </c>
      <c r="F2169">
        <v>4</v>
      </c>
      <c r="G2169">
        <v>191</v>
      </c>
      <c r="H2169" s="122">
        <v>1349</v>
      </c>
      <c r="I2169" s="122">
        <v>27738</v>
      </c>
      <c r="J2169" s="122">
        <v>25217</v>
      </c>
      <c r="K2169">
        <v>55</v>
      </c>
      <c r="L2169">
        <v>0</v>
      </c>
      <c r="M2169">
        <v>0</v>
      </c>
      <c r="N2169" s="122">
        <v>4464</v>
      </c>
      <c r="O2169" s="122">
        <v>1653</v>
      </c>
      <c r="P2169" s="122">
        <v>1404</v>
      </c>
      <c r="Q2169">
        <v>520</v>
      </c>
      <c r="R2169" s="122">
        <v>21141</v>
      </c>
      <c r="S2169" s="122">
        <v>19219</v>
      </c>
      <c r="T2169" s="122">
        <v>9709</v>
      </c>
      <c r="U2169" s="122">
        <v>3596</v>
      </c>
      <c r="V2169" s="122">
        <v>50205</v>
      </c>
      <c r="W2169" s="122">
        <f t="shared" si="68"/>
        <v>50205</v>
      </c>
      <c r="X2169" s="122">
        <f t="shared" si="69"/>
        <v>64456</v>
      </c>
    </row>
    <row r="2170" spans="2:24">
      <c r="B2170" t="s">
        <v>478</v>
      </c>
      <c r="C2170" t="s">
        <v>60</v>
      </c>
      <c r="D2170" t="s">
        <v>556</v>
      </c>
      <c r="E2170" t="s">
        <v>556</v>
      </c>
      <c r="F2170">
        <v>11</v>
      </c>
      <c r="G2170">
        <v>673</v>
      </c>
      <c r="H2170" s="122">
        <v>3609</v>
      </c>
      <c r="I2170" s="122">
        <v>118709</v>
      </c>
      <c r="J2170" s="122">
        <v>98924</v>
      </c>
      <c r="K2170">
        <v>55</v>
      </c>
      <c r="L2170" s="122">
        <v>17518</v>
      </c>
      <c r="M2170" s="122">
        <v>10441</v>
      </c>
      <c r="N2170" s="122">
        <v>13062</v>
      </c>
      <c r="O2170" s="122">
        <v>4838</v>
      </c>
      <c r="P2170" s="122">
        <v>3861</v>
      </c>
      <c r="Q2170" s="122">
        <v>1430</v>
      </c>
      <c r="R2170" s="122">
        <v>47510</v>
      </c>
      <c r="S2170" s="122">
        <v>39592</v>
      </c>
      <c r="T2170" s="122">
        <v>20262</v>
      </c>
      <c r="U2170" s="122">
        <v>7504</v>
      </c>
      <c r="V2170" s="122">
        <v>162729</v>
      </c>
      <c r="W2170" s="122">
        <f t="shared" si="68"/>
        <v>162729</v>
      </c>
      <c r="X2170" s="122">
        <f t="shared" si="69"/>
        <v>220922</v>
      </c>
    </row>
    <row r="2171" spans="2:24">
      <c r="B2171" t="s">
        <v>478</v>
      </c>
      <c r="C2171" t="s">
        <v>60</v>
      </c>
      <c r="D2171" t="s">
        <v>426</v>
      </c>
      <c r="E2171" t="s">
        <v>137</v>
      </c>
      <c r="F2171">
        <v>1</v>
      </c>
      <c r="G2171">
        <v>53</v>
      </c>
      <c r="H2171">
        <v>324</v>
      </c>
      <c r="I2171" s="122">
        <v>9039</v>
      </c>
      <c r="J2171" s="122">
        <v>8218</v>
      </c>
      <c r="K2171">
        <v>60</v>
      </c>
      <c r="L2171" s="122">
        <v>1479</v>
      </c>
      <c r="M2171">
        <v>548</v>
      </c>
      <c r="N2171" s="122">
        <v>1124</v>
      </c>
      <c r="O2171">
        <v>416</v>
      </c>
      <c r="P2171">
        <v>0</v>
      </c>
      <c r="Q2171">
        <v>0</v>
      </c>
      <c r="R2171" s="122">
        <v>5411</v>
      </c>
      <c r="S2171" s="122">
        <v>2004</v>
      </c>
      <c r="T2171">
        <v>0</v>
      </c>
      <c r="U2171">
        <v>0</v>
      </c>
      <c r="V2171" s="122">
        <v>11186</v>
      </c>
      <c r="W2171" s="122">
        <f t="shared" si="68"/>
        <v>11186</v>
      </c>
      <c r="X2171" s="122">
        <f t="shared" si="69"/>
        <v>17053</v>
      </c>
    </row>
    <row r="2172" spans="2:24">
      <c r="B2172" t="s">
        <v>478</v>
      </c>
      <c r="C2172" t="s">
        <v>60</v>
      </c>
      <c r="D2172" t="s">
        <v>426</v>
      </c>
      <c r="E2172" t="s">
        <v>426</v>
      </c>
      <c r="F2172">
        <v>20</v>
      </c>
      <c r="G2172" s="122">
        <v>1458</v>
      </c>
      <c r="H2172" s="122">
        <v>6493</v>
      </c>
      <c r="I2172" s="122">
        <v>241851</v>
      </c>
      <c r="J2172" s="122">
        <v>219864</v>
      </c>
      <c r="K2172">
        <v>54</v>
      </c>
      <c r="L2172" s="122">
        <v>35784</v>
      </c>
      <c r="M2172" s="122">
        <v>16530</v>
      </c>
      <c r="N2172" s="122">
        <v>26668</v>
      </c>
      <c r="O2172" s="122">
        <v>9877</v>
      </c>
      <c r="P2172" s="122">
        <v>7290</v>
      </c>
      <c r="Q2172" s="122">
        <v>2700</v>
      </c>
      <c r="R2172" s="122">
        <v>113585</v>
      </c>
      <c r="S2172" s="122">
        <v>103259</v>
      </c>
      <c r="T2172" s="122">
        <v>52130</v>
      </c>
      <c r="U2172" s="122">
        <v>19308</v>
      </c>
      <c r="V2172" s="122">
        <v>371539</v>
      </c>
      <c r="W2172" s="122">
        <f t="shared" si="68"/>
        <v>371538</v>
      </c>
      <c r="X2172" s="122">
        <f t="shared" si="69"/>
        <v>477308</v>
      </c>
    </row>
    <row r="2173" spans="2:24">
      <c r="B2173" t="s">
        <v>478</v>
      </c>
      <c r="C2173" t="s">
        <v>62</v>
      </c>
      <c r="F2173">
        <v>1</v>
      </c>
      <c r="G2173">
        <v>31</v>
      </c>
      <c r="H2173">
        <v>422</v>
      </c>
      <c r="J2173">
        <v>0</v>
      </c>
      <c r="M2173">
        <v>0</v>
      </c>
      <c r="N2173">
        <v>372</v>
      </c>
      <c r="O2173">
        <v>138</v>
      </c>
      <c r="P2173">
        <v>621</v>
      </c>
      <c r="Q2173">
        <v>230</v>
      </c>
      <c r="S2173">
        <v>0</v>
      </c>
      <c r="T2173" s="122">
        <v>1903</v>
      </c>
      <c r="U2173">
        <v>705</v>
      </c>
      <c r="V2173" s="122">
        <v>1073</v>
      </c>
      <c r="W2173" s="122">
        <f t="shared" si="68"/>
        <v>1073</v>
      </c>
      <c r="X2173" s="122">
        <f t="shared" si="69"/>
        <v>2896</v>
      </c>
    </row>
    <row r="2174" spans="2:24">
      <c r="B2174" t="s">
        <v>478</v>
      </c>
      <c r="C2174" t="s">
        <v>62</v>
      </c>
      <c r="D2174" t="s">
        <v>405</v>
      </c>
      <c r="E2174" t="s">
        <v>405</v>
      </c>
      <c r="F2174">
        <v>1</v>
      </c>
      <c r="G2174">
        <v>70</v>
      </c>
      <c r="H2174">
        <v>381</v>
      </c>
      <c r="I2174" s="122">
        <v>17509</v>
      </c>
      <c r="J2174" s="122">
        <v>15917</v>
      </c>
      <c r="K2174">
        <v>73</v>
      </c>
      <c r="L2174" s="122">
        <v>2328</v>
      </c>
      <c r="M2174" s="122">
        <v>2116</v>
      </c>
      <c r="N2174" s="122">
        <v>1280</v>
      </c>
      <c r="O2174">
        <v>474</v>
      </c>
      <c r="P2174">
        <v>473</v>
      </c>
      <c r="Q2174">
        <v>175</v>
      </c>
      <c r="R2174" s="122">
        <v>3069</v>
      </c>
      <c r="S2174" s="122">
        <v>2790</v>
      </c>
      <c r="T2174" s="122">
        <v>2030</v>
      </c>
      <c r="U2174">
        <v>752</v>
      </c>
      <c r="V2174" s="122">
        <v>22224</v>
      </c>
      <c r="W2174" s="122">
        <f t="shared" si="68"/>
        <v>22224</v>
      </c>
      <c r="X2174" s="122">
        <f t="shared" si="69"/>
        <v>26689</v>
      </c>
    </row>
    <row r="2175" spans="2:24">
      <c r="B2175" t="s">
        <v>478</v>
      </c>
      <c r="C2175" t="s">
        <v>62</v>
      </c>
      <c r="D2175" t="s">
        <v>137</v>
      </c>
      <c r="E2175" t="s">
        <v>137</v>
      </c>
      <c r="F2175">
        <v>95</v>
      </c>
      <c r="G2175" s="122">
        <v>5915</v>
      </c>
      <c r="H2175" s="122">
        <v>38661</v>
      </c>
      <c r="I2175" s="122">
        <v>1506937</v>
      </c>
      <c r="J2175" s="122">
        <v>558125</v>
      </c>
      <c r="K2175">
        <v>100</v>
      </c>
      <c r="L2175" s="122">
        <v>161601</v>
      </c>
      <c r="M2175" s="122">
        <v>90637</v>
      </c>
      <c r="N2175" s="122">
        <v>122617</v>
      </c>
      <c r="O2175" s="122">
        <v>45414</v>
      </c>
      <c r="P2175" s="122">
        <v>1755</v>
      </c>
      <c r="Q2175">
        <v>650</v>
      </c>
      <c r="R2175" s="122">
        <v>600966</v>
      </c>
      <c r="S2175" s="122">
        <v>222580</v>
      </c>
      <c r="T2175" s="122">
        <v>1968</v>
      </c>
      <c r="U2175">
        <v>729</v>
      </c>
      <c r="V2175" s="122">
        <v>918134</v>
      </c>
      <c r="W2175" s="122">
        <f t="shared" si="68"/>
        <v>918135</v>
      </c>
      <c r="X2175" s="122">
        <f t="shared" si="69"/>
        <v>2395844</v>
      </c>
    </row>
    <row r="2176" spans="2:24">
      <c r="B2176" t="s">
        <v>478</v>
      </c>
      <c r="C2176" t="s">
        <v>62</v>
      </c>
      <c r="D2176" t="s">
        <v>406</v>
      </c>
      <c r="E2176" t="s">
        <v>406</v>
      </c>
      <c r="F2176">
        <v>13</v>
      </c>
      <c r="G2176" s="122">
        <v>1290</v>
      </c>
      <c r="H2176" s="122">
        <v>5410</v>
      </c>
      <c r="I2176" s="122">
        <v>358418</v>
      </c>
      <c r="J2176" s="122">
        <v>325834</v>
      </c>
      <c r="K2176">
        <v>77</v>
      </c>
      <c r="L2176" s="122">
        <v>54016</v>
      </c>
      <c r="M2176" s="122">
        <v>49106</v>
      </c>
      <c r="N2176" s="122">
        <v>26201</v>
      </c>
      <c r="O2176" s="122">
        <v>9704</v>
      </c>
      <c r="P2176" s="122">
        <v>8073</v>
      </c>
      <c r="Q2176" s="122">
        <v>2990</v>
      </c>
      <c r="R2176" s="122">
        <v>64475</v>
      </c>
      <c r="S2176" s="122">
        <v>58614</v>
      </c>
      <c r="T2176" s="122">
        <v>23397</v>
      </c>
      <c r="U2176" s="122">
        <v>8666</v>
      </c>
      <c r="V2176" s="122">
        <v>454913</v>
      </c>
      <c r="W2176" s="122">
        <f t="shared" si="68"/>
        <v>454914</v>
      </c>
      <c r="X2176" s="122">
        <f t="shared" si="69"/>
        <v>534580</v>
      </c>
    </row>
    <row r="2177" spans="2:24">
      <c r="B2177" t="s">
        <v>478</v>
      </c>
      <c r="C2177" t="s">
        <v>62</v>
      </c>
      <c r="D2177" t="s">
        <v>427</v>
      </c>
      <c r="E2177" t="s">
        <v>427</v>
      </c>
      <c r="F2177">
        <v>5</v>
      </c>
      <c r="G2177">
        <v>204</v>
      </c>
      <c r="H2177" s="122">
        <v>2095</v>
      </c>
      <c r="I2177" s="122">
        <v>46124</v>
      </c>
      <c r="J2177" s="122">
        <v>41931</v>
      </c>
      <c r="K2177">
        <v>55</v>
      </c>
      <c r="L2177">
        <v>0</v>
      </c>
      <c r="M2177">
        <v>0</v>
      </c>
      <c r="N2177" s="122">
        <v>2997</v>
      </c>
      <c r="O2177" s="122">
        <v>1110</v>
      </c>
      <c r="P2177" s="122">
        <v>1755</v>
      </c>
      <c r="Q2177">
        <v>650</v>
      </c>
      <c r="R2177" s="122">
        <v>22510</v>
      </c>
      <c r="S2177" s="122">
        <v>20464</v>
      </c>
      <c r="T2177" s="122">
        <v>11706</v>
      </c>
      <c r="U2177" s="122">
        <v>4336</v>
      </c>
      <c r="V2177" s="122">
        <v>68491</v>
      </c>
      <c r="W2177" s="122">
        <f t="shared" si="68"/>
        <v>68491</v>
      </c>
      <c r="X2177" s="122">
        <f t="shared" si="69"/>
        <v>85092</v>
      </c>
    </row>
    <row r="2178" spans="2:24">
      <c r="B2178" t="s">
        <v>478</v>
      </c>
      <c r="C2178" t="s">
        <v>62</v>
      </c>
      <c r="D2178" t="s">
        <v>407</v>
      </c>
      <c r="E2178" t="s">
        <v>137</v>
      </c>
      <c r="F2178">
        <v>1</v>
      </c>
      <c r="G2178">
        <v>146</v>
      </c>
      <c r="H2178">
        <v>384</v>
      </c>
      <c r="I2178" s="122">
        <v>35045</v>
      </c>
      <c r="J2178" s="122">
        <v>31859</v>
      </c>
      <c r="K2178">
        <v>73</v>
      </c>
      <c r="L2178" s="122">
        <v>9008</v>
      </c>
      <c r="M2178" s="122">
        <v>8189</v>
      </c>
      <c r="N2178" s="122">
        <v>3564</v>
      </c>
      <c r="O2178" s="122">
        <v>1320</v>
      </c>
      <c r="P2178">
        <v>473</v>
      </c>
      <c r="Q2178">
        <v>175</v>
      </c>
      <c r="R2178" s="122">
        <v>8079</v>
      </c>
      <c r="S2178" s="122">
        <v>2992</v>
      </c>
      <c r="T2178">
        <v>0</v>
      </c>
      <c r="U2178">
        <v>0</v>
      </c>
      <c r="V2178" s="122">
        <v>44535</v>
      </c>
      <c r="W2178" s="122">
        <f t="shared" si="68"/>
        <v>44535</v>
      </c>
      <c r="X2178" s="122">
        <f t="shared" si="69"/>
        <v>56169</v>
      </c>
    </row>
    <row r="2179" spans="2:24">
      <c r="B2179" t="s">
        <v>478</v>
      </c>
      <c r="C2179" t="s">
        <v>62</v>
      </c>
      <c r="D2179" t="s">
        <v>556</v>
      </c>
      <c r="E2179" t="s">
        <v>137</v>
      </c>
      <c r="F2179">
        <v>1</v>
      </c>
      <c r="G2179">
        <v>65</v>
      </c>
      <c r="H2179">
        <v>443</v>
      </c>
      <c r="I2179" s="122">
        <v>19756</v>
      </c>
      <c r="J2179" s="122">
        <v>16464</v>
      </c>
      <c r="K2179">
        <v>60</v>
      </c>
      <c r="L2179" s="122">
        <v>2963</v>
      </c>
      <c r="M2179" s="122">
        <v>1098</v>
      </c>
      <c r="N2179" s="122">
        <v>1381</v>
      </c>
      <c r="O2179">
        <v>512</v>
      </c>
      <c r="P2179">
        <v>0</v>
      </c>
      <c r="Q2179">
        <v>0</v>
      </c>
      <c r="R2179" s="122">
        <v>4581</v>
      </c>
      <c r="S2179" s="122">
        <v>1697</v>
      </c>
      <c r="T2179">
        <v>0</v>
      </c>
      <c r="U2179">
        <v>0</v>
      </c>
      <c r="V2179" s="122">
        <v>19770</v>
      </c>
      <c r="W2179" s="122">
        <f t="shared" si="68"/>
        <v>19771</v>
      </c>
      <c r="X2179" s="122">
        <f t="shared" si="69"/>
        <v>28681</v>
      </c>
    </row>
    <row r="2180" spans="2:24">
      <c r="B2180" t="s">
        <v>478</v>
      </c>
      <c r="C2180" t="s">
        <v>62</v>
      </c>
      <c r="D2180" t="s">
        <v>556</v>
      </c>
      <c r="E2180" t="s">
        <v>556</v>
      </c>
      <c r="F2180">
        <v>7</v>
      </c>
      <c r="G2180">
        <v>393</v>
      </c>
      <c r="H2180" s="122">
        <v>2958</v>
      </c>
      <c r="I2180" s="122">
        <v>103362</v>
      </c>
      <c r="J2180" s="122">
        <v>86135</v>
      </c>
      <c r="K2180">
        <v>56</v>
      </c>
      <c r="L2180" s="122">
        <v>6683</v>
      </c>
      <c r="M2180" s="122">
        <v>2475</v>
      </c>
      <c r="N2180" s="122">
        <v>7818</v>
      </c>
      <c r="O2180" s="122">
        <v>2895</v>
      </c>
      <c r="P2180" s="122">
        <v>2457</v>
      </c>
      <c r="Q2180">
        <v>910</v>
      </c>
      <c r="R2180" s="122">
        <v>36476</v>
      </c>
      <c r="S2180" s="122">
        <v>30397</v>
      </c>
      <c r="T2180" s="122">
        <v>9335</v>
      </c>
      <c r="U2180" s="122">
        <v>3457</v>
      </c>
      <c r="V2180" s="122">
        <v>126270</v>
      </c>
      <c r="W2180" s="122">
        <f t="shared" si="68"/>
        <v>126269</v>
      </c>
      <c r="X2180" s="122">
        <f t="shared" si="69"/>
        <v>166131</v>
      </c>
    </row>
    <row r="2181" spans="2:24">
      <c r="B2181" t="s">
        <v>478</v>
      </c>
      <c r="C2181" t="s">
        <v>62</v>
      </c>
      <c r="D2181" t="s">
        <v>426</v>
      </c>
      <c r="E2181" t="s">
        <v>137</v>
      </c>
      <c r="F2181">
        <v>1</v>
      </c>
      <c r="G2181">
        <v>52</v>
      </c>
      <c r="H2181">
        <v>412</v>
      </c>
      <c r="I2181" s="122">
        <v>12841</v>
      </c>
      <c r="J2181" s="122">
        <v>11674</v>
      </c>
      <c r="K2181">
        <v>60</v>
      </c>
      <c r="L2181" s="122">
        <v>2101</v>
      </c>
      <c r="M2181">
        <v>778</v>
      </c>
      <c r="N2181" s="122">
        <v>1270</v>
      </c>
      <c r="O2181">
        <v>470</v>
      </c>
      <c r="P2181">
        <v>0</v>
      </c>
      <c r="Q2181">
        <v>0</v>
      </c>
      <c r="R2181" s="122">
        <v>5251</v>
      </c>
      <c r="S2181" s="122">
        <v>1945</v>
      </c>
      <c r="T2181">
        <v>0</v>
      </c>
      <c r="U2181">
        <v>0</v>
      </c>
      <c r="V2181" s="122">
        <v>14867</v>
      </c>
      <c r="W2181" s="122">
        <f t="shared" si="68"/>
        <v>14867</v>
      </c>
      <c r="X2181" s="122">
        <f t="shared" si="69"/>
        <v>21463</v>
      </c>
    </row>
    <row r="2182" spans="2:24">
      <c r="B2182" t="s">
        <v>478</v>
      </c>
      <c r="C2182" t="s">
        <v>62</v>
      </c>
      <c r="D2182" t="s">
        <v>426</v>
      </c>
      <c r="E2182" t="s">
        <v>426</v>
      </c>
      <c r="F2182">
        <v>6</v>
      </c>
      <c r="G2182">
        <v>503</v>
      </c>
      <c r="H2182" s="122">
        <v>2535</v>
      </c>
      <c r="I2182" s="122">
        <v>132197</v>
      </c>
      <c r="J2182" s="122">
        <v>120179</v>
      </c>
      <c r="K2182">
        <v>57</v>
      </c>
      <c r="L2182" s="122">
        <v>27320</v>
      </c>
      <c r="M2182" s="122">
        <v>10119</v>
      </c>
      <c r="N2182" s="122">
        <v>11651</v>
      </c>
      <c r="O2182" s="122">
        <v>4315</v>
      </c>
      <c r="P2182" s="122">
        <v>1755</v>
      </c>
      <c r="Q2182">
        <v>650</v>
      </c>
      <c r="R2182" s="122">
        <v>30270</v>
      </c>
      <c r="S2182" s="122">
        <v>27518</v>
      </c>
      <c r="T2182" s="122">
        <v>14099</v>
      </c>
      <c r="U2182" s="122">
        <v>5222</v>
      </c>
      <c r="V2182" s="122">
        <v>168003</v>
      </c>
      <c r="W2182" s="122">
        <f t="shared" si="68"/>
        <v>168003</v>
      </c>
      <c r="X2182" s="122">
        <f t="shared" si="69"/>
        <v>217292</v>
      </c>
    </row>
    <row r="2183" spans="2:24">
      <c r="B2183" t="s">
        <v>478</v>
      </c>
      <c r="C2183" t="s">
        <v>62</v>
      </c>
      <c r="D2183" t="s">
        <v>433</v>
      </c>
      <c r="E2183" t="s">
        <v>137</v>
      </c>
      <c r="F2183">
        <v>1</v>
      </c>
      <c r="G2183">
        <v>46</v>
      </c>
      <c r="H2183">
        <v>432</v>
      </c>
      <c r="I2183" s="122">
        <v>10514</v>
      </c>
      <c r="J2183" s="122">
        <v>9558</v>
      </c>
      <c r="K2183">
        <v>74</v>
      </c>
      <c r="L2183" s="122">
        <v>2116</v>
      </c>
      <c r="M2183">
        <v>784</v>
      </c>
      <c r="N2183" s="122">
        <v>1125</v>
      </c>
      <c r="O2183">
        <v>417</v>
      </c>
      <c r="P2183">
        <v>0</v>
      </c>
      <c r="Q2183">
        <v>0</v>
      </c>
      <c r="R2183" s="122">
        <v>6204</v>
      </c>
      <c r="S2183" s="122">
        <v>2298</v>
      </c>
      <c r="T2183">
        <v>0</v>
      </c>
      <c r="U2183">
        <v>0</v>
      </c>
      <c r="V2183" s="122">
        <v>13056</v>
      </c>
      <c r="W2183" s="122">
        <f t="shared" si="68"/>
        <v>13057</v>
      </c>
      <c r="X2183" s="122">
        <f t="shared" si="69"/>
        <v>19959</v>
      </c>
    </row>
    <row r="2184" spans="2:24">
      <c r="B2184" t="s">
        <v>478</v>
      </c>
      <c r="C2184" t="s">
        <v>64</v>
      </c>
      <c r="F2184">
        <v>1</v>
      </c>
      <c r="G2184">
        <v>97</v>
      </c>
      <c r="H2184">
        <v>479</v>
      </c>
      <c r="J2184">
        <v>0</v>
      </c>
      <c r="M2184">
        <v>0</v>
      </c>
      <c r="N2184" s="122">
        <v>2197</v>
      </c>
      <c r="O2184">
        <v>814</v>
      </c>
      <c r="P2184">
        <v>621</v>
      </c>
      <c r="Q2184">
        <v>230</v>
      </c>
      <c r="S2184">
        <v>0</v>
      </c>
      <c r="T2184">
        <v>0</v>
      </c>
      <c r="U2184">
        <v>0</v>
      </c>
      <c r="V2184" s="122">
        <v>1044</v>
      </c>
      <c r="W2184" s="122">
        <f t="shared" si="68"/>
        <v>1044</v>
      </c>
      <c r="X2184" s="122">
        <f t="shared" si="69"/>
        <v>2818</v>
      </c>
    </row>
    <row r="2185" spans="2:24">
      <c r="B2185" t="s">
        <v>478</v>
      </c>
      <c r="C2185" t="s">
        <v>64</v>
      </c>
      <c r="D2185" t="s">
        <v>405</v>
      </c>
      <c r="E2185" t="s">
        <v>405</v>
      </c>
      <c r="F2185">
        <v>1</v>
      </c>
      <c r="G2185">
        <v>83</v>
      </c>
      <c r="H2185">
        <v>533</v>
      </c>
      <c r="I2185" s="122">
        <v>28791</v>
      </c>
      <c r="J2185" s="122">
        <v>26174</v>
      </c>
      <c r="K2185">
        <v>73</v>
      </c>
      <c r="L2185" s="122">
        <v>8073</v>
      </c>
      <c r="M2185" s="122">
        <v>6728</v>
      </c>
      <c r="N2185" s="122">
        <v>2034</v>
      </c>
      <c r="O2185">
        <v>753</v>
      </c>
      <c r="P2185">
        <v>473</v>
      </c>
      <c r="Q2185">
        <v>175</v>
      </c>
      <c r="R2185" s="122">
        <v>5081</v>
      </c>
      <c r="S2185" s="122">
        <v>4619</v>
      </c>
      <c r="T2185">
        <v>0</v>
      </c>
      <c r="U2185">
        <v>0</v>
      </c>
      <c r="V2185" s="122">
        <v>38449</v>
      </c>
      <c r="W2185" s="122">
        <f t="shared" si="68"/>
        <v>38449</v>
      </c>
      <c r="X2185" s="122">
        <f t="shared" si="69"/>
        <v>44452</v>
      </c>
    </row>
    <row r="2186" spans="2:24">
      <c r="B2186" t="s">
        <v>478</v>
      </c>
      <c r="C2186" t="s">
        <v>64</v>
      </c>
      <c r="D2186" t="s">
        <v>137</v>
      </c>
      <c r="E2186" t="s">
        <v>137</v>
      </c>
      <c r="F2186">
        <v>123</v>
      </c>
      <c r="G2186" s="122">
        <v>6562</v>
      </c>
      <c r="H2186" s="122">
        <v>77121</v>
      </c>
      <c r="I2186" s="122">
        <v>2882621</v>
      </c>
      <c r="J2186" s="122">
        <v>1067637</v>
      </c>
      <c r="K2186">
        <v>100</v>
      </c>
      <c r="L2186" s="122">
        <v>339514</v>
      </c>
      <c r="M2186" s="122">
        <v>168450</v>
      </c>
      <c r="N2186" s="122">
        <v>135882</v>
      </c>
      <c r="O2186" s="122">
        <v>50327</v>
      </c>
      <c r="P2186">
        <v>702</v>
      </c>
      <c r="Q2186">
        <v>260</v>
      </c>
      <c r="R2186" s="122">
        <v>650907</v>
      </c>
      <c r="S2186" s="122">
        <v>241077</v>
      </c>
      <c r="T2186">
        <v>0</v>
      </c>
      <c r="U2186">
        <v>0</v>
      </c>
      <c r="V2186" s="122">
        <v>1527751</v>
      </c>
      <c r="W2186" s="122">
        <f t="shared" si="68"/>
        <v>1527751</v>
      </c>
      <c r="X2186" s="122">
        <f t="shared" si="69"/>
        <v>4009626</v>
      </c>
    </row>
    <row r="2187" spans="2:24">
      <c r="B2187" t="s">
        <v>478</v>
      </c>
      <c r="C2187" t="s">
        <v>64</v>
      </c>
      <c r="D2187" t="s">
        <v>406</v>
      </c>
      <c r="E2187" t="s">
        <v>425</v>
      </c>
      <c r="F2187">
        <v>1</v>
      </c>
      <c r="G2187">
        <v>210</v>
      </c>
      <c r="H2187">
        <v>473</v>
      </c>
      <c r="I2187" s="122">
        <v>78047</v>
      </c>
      <c r="J2187" s="122">
        <v>70952</v>
      </c>
      <c r="K2187">
        <v>70</v>
      </c>
      <c r="L2187" s="122">
        <v>9611</v>
      </c>
      <c r="M2187" s="122">
        <v>8738</v>
      </c>
      <c r="N2187" s="122">
        <v>4733</v>
      </c>
      <c r="O2187" s="122">
        <v>1753</v>
      </c>
      <c r="P2187">
        <v>621</v>
      </c>
      <c r="Q2187">
        <v>230</v>
      </c>
      <c r="R2187" s="122">
        <v>6345</v>
      </c>
      <c r="S2187" s="122">
        <v>5768</v>
      </c>
      <c r="T2187">
        <v>0</v>
      </c>
      <c r="U2187">
        <v>0</v>
      </c>
      <c r="V2187" s="122">
        <v>87440</v>
      </c>
      <c r="W2187" s="122">
        <f t="shared" si="68"/>
        <v>87441</v>
      </c>
      <c r="X2187" s="122">
        <f t="shared" si="69"/>
        <v>99357</v>
      </c>
    </row>
    <row r="2188" spans="2:24">
      <c r="B2188" t="s">
        <v>478</v>
      </c>
      <c r="C2188" t="s">
        <v>64</v>
      </c>
      <c r="D2188" t="s">
        <v>406</v>
      </c>
      <c r="E2188" t="s">
        <v>406</v>
      </c>
      <c r="F2188">
        <v>11</v>
      </c>
      <c r="G2188">
        <v>858</v>
      </c>
      <c r="H2188" s="122">
        <v>6015</v>
      </c>
      <c r="I2188" s="122">
        <v>294274</v>
      </c>
      <c r="J2188" s="122">
        <v>267522</v>
      </c>
      <c r="K2188">
        <v>78</v>
      </c>
      <c r="L2188" s="122">
        <v>64471</v>
      </c>
      <c r="M2188" s="122">
        <v>52659</v>
      </c>
      <c r="N2188" s="122">
        <v>19490</v>
      </c>
      <c r="O2188" s="122">
        <v>7218</v>
      </c>
      <c r="P2188" s="122">
        <v>6831</v>
      </c>
      <c r="Q2188" s="122">
        <v>2530</v>
      </c>
      <c r="R2188" s="122">
        <v>50842</v>
      </c>
      <c r="S2188" s="122">
        <v>46220</v>
      </c>
      <c r="T2188" s="122">
        <v>21795</v>
      </c>
      <c r="U2188" s="122">
        <v>8072</v>
      </c>
      <c r="V2188" s="122">
        <v>384222</v>
      </c>
      <c r="W2188" s="122">
        <f t="shared" si="68"/>
        <v>384221</v>
      </c>
      <c r="X2188" s="122">
        <f t="shared" si="69"/>
        <v>457703</v>
      </c>
    </row>
    <row r="2189" spans="2:24">
      <c r="B2189" t="s">
        <v>478</v>
      </c>
      <c r="C2189" t="s">
        <v>64</v>
      </c>
      <c r="D2189" t="s">
        <v>427</v>
      </c>
      <c r="E2189" t="s">
        <v>427</v>
      </c>
      <c r="F2189">
        <v>2</v>
      </c>
      <c r="G2189">
        <v>90</v>
      </c>
      <c r="H2189">
        <v>940</v>
      </c>
      <c r="I2189" s="122">
        <v>22426</v>
      </c>
      <c r="J2189" s="122">
        <v>20387</v>
      </c>
      <c r="K2189">
        <v>55</v>
      </c>
      <c r="L2189" s="122">
        <v>4838</v>
      </c>
      <c r="M2189" s="122">
        <v>3394</v>
      </c>
      <c r="N2189" s="122">
        <v>1468</v>
      </c>
      <c r="O2189">
        <v>544</v>
      </c>
      <c r="P2189">
        <v>702</v>
      </c>
      <c r="Q2189">
        <v>260</v>
      </c>
      <c r="R2189" s="122">
        <v>8681</v>
      </c>
      <c r="S2189" s="122">
        <v>7892</v>
      </c>
      <c r="T2189" s="122">
        <v>4685</v>
      </c>
      <c r="U2189" s="122">
        <v>1735</v>
      </c>
      <c r="V2189" s="122">
        <v>34212</v>
      </c>
      <c r="W2189" s="122">
        <f t="shared" si="68"/>
        <v>34212</v>
      </c>
      <c r="X2189" s="122">
        <f t="shared" si="69"/>
        <v>42800</v>
      </c>
    </row>
    <row r="2190" spans="2:24">
      <c r="B2190" t="s">
        <v>478</v>
      </c>
      <c r="C2190" t="s">
        <v>64</v>
      </c>
      <c r="D2190" t="s">
        <v>556</v>
      </c>
      <c r="E2190" t="s">
        <v>137</v>
      </c>
      <c r="F2190">
        <v>1</v>
      </c>
      <c r="G2190">
        <v>40</v>
      </c>
      <c r="H2190" s="122">
        <v>1710</v>
      </c>
      <c r="I2190" s="122">
        <v>40780</v>
      </c>
      <c r="J2190" s="122">
        <v>33984</v>
      </c>
      <c r="K2190">
        <v>30</v>
      </c>
      <c r="L2190" s="122">
        <v>3059</v>
      </c>
      <c r="M2190" s="122">
        <v>1133</v>
      </c>
      <c r="N2190">
        <v>726</v>
      </c>
      <c r="O2190">
        <v>269</v>
      </c>
      <c r="P2190">
        <v>0</v>
      </c>
      <c r="Q2190">
        <v>0</v>
      </c>
      <c r="R2190" s="122">
        <v>23313</v>
      </c>
      <c r="S2190" s="122">
        <v>8634</v>
      </c>
      <c r="T2190">
        <v>0</v>
      </c>
      <c r="U2190">
        <v>0</v>
      </c>
      <c r="V2190" s="122">
        <v>44019</v>
      </c>
      <c r="W2190" s="122">
        <f t="shared" si="68"/>
        <v>44020</v>
      </c>
      <c r="X2190" s="122">
        <f t="shared" si="69"/>
        <v>67878</v>
      </c>
    </row>
    <row r="2191" spans="2:24">
      <c r="B2191" t="s">
        <v>478</v>
      </c>
      <c r="C2191" t="s">
        <v>64</v>
      </c>
      <c r="D2191" t="s">
        <v>556</v>
      </c>
      <c r="E2191" t="s">
        <v>556</v>
      </c>
      <c r="F2191">
        <v>9</v>
      </c>
      <c r="G2191">
        <v>508</v>
      </c>
      <c r="H2191" s="122">
        <v>4848</v>
      </c>
      <c r="I2191" s="122">
        <v>195414</v>
      </c>
      <c r="J2191" s="122">
        <v>162845</v>
      </c>
      <c r="K2191">
        <v>57</v>
      </c>
      <c r="L2191" s="122">
        <v>16666</v>
      </c>
      <c r="M2191" s="122">
        <v>6173</v>
      </c>
      <c r="N2191" s="122">
        <v>11333</v>
      </c>
      <c r="O2191" s="122">
        <v>4197</v>
      </c>
      <c r="P2191" s="122">
        <v>3159</v>
      </c>
      <c r="Q2191" s="122">
        <v>1170</v>
      </c>
      <c r="R2191" s="122">
        <v>40828</v>
      </c>
      <c r="S2191" s="122">
        <v>34024</v>
      </c>
      <c r="T2191" s="122">
        <v>12525</v>
      </c>
      <c r="U2191" s="122">
        <v>4639</v>
      </c>
      <c r="V2191" s="122">
        <v>213048</v>
      </c>
      <c r="W2191" s="122">
        <f t="shared" si="68"/>
        <v>213048</v>
      </c>
      <c r="X2191" s="122">
        <f t="shared" si="69"/>
        <v>279925</v>
      </c>
    </row>
    <row r="2192" spans="2:24">
      <c r="B2192" t="s">
        <v>478</v>
      </c>
      <c r="C2192" t="s">
        <v>64</v>
      </c>
      <c r="D2192" t="s">
        <v>426</v>
      </c>
      <c r="E2192" t="s">
        <v>137</v>
      </c>
      <c r="F2192">
        <v>2</v>
      </c>
      <c r="G2192">
        <v>81</v>
      </c>
      <c r="H2192" s="122">
        <v>1348</v>
      </c>
      <c r="I2192" s="122">
        <v>39447</v>
      </c>
      <c r="J2192" s="122">
        <v>35861</v>
      </c>
      <c r="K2192">
        <v>63</v>
      </c>
      <c r="L2192" s="122">
        <v>4628</v>
      </c>
      <c r="M2192" s="122">
        <v>1714</v>
      </c>
      <c r="N2192" s="122">
        <v>1980</v>
      </c>
      <c r="O2192">
        <v>733</v>
      </c>
      <c r="P2192">
        <v>351</v>
      </c>
      <c r="Q2192">
        <v>130</v>
      </c>
      <c r="R2192" s="122">
        <v>7929</v>
      </c>
      <c r="S2192" s="122">
        <v>2937</v>
      </c>
      <c r="T2192">
        <v>0</v>
      </c>
      <c r="U2192">
        <v>0</v>
      </c>
      <c r="V2192" s="122">
        <v>41375</v>
      </c>
      <c r="W2192" s="122">
        <f t="shared" si="68"/>
        <v>41375</v>
      </c>
      <c r="X2192" s="122">
        <f t="shared" si="69"/>
        <v>54335</v>
      </c>
    </row>
    <row r="2193" spans="2:24">
      <c r="B2193" t="s">
        <v>478</v>
      </c>
      <c r="C2193" t="s">
        <v>64</v>
      </c>
      <c r="D2193" t="s">
        <v>426</v>
      </c>
      <c r="E2193" t="s">
        <v>426</v>
      </c>
      <c r="F2193">
        <v>4</v>
      </c>
      <c r="G2193">
        <v>327</v>
      </c>
      <c r="H2193" s="122">
        <v>2642</v>
      </c>
      <c r="I2193" s="122">
        <v>152318</v>
      </c>
      <c r="J2193" s="122">
        <v>138471</v>
      </c>
      <c r="K2193">
        <v>53</v>
      </c>
      <c r="L2193" s="122">
        <v>16715</v>
      </c>
      <c r="M2193" s="122">
        <v>8876</v>
      </c>
      <c r="N2193" s="122">
        <v>6966</v>
      </c>
      <c r="O2193" s="122">
        <v>2580</v>
      </c>
      <c r="P2193" s="122">
        <v>1404</v>
      </c>
      <c r="Q2193">
        <v>520</v>
      </c>
      <c r="R2193" s="122">
        <v>20910</v>
      </c>
      <c r="S2193" s="122">
        <v>19009</v>
      </c>
      <c r="T2193" s="122">
        <v>5660</v>
      </c>
      <c r="U2193" s="122">
        <v>2096</v>
      </c>
      <c r="V2193" s="122">
        <v>171552</v>
      </c>
      <c r="W2193" s="122">
        <f t="shared" si="68"/>
        <v>171552</v>
      </c>
      <c r="X2193" s="122">
        <f t="shared" si="69"/>
        <v>203973</v>
      </c>
    </row>
    <row r="2194" spans="2:24">
      <c r="B2194" t="s">
        <v>478</v>
      </c>
      <c r="C2194" t="s">
        <v>64</v>
      </c>
      <c r="D2194" t="s">
        <v>433</v>
      </c>
      <c r="E2194" t="s">
        <v>137</v>
      </c>
      <c r="F2194">
        <v>1</v>
      </c>
      <c r="G2194">
        <v>46</v>
      </c>
      <c r="H2194">
        <v>698</v>
      </c>
      <c r="I2194" s="122">
        <v>22970</v>
      </c>
      <c r="J2194" s="122">
        <v>20882</v>
      </c>
      <c r="K2194">
        <v>60</v>
      </c>
      <c r="L2194" s="122">
        <v>5105</v>
      </c>
      <c r="M2194" s="122">
        <v>4640</v>
      </c>
      <c r="N2194" s="122">
        <v>1133</v>
      </c>
      <c r="O2194">
        <v>419</v>
      </c>
      <c r="P2194">
        <v>0</v>
      </c>
      <c r="Q2194">
        <v>0</v>
      </c>
      <c r="R2194" s="122">
        <v>3219</v>
      </c>
      <c r="S2194" s="122">
        <v>1192</v>
      </c>
      <c r="T2194">
        <v>0</v>
      </c>
      <c r="U2194">
        <v>0</v>
      </c>
      <c r="V2194" s="122">
        <v>27134</v>
      </c>
      <c r="W2194" s="122">
        <f t="shared" si="68"/>
        <v>27133</v>
      </c>
      <c r="X2194" s="122">
        <f t="shared" si="69"/>
        <v>32427</v>
      </c>
    </row>
    <row r="2195" spans="2:24">
      <c r="B2195" t="s">
        <v>479</v>
      </c>
      <c r="C2195" t="s">
        <v>48</v>
      </c>
      <c r="F2195">
        <v>69</v>
      </c>
      <c r="G2195" s="122">
        <v>6387</v>
      </c>
      <c r="H2195" s="122">
        <v>3405</v>
      </c>
      <c r="J2195">
        <v>0</v>
      </c>
      <c r="M2195">
        <v>0</v>
      </c>
      <c r="N2195" s="122">
        <v>77816</v>
      </c>
      <c r="O2195" s="122">
        <v>28821</v>
      </c>
      <c r="P2195" s="122">
        <v>57133</v>
      </c>
      <c r="Q2195" s="122">
        <v>21160</v>
      </c>
      <c r="S2195">
        <v>0</v>
      </c>
      <c r="T2195">
        <v>0</v>
      </c>
      <c r="U2195">
        <v>0</v>
      </c>
      <c r="V2195" s="122">
        <v>49981</v>
      </c>
      <c r="W2195" s="122">
        <f t="shared" si="68"/>
        <v>49981</v>
      </c>
      <c r="X2195" s="122">
        <f t="shared" si="69"/>
        <v>134949</v>
      </c>
    </row>
    <row r="2196" spans="2:24">
      <c r="B2196" t="s">
        <v>479</v>
      </c>
      <c r="C2196" t="s">
        <v>48</v>
      </c>
      <c r="D2196" t="s">
        <v>137</v>
      </c>
      <c r="E2196" t="s">
        <v>137</v>
      </c>
      <c r="F2196">
        <v>28</v>
      </c>
      <c r="G2196" s="122">
        <v>2386</v>
      </c>
      <c r="H2196" s="122">
        <v>1628</v>
      </c>
      <c r="I2196" s="122">
        <v>13431</v>
      </c>
      <c r="J2196" s="122">
        <v>4975</v>
      </c>
      <c r="K2196">
        <v>378</v>
      </c>
      <c r="L2196">
        <v>-561</v>
      </c>
      <c r="M2196">
        <v>-208</v>
      </c>
      <c r="N2196" s="122">
        <v>29070</v>
      </c>
      <c r="O2196" s="122">
        <v>10767</v>
      </c>
      <c r="P2196" s="122">
        <v>13158</v>
      </c>
      <c r="Q2196" s="122">
        <v>4873</v>
      </c>
      <c r="R2196" s="122">
        <v>79236</v>
      </c>
      <c r="S2196" s="122">
        <v>29347</v>
      </c>
      <c r="T2196">
        <v>0</v>
      </c>
      <c r="U2196">
        <v>0</v>
      </c>
      <c r="V2196" s="122">
        <v>49753</v>
      </c>
      <c r="W2196" s="122">
        <f t="shared" si="68"/>
        <v>50170</v>
      </c>
      <c r="X2196" s="122">
        <f t="shared" si="69"/>
        <v>135456</v>
      </c>
    </row>
    <row r="2197" spans="2:24">
      <c r="B2197" t="s">
        <v>479</v>
      </c>
      <c r="C2197" t="s">
        <v>48</v>
      </c>
      <c r="D2197" t="s">
        <v>407</v>
      </c>
      <c r="E2197" t="s">
        <v>407</v>
      </c>
      <c r="F2197">
        <v>7</v>
      </c>
      <c r="G2197">
        <v>538</v>
      </c>
      <c r="H2197">
        <v>442</v>
      </c>
      <c r="I2197" s="122">
        <v>3674</v>
      </c>
      <c r="J2197" s="122">
        <v>3340</v>
      </c>
      <c r="K2197">
        <v>90</v>
      </c>
      <c r="L2197">
        <v>511</v>
      </c>
      <c r="M2197">
        <v>465</v>
      </c>
      <c r="N2197" s="122">
        <v>6549</v>
      </c>
      <c r="O2197" s="122">
        <v>2426</v>
      </c>
      <c r="P2197" s="122">
        <v>8088</v>
      </c>
      <c r="Q2197" s="122">
        <v>2996</v>
      </c>
      <c r="R2197" s="122">
        <v>15034</v>
      </c>
      <c r="S2197" s="122">
        <v>13667</v>
      </c>
      <c r="T2197">
        <v>0</v>
      </c>
      <c r="U2197">
        <v>0</v>
      </c>
      <c r="V2197" s="122">
        <v>22893</v>
      </c>
      <c r="W2197" s="122">
        <f t="shared" si="68"/>
        <v>22894</v>
      </c>
      <c r="X2197" s="122">
        <f t="shared" si="69"/>
        <v>33856</v>
      </c>
    </row>
    <row r="2198" spans="2:24">
      <c r="B2198" t="s">
        <v>479</v>
      </c>
      <c r="C2198" t="s">
        <v>50</v>
      </c>
      <c r="F2198">
        <v>12</v>
      </c>
      <c r="G2198">
        <v>482</v>
      </c>
      <c r="H2198" s="122">
        <v>1106</v>
      </c>
      <c r="J2198">
        <v>0</v>
      </c>
      <c r="M2198">
        <v>0</v>
      </c>
      <c r="N2198" s="122">
        <v>5879</v>
      </c>
      <c r="O2198" s="122">
        <v>2177</v>
      </c>
      <c r="P2198">
        <v>0</v>
      </c>
      <c r="Q2198">
        <v>0</v>
      </c>
      <c r="S2198">
        <v>0</v>
      </c>
      <c r="T2198">
        <v>0</v>
      </c>
      <c r="U2198">
        <v>0</v>
      </c>
      <c r="V2198" s="122">
        <v>2177</v>
      </c>
      <c r="W2198" s="122">
        <f t="shared" si="68"/>
        <v>2177</v>
      </c>
      <c r="X2198" s="122">
        <f t="shared" si="69"/>
        <v>5879</v>
      </c>
    </row>
    <row r="2199" spans="2:24">
      <c r="B2199" t="s">
        <v>479</v>
      </c>
      <c r="C2199" t="s">
        <v>50</v>
      </c>
      <c r="D2199" t="s">
        <v>137</v>
      </c>
      <c r="E2199" t="s">
        <v>137</v>
      </c>
      <c r="F2199">
        <v>2</v>
      </c>
      <c r="G2199">
        <v>187</v>
      </c>
      <c r="H2199">
        <v>163</v>
      </c>
      <c r="I2199" s="122">
        <v>7274</v>
      </c>
      <c r="J2199" s="122">
        <v>2694</v>
      </c>
      <c r="K2199">
        <v>283</v>
      </c>
      <c r="L2199">
        <v>0</v>
      </c>
      <c r="M2199">
        <v>0</v>
      </c>
      <c r="N2199" s="122">
        <v>2280</v>
      </c>
      <c r="O2199">
        <v>844</v>
      </c>
      <c r="P2199">
        <v>702</v>
      </c>
      <c r="Q2199">
        <v>260</v>
      </c>
      <c r="R2199" s="122">
        <v>4993</v>
      </c>
      <c r="S2199" s="122">
        <v>1849</v>
      </c>
      <c r="T2199">
        <v>0</v>
      </c>
      <c r="U2199">
        <v>0</v>
      </c>
      <c r="V2199" s="122">
        <v>5648</v>
      </c>
      <c r="W2199" s="122">
        <f t="shared" si="68"/>
        <v>5647</v>
      </c>
      <c r="X2199" s="122">
        <f t="shared" si="69"/>
        <v>15249</v>
      </c>
    </row>
    <row r="2200" spans="2:24">
      <c r="B2200" t="s">
        <v>479</v>
      </c>
      <c r="C2200" t="s">
        <v>50</v>
      </c>
      <c r="D2200" t="s">
        <v>407</v>
      </c>
      <c r="E2200" t="s">
        <v>407</v>
      </c>
      <c r="F2200">
        <v>45</v>
      </c>
      <c r="G2200" s="122">
        <v>3800</v>
      </c>
      <c r="H2200" s="122">
        <v>4092</v>
      </c>
      <c r="I2200" s="122">
        <v>86196</v>
      </c>
      <c r="J2200" s="122">
        <v>78360</v>
      </c>
      <c r="K2200">
        <v>90</v>
      </c>
      <c r="L2200">
        <v>529</v>
      </c>
      <c r="M2200">
        <v>481</v>
      </c>
      <c r="N2200" s="122">
        <v>68118</v>
      </c>
      <c r="O2200" s="122">
        <v>25229</v>
      </c>
      <c r="P2200" s="122">
        <v>22439</v>
      </c>
      <c r="Q2200" s="122">
        <v>8311</v>
      </c>
      <c r="R2200" s="122">
        <v>165634</v>
      </c>
      <c r="S2200" s="122">
        <v>150577</v>
      </c>
      <c r="T2200" s="122">
        <v>2117</v>
      </c>
      <c r="U2200">
        <v>784</v>
      </c>
      <c r="V2200" s="122">
        <v>263742</v>
      </c>
      <c r="W2200" s="122">
        <f t="shared" si="68"/>
        <v>263742</v>
      </c>
      <c r="X2200" s="122">
        <f t="shared" si="69"/>
        <v>345033</v>
      </c>
    </row>
    <row r="2201" spans="2:24">
      <c r="B2201" t="s">
        <v>479</v>
      </c>
      <c r="C2201" t="s">
        <v>52</v>
      </c>
      <c r="F2201">
        <v>4</v>
      </c>
      <c r="G2201">
        <v>149</v>
      </c>
      <c r="H2201">
        <v>415</v>
      </c>
      <c r="J2201">
        <v>0</v>
      </c>
      <c r="M2201">
        <v>0</v>
      </c>
      <c r="N2201" s="122">
        <v>1812</v>
      </c>
      <c r="O2201">
        <v>671</v>
      </c>
      <c r="P2201">
        <v>0</v>
      </c>
      <c r="Q2201">
        <v>0</v>
      </c>
      <c r="S2201">
        <v>0</v>
      </c>
      <c r="T2201">
        <v>0</v>
      </c>
      <c r="U2201">
        <v>0</v>
      </c>
      <c r="V2201">
        <v>671</v>
      </c>
      <c r="W2201" s="122">
        <f t="shared" si="68"/>
        <v>671</v>
      </c>
      <c r="X2201" s="122">
        <f t="shared" si="69"/>
        <v>1812</v>
      </c>
    </row>
    <row r="2202" spans="2:24">
      <c r="B2202" t="s">
        <v>479</v>
      </c>
      <c r="C2202" t="s">
        <v>52</v>
      </c>
      <c r="D2202" t="s">
        <v>137</v>
      </c>
      <c r="E2202" t="s">
        <v>137</v>
      </c>
      <c r="F2202">
        <v>1</v>
      </c>
      <c r="G2202">
        <v>120</v>
      </c>
      <c r="H2202">
        <v>107</v>
      </c>
      <c r="I2202" s="122">
        <v>8130</v>
      </c>
      <c r="J2202" s="122">
        <v>3011</v>
      </c>
      <c r="K2202">
        <v>270</v>
      </c>
      <c r="L2202">
        <v>0</v>
      </c>
      <c r="M2202">
        <v>0</v>
      </c>
      <c r="N2202" s="122">
        <v>1467</v>
      </c>
      <c r="O2202">
        <v>543</v>
      </c>
      <c r="P2202">
        <v>351</v>
      </c>
      <c r="Q2202">
        <v>130</v>
      </c>
      <c r="R2202" s="122">
        <v>2975</v>
      </c>
      <c r="S2202" s="122">
        <v>1102</v>
      </c>
      <c r="T2202">
        <v>0</v>
      </c>
      <c r="U2202">
        <v>0</v>
      </c>
      <c r="V2202" s="122">
        <v>4786</v>
      </c>
      <c r="W2202" s="122">
        <f t="shared" si="68"/>
        <v>4786</v>
      </c>
      <c r="X2202" s="122">
        <f t="shared" si="69"/>
        <v>12923</v>
      </c>
    </row>
    <row r="2203" spans="2:24">
      <c r="B2203" t="s">
        <v>479</v>
      </c>
      <c r="C2203" t="s">
        <v>52</v>
      </c>
      <c r="D2203" t="s">
        <v>406</v>
      </c>
      <c r="E2203" t="s">
        <v>406</v>
      </c>
      <c r="F2203">
        <v>1</v>
      </c>
      <c r="G2203">
        <v>38</v>
      </c>
      <c r="H2203">
        <v>112</v>
      </c>
      <c r="I2203">
        <v>976</v>
      </c>
      <c r="J2203">
        <v>887</v>
      </c>
      <c r="K2203">
        <v>93</v>
      </c>
      <c r="L2203">
        <v>0</v>
      </c>
      <c r="M2203">
        <v>0</v>
      </c>
      <c r="N2203">
        <v>464</v>
      </c>
      <c r="O2203">
        <v>172</v>
      </c>
      <c r="P2203">
        <v>621</v>
      </c>
      <c r="Q2203">
        <v>230</v>
      </c>
      <c r="R2203" s="122">
        <v>2182</v>
      </c>
      <c r="S2203" s="122">
        <v>1984</v>
      </c>
      <c r="T2203">
        <v>0</v>
      </c>
      <c r="U2203">
        <v>0</v>
      </c>
      <c r="V2203" s="122">
        <v>3273</v>
      </c>
      <c r="W2203" s="122">
        <f t="shared" si="68"/>
        <v>3273</v>
      </c>
      <c r="X2203" s="122">
        <f t="shared" si="69"/>
        <v>4243</v>
      </c>
    </row>
    <row r="2204" spans="2:24">
      <c r="B2204" t="s">
        <v>479</v>
      </c>
      <c r="C2204" t="s">
        <v>52</v>
      </c>
      <c r="D2204" t="s">
        <v>407</v>
      </c>
      <c r="E2204" t="s">
        <v>407</v>
      </c>
      <c r="F2204">
        <v>148</v>
      </c>
      <c r="G2204" s="122">
        <v>12489</v>
      </c>
      <c r="H2204" s="122">
        <v>17064</v>
      </c>
      <c r="I2204" s="122">
        <v>537073</v>
      </c>
      <c r="J2204" s="122">
        <v>488249</v>
      </c>
      <c r="K2204">
        <v>85</v>
      </c>
      <c r="L2204" s="122">
        <v>17276</v>
      </c>
      <c r="M2204" s="122">
        <v>15143</v>
      </c>
      <c r="N2204" s="122">
        <v>227145</v>
      </c>
      <c r="O2204" s="122">
        <v>84128</v>
      </c>
      <c r="P2204" s="122">
        <v>72595</v>
      </c>
      <c r="Q2204" s="122">
        <v>26887</v>
      </c>
      <c r="R2204" s="122">
        <v>582087</v>
      </c>
      <c r="S2204" s="122">
        <v>529170</v>
      </c>
      <c r="T2204" s="122">
        <v>4946</v>
      </c>
      <c r="U2204" s="122">
        <v>1832</v>
      </c>
      <c r="V2204" s="122">
        <v>1145408</v>
      </c>
      <c r="W2204" s="122">
        <f t="shared" si="68"/>
        <v>1145409</v>
      </c>
      <c r="X2204" s="122">
        <f t="shared" si="69"/>
        <v>1441122</v>
      </c>
    </row>
    <row r="2205" spans="2:24">
      <c r="B2205" t="s">
        <v>479</v>
      </c>
      <c r="C2205" t="s">
        <v>54</v>
      </c>
      <c r="D2205" t="s">
        <v>405</v>
      </c>
      <c r="E2205" t="s">
        <v>405</v>
      </c>
      <c r="F2205">
        <v>1</v>
      </c>
      <c r="G2205">
        <v>47</v>
      </c>
      <c r="H2205">
        <v>145</v>
      </c>
      <c r="I2205" s="122">
        <v>7976</v>
      </c>
      <c r="J2205" s="122">
        <v>7251</v>
      </c>
      <c r="K2205">
        <v>93</v>
      </c>
      <c r="L2205">
        <v>0</v>
      </c>
      <c r="M2205" s="122">
        <v>2371</v>
      </c>
      <c r="N2205" s="122">
        <v>2142</v>
      </c>
      <c r="O2205">
        <v>793</v>
      </c>
      <c r="P2205">
        <v>473</v>
      </c>
      <c r="Q2205">
        <v>175</v>
      </c>
      <c r="R2205" s="122">
        <v>2168</v>
      </c>
      <c r="S2205" s="122">
        <v>1971</v>
      </c>
      <c r="T2205">
        <v>0</v>
      </c>
      <c r="U2205">
        <v>0</v>
      </c>
      <c r="V2205" s="122">
        <v>12562</v>
      </c>
      <c r="W2205" s="122">
        <f t="shared" si="68"/>
        <v>12561</v>
      </c>
      <c r="X2205" s="122">
        <f t="shared" si="69"/>
        <v>12759</v>
      </c>
    </row>
    <row r="2206" spans="2:24">
      <c r="B2206" t="s">
        <v>479</v>
      </c>
      <c r="C2206" t="s">
        <v>54</v>
      </c>
      <c r="D2206" t="s">
        <v>137</v>
      </c>
      <c r="E2206" t="s">
        <v>137</v>
      </c>
      <c r="F2206">
        <v>4</v>
      </c>
      <c r="G2206">
        <v>528</v>
      </c>
      <c r="H2206">
        <v>576</v>
      </c>
      <c r="I2206" s="122">
        <v>35166</v>
      </c>
      <c r="J2206" s="122">
        <v>13025</v>
      </c>
      <c r="K2206">
        <v>188</v>
      </c>
      <c r="L2206" s="122">
        <v>6313</v>
      </c>
      <c r="M2206" s="122">
        <v>5115</v>
      </c>
      <c r="N2206" s="122">
        <v>10806</v>
      </c>
      <c r="O2206" s="122">
        <v>4002</v>
      </c>
      <c r="P2206">
        <v>351</v>
      </c>
      <c r="Q2206">
        <v>130</v>
      </c>
      <c r="R2206" s="122">
        <v>28242</v>
      </c>
      <c r="S2206" s="122">
        <v>10460</v>
      </c>
      <c r="T2206">
        <v>0</v>
      </c>
      <c r="U2206">
        <v>0</v>
      </c>
      <c r="V2206" s="122">
        <v>32732</v>
      </c>
      <c r="W2206" s="122">
        <f t="shared" si="68"/>
        <v>32732</v>
      </c>
      <c r="X2206" s="122">
        <f t="shared" si="69"/>
        <v>80878</v>
      </c>
    </row>
    <row r="2207" spans="2:24">
      <c r="B2207" t="s">
        <v>479</v>
      </c>
      <c r="C2207" t="s">
        <v>54</v>
      </c>
      <c r="D2207" t="s">
        <v>406</v>
      </c>
      <c r="E2207" t="s">
        <v>406</v>
      </c>
      <c r="F2207">
        <v>4</v>
      </c>
      <c r="G2207">
        <v>750</v>
      </c>
      <c r="H2207">
        <v>585</v>
      </c>
      <c r="I2207" s="122">
        <v>65818</v>
      </c>
      <c r="J2207" s="122">
        <v>59835</v>
      </c>
      <c r="K2207">
        <v>92</v>
      </c>
      <c r="L2207" s="122">
        <v>11153</v>
      </c>
      <c r="M2207" s="122">
        <v>9897</v>
      </c>
      <c r="N2207" s="122">
        <v>14414</v>
      </c>
      <c r="O2207" s="122">
        <v>5338</v>
      </c>
      <c r="P2207" s="122">
        <v>2484</v>
      </c>
      <c r="Q2207">
        <v>920</v>
      </c>
      <c r="R2207" s="122">
        <v>21942</v>
      </c>
      <c r="S2207" s="122">
        <v>19948</v>
      </c>
      <c r="T2207" s="122">
        <v>3410</v>
      </c>
      <c r="U2207" s="122">
        <v>1263</v>
      </c>
      <c r="V2207" s="122">
        <v>97201</v>
      </c>
      <c r="W2207" s="122">
        <f t="shared" si="68"/>
        <v>97201</v>
      </c>
      <c r="X2207" s="122">
        <f t="shared" si="69"/>
        <v>119221</v>
      </c>
    </row>
    <row r="2208" spans="2:24">
      <c r="B2208" t="s">
        <v>479</v>
      </c>
      <c r="C2208" t="s">
        <v>54</v>
      </c>
      <c r="D2208" t="s">
        <v>407</v>
      </c>
      <c r="E2208" t="s">
        <v>407</v>
      </c>
      <c r="F2208">
        <v>282</v>
      </c>
      <c r="G2208" s="122">
        <v>22673</v>
      </c>
      <c r="H2208" s="122">
        <v>39070</v>
      </c>
      <c r="I2208" s="122">
        <v>1278666</v>
      </c>
      <c r="J2208" s="122">
        <v>1162424</v>
      </c>
      <c r="K2208">
        <v>84</v>
      </c>
      <c r="L2208" s="122">
        <v>84945</v>
      </c>
      <c r="M2208" s="122">
        <v>70674</v>
      </c>
      <c r="N2208" s="122">
        <v>478866</v>
      </c>
      <c r="O2208" s="122">
        <v>177358</v>
      </c>
      <c r="P2208" s="122">
        <v>152912</v>
      </c>
      <c r="Q2208" s="122">
        <v>56634</v>
      </c>
      <c r="R2208" s="122">
        <v>1086618</v>
      </c>
      <c r="S2208" s="122">
        <v>987835</v>
      </c>
      <c r="T2208" s="122">
        <v>65721</v>
      </c>
      <c r="U2208" s="122">
        <v>24341</v>
      </c>
      <c r="V2208" s="122">
        <v>2479266</v>
      </c>
      <c r="W2208" s="122">
        <f t="shared" si="68"/>
        <v>2479266</v>
      </c>
      <c r="X2208" s="122">
        <f t="shared" si="69"/>
        <v>3147728</v>
      </c>
    </row>
    <row r="2209" spans="2:24">
      <c r="B2209" t="s">
        <v>479</v>
      </c>
      <c r="C2209" t="s">
        <v>56</v>
      </c>
      <c r="F2209">
        <v>5</v>
      </c>
      <c r="G2209">
        <v>242</v>
      </c>
      <c r="H2209" s="122">
        <v>1010</v>
      </c>
      <c r="J2209">
        <v>0</v>
      </c>
      <c r="M2209">
        <v>0</v>
      </c>
      <c r="N2209" s="122">
        <v>5168</v>
      </c>
      <c r="O2209" s="122">
        <v>1914</v>
      </c>
      <c r="P2209" s="122">
        <v>2120</v>
      </c>
      <c r="Q2209">
        <v>785</v>
      </c>
      <c r="S2209">
        <v>0</v>
      </c>
      <c r="T2209">
        <v>0</v>
      </c>
      <c r="U2209">
        <v>0</v>
      </c>
      <c r="V2209" s="122">
        <v>2699</v>
      </c>
      <c r="W2209" s="122">
        <f t="shared" si="68"/>
        <v>2699</v>
      </c>
      <c r="X2209" s="122">
        <f t="shared" si="69"/>
        <v>7288</v>
      </c>
    </row>
    <row r="2210" spans="2:24">
      <c r="B2210" t="s">
        <v>479</v>
      </c>
      <c r="C2210" t="s">
        <v>56</v>
      </c>
      <c r="D2210" t="s">
        <v>405</v>
      </c>
      <c r="E2210" t="s">
        <v>405</v>
      </c>
      <c r="F2210">
        <v>1</v>
      </c>
      <c r="G2210">
        <v>79</v>
      </c>
      <c r="H2210">
        <v>167</v>
      </c>
      <c r="I2210" s="122">
        <v>7818</v>
      </c>
      <c r="J2210" s="122">
        <v>7107</v>
      </c>
      <c r="K2210">
        <v>91</v>
      </c>
      <c r="L2210">
        <v>0</v>
      </c>
      <c r="M2210">
        <v>0</v>
      </c>
      <c r="N2210" s="122">
        <v>1248</v>
      </c>
      <c r="O2210">
        <v>462</v>
      </c>
      <c r="P2210">
        <v>473</v>
      </c>
      <c r="Q2210">
        <v>175</v>
      </c>
      <c r="R2210" s="122">
        <v>3650</v>
      </c>
      <c r="S2210" s="122">
        <v>3318</v>
      </c>
      <c r="T2210">
        <v>0</v>
      </c>
      <c r="U2210">
        <v>0</v>
      </c>
      <c r="V2210" s="122">
        <v>11063</v>
      </c>
      <c r="W2210" s="122">
        <f t="shared" si="68"/>
        <v>11062</v>
      </c>
      <c r="X2210" s="122">
        <f t="shared" si="69"/>
        <v>13189</v>
      </c>
    </row>
    <row r="2211" spans="2:24">
      <c r="B2211" t="s">
        <v>479</v>
      </c>
      <c r="C2211" t="s">
        <v>56</v>
      </c>
      <c r="D2211" t="s">
        <v>137</v>
      </c>
      <c r="E2211" t="s">
        <v>137</v>
      </c>
      <c r="F2211">
        <v>219</v>
      </c>
      <c r="G2211" s="122">
        <v>15749</v>
      </c>
      <c r="H2211" s="122">
        <v>42867</v>
      </c>
      <c r="I2211" s="122">
        <v>1274963</v>
      </c>
      <c r="J2211" s="122">
        <v>472209</v>
      </c>
      <c r="K2211">
        <v>108</v>
      </c>
      <c r="L2211" s="122">
        <v>140009</v>
      </c>
      <c r="M2211" s="122">
        <v>63555</v>
      </c>
      <c r="N2211" s="122">
        <v>315160</v>
      </c>
      <c r="O2211" s="122">
        <v>116726</v>
      </c>
      <c r="P2211" s="122">
        <v>7238</v>
      </c>
      <c r="Q2211" s="122">
        <v>2681</v>
      </c>
      <c r="R2211" s="122">
        <v>1357014</v>
      </c>
      <c r="S2211" s="122">
        <v>502598</v>
      </c>
      <c r="T2211" s="122">
        <v>1677</v>
      </c>
      <c r="U2211">
        <v>621</v>
      </c>
      <c r="V2211" s="122">
        <v>1158389</v>
      </c>
      <c r="W2211" s="122">
        <f t="shared" si="68"/>
        <v>1158390</v>
      </c>
      <c r="X2211" s="122">
        <f t="shared" si="69"/>
        <v>3096061</v>
      </c>
    </row>
    <row r="2212" spans="2:24">
      <c r="B2212" t="s">
        <v>479</v>
      </c>
      <c r="C2212" t="s">
        <v>56</v>
      </c>
      <c r="D2212" t="s">
        <v>406</v>
      </c>
      <c r="E2212" t="s">
        <v>137</v>
      </c>
      <c r="F2212">
        <v>1</v>
      </c>
      <c r="G2212">
        <v>42</v>
      </c>
      <c r="H2212">
        <v>223</v>
      </c>
      <c r="I2212" s="122">
        <v>4635</v>
      </c>
      <c r="J2212" s="122">
        <v>4214</v>
      </c>
      <c r="K2212">
        <v>83</v>
      </c>
      <c r="L2212">
        <v>0</v>
      </c>
      <c r="M2212">
        <v>0</v>
      </c>
      <c r="N2212">
        <v>517</v>
      </c>
      <c r="O2212">
        <v>191</v>
      </c>
      <c r="P2212">
        <v>621</v>
      </c>
      <c r="Q2212">
        <v>230</v>
      </c>
      <c r="R2212" s="122">
        <v>3684</v>
      </c>
      <c r="S2212" s="122">
        <v>1365</v>
      </c>
      <c r="T2212">
        <v>0</v>
      </c>
      <c r="U2212">
        <v>0</v>
      </c>
      <c r="V2212" s="122">
        <v>6000</v>
      </c>
      <c r="W2212" s="122">
        <f t="shared" si="68"/>
        <v>6000</v>
      </c>
      <c r="X2212" s="122">
        <f t="shared" si="69"/>
        <v>9457</v>
      </c>
    </row>
    <row r="2213" spans="2:24">
      <c r="B2213" t="s">
        <v>479</v>
      </c>
      <c r="C2213" t="s">
        <v>56</v>
      </c>
      <c r="D2213" t="s">
        <v>406</v>
      </c>
      <c r="E2213" t="s">
        <v>406</v>
      </c>
      <c r="F2213">
        <v>53</v>
      </c>
      <c r="G2213" s="122">
        <v>4081</v>
      </c>
      <c r="H2213" s="122">
        <v>10198</v>
      </c>
      <c r="I2213" s="122">
        <v>368762</v>
      </c>
      <c r="J2213" s="122">
        <v>335238</v>
      </c>
      <c r="K2213">
        <v>86</v>
      </c>
      <c r="L2213" s="122">
        <v>61364</v>
      </c>
      <c r="M2213" s="122">
        <v>53289</v>
      </c>
      <c r="N2213" s="122">
        <v>77763</v>
      </c>
      <c r="O2213" s="122">
        <v>28801</v>
      </c>
      <c r="P2213" s="122">
        <v>32913</v>
      </c>
      <c r="Q2213" s="122">
        <v>12190</v>
      </c>
      <c r="R2213" s="122">
        <v>188436</v>
      </c>
      <c r="S2213" s="122">
        <v>171305</v>
      </c>
      <c r="T2213" s="122">
        <v>60978</v>
      </c>
      <c r="U2213" s="122">
        <v>22584</v>
      </c>
      <c r="V2213" s="122">
        <v>623408</v>
      </c>
      <c r="W2213" s="122">
        <f t="shared" si="68"/>
        <v>623407</v>
      </c>
      <c r="X2213" s="122">
        <f t="shared" si="69"/>
        <v>790216</v>
      </c>
    </row>
    <row r="2214" spans="2:24">
      <c r="B2214" t="s">
        <v>479</v>
      </c>
      <c r="C2214" t="s">
        <v>56</v>
      </c>
      <c r="D2214" t="s">
        <v>407</v>
      </c>
      <c r="E2214" t="s">
        <v>137</v>
      </c>
      <c r="F2214">
        <v>2</v>
      </c>
      <c r="G2214">
        <v>137</v>
      </c>
      <c r="H2214">
        <v>393</v>
      </c>
      <c r="I2214" s="122">
        <v>11058</v>
      </c>
      <c r="J2214" s="122">
        <v>10052</v>
      </c>
      <c r="K2214">
        <v>85</v>
      </c>
      <c r="L2214" s="122">
        <v>2041</v>
      </c>
      <c r="M2214" s="122">
        <v>1856</v>
      </c>
      <c r="N2214" s="122">
        <v>1933</v>
      </c>
      <c r="O2214">
        <v>716</v>
      </c>
      <c r="P2214">
        <v>945</v>
      </c>
      <c r="Q2214">
        <v>350</v>
      </c>
      <c r="R2214" s="122">
        <v>10834</v>
      </c>
      <c r="S2214" s="122">
        <v>4012</v>
      </c>
      <c r="T2214">
        <v>0</v>
      </c>
      <c r="U2214">
        <v>0</v>
      </c>
      <c r="V2214" s="122">
        <v>16986</v>
      </c>
      <c r="W2214" s="122">
        <f t="shared" si="68"/>
        <v>16986</v>
      </c>
      <c r="X2214" s="122">
        <f t="shared" si="69"/>
        <v>26811</v>
      </c>
    </row>
    <row r="2215" spans="2:24">
      <c r="B2215" t="s">
        <v>479</v>
      </c>
      <c r="C2215" t="s">
        <v>56</v>
      </c>
      <c r="D2215" t="s">
        <v>407</v>
      </c>
      <c r="E2215" t="s">
        <v>407</v>
      </c>
      <c r="F2215">
        <v>555</v>
      </c>
      <c r="G2215" s="122">
        <v>40935</v>
      </c>
      <c r="H2215" s="122">
        <v>101578</v>
      </c>
      <c r="I2215" s="122">
        <v>3433081</v>
      </c>
      <c r="J2215" s="122">
        <v>3120983</v>
      </c>
      <c r="K2215">
        <v>80</v>
      </c>
      <c r="L2215" s="122">
        <v>512715</v>
      </c>
      <c r="M2215" s="122">
        <v>420904</v>
      </c>
      <c r="N2215" s="122">
        <v>840776</v>
      </c>
      <c r="O2215" s="122">
        <v>311399</v>
      </c>
      <c r="P2215" s="122">
        <v>266054</v>
      </c>
      <c r="Q2215" s="122">
        <v>98539</v>
      </c>
      <c r="R2215" s="122">
        <v>2197061</v>
      </c>
      <c r="S2215" s="122">
        <v>1997328</v>
      </c>
      <c r="T2215" s="122">
        <v>263463</v>
      </c>
      <c r="U2215" s="122">
        <v>97579</v>
      </c>
      <c r="V2215" s="122">
        <v>6046731</v>
      </c>
      <c r="W2215" s="122">
        <f t="shared" si="68"/>
        <v>6046732</v>
      </c>
      <c r="X2215" s="122">
        <f t="shared" si="69"/>
        <v>7513150</v>
      </c>
    </row>
    <row r="2216" spans="2:24">
      <c r="B2216" t="s">
        <v>479</v>
      </c>
      <c r="C2216" t="s">
        <v>56</v>
      </c>
      <c r="D2216" t="s">
        <v>426</v>
      </c>
      <c r="E2216" t="s">
        <v>426</v>
      </c>
      <c r="F2216">
        <v>1</v>
      </c>
      <c r="G2216">
        <v>84</v>
      </c>
      <c r="H2216">
        <v>222</v>
      </c>
      <c r="I2216" s="122">
        <v>12940</v>
      </c>
      <c r="J2216" s="122">
        <v>11764</v>
      </c>
      <c r="K2216">
        <v>65</v>
      </c>
      <c r="L2216">
        <v>0</v>
      </c>
      <c r="M2216">
        <v>0</v>
      </c>
      <c r="N2216" s="122">
        <v>1572</v>
      </c>
      <c r="O2216">
        <v>582</v>
      </c>
      <c r="P2216">
        <v>351</v>
      </c>
      <c r="Q2216">
        <v>130</v>
      </c>
      <c r="R2216" s="122">
        <v>4631</v>
      </c>
      <c r="S2216" s="122">
        <v>4210</v>
      </c>
      <c r="T2216" s="122">
        <v>2552</v>
      </c>
      <c r="U2216">
        <v>945</v>
      </c>
      <c r="V2216" s="122">
        <v>17631</v>
      </c>
      <c r="W2216" s="122">
        <f t="shared" si="68"/>
        <v>17631</v>
      </c>
      <c r="X2216" s="122">
        <f t="shared" si="69"/>
        <v>22046</v>
      </c>
    </row>
    <row r="2217" spans="2:24">
      <c r="B2217" t="s">
        <v>479</v>
      </c>
      <c r="C2217" t="s">
        <v>58</v>
      </c>
      <c r="F2217">
        <v>5</v>
      </c>
      <c r="G2217">
        <v>279</v>
      </c>
      <c r="H2217" s="122">
        <v>1284</v>
      </c>
      <c r="J2217">
        <v>0</v>
      </c>
      <c r="M2217">
        <v>0</v>
      </c>
      <c r="N2217" s="122">
        <v>6223</v>
      </c>
      <c r="O2217" s="122">
        <v>2305</v>
      </c>
      <c r="P2217" s="122">
        <v>1877</v>
      </c>
      <c r="Q2217">
        <v>695</v>
      </c>
      <c r="S2217">
        <v>0</v>
      </c>
      <c r="T2217">
        <v>0</v>
      </c>
      <c r="U2217">
        <v>0</v>
      </c>
      <c r="V2217" s="122">
        <v>3000</v>
      </c>
      <c r="W2217" s="122">
        <f t="shared" si="68"/>
        <v>3000</v>
      </c>
      <c r="X2217" s="122">
        <f t="shared" si="69"/>
        <v>8100</v>
      </c>
    </row>
    <row r="2218" spans="2:24">
      <c r="B2218" t="s">
        <v>479</v>
      </c>
      <c r="C2218" t="s">
        <v>58</v>
      </c>
      <c r="D2218" t="s">
        <v>137</v>
      </c>
      <c r="E2218" t="s">
        <v>403</v>
      </c>
      <c r="F2218">
        <v>1</v>
      </c>
      <c r="G2218">
        <v>42</v>
      </c>
      <c r="H2218">
        <v>231</v>
      </c>
      <c r="I2218" s="122">
        <v>3508</v>
      </c>
      <c r="J2218" s="122">
        <v>1299</v>
      </c>
      <c r="K2218">
        <v>100</v>
      </c>
      <c r="L2218">
        <v>390</v>
      </c>
      <c r="M2218">
        <v>144</v>
      </c>
      <c r="N2218" s="122">
        <v>1029</v>
      </c>
      <c r="O2218">
        <v>381</v>
      </c>
      <c r="P2218">
        <v>0</v>
      </c>
      <c r="Q2218">
        <v>0</v>
      </c>
      <c r="R2218" s="122">
        <v>4814</v>
      </c>
      <c r="S2218" s="122">
        <v>1783</v>
      </c>
      <c r="T2218">
        <v>0</v>
      </c>
      <c r="U2218">
        <v>0</v>
      </c>
      <c r="V2218" s="122">
        <v>3608</v>
      </c>
      <c r="W2218" s="122">
        <f t="shared" si="68"/>
        <v>3607</v>
      </c>
      <c r="X2218" s="122">
        <f t="shared" si="69"/>
        <v>9741</v>
      </c>
    </row>
    <row r="2219" spans="2:24">
      <c r="B2219" t="s">
        <v>479</v>
      </c>
      <c r="C2219" t="s">
        <v>58</v>
      </c>
      <c r="D2219" t="s">
        <v>137</v>
      </c>
      <c r="E2219" t="s">
        <v>137</v>
      </c>
      <c r="F2219">
        <v>298</v>
      </c>
      <c r="G2219" s="122">
        <v>20214</v>
      </c>
      <c r="H2219" s="122">
        <v>78083</v>
      </c>
      <c r="I2219" s="122">
        <v>2648858</v>
      </c>
      <c r="J2219" s="122">
        <v>981059</v>
      </c>
      <c r="K2219">
        <v>100</v>
      </c>
      <c r="L2219" s="122">
        <v>317593</v>
      </c>
      <c r="M2219" s="122">
        <v>154458</v>
      </c>
      <c r="N2219" s="122">
        <v>429268</v>
      </c>
      <c r="O2219" s="122">
        <v>158988</v>
      </c>
      <c r="P2219" s="122">
        <v>4704</v>
      </c>
      <c r="Q2219" s="122">
        <v>1742</v>
      </c>
      <c r="R2219" s="122">
        <v>1906688</v>
      </c>
      <c r="S2219" s="122">
        <v>706181</v>
      </c>
      <c r="T2219" s="122">
        <v>1628</v>
      </c>
      <c r="U2219">
        <v>603</v>
      </c>
      <c r="V2219" s="122">
        <v>2003031</v>
      </c>
      <c r="W2219" s="122">
        <f t="shared" ref="W2219:W2253" si="70">SUM(ABS(J2219),ABS(M2219),ABS(O2219),ABS(Q2219),ABS(S2219),ABS(U2219))</f>
        <v>2003031</v>
      </c>
      <c r="X2219" s="122">
        <f t="shared" ref="X2219:X2253" si="71">SUM(ABS(I2219),ABS(N2219),ABS(P2219),ABS(R2219),ABS(T2219),ABS(L2219))</f>
        <v>5308739</v>
      </c>
    </row>
    <row r="2220" spans="2:24">
      <c r="B2220" t="s">
        <v>479</v>
      </c>
      <c r="C2220" t="s">
        <v>58</v>
      </c>
      <c r="D2220" t="s">
        <v>406</v>
      </c>
      <c r="E2220" t="s">
        <v>137</v>
      </c>
      <c r="F2220">
        <v>1</v>
      </c>
      <c r="G2220">
        <v>43</v>
      </c>
      <c r="H2220">
        <v>299</v>
      </c>
      <c r="I2220" s="122">
        <v>5499</v>
      </c>
      <c r="J2220" s="122">
        <v>5000</v>
      </c>
      <c r="K2220">
        <v>93</v>
      </c>
      <c r="L2220" s="122">
        <v>1796</v>
      </c>
      <c r="M2220" s="122">
        <v>1633</v>
      </c>
      <c r="N2220" s="122">
        <v>1055</v>
      </c>
      <c r="O2220">
        <v>391</v>
      </c>
      <c r="P2220">
        <v>621</v>
      </c>
      <c r="Q2220">
        <v>230</v>
      </c>
      <c r="R2220" s="122">
        <v>3976</v>
      </c>
      <c r="S2220" s="122">
        <v>1473</v>
      </c>
      <c r="T2220">
        <v>0</v>
      </c>
      <c r="U2220">
        <v>0</v>
      </c>
      <c r="V2220" s="122">
        <v>8726</v>
      </c>
      <c r="W2220" s="122">
        <f t="shared" si="70"/>
        <v>8727</v>
      </c>
      <c r="X2220" s="122">
        <f t="shared" si="71"/>
        <v>12947</v>
      </c>
    </row>
    <row r="2221" spans="2:24">
      <c r="B2221" t="s">
        <v>479</v>
      </c>
      <c r="C2221" t="s">
        <v>58</v>
      </c>
      <c r="D2221" t="s">
        <v>406</v>
      </c>
      <c r="E2221" t="s">
        <v>406</v>
      </c>
      <c r="F2221">
        <v>53</v>
      </c>
      <c r="G2221" s="122">
        <v>3746</v>
      </c>
      <c r="H2221" s="122">
        <v>13959</v>
      </c>
      <c r="I2221" s="122">
        <v>518135</v>
      </c>
      <c r="J2221" s="122">
        <v>471032</v>
      </c>
      <c r="K2221">
        <v>83</v>
      </c>
      <c r="L2221" s="122">
        <v>124651</v>
      </c>
      <c r="M2221" s="122">
        <v>102517</v>
      </c>
      <c r="N2221" s="122">
        <v>75158</v>
      </c>
      <c r="O2221" s="122">
        <v>27836</v>
      </c>
      <c r="P2221" s="122">
        <v>33615</v>
      </c>
      <c r="Q2221" s="122">
        <v>12450</v>
      </c>
      <c r="R2221" s="122">
        <v>217949</v>
      </c>
      <c r="S2221" s="122">
        <v>198135</v>
      </c>
      <c r="T2221" s="122">
        <v>51114</v>
      </c>
      <c r="U2221" s="122">
        <v>18931</v>
      </c>
      <c r="V2221" s="122">
        <v>830902</v>
      </c>
      <c r="W2221" s="122">
        <f t="shared" si="70"/>
        <v>830901</v>
      </c>
      <c r="X2221" s="122">
        <f t="shared" si="71"/>
        <v>1020622</v>
      </c>
    </row>
    <row r="2222" spans="2:24">
      <c r="B2222" t="s">
        <v>479</v>
      </c>
      <c r="C2222" t="s">
        <v>58</v>
      </c>
      <c r="D2222" t="s">
        <v>407</v>
      </c>
      <c r="E2222" t="s">
        <v>137</v>
      </c>
      <c r="F2222">
        <v>2</v>
      </c>
      <c r="G2222">
        <v>121</v>
      </c>
      <c r="H2222">
        <v>474</v>
      </c>
      <c r="I2222" s="122">
        <v>13358</v>
      </c>
      <c r="J2222" s="122">
        <v>12143</v>
      </c>
      <c r="K2222">
        <v>79</v>
      </c>
      <c r="L2222" s="122">
        <v>2525</v>
      </c>
      <c r="M2222" s="122">
        <v>2296</v>
      </c>
      <c r="N2222" s="122">
        <v>2441</v>
      </c>
      <c r="O2222">
        <v>904</v>
      </c>
      <c r="P2222">
        <v>945</v>
      </c>
      <c r="Q2222">
        <v>350</v>
      </c>
      <c r="R2222" s="122">
        <v>9523</v>
      </c>
      <c r="S2222" s="122">
        <v>3527</v>
      </c>
      <c r="T2222">
        <v>0</v>
      </c>
      <c r="U2222">
        <v>0</v>
      </c>
      <c r="V2222" s="122">
        <v>19220</v>
      </c>
      <c r="W2222" s="122">
        <f t="shared" si="70"/>
        <v>19220</v>
      </c>
      <c r="X2222" s="122">
        <f t="shared" si="71"/>
        <v>28792</v>
      </c>
    </row>
    <row r="2223" spans="2:24">
      <c r="B2223" t="s">
        <v>479</v>
      </c>
      <c r="C2223" t="s">
        <v>58</v>
      </c>
      <c r="D2223" t="s">
        <v>407</v>
      </c>
      <c r="E2223" t="s">
        <v>407</v>
      </c>
      <c r="F2223">
        <v>154</v>
      </c>
      <c r="G2223" s="122">
        <v>9489</v>
      </c>
      <c r="H2223" s="122">
        <v>39542</v>
      </c>
      <c r="I2223" s="122">
        <v>1216418</v>
      </c>
      <c r="J2223" s="122">
        <v>1105835</v>
      </c>
      <c r="K2223">
        <v>78</v>
      </c>
      <c r="L2223" s="122">
        <v>205653</v>
      </c>
      <c r="M2223" s="122">
        <v>177258</v>
      </c>
      <c r="N2223" s="122">
        <v>188687</v>
      </c>
      <c r="O2223" s="122">
        <v>69884</v>
      </c>
      <c r="P2223" s="122">
        <v>72401</v>
      </c>
      <c r="Q2223" s="122">
        <v>26815</v>
      </c>
      <c r="R2223" s="122">
        <v>638694</v>
      </c>
      <c r="S2223" s="122">
        <v>580631</v>
      </c>
      <c r="T2223" s="122">
        <v>120705</v>
      </c>
      <c r="U2223" s="122">
        <v>44705</v>
      </c>
      <c r="V2223" s="122">
        <v>2005128</v>
      </c>
      <c r="W2223" s="122">
        <f t="shared" si="70"/>
        <v>2005128</v>
      </c>
      <c r="X2223" s="122">
        <f t="shared" si="71"/>
        <v>2442558</v>
      </c>
    </row>
    <row r="2224" spans="2:24">
      <c r="B2224" t="s">
        <v>479</v>
      </c>
      <c r="C2224" t="s">
        <v>58</v>
      </c>
      <c r="D2224" t="s">
        <v>426</v>
      </c>
      <c r="E2224" t="s">
        <v>426</v>
      </c>
      <c r="F2224">
        <v>1</v>
      </c>
      <c r="G2224">
        <v>59</v>
      </c>
      <c r="H2224">
        <v>255</v>
      </c>
      <c r="I2224" s="122">
        <v>6861</v>
      </c>
      <c r="J2224" s="122">
        <v>6237</v>
      </c>
      <c r="K2224">
        <v>55</v>
      </c>
      <c r="L2224" s="122">
        <v>1029</v>
      </c>
      <c r="M2224">
        <v>381</v>
      </c>
      <c r="N2224">
        <v>721</v>
      </c>
      <c r="O2224">
        <v>267</v>
      </c>
      <c r="P2224">
        <v>351</v>
      </c>
      <c r="Q2224">
        <v>130</v>
      </c>
      <c r="R2224" s="122">
        <v>4325</v>
      </c>
      <c r="S2224" s="122">
        <v>3932</v>
      </c>
      <c r="T2224" s="122">
        <v>1789</v>
      </c>
      <c r="U2224">
        <v>663</v>
      </c>
      <c r="V2224" s="122">
        <v>11610</v>
      </c>
      <c r="W2224" s="122">
        <f t="shared" si="70"/>
        <v>11610</v>
      </c>
      <c r="X2224" s="122">
        <f t="shared" si="71"/>
        <v>15076</v>
      </c>
    </row>
    <row r="2225" spans="2:24">
      <c r="B2225" t="s">
        <v>479</v>
      </c>
      <c r="C2225" t="s">
        <v>60</v>
      </c>
      <c r="F2225">
        <v>8</v>
      </c>
      <c r="G2225">
        <v>376</v>
      </c>
      <c r="H2225" s="122">
        <v>2674</v>
      </c>
      <c r="J2225">
        <v>0</v>
      </c>
      <c r="M2225">
        <v>0</v>
      </c>
      <c r="N2225" s="122">
        <v>8450</v>
      </c>
      <c r="O2225" s="122">
        <v>3130</v>
      </c>
      <c r="P2225" s="122">
        <v>4131</v>
      </c>
      <c r="Q2225" s="122">
        <v>1530</v>
      </c>
      <c r="S2225">
        <v>0</v>
      </c>
      <c r="T2225" s="122">
        <v>1554</v>
      </c>
      <c r="U2225">
        <v>575</v>
      </c>
      <c r="V2225" s="122">
        <v>5235</v>
      </c>
      <c r="W2225" s="122">
        <f t="shared" si="70"/>
        <v>5235</v>
      </c>
      <c r="X2225" s="122">
        <f t="shared" si="71"/>
        <v>14135</v>
      </c>
    </row>
    <row r="2226" spans="2:24">
      <c r="B2226" t="s">
        <v>479</v>
      </c>
      <c r="C2226" t="s">
        <v>60</v>
      </c>
      <c r="D2226" t="s">
        <v>425</v>
      </c>
      <c r="E2226" t="s">
        <v>425</v>
      </c>
      <c r="F2226">
        <v>2</v>
      </c>
      <c r="G2226">
        <v>117</v>
      </c>
      <c r="H2226">
        <v>687</v>
      </c>
      <c r="I2226" s="122">
        <v>31790</v>
      </c>
      <c r="J2226" s="122">
        <v>28900</v>
      </c>
      <c r="K2226">
        <v>69</v>
      </c>
      <c r="L2226" s="122">
        <v>3467</v>
      </c>
      <c r="M2226" s="122">
        <v>3152</v>
      </c>
      <c r="N2226" s="122">
        <v>2446</v>
      </c>
      <c r="O2226">
        <v>906</v>
      </c>
      <c r="P2226">
        <v>945</v>
      </c>
      <c r="Q2226">
        <v>350</v>
      </c>
      <c r="R2226" s="122">
        <v>5709</v>
      </c>
      <c r="S2226" s="122">
        <v>5190</v>
      </c>
      <c r="T2226">
        <v>0</v>
      </c>
      <c r="U2226">
        <v>0</v>
      </c>
      <c r="V2226" s="122">
        <v>38498</v>
      </c>
      <c r="W2226" s="122">
        <f t="shared" si="70"/>
        <v>38498</v>
      </c>
      <c r="X2226" s="122">
        <f t="shared" si="71"/>
        <v>44357</v>
      </c>
    </row>
    <row r="2227" spans="2:24">
      <c r="B2227" t="s">
        <v>479</v>
      </c>
      <c r="C2227" t="s">
        <v>60</v>
      </c>
      <c r="D2227" t="s">
        <v>137</v>
      </c>
      <c r="E2227" t="s">
        <v>137</v>
      </c>
      <c r="F2227">
        <v>136</v>
      </c>
      <c r="G2227" s="122">
        <v>8164</v>
      </c>
      <c r="H2227" s="122">
        <v>45950</v>
      </c>
      <c r="I2227" s="122">
        <v>1646203</v>
      </c>
      <c r="J2227" s="122">
        <v>609705</v>
      </c>
      <c r="K2227">
        <v>100</v>
      </c>
      <c r="L2227" s="122">
        <v>150663</v>
      </c>
      <c r="M2227" s="122">
        <v>81284</v>
      </c>
      <c r="N2227" s="122">
        <v>163854</v>
      </c>
      <c r="O2227" s="122">
        <v>60687</v>
      </c>
      <c r="P2227" s="122">
        <v>1053</v>
      </c>
      <c r="Q2227">
        <v>390</v>
      </c>
      <c r="R2227" s="122">
        <v>795242</v>
      </c>
      <c r="S2227" s="122">
        <v>294534</v>
      </c>
      <c r="T2227">
        <v>0</v>
      </c>
      <c r="U2227">
        <v>0</v>
      </c>
      <c r="V2227" s="122">
        <v>1046599</v>
      </c>
      <c r="W2227" s="122">
        <f t="shared" si="70"/>
        <v>1046600</v>
      </c>
      <c r="X2227" s="122">
        <f t="shared" si="71"/>
        <v>2757015</v>
      </c>
    </row>
    <row r="2228" spans="2:24">
      <c r="B2228" t="s">
        <v>479</v>
      </c>
      <c r="C2228" t="s">
        <v>60</v>
      </c>
      <c r="D2228" t="s">
        <v>137</v>
      </c>
      <c r="E2228" t="s">
        <v>426</v>
      </c>
      <c r="F2228">
        <v>2</v>
      </c>
      <c r="G2228">
        <v>80</v>
      </c>
      <c r="H2228">
        <v>700</v>
      </c>
      <c r="I2228" s="122">
        <v>12425</v>
      </c>
      <c r="J2228" s="122">
        <v>4602</v>
      </c>
      <c r="K2228">
        <v>100</v>
      </c>
      <c r="L2228" s="122">
        <v>1125</v>
      </c>
      <c r="M2228" s="122">
        <v>1023</v>
      </c>
      <c r="N2228" s="122">
        <v>1281</v>
      </c>
      <c r="O2228">
        <v>474</v>
      </c>
      <c r="P2228">
        <v>0</v>
      </c>
      <c r="Q2228">
        <v>0</v>
      </c>
      <c r="R2228" s="122">
        <v>11322</v>
      </c>
      <c r="S2228" s="122">
        <v>10293</v>
      </c>
      <c r="T2228" s="122">
        <v>1846</v>
      </c>
      <c r="U2228">
        <v>684</v>
      </c>
      <c r="V2228" s="122">
        <v>17076</v>
      </c>
      <c r="W2228" s="122">
        <f t="shared" si="70"/>
        <v>17076</v>
      </c>
      <c r="X2228" s="122">
        <f t="shared" si="71"/>
        <v>27999</v>
      </c>
    </row>
    <row r="2229" spans="2:24">
      <c r="B2229" t="s">
        <v>479</v>
      </c>
      <c r="C2229" t="s">
        <v>60</v>
      </c>
      <c r="D2229" t="s">
        <v>406</v>
      </c>
      <c r="E2229" t="s">
        <v>406</v>
      </c>
      <c r="F2229">
        <v>20</v>
      </c>
      <c r="G2229" s="122">
        <v>1482</v>
      </c>
      <c r="H2229" s="122">
        <v>6735</v>
      </c>
      <c r="I2229" s="122">
        <v>333468</v>
      </c>
      <c r="J2229" s="122">
        <v>303153</v>
      </c>
      <c r="K2229">
        <v>82</v>
      </c>
      <c r="L2229" s="122">
        <v>63066</v>
      </c>
      <c r="M2229" s="122">
        <v>50635</v>
      </c>
      <c r="N2229" s="122">
        <v>34631</v>
      </c>
      <c r="O2229" s="122">
        <v>12826</v>
      </c>
      <c r="P2229" s="122">
        <v>12420</v>
      </c>
      <c r="Q2229" s="122">
        <v>4600</v>
      </c>
      <c r="R2229" s="122">
        <v>77100</v>
      </c>
      <c r="S2229" s="122">
        <v>70090</v>
      </c>
      <c r="T2229" s="122">
        <v>31934</v>
      </c>
      <c r="U2229" s="122">
        <v>11827</v>
      </c>
      <c r="V2229" s="122">
        <v>453132</v>
      </c>
      <c r="W2229" s="122">
        <f t="shared" si="70"/>
        <v>453131</v>
      </c>
      <c r="X2229" s="122">
        <f t="shared" si="71"/>
        <v>552619</v>
      </c>
    </row>
    <row r="2230" spans="2:24">
      <c r="B2230" t="s">
        <v>479</v>
      </c>
      <c r="C2230" t="s">
        <v>60</v>
      </c>
      <c r="D2230" t="s">
        <v>407</v>
      </c>
      <c r="E2230" t="s">
        <v>137</v>
      </c>
      <c r="F2230">
        <v>6</v>
      </c>
      <c r="G2230">
        <v>338</v>
      </c>
      <c r="H2230" s="122">
        <v>2095</v>
      </c>
      <c r="I2230" s="122">
        <v>42318</v>
      </c>
      <c r="J2230" s="122">
        <v>38471</v>
      </c>
      <c r="K2230">
        <v>75</v>
      </c>
      <c r="L2230" s="122">
        <v>10928</v>
      </c>
      <c r="M2230" s="122">
        <v>8912</v>
      </c>
      <c r="N2230" s="122">
        <v>7521</v>
      </c>
      <c r="O2230" s="122">
        <v>2786</v>
      </c>
      <c r="P2230" s="122">
        <v>2835</v>
      </c>
      <c r="Q2230" s="122">
        <v>1050</v>
      </c>
      <c r="R2230" s="122">
        <v>54147</v>
      </c>
      <c r="S2230" s="122">
        <v>20054</v>
      </c>
      <c r="T2230">
        <v>0</v>
      </c>
      <c r="U2230">
        <v>0</v>
      </c>
      <c r="V2230" s="122">
        <v>71274</v>
      </c>
      <c r="W2230" s="122">
        <f t="shared" si="70"/>
        <v>71273</v>
      </c>
      <c r="X2230" s="122">
        <f t="shared" si="71"/>
        <v>117749</v>
      </c>
    </row>
    <row r="2231" spans="2:24">
      <c r="B2231" t="s">
        <v>479</v>
      </c>
      <c r="C2231" t="s">
        <v>60</v>
      </c>
      <c r="D2231" t="s">
        <v>407</v>
      </c>
      <c r="E2231" t="s">
        <v>407</v>
      </c>
      <c r="F2231">
        <v>52</v>
      </c>
      <c r="G2231" s="122">
        <v>3042</v>
      </c>
      <c r="H2231" s="122">
        <v>17452</v>
      </c>
      <c r="I2231" s="122">
        <v>557362</v>
      </c>
      <c r="J2231" s="122">
        <v>506693</v>
      </c>
      <c r="K2231">
        <v>77</v>
      </c>
      <c r="L2231" s="122">
        <v>106614</v>
      </c>
      <c r="M2231" s="122">
        <v>95426</v>
      </c>
      <c r="N2231" s="122">
        <v>64110</v>
      </c>
      <c r="O2231" s="122">
        <v>23744</v>
      </c>
      <c r="P2231" s="122">
        <v>24449</v>
      </c>
      <c r="Q2231" s="122">
        <v>9055</v>
      </c>
      <c r="R2231" s="122">
        <v>199875</v>
      </c>
      <c r="S2231" s="122">
        <v>181705</v>
      </c>
      <c r="T2231" s="122">
        <v>75648</v>
      </c>
      <c r="U2231" s="122">
        <v>28018</v>
      </c>
      <c r="V2231" s="122">
        <v>844641</v>
      </c>
      <c r="W2231" s="122">
        <f t="shared" si="70"/>
        <v>844641</v>
      </c>
      <c r="X2231" s="122">
        <f t="shared" si="71"/>
        <v>1028058</v>
      </c>
    </row>
    <row r="2232" spans="2:24">
      <c r="B2232" t="s">
        <v>479</v>
      </c>
      <c r="C2232" t="s">
        <v>60</v>
      </c>
      <c r="D2232" t="s">
        <v>426</v>
      </c>
      <c r="E2232" t="s">
        <v>137</v>
      </c>
      <c r="F2232">
        <v>1</v>
      </c>
      <c r="G2232">
        <v>59</v>
      </c>
      <c r="H2232">
        <v>324</v>
      </c>
      <c r="I2232" s="122">
        <v>11110</v>
      </c>
      <c r="J2232" s="122">
        <v>10100</v>
      </c>
      <c r="K2232">
        <v>30</v>
      </c>
      <c r="L2232" s="122">
        <v>1234</v>
      </c>
      <c r="M2232" s="122">
        <v>1122</v>
      </c>
      <c r="N2232" s="122">
        <v>1123</v>
      </c>
      <c r="O2232">
        <v>416</v>
      </c>
      <c r="P2232">
        <v>0</v>
      </c>
      <c r="Q2232">
        <v>0</v>
      </c>
      <c r="R2232" s="122">
        <v>5689</v>
      </c>
      <c r="S2232" s="122">
        <v>2107</v>
      </c>
      <c r="T2232">
        <v>0</v>
      </c>
      <c r="U2232">
        <v>0</v>
      </c>
      <c r="V2232" s="122">
        <v>13745</v>
      </c>
      <c r="W2232" s="122">
        <f t="shared" si="70"/>
        <v>13745</v>
      </c>
      <c r="X2232" s="122">
        <f t="shared" si="71"/>
        <v>19156</v>
      </c>
    </row>
    <row r="2233" spans="2:24">
      <c r="B2233" t="s">
        <v>479</v>
      </c>
      <c r="C2233" t="s">
        <v>60</v>
      </c>
      <c r="D2233" t="s">
        <v>426</v>
      </c>
      <c r="E2233" t="s">
        <v>426</v>
      </c>
      <c r="F2233">
        <v>1</v>
      </c>
      <c r="G2233">
        <v>43</v>
      </c>
      <c r="H2233">
        <v>353</v>
      </c>
      <c r="I2233" s="122">
        <v>8766</v>
      </c>
      <c r="J2233" s="122">
        <v>7969</v>
      </c>
      <c r="K2233">
        <v>50</v>
      </c>
      <c r="L2233">
        <v>0</v>
      </c>
      <c r="M2233">
        <v>0</v>
      </c>
      <c r="N2233" s="122">
        <v>1041</v>
      </c>
      <c r="O2233">
        <v>385</v>
      </c>
      <c r="P2233">
        <v>0</v>
      </c>
      <c r="Q2233">
        <v>0</v>
      </c>
      <c r="R2233" s="122">
        <v>3612</v>
      </c>
      <c r="S2233" s="122">
        <v>3284</v>
      </c>
      <c r="T2233" s="122">
        <v>1640</v>
      </c>
      <c r="U2233">
        <v>607</v>
      </c>
      <c r="V2233" s="122">
        <v>12246</v>
      </c>
      <c r="W2233" s="122">
        <f t="shared" si="70"/>
        <v>12245</v>
      </c>
      <c r="X2233" s="122">
        <f t="shared" si="71"/>
        <v>15059</v>
      </c>
    </row>
    <row r="2234" spans="2:24">
      <c r="B2234" t="s">
        <v>479</v>
      </c>
      <c r="C2234" t="s">
        <v>62</v>
      </c>
      <c r="F2234">
        <v>8</v>
      </c>
      <c r="G2234">
        <v>380</v>
      </c>
      <c r="H2234" s="122">
        <v>3335</v>
      </c>
      <c r="J2234">
        <v>0</v>
      </c>
      <c r="M2234">
        <v>0</v>
      </c>
      <c r="N2234" s="122">
        <v>6339</v>
      </c>
      <c r="O2234" s="122">
        <v>2348</v>
      </c>
      <c r="P2234" s="122">
        <v>3065</v>
      </c>
      <c r="Q2234" s="122">
        <v>1135</v>
      </c>
      <c r="S2234">
        <v>0</v>
      </c>
      <c r="T2234" s="122">
        <v>4839</v>
      </c>
      <c r="U2234" s="122">
        <v>1792</v>
      </c>
      <c r="V2234" s="122">
        <v>5275</v>
      </c>
      <c r="W2234" s="122">
        <f t="shared" si="70"/>
        <v>5275</v>
      </c>
      <c r="X2234" s="122">
        <f t="shared" si="71"/>
        <v>14243</v>
      </c>
    </row>
    <row r="2235" spans="2:24">
      <c r="B2235" t="s">
        <v>479</v>
      </c>
      <c r="C2235" t="s">
        <v>62</v>
      </c>
      <c r="D2235" t="s">
        <v>405</v>
      </c>
      <c r="E2235" t="s">
        <v>405</v>
      </c>
      <c r="F2235">
        <v>1</v>
      </c>
      <c r="G2235">
        <v>87</v>
      </c>
      <c r="H2235">
        <v>437</v>
      </c>
      <c r="I2235" s="122">
        <v>26023</v>
      </c>
      <c r="J2235" s="122">
        <v>23657</v>
      </c>
      <c r="K2235">
        <v>80</v>
      </c>
      <c r="L2235" s="122">
        <v>7325</v>
      </c>
      <c r="M2235" s="122">
        <v>6659</v>
      </c>
      <c r="N2235" s="122">
        <v>1327</v>
      </c>
      <c r="O2235">
        <v>491</v>
      </c>
      <c r="P2235">
        <v>473</v>
      </c>
      <c r="Q2235">
        <v>175</v>
      </c>
      <c r="R2235" s="122">
        <v>2949</v>
      </c>
      <c r="S2235" s="122">
        <v>2681</v>
      </c>
      <c r="T2235">
        <v>0</v>
      </c>
      <c r="U2235">
        <v>0</v>
      </c>
      <c r="V2235" s="122">
        <v>33663</v>
      </c>
      <c r="W2235" s="122">
        <f t="shared" si="70"/>
        <v>33663</v>
      </c>
      <c r="X2235" s="122">
        <f t="shared" si="71"/>
        <v>38097</v>
      </c>
    </row>
    <row r="2236" spans="2:24">
      <c r="B2236" t="s">
        <v>479</v>
      </c>
      <c r="C2236" t="s">
        <v>62</v>
      </c>
      <c r="D2236" t="s">
        <v>137</v>
      </c>
      <c r="E2236" t="s">
        <v>137</v>
      </c>
      <c r="F2236">
        <v>34</v>
      </c>
      <c r="G2236" s="122">
        <v>1926</v>
      </c>
      <c r="H2236" s="122">
        <v>14069</v>
      </c>
      <c r="I2236" s="122">
        <v>539688</v>
      </c>
      <c r="J2236" s="122">
        <v>199884</v>
      </c>
      <c r="K2236">
        <v>100</v>
      </c>
      <c r="L2236" s="122">
        <v>43140</v>
      </c>
      <c r="M2236" s="122">
        <v>21898</v>
      </c>
      <c r="N2236" s="122">
        <v>37034</v>
      </c>
      <c r="O2236" s="122">
        <v>13716</v>
      </c>
      <c r="P2236" s="122">
        <v>1526</v>
      </c>
      <c r="Q2236">
        <v>565</v>
      </c>
      <c r="R2236" s="122">
        <v>175637</v>
      </c>
      <c r="S2236" s="122">
        <v>65051</v>
      </c>
      <c r="T2236">
        <v>0</v>
      </c>
      <c r="U2236">
        <v>0</v>
      </c>
      <c r="V2236" s="122">
        <v>301114</v>
      </c>
      <c r="W2236" s="122">
        <f t="shared" si="70"/>
        <v>301114</v>
      </c>
      <c r="X2236" s="122">
        <f t="shared" si="71"/>
        <v>797025</v>
      </c>
    </row>
    <row r="2237" spans="2:24">
      <c r="B2237" t="s">
        <v>479</v>
      </c>
      <c r="C2237" t="s">
        <v>62</v>
      </c>
      <c r="D2237" t="s">
        <v>406</v>
      </c>
      <c r="E2237" t="s">
        <v>406</v>
      </c>
      <c r="F2237">
        <v>13</v>
      </c>
      <c r="G2237" s="122">
        <v>1293</v>
      </c>
      <c r="H2237" s="122">
        <v>5439</v>
      </c>
      <c r="I2237" s="122">
        <v>350422</v>
      </c>
      <c r="J2237" s="122">
        <v>318566</v>
      </c>
      <c r="K2237">
        <v>77</v>
      </c>
      <c r="L2237" s="122">
        <v>78417</v>
      </c>
      <c r="M2237" s="122">
        <v>60961</v>
      </c>
      <c r="N2237" s="122">
        <v>31229</v>
      </c>
      <c r="O2237" s="122">
        <v>11566</v>
      </c>
      <c r="P2237" s="122">
        <v>8073</v>
      </c>
      <c r="Q2237" s="122">
        <v>2990</v>
      </c>
      <c r="R2237" s="122">
        <v>71232</v>
      </c>
      <c r="S2237" s="122">
        <v>64756</v>
      </c>
      <c r="T2237" s="122">
        <v>17950</v>
      </c>
      <c r="U2237" s="122">
        <v>6648</v>
      </c>
      <c r="V2237" s="122">
        <v>465487</v>
      </c>
      <c r="W2237" s="122">
        <f t="shared" si="70"/>
        <v>465487</v>
      </c>
      <c r="X2237" s="122">
        <f t="shared" si="71"/>
        <v>557323</v>
      </c>
    </row>
    <row r="2238" spans="2:24">
      <c r="B2238" t="s">
        <v>479</v>
      </c>
      <c r="C2238" t="s">
        <v>62</v>
      </c>
      <c r="D2238" t="s">
        <v>407</v>
      </c>
      <c r="E2238" t="s">
        <v>137</v>
      </c>
      <c r="F2238">
        <v>4</v>
      </c>
      <c r="G2238">
        <v>198</v>
      </c>
      <c r="H2238" s="122">
        <v>1623</v>
      </c>
      <c r="I2238" s="122">
        <v>31466</v>
      </c>
      <c r="J2238" s="122">
        <v>28605</v>
      </c>
      <c r="K2238">
        <v>73</v>
      </c>
      <c r="L2238" s="122">
        <v>4614</v>
      </c>
      <c r="M2238" s="122">
        <v>2926</v>
      </c>
      <c r="N2238" s="122">
        <v>4835</v>
      </c>
      <c r="O2238" s="122">
        <v>1791</v>
      </c>
      <c r="P2238" s="122">
        <v>1890</v>
      </c>
      <c r="Q2238">
        <v>700</v>
      </c>
      <c r="R2238" s="122">
        <v>37241</v>
      </c>
      <c r="S2238" s="122">
        <v>13793</v>
      </c>
      <c r="T2238">
        <v>0</v>
      </c>
      <c r="U2238">
        <v>0</v>
      </c>
      <c r="V2238" s="122">
        <v>47815</v>
      </c>
      <c r="W2238" s="122">
        <f t="shared" si="70"/>
        <v>47815</v>
      </c>
      <c r="X2238" s="122">
        <f t="shared" si="71"/>
        <v>80046</v>
      </c>
    </row>
    <row r="2239" spans="2:24">
      <c r="B2239" t="s">
        <v>479</v>
      </c>
      <c r="C2239" t="s">
        <v>62</v>
      </c>
      <c r="D2239" t="s">
        <v>407</v>
      </c>
      <c r="E2239" t="s">
        <v>407</v>
      </c>
      <c r="F2239">
        <v>17</v>
      </c>
      <c r="G2239" s="122">
        <v>1083</v>
      </c>
      <c r="H2239" s="122">
        <v>7076</v>
      </c>
      <c r="I2239" s="122">
        <v>273561</v>
      </c>
      <c r="J2239" s="122">
        <v>248692</v>
      </c>
      <c r="K2239">
        <v>74</v>
      </c>
      <c r="L2239" s="122">
        <v>52215</v>
      </c>
      <c r="M2239" s="122">
        <v>42668</v>
      </c>
      <c r="N2239" s="122">
        <v>22810</v>
      </c>
      <c r="O2239" s="122">
        <v>8448</v>
      </c>
      <c r="P2239" s="122">
        <v>7911</v>
      </c>
      <c r="Q2239" s="122">
        <v>2930</v>
      </c>
      <c r="R2239" s="122">
        <v>70453</v>
      </c>
      <c r="S2239" s="122">
        <v>64048</v>
      </c>
      <c r="T2239" s="122">
        <v>23311</v>
      </c>
      <c r="U2239" s="122">
        <v>8634</v>
      </c>
      <c r="V2239" s="122">
        <v>375419</v>
      </c>
      <c r="W2239" s="122">
        <f t="shared" si="70"/>
        <v>375420</v>
      </c>
      <c r="X2239" s="122">
        <f t="shared" si="71"/>
        <v>450261</v>
      </c>
    </row>
    <row r="2240" spans="2:24">
      <c r="B2240" t="s">
        <v>479</v>
      </c>
      <c r="C2240" t="s">
        <v>62</v>
      </c>
      <c r="D2240" t="s">
        <v>426</v>
      </c>
      <c r="E2240" t="s">
        <v>137</v>
      </c>
      <c r="F2240">
        <v>1</v>
      </c>
      <c r="G2240">
        <v>58</v>
      </c>
      <c r="H2240">
        <v>438</v>
      </c>
      <c r="I2240" s="122">
        <v>17792</v>
      </c>
      <c r="J2240" s="122">
        <v>16174</v>
      </c>
      <c r="K2240">
        <v>100</v>
      </c>
      <c r="L2240">
        <v>0</v>
      </c>
      <c r="M2240">
        <v>0</v>
      </c>
      <c r="N2240">
        <v>712</v>
      </c>
      <c r="O2240">
        <v>264</v>
      </c>
      <c r="P2240">
        <v>351</v>
      </c>
      <c r="Q2240">
        <v>130</v>
      </c>
      <c r="R2240" s="122">
        <v>6735</v>
      </c>
      <c r="S2240" s="122">
        <v>2494</v>
      </c>
      <c r="T2240">
        <v>0</v>
      </c>
      <c r="U2240">
        <v>0</v>
      </c>
      <c r="V2240" s="122">
        <v>19062</v>
      </c>
      <c r="W2240" s="122">
        <f t="shared" si="70"/>
        <v>19062</v>
      </c>
      <c r="X2240" s="122">
        <f t="shared" si="71"/>
        <v>25590</v>
      </c>
    </row>
    <row r="2241" spans="2:24">
      <c r="B2241" t="s">
        <v>479</v>
      </c>
      <c r="C2241" t="s">
        <v>62</v>
      </c>
      <c r="D2241" t="s">
        <v>426</v>
      </c>
      <c r="E2241" t="s">
        <v>426</v>
      </c>
      <c r="F2241">
        <v>4</v>
      </c>
      <c r="G2241">
        <v>214</v>
      </c>
      <c r="H2241" s="122">
        <v>1677</v>
      </c>
      <c r="I2241" s="122">
        <v>45124</v>
      </c>
      <c r="J2241" s="122">
        <v>41022</v>
      </c>
      <c r="K2241">
        <v>60</v>
      </c>
      <c r="L2241" s="122">
        <v>5176</v>
      </c>
      <c r="M2241" s="122">
        <v>2128</v>
      </c>
      <c r="N2241" s="122">
        <v>4889</v>
      </c>
      <c r="O2241" s="122">
        <v>1811</v>
      </c>
      <c r="P2241">
        <v>702</v>
      </c>
      <c r="Q2241">
        <v>260</v>
      </c>
      <c r="R2241" s="122">
        <v>23940</v>
      </c>
      <c r="S2241" s="122">
        <v>21764</v>
      </c>
      <c r="T2241" s="122">
        <v>9997</v>
      </c>
      <c r="U2241" s="122">
        <v>3703</v>
      </c>
      <c r="V2241" s="122">
        <v>70687</v>
      </c>
      <c r="W2241" s="122">
        <f t="shared" si="70"/>
        <v>70688</v>
      </c>
      <c r="X2241" s="122">
        <f t="shared" si="71"/>
        <v>89828</v>
      </c>
    </row>
    <row r="2242" spans="2:24">
      <c r="B2242" t="s">
        <v>479</v>
      </c>
      <c r="C2242" t="s">
        <v>64</v>
      </c>
      <c r="F2242">
        <v>10</v>
      </c>
      <c r="G2242">
        <v>413</v>
      </c>
      <c r="H2242" s="122">
        <v>6057</v>
      </c>
      <c r="J2242">
        <v>0</v>
      </c>
      <c r="M2242">
        <v>0</v>
      </c>
      <c r="N2242" s="122">
        <v>8937</v>
      </c>
      <c r="O2242" s="122">
        <v>3310</v>
      </c>
      <c r="P2242" s="122">
        <v>2349</v>
      </c>
      <c r="Q2242">
        <v>870</v>
      </c>
      <c r="S2242">
        <v>0</v>
      </c>
      <c r="T2242" s="122">
        <v>1228</v>
      </c>
      <c r="U2242">
        <v>455</v>
      </c>
      <c r="V2242" s="122">
        <v>4635</v>
      </c>
      <c r="W2242" s="122">
        <f t="shared" si="70"/>
        <v>4635</v>
      </c>
      <c r="X2242" s="122">
        <f t="shared" si="71"/>
        <v>12514</v>
      </c>
    </row>
    <row r="2243" spans="2:24">
      <c r="B2243" t="s">
        <v>479</v>
      </c>
      <c r="C2243" t="s">
        <v>64</v>
      </c>
      <c r="D2243" t="s">
        <v>405</v>
      </c>
      <c r="E2243" t="s">
        <v>405</v>
      </c>
      <c r="F2243">
        <v>1</v>
      </c>
      <c r="G2243">
        <v>146</v>
      </c>
      <c r="H2243">
        <v>478</v>
      </c>
      <c r="I2243" s="122">
        <v>51880</v>
      </c>
      <c r="J2243" s="122">
        <v>47163</v>
      </c>
      <c r="K2243">
        <v>55</v>
      </c>
      <c r="L2243" s="122">
        <v>6018</v>
      </c>
      <c r="M2243" s="122">
        <v>5471</v>
      </c>
      <c r="N2243" s="122">
        <v>3348</v>
      </c>
      <c r="O2243" s="122">
        <v>1240</v>
      </c>
      <c r="P2243">
        <v>351</v>
      </c>
      <c r="Q2243">
        <v>130</v>
      </c>
      <c r="R2243" s="122">
        <v>5730</v>
      </c>
      <c r="S2243" s="122">
        <v>5209</v>
      </c>
      <c r="T2243" s="122">
        <v>2532</v>
      </c>
      <c r="U2243">
        <v>938</v>
      </c>
      <c r="V2243" s="122">
        <v>60151</v>
      </c>
      <c r="W2243" s="122">
        <f t="shared" si="70"/>
        <v>60151</v>
      </c>
      <c r="X2243" s="122">
        <f t="shared" si="71"/>
        <v>69859</v>
      </c>
    </row>
    <row r="2244" spans="2:24">
      <c r="B2244" t="s">
        <v>479</v>
      </c>
      <c r="C2244" t="s">
        <v>64</v>
      </c>
      <c r="D2244" t="s">
        <v>137</v>
      </c>
      <c r="E2244" t="s">
        <v>137</v>
      </c>
      <c r="F2244">
        <v>90</v>
      </c>
      <c r="G2244" s="122">
        <v>4577</v>
      </c>
      <c r="H2244" s="122">
        <v>59558</v>
      </c>
      <c r="I2244" s="122">
        <v>2229118</v>
      </c>
      <c r="J2244" s="122">
        <v>825599</v>
      </c>
      <c r="K2244">
        <v>100</v>
      </c>
      <c r="L2244" s="122">
        <v>218725</v>
      </c>
      <c r="M2244" s="122">
        <v>139624</v>
      </c>
      <c r="N2244" s="122">
        <v>91556</v>
      </c>
      <c r="O2244" s="122">
        <v>33910</v>
      </c>
      <c r="P2244" s="122">
        <v>2376</v>
      </c>
      <c r="Q2244">
        <v>880</v>
      </c>
      <c r="R2244" s="122">
        <v>470594</v>
      </c>
      <c r="S2244" s="122">
        <v>174294</v>
      </c>
      <c r="T2244">
        <v>0</v>
      </c>
      <c r="U2244">
        <v>0</v>
      </c>
      <c r="V2244" s="122">
        <v>1174307</v>
      </c>
      <c r="W2244" s="122">
        <f t="shared" si="70"/>
        <v>1174307</v>
      </c>
      <c r="X2244" s="122">
        <f t="shared" si="71"/>
        <v>3012369</v>
      </c>
    </row>
    <row r="2245" spans="2:24">
      <c r="B2245" t="s">
        <v>479</v>
      </c>
      <c r="C2245" t="s">
        <v>64</v>
      </c>
      <c r="D2245" t="s">
        <v>137</v>
      </c>
      <c r="E2245" t="s">
        <v>407</v>
      </c>
      <c r="F2245">
        <v>1</v>
      </c>
      <c r="G2245">
        <v>39</v>
      </c>
      <c r="H2245">
        <v>500</v>
      </c>
      <c r="I2245" s="122">
        <v>14196</v>
      </c>
      <c r="J2245" s="122">
        <v>5258</v>
      </c>
      <c r="K2245">
        <v>100</v>
      </c>
      <c r="L2245">
        <v>0</v>
      </c>
      <c r="M2245">
        <v>0</v>
      </c>
      <c r="N2245">
        <v>958</v>
      </c>
      <c r="O2245">
        <v>355</v>
      </c>
      <c r="P2245">
        <v>0</v>
      </c>
      <c r="Q2245">
        <v>0</v>
      </c>
      <c r="R2245" s="122">
        <v>2913</v>
      </c>
      <c r="S2245" s="122">
        <v>2648</v>
      </c>
      <c r="T2245" s="122">
        <v>1590</v>
      </c>
      <c r="U2245">
        <v>589</v>
      </c>
      <c r="V2245" s="122">
        <v>8850</v>
      </c>
      <c r="W2245" s="122">
        <f t="shared" si="70"/>
        <v>8850</v>
      </c>
      <c r="X2245" s="122">
        <f t="shared" si="71"/>
        <v>19657</v>
      </c>
    </row>
    <row r="2246" spans="2:24">
      <c r="B2246" t="s">
        <v>479</v>
      </c>
      <c r="C2246" t="s">
        <v>64</v>
      </c>
      <c r="D2246" t="s">
        <v>137</v>
      </c>
      <c r="E2246" t="s">
        <v>426</v>
      </c>
      <c r="F2246">
        <v>4</v>
      </c>
      <c r="G2246">
        <v>203</v>
      </c>
      <c r="H2246" s="122">
        <v>2399</v>
      </c>
      <c r="I2246" s="122">
        <v>66857</v>
      </c>
      <c r="J2246" s="122">
        <v>24762</v>
      </c>
      <c r="K2246">
        <v>100</v>
      </c>
      <c r="L2246" s="122">
        <v>10043</v>
      </c>
      <c r="M2246" s="122">
        <v>9130</v>
      </c>
      <c r="N2246" s="122">
        <v>4736</v>
      </c>
      <c r="O2246" s="122">
        <v>1754</v>
      </c>
      <c r="P2246">
        <v>351</v>
      </c>
      <c r="Q2246">
        <v>130</v>
      </c>
      <c r="R2246" s="122">
        <v>31196</v>
      </c>
      <c r="S2246" s="122">
        <v>28360</v>
      </c>
      <c r="T2246" s="122">
        <v>14419</v>
      </c>
      <c r="U2246" s="122">
        <v>5341</v>
      </c>
      <c r="V2246" s="122">
        <v>69476</v>
      </c>
      <c r="W2246" s="122">
        <f t="shared" si="70"/>
        <v>69477</v>
      </c>
      <c r="X2246" s="122">
        <f t="shared" si="71"/>
        <v>127602</v>
      </c>
    </row>
    <row r="2247" spans="2:24">
      <c r="B2247" t="s">
        <v>479</v>
      </c>
      <c r="C2247" t="s">
        <v>64</v>
      </c>
      <c r="D2247" t="s">
        <v>406</v>
      </c>
      <c r="E2247" t="s">
        <v>137</v>
      </c>
      <c r="F2247">
        <v>1</v>
      </c>
      <c r="G2247">
        <v>65</v>
      </c>
      <c r="H2247">
        <v>646</v>
      </c>
      <c r="I2247" s="122">
        <v>35443</v>
      </c>
      <c r="J2247" s="122">
        <v>32221</v>
      </c>
      <c r="K2247">
        <v>65</v>
      </c>
      <c r="L2247">
        <v>0</v>
      </c>
      <c r="M2247">
        <v>0</v>
      </c>
      <c r="N2247" s="122">
        <v>1594</v>
      </c>
      <c r="O2247">
        <v>590</v>
      </c>
      <c r="P2247">
        <v>621</v>
      </c>
      <c r="Q2247">
        <v>230</v>
      </c>
      <c r="R2247" s="122">
        <v>4607</v>
      </c>
      <c r="S2247" s="122">
        <v>1706</v>
      </c>
      <c r="T2247">
        <v>0</v>
      </c>
      <c r="U2247">
        <v>0</v>
      </c>
      <c r="V2247" s="122">
        <v>34747</v>
      </c>
      <c r="W2247" s="122">
        <f t="shared" si="70"/>
        <v>34747</v>
      </c>
      <c r="X2247" s="122">
        <f t="shared" si="71"/>
        <v>42265</v>
      </c>
    </row>
    <row r="2248" spans="2:24">
      <c r="B2248" t="s">
        <v>479</v>
      </c>
      <c r="C2248" t="s">
        <v>64</v>
      </c>
      <c r="D2248" t="s">
        <v>406</v>
      </c>
      <c r="E2248" t="s">
        <v>406</v>
      </c>
      <c r="F2248">
        <v>10</v>
      </c>
      <c r="G2248">
        <v>781</v>
      </c>
      <c r="H2248" s="122">
        <v>5300</v>
      </c>
      <c r="I2248" s="122">
        <v>257312</v>
      </c>
      <c r="J2248" s="122">
        <v>233920</v>
      </c>
      <c r="K2248">
        <v>77</v>
      </c>
      <c r="L2248" s="122">
        <v>54437</v>
      </c>
      <c r="M2248" s="122">
        <v>46752</v>
      </c>
      <c r="N2248" s="122">
        <v>17795</v>
      </c>
      <c r="O2248" s="122">
        <v>6591</v>
      </c>
      <c r="P2248" s="122">
        <v>6332</v>
      </c>
      <c r="Q2248" s="122">
        <v>2345</v>
      </c>
      <c r="R2248" s="122">
        <v>48860</v>
      </c>
      <c r="S2248" s="122">
        <v>44418</v>
      </c>
      <c r="T2248" s="122">
        <v>17642</v>
      </c>
      <c r="U2248" s="122">
        <v>6534</v>
      </c>
      <c r="V2248" s="122">
        <v>340559</v>
      </c>
      <c r="W2248" s="122">
        <f t="shared" si="70"/>
        <v>340560</v>
      </c>
      <c r="X2248" s="122">
        <f t="shared" si="71"/>
        <v>402378</v>
      </c>
    </row>
    <row r="2249" spans="2:24">
      <c r="B2249" t="s">
        <v>479</v>
      </c>
      <c r="C2249" t="s">
        <v>64</v>
      </c>
      <c r="D2249" t="s">
        <v>427</v>
      </c>
      <c r="E2249" t="s">
        <v>427</v>
      </c>
      <c r="F2249">
        <v>1</v>
      </c>
      <c r="G2249">
        <v>38</v>
      </c>
      <c r="H2249">
        <v>486</v>
      </c>
      <c r="I2249" s="122">
        <v>6333</v>
      </c>
      <c r="J2249" s="122">
        <v>5757</v>
      </c>
      <c r="K2249">
        <v>55</v>
      </c>
      <c r="L2249">
        <v>0</v>
      </c>
      <c r="M2249">
        <v>0</v>
      </c>
      <c r="N2249">
        <v>800</v>
      </c>
      <c r="O2249">
        <v>296</v>
      </c>
      <c r="P2249">
        <v>351</v>
      </c>
      <c r="Q2249">
        <v>130</v>
      </c>
      <c r="R2249" s="122">
        <v>7355</v>
      </c>
      <c r="S2249" s="122">
        <v>6686</v>
      </c>
      <c r="T2249" s="122">
        <v>3803</v>
      </c>
      <c r="U2249" s="122">
        <v>1409</v>
      </c>
      <c r="V2249" s="122">
        <v>14278</v>
      </c>
      <c r="W2249" s="122">
        <f t="shared" si="70"/>
        <v>14278</v>
      </c>
      <c r="X2249" s="122">
        <f t="shared" si="71"/>
        <v>18642</v>
      </c>
    </row>
    <row r="2250" spans="2:24">
      <c r="B2250" t="s">
        <v>479</v>
      </c>
      <c r="C2250" t="s">
        <v>64</v>
      </c>
      <c r="D2250" t="s">
        <v>407</v>
      </c>
      <c r="E2250" t="s">
        <v>407</v>
      </c>
      <c r="F2250">
        <v>12</v>
      </c>
      <c r="G2250">
        <v>581</v>
      </c>
      <c r="H2250" s="122">
        <v>6170</v>
      </c>
      <c r="I2250" s="122">
        <v>182468</v>
      </c>
      <c r="J2250" s="122">
        <v>165880</v>
      </c>
      <c r="K2250">
        <v>77</v>
      </c>
      <c r="L2250" s="122">
        <v>32445</v>
      </c>
      <c r="M2250" s="122">
        <v>28040</v>
      </c>
      <c r="N2250" s="122">
        <v>12523</v>
      </c>
      <c r="O2250" s="122">
        <v>4638</v>
      </c>
      <c r="P2250" s="122">
        <v>5427</v>
      </c>
      <c r="Q2250" s="122">
        <v>2010</v>
      </c>
      <c r="R2250" s="122">
        <v>48894</v>
      </c>
      <c r="S2250" s="122">
        <v>44449</v>
      </c>
      <c r="T2250" s="122">
        <v>15361</v>
      </c>
      <c r="U2250" s="122">
        <v>5689</v>
      </c>
      <c r="V2250" s="122">
        <v>250707</v>
      </c>
      <c r="W2250" s="122">
        <f t="shared" si="70"/>
        <v>250706</v>
      </c>
      <c r="X2250" s="122">
        <f t="shared" si="71"/>
        <v>297118</v>
      </c>
    </row>
    <row r="2251" spans="2:24">
      <c r="B2251" t="s">
        <v>479</v>
      </c>
      <c r="C2251" t="s">
        <v>64</v>
      </c>
      <c r="D2251" t="s">
        <v>556</v>
      </c>
      <c r="E2251" t="s">
        <v>556</v>
      </c>
      <c r="F2251">
        <v>1</v>
      </c>
      <c r="G2251">
        <v>47</v>
      </c>
      <c r="H2251" s="122">
        <v>1276</v>
      </c>
      <c r="I2251" s="122">
        <v>43430</v>
      </c>
      <c r="J2251" s="122">
        <v>36191</v>
      </c>
      <c r="K2251">
        <v>50</v>
      </c>
      <c r="L2251" s="122">
        <v>8043</v>
      </c>
      <c r="M2251" s="122">
        <v>6702</v>
      </c>
      <c r="N2251" s="122">
        <v>1073</v>
      </c>
      <c r="O2251">
        <v>397</v>
      </c>
      <c r="P2251">
        <v>351</v>
      </c>
      <c r="Q2251">
        <v>130</v>
      </c>
      <c r="R2251" s="122">
        <v>7529</v>
      </c>
      <c r="S2251" s="122">
        <v>6274</v>
      </c>
      <c r="T2251">
        <v>0</v>
      </c>
      <c r="U2251">
        <v>0</v>
      </c>
      <c r="V2251" s="122">
        <v>49695</v>
      </c>
      <c r="W2251" s="122">
        <f t="shared" si="70"/>
        <v>49694</v>
      </c>
      <c r="X2251" s="122">
        <f t="shared" si="71"/>
        <v>60426</v>
      </c>
    </row>
    <row r="2252" spans="2:24">
      <c r="B2252" t="s">
        <v>479</v>
      </c>
      <c r="C2252" t="s">
        <v>64</v>
      </c>
      <c r="D2252" t="s">
        <v>426</v>
      </c>
      <c r="E2252" t="s">
        <v>137</v>
      </c>
      <c r="F2252">
        <v>4</v>
      </c>
      <c r="G2252">
        <v>188</v>
      </c>
      <c r="H2252" s="122">
        <v>2887</v>
      </c>
      <c r="I2252" s="122">
        <v>102145</v>
      </c>
      <c r="J2252" s="122">
        <v>92859</v>
      </c>
      <c r="K2252">
        <v>45</v>
      </c>
      <c r="L2252" s="122">
        <v>2604</v>
      </c>
      <c r="M2252">
        <v>964</v>
      </c>
      <c r="N2252" s="122">
        <v>3762</v>
      </c>
      <c r="O2252" s="122">
        <v>1393</v>
      </c>
      <c r="P2252">
        <v>0</v>
      </c>
      <c r="Q2252">
        <v>0</v>
      </c>
      <c r="R2252" s="122">
        <v>29311</v>
      </c>
      <c r="S2252" s="122">
        <v>10856</v>
      </c>
      <c r="T2252">
        <v>0</v>
      </c>
      <c r="U2252">
        <v>0</v>
      </c>
      <c r="V2252" s="122">
        <v>106072</v>
      </c>
      <c r="W2252" s="122">
        <f t="shared" si="70"/>
        <v>106072</v>
      </c>
      <c r="X2252" s="122">
        <f t="shared" si="71"/>
        <v>137822</v>
      </c>
    </row>
    <row r="2253" spans="2:24">
      <c r="B2253" t="s">
        <v>479</v>
      </c>
      <c r="C2253" t="s">
        <v>64</v>
      </c>
      <c r="D2253" t="s">
        <v>426</v>
      </c>
      <c r="E2253" t="s">
        <v>426</v>
      </c>
      <c r="F2253">
        <v>6</v>
      </c>
      <c r="G2253">
        <v>260</v>
      </c>
      <c r="H2253" s="122">
        <v>3745</v>
      </c>
      <c r="I2253" s="122">
        <v>84253</v>
      </c>
      <c r="J2253" s="122">
        <v>76593</v>
      </c>
      <c r="K2253">
        <v>53</v>
      </c>
      <c r="L2253" s="122">
        <v>16161</v>
      </c>
      <c r="M2253" s="122">
        <v>5986</v>
      </c>
      <c r="N2253" s="122">
        <v>5812</v>
      </c>
      <c r="O2253" s="122">
        <v>2152</v>
      </c>
      <c r="P2253" s="122">
        <v>1404</v>
      </c>
      <c r="Q2253">
        <v>520</v>
      </c>
      <c r="R2253" s="122">
        <v>40678</v>
      </c>
      <c r="S2253" s="122">
        <v>36980</v>
      </c>
      <c r="T2253" s="122">
        <v>13224</v>
      </c>
      <c r="U2253" s="122">
        <v>4898</v>
      </c>
      <c r="V2253" s="122">
        <v>127129</v>
      </c>
      <c r="W2253" s="122">
        <f t="shared" si="70"/>
        <v>127129</v>
      </c>
      <c r="X2253" s="122">
        <f t="shared" si="71"/>
        <v>161532</v>
      </c>
    </row>
  </sheetData>
  <mergeCells count="1">
    <mergeCell ref="A1:I1"/>
  </mergeCells>
  <phoneticPr fontId="20" type="noConversion"/>
  <pageMargins left="0.7" right="0.7" top="0.75" bottom="0.75" header="0.3" footer="0.3"/>
  <pageSetup orientation="portrait" horizontalDpi="300" verticalDpi="300" r:id="rId1"/>
  <tableParts count="2">
    <tablePart r:id="rId2"/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839D5-FD33-408C-AFD8-9FF9ECC2615C}">
  <sheetPr codeName="Sheet16">
    <tabColor theme="6" tint="0.59999389629810485"/>
  </sheetPr>
  <dimension ref="A1:AV2903"/>
  <sheetViews>
    <sheetView workbookViewId="0">
      <selection sqref="A1:I1"/>
    </sheetView>
  </sheetViews>
  <sheetFormatPr defaultRowHeight="12.5"/>
  <cols>
    <col min="2" max="2" width="20.1796875" customWidth="1"/>
    <col min="3" max="3" width="25.453125" customWidth="1"/>
    <col min="4" max="4" width="22.26953125" customWidth="1"/>
    <col min="5" max="5" width="21.7265625" customWidth="1"/>
    <col min="6" max="7" width="16.7265625" customWidth="1"/>
    <col min="8" max="8" width="25.7265625" customWidth="1"/>
    <col min="9" max="9" width="28.26953125" customWidth="1"/>
    <col min="10" max="10" width="30.54296875" customWidth="1"/>
    <col min="11" max="11" width="25.453125" customWidth="1"/>
    <col min="12" max="12" width="26.453125" customWidth="1"/>
    <col min="13" max="13" width="22.81640625" customWidth="1"/>
    <col min="14" max="14" width="20.453125" customWidth="1"/>
    <col min="15" max="15" width="12.7265625" customWidth="1"/>
    <col min="16" max="25" width="25.453125" customWidth="1"/>
    <col min="26" max="26" width="12.7265625" customWidth="1"/>
    <col min="27" max="27" width="20.54296875" customWidth="1"/>
    <col min="28" max="28" width="23.81640625" customWidth="1"/>
    <col min="29" max="29" width="25.1796875" customWidth="1"/>
    <col min="30" max="30" width="22.453125" customWidth="1"/>
    <col min="31" max="31" width="17.54296875" customWidth="1"/>
    <col min="32" max="32" width="17.453125" customWidth="1"/>
    <col min="33" max="33" width="27.26953125" customWidth="1"/>
    <col min="34" max="34" width="30.54296875" customWidth="1"/>
    <col min="35" max="35" width="30.453125" customWidth="1"/>
    <col min="36" max="36" width="32" customWidth="1"/>
    <col min="37" max="37" width="33.7265625" customWidth="1"/>
    <col min="38" max="38" width="24.453125" customWidth="1"/>
    <col min="39" max="39" width="25.453125" customWidth="1"/>
    <col min="40" max="40" width="26.453125" customWidth="1"/>
    <col min="41" max="41" width="23.7265625" customWidth="1"/>
    <col min="42" max="42" width="26.1796875" customWidth="1"/>
    <col min="43" max="43" width="28" customWidth="1"/>
    <col min="44" max="44" width="36.54296875" customWidth="1"/>
    <col min="45" max="45" width="36.81640625" customWidth="1"/>
    <col min="46" max="46" width="24" customWidth="1"/>
    <col min="47" max="47" width="29.1796875" customWidth="1"/>
    <col min="48" max="48" width="26.26953125" customWidth="1"/>
  </cols>
  <sheetData>
    <row r="1" spans="1:48" ht="21">
      <c r="A1" s="1153" t="s">
        <v>480</v>
      </c>
      <c r="B1" s="1153"/>
      <c r="C1" s="1153"/>
      <c r="D1" s="1153"/>
      <c r="E1" s="1153"/>
      <c r="F1" s="1153"/>
      <c r="G1" s="1153"/>
      <c r="H1" s="1153"/>
      <c r="I1" s="1153"/>
    </row>
    <row r="2" spans="1:48" ht="13">
      <c r="AI2" s="66"/>
    </row>
    <row r="3" spans="1:48" ht="13">
      <c r="AI3" s="66"/>
    </row>
    <row r="4" spans="1:48" ht="13">
      <c r="B4" s="58"/>
      <c r="C4" s="58"/>
      <c r="D4" s="58"/>
      <c r="E4" s="58"/>
      <c r="F4" s="58" t="s">
        <v>361</v>
      </c>
      <c r="G4" s="58" t="s">
        <v>361</v>
      </c>
      <c r="H4" s="58" t="s">
        <v>361</v>
      </c>
      <c r="I4" s="58" t="s">
        <v>361</v>
      </c>
      <c r="J4" s="58" t="s">
        <v>361</v>
      </c>
      <c r="K4" s="58" t="s">
        <v>361</v>
      </c>
      <c r="L4" s="58" t="s">
        <v>361</v>
      </c>
      <c r="M4" s="58" t="s">
        <v>361</v>
      </c>
      <c r="N4" s="58" t="s">
        <v>361</v>
      </c>
      <c r="O4" s="58" t="s">
        <v>361</v>
      </c>
      <c r="P4" s="58" t="s">
        <v>361</v>
      </c>
      <c r="Q4" s="58" t="s">
        <v>361</v>
      </c>
      <c r="R4" s="58" t="s">
        <v>361</v>
      </c>
      <c r="S4" s="58" t="s">
        <v>361</v>
      </c>
      <c r="T4" s="58" t="s">
        <v>361</v>
      </c>
      <c r="U4" s="58" t="s">
        <v>361</v>
      </c>
      <c r="V4" s="58" t="s">
        <v>361</v>
      </c>
      <c r="W4" s="58" t="s">
        <v>414</v>
      </c>
      <c r="X4" s="58" t="s">
        <v>414</v>
      </c>
      <c r="Y4" s="58"/>
      <c r="AD4" t="s">
        <v>361</v>
      </c>
      <c r="AE4" t="s">
        <v>361</v>
      </c>
      <c r="AF4" t="s">
        <v>361</v>
      </c>
      <c r="AG4" t="s">
        <v>361</v>
      </c>
      <c r="AH4" t="s">
        <v>361</v>
      </c>
      <c r="AI4" s="66" t="s">
        <v>361</v>
      </c>
      <c r="AJ4" t="s">
        <v>361</v>
      </c>
      <c r="AK4" t="s">
        <v>361</v>
      </c>
      <c r="AL4" t="s">
        <v>361</v>
      </c>
      <c r="AM4" t="s">
        <v>361</v>
      </c>
      <c r="AN4" t="s">
        <v>361</v>
      </c>
      <c r="AO4" t="s">
        <v>361</v>
      </c>
      <c r="AP4" t="s">
        <v>361</v>
      </c>
      <c r="AQ4" t="s">
        <v>361</v>
      </c>
      <c r="AR4" t="s">
        <v>361</v>
      </c>
      <c r="AS4" t="s">
        <v>361</v>
      </c>
      <c r="AT4" t="s">
        <v>361</v>
      </c>
    </row>
    <row r="5" spans="1:48" ht="13"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s="66" t="s">
        <v>44</v>
      </c>
      <c r="AJ5" t="s">
        <v>44</v>
      </c>
      <c r="AK5" t="s">
        <v>44</v>
      </c>
      <c r="AL5" t="s">
        <v>44</v>
      </c>
      <c r="AM5" t="s">
        <v>44</v>
      </c>
      <c r="AN5" t="s">
        <v>44</v>
      </c>
      <c r="AO5" t="s">
        <v>44</v>
      </c>
      <c r="AP5" t="s">
        <v>44</v>
      </c>
      <c r="AQ5" t="s">
        <v>44</v>
      </c>
      <c r="AR5" t="s">
        <v>44</v>
      </c>
      <c r="AS5" t="s">
        <v>44</v>
      </c>
      <c r="AT5" t="s">
        <v>44</v>
      </c>
    </row>
    <row r="6" spans="1:48">
      <c r="B6" t="s">
        <v>360</v>
      </c>
      <c r="C6" t="s">
        <v>288</v>
      </c>
      <c r="D6" t="s">
        <v>393</v>
      </c>
      <c r="E6" t="s">
        <v>410</v>
      </c>
      <c r="F6" t="s">
        <v>398</v>
      </c>
      <c r="G6" t="s">
        <v>399</v>
      </c>
      <c r="H6" t="s">
        <v>415</v>
      </c>
      <c r="I6" t="s">
        <v>394</v>
      </c>
      <c r="J6" t="s">
        <v>395</v>
      </c>
      <c r="K6" t="s">
        <v>400</v>
      </c>
      <c r="L6" t="s">
        <v>396</v>
      </c>
      <c r="M6" t="s">
        <v>397</v>
      </c>
      <c r="N6" t="s">
        <v>416</v>
      </c>
      <c r="O6" t="s">
        <v>417</v>
      </c>
      <c r="P6" t="s">
        <v>418</v>
      </c>
      <c r="Q6" t="s">
        <v>419</v>
      </c>
      <c r="R6" t="s">
        <v>420</v>
      </c>
      <c r="S6" t="s">
        <v>421</v>
      </c>
      <c r="T6" t="s">
        <v>422</v>
      </c>
      <c r="U6" t="s">
        <v>423</v>
      </c>
      <c r="V6" t="s">
        <v>424</v>
      </c>
      <c r="W6" s="211" t="s">
        <v>402</v>
      </c>
      <c r="X6" s="211" t="s">
        <v>401</v>
      </c>
      <c r="Y6" s="58"/>
      <c r="AA6" t="s">
        <v>288</v>
      </c>
      <c r="AB6" t="s">
        <v>393</v>
      </c>
      <c r="AC6" t="s">
        <v>576</v>
      </c>
      <c r="AD6" t="s">
        <v>410</v>
      </c>
      <c r="AE6" t="s">
        <v>577</v>
      </c>
      <c r="AF6" t="s">
        <v>398</v>
      </c>
      <c r="AG6" t="s">
        <v>399</v>
      </c>
      <c r="AH6" t="s">
        <v>415</v>
      </c>
      <c r="AI6" t="s">
        <v>394</v>
      </c>
      <c r="AJ6" t="s">
        <v>395</v>
      </c>
      <c r="AK6" t="s">
        <v>400</v>
      </c>
      <c r="AL6" t="s">
        <v>396</v>
      </c>
      <c r="AM6" t="s">
        <v>397</v>
      </c>
      <c r="AN6" t="s">
        <v>416</v>
      </c>
      <c r="AO6" t="s">
        <v>417</v>
      </c>
      <c r="AP6" t="s">
        <v>418</v>
      </c>
      <c r="AQ6" t="s">
        <v>419</v>
      </c>
      <c r="AR6" t="s">
        <v>420</v>
      </c>
      <c r="AS6" t="s">
        <v>421</v>
      </c>
      <c r="AT6" t="s">
        <v>422</v>
      </c>
      <c r="AU6" t="s">
        <v>423</v>
      </c>
      <c r="AV6" t="s">
        <v>424</v>
      </c>
    </row>
    <row r="7" spans="1:48" ht="12.75" hidden="1" customHeight="1">
      <c r="B7" t="s">
        <v>362</v>
      </c>
      <c r="C7" t="s">
        <v>48</v>
      </c>
      <c r="D7" t="s">
        <v>405</v>
      </c>
      <c r="E7" t="s">
        <v>405</v>
      </c>
      <c r="F7" s="122">
        <v>10</v>
      </c>
      <c r="G7" s="122">
        <v>1100</v>
      </c>
      <c r="H7">
        <v>528</v>
      </c>
      <c r="I7" s="122">
        <v>1417</v>
      </c>
      <c r="J7" s="122">
        <v>1288</v>
      </c>
      <c r="K7">
        <v>92</v>
      </c>
      <c r="L7">
        <v>185</v>
      </c>
      <c r="M7" s="122">
        <v>169</v>
      </c>
      <c r="N7" s="122">
        <v>13399</v>
      </c>
      <c r="O7" s="122">
        <v>4963</v>
      </c>
      <c r="P7" s="122">
        <v>4725</v>
      </c>
      <c r="Q7" s="122">
        <v>1750</v>
      </c>
      <c r="R7" s="122">
        <v>38435</v>
      </c>
      <c r="S7" s="122">
        <v>34941</v>
      </c>
      <c r="T7">
        <v>0</v>
      </c>
      <c r="U7" s="122">
        <v>0</v>
      </c>
      <c r="V7" s="122">
        <v>43111</v>
      </c>
      <c r="W7" s="122">
        <f t="shared" ref="W7:W70" si="0">SUM(ABS(J7),ABS(M7),ABS(O7),ABS(Q7),ABS(S7),ABS(U7))</f>
        <v>43111</v>
      </c>
      <c r="X7" s="122">
        <f t="shared" ref="X7:X70" si="1">SUM(ABS(I7),ABS(N7),ABS(P7),ABS(R7),ABS(T7),ABS(L7))</f>
        <v>58161</v>
      </c>
      <c r="Y7" s="122"/>
      <c r="AA7" t="s">
        <v>48</v>
      </c>
      <c r="AC7" t="s">
        <v>566</v>
      </c>
      <c r="AE7" t="s">
        <v>566</v>
      </c>
      <c r="AF7">
        <v>203</v>
      </c>
      <c r="AG7" s="122">
        <v>22399</v>
      </c>
      <c r="AH7" s="122">
        <v>12200</v>
      </c>
      <c r="AJ7">
        <v>0</v>
      </c>
      <c r="AM7">
        <v>0</v>
      </c>
      <c r="AN7" s="122">
        <v>272898</v>
      </c>
      <c r="AO7" s="122">
        <v>101073</v>
      </c>
      <c r="AP7" s="122">
        <v>120806</v>
      </c>
      <c r="AQ7" s="122">
        <v>44743</v>
      </c>
      <c r="AS7">
        <v>0</v>
      </c>
      <c r="AT7">
        <v>0</v>
      </c>
      <c r="AU7">
        <v>0</v>
      </c>
      <c r="AV7" s="122">
        <v>145816</v>
      </c>
    </row>
    <row r="8" spans="1:48" ht="12.75" hidden="1" customHeight="1">
      <c r="B8" t="s">
        <v>362</v>
      </c>
      <c r="C8" t="s">
        <v>48</v>
      </c>
      <c r="D8" t="s">
        <v>137</v>
      </c>
      <c r="E8" t="s">
        <v>137</v>
      </c>
      <c r="F8" s="122">
        <v>272</v>
      </c>
      <c r="G8" s="122">
        <v>26929</v>
      </c>
      <c r="H8" s="122">
        <v>15043</v>
      </c>
      <c r="I8" s="122">
        <v>117594</v>
      </c>
      <c r="J8" s="122">
        <v>43553</v>
      </c>
      <c r="K8" s="122">
        <v>475</v>
      </c>
      <c r="L8" s="122">
        <v>8096</v>
      </c>
      <c r="M8" s="122">
        <v>7287</v>
      </c>
      <c r="N8" s="122">
        <v>331187</v>
      </c>
      <c r="O8" s="122">
        <v>122662</v>
      </c>
      <c r="P8" s="122">
        <v>172018</v>
      </c>
      <c r="Q8" s="122">
        <v>63710</v>
      </c>
      <c r="R8" s="122">
        <v>846073</v>
      </c>
      <c r="S8" s="122">
        <v>313360</v>
      </c>
      <c r="T8">
        <v>0</v>
      </c>
      <c r="U8" s="122">
        <v>0</v>
      </c>
      <c r="V8" s="122">
        <v>550572</v>
      </c>
      <c r="W8" s="122">
        <f t="shared" si="0"/>
        <v>550572</v>
      </c>
      <c r="X8" s="122">
        <f t="shared" si="1"/>
        <v>1474968</v>
      </c>
      <c r="Y8" s="122"/>
      <c r="AA8" t="s">
        <v>48</v>
      </c>
      <c r="AB8" t="s">
        <v>405</v>
      </c>
      <c r="AC8" t="s">
        <v>405</v>
      </c>
      <c r="AD8" t="s">
        <v>405</v>
      </c>
      <c r="AE8" t="s">
        <v>566</v>
      </c>
      <c r="AF8">
        <v>11</v>
      </c>
      <c r="AG8" s="122">
        <v>1418</v>
      </c>
      <c r="AH8">
        <v>725</v>
      </c>
      <c r="AI8" s="122">
        <v>34011</v>
      </c>
      <c r="AJ8" s="122">
        <v>30919</v>
      </c>
      <c r="AK8">
        <v>92</v>
      </c>
      <c r="AL8" s="122">
        <v>4155</v>
      </c>
      <c r="AM8" s="122">
        <v>3777</v>
      </c>
      <c r="AN8" s="122">
        <v>19166</v>
      </c>
      <c r="AO8" s="122">
        <v>7099</v>
      </c>
      <c r="AP8" s="122">
        <v>11535</v>
      </c>
      <c r="AQ8" s="122">
        <v>4272</v>
      </c>
      <c r="AR8" s="122">
        <v>24585</v>
      </c>
      <c r="AS8" s="122">
        <v>22350</v>
      </c>
      <c r="AT8">
        <v>0</v>
      </c>
      <c r="AU8">
        <v>0</v>
      </c>
      <c r="AV8" s="122">
        <v>68418</v>
      </c>
    </row>
    <row r="9" spans="1:48" ht="12.75" hidden="1" customHeight="1">
      <c r="B9" t="s">
        <v>362</v>
      </c>
      <c r="C9" t="s">
        <v>48</v>
      </c>
      <c r="D9" t="s">
        <v>407</v>
      </c>
      <c r="E9" t="s">
        <v>407</v>
      </c>
      <c r="F9" s="122">
        <v>2</v>
      </c>
      <c r="G9">
        <v>227</v>
      </c>
      <c r="H9" s="122">
        <v>119</v>
      </c>
      <c r="I9" s="122">
        <v>4285</v>
      </c>
      <c r="J9" s="122">
        <v>3896</v>
      </c>
      <c r="K9" s="122">
        <v>90</v>
      </c>
      <c r="L9" s="122">
        <v>0</v>
      </c>
      <c r="M9" s="122">
        <v>0</v>
      </c>
      <c r="N9" s="122">
        <v>2760</v>
      </c>
      <c r="O9" s="122">
        <v>1022</v>
      </c>
      <c r="P9" s="122">
        <v>945</v>
      </c>
      <c r="Q9" s="122">
        <v>350</v>
      </c>
      <c r="R9" s="122">
        <v>5514</v>
      </c>
      <c r="S9" s="122">
        <v>5013</v>
      </c>
      <c r="T9">
        <v>0</v>
      </c>
      <c r="U9" s="122">
        <v>0</v>
      </c>
      <c r="V9" s="122">
        <v>10281</v>
      </c>
      <c r="W9" s="122">
        <f t="shared" si="0"/>
        <v>10281</v>
      </c>
      <c r="X9" s="122">
        <f t="shared" si="1"/>
        <v>13504</v>
      </c>
      <c r="Y9" s="122"/>
      <c r="AA9" t="s">
        <v>48</v>
      </c>
      <c r="AB9" t="s">
        <v>405</v>
      </c>
      <c r="AC9" t="s">
        <v>137</v>
      </c>
      <c r="AD9" t="s">
        <v>405</v>
      </c>
      <c r="AE9" t="s">
        <v>566</v>
      </c>
      <c r="AF9">
        <v>76</v>
      </c>
      <c r="AG9" s="122">
        <v>8863</v>
      </c>
      <c r="AH9" s="122">
        <v>4152</v>
      </c>
      <c r="AI9" s="122">
        <v>23803</v>
      </c>
      <c r="AJ9" s="122">
        <v>21639</v>
      </c>
      <c r="AK9">
        <v>92</v>
      </c>
      <c r="AL9" s="122">
        <v>5992</v>
      </c>
      <c r="AM9" s="122">
        <v>2219</v>
      </c>
      <c r="AN9" s="122">
        <v>157710</v>
      </c>
      <c r="AO9" s="122">
        <v>58411</v>
      </c>
      <c r="AP9" s="122">
        <v>116803</v>
      </c>
      <c r="AQ9" s="122">
        <v>43260</v>
      </c>
      <c r="AR9" s="122">
        <v>177928</v>
      </c>
      <c r="AS9" s="122">
        <v>161753</v>
      </c>
      <c r="AT9">
        <v>0</v>
      </c>
      <c r="AU9">
        <v>0</v>
      </c>
      <c r="AV9" s="122">
        <v>287282</v>
      </c>
    </row>
    <row r="10" spans="1:48" ht="12.75" hidden="1" customHeight="1">
      <c r="B10" t="s">
        <v>362</v>
      </c>
      <c r="C10" t="s">
        <v>50</v>
      </c>
      <c r="D10" t="s">
        <v>137</v>
      </c>
      <c r="E10" s="122" t="s">
        <v>137</v>
      </c>
      <c r="F10" s="122">
        <v>2</v>
      </c>
      <c r="G10" s="122">
        <v>284</v>
      </c>
      <c r="H10" s="122">
        <v>163</v>
      </c>
      <c r="I10" s="122">
        <v>5190</v>
      </c>
      <c r="J10" s="122">
        <v>1922</v>
      </c>
      <c r="K10" s="122">
        <v>395</v>
      </c>
      <c r="L10" s="122">
        <v>1420</v>
      </c>
      <c r="M10" s="122">
        <v>1291</v>
      </c>
      <c r="N10" s="122">
        <v>5080</v>
      </c>
      <c r="O10" s="122">
        <v>1882</v>
      </c>
      <c r="P10" s="122">
        <v>1053</v>
      </c>
      <c r="Q10" s="122">
        <v>390</v>
      </c>
      <c r="R10" s="122">
        <v>10554</v>
      </c>
      <c r="S10" s="122">
        <v>3909</v>
      </c>
      <c r="T10" s="122">
        <v>0</v>
      </c>
      <c r="U10" s="122">
        <v>0</v>
      </c>
      <c r="V10" s="122">
        <v>9394</v>
      </c>
      <c r="W10" s="122">
        <f t="shared" si="0"/>
        <v>9394</v>
      </c>
      <c r="X10" s="122">
        <f t="shared" si="1"/>
        <v>23297</v>
      </c>
      <c r="Y10" s="122"/>
      <c r="AA10" t="s">
        <v>48</v>
      </c>
      <c r="AB10" t="s">
        <v>405</v>
      </c>
      <c r="AC10" t="s">
        <v>426</v>
      </c>
      <c r="AD10" t="s">
        <v>405</v>
      </c>
      <c r="AE10" t="s">
        <v>566</v>
      </c>
      <c r="AF10">
        <v>28</v>
      </c>
      <c r="AG10" s="122">
        <v>3477</v>
      </c>
      <c r="AH10" s="122">
        <v>1567</v>
      </c>
      <c r="AI10" s="122">
        <v>23627</v>
      </c>
      <c r="AJ10" s="122">
        <v>21479</v>
      </c>
      <c r="AK10">
        <v>92</v>
      </c>
      <c r="AL10" s="122">
        <v>3606</v>
      </c>
      <c r="AM10" s="122">
        <v>3278</v>
      </c>
      <c r="AN10" s="122">
        <v>43332</v>
      </c>
      <c r="AO10" s="122">
        <v>16049</v>
      </c>
      <c r="AP10" s="122">
        <v>19573</v>
      </c>
      <c r="AQ10" s="122">
        <v>7249</v>
      </c>
      <c r="AR10" s="122">
        <v>106010</v>
      </c>
      <c r="AS10" s="122">
        <v>96373</v>
      </c>
      <c r="AT10">
        <v>0</v>
      </c>
      <c r="AU10">
        <v>0</v>
      </c>
      <c r="AV10" s="122">
        <v>144427</v>
      </c>
    </row>
    <row r="11" spans="1:48" ht="12.75" hidden="1" customHeight="1">
      <c r="B11" t="s">
        <v>362</v>
      </c>
      <c r="C11" t="s">
        <v>50</v>
      </c>
      <c r="D11" t="s">
        <v>406</v>
      </c>
      <c r="E11" t="s">
        <v>406</v>
      </c>
      <c r="F11">
        <v>17</v>
      </c>
      <c r="G11" s="122">
        <v>1929</v>
      </c>
      <c r="H11" s="122">
        <v>1444</v>
      </c>
      <c r="I11" s="122">
        <v>66058</v>
      </c>
      <c r="J11" s="122">
        <v>60053</v>
      </c>
      <c r="K11">
        <v>94</v>
      </c>
      <c r="L11" s="122">
        <v>12448</v>
      </c>
      <c r="M11" s="122">
        <v>11316</v>
      </c>
      <c r="N11" s="122">
        <v>29656</v>
      </c>
      <c r="O11" s="122">
        <v>10984</v>
      </c>
      <c r="P11" s="122">
        <v>10557</v>
      </c>
      <c r="Q11" s="122">
        <v>3910</v>
      </c>
      <c r="R11" s="122">
        <v>45805</v>
      </c>
      <c r="S11" s="122">
        <v>41641</v>
      </c>
      <c r="T11">
        <v>0</v>
      </c>
      <c r="U11" s="122">
        <v>0</v>
      </c>
      <c r="V11" s="122">
        <v>127903</v>
      </c>
      <c r="W11" s="122">
        <f t="shared" si="0"/>
        <v>127904</v>
      </c>
      <c r="X11" s="122">
        <f t="shared" si="1"/>
        <v>164524</v>
      </c>
      <c r="Y11" s="122"/>
      <c r="AA11" t="s">
        <v>48</v>
      </c>
      <c r="AB11" t="s">
        <v>405</v>
      </c>
      <c r="AC11" t="s">
        <v>566</v>
      </c>
      <c r="AD11" t="s">
        <v>405</v>
      </c>
      <c r="AE11" t="s">
        <v>137</v>
      </c>
      <c r="AF11">
        <v>1</v>
      </c>
      <c r="AG11">
        <v>103</v>
      </c>
      <c r="AH11">
        <v>52</v>
      </c>
      <c r="AI11">
        <v>40</v>
      </c>
      <c r="AJ11">
        <v>37</v>
      </c>
      <c r="AK11">
        <v>92</v>
      </c>
      <c r="AL11">
        <v>0</v>
      </c>
      <c r="AM11">
        <v>0</v>
      </c>
      <c r="AN11" s="122">
        <v>1252</v>
      </c>
      <c r="AO11">
        <v>464</v>
      </c>
      <c r="AP11" s="122">
        <v>1342</v>
      </c>
      <c r="AQ11">
        <v>497</v>
      </c>
      <c r="AR11" s="122">
        <v>2751</v>
      </c>
      <c r="AS11" s="122">
        <v>2501</v>
      </c>
      <c r="AT11">
        <v>0</v>
      </c>
      <c r="AU11">
        <v>0</v>
      </c>
      <c r="AV11" s="122">
        <v>3498</v>
      </c>
    </row>
    <row r="12" spans="1:48" ht="12.75" hidden="1" customHeight="1">
      <c r="B12" t="s">
        <v>362</v>
      </c>
      <c r="C12" t="s">
        <v>50</v>
      </c>
      <c r="D12" t="s">
        <v>407</v>
      </c>
      <c r="E12" t="s">
        <v>407</v>
      </c>
      <c r="F12">
        <v>21</v>
      </c>
      <c r="G12" s="122">
        <v>2359</v>
      </c>
      <c r="H12" s="122">
        <v>1910</v>
      </c>
      <c r="I12" s="122">
        <v>94005</v>
      </c>
      <c r="J12" s="122">
        <v>85459</v>
      </c>
      <c r="K12">
        <v>90</v>
      </c>
      <c r="L12" s="122">
        <v>17254</v>
      </c>
      <c r="M12" s="122">
        <v>15685</v>
      </c>
      <c r="N12" s="122">
        <v>28737</v>
      </c>
      <c r="O12" s="122">
        <v>10643</v>
      </c>
      <c r="P12" s="122">
        <v>9923</v>
      </c>
      <c r="Q12" s="122">
        <v>3675</v>
      </c>
      <c r="R12" s="122">
        <v>64337</v>
      </c>
      <c r="S12" s="122">
        <v>58488</v>
      </c>
      <c r="T12">
        <v>0</v>
      </c>
      <c r="U12" s="122">
        <v>0</v>
      </c>
      <c r="V12" s="122">
        <v>173950</v>
      </c>
      <c r="W12" s="122">
        <f t="shared" si="0"/>
        <v>173950</v>
      </c>
      <c r="X12" s="122">
        <f t="shared" si="1"/>
        <v>214256</v>
      </c>
      <c r="Y12" s="122"/>
      <c r="AA12" t="s">
        <v>48</v>
      </c>
      <c r="AB12" t="s">
        <v>405</v>
      </c>
      <c r="AC12" t="s">
        <v>566</v>
      </c>
      <c r="AD12" t="s">
        <v>405</v>
      </c>
      <c r="AE12" t="s">
        <v>566</v>
      </c>
      <c r="AF12">
        <v>17</v>
      </c>
      <c r="AG12" s="122">
        <v>1918</v>
      </c>
      <c r="AH12">
        <v>906</v>
      </c>
      <c r="AI12" s="122">
        <v>-11990</v>
      </c>
      <c r="AJ12" s="122">
        <v>-10900</v>
      </c>
      <c r="AK12">
        <v>92</v>
      </c>
      <c r="AL12">
        <v>0</v>
      </c>
      <c r="AM12">
        <v>-67</v>
      </c>
      <c r="AN12" s="122">
        <v>34395</v>
      </c>
      <c r="AO12" s="122">
        <v>12739</v>
      </c>
      <c r="AP12" s="122">
        <v>17754</v>
      </c>
      <c r="AQ12" s="122">
        <v>6576</v>
      </c>
      <c r="AR12" s="122">
        <v>61921</v>
      </c>
      <c r="AS12" s="122">
        <v>56292</v>
      </c>
      <c r="AT12">
        <v>0</v>
      </c>
      <c r="AU12">
        <v>0</v>
      </c>
      <c r="AV12" s="122">
        <v>64640</v>
      </c>
    </row>
    <row r="13" spans="1:48" ht="12.75" hidden="1" customHeight="1">
      <c r="B13" t="s">
        <v>362</v>
      </c>
      <c r="C13" t="s">
        <v>52</v>
      </c>
      <c r="D13" t="s">
        <v>137</v>
      </c>
      <c r="E13" t="s">
        <v>137</v>
      </c>
      <c r="F13" s="122">
        <v>14</v>
      </c>
      <c r="G13" s="122">
        <v>1023</v>
      </c>
      <c r="H13" s="122">
        <v>1578</v>
      </c>
      <c r="I13" s="122">
        <v>36538</v>
      </c>
      <c r="J13" s="122">
        <v>13533</v>
      </c>
      <c r="K13" s="122">
        <v>401</v>
      </c>
      <c r="L13" s="122">
        <v>15572</v>
      </c>
      <c r="M13" s="122">
        <v>14156</v>
      </c>
      <c r="N13" s="122">
        <v>15221</v>
      </c>
      <c r="O13" s="122">
        <v>5638</v>
      </c>
      <c r="P13" s="122">
        <v>5265</v>
      </c>
      <c r="Q13" s="122">
        <v>1950</v>
      </c>
      <c r="R13" s="122">
        <v>42561</v>
      </c>
      <c r="S13" s="122">
        <v>15763</v>
      </c>
      <c r="T13">
        <v>0</v>
      </c>
      <c r="U13" s="122">
        <v>0</v>
      </c>
      <c r="V13" s="122">
        <v>51040</v>
      </c>
      <c r="W13" s="122">
        <f t="shared" si="0"/>
        <v>51040</v>
      </c>
      <c r="X13" s="122">
        <f t="shared" si="1"/>
        <v>115157</v>
      </c>
      <c r="Y13" s="122"/>
      <c r="AA13" t="s">
        <v>48</v>
      </c>
      <c r="AB13" t="s">
        <v>405</v>
      </c>
      <c r="AC13" t="s">
        <v>433</v>
      </c>
      <c r="AD13" t="s">
        <v>405</v>
      </c>
      <c r="AE13" t="s">
        <v>566</v>
      </c>
      <c r="AF13">
        <v>38</v>
      </c>
      <c r="AG13" s="122">
        <v>4244</v>
      </c>
      <c r="AH13" s="122">
        <v>2658</v>
      </c>
      <c r="AI13" s="122">
        <v>120602</v>
      </c>
      <c r="AJ13" s="122">
        <v>109638</v>
      </c>
      <c r="AK13">
        <v>90</v>
      </c>
      <c r="AL13" s="122">
        <v>19600</v>
      </c>
      <c r="AM13" s="122">
        <v>17818</v>
      </c>
      <c r="AN13" s="122">
        <v>52089</v>
      </c>
      <c r="AO13" s="122">
        <v>19292</v>
      </c>
      <c r="AP13" s="122">
        <v>18104</v>
      </c>
      <c r="AQ13" s="122">
        <v>6705</v>
      </c>
      <c r="AR13" s="122">
        <v>86126</v>
      </c>
      <c r="AS13" s="122">
        <v>78296</v>
      </c>
      <c r="AT13">
        <v>0</v>
      </c>
      <c r="AU13">
        <v>0</v>
      </c>
      <c r="AV13" s="122">
        <v>231750</v>
      </c>
    </row>
    <row r="14" spans="1:48" ht="12.75" customHeight="1">
      <c r="B14" t="s">
        <v>362</v>
      </c>
      <c r="C14" t="s">
        <v>52</v>
      </c>
      <c r="D14" t="s">
        <v>406</v>
      </c>
      <c r="E14" t="s">
        <v>406</v>
      </c>
      <c r="F14">
        <v>26</v>
      </c>
      <c r="G14" s="122">
        <v>2598</v>
      </c>
      <c r="H14" s="122">
        <v>3143</v>
      </c>
      <c r="I14" s="122">
        <v>132679</v>
      </c>
      <c r="J14" s="122">
        <v>120618</v>
      </c>
      <c r="K14">
        <v>94</v>
      </c>
      <c r="L14" s="122">
        <v>31759</v>
      </c>
      <c r="M14" s="122">
        <v>28475</v>
      </c>
      <c r="N14" s="122">
        <v>34197</v>
      </c>
      <c r="O14" s="122">
        <v>12666</v>
      </c>
      <c r="P14" s="122">
        <v>16497</v>
      </c>
      <c r="Q14" s="122">
        <v>6110</v>
      </c>
      <c r="R14" s="122">
        <v>98435</v>
      </c>
      <c r="S14" s="122">
        <v>89486</v>
      </c>
      <c r="T14">
        <v>0</v>
      </c>
      <c r="U14" s="122">
        <v>0</v>
      </c>
      <c r="V14" s="122">
        <v>257355</v>
      </c>
      <c r="W14" s="122">
        <f t="shared" si="0"/>
        <v>257355</v>
      </c>
      <c r="X14" s="122">
        <f t="shared" si="1"/>
        <v>313567</v>
      </c>
      <c r="Y14" s="122"/>
      <c r="AA14" t="s">
        <v>48</v>
      </c>
      <c r="AB14" t="s">
        <v>137</v>
      </c>
      <c r="AC14" t="s">
        <v>578</v>
      </c>
      <c r="AD14" t="s">
        <v>137</v>
      </c>
      <c r="AE14" t="s">
        <v>566</v>
      </c>
      <c r="AF14">
        <v>1</v>
      </c>
      <c r="AG14">
        <v>280</v>
      </c>
      <c r="AH14">
        <v>72</v>
      </c>
      <c r="AI14" s="122">
        <v>4723</v>
      </c>
      <c r="AJ14" s="122">
        <v>1749</v>
      </c>
      <c r="AK14">
        <v>458</v>
      </c>
      <c r="AL14" s="122">
        <v>3264</v>
      </c>
      <c r="AM14" s="122">
        <v>2967</v>
      </c>
      <c r="AN14" s="122">
        <v>4570</v>
      </c>
      <c r="AO14" s="122">
        <v>1693</v>
      </c>
      <c r="AP14">
        <v>351</v>
      </c>
      <c r="AQ14">
        <v>130</v>
      </c>
      <c r="AR14" s="122">
        <v>7292</v>
      </c>
      <c r="AS14" s="122">
        <v>2701</v>
      </c>
      <c r="AT14">
        <v>0</v>
      </c>
      <c r="AU14">
        <v>0</v>
      </c>
      <c r="AV14" s="122">
        <v>9240</v>
      </c>
    </row>
    <row r="15" spans="1:48" ht="12.75" hidden="1" customHeight="1">
      <c r="B15" t="s">
        <v>362</v>
      </c>
      <c r="C15" t="s">
        <v>52</v>
      </c>
      <c r="D15" t="s">
        <v>407</v>
      </c>
      <c r="E15" t="s">
        <v>407</v>
      </c>
      <c r="F15">
        <v>106</v>
      </c>
      <c r="G15" s="122">
        <v>10593</v>
      </c>
      <c r="H15" s="122">
        <v>12685</v>
      </c>
      <c r="I15" s="122">
        <v>553503</v>
      </c>
      <c r="J15" s="122">
        <v>503184</v>
      </c>
      <c r="K15">
        <v>88</v>
      </c>
      <c r="L15" s="122">
        <v>73534</v>
      </c>
      <c r="M15" s="122">
        <v>68250</v>
      </c>
      <c r="N15" s="122">
        <v>157202</v>
      </c>
      <c r="O15" s="122">
        <v>58223</v>
      </c>
      <c r="P15" s="122">
        <v>50085</v>
      </c>
      <c r="Q15" s="122">
        <v>18550</v>
      </c>
      <c r="R15" s="122">
        <v>438584</v>
      </c>
      <c r="S15" s="122">
        <v>398713</v>
      </c>
      <c r="T15">
        <v>0</v>
      </c>
      <c r="U15" s="122">
        <v>0</v>
      </c>
      <c r="V15" s="122">
        <v>1046920</v>
      </c>
      <c r="W15" s="122">
        <f t="shared" si="0"/>
        <v>1046920</v>
      </c>
      <c r="X15" s="122">
        <f t="shared" si="1"/>
        <v>1272908</v>
      </c>
      <c r="Y15" s="122"/>
      <c r="AA15" t="s">
        <v>48</v>
      </c>
      <c r="AB15" t="s">
        <v>137</v>
      </c>
      <c r="AC15" t="s">
        <v>425</v>
      </c>
      <c r="AD15" t="s">
        <v>137</v>
      </c>
      <c r="AE15" t="s">
        <v>566</v>
      </c>
      <c r="AF15">
        <v>29</v>
      </c>
      <c r="AG15" s="122">
        <v>2943</v>
      </c>
      <c r="AH15" s="122">
        <v>1563</v>
      </c>
      <c r="AI15" s="122">
        <v>20607</v>
      </c>
      <c r="AJ15" s="122">
        <v>7632</v>
      </c>
      <c r="AK15">
        <v>487</v>
      </c>
      <c r="AL15" s="122">
        <v>5882</v>
      </c>
      <c r="AM15" s="122">
        <v>5347</v>
      </c>
      <c r="AN15" s="122">
        <v>36021</v>
      </c>
      <c r="AO15" s="122">
        <v>13341</v>
      </c>
      <c r="AP15" s="122">
        <v>10179</v>
      </c>
      <c r="AQ15" s="122">
        <v>3770</v>
      </c>
      <c r="AR15" s="122">
        <v>78797</v>
      </c>
      <c r="AS15" s="122">
        <v>29184</v>
      </c>
      <c r="AT15">
        <v>0</v>
      </c>
      <c r="AU15">
        <v>0</v>
      </c>
      <c r="AV15" s="122">
        <v>59275</v>
      </c>
    </row>
    <row r="16" spans="1:48" ht="12.75" hidden="1" customHeight="1">
      <c r="B16" t="s">
        <v>362</v>
      </c>
      <c r="C16" t="s">
        <v>54</v>
      </c>
      <c r="D16" t="s">
        <v>405</v>
      </c>
      <c r="E16" t="s">
        <v>405</v>
      </c>
      <c r="F16">
        <v>9</v>
      </c>
      <c r="G16" s="122">
        <v>1029</v>
      </c>
      <c r="H16" s="122">
        <v>1281</v>
      </c>
      <c r="I16" s="122">
        <v>65256</v>
      </c>
      <c r="J16" s="122">
        <v>59324</v>
      </c>
      <c r="K16">
        <v>88</v>
      </c>
      <c r="L16" s="122">
        <v>9838</v>
      </c>
      <c r="M16" s="122">
        <v>4311</v>
      </c>
      <c r="N16" s="122">
        <v>21103</v>
      </c>
      <c r="O16" s="122">
        <v>7816</v>
      </c>
      <c r="P16" s="122">
        <v>4253</v>
      </c>
      <c r="Q16" s="122">
        <v>1575</v>
      </c>
      <c r="R16" s="122">
        <v>43042</v>
      </c>
      <c r="S16" s="122">
        <v>39129</v>
      </c>
      <c r="T16" s="122">
        <v>2539</v>
      </c>
      <c r="U16" s="122">
        <v>940</v>
      </c>
      <c r="V16" s="122">
        <v>113094</v>
      </c>
      <c r="W16" s="122">
        <f t="shared" si="0"/>
        <v>113095</v>
      </c>
      <c r="X16" s="122">
        <f t="shared" si="1"/>
        <v>146031</v>
      </c>
      <c r="Y16" s="122"/>
      <c r="AA16" t="s">
        <v>48</v>
      </c>
      <c r="AB16" t="s">
        <v>137</v>
      </c>
      <c r="AC16" t="s">
        <v>405</v>
      </c>
      <c r="AD16" t="s">
        <v>137</v>
      </c>
      <c r="AE16" t="s">
        <v>566</v>
      </c>
      <c r="AF16">
        <v>2</v>
      </c>
      <c r="AG16">
        <v>483</v>
      </c>
      <c r="AH16">
        <v>121</v>
      </c>
      <c r="AI16" s="122">
        <v>7164</v>
      </c>
      <c r="AJ16" s="122">
        <v>2653</v>
      </c>
      <c r="AK16">
        <v>417</v>
      </c>
      <c r="AL16" s="122">
        <v>3798</v>
      </c>
      <c r="AM16" s="122">
        <v>3453</v>
      </c>
      <c r="AN16" s="122">
        <v>5882</v>
      </c>
      <c r="AO16" s="122">
        <v>2179</v>
      </c>
      <c r="AP16" s="122">
        <v>1404</v>
      </c>
      <c r="AQ16">
        <v>520</v>
      </c>
      <c r="AR16" s="122">
        <v>12353</v>
      </c>
      <c r="AS16" s="122">
        <v>4575</v>
      </c>
      <c r="AT16">
        <v>0</v>
      </c>
      <c r="AU16">
        <v>0</v>
      </c>
      <c r="AV16" s="122">
        <v>13380</v>
      </c>
    </row>
    <row r="17" spans="2:48" ht="12.75" hidden="1" customHeight="1">
      <c r="B17" t="s">
        <v>362</v>
      </c>
      <c r="C17" t="s">
        <v>54</v>
      </c>
      <c r="D17" t="s">
        <v>137</v>
      </c>
      <c r="E17" t="s">
        <v>137</v>
      </c>
      <c r="F17" s="122">
        <v>28</v>
      </c>
      <c r="G17" s="122">
        <v>2255</v>
      </c>
      <c r="H17" s="122">
        <v>4020</v>
      </c>
      <c r="I17" s="122">
        <v>52970</v>
      </c>
      <c r="J17" s="122">
        <v>19619</v>
      </c>
      <c r="K17" s="122">
        <v>398</v>
      </c>
      <c r="L17" s="122">
        <v>17248</v>
      </c>
      <c r="M17" s="122">
        <v>15439</v>
      </c>
      <c r="N17" s="122">
        <v>28366</v>
      </c>
      <c r="O17" s="122">
        <v>10506</v>
      </c>
      <c r="P17" s="122">
        <v>9828</v>
      </c>
      <c r="Q17" s="122">
        <v>3640</v>
      </c>
      <c r="R17" s="122">
        <v>215100</v>
      </c>
      <c r="S17" s="122">
        <v>79667</v>
      </c>
      <c r="T17" s="122">
        <v>0</v>
      </c>
      <c r="U17" s="122">
        <v>0</v>
      </c>
      <c r="V17" s="122">
        <v>128870</v>
      </c>
      <c r="W17" s="122">
        <f t="shared" si="0"/>
        <v>128871</v>
      </c>
      <c r="X17" s="122">
        <f t="shared" si="1"/>
        <v>323512</v>
      </c>
      <c r="Y17" s="122"/>
      <c r="AA17" t="s">
        <v>48</v>
      </c>
      <c r="AB17" t="s">
        <v>137</v>
      </c>
      <c r="AC17" t="s">
        <v>137</v>
      </c>
      <c r="AD17" t="s">
        <v>137</v>
      </c>
      <c r="AE17" t="s">
        <v>137</v>
      </c>
      <c r="AF17">
        <v>209</v>
      </c>
      <c r="AG17" s="122">
        <v>23950</v>
      </c>
      <c r="AH17" s="122">
        <v>10425</v>
      </c>
      <c r="AI17" s="122">
        <v>-318649</v>
      </c>
      <c r="AJ17" s="122">
        <v>-118018</v>
      </c>
      <c r="AK17">
        <v>512</v>
      </c>
      <c r="AL17" s="122">
        <v>-12370</v>
      </c>
      <c r="AM17" s="122">
        <v>-4581</v>
      </c>
      <c r="AN17" s="122">
        <v>291807</v>
      </c>
      <c r="AO17" s="122">
        <v>108076</v>
      </c>
      <c r="AP17" s="122">
        <v>85771</v>
      </c>
      <c r="AQ17" s="122">
        <v>31767</v>
      </c>
      <c r="AR17" s="122">
        <v>1149147</v>
      </c>
      <c r="AS17" s="122">
        <v>425610</v>
      </c>
      <c r="AT17">
        <v>0</v>
      </c>
      <c r="AU17">
        <v>0</v>
      </c>
      <c r="AV17" s="122">
        <v>442854</v>
      </c>
    </row>
    <row r="18" spans="2:48" ht="12.75" hidden="1" customHeight="1">
      <c r="B18" t="s">
        <v>362</v>
      </c>
      <c r="C18" t="s">
        <v>54</v>
      </c>
      <c r="D18" t="s">
        <v>406</v>
      </c>
      <c r="E18" s="122" t="s">
        <v>406</v>
      </c>
      <c r="F18" s="122">
        <v>161</v>
      </c>
      <c r="G18" s="122">
        <v>16408</v>
      </c>
      <c r="H18" s="122">
        <v>22221</v>
      </c>
      <c r="I18" s="122">
        <v>943016</v>
      </c>
      <c r="J18" s="122">
        <v>857287</v>
      </c>
      <c r="K18" s="122">
        <v>92</v>
      </c>
      <c r="L18" s="122">
        <v>228910</v>
      </c>
      <c r="M18" s="122">
        <v>205198</v>
      </c>
      <c r="N18" s="122">
        <v>261749</v>
      </c>
      <c r="O18" s="122">
        <v>96944</v>
      </c>
      <c r="P18" s="122">
        <v>125604</v>
      </c>
      <c r="Q18" s="122">
        <v>46520</v>
      </c>
      <c r="R18" s="122">
        <v>673587</v>
      </c>
      <c r="S18" s="122">
        <v>612352</v>
      </c>
      <c r="T18" s="122">
        <v>36969</v>
      </c>
      <c r="U18" s="122">
        <v>13692</v>
      </c>
      <c r="V18" s="122">
        <v>1831993</v>
      </c>
      <c r="W18" s="122">
        <f t="shared" si="0"/>
        <v>1831993</v>
      </c>
      <c r="X18" s="122">
        <f t="shared" si="1"/>
        <v>2269835</v>
      </c>
      <c r="Y18" s="122"/>
      <c r="AA18" t="s">
        <v>48</v>
      </c>
      <c r="AB18" t="s">
        <v>137</v>
      </c>
      <c r="AC18" t="s">
        <v>137</v>
      </c>
      <c r="AD18" t="s">
        <v>137</v>
      </c>
      <c r="AE18" t="s">
        <v>566</v>
      </c>
      <c r="AF18" s="122">
        <v>1105</v>
      </c>
      <c r="AG18" s="122">
        <v>132974</v>
      </c>
      <c r="AH18" s="122">
        <v>57091</v>
      </c>
      <c r="AI18" s="122">
        <v>-21238</v>
      </c>
      <c r="AJ18" s="122">
        <v>-7866</v>
      </c>
      <c r="AK18">
        <v>479</v>
      </c>
      <c r="AL18" s="122">
        <v>-5872</v>
      </c>
      <c r="AM18" s="122">
        <v>-2175</v>
      </c>
      <c r="AN18" s="122">
        <v>1653133</v>
      </c>
      <c r="AO18" s="122">
        <v>612272</v>
      </c>
      <c r="AP18" s="122">
        <v>895197</v>
      </c>
      <c r="AQ18" s="122">
        <v>331554</v>
      </c>
      <c r="AR18" s="122">
        <v>4337751</v>
      </c>
      <c r="AS18" s="122">
        <v>1606574</v>
      </c>
      <c r="AT18">
        <v>0</v>
      </c>
      <c r="AU18">
        <v>0</v>
      </c>
      <c r="AV18" s="122">
        <v>2540359</v>
      </c>
    </row>
    <row r="19" spans="2:48" ht="12.75" hidden="1" customHeight="1">
      <c r="B19" t="s">
        <v>362</v>
      </c>
      <c r="C19" t="s">
        <v>54</v>
      </c>
      <c r="D19" t="s">
        <v>427</v>
      </c>
      <c r="E19" t="s">
        <v>406</v>
      </c>
      <c r="F19">
        <v>1</v>
      </c>
      <c r="G19">
        <v>122</v>
      </c>
      <c r="H19" s="122">
        <v>150</v>
      </c>
      <c r="I19" s="122">
        <v>12235</v>
      </c>
      <c r="J19" s="122">
        <v>11123</v>
      </c>
      <c r="K19" s="122">
        <v>94</v>
      </c>
      <c r="L19" s="122">
        <v>0</v>
      </c>
      <c r="M19" s="122">
        <v>0</v>
      </c>
      <c r="N19" s="122">
        <v>1490</v>
      </c>
      <c r="O19" s="122">
        <v>552</v>
      </c>
      <c r="P19" s="122">
        <v>621</v>
      </c>
      <c r="Q19" s="122">
        <v>230</v>
      </c>
      <c r="R19" s="122">
        <v>3953</v>
      </c>
      <c r="S19" s="122">
        <v>3594</v>
      </c>
      <c r="T19">
        <v>0</v>
      </c>
      <c r="U19" s="122">
        <v>0</v>
      </c>
      <c r="V19" s="122">
        <v>15498</v>
      </c>
      <c r="W19" s="122">
        <f t="shared" si="0"/>
        <v>15499</v>
      </c>
      <c r="X19" s="122">
        <f t="shared" si="1"/>
        <v>18299</v>
      </c>
      <c r="Y19" s="122"/>
      <c r="AA19" t="s">
        <v>48</v>
      </c>
      <c r="AB19" t="s">
        <v>137</v>
      </c>
      <c r="AC19" t="s">
        <v>427</v>
      </c>
      <c r="AD19" t="s">
        <v>137</v>
      </c>
      <c r="AE19" t="s">
        <v>566</v>
      </c>
      <c r="AF19">
        <v>4</v>
      </c>
      <c r="AG19">
        <v>497</v>
      </c>
      <c r="AH19">
        <v>230</v>
      </c>
      <c r="AI19" s="122">
        <v>3898</v>
      </c>
      <c r="AJ19" s="122">
        <v>1444</v>
      </c>
      <c r="AK19">
        <v>502</v>
      </c>
      <c r="AL19" s="122">
        <v>1590</v>
      </c>
      <c r="AM19" s="122">
        <v>1446</v>
      </c>
      <c r="AN19" s="122">
        <v>6706</v>
      </c>
      <c r="AO19" s="122">
        <v>2484</v>
      </c>
      <c r="AP19" s="122">
        <v>2106</v>
      </c>
      <c r="AQ19">
        <v>780</v>
      </c>
      <c r="AR19" s="122">
        <v>14219</v>
      </c>
      <c r="AS19" s="122">
        <v>5266</v>
      </c>
      <c r="AT19">
        <v>0</v>
      </c>
      <c r="AU19">
        <v>0</v>
      </c>
      <c r="AV19" s="122">
        <v>11420</v>
      </c>
    </row>
    <row r="20" spans="2:48" ht="12.75" hidden="1" customHeight="1">
      <c r="B20" t="s">
        <v>362</v>
      </c>
      <c r="C20" t="s">
        <v>54</v>
      </c>
      <c r="D20" t="s">
        <v>407</v>
      </c>
      <c r="E20" t="s">
        <v>406</v>
      </c>
      <c r="F20">
        <v>1</v>
      </c>
      <c r="G20">
        <v>141</v>
      </c>
      <c r="H20" s="122">
        <v>131</v>
      </c>
      <c r="I20" s="122">
        <v>10143</v>
      </c>
      <c r="J20" s="122">
        <v>9221</v>
      </c>
      <c r="K20">
        <v>91</v>
      </c>
      <c r="L20" s="122">
        <v>1738</v>
      </c>
      <c r="M20" s="122">
        <v>1580</v>
      </c>
      <c r="N20" s="122">
        <v>1903</v>
      </c>
      <c r="O20" s="122">
        <v>705</v>
      </c>
      <c r="P20" s="122">
        <v>1175</v>
      </c>
      <c r="Q20" s="122">
        <v>435</v>
      </c>
      <c r="R20" s="122">
        <v>5570</v>
      </c>
      <c r="S20" s="122">
        <v>5064</v>
      </c>
      <c r="T20" s="122">
        <v>0</v>
      </c>
      <c r="U20" s="122">
        <v>0</v>
      </c>
      <c r="V20" s="122">
        <v>17004</v>
      </c>
      <c r="W20" s="122">
        <f t="shared" si="0"/>
        <v>17005</v>
      </c>
      <c r="X20" s="122">
        <f t="shared" si="1"/>
        <v>20529</v>
      </c>
      <c r="Y20" s="122"/>
      <c r="AA20" t="s">
        <v>48</v>
      </c>
      <c r="AB20" t="s">
        <v>137</v>
      </c>
      <c r="AC20" t="s">
        <v>407</v>
      </c>
      <c r="AD20" t="s">
        <v>137</v>
      </c>
      <c r="AE20" t="s">
        <v>137</v>
      </c>
      <c r="AF20">
        <v>9</v>
      </c>
      <c r="AG20" s="122">
        <v>1267</v>
      </c>
      <c r="AH20">
        <v>519</v>
      </c>
      <c r="AI20" s="122">
        <v>4759</v>
      </c>
      <c r="AJ20" s="122">
        <v>1763</v>
      </c>
      <c r="AK20">
        <v>468</v>
      </c>
      <c r="AL20" s="122">
        <v>1427</v>
      </c>
      <c r="AM20" s="122">
        <v>1298</v>
      </c>
      <c r="AN20" s="122">
        <v>15761</v>
      </c>
      <c r="AO20" s="122">
        <v>5837</v>
      </c>
      <c r="AP20" s="122">
        <v>10405</v>
      </c>
      <c r="AQ20" s="122">
        <v>3854</v>
      </c>
      <c r="AR20" s="122">
        <v>37024</v>
      </c>
      <c r="AS20" s="122">
        <v>13712</v>
      </c>
      <c r="AT20" s="122">
        <v>1674</v>
      </c>
      <c r="AU20">
        <v>620</v>
      </c>
      <c r="AV20" s="122">
        <v>27084</v>
      </c>
    </row>
    <row r="21" spans="2:48" ht="12.75" hidden="1" customHeight="1">
      <c r="B21" t="s">
        <v>362</v>
      </c>
      <c r="C21" t="s">
        <v>54</v>
      </c>
      <c r="D21" t="s">
        <v>407</v>
      </c>
      <c r="E21" t="s">
        <v>407</v>
      </c>
      <c r="F21" s="122">
        <v>207</v>
      </c>
      <c r="G21" s="122">
        <v>21731</v>
      </c>
      <c r="H21" s="122">
        <v>29236</v>
      </c>
      <c r="I21" s="122">
        <v>1357611</v>
      </c>
      <c r="J21" s="122">
        <v>1234192</v>
      </c>
      <c r="K21">
        <v>87</v>
      </c>
      <c r="L21" s="122">
        <v>293939</v>
      </c>
      <c r="M21" s="122">
        <v>254267</v>
      </c>
      <c r="N21" s="122">
        <v>371327</v>
      </c>
      <c r="O21" s="122">
        <v>137529</v>
      </c>
      <c r="P21" s="122">
        <v>98510</v>
      </c>
      <c r="Q21" s="122">
        <v>36485</v>
      </c>
      <c r="R21" s="122">
        <v>920736</v>
      </c>
      <c r="S21" s="122">
        <v>837032</v>
      </c>
      <c r="T21" s="122">
        <v>27608</v>
      </c>
      <c r="U21" s="122">
        <v>10225</v>
      </c>
      <c r="V21" s="122">
        <v>2509730</v>
      </c>
      <c r="W21" s="122">
        <f t="shared" si="0"/>
        <v>2509730</v>
      </c>
      <c r="X21" s="122">
        <f t="shared" si="1"/>
        <v>3069731</v>
      </c>
      <c r="Y21" s="122"/>
      <c r="AA21" t="s">
        <v>48</v>
      </c>
      <c r="AB21" t="s">
        <v>137</v>
      </c>
      <c r="AC21" t="s">
        <v>407</v>
      </c>
      <c r="AD21" t="s">
        <v>137</v>
      </c>
      <c r="AE21" t="s">
        <v>566</v>
      </c>
      <c r="AF21">
        <v>139</v>
      </c>
      <c r="AG21" s="122">
        <v>22193</v>
      </c>
      <c r="AH21" s="122">
        <v>7872</v>
      </c>
      <c r="AI21" s="122">
        <v>92940</v>
      </c>
      <c r="AJ21" s="122">
        <v>34422</v>
      </c>
      <c r="AK21">
        <v>462</v>
      </c>
      <c r="AL21" s="122">
        <v>26912</v>
      </c>
      <c r="AM21" s="122">
        <v>24466</v>
      </c>
      <c r="AN21" s="122">
        <v>297755</v>
      </c>
      <c r="AO21" s="122">
        <v>110280</v>
      </c>
      <c r="AP21" s="122">
        <v>177708</v>
      </c>
      <c r="AQ21" s="122">
        <v>65818</v>
      </c>
      <c r="AR21" s="122">
        <v>642111</v>
      </c>
      <c r="AS21" s="122">
        <v>237819</v>
      </c>
      <c r="AT21">
        <v>0</v>
      </c>
      <c r="AU21">
        <v>0</v>
      </c>
      <c r="AV21" s="122">
        <v>472804</v>
      </c>
    </row>
    <row r="22" spans="2:48" ht="12.75" hidden="1" customHeight="1">
      <c r="B22" t="s">
        <v>362</v>
      </c>
      <c r="C22" t="s">
        <v>56</v>
      </c>
      <c r="D22" t="s">
        <v>425</v>
      </c>
      <c r="E22" t="s">
        <v>425</v>
      </c>
      <c r="F22" s="122">
        <v>1</v>
      </c>
      <c r="G22" s="122">
        <v>78</v>
      </c>
      <c r="H22" s="122">
        <v>190</v>
      </c>
      <c r="I22" s="122">
        <v>8126</v>
      </c>
      <c r="J22" s="122">
        <v>7387</v>
      </c>
      <c r="K22" s="122">
        <v>90</v>
      </c>
      <c r="L22" s="122">
        <v>1193</v>
      </c>
      <c r="M22" s="122">
        <v>1085</v>
      </c>
      <c r="N22" s="122">
        <v>1125</v>
      </c>
      <c r="O22" s="122">
        <v>417</v>
      </c>
      <c r="P22" s="122">
        <v>473</v>
      </c>
      <c r="Q22" s="122">
        <v>175</v>
      </c>
      <c r="R22" s="122">
        <v>3849</v>
      </c>
      <c r="S22" s="122">
        <v>3499</v>
      </c>
      <c r="T22" s="122">
        <v>0</v>
      </c>
      <c r="U22" s="122">
        <v>0</v>
      </c>
      <c r="V22" s="122">
        <v>12563</v>
      </c>
      <c r="W22" s="122">
        <f t="shared" si="0"/>
        <v>12563</v>
      </c>
      <c r="X22" s="122">
        <f t="shared" si="1"/>
        <v>14766</v>
      </c>
      <c r="Y22" s="122"/>
      <c r="AA22" t="s">
        <v>48</v>
      </c>
      <c r="AB22" t="s">
        <v>137</v>
      </c>
      <c r="AC22" t="s">
        <v>407</v>
      </c>
      <c r="AD22" t="s">
        <v>407</v>
      </c>
      <c r="AE22" t="s">
        <v>566</v>
      </c>
      <c r="AF22">
        <v>1</v>
      </c>
      <c r="AG22">
        <v>115</v>
      </c>
      <c r="AH22">
        <v>62</v>
      </c>
      <c r="AI22" s="122">
        <v>2732</v>
      </c>
      <c r="AJ22" s="122">
        <v>1012</v>
      </c>
      <c r="AK22">
        <v>387</v>
      </c>
      <c r="AL22">
        <v>518</v>
      </c>
      <c r="AM22">
        <v>471</v>
      </c>
      <c r="AN22" s="122">
        <v>1404</v>
      </c>
      <c r="AO22">
        <v>520</v>
      </c>
      <c r="AP22">
        <v>0</v>
      </c>
      <c r="AQ22">
        <v>0</v>
      </c>
      <c r="AR22" s="122">
        <v>2466</v>
      </c>
      <c r="AS22" s="122">
        <v>2242</v>
      </c>
      <c r="AT22">
        <v>0</v>
      </c>
      <c r="AU22">
        <v>0</v>
      </c>
      <c r="AV22" s="122">
        <v>4245</v>
      </c>
    </row>
    <row r="23" spans="2:48" ht="12.75" hidden="1" customHeight="1">
      <c r="B23" t="s">
        <v>362</v>
      </c>
      <c r="C23" t="s">
        <v>56</v>
      </c>
      <c r="D23" t="s">
        <v>405</v>
      </c>
      <c r="E23" t="s">
        <v>405</v>
      </c>
      <c r="F23">
        <v>107</v>
      </c>
      <c r="G23" s="122">
        <v>11211</v>
      </c>
      <c r="H23" s="122">
        <v>18371</v>
      </c>
      <c r="I23" s="122">
        <v>995495</v>
      </c>
      <c r="J23" s="122">
        <v>904995</v>
      </c>
      <c r="K23" s="122">
        <v>87</v>
      </c>
      <c r="L23" s="122">
        <v>135771</v>
      </c>
      <c r="M23" s="122">
        <v>73438</v>
      </c>
      <c r="N23" s="122">
        <v>247622</v>
      </c>
      <c r="O23" s="122">
        <v>91712</v>
      </c>
      <c r="P23" s="122">
        <v>51449</v>
      </c>
      <c r="Q23" s="122">
        <v>19055</v>
      </c>
      <c r="R23" s="122">
        <v>475572</v>
      </c>
      <c r="S23" s="122">
        <v>432338</v>
      </c>
      <c r="T23" s="122">
        <v>13241</v>
      </c>
      <c r="U23" s="122">
        <v>4904</v>
      </c>
      <c r="V23" s="122">
        <v>1526442</v>
      </c>
      <c r="W23" s="122">
        <f t="shared" si="0"/>
        <v>1526442</v>
      </c>
      <c r="X23" s="122">
        <f t="shared" si="1"/>
        <v>1919150</v>
      </c>
      <c r="Y23" s="122"/>
      <c r="AA23" t="s">
        <v>48</v>
      </c>
      <c r="AB23" t="s">
        <v>137</v>
      </c>
      <c r="AC23" t="s">
        <v>579</v>
      </c>
      <c r="AD23" t="s">
        <v>137</v>
      </c>
      <c r="AE23" t="s">
        <v>137</v>
      </c>
      <c r="AF23">
        <v>10</v>
      </c>
      <c r="AG23" s="122">
        <v>1076</v>
      </c>
      <c r="AH23">
        <v>568</v>
      </c>
      <c r="AI23" s="122">
        <v>3681</v>
      </c>
      <c r="AJ23" s="122">
        <v>1363</v>
      </c>
      <c r="AK23">
        <v>428</v>
      </c>
      <c r="AL23" s="122">
        <v>1621</v>
      </c>
      <c r="AM23" s="122">
        <v>1351</v>
      </c>
      <c r="AN23" s="122">
        <v>13108</v>
      </c>
      <c r="AO23" s="122">
        <v>4855</v>
      </c>
      <c r="AP23" s="122">
        <v>6929</v>
      </c>
      <c r="AQ23" s="122">
        <v>2566</v>
      </c>
      <c r="AR23" s="122">
        <v>32720</v>
      </c>
      <c r="AS23" s="122">
        <v>12118</v>
      </c>
      <c r="AT23">
        <v>0</v>
      </c>
      <c r="AU23">
        <v>0</v>
      </c>
      <c r="AV23" s="122">
        <v>22254</v>
      </c>
    </row>
    <row r="24" spans="2:48" ht="12.75" hidden="1" customHeight="1">
      <c r="B24" t="s">
        <v>362</v>
      </c>
      <c r="C24" t="s">
        <v>56</v>
      </c>
      <c r="D24" t="s">
        <v>137</v>
      </c>
      <c r="E24" t="s">
        <v>137</v>
      </c>
      <c r="F24" s="122">
        <v>29</v>
      </c>
      <c r="G24" s="122">
        <v>2006</v>
      </c>
      <c r="H24" s="122">
        <v>5146</v>
      </c>
      <c r="I24" s="122">
        <v>110471</v>
      </c>
      <c r="J24" s="122">
        <v>40915</v>
      </c>
      <c r="K24" s="122">
        <v>338</v>
      </c>
      <c r="L24" s="122">
        <v>28156</v>
      </c>
      <c r="M24" s="122">
        <v>21341</v>
      </c>
      <c r="N24" s="122">
        <v>28467</v>
      </c>
      <c r="O24" s="122">
        <v>10543</v>
      </c>
      <c r="P24" s="122">
        <v>8775</v>
      </c>
      <c r="Q24" s="122">
        <v>3250</v>
      </c>
      <c r="R24" s="122">
        <v>181762</v>
      </c>
      <c r="S24" s="122">
        <v>67319</v>
      </c>
      <c r="T24" s="122">
        <v>0</v>
      </c>
      <c r="U24" s="122">
        <v>0</v>
      </c>
      <c r="V24" s="122">
        <v>143369</v>
      </c>
      <c r="W24" s="122">
        <f t="shared" si="0"/>
        <v>143368</v>
      </c>
      <c r="X24" s="122">
        <f t="shared" si="1"/>
        <v>357631</v>
      </c>
      <c r="Y24" s="122"/>
      <c r="AA24" t="s">
        <v>48</v>
      </c>
      <c r="AB24" t="s">
        <v>137</v>
      </c>
      <c r="AC24" t="s">
        <v>579</v>
      </c>
      <c r="AD24" t="s">
        <v>137</v>
      </c>
      <c r="AE24" t="s">
        <v>566</v>
      </c>
      <c r="AF24">
        <v>983</v>
      </c>
      <c r="AG24" s="122">
        <v>117909</v>
      </c>
      <c r="AH24" s="122">
        <v>55414</v>
      </c>
      <c r="AI24" s="122">
        <v>471238</v>
      </c>
      <c r="AJ24" s="122">
        <v>174533</v>
      </c>
      <c r="AK24">
        <v>476</v>
      </c>
      <c r="AL24" s="122">
        <v>154466</v>
      </c>
      <c r="AM24" s="122">
        <v>128722</v>
      </c>
      <c r="AN24" s="122">
        <v>1538672</v>
      </c>
      <c r="AO24" s="122">
        <v>569879</v>
      </c>
      <c r="AP24" s="122">
        <v>604641</v>
      </c>
      <c r="AQ24" s="122">
        <v>223941</v>
      </c>
      <c r="AR24" s="122">
        <v>3855512</v>
      </c>
      <c r="AS24" s="122">
        <v>1427967</v>
      </c>
      <c r="AT24">
        <v>0</v>
      </c>
      <c r="AU24">
        <v>0</v>
      </c>
      <c r="AV24" s="122">
        <v>2525042</v>
      </c>
    </row>
    <row r="25" spans="2:48" ht="12.75" hidden="1" customHeight="1">
      <c r="B25" t="s">
        <v>362</v>
      </c>
      <c r="C25" t="s">
        <v>56</v>
      </c>
      <c r="D25" t="s">
        <v>406</v>
      </c>
      <c r="E25" t="s">
        <v>137</v>
      </c>
      <c r="F25">
        <v>1</v>
      </c>
      <c r="G25" s="122">
        <v>136</v>
      </c>
      <c r="H25" s="122">
        <v>202</v>
      </c>
      <c r="I25" s="122">
        <v>10503</v>
      </c>
      <c r="J25" s="122">
        <v>9548</v>
      </c>
      <c r="K25" s="122">
        <v>90</v>
      </c>
      <c r="L25" s="122">
        <v>3326</v>
      </c>
      <c r="M25" s="122">
        <v>3023</v>
      </c>
      <c r="N25" s="122">
        <v>2649</v>
      </c>
      <c r="O25" s="122">
        <v>981</v>
      </c>
      <c r="P25" s="122">
        <v>621</v>
      </c>
      <c r="Q25" s="122">
        <v>230</v>
      </c>
      <c r="R25" s="122">
        <v>10319</v>
      </c>
      <c r="S25" s="122">
        <v>3822</v>
      </c>
      <c r="T25">
        <v>0</v>
      </c>
      <c r="U25" s="122">
        <v>0</v>
      </c>
      <c r="V25" s="122">
        <v>17604</v>
      </c>
      <c r="W25" s="122">
        <f t="shared" si="0"/>
        <v>17604</v>
      </c>
      <c r="X25" s="122">
        <f t="shared" si="1"/>
        <v>27418</v>
      </c>
      <c r="Y25" s="122"/>
      <c r="AA25" t="s">
        <v>48</v>
      </c>
      <c r="AB25" t="s">
        <v>137</v>
      </c>
      <c r="AC25" t="s">
        <v>579</v>
      </c>
      <c r="AD25" t="s">
        <v>407</v>
      </c>
      <c r="AE25" t="s">
        <v>566</v>
      </c>
      <c r="AF25">
        <v>1</v>
      </c>
      <c r="AG25">
        <v>48</v>
      </c>
      <c r="AH25">
        <v>29</v>
      </c>
      <c r="AI25">
        <v>-876</v>
      </c>
      <c r="AJ25">
        <v>-324</v>
      </c>
      <c r="AK25">
        <v>407</v>
      </c>
      <c r="AL25">
        <v>-238</v>
      </c>
      <c r="AM25">
        <v>-198</v>
      </c>
      <c r="AN25">
        <v>589</v>
      </c>
      <c r="AO25">
        <v>218</v>
      </c>
      <c r="AP25">
        <v>473</v>
      </c>
      <c r="AQ25">
        <v>175</v>
      </c>
      <c r="AR25" s="122">
        <v>1450</v>
      </c>
      <c r="AS25" s="122">
        <v>1318</v>
      </c>
      <c r="AT25">
        <v>0</v>
      </c>
      <c r="AU25">
        <v>0</v>
      </c>
      <c r="AV25" s="122">
        <v>1188</v>
      </c>
    </row>
    <row r="26" spans="2:48" ht="12.75" hidden="1" customHeight="1">
      <c r="B26" t="s">
        <v>362</v>
      </c>
      <c r="C26" t="s">
        <v>56</v>
      </c>
      <c r="D26" t="s">
        <v>406</v>
      </c>
      <c r="E26" t="s">
        <v>406</v>
      </c>
      <c r="F26">
        <v>932</v>
      </c>
      <c r="G26" s="122">
        <v>94770</v>
      </c>
      <c r="H26" s="122">
        <v>177623</v>
      </c>
      <c r="I26" s="122">
        <v>8456740</v>
      </c>
      <c r="J26" s="122">
        <v>7687946</v>
      </c>
      <c r="K26" s="122">
        <v>86</v>
      </c>
      <c r="L26" s="122">
        <v>2066790</v>
      </c>
      <c r="M26" s="122">
        <v>1818284</v>
      </c>
      <c r="N26" s="122">
        <v>1779755</v>
      </c>
      <c r="O26" s="122">
        <v>659168</v>
      </c>
      <c r="P26" s="122">
        <v>589275</v>
      </c>
      <c r="Q26" s="122">
        <v>218250</v>
      </c>
      <c r="R26" s="122">
        <v>4222865</v>
      </c>
      <c r="S26" s="122">
        <v>3838968</v>
      </c>
      <c r="T26" s="122">
        <v>996113</v>
      </c>
      <c r="U26" s="122">
        <v>368931</v>
      </c>
      <c r="V26" s="122">
        <v>14591547</v>
      </c>
      <c r="W26" s="122">
        <f t="shared" si="0"/>
        <v>14591547</v>
      </c>
      <c r="X26" s="122">
        <f t="shared" si="1"/>
        <v>18111538</v>
      </c>
      <c r="Y26" s="122"/>
      <c r="AA26" t="s">
        <v>48</v>
      </c>
      <c r="AB26" t="s">
        <v>137</v>
      </c>
      <c r="AC26" t="s">
        <v>428</v>
      </c>
      <c r="AD26" t="s">
        <v>137</v>
      </c>
      <c r="AE26" t="s">
        <v>566</v>
      </c>
      <c r="AF26">
        <v>1</v>
      </c>
      <c r="AG26">
        <v>88</v>
      </c>
      <c r="AH26">
        <v>74</v>
      </c>
      <c r="AI26">
        <v>72</v>
      </c>
      <c r="AJ26">
        <v>27</v>
      </c>
      <c r="AK26">
        <v>462</v>
      </c>
      <c r="AL26">
        <v>50</v>
      </c>
      <c r="AM26">
        <v>45</v>
      </c>
      <c r="AN26" s="122">
        <v>1068</v>
      </c>
      <c r="AO26">
        <v>395</v>
      </c>
      <c r="AP26" s="122">
        <v>1107</v>
      </c>
      <c r="AQ26">
        <v>410</v>
      </c>
      <c r="AR26" s="122">
        <v>4190</v>
      </c>
      <c r="AS26" s="122">
        <v>1552</v>
      </c>
      <c r="AT26">
        <v>0</v>
      </c>
      <c r="AU26">
        <v>0</v>
      </c>
      <c r="AV26" s="122">
        <v>2429</v>
      </c>
    </row>
    <row r="27" spans="2:48" ht="12.75" hidden="1" customHeight="1">
      <c r="B27" t="s">
        <v>362</v>
      </c>
      <c r="C27" t="s">
        <v>56</v>
      </c>
      <c r="D27" t="s">
        <v>406</v>
      </c>
      <c r="E27" t="s">
        <v>427</v>
      </c>
      <c r="F27" s="122">
        <v>1</v>
      </c>
      <c r="G27" s="122">
        <v>111</v>
      </c>
      <c r="H27" s="122">
        <v>181</v>
      </c>
      <c r="I27" s="122">
        <v>8196</v>
      </c>
      <c r="J27" s="122">
        <v>7451</v>
      </c>
      <c r="K27" s="122">
        <v>95</v>
      </c>
      <c r="L27" s="122">
        <v>2738</v>
      </c>
      <c r="M27" s="122">
        <v>2489</v>
      </c>
      <c r="N27" s="122">
        <v>1845</v>
      </c>
      <c r="O27" s="122">
        <v>683</v>
      </c>
      <c r="P27" s="122">
        <v>621</v>
      </c>
      <c r="Q27" s="122">
        <v>230</v>
      </c>
      <c r="R27" s="122">
        <v>3669</v>
      </c>
      <c r="S27" s="122">
        <v>3336</v>
      </c>
      <c r="T27" s="122">
        <v>2916</v>
      </c>
      <c r="U27" s="122">
        <v>1080</v>
      </c>
      <c r="V27" s="122">
        <v>15269</v>
      </c>
      <c r="W27" s="122">
        <f t="shared" si="0"/>
        <v>15269</v>
      </c>
      <c r="X27" s="122">
        <f t="shared" si="1"/>
        <v>19985</v>
      </c>
      <c r="Y27" s="122"/>
      <c r="AA27" t="s">
        <v>48</v>
      </c>
      <c r="AB27" t="s">
        <v>137</v>
      </c>
      <c r="AC27" t="s">
        <v>426</v>
      </c>
      <c r="AD27" t="s">
        <v>405</v>
      </c>
      <c r="AE27" t="s">
        <v>566</v>
      </c>
      <c r="AF27">
        <v>10</v>
      </c>
      <c r="AG27" s="122">
        <v>1331</v>
      </c>
      <c r="AH27">
        <v>721</v>
      </c>
      <c r="AI27" s="122">
        <v>24684</v>
      </c>
      <c r="AJ27" s="122">
        <v>9142</v>
      </c>
      <c r="AK27">
        <v>364</v>
      </c>
      <c r="AL27" s="122">
        <v>5161</v>
      </c>
      <c r="AM27" s="122">
        <v>4692</v>
      </c>
      <c r="AN27" s="122">
        <v>18432</v>
      </c>
      <c r="AO27" s="122">
        <v>6827</v>
      </c>
      <c r="AP27" s="122">
        <v>4725</v>
      </c>
      <c r="AQ27" s="122">
        <v>1750</v>
      </c>
      <c r="AR27" s="122">
        <v>42973</v>
      </c>
      <c r="AS27" s="122">
        <v>39067</v>
      </c>
      <c r="AT27">
        <v>0</v>
      </c>
      <c r="AU27">
        <v>0</v>
      </c>
      <c r="AV27" s="122">
        <v>61478</v>
      </c>
    </row>
    <row r="28" spans="2:48" ht="12.75" hidden="1" customHeight="1">
      <c r="B28" t="s">
        <v>362</v>
      </c>
      <c r="C28" t="s">
        <v>56</v>
      </c>
      <c r="D28" t="s">
        <v>406</v>
      </c>
      <c r="E28" t="s">
        <v>407</v>
      </c>
      <c r="F28">
        <v>1</v>
      </c>
      <c r="G28">
        <v>88</v>
      </c>
      <c r="H28" s="122">
        <v>160</v>
      </c>
      <c r="I28" s="122">
        <v>5849</v>
      </c>
      <c r="J28" s="122">
        <v>5317</v>
      </c>
      <c r="K28" s="122">
        <v>92</v>
      </c>
      <c r="L28" s="122">
        <v>1898</v>
      </c>
      <c r="M28" s="122">
        <v>1725</v>
      </c>
      <c r="N28" s="122">
        <v>1072</v>
      </c>
      <c r="O28" s="122">
        <v>397</v>
      </c>
      <c r="P28" s="122">
        <v>621</v>
      </c>
      <c r="Q28" s="122">
        <v>230</v>
      </c>
      <c r="R28" s="122">
        <v>2407</v>
      </c>
      <c r="S28" s="122">
        <v>2188</v>
      </c>
      <c r="T28" s="122">
        <v>2228</v>
      </c>
      <c r="U28" s="122">
        <v>825</v>
      </c>
      <c r="V28" s="122">
        <v>10682</v>
      </c>
      <c r="W28" s="122">
        <f t="shared" si="0"/>
        <v>10682</v>
      </c>
      <c r="X28" s="122">
        <f t="shared" si="1"/>
        <v>14075</v>
      </c>
      <c r="Y28" s="122"/>
      <c r="AA28" t="s">
        <v>48</v>
      </c>
      <c r="AB28" t="s">
        <v>137</v>
      </c>
      <c r="AC28" t="s">
        <v>426</v>
      </c>
      <c r="AD28" t="s">
        <v>137</v>
      </c>
      <c r="AE28" t="s">
        <v>137</v>
      </c>
      <c r="AF28">
        <v>25</v>
      </c>
      <c r="AG28" s="122">
        <v>3520</v>
      </c>
      <c r="AH28" s="122">
        <v>1480</v>
      </c>
      <c r="AI28" s="122">
        <v>21285</v>
      </c>
      <c r="AJ28" s="122">
        <v>7884</v>
      </c>
      <c r="AK28">
        <v>482</v>
      </c>
      <c r="AL28" s="122">
        <v>6986</v>
      </c>
      <c r="AM28" s="122">
        <v>6351</v>
      </c>
      <c r="AN28" s="122">
        <v>44913</v>
      </c>
      <c r="AO28" s="122">
        <v>16635</v>
      </c>
      <c r="AP28" s="122">
        <v>19086</v>
      </c>
      <c r="AQ28" s="122">
        <v>7069</v>
      </c>
      <c r="AR28" s="122">
        <v>110322</v>
      </c>
      <c r="AS28" s="122">
        <v>40860</v>
      </c>
      <c r="AT28" s="122">
        <v>2897</v>
      </c>
      <c r="AU28" s="122">
        <v>1073</v>
      </c>
      <c r="AV28" s="122">
        <v>79871</v>
      </c>
    </row>
    <row r="29" spans="2:48" ht="12.75" hidden="1" customHeight="1">
      <c r="B29" t="s">
        <v>362</v>
      </c>
      <c r="C29" t="s">
        <v>56</v>
      </c>
      <c r="D29" t="s">
        <v>407</v>
      </c>
      <c r="E29" t="s">
        <v>405</v>
      </c>
      <c r="F29" s="122">
        <v>2</v>
      </c>
      <c r="G29" s="122">
        <v>175</v>
      </c>
      <c r="H29" s="122">
        <v>347</v>
      </c>
      <c r="I29" s="122">
        <v>14206</v>
      </c>
      <c r="J29" s="122">
        <v>12914</v>
      </c>
      <c r="K29">
        <v>88</v>
      </c>
      <c r="L29" s="122">
        <v>2791</v>
      </c>
      <c r="M29" s="122">
        <v>2537</v>
      </c>
      <c r="N29" s="122">
        <v>3448</v>
      </c>
      <c r="O29" s="122">
        <v>1277</v>
      </c>
      <c r="P29" s="122">
        <v>945</v>
      </c>
      <c r="Q29" s="122">
        <v>350</v>
      </c>
      <c r="R29" s="122">
        <v>6976</v>
      </c>
      <c r="S29" s="122">
        <v>6342</v>
      </c>
      <c r="T29" s="122">
        <v>2571</v>
      </c>
      <c r="U29" s="122">
        <v>952</v>
      </c>
      <c r="V29" s="122">
        <v>24373</v>
      </c>
      <c r="W29" s="122">
        <f t="shared" si="0"/>
        <v>24372</v>
      </c>
      <c r="X29" s="122">
        <f t="shared" si="1"/>
        <v>30937</v>
      </c>
      <c r="Y29" s="122"/>
      <c r="AA29" t="s">
        <v>48</v>
      </c>
      <c r="AB29" t="s">
        <v>137</v>
      </c>
      <c r="AC29" t="s">
        <v>426</v>
      </c>
      <c r="AD29" t="s">
        <v>137</v>
      </c>
      <c r="AE29" t="s">
        <v>566</v>
      </c>
      <c r="AF29">
        <v>873</v>
      </c>
      <c r="AG29" s="122">
        <v>100143</v>
      </c>
      <c r="AH29" s="122">
        <v>48259</v>
      </c>
      <c r="AI29" s="122">
        <v>314489</v>
      </c>
      <c r="AJ29" s="122">
        <v>116477</v>
      </c>
      <c r="AK29">
        <v>461</v>
      </c>
      <c r="AL29" s="122">
        <v>112561</v>
      </c>
      <c r="AM29" s="122">
        <v>102328</v>
      </c>
      <c r="AN29" s="122">
        <v>1303483</v>
      </c>
      <c r="AO29" s="122">
        <v>482772</v>
      </c>
      <c r="AP29" s="122">
        <v>477911</v>
      </c>
      <c r="AQ29" s="122">
        <v>177004</v>
      </c>
      <c r="AR29" s="122">
        <v>3333347</v>
      </c>
      <c r="AS29" s="122">
        <v>1234573</v>
      </c>
      <c r="AT29">
        <v>0</v>
      </c>
      <c r="AU29">
        <v>0</v>
      </c>
      <c r="AV29" s="122">
        <v>2113154</v>
      </c>
    </row>
    <row r="30" spans="2:48" ht="12.75" hidden="1" customHeight="1">
      <c r="B30" t="s">
        <v>362</v>
      </c>
      <c r="C30" t="s">
        <v>56</v>
      </c>
      <c r="D30" t="s">
        <v>407</v>
      </c>
      <c r="E30" s="122" t="s">
        <v>137</v>
      </c>
      <c r="F30" s="122">
        <v>16</v>
      </c>
      <c r="G30" s="122">
        <v>1162</v>
      </c>
      <c r="H30" s="122">
        <v>2908</v>
      </c>
      <c r="I30" s="122">
        <v>108744</v>
      </c>
      <c r="J30" s="122">
        <v>98858</v>
      </c>
      <c r="K30" s="122">
        <v>79</v>
      </c>
      <c r="L30" s="122">
        <v>0</v>
      </c>
      <c r="M30" s="122">
        <v>0</v>
      </c>
      <c r="N30" s="122">
        <v>28310</v>
      </c>
      <c r="O30" s="122">
        <v>10485</v>
      </c>
      <c r="P30" s="122">
        <v>7560</v>
      </c>
      <c r="Q30" s="122">
        <v>2800</v>
      </c>
      <c r="R30" s="122">
        <v>66716</v>
      </c>
      <c r="S30" s="122">
        <v>24709</v>
      </c>
      <c r="T30" s="122">
        <v>0</v>
      </c>
      <c r="U30" s="122">
        <v>0</v>
      </c>
      <c r="V30" s="122">
        <v>136852</v>
      </c>
      <c r="W30" s="122">
        <f t="shared" si="0"/>
        <v>136852</v>
      </c>
      <c r="X30" s="122">
        <f t="shared" si="1"/>
        <v>211330</v>
      </c>
      <c r="Y30" s="122"/>
      <c r="AA30" t="s">
        <v>48</v>
      </c>
      <c r="AB30" t="s">
        <v>137</v>
      </c>
      <c r="AC30" t="s">
        <v>426</v>
      </c>
      <c r="AD30" t="s">
        <v>406</v>
      </c>
      <c r="AE30" t="s">
        <v>566</v>
      </c>
      <c r="AF30">
        <v>1</v>
      </c>
      <c r="AG30">
        <v>132</v>
      </c>
      <c r="AH30">
        <v>65</v>
      </c>
      <c r="AI30" s="122">
        <v>1776</v>
      </c>
      <c r="AJ30">
        <v>658</v>
      </c>
      <c r="AK30">
        <v>380</v>
      </c>
      <c r="AL30">
        <v>294</v>
      </c>
      <c r="AM30">
        <v>267</v>
      </c>
      <c r="AN30" s="122">
        <v>1609</v>
      </c>
      <c r="AO30">
        <v>596</v>
      </c>
      <c r="AP30" s="122">
        <v>1719</v>
      </c>
      <c r="AQ30">
        <v>637</v>
      </c>
      <c r="AR30" s="122">
        <v>3205</v>
      </c>
      <c r="AS30" s="122">
        <v>2914</v>
      </c>
      <c r="AT30">
        <v>0</v>
      </c>
      <c r="AU30">
        <v>0</v>
      </c>
      <c r="AV30" s="122">
        <v>5071</v>
      </c>
    </row>
    <row r="31" spans="2:48" ht="12.75" hidden="1" customHeight="1">
      <c r="B31" t="s">
        <v>362</v>
      </c>
      <c r="C31" t="s">
        <v>56</v>
      </c>
      <c r="D31" t="s">
        <v>407</v>
      </c>
      <c r="E31" t="s">
        <v>407</v>
      </c>
      <c r="F31" s="122">
        <v>1657</v>
      </c>
      <c r="G31" s="122">
        <v>164931</v>
      </c>
      <c r="H31" s="122">
        <v>313640</v>
      </c>
      <c r="I31" s="122">
        <v>14541008</v>
      </c>
      <c r="J31" s="122">
        <v>13219098</v>
      </c>
      <c r="K31" s="122">
        <v>82</v>
      </c>
      <c r="L31" s="122">
        <v>3674268</v>
      </c>
      <c r="M31" s="122">
        <v>3154973</v>
      </c>
      <c r="N31" s="122">
        <v>3098082</v>
      </c>
      <c r="O31" s="122">
        <v>1147438</v>
      </c>
      <c r="P31" s="122">
        <v>783129</v>
      </c>
      <c r="Q31" s="122">
        <v>290048</v>
      </c>
      <c r="R31" s="122">
        <v>7976206</v>
      </c>
      <c r="S31" s="122">
        <v>7251096</v>
      </c>
      <c r="T31" s="122">
        <v>1201698</v>
      </c>
      <c r="U31" s="122">
        <v>445073</v>
      </c>
      <c r="V31" s="122">
        <v>25507727</v>
      </c>
      <c r="W31" s="122">
        <f t="shared" si="0"/>
        <v>25507726</v>
      </c>
      <c r="X31" s="122">
        <f t="shared" si="1"/>
        <v>31274391</v>
      </c>
      <c r="Y31" s="122"/>
      <c r="AA31" t="s">
        <v>48</v>
      </c>
      <c r="AB31" t="s">
        <v>137</v>
      </c>
      <c r="AC31" t="s">
        <v>566</v>
      </c>
      <c r="AD31" t="s">
        <v>137</v>
      </c>
      <c r="AE31" t="s">
        <v>137</v>
      </c>
      <c r="AF31">
        <v>64</v>
      </c>
      <c r="AG31" s="122">
        <v>7712</v>
      </c>
      <c r="AH31" s="122">
        <v>3297</v>
      </c>
      <c r="AI31" s="122">
        <v>-11886</v>
      </c>
      <c r="AJ31" s="122">
        <v>-4402</v>
      </c>
      <c r="AK31">
        <v>488</v>
      </c>
      <c r="AL31">
        <v>0</v>
      </c>
      <c r="AM31">
        <v>0</v>
      </c>
      <c r="AN31" s="122">
        <v>94428</v>
      </c>
      <c r="AO31" s="122">
        <v>34973</v>
      </c>
      <c r="AP31" s="122">
        <v>50137</v>
      </c>
      <c r="AQ31" s="122">
        <v>18569</v>
      </c>
      <c r="AR31" s="122">
        <v>258811</v>
      </c>
      <c r="AS31" s="122">
        <v>95856</v>
      </c>
      <c r="AT31">
        <v>0</v>
      </c>
      <c r="AU31">
        <v>0</v>
      </c>
      <c r="AV31" s="122">
        <v>144996</v>
      </c>
    </row>
    <row r="32" spans="2:48" ht="12.75" hidden="1" customHeight="1">
      <c r="B32" t="s">
        <v>362</v>
      </c>
      <c r="C32" t="s">
        <v>56</v>
      </c>
      <c r="D32" t="s">
        <v>426</v>
      </c>
      <c r="E32" t="s">
        <v>426</v>
      </c>
      <c r="F32">
        <v>4</v>
      </c>
      <c r="G32" s="122">
        <v>398</v>
      </c>
      <c r="H32" s="122">
        <v>820</v>
      </c>
      <c r="I32" s="122">
        <v>44741</v>
      </c>
      <c r="J32" s="122">
        <v>40673</v>
      </c>
      <c r="K32" s="122">
        <v>67</v>
      </c>
      <c r="L32" s="122">
        <v>1414</v>
      </c>
      <c r="M32" s="122">
        <v>2226</v>
      </c>
      <c r="N32" s="122">
        <v>6077</v>
      </c>
      <c r="O32" s="122">
        <v>2251</v>
      </c>
      <c r="P32" s="122">
        <v>1404</v>
      </c>
      <c r="Q32" s="122">
        <v>520</v>
      </c>
      <c r="R32" s="122">
        <v>23342</v>
      </c>
      <c r="S32" s="122">
        <v>21220</v>
      </c>
      <c r="T32" s="122">
        <v>5180</v>
      </c>
      <c r="U32" s="122">
        <v>1919</v>
      </c>
      <c r="V32" s="122">
        <v>68809</v>
      </c>
      <c r="W32" s="122">
        <f t="shared" si="0"/>
        <v>68809</v>
      </c>
      <c r="X32" s="122">
        <f t="shared" si="1"/>
        <v>82158</v>
      </c>
      <c r="Y32" s="122"/>
      <c r="AA32" t="s">
        <v>48</v>
      </c>
      <c r="AB32" t="s">
        <v>137</v>
      </c>
      <c r="AC32" t="s">
        <v>566</v>
      </c>
      <c r="AD32" t="s">
        <v>137</v>
      </c>
      <c r="AE32" t="s">
        <v>566</v>
      </c>
      <c r="AF32" s="122">
        <v>6823</v>
      </c>
      <c r="AG32" s="122">
        <v>826301</v>
      </c>
      <c r="AH32" s="122">
        <v>352387</v>
      </c>
      <c r="AI32" s="122">
        <v>-587745</v>
      </c>
      <c r="AJ32" s="122">
        <v>-217684</v>
      </c>
      <c r="AK32">
        <v>463</v>
      </c>
      <c r="AL32">
        <v>0</v>
      </c>
      <c r="AM32" s="122">
        <v>-1740</v>
      </c>
      <c r="AN32" s="122">
        <v>10569083</v>
      </c>
      <c r="AO32" s="122">
        <v>3914475</v>
      </c>
      <c r="AP32" s="122">
        <v>4845823</v>
      </c>
      <c r="AQ32" s="122">
        <v>1794749</v>
      </c>
      <c r="AR32" s="122">
        <v>27276222</v>
      </c>
      <c r="AS32" s="122">
        <v>10102305</v>
      </c>
      <c r="AT32">
        <v>0</v>
      </c>
      <c r="AU32">
        <v>0</v>
      </c>
      <c r="AV32" s="122">
        <v>15592105</v>
      </c>
    </row>
    <row r="33" spans="2:48" ht="12.75" hidden="1" customHeight="1">
      <c r="B33" t="s">
        <v>362</v>
      </c>
      <c r="C33" t="s">
        <v>56</v>
      </c>
      <c r="D33" t="s">
        <v>433</v>
      </c>
      <c r="E33" t="s">
        <v>433</v>
      </c>
      <c r="F33" s="122">
        <v>1</v>
      </c>
      <c r="G33" s="122">
        <v>107</v>
      </c>
      <c r="H33" s="122">
        <v>206</v>
      </c>
      <c r="I33" s="122">
        <v>10701</v>
      </c>
      <c r="J33" s="122">
        <v>9728</v>
      </c>
      <c r="K33">
        <v>60</v>
      </c>
      <c r="L33" s="122">
        <v>2259</v>
      </c>
      <c r="M33" s="122">
        <v>2054</v>
      </c>
      <c r="N33" s="122">
        <v>1480</v>
      </c>
      <c r="O33" s="122">
        <v>548</v>
      </c>
      <c r="P33" s="122">
        <v>351</v>
      </c>
      <c r="Q33" s="122">
        <v>130</v>
      </c>
      <c r="R33" s="122">
        <v>7189</v>
      </c>
      <c r="S33" s="122">
        <v>6535</v>
      </c>
      <c r="T33" s="122">
        <v>0</v>
      </c>
      <c r="U33" s="122">
        <v>0</v>
      </c>
      <c r="V33" s="122">
        <v>18995</v>
      </c>
      <c r="W33" s="122">
        <f t="shared" si="0"/>
        <v>18995</v>
      </c>
      <c r="X33" s="122">
        <f t="shared" si="1"/>
        <v>21980</v>
      </c>
      <c r="Y33" s="122"/>
      <c r="AA33" t="s">
        <v>48</v>
      </c>
      <c r="AB33" t="s">
        <v>137</v>
      </c>
      <c r="AC33" t="s">
        <v>566</v>
      </c>
      <c r="AD33" t="s">
        <v>407</v>
      </c>
      <c r="AE33" t="s">
        <v>566</v>
      </c>
      <c r="AF33">
        <v>3</v>
      </c>
      <c r="AG33">
        <v>272</v>
      </c>
      <c r="AH33">
        <v>132</v>
      </c>
      <c r="AI33">
        <v>-207</v>
      </c>
      <c r="AJ33">
        <v>-77</v>
      </c>
      <c r="AK33">
        <v>503</v>
      </c>
      <c r="AL33">
        <v>0</v>
      </c>
      <c r="AM33">
        <v>0</v>
      </c>
      <c r="AN33" s="122">
        <v>3311</v>
      </c>
      <c r="AO33" s="122">
        <v>1226</v>
      </c>
      <c r="AP33" s="122">
        <v>1401</v>
      </c>
      <c r="AQ33">
        <v>519</v>
      </c>
      <c r="AR33" s="122">
        <v>8872</v>
      </c>
      <c r="AS33" s="122">
        <v>8065</v>
      </c>
      <c r="AT33">
        <v>0</v>
      </c>
      <c r="AU33">
        <v>0</v>
      </c>
      <c r="AV33" s="122">
        <v>9734</v>
      </c>
    </row>
    <row r="34" spans="2:48" ht="12.75" hidden="1" customHeight="1">
      <c r="B34" t="s">
        <v>362</v>
      </c>
      <c r="C34" t="s">
        <v>58</v>
      </c>
      <c r="F34">
        <v>1</v>
      </c>
      <c r="G34">
        <v>173</v>
      </c>
      <c r="H34" s="122">
        <v>233</v>
      </c>
      <c r="I34" s="122"/>
      <c r="J34" s="122">
        <v>0</v>
      </c>
      <c r="L34" s="122"/>
      <c r="M34" s="122">
        <v>0</v>
      </c>
      <c r="N34" s="122">
        <v>3588</v>
      </c>
      <c r="O34" s="122">
        <v>1329</v>
      </c>
      <c r="P34" s="122">
        <v>0</v>
      </c>
      <c r="Q34" s="122">
        <v>0</v>
      </c>
      <c r="R34" s="122"/>
      <c r="S34" s="122">
        <v>0</v>
      </c>
      <c r="T34" s="122">
        <v>3621</v>
      </c>
      <c r="U34" s="122">
        <v>1341</v>
      </c>
      <c r="V34" s="122">
        <v>2670</v>
      </c>
      <c r="W34" s="122">
        <f t="shared" si="0"/>
        <v>2670</v>
      </c>
      <c r="X34" s="122">
        <f t="shared" si="1"/>
        <v>7209</v>
      </c>
      <c r="Y34" s="122"/>
      <c r="AA34" t="s">
        <v>48</v>
      </c>
      <c r="AB34" t="s">
        <v>137</v>
      </c>
      <c r="AC34" t="s">
        <v>481</v>
      </c>
      <c r="AD34" t="s">
        <v>137</v>
      </c>
      <c r="AE34" t="s">
        <v>137</v>
      </c>
      <c r="AF34">
        <v>3</v>
      </c>
      <c r="AG34">
        <v>304</v>
      </c>
      <c r="AH34">
        <v>190</v>
      </c>
      <c r="AI34">
        <v>-91</v>
      </c>
      <c r="AJ34">
        <v>-34</v>
      </c>
      <c r="AK34">
        <v>446</v>
      </c>
      <c r="AL34">
        <v>-23</v>
      </c>
      <c r="AM34">
        <v>-21</v>
      </c>
      <c r="AN34" s="122">
        <v>3699</v>
      </c>
      <c r="AO34" s="122">
        <v>1370</v>
      </c>
      <c r="AP34" s="122">
        <v>2106</v>
      </c>
      <c r="AQ34">
        <v>780</v>
      </c>
      <c r="AR34" s="122">
        <v>13507</v>
      </c>
      <c r="AS34" s="122">
        <v>5003</v>
      </c>
      <c r="AT34">
        <v>0</v>
      </c>
      <c r="AU34">
        <v>0</v>
      </c>
      <c r="AV34" s="122">
        <v>7098</v>
      </c>
    </row>
    <row r="35" spans="2:48" ht="12.75" hidden="1" customHeight="1">
      <c r="B35" t="s">
        <v>362</v>
      </c>
      <c r="C35" t="s">
        <v>58</v>
      </c>
      <c r="D35" t="s">
        <v>405</v>
      </c>
      <c r="E35" t="s">
        <v>405</v>
      </c>
      <c r="F35" s="122">
        <v>6</v>
      </c>
      <c r="G35" s="122">
        <v>742</v>
      </c>
      <c r="H35" s="122">
        <v>1480</v>
      </c>
      <c r="I35" s="122">
        <v>118879</v>
      </c>
      <c r="J35" s="122">
        <v>108072</v>
      </c>
      <c r="K35">
        <v>82</v>
      </c>
      <c r="L35" s="122">
        <v>26351</v>
      </c>
      <c r="M35" s="122">
        <v>16979</v>
      </c>
      <c r="N35" s="122">
        <v>14974</v>
      </c>
      <c r="O35" s="122">
        <v>5546</v>
      </c>
      <c r="P35" s="122">
        <v>2835</v>
      </c>
      <c r="Q35" s="122">
        <v>1050</v>
      </c>
      <c r="R35" s="122">
        <v>28542</v>
      </c>
      <c r="S35" s="122">
        <v>25948</v>
      </c>
      <c r="T35" s="122">
        <v>5704</v>
      </c>
      <c r="U35" s="122">
        <v>2112</v>
      </c>
      <c r="V35" s="122">
        <v>159707</v>
      </c>
      <c r="W35" s="122">
        <f t="shared" si="0"/>
        <v>159707</v>
      </c>
      <c r="X35" s="122">
        <f t="shared" si="1"/>
        <v>197285</v>
      </c>
      <c r="Y35" s="122"/>
      <c r="AA35" t="s">
        <v>48</v>
      </c>
      <c r="AB35" t="s">
        <v>137</v>
      </c>
      <c r="AC35" t="s">
        <v>481</v>
      </c>
      <c r="AD35" t="s">
        <v>137</v>
      </c>
      <c r="AE35" t="s">
        <v>566</v>
      </c>
      <c r="AF35">
        <v>8</v>
      </c>
      <c r="AG35">
        <v>986</v>
      </c>
      <c r="AH35">
        <v>455</v>
      </c>
      <c r="AI35" s="122">
        <v>-4340</v>
      </c>
      <c r="AJ35" s="122">
        <v>-1607</v>
      </c>
      <c r="AK35">
        <v>497</v>
      </c>
      <c r="AL35" s="122">
        <v>-1503</v>
      </c>
      <c r="AM35" s="122">
        <v>-1366</v>
      </c>
      <c r="AN35" s="122">
        <v>13692</v>
      </c>
      <c r="AO35" s="122">
        <v>5071</v>
      </c>
      <c r="AP35" s="122">
        <v>13339</v>
      </c>
      <c r="AQ35" s="122">
        <v>4940</v>
      </c>
      <c r="AR35" s="122">
        <v>34856</v>
      </c>
      <c r="AS35" s="122">
        <v>12910</v>
      </c>
      <c r="AT35">
        <v>0</v>
      </c>
      <c r="AU35">
        <v>0</v>
      </c>
      <c r="AV35" s="122">
        <v>19947</v>
      </c>
    </row>
    <row r="36" spans="2:48" ht="12.75" hidden="1" customHeight="1">
      <c r="B36" t="s">
        <v>362</v>
      </c>
      <c r="C36" t="s">
        <v>58</v>
      </c>
      <c r="D36" t="s">
        <v>137</v>
      </c>
      <c r="E36" t="s">
        <v>137</v>
      </c>
      <c r="F36">
        <v>29</v>
      </c>
      <c r="G36" s="122">
        <v>2601</v>
      </c>
      <c r="H36" s="122">
        <v>7470</v>
      </c>
      <c r="I36" s="122">
        <v>323944</v>
      </c>
      <c r="J36" s="122">
        <v>119979</v>
      </c>
      <c r="K36" s="122">
        <v>100</v>
      </c>
      <c r="L36" s="122">
        <v>75894</v>
      </c>
      <c r="M36" s="122">
        <v>50841</v>
      </c>
      <c r="N36" s="122">
        <v>53837</v>
      </c>
      <c r="O36" s="122">
        <v>19940</v>
      </c>
      <c r="P36" s="122">
        <v>0</v>
      </c>
      <c r="Q36" s="122">
        <v>0</v>
      </c>
      <c r="R36" s="122">
        <v>211600</v>
      </c>
      <c r="S36" s="122">
        <v>78370</v>
      </c>
      <c r="T36" s="122">
        <v>0</v>
      </c>
      <c r="U36" s="122">
        <v>0</v>
      </c>
      <c r="V36" s="122">
        <v>269130</v>
      </c>
      <c r="W36" s="122">
        <f t="shared" si="0"/>
        <v>269130</v>
      </c>
      <c r="X36" s="122">
        <f t="shared" si="1"/>
        <v>665275</v>
      </c>
      <c r="Y36" s="122"/>
      <c r="AA36" t="s">
        <v>48</v>
      </c>
      <c r="AB36" t="s">
        <v>137</v>
      </c>
      <c r="AC36" t="s">
        <v>433</v>
      </c>
      <c r="AD36" t="s">
        <v>137</v>
      </c>
      <c r="AE36" t="s">
        <v>137</v>
      </c>
      <c r="AF36">
        <v>18</v>
      </c>
      <c r="AG36" s="122">
        <v>2153</v>
      </c>
      <c r="AH36" s="122">
        <v>1039</v>
      </c>
      <c r="AI36" s="122">
        <v>-9643</v>
      </c>
      <c r="AJ36" s="122">
        <v>-3572</v>
      </c>
      <c r="AK36">
        <v>508</v>
      </c>
      <c r="AL36" s="122">
        <v>-3083</v>
      </c>
      <c r="AM36" s="122">
        <v>-2803</v>
      </c>
      <c r="AN36" s="122">
        <v>26501</v>
      </c>
      <c r="AO36" s="122">
        <v>9815</v>
      </c>
      <c r="AP36" s="122">
        <v>23511</v>
      </c>
      <c r="AQ36" s="122">
        <v>8708</v>
      </c>
      <c r="AR36" s="122">
        <v>82971</v>
      </c>
      <c r="AS36" s="122">
        <v>30730</v>
      </c>
      <c r="AT36">
        <v>0</v>
      </c>
      <c r="AU36">
        <v>0</v>
      </c>
      <c r="AV36" s="122">
        <v>42879</v>
      </c>
    </row>
    <row r="37" spans="2:48" ht="12.75" hidden="1" customHeight="1">
      <c r="B37" t="s">
        <v>362</v>
      </c>
      <c r="C37" t="s">
        <v>58</v>
      </c>
      <c r="D37" t="s">
        <v>137</v>
      </c>
      <c r="E37" t="s">
        <v>427</v>
      </c>
      <c r="F37" s="122">
        <v>1</v>
      </c>
      <c r="G37" s="122">
        <v>81</v>
      </c>
      <c r="H37" s="122">
        <v>257</v>
      </c>
      <c r="I37" s="122">
        <v>10868</v>
      </c>
      <c r="J37" s="122">
        <v>4025</v>
      </c>
      <c r="K37" s="122">
        <v>100</v>
      </c>
      <c r="L37" s="122">
        <v>895</v>
      </c>
      <c r="M37" s="122">
        <v>813</v>
      </c>
      <c r="N37" s="122">
        <v>1736</v>
      </c>
      <c r="O37" s="122">
        <v>643</v>
      </c>
      <c r="P37" s="122">
        <v>0</v>
      </c>
      <c r="Q37" s="122">
        <v>0</v>
      </c>
      <c r="R37" s="122">
        <v>7330</v>
      </c>
      <c r="S37" s="122">
        <v>6663</v>
      </c>
      <c r="T37" s="122">
        <v>0</v>
      </c>
      <c r="U37" s="122">
        <v>0</v>
      </c>
      <c r="V37" s="122">
        <v>12145</v>
      </c>
      <c r="W37" s="122">
        <f t="shared" si="0"/>
        <v>12144</v>
      </c>
      <c r="X37" s="122">
        <f t="shared" si="1"/>
        <v>20829</v>
      </c>
      <c r="Y37" s="122"/>
      <c r="AA37" t="s">
        <v>48</v>
      </c>
      <c r="AB37" t="s">
        <v>137</v>
      </c>
      <c r="AC37" t="s">
        <v>433</v>
      </c>
      <c r="AD37" t="s">
        <v>137</v>
      </c>
      <c r="AE37" t="s">
        <v>566</v>
      </c>
      <c r="AF37" s="122">
        <v>1166</v>
      </c>
      <c r="AG37" s="122">
        <v>155079</v>
      </c>
      <c r="AH37" s="122">
        <v>63373</v>
      </c>
      <c r="AI37" s="122">
        <v>312491</v>
      </c>
      <c r="AJ37" s="122">
        <v>115737</v>
      </c>
      <c r="AK37">
        <v>446</v>
      </c>
      <c r="AL37" s="122">
        <v>72513</v>
      </c>
      <c r="AM37" s="122">
        <v>65921</v>
      </c>
      <c r="AN37" s="122">
        <v>1954219</v>
      </c>
      <c r="AO37" s="122">
        <v>723785</v>
      </c>
      <c r="AP37" s="122">
        <v>915765</v>
      </c>
      <c r="AQ37" s="122">
        <v>339172</v>
      </c>
      <c r="AR37" s="122">
        <v>5007065</v>
      </c>
      <c r="AS37" s="122">
        <v>1854469</v>
      </c>
      <c r="AT37">
        <v>0</v>
      </c>
      <c r="AU37">
        <v>0</v>
      </c>
      <c r="AV37" s="122">
        <v>3099084</v>
      </c>
    </row>
    <row r="38" spans="2:48" ht="12.75" hidden="1" customHeight="1">
      <c r="B38" t="s">
        <v>362</v>
      </c>
      <c r="C38" t="s">
        <v>58</v>
      </c>
      <c r="D38" t="s">
        <v>137</v>
      </c>
      <c r="E38" t="s">
        <v>426</v>
      </c>
      <c r="F38">
        <v>1</v>
      </c>
      <c r="G38">
        <v>84</v>
      </c>
      <c r="H38" s="122">
        <v>241</v>
      </c>
      <c r="I38" s="122">
        <v>7627</v>
      </c>
      <c r="J38" s="122">
        <v>2825</v>
      </c>
      <c r="K38">
        <v>100</v>
      </c>
      <c r="L38" s="122">
        <v>1726</v>
      </c>
      <c r="M38" s="122">
        <v>1569</v>
      </c>
      <c r="N38" s="122">
        <v>1646</v>
      </c>
      <c r="O38">
        <v>610</v>
      </c>
      <c r="P38">
        <v>0</v>
      </c>
      <c r="Q38" s="122">
        <v>0</v>
      </c>
      <c r="R38" s="122">
        <v>6744</v>
      </c>
      <c r="S38" s="122">
        <v>6131</v>
      </c>
      <c r="T38" s="122">
        <v>2582</v>
      </c>
      <c r="U38" s="122">
        <v>956</v>
      </c>
      <c r="V38" s="122">
        <v>12090</v>
      </c>
      <c r="W38" s="122">
        <f t="shared" si="0"/>
        <v>12091</v>
      </c>
      <c r="X38" s="122">
        <f t="shared" si="1"/>
        <v>20325</v>
      </c>
      <c r="Y38" s="122"/>
      <c r="AA38" t="s">
        <v>48</v>
      </c>
      <c r="AB38" t="s">
        <v>137</v>
      </c>
      <c r="AC38" t="s">
        <v>429</v>
      </c>
      <c r="AD38" t="s">
        <v>137</v>
      </c>
      <c r="AE38" t="s">
        <v>137</v>
      </c>
      <c r="AF38">
        <v>8</v>
      </c>
      <c r="AG38">
        <v>864</v>
      </c>
      <c r="AH38">
        <v>506</v>
      </c>
      <c r="AI38" s="122">
        <v>18359</v>
      </c>
      <c r="AJ38" s="122">
        <v>6800</v>
      </c>
      <c r="AK38">
        <v>350</v>
      </c>
      <c r="AL38" s="122">
        <v>1929</v>
      </c>
      <c r="AM38" s="122">
        <v>1754</v>
      </c>
      <c r="AN38" s="122">
        <v>10527</v>
      </c>
      <c r="AO38" s="122">
        <v>3899</v>
      </c>
      <c r="AP38" s="122">
        <v>2808</v>
      </c>
      <c r="AQ38" s="122">
        <v>1040</v>
      </c>
      <c r="AR38" s="122">
        <v>21044</v>
      </c>
      <c r="AS38" s="122">
        <v>7794</v>
      </c>
      <c r="AT38">
        <v>0</v>
      </c>
      <c r="AU38">
        <v>0</v>
      </c>
      <c r="AV38" s="122">
        <v>21286</v>
      </c>
    </row>
    <row r="39" spans="2:48" ht="12.75" hidden="1" customHeight="1">
      <c r="B39" t="s">
        <v>362</v>
      </c>
      <c r="C39" t="s">
        <v>58</v>
      </c>
      <c r="D39" t="s">
        <v>406</v>
      </c>
      <c r="E39" t="s">
        <v>406</v>
      </c>
      <c r="F39">
        <v>581</v>
      </c>
      <c r="G39" s="122">
        <v>54864</v>
      </c>
      <c r="H39" s="122">
        <v>150282</v>
      </c>
      <c r="I39" s="122">
        <v>7519665</v>
      </c>
      <c r="J39" s="122">
        <v>6836059</v>
      </c>
      <c r="K39" s="122">
        <v>81</v>
      </c>
      <c r="L39" s="122">
        <v>1678919</v>
      </c>
      <c r="M39" s="122">
        <v>1434796</v>
      </c>
      <c r="N39" s="122">
        <v>1081936</v>
      </c>
      <c r="O39" s="122">
        <v>400717</v>
      </c>
      <c r="P39" s="122">
        <v>362637</v>
      </c>
      <c r="Q39" s="122">
        <v>134310</v>
      </c>
      <c r="R39" s="122">
        <v>2712835</v>
      </c>
      <c r="S39" s="122">
        <v>2466213</v>
      </c>
      <c r="T39" s="122">
        <v>868597</v>
      </c>
      <c r="U39" s="122">
        <v>321702</v>
      </c>
      <c r="V39" s="122">
        <v>11593798</v>
      </c>
      <c r="W39" s="122">
        <f t="shared" si="0"/>
        <v>11593797</v>
      </c>
      <c r="X39" s="122">
        <f t="shared" si="1"/>
        <v>14224589</v>
      </c>
      <c r="Y39" s="122"/>
      <c r="AA39" t="s">
        <v>48</v>
      </c>
      <c r="AB39" t="s">
        <v>137</v>
      </c>
      <c r="AC39" t="s">
        <v>429</v>
      </c>
      <c r="AD39" t="s">
        <v>137</v>
      </c>
      <c r="AE39" t="s">
        <v>566</v>
      </c>
      <c r="AF39">
        <v>37</v>
      </c>
      <c r="AG39" s="122">
        <v>4314</v>
      </c>
      <c r="AH39" s="122">
        <v>2189</v>
      </c>
      <c r="AI39" s="122">
        <v>14484</v>
      </c>
      <c r="AJ39" s="122">
        <v>5365</v>
      </c>
      <c r="AK39">
        <v>443</v>
      </c>
      <c r="AL39" s="122">
        <v>4429</v>
      </c>
      <c r="AM39" s="122">
        <v>4027</v>
      </c>
      <c r="AN39" s="122">
        <v>55154</v>
      </c>
      <c r="AO39" s="122">
        <v>20427</v>
      </c>
      <c r="AP39" s="122">
        <v>30044</v>
      </c>
      <c r="AQ39" s="122">
        <v>11127</v>
      </c>
      <c r="AR39" s="122">
        <v>152812</v>
      </c>
      <c r="AS39" s="122">
        <v>56597</v>
      </c>
      <c r="AT39">
        <v>0</v>
      </c>
      <c r="AU39">
        <v>0</v>
      </c>
      <c r="AV39" s="122">
        <v>97543</v>
      </c>
    </row>
    <row r="40" spans="2:48" ht="12.75" hidden="1" customHeight="1">
      <c r="B40" t="s">
        <v>362</v>
      </c>
      <c r="C40" t="s">
        <v>58</v>
      </c>
      <c r="D40" t="s">
        <v>406</v>
      </c>
      <c r="E40" t="s">
        <v>426</v>
      </c>
      <c r="F40" s="122">
        <v>1</v>
      </c>
      <c r="G40" s="122">
        <v>122</v>
      </c>
      <c r="H40" s="122">
        <v>259</v>
      </c>
      <c r="I40" s="122">
        <v>20105</v>
      </c>
      <c r="J40" s="122">
        <v>18277</v>
      </c>
      <c r="K40" s="122">
        <v>79</v>
      </c>
      <c r="L40" s="122">
        <v>2446</v>
      </c>
      <c r="M40" s="122">
        <v>2224</v>
      </c>
      <c r="N40" s="122">
        <v>2193</v>
      </c>
      <c r="O40" s="122">
        <v>812</v>
      </c>
      <c r="P40" s="122">
        <v>972</v>
      </c>
      <c r="Q40" s="122">
        <v>360</v>
      </c>
      <c r="R40" s="122">
        <v>3687</v>
      </c>
      <c r="S40" s="122">
        <v>3352</v>
      </c>
      <c r="T40" s="122">
        <v>2258</v>
      </c>
      <c r="U40" s="122">
        <v>836</v>
      </c>
      <c r="V40" s="122">
        <v>25862</v>
      </c>
      <c r="W40" s="122">
        <f t="shared" si="0"/>
        <v>25861</v>
      </c>
      <c r="X40" s="122">
        <f t="shared" si="1"/>
        <v>31661</v>
      </c>
      <c r="Y40" s="122"/>
      <c r="AA40" t="s">
        <v>48</v>
      </c>
      <c r="AB40" t="s">
        <v>406</v>
      </c>
      <c r="AC40" t="s">
        <v>425</v>
      </c>
      <c r="AD40" t="s">
        <v>406</v>
      </c>
      <c r="AE40" t="s">
        <v>566</v>
      </c>
      <c r="AF40">
        <v>8</v>
      </c>
      <c r="AG40">
        <v>918</v>
      </c>
      <c r="AH40">
        <v>598</v>
      </c>
      <c r="AI40" s="122">
        <v>22220</v>
      </c>
      <c r="AJ40" s="122">
        <v>20200</v>
      </c>
      <c r="AK40">
        <v>94</v>
      </c>
      <c r="AL40" s="122">
        <v>3016</v>
      </c>
      <c r="AM40" s="122">
        <v>2742</v>
      </c>
      <c r="AN40" s="122">
        <v>11186</v>
      </c>
      <c r="AO40" s="122">
        <v>4143</v>
      </c>
      <c r="AP40" s="122">
        <v>11764</v>
      </c>
      <c r="AQ40" s="122">
        <v>4357</v>
      </c>
      <c r="AR40" s="122">
        <v>20444</v>
      </c>
      <c r="AS40" s="122">
        <v>18585</v>
      </c>
      <c r="AT40">
        <v>0</v>
      </c>
      <c r="AU40">
        <v>0</v>
      </c>
      <c r="AV40" s="122">
        <v>50027</v>
      </c>
    </row>
    <row r="41" spans="2:48" ht="12.75" hidden="1" customHeight="1">
      <c r="B41" t="s">
        <v>362</v>
      </c>
      <c r="C41" t="s">
        <v>58</v>
      </c>
      <c r="D41" t="s">
        <v>427</v>
      </c>
      <c r="E41" t="s">
        <v>427</v>
      </c>
      <c r="F41">
        <v>2</v>
      </c>
      <c r="G41">
        <v>163</v>
      </c>
      <c r="H41" s="122">
        <v>559</v>
      </c>
      <c r="I41" s="122">
        <v>23386</v>
      </c>
      <c r="J41" s="122">
        <v>21260</v>
      </c>
      <c r="K41">
        <v>60</v>
      </c>
      <c r="L41" s="122">
        <v>5195</v>
      </c>
      <c r="M41" s="122">
        <v>4723</v>
      </c>
      <c r="N41" s="122">
        <v>2879</v>
      </c>
      <c r="O41" s="122">
        <v>1066</v>
      </c>
      <c r="P41" s="122">
        <v>702</v>
      </c>
      <c r="Q41" s="122">
        <v>260</v>
      </c>
      <c r="R41" s="122">
        <v>9027</v>
      </c>
      <c r="S41" s="122">
        <v>8207</v>
      </c>
      <c r="T41" s="122">
        <v>4326</v>
      </c>
      <c r="U41" s="122">
        <v>1602</v>
      </c>
      <c r="V41" s="122">
        <v>37117</v>
      </c>
      <c r="W41" s="122">
        <f t="shared" si="0"/>
        <v>37118</v>
      </c>
      <c r="X41" s="122">
        <f t="shared" si="1"/>
        <v>45515</v>
      </c>
      <c r="Y41" s="122"/>
      <c r="AA41" t="s">
        <v>48</v>
      </c>
      <c r="AB41" t="s">
        <v>406</v>
      </c>
      <c r="AC41" t="s">
        <v>137</v>
      </c>
      <c r="AD41" t="s">
        <v>406</v>
      </c>
      <c r="AE41" t="s">
        <v>566</v>
      </c>
      <c r="AF41">
        <v>23</v>
      </c>
      <c r="AG41" s="122">
        <v>2720</v>
      </c>
      <c r="AH41" s="122">
        <v>1421</v>
      </c>
      <c r="AI41" s="122">
        <v>30638</v>
      </c>
      <c r="AJ41" s="122">
        <v>27853</v>
      </c>
      <c r="AK41">
        <v>94</v>
      </c>
      <c r="AL41" s="122">
        <v>8099</v>
      </c>
      <c r="AM41" s="122">
        <v>3000</v>
      </c>
      <c r="AN41" s="122">
        <v>39980</v>
      </c>
      <c r="AO41" s="122">
        <v>14807</v>
      </c>
      <c r="AP41" s="122">
        <v>22007</v>
      </c>
      <c r="AQ41" s="122">
        <v>8151</v>
      </c>
      <c r="AR41" s="122">
        <v>71900</v>
      </c>
      <c r="AS41" s="122">
        <v>65364</v>
      </c>
      <c r="AT41">
        <v>0</v>
      </c>
      <c r="AU41">
        <v>0</v>
      </c>
      <c r="AV41" s="122">
        <v>119174</v>
      </c>
    </row>
    <row r="42" spans="2:48" ht="12.75" hidden="1" customHeight="1">
      <c r="B42" t="s">
        <v>362</v>
      </c>
      <c r="C42" t="s">
        <v>58</v>
      </c>
      <c r="D42" t="s">
        <v>407</v>
      </c>
      <c r="E42" t="s">
        <v>405</v>
      </c>
      <c r="F42">
        <v>1</v>
      </c>
      <c r="G42" s="122">
        <v>48</v>
      </c>
      <c r="H42" s="122">
        <v>250</v>
      </c>
      <c r="I42" s="122">
        <v>6452</v>
      </c>
      <c r="J42" s="122">
        <v>5866</v>
      </c>
      <c r="K42" s="122">
        <v>90</v>
      </c>
      <c r="L42" s="122">
        <v>0</v>
      </c>
      <c r="M42" s="122">
        <v>0</v>
      </c>
      <c r="N42" s="122">
        <v>973</v>
      </c>
      <c r="O42" s="122">
        <v>361</v>
      </c>
      <c r="P42" s="122">
        <v>473</v>
      </c>
      <c r="Q42" s="122">
        <v>175</v>
      </c>
      <c r="R42" s="122">
        <v>4037</v>
      </c>
      <c r="S42" s="122">
        <v>3670</v>
      </c>
      <c r="T42" s="122">
        <v>0</v>
      </c>
      <c r="U42" s="122">
        <v>0</v>
      </c>
      <c r="V42" s="122">
        <v>10071</v>
      </c>
      <c r="W42" s="122">
        <f t="shared" si="0"/>
        <v>10072</v>
      </c>
      <c r="X42" s="122">
        <f t="shared" si="1"/>
        <v>11935</v>
      </c>
      <c r="Y42" s="122"/>
      <c r="AA42" t="s">
        <v>48</v>
      </c>
      <c r="AB42" t="s">
        <v>406</v>
      </c>
      <c r="AC42" t="s">
        <v>427</v>
      </c>
      <c r="AD42" t="s">
        <v>406</v>
      </c>
      <c r="AE42" t="s">
        <v>566</v>
      </c>
      <c r="AF42">
        <v>1</v>
      </c>
      <c r="AG42">
        <v>112</v>
      </c>
      <c r="AH42">
        <v>72</v>
      </c>
      <c r="AI42" s="122">
        <v>1689</v>
      </c>
      <c r="AJ42" s="122">
        <v>1535</v>
      </c>
      <c r="AK42">
        <v>95</v>
      </c>
      <c r="AL42">
        <v>594</v>
      </c>
      <c r="AM42">
        <v>540</v>
      </c>
      <c r="AN42" s="122">
        <v>1362</v>
      </c>
      <c r="AO42">
        <v>504</v>
      </c>
      <c r="AP42">
        <v>621</v>
      </c>
      <c r="AQ42">
        <v>230</v>
      </c>
      <c r="AR42" s="122">
        <v>3763</v>
      </c>
      <c r="AS42" s="122">
        <v>3421</v>
      </c>
      <c r="AT42">
        <v>0</v>
      </c>
      <c r="AU42">
        <v>0</v>
      </c>
      <c r="AV42" s="122">
        <v>6231</v>
      </c>
    </row>
    <row r="43" spans="2:48" ht="12.75" hidden="1" customHeight="1">
      <c r="B43" t="s">
        <v>362</v>
      </c>
      <c r="C43" t="s">
        <v>58</v>
      </c>
      <c r="D43" t="s">
        <v>407</v>
      </c>
      <c r="E43" t="s">
        <v>137</v>
      </c>
      <c r="F43">
        <v>3</v>
      </c>
      <c r="G43" s="122">
        <v>246</v>
      </c>
      <c r="H43" s="122">
        <v>761</v>
      </c>
      <c r="I43" s="122">
        <v>26441</v>
      </c>
      <c r="J43" s="122">
        <v>24037</v>
      </c>
      <c r="K43" s="122">
        <v>81</v>
      </c>
      <c r="L43" s="122">
        <v>8377</v>
      </c>
      <c r="M43" s="122">
        <v>7468</v>
      </c>
      <c r="N43" s="122">
        <v>5758</v>
      </c>
      <c r="O43" s="122">
        <v>2133</v>
      </c>
      <c r="P43" s="122">
        <v>1418</v>
      </c>
      <c r="Q43" s="122">
        <v>525</v>
      </c>
      <c r="R43" s="122">
        <v>17906</v>
      </c>
      <c r="S43" s="122">
        <v>6632</v>
      </c>
      <c r="T43" s="122">
        <v>2325</v>
      </c>
      <c r="U43" s="122">
        <v>861</v>
      </c>
      <c r="V43" s="122">
        <v>41656</v>
      </c>
      <c r="W43" s="122">
        <f t="shared" si="0"/>
        <v>41656</v>
      </c>
      <c r="X43" s="122">
        <f t="shared" si="1"/>
        <v>62225</v>
      </c>
      <c r="Y43" s="122"/>
      <c r="AA43" t="s">
        <v>48</v>
      </c>
      <c r="AB43" t="s">
        <v>406</v>
      </c>
      <c r="AC43" t="s">
        <v>579</v>
      </c>
      <c r="AD43" t="s">
        <v>406</v>
      </c>
      <c r="AE43" t="s">
        <v>137</v>
      </c>
      <c r="AF43">
        <v>1</v>
      </c>
      <c r="AG43">
        <v>75</v>
      </c>
      <c r="AH43">
        <v>72</v>
      </c>
      <c r="AI43" s="122">
        <v>1796</v>
      </c>
      <c r="AJ43" s="122">
        <v>1633</v>
      </c>
      <c r="AK43">
        <v>95</v>
      </c>
      <c r="AL43">
        <v>318</v>
      </c>
      <c r="AM43">
        <v>265</v>
      </c>
      <c r="AN43">
        <v>916</v>
      </c>
      <c r="AO43">
        <v>339</v>
      </c>
      <c r="AP43">
        <v>621</v>
      </c>
      <c r="AQ43">
        <v>230</v>
      </c>
      <c r="AR43" s="122">
        <v>1735</v>
      </c>
      <c r="AS43" s="122">
        <v>1577</v>
      </c>
      <c r="AT43">
        <v>0</v>
      </c>
      <c r="AU43">
        <v>0</v>
      </c>
      <c r="AV43" s="122">
        <v>4045</v>
      </c>
    </row>
    <row r="44" spans="2:48" ht="12.75" hidden="1" customHeight="1">
      <c r="B44" t="s">
        <v>362</v>
      </c>
      <c r="C44" t="s">
        <v>58</v>
      </c>
      <c r="D44" t="s">
        <v>407</v>
      </c>
      <c r="E44" s="122" t="s">
        <v>406</v>
      </c>
      <c r="F44" s="122">
        <v>5</v>
      </c>
      <c r="G44" s="122">
        <v>445</v>
      </c>
      <c r="H44" s="122">
        <v>1235</v>
      </c>
      <c r="I44" s="122">
        <v>58057</v>
      </c>
      <c r="J44" s="122">
        <v>52779</v>
      </c>
      <c r="K44" s="122">
        <v>81</v>
      </c>
      <c r="L44" s="122">
        <v>16197</v>
      </c>
      <c r="M44" s="122">
        <v>14105</v>
      </c>
      <c r="N44" s="122">
        <v>9466</v>
      </c>
      <c r="O44" s="122">
        <v>3506</v>
      </c>
      <c r="P44" s="122">
        <v>2363</v>
      </c>
      <c r="Q44" s="122">
        <v>875</v>
      </c>
      <c r="R44" s="122">
        <v>21871</v>
      </c>
      <c r="S44" s="122">
        <v>19882</v>
      </c>
      <c r="T44" s="122">
        <v>2848</v>
      </c>
      <c r="U44" s="122">
        <v>1055</v>
      </c>
      <c r="V44" s="122">
        <v>92202</v>
      </c>
      <c r="W44" s="122">
        <f t="shared" si="0"/>
        <v>92202</v>
      </c>
      <c r="X44" s="122">
        <f t="shared" si="1"/>
        <v>110802</v>
      </c>
      <c r="Y44" s="122"/>
      <c r="AA44" t="s">
        <v>48</v>
      </c>
      <c r="AB44" t="s">
        <v>406</v>
      </c>
      <c r="AC44" t="s">
        <v>579</v>
      </c>
      <c r="AD44" t="s">
        <v>406</v>
      </c>
      <c r="AE44" t="s">
        <v>566</v>
      </c>
      <c r="AF44">
        <v>51</v>
      </c>
      <c r="AG44" s="122">
        <v>5850</v>
      </c>
      <c r="AH44" s="122">
        <v>2977</v>
      </c>
      <c r="AI44" s="122">
        <v>86863</v>
      </c>
      <c r="AJ44" s="122">
        <v>78967</v>
      </c>
      <c r="AK44">
        <v>94</v>
      </c>
      <c r="AL44" s="122">
        <v>13461</v>
      </c>
      <c r="AM44" s="122">
        <v>11218</v>
      </c>
      <c r="AN44" s="122">
        <v>71419</v>
      </c>
      <c r="AO44" s="122">
        <v>26452</v>
      </c>
      <c r="AP44" s="122">
        <v>32373</v>
      </c>
      <c r="AQ44" s="122">
        <v>11990</v>
      </c>
      <c r="AR44" s="122">
        <v>135202</v>
      </c>
      <c r="AS44" s="122">
        <v>122911</v>
      </c>
      <c r="AT44">
        <v>0</v>
      </c>
      <c r="AU44">
        <v>0</v>
      </c>
      <c r="AV44" s="122">
        <v>251537</v>
      </c>
    </row>
    <row r="45" spans="2:48" ht="12.75" hidden="1" customHeight="1">
      <c r="B45" t="s">
        <v>362</v>
      </c>
      <c r="C45" t="s">
        <v>58</v>
      </c>
      <c r="D45" t="s">
        <v>407</v>
      </c>
      <c r="E45" t="s">
        <v>407</v>
      </c>
      <c r="F45">
        <v>723</v>
      </c>
      <c r="G45" s="122">
        <v>66121</v>
      </c>
      <c r="H45" s="122">
        <v>184044</v>
      </c>
      <c r="I45" s="122">
        <v>8378054</v>
      </c>
      <c r="J45" s="122">
        <v>7616413</v>
      </c>
      <c r="K45">
        <v>78</v>
      </c>
      <c r="L45" s="122">
        <v>2319026</v>
      </c>
      <c r="M45" s="122">
        <v>2021165</v>
      </c>
      <c r="N45" s="122">
        <v>1318171</v>
      </c>
      <c r="O45" s="122">
        <v>488212</v>
      </c>
      <c r="P45" s="122">
        <v>343158</v>
      </c>
      <c r="Q45" s="122">
        <v>127095</v>
      </c>
      <c r="R45" s="122">
        <v>3566146</v>
      </c>
      <c r="S45" s="122">
        <v>3241951</v>
      </c>
      <c r="T45" s="122">
        <v>948546</v>
      </c>
      <c r="U45" s="122">
        <v>351313</v>
      </c>
      <c r="V45" s="122">
        <v>13846149</v>
      </c>
      <c r="W45" s="122">
        <f t="shared" si="0"/>
        <v>13846149</v>
      </c>
      <c r="X45" s="122">
        <f t="shared" si="1"/>
        <v>16873101</v>
      </c>
      <c r="Y45" s="122"/>
      <c r="AA45" t="s">
        <v>48</v>
      </c>
      <c r="AB45" t="s">
        <v>406</v>
      </c>
      <c r="AC45" t="s">
        <v>426</v>
      </c>
      <c r="AD45" t="s">
        <v>406</v>
      </c>
      <c r="AE45" t="s">
        <v>137</v>
      </c>
      <c r="AF45">
        <v>2</v>
      </c>
      <c r="AG45">
        <v>325</v>
      </c>
      <c r="AH45">
        <v>120</v>
      </c>
      <c r="AI45" s="122">
        <v>6683</v>
      </c>
      <c r="AJ45" s="122">
        <v>6076</v>
      </c>
      <c r="AK45">
        <v>252</v>
      </c>
      <c r="AL45" s="122">
        <v>3109</v>
      </c>
      <c r="AM45" s="122">
        <v>2826</v>
      </c>
      <c r="AN45" s="122">
        <v>5559</v>
      </c>
      <c r="AO45" s="122">
        <v>2059</v>
      </c>
      <c r="AP45" s="122">
        <v>1094</v>
      </c>
      <c r="AQ45">
        <v>405</v>
      </c>
      <c r="AR45" s="122">
        <v>3374</v>
      </c>
      <c r="AS45" s="122">
        <v>3068</v>
      </c>
      <c r="AT45">
        <v>0</v>
      </c>
      <c r="AU45">
        <v>0</v>
      </c>
      <c r="AV45" s="122">
        <v>14433</v>
      </c>
    </row>
    <row r="46" spans="2:48" ht="12.75" hidden="1" customHeight="1">
      <c r="B46" t="s">
        <v>362</v>
      </c>
      <c r="C46" t="s">
        <v>58</v>
      </c>
      <c r="D46" t="s">
        <v>556</v>
      </c>
      <c r="E46" t="s">
        <v>407</v>
      </c>
      <c r="F46" s="122">
        <v>1</v>
      </c>
      <c r="G46">
        <v>81</v>
      </c>
      <c r="H46" s="122">
        <v>272</v>
      </c>
      <c r="I46" s="122">
        <v>14746</v>
      </c>
      <c r="J46" s="122">
        <v>12289</v>
      </c>
      <c r="K46" s="122">
        <v>75</v>
      </c>
      <c r="L46" s="122">
        <v>0</v>
      </c>
      <c r="M46" s="122">
        <v>0</v>
      </c>
      <c r="N46" s="122">
        <v>1146</v>
      </c>
      <c r="O46" s="122">
        <v>424</v>
      </c>
      <c r="P46" s="122">
        <v>351</v>
      </c>
      <c r="Q46" s="122">
        <v>130</v>
      </c>
      <c r="R46" s="122">
        <v>3604</v>
      </c>
      <c r="S46" s="122">
        <v>3276</v>
      </c>
      <c r="T46" s="122">
        <v>2180</v>
      </c>
      <c r="U46" s="122">
        <v>808</v>
      </c>
      <c r="V46" s="122">
        <v>16927</v>
      </c>
      <c r="W46" s="122">
        <f t="shared" si="0"/>
        <v>16927</v>
      </c>
      <c r="X46" s="122">
        <f t="shared" si="1"/>
        <v>22027</v>
      </c>
      <c r="Y46" s="122"/>
      <c r="AA46" t="s">
        <v>48</v>
      </c>
      <c r="AB46" t="s">
        <v>406</v>
      </c>
      <c r="AC46" t="s">
        <v>426</v>
      </c>
      <c r="AD46" t="s">
        <v>406</v>
      </c>
      <c r="AE46" t="s">
        <v>566</v>
      </c>
      <c r="AF46">
        <v>85</v>
      </c>
      <c r="AG46" s="122">
        <v>9892</v>
      </c>
      <c r="AH46" s="122">
        <v>5170</v>
      </c>
      <c r="AI46" s="122">
        <v>112684</v>
      </c>
      <c r="AJ46" s="122">
        <v>102440</v>
      </c>
      <c r="AK46">
        <v>95</v>
      </c>
      <c r="AL46" s="122">
        <v>17068</v>
      </c>
      <c r="AM46" s="122">
        <v>15517</v>
      </c>
      <c r="AN46" s="122">
        <v>148976</v>
      </c>
      <c r="AO46" s="122">
        <v>55176</v>
      </c>
      <c r="AP46" s="122">
        <v>70196</v>
      </c>
      <c r="AQ46" s="122">
        <v>25998</v>
      </c>
      <c r="AR46" s="122">
        <v>260154</v>
      </c>
      <c r="AS46" s="122">
        <v>236503</v>
      </c>
      <c r="AT46">
        <v>0</v>
      </c>
      <c r="AU46">
        <v>0</v>
      </c>
      <c r="AV46" s="122">
        <v>435635</v>
      </c>
    </row>
    <row r="47" spans="2:48" ht="12.75" hidden="1" customHeight="1">
      <c r="B47" t="s">
        <v>362</v>
      </c>
      <c r="C47" t="s">
        <v>58</v>
      </c>
      <c r="D47" t="s">
        <v>556</v>
      </c>
      <c r="E47" t="s">
        <v>556</v>
      </c>
      <c r="F47">
        <v>4</v>
      </c>
      <c r="G47">
        <v>377</v>
      </c>
      <c r="H47" s="122">
        <v>1049</v>
      </c>
      <c r="I47" s="122">
        <v>57608</v>
      </c>
      <c r="J47" s="122">
        <v>48007</v>
      </c>
      <c r="K47" s="122">
        <v>65</v>
      </c>
      <c r="L47" s="122">
        <v>6043</v>
      </c>
      <c r="M47" s="122">
        <v>4162</v>
      </c>
      <c r="N47" s="122">
        <v>6438</v>
      </c>
      <c r="O47" s="122">
        <v>2385</v>
      </c>
      <c r="P47" s="122">
        <v>1404</v>
      </c>
      <c r="Q47" s="122">
        <v>520</v>
      </c>
      <c r="R47" s="122">
        <v>18828</v>
      </c>
      <c r="S47" s="122">
        <v>15690</v>
      </c>
      <c r="T47" s="122">
        <v>9758</v>
      </c>
      <c r="U47" s="122">
        <v>3614</v>
      </c>
      <c r="V47" s="122">
        <v>74377</v>
      </c>
      <c r="W47" s="122">
        <f t="shared" si="0"/>
        <v>74378</v>
      </c>
      <c r="X47" s="122">
        <f t="shared" si="1"/>
        <v>100079</v>
      </c>
      <c r="Y47" s="122"/>
      <c r="AA47" t="s">
        <v>48</v>
      </c>
      <c r="AB47" t="s">
        <v>406</v>
      </c>
      <c r="AC47" t="s">
        <v>566</v>
      </c>
      <c r="AD47" t="s">
        <v>406</v>
      </c>
      <c r="AE47" t="s">
        <v>137</v>
      </c>
      <c r="AF47">
        <v>157</v>
      </c>
      <c r="AG47" s="122">
        <v>17953</v>
      </c>
      <c r="AH47" s="122">
        <v>7122</v>
      </c>
      <c r="AI47" s="122">
        <v>-58225</v>
      </c>
      <c r="AJ47" s="122">
        <v>-52932</v>
      </c>
      <c r="AK47">
        <v>96</v>
      </c>
      <c r="AL47">
        <v>0</v>
      </c>
      <c r="AM47">
        <v>0</v>
      </c>
      <c r="AN47" s="122">
        <v>218741</v>
      </c>
      <c r="AO47" s="122">
        <v>81015</v>
      </c>
      <c r="AP47" s="122">
        <v>98918</v>
      </c>
      <c r="AQ47" s="122">
        <v>36636</v>
      </c>
      <c r="AR47" s="122">
        <v>555643</v>
      </c>
      <c r="AS47" s="122">
        <v>505130</v>
      </c>
      <c r="AT47">
        <v>0</v>
      </c>
      <c r="AU47">
        <v>0</v>
      </c>
      <c r="AV47" s="122">
        <v>569849</v>
      </c>
    </row>
    <row r="48" spans="2:48" ht="12.75" hidden="1" customHeight="1">
      <c r="B48" t="s">
        <v>362</v>
      </c>
      <c r="C48" t="s">
        <v>58</v>
      </c>
      <c r="D48" t="s">
        <v>428</v>
      </c>
      <c r="E48" s="122" t="s">
        <v>428</v>
      </c>
      <c r="F48" s="122">
        <v>1</v>
      </c>
      <c r="G48" s="122">
        <v>116</v>
      </c>
      <c r="H48" s="122">
        <v>270</v>
      </c>
      <c r="I48" s="122">
        <v>14312</v>
      </c>
      <c r="J48" s="122">
        <v>13011</v>
      </c>
      <c r="K48" s="122">
        <v>50</v>
      </c>
      <c r="L48" s="122">
        <v>6506</v>
      </c>
      <c r="M48" s="122">
        <v>2409</v>
      </c>
      <c r="N48" s="122">
        <v>2820</v>
      </c>
      <c r="O48" s="122">
        <v>1044</v>
      </c>
      <c r="P48" s="122">
        <v>0</v>
      </c>
      <c r="Q48" s="122">
        <v>0</v>
      </c>
      <c r="R48" s="122">
        <v>7578</v>
      </c>
      <c r="S48" s="122">
        <v>6889</v>
      </c>
      <c r="T48" s="122">
        <v>0</v>
      </c>
      <c r="U48" s="122">
        <v>0</v>
      </c>
      <c r="V48" s="122">
        <v>23354</v>
      </c>
      <c r="W48" s="122">
        <f t="shared" si="0"/>
        <v>23353</v>
      </c>
      <c r="X48" s="122">
        <f t="shared" si="1"/>
        <v>31216</v>
      </c>
      <c r="Y48" s="122"/>
      <c r="AA48" t="s">
        <v>48</v>
      </c>
      <c r="AB48" t="s">
        <v>406</v>
      </c>
      <c r="AC48" t="s">
        <v>566</v>
      </c>
      <c r="AD48" t="s">
        <v>406</v>
      </c>
      <c r="AE48" t="s">
        <v>566</v>
      </c>
      <c r="AF48">
        <v>179</v>
      </c>
      <c r="AG48" s="122">
        <v>18550</v>
      </c>
      <c r="AH48" s="122">
        <v>10485</v>
      </c>
      <c r="AI48" s="122">
        <v>99711</v>
      </c>
      <c r="AJ48" s="122">
        <v>90647</v>
      </c>
      <c r="AK48">
        <v>94</v>
      </c>
      <c r="AL48">
        <v>0</v>
      </c>
      <c r="AM48">
        <v>0</v>
      </c>
      <c r="AN48" s="122">
        <v>236256</v>
      </c>
      <c r="AO48" s="122">
        <v>87502</v>
      </c>
      <c r="AP48" s="122">
        <v>144491</v>
      </c>
      <c r="AQ48" s="122">
        <v>53515</v>
      </c>
      <c r="AR48" s="122">
        <v>593590</v>
      </c>
      <c r="AS48" s="122">
        <v>539627</v>
      </c>
      <c r="AT48">
        <v>0</v>
      </c>
      <c r="AU48">
        <v>0</v>
      </c>
      <c r="AV48" s="122">
        <v>771291</v>
      </c>
    </row>
    <row r="49" spans="2:48" ht="12.75" hidden="1" customHeight="1">
      <c r="B49" t="s">
        <v>362</v>
      </c>
      <c r="C49" t="s">
        <v>58</v>
      </c>
      <c r="D49" t="s">
        <v>426</v>
      </c>
      <c r="E49" t="s">
        <v>137</v>
      </c>
      <c r="F49">
        <v>1</v>
      </c>
      <c r="G49" s="122">
        <v>102</v>
      </c>
      <c r="H49" s="122">
        <v>226</v>
      </c>
      <c r="I49" s="122">
        <v>7038</v>
      </c>
      <c r="J49" s="122">
        <v>6398</v>
      </c>
      <c r="K49">
        <v>77</v>
      </c>
      <c r="L49" s="122">
        <v>1997</v>
      </c>
      <c r="M49" s="122">
        <v>1815</v>
      </c>
      <c r="N49" s="122">
        <v>1833</v>
      </c>
      <c r="O49" s="122">
        <v>679</v>
      </c>
      <c r="P49" s="122">
        <v>351</v>
      </c>
      <c r="Q49" s="122">
        <v>130</v>
      </c>
      <c r="R49" s="122">
        <v>11871</v>
      </c>
      <c r="S49" s="122">
        <v>4397</v>
      </c>
      <c r="T49" s="122">
        <v>0</v>
      </c>
      <c r="U49" s="122">
        <v>0</v>
      </c>
      <c r="V49" s="122">
        <v>13419</v>
      </c>
      <c r="W49" s="122">
        <f t="shared" si="0"/>
        <v>13419</v>
      </c>
      <c r="X49" s="122">
        <f t="shared" si="1"/>
        <v>23090</v>
      </c>
      <c r="Y49" s="122"/>
      <c r="AA49" t="s">
        <v>48</v>
      </c>
      <c r="AB49" t="s">
        <v>406</v>
      </c>
      <c r="AC49" t="s">
        <v>566</v>
      </c>
      <c r="AD49" t="s">
        <v>407</v>
      </c>
      <c r="AE49" t="s">
        <v>566</v>
      </c>
      <c r="AF49">
        <v>1</v>
      </c>
      <c r="AG49">
        <v>77</v>
      </c>
      <c r="AH49">
        <v>59</v>
      </c>
      <c r="AI49">
        <v>-24</v>
      </c>
      <c r="AJ49">
        <v>-22</v>
      </c>
      <c r="AK49">
        <v>91</v>
      </c>
      <c r="AL49">
        <v>0</v>
      </c>
      <c r="AM49">
        <v>0</v>
      </c>
      <c r="AN49">
        <v>938</v>
      </c>
      <c r="AO49">
        <v>347</v>
      </c>
      <c r="AP49">
        <v>473</v>
      </c>
      <c r="AQ49">
        <v>175</v>
      </c>
      <c r="AR49" s="122">
        <v>3190</v>
      </c>
      <c r="AS49" s="122">
        <v>2900</v>
      </c>
      <c r="AT49">
        <v>0</v>
      </c>
      <c r="AU49">
        <v>0</v>
      </c>
      <c r="AV49" s="122">
        <v>3401</v>
      </c>
    </row>
    <row r="50" spans="2:48" ht="12.75" hidden="1" customHeight="1">
      <c r="B50" t="s">
        <v>362</v>
      </c>
      <c r="C50" t="s">
        <v>58</v>
      </c>
      <c r="D50" t="s">
        <v>426</v>
      </c>
      <c r="E50" t="s">
        <v>426</v>
      </c>
      <c r="F50">
        <v>83</v>
      </c>
      <c r="G50" s="122">
        <v>6970</v>
      </c>
      <c r="H50" s="122">
        <v>22064</v>
      </c>
      <c r="I50" s="122">
        <v>941381</v>
      </c>
      <c r="J50" s="122">
        <v>855801</v>
      </c>
      <c r="K50" s="122">
        <v>61</v>
      </c>
      <c r="L50" s="122">
        <v>172574</v>
      </c>
      <c r="M50" s="122">
        <v>155060</v>
      </c>
      <c r="N50" s="122">
        <v>114721</v>
      </c>
      <c r="O50" s="122">
        <v>42489</v>
      </c>
      <c r="P50" s="122">
        <v>34182</v>
      </c>
      <c r="Q50" s="122">
        <v>12660</v>
      </c>
      <c r="R50" s="122">
        <v>406804</v>
      </c>
      <c r="S50" s="122">
        <v>369822</v>
      </c>
      <c r="T50" s="122">
        <v>186828</v>
      </c>
      <c r="U50" s="122">
        <v>69196</v>
      </c>
      <c r="V50" s="122">
        <v>1505028</v>
      </c>
      <c r="W50" s="122">
        <f t="shared" si="0"/>
        <v>1505028</v>
      </c>
      <c r="X50" s="122">
        <f t="shared" si="1"/>
        <v>1856490</v>
      </c>
      <c r="Y50" s="122"/>
      <c r="AA50" t="s">
        <v>48</v>
      </c>
      <c r="AB50" t="s">
        <v>406</v>
      </c>
      <c r="AC50" t="s">
        <v>481</v>
      </c>
      <c r="AD50" t="s">
        <v>406</v>
      </c>
      <c r="AE50" t="s">
        <v>566</v>
      </c>
      <c r="AF50">
        <v>11</v>
      </c>
      <c r="AG50" s="122">
        <v>1300</v>
      </c>
      <c r="AH50">
        <v>658</v>
      </c>
      <c r="AI50" s="122">
        <v>25064</v>
      </c>
      <c r="AJ50" s="122">
        <v>22786</v>
      </c>
      <c r="AK50">
        <v>96</v>
      </c>
      <c r="AL50" s="122">
        <v>3816</v>
      </c>
      <c r="AM50" s="122">
        <v>3469</v>
      </c>
      <c r="AN50" s="122">
        <v>15839</v>
      </c>
      <c r="AO50" s="122">
        <v>5866</v>
      </c>
      <c r="AP50" s="122">
        <v>6831</v>
      </c>
      <c r="AQ50" s="122">
        <v>2530</v>
      </c>
      <c r="AR50" s="122">
        <v>26234</v>
      </c>
      <c r="AS50" s="122">
        <v>23849</v>
      </c>
      <c r="AT50">
        <v>0</v>
      </c>
      <c r="AU50">
        <v>0</v>
      </c>
      <c r="AV50" s="122">
        <v>58500</v>
      </c>
    </row>
    <row r="51" spans="2:48" ht="12.75" hidden="1" customHeight="1">
      <c r="B51" t="s">
        <v>362</v>
      </c>
      <c r="C51" t="s">
        <v>60</v>
      </c>
      <c r="D51" t="s">
        <v>137</v>
      </c>
      <c r="E51" t="s">
        <v>137</v>
      </c>
      <c r="F51">
        <v>22</v>
      </c>
      <c r="G51" s="122">
        <v>1559</v>
      </c>
      <c r="H51" s="122">
        <v>7718</v>
      </c>
      <c r="I51" s="122">
        <v>329676</v>
      </c>
      <c r="J51" s="122">
        <v>122102</v>
      </c>
      <c r="K51">
        <v>100</v>
      </c>
      <c r="L51" s="122">
        <v>47954</v>
      </c>
      <c r="M51" s="122">
        <v>39811</v>
      </c>
      <c r="N51" s="122">
        <v>28163</v>
      </c>
      <c r="O51" s="122">
        <v>10431</v>
      </c>
      <c r="P51" s="122">
        <v>0</v>
      </c>
      <c r="Q51" s="122">
        <v>0</v>
      </c>
      <c r="R51" s="122">
        <v>151842</v>
      </c>
      <c r="S51" s="122">
        <v>56238</v>
      </c>
      <c r="T51" s="122">
        <v>0</v>
      </c>
      <c r="U51" s="122">
        <v>0</v>
      </c>
      <c r="V51" s="122">
        <v>228581</v>
      </c>
      <c r="W51" s="122">
        <f t="shared" si="0"/>
        <v>228582</v>
      </c>
      <c r="X51" s="122">
        <f t="shared" si="1"/>
        <v>557635</v>
      </c>
      <c r="Y51" s="122"/>
      <c r="AA51" t="s">
        <v>48</v>
      </c>
      <c r="AB51" t="s">
        <v>406</v>
      </c>
      <c r="AC51" t="s">
        <v>433</v>
      </c>
      <c r="AD51" t="s">
        <v>406</v>
      </c>
      <c r="AE51" t="s">
        <v>137</v>
      </c>
      <c r="AF51">
        <v>48</v>
      </c>
      <c r="AG51" s="122">
        <v>4436</v>
      </c>
      <c r="AH51" s="122">
        <v>2848</v>
      </c>
      <c r="AI51" s="122">
        <v>71724</v>
      </c>
      <c r="AJ51" s="122">
        <v>65204</v>
      </c>
      <c r="AK51">
        <v>95</v>
      </c>
      <c r="AL51" s="122">
        <v>9500</v>
      </c>
      <c r="AM51" s="122">
        <v>8637</v>
      </c>
      <c r="AN51" s="122">
        <v>54043</v>
      </c>
      <c r="AO51" s="122">
        <v>20016</v>
      </c>
      <c r="AP51" s="122">
        <v>30809</v>
      </c>
      <c r="AQ51" s="122">
        <v>11411</v>
      </c>
      <c r="AR51" s="122">
        <v>96436</v>
      </c>
      <c r="AS51" s="122">
        <v>87669</v>
      </c>
      <c r="AT51">
        <v>0</v>
      </c>
      <c r="AU51">
        <v>0</v>
      </c>
      <c r="AV51" s="122">
        <v>192937</v>
      </c>
    </row>
    <row r="52" spans="2:48" ht="12.75" hidden="1" customHeight="1">
      <c r="B52" t="s">
        <v>362</v>
      </c>
      <c r="C52" t="s">
        <v>60</v>
      </c>
      <c r="D52" t="s">
        <v>137</v>
      </c>
      <c r="E52" t="s">
        <v>426</v>
      </c>
      <c r="F52" s="122">
        <v>1</v>
      </c>
      <c r="G52" s="122">
        <v>48</v>
      </c>
      <c r="H52" s="122">
        <v>322</v>
      </c>
      <c r="I52" s="122">
        <v>6446</v>
      </c>
      <c r="J52" s="122">
        <v>2387</v>
      </c>
      <c r="K52" s="122">
        <v>100</v>
      </c>
      <c r="L52" s="122">
        <v>1459</v>
      </c>
      <c r="M52" s="122">
        <v>1326</v>
      </c>
      <c r="N52" s="122">
        <v>581</v>
      </c>
      <c r="O52" s="122">
        <v>215</v>
      </c>
      <c r="P52" s="122">
        <v>0</v>
      </c>
      <c r="Q52" s="122">
        <v>0</v>
      </c>
      <c r="R52" s="122">
        <v>5147</v>
      </c>
      <c r="S52" s="122">
        <v>4679</v>
      </c>
      <c r="T52" s="122">
        <v>1713</v>
      </c>
      <c r="U52" s="122">
        <v>634</v>
      </c>
      <c r="V52" s="122">
        <v>9243</v>
      </c>
      <c r="W52" s="122">
        <f t="shared" si="0"/>
        <v>9241</v>
      </c>
      <c r="X52" s="122">
        <f t="shared" si="1"/>
        <v>15346</v>
      </c>
      <c r="Y52" s="122"/>
      <c r="AA52" t="s">
        <v>48</v>
      </c>
      <c r="AB52" t="s">
        <v>406</v>
      </c>
      <c r="AC52" t="s">
        <v>433</v>
      </c>
      <c r="AD52" t="s">
        <v>406</v>
      </c>
      <c r="AE52" t="s">
        <v>566</v>
      </c>
      <c r="AF52">
        <v>158</v>
      </c>
      <c r="AG52" s="122">
        <v>17685</v>
      </c>
      <c r="AH52" s="122">
        <v>9617</v>
      </c>
      <c r="AI52" s="122">
        <v>264130</v>
      </c>
      <c r="AJ52" s="122">
        <v>240118</v>
      </c>
      <c r="AK52">
        <v>95</v>
      </c>
      <c r="AL52" s="122">
        <v>36686</v>
      </c>
      <c r="AM52" s="122">
        <v>33351</v>
      </c>
      <c r="AN52" s="122">
        <v>223186</v>
      </c>
      <c r="AO52" s="122">
        <v>82661</v>
      </c>
      <c r="AP52" s="122">
        <v>103331</v>
      </c>
      <c r="AQ52" s="122">
        <v>38271</v>
      </c>
      <c r="AR52" s="122">
        <v>446611</v>
      </c>
      <c r="AS52" s="122">
        <v>406010</v>
      </c>
      <c r="AT52">
        <v>0</v>
      </c>
      <c r="AU52">
        <v>0</v>
      </c>
      <c r="AV52" s="122">
        <v>800411</v>
      </c>
    </row>
    <row r="53" spans="2:48" ht="12.75" hidden="1" customHeight="1">
      <c r="B53" t="s">
        <v>362</v>
      </c>
      <c r="C53" t="s">
        <v>60</v>
      </c>
      <c r="D53" t="s">
        <v>406</v>
      </c>
      <c r="E53" t="s">
        <v>137</v>
      </c>
      <c r="F53">
        <v>1</v>
      </c>
      <c r="G53" s="122">
        <v>82</v>
      </c>
      <c r="H53" s="122">
        <v>366</v>
      </c>
      <c r="I53" s="122">
        <v>17749</v>
      </c>
      <c r="J53" s="122">
        <v>16136</v>
      </c>
      <c r="K53" s="122">
        <v>65</v>
      </c>
      <c r="L53" s="122">
        <v>4432</v>
      </c>
      <c r="M53" s="122">
        <v>3693</v>
      </c>
      <c r="N53" s="122">
        <v>2003</v>
      </c>
      <c r="O53" s="122">
        <v>742</v>
      </c>
      <c r="P53" s="122">
        <v>621</v>
      </c>
      <c r="Q53" s="122">
        <v>230</v>
      </c>
      <c r="R53" s="122">
        <v>5302</v>
      </c>
      <c r="S53" s="122">
        <v>1964</v>
      </c>
      <c r="T53" s="122">
        <v>0</v>
      </c>
      <c r="U53" s="122">
        <v>0</v>
      </c>
      <c r="V53" s="122">
        <v>22765</v>
      </c>
      <c r="W53" s="122">
        <f t="shared" si="0"/>
        <v>22765</v>
      </c>
      <c r="X53" s="122">
        <f t="shared" si="1"/>
        <v>30107</v>
      </c>
      <c r="Y53" s="122"/>
      <c r="AA53" t="s">
        <v>48</v>
      </c>
      <c r="AB53" t="s">
        <v>406</v>
      </c>
      <c r="AC53" t="s">
        <v>429</v>
      </c>
      <c r="AD53" t="s">
        <v>406</v>
      </c>
      <c r="AE53" t="s">
        <v>566</v>
      </c>
      <c r="AF53">
        <v>31</v>
      </c>
      <c r="AG53" s="122">
        <v>3531</v>
      </c>
      <c r="AH53" s="122">
        <v>1878</v>
      </c>
      <c r="AI53" s="122">
        <v>71008</v>
      </c>
      <c r="AJ53" s="122">
        <v>64553</v>
      </c>
      <c r="AK53">
        <v>95</v>
      </c>
      <c r="AL53" s="122">
        <v>11279</v>
      </c>
      <c r="AM53" s="122">
        <v>10254</v>
      </c>
      <c r="AN53" s="122">
        <v>43026</v>
      </c>
      <c r="AO53" s="122">
        <v>15935</v>
      </c>
      <c r="AP53" s="122">
        <v>19454</v>
      </c>
      <c r="AQ53" s="122">
        <v>7205</v>
      </c>
      <c r="AR53" s="122">
        <v>69030</v>
      </c>
      <c r="AS53" s="122">
        <v>62755</v>
      </c>
      <c r="AT53">
        <v>0</v>
      </c>
      <c r="AU53">
        <v>0</v>
      </c>
      <c r="AV53" s="122">
        <v>160702</v>
      </c>
    </row>
    <row r="54" spans="2:48" ht="12.75" customHeight="1">
      <c r="B54" t="s">
        <v>362</v>
      </c>
      <c r="C54" t="s">
        <v>60</v>
      </c>
      <c r="D54" t="s">
        <v>406</v>
      </c>
      <c r="E54" t="s">
        <v>406</v>
      </c>
      <c r="F54">
        <v>232</v>
      </c>
      <c r="G54" s="122">
        <v>22251</v>
      </c>
      <c r="H54" s="122">
        <v>78380</v>
      </c>
      <c r="I54" s="122">
        <v>4555175</v>
      </c>
      <c r="J54" s="122">
        <v>4141068</v>
      </c>
      <c r="K54">
        <v>78</v>
      </c>
      <c r="L54" s="122">
        <v>973597</v>
      </c>
      <c r="M54" s="122">
        <v>838120</v>
      </c>
      <c r="N54" s="122">
        <v>439587</v>
      </c>
      <c r="O54" s="122">
        <v>162810</v>
      </c>
      <c r="P54" s="122">
        <v>146340</v>
      </c>
      <c r="Q54" s="122">
        <v>54200</v>
      </c>
      <c r="R54" s="122">
        <v>1139160</v>
      </c>
      <c r="S54" s="122">
        <v>1035600</v>
      </c>
      <c r="T54" s="122">
        <v>338286</v>
      </c>
      <c r="U54" s="122">
        <v>125291</v>
      </c>
      <c r="V54" s="122">
        <v>6357089</v>
      </c>
      <c r="W54" s="122">
        <f t="shared" si="0"/>
        <v>6357089</v>
      </c>
      <c r="X54" s="122">
        <f t="shared" si="1"/>
        <v>7592145</v>
      </c>
      <c r="Y54" s="122"/>
      <c r="AA54" t="s">
        <v>48</v>
      </c>
      <c r="AB54" t="s">
        <v>407</v>
      </c>
      <c r="AC54" t="s">
        <v>578</v>
      </c>
      <c r="AD54" t="s">
        <v>407</v>
      </c>
      <c r="AE54" t="s">
        <v>137</v>
      </c>
      <c r="AF54">
        <v>7</v>
      </c>
      <c r="AG54">
        <v>583</v>
      </c>
      <c r="AH54">
        <v>496</v>
      </c>
      <c r="AI54" s="122">
        <v>19289</v>
      </c>
      <c r="AJ54" s="122">
        <v>17536</v>
      </c>
      <c r="AK54">
        <v>90</v>
      </c>
      <c r="AL54" s="122">
        <v>3290</v>
      </c>
      <c r="AM54" s="122">
        <v>2991</v>
      </c>
      <c r="AN54" s="122">
        <v>7103</v>
      </c>
      <c r="AO54" s="122">
        <v>2631</v>
      </c>
      <c r="AP54" s="122">
        <v>8012</v>
      </c>
      <c r="AQ54" s="122">
        <v>2967</v>
      </c>
      <c r="AR54" s="122">
        <v>3570</v>
      </c>
      <c r="AS54" s="122">
        <v>3245</v>
      </c>
      <c r="AT54">
        <v>0</v>
      </c>
      <c r="AU54">
        <v>0</v>
      </c>
      <c r="AV54" s="122">
        <v>29370</v>
      </c>
    </row>
    <row r="55" spans="2:48" ht="12.75" customHeight="1">
      <c r="B55" t="s">
        <v>362</v>
      </c>
      <c r="C55" t="s">
        <v>60</v>
      </c>
      <c r="D55" t="s">
        <v>427</v>
      </c>
      <c r="E55" t="s">
        <v>427</v>
      </c>
      <c r="F55" s="122">
        <v>4</v>
      </c>
      <c r="G55" s="122">
        <v>318</v>
      </c>
      <c r="H55" s="122">
        <v>1298</v>
      </c>
      <c r="I55" s="122">
        <v>57534</v>
      </c>
      <c r="J55" s="122">
        <v>52303</v>
      </c>
      <c r="K55">
        <v>56</v>
      </c>
      <c r="L55" s="122">
        <v>8702</v>
      </c>
      <c r="M55" s="122">
        <v>7911</v>
      </c>
      <c r="N55" s="122">
        <v>6748</v>
      </c>
      <c r="O55" s="122">
        <v>2499</v>
      </c>
      <c r="P55" s="122">
        <v>1053</v>
      </c>
      <c r="Q55" s="122">
        <v>390</v>
      </c>
      <c r="R55" s="122">
        <v>22596</v>
      </c>
      <c r="S55" s="122">
        <v>20542</v>
      </c>
      <c r="T55" s="122">
        <v>6290</v>
      </c>
      <c r="U55" s="122">
        <v>2330</v>
      </c>
      <c r="V55" s="122">
        <v>85975</v>
      </c>
      <c r="W55" s="122">
        <f t="shared" si="0"/>
        <v>85975</v>
      </c>
      <c r="X55" s="122">
        <f t="shared" si="1"/>
        <v>102923</v>
      </c>
      <c r="Y55" s="122"/>
      <c r="AA55" t="s">
        <v>48</v>
      </c>
      <c r="AB55" t="s">
        <v>407</v>
      </c>
      <c r="AC55" t="s">
        <v>578</v>
      </c>
      <c r="AD55" t="s">
        <v>407</v>
      </c>
      <c r="AE55" t="s">
        <v>566</v>
      </c>
      <c r="AF55">
        <v>1</v>
      </c>
      <c r="AG55">
        <v>128</v>
      </c>
      <c r="AH55">
        <v>59</v>
      </c>
      <c r="AI55" s="122">
        <v>1103</v>
      </c>
      <c r="AJ55" s="122">
        <v>1003</v>
      </c>
      <c r="AK55">
        <v>90</v>
      </c>
      <c r="AL55">
        <v>156</v>
      </c>
      <c r="AM55">
        <v>142</v>
      </c>
      <c r="AN55" s="122">
        <v>1650</v>
      </c>
      <c r="AO55">
        <v>611</v>
      </c>
      <c r="AP55">
        <v>473</v>
      </c>
      <c r="AQ55">
        <v>175</v>
      </c>
      <c r="AR55" s="122">
        <v>4192</v>
      </c>
      <c r="AS55" s="122">
        <v>3811</v>
      </c>
      <c r="AT55">
        <v>0</v>
      </c>
      <c r="AU55">
        <v>0</v>
      </c>
      <c r="AV55" s="122">
        <v>5742</v>
      </c>
    </row>
    <row r="56" spans="2:48" ht="12.75" hidden="1" customHeight="1">
      <c r="B56" t="s">
        <v>362</v>
      </c>
      <c r="C56" t="s">
        <v>60</v>
      </c>
      <c r="D56" t="s">
        <v>407</v>
      </c>
      <c r="E56" t="s">
        <v>137</v>
      </c>
      <c r="F56" s="122">
        <v>1</v>
      </c>
      <c r="G56" s="122">
        <v>146</v>
      </c>
      <c r="H56" s="122">
        <v>325</v>
      </c>
      <c r="I56" s="122">
        <v>36274</v>
      </c>
      <c r="J56" s="122">
        <v>32976</v>
      </c>
      <c r="K56" s="122">
        <v>90</v>
      </c>
      <c r="L56" s="122">
        <v>0</v>
      </c>
      <c r="M56" s="122">
        <v>0</v>
      </c>
      <c r="N56" s="122">
        <v>3065</v>
      </c>
      <c r="O56" s="122">
        <v>1135</v>
      </c>
      <c r="P56" s="122">
        <v>473</v>
      </c>
      <c r="Q56" s="122">
        <v>175</v>
      </c>
      <c r="R56" s="122">
        <v>7677</v>
      </c>
      <c r="S56" s="122">
        <v>2843</v>
      </c>
      <c r="T56" s="122">
        <v>0</v>
      </c>
      <c r="U56" s="122">
        <v>0</v>
      </c>
      <c r="V56" s="122">
        <v>37129</v>
      </c>
      <c r="W56" s="122">
        <f t="shared" si="0"/>
        <v>37129</v>
      </c>
      <c r="X56" s="122">
        <f t="shared" si="1"/>
        <v>47489</v>
      </c>
      <c r="Y56" s="122"/>
      <c r="AA56" t="s">
        <v>48</v>
      </c>
      <c r="AB56" t="s">
        <v>407</v>
      </c>
      <c r="AC56" t="s">
        <v>405</v>
      </c>
      <c r="AD56" t="s">
        <v>407</v>
      </c>
      <c r="AE56" t="s">
        <v>566</v>
      </c>
      <c r="AF56">
        <v>1</v>
      </c>
      <c r="AG56">
        <v>135</v>
      </c>
      <c r="AH56">
        <v>52</v>
      </c>
      <c r="AI56">
        <v>63</v>
      </c>
      <c r="AJ56">
        <v>57</v>
      </c>
      <c r="AK56">
        <v>90</v>
      </c>
      <c r="AL56">
        <v>0</v>
      </c>
      <c r="AM56">
        <v>0</v>
      </c>
      <c r="AN56" s="122">
        <v>1642</v>
      </c>
      <c r="AO56">
        <v>608</v>
      </c>
      <c r="AP56" s="122">
        <v>1676</v>
      </c>
      <c r="AQ56">
        <v>621</v>
      </c>
      <c r="AR56" s="122">
        <v>3651</v>
      </c>
      <c r="AS56" s="122">
        <v>3319</v>
      </c>
      <c r="AT56">
        <v>0</v>
      </c>
      <c r="AU56">
        <v>0</v>
      </c>
      <c r="AV56" s="122">
        <v>4604</v>
      </c>
    </row>
    <row r="57" spans="2:48" ht="12.75" hidden="1" customHeight="1">
      <c r="B57" t="s">
        <v>362</v>
      </c>
      <c r="C57" t="s">
        <v>60</v>
      </c>
      <c r="D57" t="s">
        <v>407</v>
      </c>
      <c r="E57" t="s">
        <v>407</v>
      </c>
      <c r="F57">
        <v>150</v>
      </c>
      <c r="G57" s="122">
        <v>13879</v>
      </c>
      <c r="H57" s="122">
        <v>49895</v>
      </c>
      <c r="I57" s="122">
        <v>2644015</v>
      </c>
      <c r="J57" s="122">
        <v>2403650</v>
      </c>
      <c r="K57" s="122">
        <v>78</v>
      </c>
      <c r="L57" s="122">
        <v>690835</v>
      </c>
      <c r="M57" s="122">
        <v>602802</v>
      </c>
      <c r="N57" s="122">
        <v>282683</v>
      </c>
      <c r="O57" s="122">
        <v>104698</v>
      </c>
      <c r="P57" s="122">
        <v>70632</v>
      </c>
      <c r="Q57" s="122">
        <v>26160</v>
      </c>
      <c r="R57" s="122">
        <v>734487</v>
      </c>
      <c r="S57" s="122">
        <v>667715</v>
      </c>
      <c r="T57" s="122">
        <v>217132</v>
      </c>
      <c r="U57" s="122">
        <v>80419</v>
      </c>
      <c r="V57" s="122">
        <v>3885444</v>
      </c>
      <c r="W57" s="122">
        <f t="shared" si="0"/>
        <v>3885444</v>
      </c>
      <c r="X57" s="122">
        <f t="shared" si="1"/>
        <v>4639784</v>
      </c>
      <c r="Y57" s="122"/>
      <c r="AA57" t="s">
        <v>48</v>
      </c>
      <c r="AB57" t="s">
        <v>407</v>
      </c>
      <c r="AC57" t="s">
        <v>137</v>
      </c>
      <c r="AD57" t="s">
        <v>407</v>
      </c>
      <c r="AE57" t="s">
        <v>137</v>
      </c>
      <c r="AF57">
        <v>48</v>
      </c>
      <c r="AG57" s="122">
        <v>6129</v>
      </c>
      <c r="AH57" s="122">
        <v>2870</v>
      </c>
      <c r="AI57" s="122">
        <v>90173</v>
      </c>
      <c r="AJ57" s="122">
        <v>81976</v>
      </c>
      <c r="AK57">
        <v>90</v>
      </c>
      <c r="AL57" s="122">
        <v>22333</v>
      </c>
      <c r="AM57" s="122">
        <v>8272</v>
      </c>
      <c r="AN57" s="122">
        <v>74674</v>
      </c>
      <c r="AO57" s="122">
        <v>27657</v>
      </c>
      <c r="AP57" s="122">
        <v>22680</v>
      </c>
      <c r="AQ57" s="122">
        <v>8400</v>
      </c>
      <c r="AR57" s="122">
        <v>162043</v>
      </c>
      <c r="AS57" s="122">
        <v>147312</v>
      </c>
      <c r="AT57">
        <v>0</v>
      </c>
      <c r="AU57">
        <v>0</v>
      </c>
      <c r="AV57" s="122">
        <v>273616</v>
      </c>
    </row>
    <row r="58" spans="2:48" ht="12.75" hidden="1" customHeight="1">
      <c r="B58" t="s">
        <v>362</v>
      </c>
      <c r="C58" t="s">
        <v>60</v>
      </c>
      <c r="D58" t="s">
        <v>556</v>
      </c>
      <c r="E58" t="s">
        <v>137</v>
      </c>
      <c r="F58">
        <v>1</v>
      </c>
      <c r="G58" s="122">
        <v>88</v>
      </c>
      <c r="H58" s="122">
        <v>371</v>
      </c>
      <c r="I58" s="122">
        <v>20142</v>
      </c>
      <c r="J58" s="122">
        <v>16785</v>
      </c>
      <c r="K58" s="122">
        <v>79</v>
      </c>
      <c r="L58" s="122">
        <v>5156</v>
      </c>
      <c r="M58" s="122">
        <v>4687</v>
      </c>
      <c r="N58" s="122">
        <v>2140</v>
      </c>
      <c r="O58" s="122">
        <v>793</v>
      </c>
      <c r="P58" s="122">
        <v>473</v>
      </c>
      <c r="Q58" s="122">
        <v>175</v>
      </c>
      <c r="R58" s="122">
        <v>4699</v>
      </c>
      <c r="S58" s="122">
        <v>1740</v>
      </c>
      <c r="T58">
        <v>0</v>
      </c>
      <c r="U58" s="122">
        <v>0</v>
      </c>
      <c r="V58" s="122">
        <v>24180</v>
      </c>
      <c r="W58" s="122">
        <f t="shared" si="0"/>
        <v>24180</v>
      </c>
      <c r="X58" s="122">
        <f t="shared" si="1"/>
        <v>32610</v>
      </c>
      <c r="Y58" s="122"/>
      <c r="AA58" t="s">
        <v>48</v>
      </c>
      <c r="AB58" t="s">
        <v>407</v>
      </c>
      <c r="AC58" t="s">
        <v>137</v>
      </c>
      <c r="AD58" t="s">
        <v>407</v>
      </c>
      <c r="AE58" t="s">
        <v>566</v>
      </c>
      <c r="AF58">
        <v>848</v>
      </c>
      <c r="AG58" s="122">
        <v>112415</v>
      </c>
      <c r="AH58" s="122">
        <v>45264</v>
      </c>
      <c r="AI58" s="122">
        <v>458681</v>
      </c>
      <c r="AJ58" s="122">
        <v>416982</v>
      </c>
      <c r="AK58">
        <v>91</v>
      </c>
      <c r="AL58" s="122">
        <v>123801</v>
      </c>
      <c r="AM58" s="122">
        <v>45852</v>
      </c>
      <c r="AN58" s="122">
        <v>1398249</v>
      </c>
      <c r="AO58" s="122">
        <v>517870</v>
      </c>
      <c r="AP58" s="122">
        <v>1166631</v>
      </c>
      <c r="AQ58" s="122">
        <v>432086</v>
      </c>
      <c r="AR58" s="122">
        <v>2784566</v>
      </c>
      <c r="AS58" s="122">
        <v>2531424</v>
      </c>
      <c r="AT58">
        <v>0</v>
      </c>
      <c r="AU58">
        <v>0</v>
      </c>
      <c r="AV58" s="122">
        <v>3944214</v>
      </c>
    </row>
    <row r="59" spans="2:48" ht="12.75" hidden="1" customHeight="1">
      <c r="B59" t="s">
        <v>362</v>
      </c>
      <c r="C59" t="s">
        <v>60</v>
      </c>
      <c r="D59" t="s">
        <v>556</v>
      </c>
      <c r="E59" t="s">
        <v>556</v>
      </c>
      <c r="F59">
        <v>14</v>
      </c>
      <c r="G59" s="122">
        <v>1130</v>
      </c>
      <c r="H59" s="122">
        <v>4720</v>
      </c>
      <c r="I59" s="122">
        <v>214350</v>
      </c>
      <c r="J59" s="122">
        <v>178625</v>
      </c>
      <c r="K59">
        <v>58</v>
      </c>
      <c r="L59" s="122">
        <v>32361</v>
      </c>
      <c r="M59" s="122">
        <v>25796</v>
      </c>
      <c r="N59" s="122">
        <v>23079</v>
      </c>
      <c r="O59" s="122">
        <v>8548</v>
      </c>
      <c r="P59" s="122">
        <v>4563</v>
      </c>
      <c r="Q59" s="122">
        <v>1690</v>
      </c>
      <c r="R59" s="122">
        <v>78605</v>
      </c>
      <c r="S59" s="122">
        <v>65504</v>
      </c>
      <c r="T59" s="122">
        <v>26538</v>
      </c>
      <c r="U59" s="122">
        <v>9829</v>
      </c>
      <c r="V59" s="122">
        <v>289992</v>
      </c>
      <c r="W59" s="122">
        <f t="shared" si="0"/>
        <v>289992</v>
      </c>
      <c r="X59" s="122">
        <f t="shared" si="1"/>
        <v>379496</v>
      </c>
      <c r="Y59" s="122"/>
      <c r="AA59" t="s">
        <v>48</v>
      </c>
      <c r="AB59" t="s">
        <v>407</v>
      </c>
      <c r="AC59" t="s">
        <v>427</v>
      </c>
      <c r="AD59" t="s">
        <v>407</v>
      </c>
      <c r="AE59" t="s">
        <v>566</v>
      </c>
      <c r="AF59">
        <v>16</v>
      </c>
      <c r="AG59" s="122">
        <v>1866</v>
      </c>
      <c r="AH59">
        <v>872</v>
      </c>
      <c r="AI59" s="122">
        <v>2604</v>
      </c>
      <c r="AJ59" s="122">
        <v>2368</v>
      </c>
      <c r="AK59">
        <v>91</v>
      </c>
      <c r="AL59">
        <v>850</v>
      </c>
      <c r="AM59">
        <v>773</v>
      </c>
      <c r="AN59" s="122">
        <v>23170</v>
      </c>
      <c r="AO59" s="122">
        <v>8581</v>
      </c>
      <c r="AP59" s="122">
        <v>7560</v>
      </c>
      <c r="AQ59" s="122">
        <v>2800</v>
      </c>
      <c r="AR59" s="122">
        <v>65221</v>
      </c>
      <c r="AS59" s="122">
        <v>59292</v>
      </c>
      <c r="AT59">
        <v>0</v>
      </c>
      <c r="AU59">
        <v>0</v>
      </c>
      <c r="AV59" s="122">
        <v>73813</v>
      </c>
    </row>
    <row r="60" spans="2:48" ht="12.75" hidden="1" customHeight="1">
      <c r="B60" t="s">
        <v>362</v>
      </c>
      <c r="C60" t="s">
        <v>60</v>
      </c>
      <c r="D60" t="s">
        <v>426</v>
      </c>
      <c r="E60" t="s">
        <v>137</v>
      </c>
      <c r="F60">
        <v>1</v>
      </c>
      <c r="G60" s="122">
        <v>35</v>
      </c>
      <c r="H60" s="122">
        <v>362</v>
      </c>
      <c r="I60" s="122">
        <v>4595</v>
      </c>
      <c r="J60" s="122">
        <v>4177</v>
      </c>
      <c r="K60" s="122">
        <v>74</v>
      </c>
      <c r="L60" s="122">
        <v>932</v>
      </c>
      <c r="M60" s="122">
        <v>345</v>
      </c>
      <c r="N60" s="122">
        <v>430</v>
      </c>
      <c r="O60" s="122">
        <v>159</v>
      </c>
      <c r="P60" s="122">
        <v>0</v>
      </c>
      <c r="Q60" s="122">
        <v>0</v>
      </c>
      <c r="R60" s="122">
        <v>6793</v>
      </c>
      <c r="S60" s="122">
        <v>2516</v>
      </c>
      <c r="T60" s="122">
        <v>0</v>
      </c>
      <c r="U60" s="122">
        <v>0</v>
      </c>
      <c r="V60" s="122">
        <v>7197</v>
      </c>
      <c r="W60" s="122">
        <f t="shared" si="0"/>
        <v>7197</v>
      </c>
      <c r="X60" s="122">
        <f t="shared" si="1"/>
        <v>12750</v>
      </c>
      <c r="Y60" s="122"/>
      <c r="AA60" t="s">
        <v>48</v>
      </c>
      <c r="AB60" t="s">
        <v>407</v>
      </c>
      <c r="AC60" t="s">
        <v>407</v>
      </c>
      <c r="AD60" t="s">
        <v>578</v>
      </c>
      <c r="AE60" t="s">
        <v>566</v>
      </c>
      <c r="AF60">
        <v>1</v>
      </c>
      <c r="AG60">
        <v>140</v>
      </c>
      <c r="AH60">
        <v>69</v>
      </c>
      <c r="AI60" s="122">
        <v>4081</v>
      </c>
      <c r="AJ60" s="122">
        <v>3710</v>
      </c>
      <c r="AK60">
        <v>90</v>
      </c>
      <c r="AL60">
        <v>532</v>
      </c>
      <c r="AM60">
        <v>484</v>
      </c>
      <c r="AN60" s="122">
        <v>1706</v>
      </c>
      <c r="AO60">
        <v>632</v>
      </c>
      <c r="AP60">
        <v>473</v>
      </c>
      <c r="AQ60">
        <v>175</v>
      </c>
      <c r="AR60" s="122">
        <v>2799</v>
      </c>
      <c r="AS60" s="122">
        <v>2544</v>
      </c>
      <c r="AT60">
        <v>0</v>
      </c>
      <c r="AU60">
        <v>0</v>
      </c>
      <c r="AV60" s="122">
        <v>7545</v>
      </c>
    </row>
    <row r="61" spans="2:48" ht="12.75" hidden="1" customHeight="1">
      <c r="B61" t="s">
        <v>362</v>
      </c>
      <c r="C61" t="s">
        <v>60</v>
      </c>
      <c r="D61" t="s">
        <v>426</v>
      </c>
      <c r="E61" t="s">
        <v>426</v>
      </c>
      <c r="F61" s="122">
        <v>83</v>
      </c>
      <c r="G61" s="122">
        <v>6538</v>
      </c>
      <c r="H61" s="122">
        <v>28634</v>
      </c>
      <c r="I61" s="122">
        <v>1293395</v>
      </c>
      <c r="J61" s="122">
        <v>1175814</v>
      </c>
      <c r="K61" s="122">
        <v>51</v>
      </c>
      <c r="L61" s="122">
        <v>167037</v>
      </c>
      <c r="M61" s="122">
        <v>149045</v>
      </c>
      <c r="N61" s="122">
        <v>117182</v>
      </c>
      <c r="O61" s="122">
        <v>43401</v>
      </c>
      <c r="P61" s="122">
        <v>28701</v>
      </c>
      <c r="Q61" s="122">
        <v>10630</v>
      </c>
      <c r="R61" s="122">
        <v>484701</v>
      </c>
      <c r="S61" s="122">
        <v>440637</v>
      </c>
      <c r="T61" s="122">
        <v>174905</v>
      </c>
      <c r="U61" s="122">
        <v>64780</v>
      </c>
      <c r="V61" s="122">
        <v>1884306</v>
      </c>
      <c r="W61" s="122">
        <f t="shared" si="0"/>
        <v>1884307</v>
      </c>
      <c r="X61" s="122">
        <f t="shared" si="1"/>
        <v>2265921</v>
      </c>
      <c r="Y61" s="122"/>
      <c r="AA61" t="s">
        <v>48</v>
      </c>
      <c r="AB61" t="s">
        <v>407</v>
      </c>
      <c r="AC61" t="s">
        <v>407</v>
      </c>
      <c r="AD61" t="s">
        <v>407</v>
      </c>
      <c r="AE61" t="s">
        <v>137</v>
      </c>
      <c r="AF61">
        <v>214</v>
      </c>
      <c r="AG61" s="122">
        <v>26149</v>
      </c>
      <c r="AH61" s="122">
        <v>13044</v>
      </c>
      <c r="AI61" s="122">
        <v>312712</v>
      </c>
      <c r="AJ61" s="122">
        <v>284284</v>
      </c>
      <c r="AK61">
        <v>90</v>
      </c>
      <c r="AL61" s="122">
        <v>37735</v>
      </c>
      <c r="AM61" s="122">
        <v>34304</v>
      </c>
      <c r="AN61" s="122">
        <v>323506</v>
      </c>
      <c r="AO61" s="122">
        <v>119817</v>
      </c>
      <c r="AP61" s="122">
        <v>132010</v>
      </c>
      <c r="AQ61" s="122">
        <v>48893</v>
      </c>
      <c r="AR61" s="122">
        <v>782855</v>
      </c>
      <c r="AS61" s="122">
        <v>711687</v>
      </c>
      <c r="AT61" s="122">
        <v>2789</v>
      </c>
      <c r="AU61" s="122">
        <v>1033</v>
      </c>
      <c r="AV61" s="122">
        <v>1200018</v>
      </c>
    </row>
    <row r="62" spans="2:48" ht="12.75" hidden="1" customHeight="1">
      <c r="B62" t="s">
        <v>362</v>
      </c>
      <c r="C62" t="s">
        <v>60</v>
      </c>
      <c r="D62" t="s">
        <v>433</v>
      </c>
      <c r="E62" t="s">
        <v>433</v>
      </c>
      <c r="F62">
        <v>2</v>
      </c>
      <c r="G62">
        <v>161</v>
      </c>
      <c r="H62" s="122">
        <v>740</v>
      </c>
      <c r="I62" s="122">
        <v>31706</v>
      </c>
      <c r="J62" s="122">
        <v>28824</v>
      </c>
      <c r="K62" s="122">
        <v>45</v>
      </c>
      <c r="L62" s="122">
        <v>4529</v>
      </c>
      <c r="M62" s="122">
        <v>4118</v>
      </c>
      <c r="N62" s="122">
        <v>3911</v>
      </c>
      <c r="O62" s="122">
        <v>1449</v>
      </c>
      <c r="P62" s="122">
        <v>702</v>
      </c>
      <c r="Q62" s="122">
        <v>260</v>
      </c>
      <c r="R62" s="122">
        <v>13446</v>
      </c>
      <c r="S62" s="122">
        <v>12224</v>
      </c>
      <c r="T62" s="122">
        <v>5141</v>
      </c>
      <c r="U62" s="122">
        <v>1904</v>
      </c>
      <c r="V62" s="122">
        <v>48778</v>
      </c>
      <c r="W62" s="122">
        <f t="shared" si="0"/>
        <v>48779</v>
      </c>
      <c r="X62" s="122">
        <f t="shared" si="1"/>
        <v>59435</v>
      </c>
      <c r="Y62" s="122"/>
      <c r="AA62" t="s">
        <v>48</v>
      </c>
      <c r="AB62" t="s">
        <v>407</v>
      </c>
      <c r="AC62" t="s">
        <v>407</v>
      </c>
      <c r="AD62" t="s">
        <v>407</v>
      </c>
      <c r="AE62" t="s">
        <v>566</v>
      </c>
      <c r="AF62">
        <v>994</v>
      </c>
      <c r="AG62" s="122">
        <v>134141</v>
      </c>
      <c r="AH62" s="122">
        <v>58961</v>
      </c>
      <c r="AI62" s="122">
        <v>2010363</v>
      </c>
      <c r="AJ62" s="122">
        <v>1827603</v>
      </c>
      <c r="AK62">
        <v>91</v>
      </c>
      <c r="AL62" s="122">
        <v>246252</v>
      </c>
      <c r="AM62" s="122">
        <v>223865</v>
      </c>
      <c r="AN62" s="122">
        <v>1700207</v>
      </c>
      <c r="AO62" s="122">
        <v>629706</v>
      </c>
      <c r="AP62" s="122">
        <v>900039</v>
      </c>
      <c r="AQ62" s="122">
        <v>333348</v>
      </c>
      <c r="AR62" s="122">
        <v>3006153</v>
      </c>
      <c r="AS62" s="122">
        <v>2732866</v>
      </c>
      <c r="AT62">
        <v>0</v>
      </c>
      <c r="AU62">
        <v>0</v>
      </c>
      <c r="AV62" s="122">
        <v>5747388</v>
      </c>
    </row>
    <row r="63" spans="2:48" ht="12.75" hidden="1" customHeight="1">
      <c r="B63" t="s">
        <v>362</v>
      </c>
      <c r="C63" t="s">
        <v>62</v>
      </c>
      <c r="F63">
        <v>1</v>
      </c>
      <c r="G63" s="122">
        <v>82</v>
      </c>
      <c r="H63" s="122">
        <v>433</v>
      </c>
      <c r="I63" s="122"/>
      <c r="J63" s="122">
        <v>0</v>
      </c>
      <c r="K63" s="122"/>
      <c r="L63" s="122"/>
      <c r="M63" s="122">
        <v>0</v>
      </c>
      <c r="N63" s="122">
        <v>1330</v>
      </c>
      <c r="O63" s="122">
        <v>492</v>
      </c>
      <c r="P63" s="122">
        <v>473</v>
      </c>
      <c r="Q63" s="122">
        <v>175</v>
      </c>
      <c r="R63" s="122"/>
      <c r="S63" s="122">
        <v>0</v>
      </c>
      <c r="T63">
        <v>0</v>
      </c>
      <c r="U63" s="122">
        <v>0</v>
      </c>
      <c r="V63" s="122">
        <v>667</v>
      </c>
      <c r="W63" s="122">
        <f t="shared" si="0"/>
        <v>667</v>
      </c>
      <c r="X63" s="122">
        <f t="shared" si="1"/>
        <v>1803</v>
      </c>
      <c r="Y63" s="122"/>
      <c r="AA63" t="s">
        <v>48</v>
      </c>
      <c r="AB63" t="s">
        <v>407</v>
      </c>
      <c r="AC63" t="s">
        <v>579</v>
      </c>
      <c r="AD63" t="s">
        <v>407</v>
      </c>
      <c r="AE63" t="s">
        <v>137</v>
      </c>
      <c r="AF63">
        <v>27</v>
      </c>
      <c r="AG63" s="122">
        <v>3051</v>
      </c>
      <c r="AH63" s="122">
        <v>1556</v>
      </c>
      <c r="AI63" s="122">
        <v>8416</v>
      </c>
      <c r="AJ63" s="122">
        <v>7651</v>
      </c>
      <c r="AK63">
        <v>91</v>
      </c>
      <c r="AL63" s="122">
        <v>1614</v>
      </c>
      <c r="AM63" s="122">
        <v>1345</v>
      </c>
      <c r="AN63" s="122">
        <v>39186</v>
      </c>
      <c r="AO63" s="122">
        <v>14513</v>
      </c>
      <c r="AP63" s="122">
        <v>14366</v>
      </c>
      <c r="AQ63" s="122">
        <v>5321</v>
      </c>
      <c r="AR63" s="122">
        <v>112750</v>
      </c>
      <c r="AS63" s="122">
        <v>102500</v>
      </c>
      <c r="AT63">
        <v>0</v>
      </c>
      <c r="AU63">
        <v>0</v>
      </c>
      <c r="AV63" s="122">
        <v>131330</v>
      </c>
    </row>
    <row r="64" spans="2:48" ht="12.75" hidden="1" customHeight="1">
      <c r="B64" t="s">
        <v>362</v>
      </c>
      <c r="C64" t="s">
        <v>62</v>
      </c>
      <c r="D64" t="s">
        <v>137</v>
      </c>
      <c r="E64" t="s">
        <v>137</v>
      </c>
      <c r="F64" s="122">
        <v>14</v>
      </c>
      <c r="G64" s="122">
        <v>886</v>
      </c>
      <c r="H64" s="122">
        <v>5641</v>
      </c>
      <c r="I64" s="122">
        <v>210796</v>
      </c>
      <c r="J64" s="122">
        <v>78072</v>
      </c>
      <c r="K64" s="122">
        <v>100</v>
      </c>
      <c r="L64" s="122">
        <v>29290</v>
      </c>
      <c r="M64" s="122">
        <v>24521</v>
      </c>
      <c r="N64" s="122">
        <v>14833</v>
      </c>
      <c r="O64" s="122">
        <v>5494</v>
      </c>
      <c r="P64" s="122">
        <v>351</v>
      </c>
      <c r="Q64" s="122">
        <v>130</v>
      </c>
      <c r="R64" s="122">
        <v>100661</v>
      </c>
      <c r="S64" s="122">
        <v>37282</v>
      </c>
      <c r="T64" s="122">
        <v>0</v>
      </c>
      <c r="U64" s="122">
        <v>0</v>
      </c>
      <c r="V64" s="122">
        <v>145499</v>
      </c>
      <c r="W64" s="122">
        <f t="shared" si="0"/>
        <v>145499</v>
      </c>
      <c r="X64" s="122">
        <f t="shared" si="1"/>
        <v>355931</v>
      </c>
      <c r="Y64" s="122"/>
      <c r="AA64" t="s">
        <v>48</v>
      </c>
      <c r="AB64" t="s">
        <v>407</v>
      </c>
      <c r="AC64" t="s">
        <v>579</v>
      </c>
      <c r="AD64" t="s">
        <v>407</v>
      </c>
      <c r="AE64" t="s">
        <v>566</v>
      </c>
      <c r="AF64">
        <v>644</v>
      </c>
      <c r="AG64" s="122">
        <v>77780</v>
      </c>
      <c r="AH64" s="122">
        <v>37263</v>
      </c>
      <c r="AI64" s="122">
        <v>861751</v>
      </c>
      <c r="AJ64" s="122">
        <v>783410</v>
      </c>
      <c r="AK64">
        <v>91</v>
      </c>
      <c r="AL64" s="122">
        <v>142093</v>
      </c>
      <c r="AM64" s="122">
        <v>118411</v>
      </c>
      <c r="AN64" s="122">
        <v>988387</v>
      </c>
      <c r="AO64" s="122">
        <v>366069</v>
      </c>
      <c r="AP64" s="122">
        <v>339896</v>
      </c>
      <c r="AQ64" s="122">
        <v>125887</v>
      </c>
      <c r="AR64" s="122">
        <v>2141403</v>
      </c>
      <c r="AS64" s="122">
        <v>1946730</v>
      </c>
      <c r="AT64">
        <v>0</v>
      </c>
      <c r="AU64">
        <v>0</v>
      </c>
      <c r="AV64" s="122">
        <v>3340508</v>
      </c>
    </row>
    <row r="65" spans="2:48" ht="12.75" hidden="1" customHeight="1">
      <c r="B65" t="s">
        <v>362</v>
      </c>
      <c r="C65" t="s">
        <v>62</v>
      </c>
      <c r="D65" t="s">
        <v>406</v>
      </c>
      <c r="E65" t="s">
        <v>406</v>
      </c>
      <c r="F65">
        <v>115</v>
      </c>
      <c r="G65" s="122">
        <v>10395</v>
      </c>
      <c r="H65" s="122">
        <v>47221</v>
      </c>
      <c r="I65" s="122">
        <v>2664275</v>
      </c>
      <c r="J65" s="122">
        <v>2422069</v>
      </c>
      <c r="K65" s="122">
        <v>75</v>
      </c>
      <c r="L65" s="122">
        <v>564868</v>
      </c>
      <c r="M65" s="122">
        <v>479879</v>
      </c>
      <c r="N65" s="122">
        <v>219101</v>
      </c>
      <c r="O65" s="122">
        <v>81149</v>
      </c>
      <c r="P65" s="122">
        <v>71847</v>
      </c>
      <c r="Q65" s="122">
        <v>26610</v>
      </c>
      <c r="R65" s="122">
        <v>564117</v>
      </c>
      <c r="S65" s="122">
        <v>512834</v>
      </c>
      <c r="T65" s="122">
        <v>208385</v>
      </c>
      <c r="U65" s="122">
        <v>77180</v>
      </c>
      <c r="V65" s="122">
        <v>3599719</v>
      </c>
      <c r="W65" s="122">
        <f t="shared" si="0"/>
        <v>3599721</v>
      </c>
      <c r="X65" s="122">
        <f t="shared" si="1"/>
        <v>4292593</v>
      </c>
      <c r="Y65" s="122"/>
      <c r="AA65" t="s">
        <v>48</v>
      </c>
      <c r="AB65" t="s">
        <v>407</v>
      </c>
      <c r="AC65" t="s">
        <v>426</v>
      </c>
      <c r="AD65" t="s">
        <v>405</v>
      </c>
      <c r="AE65" t="s">
        <v>566</v>
      </c>
      <c r="AF65">
        <v>2</v>
      </c>
      <c r="AG65">
        <v>264</v>
      </c>
      <c r="AH65">
        <v>103</v>
      </c>
      <c r="AI65" s="122">
        <v>-1353</v>
      </c>
      <c r="AJ65" s="122">
        <v>-1230</v>
      </c>
      <c r="AK65">
        <v>90</v>
      </c>
      <c r="AL65">
        <v>-176</v>
      </c>
      <c r="AM65">
        <v>-160</v>
      </c>
      <c r="AN65" s="122">
        <v>3213</v>
      </c>
      <c r="AO65" s="122">
        <v>1190</v>
      </c>
      <c r="AP65">
        <v>945</v>
      </c>
      <c r="AQ65">
        <v>350</v>
      </c>
      <c r="AR65" s="122">
        <v>11004</v>
      </c>
      <c r="AS65" s="122">
        <v>10004</v>
      </c>
      <c r="AT65">
        <v>0</v>
      </c>
      <c r="AU65">
        <v>0</v>
      </c>
      <c r="AV65" s="122">
        <v>10154</v>
      </c>
    </row>
    <row r="66" spans="2:48" ht="12.75" hidden="1" customHeight="1">
      <c r="B66" t="s">
        <v>362</v>
      </c>
      <c r="C66" t="s">
        <v>62</v>
      </c>
      <c r="D66" t="s">
        <v>427</v>
      </c>
      <c r="E66" t="s">
        <v>427</v>
      </c>
      <c r="F66">
        <v>6</v>
      </c>
      <c r="G66" s="122">
        <v>508</v>
      </c>
      <c r="H66" s="122">
        <v>2392</v>
      </c>
      <c r="I66" s="122">
        <v>126695</v>
      </c>
      <c r="J66" s="122">
        <v>115177</v>
      </c>
      <c r="K66" s="122">
        <v>47</v>
      </c>
      <c r="L66" s="122">
        <v>11467</v>
      </c>
      <c r="M66" s="122">
        <v>9729</v>
      </c>
      <c r="N66" s="122">
        <v>12299</v>
      </c>
      <c r="O66" s="122">
        <v>4555</v>
      </c>
      <c r="P66" s="122">
        <v>2106</v>
      </c>
      <c r="Q66" s="122">
        <v>780</v>
      </c>
      <c r="R66" s="122">
        <v>36096</v>
      </c>
      <c r="S66" s="122">
        <v>32815</v>
      </c>
      <c r="T66" s="122">
        <v>14591</v>
      </c>
      <c r="U66" s="122">
        <v>5404</v>
      </c>
      <c r="V66" s="122">
        <v>168460</v>
      </c>
      <c r="W66" s="122">
        <f t="shared" si="0"/>
        <v>168460</v>
      </c>
      <c r="X66" s="122">
        <f t="shared" si="1"/>
        <v>203254</v>
      </c>
      <c r="Y66" s="122"/>
      <c r="AA66" t="s">
        <v>48</v>
      </c>
      <c r="AB66" t="s">
        <v>407</v>
      </c>
      <c r="AC66" t="s">
        <v>426</v>
      </c>
      <c r="AD66" t="s">
        <v>407</v>
      </c>
      <c r="AE66" t="s">
        <v>137</v>
      </c>
      <c r="AF66">
        <v>49</v>
      </c>
      <c r="AG66" s="122">
        <v>5703</v>
      </c>
      <c r="AH66" s="122">
        <v>3470</v>
      </c>
      <c r="AI66" s="122">
        <v>139996</v>
      </c>
      <c r="AJ66" s="122">
        <v>127269</v>
      </c>
      <c r="AK66">
        <v>91</v>
      </c>
      <c r="AL66" s="122">
        <v>18805</v>
      </c>
      <c r="AM66" s="122">
        <v>17095</v>
      </c>
      <c r="AN66" s="122">
        <v>69483</v>
      </c>
      <c r="AO66" s="122">
        <v>25734</v>
      </c>
      <c r="AP66" s="122">
        <v>28726</v>
      </c>
      <c r="AQ66" s="122">
        <v>10639</v>
      </c>
      <c r="AR66" s="122">
        <v>144026</v>
      </c>
      <c r="AS66" s="122">
        <v>130933</v>
      </c>
      <c r="AT66" s="122">
        <v>3426</v>
      </c>
      <c r="AU66" s="122">
        <v>1269</v>
      </c>
      <c r="AV66" s="122">
        <v>312940</v>
      </c>
    </row>
    <row r="67" spans="2:48" ht="12.75" hidden="1" customHeight="1">
      <c r="B67" t="s">
        <v>362</v>
      </c>
      <c r="C67" t="s">
        <v>62</v>
      </c>
      <c r="D67" t="s">
        <v>407</v>
      </c>
      <c r="E67" t="s">
        <v>137</v>
      </c>
      <c r="F67">
        <v>3</v>
      </c>
      <c r="G67" s="122">
        <v>295</v>
      </c>
      <c r="H67" s="122">
        <v>1267</v>
      </c>
      <c r="I67" s="122">
        <v>77206</v>
      </c>
      <c r="J67" s="122">
        <v>70187</v>
      </c>
      <c r="K67" s="122">
        <v>75</v>
      </c>
      <c r="L67" s="122">
        <v>22286</v>
      </c>
      <c r="M67" s="122">
        <v>18571</v>
      </c>
      <c r="N67" s="122">
        <v>6516</v>
      </c>
      <c r="O67" s="122">
        <v>2413</v>
      </c>
      <c r="P67" s="122">
        <v>1418</v>
      </c>
      <c r="Q67" s="122">
        <v>525</v>
      </c>
      <c r="R67" s="122">
        <v>16134</v>
      </c>
      <c r="S67" s="122">
        <v>5976</v>
      </c>
      <c r="T67" s="122">
        <v>0</v>
      </c>
      <c r="U67" s="122">
        <v>0</v>
      </c>
      <c r="V67" s="122">
        <v>97673</v>
      </c>
      <c r="W67" s="122">
        <f t="shared" si="0"/>
        <v>97672</v>
      </c>
      <c r="X67" s="122">
        <f t="shared" si="1"/>
        <v>123560</v>
      </c>
      <c r="Y67" s="122"/>
      <c r="AA67" t="s">
        <v>48</v>
      </c>
      <c r="AB67" t="s">
        <v>407</v>
      </c>
      <c r="AC67" t="s">
        <v>426</v>
      </c>
      <c r="AD67" t="s">
        <v>407</v>
      </c>
      <c r="AE67" t="s">
        <v>566</v>
      </c>
      <c r="AF67">
        <v>614</v>
      </c>
      <c r="AG67" s="122">
        <v>70298</v>
      </c>
      <c r="AH67" s="122">
        <v>35536</v>
      </c>
      <c r="AI67" s="122">
        <v>663104</v>
      </c>
      <c r="AJ67" s="122">
        <v>602822</v>
      </c>
      <c r="AK67">
        <v>91</v>
      </c>
      <c r="AL67" s="122">
        <v>99186</v>
      </c>
      <c r="AM67" s="122">
        <v>90169</v>
      </c>
      <c r="AN67" s="122">
        <v>859110</v>
      </c>
      <c r="AO67" s="122">
        <v>318189</v>
      </c>
      <c r="AP67" s="122">
        <v>397238</v>
      </c>
      <c r="AQ67" s="122">
        <v>147125</v>
      </c>
      <c r="AR67" s="122">
        <v>2053388</v>
      </c>
      <c r="AS67" s="122">
        <v>1866717</v>
      </c>
      <c r="AT67">
        <v>0</v>
      </c>
      <c r="AU67">
        <v>0</v>
      </c>
      <c r="AV67" s="122">
        <v>3025021</v>
      </c>
    </row>
    <row r="68" spans="2:48" ht="12.75" hidden="1" customHeight="1">
      <c r="B68" t="s">
        <v>362</v>
      </c>
      <c r="C68" t="s">
        <v>62</v>
      </c>
      <c r="D68" t="s">
        <v>407</v>
      </c>
      <c r="E68" s="122" t="s">
        <v>407</v>
      </c>
      <c r="F68" s="122">
        <v>53</v>
      </c>
      <c r="G68" s="122">
        <v>4448</v>
      </c>
      <c r="H68" s="122">
        <v>22076</v>
      </c>
      <c r="I68" s="122">
        <v>1137265</v>
      </c>
      <c r="J68" s="122">
        <v>1033877</v>
      </c>
      <c r="K68" s="122">
        <v>77</v>
      </c>
      <c r="L68" s="122">
        <v>295633</v>
      </c>
      <c r="M68" s="122">
        <v>255658</v>
      </c>
      <c r="N68" s="122">
        <v>93187</v>
      </c>
      <c r="O68" s="122">
        <v>34514</v>
      </c>
      <c r="P68" s="122">
        <v>25043</v>
      </c>
      <c r="Q68" s="122">
        <v>9275</v>
      </c>
      <c r="R68" s="122">
        <v>246826</v>
      </c>
      <c r="S68" s="122">
        <v>224388</v>
      </c>
      <c r="T68" s="122">
        <v>54721</v>
      </c>
      <c r="U68" s="122">
        <v>20267</v>
      </c>
      <c r="V68" s="122">
        <v>1577979</v>
      </c>
      <c r="W68" s="122">
        <f t="shared" si="0"/>
        <v>1577979</v>
      </c>
      <c r="X68" s="122">
        <f t="shared" si="1"/>
        <v>1852675</v>
      </c>
      <c r="Y68" s="122"/>
      <c r="AA68" t="s">
        <v>48</v>
      </c>
      <c r="AB68" t="s">
        <v>407</v>
      </c>
      <c r="AC68" t="s">
        <v>566</v>
      </c>
      <c r="AD68" t="s">
        <v>405</v>
      </c>
      <c r="AE68" t="s">
        <v>566</v>
      </c>
      <c r="AF68">
        <v>1</v>
      </c>
      <c r="AG68">
        <v>103</v>
      </c>
      <c r="AH68">
        <v>56</v>
      </c>
      <c r="AI68">
        <v>-934</v>
      </c>
      <c r="AJ68">
        <v>-849</v>
      </c>
      <c r="AK68">
        <v>90</v>
      </c>
      <c r="AL68">
        <v>0</v>
      </c>
      <c r="AM68">
        <v>0</v>
      </c>
      <c r="AN68" s="122">
        <v>1343</v>
      </c>
      <c r="AO68">
        <v>497</v>
      </c>
      <c r="AP68" s="122">
        <v>1360</v>
      </c>
      <c r="AQ68">
        <v>504</v>
      </c>
      <c r="AR68" s="122">
        <v>3997</v>
      </c>
      <c r="AS68" s="122">
        <v>3633</v>
      </c>
      <c r="AT68">
        <v>0</v>
      </c>
      <c r="AU68">
        <v>0</v>
      </c>
      <c r="AV68" s="122">
        <v>3785</v>
      </c>
    </row>
    <row r="69" spans="2:48" ht="12.75" hidden="1" customHeight="1">
      <c r="B69" t="s">
        <v>362</v>
      </c>
      <c r="C69" t="s">
        <v>62</v>
      </c>
      <c r="D69" t="s">
        <v>556</v>
      </c>
      <c r="E69" t="s">
        <v>137</v>
      </c>
      <c r="F69">
        <v>1</v>
      </c>
      <c r="G69">
        <v>108</v>
      </c>
      <c r="H69" s="122">
        <v>443</v>
      </c>
      <c r="I69" s="122">
        <v>35020</v>
      </c>
      <c r="J69" s="122">
        <v>29183</v>
      </c>
      <c r="K69" s="122">
        <v>65</v>
      </c>
      <c r="L69" s="122">
        <v>5620</v>
      </c>
      <c r="M69" s="122">
        <v>4684</v>
      </c>
      <c r="N69" s="122">
        <v>1433</v>
      </c>
      <c r="O69">
        <v>531</v>
      </c>
      <c r="P69">
        <v>351</v>
      </c>
      <c r="Q69" s="122">
        <v>130</v>
      </c>
      <c r="R69" s="122">
        <v>5361</v>
      </c>
      <c r="S69" s="122">
        <v>1986</v>
      </c>
      <c r="T69">
        <v>0</v>
      </c>
      <c r="U69" s="122">
        <v>0</v>
      </c>
      <c r="V69" s="122">
        <v>36513</v>
      </c>
      <c r="W69" s="122">
        <f t="shared" si="0"/>
        <v>36514</v>
      </c>
      <c r="X69" s="122">
        <f t="shared" si="1"/>
        <v>47785</v>
      </c>
      <c r="Y69" s="122"/>
      <c r="AA69" t="s">
        <v>48</v>
      </c>
      <c r="AB69" t="s">
        <v>407</v>
      </c>
      <c r="AC69" t="s">
        <v>566</v>
      </c>
      <c r="AD69" t="s">
        <v>137</v>
      </c>
      <c r="AE69" t="s">
        <v>566</v>
      </c>
      <c r="AF69">
        <v>22</v>
      </c>
      <c r="AG69" s="122">
        <v>2571</v>
      </c>
      <c r="AH69" s="122">
        <v>1112</v>
      </c>
      <c r="AI69" s="122">
        <v>18554</v>
      </c>
      <c r="AJ69" s="122">
        <v>16867</v>
      </c>
      <c r="AK69">
        <v>91</v>
      </c>
      <c r="AL69">
        <v>0</v>
      </c>
      <c r="AM69">
        <v>0</v>
      </c>
      <c r="AN69" s="122">
        <v>33416</v>
      </c>
      <c r="AO69" s="122">
        <v>12376</v>
      </c>
      <c r="AP69" s="122">
        <v>10395</v>
      </c>
      <c r="AQ69" s="122">
        <v>3850</v>
      </c>
      <c r="AR69" s="122">
        <v>67121</v>
      </c>
      <c r="AS69" s="122">
        <v>24860</v>
      </c>
      <c r="AT69">
        <v>0</v>
      </c>
      <c r="AU69">
        <v>0</v>
      </c>
      <c r="AV69" s="122">
        <v>57953</v>
      </c>
    </row>
    <row r="70" spans="2:48" ht="12.75" hidden="1" customHeight="1">
      <c r="B70" t="s">
        <v>362</v>
      </c>
      <c r="C70" t="s">
        <v>62</v>
      </c>
      <c r="D70" t="s">
        <v>556</v>
      </c>
      <c r="E70" t="s">
        <v>406</v>
      </c>
      <c r="F70">
        <v>1</v>
      </c>
      <c r="G70" s="122">
        <v>110</v>
      </c>
      <c r="H70" s="122">
        <v>422</v>
      </c>
      <c r="I70" s="122">
        <v>33425</v>
      </c>
      <c r="J70" s="122">
        <v>27854</v>
      </c>
      <c r="K70" s="122">
        <v>60</v>
      </c>
      <c r="L70" s="122">
        <v>2985</v>
      </c>
      <c r="M70" s="122">
        <v>2714</v>
      </c>
      <c r="N70" s="122">
        <v>2485</v>
      </c>
      <c r="O70" s="122">
        <v>920</v>
      </c>
      <c r="P70" s="122">
        <v>621</v>
      </c>
      <c r="Q70" s="122">
        <v>230</v>
      </c>
      <c r="R70" s="122">
        <v>4630</v>
      </c>
      <c r="S70" s="122">
        <v>4209</v>
      </c>
      <c r="T70" s="122">
        <v>2103</v>
      </c>
      <c r="U70" s="122">
        <v>779</v>
      </c>
      <c r="V70" s="122">
        <v>36706</v>
      </c>
      <c r="W70" s="122">
        <f t="shared" si="0"/>
        <v>36706</v>
      </c>
      <c r="X70" s="122">
        <f t="shared" si="1"/>
        <v>46249</v>
      </c>
      <c r="Y70" s="122"/>
      <c r="AA70" t="s">
        <v>48</v>
      </c>
      <c r="AB70" t="s">
        <v>407</v>
      </c>
      <c r="AC70" t="s">
        <v>566</v>
      </c>
      <c r="AD70" t="s">
        <v>407</v>
      </c>
      <c r="AE70" t="s">
        <v>137</v>
      </c>
      <c r="AF70">
        <v>90</v>
      </c>
      <c r="AG70" s="122">
        <v>9803</v>
      </c>
      <c r="AH70" s="122">
        <v>5373</v>
      </c>
      <c r="AI70" s="122">
        <v>73210</v>
      </c>
      <c r="AJ70" s="122">
        <v>66554</v>
      </c>
      <c r="AK70">
        <v>91</v>
      </c>
      <c r="AL70">
        <v>0</v>
      </c>
      <c r="AM70">
        <v>0</v>
      </c>
      <c r="AN70" s="122">
        <v>120663</v>
      </c>
      <c r="AO70" s="122">
        <v>44690</v>
      </c>
      <c r="AP70" s="122">
        <v>82746</v>
      </c>
      <c r="AQ70" s="122">
        <v>30647</v>
      </c>
      <c r="AR70" s="122">
        <v>305393</v>
      </c>
      <c r="AS70" s="122">
        <v>277630</v>
      </c>
      <c r="AT70" s="122">
        <v>1867</v>
      </c>
      <c r="AU70">
        <v>692</v>
      </c>
      <c r="AV70" s="122">
        <v>420213</v>
      </c>
    </row>
    <row r="71" spans="2:48" ht="12.75" hidden="1" customHeight="1">
      <c r="B71" t="s">
        <v>362</v>
      </c>
      <c r="C71" t="s">
        <v>62</v>
      </c>
      <c r="D71" t="s">
        <v>556</v>
      </c>
      <c r="E71" t="s">
        <v>556</v>
      </c>
      <c r="F71">
        <v>7</v>
      </c>
      <c r="G71" s="122">
        <v>563</v>
      </c>
      <c r="H71" s="122">
        <v>2903</v>
      </c>
      <c r="I71" s="122">
        <v>146714</v>
      </c>
      <c r="J71" s="122">
        <v>122261</v>
      </c>
      <c r="K71" s="122">
        <v>53</v>
      </c>
      <c r="L71" s="122">
        <v>16544</v>
      </c>
      <c r="M71" s="122">
        <v>14173</v>
      </c>
      <c r="N71" s="122">
        <v>11910</v>
      </c>
      <c r="O71" s="122">
        <v>4411</v>
      </c>
      <c r="P71" s="122">
        <v>2106</v>
      </c>
      <c r="Q71" s="122">
        <v>780</v>
      </c>
      <c r="R71" s="122">
        <v>42071</v>
      </c>
      <c r="S71" s="122">
        <v>35059</v>
      </c>
      <c r="T71" s="122">
        <v>13462</v>
      </c>
      <c r="U71" s="122">
        <v>4986</v>
      </c>
      <c r="V71" s="122">
        <v>181671</v>
      </c>
      <c r="W71" s="122">
        <f t="shared" ref="W71:W134" si="2">SUM(ABS(J71),ABS(M71),ABS(O71),ABS(Q71),ABS(S71),ABS(U71))</f>
        <v>181670</v>
      </c>
      <c r="X71" s="122">
        <f t="shared" ref="X71:X134" si="3">SUM(ABS(I71),ABS(N71),ABS(P71),ABS(R71),ABS(T71),ABS(L71))</f>
        <v>232807</v>
      </c>
      <c r="Y71" s="122"/>
      <c r="AA71" t="s">
        <v>48</v>
      </c>
      <c r="AB71" t="s">
        <v>407</v>
      </c>
      <c r="AC71" t="s">
        <v>566</v>
      </c>
      <c r="AD71" t="s">
        <v>407</v>
      </c>
      <c r="AE71" t="s">
        <v>566</v>
      </c>
      <c r="AF71" s="122">
        <v>13731</v>
      </c>
      <c r="AG71" s="122">
        <v>1686876</v>
      </c>
      <c r="AH71" s="122">
        <v>745305</v>
      </c>
      <c r="AI71" s="122">
        <v>4334784</v>
      </c>
      <c r="AJ71" s="122">
        <v>3940713</v>
      </c>
      <c r="AK71">
        <v>91</v>
      </c>
      <c r="AL71">
        <v>0</v>
      </c>
      <c r="AM71" s="122">
        <v>3651</v>
      </c>
      <c r="AN71" s="122">
        <v>21095925</v>
      </c>
      <c r="AO71" s="122">
        <v>7813305</v>
      </c>
      <c r="AP71" s="122">
        <v>15956456</v>
      </c>
      <c r="AQ71" s="122">
        <v>5909798</v>
      </c>
      <c r="AR71" s="122">
        <v>49207202</v>
      </c>
      <c r="AS71" s="122">
        <v>44733819</v>
      </c>
      <c r="AT71">
        <v>0</v>
      </c>
      <c r="AU71">
        <v>0</v>
      </c>
      <c r="AV71" s="122">
        <v>62401287</v>
      </c>
    </row>
    <row r="72" spans="2:48" ht="12.75" hidden="1" customHeight="1">
      <c r="B72" t="s">
        <v>362</v>
      </c>
      <c r="C72" t="s">
        <v>62</v>
      </c>
      <c r="D72" t="s">
        <v>426</v>
      </c>
      <c r="E72" t="s">
        <v>137</v>
      </c>
      <c r="F72">
        <v>1</v>
      </c>
      <c r="G72">
        <v>50</v>
      </c>
      <c r="H72" s="122">
        <v>419</v>
      </c>
      <c r="I72" s="122">
        <v>15858</v>
      </c>
      <c r="J72" s="122">
        <v>14417</v>
      </c>
      <c r="K72" s="122">
        <v>60</v>
      </c>
      <c r="L72">
        <v>0</v>
      </c>
      <c r="M72" s="122">
        <v>0</v>
      </c>
      <c r="N72" s="122">
        <v>1224</v>
      </c>
      <c r="O72">
        <v>453</v>
      </c>
      <c r="P72" s="122">
        <v>0</v>
      </c>
      <c r="Q72" s="122">
        <v>0</v>
      </c>
      <c r="R72" s="122">
        <v>3953</v>
      </c>
      <c r="S72" s="122">
        <v>1464</v>
      </c>
      <c r="T72" s="122">
        <v>0</v>
      </c>
      <c r="U72" s="122">
        <v>0</v>
      </c>
      <c r="V72" s="122">
        <v>16334</v>
      </c>
      <c r="W72" s="122">
        <f t="shared" si="2"/>
        <v>16334</v>
      </c>
      <c r="X72" s="122">
        <f t="shared" si="3"/>
        <v>21035</v>
      </c>
      <c r="Y72" s="122"/>
      <c r="AA72" t="s">
        <v>48</v>
      </c>
      <c r="AB72" t="s">
        <v>407</v>
      </c>
      <c r="AC72" t="s">
        <v>433</v>
      </c>
      <c r="AD72" t="s">
        <v>137</v>
      </c>
      <c r="AE72" t="s">
        <v>566</v>
      </c>
      <c r="AF72">
        <v>5</v>
      </c>
      <c r="AG72">
        <v>805</v>
      </c>
      <c r="AH72">
        <v>302</v>
      </c>
      <c r="AI72" s="122">
        <v>16399</v>
      </c>
      <c r="AJ72" s="122">
        <v>14908</v>
      </c>
      <c r="AK72">
        <v>91</v>
      </c>
      <c r="AL72" s="122">
        <v>2655</v>
      </c>
      <c r="AM72" s="122">
        <v>2414</v>
      </c>
      <c r="AN72" s="122">
        <v>9806</v>
      </c>
      <c r="AO72" s="122">
        <v>3632</v>
      </c>
      <c r="AP72" s="122">
        <v>7019</v>
      </c>
      <c r="AQ72" s="122">
        <v>2599</v>
      </c>
      <c r="AR72" s="122">
        <v>16053</v>
      </c>
      <c r="AS72" s="122">
        <v>5946</v>
      </c>
      <c r="AT72">
        <v>0</v>
      </c>
      <c r="AU72">
        <v>0</v>
      </c>
      <c r="AV72" s="122">
        <v>29499</v>
      </c>
    </row>
    <row r="73" spans="2:48" ht="12.75" hidden="1" customHeight="1">
      <c r="B73" t="s">
        <v>362</v>
      </c>
      <c r="C73" t="s">
        <v>62</v>
      </c>
      <c r="D73" t="s">
        <v>426</v>
      </c>
      <c r="E73" t="s">
        <v>556</v>
      </c>
      <c r="F73">
        <v>1</v>
      </c>
      <c r="G73">
        <v>78</v>
      </c>
      <c r="H73" s="122">
        <v>431</v>
      </c>
      <c r="I73" s="122">
        <v>21029</v>
      </c>
      <c r="J73" s="122">
        <v>19117</v>
      </c>
      <c r="K73">
        <v>65</v>
      </c>
      <c r="L73" s="122">
        <v>3728</v>
      </c>
      <c r="M73" s="122">
        <v>1381</v>
      </c>
      <c r="N73" s="122">
        <v>1498</v>
      </c>
      <c r="O73" s="122">
        <v>555</v>
      </c>
      <c r="P73" s="122">
        <v>351</v>
      </c>
      <c r="Q73" s="122">
        <v>130</v>
      </c>
      <c r="R73" s="122">
        <v>4661</v>
      </c>
      <c r="S73" s="122">
        <v>3884</v>
      </c>
      <c r="T73" s="122">
        <v>2270</v>
      </c>
      <c r="U73" s="122">
        <v>841</v>
      </c>
      <c r="V73" s="122">
        <v>25907</v>
      </c>
      <c r="W73" s="122">
        <f t="shared" si="2"/>
        <v>25908</v>
      </c>
      <c r="X73" s="122">
        <f t="shared" si="3"/>
        <v>33537</v>
      </c>
      <c r="Y73" s="122"/>
      <c r="AA73" t="s">
        <v>48</v>
      </c>
      <c r="AB73" t="s">
        <v>407</v>
      </c>
      <c r="AC73" t="s">
        <v>433</v>
      </c>
      <c r="AD73" t="s">
        <v>407</v>
      </c>
      <c r="AE73" t="s">
        <v>137</v>
      </c>
      <c r="AF73">
        <v>22</v>
      </c>
      <c r="AG73" s="122">
        <v>2879</v>
      </c>
      <c r="AH73" s="122">
        <v>1405</v>
      </c>
      <c r="AI73" s="122">
        <v>57034</v>
      </c>
      <c r="AJ73" s="122">
        <v>51849</v>
      </c>
      <c r="AK73">
        <v>91</v>
      </c>
      <c r="AL73" s="122">
        <v>7985</v>
      </c>
      <c r="AM73" s="122">
        <v>7259</v>
      </c>
      <c r="AN73" s="122">
        <v>35082</v>
      </c>
      <c r="AO73" s="122">
        <v>12993</v>
      </c>
      <c r="AP73" s="122">
        <v>14912</v>
      </c>
      <c r="AQ73" s="122">
        <v>5523</v>
      </c>
      <c r="AR73" s="122">
        <v>72225</v>
      </c>
      <c r="AS73" s="122">
        <v>65659</v>
      </c>
      <c r="AT73">
        <v>0</v>
      </c>
      <c r="AU73">
        <v>0</v>
      </c>
      <c r="AV73" s="122">
        <v>143284</v>
      </c>
    </row>
    <row r="74" spans="2:48" ht="12.75" hidden="1" customHeight="1">
      <c r="B74" t="s">
        <v>362</v>
      </c>
      <c r="C74" t="s">
        <v>62</v>
      </c>
      <c r="D74" t="s">
        <v>426</v>
      </c>
      <c r="E74" t="s">
        <v>426</v>
      </c>
      <c r="F74">
        <v>54</v>
      </c>
      <c r="G74" s="122">
        <v>3927</v>
      </c>
      <c r="H74" s="122">
        <v>22598</v>
      </c>
      <c r="I74" s="122">
        <v>990985</v>
      </c>
      <c r="J74" s="122">
        <v>900895</v>
      </c>
      <c r="K74">
        <v>48</v>
      </c>
      <c r="L74" s="122">
        <v>123587</v>
      </c>
      <c r="M74" s="122">
        <v>112900</v>
      </c>
      <c r="N74" s="122">
        <v>72086</v>
      </c>
      <c r="O74" s="122">
        <v>26699</v>
      </c>
      <c r="P74" s="122">
        <v>18873</v>
      </c>
      <c r="Q74" s="122">
        <v>6990</v>
      </c>
      <c r="R74" s="122">
        <v>322707</v>
      </c>
      <c r="S74" s="122">
        <v>293370</v>
      </c>
      <c r="T74" s="122">
        <v>110083</v>
      </c>
      <c r="U74" s="122">
        <v>40772</v>
      </c>
      <c r="V74" s="122">
        <v>1381626</v>
      </c>
      <c r="W74" s="122">
        <f t="shared" si="2"/>
        <v>1381626</v>
      </c>
      <c r="X74" s="122">
        <f t="shared" si="3"/>
        <v>1638321</v>
      </c>
      <c r="Y74" s="122"/>
      <c r="AA74" t="s">
        <v>48</v>
      </c>
      <c r="AB74" t="s">
        <v>407</v>
      </c>
      <c r="AC74" t="s">
        <v>433</v>
      </c>
      <c r="AD74" t="s">
        <v>407</v>
      </c>
      <c r="AE74" t="s">
        <v>566</v>
      </c>
      <c r="AF74">
        <v>910</v>
      </c>
      <c r="AG74" s="122">
        <v>115688</v>
      </c>
      <c r="AH74" s="122">
        <v>53680</v>
      </c>
      <c r="AI74" s="122">
        <v>1363725</v>
      </c>
      <c r="AJ74" s="122">
        <v>1239750</v>
      </c>
      <c r="AK74">
        <v>91</v>
      </c>
      <c r="AL74" s="122">
        <v>185233</v>
      </c>
      <c r="AM74" s="122">
        <v>168393</v>
      </c>
      <c r="AN74" s="122">
        <v>1454082</v>
      </c>
      <c r="AO74" s="122">
        <v>538549</v>
      </c>
      <c r="AP74" s="122">
        <v>807186</v>
      </c>
      <c r="AQ74" s="122">
        <v>298958</v>
      </c>
      <c r="AR74" s="122">
        <v>2959924</v>
      </c>
      <c r="AS74" s="122">
        <v>2690840</v>
      </c>
      <c r="AT74">
        <v>0</v>
      </c>
      <c r="AU74">
        <v>0</v>
      </c>
      <c r="AV74" s="122">
        <v>4936490</v>
      </c>
    </row>
    <row r="75" spans="2:48" ht="12.75" hidden="1" customHeight="1">
      <c r="B75" t="s">
        <v>362</v>
      </c>
      <c r="C75" t="s">
        <v>62</v>
      </c>
      <c r="D75" t="s">
        <v>433</v>
      </c>
      <c r="E75" t="s">
        <v>433</v>
      </c>
      <c r="F75">
        <v>1</v>
      </c>
      <c r="G75" s="122">
        <v>80</v>
      </c>
      <c r="H75" s="122">
        <v>411</v>
      </c>
      <c r="I75" s="122">
        <v>17817</v>
      </c>
      <c r="J75" s="122">
        <v>16197</v>
      </c>
      <c r="K75">
        <v>45</v>
      </c>
      <c r="L75" s="122">
        <v>2545</v>
      </c>
      <c r="M75" s="122">
        <v>2314</v>
      </c>
      <c r="N75" s="122">
        <v>1956</v>
      </c>
      <c r="O75" s="122">
        <v>724</v>
      </c>
      <c r="P75" s="122">
        <v>473</v>
      </c>
      <c r="Q75" s="122">
        <v>175</v>
      </c>
      <c r="R75" s="122">
        <v>7296</v>
      </c>
      <c r="S75" s="122">
        <v>6633</v>
      </c>
      <c r="T75" s="122">
        <v>2882</v>
      </c>
      <c r="U75" s="122">
        <v>1068</v>
      </c>
      <c r="V75" s="122">
        <v>27111</v>
      </c>
      <c r="W75" s="122">
        <f t="shared" si="2"/>
        <v>27111</v>
      </c>
      <c r="X75" s="122">
        <f t="shared" si="3"/>
        <v>32969</v>
      </c>
      <c r="Y75" s="122"/>
      <c r="AA75" t="s">
        <v>48</v>
      </c>
      <c r="AB75" t="s">
        <v>407</v>
      </c>
      <c r="AC75" t="s">
        <v>429</v>
      </c>
      <c r="AD75" t="s">
        <v>407</v>
      </c>
      <c r="AE75" t="s">
        <v>137</v>
      </c>
      <c r="AF75">
        <v>1</v>
      </c>
      <c r="AG75">
        <v>162</v>
      </c>
      <c r="AH75">
        <v>71</v>
      </c>
      <c r="AI75" s="122">
        <v>4360</v>
      </c>
      <c r="AJ75" s="122">
        <v>3963</v>
      </c>
      <c r="AK75">
        <v>91</v>
      </c>
      <c r="AL75">
        <v>674</v>
      </c>
      <c r="AM75">
        <v>613</v>
      </c>
      <c r="AN75" s="122">
        <v>1972</v>
      </c>
      <c r="AO75">
        <v>730</v>
      </c>
      <c r="AP75">
        <v>473</v>
      </c>
      <c r="AQ75">
        <v>175</v>
      </c>
      <c r="AR75" s="122">
        <v>4018</v>
      </c>
      <c r="AS75" s="122">
        <v>3653</v>
      </c>
      <c r="AT75">
        <v>0</v>
      </c>
      <c r="AU75">
        <v>0</v>
      </c>
      <c r="AV75" s="122">
        <v>9135</v>
      </c>
    </row>
    <row r="76" spans="2:48" ht="12.75" hidden="1" customHeight="1">
      <c r="B76" t="s">
        <v>362</v>
      </c>
      <c r="C76" t="s">
        <v>64</v>
      </c>
      <c r="F76">
        <v>1</v>
      </c>
      <c r="G76">
        <v>188</v>
      </c>
      <c r="H76" s="122">
        <v>719</v>
      </c>
      <c r="I76" s="122"/>
      <c r="J76" s="122">
        <v>0</v>
      </c>
      <c r="K76" s="122"/>
      <c r="L76" s="122"/>
      <c r="M76" s="122">
        <v>0</v>
      </c>
      <c r="N76" s="122">
        <v>4585</v>
      </c>
      <c r="O76" s="122">
        <v>1698</v>
      </c>
      <c r="P76" s="122">
        <v>621</v>
      </c>
      <c r="Q76" s="122">
        <v>230</v>
      </c>
      <c r="R76" s="122"/>
      <c r="S76" s="122">
        <v>0</v>
      </c>
      <c r="T76" s="122">
        <v>3546</v>
      </c>
      <c r="U76" s="122">
        <v>1313</v>
      </c>
      <c r="V76" s="122">
        <v>3241</v>
      </c>
      <c r="W76" s="122">
        <f t="shared" si="2"/>
        <v>3241</v>
      </c>
      <c r="X76" s="122">
        <f t="shared" si="3"/>
        <v>8752</v>
      </c>
      <c r="Y76" s="122"/>
      <c r="AA76" t="s">
        <v>48</v>
      </c>
      <c r="AB76" t="s">
        <v>407</v>
      </c>
      <c r="AC76" t="s">
        <v>429</v>
      </c>
      <c r="AD76" t="s">
        <v>407</v>
      </c>
      <c r="AE76" t="s">
        <v>566</v>
      </c>
      <c r="AF76">
        <v>2</v>
      </c>
      <c r="AG76">
        <v>357</v>
      </c>
      <c r="AH76">
        <v>117</v>
      </c>
      <c r="AI76" s="122">
        <v>6613</v>
      </c>
      <c r="AJ76" s="122">
        <v>6012</v>
      </c>
      <c r="AK76">
        <v>91</v>
      </c>
      <c r="AL76">
        <v>748</v>
      </c>
      <c r="AM76">
        <v>680</v>
      </c>
      <c r="AN76" s="122">
        <v>4409</v>
      </c>
      <c r="AO76" s="122">
        <v>1633</v>
      </c>
      <c r="AP76">
        <v>945</v>
      </c>
      <c r="AQ76">
        <v>350</v>
      </c>
      <c r="AR76" s="122">
        <v>8683</v>
      </c>
      <c r="AS76" s="122">
        <v>7894</v>
      </c>
      <c r="AT76">
        <v>0</v>
      </c>
      <c r="AU76">
        <v>0</v>
      </c>
      <c r="AV76" s="122">
        <v>16568</v>
      </c>
    </row>
    <row r="77" spans="2:48" ht="12.75" hidden="1" customHeight="1">
      <c r="B77" t="s">
        <v>362</v>
      </c>
      <c r="C77" t="s">
        <v>64</v>
      </c>
      <c r="D77" t="s">
        <v>137</v>
      </c>
      <c r="E77" t="s">
        <v>137</v>
      </c>
      <c r="F77" s="122">
        <v>55</v>
      </c>
      <c r="G77" s="122">
        <v>4615</v>
      </c>
      <c r="H77" s="122">
        <v>34876</v>
      </c>
      <c r="I77" s="122">
        <v>2066702</v>
      </c>
      <c r="J77" s="122">
        <v>765445</v>
      </c>
      <c r="K77" s="122">
        <v>100</v>
      </c>
      <c r="L77" s="122">
        <v>351293</v>
      </c>
      <c r="M77" s="122">
        <v>279053</v>
      </c>
      <c r="N77" s="122">
        <v>99534</v>
      </c>
      <c r="O77" s="122">
        <v>36865</v>
      </c>
      <c r="P77" s="122">
        <v>0</v>
      </c>
      <c r="Q77" s="122">
        <v>0</v>
      </c>
      <c r="R77" s="122">
        <v>363528</v>
      </c>
      <c r="S77" s="122">
        <v>134640</v>
      </c>
      <c r="T77" s="122">
        <v>1459</v>
      </c>
      <c r="U77" s="122">
        <v>540</v>
      </c>
      <c r="V77" s="122">
        <v>1216543</v>
      </c>
      <c r="W77" s="122">
        <f t="shared" si="2"/>
        <v>1216543</v>
      </c>
      <c r="X77" s="122">
        <f t="shared" si="3"/>
        <v>2882516</v>
      </c>
      <c r="Y77" s="122"/>
      <c r="AA77" t="s">
        <v>48</v>
      </c>
      <c r="AB77" t="s">
        <v>407</v>
      </c>
      <c r="AC77" t="s">
        <v>429</v>
      </c>
      <c r="AD77" t="s">
        <v>429</v>
      </c>
      <c r="AE77" t="s">
        <v>137</v>
      </c>
      <c r="AF77">
        <v>2</v>
      </c>
      <c r="AG77">
        <v>297</v>
      </c>
      <c r="AH77">
        <v>145</v>
      </c>
      <c r="AI77" s="122">
        <v>8004</v>
      </c>
      <c r="AJ77" s="122">
        <v>7276</v>
      </c>
      <c r="AK77">
        <v>91</v>
      </c>
      <c r="AL77" s="122">
        <v>1238</v>
      </c>
      <c r="AM77" s="122">
        <v>1126</v>
      </c>
      <c r="AN77" s="122">
        <v>3615</v>
      </c>
      <c r="AO77" s="122">
        <v>1339</v>
      </c>
      <c r="AP77">
        <v>945</v>
      </c>
      <c r="AQ77">
        <v>350</v>
      </c>
      <c r="AR77" s="122">
        <v>7641</v>
      </c>
      <c r="AS77" s="122">
        <v>6946</v>
      </c>
      <c r="AT77">
        <v>0</v>
      </c>
      <c r="AU77">
        <v>0</v>
      </c>
      <c r="AV77" s="122">
        <v>17037</v>
      </c>
    </row>
    <row r="78" spans="2:48" ht="12.75" hidden="1" customHeight="1">
      <c r="B78" t="s">
        <v>362</v>
      </c>
      <c r="C78" t="s">
        <v>64</v>
      </c>
      <c r="D78" t="s">
        <v>137</v>
      </c>
      <c r="E78" t="s">
        <v>406</v>
      </c>
      <c r="F78">
        <v>1</v>
      </c>
      <c r="G78" s="122">
        <v>68</v>
      </c>
      <c r="H78" s="122">
        <v>800</v>
      </c>
      <c r="I78" s="122">
        <v>42014</v>
      </c>
      <c r="J78" s="122">
        <v>15561</v>
      </c>
      <c r="K78" s="122">
        <v>100</v>
      </c>
      <c r="L78" s="122">
        <v>3170</v>
      </c>
      <c r="M78" s="122">
        <v>2882</v>
      </c>
      <c r="N78" s="122">
        <v>829</v>
      </c>
      <c r="O78" s="122">
        <v>307</v>
      </c>
      <c r="P78" s="122">
        <v>270</v>
      </c>
      <c r="Q78" s="122">
        <v>100</v>
      </c>
      <c r="R78" s="122">
        <v>8191</v>
      </c>
      <c r="S78" s="122">
        <v>7446</v>
      </c>
      <c r="T78" s="122">
        <v>0</v>
      </c>
      <c r="U78" s="122">
        <v>0</v>
      </c>
      <c r="V78" s="122">
        <v>26296</v>
      </c>
      <c r="W78" s="122">
        <f t="shared" si="2"/>
        <v>26296</v>
      </c>
      <c r="X78" s="122">
        <f t="shared" si="3"/>
        <v>54474</v>
      </c>
      <c r="Y78" s="122"/>
      <c r="AA78" t="s">
        <v>48</v>
      </c>
      <c r="AB78" t="s">
        <v>429</v>
      </c>
      <c r="AC78" t="s">
        <v>566</v>
      </c>
      <c r="AD78" t="s">
        <v>429</v>
      </c>
      <c r="AE78" t="s">
        <v>566</v>
      </c>
      <c r="AF78">
        <v>2</v>
      </c>
      <c r="AG78">
        <v>217</v>
      </c>
      <c r="AH78">
        <v>146</v>
      </c>
      <c r="AI78" s="122">
        <v>6527</v>
      </c>
      <c r="AJ78" s="122">
        <v>5934</v>
      </c>
      <c r="AK78">
        <v>87</v>
      </c>
      <c r="AL78">
        <v>0</v>
      </c>
      <c r="AM78">
        <v>0</v>
      </c>
      <c r="AN78" s="122">
        <v>2647</v>
      </c>
      <c r="AO78">
        <v>980</v>
      </c>
      <c r="AP78" s="122">
        <v>2216</v>
      </c>
      <c r="AQ78">
        <v>821</v>
      </c>
      <c r="AR78" s="122">
        <v>4494</v>
      </c>
      <c r="AS78" s="122">
        <v>4085</v>
      </c>
      <c r="AT78">
        <v>0</v>
      </c>
      <c r="AU78">
        <v>0</v>
      </c>
      <c r="AV78" s="122">
        <v>11820</v>
      </c>
    </row>
    <row r="79" spans="2:48" ht="12.75" hidden="1" customHeight="1">
      <c r="B79" t="s">
        <v>362</v>
      </c>
      <c r="C79" t="s">
        <v>64</v>
      </c>
      <c r="D79" t="s">
        <v>137</v>
      </c>
      <c r="E79" t="s">
        <v>426</v>
      </c>
      <c r="F79">
        <v>7</v>
      </c>
      <c r="G79" s="122">
        <v>617</v>
      </c>
      <c r="H79" s="122">
        <v>4169</v>
      </c>
      <c r="I79" s="122">
        <v>254960</v>
      </c>
      <c r="J79" s="122">
        <v>94430</v>
      </c>
      <c r="K79" s="122">
        <v>100</v>
      </c>
      <c r="L79" s="122">
        <v>32835</v>
      </c>
      <c r="M79" s="122">
        <v>29850</v>
      </c>
      <c r="N79" s="122">
        <v>12462</v>
      </c>
      <c r="O79" s="122">
        <v>4616</v>
      </c>
      <c r="P79" s="122">
        <v>0</v>
      </c>
      <c r="Q79" s="122">
        <v>0</v>
      </c>
      <c r="R79" s="122">
        <v>53650</v>
      </c>
      <c r="S79" s="122">
        <v>48773</v>
      </c>
      <c r="T79" s="122">
        <v>10803</v>
      </c>
      <c r="U79" s="122">
        <v>4001</v>
      </c>
      <c r="V79" s="122">
        <v>181669</v>
      </c>
      <c r="W79" s="122">
        <f t="shared" si="2"/>
        <v>181670</v>
      </c>
      <c r="X79" s="122">
        <f t="shared" si="3"/>
        <v>364710</v>
      </c>
      <c r="Y79" s="122"/>
      <c r="AA79" t="s">
        <v>50</v>
      </c>
      <c r="AC79" t="s">
        <v>566</v>
      </c>
      <c r="AE79" t="s">
        <v>566</v>
      </c>
      <c r="AF79">
        <v>42</v>
      </c>
      <c r="AG79" s="122">
        <v>4060</v>
      </c>
      <c r="AH79" s="122">
        <v>3808</v>
      </c>
      <c r="AJ79">
        <v>0</v>
      </c>
      <c r="AM79">
        <v>0</v>
      </c>
      <c r="AN79" s="122">
        <v>63229</v>
      </c>
      <c r="AO79" s="122">
        <v>23418</v>
      </c>
      <c r="AP79" s="122">
        <v>23754</v>
      </c>
      <c r="AQ79" s="122">
        <v>8798</v>
      </c>
      <c r="AS79">
        <v>0</v>
      </c>
      <c r="AT79">
        <v>0</v>
      </c>
      <c r="AU79">
        <v>0</v>
      </c>
      <c r="AV79" s="122">
        <v>32216</v>
      </c>
    </row>
    <row r="80" spans="2:48" ht="12.75" hidden="1" customHeight="1">
      <c r="B80" t="s">
        <v>362</v>
      </c>
      <c r="C80" t="s">
        <v>64</v>
      </c>
      <c r="D80" t="s">
        <v>406</v>
      </c>
      <c r="E80" s="122" t="s">
        <v>137</v>
      </c>
      <c r="F80" s="122">
        <v>2</v>
      </c>
      <c r="G80" s="122">
        <v>159</v>
      </c>
      <c r="H80" s="122">
        <v>960</v>
      </c>
      <c r="I80" s="122">
        <v>43530</v>
      </c>
      <c r="J80" s="122">
        <v>39573</v>
      </c>
      <c r="K80" s="122">
        <v>86</v>
      </c>
      <c r="L80" s="122">
        <v>13651</v>
      </c>
      <c r="M80" s="122">
        <v>11807</v>
      </c>
      <c r="N80" s="122">
        <v>3874</v>
      </c>
      <c r="O80" s="122">
        <v>1435</v>
      </c>
      <c r="P80" s="122">
        <v>1242</v>
      </c>
      <c r="Q80" s="122">
        <v>460</v>
      </c>
      <c r="R80" s="122">
        <v>14017</v>
      </c>
      <c r="S80" s="122">
        <v>5191</v>
      </c>
      <c r="T80" s="122">
        <v>0</v>
      </c>
      <c r="U80" s="122">
        <v>0</v>
      </c>
      <c r="V80" s="122">
        <v>58466</v>
      </c>
      <c r="W80" s="122">
        <f t="shared" si="2"/>
        <v>58466</v>
      </c>
      <c r="X80" s="122">
        <f t="shared" si="3"/>
        <v>76314</v>
      </c>
      <c r="Y80" s="122"/>
      <c r="AA80" t="s">
        <v>50</v>
      </c>
      <c r="AB80" t="s">
        <v>405</v>
      </c>
      <c r="AC80" t="s">
        <v>405</v>
      </c>
      <c r="AD80" t="s">
        <v>405</v>
      </c>
      <c r="AE80" t="s">
        <v>566</v>
      </c>
      <c r="AF80">
        <v>11</v>
      </c>
      <c r="AG80" s="122">
        <v>1612</v>
      </c>
      <c r="AH80">
        <v>980</v>
      </c>
      <c r="AI80" s="122">
        <v>74582</v>
      </c>
      <c r="AJ80" s="122">
        <v>67802</v>
      </c>
      <c r="AK80">
        <v>91</v>
      </c>
      <c r="AL80" s="122">
        <v>9251</v>
      </c>
      <c r="AM80" s="122">
        <v>8410</v>
      </c>
      <c r="AN80" s="122">
        <v>22572</v>
      </c>
      <c r="AO80" s="122">
        <v>8360</v>
      </c>
      <c r="AP80" s="122">
        <v>5198</v>
      </c>
      <c r="AQ80" s="122">
        <v>1925</v>
      </c>
      <c r="AR80" s="122">
        <v>43855</v>
      </c>
      <c r="AS80" s="122">
        <v>39868</v>
      </c>
      <c r="AT80">
        <v>0</v>
      </c>
      <c r="AU80">
        <v>0</v>
      </c>
      <c r="AV80" s="122">
        <v>126365</v>
      </c>
    </row>
    <row r="81" spans="2:48" ht="12.75" hidden="1" customHeight="1">
      <c r="B81" t="s">
        <v>362</v>
      </c>
      <c r="C81" t="s">
        <v>64</v>
      </c>
      <c r="D81" t="s">
        <v>406</v>
      </c>
      <c r="E81" t="s">
        <v>406</v>
      </c>
      <c r="F81">
        <v>84</v>
      </c>
      <c r="G81" s="122">
        <v>7044</v>
      </c>
      <c r="H81" s="122">
        <v>45332</v>
      </c>
      <c r="I81" s="122">
        <v>2576746</v>
      </c>
      <c r="J81" s="122">
        <v>2342497</v>
      </c>
      <c r="K81" s="122">
        <v>72</v>
      </c>
      <c r="L81" s="122">
        <v>549175</v>
      </c>
      <c r="M81" s="122">
        <v>461837</v>
      </c>
      <c r="N81" s="122">
        <v>150256</v>
      </c>
      <c r="O81" s="122">
        <v>55650</v>
      </c>
      <c r="P81" s="122">
        <v>53136</v>
      </c>
      <c r="Q81" s="122">
        <v>19680</v>
      </c>
      <c r="R81" s="122">
        <v>429984</v>
      </c>
      <c r="S81" s="122">
        <v>390894</v>
      </c>
      <c r="T81" s="122">
        <v>144193</v>
      </c>
      <c r="U81" s="122">
        <v>53405</v>
      </c>
      <c r="V81" s="122">
        <v>3323963</v>
      </c>
      <c r="W81" s="122">
        <f t="shared" si="2"/>
        <v>3323963</v>
      </c>
      <c r="X81" s="122">
        <f t="shared" si="3"/>
        <v>3903490</v>
      </c>
      <c r="Y81" s="122"/>
      <c r="AA81" t="s">
        <v>50</v>
      </c>
      <c r="AB81" t="s">
        <v>405</v>
      </c>
      <c r="AC81" t="s">
        <v>137</v>
      </c>
      <c r="AD81" t="s">
        <v>405</v>
      </c>
      <c r="AE81" t="s">
        <v>566</v>
      </c>
      <c r="AF81">
        <v>1</v>
      </c>
      <c r="AG81">
        <v>124</v>
      </c>
      <c r="AH81">
        <v>82</v>
      </c>
      <c r="AI81" s="122">
        <v>2960</v>
      </c>
      <c r="AJ81" s="122">
        <v>2691</v>
      </c>
      <c r="AK81">
        <v>90</v>
      </c>
      <c r="AL81">
        <v>727</v>
      </c>
      <c r="AM81">
        <v>269</v>
      </c>
      <c r="AN81" s="122">
        <v>1511</v>
      </c>
      <c r="AO81">
        <v>560</v>
      </c>
      <c r="AP81">
        <v>473</v>
      </c>
      <c r="AQ81">
        <v>175</v>
      </c>
      <c r="AR81" s="122">
        <v>4476</v>
      </c>
      <c r="AS81" s="122">
        <v>4069</v>
      </c>
      <c r="AT81">
        <v>0</v>
      </c>
      <c r="AU81">
        <v>0</v>
      </c>
      <c r="AV81" s="122">
        <v>7764</v>
      </c>
    </row>
    <row r="82" spans="2:48" ht="12.75" hidden="1" customHeight="1">
      <c r="B82" t="s">
        <v>362</v>
      </c>
      <c r="C82" t="s">
        <v>64</v>
      </c>
      <c r="D82" t="s">
        <v>407</v>
      </c>
      <c r="E82" t="s">
        <v>137</v>
      </c>
      <c r="F82">
        <v>1</v>
      </c>
      <c r="G82" s="122">
        <v>63</v>
      </c>
      <c r="H82" s="122">
        <v>565</v>
      </c>
      <c r="I82" s="122">
        <v>22127</v>
      </c>
      <c r="J82" s="122">
        <v>20116</v>
      </c>
      <c r="K82" s="122">
        <v>65</v>
      </c>
      <c r="L82" s="122">
        <v>7597</v>
      </c>
      <c r="M82" s="122">
        <v>6906</v>
      </c>
      <c r="N82" s="122">
        <v>1349</v>
      </c>
      <c r="O82" s="122">
        <v>500</v>
      </c>
      <c r="P82" s="122">
        <v>473</v>
      </c>
      <c r="Q82" s="122">
        <v>175</v>
      </c>
      <c r="R82" s="122">
        <v>3814</v>
      </c>
      <c r="S82" s="122">
        <v>1413</v>
      </c>
      <c r="T82" s="122">
        <v>0</v>
      </c>
      <c r="U82" s="122">
        <v>0</v>
      </c>
      <c r="V82" s="122">
        <v>29109</v>
      </c>
      <c r="W82" s="122">
        <f t="shared" si="2"/>
        <v>29110</v>
      </c>
      <c r="X82" s="122">
        <f t="shared" si="3"/>
        <v>35360</v>
      </c>
      <c r="Y82" s="122"/>
      <c r="AA82" t="s">
        <v>50</v>
      </c>
      <c r="AB82" t="s">
        <v>405</v>
      </c>
      <c r="AC82" t="s">
        <v>426</v>
      </c>
      <c r="AD82" t="s">
        <v>405</v>
      </c>
      <c r="AE82" t="s">
        <v>137</v>
      </c>
      <c r="AF82">
        <v>14</v>
      </c>
      <c r="AG82" s="122">
        <v>1582</v>
      </c>
      <c r="AH82" s="122">
        <v>1278</v>
      </c>
      <c r="AI82" s="122">
        <v>55062</v>
      </c>
      <c r="AJ82" s="122">
        <v>50056</v>
      </c>
      <c r="AK82">
        <v>88</v>
      </c>
      <c r="AL82" s="122">
        <v>15330</v>
      </c>
      <c r="AM82" s="122">
        <v>13936</v>
      </c>
      <c r="AN82" s="122">
        <v>19276</v>
      </c>
      <c r="AO82" s="122">
        <v>7139</v>
      </c>
      <c r="AP82" s="122">
        <v>6615</v>
      </c>
      <c r="AQ82" s="122">
        <v>2450</v>
      </c>
      <c r="AR82" s="122">
        <v>48577</v>
      </c>
      <c r="AS82" s="122">
        <v>44161</v>
      </c>
      <c r="AT82">
        <v>0</v>
      </c>
      <c r="AU82">
        <v>0</v>
      </c>
      <c r="AV82" s="122">
        <v>117743</v>
      </c>
    </row>
    <row r="83" spans="2:48" ht="12.75" hidden="1" customHeight="1">
      <c r="B83" t="s">
        <v>362</v>
      </c>
      <c r="C83" t="s">
        <v>64</v>
      </c>
      <c r="D83" t="s">
        <v>407</v>
      </c>
      <c r="E83" t="s">
        <v>407</v>
      </c>
      <c r="F83">
        <v>19</v>
      </c>
      <c r="G83" s="122">
        <v>1677</v>
      </c>
      <c r="H83" s="122">
        <v>9951</v>
      </c>
      <c r="I83" s="122">
        <v>552931</v>
      </c>
      <c r="J83" s="122">
        <v>502665</v>
      </c>
      <c r="K83" s="122">
        <v>73</v>
      </c>
      <c r="L83" s="122">
        <v>154450</v>
      </c>
      <c r="M83" s="122">
        <v>137943</v>
      </c>
      <c r="N83" s="122">
        <v>37316</v>
      </c>
      <c r="O83" s="122">
        <v>13821</v>
      </c>
      <c r="P83" s="122">
        <v>9126</v>
      </c>
      <c r="Q83" s="122">
        <v>3380</v>
      </c>
      <c r="R83" s="122">
        <v>92769</v>
      </c>
      <c r="S83" s="122">
        <v>84335</v>
      </c>
      <c r="T83" s="122">
        <v>32178</v>
      </c>
      <c r="U83" s="122">
        <v>11918</v>
      </c>
      <c r="V83" s="122">
        <v>754062</v>
      </c>
      <c r="W83" s="122">
        <f t="shared" si="2"/>
        <v>754062</v>
      </c>
      <c r="X83" s="122">
        <f t="shared" si="3"/>
        <v>878770</v>
      </c>
      <c r="Y83" s="122"/>
      <c r="AA83" t="s">
        <v>50</v>
      </c>
      <c r="AB83" t="s">
        <v>405</v>
      </c>
      <c r="AC83" t="s">
        <v>426</v>
      </c>
      <c r="AD83" t="s">
        <v>405</v>
      </c>
      <c r="AE83" t="s">
        <v>566</v>
      </c>
      <c r="AF83">
        <v>2</v>
      </c>
      <c r="AG83">
        <v>262</v>
      </c>
      <c r="AH83">
        <v>179</v>
      </c>
      <c r="AI83" s="122">
        <v>10721</v>
      </c>
      <c r="AJ83" s="122">
        <v>9746</v>
      </c>
      <c r="AK83">
        <v>91</v>
      </c>
      <c r="AL83" s="122">
        <v>2793</v>
      </c>
      <c r="AM83" s="122">
        <v>2539</v>
      </c>
      <c r="AN83" s="122">
        <v>5067</v>
      </c>
      <c r="AO83" s="122">
        <v>1877</v>
      </c>
      <c r="AP83">
        <v>945</v>
      </c>
      <c r="AQ83">
        <v>350</v>
      </c>
      <c r="AR83" s="122">
        <v>3990</v>
      </c>
      <c r="AS83" s="122">
        <v>3627</v>
      </c>
      <c r="AT83">
        <v>0</v>
      </c>
      <c r="AU83">
        <v>0</v>
      </c>
      <c r="AV83" s="122">
        <v>18139</v>
      </c>
    </row>
    <row r="84" spans="2:48" ht="12.75" hidden="1" customHeight="1">
      <c r="B84" t="s">
        <v>362</v>
      </c>
      <c r="C84" t="s">
        <v>64</v>
      </c>
      <c r="D84" t="s">
        <v>556</v>
      </c>
      <c r="E84" t="s">
        <v>137</v>
      </c>
      <c r="F84">
        <v>5</v>
      </c>
      <c r="G84" s="122">
        <v>576</v>
      </c>
      <c r="H84" s="122">
        <v>5629</v>
      </c>
      <c r="I84" s="122">
        <v>599565</v>
      </c>
      <c r="J84" s="122">
        <v>499637</v>
      </c>
      <c r="K84" s="122">
        <v>30</v>
      </c>
      <c r="L84" s="122">
        <v>29406</v>
      </c>
      <c r="M84" s="122">
        <v>12506</v>
      </c>
      <c r="N84" s="122">
        <v>13821</v>
      </c>
      <c r="O84" s="122">
        <v>5119</v>
      </c>
      <c r="P84" s="122">
        <v>0</v>
      </c>
      <c r="Q84" s="122">
        <v>0</v>
      </c>
      <c r="R84" s="122">
        <v>27041</v>
      </c>
      <c r="S84" s="122">
        <v>10015</v>
      </c>
      <c r="T84" s="122">
        <v>0</v>
      </c>
      <c r="U84" s="122">
        <v>0</v>
      </c>
      <c r="V84" s="122">
        <v>527277</v>
      </c>
      <c r="W84" s="122">
        <f t="shared" si="2"/>
        <v>527277</v>
      </c>
      <c r="X84" s="122">
        <f t="shared" si="3"/>
        <v>669833</v>
      </c>
      <c r="Y84" s="122"/>
      <c r="AA84" t="s">
        <v>50</v>
      </c>
      <c r="AB84" t="s">
        <v>405</v>
      </c>
      <c r="AC84" t="s">
        <v>566</v>
      </c>
      <c r="AD84" t="s">
        <v>405</v>
      </c>
      <c r="AE84" t="s">
        <v>566</v>
      </c>
      <c r="AF84">
        <v>25</v>
      </c>
      <c r="AG84" s="122">
        <v>2017</v>
      </c>
      <c r="AH84" s="122">
        <v>2218</v>
      </c>
      <c r="AI84" s="122">
        <v>72282</v>
      </c>
      <c r="AJ84" s="122">
        <v>65711</v>
      </c>
      <c r="AK84">
        <v>91</v>
      </c>
      <c r="AL84">
        <v>0</v>
      </c>
      <c r="AM84">
        <v>0</v>
      </c>
      <c r="AN84" s="122">
        <v>25209</v>
      </c>
      <c r="AO84" s="122">
        <v>9337</v>
      </c>
      <c r="AP84" s="122">
        <v>18949</v>
      </c>
      <c r="AQ84" s="122">
        <v>7018</v>
      </c>
      <c r="AR84" s="122">
        <v>66103</v>
      </c>
      <c r="AS84" s="122">
        <v>60093</v>
      </c>
      <c r="AT84">
        <v>0</v>
      </c>
      <c r="AU84">
        <v>0</v>
      </c>
      <c r="AV84" s="122">
        <v>142159</v>
      </c>
    </row>
    <row r="85" spans="2:48" ht="12.75" hidden="1" customHeight="1">
      <c r="B85" t="s">
        <v>362</v>
      </c>
      <c r="C85" t="s">
        <v>64</v>
      </c>
      <c r="D85" t="s">
        <v>556</v>
      </c>
      <c r="E85" t="s">
        <v>556</v>
      </c>
      <c r="F85">
        <v>12</v>
      </c>
      <c r="G85">
        <v>943</v>
      </c>
      <c r="H85" s="122">
        <v>8231</v>
      </c>
      <c r="I85" s="122">
        <v>454511</v>
      </c>
      <c r="J85" s="122">
        <v>378759</v>
      </c>
      <c r="K85">
        <v>52</v>
      </c>
      <c r="L85" s="122">
        <v>74635</v>
      </c>
      <c r="M85" s="122">
        <v>51410</v>
      </c>
      <c r="N85" s="122">
        <v>18747</v>
      </c>
      <c r="O85" s="122">
        <v>6943</v>
      </c>
      <c r="P85" s="122">
        <v>3861</v>
      </c>
      <c r="Q85" s="122">
        <v>1430</v>
      </c>
      <c r="R85" s="122">
        <v>66578</v>
      </c>
      <c r="S85" s="122">
        <v>55482</v>
      </c>
      <c r="T85" s="122">
        <v>25496</v>
      </c>
      <c r="U85" s="122">
        <v>9443</v>
      </c>
      <c r="V85" s="122">
        <v>503467</v>
      </c>
      <c r="W85" s="122">
        <f t="shared" si="2"/>
        <v>503467</v>
      </c>
      <c r="X85" s="122">
        <f t="shared" si="3"/>
        <v>643828</v>
      </c>
      <c r="Y85" s="122"/>
      <c r="AA85" t="s">
        <v>50</v>
      </c>
      <c r="AB85" t="s">
        <v>405</v>
      </c>
      <c r="AC85" t="s">
        <v>481</v>
      </c>
      <c r="AD85" t="s">
        <v>405</v>
      </c>
      <c r="AE85" t="s">
        <v>566</v>
      </c>
      <c r="AF85">
        <v>15</v>
      </c>
      <c r="AG85" s="122">
        <v>1338</v>
      </c>
      <c r="AH85" s="122">
        <v>1374</v>
      </c>
      <c r="AI85" s="122">
        <v>55239</v>
      </c>
      <c r="AJ85" s="122">
        <v>50217</v>
      </c>
      <c r="AK85">
        <v>92</v>
      </c>
      <c r="AL85" s="122">
        <v>8697</v>
      </c>
      <c r="AM85" s="122">
        <v>7906</v>
      </c>
      <c r="AN85" s="122">
        <v>16303</v>
      </c>
      <c r="AO85" s="122">
        <v>6038</v>
      </c>
      <c r="AP85" s="122">
        <v>12353</v>
      </c>
      <c r="AQ85" s="122">
        <v>4575</v>
      </c>
      <c r="AR85" s="122">
        <v>29931</v>
      </c>
      <c r="AS85" s="122">
        <v>27210</v>
      </c>
      <c r="AT85">
        <v>0</v>
      </c>
      <c r="AU85">
        <v>0</v>
      </c>
      <c r="AV85" s="122">
        <v>95946</v>
      </c>
    </row>
    <row r="86" spans="2:48" ht="12.75" hidden="1" customHeight="1">
      <c r="B86" t="s">
        <v>362</v>
      </c>
      <c r="C86" t="s">
        <v>64</v>
      </c>
      <c r="D86" t="s">
        <v>428</v>
      </c>
      <c r="E86" t="s">
        <v>428</v>
      </c>
      <c r="F86">
        <v>2</v>
      </c>
      <c r="G86">
        <v>161</v>
      </c>
      <c r="H86" s="122">
        <v>1110</v>
      </c>
      <c r="I86" s="122">
        <v>77363</v>
      </c>
      <c r="J86" s="122">
        <v>70330</v>
      </c>
      <c r="K86">
        <v>55</v>
      </c>
      <c r="L86" s="122">
        <v>6211</v>
      </c>
      <c r="M86" s="122">
        <v>5646</v>
      </c>
      <c r="N86" s="122">
        <v>3780</v>
      </c>
      <c r="O86" s="122">
        <v>1400</v>
      </c>
      <c r="P86" s="122">
        <v>702</v>
      </c>
      <c r="Q86" s="122">
        <v>260</v>
      </c>
      <c r="R86" s="122">
        <v>9505</v>
      </c>
      <c r="S86" s="122">
        <v>8641</v>
      </c>
      <c r="T86" s="122">
        <v>4646</v>
      </c>
      <c r="U86" s="122">
        <v>1721</v>
      </c>
      <c r="V86" s="122">
        <v>87997</v>
      </c>
      <c r="W86" s="122">
        <f t="shared" si="2"/>
        <v>87998</v>
      </c>
      <c r="X86" s="122">
        <f t="shared" si="3"/>
        <v>102207</v>
      </c>
      <c r="Y86" s="122"/>
      <c r="AA86" t="s">
        <v>50</v>
      </c>
      <c r="AB86" t="s">
        <v>405</v>
      </c>
      <c r="AC86" t="s">
        <v>433</v>
      </c>
      <c r="AD86" t="s">
        <v>405</v>
      </c>
      <c r="AE86" t="s">
        <v>137</v>
      </c>
      <c r="AF86">
        <v>2</v>
      </c>
      <c r="AG86">
        <v>229</v>
      </c>
      <c r="AH86">
        <v>198</v>
      </c>
      <c r="AI86" s="122">
        <v>9771</v>
      </c>
      <c r="AJ86" s="122">
        <v>8883</v>
      </c>
      <c r="AK86">
        <v>92</v>
      </c>
      <c r="AL86" s="122">
        <v>2450</v>
      </c>
      <c r="AM86" s="122">
        <v>2228</v>
      </c>
      <c r="AN86" s="122">
        <v>4415</v>
      </c>
      <c r="AO86" s="122">
        <v>1635</v>
      </c>
      <c r="AP86">
        <v>945</v>
      </c>
      <c r="AQ86">
        <v>350</v>
      </c>
      <c r="AR86" s="122">
        <v>5103</v>
      </c>
      <c r="AS86" s="122">
        <v>4639</v>
      </c>
      <c r="AT86">
        <v>0</v>
      </c>
      <c r="AU86">
        <v>0</v>
      </c>
      <c r="AV86" s="122">
        <v>17734</v>
      </c>
    </row>
    <row r="87" spans="2:48" ht="12.75" hidden="1" customHeight="1">
      <c r="B87" t="s">
        <v>362</v>
      </c>
      <c r="C87" t="s">
        <v>64</v>
      </c>
      <c r="D87" t="s">
        <v>431</v>
      </c>
      <c r="E87" t="s">
        <v>431</v>
      </c>
      <c r="F87" s="122">
        <v>1</v>
      </c>
      <c r="G87" s="122">
        <v>64</v>
      </c>
      <c r="H87" s="122">
        <v>710</v>
      </c>
      <c r="I87" s="122">
        <v>29716</v>
      </c>
      <c r="J87" s="122">
        <v>27015</v>
      </c>
      <c r="K87" s="122">
        <v>45</v>
      </c>
      <c r="L87" s="122">
        <v>4953</v>
      </c>
      <c r="M87" s="122">
        <v>4502</v>
      </c>
      <c r="N87" s="122">
        <v>1547</v>
      </c>
      <c r="O87" s="122">
        <v>573</v>
      </c>
      <c r="P87" s="122">
        <v>351</v>
      </c>
      <c r="Q87" s="122">
        <v>130</v>
      </c>
      <c r="R87" s="122">
        <v>5874</v>
      </c>
      <c r="S87" s="122">
        <v>5340</v>
      </c>
      <c r="T87" s="122">
        <v>2652</v>
      </c>
      <c r="U87" s="122">
        <v>982</v>
      </c>
      <c r="V87" s="122">
        <v>38542</v>
      </c>
      <c r="W87" s="122">
        <f t="shared" si="2"/>
        <v>38542</v>
      </c>
      <c r="X87" s="122">
        <f t="shared" si="3"/>
        <v>45093</v>
      </c>
      <c r="Y87" s="122"/>
      <c r="AA87" t="s">
        <v>50</v>
      </c>
      <c r="AB87" t="s">
        <v>405</v>
      </c>
      <c r="AC87" t="s">
        <v>433</v>
      </c>
      <c r="AD87" t="s">
        <v>405</v>
      </c>
      <c r="AE87" t="s">
        <v>566</v>
      </c>
      <c r="AF87">
        <v>12</v>
      </c>
      <c r="AG87">
        <v>950</v>
      </c>
      <c r="AH87" s="122">
        <v>1108</v>
      </c>
      <c r="AI87" s="122">
        <v>38082</v>
      </c>
      <c r="AJ87" s="122">
        <v>34620</v>
      </c>
      <c r="AK87">
        <v>90</v>
      </c>
      <c r="AL87" s="122">
        <v>6368</v>
      </c>
      <c r="AM87" s="122">
        <v>5789</v>
      </c>
      <c r="AN87" s="122">
        <v>11576</v>
      </c>
      <c r="AO87" s="122">
        <v>4287</v>
      </c>
      <c r="AP87" s="122">
        <v>5670</v>
      </c>
      <c r="AQ87" s="122">
        <v>2100</v>
      </c>
      <c r="AR87" s="122">
        <v>25039</v>
      </c>
      <c r="AS87" s="122">
        <v>22763</v>
      </c>
      <c r="AT87">
        <v>0</v>
      </c>
      <c r="AU87">
        <v>0</v>
      </c>
      <c r="AV87" s="122">
        <v>69560</v>
      </c>
    </row>
    <row r="88" spans="2:48" ht="12.75" customHeight="1">
      <c r="B88" t="s">
        <v>362</v>
      </c>
      <c r="C88" t="s">
        <v>64</v>
      </c>
      <c r="D88" t="s">
        <v>426</v>
      </c>
      <c r="E88" t="s">
        <v>137</v>
      </c>
      <c r="F88">
        <v>4</v>
      </c>
      <c r="G88" s="122">
        <v>498</v>
      </c>
      <c r="H88" s="122">
        <v>3982</v>
      </c>
      <c r="I88" s="122">
        <v>390268</v>
      </c>
      <c r="J88" s="122">
        <v>354789</v>
      </c>
      <c r="K88" s="122">
        <v>30</v>
      </c>
      <c r="L88" s="122">
        <v>50804</v>
      </c>
      <c r="M88" s="122">
        <v>25626</v>
      </c>
      <c r="N88" s="122">
        <v>10087</v>
      </c>
      <c r="O88" s="122">
        <v>3736</v>
      </c>
      <c r="P88" s="122">
        <v>0</v>
      </c>
      <c r="Q88" s="122">
        <v>0</v>
      </c>
      <c r="R88" s="122">
        <v>50280</v>
      </c>
      <c r="S88" s="122">
        <v>18622</v>
      </c>
      <c r="T88" s="122">
        <v>0</v>
      </c>
      <c r="U88" s="122">
        <v>0</v>
      </c>
      <c r="V88" s="122">
        <v>402773</v>
      </c>
      <c r="W88" s="122">
        <f t="shared" si="2"/>
        <v>402773</v>
      </c>
      <c r="X88" s="122">
        <f t="shared" si="3"/>
        <v>501439</v>
      </c>
      <c r="Y88" s="122"/>
      <c r="AA88" t="s">
        <v>50</v>
      </c>
      <c r="AB88" t="s">
        <v>137</v>
      </c>
      <c r="AC88" t="s">
        <v>578</v>
      </c>
      <c r="AD88" t="s">
        <v>137</v>
      </c>
      <c r="AE88" t="s">
        <v>566</v>
      </c>
      <c r="AF88">
        <v>1</v>
      </c>
      <c r="AG88">
        <v>264</v>
      </c>
      <c r="AH88">
        <v>94</v>
      </c>
      <c r="AI88" s="122">
        <v>12588</v>
      </c>
      <c r="AJ88" s="122">
        <v>4662</v>
      </c>
      <c r="AK88">
        <v>320</v>
      </c>
      <c r="AL88" s="122">
        <v>3039</v>
      </c>
      <c r="AM88" s="122">
        <v>2763</v>
      </c>
      <c r="AN88" s="122">
        <v>7355</v>
      </c>
      <c r="AO88" s="122">
        <v>2724</v>
      </c>
      <c r="AP88" s="122">
        <v>1053</v>
      </c>
      <c r="AQ88">
        <v>390</v>
      </c>
      <c r="AR88" s="122">
        <v>4300</v>
      </c>
      <c r="AS88" s="122">
        <v>1593</v>
      </c>
      <c r="AT88">
        <v>0</v>
      </c>
      <c r="AU88">
        <v>0</v>
      </c>
      <c r="AV88" s="122">
        <v>12132</v>
      </c>
    </row>
    <row r="89" spans="2:48" ht="12.75" hidden="1" customHeight="1">
      <c r="B89" t="s">
        <v>362</v>
      </c>
      <c r="C89" t="s">
        <v>64</v>
      </c>
      <c r="D89" t="s">
        <v>426</v>
      </c>
      <c r="E89" t="s">
        <v>426</v>
      </c>
      <c r="F89" s="122">
        <v>46</v>
      </c>
      <c r="G89" s="122">
        <v>3668</v>
      </c>
      <c r="H89" s="122">
        <v>28872</v>
      </c>
      <c r="I89" s="122">
        <v>1697608</v>
      </c>
      <c r="J89" s="122">
        <v>1543280</v>
      </c>
      <c r="K89">
        <v>49</v>
      </c>
      <c r="L89" s="122">
        <v>200916</v>
      </c>
      <c r="M89" s="122">
        <v>175894</v>
      </c>
      <c r="N89" s="122">
        <v>75616</v>
      </c>
      <c r="O89" s="122">
        <v>28006</v>
      </c>
      <c r="P89" s="122">
        <v>14742</v>
      </c>
      <c r="Q89" s="122">
        <v>5460</v>
      </c>
      <c r="R89" s="122">
        <v>273891</v>
      </c>
      <c r="S89" s="122">
        <v>248991</v>
      </c>
      <c r="T89" s="122">
        <v>84001</v>
      </c>
      <c r="U89" s="122">
        <v>31112</v>
      </c>
      <c r="V89" s="122">
        <v>2032744</v>
      </c>
      <c r="W89" s="122">
        <f t="shared" si="2"/>
        <v>2032743</v>
      </c>
      <c r="X89" s="122">
        <f t="shared" si="3"/>
        <v>2346774</v>
      </c>
      <c r="Y89" s="122"/>
      <c r="AA89" t="s">
        <v>50</v>
      </c>
      <c r="AB89" t="s">
        <v>137</v>
      </c>
      <c r="AC89" t="s">
        <v>425</v>
      </c>
      <c r="AD89" t="s">
        <v>137</v>
      </c>
      <c r="AE89" t="s">
        <v>566</v>
      </c>
      <c r="AF89">
        <v>1</v>
      </c>
      <c r="AG89">
        <v>198</v>
      </c>
      <c r="AH89">
        <v>95</v>
      </c>
      <c r="AI89" s="122">
        <v>7935</v>
      </c>
      <c r="AJ89" s="122">
        <v>2939</v>
      </c>
      <c r="AK89">
        <v>324</v>
      </c>
      <c r="AL89" s="122">
        <v>2007</v>
      </c>
      <c r="AM89" s="122">
        <v>1824</v>
      </c>
      <c r="AN89" s="122">
        <v>2510</v>
      </c>
      <c r="AO89">
        <v>930</v>
      </c>
      <c r="AP89" s="122">
        <v>2198</v>
      </c>
      <c r="AQ89">
        <v>814</v>
      </c>
      <c r="AR89" s="122">
        <v>4250</v>
      </c>
      <c r="AS89" s="122">
        <v>1574</v>
      </c>
      <c r="AT89">
        <v>0</v>
      </c>
      <c r="AU89">
        <v>0</v>
      </c>
      <c r="AV89" s="122">
        <v>8081</v>
      </c>
    </row>
    <row r="90" spans="2:48" ht="12.75" hidden="1" customHeight="1">
      <c r="B90" t="s">
        <v>362</v>
      </c>
      <c r="C90" t="s">
        <v>64</v>
      </c>
      <c r="D90" t="s">
        <v>426</v>
      </c>
      <c r="E90" t="s">
        <v>481</v>
      </c>
      <c r="F90" s="122">
        <v>1</v>
      </c>
      <c r="G90" s="122">
        <v>78</v>
      </c>
      <c r="H90" s="122">
        <v>633</v>
      </c>
      <c r="I90" s="122">
        <v>31143</v>
      </c>
      <c r="J90" s="122">
        <v>28312</v>
      </c>
      <c r="K90" s="122">
        <v>45</v>
      </c>
      <c r="L90" s="122">
        <v>5190</v>
      </c>
      <c r="M90" s="122">
        <v>4719</v>
      </c>
      <c r="N90" s="122">
        <v>1526</v>
      </c>
      <c r="O90" s="122">
        <v>565</v>
      </c>
      <c r="P90" s="122">
        <v>351</v>
      </c>
      <c r="Q90" s="122">
        <v>130</v>
      </c>
      <c r="R90" s="122">
        <v>11304</v>
      </c>
      <c r="S90" s="122">
        <v>10277</v>
      </c>
      <c r="T90" s="122">
        <v>0</v>
      </c>
      <c r="U90" s="122">
        <v>0</v>
      </c>
      <c r="V90" s="122">
        <v>44002</v>
      </c>
      <c r="W90" s="122">
        <f t="shared" si="2"/>
        <v>44003</v>
      </c>
      <c r="X90" s="122">
        <f t="shared" si="3"/>
        <v>49514</v>
      </c>
      <c r="Y90" s="122"/>
      <c r="AA90" t="s">
        <v>50</v>
      </c>
      <c r="AB90" t="s">
        <v>137</v>
      </c>
      <c r="AC90" t="s">
        <v>405</v>
      </c>
      <c r="AD90" t="s">
        <v>137</v>
      </c>
      <c r="AE90" t="s">
        <v>566</v>
      </c>
      <c r="AF90">
        <v>1</v>
      </c>
      <c r="AG90">
        <v>278</v>
      </c>
      <c r="AH90">
        <v>98</v>
      </c>
      <c r="AI90" s="122">
        <v>8723</v>
      </c>
      <c r="AJ90" s="122">
        <v>3231</v>
      </c>
      <c r="AK90">
        <v>300</v>
      </c>
      <c r="AL90" s="122">
        <v>3949</v>
      </c>
      <c r="AM90" s="122">
        <v>3590</v>
      </c>
      <c r="AN90" s="122">
        <v>6774</v>
      </c>
      <c r="AO90" s="122">
        <v>2509</v>
      </c>
      <c r="AP90">
        <v>702</v>
      </c>
      <c r="AQ90">
        <v>260</v>
      </c>
      <c r="AR90" s="122">
        <v>6998</v>
      </c>
      <c r="AS90" s="122">
        <v>2592</v>
      </c>
      <c r="AT90">
        <v>0</v>
      </c>
      <c r="AU90">
        <v>0</v>
      </c>
      <c r="AV90" s="122">
        <v>12181</v>
      </c>
    </row>
    <row r="91" spans="2:48" ht="12.75" hidden="1" customHeight="1">
      <c r="B91" t="s">
        <v>362</v>
      </c>
      <c r="C91" t="s">
        <v>64</v>
      </c>
      <c r="D91" t="s">
        <v>433</v>
      </c>
      <c r="E91" t="s">
        <v>433</v>
      </c>
      <c r="F91">
        <v>1</v>
      </c>
      <c r="G91">
        <v>68</v>
      </c>
      <c r="H91" s="122">
        <v>630</v>
      </c>
      <c r="I91" s="122">
        <v>34681</v>
      </c>
      <c r="J91" s="122">
        <v>31528</v>
      </c>
      <c r="K91" s="122">
        <v>55</v>
      </c>
      <c r="L91" s="122">
        <v>0</v>
      </c>
      <c r="M91" s="122">
        <v>0</v>
      </c>
      <c r="N91" s="122">
        <v>1066</v>
      </c>
      <c r="O91" s="122">
        <v>395</v>
      </c>
      <c r="P91">
        <v>351</v>
      </c>
      <c r="Q91" s="122">
        <v>130</v>
      </c>
      <c r="R91" s="122">
        <v>4642</v>
      </c>
      <c r="S91" s="122">
        <v>4220</v>
      </c>
      <c r="T91" s="122">
        <v>2000</v>
      </c>
      <c r="U91" s="122">
        <v>741</v>
      </c>
      <c r="V91" s="122">
        <v>37014</v>
      </c>
      <c r="W91" s="122">
        <f t="shared" si="2"/>
        <v>37014</v>
      </c>
      <c r="X91" s="122">
        <f t="shared" si="3"/>
        <v>42740</v>
      </c>
      <c r="Y91" s="122"/>
      <c r="AA91" t="s">
        <v>50</v>
      </c>
      <c r="AB91" t="s">
        <v>137</v>
      </c>
      <c r="AC91" t="s">
        <v>137</v>
      </c>
      <c r="AD91" t="s">
        <v>137</v>
      </c>
      <c r="AE91" t="s">
        <v>137</v>
      </c>
      <c r="AF91">
        <v>2</v>
      </c>
      <c r="AG91">
        <v>354</v>
      </c>
      <c r="AH91">
        <v>168</v>
      </c>
      <c r="AI91" s="122">
        <v>8271</v>
      </c>
      <c r="AJ91" s="122">
        <v>3063</v>
      </c>
      <c r="AK91">
        <v>307</v>
      </c>
      <c r="AL91" s="122">
        <v>3575</v>
      </c>
      <c r="AM91" s="122">
        <v>1324</v>
      </c>
      <c r="AN91" s="122">
        <v>8240</v>
      </c>
      <c r="AO91" s="122">
        <v>3052</v>
      </c>
      <c r="AP91" s="122">
        <v>4040</v>
      </c>
      <c r="AQ91" s="122">
        <v>1496</v>
      </c>
      <c r="AR91" s="122">
        <v>10564</v>
      </c>
      <c r="AS91" s="122">
        <v>3913</v>
      </c>
      <c r="AT91">
        <v>0</v>
      </c>
      <c r="AU91">
        <v>0</v>
      </c>
      <c r="AV91" s="122">
        <v>12848</v>
      </c>
    </row>
    <row r="92" spans="2:48" ht="12.75" hidden="1" customHeight="1">
      <c r="B92" t="s">
        <v>363</v>
      </c>
      <c r="C92" t="s">
        <v>48</v>
      </c>
      <c r="D92" t="s">
        <v>137</v>
      </c>
      <c r="E92" t="s">
        <v>137</v>
      </c>
      <c r="F92">
        <v>20</v>
      </c>
      <c r="G92" s="122">
        <v>2374</v>
      </c>
      <c r="H92" s="122">
        <v>1152</v>
      </c>
      <c r="I92" s="122">
        <v>20703</v>
      </c>
      <c r="J92" s="122">
        <v>7668</v>
      </c>
      <c r="K92" s="122">
        <v>419</v>
      </c>
      <c r="L92" s="122">
        <v>2442</v>
      </c>
      <c r="M92" s="122">
        <v>2220</v>
      </c>
      <c r="N92" s="122">
        <v>32422</v>
      </c>
      <c r="O92" s="122">
        <v>12008</v>
      </c>
      <c r="P92" s="122">
        <v>11049</v>
      </c>
      <c r="Q92" s="122">
        <v>4092</v>
      </c>
      <c r="R92" s="122">
        <v>66306</v>
      </c>
      <c r="S92" s="122">
        <v>24558</v>
      </c>
      <c r="T92" s="122">
        <v>0</v>
      </c>
      <c r="U92" s="122">
        <v>0</v>
      </c>
      <c r="V92" s="122">
        <v>50546</v>
      </c>
      <c r="W92" s="122">
        <f t="shared" si="2"/>
        <v>50546</v>
      </c>
      <c r="X92" s="122">
        <f t="shared" si="3"/>
        <v>132922</v>
      </c>
      <c r="Y92" s="122"/>
      <c r="AA92" t="s">
        <v>50</v>
      </c>
      <c r="AB92" t="s">
        <v>137</v>
      </c>
      <c r="AC92" t="s">
        <v>137</v>
      </c>
      <c r="AD92" t="s">
        <v>137</v>
      </c>
      <c r="AE92" t="s">
        <v>566</v>
      </c>
      <c r="AF92">
        <v>19</v>
      </c>
      <c r="AG92" s="122">
        <v>1764</v>
      </c>
      <c r="AH92" s="122">
        <v>1706</v>
      </c>
      <c r="AI92" s="122">
        <v>35199</v>
      </c>
      <c r="AJ92" s="122">
        <v>13037</v>
      </c>
      <c r="AK92">
        <v>371</v>
      </c>
      <c r="AL92" s="122">
        <v>13077</v>
      </c>
      <c r="AM92" s="122">
        <v>4843</v>
      </c>
      <c r="AN92" s="122">
        <v>27870</v>
      </c>
      <c r="AO92" s="122">
        <v>10322</v>
      </c>
      <c r="AP92" s="122">
        <v>11407</v>
      </c>
      <c r="AQ92" s="122">
        <v>4225</v>
      </c>
      <c r="AR92" s="122">
        <v>71557</v>
      </c>
      <c r="AS92" s="122">
        <v>26502</v>
      </c>
      <c r="AT92">
        <v>0</v>
      </c>
      <c r="AU92">
        <v>0</v>
      </c>
      <c r="AV92" s="122">
        <v>58930</v>
      </c>
    </row>
    <row r="93" spans="2:48" ht="12.75" hidden="1" customHeight="1">
      <c r="B93" t="s">
        <v>363</v>
      </c>
      <c r="C93" t="s">
        <v>48</v>
      </c>
      <c r="D93" t="s">
        <v>406</v>
      </c>
      <c r="E93" t="s">
        <v>406</v>
      </c>
      <c r="F93" s="122">
        <v>39</v>
      </c>
      <c r="G93" s="122">
        <v>4139</v>
      </c>
      <c r="H93" s="122">
        <v>2456</v>
      </c>
      <c r="I93" s="122">
        <v>38293</v>
      </c>
      <c r="J93" s="122">
        <v>34812</v>
      </c>
      <c r="K93" s="122">
        <v>93</v>
      </c>
      <c r="L93" s="122">
        <v>4082</v>
      </c>
      <c r="M93" s="122">
        <v>3050</v>
      </c>
      <c r="N93" s="122">
        <v>50427</v>
      </c>
      <c r="O93" s="122">
        <v>18677</v>
      </c>
      <c r="P93" s="122">
        <v>24219</v>
      </c>
      <c r="Q93" s="122">
        <v>8970</v>
      </c>
      <c r="R93" s="122">
        <v>143820</v>
      </c>
      <c r="S93" s="122">
        <v>130746</v>
      </c>
      <c r="T93" s="122">
        <v>0</v>
      </c>
      <c r="U93" s="122">
        <v>0</v>
      </c>
      <c r="V93" s="122">
        <v>196254</v>
      </c>
      <c r="W93" s="122">
        <f t="shared" si="2"/>
        <v>196255</v>
      </c>
      <c r="X93" s="122">
        <f t="shared" si="3"/>
        <v>260841</v>
      </c>
      <c r="Y93" s="122"/>
      <c r="AA93" t="s">
        <v>50</v>
      </c>
      <c r="AB93" t="s">
        <v>137</v>
      </c>
      <c r="AC93" t="s">
        <v>580</v>
      </c>
      <c r="AD93" t="s">
        <v>137</v>
      </c>
      <c r="AE93" t="s">
        <v>566</v>
      </c>
      <c r="AF93">
        <v>1</v>
      </c>
      <c r="AG93">
        <v>93</v>
      </c>
      <c r="AH93">
        <v>98</v>
      </c>
      <c r="AI93" s="122">
        <v>2292</v>
      </c>
      <c r="AJ93">
        <v>849</v>
      </c>
      <c r="AK93">
        <v>325</v>
      </c>
      <c r="AL93">
        <v>482</v>
      </c>
      <c r="AM93">
        <v>438</v>
      </c>
      <c r="AN93" s="122">
        <v>1897</v>
      </c>
      <c r="AO93">
        <v>703</v>
      </c>
      <c r="AP93">
        <v>621</v>
      </c>
      <c r="AQ93">
        <v>230</v>
      </c>
      <c r="AR93" s="122">
        <v>3837</v>
      </c>
      <c r="AS93" s="122">
        <v>1421</v>
      </c>
      <c r="AT93">
        <v>0</v>
      </c>
      <c r="AU93">
        <v>0</v>
      </c>
      <c r="AV93" s="122">
        <v>3640</v>
      </c>
    </row>
    <row r="94" spans="2:48" ht="12.75" hidden="1" customHeight="1">
      <c r="B94" t="s">
        <v>363</v>
      </c>
      <c r="C94" t="s">
        <v>48</v>
      </c>
      <c r="D94" t="s">
        <v>407</v>
      </c>
      <c r="E94" t="s">
        <v>407</v>
      </c>
      <c r="F94">
        <v>18</v>
      </c>
      <c r="G94" s="122">
        <v>2406</v>
      </c>
      <c r="H94" s="122">
        <v>998</v>
      </c>
      <c r="I94" s="122">
        <v>26684</v>
      </c>
      <c r="J94" s="122">
        <v>24258</v>
      </c>
      <c r="K94" s="122">
        <v>91</v>
      </c>
      <c r="L94" s="122">
        <v>245</v>
      </c>
      <c r="M94" s="122">
        <v>223</v>
      </c>
      <c r="N94" s="122">
        <v>29312</v>
      </c>
      <c r="O94" s="122">
        <v>10856</v>
      </c>
      <c r="P94" s="122">
        <v>8505</v>
      </c>
      <c r="Q94" s="122">
        <v>3150</v>
      </c>
      <c r="R94" s="122">
        <v>68397</v>
      </c>
      <c r="S94" s="122">
        <v>62179</v>
      </c>
      <c r="T94" s="122">
        <v>0</v>
      </c>
      <c r="U94" s="122">
        <v>0</v>
      </c>
      <c r="V94" s="122">
        <v>100666</v>
      </c>
      <c r="W94" s="122">
        <f t="shared" si="2"/>
        <v>100666</v>
      </c>
      <c r="X94" s="122">
        <f t="shared" si="3"/>
        <v>133143</v>
      </c>
      <c r="Y94" s="122"/>
      <c r="AA94" t="s">
        <v>50</v>
      </c>
      <c r="AB94" t="s">
        <v>137</v>
      </c>
      <c r="AC94" t="s">
        <v>427</v>
      </c>
      <c r="AD94" t="s">
        <v>137</v>
      </c>
      <c r="AE94" t="s">
        <v>137</v>
      </c>
      <c r="AF94">
        <v>2</v>
      </c>
      <c r="AG94">
        <v>389</v>
      </c>
      <c r="AH94">
        <v>172</v>
      </c>
      <c r="AI94" s="122">
        <v>11682</v>
      </c>
      <c r="AJ94" s="122">
        <v>4327</v>
      </c>
      <c r="AK94">
        <v>399</v>
      </c>
      <c r="AL94" s="122">
        <v>6645</v>
      </c>
      <c r="AM94" s="122">
        <v>6041</v>
      </c>
      <c r="AN94" s="122">
        <v>6024</v>
      </c>
      <c r="AO94" s="122">
        <v>2231</v>
      </c>
      <c r="AP94" s="122">
        <v>1053</v>
      </c>
      <c r="AQ94">
        <v>390</v>
      </c>
      <c r="AR94" s="122">
        <v>8215</v>
      </c>
      <c r="AS94" s="122">
        <v>3043</v>
      </c>
      <c r="AT94">
        <v>0</v>
      </c>
      <c r="AU94">
        <v>0</v>
      </c>
      <c r="AV94" s="122">
        <v>16032</v>
      </c>
    </row>
    <row r="95" spans="2:48" ht="12.75" hidden="1" customHeight="1">
      <c r="B95" t="s">
        <v>363</v>
      </c>
      <c r="C95" t="s">
        <v>50</v>
      </c>
      <c r="D95" t="s">
        <v>406</v>
      </c>
      <c r="E95" t="s">
        <v>406</v>
      </c>
      <c r="F95" s="122">
        <v>18</v>
      </c>
      <c r="G95" s="122">
        <v>2008</v>
      </c>
      <c r="H95" s="122">
        <v>1588</v>
      </c>
      <c r="I95" s="122">
        <v>67540</v>
      </c>
      <c r="J95" s="122">
        <v>61400</v>
      </c>
      <c r="K95" s="122">
        <v>94</v>
      </c>
      <c r="L95" s="122">
        <v>12720</v>
      </c>
      <c r="M95" s="122">
        <v>6426</v>
      </c>
      <c r="N95" s="122">
        <v>24470</v>
      </c>
      <c r="O95" s="122">
        <v>9063</v>
      </c>
      <c r="P95" s="122">
        <v>11178</v>
      </c>
      <c r="Q95" s="122">
        <v>4140</v>
      </c>
      <c r="R95" s="122">
        <v>60976</v>
      </c>
      <c r="S95" s="122">
        <v>55433</v>
      </c>
      <c r="T95" s="122">
        <v>0</v>
      </c>
      <c r="U95" s="122">
        <v>0</v>
      </c>
      <c r="V95" s="122">
        <v>136462</v>
      </c>
      <c r="W95" s="122">
        <f t="shared" si="2"/>
        <v>136462</v>
      </c>
      <c r="X95" s="122">
        <f t="shared" si="3"/>
        <v>176884</v>
      </c>
      <c r="Y95" s="122"/>
      <c r="AA95" t="s">
        <v>50</v>
      </c>
      <c r="AB95" t="s">
        <v>137</v>
      </c>
      <c r="AC95" t="s">
        <v>427</v>
      </c>
      <c r="AD95" t="s">
        <v>137</v>
      </c>
      <c r="AE95" t="s">
        <v>566</v>
      </c>
      <c r="AF95">
        <v>2</v>
      </c>
      <c r="AG95">
        <v>313</v>
      </c>
      <c r="AH95">
        <v>172</v>
      </c>
      <c r="AI95" s="122">
        <v>6796</v>
      </c>
      <c r="AJ95" s="122">
        <v>2517</v>
      </c>
      <c r="AK95">
        <v>413</v>
      </c>
      <c r="AL95" s="122">
        <v>2282</v>
      </c>
      <c r="AM95" s="122">
        <v>2075</v>
      </c>
      <c r="AN95" s="122">
        <v>3809</v>
      </c>
      <c r="AO95" s="122">
        <v>1411</v>
      </c>
      <c r="AP95" s="122">
        <v>1108</v>
      </c>
      <c r="AQ95">
        <v>410</v>
      </c>
      <c r="AR95" s="122">
        <v>12183</v>
      </c>
      <c r="AS95" s="122">
        <v>4512</v>
      </c>
      <c r="AT95">
        <v>0</v>
      </c>
      <c r="AU95">
        <v>0</v>
      </c>
      <c r="AV95" s="122">
        <v>10925</v>
      </c>
    </row>
    <row r="96" spans="2:48" ht="12.75" hidden="1" customHeight="1">
      <c r="B96" t="s">
        <v>363</v>
      </c>
      <c r="C96" t="s">
        <v>50</v>
      </c>
      <c r="D96" t="s">
        <v>407</v>
      </c>
      <c r="E96" s="122" t="s">
        <v>407</v>
      </c>
      <c r="F96" s="122">
        <v>23</v>
      </c>
      <c r="G96" s="122">
        <v>2854</v>
      </c>
      <c r="H96" s="122">
        <v>2232</v>
      </c>
      <c r="I96" s="122">
        <v>113214</v>
      </c>
      <c r="J96" s="122">
        <v>102922</v>
      </c>
      <c r="K96" s="122">
        <v>89</v>
      </c>
      <c r="L96" s="122">
        <v>13312</v>
      </c>
      <c r="M96" s="122">
        <v>12102</v>
      </c>
      <c r="N96" s="122">
        <v>39051</v>
      </c>
      <c r="O96" s="122">
        <v>14463</v>
      </c>
      <c r="P96" s="122">
        <v>16666</v>
      </c>
      <c r="Q96" s="122">
        <v>6172</v>
      </c>
      <c r="R96" s="122">
        <v>88365</v>
      </c>
      <c r="S96" s="122">
        <v>80332</v>
      </c>
      <c r="T96" s="122">
        <v>6099</v>
      </c>
      <c r="U96" s="122">
        <v>2259</v>
      </c>
      <c r="V96" s="122">
        <v>218251</v>
      </c>
      <c r="W96" s="122">
        <f t="shared" si="2"/>
        <v>218250</v>
      </c>
      <c r="X96" s="122">
        <f t="shared" si="3"/>
        <v>276707</v>
      </c>
      <c r="Y96" s="122"/>
      <c r="AA96" t="s">
        <v>50</v>
      </c>
      <c r="AB96" t="s">
        <v>137</v>
      </c>
      <c r="AC96" t="s">
        <v>407</v>
      </c>
      <c r="AD96" t="s">
        <v>137</v>
      </c>
      <c r="AE96" t="s">
        <v>566</v>
      </c>
      <c r="AF96">
        <v>23</v>
      </c>
      <c r="AG96" s="122">
        <v>2830</v>
      </c>
      <c r="AH96" s="122">
        <v>2055</v>
      </c>
      <c r="AI96" s="122">
        <v>77829</v>
      </c>
      <c r="AJ96" s="122">
        <v>28825</v>
      </c>
      <c r="AK96">
        <v>376</v>
      </c>
      <c r="AL96" s="122">
        <v>16752</v>
      </c>
      <c r="AM96" s="122">
        <v>15229</v>
      </c>
      <c r="AN96" s="122">
        <v>42153</v>
      </c>
      <c r="AO96" s="122">
        <v>15612</v>
      </c>
      <c r="AP96" s="122">
        <v>26935</v>
      </c>
      <c r="AQ96" s="122">
        <v>9976</v>
      </c>
      <c r="AR96" s="122">
        <v>96244</v>
      </c>
      <c r="AS96" s="122">
        <v>35646</v>
      </c>
      <c r="AT96">
        <v>0</v>
      </c>
      <c r="AU96">
        <v>0</v>
      </c>
      <c r="AV96" s="122">
        <v>105289</v>
      </c>
    </row>
    <row r="97" spans="2:48" ht="12.75" hidden="1" customHeight="1">
      <c r="B97" t="s">
        <v>363</v>
      </c>
      <c r="C97" t="s">
        <v>52</v>
      </c>
      <c r="D97" t="s">
        <v>405</v>
      </c>
      <c r="E97" t="s">
        <v>405</v>
      </c>
      <c r="F97">
        <v>12</v>
      </c>
      <c r="G97" s="122">
        <v>1227</v>
      </c>
      <c r="H97" s="122">
        <v>1442</v>
      </c>
      <c r="I97" s="122">
        <v>68925</v>
      </c>
      <c r="J97" s="122">
        <v>62659</v>
      </c>
      <c r="K97" s="122">
        <v>90</v>
      </c>
      <c r="L97" s="122">
        <v>2677</v>
      </c>
      <c r="M97" s="122">
        <v>2433</v>
      </c>
      <c r="N97" s="122">
        <v>20473</v>
      </c>
      <c r="O97" s="122">
        <v>7583</v>
      </c>
      <c r="P97" s="122">
        <v>7126</v>
      </c>
      <c r="Q97" s="122">
        <v>2639</v>
      </c>
      <c r="R97" s="122">
        <v>48207</v>
      </c>
      <c r="S97" s="122">
        <v>43824</v>
      </c>
      <c r="T97" s="122">
        <v>0</v>
      </c>
      <c r="U97" s="122">
        <v>0</v>
      </c>
      <c r="V97" s="122">
        <v>119138</v>
      </c>
      <c r="W97" s="122">
        <f t="shared" si="2"/>
        <v>119138</v>
      </c>
      <c r="X97" s="122">
        <f t="shared" si="3"/>
        <v>147408</v>
      </c>
      <c r="Y97" s="122"/>
      <c r="AA97" t="s">
        <v>50</v>
      </c>
      <c r="AB97" t="s">
        <v>137</v>
      </c>
      <c r="AC97" t="s">
        <v>579</v>
      </c>
      <c r="AD97" t="s">
        <v>137</v>
      </c>
      <c r="AE97" t="s">
        <v>137</v>
      </c>
      <c r="AF97">
        <v>4</v>
      </c>
      <c r="AG97">
        <v>715</v>
      </c>
      <c r="AH97">
        <v>342</v>
      </c>
      <c r="AI97" s="122">
        <v>15966</v>
      </c>
      <c r="AJ97" s="122">
        <v>5913</v>
      </c>
      <c r="AK97">
        <v>450</v>
      </c>
      <c r="AL97" s="122">
        <v>9316</v>
      </c>
      <c r="AM97" s="122">
        <v>7764</v>
      </c>
      <c r="AN97" s="122">
        <v>11148</v>
      </c>
      <c r="AO97" s="122">
        <v>4129</v>
      </c>
      <c r="AP97" s="122">
        <v>3029</v>
      </c>
      <c r="AQ97" s="122">
        <v>1122</v>
      </c>
      <c r="AR97" s="122">
        <v>22871</v>
      </c>
      <c r="AS97" s="122">
        <v>8471</v>
      </c>
      <c r="AT97">
        <v>0</v>
      </c>
      <c r="AU97">
        <v>0</v>
      </c>
      <c r="AV97" s="122">
        <v>27398</v>
      </c>
    </row>
    <row r="98" spans="2:48" ht="12.75" hidden="1" customHeight="1">
      <c r="B98" t="s">
        <v>363</v>
      </c>
      <c r="C98" t="s">
        <v>52</v>
      </c>
      <c r="D98" t="s">
        <v>137</v>
      </c>
      <c r="E98" t="s">
        <v>137</v>
      </c>
      <c r="F98">
        <v>1</v>
      </c>
      <c r="G98">
        <v>107</v>
      </c>
      <c r="H98" s="122">
        <v>112</v>
      </c>
      <c r="I98" s="122">
        <v>6100</v>
      </c>
      <c r="J98" s="122">
        <v>2259</v>
      </c>
      <c r="K98" s="122">
        <v>348</v>
      </c>
      <c r="L98" s="122">
        <v>1602</v>
      </c>
      <c r="M98" s="122">
        <v>1456</v>
      </c>
      <c r="N98" s="122">
        <v>1667</v>
      </c>
      <c r="O98" s="122">
        <v>617</v>
      </c>
      <c r="P98" s="122">
        <v>621</v>
      </c>
      <c r="Q98" s="122">
        <v>230</v>
      </c>
      <c r="R98" s="122">
        <v>4195</v>
      </c>
      <c r="S98" s="122">
        <v>1554</v>
      </c>
      <c r="T98" s="122">
        <v>0</v>
      </c>
      <c r="U98" s="122">
        <v>0</v>
      </c>
      <c r="V98" s="122">
        <v>6116</v>
      </c>
      <c r="W98" s="122">
        <f t="shared" si="2"/>
        <v>6116</v>
      </c>
      <c r="X98" s="122">
        <f t="shared" si="3"/>
        <v>14185</v>
      </c>
      <c r="Y98" s="122"/>
      <c r="AA98" t="s">
        <v>50</v>
      </c>
      <c r="AB98" t="s">
        <v>137</v>
      </c>
      <c r="AC98" t="s">
        <v>579</v>
      </c>
      <c r="AD98" t="s">
        <v>137</v>
      </c>
      <c r="AE98" t="s">
        <v>566</v>
      </c>
      <c r="AF98">
        <v>139</v>
      </c>
      <c r="AG98" s="122">
        <v>15298</v>
      </c>
      <c r="AH98" s="122">
        <v>12507</v>
      </c>
      <c r="AI98" s="122">
        <v>411095</v>
      </c>
      <c r="AJ98" s="122">
        <v>152257</v>
      </c>
      <c r="AK98">
        <v>402</v>
      </c>
      <c r="AL98" s="122">
        <v>136811</v>
      </c>
      <c r="AM98" s="122">
        <v>114009</v>
      </c>
      <c r="AN98" s="122">
        <v>224857</v>
      </c>
      <c r="AO98" s="122">
        <v>83280</v>
      </c>
      <c r="AP98" s="122">
        <v>81525</v>
      </c>
      <c r="AQ98" s="122">
        <v>30195</v>
      </c>
      <c r="AR98" s="122">
        <v>523538</v>
      </c>
      <c r="AS98" s="122">
        <v>193903</v>
      </c>
      <c r="AT98">
        <v>0</v>
      </c>
      <c r="AU98">
        <v>0</v>
      </c>
      <c r="AV98" s="122">
        <v>573644</v>
      </c>
    </row>
    <row r="99" spans="2:48" ht="12.75" hidden="1" customHeight="1">
      <c r="B99" t="s">
        <v>363</v>
      </c>
      <c r="C99" t="s">
        <v>52</v>
      </c>
      <c r="D99" t="s">
        <v>406</v>
      </c>
      <c r="E99" t="s">
        <v>406</v>
      </c>
      <c r="F99" s="122">
        <v>80</v>
      </c>
      <c r="G99" s="122">
        <v>8903</v>
      </c>
      <c r="H99" s="122">
        <v>9220</v>
      </c>
      <c r="I99" s="122">
        <v>437398</v>
      </c>
      <c r="J99" s="122">
        <v>397635</v>
      </c>
      <c r="K99" s="122">
        <v>92</v>
      </c>
      <c r="L99" s="122">
        <v>86390</v>
      </c>
      <c r="M99" s="122">
        <v>77993</v>
      </c>
      <c r="N99" s="122">
        <v>136188</v>
      </c>
      <c r="O99" s="122">
        <v>50440</v>
      </c>
      <c r="P99" s="122">
        <v>59140</v>
      </c>
      <c r="Q99" s="122">
        <v>21904</v>
      </c>
      <c r="R99" s="122">
        <v>309824</v>
      </c>
      <c r="S99" s="122">
        <v>281658</v>
      </c>
      <c r="T99" s="122">
        <v>4431</v>
      </c>
      <c r="U99" s="122">
        <v>1641</v>
      </c>
      <c r="V99" s="122">
        <v>831271</v>
      </c>
      <c r="W99" s="122">
        <f t="shared" si="2"/>
        <v>831271</v>
      </c>
      <c r="X99" s="122">
        <f t="shared" si="3"/>
        <v>1033371</v>
      </c>
      <c r="Y99" s="122"/>
      <c r="AA99" t="s">
        <v>50</v>
      </c>
      <c r="AB99" t="s">
        <v>137</v>
      </c>
      <c r="AC99" t="s">
        <v>579</v>
      </c>
      <c r="AD99" t="s">
        <v>407</v>
      </c>
      <c r="AE99" t="s">
        <v>566</v>
      </c>
      <c r="AF99">
        <v>1</v>
      </c>
      <c r="AG99">
        <v>139</v>
      </c>
      <c r="AH99">
        <v>95</v>
      </c>
      <c r="AI99" s="122">
        <v>4110</v>
      </c>
      <c r="AJ99" s="122">
        <v>1522</v>
      </c>
      <c r="AK99">
        <v>250</v>
      </c>
      <c r="AL99" s="122">
        <v>1691</v>
      </c>
      <c r="AM99" s="122">
        <v>1410</v>
      </c>
      <c r="AN99" s="122">
        <v>2037</v>
      </c>
      <c r="AO99">
        <v>755</v>
      </c>
      <c r="AP99">
        <v>473</v>
      </c>
      <c r="AQ99">
        <v>175</v>
      </c>
      <c r="AR99" s="122">
        <v>4892</v>
      </c>
      <c r="AS99" s="122">
        <v>4447</v>
      </c>
      <c r="AT99">
        <v>0</v>
      </c>
      <c r="AU99">
        <v>0</v>
      </c>
      <c r="AV99" s="122">
        <v>8309</v>
      </c>
    </row>
    <row r="100" spans="2:48" ht="12.75" hidden="1" customHeight="1">
      <c r="B100" t="s">
        <v>363</v>
      </c>
      <c r="C100" t="s">
        <v>52</v>
      </c>
      <c r="D100" t="s">
        <v>407</v>
      </c>
      <c r="E100" t="s">
        <v>407</v>
      </c>
      <c r="F100">
        <v>19</v>
      </c>
      <c r="G100" s="122">
        <v>2521</v>
      </c>
      <c r="H100" s="122">
        <v>2224</v>
      </c>
      <c r="I100" s="122">
        <v>136226</v>
      </c>
      <c r="J100" s="122">
        <v>123842</v>
      </c>
      <c r="K100" s="122">
        <v>89</v>
      </c>
      <c r="L100" s="122">
        <v>27501</v>
      </c>
      <c r="M100" s="122">
        <v>24195</v>
      </c>
      <c r="N100" s="122">
        <v>38668</v>
      </c>
      <c r="O100" s="122">
        <v>14322</v>
      </c>
      <c r="P100" s="122">
        <v>12300</v>
      </c>
      <c r="Q100" s="122">
        <v>4555</v>
      </c>
      <c r="R100" s="122">
        <v>86703</v>
      </c>
      <c r="S100" s="122">
        <v>78821</v>
      </c>
      <c r="T100" s="122">
        <v>3186</v>
      </c>
      <c r="U100" s="122">
        <v>1180</v>
      </c>
      <c r="V100" s="122">
        <v>246915</v>
      </c>
      <c r="W100" s="122">
        <f t="shared" si="2"/>
        <v>246915</v>
      </c>
      <c r="X100" s="122">
        <f t="shared" si="3"/>
        <v>304584</v>
      </c>
      <c r="Y100" s="122"/>
      <c r="AA100" t="s">
        <v>50</v>
      </c>
      <c r="AB100" t="s">
        <v>137</v>
      </c>
      <c r="AC100" t="s">
        <v>431</v>
      </c>
      <c r="AD100" t="s">
        <v>137</v>
      </c>
      <c r="AE100" t="s">
        <v>566</v>
      </c>
      <c r="AF100">
        <v>1</v>
      </c>
      <c r="AG100">
        <v>109</v>
      </c>
      <c r="AH100">
        <v>98</v>
      </c>
      <c r="AI100" s="122">
        <v>1066</v>
      </c>
      <c r="AJ100">
        <v>395</v>
      </c>
      <c r="AK100">
        <v>440</v>
      </c>
      <c r="AL100">
        <v>708</v>
      </c>
      <c r="AM100">
        <v>644</v>
      </c>
      <c r="AN100" s="122">
        <v>1657</v>
      </c>
      <c r="AO100">
        <v>614</v>
      </c>
      <c r="AP100">
        <v>702</v>
      </c>
      <c r="AQ100">
        <v>260</v>
      </c>
      <c r="AR100" s="122">
        <v>6557</v>
      </c>
      <c r="AS100" s="122">
        <v>2429</v>
      </c>
      <c r="AT100">
        <v>0</v>
      </c>
      <c r="AU100">
        <v>0</v>
      </c>
      <c r="AV100" s="122">
        <v>4341</v>
      </c>
    </row>
    <row r="101" spans="2:48" ht="12.75" hidden="1" customHeight="1">
      <c r="B101" t="s">
        <v>363</v>
      </c>
      <c r="C101" t="s">
        <v>52</v>
      </c>
      <c r="D101" t="s">
        <v>481</v>
      </c>
      <c r="E101" s="122" t="s">
        <v>481</v>
      </c>
      <c r="F101" s="122">
        <v>1</v>
      </c>
      <c r="G101" s="122">
        <v>97</v>
      </c>
      <c r="H101" s="122">
        <v>120</v>
      </c>
      <c r="I101" s="122">
        <v>3843</v>
      </c>
      <c r="J101" s="122">
        <v>3494</v>
      </c>
      <c r="K101" s="122">
        <v>94</v>
      </c>
      <c r="L101" s="122">
        <v>0</v>
      </c>
      <c r="M101" s="122">
        <v>0</v>
      </c>
      <c r="N101" s="122">
        <v>1181</v>
      </c>
      <c r="O101" s="122">
        <v>437</v>
      </c>
      <c r="P101" s="122">
        <v>1560</v>
      </c>
      <c r="Q101" s="122">
        <v>578</v>
      </c>
      <c r="R101" s="122">
        <v>2501</v>
      </c>
      <c r="S101" s="122">
        <v>2274</v>
      </c>
      <c r="T101" s="122">
        <v>2522</v>
      </c>
      <c r="U101" s="122">
        <v>934</v>
      </c>
      <c r="V101" s="122">
        <v>7717</v>
      </c>
      <c r="W101" s="122">
        <f t="shared" si="2"/>
        <v>7717</v>
      </c>
      <c r="X101" s="122">
        <f t="shared" si="3"/>
        <v>11607</v>
      </c>
      <c r="Y101" s="122"/>
      <c r="AA101" t="s">
        <v>50</v>
      </c>
      <c r="AB101" t="s">
        <v>137</v>
      </c>
      <c r="AC101" t="s">
        <v>426</v>
      </c>
      <c r="AD101" t="s">
        <v>405</v>
      </c>
      <c r="AE101" t="s">
        <v>566</v>
      </c>
      <c r="AF101">
        <v>1</v>
      </c>
      <c r="AG101">
        <v>131</v>
      </c>
      <c r="AH101">
        <v>86</v>
      </c>
      <c r="AI101" s="122">
        <v>2796</v>
      </c>
      <c r="AJ101" s="122">
        <v>1036</v>
      </c>
      <c r="AK101">
        <v>364</v>
      </c>
      <c r="AL101" s="122">
        <v>1304</v>
      </c>
      <c r="AM101" s="122">
        <v>1186</v>
      </c>
      <c r="AN101" s="122">
        <v>2417</v>
      </c>
      <c r="AO101">
        <v>895</v>
      </c>
      <c r="AP101">
        <v>473</v>
      </c>
      <c r="AQ101">
        <v>175</v>
      </c>
      <c r="AR101" s="122">
        <v>4258</v>
      </c>
      <c r="AS101" s="122">
        <v>3871</v>
      </c>
      <c r="AT101">
        <v>0</v>
      </c>
      <c r="AU101">
        <v>0</v>
      </c>
      <c r="AV101" s="122">
        <v>7162</v>
      </c>
    </row>
    <row r="102" spans="2:48" ht="12.75" hidden="1" customHeight="1">
      <c r="B102" t="s">
        <v>363</v>
      </c>
      <c r="C102" t="s">
        <v>52</v>
      </c>
      <c r="D102" t="s">
        <v>429</v>
      </c>
      <c r="E102" t="s">
        <v>429</v>
      </c>
      <c r="F102">
        <v>1</v>
      </c>
      <c r="G102" s="122">
        <v>90</v>
      </c>
      <c r="H102" s="122">
        <v>109</v>
      </c>
      <c r="I102" s="122">
        <v>4260</v>
      </c>
      <c r="J102" s="122">
        <v>3873</v>
      </c>
      <c r="K102" s="122">
        <v>94</v>
      </c>
      <c r="L102" s="122">
        <v>0</v>
      </c>
      <c r="M102" s="122">
        <v>0</v>
      </c>
      <c r="N102" s="122">
        <v>1097</v>
      </c>
      <c r="O102" s="122">
        <v>406</v>
      </c>
      <c r="P102" s="122">
        <v>1107</v>
      </c>
      <c r="Q102" s="122">
        <v>410</v>
      </c>
      <c r="R102" s="122">
        <v>3323</v>
      </c>
      <c r="S102" s="122">
        <v>3021</v>
      </c>
      <c r="T102" s="122">
        <v>0</v>
      </c>
      <c r="U102" s="122">
        <v>0</v>
      </c>
      <c r="V102" s="122">
        <v>7710</v>
      </c>
      <c r="W102" s="122">
        <f t="shared" si="2"/>
        <v>7710</v>
      </c>
      <c r="X102" s="122">
        <f t="shared" si="3"/>
        <v>9787</v>
      </c>
      <c r="Y102" s="122"/>
      <c r="AA102" t="s">
        <v>50</v>
      </c>
      <c r="AB102" t="s">
        <v>137</v>
      </c>
      <c r="AC102" t="s">
        <v>426</v>
      </c>
      <c r="AD102" t="s">
        <v>137</v>
      </c>
      <c r="AE102" t="s">
        <v>137</v>
      </c>
      <c r="AF102">
        <v>17</v>
      </c>
      <c r="AG102" s="122">
        <v>1549</v>
      </c>
      <c r="AH102" s="122">
        <v>1575</v>
      </c>
      <c r="AI102" s="122">
        <v>44123</v>
      </c>
      <c r="AJ102" s="122">
        <v>16342</v>
      </c>
      <c r="AK102">
        <v>427</v>
      </c>
      <c r="AL102" s="122">
        <v>13347</v>
      </c>
      <c r="AM102" s="122">
        <v>12134</v>
      </c>
      <c r="AN102" s="122">
        <v>26555</v>
      </c>
      <c r="AO102" s="122">
        <v>9835</v>
      </c>
      <c r="AP102" s="122">
        <v>7894</v>
      </c>
      <c r="AQ102" s="122">
        <v>2924</v>
      </c>
      <c r="AR102" s="122">
        <v>52412</v>
      </c>
      <c r="AS102" s="122">
        <v>19412</v>
      </c>
      <c r="AT102">
        <v>0</v>
      </c>
      <c r="AU102">
        <v>0</v>
      </c>
      <c r="AV102" s="122">
        <v>60647</v>
      </c>
    </row>
    <row r="103" spans="2:48" ht="12.75" hidden="1" customHeight="1">
      <c r="B103" t="s">
        <v>363</v>
      </c>
      <c r="C103" t="s">
        <v>54</v>
      </c>
      <c r="D103" t="s">
        <v>405</v>
      </c>
      <c r="E103" t="s">
        <v>405</v>
      </c>
      <c r="F103">
        <v>59</v>
      </c>
      <c r="G103" s="122">
        <v>6933</v>
      </c>
      <c r="H103" s="122">
        <v>8277</v>
      </c>
      <c r="I103" s="122">
        <v>426835</v>
      </c>
      <c r="J103" s="122">
        <v>388031</v>
      </c>
      <c r="K103">
        <v>84</v>
      </c>
      <c r="L103" s="122">
        <v>81771</v>
      </c>
      <c r="M103" s="122">
        <v>65428</v>
      </c>
      <c r="N103" s="122">
        <v>150332</v>
      </c>
      <c r="O103" s="122">
        <v>55679</v>
      </c>
      <c r="P103" s="122">
        <v>32381</v>
      </c>
      <c r="Q103" s="122">
        <v>11993</v>
      </c>
      <c r="R103" s="122">
        <v>278150</v>
      </c>
      <c r="S103" s="122">
        <v>252864</v>
      </c>
      <c r="T103" s="122">
        <v>4792</v>
      </c>
      <c r="U103" s="122">
        <v>1775</v>
      </c>
      <c r="V103" s="122">
        <v>775770</v>
      </c>
      <c r="W103" s="122">
        <f t="shared" si="2"/>
        <v>775770</v>
      </c>
      <c r="X103" s="122">
        <f t="shared" si="3"/>
        <v>974261</v>
      </c>
      <c r="Y103" s="122"/>
      <c r="AA103" t="s">
        <v>50</v>
      </c>
      <c r="AB103" t="s">
        <v>137</v>
      </c>
      <c r="AC103" t="s">
        <v>426</v>
      </c>
      <c r="AD103" t="s">
        <v>137</v>
      </c>
      <c r="AE103" t="s">
        <v>566</v>
      </c>
      <c r="AF103">
        <v>216</v>
      </c>
      <c r="AG103" s="122">
        <v>22072</v>
      </c>
      <c r="AH103" s="122">
        <v>18715</v>
      </c>
      <c r="AI103" s="122">
        <v>489170</v>
      </c>
      <c r="AJ103" s="122">
        <v>181174</v>
      </c>
      <c r="AK103">
        <v>426</v>
      </c>
      <c r="AL103" s="122">
        <v>171892</v>
      </c>
      <c r="AM103" s="122">
        <v>156266</v>
      </c>
      <c r="AN103" s="122">
        <v>366037</v>
      </c>
      <c r="AO103" s="122">
        <v>135569</v>
      </c>
      <c r="AP103" s="122">
        <v>94730</v>
      </c>
      <c r="AQ103" s="122">
        <v>35085</v>
      </c>
      <c r="AR103" s="122">
        <v>786553</v>
      </c>
      <c r="AS103" s="122">
        <v>291316</v>
      </c>
      <c r="AT103">
        <v>0</v>
      </c>
      <c r="AU103">
        <v>0</v>
      </c>
      <c r="AV103" s="122">
        <v>799411</v>
      </c>
    </row>
    <row r="104" spans="2:48" ht="12.75" hidden="1" customHeight="1">
      <c r="B104" t="s">
        <v>363</v>
      </c>
      <c r="C104" t="s">
        <v>54</v>
      </c>
      <c r="D104" t="s">
        <v>406</v>
      </c>
      <c r="E104" t="s">
        <v>406</v>
      </c>
      <c r="F104">
        <v>314</v>
      </c>
      <c r="G104" s="122">
        <v>35933</v>
      </c>
      <c r="H104" s="122">
        <v>44495</v>
      </c>
      <c r="I104" s="122">
        <v>2216457</v>
      </c>
      <c r="J104" s="122">
        <v>2014961</v>
      </c>
      <c r="K104">
        <v>88</v>
      </c>
      <c r="L104" s="122">
        <v>551800</v>
      </c>
      <c r="M104" s="122">
        <v>499391</v>
      </c>
      <c r="N104" s="122">
        <v>689974</v>
      </c>
      <c r="O104" s="122">
        <v>255546</v>
      </c>
      <c r="P104" s="122">
        <v>193426</v>
      </c>
      <c r="Q104" s="122">
        <v>71639</v>
      </c>
      <c r="R104" s="122">
        <v>1420305</v>
      </c>
      <c r="S104" s="122">
        <v>1291186</v>
      </c>
      <c r="T104" s="122">
        <v>39311</v>
      </c>
      <c r="U104" s="122">
        <v>14560</v>
      </c>
      <c r="V104" s="122">
        <v>4147283</v>
      </c>
      <c r="W104" s="122">
        <f t="shared" si="2"/>
        <v>4147283</v>
      </c>
      <c r="X104" s="122">
        <f t="shared" si="3"/>
        <v>5111273</v>
      </c>
      <c r="Y104" s="122"/>
      <c r="AA104" t="s">
        <v>50</v>
      </c>
      <c r="AB104" t="s">
        <v>137</v>
      </c>
      <c r="AC104" t="s">
        <v>566</v>
      </c>
      <c r="AD104" t="s">
        <v>137</v>
      </c>
      <c r="AE104" t="s">
        <v>137</v>
      </c>
      <c r="AF104">
        <v>3</v>
      </c>
      <c r="AG104">
        <v>343</v>
      </c>
      <c r="AH104">
        <v>253</v>
      </c>
      <c r="AI104" s="122">
        <v>11795</v>
      </c>
      <c r="AJ104" s="122">
        <v>4368</v>
      </c>
      <c r="AK104">
        <v>362</v>
      </c>
      <c r="AL104">
        <v>0</v>
      </c>
      <c r="AM104">
        <v>0</v>
      </c>
      <c r="AN104" s="122">
        <v>5212</v>
      </c>
      <c r="AO104" s="122">
        <v>1930</v>
      </c>
      <c r="AP104" s="122">
        <v>1053</v>
      </c>
      <c r="AQ104">
        <v>390</v>
      </c>
      <c r="AR104" s="122">
        <v>10892</v>
      </c>
      <c r="AS104" s="122">
        <v>4034</v>
      </c>
      <c r="AT104">
        <v>0</v>
      </c>
      <c r="AU104">
        <v>0</v>
      </c>
      <c r="AV104" s="122">
        <v>10723</v>
      </c>
    </row>
    <row r="105" spans="2:48" ht="12.75" hidden="1" customHeight="1">
      <c r="B105" t="s">
        <v>363</v>
      </c>
      <c r="C105" t="s">
        <v>54</v>
      </c>
      <c r="D105" t="s">
        <v>407</v>
      </c>
      <c r="E105" t="s">
        <v>405</v>
      </c>
      <c r="F105">
        <v>1</v>
      </c>
      <c r="G105">
        <v>99</v>
      </c>
      <c r="H105" s="122">
        <v>143</v>
      </c>
      <c r="I105" s="122">
        <v>5649</v>
      </c>
      <c r="J105" s="122">
        <v>5135</v>
      </c>
      <c r="K105" s="122">
        <v>81</v>
      </c>
      <c r="L105" s="122">
        <v>2815</v>
      </c>
      <c r="M105" s="122">
        <v>1042</v>
      </c>
      <c r="N105" s="122">
        <v>1211</v>
      </c>
      <c r="O105" s="122">
        <v>449</v>
      </c>
      <c r="P105" s="122">
        <v>473</v>
      </c>
      <c r="Q105" s="122">
        <v>175</v>
      </c>
      <c r="R105" s="122">
        <v>4032</v>
      </c>
      <c r="S105" s="122">
        <v>3665</v>
      </c>
      <c r="T105" s="122">
        <v>0</v>
      </c>
      <c r="U105" s="122">
        <v>0</v>
      </c>
      <c r="V105" s="122">
        <v>10467</v>
      </c>
      <c r="W105" s="122">
        <f t="shared" si="2"/>
        <v>10466</v>
      </c>
      <c r="X105" s="122">
        <f t="shared" si="3"/>
        <v>14180</v>
      </c>
      <c r="Y105" s="122"/>
      <c r="AA105" t="s">
        <v>50</v>
      </c>
      <c r="AB105" t="s">
        <v>137</v>
      </c>
      <c r="AC105" t="s">
        <v>566</v>
      </c>
      <c r="AD105" t="s">
        <v>137</v>
      </c>
      <c r="AE105" t="s">
        <v>566</v>
      </c>
      <c r="AF105">
        <v>144</v>
      </c>
      <c r="AG105" s="122">
        <v>11938</v>
      </c>
      <c r="AH105" s="122">
        <v>12292</v>
      </c>
      <c r="AI105" s="122">
        <v>243383</v>
      </c>
      <c r="AJ105" s="122">
        <v>90142</v>
      </c>
      <c r="AK105">
        <v>379</v>
      </c>
      <c r="AL105">
        <v>0</v>
      </c>
      <c r="AM105">
        <v>24</v>
      </c>
      <c r="AN105" s="122">
        <v>172384</v>
      </c>
      <c r="AO105" s="122">
        <v>63846</v>
      </c>
      <c r="AP105" s="122">
        <v>91211</v>
      </c>
      <c r="AQ105" s="122">
        <v>33782</v>
      </c>
      <c r="AR105" s="122">
        <v>509445</v>
      </c>
      <c r="AS105" s="122">
        <v>188683</v>
      </c>
      <c r="AT105">
        <v>0</v>
      </c>
      <c r="AU105">
        <v>0</v>
      </c>
      <c r="AV105" s="122">
        <v>376477</v>
      </c>
    </row>
    <row r="106" spans="2:48" ht="12.75" hidden="1" customHeight="1">
      <c r="B106" t="s">
        <v>363</v>
      </c>
      <c r="C106" t="s">
        <v>54</v>
      </c>
      <c r="D106" t="s">
        <v>407</v>
      </c>
      <c r="E106" t="s">
        <v>406</v>
      </c>
      <c r="F106">
        <v>1</v>
      </c>
      <c r="G106" s="122">
        <v>148</v>
      </c>
      <c r="H106" s="122">
        <v>128</v>
      </c>
      <c r="I106" s="122">
        <v>9815</v>
      </c>
      <c r="J106" s="122">
        <v>8923</v>
      </c>
      <c r="K106" s="122">
        <v>94</v>
      </c>
      <c r="L106" s="122">
        <v>1866</v>
      </c>
      <c r="M106" s="122">
        <v>1555</v>
      </c>
      <c r="N106" s="122">
        <v>1802</v>
      </c>
      <c r="O106" s="122">
        <v>667</v>
      </c>
      <c r="P106" s="122">
        <v>621</v>
      </c>
      <c r="Q106" s="122">
        <v>230</v>
      </c>
      <c r="R106" s="122">
        <v>4820</v>
      </c>
      <c r="S106" s="122">
        <v>4382</v>
      </c>
      <c r="T106" s="122">
        <v>0</v>
      </c>
      <c r="U106" s="122">
        <v>0</v>
      </c>
      <c r="V106" s="122">
        <v>15757</v>
      </c>
      <c r="W106" s="122">
        <f t="shared" si="2"/>
        <v>15757</v>
      </c>
      <c r="X106" s="122">
        <f t="shared" si="3"/>
        <v>18924</v>
      </c>
      <c r="Y106" s="122"/>
      <c r="AA106" t="s">
        <v>50</v>
      </c>
      <c r="AB106" t="s">
        <v>137</v>
      </c>
      <c r="AC106" t="s">
        <v>433</v>
      </c>
      <c r="AD106" t="s">
        <v>137</v>
      </c>
      <c r="AE106" t="s">
        <v>137</v>
      </c>
      <c r="AF106">
        <v>3</v>
      </c>
      <c r="AG106">
        <v>318</v>
      </c>
      <c r="AH106">
        <v>280</v>
      </c>
      <c r="AI106" s="122">
        <v>9397</v>
      </c>
      <c r="AJ106" s="122">
        <v>3480</v>
      </c>
      <c r="AK106">
        <v>369</v>
      </c>
      <c r="AL106" s="122">
        <v>2440</v>
      </c>
      <c r="AM106" s="122">
        <v>2218</v>
      </c>
      <c r="AN106" s="122">
        <v>4770</v>
      </c>
      <c r="AO106" s="122">
        <v>1767</v>
      </c>
      <c r="AP106" s="122">
        <v>2562</v>
      </c>
      <c r="AQ106">
        <v>949</v>
      </c>
      <c r="AR106" s="122">
        <v>10640</v>
      </c>
      <c r="AS106" s="122">
        <v>3941</v>
      </c>
      <c r="AT106">
        <v>0</v>
      </c>
      <c r="AU106">
        <v>0</v>
      </c>
      <c r="AV106" s="122">
        <v>12355</v>
      </c>
    </row>
    <row r="107" spans="2:48" ht="12.75" hidden="1" customHeight="1">
      <c r="B107" t="s">
        <v>363</v>
      </c>
      <c r="C107" t="s">
        <v>54</v>
      </c>
      <c r="D107" t="s">
        <v>407</v>
      </c>
      <c r="E107" t="s">
        <v>407</v>
      </c>
      <c r="F107">
        <v>127</v>
      </c>
      <c r="G107" s="122">
        <v>14429</v>
      </c>
      <c r="H107" s="122">
        <v>17967</v>
      </c>
      <c r="I107" s="122">
        <v>930849</v>
      </c>
      <c r="J107" s="122">
        <v>846226</v>
      </c>
      <c r="K107" s="122">
        <v>85</v>
      </c>
      <c r="L107" s="122">
        <v>202294</v>
      </c>
      <c r="M107" s="122">
        <v>178061</v>
      </c>
      <c r="N107" s="122">
        <v>265227</v>
      </c>
      <c r="O107" s="122">
        <v>98232</v>
      </c>
      <c r="P107" s="122">
        <v>63548</v>
      </c>
      <c r="Q107" s="122">
        <v>23536</v>
      </c>
      <c r="R107" s="122">
        <v>594443</v>
      </c>
      <c r="S107" s="122">
        <v>540402</v>
      </c>
      <c r="T107" s="122">
        <v>12566</v>
      </c>
      <c r="U107" s="122">
        <v>4654</v>
      </c>
      <c r="V107" s="122">
        <v>1691112</v>
      </c>
      <c r="W107" s="122">
        <f t="shared" si="2"/>
        <v>1691111</v>
      </c>
      <c r="X107" s="122">
        <f t="shared" si="3"/>
        <v>2068927</v>
      </c>
      <c r="Y107" s="122"/>
      <c r="AA107" t="s">
        <v>50</v>
      </c>
      <c r="AB107" t="s">
        <v>137</v>
      </c>
      <c r="AC107" t="s">
        <v>433</v>
      </c>
      <c r="AD107" t="s">
        <v>137</v>
      </c>
      <c r="AE107" t="s">
        <v>566</v>
      </c>
      <c r="AF107">
        <v>260</v>
      </c>
      <c r="AG107" s="122">
        <v>22282</v>
      </c>
      <c r="AH107" s="122">
        <v>23197</v>
      </c>
      <c r="AI107" s="122">
        <v>550260</v>
      </c>
      <c r="AJ107" s="122">
        <v>203800</v>
      </c>
      <c r="AK107">
        <v>384</v>
      </c>
      <c r="AL107" s="122">
        <v>137517</v>
      </c>
      <c r="AM107" s="122">
        <v>125016</v>
      </c>
      <c r="AN107" s="122">
        <v>409160</v>
      </c>
      <c r="AO107" s="122">
        <v>151541</v>
      </c>
      <c r="AP107" s="122">
        <v>101069</v>
      </c>
      <c r="AQ107" s="122">
        <v>37433</v>
      </c>
      <c r="AR107" s="122">
        <v>783853</v>
      </c>
      <c r="AS107" s="122">
        <v>290316</v>
      </c>
      <c r="AT107">
        <v>0</v>
      </c>
      <c r="AU107">
        <v>0</v>
      </c>
      <c r="AV107" s="122">
        <v>808105</v>
      </c>
    </row>
    <row r="108" spans="2:48" ht="12.75" hidden="1" customHeight="1">
      <c r="B108" t="s">
        <v>363</v>
      </c>
      <c r="C108" t="s">
        <v>54</v>
      </c>
      <c r="D108" t="s">
        <v>408</v>
      </c>
      <c r="E108" t="s">
        <v>408</v>
      </c>
      <c r="F108">
        <v>1</v>
      </c>
      <c r="G108" s="122">
        <v>91</v>
      </c>
      <c r="H108" s="122">
        <v>126</v>
      </c>
      <c r="I108" s="122">
        <v>5354</v>
      </c>
      <c r="J108" s="122">
        <v>4867</v>
      </c>
      <c r="K108" s="122">
        <v>92</v>
      </c>
      <c r="L108" s="122">
        <v>0</v>
      </c>
      <c r="M108" s="122">
        <v>0</v>
      </c>
      <c r="N108" s="122">
        <v>1454</v>
      </c>
      <c r="O108" s="122">
        <v>539</v>
      </c>
      <c r="P108" s="122">
        <v>1107</v>
      </c>
      <c r="Q108" s="122">
        <v>410</v>
      </c>
      <c r="R108" s="122">
        <v>3534</v>
      </c>
      <c r="S108" s="122">
        <v>3213</v>
      </c>
      <c r="T108" s="122">
        <v>0</v>
      </c>
      <c r="U108" s="122">
        <v>0</v>
      </c>
      <c r="V108" s="122">
        <v>9029</v>
      </c>
      <c r="W108" s="122">
        <f t="shared" si="2"/>
        <v>9029</v>
      </c>
      <c r="X108" s="122">
        <f t="shared" si="3"/>
        <v>11449</v>
      </c>
      <c r="Y108" s="122"/>
      <c r="AA108" t="s">
        <v>50</v>
      </c>
      <c r="AB108" t="s">
        <v>137</v>
      </c>
      <c r="AC108" t="s">
        <v>429</v>
      </c>
      <c r="AD108" t="s">
        <v>137</v>
      </c>
      <c r="AE108" t="s">
        <v>566</v>
      </c>
      <c r="AF108">
        <v>1</v>
      </c>
      <c r="AG108">
        <v>102</v>
      </c>
      <c r="AH108">
        <v>85</v>
      </c>
      <c r="AI108">
        <v>963</v>
      </c>
      <c r="AJ108">
        <v>357</v>
      </c>
      <c r="AK108">
        <v>402</v>
      </c>
      <c r="AL108">
        <v>270</v>
      </c>
      <c r="AM108">
        <v>245</v>
      </c>
      <c r="AN108" s="122">
        <v>2355</v>
      </c>
      <c r="AO108">
        <v>872</v>
      </c>
      <c r="AP108" s="122">
        <v>1249</v>
      </c>
      <c r="AQ108">
        <v>463</v>
      </c>
      <c r="AR108" s="122">
        <v>3768</v>
      </c>
      <c r="AS108" s="122">
        <v>1395</v>
      </c>
      <c r="AT108">
        <v>0</v>
      </c>
      <c r="AU108">
        <v>0</v>
      </c>
      <c r="AV108" s="122">
        <v>3332</v>
      </c>
    </row>
    <row r="109" spans="2:48" ht="12.75" hidden="1" customHeight="1">
      <c r="B109" t="s">
        <v>363</v>
      </c>
      <c r="C109" t="s">
        <v>56</v>
      </c>
      <c r="D109" t="s">
        <v>425</v>
      </c>
      <c r="E109" t="s">
        <v>425</v>
      </c>
      <c r="F109" s="122">
        <v>4</v>
      </c>
      <c r="G109" s="122">
        <v>399</v>
      </c>
      <c r="H109" s="122">
        <v>708</v>
      </c>
      <c r="I109" s="122">
        <v>33589</v>
      </c>
      <c r="J109" s="122">
        <v>30535</v>
      </c>
      <c r="K109" s="122">
        <v>82</v>
      </c>
      <c r="L109" s="122">
        <v>7452</v>
      </c>
      <c r="M109" s="122">
        <v>6775</v>
      </c>
      <c r="N109" s="122">
        <v>6756</v>
      </c>
      <c r="O109" s="122">
        <v>2502</v>
      </c>
      <c r="P109" s="122">
        <v>1890</v>
      </c>
      <c r="Q109" s="122">
        <v>700</v>
      </c>
      <c r="R109" s="122">
        <v>20523</v>
      </c>
      <c r="S109" s="122">
        <v>18658</v>
      </c>
      <c r="T109" s="122">
        <v>0</v>
      </c>
      <c r="U109" s="122">
        <v>0</v>
      </c>
      <c r="V109" s="122">
        <v>59170</v>
      </c>
      <c r="W109" s="122">
        <f t="shared" si="2"/>
        <v>59170</v>
      </c>
      <c r="X109" s="122">
        <f t="shared" si="3"/>
        <v>70210</v>
      </c>
      <c r="Y109" s="122"/>
      <c r="AA109" t="s">
        <v>50</v>
      </c>
      <c r="AB109" t="s">
        <v>406</v>
      </c>
      <c r="AC109" t="s">
        <v>425</v>
      </c>
      <c r="AD109" t="s">
        <v>406</v>
      </c>
      <c r="AE109" t="s">
        <v>566</v>
      </c>
      <c r="AF109">
        <v>2</v>
      </c>
      <c r="AG109">
        <v>369</v>
      </c>
      <c r="AH109">
        <v>157</v>
      </c>
      <c r="AI109" s="122">
        <v>9499</v>
      </c>
      <c r="AJ109" s="122">
        <v>8636</v>
      </c>
      <c r="AK109">
        <v>94</v>
      </c>
      <c r="AL109" s="122">
        <v>1553</v>
      </c>
      <c r="AM109" s="122">
        <v>1411</v>
      </c>
      <c r="AN109" s="122">
        <v>6577</v>
      </c>
      <c r="AO109" s="122">
        <v>2436</v>
      </c>
      <c r="AP109" s="122">
        <v>3148</v>
      </c>
      <c r="AQ109" s="122">
        <v>1166</v>
      </c>
      <c r="AR109" s="122">
        <v>7850</v>
      </c>
      <c r="AS109" s="122">
        <v>7136</v>
      </c>
      <c r="AT109">
        <v>0</v>
      </c>
      <c r="AU109">
        <v>0</v>
      </c>
      <c r="AV109" s="122">
        <v>20785</v>
      </c>
    </row>
    <row r="110" spans="2:48" ht="12.75" hidden="1" customHeight="1">
      <c r="B110" t="s">
        <v>363</v>
      </c>
      <c r="C110" t="s">
        <v>56</v>
      </c>
      <c r="D110" t="s">
        <v>405</v>
      </c>
      <c r="E110" t="s">
        <v>425</v>
      </c>
      <c r="F110">
        <v>7</v>
      </c>
      <c r="G110" s="122">
        <v>802</v>
      </c>
      <c r="H110" s="122">
        <v>1134</v>
      </c>
      <c r="I110" s="122">
        <v>59061</v>
      </c>
      <c r="J110" s="122">
        <v>53692</v>
      </c>
      <c r="K110" s="122">
        <v>88</v>
      </c>
      <c r="L110" s="122">
        <v>15081</v>
      </c>
      <c r="M110" s="122">
        <v>13710</v>
      </c>
      <c r="N110" s="122">
        <v>20197</v>
      </c>
      <c r="O110" s="122">
        <v>7480</v>
      </c>
      <c r="P110" s="122">
        <v>4010</v>
      </c>
      <c r="Q110" s="122">
        <v>1485</v>
      </c>
      <c r="R110" s="122">
        <v>36279</v>
      </c>
      <c r="S110" s="122">
        <v>32981</v>
      </c>
      <c r="T110" s="122">
        <v>0</v>
      </c>
      <c r="U110" s="122">
        <v>0</v>
      </c>
      <c r="V110" s="122">
        <v>109348</v>
      </c>
      <c r="W110" s="122">
        <f t="shared" si="2"/>
        <v>109348</v>
      </c>
      <c r="X110" s="122">
        <f t="shared" si="3"/>
        <v>134628</v>
      </c>
      <c r="Y110" s="122"/>
      <c r="AA110" t="s">
        <v>50</v>
      </c>
      <c r="AB110" t="s">
        <v>406</v>
      </c>
      <c r="AC110" t="s">
        <v>137</v>
      </c>
      <c r="AD110" t="s">
        <v>137</v>
      </c>
      <c r="AE110" t="s">
        <v>137</v>
      </c>
      <c r="AF110">
        <v>6</v>
      </c>
      <c r="AG110">
        <v>414</v>
      </c>
      <c r="AH110">
        <v>594</v>
      </c>
      <c r="AI110" s="122">
        <v>-1845</v>
      </c>
      <c r="AJ110" s="122">
        <v>-1677</v>
      </c>
      <c r="AK110">
        <v>94</v>
      </c>
      <c r="AL110">
        <v>-448</v>
      </c>
      <c r="AM110">
        <v>-166</v>
      </c>
      <c r="AN110" s="122">
        <v>5042</v>
      </c>
      <c r="AO110" s="122">
        <v>1867</v>
      </c>
      <c r="AP110" s="122">
        <v>3726</v>
      </c>
      <c r="AQ110" s="122">
        <v>1380</v>
      </c>
      <c r="AR110" s="122">
        <v>34518</v>
      </c>
      <c r="AS110" s="122">
        <v>12784</v>
      </c>
      <c r="AT110">
        <v>0</v>
      </c>
      <c r="AU110">
        <v>0</v>
      </c>
      <c r="AV110" s="122">
        <v>14189</v>
      </c>
    </row>
    <row r="111" spans="2:48" ht="12.75" hidden="1" customHeight="1">
      <c r="B111" t="s">
        <v>363</v>
      </c>
      <c r="C111" t="s">
        <v>56</v>
      </c>
      <c r="D111" t="s">
        <v>405</v>
      </c>
      <c r="E111" t="s">
        <v>405</v>
      </c>
      <c r="F111" s="122">
        <v>296</v>
      </c>
      <c r="G111" s="122">
        <v>29385</v>
      </c>
      <c r="H111" s="122">
        <v>54007</v>
      </c>
      <c r="I111" s="122">
        <v>2491034</v>
      </c>
      <c r="J111" s="122">
        <v>2264576</v>
      </c>
      <c r="K111" s="122">
        <v>79</v>
      </c>
      <c r="L111" s="122">
        <v>589818</v>
      </c>
      <c r="M111" s="122">
        <v>453592</v>
      </c>
      <c r="N111" s="122">
        <v>649034</v>
      </c>
      <c r="O111" s="122">
        <v>240383</v>
      </c>
      <c r="P111" s="122">
        <v>161875</v>
      </c>
      <c r="Q111" s="122">
        <v>59954</v>
      </c>
      <c r="R111" s="122">
        <v>1347003</v>
      </c>
      <c r="S111" s="122">
        <v>1224548</v>
      </c>
      <c r="T111" s="122">
        <v>77684</v>
      </c>
      <c r="U111" s="122">
        <v>28772</v>
      </c>
      <c r="V111" s="122">
        <v>4271825</v>
      </c>
      <c r="W111" s="122">
        <f t="shared" si="2"/>
        <v>4271825</v>
      </c>
      <c r="X111" s="122">
        <f t="shared" si="3"/>
        <v>5316448</v>
      </c>
      <c r="Y111" s="122"/>
      <c r="AA111" t="s">
        <v>50</v>
      </c>
      <c r="AB111" t="s">
        <v>406</v>
      </c>
      <c r="AC111" t="s">
        <v>137</v>
      </c>
      <c r="AD111" t="s">
        <v>137</v>
      </c>
      <c r="AE111" t="s">
        <v>566</v>
      </c>
      <c r="AF111">
        <v>2</v>
      </c>
      <c r="AG111">
        <v>156</v>
      </c>
      <c r="AH111">
        <v>191</v>
      </c>
      <c r="AI111" s="122">
        <v>1142</v>
      </c>
      <c r="AJ111" s="122">
        <v>1038</v>
      </c>
      <c r="AK111">
        <v>94</v>
      </c>
      <c r="AL111">
        <v>277</v>
      </c>
      <c r="AM111">
        <v>103</v>
      </c>
      <c r="AN111" s="122">
        <v>1897</v>
      </c>
      <c r="AO111">
        <v>703</v>
      </c>
      <c r="AP111" s="122">
        <v>1242</v>
      </c>
      <c r="AQ111">
        <v>460</v>
      </c>
      <c r="AR111" s="122">
        <v>10276</v>
      </c>
      <c r="AS111" s="122">
        <v>3806</v>
      </c>
      <c r="AT111">
        <v>0</v>
      </c>
      <c r="AU111">
        <v>0</v>
      </c>
      <c r="AV111" s="122">
        <v>6109</v>
      </c>
    </row>
    <row r="112" spans="2:48" ht="12.75" hidden="1" customHeight="1">
      <c r="B112" t="s">
        <v>363</v>
      </c>
      <c r="C112" t="s">
        <v>56</v>
      </c>
      <c r="D112" t="s">
        <v>137</v>
      </c>
      <c r="E112" s="122" t="s">
        <v>137</v>
      </c>
      <c r="F112" s="122">
        <v>17</v>
      </c>
      <c r="G112" s="122">
        <v>1774</v>
      </c>
      <c r="H112" s="122">
        <v>3584</v>
      </c>
      <c r="I112" s="122">
        <v>181793</v>
      </c>
      <c r="J112" s="122">
        <v>67331</v>
      </c>
      <c r="K112" s="122">
        <v>122</v>
      </c>
      <c r="L112" s="122">
        <v>33450</v>
      </c>
      <c r="M112" s="122">
        <v>23251</v>
      </c>
      <c r="N112" s="122">
        <v>37847</v>
      </c>
      <c r="O112" s="122">
        <v>14017</v>
      </c>
      <c r="P112" s="122">
        <v>1702</v>
      </c>
      <c r="Q112" s="122">
        <v>630</v>
      </c>
      <c r="R112" s="122">
        <v>120681</v>
      </c>
      <c r="S112" s="122">
        <v>44697</v>
      </c>
      <c r="T112" s="122">
        <v>0</v>
      </c>
      <c r="U112" s="122">
        <v>0</v>
      </c>
      <c r="V112" s="122">
        <v>149926</v>
      </c>
      <c r="W112" s="122">
        <f t="shared" si="2"/>
        <v>149926</v>
      </c>
      <c r="X112" s="122">
        <f t="shared" si="3"/>
        <v>375473</v>
      </c>
      <c r="Y112" s="122"/>
      <c r="AA112" t="s">
        <v>50</v>
      </c>
      <c r="AB112" t="s">
        <v>406</v>
      </c>
      <c r="AC112" t="s">
        <v>137</v>
      </c>
      <c r="AD112" t="s">
        <v>406</v>
      </c>
      <c r="AE112" t="s">
        <v>137</v>
      </c>
      <c r="AF112">
        <v>5</v>
      </c>
      <c r="AG112">
        <v>502</v>
      </c>
      <c r="AH112">
        <v>479</v>
      </c>
      <c r="AI112" s="122">
        <v>20373</v>
      </c>
      <c r="AJ112" s="122">
        <v>18521</v>
      </c>
      <c r="AK112">
        <v>93</v>
      </c>
      <c r="AL112" s="122">
        <v>3949</v>
      </c>
      <c r="AM112" s="122">
        <v>1462</v>
      </c>
      <c r="AN112" s="122">
        <v>6121</v>
      </c>
      <c r="AO112" s="122">
        <v>2267</v>
      </c>
      <c r="AP112" s="122">
        <v>5592</v>
      </c>
      <c r="AQ112" s="122">
        <v>2071</v>
      </c>
      <c r="AR112" s="122">
        <v>11853</v>
      </c>
      <c r="AS112" s="122">
        <v>10776</v>
      </c>
      <c r="AT112">
        <v>0</v>
      </c>
      <c r="AU112">
        <v>0</v>
      </c>
      <c r="AV112" s="122">
        <v>35098</v>
      </c>
    </row>
    <row r="113" spans="2:48" ht="12.75" hidden="1" customHeight="1">
      <c r="B113" t="s">
        <v>363</v>
      </c>
      <c r="C113" t="s">
        <v>56</v>
      </c>
      <c r="D113" t="s">
        <v>406</v>
      </c>
      <c r="E113" t="s">
        <v>137</v>
      </c>
      <c r="F113" s="122">
        <v>5</v>
      </c>
      <c r="G113" s="122">
        <v>473</v>
      </c>
      <c r="H113" s="122">
        <v>952</v>
      </c>
      <c r="I113" s="122">
        <v>43630</v>
      </c>
      <c r="J113" s="122">
        <v>39664</v>
      </c>
      <c r="K113" s="122">
        <v>84</v>
      </c>
      <c r="L113" s="122">
        <v>4443</v>
      </c>
      <c r="M113" s="122">
        <v>4039</v>
      </c>
      <c r="N113" s="122">
        <v>10964</v>
      </c>
      <c r="O113" s="122">
        <v>4061</v>
      </c>
      <c r="P113" s="122">
        <v>3105</v>
      </c>
      <c r="Q113" s="122">
        <v>1150</v>
      </c>
      <c r="R113" s="122">
        <v>27100</v>
      </c>
      <c r="S113" s="122">
        <v>10037</v>
      </c>
      <c r="T113" s="122">
        <v>0</v>
      </c>
      <c r="U113" s="122">
        <v>0</v>
      </c>
      <c r="V113" s="122">
        <v>58951</v>
      </c>
      <c r="W113" s="122">
        <f t="shared" si="2"/>
        <v>58951</v>
      </c>
      <c r="X113" s="122">
        <f t="shared" si="3"/>
        <v>89242</v>
      </c>
      <c r="Y113" s="122"/>
      <c r="AA113" t="s">
        <v>50</v>
      </c>
      <c r="AB113" t="s">
        <v>406</v>
      </c>
      <c r="AC113" t="s">
        <v>137</v>
      </c>
      <c r="AD113" t="s">
        <v>406</v>
      </c>
      <c r="AE113" t="s">
        <v>566</v>
      </c>
      <c r="AF113">
        <v>16</v>
      </c>
      <c r="AG113" s="122">
        <v>1904</v>
      </c>
      <c r="AH113" s="122">
        <v>1440</v>
      </c>
      <c r="AI113" s="122">
        <v>57915</v>
      </c>
      <c r="AJ113" s="122">
        <v>52650</v>
      </c>
      <c r="AK113">
        <v>93</v>
      </c>
      <c r="AL113" s="122">
        <v>14735</v>
      </c>
      <c r="AM113" s="122">
        <v>5457</v>
      </c>
      <c r="AN113" s="122">
        <v>23198</v>
      </c>
      <c r="AO113" s="122">
        <v>8592</v>
      </c>
      <c r="AP113" s="122">
        <v>12850</v>
      </c>
      <c r="AQ113" s="122">
        <v>4759</v>
      </c>
      <c r="AR113" s="122">
        <v>61663</v>
      </c>
      <c r="AS113" s="122">
        <v>56057</v>
      </c>
      <c r="AT113">
        <v>0</v>
      </c>
      <c r="AU113">
        <v>0</v>
      </c>
      <c r="AV113" s="122">
        <v>127515</v>
      </c>
    </row>
    <row r="114" spans="2:48" ht="12.75" hidden="1" customHeight="1">
      <c r="B114" t="s">
        <v>363</v>
      </c>
      <c r="C114" t="s">
        <v>56</v>
      </c>
      <c r="D114" t="s">
        <v>406</v>
      </c>
      <c r="E114" t="s">
        <v>406</v>
      </c>
      <c r="F114" s="122">
        <v>1617</v>
      </c>
      <c r="G114" s="122">
        <v>158363</v>
      </c>
      <c r="H114" s="122">
        <v>301582</v>
      </c>
      <c r="I114" s="122">
        <v>13213216</v>
      </c>
      <c r="J114" s="122">
        <v>12012014</v>
      </c>
      <c r="K114" s="122">
        <v>86</v>
      </c>
      <c r="L114" s="122">
        <v>3437080</v>
      </c>
      <c r="M114" s="122">
        <v>3068552</v>
      </c>
      <c r="N114" s="122">
        <v>3153703</v>
      </c>
      <c r="O114" s="122">
        <v>1168038</v>
      </c>
      <c r="P114" s="122">
        <v>1015059</v>
      </c>
      <c r="Q114" s="122">
        <v>375948</v>
      </c>
      <c r="R114" s="122">
        <v>6995487</v>
      </c>
      <c r="S114" s="122">
        <v>6359534</v>
      </c>
      <c r="T114" s="122">
        <v>1687777</v>
      </c>
      <c r="U114" s="122">
        <v>625103</v>
      </c>
      <c r="V114" s="122">
        <v>23609188</v>
      </c>
      <c r="W114" s="122">
        <f t="shared" si="2"/>
        <v>23609189</v>
      </c>
      <c r="X114" s="122">
        <f t="shared" si="3"/>
        <v>29502322</v>
      </c>
      <c r="Y114" s="122"/>
      <c r="AA114" t="s">
        <v>50</v>
      </c>
      <c r="AB114" t="s">
        <v>406</v>
      </c>
      <c r="AC114" t="s">
        <v>427</v>
      </c>
      <c r="AD114" t="s">
        <v>406</v>
      </c>
      <c r="AE114" t="s">
        <v>137</v>
      </c>
      <c r="AF114">
        <v>7</v>
      </c>
      <c r="AG114">
        <v>705</v>
      </c>
      <c r="AH114">
        <v>627</v>
      </c>
      <c r="AI114" s="122">
        <v>27490</v>
      </c>
      <c r="AJ114" s="122">
        <v>24991</v>
      </c>
      <c r="AK114">
        <v>95</v>
      </c>
      <c r="AL114" s="122">
        <v>5100</v>
      </c>
      <c r="AM114" s="122">
        <v>4636</v>
      </c>
      <c r="AN114" s="122">
        <v>8780</v>
      </c>
      <c r="AO114" s="122">
        <v>3252</v>
      </c>
      <c r="AP114" s="122">
        <v>4347</v>
      </c>
      <c r="AQ114" s="122">
        <v>1610</v>
      </c>
      <c r="AR114" s="122">
        <v>18996</v>
      </c>
      <c r="AS114" s="122">
        <v>17270</v>
      </c>
      <c r="AT114">
        <v>0</v>
      </c>
      <c r="AU114">
        <v>0</v>
      </c>
      <c r="AV114" s="122">
        <v>51758</v>
      </c>
    </row>
    <row r="115" spans="2:48" ht="12.75" hidden="1" customHeight="1">
      <c r="B115" t="s">
        <v>363</v>
      </c>
      <c r="C115" t="s">
        <v>56</v>
      </c>
      <c r="D115" t="s">
        <v>406</v>
      </c>
      <c r="E115" t="s">
        <v>427</v>
      </c>
      <c r="F115">
        <v>7</v>
      </c>
      <c r="G115" s="122">
        <v>578</v>
      </c>
      <c r="H115" s="122">
        <v>1272</v>
      </c>
      <c r="I115" s="122">
        <v>35211</v>
      </c>
      <c r="J115" s="122">
        <v>32010</v>
      </c>
      <c r="K115" s="122">
        <v>90</v>
      </c>
      <c r="L115" s="122">
        <v>12002</v>
      </c>
      <c r="M115" s="122">
        <v>10002</v>
      </c>
      <c r="N115" s="122">
        <v>13697</v>
      </c>
      <c r="O115" s="122">
        <v>5073</v>
      </c>
      <c r="P115" s="122">
        <v>4347</v>
      </c>
      <c r="Q115" s="122">
        <v>1610</v>
      </c>
      <c r="R115" s="122">
        <v>23474</v>
      </c>
      <c r="S115" s="122">
        <v>21340</v>
      </c>
      <c r="T115" s="122">
        <v>16340</v>
      </c>
      <c r="U115" s="122">
        <v>6052</v>
      </c>
      <c r="V115" s="122">
        <v>76087</v>
      </c>
      <c r="W115" s="122">
        <f t="shared" si="2"/>
        <v>76087</v>
      </c>
      <c r="X115" s="122">
        <f t="shared" si="3"/>
        <v>105071</v>
      </c>
      <c r="Y115" s="122"/>
      <c r="AA115" t="s">
        <v>50</v>
      </c>
      <c r="AB115" t="s">
        <v>406</v>
      </c>
      <c r="AC115" t="s">
        <v>427</v>
      </c>
      <c r="AD115" t="s">
        <v>406</v>
      </c>
      <c r="AE115" t="s">
        <v>566</v>
      </c>
      <c r="AF115">
        <v>17</v>
      </c>
      <c r="AG115" s="122">
        <v>2063</v>
      </c>
      <c r="AH115" s="122">
        <v>1609</v>
      </c>
      <c r="AI115" s="122">
        <v>83269</v>
      </c>
      <c r="AJ115" s="122">
        <v>75699</v>
      </c>
      <c r="AK115">
        <v>94</v>
      </c>
      <c r="AL115" s="122">
        <v>21145</v>
      </c>
      <c r="AM115" s="122">
        <v>19223</v>
      </c>
      <c r="AN115" s="122">
        <v>27222</v>
      </c>
      <c r="AO115" s="122">
        <v>10082</v>
      </c>
      <c r="AP115" s="122">
        <v>12984</v>
      </c>
      <c r="AQ115" s="122">
        <v>4809</v>
      </c>
      <c r="AR115" s="122">
        <v>50600</v>
      </c>
      <c r="AS115" s="122">
        <v>46000</v>
      </c>
      <c r="AT115">
        <v>0</v>
      </c>
      <c r="AU115">
        <v>0</v>
      </c>
      <c r="AV115" s="122">
        <v>155813</v>
      </c>
    </row>
    <row r="116" spans="2:48" ht="12.75" hidden="1" customHeight="1">
      <c r="B116" t="s">
        <v>363</v>
      </c>
      <c r="C116" t="s">
        <v>56</v>
      </c>
      <c r="D116" t="s">
        <v>427</v>
      </c>
      <c r="E116" t="s">
        <v>427</v>
      </c>
      <c r="F116">
        <v>1</v>
      </c>
      <c r="G116" s="122">
        <v>120</v>
      </c>
      <c r="H116" s="122">
        <v>215</v>
      </c>
      <c r="I116" s="122">
        <v>13630</v>
      </c>
      <c r="J116" s="122">
        <v>12391</v>
      </c>
      <c r="K116" s="122">
        <v>76</v>
      </c>
      <c r="L116" s="122">
        <v>2825</v>
      </c>
      <c r="M116" s="122">
        <v>1046</v>
      </c>
      <c r="N116" s="122">
        <v>2290</v>
      </c>
      <c r="O116" s="122">
        <v>848</v>
      </c>
      <c r="P116" s="122">
        <v>351</v>
      </c>
      <c r="Q116" s="122">
        <v>130</v>
      </c>
      <c r="R116" s="122">
        <v>4043</v>
      </c>
      <c r="S116" s="122">
        <v>3675</v>
      </c>
      <c r="T116" s="122">
        <v>2627</v>
      </c>
      <c r="U116" s="122">
        <v>973</v>
      </c>
      <c r="V116" s="122">
        <v>19064</v>
      </c>
      <c r="W116" s="122">
        <f t="shared" si="2"/>
        <v>19063</v>
      </c>
      <c r="X116" s="122">
        <f t="shared" si="3"/>
        <v>25766</v>
      </c>
      <c r="Y116" s="122"/>
      <c r="AA116" t="s">
        <v>50</v>
      </c>
      <c r="AB116" t="s">
        <v>406</v>
      </c>
      <c r="AC116" t="s">
        <v>427</v>
      </c>
      <c r="AD116" t="s">
        <v>427</v>
      </c>
      <c r="AE116" t="s">
        <v>566</v>
      </c>
      <c r="AF116">
        <v>3</v>
      </c>
      <c r="AG116">
        <v>255</v>
      </c>
      <c r="AH116">
        <v>288</v>
      </c>
      <c r="AI116" s="122">
        <v>11077</v>
      </c>
      <c r="AJ116" s="122">
        <v>10070</v>
      </c>
      <c r="AK116">
        <v>93</v>
      </c>
      <c r="AL116" s="122">
        <v>1916</v>
      </c>
      <c r="AM116" s="122">
        <v>1742</v>
      </c>
      <c r="AN116" s="122">
        <v>3111</v>
      </c>
      <c r="AO116" s="122">
        <v>1152</v>
      </c>
      <c r="AP116" s="122">
        <v>4045</v>
      </c>
      <c r="AQ116" s="122">
        <v>1498</v>
      </c>
      <c r="AR116" s="122">
        <v>4369</v>
      </c>
      <c r="AS116" s="122">
        <v>3972</v>
      </c>
      <c r="AT116">
        <v>0</v>
      </c>
      <c r="AU116">
        <v>0</v>
      </c>
      <c r="AV116" s="122">
        <v>18434</v>
      </c>
    </row>
    <row r="117" spans="2:48" ht="12.75" hidden="1" customHeight="1">
      <c r="B117" t="s">
        <v>363</v>
      </c>
      <c r="C117" t="s">
        <v>56</v>
      </c>
      <c r="D117" t="s">
        <v>407</v>
      </c>
      <c r="E117" t="s">
        <v>406</v>
      </c>
      <c r="F117" s="122">
        <v>1</v>
      </c>
      <c r="G117" s="122">
        <v>94</v>
      </c>
      <c r="H117" s="122">
        <v>198</v>
      </c>
      <c r="I117" s="122">
        <v>7843</v>
      </c>
      <c r="J117" s="122">
        <v>7130</v>
      </c>
      <c r="K117" s="122">
        <v>73</v>
      </c>
      <c r="L117" s="122">
        <v>2016</v>
      </c>
      <c r="M117" s="122">
        <v>1833</v>
      </c>
      <c r="N117" s="122">
        <v>2173</v>
      </c>
      <c r="O117" s="122">
        <v>805</v>
      </c>
      <c r="P117" s="122">
        <v>473</v>
      </c>
      <c r="Q117" s="122">
        <v>175</v>
      </c>
      <c r="R117" s="122">
        <v>6116</v>
      </c>
      <c r="S117" s="122">
        <v>5560</v>
      </c>
      <c r="T117" s="122">
        <v>0</v>
      </c>
      <c r="U117" s="122">
        <v>0</v>
      </c>
      <c r="V117" s="122">
        <v>15502</v>
      </c>
      <c r="W117" s="122">
        <f t="shared" si="2"/>
        <v>15503</v>
      </c>
      <c r="X117" s="122">
        <f t="shared" si="3"/>
        <v>18621</v>
      </c>
      <c r="Y117" s="122"/>
      <c r="AA117" t="s">
        <v>50</v>
      </c>
      <c r="AB117" t="s">
        <v>406</v>
      </c>
      <c r="AC117" t="s">
        <v>579</v>
      </c>
      <c r="AD117" t="s">
        <v>137</v>
      </c>
      <c r="AE117" t="s">
        <v>566</v>
      </c>
      <c r="AF117">
        <v>1</v>
      </c>
      <c r="AG117">
        <v>221</v>
      </c>
      <c r="AH117">
        <v>96</v>
      </c>
      <c r="AI117" s="122">
        <v>9117</v>
      </c>
      <c r="AJ117" s="122">
        <v>8288</v>
      </c>
      <c r="AK117">
        <v>95</v>
      </c>
      <c r="AL117" s="122">
        <v>1547</v>
      </c>
      <c r="AM117" s="122">
        <v>1289</v>
      </c>
      <c r="AN117" s="122">
        <v>2697</v>
      </c>
      <c r="AO117">
        <v>999</v>
      </c>
      <c r="AP117">
        <v>621</v>
      </c>
      <c r="AQ117">
        <v>230</v>
      </c>
      <c r="AR117" s="122">
        <v>7374</v>
      </c>
      <c r="AS117" s="122">
        <v>2731</v>
      </c>
      <c r="AT117">
        <v>0</v>
      </c>
      <c r="AU117">
        <v>0</v>
      </c>
      <c r="AV117" s="122">
        <v>13538</v>
      </c>
    </row>
    <row r="118" spans="2:48" ht="12.75" hidden="1" customHeight="1">
      <c r="B118" t="s">
        <v>363</v>
      </c>
      <c r="C118" t="s">
        <v>56</v>
      </c>
      <c r="D118" t="s">
        <v>407</v>
      </c>
      <c r="E118" t="s">
        <v>407</v>
      </c>
      <c r="F118">
        <v>475</v>
      </c>
      <c r="G118" s="122">
        <v>49226</v>
      </c>
      <c r="H118" s="122">
        <v>84948</v>
      </c>
      <c r="I118" s="122">
        <v>4035127</v>
      </c>
      <c r="J118" s="122">
        <v>3668298</v>
      </c>
      <c r="K118" s="122">
        <v>80</v>
      </c>
      <c r="L118" s="122">
        <v>1069762</v>
      </c>
      <c r="M118" s="122">
        <v>957273</v>
      </c>
      <c r="N118" s="122">
        <v>984256</v>
      </c>
      <c r="O118" s="122">
        <v>364539</v>
      </c>
      <c r="P118" s="122">
        <v>228025</v>
      </c>
      <c r="Q118" s="122">
        <v>84454</v>
      </c>
      <c r="R118" s="122">
        <v>2344153</v>
      </c>
      <c r="S118" s="122">
        <v>2131048</v>
      </c>
      <c r="T118" s="122">
        <v>226444</v>
      </c>
      <c r="U118" s="122">
        <v>83868</v>
      </c>
      <c r="V118" s="122">
        <v>7289479</v>
      </c>
      <c r="W118" s="122">
        <f t="shared" si="2"/>
        <v>7289480</v>
      </c>
      <c r="X118" s="122">
        <f t="shared" si="3"/>
        <v>8887767</v>
      </c>
      <c r="Y118" s="122"/>
      <c r="AA118" t="s">
        <v>50</v>
      </c>
      <c r="AB118" t="s">
        <v>406</v>
      </c>
      <c r="AC118" t="s">
        <v>579</v>
      </c>
      <c r="AD118" t="s">
        <v>406</v>
      </c>
      <c r="AE118" t="s">
        <v>137</v>
      </c>
      <c r="AF118">
        <v>2</v>
      </c>
      <c r="AG118">
        <v>292</v>
      </c>
      <c r="AH118">
        <v>188</v>
      </c>
      <c r="AI118" s="122">
        <v>15856</v>
      </c>
      <c r="AJ118" s="122">
        <v>14414</v>
      </c>
      <c r="AK118">
        <v>93</v>
      </c>
      <c r="AL118" s="122">
        <v>3096</v>
      </c>
      <c r="AM118" s="122">
        <v>2580</v>
      </c>
      <c r="AN118" s="122">
        <v>5435</v>
      </c>
      <c r="AO118" s="122">
        <v>2013</v>
      </c>
      <c r="AP118" s="122">
        <v>1242</v>
      </c>
      <c r="AQ118">
        <v>460</v>
      </c>
      <c r="AR118" s="122">
        <v>5199</v>
      </c>
      <c r="AS118" s="122">
        <v>4726</v>
      </c>
      <c r="AT118">
        <v>394</v>
      </c>
      <c r="AU118">
        <v>146</v>
      </c>
      <c r="AV118" s="122">
        <v>24339</v>
      </c>
    </row>
    <row r="119" spans="2:48" ht="12.75" hidden="1" customHeight="1">
      <c r="B119" t="s">
        <v>363</v>
      </c>
      <c r="C119" t="s">
        <v>56</v>
      </c>
      <c r="D119" t="s">
        <v>426</v>
      </c>
      <c r="E119" t="s">
        <v>426</v>
      </c>
      <c r="F119" s="122">
        <v>1</v>
      </c>
      <c r="G119" s="122">
        <v>136</v>
      </c>
      <c r="H119" s="122">
        <v>212</v>
      </c>
      <c r="I119" s="122">
        <v>15934</v>
      </c>
      <c r="J119" s="122">
        <v>14485</v>
      </c>
      <c r="K119" s="122">
        <v>65</v>
      </c>
      <c r="L119" s="122">
        <v>1457</v>
      </c>
      <c r="M119" s="122">
        <v>1324</v>
      </c>
      <c r="N119" s="122">
        <v>2824</v>
      </c>
      <c r="O119" s="122">
        <v>1046</v>
      </c>
      <c r="P119" s="122">
        <v>621</v>
      </c>
      <c r="Q119" s="122">
        <v>230</v>
      </c>
      <c r="R119" s="122">
        <v>5020</v>
      </c>
      <c r="S119" s="122">
        <v>4564</v>
      </c>
      <c r="T119" s="122">
        <v>2858</v>
      </c>
      <c r="U119" s="122">
        <v>1058</v>
      </c>
      <c r="V119" s="122">
        <v>22708</v>
      </c>
      <c r="W119" s="122">
        <f t="shared" si="2"/>
        <v>22707</v>
      </c>
      <c r="X119" s="122">
        <f t="shared" si="3"/>
        <v>28714</v>
      </c>
      <c r="Y119" s="122"/>
      <c r="AA119" t="s">
        <v>50</v>
      </c>
      <c r="AB119" t="s">
        <v>406</v>
      </c>
      <c r="AC119" t="s">
        <v>579</v>
      </c>
      <c r="AD119" t="s">
        <v>406</v>
      </c>
      <c r="AE119" t="s">
        <v>566</v>
      </c>
      <c r="AF119">
        <v>22</v>
      </c>
      <c r="AG119" s="122">
        <v>2817</v>
      </c>
      <c r="AH119" s="122">
        <v>2028</v>
      </c>
      <c r="AI119" s="122">
        <v>106849</v>
      </c>
      <c r="AJ119" s="122">
        <v>97136</v>
      </c>
      <c r="AK119">
        <v>95</v>
      </c>
      <c r="AL119" s="122">
        <v>20770</v>
      </c>
      <c r="AM119" s="122">
        <v>17308</v>
      </c>
      <c r="AN119" s="122">
        <v>43321</v>
      </c>
      <c r="AO119" s="122">
        <v>16045</v>
      </c>
      <c r="AP119" s="122">
        <v>15700</v>
      </c>
      <c r="AQ119" s="122">
        <v>5815</v>
      </c>
      <c r="AR119" s="122">
        <v>73635</v>
      </c>
      <c r="AS119" s="122">
        <v>66941</v>
      </c>
      <c r="AT119">
        <v>0</v>
      </c>
      <c r="AU119">
        <v>0</v>
      </c>
      <c r="AV119" s="122">
        <v>203245</v>
      </c>
    </row>
    <row r="120" spans="2:48" ht="12.75" hidden="1" customHeight="1">
      <c r="B120" t="s">
        <v>363</v>
      </c>
      <c r="C120" t="s">
        <v>56</v>
      </c>
      <c r="D120" t="s">
        <v>481</v>
      </c>
      <c r="E120" t="s">
        <v>481</v>
      </c>
      <c r="F120" s="122">
        <v>1</v>
      </c>
      <c r="G120" s="122">
        <v>89</v>
      </c>
      <c r="H120" s="122">
        <v>184</v>
      </c>
      <c r="I120" s="122">
        <v>7735</v>
      </c>
      <c r="J120" s="122">
        <v>7032</v>
      </c>
      <c r="K120" s="122">
        <v>65</v>
      </c>
      <c r="L120" s="122">
        <v>1862</v>
      </c>
      <c r="M120" s="122">
        <v>1693</v>
      </c>
      <c r="N120" s="122">
        <v>1088</v>
      </c>
      <c r="O120" s="122">
        <v>403</v>
      </c>
      <c r="P120" s="122">
        <v>351</v>
      </c>
      <c r="Q120" s="122">
        <v>130</v>
      </c>
      <c r="R120" s="122">
        <v>5381</v>
      </c>
      <c r="S120" s="122">
        <v>4892</v>
      </c>
      <c r="T120" s="122">
        <v>0</v>
      </c>
      <c r="U120" s="122">
        <v>0</v>
      </c>
      <c r="V120" s="122">
        <v>14150</v>
      </c>
      <c r="W120" s="122">
        <f t="shared" si="2"/>
        <v>14150</v>
      </c>
      <c r="X120" s="122">
        <f t="shared" si="3"/>
        <v>16417</v>
      </c>
      <c r="Y120" s="122"/>
      <c r="AA120" t="s">
        <v>50</v>
      </c>
      <c r="AB120" t="s">
        <v>406</v>
      </c>
      <c r="AC120" t="s">
        <v>431</v>
      </c>
      <c r="AD120" t="s">
        <v>406</v>
      </c>
      <c r="AE120" t="s">
        <v>566</v>
      </c>
      <c r="AF120">
        <v>1</v>
      </c>
      <c r="AG120">
        <v>144</v>
      </c>
      <c r="AH120">
        <v>100</v>
      </c>
      <c r="AI120" s="122">
        <v>6288</v>
      </c>
      <c r="AJ120" s="122">
        <v>5716</v>
      </c>
      <c r="AK120">
        <v>95</v>
      </c>
      <c r="AL120" s="122">
        <v>1144</v>
      </c>
      <c r="AM120" s="122">
        <v>1040</v>
      </c>
      <c r="AN120" s="122">
        <v>2738</v>
      </c>
      <c r="AO120" s="122">
        <v>1014</v>
      </c>
      <c r="AP120">
        <v>621</v>
      </c>
      <c r="AQ120">
        <v>230</v>
      </c>
      <c r="AR120" s="122">
        <v>3541</v>
      </c>
      <c r="AS120" s="122">
        <v>3219</v>
      </c>
      <c r="AT120">
        <v>0</v>
      </c>
      <c r="AU120">
        <v>0</v>
      </c>
      <c r="AV120" s="122">
        <v>11219</v>
      </c>
    </row>
    <row r="121" spans="2:48" ht="12.75" hidden="1" customHeight="1">
      <c r="B121" t="s">
        <v>363</v>
      </c>
      <c r="C121" t="s">
        <v>56</v>
      </c>
      <c r="D121" t="s">
        <v>433</v>
      </c>
      <c r="E121" t="s">
        <v>433</v>
      </c>
      <c r="F121">
        <v>1</v>
      </c>
      <c r="G121">
        <v>217</v>
      </c>
      <c r="H121" s="122">
        <v>160</v>
      </c>
      <c r="I121" s="122">
        <v>24952</v>
      </c>
      <c r="J121" s="122">
        <v>22683</v>
      </c>
      <c r="K121" s="122">
        <v>85</v>
      </c>
      <c r="L121" s="122">
        <v>3946</v>
      </c>
      <c r="M121" s="122">
        <v>3587</v>
      </c>
      <c r="N121" s="122">
        <v>2646</v>
      </c>
      <c r="O121">
        <v>980</v>
      </c>
      <c r="P121">
        <v>351</v>
      </c>
      <c r="Q121" s="122">
        <v>130</v>
      </c>
      <c r="R121" s="122">
        <v>2834</v>
      </c>
      <c r="S121" s="122">
        <v>2576</v>
      </c>
      <c r="T121" s="122">
        <v>0</v>
      </c>
      <c r="U121" s="122">
        <v>0</v>
      </c>
      <c r="V121" s="122">
        <v>29957</v>
      </c>
      <c r="W121" s="122">
        <f t="shared" si="2"/>
        <v>29956</v>
      </c>
      <c r="X121" s="122">
        <f t="shared" si="3"/>
        <v>34729</v>
      </c>
      <c r="Y121" s="122"/>
      <c r="AA121" t="s">
        <v>50</v>
      </c>
      <c r="AB121" t="s">
        <v>406</v>
      </c>
      <c r="AC121" t="s">
        <v>426</v>
      </c>
      <c r="AD121" t="s">
        <v>406</v>
      </c>
      <c r="AE121" t="s">
        <v>137</v>
      </c>
      <c r="AF121">
        <v>31</v>
      </c>
      <c r="AG121" s="122">
        <v>3639</v>
      </c>
      <c r="AH121" s="122">
        <v>2700</v>
      </c>
      <c r="AI121" s="122">
        <v>135525</v>
      </c>
      <c r="AJ121" s="122">
        <v>123205</v>
      </c>
      <c r="AK121">
        <v>94</v>
      </c>
      <c r="AL121" s="122">
        <v>24508</v>
      </c>
      <c r="AM121" s="122">
        <v>22280</v>
      </c>
      <c r="AN121" s="122">
        <v>48654</v>
      </c>
      <c r="AO121" s="122">
        <v>18020</v>
      </c>
      <c r="AP121" s="122">
        <v>21847</v>
      </c>
      <c r="AQ121" s="122">
        <v>8092</v>
      </c>
      <c r="AR121" s="122">
        <v>80879</v>
      </c>
      <c r="AS121" s="122">
        <v>73526</v>
      </c>
      <c r="AT121" s="122">
        <v>5281</v>
      </c>
      <c r="AU121" s="122">
        <v>1956</v>
      </c>
      <c r="AV121" s="122">
        <v>247079</v>
      </c>
    </row>
    <row r="122" spans="2:48" ht="12.75" hidden="1" customHeight="1">
      <c r="B122" t="s">
        <v>363</v>
      </c>
      <c r="C122" t="s">
        <v>58</v>
      </c>
      <c r="D122" t="s">
        <v>425</v>
      </c>
      <c r="E122" t="s">
        <v>406</v>
      </c>
      <c r="F122" s="122">
        <v>1</v>
      </c>
      <c r="G122" s="122">
        <v>80</v>
      </c>
      <c r="H122" s="122">
        <v>282</v>
      </c>
      <c r="I122" s="122">
        <v>10169</v>
      </c>
      <c r="J122" s="122">
        <v>9245</v>
      </c>
      <c r="K122" s="122">
        <v>65</v>
      </c>
      <c r="L122" s="122">
        <v>2328</v>
      </c>
      <c r="M122" s="122">
        <v>2116</v>
      </c>
      <c r="N122" s="122">
        <v>1840</v>
      </c>
      <c r="O122" s="122">
        <v>681</v>
      </c>
      <c r="P122" s="122">
        <v>621</v>
      </c>
      <c r="Q122" s="122">
        <v>230</v>
      </c>
      <c r="R122" s="122">
        <v>4952</v>
      </c>
      <c r="S122" s="122">
        <v>4502</v>
      </c>
      <c r="T122" s="122">
        <v>2610</v>
      </c>
      <c r="U122" s="122">
        <v>967</v>
      </c>
      <c r="V122" s="122">
        <v>17741</v>
      </c>
      <c r="W122" s="122">
        <f t="shared" si="2"/>
        <v>17741</v>
      </c>
      <c r="X122" s="122">
        <f t="shared" si="3"/>
        <v>22520</v>
      </c>
      <c r="Y122" s="122"/>
      <c r="AA122" t="s">
        <v>50</v>
      </c>
      <c r="AB122" t="s">
        <v>406</v>
      </c>
      <c r="AC122" t="s">
        <v>426</v>
      </c>
      <c r="AD122" t="s">
        <v>406</v>
      </c>
      <c r="AE122" t="s">
        <v>566</v>
      </c>
      <c r="AF122">
        <v>159</v>
      </c>
      <c r="AG122" s="122">
        <v>17326</v>
      </c>
      <c r="AH122" s="122">
        <v>14474</v>
      </c>
      <c r="AI122" s="122">
        <v>699667</v>
      </c>
      <c r="AJ122" s="122">
        <v>636061</v>
      </c>
      <c r="AK122">
        <v>94</v>
      </c>
      <c r="AL122" s="122">
        <v>134877</v>
      </c>
      <c r="AM122" s="122">
        <v>122615</v>
      </c>
      <c r="AN122" s="122">
        <v>236563</v>
      </c>
      <c r="AO122" s="122">
        <v>87616</v>
      </c>
      <c r="AP122" s="122">
        <v>110603</v>
      </c>
      <c r="AQ122" s="122">
        <v>40964</v>
      </c>
      <c r="AR122" s="122">
        <v>402125</v>
      </c>
      <c r="AS122" s="122">
        <v>365569</v>
      </c>
      <c r="AT122">
        <v>0</v>
      </c>
      <c r="AU122">
        <v>0</v>
      </c>
      <c r="AV122" s="122">
        <v>1252825</v>
      </c>
    </row>
    <row r="123" spans="2:48" ht="12.75" hidden="1" customHeight="1">
      <c r="B123" t="s">
        <v>363</v>
      </c>
      <c r="C123" t="s">
        <v>58</v>
      </c>
      <c r="D123" t="s">
        <v>405</v>
      </c>
      <c r="E123" t="s">
        <v>405</v>
      </c>
      <c r="F123" s="122">
        <v>11</v>
      </c>
      <c r="G123" s="122">
        <v>1043</v>
      </c>
      <c r="H123" s="122">
        <v>2770</v>
      </c>
      <c r="I123" s="122">
        <v>128470</v>
      </c>
      <c r="J123" s="122">
        <v>116791</v>
      </c>
      <c r="K123" s="122">
        <v>82</v>
      </c>
      <c r="L123" s="122">
        <v>46130</v>
      </c>
      <c r="M123" s="122">
        <v>41270</v>
      </c>
      <c r="N123" s="122">
        <v>21619</v>
      </c>
      <c r="O123" s="122">
        <v>8007</v>
      </c>
      <c r="P123" s="122">
        <v>5346</v>
      </c>
      <c r="Q123" s="122">
        <v>1980</v>
      </c>
      <c r="R123" s="122">
        <v>46027</v>
      </c>
      <c r="S123" s="122">
        <v>41842</v>
      </c>
      <c r="T123" s="122">
        <v>14777</v>
      </c>
      <c r="U123" s="122">
        <v>5473</v>
      </c>
      <c r="V123" s="122">
        <v>215364</v>
      </c>
      <c r="W123" s="122">
        <f t="shared" si="2"/>
        <v>215363</v>
      </c>
      <c r="X123" s="122">
        <f t="shared" si="3"/>
        <v>262369</v>
      </c>
      <c r="Y123" s="122"/>
      <c r="AA123" t="s">
        <v>50</v>
      </c>
      <c r="AB123" t="s">
        <v>406</v>
      </c>
      <c r="AC123" t="s">
        <v>566</v>
      </c>
      <c r="AD123" t="s">
        <v>406</v>
      </c>
      <c r="AE123" t="s">
        <v>137</v>
      </c>
      <c r="AF123">
        <v>19</v>
      </c>
      <c r="AG123" s="122">
        <v>2375</v>
      </c>
      <c r="AH123" s="122">
        <v>1640</v>
      </c>
      <c r="AI123" s="122">
        <v>97507</v>
      </c>
      <c r="AJ123" s="122">
        <v>88643</v>
      </c>
      <c r="AK123">
        <v>93</v>
      </c>
      <c r="AL123">
        <v>0</v>
      </c>
      <c r="AM123">
        <v>460</v>
      </c>
      <c r="AN123" s="122">
        <v>32105</v>
      </c>
      <c r="AO123" s="122">
        <v>11891</v>
      </c>
      <c r="AP123" s="122">
        <v>11799</v>
      </c>
      <c r="AQ123" s="122">
        <v>4370</v>
      </c>
      <c r="AR123" s="122">
        <v>45788</v>
      </c>
      <c r="AS123" s="122">
        <v>41625</v>
      </c>
      <c r="AT123" s="122">
        <v>17790</v>
      </c>
      <c r="AU123" s="122">
        <v>6589</v>
      </c>
      <c r="AV123" s="122">
        <v>153578</v>
      </c>
    </row>
    <row r="124" spans="2:48" ht="12.75" hidden="1" customHeight="1">
      <c r="B124" t="s">
        <v>363</v>
      </c>
      <c r="C124" t="s">
        <v>58</v>
      </c>
      <c r="D124" t="s">
        <v>137</v>
      </c>
      <c r="E124" t="s">
        <v>137</v>
      </c>
      <c r="F124" s="122">
        <v>73</v>
      </c>
      <c r="G124" s="122">
        <v>6826</v>
      </c>
      <c r="H124" s="122">
        <v>19119</v>
      </c>
      <c r="I124" s="122">
        <v>947419</v>
      </c>
      <c r="J124" s="122">
        <v>350896</v>
      </c>
      <c r="K124" s="122">
        <v>100</v>
      </c>
      <c r="L124" s="122">
        <v>143101</v>
      </c>
      <c r="M124" s="122">
        <v>90955</v>
      </c>
      <c r="N124" s="122">
        <v>149106</v>
      </c>
      <c r="O124" s="122">
        <v>55224</v>
      </c>
      <c r="P124" s="122">
        <v>351</v>
      </c>
      <c r="Q124" s="122">
        <v>130</v>
      </c>
      <c r="R124" s="122">
        <v>545483</v>
      </c>
      <c r="S124" s="122">
        <v>202031</v>
      </c>
      <c r="T124" s="122">
        <v>0</v>
      </c>
      <c r="U124" s="122">
        <v>0</v>
      </c>
      <c r="V124" s="122">
        <v>699236</v>
      </c>
      <c r="W124" s="122">
        <f t="shared" si="2"/>
        <v>699236</v>
      </c>
      <c r="X124" s="122">
        <f t="shared" si="3"/>
        <v>1785460</v>
      </c>
      <c r="Y124" s="122"/>
      <c r="AA124" t="s">
        <v>50</v>
      </c>
      <c r="AB124" t="s">
        <v>406</v>
      </c>
      <c r="AC124" t="s">
        <v>566</v>
      </c>
      <c r="AD124" t="s">
        <v>406</v>
      </c>
      <c r="AE124" t="s">
        <v>566</v>
      </c>
      <c r="AF124">
        <v>48</v>
      </c>
      <c r="AG124" s="122">
        <v>5337</v>
      </c>
      <c r="AH124" s="122">
        <v>4358</v>
      </c>
      <c r="AI124" s="122">
        <v>229308</v>
      </c>
      <c r="AJ124" s="122">
        <v>208461</v>
      </c>
      <c r="AK124">
        <v>94</v>
      </c>
      <c r="AL124">
        <v>0</v>
      </c>
      <c r="AM124" s="122">
        <v>2329</v>
      </c>
      <c r="AN124" s="122">
        <v>70294</v>
      </c>
      <c r="AO124" s="122">
        <v>26035</v>
      </c>
      <c r="AP124" s="122">
        <v>35243</v>
      </c>
      <c r="AQ124" s="122">
        <v>13053</v>
      </c>
      <c r="AR124" s="122">
        <v>148348</v>
      </c>
      <c r="AS124" s="122">
        <v>134862</v>
      </c>
      <c r="AT124">
        <v>0</v>
      </c>
      <c r="AU124">
        <v>0</v>
      </c>
      <c r="AV124" s="122">
        <v>384741</v>
      </c>
    </row>
    <row r="125" spans="2:48" ht="12.75" hidden="1" customHeight="1">
      <c r="B125" t="s">
        <v>363</v>
      </c>
      <c r="C125" t="s">
        <v>58</v>
      </c>
      <c r="D125" t="s">
        <v>137</v>
      </c>
      <c r="E125" t="s">
        <v>426</v>
      </c>
      <c r="F125">
        <v>1</v>
      </c>
      <c r="G125" s="122">
        <v>77</v>
      </c>
      <c r="H125" s="122">
        <v>278</v>
      </c>
      <c r="I125" s="122">
        <v>10626</v>
      </c>
      <c r="J125" s="122">
        <v>3936</v>
      </c>
      <c r="K125" s="122">
        <v>100</v>
      </c>
      <c r="L125" s="122">
        <v>1603</v>
      </c>
      <c r="M125" s="122">
        <v>1458</v>
      </c>
      <c r="N125" s="122">
        <v>1781</v>
      </c>
      <c r="O125" s="122">
        <v>659</v>
      </c>
      <c r="P125" s="122">
        <v>351</v>
      </c>
      <c r="Q125" s="122">
        <v>130</v>
      </c>
      <c r="R125" s="122">
        <v>4540</v>
      </c>
      <c r="S125" s="122">
        <v>4127</v>
      </c>
      <c r="T125" s="122">
        <v>2481</v>
      </c>
      <c r="U125" s="122">
        <v>919</v>
      </c>
      <c r="V125" s="122">
        <v>11229</v>
      </c>
      <c r="W125" s="122">
        <f t="shared" si="2"/>
        <v>11229</v>
      </c>
      <c r="X125" s="122">
        <f t="shared" si="3"/>
        <v>21382</v>
      </c>
      <c r="Y125" s="122"/>
      <c r="AA125" t="s">
        <v>50</v>
      </c>
      <c r="AB125" t="s">
        <v>406</v>
      </c>
      <c r="AC125" t="s">
        <v>481</v>
      </c>
      <c r="AD125" t="s">
        <v>406</v>
      </c>
      <c r="AE125" t="s">
        <v>566</v>
      </c>
      <c r="AF125">
        <v>1</v>
      </c>
      <c r="AG125">
        <v>152</v>
      </c>
      <c r="AH125">
        <v>93</v>
      </c>
      <c r="AI125" s="122">
        <v>7926</v>
      </c>
      <c r="AJ125" s="122">
        <v>7206</v>
      </c>
      <c r="AK125">
        <v>95</v>
      </c>
      <c r="AL125" s="122">
        <v>1112</v>
      </c>
      <c r="AM125" s="122">
        <v>1011</v>
      </c>
      <c r="AN125" s="122">
        <v>1848</v>
      </c>
      <c r="AO125">
        <v>684</v>
      </c>
      <c r="AP125">
        <v>621</v>
      </c>
      <c r="AQ125">
        <v>230</v>
      </c>
      <c r="AR125" s="122">
        <v>2583</v>
      </c>
      <c r="AS125" s="122">
        <v>2348</v>
      </c>
      <c r="AT125">
        <v>0</v>
      </c>
      <c r="AU125">
        <v>0</v>
      </c>
      <c r="AV125" s="122">
        <v>11480</v>
      </c>
    </row>
    <row r="126" spans="2:48" ht="12.75" hidden="1" customHeight="1">
      <c r="B126" t="s">
        <v>363</v>
      </c>
      <c r="C126" t="s">
        <v>58</v>
      </c>
      <c r="D126" t="s">
        <v>406</v>
      </c>
      <c r="E126" s="122" t="s">
        <v>137</v>
      </c>
      <c r="F126" s="122">
        <v>1</v>
      </c>
      <c r="G126" s="122">
        <v>103</v>
      </c>
      <c r="H126" s="122">
        <v>232</v>
      </c>
      <c r="I126" s="122">
        <v>11993</v>
      </c>
      <c r="J126" s="122">
        <v>10903</v>
      </c>
      <c r="K126" s="122">
        <v>79</v>
      </c>
      <c r="L126" s="122">
        <v>3331</v>
      </c>
      <c r="M126" s="122">
        <v>3028</v>
      </c>
      <c r="N126" s="122">
        <v>2510</v>
      </c>
      <c r="O126" s="122">
        <v>929</v>
      </c>
      <c r="P126" s="122">
        <v>621</v>
      </c>
      <c r="Q126" s="122">
        <v>230</v>
      </c>
      <c r="R126" s="122">
        <v>5477</v>
      </c>
      <c r="S126" s="122">
        <v>2029</v>
      </c>
      <c r="T126" s="122">
        <v>0</v>
      </c>
      <c r="U126" s="122">
        <v>0</v>
      </c>
      <c r="V126" s="122">
        <v>17119</v>
      </c>
      <c r="W126" s="122">
        <f t="shared" si="2"/>
        <v>17119</v>
      </c>
      <c r="X126" s="122">
        <f t="shared" si="3"/>
        <v>23932</v>
      </c>
      <c r="Y126" s="122"/>
      <c r="AA126" t="s">
        <v>50</v>
      </c>
      <c r="AB126" t="s">
        <v>406</v>
      </c>
      <c r="AC126" t="s">
        <v>433</v>
      </c>
      <c r="AD126" t="s">
        <v>406</v>
      </c>
      <c r="AE126" t="s">
        <v>566</v>
      </c>
      <c r="AF126">
        <v>56</v>
      </c>
      <c r="AG126" s="122">
        <v>6341</v>
      </c>
      <c r="AH126" s="122">
        <v>5062</v>
      </c>
      <c r="AI126" s="122">
        <v>242023</v>
      </c>
      <c r="AJ126" s="122">
        <v>220021</v>
      </c>
      <c r="AK126">
        <v>94</v>
      </c>
      <c r="AL126" s="122">
        <v>36834</v>
      </c>
      <c r="AM126" s="122">
        <v>33485</v>
      </c>
      <c r="AN126" s="122">
        <v>81573</v>
      </c>
      <c r="AO126" s="122">
        <v>30212</v>
      </c>
      <c r="AP126" s="122">
        <v>38178</v>
      </c>
      <c r="AQ126" s="122">
        <v>14140</v>
      </c>
      <c r="AR126" s="122">
        <v>171701</v>
      </c>
      <c r="AS126" s="122">
        <v>156092</v>
      </c>
      <c r="AT126">
        <v>0</v>
      </c>
      <c r="AU126">
        <v>0</v>
      </c>
      <c r="AV126" s="122">
        <v>453950</v>
      </c>
    </row>
    <row r="127" spans="2:48" ht="12.75" hidden="1" customHeight="1">
      <c r="B127" t="s">
        <v>363</v>
      </c>
      <c r="C127" t="s">
        <v>58</v>
      </c>
      <c r="D127" t="s">
        <v>406</v>
      </c>
      <c r="E127" t="s">
        <v>406</v>
      </c>
      <c r="F127" s="122">
        <v>642</v>
      </c>
      <c r="G127" s="122">
        <v>52494</v>
      </c>
      <c r="H127" s="122">
        <v>164181</v>
      </c>
      <c r="I127" s="122">
        <v>6598223</v>
      </c>
      <c r="J127" s="122">
        <v>5998385</v>
      </c>
      <c r="K127" s="122">
        <v>82</v>
      </c>
      <c r="L127" s="122">
        <v>1629944</v>
      </c>
      <c r="M127" s="122">
        <v>1440851</v>
      </c>
      <c r="N127" s="122">
        <v>1072729</v>
      </c>
      <c r="O127" s="122">
        <v>397307</v>
      </c>
      <c r="P127" s="122">
        <v>403216</v>
      </c>
      <c r="Q127" s="122">
        <v>149339</v>
      </c>
      <c r="R127" s="122">
        <v>2625948</v>
      </c>
      <c r="S127" s="122">
        <v>2387225</v>
      </c>
      <c r="T127" s="122">
        <v>1123150</v>
      </c>
      <c r="U127" s="122">
        <v>415982</v>
      </c>
      <c r="V127" s="122">
        <v>10789088</v>
      </c>
      <c r="W127" s="122">
        <f t="shared" si="2"/>
        <v>10789089</v>
      </c>
      <c r="X127" s="122">
        <f t="shared" si="3"/>
        <v>13453210</v>
      </c>
      <c r="Y127" s="122"/>
      <c r="AA127" t="s">
        <v>50</v>
      </c>
      <c r="AB127" t="s">
        <v>406</v>
      </c>
      <c r="AC127" t="s">
        <v>429</v>
      </c>
      <c r="AD127" t="s">
        <v>406</v>
      </c>
      <c r="AE127" t="s">
        <v>137</v>
      </c>
      <c r="AF127">
        <v>2</v>
      </c>
      <c r="AG127">
        <v>228</v>
      </c>
      <c r="AH127">
        <v>186</v>
      </c>
      <c r="AI127" s="122">
        <v>11663</v>
      </c>
      <c r="AJ127" s="122">
        <v>10603</v>
      </c>
      <c r="AK127">
        <v>95</v>
      </c>
      <c r="AL127">
        <v>703</v>
      </c>
      <c r="AM127">
        <v>639</v>
      </c>
      <c r="AN127" s="122">
        <v>2779</v>
      </c>
      <c r="AO127" s="122">
        <v>1029</v>
      </c>
      <c r="AP127" s="122">
        <v>1242</v>
      </c>
      <c r="AQ127">
        <v>460</v>
      </c>
      <c r="AR127" s="122">
        <v>4904</v>
      </c>
      <c r="AS127" s="122">
        <v>4459</v>
      </c>
      <c r="AT127">
        <v>0</v>
      </c>
      <c r="AU127">
        <v>0</v>
      </c>
      <c r="AV127" s="122">
        <v>17189</v>
      </c>
    </row>
    <row r="128" spans="2:48" ht="12.75" hidden="1" customHeight="1">
      <c r="B128" t="s">
        <v>363</v>
      </c>
      <c r="C128" t="s">
        <v>58</v>
      </c>
      <c r="D128" t="s">
        <v>406</v>
      </c>
      <c r="E128" t="s">
        <v>426</v>
      </c>
      <c r="F128">
        <v>1</v>
      </c>
      <c r="G128" s="122">
        <v>118</v>
      </c>
      <c r="H128" s="122">
        <v>232</v>
      </c>
      <c r="I128" s="122">
        <v>13778</v>
      </c>
      <c r="J128" s="122">
        <v>12525</v>
      </c>
      <c r="K128" s="122">
        <v>83</v>
      </c>
      <c r="L128" s="122">
        <v>4021</v>
      </c>
      <c r="M128" s="122">
        <v>3656</v>
      </c>
      <c r="N128" s="122">
        <v>2106</v>
      </c>
      <c r="O128" s="122">
        <v>780</v>
      </c>
      <c r="P128" s="122">
        <v>621</v>
      </c>
      <c r="Q128" s="122">
        <v>230</v>
      </c>
      <c r="R128" s="122">
        <v>6963</v>
      </c>
      <c r="S128" s="122">
        <v>6330</v>
      </c>
      <c r="T128" s="122">
        <v>0</v>
      </c>
      <c r="U128" s="122">
        <v>0</v>
      </c>
      <c r="V128" s="122">
        <v>23520</v>
      </c>
      <c r="W128" s="122">
        <f t="shared" si="2"/>
        <v>23521</v>
      </c>
      <c r="X128" s="122">
        <f t="shared" si="3"/>
        <v>27489</v>
      </c>
      <c r="Y128" s="122"/>
      <c r="AA128" t="s">
        <v>50</v>
      </c>
      <c r="AB128" t="s">
        <v>406</v>
      </c>
      <c r="AC128" t="s">
        <v>429</v>
      </c>
      <c r="AD128" t="s">
        <v>406</v>
      </c>
      <c r="AE128" t="s">
        <v>566</v>
      </c>
      <c r="AF128">
        <v>4</v>
      </c>
      <c r="AG128">
        <v>357</v>
      </c>
      <c r="AH128">
        <v>364</v>
      </c>
      <c r="AI128" s="122">
        <v>14145</v>
      </c>
      <c r="AJ128" s="122">
        <v>12859</v>
      </c>
      <c r="AK128">
        <v>95</v>
      </c>
      <c r="AL128" s="122">
        <v>2097</v>
      </c>
      <c r="AM128" s="122">
        <v>1906</v>
      </c>
      <c r="AN128" s="122">
        <v>4353</v>
      </c>
      <c r="AO128" s="122">
        <v>1612</v>
      </c>
      <c r="AP128" s="122">
        <v>1944</v>
      </c>
      <c r="AQ128">
        <v>720</v>
      </c>
      <c r="AR128" s="122">
        <v>9931</v>
      </c>
      <c r="AS128" s="122">
        <v>9028</v>
      </c>
      <c r="AT128">
        <v>0</v>
      </c>
      <c r="AU128">
        <v>0</v>
      </c>
      <c r="AV128" s="122">
        <v>26126</v>
      </c>
    </row>
    <row r="129" spans="2:48" ht="12.75" customHeight="1">
      <c r="B129" t="s">
        <v>363</v>
      </c>
      <c r="C129" t="s">
        <v>58</v>
      </c>
      <c r="D129" t="s">
        <v>427</v>
      </c>
      <c r="E129" t="s">
        <v>427</v>
      </c>
      <c r="F129" s="122">
        <v>1</v>
      </c>
      <c r="G129" s="122">
        <v>80</v>
      </c>
      <c r="H129" s="122">
        <v>289</v>
      </c>
      <c r="I129" s="122">
        <v>12183</v>
      </c>
      <c r="J129" s="122">
        <v>11075</v>
      </c>
      <c r="K129" s="122">
        <v>65</v>
      </c>
      <c r="L129" s="122">
        <v>2933</v>
      </c>
      <c r="M129" s="122">
        <v>2666</v>
      </c>
      <c r="N129" s="122">
        <v>1461</v>
      </c>
      <c r="O129" s="122">
        <v>541</v>
      </c>
      <c r="P129" s="122">
        <v>351</v>
      </c>
      <c r="Q129" s="122">
        <v>130</v>
      </c>
      <c r="R129" s="122">
        <v>6176</v>
      </c>
      <c r="S129" s="122">
        <v>5614</v>
      </c>
      <c r="T129" s="122">
        <v>0</v>
      </c>
      <c r="U129" s="122">
        <v>0</v>
      </c>
      <c r="V129" s="122">
        <v>20027</v>
      </c>
      <c r="W129" s="122">
        <f t="shared" si="2"/>
        <v>20026</v>
      </c>
      <c r="X129" s="122">
        <f t="shared" si="3"/>
        <v>23104</v>
      </c>
      <c r="Y129" s="122"/>
      <c r="AA129" t="s">
        <v>50</v>
      </c>
      <c r="AB129" t="s">
        <v>407</v>
      </c>
      <c r="AC129" t="s">
        <v>578</v>
      </c>
      <c r="AD129" t="s">
        <v>407</v>
      </c>
      <c r="AE129" t="s">
        <v>137</v>
      </c>
      <c r="AF129">
        <v>11</v>
      </c>
      <c r="AG129">
        <v>566</v>
      </c>
      <c r="AH129" s="122">
        <v>1021</v>
      </c>
      <c r="AI129" s="122">
        <v>24955</v>
      </c>
      <c r="AJ129" s="122">
        <v>22687</v>
      </c>
      <c r="AK129">
        <v>90</v>
      </c>
      <c r="AL129" s="122">
        <v>4256</v>
      </c>
      <c r="AM129" s="122">
        <v>3869</v>
      </c>
      <c r="AN129" s="122">
        <v>6897</v>
      </c>
      <c r="AO129" s="122">
        <v>2554</v>
      </c>
      <c r="AP129" s="122">
        <v>9766</v>
      </c>
      <c r="AQ129" s="122">
        <v>3617</v>
      </c>
      <c r="AR129" s="122">
        <v>6632</v>
      </c>
      <c r="AS129" s="122">
        <v>6029</v>
      </c>
      <c r="AT129">
        <v>0</v>
      </c>
      <c r="AU129">
        <v>0</v>
      </c>
      <c r="AV129" s="122">
        <v>38756</v>
      </c>
    </row>
    <row r="130" spans="2:48" ht="12.75" hidden="1" customHeight="1">
      <c r="B130" t="s">
        <v>363</v>
      </c>
      <c r="C130" t="s">
        <v>58</v>
      </c>
      <c r="D130" t="s">
        <v>407</v>
      </c>
      <c r="E130" t="s">
        <v>407</v>
      </c>
      <c r="F130">
        <v>45</v>
      </c>
      <c r="G130" s="122">
        <v>3977</v>
      </c>
      <c r="H130" s="122">
        <v>11148</v>
      </c>
      <c r="I130" s="122">
        <v>483551</v>
      </c>
      <c r="J130" s="122">
        <v>439591</v>
      </c>
      <c r="K130" s="122">
        <v>78</v>
      </c>
      <c r="L130" s="122">
        <v>149203</v>
      </c>
      <c r="M130" s="122">
        <v>135334</v>
      </c>
      <c r="N130" s="122">
        <v>81947</v>
      </c>
      <c r="O130" s="122">
        <v>30351</v>
      </c>
      <c r="P130" s="122">
        <v>21263</v>
      </c>
      <c r="Q130" s="122">
        <v>7875</v>
      </c>
      <c r="R130" s="122">
        <v>192384</v>
      </c>
      <c r="S130" s="122">
        <v>174895</v>
      </c>
      <c r="T130" s="122">
        <v>66570</v>
      </c>
      <c r="U130" s="122">
        <v>24655</v>
      </c>
      <c r="V130" s="122">
        <v>812701</v>
      </c>
      <c r="W130" s="122">
        <f t="shared" si="2"/>
        <v>812701</v>
      </c>
      <c r="X130" s="122">
        <f t="shared" si="3"/>
        <v>994918</v>
      </c>
      <c r="Y130" s="122"/>
      <c r="AA130" t="s">
        <v>50</v>
      </c>
      <c r="AB130" t="s">
        <v>407</v>
      </c>
      <c r="AC130" t="s">
        <v>137</v>
      </c>
      <c r="AD130" t="s">
        <v>407</v>
      </c>
      <c r="AE130" t="s">
        <v>137</v>
      </c>
      <c r="AF130">
        <v>21</v>
      </c>
      <c r="AG130" s="122">
        <v>2579</v>
      </c>
      <c r="AH130" s="122">
        <v>1759</v>
      </c>
      <c r="AI130" s="122">
        <v>83940</v>
      </c>
      <c r="AJ130" s="122">
        <v>76309</v>
      </c>
      <c r="AK130">
        <v>90</v>
      </c>
      <c r="AL130" s="122">
        <v>21615</v>
      </c>
      <c r="AM130" s="122">
        <v>8006</v>
      </c>
      <c r="AN130" s="122">
        <v>32262</v>
      </c>
      <c r="AO130" s="122">
        <v>11949</v>
      </c>
      <c r="AP130" s="122">
        <v>9923</v>
      </c>
      <c r="AQ130" s="122">
        <v>3675</v>
      </c>
      <c r="AR130" s="122">
        <v>63396</v>
      </c>
      <c r="AS130" s="122">
        <v>57632</v>
      </c>
      <c r="AT130" s="122">
        <v>2530</v>
      </c>
      <c r="AU130">
        <v>937</v>
      </c>
      <c r="AV130" s="122">
        <v>158508</v>
      </c>
    </row>
    <row r="131" spans="2:48" ht="12.75" hidden="1" customHeight="1">
      <c r="B131" t="s">
        <v>363</v>
      </c>
      <c r="C131" t="s">
        <v>58</v>
      </c>
      <c r="D131" t="s">
        <v>426</v>
      </c>
      <c r="E131" t="s">
        <v>406</v>
      </c>
      <c r="F131" s="122">
        <v>1</v>
      </c>
      <c r="G131" s="122">
        <v>78</v>
      </c>
      <c r="H131" s="122">
        <v>256</v>
      </c>
      <c r="I131" s="122">
        <v>10443</v>
      </c>
      <c r="J131" s="122">
        <v>9494</v>
      </c>
      <c r="K131" s="122">
        <v>70</v>
      </c>
      <c r="L131" s="122">
        <v>1894</v>
      </c>
      <c r="M131" s="122">
        <v>701</v>
      </c>
      <c r="N131" s="122">
        <v>954</v>
      </c>
      <c r="O131" s="122">
        <v>353</v>
      </c>
      <c r="P131" s="122">
        <v>621</v>
      </c>
      <c r="Q131" s="122">
        <v>230</v>
      </c>
      <c r="R131" s="122">
        <v>4018</v>
      </c>
      <c r="S131" s="122">
        <v>3653</v>
      </c>
      <c r="T131" s="122">
        <v>2143</v>
      </c>
      <c r="U131" s="122">
        <v>794</v>
      </c>
      <c r="V131" s="122">
        <v>15225</v>
      </c>
      <c r="W131" s="122">
        <f t="shared" si="2"/>
        <v>15225</v>
      </c>
      <c r="X131" s="122">
        <f t="shared" si="3"/>
        <v>20073</v>
      </c>
      <c r="Y131" s="122"/>
      <c r="AA131" t="s">
        <v>50</v>
      </c>
      <c r="AB131" t="s">
        <v>407</v>
      </c>
      <c r="AC131" t="s">
        <v>137</v>
      </c>
      <c r="AD131" t="s">
        <v>407</v>
      </c>
      <c r="AE131" t="s">
        <v>566</v>
      </c>
      <c r="AF131">
        <v>89</v>
      </c>
      <c r="AG131" s="122">
        <v>9984</v>
      </c>
      <c r="AH131" s="122">
        <v>7965</v>
      </c>
      <c r="AI131" s="122">
        <v>351778</v>
      </c>
      <c r="AJ131" s="122">
        <v>319798</v>
      </c>
      <c r="AK131">
        <v>94</v>
      </c>
      <c r="AL131" s="122">
        <v>83841</v>
      </c>
      <c r="AM131" s="122">
        <v>31052</v>
      </c>
      <c r="AN131" s="122">
        <v>148551</v>
      </c>
      <c r="AO131" s="122">
        <v>55019</v>
      </c>
      <c r="AP131" s="122">
        <v>44531</v>
      </c>
      <c r="AQ131" s="122">
        <v>16493</v>
      </c>
      <c r="AR131" s="122">
        <v>276715</v>
      </c>
      <c r="AS131" s="122">
        <v>251559</v>
      </c>
      <c r="AT131">
        <v>0</v>
      </c>
      <c r="AU131">
        <v>0</v>
      </c>
      <c r="AV131" s="122">
        <v>673922</v>
      </c>
    </row>
    <row r="132" spans="2:48" ht="12.75" hidden="1" customHeight="1">
      <c r="B132" t="s">
        <v>363</v>
      </c>
      <c r="C132" t="s">
        <v>58</v>
      </c>
      <c r="D132" t="s">
        <v>426</v>
      </c>
      <c r="E132" t="s">
        <v>426</v>
      </c>
      <c r="F132" s="122">
        <v>56</v>
      </c>
      <c r="G132" s="122">
        <v>4874</v>
      </c>
      <c r="H132" s="122">
        <v>15341</v>
      </c>
      <c r="I132" s="122">
        <v>679582</v>
      </c>
      <c r="J132" s="122">
        <v>617802</v>
      </c>
      <c r="K132" s="122">
        <v>57</v>
      </c>
      <c r="L132" s="122">
        <v>119167</v>
      </c>
      <c r="M132" s="122">
        <v>106626</v>
      </c>
      <c r="N132" s="122">
        <v>94543</v>
      </c>
      <c r="O132" s="122">
        <v>35016</v>
      </c>
      <c r="P132" s="122">
        <v>21708</v>
      </c>
      <c r="Q132" s="122">
        <v>8040</v>
      </c>
      <c r="R132" s="122">
        <v>336470</v>
      </c>
      <c r="S132" s="122">
        <v>305882</v>
      </c>
      <c r="T132" s="122">
        <v>76950</v>
      </c>
      <c r="U132" s="122">
        <v>28500</v>
      </c>
      <c r="V132" s="122">
        <v>1101866</v>
      </c>
      <c r="W132" s="122">
        <f t="shared" si="2"/>
        <v>1101866</v>
      </c>
      <c r="X132" s="122">
        <f t="shared" si="3"/>
        <v>1328420</v>
      </c>
      <c r="Y132" s="122"/>
      <c r="AA132" t="s">
        <v>50</v>
      </c>
      <c r="AB132" t="s">
        <v>407</v>
      </c>
      <c r="AC132" t="s">
        <v>427</v>
      </c>
      <c r="AD132" t="s">
        <v>407</v>
      </c>
      <c r="AE132" t="s">
        <v>137</v>
      </c>
      <c r="AF132">
        <v>14</v>
      </c>
      <c r="AG132" s="122">
        <v>1908</v>
      </c>
      <c r="AH132" s="122">
        <v>1318</v>
      </c>
      <c r="AI132" s="122">
        <v>65867</v>
      </c>
      <c r="AJ132" s="122">
        <v>59879</v>
      </c>
      <c r="AK132">
        <v>91</v>
      </c>
      <c r="AL132" s="122">
        <v>21140</v>
      </c>
      <c r="AM132" s="122">
        <v>19219</v>
      </c>
      <c r="AN132" s="122">
        <v>24832</v>
      </c>
      <c r="AO132" s="122">
        <v>9197</v>
      </c>
      <c r="AP132" s="122">
        <v>6615</v>
      </c>
      <c r="AQ132" s="122">
        <v>2450</v>
      </c>
      <c r="AR132" s="122">
        <v>60190</v>
      </c>
      <c r="AS132" s="122">
        <v>54718</v>
      </c>
      <c r="AT132">
        <v>0</v>
      </c>
      <c r="AU132">
        <v>0</v>
      </c>
      <c r="AV132" s="122">
        <v>145462</v>
      </c>
    </row>
    <row r="133" spans="2:48" ht="12.75" hidden="1" customHeight="1">
      <c r="B133" t="s">
        <v>363</v>
      </c>
      <c r="C133" t="s">
        <v>58</v>
      </c>
      <c r="D133" t="s">
        <v>433</v>
      </c>
      <c r="E133" t="s">
        <v>433</v>
      </c>
      <c r="F133">
        <v>1</v>
      </c>
      <c r="G133">
        <v>79</v>
      </c>
      <c r="H133" s="122">
        <v>260</v>
      </c>
      <c r="I133" s="122">
        <v>9818</v>
      </c>
      <c r="J133" s="122">
        <v>8926</v>
      </c>
      <c r="K133" s="122">
        <v>65</v>
      </c>
      <c r="L133" s="122">
        <v>2364</v>
      </c>
      <c r="M133" s="122">
        <v>2149</v>
      </c>
      <c r="N133" s="122">
        <v>1772</v>
      </c>
      <c r="O133" s="122">
        <v>656</v>
      </c>
      <c r="P133" s="122">
        <v>351</v>
      </c>
      <c r="Q133" s="122">
        <v>130</v>
      </c>
      <c r="R133" s="122">
        <v>6142</v>
      </c>
      <c r="S133" s="122">
        <v>5584</v>
      </c>
      <c r="T133" s="122">
        <v>0</v>
      </c>
      <c r="U133" s="122">
        <v>0</v>
      </c>
      <c r="V133" s="122">
        <v>17445</v>
      </c>
      <c r="W133" s="122">
        <f t="shared" si="2"/>
        <v>17445</v>
      </c>
      <c r="X133" s="122">
        <f t="shared" si="3"/>
        <v>20447</v>
      </c>
      <c r="Y133" s="122"/>
      <c r="AA133" t="s">
        <v>50</v>
      </c>
      <c r="AB133" t="s">
        <v>407</v>
      </c>
      <c r="AC133" t="s">
        <v>427</v>
      </c>
      <c r="AD133" t="s">
        <v>407</v>
      </c>
      <c r="AE133" t="s">
        <v>566</v>
      </c>
      <c r="AF133">
        <v>23</v>
      </c>
      <c r="AG133" s="122">
        <v>3362</v>
      </c>
      <c r="AH133" s="122">
        <v>2167</v>
      </c>
      <c r="AI133" s="122">
        <v>149895</v>
      </c>
      <c r="AJ133" s="122">
        <v>136268</v>
      </c>
      <c r="AK133">
        <v>91</v>
      </c>
      <c r="AL133" s="122">
        <v>39493</v>
      </c>
      <c r="AM133" s="122">
        <v>35903</v>
      </c>
      <c r="AN133" s="122">
        <v>47811</v>
      </c>
      <c r="AO133" s="122">
        <v>17708</v>
      </c>
      <c r="AP133" s="122">
        <v>11570</v>
      </c>
      <c r="AQ133" s="122">
        <v>4285</v>
      </c>
      <c r="AR133" s="122">
        <v>75016</v>
      </c>
      <c r="AS133" s="122">
        <v>68197</v>
      </c>
      <c r="AT133">
        <v>0</v>
      </c>
      <c r="AU133">
        <v>0</v>
      </c>
      <c r="AV133" s="122">
        <v>262361</v>
      </c>
    </row>
    <row r="134" spans="2:48" ht="12.75" hidden="1" customHeight="1">
      <c r="B134" t="s">
        <v>363</v>
      </c>
      <c r="C134" t="s">
        <v>60</v>
      </c>
      <c r="F134">
        <v>1</v>
      </c>
      <c r="G134">
        <v>106</v>
      </c>
      <c r="H134" s="122">
        <v>329</v>
      </c>
      <c r="I134" s="122"/>
      <c r="J134" s="122">
        <v>0</v>
      </c>
      <c r="L134" s="122"/>
      <c r="M134" s="122">
        <v>0</v>
      </c>
      <c r="N134" s="122">
        <v>2472</v>
      </c>
      <c r="O134" s="122">
        <v>915</v>
      </c>
      <c r="P134" s="122">
        <v>0</v>
      </c>
      <c r="Q134" s="122">
        <v>0</v>
      </c>
      <c r="R134" s="122"/>
      <c r="S134" s="122">
        <v>0</v>
      </c>
      <c r="T134" s="122">
        <v>0</v>
      </c>
      <c r="U134" s="122">
        <v>0</v>
      </c>
      <c r="V134" s="122">
        <v>915</v>
      </c>
      <c r="W134" s="122">
        <f t="shared" si="2"/>
        <v>915</v>
      </c>
      <c r="X134" s="122">
        <f t="shared" si="3"/>
        <v>2472</v>
      </c>
      <c r="Y134" s="122"/>
      <c r="AA134" t="s">
        <v>50</v>
      </c>
      <c r="AB134" t="s">
        <v>407</v>
      </c>
      <c r="AC134" t="s">
        <v>407</v>
      </c>
      <c r="AD134" t="s">
        <v>407</v>
      </c>
      <c r="AE134" t="s">
        <v>137</v>
      </c>
      <c r="AF134">
        <v>73</v>
      </c>
      <c r="AG134" s="122">
        <v>10926</v>
      </c>
      <c r="AH134" s="122">
        <v>7098</v>
      </c>
      <c r="AI134" s="122">
        <v>578001</v>
      </c>
      <c r="AJ134" s="122">
        <v>525455</v>
      </c>
      <c r="AK134">
        <v>93</v>
      </c>
      <c r="AL134" s="122">
        <v>95024</v>
      </c>
      <c r="AM134" s="122">
        <v>86385</v>
      </c>
      <c r="AN134" s="122">
        <v>230826</v>
      </c>
      <c r="AO134" s="122">
        <v>85491</v>
      </c>
      <c r="AP134" s="122">
        <v>60440</v>
      </c>
      <c r="AQ134" s="122">
        <v>22385</v>
      </c>
      <c r="AR134" s="122">
        <v>267089</v>
      </c>
      <c r="AS134" s="122">
        <v>242808</v>
      </c>
      <c r="AT134" s="122">
        <v>10277</v>
      </c>
      <c r="AU134" s="122">
        <v>3806</v>
      </c>
      <c r="AV134" s="122">
        <v>966331</v>
      </c>
    </row>
    <row r="135" spans="2:48" ht="12.75" hidden="1" customHeight="1">
      <c r="B135" t="s">
        <v>363</v>
      </c>
      <c r="C135" t="s">
        <v>60</v>
      </c>
      <c r="D135" t="s">
        <v>405</v>
      </c>
      <c r="E135" t="s">
        <v>405</v>
      </c>
      <c r="F135" s="122">
        <v>1</v>
      </c>
      <c r="G135" s="122">
        <v>100</v>
      </c>
      <c r="H135" s="122">
        <v>367</v>
      </c>
      <c r="I135" s="122">
        <v>23257</v>
      </c>
      <c r="J135" s="122">
        <v>21142</v>
      </c>
      <c r="K135" s="122">
        <v>92</v>
      </c>
      <c r="L135" s="122">
        <v>7959</v>
      </c>
      <c r="M135" s="122">
        <v>7235</v>
      </c>
      <c r="N135" s="122">
        <v>2445</v>
      </c>
      <c r="O135" s="122">
        <v>905</v>
      </c>
      <c r="P135" s="122">
        <v>473</v>
      </c>
      <c r="Q135" s="122">
        <v>175</v>
      </c>
      <c r="R135" s="122">
        <v>2654</v>
      </c>
      <c r="S135" s="122">
        <v>2413</v>
      </c>
      <c r="T135" s="122">
        <v>0</v>
      </c>
      <c r="U135" s="122">
        <v>0</v>
      </c>
      <c r="V135" s="122">
        <v>31871</v>
      </c>
      <c r="W135" s="122">
        <f t="shared" ref="W135:W198" si="4">SUM(ABS(J135),ABS(M135),ABS(O135),ABS(Q135),ABS(S135),ABS(U135))</f>
        <v>31870</v>
      </c>
      <c r="X135" s="122">
        <f t="shared" ref="X135:X198" si="5">SUM(ABS(I135),ABS(N135),ABS(P135),ABS(R135),ABS(T135),ABS(L135))</f>
        <v>36788</v>
      </c>
      <c r="Y135" s="122"/>
      <c r="AA135" t="s">
        <v>50</v>
      </c>
      <c r="AB135" t="s">
        <v>407</v>
      </c>
      <c r="AC135" t="s">
        <v>407</v>
      </c>
      <c r="AD135" t="s">
        <v>407</v>
      </c>
      <c r="AE135" t="s">
        <v>566</v>
      </c>
      <c r="AF135">
        <v>603</v>
      </c>
      <c r="AG135" s="122">
        <v>74698</v>
      </c>
      <c r="AH135" s="122">
        <v>53859</v>
      </c>
      <c r="AI135" s="122">
        <v>3135604</v>
      </c>
      <c r="AJ135" s="122">
        <v>2850549</v>
      </c>
      <c r="AK135">
        <v>90</v>
      </c>
      <c r="AL135" s="122">
        <v>469766</v>
      </c>
      <c r="AM135" s="122">
        <v>427060</v>
      </c>
      <c r="AN135" s="122">
        <v>1052558</v>
      </c>
      <c r="AO135" s="122">
        <v>389836</v>
      </c>
      <c r="AP135" s="122">
        <v>313097</v>
      </c>
      <c r="AQ135" s="122">
        <v>115962</v>
      </c>
      <c r="AR135" s="122">
        <v>1749971</v>
      </c>
      <c r="AS135" s="122">
        <v>1590882</v>
      </c>
      <c r="AT135">
        <v>0</v>
      </c>
      <c r="AU135">
        <v>0</v>
      </c>
      <c r="AV135" s="122">
        <v>5374290</v>
      </c>
    </row>
    <row r="136" spans="2:48" ht="12.75" hidden="1" customHeight="1">
      <c r="B136" t="s">
        <v>363</v>
      </c>
      <c r="C136" t="s">
        <v>60</v>
      </c>
      <c r="D136" t="s">
        <v>137</v>
      </c>
      <c r="E136" t="s">
        <v>137</v>
      </c>
      <c r="F136">
        <v>42</v>
      </c>
      <c r="G136" s="122">
        <v>3866</v>
      </c>
      <c r="H136" s="122">
        <v>14051</v>
      </c>
      <c r="I136" s="122">
        <v>772983</v>
      </c>
      <c r="J136" s="122">
        <v>286290</v>
      </c>
      <c r="K136" s="122">
        <v>100</v>
      </c>
      <c r="L136" s="122">
        <v>124532</v>
      </c>
      <c r="M136" s="122">
        <v>89954</v>
      </c>
      <c r="N136" s="122">
        <v>84431</v>
      </c>
      <c r="O136" s="122">
        <v>31271</v>
      </c>
      <c r="P136" s="122">
        <v>1053</v>
      </c>
      <c r="Q136" s="122">
        <v>390</v>
      </c>
      <c r="R136" s="122">
        <v>311123</v>
      </c>
      <c r="S136" s="122">
        <v>115231</v>
      </c>
      <c r="T136" s="122">
        <v>0</v>
      </c>
      <c r="U136" s="122">
        <v>0</v>
      </c>
      <c r="V136" s="122">
        <v>523135</v>
      </c>
      <c r="W136" s="122">
        <f t="shared" si="4"/>
        <v>523136</v>
      </c>
      <c r="X136" s="122">
        <f t="shared" si="5"/>
        <v>1294122</v>
      </c>
      <c r="Y136" s="122"/>
      <c r="AA136" t="s">
        <v>50</v>
      </c>
      <c r="AB136" t="s">
        <v>407</v>
      </c>
      <c r="AC136" t="s">
        <v>579</v>
      </c>
      <c r="AD136" t="s">
        <v>137</v>
      </c>
      <c r="AE136" t="s">
        <v>566</v>
      </c>
      <c r="AF136">
        <v>1</v>
      </c>
      <c r="AG136">
        <v>105</v>
      </c>
      <c r="AH136">
        <v>95</v>
      </c>
      <c r="AI136" s="122">
        <v>3969</v>
      </c>
      <c r="AJ136" s="122">
        <v>3608</v>
      </c>
      <c r="AK136">
        <v>90</v>
      </c>
      <c r="AL136">
        <v>722</v>
      </c>
      <c r="AM136">
        <v>602</v>
      </c>
      <c r="AN136" s="122">
        <v>1282</v>
      </c>
      <c r="AO136">
        <v>475</v>
      </c>
      <c r="AP136">
        <v>473</v>
      </c>
      <c r="AQ136">
        <v>175</v>
      </c>
      <c r="AR136" s="122">
        <v>3505</v>
      </c>
      <c r="AS136" s="122">
        <v>1298</v>
      </c>
      <c r="AT136">
        <v>0</v>
      </c>
      <c r="AU136">
        <v>0</v>
      </c>
      <c r="AV136" s="122">
        <v>6158</v>
      </c>
    </row>
    <row r="137" spans="2:48" ht="12.75" hidden="1" customHeight="1">
      <c r="B137" t="s">
        <v>363</v>
      </c>
      <c r="C137" t="s">
        <v>60</v>
      </c>
      <c r="D137" t="s">
        <v>406</v>
      </c>
      <c r="E137" t="s">
        <v>137</v>
      </c>
      <c r="F137" s="122">
        <v>1</v>
      </c>
      <c r="G137" s="122">
        <v>100</v>
      </c>
      <c r="H137" s="122">
        <v>338</v>
      </c>
      <c r="I137" s="122">
        <v>20942</v>
      </c>
      <c r="J137" s="122">
        <v>19038</v>
      </c>
      <c r="K137" s="122">
        <v>65</v>
      </c>
      <c r="L137" s="122">
        <v>4793</v>
      </c>
      <c r="M137" s="122">
        <v>4358</v>
      </c>
      <c r="N137" s="122">
        <v>2376</v>
      </c>
      <c r="O137" s="122">
        <v>880</v>
      </c>
      <c r="P137" s="122">
        <v>621</v>
      </c>
      <c r="Q137" s="122">
        <v>230</v>
      </c>
      <c r="R137" s="122">
        <v>5107</v>
      </c>
      <c r="S137" s="122">
        <v>1891</v>
      </c>
      <c r="T137" s="122">
        <v>0</v>
      </c>
      <c r="U137" s="122">
        <v>0</v>
      </c>
      <c r="V137" s="122">
        <v>26398</v>
      </c>
      <c r="W137" s="122">
        <f t="shared" si="4"/>
        <v>26397</v>
      </c>
      <c r="X137" s="122">
        <f t="shared" si="5"/>
        <v>33839</v>
      </c>
      <c r="Y137" s="122"/>
      <c r="AA137" t="s">
        <v>50</v>
      </c>
      <c r="AB137" t="s">
        <v>407</v>
      </c>
      <c r="AC137" t="s">
        <v>579</v>
      </c>
      <c r="AD137" t="s">
        <v>407</v>
      </c>
      <c r="AE137" t="s">
        <v>137</v>
      </c>
      <c r="AF137">
        <v>2</v>
      </c>
      <c r="AG137">
        <v>329</v>
      </c>
      <c r="AH137">
        <v>167</v>
      </c>
      <c r="AI137" s="122">
        <v>11733</v>
      </c>
      <c r="AJ137" s="122">
        <v>10667</v>
      </c>
      <c r="AK137">
        <v>91</v>
      </c>
      <c r="AL137" s="122">
        <v>1891</v>
      </c>
      <c r="AM137" s="122">
        <v>1576</v>
      </c>
      <c r="AN137" s="122">
        <v>4200</v>
      </c>
      <c r="AO137" s="122">
        <v>1556</v>
      </c>
      <c r="AP137" s="122">
        <v>2312</v>
      </c>
      <c r="AQ137">
        <v>856</v>
      </c>
      <c r="AR137" s="122">
        <v>7250</v>
      </c>
      <c r="AS137" s="122">
        <v>6591</v>
      </c>
      <c r="AT137">
        <v>0</v>
      </c>
      <c r="AU137">
        <v>0</v>
      </c>
      <c r="AV137" s="122">
        <v>21245</v>
      </c>
    </row>
    <row r="138" spans="2:48" ht="12.75" hidden="1" customHeight="1">
      <c r="B138" t="s">
        <v>363</v>
      </c>
      <c r="C138" t="s">
        <v>60</v>
      </c>
      <c r="D138" t="s">
        <v>406</v>
      </c>
      <c r="E138" t="s">
        <v>406</v>
      </c>
      <c r="F138">
        <v>173</v>
      </c>
      <c r="G138" s="122">
        <v>14596</v>
      </c>
      <c r="H138" s="122">
        <v>57971</v>
      </c>
      <c r="I138" s="122">
        <v>2829819</v>
      </c>
      <c r="J138" s="122">
        <v>2572562</v>
      </c>
      <c r="K138" s="122">
        <v>77</v>
      </c>
      <c r="L138" s="122">
        <v>583729</v>
      </c>
      <c r="M138" s="122">
        <v>517417</v>
      </c>
      <c r="N138" s="122">
        <v>309812</v>
      </c>
      <c r="O138" s="122">
        <v>114745</v>
      </c>
      <c r="P138" s="122">
        <v>108419</v>
      </c>
      <c r="Q138" s="122">
        <v>40155</v>
      </c>
      <c r="R138" s="122">
        <v>796938</v>
      </c>
      <c r="S138" s="122">
        <v>724489</v>
      </c>
      <c r="T138" s="122">
        <v>310189</v>
      </c>
      <c r="U138" s="122">
        <v>114885</v>
      </c>
      <c r="V138" s="122">
        <v>4084253</v>
      </c>
      <c r="W138" s="122">
        <f t="shared" si="4"/>
        <v>4084253</v>
      </c>
      <c r="X138" s="122">
        <f t="shared" si="5"/>
        <v>4938906</v>
      </c>
      <c r="Y138" s="122"/>
      <c r="AA138" t="s">
        <v>50</v>
      </c>
      <c r="AB138" t="s">
        <v>407</v>
      </c>
      <c r="AC138" t="s">
        <v>579</v>
      </c>
      <c r="AD138" t="s">
        <v>407</v>
      </c>
      <c r="AE138" t="s">
        <v>566</v>
      </c>
      <c r="AF138">
        <v>220</v>
      </c>
      <c r="AG138" s="122">
        <v>28009</v>
      </c>
      <c r="AH138" s="122">
        <v>19900</v>
      </c>
      <c r="AI138" s="122">
        <v>1119359</v>
      </c>
      <c r="AJ138" s="122">
        <v>1017599</v>
      </c>
      <c r="AK138">
        <v>91</v>
      </c>
      <c r="AL138" s="122">
        <v>257293</v>
      </c>
      <c r="AM138" s="122">
        <v>214411</v>
      </c>
      <c r="AN138" s="122">
        <v>381537</v>
      </c>
      <c r="AO138" s="122">
        <v>141310</v>
      </c>
      <c r="AP138" s="122">
        <v>124278</v>
      </c>
      <c r="AQ138" s="122">
        <v>46029</v>
      </c>
      <c r="AR138" s="122">
        <v>684423</v>
      </c>
      <c r="AS138" s="122">
        <v>622203</v>
      </c>
      <c r="AT138">
        <v>0</v>
      </c>
      <c r="AU138">
        <v>0</v>
      </c>
      <c r="AV138" s="122">
        <v>2041552</v>
      </c>
    </row>
    <row r="139" spans="2:48" ht="12.75" hidden="1" customHeight="1">
      <c r="B139" t="s">
        <v>363</v>
      </c>
      <c r="C139" t="s">
        <v>60</v>
      </c>
      <c r="D139" t="s">
        <v>427</v>
      </c>
      <c r="E139" t="s">
        <v>427</v>
      </c>
      <c r="F139">
        <v>3</v>
      </c>
      <c r="G139" s="122">
        <v>266</v>
      </c>
      <c r="H139" s="122">
        <v>1032</v>
      </c>
      <c r="I139" s="122">
        <v>48927</v>
      </c>
      <c r="J139" s="122">
        <v>44479</v>
      </c>
      <c r="K139">
        <v>58</v>
      </c>
      <c r="L139" s="122">
        <v>8772</v>
      </c>
      <c r="M139" s="122">
        <v>5345</v>
      </c>
      <c r="N139" s="122">
        <v>5149</v>
      </c>
      <c r="O139" s="122">
        <v>1907</v>
      </c>
      <c r="P139" s="122">
        <v>702</v>
      </c>
      <c r="Q139" s="122">
        <v>260</v>
      </c>
      <c r="R139" s="122">
        <v>25162</v>
      </c>
      <c r="S139" s="122">
        <v>22875</v>
      </c>
      <c r="T139" s="122">
        <v>2543</v>
      </c>
      <c r="U139" s="122">
        <v>942</v>
      </c>
      <c r="V139" s="122">
        <v>75808</v>
      </c>
      <c r="W139" s="122">
        <f t="shared" si="4"/>
        <v>75808</v>
      </c>
      <c r="X139" s="122">
        <f t="shared" si="5"/>
        <v>91255</v>
      </c>
      <c r="Y139" s="122"/>
      <c r="AA139" t="s">
        <v>50</v>
      </c>
      <c r="AB139" t="s">
        <v>407</v>
      </c>
      <c r="AC139" t="s">
        <v>426</v>
      </c>
      <c r="AD139" t="s">
        <v>407</v>
      </c>
      <c r="AE139" t="s">
        <v>137</v>
      </c>
      <c r="AF139">
        <v>105</v>
      </c>
      <c r="AG139" s="122">
        <v>10937</v>
      </c>
      <c r="AH139" s="122">
        <v>9262</v>
      </c>
      <c r="AI139" s="122">
        <v>372153</v>
      </c>
      <c r="AJ139" s="122">
        <v>338321</v>
      </c>
      <c r="AK139">
        <v>91</v>
      </c>
      <c r="AL139" s="122">
        <v>117759</v>
      </c>
      <c r="AM139" s="122">
        <v>107054</v>
      </c>
      <c r="AN139" s="122">
        <v>136576</v>
      </c>
      <c r="AO139" s="122">
        <v>50584</v>
      </c>
      <c r="AP139" s="122">
        <v>51568</v>
      </c>
      <c r="AQ139" s="122">
        <v>19099</v>
      </c>
      <c r="AR139" s="122">
        <v>286587</v>
      </c>
      <c r="AS139" s="122">
        <v>260533</v>
      </c>
      <c r="AT139">
        <v>0</v>
      </c>
      <c r="AU139">
        <v>0</v>
      </c>
      <c r="AV139" s="122">
        <v>775591</v>
      </c>
    </row>
    <row r="140" spans="2:48" ht="12.75" hidden="1" customHeight="1">
      <c r="B140" t="s">
        <v>363</v>
      </c>
      <c r="C140" t="s">
        <v>60</v>
      </c>
      <c r="D140" t="s">
        <v>407</v>
      </c>
      <c r="E140" t="s">
        <v>407</v>
      </c>
      <c r="F140" s="122">
        <v>2</v>
      </c>
      <c r="G140" s="122">
        <v>360</v>
      </c>
      <c r="H140" s="122">
        <v>607</v>
      </c>
      <c r="I140" s="122">
        <v>66668</v>
      </c>
      <c r="J140" s="122">
        <v>60607</v>
      </c>
      <c r="K140" s="122">
        <v>85</v>
      </c>
      <c r="L140" s="122">
        <v>20292</v>
      </c>
      <c r="M140" s="122">
        <v>18447</v>
      </c>
      <c r="N140" s="122">
        <v>8157</v>
      </c>
      <c r="O140" s="122">
        <v>3021</v>
      </c>
      <c r="P140" s="122">
        <v>945</v>
      </c>
      <c r="Q140" s="122">
        <v>350</v>
      </c>
      <c r="R140" s="122">
        <v>9817</v>
      </c>
      <c r="S140" s="122">
        <v>8925</v>
      </c>
      <c r="T140" s="122">
        <v>3377</v>
      </c>
      <c r="U140" s="122">
        <v>1251</v>
      </c>
      <c r="V140" s="122">
        <v>92602</v>
      </c>
      <c r="W140" s="122">
        <f t="shared" si="4"/>
        <v>92601</v>
      </c>
      <c r="X140" s="122">
        <f t="shared" si="5"/>
        <v>109256</v>
      </c>
      <c r="Y140" s="122"/>
      <c r="AA140" t="s">
        <v>50</v>
      </c>
      <c r="AB140" t="s">
        <v>407</v>
      </c>
      <c r="AC140" t="s">
        <v>426</v>
      </c>
      <c r="AD140" t="s">
        <v>407</v>
      </c>
      <c r="AE140" t="s">
        <v>566</v>
      </c>
      <c r="AF140">
        <v>308</v>
      </c>
      <c r="AG140" s="122">
        <v>35594</v>
      </c>
      <c r="AH140" s="122">
        <v>27655</v>
      </c>
      <c r="AI140" s="122">
        <v>1421423</v>
      </c>
      <c r="AJ140" s="122">
        <v>1292202</v>
      </c>
      <c r="AK140">
        <v>91</v>
      </c>
      <c r="AL140" s="122">
        <v>306939</v>
      </c>
      <c r="AM140" s="122">
        <v>279035</v>
      </c>
      <c r="AN140" s="122">
        <v>467124</v>
      </c>
      <c r="AO140" s="122">
        <v>173009</v>
      </c>
      <c r="AP140" s="122">
        <v>166109</v>
      </c>
      <c r="AQ140" s="122">
        <v>61522</v>
      </c>
      <c r="AR140" s="122">
        <v>851844</v>
      </c>
      <c r="AS140" s="122">
        <v>774403</v>
      </c>
      <c r="AT140">
        <v>0</v>
      </c>
      <c r="AU140">
        <v>0</v>
      </c>
      <c r="AV140" s="122">
        <v>2580172</v>
      </c>
    </row>
    <row r="141" spans="2:48" ht="12.75" hidden="1" customHeight="1">
      <c r="B141" t="s">
        <v>363</v>
      </c>
      <c r="C141" t="s">
        <v>60</v>
      </c>
      <c r="D141" t="s">
        <v>556</v>
      </c>
      <c r="E141" t="s">
        <v>556</v>
      </c>
      <c r="F141">
        <v>1</v>
      </c>
      <c r="G141">
        <v>83</v>
      </c>
      <c r="H141" s="122">
        <v>326</v>
      </c>
      <c r="I141" s="122">
        <v>13498</v>
      </c>
      <c r="J141" s="122">
        <v>11248</v>
      </c>
      <c r="K141" s="122">
        <v>45</v>
      </c>
      <c r="L141" s="122">
        <v>2250</v>
      </c>
      <c r="M141" s="122">
        <v>1875</v>
      </c>
      <c r="N141" s="122">
        <v>2013</v>
      </c>
      <c r="O141">
        <v>745</v>
      </c>
      <c r="P141">
        <v>0</v>
      </c>
      <c r="Q141" s="122">
        <v>0</v>
      </c>
      <c r="R141" s="122">
        <v>6860</v>
      </c>
      <c r="S141" s="122">
        <v>5717</v>
      </c>
      <c r="T141" s="122">
        <v>2334</v>
      </c>
      <c r="U141" s="122">
        <v>865</v>
      </c>
      <c r="V141" s="122">
        <v>20450</v>
      </c>
      <c r="W141" s="122">
        <f t="shared" si="4"/>
        <v>20450</v>
      </c>
      <c r="X141" s="122">
        <f t="shared" si="5"/>
        <v>26955</v>
      </c>
      <c r="Y141" s="122"/>
      <c r="AA141" t="s">
        <v>50</v>
      </c>
      <c r="AB141" t="s">
        <v>407</v>
      </c>
      <c r="AC141" t="s">
        <v>566</v>
      </c>
      <c r="AD141" t="s">
        <v>137</v>
      </c>
      <c r="AE141" t="s">
        <v>566</v>
      </c>
      <c r="AF141">
        <v>1</v>
      </c>
      <c r="AG141">
        <v>193</v>
      </c>
      <c r="AH141">
        <v>97</v>
      </c>
      <c r="AI141" s="122">
        <v>6883</v>
      </c>
      <c r="AJ141" s="122">
        <v>6258</v>
      </c>
      <c r="AK141">
        <v>91</v>
      </c>
      <c r="AL141">
        <v>0</v>
      </c>
      <c r="AM141">
        <v>0</v>
      </c>
      <c r="AN141" s="122">
        <v>3148</v>
      </c>
      <c r="AO141" s="122">
        <v>1166</v>
      </c>
      <c r="AP141">
        <v>473</v>
      </c>
      <c r="AQ141">
        <v>175</v>
      </c>
      <c r="AR141" s="122">
        <v>8257</v>
      </c>
      <c r="AS141" s="122">
        <v>3058</v>
      </c>
      <c r="AT141">
        <v>0</v>
      </c>
      <c r="AU141">
        <v>0</v>
      </c>
      <c r="AV141" s="122">
        <v>10657</v>
      </c>
    </row>
    <row r="142" spans="2:48" ht="12.75" hidden="1" customHeight="1">
      <c r="B142" t="s">
        <v>363</v>
      </c>
      <c r="C142" t="s">
        <v>60</v>
      </c>
      <c r="D142" t="s">
        <v>431</v>
      </c>
      <c r="E142" t="s">
        <v>431</v>
      </c>
      <c r="F142">
        <v>1</v>
      </c>
      <c r="G142" s="122">
        <v>85</v>
      </c>
      <c r="H142" s="122">
        <v>339</v>
      </c>
      <c r="I142" s="122">
        <v>16542</v>
      </c>
      <c r="J142" s="122">
        <v>15038</v>
      </c>
      <c r="K142" s="122">
        <v>45</v>
      </c>
      <c r="L142" s="122">
        <v>1378</v>
      </c>
      <c r="M142" s="122">
        <v>1253</v>
      </c>
      <c r="N142" s="122">
        <v>1722</v>
      </c>
      <c r="O142" s="122">
        <v>638</v>
      </c>
      <c r="P142" s="122">
        <v>351</v>
      </c>
      <c r="Q142" s="122">
        <v>130</v>
      </c>
      <c r="R142" s="122">
        <v>6339</v>
      </c>
      <c r="S142" s="122">
        <v>5762</v>
      </c>
      <c r="T142" s="122">
        <v>2361</v>
      </c>
      <c r="U142" s="122">
        <v>875</v>
      </c>
      <c r="V142" s="122">
        <v>23696</v>
      </c>
      <c r="W142" s="122">
        <f t="shared" si="4"/>
        <v>23696</v>
      </c>
      <c r="X142" s="122">
        <f t="shared" si="5"/>
        <v>28693</v>
      </c>
      <c r="Y142" s="122"/>
      <c r="AA142" t="s">
        <v>50</v>
      </c>
      <c r="AB142" t="s">
        <v>407</v>
      </c>
      <c r="AC142" t="s">
        <v>566</v>
      </c>
      <c r="AD142" t="s">
        <v>407</v>
      </c>
      <c r="AE142" t="s">
        <v>137</v>
      </c>
      <c r="AF142">
        <v>74</v>
      </c>
      <c r="AG142" s="122">
        <v>8208</v>
      </c>
      <c r="AH142" s="122">
        <v>6642</v>
      </c>
      <c r="AI142" s="122">
        <v>336095</v>
      </c>
      <c r="AJ142" s="122">
        <v>305541</v>
      </c>
      <c r="AK142">
        <v>90</v>
      </c>
      <c r="AL142">
        <v>0</v>
      </c>
      <c r="AM142">
        <v>725</v>
      </c>
      <c r="AN142" s="122">
        <v>116415</v>
      </c>
      <c r="AO142" s="122">
        <v>43117</v>
      </c>
      <c r="AP142" s="122">
        <v>37292</v>
      </c>
      <c r="AQ142" s="122">
        <v>13812</v>
      </c>
      <c r="AR142" s="122">
        <v>210344</v>
      </c>
      <c r="AS142" s="122">
        <v>191221</v>
      </c>
      <c r="AT142" s="122">
        <v>43717</v>
      </c>
      <c r="AU142" s="122">
        <v>16192</v>
      </c>
      <c r="AV142" s="122">
        <v>570607</v>
      </c>
    </row>
    <row r="143" spans="2:48" ht="12.75" hidden="1" customHeight="1">
      <c r="B143" t="s">
        <v>363</v>
      </c>
      <c r="C143" t="s">
        <v>60</v>
      </c>
      <c r="D143" t="s">
        <v>426</v>
      </c>
      <c r="E143" t="s">
        <v>137</v>
      </c>
      <c r="F143">
        <v>8</v>
      </c>
      <c r="G143" s="122">
        <v>1022</v>
      </c>
      <c r="H143" s="122">
        <v>2776</v>
      </c>
      <c r="I143" s="122">
        <v>255450</v>
      </c>
      <c r="J143" s="122">
        <v>232227</v>
      </c>
      <c r="K143" s="122">
        <v>34</v>
      </c>
      <c r="L143" s="122">
        <v>22450</v>
      </c>
      <c r="M143" s="122">
        <v>8315</v>
      </c>
      <c r="N143" s="122">
        <v>24802</v>
      </c>
      <c r="O143" s="122">
        <v>9186</v>
      </c>
      <c r="P143" s="122">
        <v>0</v>
      </c>
      <c r="Q143" s="122">
        <v>0</v>
      </c>
      <c r="R143" s="122">
        <v>54398</v>
      </c>
      <c r="S143" s="122">
        <v>20147</v>
      </c>
      <c r="T143" s="122">
        <v>0</v>
      </c>
      <c r="U143" s="122">
        <v>0</v>
      </c>
      <c r="V143" s="122">
        <v>269875</v>
      </c>
      <c r="W143" s="122">
        <f t="shared" si="4"/>
        <v>269875</v>
      </c>
      <c r="X143" s="122">
        <f t="shared" si="5"/>
        <v>357100</v>
      </c>
      <c r="Y143" s="122"/>
      <c r="AA143" t="s">
        <v>50</v>
      </c>
      <c r="AB143" t="s">
        <v>407</v>
      </c>
      <c r="AC143" t="s">
        <v>566</v>
      </c>
      <c r="AD143" t="s">
        <v>407</v>
      </c>
      <c r="AE143" t="s">
        <v>566</v>
      </c>
      <c r="AF143">
        <v>578</v>
      </c>
      <c r="AG143" s="122">
        <v>64456</v>
      </c>
      <c r="AH143" s="122">
        <v>51873</v>
      </c>
      <c r="AI143" s="122">
        <v>2644756</v>
      </c>
      <c r="AJ143" s="122">
        <v>2404324</v>
      </c>
      <c r="AK143">
        <v>90</v>
      </c>
      <c r="AL143">
        <v>0</v>
      </c>
      <c r="AM143" s="122">
        <v>9594</v>
      </c>
      <c r="AN143" s="122">
        <v>923480</v>
      </c>
      <c r="AO143" s="122">
        <v>342029</v>
      </c>
      <c r="AP143" s="122">
        <v>317622</v>
      </c>
      <c r="AQ143" s="122">
        <v>117638</v>
      </c>
      <c r="AR143" s="122">
        <v>1917938</v>
      </c>
      <c r="AS143" s="122">
        <v>1743580</v>
      </c>
      <c r="AT143">
        <v>0</v>
      </c>
      <c r="AU143">
        <v>0</v>
      </c>
      <c r="AV143" s="122">
        <v>4617165</v>
      </c>
    </row>
    <row r="144" spans="2:48" ht="12.75" hidden="1" customHeight="1">
      <c r="B144" t="s">
        <v>363</v>
      </c>
      <c r="C144" t="s">
        <v>60</v>
      </c>
      <c r="D144" t="s">
        <v>426</v>
      </c>
      <c r="E144" t="s">
        <v>426</v>
      </c>
      <c r="F144" s="122">
        <v>208</v>
      </c>
      <c r="G144" s="122">
        <v>16905</v>
      </c>
      <c r="H144" s="122">
        <v>71304</v>
      </c>
      <c r="I144" s="122">
        <v>3185810</v>
      </c>
      <c r="J144" s="122">
        <v>2896191</v>
      </c>
      <c r="K144" s="122">
        <v>48</v>
      </c>
      <c r="L144" s="122">
        <v>480648</v>
      </c>
      <c r="M144" s="122">
        <v>434162</v>
      </c>
      <c r="N144" s="122">
        <v>323285</v>
      </c>
      <c r="O144" s="122">
        <v>119735</v>
      </c>
      <c r="P144" s="122">
        <v>75978</v>
      </c>
      <c r="Q144" s="122">
        <v>28140</v>
      </c>
      <c r="R144" s="122">
        <v>1232252</v>
      </c>
      <c r="S144" s="122">
        <v>1120229</v>
      </c>
      <c r="T144" s="122">
        <v>478596</v>
      </c>
      <c r="U144" s="122">
        <v>177258</v>
      </c>
      <c r="V144" s="122">
        <v>4775715</v>
      </c>
      <c r="W144" s="122">
        <f t="shared" si="4"/>
        <v>4775715</v>
      </c>
      <c r="X144" s="122">
        <f t="shared" si="5"/>
        <v>5776569</v>
      </c>
      <c r="Y144" s="122"/>
      <c r="AA144" t="s">
        <v>50</v>
      </c>
      <c r="AB144" t="s">
        <v>407</v>
      </c>
      <c r="AC144" t="s">
        <v>481</v>
      </c>
      <c r="AD144" t="s">
        <v>407</v>
      </c>
      <c r="AE144" t="s">
        <v>566</v>
      </c>
      <c r="AF144">
        <v>2</v>
      </c>
      <c r="AG144">
        <v>251</v>
      </c>
      <c r="AH144">
        <v>168</v>
      </c>
      <c r="AI144" s="122">
        <v>10301</v>
      </c>
      <c r="AJ144" s="122">
        <v>9364</v>
      </c>
      <c r="AK144">
        <v>91</v>
      </c>
      <c r="AL144" s="122">
        <v>1652</v>
      </c>
      <c r="AM144" s="122">
        <v>1502</v>
      </c>
      <c r="AN144" s="122">
        <v>3368</v>
      </c>
      <c r="AO144" s="122">
        <v>1248</v>
      </c>
      <c r="AP144" s="122">
        <v>2349</v>
      </c>
      <c r="AQ144">
        <v>870</v>
      </c>
      <c r="AR144" s="122">
        <v>5525</v>
      </c>
      <c r="AS144" s="122">
        <v>5022</v>
      </c>
      <c r="AT144">
        <v>0</v>
      </c>
      <c r="AU144">
        <v>0</v>
      </c>
      <c r="AV144" s="122">
        <v>18006</v>
      </c>
    </row>
    <row r="145" spans="2:48" ht="12.75" hidden="1" customHeight="1">
      <c r="B145" t="s">
        <v>363</v>
      </c>
      <c r="C145" t="s">
        <v>62</v>
      </c>
      <c r="D145" t="s">
        <v>405</v>
      </c>
      <c r="E145" t="s">
        <v>405</v>
      </c>
      <c r="F145">
        <v>2</v>
      </c>
      <c r="G145" s="122">
        <v>239</v>
      </c>
      <c r="H145" s="122">
        <v>784</v>
      </c>
      <c r="I145" s="122">
        <v>70520</v>
      </c>
      <c r="J145" s="122">
        <v>64109</v>
      </c>
      <c r="K145" s="122">
        <v>73</v>
      </c>
      <c r="L145" s="122">
        <v>5172</v>
      </c>
      <c r="M145" s="122">
        <v>4702</v>
      </c>
      <c r="N145" s="122">
        <v>4420</v>
      </c>
      <c r="O145" s="122">
        <v>1637</v>
      </c>
      <c r="P145" s="122">
        <v>945</v>
      </c>
      <c r="Q145" s="122">
        <v>350</v>
      </c>
      <c r="R145" s="122">
        <v>13366</v>
      </c>
      <c r="S145" s="122">
        <v>12151</v>
      </c>
      <c r="T145">
        <v>0</v>
      </c>
      <c r="U145" s="122">
        <v>0</v>
      </c>
      <c r="V145" s="122">
        <v>82950</v>
      </c>
      <c r="W145" s="122">
        <f t="shared" si="4"/>
        <v>82949</v>
      </c>
      <c r="X145" s="122">
        <f t="shared" si="5"/>
        <v>94423</v>
      </c>
      <c r="Y145" s="122"/>
      <c r="AA145" t="s">
        <v>50</v>
      </c>
      <c r="AB145" t="s">
        <v>407</v>
      </c>
      <c r="AC145" t="s">
        <v>433</v>
      </c>
      <c r="AD145" t="s">
        <v>407</v>
      </c>
      <c r="AE145" t="s">
        <v>137</v>
      </c>
      <c r="AF145">
        <v>33</v>
      </c>
      <c r="AG145" s="122">
        <v>3491</v>
      </c>
      <c r="AH145" s="122">
        <v>2788</v>
      </c>
      <c r="AI145" s="122">
        <v>126318</v>
      </c>
      <c r="AJ145" s="122">
        <v>114835</v>
      </c>
      <c r="AK145">
        <v>91</v>
      </c>
      <c r="AL145" s="122">
        <v>18345</v>
      </c>
      <c r="AM145" s="122">
        <v>16677</v>
      </c>
      <c r="AN145" s="122">
        <v>56224</v>
      </c>
      <c r="AO145" s="122">
        <v>20824</v>
      </c>
      <c r="AP145" s="122">
        <v>37468</v>
      </c>
      <c r="AQ145" s="122">
        <v>13877</v>
      </c>
      <c r="AR145" s="122">
        <v>68961</v>
      </c>
      <c r="AS145" s="122">
        <v>62692</v>
      </c>
      <c r="AT145">
        <v>0</v>
      </c>
      <c r="AU145">
        <v>0</v>
      </c>
      <c r="AV145" s="122">
        <v>228904</v>
      </c>
    </row>
    <row r="146" spans="2:48" ht="12.75" hidden="1" customHeight="1">
      <c r="B146" t="s">
        <v>363</v>
      </c>
      <c r="C146" t="s">
        <v>62</v>
      </c>
      <c r="D146" t="s">
        <v>137</v>
      </c>
      <c r="E146" t="s">
        <v>137</v>
      </c>
      <c r="F146" s="122">
        <v>10</v>
      </c>
      <c r="G146" s="122">
        <v>679</v>
      </c>
      <c r="H146" s="122">
        <v>4126</v>
      </c>
      <c r="I146" s="122">
        <v>179441</v>
      </c>
      <c r="J146" s="122">
        <v>66460</v>
      </c>
      <c r="K146" s="122">
        <v>100</v>
      </c>
      <c r="L146" s="122">
        <v>29619</v>
      </c>
      <c r="M146" s="122">
        <v>15610</v>
      </c>
      <c r="N146" s="122">
        <v>15824</v>
      </c>
      <c r="O146" s="122">
        <v>5861</v>
      </c>
      <c r="P146" s="122">
        <v>0</v>
      </c>
      <c r="Q146" s="122">
        <v>0</v>
      </c>
      <c r="R146" s="122">
        <v>53672</v>
      </c>
      <c r="S146" s="122">
        <v>19879</v>
      </c>
      <c r="T146" s="122">
        <v>0</v>
      </c>
      <c r="U146" s="122">
        <v>0</v>
      </c>
      <c r="V146" s="122">
        <v>107809</v>
      </c>
      <c r="W146" s="122">
        <f t="shared" si="4"/>
        <v>107810</v>
      </c>
      <c r="X146" s="122">
        <f t="shared" si="5"/>
        <v>278556</v>
      </c>
      <c r="Y146" s="122"/>
      <c r="AA146" t="s">
        <v>50</v>
      </c>
      <c r="AB146" t="s">
        <v>407</v>
      </c>
      <c r="AC146" t="s">
        <v>433</v>
      </c>
      <c r="AD146" t="s">
        <v>407</v>
      </c>
      <c r="AE146" t="s">
        <v>566</v>
      </c>
      <c r="AF146">
        <v>151</v>
      </c>
      <c r="AG146" s="122">
        <v>18608</v>
      </c>
      <c r="AH146" s="122">
        <v>13402</v>
      </c>
      <c r="AI146" s="122">
        <v>787919</v>
      </c>
      <c r="AJ146" s="122">
        <v>716290</v>
      </c>
      <c r="AK146">
        <v>91</v>
      </c>
      <c r="AL146" s="122">
        <v>119989</v>
      </c>
      <c r="AM146" s="122">
        <v>109081</v>
      </c>
      <c r="AN146" s="122">
        <v>237247</v>
      </c>
      <c r="AO146" s="122">
        <v>87869</v>
      </c>
      <c r="AP146" s="122">
        <v>83643</v>
      </c>
      <c r="AQ146" s="122">
        <v>30979</v>
      </c>
      <c r="AR146" s="122">
        <v>430261</v>
      </c>
      <c r="AS146" s="122">
        <v>391146</v>
      </c>
      <c r="AT146">
        <v>0</v>
      </c>
      <c r="AU146">
        <v>0</v>
      </c>
      <c r="AV146" s="122">
        <v>1335365</v>
      </c>
    </row>
    <row r="147" spans="2:48" ht="12.75" hidden="1" customHeight="1">
      <c r="B147" t="s">
        <v>363</v>
      </c>
      <c r="C147" t="s">
        <v>62</v>
      </c>
      <c r="D147" t="s">
        <v>137</v>
      </c>
      <c r="E147" t="s">
        <v>426</v>
      </c>
      <c r="F147">
        <v>5</v>
      </c>
      <c r="G147">
        <v>361</v>
      </c>
      <c r="H147" s="122">
        <v>2127</v>
      </c>
      <c r="I147" s="122">
        <v>92740</v>
      </c>
      <c r="J147" s="122">
        <v>34348</v>
      </c>
      <c r="K147" s="122">
        <v>100</v>
      </c>
      <c r="L147" s="122">
        <v>9255</v>
      </c>
      <c r="M147" s="122">
        <v>8414</v>
      </c>
      <c r="N147" s="122">
        <v>7711</v>
      </c>
      <c r="O147" s="122">
        <v>2856</v>
      </c>
      <c r="P147">
        <v>0</v>
      </c>
      <c r="Q147" s="122">
        <v>0</v>
      </c>
      <c r="R147" s="122">
        <v>31419</v>
      </c>
      <c r="S147" s="122">
        <v>28563</v>
      </c>
      <c r="T147" s="122">
        <v>12858</v>
      </c>
      <c r="U147" s="122">
        <v>4762</v>
      </c>
      <c r="V147" s="122">
        <v>78943</v>
      </c>
      <c r="W147" s="122">
        <f t="shared" si="4"/>
        <v>78943</v>
      </c>
      <c r="X147" s="122">
        <f t="shared" si="5"/>
        <v>153983</v>
      </c>
      <c r="Y147" s="122"/>
      <c r="AA147" t="s">
        <v>50</v>
      </c>
      <c r="AB147" t="s">
        <v>407</v>
      </c>
      <c r="AC147" t="s">
        <v>429</v>
      </c>
      <c r="AD147" t="s">
        <v>407</v>
      </c>
      <c r="AE147" t="s">
        <v>137</v>
      </c>
      <c r="AF147">
        <v>4</v>
      </c>
      <c r="AG147">
        <v>635</v>
      </c>
      <c r="AH147">
        <v>325</v>
      </c>
      <c r="AI147" s="122">
        <v>28261</v>
      </c>
      <c r="AJ147" s="122">
        <v>25692</v>
      </c>
      <c r="AK147">
        <v>92</v>
      </c>
      <c r="AL147" s="122">
        <v>4087</v>
      </c>
      <c r="AM147" s="122">
        <v>3715</v>
      </c>
      <c r="AN147" s="122">
        <v>7731</v>
      </c>
      <c r="AO147" s="122">
        <v>2863</v>
      </c>
      <c r="AP147" s="122">
        <v>2241</v>
      </c>
      <c r="AQ147">
        <v>830</v>
      </c>
      <c r="AR147" s="122">
        <v>10545</v>
      </c>
      <c r="AS147" s="122">
        <v>9586</v>
      </c>
      <c r="AT147">
        <v>0</v>
      </c>
      <c r="AU147">
        <v>0</v>
      </c>
      <c r="AV147" s="122">
        <v>42686</v>
      </c>
    </row>
    <row r="148" spans="2:48" ht="12.75" hidden="1" customHeight="1">
      <c r="B148" t="s">
        <v>363</v>
      </c>
      <c r="C148" t="s">
        <v>62</v>
      </c>
      <c r="D148" t="s">
        <v>406</v>
      </c>
      <c r="E148" t="s">
        <v>137</v>
      </c>
      <c r="F148">
        <v>1</v>
      </c>
      <c r="G148">
        <v>49</v>
      </c>
      <c r="H148" s="122">
        <v>409</v>
      </c>
      <c r="I148" s="122">
        <v>11744</v>
      </c>
      <c r="J148" s="122">
        <v>10676</v>
      </c>
      <c r="K148" s="122">
        <v>93</v>
      </c>
      <c r="L148" s="122">
        <v>1920</v>
      </c>
      <c r="M148" s="122">
        <v>1746</v>
      </c>
      <c r="N148" s="122">
        <v>828</v>
      </c>
      <c r="O148" s="122">
        <v>307</v>
      </c>
      <c r="P148" s="122">
        <v>621</v>
      </c>
      <c r="Q148" s="122">
        <v>230</v>
      </c>
      <c r="R148" s="122">
        <v>4758</v>
      </c>
      <c r="S148" s="122">
        <v>1762</v>
      </c>
      <c r="T148" s="122">
        <v>0</v>
      </c>
      <c r="U148" s="122">
        <v>0</v>
      </c>
      <c r="V148" s="122">
        <v>14721</v>
      </c>
      <c r="W148" s="122">
        <f t="shared" si="4"/>
        <v>14721</v>
      </c>
      <c r="X148" s="122">
        <f t="shared" si="5"/>
        <v>19871</v>
      </c>
      <c r="Y148" s="122"/>
      <c r="AA148" t="s">
        <v>50</v>
      </c>
      <c r="AB148" t="s">
        <v>407</v>
      </c>
      <c r="AC148" t="s">
        <v>429</v>
      </c>
      <c r="AD148" t="s">
        <v>407</v>
      </c>
      <c r="AE148" t="s">
        <v>566</v>
      </c>
      <c r="AF148">
        <v>2</v>
      </c>
      <c r="AG148">
        <v>286</v>
      </c>
      <c r="AH148">
        <v>186</v>
      </c>
      <c r="AI148" s="122">
        <v>10841</v>
      </c>
      <c r="AJ148" s="122">
        <v>9855</v>
      </c>
      <c r="AK148">
        <v>91</v>
      </c>
      <c r="AL148" s="122">
        <v>1694</v>
      </c>
      <c r="AM148" s="122">
        <v>1540</v>
      </c>
      <c r="AN148" s="122">
        <v>5696</v>
      </c>
      <c r="AO148" s="122">
        <v>2110</v>
      </c>
      <c r="AP148" s="122">
        <v>1711</v>
      </c>
      <c r="AQ148">
        <v>634</v>
      </c>
      <c r="AR148" s="122">
        <v>7161</v>
      </c>
      <c r="AS148" s="122">
        <v>6510</v>
      </c>
      <c r="AT148">
        <v>0</v>
      </c>
      <c r="AU148">
        <v>0</v>
      </c>
      <c r="AV148" s="122">
        <v>20649</v>
      </c>
    </row>
    <row r="149" spans="2:48" ht="12.75" hidden="1" customHeight="1">
      <c r="B149" t="s">
        <v>363</v>
      </c>
      <c r="C149" t="s">
        <v>62</v>
      </c>
      <c r="D149" t="s">
        <v>406</v>
      </c>
      <c r="E149" t="s">
        <v>406</v>
      </c>
      <c r="F149" s="122">
        <v>93</v>
      </c>
      <c r="G149" s="122">
        <v>9025</v>
      </c>
      <c r="H149" s="122">
        <v>38563</v>
      </c>
      <c r="I149" s="122">
        <v>2438730</v>
      </c>
      <c r="J149" s="122">
        <v>2217027</v>
      </c>
      <c r="K149" s="122">
        <v>76</v>
      </c>
      <c r="L149" s="122">
        <v>528547</v>
      </c>
      <c r="M149" s="122">
        <v>467889</v>
      </c>
      <c r="N149" s="122">
        <v>200212</v>
      </c>
      <c r="O149" s="122">
        <v>74153</v>
      </c>
      <c r="P149" s="122">
        <v>58455</v>
      </c>
      <c r="Q149" s="122">
        <v>21650</v>
      </c>
      <c r="R149" s="122">
        <v>443949</v>
      </c>
      <c r="S149" s="122">
        <v>403590</v>
      </c>
      <c r="T149" s="122">
        <v>169619</v>
      </c>
      <c r="U149" s="122">
        <v>62822</v>
      </c>
      <c r="V149" s="122">
        <v>3247131</v>
      </c>
      <c r="W149" s="122">
        <f t="shared" si="4"/>
        <v>3247131</v>
      </c>
      <c r="X149" s="122">
        <f t="shared" si="5"/>
        <v>3839512</v>
      </c>
      <c r="Y149" s="122"/>
      <c r="AA149" t="s">
        <v>50</v>
      </c>
      <c r="AB149" t="s">
        <v>426</v>
      </c>
      <c r="AC149" t="s">
        <v>579</v>
      </c>
      <c r="AD149" t="s">
        <v>426</v>
      </c>
      <c r="AE149" t="s">
        <v>566</v>
      </c>
      <c r="AF149">
        <v>1</v>
      </c>
      <c r="AG149">
        <v>71</v>
      </c>
      <c r="AH149">
        <v>84</v>
      </c>
      <c r="AI149" s="122">
        <v>1357</v>
      </c>
      <c r="AJ149" s="122">
        <v>1234</v>
      </c>
      <c r="AK149">
        <v>361</v>
      </c>
      <c r="AL149" s="122">
        <v>1979</v>
      </c>
      <c r="AM149" s="122">
        <v>1649</v>
      </c>
      <c r="AN149" s="122">
        <v>1057</v>
      </c>
      <c r="AO149">
        <v>391</v>
      </c>
      <c r="AP149">
        <v>351</v>
      </c>
      <c r="AQ149">
        <v>130</v>
      </c>
      <c r="AR149" s="122">
        <v>1220</v>
      </c>
      <c r="AS149" s="122">
        <v>1109</v>
      </c>
      <c r="AT149">
        <v>0</v>
      </c>
      <c r="AU149">
        <v>0</v>
      </c>
      <c r="AV149" s="122">
        <v>4513</v>
      </c>
    </row>
    <row r="150" spans="2:48" ht="12.75" hidden="1" customHeight="1">
      <c r="B150" t="s">
        <v>363</v>
      </c>
      <c r="C150" t="s">
        <v>62</v>
      </c>
      <c r="D150" t="s">
        <v>427</v>
      </c>
      <c r="E150" t="s">
        <v>427</v>
      </c>
      <c r="F150" s="122">
        <v>3</v>
      </c>
      <c r="G150" s="122">
        <v>221</v>
      </c>
      <c r="H150" s="122">
        <v>1231</v>
      </c>
      <c r="I150" s="122">
        <v>50557</v>
      </c>
      <c r="J150" s="122">
        <v>45961</v>
      </c>
      <c r="K150">
        <v>48</v>
      </c>
      <c r="L150" s="122">
        <v>5698</v>
      </c>
      <c r="M150" s="122">
        <v>5180</v>
      </c>
      <c r="N150" s="122">
        <v>4213</v>
      </c>
      <c r="O150" s="122">
        <v>1560</v>
      </c>
      <c r="P150" s="122">
        <v>702</v>
      </c>
      <c r="Q150" s="122">
        <v>260</v>
      </c>
      <c r="R150" s="122">
        <v>20823</v>
      </c>
      <c r="S150" s="122">
        <v>18930</v>
      </c>
      <c r="T150" s="122">
        <v>8599</v>
      </c>
      <c r="U150" s="122">
        <v>3185</v>
      </c>
      <c r="V150" s="122">
        <v>75075</v>
      </c>
      <c r="W150" s="122">
        <f t="shared" si="4"/>
        <v>75076</v>
      </c>
      <c r="X150" s="122">
        <f t="shared" si="5"/>
        <v>90592</v>
      </c>
      <c r="Y150" s="122"/>
      <c r="AA150" t="s">
        <v>50</v>
      </c>
      <c r="AB150" t="s">
        <v>433</v>
      </c>
      <c r="AC150" t="s">
        <v>433</v>
      </c>
      <c r="AD150" t="s">
        <v>433</v>
      </c>
      <c r="AE150" t="s">
        <v>566</v>
      </c>
      <c r="AF150">
        <v>1</v>
      </c>
      <c r="AG150">
        <v>183</v>
      </c>
      <c r="AH150">
        <v>100</v>
      </c>
      <c r="AI150" s="122">
        <v>11776</v>
      </c>
      <c r="AJ150" s="122">
        <v>10706</v>
      </c>
      <c r="AK150">
        <v>86</v>
      </c>
      <c r="AL150" s="122">
        <v>1721</v>
      </c>
      <c r="AM150" s="122">
        <v>1565</v>
      </c>
      <c r="AN150" s="122">
        <v>3051</v>
      </c>
      <c r="AO150" s="122">
        <v>1130</v>
      </c>
      <c r="AP150">
        <v>351</v>
      </c>
      <c r="AQ150">
        <v>130</v>
      </c>
      <c r="AR150" s="122">
        <v>4071</v>
      </c>
      <c r="AS150" s="122">
        <v>3701</v>
      </c>
      <c r="AT150">
        <v>0</v>
      </c>
      <c r="AU150">
        <v>0</v>
      </c>
      <c r="AV150" s="122">
        <v>17231</v>
      </c>
    </row>
    <row r="151" spans="2:48" ht="12.75" hidden="1" customHeight="1">
      <c r="B151" t="s">
        <v>363</v>
      </c>
      <c r="C151" t="s">
        <v>62</v>
      </c>
      <c r="D151" t="s">
        <v>407</v>
      </c>
      <c r="E151" t="s">
        <v>407</v>
      </c>
      <c r="F151">
        <v>3</v>
      </c>
      <c r="G151" s="122">
        <v>344</v>
      </c>
      <c r="H151" s="122">
        <v>1199</v>
      </c>
      <c r="I151" s="122">
        <v>80883</v>
      </c>
      <c r="J151" s="122">
        <v>73530</v>
      </c>
      <c r="K151" s="122">
        <v>74</v>
      </c>
      <c r="L151" s="122">
        <v>26923</v>
      </c>
      <c r="M151" s="122">
        <v>24476</v>
      </c>
      <c r="N151" s="122">
        <v>7539</v>
      </c>
      <c r="O151" s="122">
        <v>2792</v>
      </c>
      <c r="P151" s="122">
        <v>1418</v>
      </c>
      <c r="Q151" s="122">
        <v>525</v>
      </c>
      <c r="R151" s="122">
        <v>20054</v>
      </c>
      <c r="S151" s="122">
        <v>18231</v>
      </c>
      <c r="T151" s="122">
        <v>0</v>
      </c>
      <c r="U151" s="122">
        <v>0</v>
      </c>
      <c r="V151" s="122">
        <v>119554</v>
      </c>
      <c r="W151" s="122">
        <f t="shared" si="4"/>
        <v>119554</v>
      </c>
      <c r="X151" s="122">
        <f t="shared" si="5"/>
        <v>136817</v>
      </c>
      <c r="Y151" s="122"/>
      <c r="AA151" t="s">
        <v>50</v>
      </c>
      <c r="AB151" t="s">
        <v>408</v>
      </c>
      <c r="AC151" t="s">
        <v>566</v>
      </c>
      <c r="AD151" t="s">
        <v>408</v>
      </c>
      <c r="AE151" t="s">
        <v>137</v>
      </c>
      <c r="AF151">
        <v>29</v>
      </c>
      <c r="AG151" s="122">
        <v>2662</v>
      </c>
      <c r="AH151" s="122">
        <v>2598</v>
      </c>
      <c r="AI151" s="122">
        <v>129447</v>
      </c>
      <c r="AJ151" s="122">
        <v>117679</v>
      </c>
      <c r="AK151">
        <v>92</v>
      </c>
      <c r="AL151">
        <v>0</v>
      </c>
      <c r="AM151">
        <v>0</v>
      </c>
      <c r="AN151" s="122">
        <v>32432</v>
      </c>
      <c r="AO151" s="122">
        <v>12012</v>
      </c>
      <c r="AP151" s="122">
        <v>37661</v>
      </c>
      <c r="AQ151" s="122">
        <v>13949</v>
      </c>
      <c r="AR151" s="122">
        <v>34324</v>
      </c>
      <c r="AS151" s="122">
        <v>31204</v>
      </c>
      <c r="AT151" s="122">
        <v>4004</v>
      </c>
      <c r="AU151" s="122">
        <v>1483</v>
      </c>
      <c r="AV151" s="122">
        <v>176327</v>
      </c>
    </row>
    <row r="152" spans="2:48" ht="12.75" hidden="1" customHeight="1">
      <c r="B152" t="s">
        <v>363</v>
      </c>
      <c r="C152" t="s">
        <v>62</v>
      </c>
      <c r="D152" t="s">
        <v>426</v>
      </c>
      <c r="E152" t="s">
        <v>137</v>
      </c>
      <c r="F152" s="122">
        <v>2</v>
      </c>
      <c r="G152" s="122">
        <v>117</v>
      </c>
      <c r="H152" s="122">
        <v>808</v>
      </c>
      <c r="I152" s="122">
        <v>32502</v>
      </c>
      <c r="J152" s="122">
        <v>29548</v>
      </c>
      <c r="K152" s="122">
        <v>53</v>
      </c>
      <c r="L152" s="122">
        <v>3393</v>
      </c>
      <c r="M152" s="122">
        <v>3085</v>
      </c>
      <c r="N152" s="122">
        <v>2672</v>
      </c>
      <c r="O152" s="122">
        <v>990</v>
      </c>
      <c r="P152" s="122">
        <v>351</v>
      </c>
      <c r="Q152" s="122">
        <v>130</v>
      </c>
      <c r="R152" s="122">
        <v>8013</v>
      </c>
      <c r="S152" s="122">
        <v>2968</v>
      </c>
      <c r="T152" s="122">
        <v>0</v>
      </c>
      <c r="U152" s="122">
        <v>0</v>
      </c>
      <c r="V152" s="122">
        <v>36720</v>
      </c>
      <c r="W152" s="122">
        <f t="shared" si="4"/>
        <v>36721</v>
      </c>
      <c r="X152" s="122">
        <f t="shared" si="5"/>
        <v>46931</v>
      </c>
      <c r="Y152" s="122"/>
      <c r="AA152" t="s">
        <v>50</v>
      </c>
      <c r="AB152" t="s">
        <v>429</v>
      </c>
      <c r="AC152" t="s">
        <v>566</v>
      </c>
      <c r="AD152" t="s">
        <v>429</v>
      </c>
      <c r="AE152" t="s">
        <v>137</v>
      </c>
      <c r="AF152">
        <v>5</v>
      </c>
      <c r="AG152">
        <v>486</v>
      </c>
      <c r="AH152">
        <v>433</v>
      </c>
      <c r="AI152" s="122">
        <v>20843</v>
      </c>
      <c r="AJ152" s="122">
        <v>18949</v>
      </c>
      <c r="AK152">
        <v>94</v>
      </c>
      <c r="AL152">
        <v>0</v>
      </c>
      <c r="AM152">
        <v>0</v>
      </c>
      <c r="AN152" s="122">
        <v>5919</v>
      </c>
      <c r="AO152" s="122">
        <v>2192</v>
      </c>
      <c r="AP152" s="122">
        <v>7865</v>
      </c>
      <c r="AQ152" s="122">
        <v>2913</v>
      </c>
      <c r="AR152" s="122">
        <v>7464</v>
      </c>
      <c r="AS152" s="122">
        <v>6785</v>
      </c>
      <c r="AT152">
        <v>0</v>
      </c>
      <c r="AU152">
        <v>0</v>
      </c>
      <c r="AV152" s="122">
        <v>30839</v>
      </c>
    </row>
    <row r="153" spans="2:48" ht="12.75" hidden="1" customHeight="1">
      <c r="B153" t="s">
        <v>363</v>
      </c>
      <c r="C153" t="s">
        <v>62</v>
      </c>
      <c r="D153" t="s">
        <v>426</v>
      </c>
      <c r="E153" t="s">
        <v>426</v>
      </c>
      <c r="F153">
        <v>79</v>
      </c>
      <c r="G153" s="122">
        <v>5114</v>
      </c>
      <c r="H153" s="122">
        <v>32453</v>
      </c>
      <c r="I153" s="122">
        <v>1268506</v>
      </c>
      <c r="J153" s="122">
        <v>1153187</v>
      </c>
      <c r="K153" s="122">
        <v>47</v>
      </c>
      <c r="L153" s="122">
        <v>101593</v>
      </c>
      <c r="M153" s="122">
        <v>89606</v>
      </c>
      <c r="N153" s="122">
        <v>98391</v>
      </c>
      <c r="O153" s="122">
        <v>36441</v>
      </c>
      <c r="P153" s="122">
        <v>27378</v>
      </c>
      <c r="Q153" s="122">
        <v>10140</v>
      </c>
      <c r="R153" s="122">
        <v>447635</v>
      </c>
      <c r="S153" s="122">
        <v>406941</v>
      </c>
      <c r="T153" s="122">
        <v>167511</v>
      </c>
      <c r="U153" s="122">
        <v>62041</v>
      </c>
      <c r="V153" s="122">
        <v>1758356</v>
      </c>
      <c r="W153" s="122">
        <f t="shared" si="4"/>
        <v>1758356</v>
      </c>
      <c r="X153" s="122">
        <f t="shared" si="5"/>
        <v>2111014</v>
      </c>
      <c r="Y153" s="122"/>
      <c r="AA153" t="s">
        <v>50</v>
      </c>
      <c r="AB153" t="s">
        <v>429</v>
      </c>
      <c r="AC153" t="s">
        <v>566</v>
      </c>
      <c r="AD153" t="s">
        <v>429</v>
      </c>
      <c r="AE153" t="s">
        <v>566</v>
      </c>
      <c r="AF153">
        <v>1</v>
      </c>
      <c r="AG153">
        <v>114</v>
      </c>
      <c r="AH153">
        <v>90</v>
      </c>
      <c r="AI153" s="122">
        <v>3983</v>
      </c>
      <c r="AJ153" s="122">
        <v>3621</v>
      </c>
      <c r="AK153">
        <v>80</v>
      </c>
      <c r="AL153">
        <v>0</v>
      </c>
      <c r="AM153">
        <v>0</v>
      </c>
      <c r="AN153" s="122">
        <v>1384</v>
      </c>
      <c r="AO153">
        <v>513</v>
      </c>
      <c r="AP153" s="122">
        <v>1847</v>
      </c>
      <c r="AQ153">
        <v>684</v>
      </c>
      <c r="AR153" s="122">
        <v>2977</v>
      </c>
      <c r="AS153" s="122">
        <v>2707</v>
      </c>
      <c r="AT153">
        <v>0</v>
      </c>
      <c r="AU153">
        <v>0</v>
      </c>
      <c r="AV153" s="122">
        <v>7524</v>
      </c>
    </row>
    <row r="154" spans="2:48" ht="12.75" hidden="1" customHeight="1">
      <c r="B154" t="s">
        <v>363</v>
      </c>
      <c r="C154" t="s">
        <v>64</v>
      </c>
      <c r="F154">
        <v>1</v>
      </c>
      <c r="G154">
        <v>61</v>
      </c>
      <c r="H154" s="122">
        <v>629</v>
      </c>
      <c r="I154" s="122"/>
      <c r="J154" s="122">
        <v>0</v>
      </c>
      <c r="K154" s="122"/>
      <c r="L154" s="122"/>
      <c r="M154" s="122">
        <v>0</v>
      </c>
      <c r="N154" s="122">
        <v>744</v>
      </c>
      <c r="O154" s="122">
        <v>276</v>
      </c>
      <c r="P154" s="122">
        <v>205</v>
      </c>
      <c r="Q154" s="122">
        <v>76</v>
      </c>
      <c r="R154" s="122"/>
      <c r="S154" s="122">
        <v>0</v>
      </c>
      <c r="T154">
        <v>0</v>
      </c>
      <c r="U154" s="122">
        <v>0</v>
      </c>
      <c r="V154" s="122">
        <v>352</v>
      </c>
      <c r="W154" s="122">
        <f t="shared" si="4"/>
        <v>352</v>
      </c>
      <c r="X154" s="122">
        <f t="shared" si="5"/>
        <v>949</v>
      </c>
      <c r="Y154" s="122"/>
      <c r="AA154" t="s">
        <v>52</v>
      </c>
      <c r="AC154" t="s">
        <v>566</v>
      </c>
      <c r="AE154" t="s">
        <v>566</v>
      </c>
      <c r="AF154">
        <v>62</v>
      </c>
      <c r="AG154" s="122">
        <v>5289</v>
      </c>
      <c r="AH154" s="122">
        <v>7319</v>
      </c>
      <c r="AJ154">
        <v>0</v>
      </c>
      <c r="AM154">
        <v>0</v>
      </c>
      <c r="AN154" s="122">
        <v>114264</v>
      </c>
      <c r="AO154" s="122">
        <v>42320</v>
      </c>
      <c r="AP154" s="122">
        <v>11437</v>
      </c>
      <c r="AQ154" s="122">
        <v>4236</v>
      </c>
      <c r="AS154">
        <v>0</v>
      </c>
      <c r="AT154" s="122">
        <v>5993</v>
      </c>
      <c r="AU154" s="122">
        <v>2219</v>
      </c>
      <c r="AV154" s="122">
        <v>48776</v>
      </c>
    </row>
    <row r="155" spans="2:48" ht="12.75" hidden="1" customHeight="1">
      <c r="B155" t="s">
        <v>363</v>
      </c>
      <c r="C155" t="s">
        <v>64</v>
      </c>
      <c r="D155" t="s">
        <v>405</v>
      </c>
      <c r="E155" t="s">
        <v>405</v>
      </c>
      <c r="F155" s="122">
        <v>1</v>
      </c>
      <c r="G155" s="122">
        <v>51</v>
      </c>
      <c r="H155" s="122">
        <v>705</v>
      </c>
      <c r="I155" s="122">
        <v>29232</v>
      </c>
      <c r="J155" s="122">
        <v>26574</v>
      </c>
      <c r="K155" s="122">
        <v>65</v>
      </c>
      <c r="L155" s="122">
        <v>0</v>
      </c>
      <c r="M155" s="122">
        <v>0</v>
      </c>
      <c r="N155" s="122">
        <v>1126</v>
      </c>
      <c r="O155" s="122">
        <v>417</v>
      </c>
      <c r="P155" s="122">
        <v>473</v>
      </c>
      <c r="Q155" s="122">
        <v>175</v>
      </c>
      <c r="R155" s="122">
        <v>4789</v>
      </c>
      <c r="S155" s="122">
        <v>4354</v>
      </c>
      <c r="T155" s="122">
        <v>0</v>
      </c>
      <c r="U155" s="122">
        <v>0</v>
      </c>
      <c r="V155" s="122">
        <v>31521</v>
      </c>
      <c r="W155" s="122">
        <f t="shared" si="4"/>
        <v>31520</v>
      </c>
      <c r="X155" s="122">
        <f t="shared" si="5"/>
        <v>35620</v>
      </c>
      <c r="Y155" s="122"/>
      <c r="AA155" t="s">
        <v>52</v>
      </c>
      <c r="AB155" t="s">
        <v>425</v>
      </c>
      <c r="AC155" t="s">
        <v>137</v>
      </c>
      <c r="AD155" t="s">
        <v>425</v>
      </c>
      <c r="AE155" t="s">
        <v>137</v>
      </c>
      <c r="AF155">
        <v>1</v>
      </c>
      <c r="AG155">
        <v>108</v>
      </c>
      <c r="AH155">
        <v>124</v>
      </c>
      <c r="AI155" s="122">
        <v>5973</v>
      </c>
      <c r="AJ155" s="122">
        <v>5430</v>
      </c>
      <c r="AK155">
        <v>92</v>
      </c>
      <c r="AL155" s="122">
        <v>1497</v>
      </c>
      <c r="AM155">
        <v>554</v>
      </c>
      <c r="AN155" s="122">
        <v>1321</v>
      </c>
      <c r="AO155">
        <v>489</v>
      </c>
      <c r="AP155" s="122">
        <v>1272</v>
      </c>
      <c r="AQ155">
        <v>471</v>
      </c>
      <c r="AR155" s="122">
        <v>3415</v>
      </c>
      <c r="AS155" s="122">
        <v>3105</v>
      </c>
      <c r="AT155">
        <v>0</v>
      </c>
      <c r="AU155">
        <v>0</v>
      </c>
      <c r="AV155" s="122">
        <v>10049</v>
      </c>
    </row>
    <row r="156" spans="2:48" ht="12.75" hidden="1" customHeight="1">
      <c r="B156" t="s">
        <v>363</v>
      </c>
      <c r="C156" t="s">
        <v>64</v>
      </c>
      <c r="D156" t="s">
        <v>137</v>
      </c>
      <c r="E156" t="s">
        <v>137</v>
      </c>
      <c r="F156">
        <v>50</v>
      </c>
      <c r="G156" s="122">
        <v>3841</v>
      </c>
      <c r="H156" s="122">
        <v>34802</v>
      </c>
      <c r="I156" s="122">
        <v>1883570</v>
      </c>
      <c r="J156" s="122">
        <v>697618</v>
      </c>
      <c r="K156" s="122">
        <v>100</v>
      </c>
      <c r="L156" s="122">
        <v>326318</v>
      </c>
      <c r="M156" s="122">
        <v>213785</v>
      </c>
      <c r="N156" s="122">
        <v>84753</v>
      </c>
      <c r="O156" s="122">
        <v>31390</v>
      </c>
      <c r="P156">
        <v>699</v>
      </c>
      <c r="Q156" s="122">
        <v>259</v>
      </c>
      <c r="R156" s="122">
        <v>321880</v>
      </c>
      <c r="S156" s="122">
        <v>119215</v>
      </c>
      <c r="T156">
        <v>0</v>
      </c>
      <c r="U156" s="122">
        <v>0</v>
      </c>
      <c r="V156" s="122">
        <v>1062267</v>
      </c>
      <c r="W156" s="122">
        <f t="shared" si="4"/>
        <v>1062267</v>
      </c>
      <c r="X156" s="122">
        <f t="shared" si="5"/>
        <v>2617220</v>
      </c>
      <c r="Y156" s="122"/>
      <c r="AA156" t="s">
        <v>52</v>
      </c>
      <c r="AB156" t="s">
        <v>425</v>
      </c>
      <c r="AC156" t="s">
        <v>426</v>
      </c>
      <c r="AD156" t="s">
        <v>425</v>
      </c>
      <c r="AE156" t="s">
        <v>137</v>
      </c>
      <c r="AF156">
        <v>1</v>
      </c>
      <c r="AG156">
        <v>200</v>
      </c>
      <c r="AH156">
        <v>124</v>
      </c>
      <c r="AI156" s="122">
        <v>10735</v>
      </c>
      <c r="AJ156" s="122">
        <v>9759</v>
      </c>
      <c r="AK156">
        <v>92</v>
      </c>
      <c r="AL156" s="122">
        <v>3483</v>
      </c>
      <c r="AM156" s="122">
        <v>3166</v>
      </c>
      <c r="AN156" s="122">
        <v>4635</v>
      </c>
      <c r="AO156" s="122">
        <v>1717</v>
      </c>
      <c r="AP156">
        <v>473</v>
      </c>
      <c r="AQ156">
        <v>175</v>
      </c>
      <c r="AR156" s="122">
        <v>5421</v>
      </c>
      <c r="AS156" s="122">
        <v>4928</v>
      </c>
      <c r="AT156">
        <v>0</v>
      </c>
      <c r="AU156">
        <v>0</v>
      </c>
      <c r="AV156" s="122">
        <v>19744</v>
      </c>
    </row>
    <row r="157" spans="2:48" ht="12.75" hidden="1" customHeight="1">
      <c r="B157" t="s">
        <v>363</v>
      </c>
      <c r="C157" t="s">
        <v>64</v>
      </c>
      <c r="D157" t="s">
        <v>137</v>
      </c>
      <c r="E157" t="s">
        <v>426</v>
      </c>
      <c r="F157">
        <v>3</v>
      </c>
      <c r="G157">
        <v>200</v>
      </c>
      <c r="H157" s="122">
        <v>1590</v>
      </c>
      <c r="I157" s="122">
        <v>98833</v>
      </c>
      <c r="J157" s="122">
        <v>36605</v>
      </c>
      <c r="K157" s="122">
        <v>100</v>
      </c>
      <c r="L157" s="122">
        <v>13633</v>
      </c>
      <c r="M157" s="122">
        <v>12393</v>
      </c>
      <c r="N157" s="122">
        <v>6161</v>
      </c>
      <c r="O157" s="122">
        <v>2282</v>
      </c>
      <c r="P157" s="122">
        <v>0</v>
      </c>
      <c r="Q157" s="122">
        <v>0</v>
      </c>
      <c r="R157" s="122">
        <v>14480</v>
      </c>
      <c r="S157" s="122">
        <v>13163</v>
      </c>
      <c r="T157" s="122">
        <v>5887</v>
      </c>
      <c r="U157" s="122">
        <v>2181</v>
      </c>
      <c r="V157" s="122">
        <v>66624</v>
      </c>
      <c r="W157" s="122">
        <f t="shared" si="4"/>
        <v>66624</v>
      </c>
      <c r="X157" s="122">
        <f t="shared" si="5"/>
        <v>138994</v>
      </c>
      <c r="Y157" s="122"/>
      <c r="AA157" t="s">
        <v>52</v>
      </c>
      <c r="AB157" t="s">
        <v>425</v>
      </c>
      <c r="AC157" t="s">
        <v>426</v>
      </c>
      <c r="AD157" t="s">
        <v>425</v>
      </c>
      <c r="AE157" t="s">
        <v>566</v>
      </c>
      <c r="AF157">
        <v>1</v>
      </c>
      <c r="AG157">
        <v>111</v>
      </c>
      <c r="AH157">
        <v>123</v>
      </c>
      <c r="AI157" s="122">
        <v>5971</v>
      </c>
      <c r="AJ157" s="122">
        <v>5428</v>
      </c>
      <c r="AK157">
        <v>93</v>
      </c>
      <c r="AL157" s="122">
        <v>1031</v>
      </c>
      <c r="AM157">
        <v>937</v>
      </c>
      <c r="AN157" s="122">
        <v>2032</v>
      </c>
      <c r="AO157">
        <v>753</v>
      </c>
      <c r="AP157">
        <v>473</v>
      </c>
      <c r="AQ157">
        <v>175</v>
      </c>
      <c r="AR157" s="122">
        <v>4121</v>
      </c>
      <c r="AS157" s="122">
        <v>3747</v>
      </c>
      <c r="AT157">
        <v>0</v>
      </c>
      <c r="AU157">
        <v>0</v>
      </c>
      <c r="AV157" s="122">
        <v>11039</v>
      </c>
    </row>
    <row r="158" spans="2:48" ht="12.75" hidden="1" customHeight="1">
      <c r="B158" t="s">
        <v>363</v>
      </c>
      <c r="C158" t="s">
        <v>64</v>
      </c>
      <c r="D158" t="s">
        <v>406</v>
      </c>
      <c r="E158" t="s">
        <v>137</v>
      </c>
      <c r="F158" s="122">
        <v>2</v>
      </c>
      <c r="G158" s="122">
        <v>196</v>
      </c>
      <c r="H158" s="122">
        <v>1273</v>
      </c>
      <c r="I158" s="122">
        <v>81599</v>
      </c>
      <c r="J158" s="122">
        <v>74181</v>
      </c>
      <c r="K158" s="122">
        <v>78</v>
      </c>
      <c r="L158" s="122">
        <v>21333</v>
      </c>
      <c r="M158" s="122">
        <v>19393</v>
      </c>
      <c r="N158" s="122">
        <v>3474</v>
      </c>
      <c r="O158" s="122">
        <v>1287</v>
      </c>
      <c r="P158" s="122">
        <v>1242</v>
      </c>
      <c r="Q158" s="122">
        <v>460</v>
      </c>
      <c r="R158" s="122">
        <v>19726</v>
      </c>
      <c r="S158" s="122">
        <v>7306</v>
      </c>
      <c r="T158" s="122">
        <v>0</v>
      </c>
      <c r="U158" s="122">
        <v>0</v>
      </c>
      <c r="V158" s="122">
        <v>102627</v>
      </c>
      <c r="W158" s="122">
        <f t="shared" si="4"/>
        <v>102627</v>
      </c>
      <c r="X158" s="122">
        <f t="shared" si="5"/>
        <v>127374</v>
      </c>
      <c r="Y158" s="122"/>
      <c r="AA158" t="s">
        <v>52</v>
      </c>
      <c r="AB158" t="s">
        <v>425</v>
      </c>
      <c r="AC158" t="s">
        <v>566</v>
      </c>
      <c r="AD158" t="s">
        <v>425</v>
      </c>
      <c r="AE158" t="s">
        <v>566</v>
      </c>
      <c r="AF158">
        <v>2</v>
      </c>
      <c r="AG158">
        <v>173</v>
      </c>
      <c r="AH158">
        <v>233</v>
      </c>
      <c r="AI158" s="122">
        <v>14540</v>
      </c>
      <c r="AJ158" s="122">
        <v>13218</v>
      </c>
      <c r="AK158">
        <v>94</v>
      </c>
      <c r="AL158">
        <v>0</v>
      </c>
      <c r="AM158" s="122">
        <v>2743</v>
      </c>
      <c r="AN158" s="122">
        <v>4947</v>
      </c>
      <c r="AO158" s="122">
        <v>1832</v>
      </c>
      <c r="AP158" s="122">
        <v>1925</v>
      </c>
      <c r="AQ158">
        <v>713</v>
      </c>
      <c r="AR158" s="122">
        <v>6102</v>
      </c>
      <c r="AS158" s="122">
        <v>5547</v>
      </c>
      <c r="AT158">
        <v>0</v>
      </c>
      <c r="AU158">
        <v>0</v>
      </c>
      <c r="AV158" s="122">
        <v>24053</v>
      </c>
    </row>
    <row r="159" spans="2:48" ht="12.75" customHeight="1">
      <c r="B159" t="s">
        <v>363</v>
      </c>
      <c r="C159" t="s">
        <v>64</v>
      </c>
      <c r="D159" t="s">
        <v>406</v>
      </c>
      <c r="E159" t="s">
        <v>406</v>
      </c>
      <c r="F159" s="122">
        <v>93</v>
      </c>
      <c r="G159" s="122">
        <v>8017</v>
      </c>
      <c r="H159" s="122">
        <v>50518</v>
      </c>
      <c r="I159" s="122">
        <v>2917207</v>
      </c>
      <c r="J159" s="122">
        <v>2652007</v>
      </c>
      <c r="K159" s="122">
        <v>70</v>
      </c>
      <c r="L159" s="122">
        <v>595141</v>
      </c>
      <c r="M159" s="122">
        <v>539246</v>
      </c>
      <c r="N159" s="122">
        <v>180387</v>
      </c>
      <c r="O159" s="122">
        <v>66810</v>
      </c>
      <c r="P159" s="122">
        <v>58104</v>
      </c>
      <c r="Q159" s="122">
        <v>21520</v>
      </c>
      <c r="R159" s="122">
        <v>418167</v>
      </c>
      <c r="S159" s="122">
        <v>380152</v>
      </c>
      <c r="T159" s="122">
        <v>177661</v>
      </c>
      <c r="U159" s="122">
        <v>65800</v>
      </c>
      <c r="V159" s="122">
        <v>3725535</v>
      </c>
      <c r="W159" s="122">
        <f t="shared" si="4"/>
        <v>3725535</v>
      </c>
      <c r="X159" s="122">
        <f t="shared" si="5"/>
        <v>4346667</v>
      </c>
      <c r="Y159" s="122"/>
      <c r="AA159" t="s">
        <v>52</v>
      </c>
      <c r="AB159" t="s">
        <v>405</v>
      </c>
      <c r="AC159" t="s">
        <v>578</v>
      </c>
      <c r="AD159" t="s">
        <v>405</v>
      </c>
      <c r="AE159" t="s">
        <v>566</v>
      </c>
      <c r="AF159">
        <v>1</v>
      </c>
      <c r="AG159">
        <v>115</v>
      </c>
      <c r="AH159">
        <v>124</v>
      </c>
      <c r="AI159" s="122">
        <v>6926</v>
      </c>
      <c r="AJ159" s="122">
        <v>6296</v>
      </c>
      <c r="AK159">
        <v>91</v>
      </c>
      <c r="AL159" s="122">
        <v>2214</v>
      </c>
      <c r="AM159" s="122">
        <v>2012</v>
      </c>
      <c r="AN159" s="122">
        <v>2815</v>
      </c>
      <c r="AO159" s="122">
        <v>1043</v>
      </c>
      <c r="AP159">
        <v>824</v>
      </c>
      <c r="AQ159">
        <v>305</v>
      </c>
      <c r="AR159" s="122">
        <v>4997</v>
      </c>
      <c r="AS159" s="122">
        <v>4542</v>
      </c>
      <c r="AT159">
        <v>0</v>
      </c>
      <c r="AU159">
        <v>0</v>
      </c>
      <c r="AV159" s="122">
        <v>14198</v>
      </c>
    </row>
    <row r="160" spans="2:48" ht="12.75" hidden="1" customHeight="1">
      <c r="B160" t="s">
        <v>363</v>
      </c>
      <c r="C160" t="s">
        <v>64</v>
      </c>
      <c r="D160" t="s">
        <v>427</v>
      </c>
      <c r="E160" t="s">
        <v>137</v>
      </c>
      <c r="F160">
        <v>1</v>
      </c>
      <c r="G160">
        <v>111</v>
      </c>
      <c r="H160" s="122">
        <v>950</v>
      </c>
      <c r="I160" s="122">
        <v>86584</v>
      </c>
      <c r="J160" s="122">
        <v>78713</v>
      </c>
      <c r="K160" s="122">
        <v>30</v>
      </c>
      <c r="L160" s="122">
        <v>9620</v>
      </c>
      <c r="M160" s="122">
        <v>8746</v>
      </c>
      <c r="N160" s="122">
        <v>2712</v>
      </c>
      <c r="O160" s="122">
        <v>1004</v>
      </c>
      <c r="P160">
        <v>351</v>
      </c>
      <c r="Q160" s="122">
        <v>130</v>
      </c>
      <c r="R160" s="122">
        <v>6435</v>
      </c>
      <c r="S160" s="122">
        <v>2384</v>
      </c>
      <c r="T160" s="122">
        <v>0</v>
      </c>
      <c r="U160" s="122">
        <v>0</v>
      </c>
      <c r="V160" s="122">
        <v>90976</v>
      </c>
      <c r="W160" s="122">
        <f t="shared" si="4"/>
        <v>90977</v>
      </c>
      <c r="X160" s="122">
        <f t="shared" si="5"/>
        <v>105702</v>
      </c>
      <c r="Y160" s="122"/>
      <c r="AA160" t="s">
        <v>52</v>
      </c>
      <c r="AB160" t="s">
        <v>405</v>
      </c>
      <c r="AC160" t="s">
        <v>405</v>
      </c>
      <c r="AD160" t="s">
        <v>405</v>
      </c>
      <c r="AE160" t="s">
        <v>137</v>
      </c>
      <c r="AF160">
        <v>6</v>
      </c>
      <c r="AG160">
        <v>722</v>
      </c>
      <c r="AH160">
        <v>693</v>
      </c>
      <c r="AI160" s="122">
        <v>37540</v>
      </c>
      <c r="AJ160" s="122">
        <v>34127</v>
      </c>
      <c r="AK160">
        <v>91</v>
      </c>
      <c r="AL160" s="122">
        <v>5970</v>
      </c>
      <c r="AM160" s="122">
        <v>5428</v>
      </c>
      <c r="AN160" s="122">
        <v>11062</v>
      </c>
      <c r="AO160" s="122">
        <v>4097</v>
      </c>
      <c r="AP160" s="122">
        <v>4239</v>
      </c>
      <c r="AQ160" s="122">
        <v>1570</v>
      </c>
      <c r="AR160" s="122">
        <v>24468</v>
      </c>
      <c r="AS160" s="122">
        <v>22243</v>
      </c>
      <c r="AT160">
        <v>0</v>
      </c>
      <c r="AU160">
        <v>0</v>
      </c>
      <c r="AV160" s="122">
        <v>67465</v>
      </c>
    </row>
    <row r="161" spans="2:48" ht="12.75" hidden="1" customHeight="1">
      <c r="B161" t="s">
        <v>363</v>
      </c>
      <c r="C161" t="s">
        <v>64</v>
      </c>
      <c r="D161" t="s">
        <v>427</v>
      </c>
      <c r="E161" t="s">
        <v>427</v>
      </c>
      <c r="F161">
        <v>7</v>
      </c>
      <c r="G161" s="122">
        <v>458</v>
      </c>
      <c r="H161" s="122">
        <v>4566</v>
      </c>
      <c r="I161" s="122">
        <v>195477</v>
      </c>
      <c r="J161" s="122">
        <v>177706</v>
      </c>
      <c r="K161" s="122">
        <v>43</v>
      </c>
      <c r="L161" s="122">
        <v>27862</v>
      </c>
      <c r="M161" s="122">
        <v>22878</v>
      </c>
      <c r="N161" s="122">
        <v>9904</v>
      </c>
      <c r="O161" s="122">
        <v>3668</v>
      </c>
      <c r="P161" s="122">
        <v>2106</v>
      </c>
      <c r="Q161" s="122">
        <v>780</v>
      </c>
      <c r="R161" s="122">
        <v>36417</v>
      </c>
      <c r="S161" s="122">
        <v>33106</v>
      </c>
      <c r="T161" s="122">
        <v>12736</v>
      </c>
      <c r="U161" s="122">
        <v>4717</v>
      </c>
      <c r="V161" s="122">
        <v>242856</v>
      </c>
      <c r="W161" s="122">
        <f t="shared" si="4"/>
        <v>242855</v>
      </c>
      <c r="X161" s="122">
        <f t="shared" si="5"/>
        <v>284502</v>
      </c>
      <c r="Y161" s="122"/>
      <c r="AA161" t="s">
        <v>52</v>
      </c>
      <c r="AB161" t="s">
        <v>405</v>
      </c>
      <c r="AC161" t="s">
        <v>405</v>
      </c>
      <c r="AD161" t="s">
        <v>405</v>
      </c>
      <c r="AE161" t="s">
        <v>566</v>
      </c>
      <c r="AF161">
        <v>64</v>
      </c>
      <c r="AG161" s="122">
        <v>7029</v>
      </c>
      <c r="AH161" s="122">
        <v>7681</v>
      </c>
      <c r="AI161" s="122">
        <v>379779</v>
      </c>
      <c r="AJ161" s="122">
        <v>345253</v>
      </c>
      <c r="AK161">
        <v>90</v>
      </c>
      <c r="AL161" s="122">
        <v>54508</v>
      </c>
      <c r="AM161" s="122">
        <v>49553</v>
      </c>
      <c r="AN161" s="122">
        <v>126284</v>
      </c>
      <c r="AO161" s="122">
        <v>46772</v>
      </c>
      <c r="AP161" s="122">
        <v>31469</v>
      </c>
      <c r="AQ161" s="122">
        <v>11655</v>
      </c>
      <c r="AR161" s="122">
        <v>249798</v>
      </c>
      <c r="AS161" s="122">
        <v>227089</v>
      </c>
      <c r="AT161">
        <v>0</v>
      </c>
      <c r="AU161">
        <v>0</v>
      </c>
      <c r="AV161" s="122">
        <v>680322</v>
      </c>
    </row>
    <row r="162" spans="2:48" ht="12.75" hidden="1" customHeight="1">
      <c r="B162" t="s">
        <v>363</v>
      </c>
      <c r="C162" t="s">
        <v>64</v>
      </c>
      <c r="D162" t="s">
        <v>407</v>
      </c>
      <c r="E162" t="s">
        <v>407</v>
      </c>
      <c r="F162">
        <v>3</v>
      </c>
      <c r="G162">
        <v>188</v>
      </c>
      <c r="H162" s="122">
        <v>1734</v>
      </c>
      <c r="I162" s="122">
        <v>71059</v>
      </c>
      <c r="J162" s="122">
        <v>64599</v>
      </c>
      <c r="K162" s="122">
        <v>77</v>
      </c>
      <c r="L162" s="122">
        <v>18986</v>
      </c>
      <c r="M162" s="122">
        <v>17260</v>
      </c>
      <c r="N162" s="122">
        <v>3789</v>
      </c>
      <c r="O162" s="122">
        <v>1403</v>
      </c>
      <c r="P162" s="122">
        <v>1418</v>
      </c>
      <c r="Q162" s="122">
        <v>525</v>
      </c>
      <c r="R162" s="122">
        <v>11796</v>
      </c>
      <c r="S162" s="122">
        <v>10724</v>
      </c>
      <c r="T162" s="122">
        <v>3937</v>
      </c>
      <c r="U162" s="122">
        <v>1458</v>
      </c>
      <c r="V162" s="122">
        <v>95969</v>
      </c>
      <c r="W162" s="122">
        <f t="shared" si="4"/>
        <v>95969</v>
      </c>
      <c r="X162" s="122">
        <f t="shared" si="5"/>
        <v>110985</v>
      </c>
      <c r="Y162" s="122"/>
      <c r="AA162" t="s">
        <v>52</v>
      </c>
      <c r="AB162" t="s">
        <v>405</v>
      </c>
      <c r="AC162" t="s">
        <v>405</v>
      </c>
      <c r="AD162" t="s">
        <v>426</v>
      </c>
      <c r="AE162" t="s">
        <v>566</v>
      </c>
      <c r="AF162">
        <v>1</v>
      </c>
      <c r="AG162">
        <v>126</v>
      </c>
      <c r="AH162">
        <v>103</v>
      </c>
      <c r="AI162" s="122">
        <v>4723</v>
      </c>
      <c r="AJ162" s="122">
        <v>4294</v>
      </c>
      <c r="AK162">
        <v>92</v>
      </c>
      <c r="AL162" s="122">
        <v>1536</v>
      </c>
      <c r="AM162" s="122">
        <v>1396</v>
      </c>
      <c r="AN162" s="122">
        <v>1914</v>
      </c>
      <c r="AO162">
        <v>709</v>
      </c>
      <c r="AP162">
        <v>351</v>
      </c>
      <c r="AQ162">
        <v>130</v>
      </c>
      <c r="AR162" s="122">
        <v>4434</v>
      </c>
      <c r="AS162" s="122">
        <v>4031</v>
      </c>
      <c r="AT162">
        <v>0</v>
      </c>
      <c r="AU162">
        <v>0</v>
      </c>
      <c r="AV162" s="122">
        <v>10560</v>
      </c>
    </row>
    <row r="163" spans="2:48" ht="12.75" hidden="1" customHeight="1">
      <c r="B163" t="s">
        <v>363</v>
      </c>
      <c r="C163" t="s">
        <v>64</v>
      </c>
      <c r="D163" t="s">
        <v>426</v>
      </c>
      <c r="E163" t="s">
        <v>137</v>
      </c>
      <c r="F163">
        <v>6</v>
      </c>
      <c r="G163" s="122">
        <v>822</v>
      </c>
      <c r="H163" s="122">
        <v>6353</v>
      </c>
      <c r="I163" s="122">
        <v>679461</v>
      </c>
      <c r="J163" s="122">
        <v>617692</v>
      </c>
      <c r="K163" s="122">
        <v>34</v>
      </c>
      <c r="L163" s="122">
        <v>58764</v>
      </c>
      <c r="M163" s="122">
        <v>29500</v>
      </c>
      <c r="N163" s="122">
        <v>19597</v>
      </c>
      <c r="O163" s="122">
        <v>7258</v>
      </c>
      <c r="P163" s="122">
        <v>351</v>
      </c>
      <c r="Q163" s="122">
        <v>130</v>
      </c>
      <c r="R163" s="122">
        <v>52312</v>
      </c>
      <c r="S163" s="122">
        <v>19375</v>
      </c>
      <c r="T163" s="122">
        <v>0</v>
      </c>
      <c r="U163" s="122">
        <v>0</v>
      </c>
      <c r="V163" s="122">
        <v>673955</v>
      </c>
      <c r="W163" s="122">
        <f t="shared" si="4"/>
        <v>673955</v>
      </c>
      <c r="X163" s="122">
        <f t="shared" si="5"/>
        <v>810485</v>
      </c>
      <c r="Y163" s="122"/>
      <c r="AA163" t="s">
        <v>52</v>
      </c>
      <c r="AB163" t="s">
        <v>405</v>
      </c>
      <c r="AC163" t="s">
        <v>137</v>
      </c>
      <c r="AD163" t="s">
        <v>405</v>
      </c>
      <c r="AE163" t="s">
        <v>566</v>
      </c>
      <c r="AF163">
        <v>13</v>
      </c>
      <c r="AG163" s="122">
        <v>1452</v>
      </c>
      <c r="AH163" s="122">
        <v>1459</v>
      </c>
      <c r="AI163" s="122">
        <v>63077</v>
      </c>
      <c r="AJ163" s="122">
        <v>57343</v>
      </c>
      <c r="AK163">
        <v>90</v>
      </c>
      <c r="AL163" s="122">
        <v>15541</v>
      </c>
      <c r="AM163" s="122">
        <v>5756</v>
      </c>
      <c r="AN163" s="122">
        <v>25298</v>
      </c>
      <c r="AO163" s="122">
        <v>9370</v>
      </c>
      <c r="AP163" s="122">
        <v>9866</v>
      </c>
      <c r="AQ163" s="122">
        <v>3654</v>
      </c>
      <c r="AR163" s="122">
        <v>49266</v>
      </c>
      <c r="AS163" s="122">
        <v>44787</v>
      </c>
      <c r="AT163">
        <v>0</v>
      </c>
      <c r="AU163">
        <v>0</v>
      </c>
      <c r="AV163" s="122">
        <v>120909</v>
      </c>
    </row>
    <row r="164" spans="2:48" ht="12.75" hidden="1" customHeight="1">
      <c r="B164" t="s">
        <v>363</v>
      </c>
      <c r="C164" t="s">
        <v>64</v>
      </c>
      <c r="D164" t="s">
        <v>426</v>
      </c>
      <c r="E164" s="122" t="s">
        <v>406</v>
      </c>
      <c r="F164" s="122">
        <v>1</v>
      </c>
      <c r="G164" s="122">
        <v>58</v>
      </c>
      <c r="H164" s="122">
        <v>1409</v>
      </c>
      <c r="I164" s="122">
        <v>68616</v>
      </c>
      <c r="J164" s="122">
        <v>62378</v>
      </c>
      <c r="K164" s="122">
        <v>30</v>
      </c>
      <c r="L164" s="122">
        <v>7624</v>
      </c>
      <c r="M164" s="122">
        <v>6931</v>
      </c>
      <c r="N164" s="122">
        <v>1301</v>
      </c>
      <c r="O164" s="122">
        <v>482</v>
      </c>
      <c r="P164" s="122">
        <v>0</v>
      </c>
      <c r="Q164" s="122">
        <v>0</v>
      </c>
      <c r="R164" s="122">
        <v>3191</v>
      </c>
      <c r="S164" s="122">
        <v>2901</v>
      </c>
      <c r="T164" s="122">
        <v>1421</v>
      </c>
      <c r="U164" s="122">
        <v>526</v>
      </c>
      <c r="V164" s="122">
        <v>73218</v>
      </c>
      <c r="W164" s="122">
        <f t="shared" si="4"/>
        <v>73218</v>
      </c>
      <c r="X164" s="122">
        <f t="shared" si="5"/>
        <v>82153</v>
      </c>
      <c r="Y164" s="122"/>
      <c r="AA164" t="s">
        <v>52</v>
      </c>
      <c r="AB164" t="s">
        <v>405</v>
      </c>
      <c r="AC164" t="s">
        <v>427</v>
      </c>
      <c r="AD164" t="s">
        <v>405</v>
      </c>
      <c r="AE164" t="s">
        <v>566</v>
      </c>
      <c r="AF164">
        <v>3</v>
      </c>
      <c r="AG164">
        <v>306</v>
      </c>
      <c r="AH164">
        <v>361</v>
      </c>
      <c r="AI164" s="122">
        <v>14346</v>
      </c>
      <c r="AJ164" s="122">
        <v>13042</v>
      </c>
      <c r="AK164">
        <v>86</v>
      </c>
      <c r="AL164" s="122">
        <v>4527</v>
      </c>
      <c r="AM164" s="122">
        <v>4115</v>
      </c>
      <c r="AN164" s="122">
        <v>4366</v>
      </c>
      <c r="AO164" s="122">
        <v>1617</v>
      </c>
      <c r="AP164" s="122">
        <v>1418</v>
      </c>
      <c r="AQ164">
        <v>525</v>
      </c>
      <c r="AR164" s="122">
        <v>12293</v>
      </c>
      <c r="AS164" s="122">
        <v>11176</v>
      </c>
      <c r="AT164">
        <v>0</v>
      </c>
      <c r="AU164">
        <v>0</v>
      </c>
      <c r="AV164" s="122">
        <v>30474</v>
      </c>
    </row>
    <row r="165" spans="2:48" ht="12.75" hidden="1" customHeight="1">
      <c r="B165" t="s">
        <v>363</v>
      </c>
      <c r="C165" t="s">
        <v>64</v>
      </c>
      <c r="D165" t="s">
        <v>426</v>
      </c>
      <c r="E165" t="s">
        <v>426</v>
      </c>
      <c r="F165" s="122">
        <v>99</v>
      </c>
      <c r="G165" s="122">
        <v>6177</v>
      </c>
      <c r="H165" s="122">
        <v>59901</v>
      </c>
      <c r="I165" s="122">
        <v>2530591</v>
      </c>
      <c r="J165" s="122">
        <v>2300537</v>
      </c>
      <c r="K165" s="122">
        <v>47</v>
      </c>
      <c r="L165" s="122">
        <v>305148</v>
      </c>
      <c r="M165" s="122">
        <v>254473</v>
      </c>
      <c r="N165" s="122">
        <v>136141</v>
      </c>
      <c r="O165" s="122">
        <v>50422</v>
      </c>
      <c r="P165" s="122">
        <v>34155</v>
      </c>
      <c r="Q165" s="122">
        <v>12650</v>
      </c>
      <c r="R165" s="122">
        <v>545627</v>
      </c>
      <c r="S165" s="122">
        <v>496025</v>
      </c>
      <c r="T165" s="122">
        <v>198349</v>
      </c>
      <c r="U165" s="122">
        <v>73462</v>
      </c>
      <c r="V165" s="122">
        <v>3187570</v>
      </c>
      <c r="W165" s="122">
        <f t="shared" si="4"/>
        <v>3187569</v>
      </c>
      <c r="X165" s="122">
        <f t="shared" si="5"/>
        <v>3750011</v>
      </c>
      <c r="Y165" s="122"/>
      <c r="AA165" t="s">
        <v>52</v>
      </c>
      <c r="AB165" t="s">
        <v>405</v>
      </c>
      <c r="AC165" t="s">
        <v>407</v>
      </c>
      <c r="AD165" t="s">
        <v>407</v>
      </c>
      <c r="AE165" t="s">
        <v>566</v>
      </c>
      <c r="AF165">
        <v>1</v>
      </c>
      <c r="AG165">
        <v>139</v>
      </c>
      <c r="AH165">
        <v>115</v>
      </c>
      <c r="AI165" s="122">
        <v>8429</v>
      </c>
      <c r="AJ165" s="122">
        <v>7663</v>
      </c>
      <c r="AK165">
        <v>90</v>
      </c>
      <c r="AL165">
        <v>985</v>
      </c>
      <c r="AM165">
        <v>895</v>
      </c>
      <c r="AN165" s="122">
        <v>3277</v>
      </c>
      <c r="AO165" s="122">
        <v>1214</v>
      </c>
      <c r="AP165">
        <v>473</v>
      </c>
      <c r="AQ165">
        <v>175</v>
      </c>
      <c r="AR165" s="122">
        <v>2871</v>
      </c>
      <c r="AS165" s="122">
        <v>2610</v>
      </c>
      <c r="AT165">
        <v>0</v>
      </c>
      <c r="AU165">
        <v>0</v>
      </c>
      <c r="AV165" s="122">
        <v>12557</v>
      </c>
    </row>
    <row r="166" spans="2:48" ht="12.75" hidden="1" customHeight="1">
      <c r="B166" t="s">
        <v>363</v>
      </c>
      <c r="C166" t="s">
        <v>64</v>
      </c>
      <c r="D166" t="s">
        <v>433</v>
      </c>
      <c r="E166" t="s">
        <v>137</v>
      </c>
      <c r="F166">
        <v>1</v>
      </c>
      <c r="G166" s="122">
        <v>64</v>
      </c>
      <c r="H166" s="122">
        <v>770</v>
      </c>
      <c r="I166" s="122">
        <v>33644</v>
      </c>
      <c r="J166" s="122">
        <v>30586</v>
      </c>
      <c r="K166" s="122">
        <v>65</v>
      </c>
      <c r="L166" s="122">
        <v>5964</v>
      </c>
      <c r="M166" s="122">
        <v>2209</v>
      </c>
      <c r="N166" s="122">
        <v>1550</v>
      </c>
      <c r="O166" s="122">
        <v>574</v>
      </c>
      <c r="P166" s="122">
        <v>0</v>
      </c>
      <c r="Q166" s="122">
        <v>0</v>
      </c>
      <c r="R166" s="122">
        <v>7825</v>
      </c>
      <c r="S166" s="122">
        <v>2898</v>
      </c>
      <c r="T166" s="122">
        <v>0</v>
      </c>
      <c r="U166" s="122">
        <v>0</v>
      </c>
      <c r="V166" s="122">
        <v>36266</v>
      </c>
      <c r="W166" s="122">
        <f t="shared" si="4"/>
        <v>36267</v>
      </c>
      <c r="X166" s="122">
        <f t="shared" si="5"/>
        <v>48983</v>
      </c>
      <c r="Y166" s="122"/>
      <c r="AA166" t="s">
        <v>52</v>
      </c>
      <c r="AB166" t="s">
        <v>405</v>
      </c>
      <c r="AC166" t="s">
        <v>579</v>
      </c>
      <c r="AD166" t="s">
        <v>405</v>
      </c>
      <c r="AE166" t="s">
        <v>137</v>
      </c>
      <c r="AF166">
        <v>1</v>
      </c>
      <c r="AG166">
        <v>156</v>
      </c>
      <c r="AH166">
        <v>125</v>
      </c>
      <c r="AI166" s="122">
        <v>7360</v>
      </c>
      <c r="AJ166" s="122">
        <v>6690</v>
      </c>
      <c r="AK166">
        <v>73</v>
      </c>
      <c r="AL166" s="122">
        <v>1032</v>
      </c>
      <c r="AM166">
        <v>860</v>
      </c>
      <c r="AN166" s="122">
        <v>2259</v>
      </c>
      <c r="AO166">
        <v>837</v>
      </c>
      <c r="AP166">
        <v>473</v>
      </c>
      <c r="AQ166">
        <v>175</v>
      </c>
      <c r="AR166" s="122">
        <v>5133</v>
      </c>
      <c r="AS166" s="122">
        <v>4666</v>
      </c>
      <c r="AT166" s="122">
        <v>3217</v>
      </c>
      <c r="AU166" s="122">
        <v>1191</v>
      </c>
      <c r="AV166" s="122">
        <v>14420</v>
      </c>
    </row>
    <row r="167" spans="2:48" ht="12.75" hidden="1" customHeight="1">
      <c r="B167" t="s">
        <v>363</v>
      </c>
      <c r="C167" t="s">
        <v>64</v>
      </c>
      <c r="D167" t="s">
        <v>433</v>
      </c>
      <c r="E167" t="s">
        <v>433</v>
      </c>
      <c r="F167">
        <v>1</v>
      </c>
      <c r="G167">
        <v>88</v>
      </c>
      <c r="H167" s="122">
        <v>790</v>
      </c>
      <c r="I167" s="122">
        <v>51530</v>
      </c>
      <c r="J167" s="122">
        <v>46845</v>
      </c>
      <c r="K167" s="122">
        <v>45</v>
      </c>
      <c r="L167" s="122">
        <v>6324</v>
      </c>
      <c r="M167" s="122">
        <v>2342</v>
      </c>
      <c r="N167" s="122">
        <v>1521</v>
      </c>
      <c r="O167" s="122">
        <v>563</v>
      </c>
      <c r="P167" s="122">
        <v>351</v>
      </c>
      <c r="Q167" s="122">
        <v>130</v>
      </c>
      <c r="R167" s="122">
        <v>6991</v>
      </c>
      <c r="S167" s="122">
        <v>6355</v>
      </c>
      <c r="T167" s="122">
        <v>2716</v>
      </c>
      <c r="U167" s="122">
        <v>1006</v>
      </c>
      <c r="V167" s="122">
        <v>57242</v>
      </c>
      <c r="W167" s="122">
        <f t="shared" si="4"/>
        <v>57241</v>
      </c>
      <c r="X167" s="122">
        <f t="shared" si="5"/>
        <v>69433</v>
      </c>
      <c r="Y167" s="122"/>
      <c r="AA167" t="s">
        <v>52</v>
      </c>
      <c r="AB167" t="s">
        <v>405</v>
      </c>
      <c r="AC167" t="s">
        <v>579</v>
      </c>
      <c r="AD167" t="s">
        <v>405</v>
      </c>
      <c r="AE167" t="s">
        <v>566</v>
      </c>
      <c r="AF167">
        <v>26</v>
      </c>
      <c r="AG167" s="122">
        <v>3084</v>
      </c>
      <c r="AH167" s="122">
        <v>3051</v>
      </c>
      <c r="AI167" s="122">
        <v>154041</v>
      </c>
      <c r="AJ167" s="122">
        <v>140037</v>
      </c>
      <c r="AK167">
        <v>91</v>
      </c>
      <c r="AL167" s="122">
        <v>38583</v>
      </c>
      <c r="AM167" s="122">
        <v>32153</v>
      </c>
      <c r="AN167" s="122">
        <v>61737</v>
      </c>
      <c r="AO167" s="122">
        <v>22866</v>
      </c>
      <c r="AP167" s="122">
        <v>12434</v>
      </c>
      <c r="AQ167" s="122">
        <v>4605</v>
      </c>
      <c r="AR167" s="122">
        <v>117592</v>
      </c>
      <c r="AS167" s="122">
        <v>106902</v>
      </c>
      <c r="AT167">
        <v>0</v>
      </c>
      <c r="AU167">
        <v>0</v>
      </c>
      <c r="AV167" s="122">
        <v>306563</v>
      </c>
    </row>
    <row r="168" spans="2:48" ht="12.75" hidden="1" customHeight="1">
      <c r="B168" t="s">
        <v>364</v>
      </c>
      <c r="C168" t="s">
        <v>48</v>
      </c>
      <c r="D168" t="s">
        <v>137</v>
      </c>
      <c r="E168" t="s">
        <v>137</v>
      </c>
      <c r="F168" s="122">
        <v>185</v>
      </c>
      <c r="G168" s="122">
        <v>20592</v>
      </c>
      <c r="H168" s="122">
        <v>10644</v>
      </c>
      <c r="I168" s="122">
        <v>184172</v>
      </c>
      <c r="J168" s="122">
        <v>68212</v>
      </c>
      <c r="K168" s="122">
        <v>461</v>
      </c>
      <c r="L168" s="122">
        <v>46495</v>
      </c>
      <c r="M168" s="122">
        <v>34487</v>
      </c>
      <c r="N168" s="122">
        <v>250887</v>
      </c>
      <c r="O168" s="122">
        <v>92921</v>
      </c>
      <c r="P168" s="122">
        <v>76354</v>
      </c>
      <c r="Q168" s="122">
        <v>28279</v>
      </c>
      <c r="R168" s="122">
        <v>617148</v>
      </c>
      <c r="S168" s="122">
        <v>228573</v>
      </c>
      <c r="T168" s="122">
        <v>0</v>
      </c>
      <c r="U168" s="122">
        <v>0</v>
      </c>
      <c r="V168" s="122">
        <v>452473</v>
      </c>
      <c r="W168" s="122">
        <f t="shared" si="4"/>
        <v>452472</v>
      </c>
      <c r="X168" s="122">
        <f t="shared" si="5"/>
        <v>1175056</v>
      </c>
      <c r="Y168" s="122"/>
      <c r="AA168" t="s">
        <v>52</v>
      </c>
      <c r="AB168" t="s">
        <v>405</v>
      </c>
      <c r="AC168" t="s">
        <v>426</v>
      </c>
      <c r="AD168" t="s">
        <v>405</v>
      </c>
      <c r="AE168" t="s">
        <v>137</v>
      </c>
      <c r="AF168">
        <v>7</v>
      </c>
      <c r="AG168">
        <v>845</v>
      </c>
      <c r="AH168">
        <v>817</v>
      </c>
      <c r="AI168" s="122">
        <v>41958</v>
      </c>
      <c r="AJ168" s="122">
        <v>38144</v>
      </c>
      <c r="AK168">
        <v>91</v>
      </c>
      <c r="AL168" s="122">
        <v>11650</v>
      </c>
      <c r="AM168" s="122">
        <v>10591</v>
      </c>
      <c r="AN168" s="122">
        <v>12897</v>
      </c>
      <c r="AO168" s="122">
        <v>4777</v>
      </c>
      <c r="AP168" s="122">
        <v>3456</v>
      </c>
      <c r="AQ168" s="122">
        <v>1280</v>
      </c>
      <c r="AR168" s="122">
        <v>25903</v>
      </c>
      <c r="AS168" s="122">
        <v>23548</v>
      </c>
      <c r="AT168" s="122">
        <v>2508</v>
      </c>
      <c r="AU168">
        <v>929</v>
      </c>
      <c r="AV168" s="122">
        <v>79268</v>
      </c>
    </row>
    <row r="169" spans="2:48" ht="12.75" hidden="1" customHeight="1">
      <c r="B169" t="s">
        <v>364</v>
      </c>
      <c r="C169" t="s">
        <v>48</v>
      </c>
      <c r="D169" t="s">
        <v>407</v>
      </c>
      <c r="E169" t="s">
        <v>407</v>
      </c>
      <c r="F169">
        <v>43</v>
      </c>
      <c r="G169" s="122">
        <v>5365</v>
      </c>
      <c r="H169" s="122">
        <v>2480</v>
      </c>
      <c r="I169" s="122">
        <v>52428</v>
      </c>
      <c r="J169" s="122">
        <v>47661</v>
      </c>
      <c r="K169" s="122">
        <v>91</v>
      </c>
      <c r="L169" s="122">
        <v>10149</v>
      </c>
      <c r="M169" s="122">
        <v>9227</v>
      </c>
      <c r="N169" s="122">
        <v>65369</v>
      </c>
      <c r="O169" s="122">
        <v>24211</v>
      </c>
      <c r="P169" s="122">
        <v>20520</v>
      </c>
      <c r="Q169" s="122">
        <v>7600</v>
      </c>
      <c r="R169" s="122">
        <v>159127</v>
      </c>
      <c r="S169" s="122">
        <v>144661</v>
      </c>
      <c r="T169" s="122">
        <v>0</v>
      </c>
      <c r="U169" s="122">
        <v>0</v>
      </c>
      <c r="V169" s="122">
        <v>233360</v>
      </c>
      <c r="W169" s="122">
        <f t="shared" si="4"/>
        <v>233360</v>
      </c>
      <c r="X169" s="122">
        <f t="shared" si="5"/>
        <v>307593</v>
      </c>
      <c r="Y169" s="122"/>
      <c r="AA169" t="s">
        <v>52</v>
      </c>
      <c r="AB169" t="s">
        <v>405</v>
      </c>
      <c r="AC169" t="s">
        <v>426</v>
      </c>
      <c r="AD169" t="s">
        <v>405</v>
      </c>
      <c r="AE169" t="s">
        <v>566</v>
      </c>
      <c r="AF169">
        <v>66</v>
      </c>
      <c r="AG169" s="122">
        <v>7772</v>
      </c>
      <c r="AH169" s="122">
        <v>7879</v>
      </c>
      <c r="AI169" s="122">
        <v>409145</v>
      </c>
      <c r="AJ169" s="122">
        <v>371950</v>
      </c>
      <c r="AK169">
        <v>90</v>
      </c>
      <c r="AL169" s="122">
        <v>95009</v>
      </c>
      <c r="AM169" s="122">
        <v>86372</v>
      </c>
      <c r="AN169" s="122">
        <v>140407</v>
      </c>
      <c r="AO169" s="122">
        <v>52003</v>
      </c>
      <c r="AP169" s="122">
        <v>37149</v>
      </c>
      <c r="AQ169" s="122">
        <v>13759</v>
      </c>
      <c r="AR169" s="122">
        <v>261046</v>
      </c>
      <c r="AS169" s="122">
        <v>237314</v>
      </c>
      <c r="AT169">
        <v>0</v>
      </c>
      <c r="AU169">
        <v>0</v>
      </c>
      <c r="AV169" s="122">
        <v>761398</v>
      </c>
    </row>
    <row r="170" spans="2:48" ht="12.75" hidden="1" customHeight="1">
      <c r="B170" t="s">
        <v>364</v>
      </c>
      <c r="C170" t="s">
        <v>50</v>
      </c>
      <c r="D170" t="s">
        <v>137</v>
      </c>
      <c r="E170" t="s">
        <v>137</v>
      </c>
      <c r="F170">
        <v>32</v>
      </c>
      <c r="G170" s="122">
        <v>2663</v>
      </c>
      <c r="H170" s="122">
        <v>3000</v>
      </c>
      <c r="I170" s="122">
        <v>69147</v>
      </c>
      <c r="J170" s="122">
        <v>25610</v>
      </c>
      <c r="K170" s="122">
        <v>386</v>
      </c>
      <c r="L170" s="122">
        <v>18267</v>
      </c>
      <c r="M170" s="122">
        <v>16606</v>
      </c>
      <c r="N170" s="122">
        <v>51969</v>
      </c>
      <c r="O170" s="122">
        <v>19248</v>
      </c>
      <c r="P170" s="122">
        <v>11638</v>
      </c>
      <c r="Q170" s="122">
        <v>4310</v>
      </c>
      <c r="R170" s="122">
        <v>98493</v>
      </c>
      <c r="S170" s="122">
        <v>36479</v>
      </c>
      <c r="T170" s="122">
        <v>0</v>
      </c>
      <c r="U170" s="122">
        <v>0</v>
      </c>
      <c r="V170" s="122">
        <v>102254</v>
      </c>
      <c r="W170" s="122">
        <f t="shared" si="4"/>
        <v>102253</v>
      </c>
      <c r="X170" s="122">
        <f t="shared" si="5"/>
        <v>249514</v>
      </c>
      <c r="Y170" s="122"/>
      <c r="AA170" t="s">
        <v>52</v>
      </c>
      <c r="AB170" t="s">
        <v>405</v>
      </c>
      <c r="AC170" t="s">
        <v>566</v>
      </c>
      <c r="AD170" t="s">
        <v>405</v>
      </c>
      <c r="AE170" t="s">
        <v>137</v>
      </c>
      <c r="AF170">
        <v>3</v>
      </c>
      <c r="AG170">
        <v>493</v>
      </c>
      <c r="AH170">
        <v>361</v>
      </c>
      <c r="AI170" s="122">
        <v>33032</v>
      </c>
      <c r="AJ170" s="122">
        <v>30029</v>
      </c>
      <c r="AK170">
        <v>91</v>
      </c>
      <c r="AL170">
        <v>0</v>
      </c>
      <c r="AM170">
        <v>0</v>
      </c>
      <c r="AN170" s="122">
        <v>11275</v>
      </c>
      <c r="AO170" s="122">
        <v>4176</v>
      </c>
      <c r="AP170" s="122">
        <v>2652</v>
      </c>
      <c r="AQ170">
        <v>982</v>
      </c>
      <c r="AR170" s="122">
        <v>12271</v>
      </c>
      <c r="AS170" s="122">
        <v>11156</v>
      </c>
      <c r="AT170">
        <v>0</v>
      </c>
      <c r="AU170">
        <v>0</v>
      </c>
      <c r="AV170" s="122">
        <v>46343</v>
      </c>
    </row>
    <row r="171" spans="2:48" ht="12.75" hidden="1" customHeight="1">
      <c r="B171" t="s">
        <v>364</v>
      </c>
      <c r="C171" t="s">
        <v>50</v>
      </c>
      <c r="D171" t="s">
        <v>407</v>
      </c>
      <c r="E171" t="s">
        <v>407</v>
      </c>
      <c r="F171" s="122">
        <v>20</v>
      </c>
      <c r="G171" s="122">
        <v>2247</v>
      </c>
      <c r="H171" s="122">
        <v>1872</v>
      </c>
      <c r="I171" s="122">
        <v>91917</v>
      </c>
      <c r="J171" s="122">
        <v>83561</v>
      </c>
      <c r="K171" s="122">
        <v>91</v>
      </c>
      <c r="L171" s="122">
        <v>8620</v>
      </c>
      <c r="M171" s="122">
        <v>7836</v>
      </c>
      <c r="N171" s="122">
        <v>28538</v>
      </c>
      <c r="O171" s="122">
        <v>10570</v>
      </c>
      <c r="P171" s="122">
        <v>10216</v>
      </c>
      <c r="Q171" s="122">
        <v>3784</v>
      </c>
      <c r="R171" s="122">
        <v>71385</v>
      </c>
      <c r="S171" s="122">
        <v>64895</v>
      </c>
      <c r="T171" s="122">
        <v>0</v>
      </c>
      <c r="U171" s="122">
        <v>0</v>
      </c>
      <c r="V171" s="122">
        <v>170646</v>
      </c>
      <c r="W171" s="122">
        <f t="shared" si="4"/>
        <v>170646</v>
      </c>
      <c r="X171" s="122">
        <f t="shared" si="5"/>
        <v>210676</v>
      </c>
      <c r="Y171" s="122"/>
      <c r="AA171" t="s">
        <v>52</v>
      </c>
      <c r="AB171" t="s">
        <v>405</v>
      </c>
      <c r="AC171" t="s">
        <v>566</v>
      </c>
      <c r="AD171" t="s">
        <v>405</v>
      </c>
      <c r="AE171" t="s">
        <v>566</v>
      </c>
      <c r="AF171">
        <v>52</v>
      </c>
      <c r="AG171" s="122">
        <v>5444</v>
      </c>
      <c r="AH171" s="122">
        <v>5825</v>
      </c>
      <c r="AI171" s="122">
        <v>302149</v>
      </c>
      <c r="AJ171" s="122">
        <v>274681</v>
      </c>
      <c r="AK171">
        <v>90</v>
      </c>
      <c r="AL171">
        <v>0</v>
      </c>
      <c r="AM171" s="122">
        <v>2504</v>
      </c>
      <c r="AN171" s="122">
        <v>92780</v>
      </c>
      <c r="AO171" s="122">
        <v>34363</v>
      </c>
      <c r="AP171" s="122">
        <v>29883</v>
      </c>
      <c r="AQ171" s="122">
        <v>11068</v>
      </c>
      <c r="AR171" s="122">
        <v>184836</v>
      </c>
      <c r="AS171" s="122">
        <v>168033</v>
      </c>
      <c r="AT171">
        <v>0</v>
      </c>
      <c r="AU171">
        <v>0</v>
      </c>
      <c r="AV171" s="122">
        <v>490648</v>
      </c>
    </row>
    <row r="172" spans="2:48" ht="12.75" hidden="1" customHeight="1">
      <c r="B172" t="s">
        <v>364</v>
      </c>
      <c r="C172" t="s">
        <v>52</v>
      </c>
      <c r="D172" t="s">
        <v>425</v>
      </c>
      <c r="E172" t="s">
        <v>425</v>
      </c>
      <c r="F172">
        <v>2</v>
      </c>
      <c r="G172">
        <v>311</v>
      </c>
      <c r="H172" s="122">
        <v>246</v>
      </c>
      <c r="I172" s="122">
        <v>16705</v>
      </c>
      <c r="J172" s="122">
        <v>15187</v>
      </c>
      <c r="K172" s="122">
        <v>93</v>
      </c>
      <c r="L172" s="122">
        <v>4513</v>
      </c>
      <c r="M172" s="122">
        <v>4103</v>
      </c>
      <c r="N172" s="122">
        <v>6667</v>
      </c>
      <c r="O172" s="122">
        <v>2469</v>
      </c>
      <c r="P172" s="122">
        <v>945</v>
      </c>
      <c r="Q172" s="122">
        <v>350</v>
      </c>
      <c r="R172" s="122">
        <v>9542</v>
      </c>
      <c r="S172" s="122">
        <v>8674</v>
      </c>
      <c r="T172" s="122">
        <v>0</v>
      </c>
      <c r="U172" s="122">
        <v>0</v>
      </c>
      <c r="V172" s="122">
        <v>30783</v>
      </c>
      <c r="W172" s="122">
        <f t="shared" si="4"/>
        <v>30783</v>
      </c>
      <c r="X172" s="122">
        <f t="shared" si="5"/>
        <v>38372</v>
      </c>
      <c r="Y172" s="122"/>
      <c r="AA172" t="s">
        <v>52</v>
      </c>
      <c r="AB172" t="s">
        <v>405</v>
      </c>
      <c r="AC172" t="s">
        <v>481</v>
      </c>
      <c r="AD172" t="s">
        <v>405</v>
      </c>
      <c r="AE172" t="s">
        <v>566</v>
      </c>
      <c r="AF172">
        <v>2</v>
      </c>
      <c r="AG172">
        <v>117</v>
      </c>
      <c r="AH172">
        <v>203</v>
      </c>
      <c r="AI172" s="122">
        <v>5125</v>
      </c>
      <c r="AJ172" s="122">
        <v>4659</v>
      </c>
      <c r="AK172">
        <v>92</v>
      </c>
      <c r="AL172">
        <v>807</v>
      </c>
      <c r="AM172">
        <v>733</v>
      </c>
      <c r="AN172" s="122">
        <v>1424</v>
      </c>
      <c r="AO172">
        <v>527</v>
      </c>
      <c r="AP172" s="122">
        <v>1647</v>
      </c>
      <c r="AQ172">
        <v>610</v>
      </c>
      <c r="AR172" s="122">
        <v>2865</v>
      </c>
      <c r="AS172" s="122">
        <v>2604</v>
      </c>
      <c r="AT172">
        <v>0</v>
      </c>
      <c r="AU172">
        <v>0</v>
      </c>
      <c r="AV172" s="122">
        <v>9134</v>
      </c>
    </row>
    <row r="173" spans="2:48" ht="12.75" hidden="1" customHeight="1">
      <c r="B173" t="s">
        <v>364</v>
      </c>
      <c r="C173" t="s">
        <v>52</v>
      </c>
      <c r="D173" t="s">
        <v>137</v>
      </c>
      <c r="E173" t="s">
        <v>137</v>
      </c>
      <c r="F173">
        <v>4</v>
      </c>
      <c r="G173" s="122">
        <v>364</v>
      </c>
      <c r="H173" s="122">
        <v>427</v>
      </c>
      <c r="I173" s="122">
        <v>12939</v>
      </c>
      <c r="J173" s="122">
        <v>4792</v>
      </c>
      <c r="K173" s="122">
        <v>348</v>
      </c>
      <c r="L173" s="122">
        <v>1500</v>
      </c>
      <c r="M173" s="122">
        <v>1364</v>
      </c>
      <c r="N173" s="122">
        <v>6908</v>
      </c>
      <c r="O173" s="122">
        <v>2559</v>
      </c>
      <c r="P173" s="122">
        <v>1404</v>
      </c>
      <c r="Q173" s="122">
        <v>520</v>
      </c>
      <c r="R173" s="122">
        <v>16562</v>
      </c>
      <c r="S173" s="122">
        <v>6134</v>
      </c>
      <c r="T173" s="122">
        <v>0</v>
      </c>
      <c r="U173" s="122">
        <v>0</v>
      </c>
      <c r="V173" s="122">
        <v>15368</v>
      </c>
      <c r="W173" s="122">
        <f t="shared" si="4"/>
        <v>15369</v>
      </c>
      <c r="X173" s="122">
        <f t="shared" si="5"/>
        <v>39313</v>
      </c>
      <c r="Y173" s="122"/>
      <c r="AA173" t="s">
        <v>52</v>
      </c>
      <c r="AB173" t="s">
        <v>405</v>
      </c>
      <c r="AC173" t="s">
        <v>433</v>
      </c>
      <c r="AD173" t="s">
        <v>405</v>
      </c>
      <c r="AE173" t="s">
        <v>137</v>
      </c>
      <c r="AF173">
        <v>1</v>
      </c>
      <c r="AG173">
        <v>104</v>
      </c>
      <c r="AH173">
        <v>119</v>
      </c>
      <c r="AI173" s="122">
        <v>5755</v>
      </c>
      <c r="AJ173" s="122">
        <v>5232</v>
      </c>
      <c r="AK173">
        <v>92</v>
      </c>
      <c r="AL173">
        <v>909</v>
      </c>
      <c r="AM173">
        <v>826</v>
      </c>
      <c r="AN173" s="122">
        <v>2201</v>
      </c>
      <c r="AO173">
        <v>815</v>
      </c>
      <c r="AP173">
        <v>473</v>
      </c>
      <c r="AQ173">
        <v>175</v>
      </c>
      <c r="AR173" s="122">
        <v>3088</v>
      </c>
      <c r="AS173" s="122">
        <v>2807</v>
      </c>
      <c r="AT173">
        <v>0</v>
      </c>
      <c r="AU173">
        <v>0</v>
      </c>
      <c r="AV173" s="122">
        <v>9855</v>
      </c>
    </row>
    <row r="174" spans="2:48" ht="12.75" hidden="1" customHeight="1">
      <c r="B174" t="s">
        <v>364</v>
      </c>
      <c r="C174" t="s">
        <v>52</v>
      </c>
      <c r="D174" t="s">
        <v>406</v>
      </c>
      <c r="E174" t="s">
        <v>406</v>
      </c>
      <c r="F174" s="122">
        <v>22</v>
      </c>
      <c r="G174" s="122">
        <v>2873</v>
      </c>
      <c r="H174" s="122">
        <v>2562</v>
      </c>
      <c r="I174" s="122">
        <v>158566</v>
      </c>
      <c r="J174" s="122">
        <v>144151</v>
      </c>
      <c r="K174" s="122">
        <v>92</v>
      </c>
      <c r="L174" s="122">
        <v>23449</v>
      </c>
      <c r="M174" s="122">
        <v>21094</v>
      </c>
      <c r="N174" s="122">
        <v>50110</v>
      </c>
      <c r="O174" s="122">
        <v>18559</v>
      </c>
      <c r="P174" s="122">
        <v>15364</v>
      </c>
      <c r="Q174" s="122">
        <v>5691</v>
      </c>
      <c r="R174" s="122">
        <v>92575</v>
      </c>
      <c r="S174" s="122">
        <v>84159</v>
      </c>
      <c r="T174" s="122">
        <v>2559</v>
      </c>
      <c r="U174" s="122">
        <v>948</v>
      </c>
      <c r="V174" s="122">
        <v>274602</v>
      </c>
      <c r="W174" s="122">
        <f t="shared" si="4"/>
        <v>274602</v>
      </c>
      <c r="X174" s="122">
        <f t="shared" si="5"/>
        <v>342623</v>
      </c>
      <c r="Y174" s="122"/>
      <c r="AA174" t="s">
        <v>52</v>
      </c>
      <c r="AB174" t="s">
        <v>405</v>
      </c>
      <c r="AC174" t="s">
        <v>433</v>
      </c>
      <c r="AD174" t="s">
        <v>405</v>
      </c>
      <c r="AE174" t="s">
        <v>566</v>
      </c>
      <c r="AF174">
        <v>9</v>
      </c>
      <c r="AG174">
        <v>845</v>
      </c>
      <c r="AH174">
        <v>995</v>
      </c>
      <c r="AI174" s="122">
        <v>43004</v>
      </c>
      <c r="AJ174" s="122">
        <v>39095</v>
      </c>
      <c r="AK174">
        <v>90</v>
      </c>
      <c r="AL174" s="122">
        <v>9989</v>
      </c>
      <c r="AM174" s="122">
        <v>9081</v>
      </c>
      <c r="AN174" s="122">
        <v>10981</v>
      </c>
      <c r="AO174" s="122">
        <v>4067</v>
      </c>
      <c r="AP174" s="122">
        <v>7228</v>
      </c>
      <c r="AQ174" s="122">
        <v>2677</v>
      </c>
      <c r="AR174" s="122">
        <v>23366</v>
      </c>
      <c r="AS174" s="122">
        <v>21242</v>
      </c>
      <c r="AT174">
        <v>0</v>
      </c>
      <c r="AU174">
        <v>0</v>
      </c>
      <c r="AV174" s="122">
        <v>76161</v>
      </c>
    </row>
    <row r="175" spans="2:48" ht="12.75" hidden="1" customHeight="1">
      <c r="B175" t="s">
        <v>364</v>
      </c>
      <c r="C175" t="s">
        <v>52</v>
      </c>
      <c r="D175" t="s">
        <v>407</v>
      </c>
      <c r="E175" t="s">
        <v>407</v>
      </c>
      <c r="F175">
        <v>82</v>
      </c>
      <c r="G175" s="122">
        <v>9077</v>
      </c>
      <c r="H175" s="122">
        <v>9570</v>
      </c>
      <c r="I175" s="122">
        <v>504641</v>
      </c>
      <c r="J175" s="122">
        <v>458765</v>
      </c>
      <c r="K175" s="122">
        <v>90</v>
      </c>
      <c r="L175" s="122">
        <v>82331</v>
      </c>
      <c r="M175" s="122">
        <v>73691</v>
      </c>
      <c r="N175" s="122">
        <v>136076</v>
      </c>
      <c r="O175" s="122">
        <v>50398</v>
      </c>
      <c r="P175" s="122">
        <v>48383</v>
      </c>
      <c r="Q175" s="122">
        <v>17920</v>
      </c>
      <c r="R175" s="122">
        <v>290575</v>
      </c>
      <c r="S175" s="122">
        <v>264159</v>
      </c>
      <c r="T175" s="122">
        <v>0</v>
      </c>
      <c r="U175" s="122">
        <v>0</v>
      </c>
      <c r="V175" s="122">
        <v>864934</v>
      </c>
      <c r="W175" s="122">
        <f t="shared" si="4"/>
        <v>864933</v>
      </c>
      <c r="X175" s="122">
        <f t="shared" si="5"/>
        <v>1062006</v>
      </c>
      <c r="Y175" s="122"/>
      <c r="AA175" t="s">
        <v>52</v>
      </c>
      <c r="AB175" t="s">
        <v>405</v>
      </c>
      <c r="AC175" t="s">
        <v>429</v>
      </c>
      <c r="AD175" t="s">
        <v>405</v>
      </c>
      <c r="AE175" t="s">
        <v>137</v>
      </c>
      <c r="AF175">
        <v>1</v>
      </c>
      <c r="AG175">
        <v>196</v>
      </c>
      <c r="AH175">
        <v>125</v>
      </c>
      <c r="AI175" s="122">
        <v>14771</v>
      </c>
      <c r="AJ175" s="122">
        <v>13428</v>
      </c>
      <c r="AK175">
        <v>93</v>
      </c>
      <c r="AL175" s="122">
        <v>2353</v>
      </c>
      <c r="AM175" s="122">
        <v>2139</v>
      </c>
      <c r="AN175" s="122">
        <v>2612</v>
      </c>
      <c r="AO175">
        <v>968</v>
      </c>
      <c r="AP175">
        <v>473</v>
      </c>
      <c r="AQ175">
        <v>175</v>
      </c>
      <c r="AR175" s="122">
        <v>3328</v>
      </c>
      <c r="AS175" s="122">
        <v>3025</v>
      </c>
      <c r="AT175" s="122">
        <v>3206</v>
      </c>
      <c r="AU175" s="122">
        <v>1188</v>
      </c>
      <c r="AV175" s="122">
        <v>20923</v>
      </c>
    </row>
    <row r="176" spans="2:48" ht="12.75" hidden="1" customHeight="1">
      <c r="B176" t="s">
        <v>364</v>
      </c>
      <c r="C176" t="s">
        <v>52</v>
      </c>
      <c r="D176" t="s">
        <v>556</v>
      </c>
      <c r="E176" t="s">
        <v>556</v>
      </c>
      <c r="F176" s="122">
        <v>2</v>
      </c>
      <c r="G176" s="122">
        <v>154</v>
      </c>
      <c r="H176" s="122">
        <v>242</v>
      </c>
      <c r="I176" s="122">
        <v>4640</v>
      </c>
      <c r="J176" s="122">
        <v>3867</v>
      </c>
      <c r="K176" s="122">
        <v>79</v>
      </c>
      <c r="L176" s="122">
        <v>0</v>
      </c>
      <c r="M176" s="122">
        <v>0</v>
      </c>
      <c r="N176" s="122">
        <v>1882</v>
      </c>
      <c r="O176" s="122">
        <v>697</v>
      </c>
      <c r="P176" s="122">
        <v>702</v>
      </c>
      <c r="Q176" s="122">
        <v>260</v>
      </c>
      <c r="R176" s="122">
        <v>7262</v>
      </c>
      <c r="S176" s="122">
        <v>6052</v>
      </c>
      <c r="T176" s="122">
        <v>4168</v>
      </c>
      <c r="U176" s="122">
        <v>1544</v>
      </c>
      <c r="V176" s="122">
        <v>12419</v>
      </c>
      <c r="W176" s="122">
        <f t="shared" si="4"/>
        <v>12420</v>
      </c>
      <c r="X176" s="122">
        <f t="shared" si="5"/>
        <v>18654</v>
      </c>
      <c r="Y176" s="122"/>
      <c r="AA176" t="s">
        <v>52</v>
      </c>
      <c r="AB176" t="s">
        <v>137</v>
      </c>
      <c r="AC176" t="s">
        <v>425</v>
      </c>
      <c r="AD176" t="s">
        <v>137</v>
      </c>
      <c r="AE176" t="s">
        <v>566</v>
      </c>
      <c r="AF176">
        <v>1</v>
      </c>
      <c r="AG176">
        <v>187</v>
      </c>
      <c r="AH176">
        <v>117</v>
      </c>
      <c r="AI176" s="122">
        <v>6595</v>
      </c>
      <c r="AJ176" s="122">
        <v>2443</v>
      </c>
      <c r="AK176">
        <v>470</v>
      </c>
      <c r="AL176" s="122">
        <v>2456</v>
      </c>
      <c r="AM176" s="122">
        <v>2232</v>
      </c>
      <c r="AN176" s="122">
        <v>4042</v>
      </c>
      <c r="AO176" s="122">
        <v>1497</v>
      </c>
      <c r="AP176" s="122">
        <v>2684</v>
      </c>
      <c r="AQ176">
        <v>994</v>
      </c>
      <c r="AR176" s="122">
        <v>6156</v>
      </c>
      <c r="AS176" s="122">
        <v>2280</v>
      </c>
      <c r="AT176">
        <v>0</v>
      </c>
      <c r="AU176">
        <v>0</v>
      </c>
      <c r="AV176" s="122">
        <v>9446</v>
      </c>
    </row>
    <row r="177" spans="2:48" ht="12.75" hidden="1" customHeight="1">
      <c r="B177" t="s">
        <v>364</v>
      </c>
      <c r="C177" t="s">
        <v>54</v>
      </c>
      <c r="D177" t="s">
        <v>425</v>
      </c>
      <c r="E177" s="122" t="s">
        <v>425</v>
      </c>
      <c r="F177" s="122">
        <v>2</v>
      </c>
      <c r="G177" s="122">
        <v>251</v>
      </c>
      <c r="H177" s="122">
        <v>295</v>
      </c>
      <c r="I177" s="122">
        <v>15395</v>
      </c>
      <c r="J177" s="122">
        <v>13996</v>
      </c>
      <c r="K177" s="122">
        <v>91</v>
      </c>
      <c r="L177" s="122">
        <v>5166</v>
      </c>
      <c r="M177" s="122">
        <v>4696</v>
      </c>
      <c r="N177" s="122">
        <v>6127</v>
      </c>
      <c r="O177" s="122">
        <v>2269</v>
      </c>
      <c r="P177" s="122">
        <v>702</v>
      </c>
      <c r="Q177" s="122">
        <v>260</v>
      </c>
      <c r="R177" s="122">
        <v>9698</v>
      </c>
      <c r="S177" s="122">
        <v>8817</v>
      </c>
      <c r="T177" s="122">
        <v>0</v>
      </c>
      <c r="U177" s="122">
        <v>0</v>
      </c>
      <c r="V177" s="122">
        <v>30038</v>
      </c>
      <c r="W177" s="122">
        <f t="shared" si="4"/>
        <v>30038</v>
      </c>
      <c r="X177" s="122">
        <f t="shared" si="5"/>
        <v>37088</v>
      </c>
      <c r="Y177" s="122"/>
      <c r="AA177" t="s">
        <v>52</v>
      </c>
      <c r="AB177" t="s">
        <v>137</v>
      </c>
      <c r="AC177" t="s">
        <v>405</v>
      </c>
      <c r="AD177" t="s">
        <v>137</v>
      </c>
      <c r="AE177" t="s">
        <v>566</v>
      </c>
      <c r="AF177">
        <v>2</v>
      </c>
      <c r="AG177">
        <v>396</v>
      </c>
      <c r="AH177">
        <v>208</v>
      </c>
      <c r="AI177" s="122">
        <v>11404</v>
      </c>
      <c r="AJ177" s="122">
        <v>4224</v>
      </c>
      <c r="AK177">
        <v>355</v>
      </c>
      <c r="AL177" s="122">
        <v>7147</v>
      </c>
      <c r="AM177" s="122">
        <v>6498</v>
      </c>
      <c r="AN177" s="122">
        <v>9660</v>
      </c>
      <c r="AO177" s="122">
        <v>3578</v>
      </c>
      <c r="AP177" s="122">
        <v>1404</v>
      </c>
      <c r="AQ177">
        <v>520</v>
      </c>
      <c r="AR177" s="122">
        <v>11683</v>
      </c>
      <c r="AS177" s="122">
        <v>4327</v>
      </c>
      <c r="AT177">
        <v>0</v>
      </c>
      <c r="AU177">
        <v>0</v>
      </c>
      <c r="AV177" s="122">
        <v>19146</v>
      </c>
    </row>
    <row r="178" spans="2:48" ht="12.75" hidden="1" customHeight="1">
      <c r="B178" t="s">
        <v>364</v>
      </c>
      <c r="C178" t="s">
        <v>54</v>
      </c>
      <c r="D178" t="s">
        <v>405</v>
      </c>
      <c r="E178" t="s">
        <v>405</v>
      </c>
      <c r="F178" s="122">
        <v>20</v>
      </c>
      <c r="G178" s="122">
        <v>3167</v>
      </c>
      <c r="H178" s="122">
        <v>2892</v>
      </c>
      <c r="I178" s="122">
        <v>252016</v>
      </c>
      <c r="J178" s="122">
        <v>229106</v>
      </c>
      <c r="K178" s="122">
        <v>86</v>
      </c>
      <c r="L178" s="122">
        <v>30563</v>
      </c>
      <c r="M178" s="122">
        <v>20213</v>
      </c>
      <c r="N178" s="122">
        <v>62459</v>
      </c>
      <c r="O178" s="122">
        <v>23133</v>
      </c>
      <c r="P178" s="122">
        <v>11806</v>
      </c>
      <c r="Q178" s="122">
        <v>4373</v>
      </c>
      <c r="R178" s="122">
        <v>97855</v>
      </c>
      <c r="S178" s="122">
        <v>88959</v>
      </c>
      <c r="T178" s="122">
        <v>8217</v>
      </c>
      <c r="U178" s="122">
        <v>3044</v>
      </c>
      <c r="V178" s="122">
        <v>368826</v>
      </c>
      <c r="W178" s="122">
        <f t="shared" si="4"/>
        <v>368828</v>
      </c>
      <c r="X178" s="122">
        <f t="shared" si="5"/>
        <v>462916</v>
      </c>
      <c r="Y178" s="122"/>
      <c r="AA178" t="s">
        <v>52</v>
      </c>
      <c r="AB178" t="s">
        <v>137</v>
      </c>
      <c r="AC178" t="s">
        <v>137</v>
      </c>
      <c r="AD178" t="s">
        <v>137</v>
      </c>
      <c r="AE178" t="s">
        <v>137</v>
      </c>
      <c r="AF178">
        <v>2</v>
      </c>
      <c r="AG178">
        <v>297</v>
      </c>
      <c r="AH178">
        <v>242</v>
      </c>
      <c r="AI178" s="122">
        <v>10085</v>
      </c>
      <c r="AJ178" s="122">
        <v>3735</v>
      </c>
      <c r="AK178">
        <v>335</v>
      </c>
      <c r="AL178" s="122">
        <v>2435</v>
      </c>
      <c r="AM178">
        <v>902</v>
      </c>
      <c r="AN178" s="122">
        <v>4929</v>
      </c>
      <c r="AO178" s="122">
        <v>1825</v>
      </c>
      <c r="AP178">
        <v>702</v>
      </c>
      <c r="AQ178">
        <v>260</v>
      </c>
      <c r="AR178" s="122">
        <v>17786</v>
      </c>
      <c r="AS178" s="122">
        <v>6587</v>
      </c>
      <c r="AT178">
        <v>0</v>
      </c>
      <c r="AU178">
        <v>0</v>
      </c>
      <c r="AV178" s="122">
        <v>13310</v>
      </c>
    </row>
    <row r="179" spans="2:48" ht="12.75" hidden="1" customHeight="1">
      <c r="B179" t="s">
        <v>364</v>
      </c>
      <c r="C179" t="s">
        <v>54</v>
      </c>
      <c r="D179" t="s">
        <v>137</v>
      </c>
      <c r="E179" t="s">
        <v>137</v>
      </c>
      <c r="F179" s="122">
        <v>11</v>
      </c>
      <c r="G179" s="122">
        <v>870</v>
      </c>
      <c r="H179" s="122">
        <v>1514</v>
      </c>
      <c r="I179" s="122">
        <v>60850</v>
      </c>
      <c r="J179" s="122">
        <v>22537</v>
      </c>
      <c r="K179" s="122">
        <v>309</v>
      </c>
      <c r="L179" s="122">
        <v>15192</v>
      </c>
      <c r="M179" s="122">
        <v>10354</v>
      </c>
      <c r="N179" s="122">
        <v>16631</v>
      </c>
      <c r="O179" s="122">
        <v>6160</v>
      </c>
      <c r="P179" s="122">
        <v>4069</v>
      </c>
      <c r="Q179" s="122">
        <v>1507</v>
      </c>
      <c r="R179" s="122">
        <v>33924</v>
      </c>
      <c r="S179" s="122">
        <v>12564</v>
      </c>
      <c r="T179" s="122">
        <v>3775</v>
      </c>
      <c r="U179" s="122">
        <v>1398</v>
      </c>
      <c r="V179" s="122">
        <v>54520</v>
      </c>
      <c r="W179" s="122">
        <f t="shared" si="4"/>
        <v>54520</v>
      </c>
      <c r="X179" s="122">
        <f t="shared" si="5"/>
        <v>134441</v>
      </c>
      <c r="Y179" s="122"/>
      <c r="AA179" t="s">
        <v>52</v>
      </c>
      <c r="AB179" t="s">
        <v>137</v>
      </c>
      <c r="AC179" t="s">
        <v>137</v>
      </c>
      <c r="AD179" t="s">
        <v>137</v>
      </c>
      <c r="AE179" t="s">
        <v>566</v>
      </c>
      <c r="AF179">
        <v>34</v>
      </c>
      <c r="AG179" s="122">
        <v>3236</v>
      </c>
      <c r="AH179" s="122">
        <v>3780</v>
      </c>
      <c r="AI179" s="122">
        <v>94845</v>
      </c>
      <c r="AJ179" s="122">
        <v>35128</v>
      </c>
      <c r="AK179">
        <v>366</v>
      </c>
      <c r="AL179" s="122">
        <v>27042</v>
      </c>
      <c r="AM179" s="122">
        <v>10015</v>
      </c>
      <c r="AN179" s="122">
        <v>63001</v>
      </c>
      <c r="AO179" s="122">
        <v>23334</v>
      </c>
      <c r="AP179" s="122">
        <v>22528</v>
      </c>
      <c r="AQ179" s="122">
        <v>8344</v>
      </c>
      <c r="AR179" s="122">
        <v>154655</v>
      </c>
      <c r="AS179" s="122">
        <v>57280</v>
      </c>
      <c r="AT179">
        <v>0</v>
      </c>
      <c r="AU179">
        <v>0</v>
      </c>
      <c r="AV179" s="122">
        <v>134101</v>
      </c>
    </row>
    <row r="180" spans="2:48" ht="12.75" hidden="1" customHeight="1">
      <c r="B180" t="s">
        <v>364</v>
      </c>
      <c r="C180" t="s">
        <v>54</v>
      </c>
      <c r="D180" t="s">
        <v>406</v>
      </c>
      <c r="E180" t="s">
        <v>425</v>
      </c>
      <c r="F180">
        <v>1</v>
      </c>
      <c r="G180" s="122">
        <v>155</v>
      </c>
      <c r="H180" s="122">
        <v>146</v>
      </c>
      <c r="I180" s="122">
        <v>11320</v>
      </c>
      <c r="J180" s="122">
        <v>10291</v>
      </c>
      <c r="K180" s="122">
        <v>86</v>
      </c>
      <c r="L180" s="122">
        <v>1702</v>
      </c>
      <c r="M180" s="122">
        <v>1547</v>
      </c>
      <c r="N180" s="122">
        <v>3247</v>
      </c>
      <c r="O180" s="122">
        <v>1203</v>
      </c>
      <c r="P180" s="122">
        <v>621</v>
      </c>
      <c r="Q180" s="122">
        <v>230</v>
      </c>
      <c r="R180" s="122">
        <v>5701</v>
      </c>
      <c r="S180" s="122">
        <v>5183</v>
      </c>
      <c r="T180" s="122">
        <v>0</v>
      </c>
      <c r="U180" s="122">
        <v>0</v>
      </c>
      <c r="V180" s="122">
        <v>18453</v>
      </c>
      <c r="W180" s="122">
        <f t="shared" si="4"/>
        <v>18454</v>
      </c>
      <c r="X180" s="122">
        <f t="shared" si="5"/>
        <v>22591</v>
      </c>
      <c r="Y180" s="122"/>
      <c r="AA180" t="s">
        <v>52</v>
      </c>
      <c r="AB180" t="s">
        <v>137</v>
      </c>
      <c r="AC180" t="s">
        <v>580</v>
      </c>
      <c r="AD180" t="s">
        <v>137</v>
      </c>
      <c r="AE180" t="s">
        <v>566</v>
      </c>
      <c r="AF180">
        <v>11</v>
      </c>
      <c r="AG180">
        <v>910</v>
      </c>
      <c r="AH180" s="122">
        <v>1283</v>
      </c>
      <c r="AI180" s="122">
        <v>34344</v>
      </c>
      <c r="AJ180" s="122">
        <v>12720</v>
      </c>
      <c r="AK180">
        <v>322</v>
      </c>
      <c r="AL180" s="122">
        <v>6403</v>
      </c>
      <c r="AM180" s="122">
        <v>5821</v>
      </c>
      <c r="AN180" s="122">
        <v>17151</v>
      </c>
      <c r="AO180" s="122">
        <v>6352</v>
      </c>
      <c r="AP180" s="122">
        <v>6831</v>
      </c>
      <c r="AQ180" s="122">
        <v>2530</v>
      </c>
      <c r="AR180" s="122">
        <v>41481</v>
      </c>
      <c r="AS180" s="122">
        <v>15363</v>
      </c>
      <c r="AT180">
        <v>0</v>
      </c>
      <c r="AU180">
        <v>0</v>
      </c>
      <c r="AV180" s="122">
        <v>42787</v>
      </c>
    </row>
    <row r="181" spans="2:48" ht="12.75" hidden="1" customHeight="1">
      <c r="B181" t="s">
        <v>364</v>
      </c>
      <c r="C181" t="s">
        <v>54</v>
      </c>
      <c r="D181" t="s">
        <v>406</v>
      </c>
      <c r="E181" t="s">
        <v>406</v>
      </c>
      <c r="F181">
        <v>189</v>
      </c>
      <c r="G181" s="122">
        <v>20901</v>
      </c>
      <c r="H181" s="122">
        <v>26548</v>
      </c>
      <c r="I181" s="122">
        <v>1366106</v>
      </c>
      <c r="J181" s="122">
        <v>1241915</v>
      </c>
      <c r="K181" s="122">
        <v>91</v>
      </c>
      <c r="L181" s="122">
        <v>289569</v>
      </c>
      <c r="M181" s="122">
        <v>259417</v>
      </c>
      <c r="N181" s="122">
        <v>366279</v>
      </c>
      <c r="O181" s="122">
        <v>135659</v>
      </c>
      <c r="P181" s="122">
        <v>121767</v>
      </c>
      <c r="Q181" s="122">
        <v>45099</v>
      </c>
      <c r="R181" s="122">
        <v>782457</v>
      </c>
      <c r="S181" s="122">
        <v>711325</v>
      </c>
      <c r="T181" s="122">
        <v>37907</v>
      </c>
      <c r="U181" s="122">
        <v>14040</v>
      </c>
      <c r="V181" s="122">
        <v>2407454</v>
      </c>
      <c r="W181" s="122">
        <f t="shared" si="4"/>
        <v>2407455</v>
      </c>
      <c r="X181" s="122">
        <f t="shared" si="5"/>
        <v>2964085</v>
      </c>
      <c r="Y181" s="122"/>
      <c r="AA181" t="s">
        <v>52</v>
      </c>
      <c r="AB181" t="s">
        <v>137</v>
      </c>
      <c r="AC181" t="s">
        <v>427</v>
      </c>
      <c r="AD181" t="s">
        <v>137</v>
      </c>
      <c r="AE181" t="s">
        <v>566</v>
      </c>
      <c r="AF181">
        <v>9</v>
      </c>
      <c r="AG181">
        <v>926</v>
      </c>
      <c r="AH181" s="122">
        <v>1103</v>
      </c>
      <c r="AI181" s="122">
        <v>48992</v>
      </c>
      <c r="AJ181" s="122">
        <v>18145</v>
      </c>
      <c r="AK181">
        <v>352</v>
      </c>
      <c r="AL181" s="122">
        <v>14250</v>
      </c>
      <c r="AM181" s="122">
        <v>12954</v>
      </c>
      <c r="AN181" s="122">
        <v>21767</v>
      </c>
      <c r="AO181" s="122">
        <v>8062</v>
      </c>
      <c r="AP181" s="122">
        <v>5222</v>
      </c>
      <c r="AQ181" s="122">
        <v>1934</v>
      </c>
      <c r="AR181" s="122">
        <v>24568</v>
      </c>
      <c r="AS181" s="122">
        <v>9099</v>
      </c>
      <c r="AT181">
        <v>0</v>
      </c>
      <c r="AU181">
        <v>0</v>
      </c>
      <c r="AV181" s="122">
        <v>50195</v>
      </c>
    </row>
    <row r="182" spans="2:48" ht="12.75" hidden="1" customHeight="1">
      <c r="B182" t="s">
        <v>364</v>
      </c>
      <c r="C182" t="s">
        <v>54</v>
      </c>
      <c r="D182" t="s">
        <v>406</v>
      </c>
      <c r="E182" t="s">
        <v>428</v>
      </c>
      <c r="F182">
        <v>1</v>
      </c>
      <c r="G182" s="122">
        <v>101</v>
      </c>
      <c r="H182" s="122">
        <v>135</v>
      </c>
      <c r="I182" s="122">
        <v>6250</v>
      </c>
      <c r="J182" s="122">
        <v>5682</v>
      </c>
      <c r="K182" s="122">
        <v>95</v>
      </c>
      <c r="L182" s="122">
        <v>1616</v>
      </c>
      <c r="M182" s="122">
        <v>598</v>
      </c>
      <c r="N182" s="122">
        <v>1354</v>
      </c>
      <c r="O182" s="122">
        <v>501</v>
      </c>
      <c r="P182" s="122">
        <v>621</v>
      </c>
      <c r="Q182" s="122">
        <v>230</v>
      </c>
      <c r="R182" s="122">
        <v>3770</v>
      </c>
      <c r="S182" s="122">
        <v>3427</v>
      </c>
      <c r="T182" s="122">
        <v>0</v>
      </c>
      <c r="U182" s="122">
        <v>0</v>
      </c>
      <c r="V182" s="122">
        <v>10439</v>
      </c>
      <c r="W182" s="122">
        <f t="shared" si="4"/>
        <v>10438</v>
      </c>
      <c r="X182" s="122">
        <f t="shared" si="5"/>
        <v>13611</v>
      </c>
      <c r="Y182" s="122"/>
      <c r="AA182" t="s">
        <v>52</v>
      </c>
      <c r="AB182" t="s">
        <v>137</v>
      </c>
      <c r="AC182" t="s">
        <v>407</v>
      </c>
      <c r="AD182" t="s">
        <v>137</v>
      </c>
      <c r="AE182" t="s">
        <v>566</v>
      </c>
      <c r="AF182">
        <v>16</v>
      </c>
      <c r="AG182" s="122">
        <v>1792</v>
      </c>
      <c r="AH182" s="122">
        <v>1770</v>
      </c>
      <c r="AI182" s="122">
        <v>62689</v>
      </c>
      <c r="AJ182" s="122">
        <v>23218</v>
      </c>
      <c r="AK182">
        <v>374</v>
      </c>
      <c r="AL182" s="122">
        <v>13624</v>
      </c>
      <c r="AM182" s="122">
        <v>12386</v>
      </c>
      <c r="AN182" s="122">
        <v>27258</v>
      </c>
      <c r="AO182" s="122">
        <v>10096</v>
      </c>
      <c r="AP182" s="122">
        <v>15868</v>
      </c>
      <c r="AQ182" s="122">
        <v>5877</v>
      </c>
      <c r="AR182" s="122">
        <v>84408</v>
      </c>
      <c r="AS182" s="122">
        <v>31262</v>
      </c>
      <c r="AT182">
        <v>0</v>
      </c>
      <c r="AU182">
        <v>0</v>
      </c>
      <c r="AV182" s="122">
        <v>82839</v>
      </c>
    </row>
    <row r="183" spans="2:48" ht="12.75" hidden="1" customHeight="1">
      <c r="B183" t="s">
        <v>364</v>
      </c>
      <c r="C183" t="s">
        <v>54</v>
      </c>
      <c r="D183" t="s">
        <v>406</v>
      </c>
      <c r="E183" t="s">
        <v>426</v>
      </c>
      <c r="F183" s="122">
        <v>1</v>
      </c>
      <c r="G183" s="122">
        <v>81</v>
      </c>
      <c r="H183" s="122">
        <v>148</v>
      </c>
      <c r="I183" s="122">
        <v>4993</v>
      </c>
      <c r="J183" s="122">
        <v>4539</v>
      </c>
      <c r="K183" s="122">
        <v>93</v>
      </c>
      <c r="L183" s="122">
        <v>814</v>
      </c>
      <c r="M183" s="122">
        <v>740</v>
      </c>
      <c r="N183" s="122">
        <v>1964</v>
      </c>
      <c r="O183" s="122">
        <v>727</v>
      </c>
      <c r="P183" s="122">
        <v>621</v>
      </c>
      <c r="Q183" s="122">
        <v>230</v>
      </c>
      <c r="R183" s="122">
        <v>3500</v>
      </c>
      <c r="S183" s="122">
        <v>3182</v>
      </c>
      <c r="T183" s="122">
        <v>0</v>
      </c>
      <c r="U183" s="122">
        <v>0</v>
      </c>
      <c r="V183" s="122">
        <v>9418</v>
      </c>
      <c r="W183" s="122">
        <f t="shared" si="4"/>
        <v>9418</v>
      </c>
      <c r="X183" s="122">
        <f t="shared" si="5"/>
        <v>11892</v>
      </c>
      <c r="Y183" s="122"/>
      <c r="AA183" t="s">
        <v>52</v>
      </c>
      <c r="AB183" t="s">
        <v>137</v>
      </c>
      <c r="AC183" t="s">
        <v>579</v>
      </c>
      <c r="AD183" t="s">
        <v>137</v>
      </c>
      <c r="AE183" t="s">
        <v>137</v>
      </c>
      <c r="AF183">
        <v>1</v>
      </c>
      <c r="AG183">
        <v>90</v>
      </c>
      <c r="AH183">
        <v>119</v>
      </c>
      <c r="AI183" s="122">
        <v>6085</v>
      </c>
      <c r="AJ183" s="122">
        <v>2254</v>
      </c>
      <c r="AK183">
        <v>236</v>
      </c>
      <c r="AL183">
        <v>0</v>
      </c>
      <c r="AM183">
        <v>0</v>
      </c>
      <c r="AN183" s="122">
        <v>1648</v>
      </c>
      <c r="AO183">
        <v>610</v>
      </c>
      <c r="AP183">
        <v>351</v>
      </c>
      <c r="AQ183">
        <v>130</v>
      </c>
      <c r="AR183" s="122">
        <v>2639</v>
      </c>
      <c r="AS183">
        <v>978</v>
      </c>
      <c r="AT183">
        <v>0</v>
      </c>
      <c r="AU183">
        <v>0</v>
      </c>
      <c r="AV183" s="122">
        <v>3972</v>
      </c>
    </row>
    <row r="184" spans="2:48" ht="12.75" hidden="1" customHeight="1">
      <c r="B184" t="s">
        <v>364</v>
      </c>
      <c r="C184" t="s">
        <v>54</v>
      </c>
      <c r="D184" t="s">
        <v>407</v>
      </c>
      <c r="E184" t="s">
        <v>407</v>
      </c>
      <c r="F184">
        <v>238</v>
      </c>
      <c r="G184" s="122">
        <v>25867</v>
      </c>
      <c r="H184" s="122">
        <v>33279</v>
      </c>
      <c r="I184" s="122">
        <v>1613114</v>
      </c>
      <c r="J184" s="122">
        <v>1466467</v>
      </c>
      <c r="K184" s="122">
        <v>88</v>
      </c>
      <c r="L184" s="122">
        <v>310009</v>
      </c>
      <c r="M184" s="122">
        <v>268123</v>
      </c>
      <c r="N184" s="122">
        <v>517263</v>
      </c>
      <c r="O184" s="122">
        <v>191579</v>
      </c>
      <c r="P184" s="122">
        <v>180372</v>
      </c>
      <c r="Q184" s="122">
        <v>66805</v>
      </c>
      <c r="R184" s="122">
        <v>982767</v>
      </c>
      <c r="S184" s="122">
        <v>893425</v>
      </c>
      <c r="T184" s="122">
        <v>50209</v>
      </c>
      <c r="U184" s="122">
        <v>18596</v>
      </c>
      <c r="V184" s="122">
        <v>2904994</v>
      </c>
      <c r="W184" s="122">
        <f t="shared" si="4"/>
        <v>2904995</v>
      </c>
      <c r="X184" s="122">
        <f t="shared" si="5"/>
        <v>3653734</v>
      </c>
      <c r="Y184" s="122"/>
      <c r="AA184" t="s">
        <v>52</v>
      </c>
      <c r="AB184" t="s">
        <v>137</v>
      </c>
      <c r="AC184" t="s">
        <v>579</v>
      </c>
      <c r="AD184" t="s">
        <v>137</v>
      </c>
      <c r="AE184" t="s">
        <v>566</v>
      </c>
      <c r="AF184">
        <v>127</v>
      </c>
      <c r="AG184" s="122">
        <v>11770</v>
      </c>
      <c r="AH184" s="122">
        <v>14146</v>
      </c>
      <c r="AI184" s="122">
        <v>398729</v>
      </c>
      <c r="AJ184" s="122">
        <v>147677</v>
      </c>
      <c r="AK184">
        <v>359</v>
      </c>
      <c r="AL184" s="122">
        <v>133056</v>
      </c>
      <c r="AM184" s="122">
        <v>110880</v>
      </c>
      <c r="AN184" s="122">
        <v>184918</v>
      </c>
      <c r="AO184" s="122">
        <v>68488</v>
      </c>
      <c r="AP184" s="122">
        <v>64897</v>
      </c>
      <c r="AQ184" s="122">
        <v>24036</v>
      </c>
      <c r="AR184" s="122">
        <v>533562</v>
      </c>
      <c r="AS184" s="122">
        <v>197615</v>
      </c>
      <c r="AT184">
        <v>0</v>
      </c>
      <c r="AU184">
        <v>0</v>
      </c>
      <c r="AV184" s="122">
        <v>548697</v>
      </c>
    </row>
    <row r="185" spans="2:48" ht="12.75" hidden="1" customHeight="1">
      <c r="B185" t="s">
        <v>364</v>
      </c>
      <c r="C185" t="s">
        <v>54</v>
      </c>
      <c r="D185" t="s">
        <v>407</v>
      </c>
      <c r="E185" t="s">
        <v>433</v>
      </c>
      <c r="F185">
        <v>2</v>
      </c>
      <c r="G185" s="122">
        <v>213</v>
      </c>
      <c r="H185" s="122">
        <v>299</v>
      </c>
      <c r="I185" s="122">
        <v>15847</v>
      </c>
      <c r="J185" s="122">
        <v>14406</v>
      </c>
      <c r="K185" s="122">
        <v>79</v>
      </c>
      <c r="L185" s="122">
        <v>4620</v>
      </c>
      <c r="M185" s="122">
        <v>4200</v>
      </c>
      <c r="N185" s="122">
        <v>2592</v>
      </c>
      <c r="O185" s="122">
        <v>960</v>
      </c>
      <c r="P185" s="122">
        <v>945</v>
      </c>
      <c r="Q185" s="122">
        <v>350</v>
      </c>
      <c r="R185" s="122">
        <v>7765</v>
      </c>
      <c r="S185" s="122">
        <v>7059</v>
      </c>
      <c r="T185">
        <v>0</v>
      </c>
      <c r="U185" s="122">
        <v>0</v>
      </c>
      <c r="V185" s="122">
        <v>26975</v>
      </c>
      <c r="W185" s="122">
        <f t="shared" si="4"/>
        <v>26975</v>
      </c>
      <c r="X185" s="122">
        <f t="shared" si="5"/>
        <v>31769</v>
      </c>
      <c r="Y185" s="122"/>
      <c r="AA185" t="s">
        <v>52</v>
      </c>
      <c r="AB185" t="s">
        <v>137</v>
      </c>
      <c r="AC185" t="s">
        <v>428</v>
      </c>
      <c r="AD185" t="s">
        <v>137</v>
      </c>
      <c r="AE185" t="s">
        <v>566</v>
      </c>
      <c r="AF185">
        <v>1</v>
      </c>
      <c r="AG185">
        <v>145</v>
      </c>
      <c r="AH185">
        <v>117</v>
      </c>
      <c r="AI185" s="122">
        <v>9666</v>
      </c>
      <c r="AJ185" s="122">
        <v>3580</v>
      </c>
      <c r="AK185">
        <v>319</v>
      </c>
      <c r="AL185" s="122">
        <v>1628</v>
      </c>
      <c r="AM185" s="122">
        <v>1480</v>
      </c>
      <c r="AN185" s="122">
        <v>1764</v>
      </c>
      <c r="AO185">
        <v>654</v>
      </c>
      <c r="AP185">
        <v>0</v>
      </c>
      <c r="AQ185">
        <v>0</v>
      </c>
      <c r="AR185" s="122">
        <v>3960</v>
      </c>
      <c r="AS185" s="122">
        <v>1467</v>
      </c>
      <c r="AT185">
        <v>0</v>
      </c>
      <c r="AU185">
        <v>0</v>
      </c>
      <c r="AV185" s="122">
        <v>7180</v>
      </c>
    </row>
    <row r="186" spans="2:48" ht="12.75" hidden="1" customHeight="1">
      <c r="B186" t="s">
        <v>364</v>
      </c>
      <c r="C186" t="s">
        <v>54</v>
      </c>
      <c r="D186" t="s">
        <v>426</v>
      </c>
      <c r="E186" t="s">
        <v>426</v>
      </c>
      <c r="F186">
        <v>1</v>
      </c>
      <c r="G186" s="122">
        <v>71</v>
      </c>
      <c r="H186" s="122">
        <v>150</v>
      </c>
      <c r="I186" s="122">
        <v>4390</v>
      </c>
      <c r="J186" s="122">
        <v>3991</v>
      </c>
      <c r="K186" s="122">
        <v>73</v>
      </c>
      <c r="L186" s="122">
        <v>373</v>
      </c>
      <c r="M186" s="122">
        <v>339</v>
      </c>
      <c r="N186" s="122">
        <v>967</v>
      </c>
      <c r="O186" s="122">
        <v>358</v>
      </c>
      <c r="P186" s="122">
        <v>621</v>
      </c>
      <c r="Q186" s="122">
        <v>230</v>
      </c>
      <c r="R186" s="122">
        <v>4244</v>
      </c>
      <c r="S186" s="122">
        <v>3858</v>
      </c>
      <c r="T186" s="122">
        <v>0</v>
      </c>
      <c r="U186" s="122">
        <v>0</v>
      </c>
      <c r="V186" s="122">
        <v>8776</v>
      </c>
      <c r="W186" s="122">
        <f t="shared" si="4"/>
        <v>8776</v>
      </c>
      <c r="X186" s="122">
        <f t="shared" si="5"/>
        <v>10595</v>
      </c>
      <c r="Y186" s="122"/>
      <c r="AA186" t="s">
        <v>52</v>
      </c>
      <c r="AB186" t="s">
        <v>137</v>
      </c>
      <c r="AC186" t="s">
        <v>431</v>
      </c>
      <c r="AD186" t="s">
        <v>137</v>
      </c>
      <c r="AE186" t="s">
        <v>566</v>
      </c>
      <c r="AF186">
        <v>9</v>
      </c>
      <c r="AG186">
        <v>627</v>
      </c>
      <c r="AH186" s="122">
        <v>1057</v>
      </c>
      <c r="AI186" s="122">
        <v>22505</v>
      </c>
      <c r="AJ186" s="122">
        <v>8335</v>
      </c>
      <c r="AK186">
        <v>355</v>
      </c>
      <c r="AL186" s="122">
        <v>10864</v>
      </c>
      <c r="AM186" s="122">
        <v>9876</v>
      </c>
      <c r="AN186" s="122">
        <v>10881</v>
      </c>
      <c r="AO186" s="122">
        <v>4030</v>
      </c>
      <c r="AP186" s="122">
        <v>5543</v>
      </c>
      <c r="AQ186" s="122">
        <v>2053</v>
      </c>
      <c r="AR186" s="122">
        <v>23757</v>
      </c>
      <c r="AS186" s="122">
        <v>8799</v>
      </c>
      <c r="AT186">
        <v>0</v>
      </c>
      <c r="AU186">
        <v>0</v>
      </c>
      <c r="AV186" s="122">
        <v>33093</v>
      </c>
    </row>
    <row r="187" spans="2:48" ht="12.75" hidden="1" customHeight="1">
      <c r="B187" t="s">
        <v>364</v>
      </c>
      <c r="C187" t="s">
        <v>56</v>
      </c>
      <c r="F187" s="122">
        <v>3</v>
      </c>
      <c r="G187" s="122">
        <v>226</v>
      </c>
      <c r="H187" s="122">
        <v>648</v>
      </c>
      <c r="I187" s="122"/>
      <c r="J187" s="122">
        <v>0</v>
      </c>
      <c r="K187" s="122"/>
      <c r="L187" s="122"/>
      <c r="M187" s="122">
        <v>0</v>
      </c>
      <c r="N187" s="122">
        <v>4557</v>
      </c>
      <c r="O187" s="122">
        <v>1688</v>
      </c>
      <c r="P187" s="122">
        <v>351</v>
      </c>
      <c r="Q187" s="122">
        <v>130</v>
      </c>
      <c r="R187" s="122"/>
      <c r="S187" s="122">
        <v>0</v>
      </c>
      <c r="T187" s="122">
        <v>3004</v>
      </c>
      <c r="U187" s="122">
        <v>1113</v>
      </c>
      <c r="V187" s="122">
        <v>2930</v>
      </c>
      <c r="W187" s="122">
        <f t="shared" si="4"/>
        <v>2931</v>
      </c>
      <c r="X187" s="122">
        <f t="shared" si="5"/>
        <v>7912</v>
      </c>
      <c r="Y187" s="122"/>
      <c r="AA187" t="s">
        <v>52</v>
      </c>
      <c r="AB187" t="s">
        <v>137</v>
      </c>
      <c r="AC187" t="s">
        <v>426</v>
      </c>
      <c r="AD187" t="s">
        <v>137</v>
      </c>
      <c r="AE187" t="s">
        <v>137</v>
      </c>
      <c r="AF187">
        <v>12</v>
      </c>
      <c r="AG187" s="122">
        <v>1161</v>
      </c>
      <c r="AH187" s="122">
        <v>1308</v>
      </c>
      <c r="AI187" s="122">
        <v>48288</v>
      </c>
      <c r="AJ187" s="122">
        <v>17885</v>
      </c>
      <c r="AK187">
        <v>388</v>
      </c>
      <c r="AL187" s="122">
        <v>14298</v>
      </c>
      <c r="AM187" s="122">
        <v>12998</v>
      </c>
      <c r="AN187" s="122">
        <v>21519</v>
      </c>
      <c r="AO187" s="122">
        <v>7970</v>
      </c>
      <c r="AP187" s="122">
        <v>5893</v>
      </c>
      <c r="AQ187" s="122">
        <v>2183</v>
      </c>
      <c r="AR187" s="122">
        <v>38288</v>
      </c>
      <c r="AS187" s="122">
        <v>14181</v>
      </c>
      <c r="AT187" s="122">
        <v>2673</v>
      </c>
      <c r="AU187">
        <v>990</v>
      </c>
      <c r="AV187" s="122">
        <v>56206</v>
      </c>
    </row>
    <row r="188" spans="2:48" ht="12.75" hidden="1" customHeight="1">
      <c r="B188" t="s">
        <v>364</v>
      </c>
      <c r="C188" t="s">
        <v>56</v>
      </c>
      <c r="D188" t="s">
        <v>425</v>
      </c>
      <c r="E188" t="s">
        <v>425</v>
      </c>
      <c r="F188">
        <v>3</v>
      </c>
      <c r="G188" s="122">
        <v>315</v>
      </c>
      <c r="H188" s="122">
        <v>518</v>
      </c>
      <c r="I188" s="122">
        <v>23119</v>
      </c>
      <c r="J188" s="122">
        <v>21017</v>
      </c>
      <c r="K188" s="122">
        <v>90</v>
      </c>
      <c r="L188" s="122">
        <v>8272</v>
      </c>
      <c r="M188" s="122">
        <v>7520</v>
      </c>
      <c r="N188" s="122">
        <v>5550</v>
      </c>
      <c r="O188" s="122">
        <v>2055</v>
      </c>
      <c r="P188" s="122">
        <v>1769</v>
      </c>
      <c r="Q188" s="122">
        <v>655</v>
      </c>
      <c r="R188" s="122">
        <v>12728</v>
      </c>
      <c r="S188" s="122">
        <v>11571</v>
      </c>
      <c r="T188" s="122">
        <v>2650</v>
      </c>
      <c r="U188" s="122">
        <v>982</v>
      </c>
      <c r="V188" s="122">
        <v>43799</v>
      </c>
      <c r="W188" s="122">
        <f t="shared" si="4"/>
        <v>43800</v>
      </c>
      <c r="X188" s="122">
        <f t="shared" si="5"/>
        <v>54088</v>
      </c>
      <c r="Y188" s="122"/>
      <c r="AA188" t="s">
        <v>52</v>
      </c>
      <c r="AB188" t="s">
        <v>137</v>
      </c>
      <c r="AC188" t="s">
        <v>426</v>
      </c>
      <c r="AD188" t="s">
        <v>137</v>
      </c>
      <c r="AE188" t="s">
        <v>566</v>
      </c>
      <c r="AF188">
        <v>201</v>
      </c>
      <c r="AG188" s="122">
        <v>18866</v>
      </c>
      <c r="AH188" s="122">
        <v>22625</v>
      </c>
      <c r="AI188" s="122">
        <v>768662</v>
      </c>
      <c r="AJ188" s="122">
        <v>284690</v>
      </c>
      <c r="AK188">
        <v>331</v>
      </c>
      <c r="AL188" s="122">
        <v>199962</v>
      </c>
      <c r="AM188" s="122">
        <v>181784</v>
      </c>
      <c r="AN188" s="122">
        <v>328673</v>
      </c>
      <c r="AO188" s="122">
        <v>121731</v>
      </c>
      <c r="AP188" s="122">
        <v>87702</v>
      </c>
      <c r="AQ188" s="122">
        <v>32482</v>
      </c>
      <c r="AR188" s="122">
        <v>748958</v>
      </c>
      <c r="AS188" s="122">
        <v>277392</v>
      </c>
      <c r="AT188">
        <v>0</v>
      </c>
      <c r="AU188">
        <v>0</v>
      </c>
      <c r="AV188" s="122">
        <v>898078</v>
      </c>
    </row>
    <row r="189" spans="2:48" ht="12.75" hidden="1" customHeight="1">
      <c r="B189" t="s">
        <v>364</v>
      </c>
      <c r="C189" t="s">
        <v>56</v>
      </c>
      <c r="D189" t="s">
        <v>425</v>
      </c>
      <c r="E189" t="s">
        <v>406</v>
      </c>
      <c r="F189">
        <v>2</v>
      </c>
      <c r="G189">
        <v>242</v>
      </c>
      <c r="H189" s="122">
        <v>331</v>
      </c>
      <c r="I189" s="122">
        <v>18811</v>
      </c>
      <c r="J189" s="122">
        <v>17101</v>
      </c>
      <c r="K189">
        <v>86</v>
      </c>
      <c r="L189" s="122">
        <v>3922</v>
      </c>
      <c r="M189" s="122">
        <v>3566</v>
      </c>
      <c r="N189" s="122">
        <v>4678</v>
      </c>
      <c r="O189" s="122">
        <v>1732</v>
      </c>
      <c r="P189" s="122">
        <v>1242</v>
      </c>
      <c r="Q189" s="122">
        <v>460</v>
      </c>
      <c r="R189" s="122">
        <v>8401</v>
      </c>
      <c r="S189" s="122">
        <v>7637</v>
      </c>
      <c r="T189" s="122">
        <v>3091</v>
      </c>
      <c r="U189" s="122">
        <v>1145</v>
      </c>
      <c r="V189" s="122">
        <v>31641</v>
      </c>
      <c r="W189" s="122">
        <f t="shared" si="4"/>
        <v>31641</v>
      </c>
      <c r="X189" s="122">
        <f t="shared" si="5"/>
        <v>40145</v>
      </c>
      <c r="Y189" s="122"/>
      <c r="AA189" t="s">
        <v>52</v>
      </c>
      <c r="AB189" t="s">
        <v>137</v>
      </c>
      <c r="AC189" t="s">
        <v>426</v>
      </c>
      <c r="AD189" t="s">
        <v>426</v>
      </c>
      <c r="AE189" t="s">
        <v>566</v>
      </c>
      <c r="AF189">
        <v>1</v>
      </c>
      <c r="AG189">
        <v>87</v>
      </c>
      <c r="AH189">
        <v>115</v>
      </c>
      <c r="AI189" s="122">
        <v>5756</v>
      </c>
      <c r="AJ189" s="122">
        <v>2132</v>
      </c>
      <c r="AK189">
        <v>258</v>
      </c>
      <c r="AL189" s="122">
        <v>1121</v>
      </c>
      <c r="AM189" s="122">
        <v>1019</v>
      </c>
      <c r="AN189" s="122">
        <v>1586</v>
      </c>
      <c r="AO189">
        <v>587</v>
      </c>
      <c r="AP189">
        <v>351</v>
      </c>
      <c r="AQ189">
        <v>130</v>
      </c>
      <c r="AR189" s="122">
        <v>1158</v>
      </c>
      <c r="AS189" s="122">
        <v>1053</v>
      </c>
      <c r="AT189">
        <v>0</v>
      </c>
      <c r="AU189">
        <v>0</v>
      </c>
      <c r="AV189" s="122">
        <v>4921</v>
      </c>
    </row>
    <row r="190" spans="2:48" ht="12.75" hidden="1" customHeight="1">
      <c r="B190" t="s">
        <v>364</v>
      </c>
      <c r="C190" t="s">
        <v>56</v>
      </c>
      <c r="D190" t="s">
        <v>405</v>
      </c>
      <c r="E190" t="s">
        <v>425</v>
      </c>
      <c r="F190" s="122">
        <v>1</v>
      </c>
      <c r="G190" s="122">
        <v>98</v>
      </c>
      <c r="H190" s="122">
        <v>164</v>
      </c>
      <c r="I190" s="122">
        <v>8749</v>
      </c>
      <c r="J190" s="122">
        <v>7954</v>
      </c>
      <c r="K190" s="122">
        <v>92</v>
      </c>
      <c r="L190" s="122">
        <v>1136</v>
      </c>
      <c r="M190" s="122">
        <v>1033</v>
      </c>
      <c r="N190" s="122">
        <v>1793</v>
      </c>
      <c r="O190" s="122">
        <v>664</v>
      </c>
      <c r="P190" s="122">
        <v>473</v>
      </c>
      <c r="Q190" s="122">
        <v>175</v>
      </c>
      <c r="R190" s="122">
        <v>3891</v>
      </c>
      <c r="S190" s="122">
        <v>3537</v>
      </c>
      <c r="T190" s="122">
        <v>0</v>
      </c>
      <c r="U190" s="122">
        <v>0</v>
      </c>
      <c r="V190" s="122">
        <v>13363</v>
      </c>
      <c r="W190" s="122">
        <f t="shared" si="4"/>
        <v>13363</v>
      </c>
      <c r="X190" s="122">
        <f t="shared" si="5"/>
        <v>16042</v>
      </c>
      <c r="Y190" s="122"/>
      <c r="AA190" t="s">
        <v>52</v>
      </c>
      <c r="AB190" t="s">
        <v>137</v>
      </c>
      <c r="AC190" t="s">
        <v>566</v>
      </c>
      <c r="AD190" t="s">
        <v>137</v>
      </c>
      <c r="AE190" t="s">
        <v>137</v>
      </c>
      <c r="AF190">
        <v>3</v>
      </c>
      <c r="AG190">
        <v>186</v>
      </c>
      <c r="AH190">
        <v>361</v>
      </c>
      <c r="AI190" s="122">
        <v>9476</v>
      </c>
      <c r="AJ190" s="122">
        <v>3510</v>
      </c>
      <c r="AK190">
        <v>250</v>
      </c>
      <c r="AL190">
        <v>0</v>
      </c>
      <c r="AM190">
        <v>0</v>
      </c>
      <c r="AN190" s="122">
        <v>2769</v>
      </c>
      <c r="AO190" s="122">
        <v>1025</v>
      </c>
      <c r="AP190">
        <v>0</v>
      </c>
      <c r="AQ190">
        <v>0</v>
      </c>
      <c r="AR190" s="122">
        <v>4526</v>
      </c>
      <c r="AS190" s="122">
        <v>1676</v>
      </c>
      <c r="AT190" s="122">
        <v>5572</v>
      </c>
      <c r="AU190" s="122">
        <v>2064</v>
      </c>
      <c r="AV190" s="122">
        <v>8275</v>
      </c>
    </row>
    <row r="191" spans="2:48" ht="12.75" hidden="1" customHeight="1">
      <c r="B191" t="s">
        <v>364</v>
      </c>
      <c r="C191" t="s">
        <v>56</v>
      </c>
      <c r="D191" t="s">
        <v>405</v>
      </c>
      <c r="E191" t="s">
        <v>405</v>
      </c>
      <c r="F191" s="122">
        <v>87</v>
      </c>
      <c r="G191" s="122">
        <v>10114</v>
      </c>
      <c r="H191" s="122">
        <v>15926</v>
      </c>
      <c r="I191" s="122">
        <v>944722</v>
      </c>
      <c r="J191" s="122">
        <v>858838</v>
      </c>
      <c r="K191" s="122">
        <v>82</v>
      </c>
      <c r="L191" s="122">
        <v>194724</v>
      </c>
      <c r="M191" s="122">
        <v>155733</v>
      </c>
      <c r="N191" s="122">
        <v>229076</v>
      </c>
      <c r="O191" s="122">
        <v>84843</v>
      </c>
      <c r="P191" s="122">
        <v>52626</v>
      </c>
      <c r="Q191" s="122">
        <v>19491</v>
      </c>
      <c r="R191" s="122">
        <v>439107</v>
      </c>
      <c r="S191" s="122">
        <v>399189</v>
      </c>
      <c r="T191" s="122">
        <v>86126</v>
      </c>
      <c r="U191" s="122">
        <v>31899</v>
      </c>
      <c r="V191" s="122">
        <v>1549992</v>
      </c>
      <c r="W191" s="122">
        <f t="shared" si="4"/>
        <v>1549993</v>
      </c>
      <c r="X191" s="122">
        <f t="shared" si="5"/>
        <v>1946381</v>
      </c>
      <c r="Y191" s="122"/>
      <c r="AA191" t="s">
        <v>52</v>
      </c>
      <c r="AB191" t="s">
        <v>137</v>
      </c>
      <c r="AC191" t="s">
        <v>566</v>
      </c>
      <c r="AD191" t="s">
        <v>137</v>
      </c>
      <c r="AE191" t="s">
        <v>566</v>
      </c>
      <c r="AF191">
        <v>45</v>
      </c>
      <c r="AG191" s="122">
        <v>3971</v>
      </c>
      <c r="AH191" s="122">
        <v>5212</v>
      </c>
      <c r="AI191" s="122">
        <v>165905</v>
      </c>
      <c r="AJ191" s="122">
        <v>61446</v>
      </c>
      <c r="AK191">
        <v>325</v>
      </c>
      <c r="AL191">
        <v>0</v>
      </c>
      <c r="AM191">
        <v>0</v>
      </c>
      <c r="AN191" s="122">
        <v>63524</v>
      </c>
      <c r="AO191" s="122">
        <v>23527</v>
      </c>
      <c r="AP191" s="122">
        <v>27277</v>
      </c>
      <c r="AQ191" s="122">
        <v>10103</v>
      </c>
      <c r="AR191" s="122">
        <v>213954</v>
      </c>
      <c r="AS191" s="122">
        <v>79242</v>
      </c>
      <c r="AT191">
        <v>0</v>
      </c>
      <c r="AU191">
        <v>0</v>
      </c>
      <c r="AV191" s="122">
        <v>174318</v>
      </c>
    </row>
    <row r="192" spans="2:48" ht="12.75" hidden="1" customHeight="1">
      <c r="B192" t="s">
        <v>364</v>
      </c>
      <c r="C192" t="s">
        <v>56</v>
      </c>
      <c r="D192" t="s">
        <v>405</v>
      </c>
      <c r="E192" t="s">
        <v>406</v>
      </c>
      <c r="F192" s="122">
        <v>1</v>
      </c>
      <c r="G192" s="122">
        <v>228</v>
      </c>
      <c r="H192" s="122">
        <v>208</v>
      </c>
      <c r="I192" s="122">
        <v>26221</v>
      </c>
      <c r="J192" s="122">
        <v>23837</v>
      </c>
      <c r="K192" s="122">
        <v>73</v>
      </c>
      <c r="L192" s="122">
        <v>4963</v>
      </c>
      <c r="M192" s="122">
        <v>1838</v>
      </c>
      <c r="N192" s="122">
        <v>5560</v>
      </c>
      <c r="O192" s="122">
        <v>2059</v>
      </c>
      <c r="P192" s="122">
        <v>473</v>
      </c>
      <c r="Q192" s="122">
        <v>175</v>
      </c>
      <c r="R192" s="122">
        <v>6109</v>
      </c>
      <c r="S192" s="122">
        <v>5554</v>
      </c>
      <c r="T192" s="122">
        <v>4035</v>
      </c>
      <c r="U192" s="122">
        <v>1494</v>
      </c>
      <c r="V192" s="122">
        <v>34958</v>
      </c>
      <c r="W192" s="122">
        <f t="shared" si="4"/>
        <v>34957</v>
      </c>
      <c r="X192" s="122">
        <f t="shared" si="5"/>
        <v>47361</v>
      </c>
      <c r="Y192" s="122"/>
      <c r="AA192" t="s">
        <v>52</v>
      </c>
      <c r="AB192" t="s">
        <v>137</v>
      </c>
      <c r="AC192" t="s">
        <v>566</v>
      </c>
      <c r="AD192" t="s">
        <v>407</v>
      </c>
      <c r="AE192" t="s">
        <v>566</v>
      </c>
      <c r="AF192">
        <v>1</v>
      </c>
      <c r="AG192">
        <v>118</v>
      </c>
      <c r="AH192">
        <v>109</v>
      </c>
      <c r="AI192" s="122">
        <v>7426</v>
      </c>
      <c r="AJ192" s="122">
        <v>2750</v>
      </c>
      <c r="AK192">
        <v>296</v>
      </c>
      <c r="AL192">
        <v>0</v>
      </c>
      <c r="AM192">
        <v>0</v>
      </c>
      <c r="AN192" s="122">
        <v>2113</v>
      </c>
      <c r="AO192">
        <v>783</v>
      </c>
      <c r="AP192">
        <v>351</v>
      </c>
      <c r="AQ192">
        <v>130</v>
      </c>
      <c r="AR192" s="122">
        <v>2992</v>
      </c>
      <c r="AS192" s="122">
        <v>2720</v>
      </c>
      <c r="AT192">
        <v>0</v>
      </c>
      <c r="AU192">
        <v>0</v>
      </c>
      <c r="AV192" s="122">
        <v>6383</v>
      </c>
    </row>
    <row r="193" spans="2:48" ht="12.75" hidden="1" customHeight="1">
      <c r="B193" t="s">
        <v>364</v>
      </c>
      <c r="C193" t="s">
        <v>56</v>
      </c>
      <c r="D193" t="s">
        <v>137</v>
      </c>
      <c r="E193" t="s">
        <v>137</v>
      </c>
      <c r="F193">
        <v>131</v>
      </c>
      <c r="G193" s="122">
        <v>13926</v>
      </c>
      <c r="H193" s="122">
        <v>26516</v>
      </c>
      <c r="I193" s="122">
        <v>1298646</v>
      </c>
      <c r="J193" s="122">
        <v>480980</v>
      </c>
      <c r="K193" s="122">
        <v>122</v>
      </c>
      <c r="L193" s="122">
        <v>283146</v>
      </c>
      <c r="M193" s="122">
        <v>140477</v>
      </c>
      <c r="N193" s="122">
        <v>271466</v>
      </c>
      <c r="O193" s="122">
        <v>100543</v>
      </c>
      <c r="P193" s="122">
        <v>7897</v>
      </c>
      <c r="Q193" s="122">
        <v>2925</v>
      </c>
      <c r="R193" s="122">
        <v>978173</v>
      </c>
      <c r="S193" s="122">
        <v>362286</v>
      </c>
      <c r="T193" s="122">
        <v>0</v>
      </c>
      <c r="U193" s="122">
        <v>0</v>
      </c>
      <c r="V193" s="122">
        <v>1087211</v>
      </c>
      <c r="W193" s="122">
        <f t="shared" si="4"/>
        <v>1087211</v>
      </c>
      <c r="X193" s="122">
        <f t="shared" si="5"/>
        <v>2839328</v>
      </c>
      <c r="Y193" s="122"/>
      <c r="AA193" t="s">
        <v>52</v>
      </c>
      <c r="AB193" t="s">
        <v>137</v>
      </c>
      <c r="AC193" t="s">
        <v>433</v>
      </c>
      <c r="AD193" t="s">
        <v>137</v>
      </c>
      <c r="AE193" t="s">
        <v>137</v>
      </c>
      <c r="AF193">
        <v>1</v>
      </c>
      <c r="AG193">
        <v>79</v>
      </c>
      <c r="AH193">
        <v>109</v>
      </c>
      <c r="AI193">
        <v>786</v>
      </c>
      <c r="AJ193">
        <v>291</v>
      </c>
      <c r="AK193">
        <v>375</v>
      </c>
      <c r="AL193">
        <v>199</v>
      </c>
      <c r="AM193">
        <v>181</v>
      </c>
      <c r="AN193" s="122">
        <v>1709</v>
      </c>
      <c r="AO193">
        <v>633</v>
      </c>
      <c r="AP193">
        <v>351</v>
      </c>
      <c r="AQ193">
        <v>130</v>
      </c>
      <c r="AR193" s="122">
        <v>5515</v>
      </c>
      <c r="AS193" s="122">
        <v>2042</v>
      </c>
      <c r="AT193">
        <v>0</v>
      </c>
      <c r="AU193">
        <v>0</v>
      </c>
      <c r="AV193" s="122">
        <v>3277</v>
      </c>
    </row>
    <row r="194" spans="2:48" ht="12.75" hidden="1" customHeight="1">
      <c r="B194" t="s">
        <v>364</v>
      </c>
      <c r="C194" t="s">
        <v>56</v>
      </c>
      <c r="D194" t="s">
        <v>406</v>
      </c>
      <c r="E194" s="122" t="s">
        <v>555</v>
      </c>
      <c r="F194" s="122">
        <v>1</v>
      </c>
      <c r="G194" s="122">
        <v>87</v>
      </c>
      <c r="H194" s="122">
        <v>197</v>
      </c>
      <c r="I194" s="122">
        <v>6930</v>
      </c>
      <c r="J194" s="122">
        <v>6300</v>
      </c>
      <c r="K194" s="122">
        <v>85</v>
      </c>
      <c r="L194" s="122">
        <v>2079</v>
      </c>
      <c r="M194" s="122">
        <v>1890</v>
      </c>
      <c r="N194" s="122">
        <v>1533</v>
      </c>
      <c r="O194" s="122">
        <v>568</v>
      </c>
      <c r="P194" s="122">
        <v>621</v>
      </c>
      <c r="Q194" s="122">
        <v>230</v>
      </c>
      <c r="R194" s="122">
        <v>3549</v>
      </c>
      <c r="S194" s="122">
        <v>3227</v>
      </c>
      <c r="T194" s="122">
        <v>2390</v>
      </c>
      <c r="U194" s="122">
        <v>885</v>
      </c>
      <c r="V194" s="122">
        <v>13099</v>
      </c>
      <c r="W194" s="122">
        <f t="shared" si="4"/>
        <v>13100</v>
      </c>
      <c r="X194" s="122">
        <f t="shared" si="5"/>
        <v>17102</v>
      </c>
      <c r="Y194" s="122"/>
      <c r="AA194" t="s">
        <v>52</v>
      </c>
      <c r="AB194" t="s">
        <v>137</v>
      </c>
      <c r="AC194" t="s">
        <v>433</v>
      </c>
      <c r="AD194" t="s">
        <v>137</v>
      </c>
      <c r="AE194" t="s">
        <v>566</v>
      </c>
      <c r="AF194">
        <v>62</v>
      </c>
      <c r="AG194" s="122">
        <v>5222</v>
      </c>
      <c r="AH194" s="122">
        <v>6727</v>
      </c>
      <c r="AI194" s="122">
        <v>157895</v>
      </c>
      <c r="AJ194" s="122">
        <v>58480</v>
      </c>
      <c r="AK194">
        <v>371</v>
      </c>
      <c r="AL194" s="122">
        <v>37604</v>
      </c>
      <c r="AM194" s="122">
        <v>34186</v>
      </c>
      <c r="AN194" s="122">
        <v>102686</v>
      </c>
      <c r="AO194" s="122">
        <v>38032</v>
      </c>
      <c r="AP194" s="122">
        <v>27715</v>
      </c>
      <c r="AQ194" s="122">
        <v>10265</v>
      </c>
      <c r="AR194" s="122">
        <v>240329</v>
      </c>
      <c r="AS194" s="122">
        <v>89011</v>
      </c>
      <c r="AT194">
        <v>0</v>
      </c>
      <c r="AU194">
        <v>0</v>
      </c>
      <c r="AV194" s="122">
        <v>229973</v>
      </c>
    </row>
    <row r="195" spans="2:48" ht="12.75" hidden="1" customHeight="1">
      <c r="B195" t="s">
        <v>364</v>
      </c>
      <c r="C195" t="s">
        <v>56</v>
      </c>
      <c r="D195" t="s">
        <v>406</v>
      </c>
      <c r="E195" t="s">
        <v>425</v>
      </c>
      <c r="F195" s="122">
        <v>2</v>
      </c>
      <c r="G195" s="122">
        <v>165</v>
      </c>
      <c r="H195" s="122">
        <v>403</v>
      </c>
      <c r="I195" s="122">
        <v>15271</v>
      </c>
      <c r="J195" s="122">
        <v>13883</v>
      </c>
      <c r="K195" s="122">
        <v>89</v>
      </c>
      <c r="L195" s="122">
        <v>3837</v>
      </c>
      <c r="M195" s="122">
        <v>3488</v>
      </c>
      <c r="N195" s="122">
        <v>2010</v>
      </c>
      <c r="O195" s="122">
        <v>745</v>
      </c>
      <c r="P195" s="122">
        <v>1242</v>
      </c>
      <c r="Q195" s="122">
        <v>460</v>
      </c>
      <c r="R195" s="122">
        <v>6812</v>
      </c>
      <c r="S195" s="122">
        <v>6193</v>
      </c>
      <c r="T195" s="122">
        <v>3094</v>
      </c>
      <c r="U195" s="122">
        <v>1146</v>
      </c>
      <c r="V195" s="122">
        <v>25915</v>
      </c>
      <c r="W195" s="122">
        <f t="shared" si="4"/>
        <v>25915</v>
      </c>
      <c r="X195" s="122">
        <f t="shared" si="5"/>
        <v>32266</v>
      </c>
      <c r="Y195" s="122"/>
      <c r="AA195" t="s">
        <v>52</v>
      </c>
      <c r="AB195" t="s">
        <v>137</v>
      </c>
      <c r="AC195" t="s">
        <v>429</v>
      </c>
      <c r="AD195" t="s">
        <v>137</v>
      </c>
      <c r="AE195" t="s">
        <v>137</v>
      </c>
      <c r="AF195">
        <v>1</v>
      </c>
      <c r="AG195">
        <v>132</v>
      </c>
      <c r="AH195">
        <v>115</v>
      </c>
      <c r="AI195" s="122">
        <v>6025</v>
      </c>
      <c r="AJ195" s="122">
        <v>2231</v>
      </c>
      <c r="AK195">
        <v>250</v>
      </c>
      <c r="AL195" s="122">
        <v>1049</v>
      </c>
      <c r="AM195">
        <v>954</v>
      </c>
      <c r="AN195" s="122">
        <v>1609</v>
      </c>
      <c r="AO195">
        <v>596</v>
      </c>
      <c r="AP195" s="122">
        <v>1575</v>
      </c>
      <c r="AQ195">
        <v>583</v>
      </c>
      <c r="AR195" s="122">
        <v>4879</v>
      </c>
      <c r="AS195" s="122">
        <v>1807</v>
      </c>
      <c r="AT195">
        <v>0</v>
      </c>
      <c r="AU195">
        <v>0</v>
      </c>
      <c r="AV195" s="122">
        <v>6171</v>
      </c>
    </row>
    <row r="196" spans="2:48" ht="12.75" hidden="1" customHeight="1">
      <c r="B196" t="s">
        <v>364</v>
      </c>
      <c r="C196" t="s">
        <v>56</v>
      </c>
      <c r="D196" t="s">
        <v>406</v>
      </c>
      <c r="E196" t="s">
        <v>137</v>
      </c>
      <c r="F196">
        <v>6</v>
      </c>
      <c r="G196" s="122">
        <v>887</v>
      </c>
      <c r="H196" s="122">
        <v>1130</v>
      </c>
      <c r="I196" s="122">
        <v>79307</v>
      </c>
      <c r="J196" s="122">
        <v>72097</v>
      </c>
      <c r="K196" s="122">
        <v>87</v>
      </c>
      <c r="L196" s="122">
        <v>16054</v>
      </c>
      <c r="M196" s="122">
        <v>14496</v>
      </c>
      <c r="N196" s="122">
        <v>17823</v>
      </c>
      <c r="O196" s="122">
        <v>6601</v>
      </c>
      <c r="P196" s="122">
        <v>3024</v>
      </c>
      <c r="Q196" s="122">
        <v>1120</v>
      </c>
      <c r="R196" s="122">
        <v>48762</v>
      </c>
      <c r="S196" s="122">
        <v>18060</v>
      </c>
      <c r="T196" s="122">
        <v>0</v>
      </c>
      <c r="U196" s="122">
        <v>0</v>
      </c>
      <c r="V196" s="122">
        <v>112374</v>
      </c>
      <c r="W196" s="122">
        <f t="shared" si="4"/>
        <v>112374</v>
      </c>
      <c r="X196" s="122">
        <f t="shared" si="5"/>
        <v>164970</v>
      </c>
      <c r="Y196" s="122"/>
      <c r="AA196" t="s">
        <v>52</v>
      </c>
      <c r="AB196" t="s">
        <v>137</v>
      </c>
      <c r="AC196" t="s">
        <v>429</v>
      </c>
      <c r="AD196" t="s">
        <v>137</v>
      </c>
      <c r="AE196" t="s">
        <v>566</v>
      </c>
      <c r="AF196">
        <v>5</v>
      </c>
      <c r="AG196">
        <v>598</v>
      </c>
      <c r="AH196">
        <v>575</v>
      </c>
      <c r="AI196" s="122">
        <v>23493</v>
      </c>
      <c r="AJ196" s="122">
        <v>8701</v>
      </c>
      <c r="AK196">
        <v>312</v>
      </c>
      <c r="AL196" s="122">
        <v>3728</v>
      </c>
      <c r="AM196" s="122">
        <v>3389</v>
      </c>
      <c r="AN196" s="122">
        <v>11483</v>
      </c>
      <c r="AO196" s="122">
        <v>4253</v>
      </c>
      <c r="AP196" s="122">
        <v>5339</v>
      </c>
      <c r="AQ196" s="122">
        <v>1977</v>
      </c>
      <c r="AR196" s="122">
        <v>24880</v>
      </c>
      <c r="AS196" s="122">
        <v>9215</v>
      </c>
      <c r="AT196">
        <v>0</v>
      </c>
      <c r="AU196">
        <v>0</v>
      </c>
      <c r="AV196" s="122">
        <v>27535</v>
      </c>
    </row>
    <row r="197" spans="2:48" ht="12.75" hidden="1" customHeight="1">
      <c r="B197" t="s">
        <v>364</v>
      </c>
      <c r="C197" t="s">
        <v>56</v>
      </c>
      <c r="D197" t="s">
        <v>406</v>
      </c>
      <c r="E197" t="s">
        <v>406</v>
      </c>
      <c r="F197" s="122">
        <v>2121</v>
      </c>
      <c r="G197" s="122">
        <v>219752</v>
      </c>
      <c r="H197" s="122">
        <v>415940</v>
      </c>
      <c r="I197" s="122">
        <v>21163101</v>
      </c>
      <c r="J197" s="122">
        <v>19239183</v>
      </c>
      <c r="K197" s="122">
        <v>85</v>
      </c>
      <c r="L197" s="122">
        <v>4888533</v>
      </c>
      <c r="M197" s="122">
        <v>4276092</v>
      </c>
      <c r="N197" s="122">
        <v>4263855</v>
      </c>
      <c r="O197" s="122">
        <v>1579205</v>
      </c>
      <c r="P197" s="122">
        <v>1359761</v>
      </c>
      <c r="Q197" s="122">
        <v>503615</v>
      </c>
      <c r="R197" s="122">
        <v>9007939</v>
      </c>
      <c r="S197" s="122">
        <v>8189035</v>
      </c>
      <c r="T197" s="122">
        <v>3051446</v>
      </c>
      <c r="U197" s="122">
        <v>1130165</v>
      </c>
      <c r="V197" s="122">
        <v>34917295</v>
      </c>
      <c r="W197" s="122">
        <f t="shared" si="4"/>
        <v>34917295</v>
      </c>
      <c r="X197" s="122">
        <f t="shared" si="5"/>
        <v>43734635</v>
      </c>
      <c r="Y197" s="122"/>
      <c r="AA197" t="s">
        <v>52</v>
      </c>
      <c r="AB197" t="s">
        <v>406</v>
      </c>
      <c r="AC197" t="s">
        <v>425</v>
      </c>
      <c r="AD197" t="s">
        <v>406</v>
      </c>
      <c r="AE197" t="s">
        <v>137</v>
      </c>
      <c r="AF197">
        <v>1</v>
      </c>
      <c r="AG197">
        <v>132</v>
      </c>
      <c r="AH197">
        <v>117</v>
      </c>
      <c r="AI197" s="122">
        <v>5279</v>
      </c>
      <c r="AJ197" s="122">
        <v>4799</v>
      </c>
      <c r="AK197">
        <v>79</v>
      </c>
      <c r="AL197" s="122">
        <v>1159</v>
      </c>
      <c r="AM197" s="122">
        <v>1053</v>
      </c>
      <c r="AN197" s="122">
        <v>2852</v>
      </c>
      <c r="AO197" s="122">
        <v>1056</v>
      </c>
      <c r="AP197">
        <v>621</v>
      </c>
      <c r="AQ197">
        <v>230</v>
      </c>
      <c r="AR197" s="122">
        <v>5451</v>
      </c>
      <c r="AS197" s="122">
        <v>4956</v>
      </c>
      <c r="AT197">
        <v>0</v>
      </c>
      <c r="AU197">
        <v>0</v>
      </c>
      <c r="AV197" s="122">
        <v>12095</v>
      </c>
    </row>
    <row r="198" spans="2:48" ht="12.75" hidden="1" customHeight="1">
      <c r="B198" t="s">
        <v>364</v>
      </c>
      <c r="C198" t="s">
        <v>56</v>
      </c>
      <c r="D198" t="s">
        <v>406</v>
      </c>
      <c r="E198" t="s">
        <v>427</v>
      </c>
      <c r="F198" s="122">
        <v>1</v>
      </c>
      <c r="G198" s="122">
        <v>90</v>
      </c>
      <c r="H198" s="122">
        <v>175</v>
      </c>
      <c r="I198" s="122">
        <v>5289</v>
      </c>
      <c r="J198" s="122">
        <v>4808</v>
      </c>
      <c r="K198" s="122">
        <v>86</v>
      </c>
      <c r="L198" s="122">
        <v>1593</v>
      </c>
      <c r="M198" s="122">
        <v>1448</v>
      </c>
      <c r="N198" s="122">
        <v>2184</v>
      </c>
      <c r="O198" s="122">
        <v>809</v>
      </c>
      <c r="P198" s="122">
        <v>621</v>
      </c>
      <c r="Q198" s="122">
        <v>230</v>
      </c>
      <c r="R198" s="122">
        <v>3575</v>
      </c>
      <c r="S198" s="122">
        <v>3250</v>
      </c>
      <c r="T198" s="122">
        <v>2428</v>
      </c>
      <c r="U198" s="122">
        <v>899</v>
      </c>
      <c r="V198" s="122">
        <v>11444</v>
      </c>
      <c r="W198" s="122">
        <f t="shared" si="4"/>
        <v>11444</v>
      </c>
      <c r="X198" s="122">
        <f t="shared" si="5"/>
        <v>15690</v>
      </c>
      <c r="Y198" s="122"/>
      <c r="AA198" t="s">
        <v>52</v>
      </c>
      <c r="AB198" t="s">
        <v>406</v>
      </c>
      <c r="AC198" t="s">
        <v>425</v>
      </c>
      <c r="AD198" t="s">
        <v>406</v>
      </c>
      <c r="AE198" t="s">
        <v>566</v>
      </c>
      <c r="AF198">
        <v>10</v>
      </c>
      <c r="AG198" s="122">
        <v>1508</v>
      </c>
      <c r="AH198" s="122">
        <v>1188</v>
      </c>
      <c r="AI198" s="122">
        <v>86996</v>
      </c>
      <c r="AJ198" s="122">
        <v>79087</v>
      </c>
      <c r="AK198">
        <v>90</v>
      </c>
      <c r="AL198" s="122">
        <v>17009</v>
      </c>
      <c r="AM198" s="122">
        <v>15463</v>
      </c>
      <c r="AN198" s="122">
        <v>24158</v>
      </c>
      <c r="AO198" s="122">
        <v>8947</v>
      </c>
      <c r="AP198" s="122">
        <v>6912</v>
      </c>
      <c r="AQ198" s="122">
        <v>2560</v>
      </c>
      <c r="AR198" s="122">
        <v>44751</v>
      </c>
      <c r="AS198" s="122">
        <v>40682</v>
      </c>
      <c r="AT198">
        <v>0</v>
      </c>
      <c r="AU198">
        <v>0</v>
      </c>
      <c r="AV198" s="122">
        <v>146740</v>
      </c>
    </row>
    <row r="199" spans="2:48" ht="12.75" hidden="1" customHeight="1">
      <c r="B199" t="s">
        <v>364</v>
      </c>
      <c r="C199" t="s">
        <v>56</v>
      </c>
      <c r="D199" t="s">
        <v>406</v>
      </c>
      <c r="E199" t="s">
        <v>407</v>
      </c>
      <c r="F199">
        <v>2</v>
      </c>
      <c r="G199" s="122">
        <v>139</v>
      </c>
      <c r="H199" s="122">
        <v>413</v>
      </c>
      <c r="I199" s="122">
        <v>14751</v>
      </c>
      <c r="J199" s="122">
        <v>13410</v>
      </c>
      <c r="K199">
        <v>95</v>
      </c>
      <c r="L199" s="122">
        <v>1682</v>
      </c>
      <c r="M199" s="122">
        <v>1402</v>
      </c>
      <c r="N199" s="122">
        <v>2777</v>
      </c>
      <c r="O199" s="122">
        <v>1029</v>
      </c>
      <c r="P199" s="122">
        <v>1242</v>
      </c>
      <c r="Q199" s="122">
        <v>460</v>
      </c>
      <c r="R199" s="122">
        <v>6286</v>
      </c>
      <c r="S199" s="122">
        <v>5714</v>
      </c>
      <c r="T199" s="122">
        <v>2169</v>
      </c>
      <c r="U199" s="122">
        <v>803</v>
      </c>
      <c r="V199" s="122">
        <v>22817</v>
      </c>
      <c r="W199" s="122">
        <f t="shared" ref="W199:W262" si="6">SUM(ABS(J199),ABS(M199),ABS(O199),ABS(Q199),ABS(S199),ABS(U199))</f>
        <v>22818</v>
      </c>
      <c r="X199" s="122">
        <f t="shared" ref="X199:X262" si="7">SUM(ABS(I199),ABS(N199),ABS(P199),ABS(R199),ABS(T199),ABS(L199))</f>
        <v>28907</v>
      </c>
      <c r="Y199" s="122"/>
      <c r="AA199" t="s">
        <v>52</v>
      </c>
      <c r="AB199" t="s">
        <v>406</v>
      </c>
      <c r="AC199" t="s">
        <v>405</v>
      </c>
      <c r="AD199" t="s">
        <v>406</v>
      </c>
      <c r="AE199" t="s">
        <v>137</v>
      </c>
      <c r="AF199">
        <v>1</v>
      </c>
      <c r="AG199">
        <v>173</v>
      </c>
      <c r="AH199">
        <v>115</v>
      </c>
      <c r="AI199" s="122">
        <v>7882</v>
      </c>
      <c r="AJ199" s="122">
        <v>7166</v>
      </c>
      <c r="AK199">
        <v>94</v>
      </c>
      <c r="AL199" s="122">
        <v>1374</v>
      </c>
      <c r="AM199" s="122">
        <v>1249</v>
      </c>
      <c r="AN199" s="122">
        <v>3668</v>
      </c>
      <c r="AO199" s="122">
        <v>1358</v>
      </c>
      <c r="AP199">
        <v>621</v>
      </c>
      <c r="AQ199">
        <v>230</v>
      </c>
      <c r="AR199" s="122">
        <v>3150</v>
      </c>
      <c r="AS199" s="122">
        <v>2863</v>
      </c>
      <c r="AT199" s="122">
        <v>3262</v>
      </c>
      <c r="AU199" s="122">
        <v>1208</v>
      </c>
      <c r="AV199" s="122">
        <v>14075</v>
      </c>
    </row>
    <row r="200" spans="2:48" ht="12.75" hidden="1" customHeight="1">
      <c r="B200" t="s">
        <v>364</v>
      </c>
      <c r="C200" t="s">
        <v>56</v>
      </c>
      <c r="D200" t="s">
        <v>406</v>
      </c>
      <c r="E200" t="s">
        <v>556</v>
      </c>
      <c r="F200">
        <v>3</v>
      </c>
      <c r="G200" s="122">
        <v>323</v>
      </c>
      <c r="H200" s="122">
        <v>613</v>
      </c>
      <c r="I200" s="122">
        <v>30776</v>
      </c>
      <c r="J200" s="122">
        <v>27978</v>
      </c>
      <c r="K200" s="122">
        <v>86</v>
      </c>
      <c r="L200" s="122">
        <v>6887</v>
      </c>
      <c r="M200" s="122">
        <v>6025</v>
      </c>
      <c r="N200" s="122">
        <v>6875</v>
      </c>
      <c r="O200" s="122">
        <v>2546</v>
      </c>
      <c r="P200" s="122">
        <v>2214</v>
      </c>
      <c r="Q200" s="122">
        <v>820</v>
      </c>
      <c r="R200" s="122">
        <v>16392</v>
      </c>
      <c r="S200" s="122">
        <v>13660</v>
      </c>
      <c r="T200" s="122">
        <v>2735</v>
      </c>
      <c r="U200" s="122">
        <v>1013</v>
      </c>
      <c r="V200" s="122">
        <v>52043</v>
      </c>
      <c r="W200" s="122">
        <f t="shared" si="6"/>
        <v>52042</v>
      </c>
      <c r="X200" s="122">
        <f t="shared" si="7"/>
        <v>65879</v>
      </c>
      <c r="Y200" s="122"/>
      <c r="AA200" t="s">
        <v>52</v>
      </c>
      <c r="AB200" t="s">
        <v>406</v>
      </c>
      <c r="AC200" t="s">
        <v>405</v>
      </c>
      <c r="AD200" t="s">
        <v>406</v>
      </c>
      <c r="AE200" t="s">
        <v>566</v>
      </c>
      <c r="AF200">
        <v>2</v>
      </c>
      <c r="AG200">
        <v>290</v>
      </c>
      <c r="AH200">
        <v>227</v>
      </c>
      <c r="AI200" s="122">
        <v>14961</v>
      </c>
      <c r="AJ200" s="122">
        <v>13601</v>
      </c>
      <c r="AK200">
        <v>90</v>
      </c>
      <c r="AL200" s="122">
        <v>2022</v>
      </c>
      <c r="AM200" s="122">
        <v>1838</v>
      </c>
      <c r="AN200" s="122">
        <v>3970</v>
      </c>
      <c r="AO200" s="122">
        <v>1470</v>
      </c>
      <c r="AP200" s="122">
        <v>1242</v>
      </c>
      <c r="AQ200">
        <v>460</v>
      </c>
      <c r="AR200" s="122">
        <v>10548</v>
      </c>
      <c r="AS200" s="122">
        <v>9589</v>
      </c>
      <c r="AT200">
        <v>0</v>
      </c>
      <c r="AU200">
        <v>0</v>
      </c>
      <c r="AV200" s="122">
        <v>26959</v>
      </c>
    </row>
    <row r="201" spans="2:48" ht="12.75" hidden="1" customHeight="1">
      <c r="B201" t="s">
        <v>364</v>
      </c>
      <c r="C201" t="s">
        <v>56</v>
      </c>
      <c r="D201" t="s">
        <v>406</v>
      </c>
      <c r="E201" t="s">
        <v>426</v>
      </c>
      <c r="F201" s="122">
        <v>2</v>
      </c>
      <c r="G201" s="122">
        <v>154</v>
      </c>
      <c r="H201" s="122">
        <v>383</v>
      </c>
      <c r="I201" s="122">
        <v>11043</v>
      </c>
      <c r="J201" s="122">
        <v>10039</v>
      </c>
      <c r="K201" s="122">
        <v>82</v>
      </c>
      <c r="L201" s="122">
        <v>2842</v>
      </c>
      <c r="M201" s="122">
        <v>2584</v>
      </c>
      <c r="N201" s="122">
        <v>2852</v>
      </c>
      <c r="O201" s="122">
        <v>1056</v>
      </c>
      <c r="P201" s="122">
        <v>1242</v>
      </c>
      <c r="Q201" s="122">
        <v>460</v>
      </c>
      <c r="R201" s="122">
        <v>7303</v>
      </c>
      <c r="S201" s="122">
        <v>6639</v>
      </c>
      <c r="T201" s="122">
        <v>4686</v>
      </c>
      <c r="U201" s="122">
        <v>1736</v>
      </c>
      <c r="V201" s="122">
        <v>22514</v>
      </c>
      <c r="W201" s="122">
        <f t="shared" si="6"/>
        <v>22514</v>
      </c>
      <c r="X201" s="122">
        <f t="shared" si="7"/>
        <v>29968</v>
      </c>
      <c r="Y201" s="122"/>
      <c r="AA201" t="s">
        <v>52</v>
      </c>
      <c r="AB201" t="s">
        <v>406</v>
      </c>
      <c r="AC201" t="s">
        <v>137</v>
      </c>
      <c r="AD201" t="s">
        <v>137</v>
      </c>
      <c r="AE201" t="s">
        <v>137</v>
      </c>
      <c r="AF201">
        <v>2</v>
      </c>
      <c r="AG201">
        <v>138</v>
      </c>
      <c r="AH201">
        <v>202</v>
      </c>
      <c r="AI201">
        <v>-395</v>
      </c>
      <c r="AJ201">
        <v>-359</v>
      </c>
      <c r="AK201">
        <v>94</v>
      </c>
      <c r="AL201">
        <v>-96</v>
      </c>
      <c r="AM201">
        <v>-36</v>
      </c>
      <c r="AN201" s="122">
        <v>1681</v>
      </c>
      <c r="AO201">
        <v>622</v>
      </c>
      <c r="AP201" s="122">
        <v>1242</v>
      </c>
      <c r="AQ201">
        <v>460</v>
      </c>
      <c r="AR201" s="122">
        <v>11506</v>
      </c>
      <c r="AS201" s="122">
        <v>4261</v>
      </c>
      <c r="AT201">
        <v>0</v>
      </c>
      <c r="AU201">
        <v>0</v>
      </c>
      <c r="AV201" s="122">
        <v>4949</v>
      </c>
    </row>
    <row r="202" spans="2:48" ht="12.75" hidden="1" customHeight="1">
      <c r="B202" t="s">
        <v>364</v>
      </c>
      <c r="C202" t="s">
        <v>56</v>
      </c>
      <c r="D202" t="s">
        <v>407</v>
      </c>
      <c r="E202" t="s">
        <v>405</v>
      </c>
      <c r="F202" s="122">
        <v>2</v>
      </c>
      <c r="G202" s="122">
        <v>212</v>
      </c>
      <c r="H202" s="122">
        <v>416</v>
      </c>
      <c r="I202" s="122">
        <v>25159</v>
      </c>
      <c r="J202" s="122">
        <v>22872</v>
      </c>
      <c r="K202">
        <v>79</v>
      </c>
      <c r="L202" s="122">
        <v>5410</v>
      </c>
      <c r="M202" s="122">
        <v>4918</v>
      </c>
      <c r="N202" s="122">
        <v>3279</v>
      </c>
      <c r="O202" s="122">
        <v>1215</v>
      </c>
      <c r="P202" s="122">
        <v>945</v>
      </c>
      <c r="Q202" s="122">
        <v>350</v>
      </c>
      <c r="R202" s="122">
        <v>9270</v>
      </c>
      <c r="S202" s="122">
        <v>8427</v>
      </c>
      <c r="T202" s="122">
        <v>0</v>
      </c>
      <c r="U202" s="122">
        <v>0</v>
      </c>
      <c r="V202" s="122">
        <v>37781</v>
      </c>
      <c r="W202" s="122">
        <f t="shared" si="6"/>
        <v>37782</v>
      </c>
      <c r="X202" s="122">
        <f t="shared" si="7"/>
        <v>44063</v>
      </c>
      <c r="Y202" s="122"/>
      <c r="AA202" t="s">
        <v>52</v>
      </c>
      <c r="AB202" t="s">
        <v>406</v>
      </c>
      <c r="AC202" t="s">
        <v>137</v>
      </c>
      <c r="AD202" t="s">
        <v>406</v>
      </c>
      <c r="AE202" t="s">
        <v>137</v>
      </c>
      <c r="AF202">
        <v>13</v>
      </c>
      <c r="AG202" s="122">
        <v>1450</v>
      </c>
      <c r="AH202" s="122">
        <v>1528</v>
      </c>
      <c r="AI202" s="122">
        <v>77774</v>
      </c>
      <c r="AJ202" s="122">
        <v>70704</v>
      </c>
      <c r="AK202">
        <v>92</v>
      </c>
      <c r="AL202" s="122">
        <v>21173</v>
      </c>
      <c r="AM202" s="122">
        <v>7842</v>
      </c>
      <c r="AN202" s="122">
        <v>25736</v>
      </c>
      <c r="AO202" s="122">
        <v>9532</v>
      </c>
      <c r="AP202" s="122">
        <v>10269</v>
      </c>
      <c r="AQ202" s="122">
        <v>3803</v>
      </c>
      <c r="AR202" s="122">
        <v>42151</v>
      </c>
      <c r="AS202" s="122">
        <v>38319</v>
      </c>
      <c r="AT202" s="122">
        <v>8614</v>
      </c>
      <c r="AU202" s="122">
        <v>3190</v>
      </c>
      <c r="AV202" s="122">
        <v>133390</v>
      </c>
    </row>
    <row r="203" spans="2:48" ht="12.75" hidden="1" customHeight="1">
      <c r="B203" t="s">
        <v>364</v>
      </c>
      <c r="C203" t="s">
        <v>56</v>
      </c>
      <c r="D203" t="s">
        <v>407</v>
      </c>
      <c r="E203" t="s">
        <v>137</v>
      </c>
      <c r="F203">
        <v>1</v>
      </c>
      <c r="G203" s="122">
        <v>96</v>
      </c>
      <c r="H203" s="122">
        <v>216</v>
      </c>
      <c r="I203" s="122">
        <v>8316</v>
      </c>
      <c r="J203" s="122">
        <v>7560</v>
      </c>
      <c r="K203" s="122">
        <v>79</v>
      </c>
      <c r="L203" s="122">
        <v>3456</v>
      </c>
      <c r="M203" s="122">
        <v>3141</v>
      </c>
      <c r="N203" s="122">
        <v>2339</v>
      </c>
      <c r="O203" s="122">
        <v>866</v>
      </c>
      <c r="P203" s="122">
        <v>473</v>
      </c>
      <c r="Q203" s="122">
        <v>175</v>
      </c>
      <c r="R203" s="122">
        <v>6159</v>
      </c>
      <c r="S203" s="122">
        <v>2281</v>
      </c>
      <c r="T203">
        <v>0</v>
      </c>
      <c r="U203" s="122">
        <v>0</v>
      </c>
      <c r="V203" s="122">
        <v>14023</v>
      </c>
      <c r="W203" s="122">
        <f t="shared" si="6"/>
        <v>14023</v>
      </c>
      <c r="X203" s="122">
        <f t="shared" si="7"/>
        <v>20743</v>
      </c>
      <c r="Y203" s="122"/>
      <c r="AA203" t="s">
        <v>52</v>
      </c>
      <c r="AB203" t="s">
        <v>406</v>
      </c>
      <c r="AC203" t="s">
        <v>137</v>
      </c>
      <c r="AD203" t="s">
        <v>406</v>
      </c>
      <c r="AE203" t="s">
        <v>566</v>
      </c>
      <c r="AF203">
        <v>51</v>
      </c>
      <c r="AG203" s="122">
        <v>5651</v>
      </c>
      <c r="AH203" s="122">
        <v>5850</v>
      </c>
      <c r="AI203" s="122">
        <v>304772</v>
      </c>
      <c r="AJ203" s="122">
        <v>277065</v>
      </c>
      <c r="AK203">
        <v>93</v>
      </c>
      <c r="AL203" s="122">
        <v>79377</v>
      </c>
      <c r="AM203" s="122">
        <v>29399</v>
      </c>
      <c r="AN203" s="122">
        <v>110473</v>
      </c>
      <c r="AO203" s="122">
        <v>40916</v>
      </c>
      <c r="AP203" s="122">
        <v>36430</v>
      </c>
      <c r="AQ203" s="122">
        <v>13493</v>
      </c>
      <c r="AR203" s="122">
        <v>209451</v>
      </c>
      <c r="AS203" s="122">
        <v>190410</v>
      </c>
      <c r="AT203">
        <v>0</v>
      </c>
      <c r="AU203">
        <v>0</v>
      </c>
      <c r="AV203" s="122">
        <v>551282</v>
      </c>
    </row>
    <row r="204" spans="2:48" ht="12.75" hidden="1" customHeight="1">
      <c r="B204" t="s">
        <v>364</v>
      </c>
      <c r="C204" t="s">
        <v>56</v>
      </c>
      <c r="D204" t="s">
        <v>407</v>
      </c>
      <c r="E204" t="s">
        <v>406</v>
      </c>
      <c r="F204">
        <v>1</v>
      </c>
      <c r="G204" s="122">
        <v>122</v>
      </c>
      <c r="H204" s="122">
        <v>184</v>
      </c>
      <c r="I204" s="122">
        <v>11922</v>
      </c>
      <c r="J204" s="122">
        <v>10838</v>
      </c>
      <c r="K204" s="122">
        <v>90</v>
      </c>
      <c r="L204" s="122">
        <v>3987</v>
      </c>
      <c r="M204" s="122">
        <v>3625</v>
      </c>
      <c r="N204" s="122">
        <v>2966</v>
      </c>
      <c r="O204" s="122">
        <v>1099</v>
      </c>
      <c r="P204" s="122">
        <v>473</v>
      </c>
      <c r="Q204" s="122">
        <v>175</v>
      </c>
      <c r="R204" s="122">
        <v>3076</v>
      </c>
      <c r="S204" s="122">
        <v>2797</v>
      </c>
      <c r="T204">
        <v>0</v>
      </c>
      <c r="U204" s="122">
        <v>0</v>
      </c>
      <c r="V204" s="122">
        <v>18533</v>
      </c>
      <c r="W204" s="122">
        <f t="shared" si="6"/>
        <v>18534</v>
      </c>
      <c r="X204" s="122">
        <f t="shared" si="7"/>
        <v>22424</v>
      </c>
      <c r="Y204" s="122"/>
      <c r="AA204" t="s">
        <v>52</v>
      </c>
      <c r="AB204" t="s">
        <v>406</v>
      </c>
      <c r="AC204" t="s">
        <v>580</v>
      </c>
      <c r="AD204" t="s">
        <v>406</v>
      </c>
      <c r="AE204" t="s">
        <v>137</v>
      </c>
      <c r="AF204">
        <v>4</v>
      </c>
      <c r="AG204">
        <v>455</v>
      </c>
      <c r="AH204">
        <v>472</v>
      </c>
      <c r="AI204" s="122">
        <v>25868</v>
      </c>
      <c r="AJ204" s="122">
        <v>23516</v>
      </c>
      <c r="AK204">
        <v>90</v>
      </c>
      <c r="AL204" s="122">
        <v>5632</v>
      </c>
      <c r="AM204" s="122">
        <v>5120</v>
      </c>
      <c r="AN204" s="122">
        <v>8158</v>
      </c>
      <c r="AO204" s="122">
        <v>3021</v>
      </c>
      <c r="AP204" s="122">
        <v>2484</v>
      </c>
      <c r="AQ204">
        <v>920</v>
      </c>
      <c r="AR204" s="122">
        <v>14174</v>
      </c>
      <c r="AS204" s="122">
        <v>12885</v>
      </c>
      <c r="AT204" s="122">
        <v>2577</v>
      </c>
      <c r="AU204">
        <v>955</v>
      </c>
      <c r="AV204" s="122">
        <v>46417</v>
      </c>
    </row>
    <row r="205" spans="2:48" ht="12.75" hidden="1" customHeight="1">
      <c r="B205" t="s">
        <v>364</v>
      </c>
      <c r="C205" t="s">
        <v>56</v>
      </c>
      <c r="D205" t="s">
        <v>407</v>
      </c>
      <c r="E205" t="s">
        <v>427</v>
      </c>
      <c r="F205" s="122">
        <v>2</v>
      </c>
      <c r="G205" s="122">
        <v>221</v>
      </c>
      <c r="H205" s="122">
        <v>374</v>
      </c>
      <c r="I205" s="122">
        <v>18774</v>
      </c>
      <c r="J205" s="122">
        <v>17067</v>
      </c>
      <c r="K205" s="122">
        <v>76</v>
      </c>
      <c r="L205" s="122">
        <v>3771</v>
      </c>
      <c r="M205" s="122">
        <v>3428</v>
      </c>
      <c r="N205" s="122">
        <v>4053</v>
      </c>
      <c r="O205" s="122">
        <v>1501</v>
      </c>
      <c r="P205" s="122">
        <v>945</v>
      </c>
      <c r="Q205" s="122">
        <v>350</v>
      </c>
      <c r="R205" s="122">
        <v>10945</v>
      </c>
      <c r="S205" s="122">
        <v>9950</v>
      </c>
      <c r="T205" s="122">
        <v>2927</v>
      </c>
      <c r="U205" s="122">
        <v>1084</v>
      </c>
      <c r="V205" s="122">
        <v>33380</v>
      </c>
      <c r="W205" s="122">
        <f t="shared" si="6"/>
        <v>33380</v>
      </c>
      <c r="X205" s="122">
        <f t="shared" si="7"/>
        <v>41415</v>
      </c>
      <c r="Y205" s="122"/>
      <c r="AA205" t="s">
        <v>52</v>
      </c>
      <c r="AB205" t="s">
        <v>406</v>
      </c>
      <c r="AC205" t="s">
        <v>580</v>
      </c>
      <c r="AD205" t="s">
        <v>406</v>
      </c>
      <c r="AE205" t="s">
        <v>566</v>
      </c>
      <c r="AF205">
        <v>2</v>
      </c>
      <c r="AG205">
        <v>407</v>
      </c>
      <c r="AH205">
        <v>230</v>
      </c>
      <c r="AI205" s="122">
        <v>25081</v>
      </c>
      <c r="AJ205" s="122">
        <v>22801</v>
      </c>
      <c r="AK205">
        <v>92</v>
      </c>
      <c r="AL205" s="122">
        <v>4132</v>
      </c>
      <c r="AM205" s="122">
        <v>3757</v>
      </c>
      <c r="AN205" s="122">
        <v>5740</v>
      </c>
      <c r="AO205" s="122">
        <v>2126</v>
      </c>
      <c r="AP205" s="122">
        <v>1944</v>
      </c>
      <c r="AQ205">
        <v>720</v>
      </c>
      <c r="AR205" s="122">
        <v>9522</v>
      </c>
      <c r="AS205" s="122">
        <v>8657</v>
      </c>
      <c r="AT205">
        <v>0</v>
      </c>
      <c r="AU205">
        <v>0</v>
      </c>
      <c r="AV205" s="122">
        <v>38060</v>
      </c>
    </row>
    <row r="206" spans="2:48" ht="12.75" hidden="1" customHeight="1">
      <c r="B206" t="s">
        <v>364</v>
      </c>
      <c r="C206" t="s">
        <v>56</v>
      </c>
      <c r="D206" t="s">
        <v>407</v>
      </c>
      <c r="E206" t="s">
        <v>407</v>
      </c>
      <c r="F206" s="122">
        <v>1020</v>
      </c>
      <c r="G206" s="122">
        <v>106775</v>
      </c>
      <c r="H206" s="122">
        <v>195005</v>
      </c>
      <c r="I206" s="122">
        <v>9634801</v>
      </c>
      <c r="J206" s="122">
        <v>8758910</v>
      </c>
      <c r="K206" s="122">
        <v>81</v>
      </c>
      <c r="L206" s="122">
        <v>2455262</v>
      </c>
      <c r="M206" s="122">
        <v>2138220</v>
      </c>
      <c r="N206" s="122">
        <v>2136301</v>
      </c>
      <c r="O206" s="122">
        <v>791222</v>
      </c>
      <c r="P206" s="122">
        <v>527807</v>
      </c>
      <c r="Q206" s="122">
        <v>195484</v>
      </c>
      <c r="R206" s="122">
        <v>4615426</v>
      </c>
      <c r="S206" s="122">
        <v>4195841</v>
      </c>
      <c r="T206" s="122">
        <v>1062071</v>
      </c>
      <c r="U206" s="122">
        <v>393360</v>
      </c>
      <c r="V206" s="122">
        <v>16473038</v>
      </c>
      <c r="W206" s="122">
        <f t="shared" si="6"/>
        <v>16473037</v>
      </c>
      <c r="X206" s="122">
        <f t="shared" si="7"/>
        <v>20431668</v>
      </c>
      <c r="Y206" s="122"/>
      <c r="AA206" t="s">
        <v>52</v>
      </c>
      <c r="AB206" t="s">
        <v>406</v>
      </c>
      <c r="AC206" t="s">
        <v>427</v>
      </c>
      <c r="AD206" t="s">
        <v>406</v>
      </c>
      <c r="AE206" t="s">
        <v>137</v>
      </c>
      <c r="AF206">
        <v>23</v>
      </c>
      <c r="AG206" s="122">
        <v>2630</v>
      </c>
      <c r="AH206" s="122">
        <v>2785</v>
      </c>
      <c r="AI206" s="122">
        <v>137810</v>
      </c>
      <c r="AJ206" s="122">
        <v>125282</v>
      </c>
      <c r="AK206">
        <v>92</v>
      </c>
      <c r="AL206" s="122">
        <v>33491</v>
      </c>
      <c r="AM206" s="122">
        <v>30446</v>
      </c>
      <c r="AN206" s="122">
        <v>34607</v>
      </c>
      <c r="AO206" s="122">
        <v>12818</v>
      </c>
      <c r="AP206" s="122">
        <v>14283</v>
      </c>
      <c r="AQ206" s="122">
        <v>5290</v>
      </c>
      <c r="AR206" s="122">
        <v>88029</v>
      </c>
      <c r="AS206" s="122">
        <v>80027</v>
      </c>
      <c r="AT206" s="122">
        <v>12835</v>
      </c>
      <c r="AU206" s="122">
        <v>4754</v>
      </c>
      <c r="AV206" s="122">
        <v>258616</v>
      </c>
    </row>
    <row r="207" spans="2:48" ht="12.75" hidden="1" customHeight="1">
      <c r="B207" t="s">
        <v>364</v>
      </c>
      <c r="C207" t="s">
        <v>56</v>
      </c>
      <c r="D207" t="s">
        <v>407</v>
      </c>
      <c r="E207" t="s">
        <v>428</v>
      </c>
      <c r="F207" s="122">
        <v>1</v>
      </c>
      <c r="G207" s="122">
        <v>105</v>
      </c>
      <c r="H207" s="122">
        <v>217</v>
      </c>
      <c r="I207" s="122">
        <v>10546</v>
      </c>
      <c r="J207" s="122">
        <v>9588</v>
      </c>
      <c r="K207" s="122">
        <v>80</v>
      </c>
      <c r="L207" s="122">
        <v>2174</v>
      </c>
      <c r="M207" s="122">
        <v>805</v>
      </c>
      <c r="N207" s="122">
        <v>2448</v>
      </c>
      <c r="O207" s="122">
        <v>907</v>
      </c>
      <c r="P207" s="122">
        <v>473</v>
      </c>
      <c r="Q207" s="122">
        <v>175</v>
      </c>
      <c r="R207" s="122">
        <v>4306</v>
      </c>
      <c r="S207" s="122">
        <v>3915</v>
      </c>
      <c r="T207" s="122">
        <v>2850</v>
      </c>
      <c r="U207" s="122">
        <v>1055</v>
      </c>
      <c r="V207" s="122">
        <v>16445</v>
      </c>
      <c r="W207" s="122">
        <f t="shared" si="6"/>
        <v>16445</v>
      </c>
      <c r="X207" s="122">
        <f t="shared" si="7"/>
        <v>22797</v>
      </c>
      <c r="Y207" s="122"/>
      <c r="AA207" t="s">
        <v>52</v>
      </c>
      <c r="AB207" t="s">
        <v>406</v>
      </c>
      <c r="AC207" t="s">
        <v>427</v>
      </c>
      <c r="AD207" t="s">
        <v>406</v>
      </c>
      <c r="AE207" t="s">
        <v>566</v>
      </c>
      <c r="AF207">
        <v>38</v>
      </c>
      <c r="AG207" s="122">
        <v>5008</v>
      </c>
      <c r="AH207" s="122">
        <v>4472</v>
      </c>
      <c r="AI207" s="122">
        <v>265619</v>
      </c>
      <c r="AJ207" s="122">
        <v>241472</v>
      </c>
      <c r="AK207">
        <v>92</v>
      </c>
      <c r="AL207" s="122">
        <v>71239</v>
      </c>
      <c r="AM207" s="122">
        <v>64763</v>
      </c>
      <c r="AN207" s="122">
        <v>82085</v>
      </c>
      <c r="AO207" s="122">
        <v>30402</v>
      </c>
      <c r="AP207" s="122">
        <v>25353</v>
      </c>
      <c r="AQ207" s="122">
        <v>9390</v>
      </c>
      <c r="AR207" s="122">
        <v>156447</v>
      </c>
      <c r="AS207" s="122">
        <v>142225</v>
      </c>
      <c r="AT207">
        <v>0</v>
      </c>
      <c r="AU207">
        <v>0</v>
      </c>
      <c r="AV207" s="122">
        <v>488252</v>
      </c>
    </row>
    <row r="208" spans="2:48" ht="12.75" hidden="1" customHeight="1">
      <c r="B208" t="s">
        <v>364</v>
      </c>
      <c r="C208" t="s">
        <v>56</v>
      </c>
      <c r="D208" t="s">
        <v>556</v>
      </c>
      <c r="E208" t="s">
        <v>556</v>
      </c>
      <c r="F208" s="122">
        <v>18</v>
      </c>
      <c r="G208" s="122">
        <v>1362</v>
      </c>
      <c r="H208" s="122">
        <v>3622</v>
      </c>
      <c r="I208" s="122">
        <v>124676</v>
      </c>
      <c r="J208" s="122">
        <v>103896</v>
      </c>
      <c r="K208" s="122">
        <v>67</v>
      </c>
      <c r="L208" s="122">
        <v>2381</v>
      </c>
      <c r="M208" s="122">
        <v>882</v>
      </c>
      <c r="N208" s="122">
        <v>24468</v>
      </c>
      <c r="O208" s="122">
        <v>9062</v>
      </c>
      <c r="P208" s="122">
        <v>6318</v>
      </c>
      <c r="Q208" s="122">
        <v>2340</v>
      </c>
      <c r="R208" s="122">
        <v>79272</v>
      </c>
      <c r="S208" s="122">
        <v>66060</v>
      </c>
      <c r="T208" s="122">
        <v>39554</v>
      </c>
      <c r="U208" s="122">
        <v>14649</v>
      </c>
      <c r="V208" s="122">
        <v>196890</v>
      </c>
      <c r="W208" s="122">
        <f t="shared" si="6"/>
        <v>196889</v>
      </c>
      <c r="X208" s="122">
        <f t="shared" si="7"/>
        <v>276669</v>
      </c>
      <c r="Y208" s="122"/>
      <c r="AA208" t="s">
        <v>52</v>
      </c>
      <c r="AB208" t="s">
        <v>406</v>
      </c>
      <c r="AC208" t="s">
        <v>407</v>
      </c>
      <c r="AD208" t="s">
        <v>406</v>
      </c>
      <c r="AE208" t="s">
        <v>566</v>
      </c>
      <c r="AF208">
        <v>1</v>
      </c>
      <c r="AG208">
        <v>108</v>
      </c>
      <c r="AH208">
        <v>121</v>
      </c>
      <c r="AI208" s="122">
        <v>5020</v>
      </c>
      <c r="AJ208" s="122">
        <v>4563</v>
      </c>
      <c r="AK208">
        <v>95</v>
      </c>
      <c r="AL208">
        <v>726</v>
      </c>
      <c r="AM208">
        <v>660</v>
      </c>
      <c r="AN208" s="122">
        <v>2530</v>
      </c>
      <c r="AO208">
        <v>937</v>
      </c>
      <c r="AP208">
        <v>743</v>
      </c>
      <c r="AQ208">
        <v>275</v>
      </c>
      <c r="AR208" s="122">
        <v>3985</v>
      </c>
      <c r="AS208" s="122">
        <v>3623</v>
      </c>
      <c r="AT208">
        <v>0</v>
      </c>
      <c r="AU208">
        <v>0</v>
      </c>
      <c r="AV208" s="122">
        <v>10058</v>
      </c>
    </row>
    <row r="209" spans="2:48" ht="12.75" hidden="1" customHeight="1">
      <c r="B209" t="s">
        <v>364</v>
      </c>
      <c r="C209" t="s">
        <v>56</v>
      </c>
      <c r="D209" t="s">
        <v>431</v>
      </c>
      <c r="E209" t="s">
        <v>431</v>
      </c>
      <c r="F209">
        <v>9</v>
      </c>
      <c r="G209" s="122">
        <v>666</v>
      </c>
      <c r="H209" s="122">
        <v>1794</v>
      </c>
      <c r="I209" s="122">
        <v>61177</v>
      </c>
      <c r="J209" s="122">
        <v>55616</v>
      </c>
      <c r="K209" s="122">
        <v>64</v>
      </c>
      <c r="L209" s="122">
        <v>2257</v>
      </c>
      <c r="M209" s="122">
        <v>2052</v>
      </c>
      <c r="N209" s="122">
        <v>12006</v>
      </c>
      <c r="O209" s="122">
        <v>4447</v>
      </c>
      <c r="P209" s="122">
        <v>3780</v>
      </c>
      <c r="Q209" s="122">
        <v>1400</v>
      </c>
      <c r="R209" s="122">
        <v>39614</v>
      </c>
      <c r="S209" s="122">
        <v>36013</v>
      </c>
      <c r="T209" s="122">
        <v>13990</v>
      </c>
      <c r="U209" s="122">
        <v>5182</v>
      </c>
      <c r="V209" s="122">
        <v>104709</v>
      </c>
      <c r="W209" s="122">
        <f t="shared" si="6"/>
        <v>104710</v>
      </c>
      <c r="X209" s="122">
        <f t="shared" si="7"/>
        <v>132824</v>
      </c>
      <c r="Y209" s="122"/>
      <c r="AA209" t="s">
        <v>52</v>
      </c>
      <c r="AB209" t="s">
        <v>406</v>
      </c>
      <c r="AC209" t="s">
        <v>579</v>
      </c>
      <c r="AD209" t="s">
        <v>406</v>
      </c>
      <c r="AE209" t="s">
        <v>137</v>
      </c>
      <c r="AF209">
        <v>24</v>
      </c>
      <c r="AG209" s="122">
        <v>3216</v>
      </c>
      <c r="AH209" s="122">
        <v>2869</v>
      </c>
      <c r="AI209" s="122">
        <v>164325</v>
      </c>
      <c r="AJ209" s="122">
        <v>149386</v>
      </c>
      <c r="AK209">
        <v>93</v>
      </c>
      <c r="AL209" s="122">
        <v>43136</v>
      </c>
      <c r="AM209" s="122">
        <v>35947</v>
      </c>
      <c r="AN209" s="122">
        <v>47192</v>
      </c>
      <c r="AO209" s="122">
        <v>17478</v>
      </c>
      <c r="AP209" s="122">
        <v>19653</v>
      </c>
      <c r="AQ209" s="122">
        <v>7279</v>
      </c>
      <c r="AR209" s="122">
        <v>104827</v>
      </c>
      <c r="AS209" s="122">
        <v>95297</v>
      </c>
      <c r="AT209" s="122">
        <v>9990</v>
      </c>
      <c r="AU209" s="122">
        <v>3700</v>
      </c>
      <c r="AV209" s="122">
        <v>309087</v>
      </c>
    </row>
    <row r="210" spans="2:48" ht="12.75" hidden="1" customHeight="1">
      <c r="B210" t="s">
        <v>364</v>
      </c>
      <c r="C210" t="s">
        <v>56</v>
      </c>
      <c r="D210" t="s">
        <v>426</v>
      </c>
      <c r="E210" t="s">
        <v>137</v>
      </c>
      <c r="F210" s="122">
        <v>3</v>
      </c>
      <c r="G210" s="122">
        <v>227</v>
      </c>
      <c r="H210" s="122">
        <v>659</v>
      </c>
      <c r="I210" s="122">
        <v>7415</v>
      </c>
      <c r="J210" s="122">
        <v>6741</v>
      </c>
      <c r="K210" s="122">
        <v>65</v>
      </c>
      <c r="L210" s="122">
        <v>0</v>
      </c>
      <c r="M210" s="122">
        <v>0</v>
      </c>
      <c r="N210" s="122">
        <v>3505</v>
      </c>
      <c r="O210" s="122">
        <v>1298</v>
      </c>
      <c r="P210" s="122">
        <v>1053</v>
      </c>
      <c r="Q210" s="122">
        <v>390</v>
      </c>
      <c r="R210" s="122">
        <v>31187</v>
      </c>
      <c r="S210" s="122">
        <v>11551</v>
      </c>
      <c r="T210" s="122">
        <v>6724</v>
      </c>
      <c r="U210" s="122">
        <v>2490</v>
      </c>
      <c r="V210" s="122">
        <v>22470</v>
      </c>
      <c r="W210" s="122">
        <f t="shared" si="6"/>
        <v>22470</v>
      </c>
      <c r="X210" s="122">
        <f t="shared" si="7"/>
        <v>49884</v>
      </c>
      <c r="Y210" s="122"/>
      <c r="AA210" t="s">
        <v>52</v>
      </c>
      <c r="AB210" t="s">
        <v>406</v>
      </c>
      <c r="AC210" t="s">
        <v>579</v>
      </c>
      <c r="AD210" t="s">
        <v>406</v>
      </c>
      <c r="AE210" t="s">
        <v>566</v>
      </c>
      <c r="AF210">
        <v>93</v>
      </c>
      <c r="AG210" s="122">
        <v>12322</v>
      </c>
      <c r="AH210" s="122">
        <v>10887</v>
      </c>
      <c r="AI210" s="122">
        <v>684071</v>
      </c>
      <c r="AJ210" s="122">
        <v>621883</v>
      </c>
      <c r="AK210">
        <v>94</v>
      </c>
      <c r="AL210" s="122">
        <v>134937</v>
      </c>
      <c r="AM210" s="122">
        <v>112447</v>
      </c>
      <c r="AN210" s="122">
        <v>200665</v>
      </c>
      <c r="AO210" s="122">
        <v>74320</v>
      </c>
      <c r="AP210" s="122">
        <v>63118</v>
      </c>
      <c r="AQ210" s="122">
        <v>23377</v>
      </c>
      <c r="AR210" s="122">
        <v>396037</v>
      </c>
      <c r="AS210" s="122">
        <v>360033</v>
      </c>
      <c r="AT210">
        <v>0</v>
      </c>
      <c r="AU210">
        <v>0</v>
      </c>
      <c r="AV210" s="122">
        <v>1192061</v>
      </c>
    </row>
    <row r="211" spans="2:48" ht="12.75" hidden="1" customHeight="1">
      <c r="B211" t="s">
        <v>364</v>
      </c>
      <c r="C211" t="s">
        <v>56</v>
      </c>
      <c r="D211" t="s">
        <v>426</v>
      </c>
      <c r="E211" t="s">
        <v>556</v>
      </c>
      <c r="F211">
        <v>1</v>
      </c>
      <c r="G211">
        <v>89</v>
      </c>
      <c r="H211" s="122">
        <v>203</v>
      </c>
      <c r="I211" s="122">
        <v>9552</v>
      </c>
      <c r="J211" s="122">
        <v>8683</v>
      </c>
      <c r="K211" s="122">
        <v>65</v>
      </c>
      <c r="L211" s="122">
        <v>0</v>
      </c>
      <c r="M211" s="122">
        <v>0</v>
      </c>
      <c r="N211" s="122">
        <v>1926</v>
      </c>
      <c r="O211" s="122">
        <v>713</v>
      </c>
      <c r="P211" s="122">
        <v>351</v>
      </c>
      <c r="Q211" s="122">
        <v>130</v>
      </c>
      <c r="R211" s="122">
        <v>3924</v>
      </c>
      <c r="S211" s="122">
        <v>3270</v>
      </c>
      <c r="T211" s="122">
        <v>2283</v>
      </c>
      <c r="U211" s="122">
        <v>846</v>
      </c>
      <c r="V211" s="122">
        <v>13642</v>
      </c>
      <c r="W211" s="122">
        <f t="shared" si="6"/>
        <v>13642</v>
      </c>
      <c r="X211" s="122">
        <f t="shared" si="7"/>
        <v>18036</v>
      </c>
      <c r="Y211" s="122"/>
      <c r="AA211" t="s">
        <v>52</v>
      </c>
      <c r="AB211" t="s">
        <v>406</v>
      </c>
      <c r="AC211" t="s">
        <v>579</v>
      </c>
      <c r="AD211" t="s">
        <v>407</v>
      </c>
      <c r="AE211" t="s">
        <v>566</v>
      </c>
      <c r="AF211">
        <v>1</v>
      </c>
      <c r="AG211">
        <v>83</v>
      </c>
      <c r="AH211">
        <v>121</v>
      </c>
      <c r="AI211" s="122">
        <v>3627</v>
      </c>
      <c r="AJ211" s="122">
        <v>3297</v>
      </c>
      <c r="AK211">
        <v>95</v>
      </c>
      <c r="AL211">
        <v>759</v>
      </c>
      <c r="AM211">
        <v>633</v>
      </c>
      <c r="AN211" s="122">
        <v>1482</v>
      </c>
      <c r="AO211">
        <v>549</v>
      </c>
      <c r="AP211">
        <v>621</v>
      </c>
      <c r="AQ211">
        <v>230</v>
      </c>
      <c r="AR211" s="122">
        <v>3511</v>
      </c>
      <c r="AS211" s="122">
        <v>3192</v>
      </c>
      <c r="AT211">
        <v>0</v>
      </c>
      <c r="AU211">
        <v>0</v>
      </c>
      <c r="AV211" s="122">
        <v>7901</v>
      </c>
    </row>
    <row r="212" spans="2:48" ht="12.75" hidden="1" customHeight="1">
      <c r="B212" t="s">
        <v>364</v>
      </c>
      <c r="C212" t="s">
        <v>56</v>
      </c>
      <c r="D212" t="s">
        <v>426</v>
      </c>
      <c r="E212" s="122" t="s">
        <v>426</v>
      </c>
      <c r="F212" s="122">
        <v>77</v>
      </c>
      <c r="G212" s="122">
        <v>6324</v>
      </c>
      <c r="H212" s="122">
        <v>16011</v>
      </c>
      <c r="I212" s="122">
        <v>700552</v>
      </c>
      <c r="J212" s="122">
        <v>636865</v>
      </c>
      <c r="K212" s="122">
        <v>66</v>
      </c>
      <c r="L212" s="122">
        <v>27667</v>
      </c>
      <c r="M212" s="122">
        <v>20775</v>
      </c>
      <c r="N212" s="122">
        <v>118248</v>
      </c>
      <c r="O212" s="122">
        <v>43795</v>
      </c>
      <c r="P212" s="122">
        <v>27297</v>
      </c>
      <c r="Q212" s="122">
        <v>10110</v>
      </c>
      <c r="R212" s="122">
        <v>308406</v>
      </c>
      <c r="S212" s="122">
        <v>280369</v>
      </c>
      <c r="T212" s="122">
        <v>136714</v>
      </c>
      <c r="U212" s="122">
        <v>50635</v>
      </c>
      <c r="V212" s="122">
        <v>1042550</v>
      </c>
      <c r="W212" s="122">
        <f t="shared" si="6"/>
        <v>1042549</v>
      </c>
      <c r="X212" s="122">
        <f t="shared" si="7"/>
        <v>1318884</v>
      </c>
      <c r="Y212" s="122"/>
      <c r="AA212" t="s">
        <v>52</v>
      </c>
      <c r="AB212" t="s">
        <v>406</v>
      </c>
      <c r="AC212" t="s">
        <v>428</v>
      </c>
      <c r="AD212" t="s">
        <v>406</v>
      </c>
      <c r="AE212" t="s">
        <v>137</v>
      </c>
      <c r="AF212">
        <v>1</v>
      </c>
      <c r="AG212">
        <v>124</v>
      </c>
      <c r="AH212">
        <v>118</v>
      </c>
      <c r="AI212" s="122">
        <v>10758</v>
      </c>
      <c r="AJ212" s="122">
        <v>9780</v>
      </c>
      <c r="AK212">
        <v>97</v>
      </c>
      <c r="AL212">
        <v>334</v>
      </c>
      <c r="AM212">
        <v>303</v>
      </c>
      <c r="AN212" s="122">
        <v>1511</v>
      </c>
      <c r="AO212">
        <v>560</v>
      </c>
      <c r="AP212">
        <v>621</v>
      </c>
      <c r="AQ212">
        <v>230</v>
      </c>
      <c r="AR212" s="122">
        <v>1451</v>
      </c>
      <c r="AS212" s="122">
        <v>1319</v>
      </c>
      <c r="AT212">
        <v>0</v>
      </c>
      <c r="AU212">
        <v>0</v>
      </c>
      <c r="AV212" s="122">
        <v>12192</v>
      </c>
    </row>
    <row r="213" spans="2:48" ht="12.75" hidden="1" customHeight="1">
      <c r="B213" t="s">
        <v>364</v>
      </c>
      <c r="C213" t="s">
        <v>56</v>
      </c>
      <c r="D213" t="s">
        <v>408</v>
      </c>
      <c r="E213" t="s">
        <v>408</v>
      </c>
      <c r="F213">
        <v>5</v>
      </c>
      <c r="G213" s="122">
        <v>585</v>
      </c>
      <c r="H213" s="122">
        <v>1016</v>
      </c>
      <c r="I213" s="122">
        <v>62216</v>
      </c>
      <c r="J213" s="122">
        <v>56560</v>
      </c>
      <c r="K213" s="122">
        <v>78</v>
      </c>
      <c r="L213" s="122">
        <v>11526</v>
      </c>
      <c r="M213" s="122">
        <v>10478</v>
      </c>
      <c r="N213" s="122">
        <v>10996</v>
      </c>
      <c r="O213" s="122">
        <v>4072</v>
      </c>
      <c r="P213" s="122">
        <v>1755</v>
      </c>
      <c r="Q213" s="122">
        <v>650</v>
      </c>
      <c r="R213" s="122">
        <v>21286</v>
      </c>
      <c r="S213" s="122">
        <v>19351</v>
      </c>
      <c r="T213" s="122">
        <v>10234</v>
      </c>
      <c r="U213" s="122">
        <v>3790</v>
      </c>
      <c r="V213" s="122">
        <v>94902</v>
      </c>
      <c r="W213" s="122">
        <f t="shared" si="6"/>
        <v>94901</v>
      </c>
      <c r="X213" s="122">
        <f t="shared" si="7"/>
        <v>118013</v>
      </c>
      <c r="Y213" s="122"/>
      <c r="AA213" t="s">
        <v>52</v>
      </c>
      <c r="AB213" t="s">
        <v>406</v>
      </c>
      <c r="AC213" t="s">
        <v>428</v>
      </c>
      <c r="AD213" t="s">
        <v>406</v>
      </c>
      <c r="AE213" t="s">
        <v>566</v>
      </c>
      <c r="AF213">
        <v>7</v>
      </c>
      <c r="AG213" s="122">
        <v>1248</v>
      </c>
      <c r="AH213">
        <v>787</v>
      </c>
      <c r="AI213" s="122">
        <v>62438</v>
      </c>
      <c r="AJ213" s="122">
        <v>56762</v>
      </c>
      <c r="AK213">
        <v>87</v>
      </c>
      <c r="AL213" s="122">
        <v>14773</v>
      </c>
      <c r="AM213" s="122">
        <v>13430</v>
      </c>
      <c r="AN213" s="122">
        <v>15501</v>
      </c>
      <c r="AO213" s="122">
        <v>5741</v>
      </c>
      <c r="AP213" s="122">
        <v>4698</v>
      </c>
      <c r="AQ213" s="122">
        <v>1740</v>
      </c>
      <c r="AR213" s="122">
        <v>43302</v>
      </c>
      <c r="AS213" s="122">
        <v>39366</v>
      </c>
      <c r="AT213">
        <v>0</v>
      </c>
      <c r="AU213">
        <v>0</v>
      </c>
      <c r="AV213" s="122">
        <v>117038</v>
      </c>
    </row>
    <row r="214" spans="2:48" ht="12.75" hidden="1" customHeight="1">
      <c r="B214" t="s">
        <v>364</v>
      </c>
      <c r="C214" t="s">
        <v>56</v>
      </c>
      <c r="D214" t="s">
        <v>429</v>
      </c>
      <c r="E214" t="s">
        <v>429</v>
      </c>
      <c r="F214">
        <v>1</v>
      </c>
      <c r="G214">
        <v>86</v>
      </c>
      <c r="H214" s="122">
        <v>223</v>
      </c>
      <c r="I214" s="122">
        <v>11490</v>
      </c>
      <c r="J214" s="122">
        <v>10446</v>
      </c>
      <c r="K214" s="122">
        <v>85</v>
      </c>
      <c r="L214" s="122">
        <v>1973</v>
      </c>
      <c r="M214" s="122">
        <v>1794</v>
      </c>
      <c r="N214" s="122">
        <v>1052</v>
      </c>
      <c r="O214" s="122">
        <v>390</v>
      </c>
      <c r="P214" s="122">
        <v>0</v>
      </c>
      <c r="Q214" s="122">
        <v>0</v>
      </c>
      <c r="R214" s="122">
        <v>4706</v>
      </c>
      <c r="S214" s="122">
        <v>4278</v>
      </c>
      <c r="T214">
        <v>0</v>
      </c>
      <c r="U214" s="122">
        <v>0</v>
      </c>
      <c r="V214" s="122">
        <v>16907</v>
      </c>
      <c r="W214" s="122">
        <f t="shared" si="6"/>
        <v>16908</v>
      </c>
      <c r="X214" s="122">
        <f t="shared" si="7"/>
        <v>19221</v>
      </c>
      <c r="Y214" s="122"/>
      <c r="AA214" t="s">
        <v>52</v>
      </c>
      <c r="AB214" t="s">
        <v>406</v>
      </c>
      <c r="AC214" t="s">
        <v>431</v>
      </c>
      <c r="AD214" t="s">
        <v>406</v>
      </c>
      <c r="AE214" t="s">
        <v>566</v>
      </c>
      <c r="AF214">
        <v>2</v>
      </c>
      <c r="AG214">
        <v>389</v>
      </c>
      <c r="AH214">
        <v>228</v>
      </c>
      <c r="AI214" s="122">
        <v>24321</v>
      </c>
      <c r="AJ214" s="122">
        <v>22110</v>
      </c>
      <c r="AK214">
        <v>93</v>
      </c>
      <c r="AL214" s="122">
        <v>4160</v>
      </c>
      <c r="AM214" s="122">
        <v>3782</v>
      </c>
      <c r="AN214" s="122">
        <v>5975</v>
      </c>
      <c r="AO214" s="122">
        <v>2213</v>
      </c>
      <c r="AP214" s="122">
        <v>1242</v>
      </c>
      <c r="AQ214">
        <v>460</v>
      </c>
      <c r="AR214" s="122">
        <v>7510</v>
      </c>
      <c r="AS214" s="122">
        <v>6828</v>
      </c>
      <c r="AT214">
        <v>0</v>
      </c>
      <c r="AU214">
        <v>0</v>
      </c>
      <c r="AV214" s="122">
        <v>35393</v>
      </c>
    </row>
    <row r="215" spans="2:48" ht="12.75" hidden="1" customHeight="1">
      <c r="B215" t="s">
        <v>364</v>
      </c>
      <c r="C215" t="s">
        <v>58</v>
      </c>
      <c r="F215">
        <v>4</v>
      </c>
      <c r="G215" s="122">
        <v>180</v>
      </c>
      <c r="H215" s="122">
        <v>931</v>
      </c>
      <c r="I215" s="122"/>
      <c r="J215" s="122">
        <v>0</v>
      </c>
      <c r="K215" s="122"/>
      <c r="L215" s="122"/>
      <c r="M215" s="122">
        <v>0</v>
      </c>
      <c r="N215" s="122">
        <v>3205</v>
      </c>
      <c r="O215" s="122">
        <v>1187</v>
      </c>
      <c r="P215" s="122">
        <v>0</v>
      </c>
      <c r="Q215" s="122">
        <v>0</v>
      </c>
      <c r="R215" s="122"/>
      <c r="S215" s="122">
        <v>0</v>
      </c>
      <c r="T215" s="122">
        <v>0</v>
      </c>
      <c r="U215" s="122">
        <v>0</v>
      </c>
      <c r="V215" s="122">
        <v>1187</v>
      </c>
      <c r="W215" s="122">
        <f t="shared" si="6"/>
        <v>1187</v>
      </c>
      <c r="X215" s="122">
        <f t="shared" si="7"/>
        <v>3205</v>
      </c>
      <c r="Y215" s="122"/>
      <c r="AA215" t="s">
        <v>52</v>
      </c>
      <c r="AB215" t="s">
        <v>406</v>
      </c>
      <c r="AC215" t="s">
        <v>426</v>
      </c>
      <c r="AD215" t="s">
        <v>137</v>
      </c>
      <c r="AE215" t="s">
        <v>566</v>
      </c>
      <c r="AF215">
        <v>1</v>
      </c>
      <c r="AG215">
        <v>132</v>
      </c>
      <c r="AH215">
        <v>109</v>
      </c>
      <c r="AI215" s="122">
        <v>5896</v>
      </c>
      <c r="AJ215" s="122">
        <v>5360</v>
      </c>
      <c r="AK215">
        <v>96</v>
      </c>
      <c r="AL215" s="122">
        <v>2094</v>
      </c>
      <c r="AM215" s="122">
        <v>1904</v>
      </c>
      <c r="AN215" s="122">
        <v>2285</v>
      </c>
      <c r="AO215">
        <v>846</v>
      </c>
      <c r="AP215">
        <v>621</v>
      </c>
      <c r="AQ215">
        <v>230</v>
      </c>
      <c r="AR215" s="122">
        <v>3508</v>
      </c>
      <c r="AS215" s="122">
        <v>1299</v>
      </c>
      <c r="AT215">
        <v>0</v>
      </c>
      <c r="AU215">
        <v>0</v>
      </c>
      <c r="AV215" s="122">
        <v>9640</v>
      </c>
    </row>
    <row r="216" spans="2:48" ht="12.75" hidden="1" customHeight="1">
      <c r="B216" t="s">
        <v>364</v>
      </c>
      <c r="C216" t="s">
        <v>58</v>
      </c>
      <c r="D216" t="s">
        <v>425</v>
      </c>
      <c r="E216" t="s">
        <v>425</v>
      </c>
      <c r="F216" s="122">
        <v>1</v>
      </c>
      <c r="G216" s="122">
        <v>92</v>
      </c>
      <c r="H216" s="122">
        <v>253</v>
      </c>
      <c r="I216" s="122">
        <v>11420</v>
      </c>
      <c r="J216" s="122">
        <v>10382</v>
      </c>
      <c r="K216" s="122">
        <v>65</v>
      </c>
      <c r="L216" s="122">
        <v>1568</v>
      </c>
      <c r="M216" s="122">
        <v>1426</v>
      </c>
      <c r="N216" s="122">
        <v>1567</v>
      </c>
      <c r="O216" s="122">
        <v>580</v>
      </c>
      <c r="P216" s="122">
        <v>473</v>
      </c>
      <c r="Q216" s="122">
        <v>175</v>
      </c>
      <c r="R216" s="122">
        <v>8243</v>
      </c>
      <c r="S216" s="122">
        <v>7493</v>
      </c>
      <c r="T216" s="122">
        <v>0</v>
      </c>
      <c r="U216" s="122">
        <v>0</v>
      </c>
      <c r="V216" s="122">
        <v>20056</v>
      </c>
      <c r="W216" s="122">
        <f t="shared" si="6"/>
        <v>20056</v>
      </c>
      <c r="X216" s="122">
        <f t="shared" si="7"/>
        <v>23271</v>
      </c>
      <c r="Y216" s="122"/>
      <c r="AA216" t="s">
        <v>52</v>
      </c>
      <c r="AB216" t="s">
        <v>406</v>
      </c>
      <c r="AC216" t="s">
        <v>426</v>
      </c>
      <c r="AD216" t="s">
        <v>406</v>
      </c>
      <c r="AE216" t="s">
        <v>137</v>
      </c>
      <c r="AF216">
        <v>112</v>
      </c>
      <c r="AG216" s="122">
        <v>13571</v>
      </c>
      <c r="AH216" s="122">
        <v>13272</v>
      </c>
      <c r="AI216" s="122">
        <v>717937</v>
      </c>
      <c r="AJ216" s="122">
        <v>652670</v>
      </c>
      <c r="AK216">
        <v>92</v>
      </c>
      <c r="AL216" s="122">
        <v>169458</v>
      </c>
      <c r="AM216" s="122">
        <v>154053</v>
      </c>
      <c r="AN216" s="122">
        <v>230674</v>
      </c>
      <c r="AO216" s="122">
        <v>85435</v>
      </c>
      <c r="AP216" s="122">
        <v>70336</v>
      </c>
      <c r="AQ216" s="122">
        <v>26050</v>
      </c>
      <c r="AR216" s="122">
        <v>418115</v>
      </c>
      <c r="AS216" s="122">
        <v>380104</v>
      </c>
      <c r="AT216" s="122">
        <v>32207</v>
      </c>
      <c r="AU216" s="122">
        <v>11929</v>
      </c>
      <c r="AV216" s="122">
        <v>1310241</v>
      </c>
    </row>
    <row r="217" spans="2:48" ht="12.75" hidden="1" customHeight="1">
      <c r="B217" t="s">
        <v>364</v>
      </c>
      <c r="C217" t="s">
        <v>58</v>
      </c>
      <c r="D217" t="s">
        <v>425</v>
      </c>
      <c r="E217" t="s">
        <v>406</v>
      </c>
      <c r="F217">
        <v>1</v>
      </c>
      <c r="G217">
        <v>106</v>
      </c>
      <c r="H217" s="122">
        <v>249</v>
      </c>
      <c r="I217" s="122">
        <v>13315</v>
      </c>
      <c r="J217" s="122">
        <v>12104</v>
      </c>
      <c r="K217" s="122">
        <v>86</v>
      </c>
      <c r="L217" s="122">
        <v>4368</v>
      </c>
      <c r="M217" s="122">
        <v>3640</v>
      </c>
      <c r="N217" s="122">
        <v>1286</v>
      </c>
      <c r="O217" s="122">
        <v>476</v>
      </c>
      <c r="P217" s="122">
        <v>621</v>
      </c>
      <c r="Q217" s="122">
        <v>230</v>
      </c>
      <c r="R217" s="122">
        <v>3923</v>
      </c>
      <c r="S217" s="122">
        <v>3566</v>
      </c>
      <c r="T217" s="122">
        <v>2765</v>
      </c>
      <c r="U217" s="122">
        <v>1024</v>
      </c>
      <c r="V217" s="122">
        <v>21041</v>
      </c>
      <c r="W217" s="122">
        <f t="shared" si="6"/>
        <v>21040</v>
      </c>
      <c r="X217" s="122">
        <f t="shared" si="7"/>
        <v>26278</v>
      </c>
      <c r="Y217" s="122"/>
      <c r="AA217" t="s">
        <v>52</v>
      </c>
      <c r="AB217" t="s">
        <v>406</v>
      </c>
      <c r="AC217" t="s">
        <v>426</v>
      </c>
      <c r="AD217" t="s">
        <v>406</v>
      </c>
      <c r="AE217" t="s">
        <v>566</v>
      </c>
      <c r="AF217">
        <v>797</v>
      </c>
      <c r="AG217" s="122">
        <v>92628</v>
      </c>
      <c r="AH217" s="122">
        <v>94082</v>
      </c>
      <c r="AI217" s="122">
        <v>4890828</v>
      </c>
      <c r="AJ217" s="122">
        <v>4446207</v>
      </c>
      <c r="AK217">
        <v>93</v>
      </c>
      <c r="AL217" s="122">
        <v>1052388</v>
      </c>
      <c r="AM217" s="122">
        <v>956717</v>
      </c>
      <c r="AN217" s="122">
        <v>1505443</v>
      </c>
      <c r="AO217" s="122">
        <v>557571</v>
      </c>
      <c r="AP217" s="122">
        <v>528727</v>
      </c>
      <c r="AQ217" s="122">
        <v>195825</v>
      </c>
      <c r="AR217" s="122">
        <v>3049078</v>
      </c>
      <c r="AS217" s="122">
        <v>2771889</v>
      </c>
      <c r="AT217">
        <v>0</v>
      </c>
      <c r="AU217">
        <v>0</v>
      </c>
      <c r="AV217" s="122">
        <v>8928209</v>
      </c>
    </row>
    <row r="218" spans="2:48" ht="12.75" hidden="1" customHeight="1">
      <c r="B218" t="s">
        <v>364</v>
      </c>
      <c r="C218" t="s">
        <v>58</v>
      </c>
      <c r="D218" t="s">
        <v>405</v>
      </c>
      <c r="E218" t="s">
        <v>405</v>
      </c>
      <c r="F218" s="122">
        <v>30</v>
      </c>
      <c r="G218" s="122">
        <v>2854</v>
      </c>
      <c r="H218" s="122">
        <v>7894</v>
      </c>
      <c r="I218" s="122">
        <v>429999</v>
      </c>
      <c r="J218" s="122">
        <v>390909</v>
      </c>
      <c r="K218" s="122">
        <v>78</v>
      </c>
      <c r="L218" s="122">
        <v>74537</v>
      </c>
      <c r="M218" s="122">
        <v>62421</v>
      </c>
      <c r="N218" s="122">
        <v>62452</v>
      </c>
      <c r="O218" s="122">
        <v>23130</v>
      </c>
      <c r="P218" s="122">
        <v>17373</v>
      </c>
      <c r="Q218" s="122">
        <v>6434</v>
      </c>
      <c r="R218" s="122">
        <v>137063</v>
      </c>
      <c r="S218" s="122">
        <v>124603</v>
      </c>
      <c r="T218" s="122">
        <v>51072</v>
      </c>
      <c r="U218" s="122">
        <v>18916</v>
      </c>
      <c r="V218" s="122">
        <v>626413</v>
      </c>
      <c r="W218" s="122">
        <f t="shared" si="6"/>
        <v>626413</v>
      </c>
      <c r="X218" s="122">
        <f t="shared" si="7"/>
        <v>772496</v>
      </c>
      <c r="Y218" s="122"/>
      <c r="AA218" t="s">
        <v>52</v>
      </c>
      <c r="AB218" t="s">
        <v>406</v>
      </c>
      <c r="AC218" t="s">
        <v>566</v>
      </c>
      <c r="AD218" t="s">
        <v>406</v>
      </c>
      <c r="AE218" t="s">
        <v>137</v>
      </c>
      <c r="AF218">
        <v>13</v>
      </c>
      <c r="AG218" s="122">
        <v>1484</v>
      </c>
      <c r="AH218" s="122">
        <v>1468</v>
      </c>
      <c r="AI218" s="122">
        <v>86833</v>
      </c>
      <c r="AJ218" s="122">
        <v>78939</v>
      </c>
      <c r="AK218">
        <v>91</v>
      </c>
      <c r="AL218">
        <v>0</v>
      </c>
      <c r="AM218" s="122">
        <v>4226</v>
      </c>
      <c r="AN218" s="122">
        <v>23222</v>
      </c>
      <c r="AO218" s="122">
        <v>8601</v>
      </c>
      <c r="AP218" s="122">
        <v>9566</v>
      </c>
      <c r="AQ218" s="122">
        <v>3543</v>
      </c>
      <c r="AR218" s="122">
        <v>40452</v>
      </c>
      <c r="AS218" s="122">
        <v>36774</v>
      </c>
      <c r="AT218" s="122">
        <v>11095</v>
      </c>
      <c r="AU218" s="122">
        <v>4109</v>
      </c>
      <c r="AV218" s="122">
        <v>136192</v>
      </c>
    </row>
    <row r="219" spans="2:48" ht="12.75" hidden="1" customHeight="1">
      <c r="B219" t="s">
        <v>364</v>
      </c>
      <c r="C219" t="s">
        <v>58</v>
      </c>
      <c r="D219" t="s">
        <v>405</v>
      </c>
      <c r="E219" t="s">
        <v>407</v>
      </c>
      <c r="F219" s="122">
        <v>3</v>
      </c>
      <c r="G219" s="122">
        <v>188</v>
      </c>
      <c r="H219" s="122">
        <v>758</v>
      </c>
      <c r="I219" s="122">
        <v>33994</v>
      </c>
      <c r="J219" s="122">
        <v>30904</v>
      </c>
      <c r="K219" s="122">
        <v>79</v>
      </c>
      <c r="L219" s="122">
        <v>3603</v>
      </c>
      <c r="M219" s="122">
        <v>3276</v>
      </c>
      <c r="N219" s="122">
        <v>5984</v>
      </c>
      <c r="O219" s="122">
        <v>2216</v>
      </c>
      <c r="P219" s="122">
        <v>1418</v>
      </c>
      <c r="Q219" s="122">
        <v>525</v>
      </c>
      <c r="R219" s="122">
        <v>9487</v>
      </c>
      <c r="S219" s="122">
        <v>8624</v>
      </c>
      <c r="T219" s="122">
        <v>6901</v>
      </c>
      <c r="U219" s="122">
        <v>2556</v>
      </c>
      <c r="V219" s="122">
        <v>48101</v>
      </c>
      <c r="W219" s="122">
        <f t="shared" si="6"/>
        <v>48101</v>
      </c>
      <c r="X219" s="122">
        <f t="shared" si="7"/>
        <v>61387</v>
      </c>
      <c r="Y219" s="122"/>
      <c r="AA219" t="s">
        <v>52</v>
      </c>
      <c r="AB219" t="s">
        <v>406</v>
      </c>
      <c r="AC219" t="s">
        <v>566</v>
      </c>
      <c r="AD219" t="s">
        <v>406</v>
      </c>
      <c r="AE219" t="s">
        <v>566</v>
      </c>
      <c r="AF219">
        <v>147</v>
      </c>
      <c r="AG219" s="122">
        <v>16154</v>
      </c>
      <c r="AH219" s="122">
        <v>16900</v>
      </c>
      <c r="AI219" s="122">
        <v>979869</v>
      </c>
      <c r="AJ219" s="122">
        <v>890790</v>
      </c>
      <c r="AK219">
        <v>93</v>
      </c>
      <c r="AL219">
        <v>0</v>
      </c>
      <c r="AM219" s="122">
        <v>12795</v>
      </c>
      <c r="AN219" s="122">
        <v>242944</v>
      </c>
      <c r="AO219" s="122">
        <v>89979</v>
      </c>
      <c r="AP219" s="122">
        <v>105070</v>
      </c>
      <c r="AQ219" s="122">
        <v>38915</v>
      </c>
      <c r="AR219" s="122">
        <v>558770</v>
      </c>
      <c r="AS219" s="122">
        <v>507973</v>
      </c>
      <c r="AT219">
        <v>0</v>
      </c>
      <c r="AU219">
        <v>0</v>
      </c>
      <c r="AV219" s="122">
        <v>1540452</v>
      </c>
    </row>
    <row r="220" spans="2:48" ht="12.75" hidden="1" customHeight="1">
      <c r="B220" t="s">
        <v>364</v>
      </c>
      <c r="C220" t="s">
        <v>58</v>
      </c>
      <c r="D220" t="s">
        <v>137</v>
      </c>
      <c r="E220" t="s">
        <v>137</v>
      </c>
      <c r="F220">
        <v>356</v>
      </c>
      <c r="G220" s="122">
        <v>35326</v>
      </c>
      <c r="H220" s="122">
        <v>93983</v>
      </c>
      <c r="I220" s="122">
        <v>5092523</v>
      </c>
      <c r="J220" s="122">
        <v>1886120</v>
      </c>
      <c r="K220">
        <v>100</v>
      </c>
      <c r="L220" s="122">
        <v>909777</v>
      </c>
      <c r="M220" s="122">
        <v>573675</v>
      </c>
      <c r="N220" s="122">
        <v>759781</v>
      </c>
      <c r="O220" s="122">
        <v>281400</v>
      </c>
      <c r="P220" s="122">
        <v>6864</v>
      </c>
      <c r="Q220" s="122">
        <v>2542</v>
      </c>
      <c r="R220" s="122">
        <v>2685496</v>
      </c>
      <c r="S220" s="122">
        <v>994628</v>
      </c>
      <c r="T220" s="122">
        <v>2245</v>
      </c>
      <c r="U220" s="122">
        <v>832</v>
      </c>
      <c r="V220" s="122">
        <v>3739197</v>
      </c>
      <c r="W220" s="122">
        <f t="shared" si="6"/>
        <v>3739197</v>
      </c>
      <c r="X220" s="122">
        <f t="shared" si="7"/>
        <v>9456686</v>
      </c>
      <c r="Y220" s="122"/>
      <c r="AA220" t="s">
        <v>52</v>
      </c>
      <c r="AB220" t="s">
        <v>406</v>
      </c>
      <c r="AC220" t="s">
        <v>481</v>
      </c>
      <c r="AD220" t="s">
        <v>406</v>
      </c>
      <c r="AE220" t="s">
        <v>566</v>
      </c>
      <c r="AF220">
        <v>4</v>
      </c>
      <c r="AG220">
        <v>506</v>
      </c>
      <c r="AH220">
        <v>487</v>
      </c>
      <c r="AI220" s="122">
        <v>27394</v>
      </c>
      <c r="AJ220" s="122">
        <v>24903</v>
      </c>
      <c r="AK220">
        <v>97</v>
      </c>
      <c r="AL220" s="122">
        <v>9841</v>
      </c>
      <c r="AM220" s="122">
        <v>8947</v>
      </c>
      <c r="AN220" s="122">
        <v>6163</v>
      </c>
      <c r="AO220" s="122">
        <v>2283</v>
      </c>
      <c r="AP220" s="122">
        <v>2484</v>
      </c>
      <c r="AQ220">
        <v>920</v>
      </c>
      <c r="AR220" s="122">
        <v>15644</v>
      </c>
      <c r="AS220" s="122">
        <v>14221</v>
      </c>
      <c r="AT220">
        <v>0</v>
      </c>
      <c r="AU220">
        <v>0</v>
      </c>
      <c r="AV220" s="122">
        <v>51274</v>
      </c>
    </row>
    <row r="221" spans="2:48" ht="12.75" hidden="1" customHeight="1">
      <c r="B221" t="s">
        <v>364</v>
      </c>
      <c r="C221" t="s">
        <v>58</v>
      </c>
      <c r="D221" t="s">
        <v>137</v>
      </c>
      <c r="E221" t="s">
        <v>406</v>
      </c>
      <c r="F221">
        <v>3</v>
      </c>
      <c r="G221" s="122">
        <v>319</v>
      </c>
      <c r="H221" s="122">
        <v>761</v>
      </c>
      <c r="I221" s="122">
        <v>44296</v>
      </c>
      <c r="J221" s="122">
        <v>16406</v>
      </c>
      <c r="K221" s="122">
        <v>100</v>
      </c>
      <c r="L221" s="122">
        <v>7610</v>
      </c>
      <c r="M221" s="122">
        <v>3593</v>
      </c>
      <c r="N221" s="122">
        <v>7367</v>
      </c>
      <c r="O221" s="122">
        <v>2729</v>
      </c>
      <c r="P221" s="122">
        <v>1242</v>
      </c>
      <c r="Q221" s="122">
        <v>460</v>
      </c>
      <c r="R221" s="122">
        <v>14479</v>
      </c>
      <c r="S221" s="122">
        <v>13163</v>
      </c>
      <c r="T221" s="122">
        <v>5385</v>
      </c>
      <c r="U221" s="122">
        <v>1994</v>
      </c>
      <c r="V221" s="122">
        <v>38344</v>
      </c>
      <c r="W221" s="122">
        <f t="shared" si="6"/>
        <v>38345</v>
      </c>
      <c r="X221" s="122">
        <f t="shared" si="7"/>
        <v>80379</v>
      </c>
      <c r="Y221" s="122"/>
      <c r="AA221" t="s">
        <v>52</v>
      </c>
      <c r="AB221" t="s">
        <v>406</v>
      </c>
      <c r="AC221" t="s">
        <v>433</v>
      </c>
      <c r="AD221" t="s">
        <v>406</v>
      </c>
      <c r="AE221" t="s">
        <v>137</v>
      </c>
      <c r="AF221">
        <v>4</v>
      </c>
      <c r="AG221">
        <v>585</v>
      </c>
      <c r="AH221">
        <v>468</v>
      </c>
      <c r="AI221" s="122">
        <v>31668</v>
      </c>
      <c r="AJ221" s="122">
        <v>28789</v>
      </c>
      <c r="AK221">
        <v>94</v>
      </c>
      <c r="AL221" s="122">
        <v>4862</v>
      </c>
      <c r="AM221" s="122">
        <v>4420</v>
      </c>
      <c r="AN221" s="122">
        <v>10435</v>
      </c>
      <c r="AO221" s="122">
        <v>3865</v>
      </c>
      <c r="AP221" s="122">
        <v>2133</v>
      </c>
      <c r="AQ221">
        <v>790</v>
      </c>
      <c r="AR221" s="122">
        <v>18540</v>
      </c>
      <c r="AS221" s="122">
        <v>16855</v>
      </c>
      <c r="AT221">
        <v>0</v>
      </c>
      <c r="AU221">
        <v>0</v>
      </c>
      <c r="AV221" s="122">
        <v>54718</v>
      </c>
    </row>
    <row r="222" spans="2:48" ht="12.75" hidden="1" customHeight="1">
      <c r="B222" t="s">
        <v>364</v>
      </c>
      <c r="C222" t="s">
        <v>58</v>
      </c>
      <c r="D222" t="s">
        <v>137</v>
      </c>
      <c r="E222" t="s">
        <v>556</v>
      </c>
      <c r="F222" s="122">
        <v>2</v>
      </c>
      <c r="G222" s="122">
        <v>151</v>
      </c>
      <c r="H222" s="122">
        <v>547</v>
      </c>
      <c r="I222" s="122">
        <v>22591</v>
      </c>
      <c r="J222" s="122">
        <v>8367</v>
      </c>
      <c r="K222">
        <v>100</v>
      </c>
      <c r="L222" s="122">
        <v>3334</v>
      </c>
      <c r="M222" s="122">
        <v>1825</v>
      </c>
      <c r="N222" s="122">
        <v>2428</v>
      </c>
      <c r="O222" s="122">
        <v>899</v>
      </c>
      <c r="P222" s="122">
        <v>0</v>
      </c>
      <c r="Q222" s="122">
        <v>0</v>
      </c>
      <c r="R222" s="122">
        <v>10830</v>
      </c>
      <c r="S222" s="122">
        <v>9025</v>
      </c>
      <c r="T222" s="122">
        <v>2123</v>
      </c>
      <c r="U222" s="122">
        <v>786</v>
      </c>
      <c r="V222" s="122">
        <v>20902</v>
      </c>
      <c r="W222" s="122">
        <f t="shared" si="6"/>
        <v>20902</v>
      </c>
      <c r="X222" s="122">
        <f t="shared" si="7"/>
        <v>41306</v>
      </c>
      <c r="Y222" s="122"/>
      <c r="AA222" t="s">
        <v>52</v>
      </c>
      <c r="AB222" t="s">
        <v>406</v>
      </c>
      <c r="AC222" t="s">
        <v>433</v>
      </c>
      <c r="AD222" t="s">
        <v>406</v>
      </c>
      <c r="AE222" t="s">
        <v>566</v>
      </c>
      <c r="AF222">
        <v>89</v>
      </c>
      <c r="AG222" s="122">
        <v>9707</v>
      </c>
      <c r="AH222" s="122">
        <v>10359</v>
      </c>
      <c r="AI222" s="122">
        <v>512230</v>
      </c>
      <c r="AJ222" s="122">
        <v>465664</v>
      </c>
      <c r="AK222">
        <v>92</v>
      </c>
      <c r="AL222" s="122">
        <v>96998</v>
      </c>
      <c r="AM222" s="122">
        <v>88180</v>
      </c>
      <c r="AN222" s="122">
        <v>142572</v>
      </c>
      <c r="AO222" s="122">
        <v>52804</v>
      </c>
      <c r="AP222" s="122">
        <v>59074</v>
      </c>
      <c r="AQ222" s="122">
        <v>21879</v>
      </c>
      <c r="AR222" s="122">
        <v>342529</v>
      </c>
      <c r="AS222" s="122">
        <v>311390</v>
      </c>
      <c r="AT222">
        <v>0</v>
      </c>
      <c r="AU222">
        <v>0</v>
      </c>
      <c r="AV222" s="122">
        <v>939918</v>
      </c>
    </row>
    <row r="223" spans="2:48" ht="12.75" hidden="1" customHeight="1">
      <c r="B223" t="s">
        <v>364</v>
      </c>
      <c r="C223" t="s">
        <v>58</v>
      </c>
      <c r="D223" t="s">
        <v>137</v>
      </c>
      <c r="E223" t="s">
        <v>426</v>
      </c>
      <c r="F223">
        <v>2</v>
      </c>
      <c r="G223" s="122">
        <v>158</v>
      </c>
      <c r="H223" s="122">
        <v>586</v>
      </c>
      <c r="I223" s="122">
        <v>23034</v>
      </c>
      <c r="J223" s="122">
        <v>8531</v>
      </c>
      <c r="K223" s="122">
        <v>100</v>
      </c>
      <c r="L223" s="122">
        <v>4472</v>
      </c>
      <c r="M223" s="122">
        <v>4065</v>
      </c>
      <c r="N223" s="122">
        <v>3544</v>
      </c>
      <c r="O223" s="122">
        <v>1313</v>
      </c>
      <c r="P223" s="122">
        <v>0</v>
      </c>
      <c r="Q223" s="122">
        <v>0</v>
      </c>
      <c r="R223" s="122">
        <v>10828</v>
      </c>
      <c r="S223" s="122">
        <v>9843</v>
      </c>
      <c r="T223" s="122">
        <v>4298</v>
      </c>
      <c r="U223" s="122">
        <v>1592</v>
      </c>
      <c r="V223" s="122">
        <v>25344</v>
      </c>
      <c r="W223" s="122">
        <f t="shared" si="6"/>
        <v>25344</v>
      </c>
      <c r="X223" s="122">
        <f t="shared" si="7"/>
        <v>46176</v>
      </c>
      <c r="Y223" s="122"/>
      <c r="AA223" t="s">
        <v>52</v>
      </c>
      <c r="AB223" t="s">
        <v>406</v>
      </c>
      <c r="AC223" t="s">
        <v>429</v>
      </c>
      <c r="AD223" t="s">
        <v>406</v>
      </c>
      <c r="AE223" t="s">
        <v>137</v>
      </c>
      <c r="AF223">
        <v>2</v>
      </c>
      <c r="AG223">
        <v>259</v>
      </c>
      <c r="AH223">
        <v>237</v>
      </c>
      <c r="AI223" s="122">
        <v>13142</v>
      </c>
      <c r="AJ223" s="122">
        <v>11947</v>
      </c>
      <c r="AK223">
        <v>95</v>
      </c>
      <c r="AL223" s="122">
        <v>2075</v>
      </c>
      <c r="AM223" s="122">
        <v>1886</v>
      </c>
      <c r="AN223" s="122">
        <v>3512</v>
      </c>
      <c r="AO223" s="122">
        <v>1301</v>
      </c>
      <c r="AP223" s="122">
        <v>1242</v>
      </c>
      <c r="AQ223">
        <v>460</v>
      </c>
      <c r="AR223" s="122">
        <v>7809</v>
      </c>
      <c r="AS223" s="122">
        <v>7099</v>
      </c>
      <c r="AT223" s="122">
        <v>3070</v>
      </c>
      <c r="AU223" s="122">
        <v>1137</v>
      </c>
      <c r="AV223" s="122">
        <v>23831</v>
      </c>
    </row>
    <row r="224" spans="2:48" ht="12.75" hidden="1" customHeight="1">
      <c r="B224" t="s">
        <v>364</v>
      </c>
      <c r="C224" t="s">
        <v>58</v>
      </c>
      <c r="D224" t="s">
        <v>406</v>
      </c>
      <c r="E224" t="s">
        <v>555</v>
      </c>
      <c r="F224">
        <v>1</v>
      </c>
      <c r="G224" s="122">
        <v>135</v>
      </c>
      <c r="H224" s="122">
        <v>247</v>
      </c>
      <c r="I224" s="122">
        <v>17547</v>
      </c>
      <c r="J224" s="122">
        <v>15952</v>
      </c>
      <c r="K224" s="122">
        <v>86</v>
      </c>
      <c r="L224" s="122">
        <v>5277</v>
      </c>
      <c r="M224" s="122">
        <v>4797</v>
      </c>
      <c r="N224" s="122">
        <v>2671</v>
      </c>
      <c r="O224" s="122">
        <v>989</v>
      </c>
      <c r="P224" s="122">
        <v>621</v>
      </c>
      <c r="Q224" s="122">
        <v>230</v>
      </c>
      <c r="R224" s="122">
        <v>4141</v>
      </c>
      <c r="S224" s="122">
        <v>3764</v>
      </c>
      <c r="T224" s="122">
        <v>2979</v>
      </c>
      <c r="U224" s="122">
        <v>1103</v>
      </c>
      <c r="V224" s="122">
        <v>26836</v>
      </c>
      <c r="W224" s="122">
        <f t="shared" si="6"/>
        <v>26835</v>
      </c>
      <c r="X224" s="122">
        <f t="shared" si="7"/>
        <v>33236</v>
      </c>
      <c r="Y224" s="122"/>
      <c r="AA224" t="s">
        <v>52</v>
      </c>
      <c r="AB224" t="s">
        <v>406</v>
      </c>
      <c r="AC224" t="s">
        <v>429</v>
      </c>
      <c r="AD224" t="s">
        <v>406</v>
      </c>
      <c r="AE224" t="s">
        <v>566</v>
      </c>
      <c r="AF224">
        <v>4</v>
      </c>
      <c r="AG224">
        <v>683</v>
      </c>
      <c r="AH224">
        <v>434</v>
      </c>
      <c r="AI224" s="122">
        <v>34703</v>
      </c>
      <c r="AJ224" s="122">
        <v>31548</v>
      </c>
      <c r="AK224">
        <v>94</v>
      </c>
      <c r="AL224" s="122">
        <v>5680</v>
      </c>
      <c r="AM224" s="122">
        <v>5163</v>
      </c>
      <c r="AN224" s="122">
        <v>11136</v>
      </c>
      <c r="AO224" s="122">
        <v>4124</v>
      </c>
      <c r="AP224" s="122">
        <v>5412</v>
      </c>
      <c r="AQ224" s="122">
        <v>2004</v>
      </c>
      <c r="AR224" s="122">
        <v>15446</v>
      </c>
      <c r="AS224" s="122">
        <v>14042</v>
      </c>
      <c r="AT224">
        <v>0</v>
      </c>
      <c r="AU224">
        <v>0</v>
      </c>
      <c r="AV224" s="122">
        <v>56882</v>
      </c>
    </row>
    <row r="225" spans="2:48" ht="12.75" customHeight="1">
      <c r="B225" t="s">
        <v>364</v>
      </c>
      <c r="C225" t="s">
        <v>58</v>
      </c>
      <c r="D225" t="s">
        <v>406</v>
      </c>
      <c r="E225" t="s">
        <v>137</v>
      </c>
      <c r="F225" s="122">
        <v>7</v>
      </c>
      <c r="G225" s="122">
        <v>636</v>
      </c>
      <c r="H225" s="122">
        <v>1963</v>
      </c>
      <c r="I225" s="122">
        <v>86301</v>
      </c>
      <c r="J225" s="122">
        <v>78456</v>
      </c>
      <c r="K225" s="122">
        <v>80</v>
      </c>
      <c r="L225" s="122">
        <v>13921</v>
      </c>
      <c r="M225" s="122">
        <v>10484</v>
      </c>
      <c r="N225" s="122">
        <v>11923</v>
      </c>
      <c r="O225" s="122">
        <v>4416</v>
      </c>
      <c r="P225" s="122">
        <v>3726</v>
      </c>
      <c r="Q225" s="122">
        <v>1380</v>
      </c>
      <c r="R225" s="122">
        <v>61982</v>
      </c>
      <c r="S225" s="122">
        <v>22956</v>
      </c>
      <c r="T225" s="122">
        <v>0</v>
      </c>
      <c r="U225" s="122">
        <v>0</v>
      </c>
      <c r="V225" s="122">
        <v>117692</v>
      </c>
      <c r="W225" s="122">
        <f t="shared" si="6"/>
        <v>117692</v>
      </c>
      <c r="X225" s="122">
        <f t="shared" si="7"/>
        <v>177853</v>
      </c>
      <c r="Y225" s="122"/>
      <c r="AA225" t="s">
        <v>52</v>
      </c>
      <c r="AB225" t="s">
        <v>407</v>
      </c>
      <c r="AC225" t="s">
        <v>578</v>
      </c>
      <c r="AD225" t="s">
        <v>407</v>
      </c>
      <c r="AE225" t="s">
        <v>137</v>
      </c>
      <c r="AF225">
        <v>4</v>
      </c>
      <c r="AG225">
        <v>476</v>
      </c>
      <c r="AH225">
        <v>487</v>
      </c>
      <c r="AI225" s="122">
        <v>29933</v>
      </c>
      <c r="AJ225" s="122">
        <v>27212</v>
      </c>
      <c r="AK225">
        <v>91</v>
      </c>
      <c r="AL225" s="122">
        <v>8258</v>
      </c>
      <c r="AM225" s="122">
        <v>7508</v>
      </c>
      <c r="AN225" s="122">
        <v>7889</v>
      </c>
      <c r="AO225" s="122">
        <v>2922</v>
      </c>
      <c r="AP225" s="122">
        <v>1890</v>
      </c>
      <c r="AQ225">
        <v>700</v>
      </c>
      <c r="AR225" s="122">
        <v>12797</v>
      </c>
      <c r="AS225" s="122">
        <v>11634</v>
      </c>
      <c r="AT225">
        <v>0</v>
      </c>
      <c r="AU225">
        <v>0</v>
      </c>
      <c r="AV225" s="122">
        <v>49975</v>
      </c>
    </row>
    <row r="226" spans="2:48" ht="12.75" customHeight="1">
      <c r="B226" t="s">
        <v>364</v>
      </c>
      <c r="C226" t="s">
        <v>58</v>
      </c>
      <c r="D226" t="s">
        <v>406</v>
      </c>
      <c r="E226" t="s">
        <v>406</v>
      </c>
      <c r="F226" s="122">
        <v>1510</v>
      </c>
      <c r="G226" s="122">
        <v>147183</v>
      </c>
      <c r="H226" s="122">
        <v>387501</v>
      </c>
      <c r="I226" s="122">
        <v>19952346</v>
      </c>
      <c r="J226" s="122">
        <v>18138496</v>
      </c>
      <c r="K226" s="122">
        <v>80</v>
      </c>
      <c r="L226" s="122">
        <v>4328096</v>
      </c>
      <c r="M226" s="122">
        <v>3721022</v>
      </c>
      <c r="N226" s="122">
        <v>2997069</v>
      </c>
      <c r="O226" s="122">
        <v>1110026</v>
      </c>
      <c r="P226" s="122">
        <v>983223</v>
      </c>
      <c r="Q226" s="122">
        <v>364157</v>
      </c>
      <c r="R226" s="122">
        <v>6736133</v>
      </c>
      <c r="S226" s="122">
        <v>6123757</v>
      </c>
      <c r="T226" s="122">
        <v>3072731</v>
      </c>
      <c r="U226" s="122">
        <v>1138048</v>
      </c>
      <c r="V226" s="122">
        <v>30595506</v>
      </c>
      <c r="W226" s="122">
        <f t="shared" si="6"/>
        <v>30595506</v>
      </c>
      <c r="X226" s="122">
        <f t="shared" si="7"/>
        <v>38069598</v>
      </c>
      <c r="Y226" s="122"/>
      <c r="AA226" t="s">
        <v>52</v>
      </c>
      <c r="AB226" t="s">
        <v>407</v>
      </c>
      <c r="AC226" t="s">
        <v>578</v>
      </c>
      <c r="AD226" t="s">
        <v>407</v>
      </c>
      <c r="AE226" t="s">
        <v>566</v>
      </c>
      <c r="AF226">
        <v>3</v>
      </c>
      <c r="AG226">
        <v>399</v>
      </c>
      <c r="AH226">
        <v>340</v>
      </c>
      <c r="AI226" s="122">
        <v>22438</v>
      </c>
      <c r="AJ226" s="122">
        <v>20399</v>
      </c>
      <c r="AK226">
        <v>90</v>
      </c>
      <c r="AL226" s="122">
        <v>5281</v>
      </c>
      <c r="AM226" s="122">
        <v>4801</v>
      </c>
      <c r="AN226" s="122">
        <v>5198</v>
      </c>
      <c r="AO226" s="122">
        <v>1925</v>
      </c>
      <c r="AP226" s="122">
        <v>1418</v>
      </c>
      <c r="AQ226">
        <v>525</v>
      </c>
      <c r="AR226" s="122">
        <v>11216</v>
      </c>
      <c r="AS226" s="122">
        <v>10196</v>
      </c>
      <c r="AT226">
        <v>0</v>
      </c>
      <c r="AU226">
        <v>0</v>
      </c>
      <c r="AV226" s="122">
        <v>37847</v>
      </c>
    </row>
    <row r="227" spans="2:48" ht="12.75" hidden="1" customHeight="1">
      <c r="B227" t="s">
        <v>364</v>
      </c>
      <c r="C227" t="s">
        <v>58</v>
      </c>
      <c r="D227" t="s">
        <v>406</v>
      </c>
      <c r="E227" t="s">
        <v>428</v>
      </c>
      <c r="F227" s="122">
        <v>1</v>
      </c>
      <c r="G227" s="122">
        <v>101</v>
      </c>
      <c r="H227" s="122">
        <v>292</v>
      </c>
      <c r="I227" s="122">
        <v>16786</v>
      </c>
      <c r="J227" s="122">
        <v>15260</v>
      </c>
      <c r="K227" s="122">
        <v>70</v>
      </c>
      <c r="L227" s="122">
        <v>2067</v>
      </c>
      <c r="M227" s="122">
        <v>1879</v>
      </c>
      <c r="N227" s="122">
        <v>1235</v>
      </c>
      <c r="O227" s="122">
        <v>457</v>
      </c>
      <c r="P227" s="122">
        <v>621</v>
      </c>
      <c r="Q227" s="122">
        <v>230</v>
      </c>
      <c r="R227" s="122">
        <v>6493</v>
      </c>
      <c r="S227" s="122">
        <v>5903</v>
      </c>
      <c r="T227" s="122">
        <v>2445</v>
      </c>
      <c r="U227" s="122">
        <v>906</v>
      </c>
      <c r="V227" s="122">
        <v>24636</v>
      </c>
      <c r="W227" s="122">
        <f t="shared" si="6"/>
        <v>24635</v>
      </c>
      <c r="X227" s="122">
        <f t="shared" si="7"/>
        <v>29647</v>
      </c>
      <c r="Y227" s="122"/>
      <c r="AA227" t="s">
        <v>52</v>
      </c>
      <c r="AB227" t="s">
        <v>407</v>
      </c>
      <c r="AC227" t="s">
        <v>425</v>
      </c>
      <c r="AD227" t="s">
        <v>407</v>
      </c>
      <c r="AE227" t="s">
        <v>566</v>
      </c>
      <c r="AF227">
        <v>1</v>
      </c>
      <c r="AG227">
        <v>141</v>
      </c>
      <c r="AH227">
        <v>123</v>
      </c>
      <c r="AI227" s="122">
        <v>9972</v>
      </c>
      <c r="AJ227" s="122">
        <v>9066</v>
      </c>
      <c r="AK227">
        <v>91</v>
      </c>
      <c r="AL227" s="122">
        <v>1651</v>
      </c>
      <c r="AM227" s="122">
        <v>1501</v>
      </c>
      <c r="AN227" s="122">
        <v>1716</v>
      </c>
      <c r="AO227">
        <v>636</v>
      </c>
      <c r="AP227">
        <v>473</v>
      </c>
      <c r="AQ227">
        <v>175</v>
      </c>
      <c r="AR227" s="122">
        <v>3535</v>
      </c>
      <c r="AS227" s="122">
        <v>3214</v>
      </c>
      <c r="AT227">
        <v>0</v>
      </c>
      <c r="AU227">
        <v>0</v>
      </c>
      <c r="AV227" s="122">
        <v>14591</v>
      </c>
    </row>
    <row r="228" spans="2:48" ht="12.75" hidden="1" customHeight="1">
      <c r="B228" t="s">
        <v>364</v>
      </c>
      <c r="C228" t="s">
        <v>58</v>
      </c>
      <c r="D228" t="s">
        <v>406</v>
      </c>
      <c r="E228" t="s">
        <v>426</v>
      </c>
      <c r="F228">
        <v>1</v>
      </c>
      <c r="G228">
        <v>137</v>
      </c>
      <c r="H228" s="122">
        <v>230</v>
      </c>
      <c r="I228" s="122">
        <v>20212</v>
      </c>
      <c r="J228" s="122">
        <v>18374</v>
      </c>
      <c r="K228" s="122">
        <v>65</v>
      </c>
      <c r="L228" s="122">
        <v>2523</v>
      </c>
      <c r="M228" s="122">
        <v>2294</v>
      </c>
      <c r="N228" s="122">
        <v>3744</v>
      </c>
      <c r="O228" s="122">
        <v>1387</v>
      </c>
      <c r="P228">
        <v>621</v>
      </c>
      <c r="Q228" s="122">
        <v>230</v>
      </c>
      <c r="R228" s="122">
        <v>5376</v>
      </c>
      <c r="S228" s="122">
        <v>4887</v>
      </c>
      <c r="T228" s="122">
        <v>2926</v>
      </c>
      <c r="U228" s="122">
        <v>1084</v>
      </c>
      <c r="V228" s="122">
        <v>28256</v>
      </c>
      <c r="W228" s="122">
        <f t="shared" si="6"/>
        <v>28256</v>
      </c>
      <c r="X228" s="122">
        <f t="shared" si="7"/>
        <v>35402</v>
      </c>
      <c r="Y228" s="122"/>
      <c r="AA228" t="s">
        <v>52</v>
      </c>
      <c r="AB228" t="s">
        <v>407</v>
      </c>
      <c r="AC228" t="s">
        <v>405</v>
      </c>
      <c r="AD228" t="s">
        <v>407</v>
      </c>
      <c r="AE228" t="s">
        <v>566</v>
      </c>
      <c r="AF228">
        <v>1</v>
      </c>
      <c r="AG228">
        <v>165</v>
      </c>
      <c r="AH228">
        <v>121</v>
      </c>
      <c r="AI228" s="122">
        <v>11952</v>
      </c>
      <c r="AJ228" s="122">
        <v>10865</v>
      </c>
      <c r="AK228">
        <v>93</v>
      </c>
      <c r="AL228" s="122">
        <v>1719</v>
      </c>
      <c r="AM228" s="122">
        <v>1562</v>
      </c>
      <c r="AN228" s="122">
        <v>2011</v>
      </c>
      <c r="AO228">
        <v>745</v>
      </c>
      <c r="AP228">
        <v>473</v>
      </c>
      <c r="AQ228">
        <v>175</v>
      </c>
      <c r="AR228" s="122">
        <v>3838</v>
      </c>
      <c r="AS228" s="122">
        <v>3489</v>
      </c>
      <c r="AT228">
        <v>0</v>
      </c>
      <c r="AU228">
        <v>0</v>
      </c>
      <c r="AV228" s="122">
        <v>16836</v>
      </c>
    </row>
    <row r="229" spans="2:48" ht="12.75" hidden="1" customHeight="1">
      <c r="B229" t="s">
        <v>364</v>
      </c>
      <c r="C229" t="s">
        <v>58</v>
      </c>
      <c r="D229" t="s">
        <v>427</v>
      </c>
      <c r="E229" t="s">
        <v>406</v>
      </c>
      <c r="F229" s="122">
        <v>1</v>
      </c>
      <c r="G229" s="122">
        <v>81</v>
      </c>
      <c r="H229" s="122">
        <v>283</v>
      </c>
      <c r="I229" s="122">
        <v>12271</v>
      </c>
      <c r="J229" s="122">
        <v>11155</v>
      </c>
      <c r="K229" s="122">
        <v>65</v>
      </c>
      <c r="L229" s="122">
        <v>2954</v>
      </c>
      <c r="M229" s="122">
        <v>2686</v>
      </c>
      <c r="N229" s="122">
        <v>987</v>
      </c>
      <c r="O229" s="122">
        <v>366</v>
      </c>
      <c r="P229" s="122">
        <v>351</v>
      </c>
      <c r="Q229" s="122">
        <v>130</v>
      </c>
      <c r="R229" s="122">
        <v>4157</v>
      </c>
      <c r="S229" s="122">
        <v>3779</v>
      </c>
      <c r="T229" s="122">
        <v>2179</v>
      </c>
      <c r="U229" s="122">
        <v>807</v>
      </c>
      <c r="V229" s="122">
        <v>18923</v>
      </c>
      <c r="W229" s="122">
        <f t="shared" si="6"/>
        <v>18923</v>
      </c>
      <c r="X229" s="122">
        <f t="shared" si="7"/>
        <v>22899</v>
      </c>
      <c r="Y229" s="122"/>
      <c r="AA229" t="s">
        <v>52</v>
      </c>
      <c r="AB229" t="s">
        <v>407</v>
      </c>
      <c r="AC229" t="s">
        <v>137</v>
      </c>
      <c r="AD229" t="s">
        <v>407</v>
      </c>
      <c r="AE229" t="s">
        <v>137</v>
      </c>
      <c r="AF229">
        <v>27</v>
      </c>
      <c r="AG229" s="122">
        <v>2844</v>
      </c>
      <c r="AH229" s="122">
        <v>3223</v>
      </c>
      <c r="AI229" s="122">
        <v>134060</v>
      </c>
      <c r="AJ229" s="122">
        <v>121873</v>
      </c>
      <c r="AK229">
        <v>89</v>
      </c>
      <c r="AL229" s="122">
        <v>32237</v>
      </c>
      <c r="AM229" s="122">
        <v>11940</v>
      </c>
      <c r="AN229" s="122">
        <v>51024</v>
      </c>
      <c r="AO229" s="122">
        <v>18898</v>
      </c>
      <c r="AP229" s="122">
        <v>15012</v>
      </c>
      <c r="AQ229" s="122">
        <v>5560</v>
      </c>
      <c r="AR229" s="122">
        <v>103544</v>
      </c>
      <c r="AS229" s="122">
        <v>94131</v>
      </c>
      <c r="AT229" s="122">
        <v>11891</v>
      </c>
      <c r="AU229" s="122">
        <v>4404</v>
      </c>
      <c r="AV229" s="122">
        <v>256805</v>
      </c>
    </row>
    <row r="230" spans="2:48" ht="12.75" hidden="1" customHeight="1">
      <c r="B230" t="s">
        <v>364</v>
      </c>
      <c r="C230" t="s">
        <v>58</v>
      </c>
      <c r="D230" t="s">
        <v>427</v>
      </c>
      <c r="E230" t="s">
        <v>427</v>
      </c>
      <c r="F230">
        <v>57</v>
      </c>
      <c r="G230" s="122">
        <v>4843</v>
      </c>
      <c r="H230" s="122">
        <v>15386</v>
      </c>
      <c r="I230" s="122">
        <v>725385</v>
      </c>
      <c r="J230" s="122">
        <v>659441</v>
      </c>
      <c r="K230" s="122">
        <v>60</v>
      </c>
      <c r="L230" s="122">
        <v>89042</v>
      </c>
      <c r="M230" s="122">
        <v>63753</v>
      </c>
      <c r="N230" s="122">
        <v>90068</v>
      </c>
      <c r="O230" s="122">
        <v>33359</v>
      </c>
      <c r="P230" s="122">
        <v>20270</v>
      </c>
      <c r="Q230" s="122">
        <v>7507</v>
      </c>
      <c r="R230" s="122">
        <v>269694</v>
      </c>
      <c r="S230" s="122">
        <v>245176</v>
      </c>
      <c r="T230" s="122">
        <v>123519</v>
      </c>
      <c r="U230" s="122">
        <v>45748</v>
      </c>
      <c r="V230" s="122">
        <v>1054985</v>
      </c>
      <c r="W230" s="122">
        <f t="shared" si="6"/>
        <v>1054984</v>
      </c>
      <c r="X230" s="122">
        <f t="shared" si="7"/>
        <v>1317978</v>
      </c>
      <c r="Y230" s="122"/>
      <c r="AA230" t="s">
        <v>52</v>
      </c>
      <c r="AB230" t="s">
        <v>407</v>
      </c>
      <c r="AC230" t="s">
        <v>137</v>
      </c>
      <c r="AD230" t="s">
        <v>407</v>
      </c>
      <c r="AE230" t="s">
        <v>566</v>
      </c>
      <c r="AF230">
        <v>317</v>
      </c>
      <c r="AG230" s="122">
        <v>34269</v>
      </c>
      <c r="AH230" s="122">
        <v>36643</v>
      </c>
      <c r="AI230" s="122">
        <v>1584152</v>
      </c>
      <c r="AJ230" s="122">
        <v>1440138</v>
      </c>
      <c r="AK230">
        <v>89</v>
      </c>
      <c r="AL230" s="122">
        <v>435796</v>
      </c>
      <c r="AM230" s="122">
        <v>161406</v>
      </c>
      <c r="AN230" s="122">
        <v>656071</v>
      </c>
      <c r="AO230" s="122">
        <v>242989</v>
      </c>
      <c r="AP230" s="122">
        <v>168642</v>
      </c>
      <c r="AQ230" s="122">
        <v>62460</v>
      </c>
      <c r="AR230" s="122">
        <v>1269389</v>
      </c>
      <c r="AS230" s="122">
        <v>1153990</v>
      </c>
      <c r="AT230">
        <v>0</v>
      </c>
      <c r="AU230">
        <v>0</v>
      </c>
      <c r="AV230" s="122">
        <v>3060984</v>
      </c>
    </row>
    <row r="231" spans="2:48" ht="12.75" hidden="1" customHeight="1">
      <c r="B231" t="s">
        <v>364</v>
      </c>
      <c r="C231" t="s">
        <v>58</v>
      </c>
      <c r="D231" t="s">
        <v>407</v>
      </c>
      <c r="E231" t="s">
        <v>137</v>
      </c>
      <c r="F231" s="122">
        <v>2</v>
      </c>
      <c r="G231" s="122">
        <v>276</v>
      </c>
      <c r="H231" s="122">
        <v>512</v>
      </c>
      <c r="I231" s="122">
        <v>35463</v>
      </c>
      <c r="J231" s="122">
        <v>32240</v>
      </c>
      <c r="K231" s="122">
        <v>79</v>
      </c>
      <c r="L231" s="122">
        <v>10137</v>
      </c>
      <c r="M231" s="122">
        <v>9215</v>
      </c>
      <c r="N231" s="122">
        <v>5907</v>
      </c>
      <c r="O231" s="122">
        <v>2188</v>
      </c>
      <c r="P231" s="122">
        <v>1764</v>
      </c>
      <c r="Q231" s="122">
        <v>653</v>
      </c>
      <c r="R231" s="122">
        <v>16066</v>
      </c>
      <c r="S231" s="122">
        <v>5950</v>
      </c>
      <c r="T231" s="122">
        <v>0</v>
      </c>
      <c r="U231" s="122">
        <v>0</v>
      </c>
      <c r="V231" s="122">
        <v>50246</v>
      </c>
      <c r="W231" s="122">
        <f t="shared" si="6"/>
        <v>50246</v>
      </c>
      <c r="X231" s="122">
        <f t="shared" si="7"/>
        <v>69337</v>
      </c>
      <c r="Y231" s="122"/>
      <c r="AA231" t="s">
        <v>52</v>
      </c>
      <c r="AB231" t="s">
        <v>407</v>
      </c>
      <c r="AC231" t="s">
        <v>427</v>
      </c>
      <c r="AD231" t="s">
        <v>407</v>
      </c>
      <c r="AE231" t="s">
        <v>137</v>
      </c>
      <c r="AF231">
        <v>39</v>
      </c>
      <c r="AG231" s="122">
        <v>4659</v>
      </c>
      <c r="AH231" s="122">
        <v>4428</v>
      </c>
      <c r="AI231" s="122">
        <v>216627</v>
      </c>
      <c r="AJ231" s="122">
        <v>196934</v>
      </c>
      <c r="AK231">
        <v>90</v>
      </c>
      <c r="AL231" s="122">
        <v>68121</v>
      </c>
      <c r="AM231" s="122">
        <v>61928</v>
      </c>
      <c r="AN231" s="122">
        <v>66511</v>
      </c>
      <c r="AO231" s="122">
        <v>24634</v>
      </c>
      <c r="AP231" s="122">
        <v>20035</v>
      </c>
      <c r="AQ231" s="122">
        <v>7420</v>
      </c>
      <c r="AR231" s="122">
        <v>154808</v>
      </c>
      <c r="AS231" s="122">
        <v>140735</v>
      </c>
      <c r="AT231" s="122">
        <v>2092</v>
      </c>
      <c r="AU231">
        <v>775</v>
      </c>
      <c r="AV231" s="122">
        <v>432426</v>
      </c>
    </row>
    <row r="232" spans="2:48" ht="12.75" hidden="1" customHeight="1">
      <c r="B232" t="s">
        <v>364</v>
      </c>
      <c r="C232" t="s">
        <v>58</v>
      </c>
      <c r="D232" t="s">
        <v>407</v>
      </c>
      <c r="E232" s="122" t="s">
        <v>406</v>
      </c>
      <c r="F232" s="122">
        <v>1</v>
      </c>
      <c r="G232" s="122">
        <v>84</v>
      </c>
      <c r="H232" s="122">
        <v>261</v>
      </c>
      <c r="I232" s="122">
        <v>12280</v>
      </c>
      <c r="J232" s="122">
        <v>11164</v>
      </c>
      <c r="K232" s="122">
        <v>79</v>
      </c>
      <c r="L232" s="122">
        <v>1760</v>
      </c>
      <c r="M232" s="122">
        <v>1600</v>
      </c>
      <c r="N232" s="122">
        <v>1852</v>
      </c>
      <c r="O232" s="122">
        <v>686</v>
      </c>
      <c r="P232" s="122">
        <v>473</v>
      </c>
      <c r="Q232" s="122">
        <v>175</v>
      </c>
      <c r="R232" s="122">
        <v>5449</v>
      </c>
      <c r="S232" s="122">
        <v>4954</v>
      </c>
      <c r="T232" s="122">
        <v>0</v>
      </c>
      <c r="U232" s="122">
        <v>0</v>
      </c>
      <c r="V232" s="122">
        <v>18578</v>
      </c>
      <c r="W232" s="122">
        <f t="shared" si="6"/>
        <v>18579</v>
      </c>
      <c r="X232" s="122">
        <f t="shared" si="7"/>
        <v>21814</v>
      </c>
      <c r="Y232" s="122"/>
      <c r="AA232" t="s">
        <v>52</v>
      </c>
      <c r="AB232" t="s">
        <v>407</v>
      </c>
      <c r="AC232" t="s">
        <v>427</v>
      </c>
      <c r="AD232" t="s">
        <v>407</v>
      </c>
      <c r="AE232" t="s">
        <v>566</v>
      </c>
      <c r="AF232">
        <v>169</v>
      </c>
      <c r="AG232" s="122">
        <v>21547</v>
      </c>
      <c r="AH232" s="122">
        <v>19567</v>
      </c>
      <c r="AI232" s="122">
        <v>1068907</v>
      </c>
      <c r="AJ232" s="122">
        <v>971733</v>
      </c>
      <c r="AK232">
        <v>87</v>
      </c>
      <c r="AL232" s="122">
        <v>291490</v>
      </c>
      <c r="AM232" s="122">
        <v>264991</v>
      </c>
      <c r="AN232" s="122">
        <v>377025</v>
      </c>
      <c r="AO232" s="122">
        <v>139639</v>
      </c>
      <c r="AP232" s="122">
        <v>75101</v>
      </c>
      <c r="AQ232" s="122">
        <v>27815</v>
      </c>
      <c r="AR232" s="122">
        <v>720766</v>
      </c>
      <c r="AS232" s="122">
        <v>655242</v>
      </c>
      <c r="AT232">
        <v>0</v>
      </c>
      <c r="AU232">
        <v>0</v>
      </c>
      <c r="AV232" s="122">
        <v>2059420</v>
      </c>
    </row>
    <row r="233" spans="2:48" ht="12.75" hidden="1" customHeight="1">
      <c r="B233" t="s">
        <v>364</v>
      </c>
      <c r="C233" t="s">
        <v>58</v>
      </c>
      <c r="D233" t="s">
        <v>407</v>
      </c>
      <c r="E233" t="s">
        <v>407</v>
      </c>
      <c r="F233">
        <v>233</v>
      </c>
      <c r="G233" s="122">
        <v>21459</v>
      </c>
      <c r="H233" s="122">
        <v>57377</v>
      </c>
      <c r="I233" s="122">
        <v>2603674</v>
      </c>
      <c r="J233" s="122">
        <v>2366977</v>
      </c>
      <c r="K233" s="122">
        <v>79</v>
      </c>
      <c r="L233" s="122">
        <v>742799</v>
      </c>
      <c r="M233" s="122">
        <v>665124</v>
      </c>
      <c r="N233" s="122">
        <v>449522</v>
      </c>
      <c r="O233" s="122">
        <v>166490</v>
      </c>
      <c r="P233" s="122">
        <v>111726</v>
      </c>
      <c r="Q233" s="122">
        <v>41380</v>
      </c>
      <c r="R233" s="122">
        <v>1028887</v>
      </c>
      <c r="S233" s="122">
        <v>935352</v>
      </c>
      <c r="T233" s="122">
        <v>373990</v>
      </c>
      <c r="U233" s="122">
        <v>138515</v>
      </c>
      <c r="V233" s="122">
        <v>4313837</v>
      </c>
      <c r="W233" s="122">
        <f t="shared" si="6"/>
        <v>4313838</v>
      </c>
      <c r="X233" s="122">
        <f t="shared" si="7"/>
        <v>5310598</v>
      </c>
      <c r="Y233" s="122"/>
      <c r="AA233" t="s">
        <v>52</v>
      </c>
      <c r="AB233" t="s">
        <v>407</v>
      </c>
      <c r="AC233" t="s">
        <v>407</v>
      </c>
      <c r="AD233" t="s">
        <v>137</v>
      </c>
      <c r="AE233" t="s">
        <v>566</v>
      </c>
      <c r="AF233">
        <v>1</v>
      </c>
      <c r="AG233">
        <v>142</v>
      </c>
      <c r="AH233">
        <v>115</v>
      </c>
      <c r="AI233" s="122">
        <v>8460</v>
      </c>
      <c r="AJ233" s="122">
        <v>7691</v>
      </c>
      <c r="AK233">
        <v>91</v>
      </c>
      <c r="AL233" s="122">
        <v>1477</v>
      </c>
      <c r="AM233" s="122">
        <v>1342</v>
      </c>
      <c r="AN233" s="122">
        <v>2363</v>
      </c>
      <c r="AO233">
        <v>875</v>
      </c>
      <c r="AP233">
        <v>473</v>
      </c>
      <c r="AQ233">
        <v>175</v>
      </c>
      <c r="AR233" s="122">
        <v>3547</v>
      </c>
      <c r="AS233" s="122">
        <v>1314</v>
      </c>
      <c r="AT233">
        <v>0</v>
      </c>
      <c r="AU233">
        <v>0</v>
      </c>
      <c r="AV233" s="122">
        <v>11397</v>
      </c>
    </row>
    <row r="234" spans="2:48" ht="12.75" hidden="1" customHeight="1">
      <c r="B234" t="s">
        <v>364</v>
      </c>
      <c r="C234" t="s">
        <v>58</v>
      </c>
      <c r="D234" t="s">
        <v>556</v>
      </c>
      <c r="E234" t="s">
        <v>406</v>
      </c>
      <c r="F234" s="122">
        <v>1</v>
      </c>
      <c r="G234" s="122">
        <v>93</v>
      </c>
      <c r="H234" s="122">
        <v>266</v>
      </c>
      <c r="I234" s="122">
        <v>15063</v>
      </c>
      <c r="J234" s="122">
        <v>12552</v>
      </c>
      <c r="K234" s="122">
        <v>55</v>
      </c>
      <c r="L234" s="122">
        <v>987</v>
      </c>
      <c r="M234" s="122">
        <v>897</v>
      </c>
      <c r="N234" s="122">
        <v>2255</v>
      </c>
      <c r="O234" s="122">
        <v>835</v>
      </c>
      <c r="P234" s="122">
        <v>621</v>
      </c>
      <c r="Q234" s="122">
        <v>230</v>
      </c>
      <c r="R234" s="122">
        <v>3308</v>
      </c>
      <c r="S234" s="122">
        <v>3007</v>
      </c>
      <c r="T234" s="122">
        <v>2332</v>
      </c>
      <c r="U234" s="122">
        <v>864</v>
      </c>
      <c r="V234" s="122">
        <v>18385</v>
      </c>
      <c r="W234" s="122">
        <f t="shared" si="6"/>
        <v>18385</v>
      </c>
      <c r="X234" s="122">
        <f t="shared" si="7"/>
        <v>24566</v>
      </c>
      <c r="Y234" s="122"/>
      <c r="AA234" t="s">
        <v>52</v>
      </c>
      <c r="AB234" t="s">
        <v>407</v>
      </c>
      <c r="AC234" t="s">
        <v>407</v>
      </c>
      <c r="AD234" t="s">
        <v>407</v>
      </c>
      <c r="AE234" t="s">
        <v>137</v>
      </c>
      <c r="AF234">
        <v>112</v>
      </c>
      <c r="AG234" s="122">
        <v>15125</v>
      </c>
      <c r="AH234" s="122">
        <v>13229</v>
      </c>
      <c r="AI234" s="122">
        <v>830098</v>
      </c>
      <c r="AJ234" s="122">
        <v>754635</v>
      </c>
      <c r="AK234">
        <v>88</v>
      </c>
      <c r="AL234" s="122">
        <v>126552</v>
      </c>
      <c r="AM234" s="122">
        <v>115047</v>
      </c>
      <c r="AN234" s="122">
        <v>286115</v>
      </c>
      <c r="AO234" s="122">
        <v>105968</v>
      </c>
      <c r="AP234" s="122">
        <v>63729</v>
      </c>
      <c r="AQ234" s="122">
        <v>23603</v>
      </c>
      <c r="AR234" s="122">
        <v>451025</v>
      </c>
      <c r="AS234" s="122">
        <v>410022</v>
      </c>
      <c r="AT234" s="122">
        <v>100455</v>
      </c>
      <c r="AU234" s="122">
        <v>37206</v>
      </c>
      <c r="AV234" s="122">
        <v>1446481</v>
      </c>
    </row>
    <row r="235" spans="2:48" ht="12.75" hidden="1" customHeight="1">
      <c r="B235" t="s">
        <v>364</v>
      </c>
      <c r="C235" t="s">
        <v>58</v>
      </c>
      <c r="D235" t="s">
        <v>556</v>
      </c>
      <c r="E235" t="s">
        <v>556</v>
      </c>
      <c r="F235">
        <v>102</v>
      </c>
      <c r="G235" s="122">
        <v>8536</v>
      </c>
      <c r="H235" s="122">
        <v>27676</v>
      </c>
      <c r="I235" s="122">
        <v>1259265</v>
      </c>
      <c r="J235" s="122">
        <v>1049388</v>
      </c>
      <c r="K235" s="122">
        <v>64</v>
      </c>
      <c r="L235" s="122">
        <v>143754</v>
      </c>
      <c r="M235" s="122">
        <v>108049</v>
      </c>
      <c r="N235" s="122">
        <v>160275</v>
      </c>
      <c r="O235" s="122">
        <v>59361</v>
      </c>
      <c r="P235" s="122">
        <v>37206</v>
      </c>
      <c r="Q235" s="122">
        <v>13780</v>
      </c>
      <c r="R235" s="122">
        <v>492202</v>
      </c>
      <c r="S235" s="122">
        <v>410169</v>
      </c>
      <c r="T235" s="122">
        <v>222592</v>
      </c>
      <c r="U235" s="122">
        <v>82442</v>
      </c>
      <c r="V235" s="122">
        <v>1723188</v>
      </c>
      <c r="W235" s="122">
        <f t="shared" si="6"/>
        <v>1723189</v>
      </c>
      <c r="X235" s="122">
        <f t="shared" si="7"/>
        <v>2315294</v>
      </c>
      <c r="Y235" s="122"/>
      <c r="AA235" t="s">
        <v>52</v>
      </c>
      <c r="AB235" t="s">
        <v>407</v>
      </c>
      <c r="AC235" t="s">
        <v>407</v>
      </c>
      <c r="AD235" t="s">
        <v>407</v>
      </c>
      <c r="AE235" t="s">
        <v>566</v>
      </c>
      <c r="AF235" s="122">
        <v>1355</v>
      </c>
      <c r="AG235" s="122">
        <v>170556</v>
      </c>
      <c r="AH235" s="122">
        <v>158175</v>
      </c>
      <c r="AI235" s="122">
        <v>9250151</v>
      </c>
      <c r="AJ235" s="122">
        <v>8409228</v>
      </c>
      <c r="AK235">
        <v>89</v>
      </c>
      <c r="AL235" s="122">
        <v>1675931</v>
      </c>
      <c r="AM235" s="122">
        <v>1523573</v>
      </c>
      <c r="AN235" s="122">
        <v>2913939</v>
      </c>
      <c r="AO235" s="122">
        <v>1079237</v>
      </c>
      <c r="AP235" s="122">
        <v>692379</v>
      </c>
      <c r="AQ235" s="122">
        <v>256437</v>
      </c>
      <c r="AR235" s="122">
        <v>5766780</v>
      </c>
      <c r="AS235" s="122">
        <v>5242527</v>
      </c>
      <c r="AT235">
        <v>0</v>
      </c>
      <c r="AU235">
        <v>0</v>
      </c>
      <c r="AV235" s="122">
        <v>16511002</v>
      </c>
    </row>
    <row r="236" spans="2:48" ht="12.75" hidden="1" customHeight="1">
      <c r="B236" t="s">
        <v>364</v>
      </c>
      <c r="C236" t="s">
        <v>58</v>
      </c>
      <c r="D236" t="s">
        <v>428</v>
      </c>
      <c r="E236" t="s">
        <v>428</v>
      </c>
      <c r="F236" s="122">
        <v>1</v>
      </c>
      <c r="G236" s="122">
        <v>77</v>
      </c>
      <c r="H236" s="122">
        <v>299</v>
      </c>
      <c r="I236" s="122">
        <v>12340</v>
      </c>
      <c r="J236" s="122">
        <v>11218</v>
      </c>
      <c r="K236" s="122">
        <v>55</v>
      </c>
      <c r="L236" s="122">
        <v>2509</v>
      </c>
      <c r="M236" s="122">
        <v>2281</v>
      </c>
      <c r="N236" s="122">
        <v>1667</v>
      </c>
      <c r="O236" s="122">
        <v>618</v>
      </c>
      <c r="P236" s="122">
        <v>351</v>
      </c>
      <c r="Q236" s="122">
        <v>130</v>
      </c>
      <c r="R236" s="122">
        <v>4019</v>
      </c>
      <c r="S236" s="122">
        <v>3653</v>
      </c>
      <c r="T236" s="122">
        <v>2124</v>
      </c>
      <c r="U236" s="122">
        <v>787</v>
      </c>
      <c r="V236" s="122">
        <v>18687</v>
      </c>
      <c r="W236" s="122">
        <f t="shared" si="6"/>
        <v>18687</v>
      </c>
      <c r="X236" s="122">
        <f t="shared" si="7"/>
        <v>23010</v>
      </c>
      <c r="Y236" s="122"/>
      <c r="AA236" t="s">
        <v>52</v>
      </c>
      <c r="AB236" t="s">
        <v>407</v>
      </c>
      <c r="AC236" t="s">
        <v>579</v>
      </c>
      <c r="AD236" t="s">
        <v>137</v>
      </c>
      <c r="AE236" t="s">
        <v>566</v>
      </c>
      <c r="AF236">
        <v>3</v>
      </c>
      <c r="AG236">
        <v>516</v>
      </c>
      <c r="AH236">
        <v>343</v>
      </c>
      <c r="AI236" s="122">
        <v>32049</v>
      </c>
      <c r="AJ236" s="122">
        <v>29135</v>
      </c>
      <c r="AK236">
        <v>144</v>
      </c>
      <c r="AL236" s="122">
        <v>8891</v>
      </c>
      <c r="AM236" s="122">
        <v>7409</v>
      </c>
      <c r="AN236" s="122">
        <v>9412</v>
      </c>
      <c r="AO236" s="122">
        <v>3486</v>
      </c>
      <c r="AP236" s="122">
        <v>1418</v>
      </c>
      <c r="AQ236">
        <v>525</v>
      </c>
      <c r="AR236" s="122">
        <v>10496</v>
      </c>
      <c r="AS236" s="122">
        <v>3888</v>
      </c>
      <c r="AT236">
        <v>0</v>
      </c>
      <c r="AU236">
        <v>0</v>
      </c>
      <c r="AV236" s="122">
        <v>44443</v>
      </c>
    </row>
    <row r="237" spans="2:48" ht="12.75" hidden="1" customHeight="1">
      <c r="B237" t="s">
        <v>364</v>
      </c>
      <c r="C237" t="s">
        <v>58</v>
      </c>
      <c r="D237" t="s">
        <v>431</v>
      </c>
      <c r="E237" t="s">
        <v>431</v>
      </c>
      <c r="F237" s="122">
        <v>6</v>
      </c>
      <c r="G237" s="122">
        <v>583</v>
      </c>
      <c r="H237" s="122">
        <v>1619</v>
      </c>
      <c r="I237" s="122">
        <v>96532</v>
      </c>
      <c r="J237" s="122">
        <v>87756</v>
      </c>
      <c r="K237" s="122">
        <v>55</v>
      </c>
      <c r="L237" s="122">
        <v>2999</v>
      </c>
      <c r="M237" s="122">
        <v>1111</v>
      </c>
      <c r="N237" s="122">
        <v>11483</v>
      </c>
      <c r="O237" s="122">
        <v>4253</v>
      </c>
      <c r="P237" s="122">
        <v>2106</v>
      </c>
      <c r="Q237" s="122">
        <v>780</v>
      </c>
      <c r="R237" s="122">
        <v>29947</v>
      </c>
      <c r="S237" s="122">
        <v>27225</v>
      </c>
      <c r="T237" s="122">
        <v>14478</v>
      </c>
      <c r="U237" s="122">
        <v>5362</v>
      </c>
      <c r="V237" s="122">
        <v>126487</v>
      </c>
      <c r="W237" s="122">
        <f t="shared" si="6"/>
        <v>126487</v>
      </c>
      <c r="X237" s="122">
        <f t="shared" si="7"/>
        <v>157545</v>
      </c>
      <c r="Y237" s="122"/>
      <c r="AA237" t="s">
        <v>52</v>
      </c>
      <c r="AB237" t="s">
        <v>407</v>
      </c>
      <c r="AC237" t="s">
        <v>579</v>
      </c>
      <c r="AD237" t="s">
        <v>407</v>
      </c>
      <c r="AE237" t="s">
        <v>137</v>
      </c>
      <c r="AF237">
        <v>64</v>
      </c>
      <c r="AG237" s="122">
        <v>8636</v>
      </c>
      <c r="AH237" s="122">
        <v>7563</v>
      </c>
      <c r="AI237" s="122">
        <v>490119</v>
      </c>
      <c r="AJ237" s="122">
        <v>445563</v>
      </c>
      <c r="AK237">
        <v>90</v>
      </c>
      <c r="AL237" s="122">
        <v>107634</v>
      </c>
      <c r="AM237" s="122">
        <v>89695</v>
      </c>
      <c r="AN237" s="122">
        <v>128228</v>
      </c>
      <c r="AO237" s="122">
        <v>47492</v>
      </c>
      <c r="AP237" s="122">
        <v>30240</v>
      </c>
      <c r="AQ237" s="122">
        <v>11200</v>
      </c>
      <c r="AR237" s="122">
        <v>268557</v>
      </c>
      <c r="AS237" s="122">
        <v>244143</v>
      </c>
      <c r="AT237" s="122">
        <v>19569</v>
      </c>
      <c r="AU237" s="122">
        <v>7248</v>
      </c>
      <c r="AV237" s="122">
        <v>845340</v>
      </c>
    </row>
    <row r="238" spans="2:48" ht="12.75" hidden="1" customHeight="1">
      <c r="B238" t="s">
        <v>364</v>
      </c>
      <c r="C238" t="s">
        <v>58</v>
      </c>
      <c r="D238" t="s">
        <v>426</v>
      </c>
      <c r="E238" t="s">
        <v>137</v>
      </c>
      <c r="F238">
        <v>24</v>
      </c>
      <c r="G238" s="122">
        <v>1764</v>
      </c>
      <c r="H238" s="122">
        <v>6817</v>
      </c>
      <c r="I238" s="122">
        <v>309317</v>
      </c>
      <c r="J238" s="122">
        <v>281197</v>
      </c>
      <c r="K238" s="122">
        <v>56</v>
      </c>
      <c r="L238" s="122">
        <v>5860</v>
      </c>
      <c r="M238" s="122">
        <v>7897</v>
      </c>
      <c r="N238" s="122">
        <v>35232</v>
      </c>
      <c r="O238" s="122">
        <v>13049</v>
      </c>
      <c r="P238" s="122">
        <v>8424</v>
      </c>
      <c r="Q238" s="122">
        <v>3120</v>
      </c>
      <c r="R238" s="122">
        <v>154291</v>
      </c>
      <c r="S238" s="122">
        <v>57145</v>
      </c>
      <c r="T238" s="122">
        <v>0</v>
      </c>
      <c r="U238" s="122">
        <v>0</v>
      </c>
      <c r="V238" s="122">
        <v>362407</v>
      </c>
      <c r="W238" s="122">
        <f t="shared" si="6"/>
        <v>362408</v>
      </c>
      <c r="X238" s="122">
        <f t="shared" si="7"/>
        <v>513124</v>
      </c>
      <c r="Y238" s="122"/>
      <c r="AA238" t="s">
        <v>52</v>
      </c>
      <c r="AB238" t="s">
        <v>407</v>
      </c>
      <c r="AC238" t="s">
        <v>579</v>
      </c>
      <c r="AD238" t="s">
        <v>407</v>
      </c>
      <c r="AE238" t="s">
        <v>566</v>
      </c>
      <c r="AF238">
        <v>862</v>
      </c>
      <c r="AG238" s="122">
        <v>113897</v>
      </c>
      <c r="AH238" s="122">
        <v>100225</v>
      </c>
      <c r="AI238" s="122">
        <v>6147120</v>
      </c>
      <c r="AJ238" s="122">
        <v>5588291</v>
      </c>
      <c r="AK238">
        <v>90</v>
      </c>
      <c r="AL238" s="122">
        <v>1577243</v>
      </c>
      <c r="AM238" s="122">
        <v>1314369</v>
      </c>
      <c r="AN238" s="122">
        <v>1813697</v>
      </c>
      <c r="AO238" s="122">
        <v>671740</v>
      </c>
      <c r="AP238" s="122">
        <v>449222</v>
      </c>
      <c r="AQ238" s="122">
        <v>166378</v>
      </c>
      <c r="AR238" s="122">
        <v>3515255</v>
      </c>
      <c r="AS238" s="122">
        <v>3195686</v>
      </c>
      <c r="AT238">
        <v>0</v>
      </c>
      <c r="AU238">
        <v>0</v>
      </c>
      <c r="AV238" s="122">
        <v>10936464</v>
      </c>
    </row>
    <row r="239" spans="2:48" ht="12.75" hidden="1" customHeight="1">
      <c r="B239" t="s">
        <v>364</v>
      </c>
      <c r="C239" t="s">
        <v>58</v>
      </c>
      <c r="D239" t="s">
        <v>426</v>
      </c>
      <c r="E239" t="s">
        <v>556</v>
      </c>
      <c r="F239" s="122">
        <v>1</v>
      </c>
      <c r="G239" s="122">
        <v>95</v>
      </c>
      <c r="H239" s="122">
        <v>272</v>
      </c>
      <c r="I239" s="122">
        <v>13427</v>
      </c>
      <c r="J239" s="122">
        <v>12206</v>
      </c>
      <c r="K239" s="122">
        <v>55</v>
      </c>
      <c r="L239" s="122">
        <v>2014</v>
      </c>
      <c r="M239" s="122">
        <v>746</v>
      </c>
      <c r="N239" s="122">
        <v>2064</v>
      </c>
      <c r="O239" s="122">
        <v>764</v>
      </c>
      <c r="P239" s="122">
        <v>351</v>
      </c>
      <c r="Q239" s="122">
        <v>130</v>
      </c>
      <c r="R239" s="122">
        <v>5664</v>
      </c>
      <c r="S239" s="122">
        <v>4720</v>
      </c>
      <c r="T239" s="122">
        <v>2365</v>
      </c>
      <c r="U239" s="122">
        <v>876</v>
      </c>
      <c r="V239" s="122">
        <v>19443</v>
      </c>
      <c r="W239" s="122">
        <f t="shared" si="6"/>
        <v>19442</v>
      </c>
      <c r="X239" s="122">
        <f t="shared" si="7"/>
        <v>25885</v>
      </c>
      <c r="Y239" s="122"/>
      <c r="AA239" t="s">
        <v>52</v>
      </c>
      <c r="AB239" t="s">
        <v>407</v>
      </c>
      <c r="AC239" t="s">
        <v>428</v>
      </c>
      <c r="AD239" t="s">
        <v>407</v>
      </c>
      <c r="AE239" t="s">
        <v>137</v>
      </c>
      <c r="AF239">
        <v>1</v>
      </c>
      <c r="AG239">
        <v>124</v>
      </c>
      <c r="AH239">
        <v>123</v>
      </c>
      <c r="AI239" s="122">
        <v>6305</v>
      </c>
      <c r="AJ239" s="122">
        <v>5732</v>
      </c>
      <c r="AK239">
        <v>91</v>
      </c>
      <c r="AL239" s="122">
        <v>2018</v>
      </c>
      <c r="AM239" s="122">
        <v>1834</v>
      </c>
      <c r="AN239" s="122">
        <v>2262</v>
      </c>
      <c r="AO239">
        <v>838</v>
      </c>
      <c r="AP239">
        <v>473</v>
      </c>
      <c r="AQ239">
        <v>175</v>
      </c>
      <c r="AR239" s="122">
        <v>4219</v>
      </c>
      <c r="AS239" s="122">
        <v>3836</v>
      </c>
      <c r="AT239">
        <v>0</v>
      </c>
      <c r="AU239">
        <v>0</v>
      </c>
      <c r="AV239" s="122">
        <v>12415</v>
      </c>
    </row>
    <row r="240" spans="2:48" ht="12.75" hidden="1" customHeight="1">
      <c r="B240" t="s">
        <v>364</v>
      </c>
      <c r="C240" t="s">
        <v>58</v>
      </c>
      <c r="D240" t="s">
        <v>426</v>
      </c>
      <c r="E240" t="s">
        <v>426</v>
      </c>
      <c r="F240">
        <v>375</v>
      </c>
      <c r="G240" s="122">
        <v>30367</v>
      </c>
      <c r="H240" s="122">
        <v>99250</v>
      </c>
      <c r="I240" s="122">
        <v>4415005</v>
      </c>
      <c r="J240" s="122">
        <v>4013641</v>
      </c>
      <c r="K240" s="122">
        <v>62</v>
      </c>
      <c r="L240" s="122">
        <v>449435</v>
      </c>
      <c r="M240" s="122">
        <v>361955</v>
      </c>
      <c r="N240" s="122">
        <v>602848</v>
      </c>
      <c r="O240" s="122">
        <v>223277</v>
      </c>
      <c r="P240" s="122">
        <v>134335</v>
      </c>
      <c r="Q240" s="122">
        <v>49754</v>
      </c>
      <c r="R240" s="122">
        <v>1667904</v>
      </c>
      <c r="S240" s="122">
        <v>1516277</v>
      </c>
      <c r="T240" s="122">
        <v>793551</v>
      </c>
      <c r="U240" s="122">
        <v>293908</v>
      </c>
      <c r="V240" s="122">
        <v>6458811</v>
      </c>
      <c r="W240" s="122">
        <f t="shared" si="6"/>
        <v>6458812</v>
      </c>
      <c r="X240" s="122">
        <f t="shared" si="7"/>
        <v>8063078</v>
      </c>
      <c r="Y240" s="122"/>
      <c r="AA240" t="s">
        <v>52</v>
      </c>
      <c r="AB240" t="s">
        <v>407</v>
      </c>
      <c r="AC240" t="s">
        <v>428</v>
      </c>
      <c r="AD240" t="s">
        <v>407</v>
      </c>
      <c r="AE240" t="s">
        <v>566</v>
      </c>
      <c r="AF240">
        <v>8</v>
      </c>
      <c r="AG240" s="122">
        <v>1080</v>
      </c>
      <c r="AH240">
        <v>947</v>
      </c>
      <c r="AI240" s="122">
        <v>59808</v>
      </c>
      <c r="AJ240" s="122">
        <v>54371</v>
      </c>
      <c r="AK240">
        <v>90</v>
      </c>
      <c r="AL240" s="122">
        <v>18152</v>
      </c>
      <c r="AM240" s="122">
        <v>16502</v>
      </c>
      <c r="AN240" s="122">
        <v>16739</v>
      </c>
      <c r="AO240" s="122">
        <v>6200</v>
      </c>
      <c r="AP240" s="122">
        <v>3780</v>
      </c>
      <c r="AQ240" s="122">
        <v>1400</v>
      </c>
      <c r="AR240" s="122">
        <v>31884</v>
      </c>
      <c r="AS240" s="122">
        <v>28985</v>
      </c>
      <c r="AT240">
        <v>0</v>
      </c>
      <c r="AU240">
        <v>0</v>
      </c>
      <c r="AV240" s="122">
        <v>107457</v>
      </c>
    </row>
    <row r="241" spans="2:48" ht="12.75" hidden="1" customHeight="1">
      <c r="B241" t="s">
        <v>364</v>
      </c>
      <c r="C241" t="s">
        <v>58</v>
      </c>
      <c r="D241" t="s">
        <v>426</v>
      </c>
      <c r="E241" t="s">
        <v>481</v>
      </c>
      <c r="F241">
        <v>1</v>
      </c>
      <c r="G241" s="122">
        <v>80</v>
      </c>
      <c r="H241" s="122">
        <v>282</v>
      </c>
      <c r="I241" s="122">
        <v>13214</v>
      </c>
      <c r="J241" s="122">
        <v>12013</v>
      </c>
      <c r="K241" s="122">
        <v>55</v>
      </c>
      <c r="L241" s="122">
        <v>0</v>
      </c>
      <c r="M241" s="122">
        <v>0</v>
      </c>
      <c r="N241" s="122">
        <v>1579</v>
      </c>
      <c r="O241" s="122">
        <v>585</v>
      </c>
      <c r="P241" s="122">
        <v>351</v>
      </c>
      <c r="Q241" s="122">
        <v>130</v>
      </c>
      <c r="R241" s="122">
        <v>5093</v>
      </c>
      <c r="S241" s="122">
        <v>4630</v>
      </c>
      <c r="T241" s="122">
        <v>2300</v>
      </c>
      <c r="U241" s="122">
        <v>852</v>
      </c>
      <c r="V241" s="122">
        <v>18210</v>
      </c>
      <c r="W241" s="122">
        <f t="shared" si="6"/>
        <v>18210</v>
      </c>
      <c r="X241" s="122">
        <f t="shared" si="7"/>
        <v>22537</v>
      </c>
      <c r="Y241" s="122"/>
      <c r="AA241" t="s">
        <v>52</v>
      </c>
      <c r="AB241" t="s">
        <v>407</v>
      </c>
      <c r="AC241" t="s">
        <v>426</v>
      </c>
      <c r="AD241" t="s">
        <v>137</v>
      </c>
      <c r="AE241" t="s">
        <v>566</v>
      </c>
      <c r="AF241">
        <v>1</v>
      </c>
      <c r="AG241">
        <v>198</v>
      </c>
      <c r="AH241">
        <v>113</v>
      </c>
      <c r="AI241" s="122">
        <v>15024</v>
      </c>
      <c r="AJ241" s="122">
        <v>13659</v>
      </c>
      <c r="AK241">
        <v>90</v>
      </c>
      <c r="AL241" s="122">
        <v>2512</v>
      </c>
      <c r="AM241" s="122">
        <v>2284</v>
      </c>
      <c r="AN241" s="122">
        <v>2735</v>
      </c>
      <c r="AO241" s="122">
        <v>1013</v>
      </c>
      <c r="AP241">
        <v>473</v>
      </c>
      <c r="AQ241">
        <v>175</v>
      </c>
      <c r="AR241" s="122">
        <v>3972</v>
      </c>
      <c r="AS241" s="122">
        <v>1471</v>
      </c>
      <c r="AT241">
        <v>0</v>
      </c>
      <c r="AU241">
        <v>0</v>
      </c>
      <c r="AV241" s="122">
        <v>18602</v>
      </c>
    </row>
    <row r="242" spans="2:48" ht="12.75" hidden="1" customHeight="1">
      <c r="B242" t="s">
        <v>364</v>
      </c>
      <c r="C242" t="s">
        <v>58</v>
      </c>
      <c r="D242" t="s">
        <v>481</v>
      </c>
      <c r="E242" t="s">
        <v>481</v>
      </c>
      <c r="F242" s="122">
        <v>1</v>
      </c>
      <c r="G242" s="122">
        <v>83</v>
      </c>
      <c r="H242" s="122">
        <v>279</v>
      </c>
      <c r="I242" s="122">
        <v>11376</v>
      </c>
      <c r="J242" s="122">
        <v>10342</v>
      </c>
      <c r="K242" s="122">
        <v>65</v>
      </c>
      <c r="L242" s="122">
        <v>2739</v>
      </c>
      <c r="M242" s="122">
        <v>2490</v>
      </c>
      <c r="N242" s="122">
        <v>1260</v>
      </c>
      <c r="O242" s="122">
        <v>467</v>
      </c>
      <c r="P242" s="122">
        <v>351</v>
      </c>
      <c r="Q242" s="122">
        <v>130</v>
      </c>
      <c r="R242" s="122">
        <v>4754</v>
      </c>
      <c r="S242" s="122">
        <v>4322</v>
      </c>
      <c r="T242" s="122">
        <v>2649</v>
      </c>
      <c r="U242" s="122">
        <v>981</v>
      </c>
      <c r="V242" s="122">
        <v>18731</v>
      </c>
      <c r="W242" s="122">
        <f t="shared" si="6"/>
        <v>18732</v>
      </c>
      <c r="X242" s="122">
        <f t="shared" si="7"/>
        <v>23129</v>
      </c>
      <c r="Y242" s="122"/>
      <c r="AA242" t="s">
        <v>52</v>
      </c>
      <c r="AB242" t="s">
        <v>407</v>
      </c>
      <c r="AC242" t="s">
        <v>426</v>
      </c>
      <c r="AD242" t="s">
        <v>406</v>
      </c>
      <c r="AE242" t="s">
        <v>566</v>
      </c>
      <c r="AF242">
        <v>1</v>
      </c>
      <c r="AG242">
        <v>125</v>
      </c>
      <c r="AH242">
        <v>112</v>
      </c>
      <c r="AI242" s="122">
        <v>7827</v>
      </c>
      <c r="AJ242" s="122">
        <v>7115</v>
      </c>
      <c r="AK242">
        <v>91</v>
      </c>
      <c r="AL242" s="122">
        <v>1433</v>
      </c>
      <c r="AM242" s="122">
        <v>1302</v>
      </c>
      <c r="AN242" s="122">
        <v>1525</v>
      </c>
      <c r="AO242">
        <v>565</v>
      </c>
      <c r="AP242">
        <v>473</v>
      </c>
      <c r="AQ242">
        <v>175</v>
      </c>
      <c r="AR242" s="122">
        <v>2802</v>
      </c>
      <c r="AS242" s="122">
        <v>2547</v>
      </c>
      <c r="AT242">
        <v>0</v>
      </c>
      <c r="AU242">
        <v>0</v>
      </c>
      <c r="AV242" s="122">
        <v>11705</v>
      </c>
    </row>
    <row r="243" spans="2:48" ht="12.75" hidden="1" customHeight="1">
      <c r="B243" t="s">
        <v>364</v>
      </c>
      <c r="C243" t="s">
        <v>58</v>
      </c>
      <c r="D243" t="s">
        <v>408</v>
      </c>
      <c r="E243" s="122" t="s">
        <v>408</v>
      </c>
      <c r="F243" s="122">
        <v>1</v>
      </c>
      <c r="G243" s="122">
        <v>80</v>
      </c>
      <c r="H243" s="122">
        <v>250</v>
      </c>
      <c r="I243" s="122">
        <v>9500</v>
      </c>
      <c r="J243" s="122">
        <v>8637</v>
      </c>
      <c r="K243" s="122">
        <v>65</v>
      </c>
      <c r="L243" s="122">
        <v>2287</v>
      </c>
      <c r="M243" s="122">
        <v>2079</v>
      </c>
      <c r="N243" s="122">
        <v>977</v>
      </c>
      <c r="O243" s="122">
        <v>362</v>
      </c>
      <c r="P243" s="122">
        <v>351</v>
      </c>
      <c r="Q243" s="122">
        <v>130</v>
      </c>
      <c r="R243" s="122">
        <v>4482</v>
      </c>
      <c r="S243" s="122">
        <v>4075</v>
      </c>
      <c r="T243" s="122">
        <v>2435</v>
      </c>
      <c r="U243" s="122">
        <v>902</v>
      </c>
      <c r="V243" s="122">
        <v>16184</v>
      </c>
      <c r="W243" s="122">
        <f t="shared" si="6"/>
        <v>16185</v>
      </c>
      <c r="X243" s="122">
        <f t="shared" si="7"/>
        <v>20032</v>
      </c>
      <c r="Y243" s="122"/>
      <c r="AA243" t="s">
        <v>52</v>
      </c>
      <c r="AB243" t="s">
        <v>407</v>
      </c>
      <c r="AC243" t="s">
        <v>426</v>
      </c>
      <c r="AD243" t="s">
        <v>407</v>
      </c>
      <c r="AE243" t="s">
        <v>137</v>
      </c>
      <c r="AF243">
        <v>252</v>
      </c>
      <c r="AG243" s="122">
        <v>26615</v>
      </c>
      <c r="AH243" s="122">
        <v>29077</v>
      </c>
      <c r="AI243" s="122">
        <v>1261206</v>
      </c>
      <c r="AJ243" s="122">
        <v>1146551</v>
      </c>
      <c r="AK243">
        <v>90</v>
      </c>
      <c r="AL243" s="122">
        <v>375260</v>
      </c>
      <c r="AM243" s="122">
        <v>341146</v>
      </c>
      <c r="AN243" s="122">
        <v>382911</v>
      </c>
      <c r="AO243" s="122">
        <v>141819</v>
      </c>
      <c r="AP243" s="122">
        <v>121928</v>
      </c>
      <c r="AQ243" s="122">
        <v>45159</v>
      </c>
      <c r="AR243" s="122">
        <v>945497</v>
      </c>
      <c r="AS243" s="122">
        <v>859543</v>
      </c>
      <c r="AT243" s="122">
        <v>8663</v>
      </c>
      <c r="AU243" s="122">
        <v>3208</v>
      </c>
      <c r="AV243" s="122">
        <v>2537425</v>
      </c>
    </row>
    <row r="244" spans="2:48" ht="12.75" hidden="1" customHeight="1">
      <c r="B244" t="s">
        <v>364</v>
      </c>
      <c r="C244" t="s">
        <v>60</v>
      </c>
      <c r="D244" t="s">
        <v>425</v>
      </c>
      <c r="E244" t="s">
        <v>425</v>
      </c>
      <c r="F244">
        <v>1</v>
      </c>
      <c r="G244" s="122">
        <v>96</v>
      </c>
      <c r="H244" s="122">
        <v>355</v>
      </c>
      <c r="I244" s="122">
        <v>21572</v>
      </c>
      <c r="J244" s="122">
        <v>19611</v>
      </c>
      <c r="K244" s="122">
        <v>65</v>
      </c>
      <c r="L244" s="122">
        <v>2279</v>
      </c>
      <c r="M244" s="122">
        <v>2072</v>
      </c>
      <c r="N244" s="122">
        <v>2133</v>
      </c>
      <c r="O244" s="122">
        <v>790</v>
      </c>
      <c r="P244" s="122">
        <v>351</v>
      </c>
      <c r="Q244" s="122">
        <v>130</v>
      </c>
      <c r="R244" s="122">
        <v>4992</v>
      </c>
      <c r="S244" s="122">
        <v>4538</v>
      </c>
      <c r="T244" s="122">
        <v>2640</v>
      </c>
      <c r="U244" s="122">
        <v>978</v>
      </c>
      <c r="V244" s="122">
        <v>28119</v>
      </c>
      <c r="W244" s="122">
        <f t="shared" si="6"/>
        <v>28119</v>
      </c>
      <c r="X244" s="122">
        <f t="shared" si="7"/>
        <v>33967</v>
      </c>
      <c r="Y244" s="122"/>
      <c r="AA244" t="s">
        <v>52</v>
      </c>
      <c r="AB244" t="s">
        <v>407</v>
      </c>
      <c r="AC244" t="s">
        <v>426</v>
      </c>
      <c r="AD244" t="s">
        <v>407</v>
      </c>
      <c r="AE244" t="s">
        <v>566</v>
      </c>
      <c r="AF244">
        <v>564</v>
      </c>
      <c r="AG244" s="122">
        <v>68689</v>
      </c>
      <c r="AH244" s="122">
        <v>65681</v>
      </c>
      <c r="AI244" s="122">
        <v>3607583</v>
      </c>
      <c r="AJ244" s="122">
        <v>3279621</v>
      </c>
      <c r="AK244">
        <v>90</v>
      </c>
      <c r="AL244" s="122">
        <v>895132</v>
      </c>
      <c r="AM244" s="122">
        <v>813756</v>
      </c>
      <c r="AN244" s="122">
        <v>1106685</v>
      </c>
      <c r="AO244" s="122">
        <v>409883</v>
      </c>
      <c r="AP244" s="122">
        <v>302023</v>
      </c>
      <c r="AQ244" s="122">
        <v>111860</v>
      </c>
      <c r="AR244" s="122">
        <v>2227517</v>
      </c>
      <c r="AS244" s="122">
        <v>2025015</v>
      </c>
      <c r="AT244">
        <v>0</v>
      </c>
      <c r="AU244">
        <v>0</v>
      </c>
      <c r="AV244" s="122">
        <v>6640136</v>
      </c>
    </row>
    <row r="245" spans="2:48" ht="12.75" hidden="1" customHeight="1">
      <c r="B245" t="s">
        <v>364</v>
      </c>
      <c r="C245" t="s">
        <v>60</v>
      </c>
      <c r="D245" t="s">
        <v>405</v>
      </c>
      <c r="E245" t="s">
        <v>405</v>
      </c>
      <c r="F245">
        <v>10</v>
      </c>
      <c r="G245" s="122">
        <v>1273</v>
      </c>
      <c r="H245" s="122">
        <v>3542</v>
      </c>
      <c r="I245" s="122">
        <v>289987</v>
      </c>
      <c r="J245" s="122">
        <v>263625</v>
      </c>
      <c r="K245" s="122">
        <v>76</v>
      </c>
      <c r="L245" s="122">
        <v>65309</v>
      </c>
      <c r="M245" s="122">
        <v>56516</v>
      </c>
      <c r="N245" s="122">
        <v>27806</v>
      </c>
      <c r="O245" s="122">
        <v>10299</v>
      </c>
      <c r="P245" s="122">
        <v>4712</v>
      </c>
      <c r="Q245" s="122">
        <v>1745</v>
      </c>
      <c r="R245" s="122">
        <v>47221</v>
      </c>
      <c r="S245" s="122">
        <v>42928</v>
      </c>
      <c r="T245" s="122">
        <v>15312</v>
      </c>
      <c r="U245" s="122">
        <v>5671</v>
      </c>
      <c r="V245" s="122">
        <v>380784</v>
      </c>
      <c r="W245" s="122">
        <f t="shared" si="6"/>
        <v>380784</v>
      </c>
      <c r="X245" s="122">
        <f t="shared" si="7"/>
        <v>450347</v>
      </c>
      <c r="Y245" s="122"/>
      <c r="AA245" t="s">
        <v>52</v>
      </c>
      <c r="AB245" t="s">
        <v>407</v>
      </c>
      <c r="AC245" t="s">
        <v>566</v>
      </c>
      <c r="AD245" t="s">
        <v>137</v>
      </c>
      <c r="AE245" t="s">
        <v>566</v>
      </c>
      <c r="AF245">
        <v>2</v>
      </c>
      <c r="AG245">
        <v>189</v>
      </c>
      <c r="AH245">
        <v>222</v>
      </c>
      <c r="AI245" s="122">
        <v>12212</v>
      </c>
      <c r="AJ245" s="122">
        <v>11102</v>
      </c>
      <c r="AK245">
        <v>91</v>
      </c>
      <c r="AL245">
        <v>0</v>
      </c>
      <c r="AM245">
        <v>0</v>
      </c>
      <c r="AN245" s="122">
        <v>2308</v>
      </c>
      <c r="AO245">
        <v>855</v>
      </c>
      <c r="AP245">
        <v>945</v>
      </c>
      <c r="AQ245">
        <v>350</v>
      </c>
      <c r="AR245" s="122">
        <v>5056</v>
      </c>
      <c r="AS245" s="122">
        <v>1873</v>
      </c>
      <c r="AT245">
        <v>0</v>
      </c>
      <c r="AU245">
        <v>0</v>
      </c>
      <c r="AV245" s="122">
        <v>14180</v>
      </c>
    </row>
    <row r="246" spans="2:48" ht="12.75" hidden="1" customHeight="1">
      <c r="B246" t="s">
        <v>364</v>
      </c>
      <c r="C246" t="s">
        <v>60</v>
      </c>
      <c r="D246" t="s">
        <v>137</v>
      </c>
      <c r="E246" t="s">
        <v>137</v>
      </c>
      <c r="F246">
        <v>239</v>
      </c>
      <c r="G246" s="122">
        <v>21615</v>
      </c>
      <c r="H246" s="122">
        <v>79708</v>
      </c>
      <c r="I246" s="122">
        <v>4424145</v>
      </c>
      <c r="J246" s="122">
        <v>1638572</v>
      </c>
      <c r="K246" s="122">
        <v>100</v>
      </c>
      <c r="L246" s="122">
        <v>633809</v>
      </c>
      <c r="M246" s="122">
        <v>430548</v>
      </c>
      <c r="N246" s="122">
        <v>477897</v>
      </c>
      <c r="O246" s="122">
        <v>176999</v>
      </c>
      <c r="P246" s="122">
        <v>2221</v>
      </c>
      <c r="Q246" s="122">
        <v>823</v>
      </c>
      <c r="R246" s="122">
        <v>1829861</v>
      </c>
      <c r="S246" s="122">
        <v>677726</v>
      </c>
      <c r="T246" s="122">
        <v>6487</v>
      </c>
      <c r="U246" s="122">
        <v>2403</v>
      </c>
      <c r="V246" s="122">
        <v>2927071</v>
      </c>
      <c r="W246" s="122">
        <f t="shared" si="6"/>
        <v>2927071</v>
      </c>
      <c r="X246" s="122">
        <f t="shared" si="7"/>
        <v>7374420</v>
      </c>
      <c r="Y246" s="122"/>
      <c r="AA246" t="s">
        <v>52</v>
      </c>
      <c r="AB246" t="s">
        <v>407</v>
      </c>
      <c r="AC246" t="s">
        <v>566</v>
      </c>
      <c r="AD246" t="s">
        <v>407</v>
      </c>
      <c r="AE246" t="s">
        <v>137</v>
      </c>
      <c r="AF246">
        <v>282</v>
      </c>
      <c r="AG246" s="122">
        <v>30392</v>
      </c>
      <c r="AH246" s="122">
        <v>32600</v>
      </c>
      <c r="AI246" s="122">
        <v>1759738</v>
      </c>
      <c r="AJ246" s="122">
        <v>1599762</v>
      </c>
      <c r="AK246">
        <v>88</v>
      </c>
      <c r="AL246">
        <v>0</v>
      </c>
      <c r="AM246" s="122">
        <v>16500</v>
      </c>
      <c r="AN246" s="122">
        <v>464679</v>
      </c>
      <c r="AO246" s="122">
        <v>172103</v>
      </c>
      <c r="AP246" s="122">
        <v>135020</v>
      </c>
      <c r="AQ246" s="122">
        <v>50007</v>
      </c>
      <c r="AR246" s="122">
        <v>1111815</v>
      </c>
      <c r="AS246" s="122">
        <v>1010741</v>
      </c>
      <c r="AT246" s="122">
        <v>68184</v>
      </c>
      <c r="AU246" s="122">
        <v>25254</v>
      </c>
      <c r="AV246" s="122">
        <v>2874368</v>
      </c>
    </row>
    <row r="247" spans="2:48" ht="12.75" hidden="1" customHeight="1">
      <c r="B247" t="s">
        <v>364</v>
      </c>
      <c r="C247" t="s">
        <v>60</v>
      </c>
      <c r="D247" t="s">
        <v>137</v>
      </c>
      <c r="E247" t="s">
        <v>406</v>
      </c>
      <c r="F247" s="122">
        <v>3</v>
      </c>
      <c r="G247" s="122">
        <v>338</v>
      </c>
      <c r="H247" s="122">
        <v>1101</v>
      </c>
      <c r="I247" s="122">
        <v>83471</v>
      </c>
      <c r="J247" s="122">
        <v>30915</v>
      </c>
      <c r="K247" s="122">
        <v>100</v>
      </c>
      <c r="L247" s="122">
        <v>8391</v>
      </c>
      <c r="M247" s="122">
        <v>7628</v>
      </c>
      <c r="N247" s="122">
        <v>7943</v>
      </c>
      <c r="O247" s="122">
        <v>2942</v>
      </c>
      <c r="P247" s="122">
        <v>0</v>
      </c>
      <c r="Q247" s="122">
        <v>0</v>
      </c>
      <c r="R247" s="122">
        <v>14747</v>
      </c>
      <c r="S247" s="122">
        <v>13406</v>
      </c>
      <c r="T247" s="122">
        <v>9035</v>
      </c>
      <c r="U247" s="122">
        <v>3346</v>
      </c>
      <c r="V247" s="122">
        <v>58238</v>
      </c>
      <c r="W247" s="122">
        <f t="shared" si="6"/>
        <v>58237</v>
      </c>
      <c r="X247" s="122">
        <f t="shared" si="7"/>
        <v>123587</v>
      </c>
      <c r="Y247" s="122"/>
      <c r="AA247" t="s">
        <v>52</v>
      </c>
      <c r="AB247" t="s">
        <v>407</v>
      </c>
      <c r="AC247" t="s">
        <v>566</v>
      </c>
      <c r="AD247" t="s">
        <v>407</v>
      </c>
      <c r="AE247" t="s">
        <v>566</v>
      </c>
      <c r="AF247" s="122">
        <v>1327</v>
      </c>
      <c r="AG247" s="122">
        <v>142939</v>
      </c>
      <c r="AH247" s="122">
        <v>153524</v>
      </c>
      <c r="AI247" s="122">
        <v>8350100</v>
      </c>
      <c r="AJ247" s="122">
        <v>7591000</v>
      </c>
      <c r="AK247">
        <v>89</v>
      </c>
      <c r="AL247" s="122">
        <v>4360</v>
      </c>
      <c r="AM247" s="122">
        <v>91616</v>
      </c>
      <c r="AN247" s="122">
        <v>2432280</v>
      </c>
      <c r="AO247" s="122">
        <v>900844</v>
      </c>
      <c r="AP247" s="122">
        <v>689495</v>
      </c>
      <c r="AQ247" s="122">
        <v>255369</v>
      </c>
      <c r="AR247" s="122">
        <v>5253058</v>
      </c>
      <c r="AS247" s="122">
        <v>4775507</v>
      </c>
      <c r="AT247">
        <v>0</v>
      </c>
      <c r="AU247">
        <v>0</v>
      </c>
      <c r="AV247" s="122">
        <v>13614336</v>
      </c>
    </row>
    <row r="248" spans="2:48" ht="12.75" hidden="1" customHeight="1">
      <c r="B248" t="s">
        <v>364</v>
      </c>
      <c r="C248" t="s">
        <v>60</v>
      </c>
      <c r="D248" t="s">
        <v>137</v>
      </c>
      <c r="E248" t="s">
        <v>427</v>
      </c>
      <c r="F248" s="122">
        <v>1</v>
      </c>
      <c r="G248" s="122">
        <v>63</v>
      </c>
      <c r="H248" s="122">
        <v>329</v>
      </c>
      <c r="I248" s="122">
        <v>9813</v>
      </c>
      <c r="J248" s="122">
        <v>3635</v>
      </c>
      <c r="K248" s="122">
        <v>100</v>
      </c>
      <c r="L248" s="122">
        <v>1999</v>
      </c>
      <c r="M248" s="122">
        <v>1817</v>
      </c>
      <c r="N248" s="122">
        <v>1527</v>
      </c>
      <c r="O248" s="122">
        <v>566</v>
      </c>
      <c r="P248" s="122">
        <v>0</v>
      </c>
      <c r="Q248" s="122">
        <v>0</v>
      </c>
      <c r="R248" s="122">
        <v>5208</v>
      </c>
      <c r="S248" s="122">
        <v>4734</v>
      </c>
      <c r="T248" s="122">
        <v>2061</v>
      </c>
      <c r="U248" s="122">
        <v>763</v>
      </c>
      <c r="V248" s="122">
        <v>11515</v>
      </c>
      <c r="W248" s="122">
        <f t="shared" si="6"/>
        <v>11515</v>
      </c>
      <c r="X248" s="122">
        <f t="shared" si="7"/>
        <v>20608</v>
      </c>
      <c r="Y248" s="122"/>
      <c r="AA248" t="s">
        <v>52</v>
      </c>
      <c r="AB248" t="s">
        <v>407</v>
      </c>
      <c r="AC248" t="s">
        <v>481</v>
      </c>
      <c r="AD248" t="s">
        <v>407</v>
      </c>
      <c r="AE248" t="s">
        <v>566</v>
      </c>
      <c r="AF248">
        <v>3</v>
      </c>
      <c r="AG248">
        <v>342</v>
      </c>
      <c r="AH248">
        <v>348</v>
      </c>
      <c r="AI248" s="122">
        <v>19460</v>
      </c>
      <c r="AJ248" s="122">
        <v>17691</v>
      </c>
      <c r="AK248">
        <v>91</v>
      </c>
      <c r="AL248" s="122">
        <v>4569</v>
      </c>
      <c r="AM248" s="122">
        <v>4154</v>
      </c>
      <c r="AN248" s="122">
        <v>4164</v>
      </c>
      <c r="AO248" s="122">
        <v>1542</v>
      </c>
      <c r="AP248" s="122">
        <v>1418</v>
      </c>
      <c r="AQ248">
        <v>525</v>
      </c>
      <c r="AR248" s="122">
        <v>10257</v>
      </c>
      <c r="AS248" s="122">
        <v>9324</v>
      </c>
      <c r="AT248">
        <v>0</v>
      </c>
      <c r="AU248">
        <v>0</v>
      </c>
      <c r="AV248" s="122">
        <v>33237</v>
      </c>
    </row>
    <row r="249" spans="2:48" ht="12.75" hidden="1" customHeight="1">
      <c r="B249" t="s">
        <v>364</v>
      </c>
      <c r="C249" t="s">
        <v>60</v>
      </c>
      <c r="D249" t="s">
        <v>137</v>
      </c>
      <c r="E249" t="s">
        <v>556</v>
      </c>
      <c r="F249" s="122">
        <v>1</v>
      </c>
      <c r="G249" s="122">
        <v>61</v>
      </c>
      <c r="H249" s="122">
        <v>364</v>
      </c>
      <c r="I249" s="122">
        <v>13241</v>
      </c>
      <c r="J249" s="122">
        <v>4904</v>
      </c>
      <c r="K249" s="122">
        <v>100</v>
      </c>
      <c r="L249" s="122">
        <v>1189</v>
      </c>
      <c r="M249" s="122">
        <v>991</v>
      </c>
      <c r="N249" s="122">
        <v>1480</v>
      </c>
      <c r="O249" s="122">
        <v>548</v>
      </c>
      <c r="P249" s="122">
        <v>0</v>
      </c>
      <c r="Q249" s="122">
        <v>0</v>
      </c>
      <c r="R249" s="122">
        <v>6203</v>
      </c>
      <c r="S249" s="122">
        <v>5169</v>
      </c>
      <c r="T249" s="122">
        <v>0</v>
      </c>
      <c r="U249" s="122">
        <v>0</v>
      </c>
      <c r="V249" s="122">
        <v>11612</v>
      </c>
      <c r="W249" s="122">
        <f t="shared" si="6"/>
        <v>11612</v>
      </c>
      <c r="X249" s="122">
        <f t="shared" si="7"/>
        <v>22113</v>
      </c>
      <c r="Y249" s="122"/>
      <c r="AA249" t="s">
        <v>52</v>
      </c>
      <c r="AB249" t="s">
        <v>407</v>
      </c>
      <c r="AC249" t="s">
        <v>433</v>
      </c>
      <c r="AD249" t="s">
        <v>407</v>
      </c>
      <c r="AE249" t="s">
        <v>137</v>
      </c>
      <c r="AF249">
        <v>10</v>
      </c>
      <c r="AG249" s="122">
        <v>1442</v>
      </c>
      <c r="AH249" s="122">
        <v>1161</v>
      </c>
      <c r="AI249" s="122">
        <v>90502</v>
      </c>
      <c r="AJ249" s="122">
        <v>82275</v>
      </c>
      <c r="AK249">
        <v>91</v>
      </c>
      <c r="AL249" s="122">
        <v>13484</v>
      </c>
      <c r="AM249" s="122">
        <v>12258</v>
      </c>
      <c r="AN249" s="122">
        <v>23898</v>
      </c>
      <c r="AO249" s="122">
        <v>8851</v>
      </c>
      <c r="AP249" s="122">
        <v>8016</v>
      </c>
      <c r="AQ249" s="122">
        <v>2969</v>
      </c>
      <c r="AR249" s="122">
        <v>33330</v>
      </c>
      <c r="AS249" s="122">
        <v>30300</v>
      </c>
      <c r="AT249" s="122">
        <v>4812</v>
      </c>
      <c r="AU249" s="122">
        <v>1782</v>
      </c>
      <c r="AV249" s="122">
        <v>138436</v>
      </c>
    </row>
    <row r="250" spans="2:48" ht="12.75" hidden="1" customHeight="1">
      <c r="B250" t="s">
        <v>364</v>
      </c>
      <c r="C250" t="s">
        <v>60</v>
      </c>
      <c r="D250" t="s">
        <v>137</v>
      </c>
      <c r="E250" t="s">
        <v>426</v>
      </c>
      <c r="F250">
        <v>6</v>
      </c>
      <c r="G250" s="122">
        <v>674</v>
      </c>
      <c r="H250" s="122">
        <v>1975</v>
      </c>
      <c r="I250" s="122">
        <v>143241</v>
      </c>
      <c r="J250" s="122">
        <v>53052</v>
      </c>
      <c r="K250" s="122">
        <v>100</v>
      </c>
      <c r="L250" s="122">
        <v>21799</v>
      </c>
      <c r="M250" s="122">
        <v>19817</v>
      </c>
      <c r="N250" s="122">
        <v>13600</v>
      </c>
      <c r="O250" s="122">
        <v>5037</v>
      </c>
      <c r="P250" s="122">
        <v>0</v>
      </c>
      <c r="Q250" s="122">
        <v>0</v>
      </c>
      <c r="R250" s="122">
        <v>35631</v>
      </c>
      <c r="S250" s="122">
        <v>32392</v>
      </c>
      <c r="T250" s="122">
        <v>9728</v>
      </c>
      <c r="U250" s="122">
        <v>3603</v>
      </c>
      <c r="V250" s="122">
        <v>113902</v>
      </c>
      <c r="W250" s="122">
        <f t="shared" si="6"/>
        <v>113901</v>
      </c>
      <c r="X250" s="122">
        <f t="shared" si="7"/>
        <v>223999</v>
      </c>
      <c r="Y250" s="122"/>
      <c r="AA250" t="s">
        <v>52</v>
      </c>
      <c r="AB250" t="s">
        <v>407</v>
      </c>
      <c r="AC250" t="s">
        <v>433</v>
      </c>
      <c r="AD250" t="s">
        <v>407</v>
      </c>
      <c r="AE250" t="s">
        <v>566</v>
      </c>
      <c r="AF250">
        <v>134</v>
      </c>
      <c r="AG250" s="122">
        <v>19181</v>
      </c>
      <c r="AH250" s="122">
        <v>15353</v>
      </c>
      <c r="AI250" s="122">
        <v>1146768</v>
      </c>
      <c r="AJ250" s="122">
        <v>1042517</v>
      </c>
      <c r="AK250">
        <v>90</v>
      </c>
      <c r="AL250" s="122">
        <v>188700</v>
      </c>
      <c r="AM250" s="122">
        <v>171546</v>
      </c>
      <c r="AN250" s="122">
        <v>291642</v>
      </c>
      <c r="AO250" s="122">
        <v>108015</v>
      </c>
      <c r="AP250" s="122">
        <v>84813</v>
      </c>
      <c r="AQ250" s="122">
        <v>31412</v>
      </c>
      <c r="AR250" s="122">
        <v>560888</v>
      </c>
      <c r="AS250" s="122">
        <v>509899</v>
      </c>
      <c r="AT250">
        <v>0</v>
      </c>
      <c r="AU250">
        <v>0</v>
      </c>
      <c r="AV250" s="122">
        <v>1863388</v>
      </c>
    </row>
    <row r="251" spans="2:48" ht="12.75" hidden="1" customHeight="1">
      <c r="B251" t="s">
        <v>364</v>
      </c>
      <c r="C251" t="s">
        <v>60</v>
      </c>
      <c r="D251" t="s">
        <v>406</v>
      </c>
      <c r="E251" t="s">
        <v>555</v>
      </c>
      <c r="F251" s="122">
        <v>1</v>
      </c>
      <c r="G251" s="122">
        <v>74</v>
      </c>
      <c r="H251" s="122">
        <v>351</v>
      </c>
      <c r="I251" s="122">
        <v>14936</v>
      </c>
      <c r="J251" s="122">
        <v>13578</v>
      </c>
      <c r="K251" s="122">
        <v>79</v>
      </c>
      <c r="L251" s="122">
        <v>4149</v>
      </c>
      <c r="M251" s="122">
        <v>3772</v>
      </c>
      <c r="N251" s="122">
        <v>1798</v>
      </c>
      <c r="O251" s="122">
        <v>666</v>
      </c>
      <c r="P251" s="122">
        <v>351</v>
      </c>
      <c r="Q251" s="122">
        <v>130</v>
      </c>
      <c r="R251" s="122">
        <v>3001</v>
      </c>
      <c r="S251" s="122">
        <v>2729</v>
      </c>
      <c r="T251" s="122">
        <v>1636</v>
      </c>
      <c r="U251" s="122">
        <v>606</v>
      </c>
      <c r="V251" s="122">
        <v>21481</v>
      </c>
      <c r="W251" s="122">
        <f t="shared" si="6"/>
        <v>21481</v>
      </c>
      <c r="X251" s="122">
        <f t="shared" si="7"/>
        <v>25871</v>
      </c>
      <c r="Y251" s="122"/>
      <c r="AA251" t="s">
        <v>52</v>
      </c>
      <c r="AB251" t="s">
        <v>407</v>
      </c>
      <c r="AC251" t="s">
        <v>429</v>
      </c>
      <c r="AD251" t="s">
        <v>407</v>
      </c>
      <c r="AE251" t="s">
        <v>566</v>
      </c>
      <c r="AF251">
        <v>4</v>
      </c>
      <c r="AG251">
        <v>501</v>
      </c>
      <c r="AH251">
        <v>474</v>
      </c>
      <c r="AI251" s="122">
        <v>29606</v>
      </c>
      <c r="AJ251" s="122">
        <v>26915</v>
      </c>
      <c r="AK251">
        <v>91</v>
      </c>
      <c r="AL251" s="122">
        <v>3978</v>
      </c>
      <c r="AM251" s="122">
        <v>3616</v>
      </c>
      <c r="AN251" s="122">
        <v>6650</v>
      </c>
      <c r="AO251" s="122">
        <v>2463</v>
      </c>
      <c r="AP251" s="122">
        <v>3396</v>
      </c>
      <c r="AQ251" s="122">
        <v>1258</v>
      </c>
      <c r="AR251" s="122">
        <v>15837</v>
      </c>
      <c r="AS251" s="122">
        <v>14397</v>
      </c>
      <c r="AT251">
        <v>0</v>
      </c>
      <c r="AU251">
        <v>0</v>
      </c>
      <c r="AV251" s="122">
        <v>48649</v>
      </c>
    </row>
    <row r="252" spans="2:48" ht="12.75" hidden="1" customHeight="1">
      <c r="B252" t="s">
        <v>364</v>
      </c>
      <c r="C252" t="s">
        <v>60</v>
      </c>
      <c r="D252" t="s">
        <v>406</v>
      </c>
      <c r="E252" t="s">
        <v>137</v>
      </c>
      <c r="F252">
        <v>2</v>
      </c>
      <c r="G252">
        <v>275</v>
      </c>
      <c r="H252" s="122">
        <v>706</v>
      </c>
      <c r="I252" s="122">
        <v>52380</v>
      </c>
      <c r="J252" s="122">
        <v>47619</v>
      </c>
      <c r="K252" s="122">
        <v>75</v>
      </c>
      <c r="L252" s="122">
        <v>13104</v>
      </c>
      <c r="M252" s="122">
        <v>8924</v>
      </c>
      <c r="N252" s="122">
        <v>6226</v>
      </c>
      <c r="O252" s="122">
        <v>2306</v>
      </c>
      <c r="P252" s="122">
        <v>1242</v>
      </c>
      <c r="Q252" s="122">
        <v>460</v>
      </c>
      <c r="R252" s="122">
        <v>21586</v>
      </c>
      <c r="S252" s="122">
        <v>7995</v>
      </c>
      <c r="T252" s="122">
        <v>2493</v>
      </c>
      <c r="U252" s="122">
        <v>923</v>
      </c>
      <c r="V252" s="122">
        <v>68227</v>
      </c>
      <c r="W252" s="122">
        <f t="shared" si="6"/>
        <v>68227</v>
      </c>
      <c r="X252" s="122">
        <f t="shared" si="7"/>
        <v>97031</v>
      </c>
      <c r="Y252" s="122"/>
      <c r="AA252" t="s">
        <v>52</v>
      </c>
      <c r="AB252" t="s">
        <v>579</v>
      </c>
      <c r="AC252" t="s">
        <v>566</v>
      </c>
      <c r="AD252" t="s">
        <v>579</v>
      </c>
      <c r="AE252" t="s">
        <v>137</v>
      </c>
      <c r="AF252">
        <v>2</v>
      </c>
      <c r="AG252">
        <v>154</v>
      </c>
      <c r="AH252">
        <v>242</v>
      </c>
      <c r="AI252" s="122">
        <v>4640</v>
      </c>
      <c r="AJ252" s="122">
        <v>3867</v>
      </c>
      <c r="AK252">
        <v>79</v>
      </c>
      <c r="AL252">
        <v>0</v>
      </c>
      <c r="AM252">
        <v>0</v>
      </c>
      <c r="AN252" s="122">
        <v>1882</v>
      </c>
      <c r="AO252">
        <v>697</v>
      </c>
      <c r="AP252">
        <v>702</v>
      </c>
      <c r="AQ252">
        <v>260</v>
      </c>
      <c r="AR252" s="122">
        <v>7262</v>
      </c>
      <c r="AS252" s="122">
        <v>6052</v>
      </c>
      <c r="AT252" s="122">
        <v>4168</v>
      </c>
      <c r="AU252" s="122">
        <v>1544</v>
      </c>
      <c r="AV252" s="122">
        <v>12419</v>
      </c>
    </row>
    <row r="253" spans="2:48" ht="12.75" hidden="1" customHeight="1">
      <c r="B253" t="s">
        <v>364</v>
      </c>
      <c r="C253" t="s">
        <v>60</v>
      </c>
      <c r="D253" t="s">
        <v>406</v>
      </c>
      <c r="E253" t="s">
        <v>406</v>
      </c>
      <c r="F253">
        <v>417</v>
      </c>
      <c r="G253" s="122">
        <v>39710</v>
      </c>
      <c r="H253" s="122">
        <v>140937</v>
      </c>
      <c r="I253" s="122">
        <v>8035328</v>
      </c>
      <c r="J253" s="122">
        <v>7304844</v>
      </c>
      <c r="K253" s="122">
        <v>77</v>
      </c>
      <c r="L253" s="122">
        <v>1686986</v>
      </c>
      <c r="M253" s="122">
        <v>1470987</v>
      </c>
      <c r="N253" s="122">
        <v>845808</v>
      </c>
      <c r="O253" s="122">
        <v>313262</v>
      </c>
      <c r="P253" s="122">
        <v>275535</v>
      </c>
      <c r="Q253" s="122">
        <v>102050</v>
      </c>
      <c r="R253" s="122">
        <v>1917825</v>
      </c>
      <c r="S253" s="122">
        <v>1743477</v>
      </c>
      <c r="T253" s="122">
        <v>805288</v>
      </c>
      <c r="U253" s="122">
        <v>298255</v>
      </c>
      <c r="V253" s="122">
        <v>11232876</v>
      </c>
      <c r="W253" s="122">
        <f t="shared" si="6"/>
        <v>11232875</v>
      </c>
      <c r="X253" s="122">
        <f t="shared" si="7"/>
        <v>13566770</v>
      </c>
      <c r="Y253" s="122"/>
      <c r="AA253" t="s">
        <v>52</v>
      </c>
      <c r="AB253" t="s">
        <v>426</v>
      </c>
      <c r="AC253" t="s">
        <v>426</v>
      </c>
      <c r="AD253" t="s">
        <v>426</v>
      </c>
      <c r="AE253" t="s">
        <v>137</v>
      </c>
      <c r="AF253">
        <v>2</v>
      </c>
      <c r="AG253">
        <v>267</v>
      </c>
      <c r="AH253">
        <v>219</v>
      </c>
      <c r="AI253" s="122">
        <v>13262</v>
      </c>
      <c r="AJ253" s="122">
        <v>12056</v>
      </c>
      <c r="AK253">
        <v>79</v>
      </c>
      <c r="AL253" s="122">
        <v>2923</v>
      </c>
      <c r="AM253" s="122">
        <v>2657</v>
      </c>
      <c r="AN253" s="122">
        <v>3251</v>
      </c>
      <c r="AO253" s="122">
        <v>1204</v>
      </c>
      <c r="AP253">
        <v>702</v>
      </c>
      <c r="AQ253">
        <v>260</v>
      </c>
      <c r="AR253" s="122">
        <v>9095</v>
      </c>
      <c r="AS253" s="122">
        <v>8268</v>
      </c>
      <c r="AT253">
        <v>0</v>
      </c>
      <c r="AU253">
        <v>0</v>
      </c>
      <c r="AV253" s="122">
        <v>24445</v>
      </c>
    </row>
    <row r="254" spans="2:48" ht="12.75" hidden="1" customHeight="1">
      <c r="B254" t="s">
        <v>364</v>
      </c>
      <c r="C254" t="s">
        <v>60</v>
      </c>
      <c r="D254" t="s">
        <v>406</v>
      </c>
      <c r="E254" t="s">
        <v>407</v>
      </c>
      <c r="F254" s="122">
        <v>1</v>
      </c>
      <c r="G254" s="122">
        <v>202</v>
      </c>
      <c r="H254" s="122">
        <v>316</v>
      </c>
      <c r="I254" s="122">
        <v>40608</v>
      </c>
      <c r="J254" s="122">
        <v>36917</v>
      </c>
      <c r="K254" s="122">
        <v>79</v>
      </c>
      <c r="L254" s="122">
        <v>11280</v>
      </c>
      <c r="M254" s="122">
        <v>10255</v>
      </c>
      <c r="N254" s="122">
        <v>3445</v>
      </c>
      <c r="O254" s="122">
        <v>1276</v>
      </c>
      <c r="P254" s="122">
        <v>621</v>
      </c>
      <c r="Q254" s="122">
        <v>230</v>
      </c>
      <c r="R254" s="122">
        <v>7833</v>
      </c>
      <c r="S254" s="122">
        <v>7121</v>
      </c>
      <c r="T254" s="122">
        <v>0</v>
      </c>
      <c r="U254" s="122">
        <v>0</v>
      </c>
      <c r="V254" s="122">
        <v>55798</v>
      </c>
      <c r="W254" s="122">
        <f t="shared" si="6"/>
        <v>55799</v>
      </c>
      <c r="X254" s="122">
        <f t="shared" si="7"/>
        <v>63787</v>
      </c>
      <c r="Y254" s="122"/>
      <c r="AA254" t="s">
        <v>52</v>
      </c>
      <c r="AB254" t="s">
        <v>481</v>
      </c>
      <c r="AC254" t="s">
        <v>566</v>
      </c>
      <c r="AD254" t="s">
        <v>481</v>
      </c>
      <c r="AE254" t="s">
        <v>137</v>
      </c>
      <c r="AF254">
        <v>1</v>
      </c>
      <c r="AG254">
        <v>97</v>
      </c>
      <c r="AH254">
        <v>120</v>
      </c>
      <c r="AI254" s="122">
        <v>3843</v>
      </c>
      <c r="AJ254" s="122">
        <v>3494</v>
      </c>
      <c r="AK254">
        <v>94</v>
      </c>
      <c r="AL254">
        <v>0</v>
      </c>
      <c r="AM254">
        <v>0</v>
      </c>
      <c r="AN254" s="122">
        <v>1181</v>
      </c>
      <c r="AO254">
        <v>437</v>
      </c>
      <c r="AP254" s="122">
        <v>1560</v>
      </c>
      <c r="AQ254">
        <v>578</v>
      </c>
      <c r="AR254" s="122">
        <v>2501</v>
      </c>
      <c r="AS254" s="122">
        <v>2274</v>
      </c>
      <c r="AT254" s="122">
        <v>2522</v>
      </c>
      <c r="AU254">
        <v>934</v>
      </c>
      <c r="AV254" s="122">
        <v>7717</v>
      </c>
    </row>
    <row r="255" spans="2:48" ht="12.75" hidden="1" customHeight="1">
      <c r="B255" t="s">
        <v>364</v>
      </c>
      <c r="C255" t="s">
        <v>60</v>
      </c>
      <c r="D255" t="s">
        <v>406</v>
      </c>
      <c r="E255" t="s">
        <v>426</v>
      </c>
      <c r="F255">
        <v>1</v>
      </c>
      <c r="G255" s="122">
        <v>74</v>
      </c>
      <c r="H255" s="122">
        <v>311</v>
      </c>
      <c r="I255" s="122">
        <v>12275</v>
      </c>
      <c r="J255" s="122">
        <v>11160</v>
      </c>
      <c r="K255" s="122">
        <v>55</v>
      </c>
      <c r="L255" s="122">
        <v>1841</v>
      </c>
      <c r="M255" s="122">
        <v>682</v>
      </c>
      <c r="N255" s="122">
        <v>1744</v>
      </c>
      <c r="O255" s="122">
        <v>646</v>
      </c>
      <c r="P255" s="122">
        <v>351</v>
      </c>
      <c r="Q255" s="122">
        <v>130</v>
      </c>
      <c r="R255" s="122">
        <v>4774</v>
      </c>
      <c r="S255" s="122">
        <v>4340</v>
      </c>
      <c r="T255" s="122">
        <v>2087</v>
      </c>
      <c r="U255" s="122">
        <v>773</v>
      </c>
      <c r="V255" s="122">
        <v>17730</v>
      </c>
      <c r="W255" s="122">
        <f t="shared" si="6"/>
        <v>17731</v>
      </c>
      <c r="X255" s="122">
        <f t="shared" si="7"/>
        <v>23072</v>
      </c>
      <c r="Y255" s="122"/>
      <c r="AA255" t="s">
        <v>52</v>
      </c>
      <c r="AB255" t="s">
        <v>408</v>
      </c>
      <c r="AC255" t="s">
        <v>427</v>
      </c>
      <c r="AD255" t="s">
        <v>408</v>
      </c>
      <c r="AE255" t="s">
        <v>566</v>
      </c>
      <c r="AF255">
        <v>2</v>
      </c>
      <c r="AG255">
        <v>461</v>
      </c>
      <c r="AH255">
        <v>241</v>
      </c>
      <c r="AI255" s="122">
        <v>30499</v>
      </c>
      <c r="AJ255" s="122">
        <v>27727</v>
      </c>
      <c r="AK255">
        <v>89</v>
      </c>
      <c r="AL255" s="122">
        <v>5005</v>
      </c>
      <c r="AM255" s="122">
        <v>4550</v>
      </c>
      <c r="AN255" s="122">
        <v>8051</v>
      </c>
      <c r="AO255" s="122">
        <v>2982</v>
      </c>
      <c r="AP255">
        <v>702</v>
      </c>
      <c r="AQ255">
        <v>260</v>
      </c>
      <c r="AR255" s="122">
        <v>11366</v>
      </c>
      <c r="AS255" s="122">
        <v>10332</v>
      </c>
      <c r="AT255">
        <v>0</v>
      </c>
      <c r="AU255">
        <v>0</v>
      </c>
      <c r="AV255" s="122">
        <v>45851</v>
      </c>
    </row>
    <row r="256" spans="2:48" ht="12.75" hidden="1" customHeight="1">
      <c r="B256" t="s">
        <v>364</v>
      </c>
      <c r="C256" t="s">
        <v>60</v>
      </c>
      <c r="D256" t="s">
        <v>427</v>
      </c>
      <c r="E256" t="s">
        <v>406</v>
      </c>
      <c r="F256" s="122">
        <v>1</v>
      </c>
      <c r="G256" s="122">
        <v>79</v>
      </c>
      <c r="H256" s="122">
        <v>369</v>
      </c>
      <c r="I256" s="122">
        <v>20850</v>
      </c>
      <c r="J256" s="122">
        <v>18955</v>
      </c>
      <c r="K256" s="122">
        <v>60</v>
      </c>
      <c r="L256" s="122">
        <v>0</v>
      </c>
      <c r="M256" s="122">
        <v>4002</v>
      </c>
      <c r="N256" s="122">
        <v>1369</v>
      </c>
      <c r="O256" s="122">
        <v>507</v>
      </c>
      <c r="P256" s="122">
        <v>621</v>
      </c>
      <c r="Q256" s="122">
        <v>230</v>
      </c>
      <c r="R256" s="122">
        <v>6368</v>
      </c>
      <c r="S256" s="122">
        <v>5789</v>
      </c>
      <c r="T256" s="122">
        <v>0</v>
      </c>
      <c r="U256" s="122">
        <v>0</v>
      </c>
      <c r="V256" s="122">
        <v>29482</v>
      </c>
      <c r="W256" s="122">
        <f t="shared" si="6"/>
        <v>29483</v>
      </c>
      <c r="X256" s="122">
        <f t="shared" si="7"/>
        <v>29208</v>
      </c>
      <c r="Y256" s="122"/>
      <c r="AA256" t="s">
        <v>52</v>
      </c>
      <c r="AB256" t="s">
        <v>408</v>
      </c>
      <c r="AC256" t="s">
        <v>426</v>
      </c>
      <c r="AD256" t="s">
        <v>408</v>
      </c>
      <c r="AE256" t="s">
        <v>566</v>
      </c>
      <c r="AF256">
        <v>1</v>
      </c>
      <c r="AG256">
        <v>100</v>
      </c>
      <c r="AH256">
        <v>122</v>
      </c>
      <c r="AI256" s="122">
        <v>6270</v>
      </c>
      <c r="AJ256" s="122">
        <v>5700</v>
      </c>
      <c r="AK256">
        <v>90</v>
      </c>
      <c r="AL256" s="122">
        <v>2090</v>
      </c>
      <c r="AM256" s="122">
        <v>1900</v>
      </c>
      <c r="AN256" s="122">
        <v>1587</v>
      </c>
      <c r="AO256">
        <v>588</v>
      </c>
      <c r="AP256">
        <v>351</v>
      </c>
      <c r="AQ256">
        <v>130</v>
      </c>
      <c r="AR256" s="122">
        <v>1943</v>
      </c>
      <c r="AS256" s="122">
        <v>1766</v>
      </c>
      <c r="AT256">
        <v>0</v>
      </c>
      <c r="AU256">
        <v>0</v>
      </c>
      <c r="AV256" s="122">
        <v>10084</v>
      </c>
    </row>
    <row r="257" spans="2:48" ht="12.75" hidden="1" customHeight="1">
      <c r="B257" t="s">
        <v>364</v>
      </c>
      <c r="C257" t="s">
        <v>60</v>
      </c>
      <c r="D257" t="s">
        <v>427</v>
      </c>
      <c r="E257" s="122" t="s">
        <v>427</v>
      </c>
      <c r="F257" s="122">
        <v>70</v>
      </c>
      <c r="G257" s="122">
        <v>5797</v>
      </c>
      <c r="H257" s="122">
        <v>24154</v>
      </c>
      <c r="I257" s="122">
        <v>1146749</v>
      </c>
      <c r="J257" s="122">
        <v>1042499</v>
      </c>
      <c r="K257" s="122">
        <v>51</v>
      </c>
      <c r="L257" s="122">
        <v>161861</v>
      </c>
      <c r="M257" s="122">
        <v>131711</v>
      </c>
      <c r="N257" s="122">
        <v>108458</v>
      </c>
      <c r="O257" s="122">
        <v>40170</v>
      </c>
      <c r="P257" s="122">
        <v>24071</v>
      </c>
      <c r="Q257" s="122">
        <v>8915</v>
      </c>
      <c r="R257" s="122">
        <v>397466</v>
      </c>
      <c r="S257" s="122">
        <v>361333</v>
      </c>
      <c r="T257" s="122">
        <v>160884</v>
      </c>
      <c r="U257" s="122">
        <v>59587</v>
      </c>
      <c r="V257" s="122">
        <v>1644213</v>
      </c>
      <c r="W257" s="122">
        <f t="shared" si="6"/>
        <v>1644215</v>
      </c>
      <c r="X257" s="122">
        <f t="shared" si="7"/>
        <v>1999489</v>
      </c>
      <c r="Y257" s="122"/>
      <c r="AA257" t="s">
        <v>52</v>
      </c>
      <c r="AB257" t="s">
        <v>408</v>
      </c>
      <c r="AC257" t="s">
        <v>566</v>
      </c>
      <c r="AD257" t="s">
        <v>408</v>
      </c>
      <c r="AE257" t="s">
        <v>137</v>
      </c>
      <c r="AF257">
        <v>5</v>
      </c>
      <c r="AG257">
        <v>403</v>
      </c>
      <c r="AH257">
        <v>534</v>
      </c>
      <c r="AI257" s="122">
        <v>25066</v>
      </c>
      <c r="AJ257" s="122">
        <v>22787</v>
      </c>
      <c r="AK257">
        <v>86</v>
      </c>
      <c r="AL257">
        <v>0</v>
      </c>
      <c r="AM257">
        <v>0</v>
      </c>
      <c r="AN257" s="122">
        <v>4909</v>
      </c>
      <c r="AO257" s="122">
        <v>1818</v>
      </c>
      <c r="AP257" s="122">
        <v>2664</v>
      </c>
      <c r="AQ257">
        <v>987</v>
      </c>
      <c r="AR257" s="122">
        <v>7730</v>
      </c>
      <c r="AS257" s="122">
        <v>7027</v>
      </c>
      <c r="AT257" s="122">
        <v>2745</v>
      </c>
      <c r="AU257" s="122">
        <v>1017</v>
      </c>
      <c r="AV257" s="122">
        <v>33636</v>
      </c>
    </row>
    <row r="258" spans="2:48" ht="12.75" hidden="1" customHeight="1">
      <c r="B258" t="s">
        <v>364</v>
      </c>
      <c r="C258" t="s">
        <v>60</v>
      </c>
      <c r="D258" t="s">
        <v>407</v>
      </c>
      <c r="E258" t="s">
        <v>407</v>
      </c>
      <c r="F258">
        <v>16</v>
      </c>
      <c r="G258" s="122">
        <v>1435</v>
      </c>
      <c r="H258" s="122">
        <v>5387</v>
      </c>
      <c r="I258" s="122">
        <v>282232</v>
      </c>
      <c r="J258" s="122">
        <v>256575</v>
      </c>
      <c r="K258" s="122">
        <v>78</v>
      </c>
      <c r="L258" s="122">
        <v>72656</v>
      </c>
      <c r="M258" s="122">
        <v>65680</v>
      </c>
      <c r="N258" s="122">
        <v>31056</v>
      </c>
      <c r="O258" s="122">
        <v>11502</v>
      </c>
      <c r="P258" s="122">
        <v>7439</v>
      </c>
      <c r="Q258" s="122">
        <v>2755</v>
      </c>
      <c r="R258" s="122">
        <v>70385</v>
      </c>
      <c r="S258" s="122">
        <v>63986</v>
      </c>
      <c r="T258" s="122">
        <v>25581</v>
      </c>
      <c r="U258" s="122">
        <v>9475</v>
      </c>
      <c r="V258" s="122">
        <v>409972</v>
      </c>
      <c r="W258" s="122">
        <f t="shared" si="6"/>
        <v>409973</v>
      </c>
      <c r="X258" s="122">
        <f t="shared" si="7"/>
        <v>489349</v>
      </c>
      <c r="Y258" s="122"/>
      <c r="AA258" t="s">
        <v>52</v>
      </c>
      <c r="AB258" t="s">
        <v>408</v>
      </c>
      <c r="AC258" t="s">
        <v>566</v>
      </c>
      <c r="AD258" t="s">
        <v>429</v>
      </c>
      <c r="AE258" t="s">
        <v>137</v>
      </c>
      <c r="AF258">
        <v>1</v>
      </c>
      <c r="AG258">
        <v>130</v>
      </c>
      <c r="AH258">
        <v>104</v>
      </c>
      <c r="AI258" s="122">
        <v>7368</v>
      </c>
      <c r="AJ258" s="122">
        <v>6698</v>
      </c>
      <c r="AK258">
        <v>90</v>
      </c>
      <c r="AL258">
        <v>0</v>
      </c>
      <c r="AM258">
        <v>0</v>
      </c>
      <c r="AN258" s="122">
        <v>1588</v>
      </c>
      <c r="AO258">
        <v>588</v>
      </c>
      <c r="AP258" s="122">
        <v>1561</v>
      </c>
      <c r="AQ258">
        <v>578</v>
      </c>
      <c r="AR258" s="122">
        <v>3050</v>
      </c>
      <c r="AS258" s="122">
        <v>2772</v>
      </c>
      <c r="AT258">
        <v>0</v>
      </c>
      <c r="AU258">
        <v>0</v>
      </c>
      <c r="AV258" s="122">
        <v>10637</v>
      </c>
    </row>
    <row r="259" spans="2:48" ht="12.75" hidden="1" customHeight="1">
      <c r="B259" t="s">
        <v>364</v>
      </c>
      <c r="C259" t="s">
        <v>60</v>
      </c>
      <c r="D259" t="s">
        <v>556</v>
      </c>
      <c r="E259" t="s">
        <v>137</v>
      </c>
      <c r="F259">
        <v>2</v>
      </c>
      <c r="G259">
        <v>169</v>
      </c>
      <c r="H259" s="122">
        <v>649</v>
      </c>
      <c r="I259" s="122">
        <v>26510</v>
      </c>
      <c r="J259" s="122">
        <v>22091</v>
      </c>
      <c r="K259" s="122">
        <v>59</v>
      </c>
      <c r="L259" s="122">
        <v>6021</v>
      </c>
      <c r="M259" s="122">
        <v>2230</v>
      </c>
      <c r="N259" s="122">
        <v>3989</v>
      </c>
      <c r="O259" s="122">
        <v>1477</v>
      </c>
      <c r="P259" s="122">
        <v>702</v>
      </c>
      <c r="Q259" s="122">
        <v>260</v>
      </c>
      <c r="R259" s="122">
        <v>17595</v>
      </c>
      <c r="S259" s="122">
        <v>6517</v>
      </c>
      <c r="T259" s="122">
        <v>0</v>
      </c>
      <c r="U259" s="122">
        <v>0</v>
      </c>
      <c r="V259" s="122">
        <v>32576</v>
      </c>
      <c r="W259" s="122">
        <f t="shared" si="6"/>
        <v>32575</v>
      </c>
      <c r="X259" s="122">
        <f t="shared" si="7"/>
        <v>54817</v>
      </c>
      <c r="Y259" s="122"/>
      <c r="AA259" t="s">
        <v>52</v>
      </c>
      <c r="AB259" t="s">
        <v>408</v>
      </c>
      <c r="AC259" t="s">
        <v>433</v>
      </c>
      <c r="AD259" t="s">
        <v>429</v>
      </c>
      <c r="AE259" t="s">
        <v>137</v>
      </c>
      <c r="AF259">
        <v>1</v>
      </c>
      <c r="AG259">
        <v>89</v>
      </c>
      <c r="AH259">
        <v>125</v>
      </c>
      <c r="AI259" s="122">
        <v>4398</v>
      </c>
      <c r="AJ259" s="122">
        <v>3998</v>
      </c>
      <c r="AK259">
        <v>85</v>
      </c>
      <c r="AL259" s="122">
        <v>1187</v>
      </c>
      <c r="AM259" s="122">
        <v>1079</v>
      </c>
      <c r="AN259" s="122">
        <v>1086</v>
      </c>
      <c r="AO259">
        <v>402</v>
      </c>
      <c r="AP259">
        <v>351</v>
      </c>
      <c r="AQ259">
        <v>130</v>
      </c>
      <c r="AR259" s="122">
        <v>4111</v>
      </c>
      <c r="AS259" s="122">
        <v>3737</v>
      </c>
      <c r="AT259">
        <v>0</v>
      </c>
      <c r="AU259">
        <v>0</v>
      </c>
      <c r="AV259" s="122">
        <v>9346</v>
      </c>
    </row>
    <row r="260" spans="2:48" ht="12.75" hidden="1" customHeight="1">
      <c r="B260" t="s">
        <v>364</v>
      </c>
      <c r="C260" t="s">
        <v>60</v>
      </c>
      <c r="D260" t="s">
        <v>556</v>
      </c>
      <c r="E260" t="s">
        <v>556</v>
      </c>
      <c r="F260">
        <v>78</v>
      </c>
      <c r="G260" s="122">
        <v>5992</v>
      </c>
      <c r="H260" s="122">
        <v>26702</v>
      </c>
      <c r="I260" s="122">
        <v>1165244</v>
      </c>
      <c r="J260" s="122">
        <v>971037</v>
      </c>
      <c r="K260" s="122">
        <v>60</v>
      </c>
      <c r="L260" s="122">
        <v>166312</v>
      </c>
      <c r="M260" s="122">
        <v>119970</v>
      </c>
      <c r="N260" s="122">
        <v>120497</v>
      </c>
      <c r="O260" s="122">
        <v>44628</v>
      </c>
      <c r="P260" s="122">
        <v>28472</v>
      </c>
      <c r="Q260" s="122">
        <v>10545</v>
      </c>
      <c r="R260" s="122">
        <v>395862</v>
      </c>
      <c r="S260" s="122">
        <v>329885</v>
      </c>
      <c r="T260" s="122">
        <v>168665</v>
      </c>
      <c r="U260" s="122">
        <v>62468</v>
      </c>
      <c r="V260" s="122">
        <v>1538533</v>
      </c>
      <c r="W260" s="122">
        <f t="shared" si="6"/>
        <v>1538533</v>
      </c>
      <c r="X260" s="122">
        <f t="shared" si="7"/>
        <v>2045052</v>
      </c>
      <c r="Y260" s="122"/>
      <c r="AA260" t="s">
        <v>52</v>
      </c>
      <c r="AB260" t="s">
        <v>408</v>
      </c>
      <c r="AC260" t="s">
        <v>429</v>
      </c>
      <c r="AD260" t="s">
        <v>408</v>
      </c>
      <c r="AE260" t="s">
        <v>566</v>
      </c>
      <c r="AF260">
        <v>1</v>
      </c>
      <c r="AG260">
        <v>175</v>
      </c>
      <c r="AH260">
        <v>115</v>
      </c>
      <c r="AI260" s="122">
        <v>16558</v>
      </c>
      <c r="AJ260" s="122">
        <v>15052</v>
      </c>
      <c r="AK260">
        <v>94</v>
      </c>
      <c r="AL260" s="122">
        <v>1977</v>
      </c>
      <c r="AM260" s="122">
        <v>1797</v>
      </c>
      <c r="AN260" s="122">
        <v>2278</v>
      </c>
      <c r="AO260">
        <v>844</v>
      </c>
      <c r="AP260" s="122">
        <v>1053</v>
      </c>
      <c r="AQ260">
        <v>390</v>
      </c>
      <c r="AR260">
        <v>-408</v>
      </c>
      <c r="AS260">
        <v>-371</v>
      </c>
      <c r="AT260">
        <v>0</v>
      </c>
      <c r="AU260">
        <v>0</v>
      </c>
      <c r="AV260" s="122">
        <v>17713</v>
      </c>
    </row>
    <row r="261" spans="2:48" ht="12.75" hidden="1" customHeight="1">
      <c r="B261" t="s">
        <v>364</v>
      </c>
      <c r="C261" t="s">
        <v>60</v>
      </c>
      <c r="D261" t="s">
        <v>556</v>
      </c>
      <c r="E261" t="s">
        <v>426</v>
      </c>
      <c r="F261" s="122">
        <v>2</v>
      </c>
      <c r="G261" s="122">
        <v>172</v>
      </c>
      <c r="H261" s="122">
        <v>725</v>
      </c>
      <c r="I261" s="122">
        <v>33621</v>
      </c>
      <c r="J261" s="122">
        <v>28017</v>
      </c>
      <c r="K261" s="122">
        <v>50</v>
      </c>
      <c r="L261" s="122">
        <v>9375</v>
      </c>
      <c r="M261" s="122">
        <v>3472</v>
      </c>
      <c r="N261" s="122">
        <v>3967</v>
      </c>
      <c r="O261" s="122">
        <v>1469</v>
      </c>
      <c r="P261" s="122">
        <v>702</v>
      </c>
      <c r="Q261" s="122">
        <v>260</v>
      </c>
      <c r="R261" s="122">
        <v>10180</v>
      </c>
      <c r="S261" s="122">
        <v>9255</v>
      </c>
      <c r="T261" s="122">
        <v>4493</v>
      </c>
      <c r="U261" s="122">
        <v>1664</v>
      </c>
      <c r="V261" s="122">
        <v>44138</v>
      </c>
      <c r="W261" s="122">
        <f t="shared" si="6"/>
        <v>44137</v>
      </c>
      <c r="X261" s="122">
        <f t="shared" si="7"/>
        <v>62338</v>
      </c>
      <c r="Y261" s="122"/>
      <c r="AA261" t="s">
        <v>52</v>
      </c>
      <c r="AB261" t="s">
        <v>429</v>
      </c>
      <c r="AC261" t="s">
        <v>566</v>
      </c>
      <c r="AD261" t="s">
        <v>429</v>
      </c>
      <c r="AE261" t="s">
        <v>137</v>
      </c>
      <c r="AF261">
        <v>1</v>
      </c>
      <c r="AG261">
        <v>90</v>
      </c>
      <c r="AH261">
        <v>109</v>
      </c>
      <c r="AI261" s="122">
        <v>4260</v>
      </c>
      <c r="AJ261" s="122">
        <v>3873</v>
      </c>
      <c r="AK261">
        <v>94</v>
      </c>
      <c r="AL261">
        <v>0</v>
      </c>
      <c r="AM261">
        <v>0</v>
      </c>
      <c r="AN261" s="122">
        <v>1097</v>
      </c>
      <c r="AO261">
        <v>406</v>
      </c>
      <c r="AP261" s="122">
        <v>1107</v>
      </c>
      <c r="AQ261">
        <v>410</v>
      </c>
      <c r="AR261" s="122">
        <v>3323</v>
      </c>
      <c r="AS261" s="122">
        <v>3021</v>
      </c>
      <c r="AT261">
        <v>0</v>
      </c>
      <c r="AU261">
        <v>0</v>
      </c>
      <c r="AV261" s="122">
        <v>7710</v>
      </c>
    </row>
    <row r="262" spans="2:48" ht="12.75" hidden="1" customHeight="1">
      <c r="B262" t="s">
        <v>364</v>
      </c>
      <c r="C262" t="s">
        <v>60</v>
      </c>
      <c r="D262" t="s">
        <v>431</v>
      </c>
      <c r="E262" t="s">
        <v>431</v>
      </c>
      <c r="F262">
        <v>1</v>
      </c>
      <c r="G262" s="122">
        <v>107</v>
      </c>
      <c r="H262" s="122">
        <v>356</v>
      </c>
      <c r="I262" s="122">
        <v>19570</v>
      </c>
      <c r="J262" s="122">
        <v>17791</v>
      </c>
      <c r="K262">
        <v>55</v>
      </c>
      <c r="L262" s="122">
        <v>3986</v>
      </c>
      <c r="M262" s="122">
        <v>3624</v>
      </c>
      <c r="N262" s="122">
        <v>2182</v>
      </c>
      <c r="O262" s="122">
        <v>808</v>
      </c>
      <c r="P262" s="122">
        <v>351</v>
      </c>
      <c r="Q262" s="122">
        <v>130</v>
      </c>
      <c r="R262" s="122">
        <v>7126</v>
      </c>
      <c r="S262" s="122">
        <v>6478</v>
      </c>
      <c r="T262" s="122">
        <v>4738</v>
      </c>
      <c r="U262" s="122">
        <v>1755</v>
      </c>
      <c r="V262" s="122">
        <v>30586</v>
      </c>
      <c r="W262" s="122">
        <f t="shared" si="6"/>
        <v>30586</v>
      </c>
      <c r="X262" s="122">
        <f t="shared" si="7"/>
        <v>37953</v>
      </c>
      <c r="Y262" s="122"/>
      <c r="AA262" t="s">
        <v>54</v>
      </c>
      <c r="AC262" t="s">
        <v>566</v>
      </c>
      <c r="AE262" t="s">
        <v>566</v>
      </c>
      <c r="AF262">
        <v>107</v>
      </c>
      <c r="AG262" s="122">
        <v>8493</v>
      </c>
      <c r="AH262" s="122">
        <v>14702</v>
      </c>
      <c r="AJ262">
        <v>0</v>
      </c>
      <c r="AM262">
        <v>0</v>
      </c>
      <c r="AN262" s="122">
        <v>179050</v>
      </c>
      <c r="AO262" s="122">
        <v>66315</v>
      </c>
      <c r="AP262" s="122">
        <v>27876</v>
      </c>
      <c r="AQ262" s="122">
        <v>10325</v>
      </c>
      <c r="AS262">
        <v>0</v>
      </c>
      <c r="AT262" s="122">
        <v>1498</v>
      </c>
      <c r="AU262">
        <v>555</v>
      </c>
      <c r="AV262" s="122">
        <v>77194</v>
      </c>
    </row>
    <row r="263" spans="2:48" ht="12.75" hidden="1" customHeight="1">
      <c r="B263" t="s">
        <v>364</v>
      </c>
      <c r="C263" t="s">
        <v>60</v>
      </c>
      <c r="D263" t="s">
        <v>426</v>
      </c>
      <c r="E263" t="s">
        <v>137</v>
      </c>
      <c r="F263">
        <v>7</v>
      </c>
      <c r="G263">
        <v>488</v>
      </c>
      <c r="H263" s="122">
        <v>2366</v>
      </c>
      <c r="I263" s="122">
        <v>105013</v>
      </c>
      <c r="J263" s="122">
        <v>95467</v>
      </c>
      <c r="K263" s="122">
        <v>59</v>
      </c>
      <c r="L263" s="122">
        <v>20202</v>
      </c>
      <c r="M263" s="122">
        <v>10728</v>
      </c>
      <c r="N263" s="122">
        <v>12541</v>
      </c>
      <c r="O263" s="122">
        <v>4645</v>
      </c>
      <c r="P263" s="122">
        <v>1053</v>
      </c>
      <c r="Q263" s="122">
        <v>390</v>
      </c>
      <c r="R263" s="122">
        <v>51609</v>
      </c>
      <c r="S263" s="122">
        <v>19115</v>
      </c>
      <c r="T263">
        <v>0</v>
      </c>
      <c r="U263" s="122">
        <v>0</v>
      </c>
      <c r="V263" s="122">
        <v>130344</v>
      </c>
      <c r="W263" s="122">
        <f t="shared" ref="W263:W326" si="8">SUM(ABS(J263),ABS(M263),ABS(O263),ABS(Q263),ABS(S263),ABS(U263))</f>
        <v>130345</v>
      </c>
      <c r="X263" s="122">
        <f t="shared" ref="X263:X326" si="9">SUM(ABS(I263),ABS(N263),ABS(P263),ABS(R263),ABS(T263),ABS(L263))</f>
        <v>190418</v>
      </c>
      <c r="Y263" s="122"/>
      <c r="AA263" t="s">
        <v>54</v>
      </c>
      <c r="AB263" t="s">
        <v>425</v>
      </c>
      <c r="AC263" t="s">
        <v>425</v>
      </c>
      <c r="AD263" t="s">
        <v>425</v>
      </c>
      <c r="AE263" t="s">
        <v>137</v>
      </c>
      <c r="AF263">
        <v>1</v>
      </c>
      <c r="AG263">
        <v>100</v>
      </c>
      <c r="AH263">
        <v>131</v>
      </c>
      <c r="AI263" s="122">
        <v>7690</v>
      </c>
      <c r="AJ263" s="122">
        <v>6991</v>
      </c>
      <c r="AK263">
        <v>92</v>
      </c>
      <c r="AL263" s="122">
        <v>1867</v>
      </c>
      <c r="AM263" s="122">
        <v>1697</v>
      </c>
      <c r="AN263" s="122">
        <v>1222</v>
      </c>
      <c r="AO263">
        <v>452</v>
      </c>
      <c r="AP263">
        <v>351</v>
      </c>
      <c r="AQ263">
        <v>130</v>
      </c>
      <c r="AR263" s="122">
        <v>1984</v>
      </c>
      <c r="AS263" s="122">
        <v>1804</v>
      </c>
      <c r="AT263">
        <v>0</v>
      </c>
      <c r="AU263">
        <v>0</v>
      </c>
      <c r="AV263" s="122">
        <v>11074</v>
      </c>
    </row>
    <row r="264" spans="2:48" ht="12.75" hidden="1" customHeight="1">
      <c r="B264" t="s">
        <v>364</v>
      </c>
      <c r="C264" t="s">
        <v>60</v>
      </c>
      <c r="D264" t="s">
        <v>426</v>
      </c>
      <c r="E264" s="122" t="s">
        <v>426</v>
      </c>
      <c r="F264" s="122">
        <v>310</v>
      </c>
      <c r="G264" s="122">
        <v>21703</v>
      </c>
      <c r="H264" s="122">
        <v>104768</v>
      </c>
      <c r="I264" s="122">
        <v>4235005</v>
      </c>
      <c r="J264" s="122">
        <v>3850004</v>
      </c>
      <c r="K264" s="122">
        <v>58</v>
      </c>
      <c r="L264" s="122">
        <v>453552</v>
      </c>
      <c r="M264" s="122">
        <v>345367</v>
      </c>
      <c r="N264" s="122">
        <v>428577</v>
      </c>
      <c r="O264" s="122">
        <v>158732</v>
      </c>
      <c r="P264" s="122">
        <v>122657</v>
      </c>
      <c r="Q264" s="122">
        <v>45428</v>
      </c>
      <c r="R264" s="122">
        <v>1496116</v>
      </c>
      <c r="S264" s="122">
        <v>1360105</v>
      </c>
      <c r="T264" s="122">
        <v>635320</v>
      </c>
      <c r="U264" s="122">
        <v>235304</v>
      </c>
      <c r="V264" s="122">
        <v>5994941</v>
      </c>
      <c r="W264" s="122">
        <f t="shared" si="8"/>
        <v>5994940</v>
      </c>
      <c r="X264" s="122">
        <f t="shared" si="9"/>
        <v>7371227</v>
      </c>
      <c r="Y264" s="122"/>
      <c r="AA264" t="s">
        <v>54</v>
      </c>
      <c r="AB264" t="s">
        <v>425</v>
      </c>
      <c r="AC264" t="s">
        <v>425</v>
      </c>
      <c r="AD264" t="s">
        <v>425</v>
      </c>
      <c r="AE264" t="s">
        <v>566</v>
      </c>
      <c r="AF264">
        <v>4</v>
      </c>
      <c r="AG264">
        <v>392</v>
      </c>
      <c r="AH264">
        <v>544</v>
      </c>
      <c r="AI264" s="122">
        <v>21439</v>
      </c>
      <c r="AJ264" s="122">
        <v>19490</v>
      </c>
      <c r="AK264">
        <v>91</v>
      </c>
      <c r="AL264" s="122">
        <v>5493</v>
      </c>
      <c r="AM264" s="122">
        <v>4994</v>
      </c>
      <c r="AN264" s="122">
        <v>6254</v>
      </c>
      <c r="AO264" s="122">
        <v>2316</v>
      </c>
      <c r="AP264" s="122">
        <v>2039</v>
      </c>
      <c r="AQ264">
        <v>755</v>
      </c>
      <c r="AR264" s="122">
        <v>18440</v>
      </c>
      <c r="AS264" s="122">
        <v>16764</v>
      </c>
      <c r="AT264">
        <v>0</v>
      </c>
      <c r="AU264">
        <v>0</v>
      </c>
      <c r="AV264" s="122">
        <v>44319</v>
      </c>
    </row>
    <row r="265" spans="2:48" ht="12.75" hidden="1" customHeight="1">
      <c r="B265" t="s">
        <v>364</v>
      </c>
      <c r="C265" t="s">
        <v>60</v>
      </c>
      <c r="D265" t="s">
        <v>433</v>
      </c>
      <c r="E265" t="s">
        <v>137</v>
      </c>
      <c r="F265">
        <v>1</v>
      </c>
      <c r="G265" s="122">
        <v>35</v>
      </c>
      <c r="H265" s="122">
        <v>350</v>
      </c>
      <c r="I265" s="122">
        <v>7244</v>
      </c>
      <c r="J265" s="122">
        <v>6586</v>
      </c>
      <c r="K265">
        <v>74</v>
      </c>
      <c r="L265" s="122">
        <v>0</v>
      </c>
      <c r="M265" s="122">
        <v>0</v>
      </c>
      <c r="N265" s="122">
        <v>426</v>
      </c>
      <c r="O265" s="122">
        <v>158</v>
      </c>
      <c r="P265" s="122">
        <v>351</v>
      </c>
      <c r="Q265" s="122">
        <v>130</v>
      </c>
      <c r="R265" s="122">
        <v>4217</v>
      </c>
      <c r="S265" s="122">
        <v>1562</v>
      </c>
      <c r="T265" s="122">
        <v>0</v>
      </c>
      <c r="U265" s="122">
        <v>0</v>
      </c>
      <c r="V265" s="122">
        <v>8435</v>
      </c>
      <c r="W265" s="122">
        <f t="shared" si="8"/>
        <v>8436</v>
      </c>
      <c r="X265" s="122">
        <f t="shared" si="9"/>
        <v>12238</v>
      </c>
      <c r="Y265" s="122"/>
      <c r="AA265" t="s">
        <v>54</v>
      </c>
      <c r="AB265" t="s">
        <v>425</v>
      </c>
      <c r="AC265" t="s">
        <v>137</v>
      </c>
      <c r="AD265" t="s">
        <v>405</v>
      </c>
      <c r="AE265" t="s">
        <v>566</v>
      </c>
      <c r="AF265">
        <v>1</v>
      </c>
      <c r="AG265">
        <v>109</v>
      </c>
      <c r="AH265">
        <v>149</v>
      </c>
      <c r="AI265" s="122">
        <v>7902</v>
      </c>
      <c r="AJ265" s="122">
        <v>7184</v>
      </c>
      <c r="AK265">
        <v>91</v>
      </c>
      <c r="AL265" s="122">
        <v>1950</v>
      </c>
      <c r="AM265">
        <v>722</v>
      </c>
      <c r="AN265" s="122">
        <v>1857</v>
      </c>
      <c r="AO265">
        <v>688</v>
      </c>
      <c r="AP265">
        <v>122</v>
      </c>
      <c r="AQ265">
        <v>45</v>
      </c>
      <c r="AR265" s="122">
        <v>4387</v>
      </c>
      <c r="AS265" s="122">
        <v>3988</v>
      </c>
      <c r="AT265">
        <v>0</v>
      </c>
      <c r="AU265">
        <v>0</v>
      </c>
      <c r="AV265" s="122">
        <v>12627</v>
      </c>
    </row>
    <row r="266" spans="2:48" ht="12.75" hidden="1" customHeight="1">
      <c r="B266" t="s">
        <v>364</v>
      </c>
      <c r="C266" t="s">
        <v>60</v>
      </c>
      <c r="D266" t="s">
        <v>433</v>
      </c>
      <c r="E266" t="s">
        <v>433</v>
      </c>
      <c r="F266">
        <v>2</v>
      </c>
      <c r="G266" s="122">
        <v>143</v>
      </c>
      <c r="H266" s="122">
        <v>682</v>
      </c>
      <c r="I266" s="122">
        <v>31593</v>
      </c>
      <c r="J266" s="122">
        <v>28721</v>
      </c>
      <c r="K266" s="122">
        <v>63</v>
      </c>
      <c r="L266" s="122">
        <v>2533</v>
      </c>
      <c r="M266" s="122">
        <v>2303</v>
      </c>
      <c r="N266" s="122">
        <v>2347</v>
      </c>
      <c r="O266" s="122">
        <v>869</v>
      </c>
      <c r="P266">
        <v>702</v>
      </c>
      <c r="Q266" s="122">
        <v>260</v>
      </c>
      <c r="R266" s="122">
        <v>8323</v>
      </c>
      <c r="S266" s="122">
        <v>7566</v>
      </c>
      <c r="T266" s="122">
        <v>4090</v>
      </c>
      <c r="U266" s="122">
        <v>1515</v>
      </c>
      <c r="V266" s="122">
        <v>41234</v>
      </c>
      <c r="W266" s="122">
        <f t="shared" si="8"/>
        <v>41234</v>
      </c>
      <c r="X266" s="122">
        <f t="shared" si="9"/>
        <v>49588</v>
      </c>
      <c r="Y266" s="122"/>
      <c r="AA266" t="s">
        <v>54</v>
      </c>
      <c r="AB266" t="s">
        <v>425</v>
      </c>
      <c r="AC266" t="s">
        <v>427</v>
      </c>
      <c r="AD266" t="s">
        <v>425</v>
      </c>
      <c r="AE266" t="s">
        <v>137</v>
      </c>
      <c r="AF266">
        <v>1</v>
      </c>
      <c r="AG266">
        <v>89</v>
      </c>
      <c r="AH266">
        <v>150</v>
      </c>
      <c r="AI266" s="122">
        <v>5026</v>
      </c>
      <c r="AJ266" s="122">
        <v>4569</v>
      </c>
      <c r="AK266">
        <v>92</v>
      </c>
      <c r="AL266" s="122">
        <v>1631</v>
      </c>
      <c r="AM266" s="122">
        <v>1482</v>
      </c>
      <c r="AN266" s="122">
        <v>1084</v>
      </c>
      <c r="AO266">
        <v>402</v>
      </c>
      <c r="AP266">
        <v>473</v>
      </c>
      <c r="AQ266">
        <v>175</v>
      </c>
      <c r="AR266" s="122">
        <v>5130</v>
      </c>
      <c r="AS266" s="122">
        <v>4664</v>
      </c>
      <c r="AT266">
        <v>0</v>
      </c>
      <c r="AU266">
        <v>0</v>
      </c>
      <c r="AV266" s="122">
        <v>11292</v>
      </c>
    </row>
    <row r="267" spans="2:48" ht="12.75" hidden="1" customHeight="1">
      <c r="B267" t="s">
        <v>364</v>
      </c>
      <c r="C267" t="s">
        <v>60</v>
      </c>
      <c r="D267" t="s">
        <v>408</v>
      </c>
      <c r="E267" t="s">
        <v>408</v>
      </c>
      <c r="F267" s="122">
        <v>2</v>
      </c>
      <c r="G267" s="122">
        <v>183</v>
      </c>
      <c r="H267" s="122">
        <v>659</v>
      </c>
      <c r="I267" s="122">
        <v>46892</v>
      </c>
      <c r="J267" s="122">
        <v>42630</v>
      </c>
      <c r="K267" s="122">
        <v>65</v>
      </c>
      <c r="L267" s="122">
        <v>7095</v>
      </c>
      <c r="M267" s="122">
        <v>6450</v>
      </c>
      <c r="N267" s="122">
        <v>3978</v>
      </c>
      <c r="O267" s="122">
        <v>1473</v>
      </c>
      <c r="P267" s="122">
        <v>1323</v>
      </c>
      <c r="Q267" s="122">
        <v>490</v>
      </c>
      <c r="R267" s="122">
        <v>8549</v>
      </c>
      <c r="S267" s="122">
        <v>7772</v>
      </c>
      <c r="T267" s="122">
        <v>5212</v>
      </c>
      <c r="U267" s="122">
        <v>1931</v>
      </c>
      <c r="V267" s="122">
        <v>60745</v>
      </c>
      <c r="W267" s="122">
        <f t="shared" si="8"/>
        <v>60746</v>
      </c>
      <c r="X267" s="122">
        <f t="shared" si="9"/>
        <v>73049</v>
      </c>
      <c r="Y267" s="122"/>
      <c r="AA267" t="s">
        <v>54</v>
      </c>
      <c r="AB267" t="s">
        <v>425</v>
      </c>
      <c r="AC267" t="s">
        <v>427</v>
      </c>
      <c r="AD267" t="s">
        <v>425</v>
      </c>
      <c r="AE267" t="s">
        <v>566</v>
      </c>
      <c r="AF267">
        <v>1</v>
      </c>
      <c r="AG267">
        <v>75</v>
      </c>
      <c r="AH267">
        <v>145</v>
      </c>
      <c r="AI267" s="122">
        <v>6162</v>
      </c>
      <c r="AJ267" s="122">
        <v>5601</v>
      </c>
      <c r="AK267">
        <v>90</v>
      </c>
      <c r="AL267" s="122">
        <v>1030</v>
      </c>
      <c r="AM267">
        <v>937</v>
      </c>
      <c r="AN267">
        <v>999</v>
      </c>
      <c r="AO267">
        <v>370</v>
      </c>
      <c r="AP267">
        <v>473</v>
      </c>
      <c r="AQ267">
        <v>175</v>
      </c>
      <c r="AR267" s="122">
        <v>2263</v>
      </c>
      <c r="AS267" s="122">
        <v>2058</v>
      </c>
      <c r="AT267">
        <v>0</v>
      </c>
      <c r="AU267">
        <v>0</v>
      </c>
      <c r="AV267" s="122">
        <v>9141</v>
      </c>
    </row>
    <row r="268" spans="2:48" ht="12.75" hidden="1" customHeight="1">
      <c r="B268" t="s">
        <v>364</v>
      </c>
      <c r="C268" t="s">
        <v>62</v>
      </c>
      <c r="D268" t="s">
        <v>425</v>
      </c>
      <c r="E268" t="s">
        <v>425</v>
      </c>
      <c r="F268" s="122">
        <v>1</v>
      </c>
      <c r="G268" s="122">
        <v>87</v>
      </c>
      <c r="H268" s="122">
        <v>412</v>
      </c>
      <c r="I268" s="122">
        <v>23912</v>
      </c>
      <c r="J268" s="122">
        <v>21738</v>
      </c>
      <c r="K268" s="122">
        <v>75</v>
      </c>
      <c r="L268" s="122">
        <v>3444</v>
      </c>
      <c r="M268" s="122">
        <v>3131</v>
      </c>
      <c r="N268" s="122">
        <v>2112</v>
      </c>
      <c r="O268" s="122">
        <v>782</v>
      </c>
      <c r="P268" s="122">
        <v>473</v>
      </c>
      <c r="Q268" s="122">
        <v>175</v>
      </c>
      <c r="R268" s="122">
        <v>3404</v>
      </c>
      <c r="S268" s="122">
        <v>3094</v>
      </c>
      <c r="T268" s="122">
        <v>2389</v>
      </c>
      <c r="U268" s="122">
        <v>885</v>
      </c>
      <c r="V268" s="122">
        <v>29805</v>
      </c>
      <c r="W268" s="122">
        <f t="shared" si="8"/>
        <v>29805</v>
      </c>
      <c r="X268" s="122">
        <f t="shared" si="9"/>
        <v>35734</v>
      </c>
      <c r="Y268" s="122"/>
      <c r="AA268" t="s">
        <v>54</v>
      </c>
      <c r="AB268" t="s">
        <v>425</v>
      </c>
      <c r="AC268" t="s">
        <v>427</v>
      </c>
      <c r="AD268" t="s">
        <v>405</v>
      </c>
      <c r="AE268" t="s">
        <v>566</v>
      </c>
      <c r="AF268">
        <v>1</v>
      </c>
      <c r="AG268">
        <v>108</v>
      </c>
      <c r="AH268">
        <v>137</v>
      </c>
      <c r="AI268" s="122">
        <v>9043</v>
      </c>
      <c r="AJ268" s="122">
        <v>8221</v>
      </c>
      <c r="AK268">
        <v>80</v>
      </c>
      <c r="AL268" s="122">
        <v>1341</v>
      </c>
      <c r="AM268" s="122">
        <v>1219</v>
      </c>
      <c r="AN268" s="122">
        <v>3025</v>
      </c>
      <c r="AO268" s="122">
        <v>1121</v>
      </c>
      <c r="AP268">
        <v>473</v>
      </c>
      <c r="AQ268">
        <v>175</v>
      </c>
      <c r="AR268" s="122">
        <v>6276</v>
      </c>
      <c r="AS268" s="122">
        <v>5705</v>
      </c>
      <c r="AT268">
        <v>0</v>
      </c>
      <c r="AU268">
        <v>0</v>
      </c>
      <c r="AV268" s="122">
        <v>16441</v>
      </c>
    </row>
    <row r="269" spans="2:48" ht="12.75" hidden="1" customHeight="1">
      <c r="B269" t="s">
        <v>364</v>
      </c>
      <c r="C269" t="s">
        <v>62</v>
      </c>
      <c r="D269" t="s">
        <v>405</v>
      </c>
      <c r="E269" t="s">
        <v>405</v>
      </c>
      <c r="F269">
        <v>3</v>
      </c>
      <c r="G269">
        <v>209</v>
      </c>
      <c r="H269" s="122">
        <v>1232</v>
      </c>
      <c r="I269" s="122">
        <v>62890</v>
      </c>
      <c r="J269" s="122">
        <v>57173</v>
      </c>
      <c r="K269" s="122">
        <v>68</v>
      </c>
      <c r="L269" s="122">
        <v>8117</v>
      </c>
      <c r="M269" s="122">
        <v>7379</v>
      </c>
      <c r="N269" s="122">
        <v>4917</v>
      </c>
      <c r="O269" s="122">
        <v>1821</v>
      </c>
      <c r="P269" s="122">
        <v>1418</v>
      </c>
      <c r="Q269" s="122">
        <v>525</v>
      </c>
      <c r="R269" s="122">
        <v>16061</v>
      </c>
      <c r="S269" s="122">
        <v>14601</v>
      </c>
      <c r="T269" s="122">
        <v>4238</v>
      </c>
      <c r="U269" s="122">
        <v>1570</v>
      </c>
      <c r="V269" s="122">
        <v>83068</v>
      </c>
      <c r="W269" s="122">
        <f t="shared" si="8"/>
        <v>83069</v>
      </c>
      <c r="X269" s="122">
        <f t="shared" si="9"/>
        <v>97641</v>
      </c>
      <c r="Y269" s="122"/>
      <c r="AA269" t="s">
        <v>54</v>
      </c>
      <c r="AB269" t="s">
        <v>425</v>
      </c>
      <c r="AC269" t="s">
        <v>579</v>
      </c>
      <c r="AD269" t="s">
        <v>425</v>
      </c>
      <c r="AE269" t="s">
        <v>566</v>
      </c>
      <c r="AF269">
        <v>1</v>
      </c>
      <c r="AG269">
        <v>94</v>
      </c>
      <c r="AH269">
        <v>150</v>
      </c>
      <c r="AI269" s="122">
        <v>6817</v>
      </c>
      <c r="AJ269" s="122">
        <v>6198</v>
      </c>
      <c r="AK269">
        <v>92</v>
      </c>
      <c r="AL269" s="122">
        <v>1397</v>
      </c>
      <c r="AM269" s="122">
        <v>1164</v>
      </c>
      <c r="AN269" s="122">
        <v>1182</v>
      </c>
      <c r="AO269">
        <v>438</v>
      </c>
      <c r="AP269">
        <v>824</v>
      </c>
      <c r="AQ269">
        <v>305</v>
      </c>
      <c r="AR269" s="122">
        <v>3883</v>
      </c>
      <c r="AS269" s="122">
        <v>3530</v>
      </c>
      <c r="AT269">
        <v>0</v>
      </c>
      <c r="AU269">
        <v>0</v>
      </c>
      <c r="AV269" s="122">
        <v>11635</v>
      </c>
    </row>
    <row r="270" spans="2:48" ht="12.75" hidden="1" customHeight="1">
      <c r="B270" t="s">
        <v>364</v>
      </c>
      <c r="C270" t="s">
        <v>62</v>
      </c>
      <c r="D270" t="s">
        <v>137</v>
      </c>
      <c r="E270" t="s">
        <v>137</v>
      </c>
      <c r="F270">
        <v>48</v>
      </c>
      <c r="G270" s="122">
        <v>3935</v>
      </c>
      <c r="H270" s="122">
        <v>19825</v>
      </c>
      <c r="I270" s="122">
        <v>1094403</v>
      </c>
      <c r="J270" s="122">
        <v>405334</v>
      </c>
      <c r="K270" s="122">
        <v>100</v>
      </c>
      <c r="L270" s="122">
        <v>149656</v>
      </c>
      <c r="M270" s="122">
        <v>120888</v>
      </c>
      <c r="N270" s="122">
        <v>89701</v>
      </c>
      <c r="O270" s="122">
        <v>33222</v>
      </c>
      <c r="P270" s="122">
        <v>1806</v>
      </c>
      <c r="Q270" s="122">
        <v>669</v>
      </c>
      <c r="R270" s="122">
        <v>340365</v>
      </c>
      <c r="S270" s="122">
        <v>126061</v>
      </c>
      <c r="T270" s="122">
        <v>0</v>
      </c>
      <c r="U270" s="122">
        <v>0</v>
      </c>
      <c r="V270" s="122">
        <v>686175</v>
      </c>
      <c r="W270" s="122">
        <f t="shared" si="8"/>
        <v>686174</v>
      </c>
      <c r="X270" s="122">
        <f t="shared" si="9"/>
        <v>1675931</v>
      </c>
      <c r="Y270" s="122"/>
      <c r="AA270" t="s">
        <v>54</v>
      </c>
      <c r="AB270" t="s">
        <v>425</v>
      </c>
      <c r="AC270" t="s">
        <v>426</v>
      </c>
      <c r="AD270" t="s">
        <v>425</v>
      </c>
      <c r="AE270" t="s">
        <v>137</v>
      </c>
      <c r="AF270">
        <v>4</v>
      </c>
      <c r="AG270">
        <v>489</v>
      </c>
      <c r="AH270">
        <v>591</v>
      </c>
      <c r="AI270" s="122">
        <v>32078</v>
      </c>
      <c r="AJ270" s="122">
        <v>29162</v>
      </c>
      <c r="AK270">
        <v>85</v>
      </c>
      <c r="AL270" s="122">
        <v>9996</v>
      </c>
      <c r="AM270" s="122">
        <v>9087</v>
      </c>
      <c r="AN270" s="122">
        <v>10591</v>
      </c>
      <c r="AO270" s="122">
        <v>3923</v>
      </c>
      <c r="AP270" s="122">
        <v>1647</v>
      </c>
      <c r="AQ270">
        <v>610</v>
      </c>
      <c r="AR270" s="122">
        <v>17841</v>
      </c>
      <c r="AS270" s="122">
        <v>16219</v>
      </c>
      <c r="AT270">
        <v>0</v>
      </c>
      <c r="AU270">
        <v>0</v>
      </c>
      <c r="AV270" s="122">
        <v>59001</v>
      </c>
    </row>
    <row r="271" spans="2:48" ht="12.75" hidden="1" customHeight="1">
      <c r="B271" t="s">
        <v>364</v>
      </c>
      <c r="C271" t="s">
        <v>62</v>
      </c>
      <c r="D271" t="s">
        <v>137</v>
      </c>
      <c r="E271" t="s">
        <v>556</v>
      </c>
      <c r="F271">
        <v>2</v>
      </c>
      <c r="G271" s="122">
        <v>165</v>
      </c>
      <c r="H271" s="122">
        <v>786</v>
      </c>
      <c r="I271" s="122">
        <v>40876</v>
      </c>
      <c r="J271" s="122">
        <v>15139</v>
      </c>
      <c r="K271" s="122">
        <v>100</v>
      </c>
      <c r="L271" s="122">
        <v>6376</v>
      </c>
      <c r="M271" s="122">
        <v>5313</v>
      </c>
      <c r="N271" s="122">
        <v>3467</v>
      </c>
      <c r="O271" s="122">
        <v>1284</v>
      </c>
      <c r="P271" s="122">
        <v>351</v>
      </c>
      <c r="Q271" s="122">
        <v>130</v>
      </c>
      <c r="R271" s="122">
        <v>10351</v>
      </c>
      <c r="S271" s="122">
        <v>8626</v>
      </c>
      <c r="T271" s="122">
        <v>3510</v>
      </c>
      <c r="U271" s="122">
        <v>1300</v>
      </c>
      <c r="V271" s="122">
        <v>31792</v>
      </c>
      <c r="W271" s="122">
        <f t="shared" si="8"/>
        <v>31792</v>
      </c>
      <c r="X271" s="122">
        <f t="shared" si="9"/>
        <v>64931</v>
      </c>
      <c r="Y271" s="122"/>
      <c r="AA271" t="s">
        <v>54</v>
      </c>
      <c r="AB271" t="s">
        <v>425</v>
      </c>
      <c r="AC271" t="s">
        <v>426</v>
      </c>
      <c r="AD271" t="s">
        <v>425</v>
      </c>
      <c r="AE271" t="s">
        <v>566</v>
      </c>
      <c r="AF271">
        <v>11</v>
      </c>
      <c r="AG271" s="122">
        <v>1352</v>
      </c>
      <c r="AH271" s="122">
        <v>1535</v>
      </c>
      <c r="AI271" s="122">
        <v>93107</v>
      </c>
      <c r="AJ271" s="122">
        <v>84643</v>
      </c>
      <c r="AK271">
        <v>90</v>
      </c>
      <c r="AL271" s="122">
        <v>22589</v>
      </c>
      <c r="AM271" s="122">
        <v>20536</v>
      </c>
      <c r="AN271" s="122">
        <v>22774</v>
      </c>
      <c r="AO271" s="122">
        <v>8435</v>
      </c>
      <c r="AP271" s="122">
        <v>5778</v>
      </c>
      <c r="AQ271" s="122">
        <v>2140</v>
      </c>
      <c r="AR271" s="122">
        <v>44772</v>
      </c>
      <c r="AS271" s="122">
        <v>40702</v>
      </c>
      <c r="AT271">
        <v>0</v>
      </c>
      <c r="AU271">
        <v>0</v>
      </c>
      <c r="AV271" s="122">
        <v>156455</v>
      </c>
    </row>
    <row r="272" spans="2:48" ht="12.75" hidden="1" customHeight="1">
      <c r="B272" t="s">
        <v>364</v>
      </c>
      <c r="C272" t="s">
        <v>62</v>
      </c>
      <c r="D272" t="s">
        <v>137</v>
      </c>
      <c r="E272" t="s">
        <v>426</v>
      </c>
      <c r="F272" s="122">
        <v>6</v>
      </c>
      <c r="G272" s="122">
        <v>462</v>
      </c>
      <c r="H272" s="122">
        <v>2515</v>
      </c>
      <c r="I272" s="122">
        <v>131018</v>
      </c>
      <c r="J272" s="122">
        <v>48525</v>
      </c>
      <c r="K272" s="122">
        <v>100</v>
      </c>
      <c r="L272" s="122">
        <v>13739</v>
      </c>
      <c r="M272" s="122">
        <v>12490</v>
      </c>
      <c r="N272" s="122">
        <v>7671</v>
      </c>
      <c r="O272" s="122">
        <v>2841</v>
      </c>
      <c r="P272" s="122">
        <v>702</v>
      </c>
      <c r="Q272" s="122">
        <v>260</v>
      </c>
      <c r="R272" s="122">
        <v>29673</v>
      </c>
      <c r="S272" s="122">
        <v>26975</v>
      </c>
      <c r="T272" s="122">
        <v>10141</v>
      </c>
      <c r="U272" s="122">
        <v>3756</v>
      </c>
      <c r="V272" s="122">
        <v>94848</v>
      </c>
      <c r="W272" s="122">
        <f t="shared" si="8"/>
        <v>94847</v>
      </c>
      <c r="X272" s="122">
        <f t="shared" si="9"/>
        <v>192944</v>
      </c>
      <c r="Y272" s="122"/>
      <c r="AA272" t="s">
        <v>54</v>
      </c>
      <c r="AB272" t="s">
        <v>425</v>
      </c>
      <c r="AC272" t="s">
        <v>426</v>
      </c>
      <c r="AD272" t="s">
        <v>406</v>
      </c>
      <c r="AE272" t="s">
        <v>566</v>
      </c>
      <c r="AF272">
        <v>1</v>
      </c>
      <c r="AG272">
        <v>116</v>
      </c>
      <c r="AH272">
        <v>135</v>
      </c>
      <c r="AI272" s="122">
        <v>6014</v>
      </c>
      <c r="AJ272" s="122">
        <v>5468</v>
      </c>
      <c r="AK272">
        <v>86</v>
      </c>
      <c r="AL272" s="122">
        <v>1905</v>
      </c>
      <c r="AM272" s="122">
        <v>1731</v>
      </c>
      <c r="AN272" s="122">
        <v>2437</v>
      </c>
      <c r="AO272">
        <v>903</v>
      </c>
      <c r="AP272">
        <v>621</v>
      </c>
      <c r="AQ272">
        <v>230</v>
      </c>
      <c r="AR272" s="122">
        <v>4776</v>
      </c>
      <c r="AS272" s="122">
        <v>4342</v>
      </c>
      <c r="AT272">
        <v>0</v>
      </c>
      <c r="AU272">
        <v>0</v>
      </c>
      <c r="AV272" s="122">
        <v>12673</v>
      </c>
    </row>
    <row r="273" spans="2:48" ht="12.75" hidden="1" customHeight="1">
      <c r="B273" t="s">
        <v>364</v>
      </c>
      <c r="C273" t="s">
        <v>62</v>
      </c>
      <c r="D273" t="s">
        <v>406</v>
      </c>
      <c r="E273" t="s">
        <v>137</v>
      </c>
      <c r="F273" s="122">
        <v>2</v>
      </c>
      <c r="G273" s="122">
        <v>240</v>
      </c>
      <c r="H273" s="122">
        <v>883</v>
      </c>
      <c r="I273" s="122">
        <v>67300</v>
      </c>
      <c r="J273" s="122">
        <v>61182</v>
      </c>
      <c r="K273" s="122">
        <v>86</v>
      </c>
      <c r="L273" s="122">
        <v>20264</v>
      </c>
      <c r="M273" s="122">
        <v>18422</v>
      </c>
      <c r="N273" s="122">
        <v>2921</v>
      </c>
      <c r="O273" s="122">
        <v>1082</v>
      </c>
      <c r="P273" s="122">
        <v>1242</v>
      </c>
      <c r="Q273" s="122">
        <v>460</v>
      </c>
      <c r="R273" s="122">
        <v>14126</v>
      </c>
      <c r="S273" s="122">
        <v>5232</v>
      </c>
      <c r="T273" s="122">
        <v>0</v>
      </c>
      <c r="U273" s="122">
        <v>0</v>
      </c>
      <c r="V273" s="122">
        <v>86378</v>
      </c>
      <c r="W273" s="122">
        <f t="shared" si="8"/>
        <v>86378</v>
      </c>
      <c r="X273" s="122">
        <f t="shared" si="9"/>
        <v>105853</v>
      </c>
      <c r="Y273" s="122"/>
      <c r="AA273" t="s">
        <v>54</v>
      </c>
      <c r="AB273" t="s">
        <v>425</v>
      </c>
      <c r="AC273" t="s">
        <v>566</v>
      </c>
      <c r="AD273" t="s">
        <v>425</v>
      </c>
      <c r="AE273" t="s">
        <v>566</v>
      </c>
      <c r="AF273">
        <v>4</v>
      </c>
      <c r="AG273">
        <v>181</v>
      </c>
      <c r="AH273">
        <v>581</v>
      </c>
      <c r="AI273" s="122">
        <v>32795</v>
      </c>
      <c r="AJ273" s="122">
        <v>29813</v>
      </c>
      <c r="AK273">
        <v>92</v>
      </c>
      <c r="AL273">
        <v>0</v>
      </c>
      <c r="AM273">
        <v>0</v>
      </c>
      <c r="AN273" s="122">
        <v>7848</v>
      </c>
      <c r="AO273" s="122">
        <v>2907</v>
      </c>
      <c r="AP273" s="122">
        <v>1890</v>
      </c>
      <c r="AQ273">
        <v>700</v>
      </c>
      <c r="AR273" s="122">
        <v>9999</v>
      </c>
      <c r="AS273" s="122">
        <v>9090</v>
      </c>
      <c r="AT273">
        <v>0</v>
      </c>
      <c r="AU273">
        <v>0</v>
      </c>
      <c r="AV273" s="122">
        <v>42510</v>
      </c>
    </row>
    <row r="274" spans="2:48" ht="12.75" hidden="1" customHeight="1">
      <c r="B274" t="s">
        <v>364</v>
      </c>
      <c r="C274" t="s">
        <v>62</v>
      </c>
      <c r="D274" t="s">
        <v>406</v>
      </c>
      <c r="E274" t="s">
        <v>406</v>
      </c>
      <c r="F274">
        <v>171</v>
      </c>
      <c r="G274" s="122">
        <v>16016</v>
      </c>
      <c r="H274" s="122">
        <v>70695</v>
      </c>
      <c r="I274" s="122">
        <v>4230241</v>
      </c>
      <c r="J274" s="122">
        <v>3845674</v>
      </c>
      <c r="K274" s="122">
        <v>76</v>
      </c>
      <c r="L274" s="122">
        <v>854462</v>
      </c>
      <c r="M274" s="122">
        <v>732567</v>
      </c>
      <c r="N274" s="122">
        <v>341205</v>
      </c>
      <c r="O274" s="122">
        <v>126372</v>
      </c>
      <c r="P274" s="122">
        <v>110484</v>
      </c>
      <c r="Q274" s="122">
        <v>40920</v>
      </c>
      <c r="R274" s="122">
        <v>808560</v>
      </c>
      <c r="S274" s="122">
        <v>735055</v>
      </c>
      <c r="T274" s="122">
        <v>343495</v>
      </c>
      <c r="U274" s="122">
        <v>127221</v>
      </c>
      <c r="V274" s="122">
        <v>5607808</v>
      </c>
      <c r="W274" s="122">
        <f t="shared" si="8"/>
        <v>5607809</v>
      </c>
      <c r="X274" s="122">
        <f t="shared" si="9"/>
        <v>6688447</v>
      </c>
      <c r="Y274" s="122"/>
      <c r="AA274" t="s">
        <v>54</v>
      </c>
      <c r="AB274" t="s">
        <v>425</v>
      </c>
      <c r="AC274" t="s">
        <v>566</v>
      </c>
      <c r="AD274" t="s">
        <v>407</v>
      </c>
      <c r="AE274" t="s">
        <v>137</v>
      </c>
      <c r="AF274">
        <v>1</v>
      </c>
      <c r="AG274">
        <v>129</v>
      </c>
      <c r="AH274">
        <v>141</v>
      </c>
      <c r="AI274" s="122">
        <v>9467</v>
      </c>
      <c r="AJ274" s="122">
        <v>8606</v>
      </c>
      <c r="AK274">
        <v>91</v>
      </c>
      <c r="AL274">
        <v>0</v>
      </c>
      <c r="AM274">
        <v>0</v>
      </c>
      <c r="AN274" s="122">
        <v>2523</v>
      </c>
      <c r="AO274">
        <v>934</v>
      </c>
      <c r="AP274">
        <v>351</v>
      </c>
      <c r="AQ274">
        <v>130</v>
      </c>
      <c r="AR274" s="122">
        <v>3150</v>
      </c>
      <c r="AS274" s="122">
        <v>2864</v>
      </c>
      <c r="AT274" s="122">
        <v>2742</v>
      </c>
      <c r="AU274" s="122">
        <v>1015</v>
      </c>
      <c r="AV274" s="122">
        <v>13550</v>
      </c>
    </row>
    <row r="275" spans="2:48" ht="12.75" customHeight="1">
      <c r="B275" t="s">
        <v>364</v>
      </c>
      <c r="C275" t="s">
        <v>62</v>
      </c>
      <c r="D275" t="s">
        <v>427</v>
      </c>
      <c r="E275" t="s">
        <v>137</v>
      </c>
      <c r="F275">
        <v>2</v>
      </c>
      <c r="G275">
        <v>191</v>
      </c>
      <c r="H275" s="122">
        <v>817</v>
      </c>
      <c r="I275" s="122">
        <v>51658</v>
      </c>
      <c r="J275" s="122">
        <v>46961</v>
      </c>
      <c r="K275" s="122">
        <v>45</v>
      </c>
      <c r="L275" s="122">
        <v>2796</v>
      </c>
      <c r="M275" s="122">
        <v>1035</v>
      </c>
      <c r="N275" s="122">
        <v>3686</v>
      </c>
      <c r="O275" s="122">
        <v>1365</v>
      </c>
      <c r="P275" s="122">
        <v>351</v>
      </c>
      <c r="Q275" s="122">
        <v>130</v>
      </c>
      <c r="R275" s="122">
        <v>20090</v>
      </c>
      <c r="S275" s="122">
        <v>7441</v>
      </c>
      <c r="T275" s="122">
        <v>0</v>
      </c>
      <c r="U275" s="122">
        <v>0</v>
      </c>
      <c r="V275" s="122">
        <v>56933</v>
      </c>
      <c r="W275" s="122">
        <f t="shared" si="8"/>
        <v>56932</v>
      </c>
      <c r="X275" s="122">
        <f t="shared" si="9"/>
        <v>78581</v>
      </c>
      <c r="Y275" s="122"/>
      <c r="AA275" t="s">
        <v>54</v>
      </c>
      <c r="AB275" t="s">
        <v>405</v>
      </c>
      <c r="AC275" t="s">
        <v>578</v>
      </c>
      <c r="AD275" t="s">
        <v>430</v>
      </c>
      <c r="AE275" t="s">
        <v>566</v>
      </c>
      <c r="AF275">
        <v>1</v>
      </c>
      <c r="AG275">
        <v>120</v>
      </c>
      <c r="AH275">
        <v>149</v>
      </c>
      <c r="AI275" s="122">
        <v>7481</v>
      </c>
      <c r="AJ275" s="122">
        <v>6801</v>
      </c>
      <c r="AK275">
        <v>79</v>
      </c>
      <c r="AL275" s="122">
        <v>1244</v>
      </c>
      <c r="AM275" s="122">
        <v>1131</v>
      </c>
      <c r="AN275" s="122">
        <v>1467</v>
      </c>
      <c r="AO275">
        <v>543</v>
      </c>
      <c r="AP275">
        <v>473</v>
      </c>
      <c r="AQ275">
        <v>175</v>
      </c>
      <c r="AR275" s="122">
        <v>7259</v>
      </c>
      <c r="AS275" s="122">
        <v>2689</v>
      </c>
      <c r="AT275">
        <v>0</v>
      </c>
      <c r="AU275">
        <v>0</v>
      </c>
      <c r="AV275" s="122">
        <v>11339</v>
      </c>
    </row>
    <row r="276" spans="2:48" ht="12.75" hidden="1" customHeight="1">
      <c r="B276" t="s">
        <v>364</v>
      </c>
      <c r="C276" t="s">
        <v>62</v>
      </c>
      <c r="D276" t="s">
        <v>427</v>
      </c>
      <c r="E276" s="122" t="s">
        <v>406</v>
      </c>
      <c r="F276" s="122">
        <v>1</v>
      </c>
      <c r="G276" s="122">
        <v>87</v>
      </c>
      <c r="H276" s="122">
        <v>405</v>
      </c>
      <c r="I276" s="122">
        <v>20479</v>
      </c>
      <c r="J276" s="122">
        <v>18618</v>
      </c>
      <c r="K276" s="122">
        <v>45</v>
      </c>
      <c r="L276" s="122">
        <v>3413</v>
      </c>
      <c r="M276" s="122">
        <v>3103</v>
      </c>
      <c r="N276" s="122">
        <v>1402</v>
      </c>
      <c r="O276" s="122">
        <v>519</v>
      </c>
      <c r="P276" s="122">
        <v>351</v>
      </c>
      <c r="Q276" s="122">
        <v>130</v>
      </c>
      <c r="R276" s="122">
        <v>6794</v>
      </c>
      <c r="S276" s="122">
        <v>6177</v>
      </c>
      <c r="T276" s="122">
        <v>2609</v>
      </c>
      <c r="U276" s="122">
        <v>966</v>
      </c>
      <c r="V276" s="122">
        <v>29513</v>
      </c>
      <c r="W276" s="122">
        <f t="shared" si="8"/>
        <v>29513</v>
      </c>
      <c r="X276" s="122">
        <f t="shared" si="9"/>
        <v>35048</v>
      </c>
      <c r="Y276" s="122"/>
      <c r="AA276" t="s">
        <v>54</v>
      </c>
      <c r="AB276" t="s">
        <v>405</v>
      </c>
      <c r="AC276" t="s">
        <v>425</v>
      </c>
      <c r="AD276" t="s">
        <v>405</v>
      </c>
      <c r="AE276" t="s">
        <v>566</v>
      </c>
      <c r="AF276">
        <v>2</v>
      </c>
      <c r="AG276">
        <v>260</v>
      </c>
      <c r="AH276">
        <v>275</v>
      </c>
      <c r="AI276" s="122">
        <v>18318</v>
      </c>
      <c r="AJ276" s="122">
        <v>16653</v>
      </c>
      <c r="AK276">
        <v>86</v>
      </c>
      <c r="AL276" s="122">
        <v>3750</v>
      </c>
      <c r="AM276" s="122">
        <v>3409</v>
      </c>
      <c r="AN276" s="122">
        <v>5020</v>
      </c>
      <c r="AO276" s="122">
        <v>1859</v>
      </c>
      <c r="AP276">
        <v>945</v>
      </c>
      <c r="AQ276">
        <v>350</v>
      </c>
      <c r="AR276" s="122">
        <v>8302</v>
      </c>
      <c r="AS276" s="122">
        <v>7548</v>
      </c>
      <c r="AT276">
        <v>0</v>
      </c>
      <c r="AU276">
        <v>0</v>
      </c>
      <c r="AV276" s="122">
        <v>29819</v>
      </c>
    </row>
    <row r="277" spans="2:48" ht="12.75" hidden="1" customHeight="1">
      <c r="B277" t="s">
        <v>364</v>
      </c>
      <c r="C277" t="s">
        <v>62</v>
      </c>
      <c r="D277" t="s">
        <v>427</v>
      </c>
      <c r="E277" t="s">
        <v>427</v>
      </c>
      <c r="F277">
        <v>51</v>
      </c>
      <c r="G277" s="122">
        <v>3755</v>
      </c>
      <c r="H277" s="122">
        <v>20950</v>
      </c>
      <c r="I277" s="122">
        <v>910855</v>
      </c>
      <c r="J277" s="122">
        <v>828050</v>
      </c>
      <c r="K277" s="122">
        <v>50</v>
      </c>
      <c r="L277" s="122">
        <v>129287</v>
      </c>
      <c r="M277" s="122">
        <v>110028</v>
      </c>
      <c r="N277" s="122">
        <v>68072</v>
      </c>
      <c r="O277" s="122">
        <v>25212</v>
      </c>
      <c r="P277" s="122">
        <v>17901</v>
      </c>
      <c r="Q277" s="122">
        <v>6630</v>
      </c>
      <c r="R277" s="122">
        <v>298916</v>
      </c>
      <c r="S277" s="122">
        <v>271742</v>
      </c>
      <c r="T277" s="122">
        <v>116839</v>
      </c>
      <c r="U277" s="122">
        <v>43274</v>
      </c>
      <c r="V277" s="122">
        <v>1284936</v>
      </c>
      <c r="W277" s="122">
        <f t="shared" si="8"/>
        <v>1284936</v>
      </c>
      <c r="X277" s="122">
        <f t="shared" si="9"/>
        <v>1541870</v>
      </c>
      <c r="Y277" s="122"/>
      <c r="AA277" t="s">
        <v>54</v>
      </c>
      <c r="AB277" t="s">
        <v>405</v>
      </c>
      <c r="AC277" t="s">
        <v>405</v>
      </c>
      <c r="AD277" t="s">
        <v>405</v>
      </c>
      <c r="AE277" t="s">
        <v>137</v>
      </c>
      <c r="AF277">
        <v>38</v>
      </c>
      <c r="AG277" s="122">
        <v>4202</v>
      </c>
      <c r="AH277" s="122">
        <v>5226</v>
      </c>
      <c r="AI277" s="122">
        <v>260202</v>
      </c>
      <c r="AJ277" s="122">
        <v>236547</v>
      </c>
      <c r="AK277">
        <v>89</v>
      </c>
      <c r="AL277" s="122">
        <v>45814</v>
      </c>
      <c r="AM277" s="122">
        <v>41649</v>
      </c>
      <c r="AN277" s="122">
        <v>66836</v>
      </c>
      <c r="AO277" s="122">
        <v>24754</v>
      </c>
      <c r="AP277" s="122">
        <v>19386</v>
      </c>
      <c r="AQ277" s="122">
        <v>7180</v>
      </c>
      <c r="AR277" s="122">
        <v>121667</v>
      </c>
      <c r="AS277" s="122">
        <v>110606</v>
      </c>
      <c r="AT277" s="122">
        <v>69419</v>
      </c>
      <c r="AU277" s="122">
        <v>25711</v>
      </c>
      <c r="AV277" s="122">
        <v>446447</v>
      </c>
    </row>
    <row r="278" spans="2:48" ht="12.75" hidden="1" customHeight="1">
      <c r="B278" t="s">
        <v>364</v>
      </c>
      <c r="C278" t="s">
        <v>62</v>
      </c>
      <c r="D278" t="s">
        <v>407</v>
      </c>
      <c r="E278" t="s">
        <v>407</v>
      </c>
      <c r="F278">
        <v>4</v>
      </c>
      <c r="G278" s="122">
        <v>370</v>
      </c>
      <c r="H278" s="122">
        <v>1604</v>
      </c>
      <c r="I278" s="122">
        <v>98506</v>
      </c>
      <c r="J278" s="122">
        <v>89551</v>
      </c>
      <c r="K278" s="122">
        <v>79</v>
      </c>
      <c r="L278" s="122">
        <v>19524</v>
      </c>
      <c r="M278" s="122">
        <v>17749</v>
      </c>
      <c r="N278" s="122">
        <v>8210</v>
      </c>
      <c r="O278" s="122">
        <v>3041</v>
      </c>
      <c r="P278" s="122">
        <v>1890</v>
      </c>
      <c r="Q278" s="122">
        <v>700</v>
      </c>
      <c r="R278" s="122">
        <v>14012</v>
      </c>
      <c r="S278" s="122">
        <v>12738</v>
      </c>
      <c r="T278" s="122">
        <v>4892</v>
      </c>
      <c r="U278" s="122">
        <v>1812</v>
      </c>
      <c r="V278" s="122">
        <v>125591</v>
      </c>
      <c r="W278" s="122">
        <f t="shared" si="8"/>
        <v>125591</v>
      </c>
      <c r="X278" s="122">
        <f t="shared" si="9"/>
        <v>147034</v>
      </c>
      <c r="Y278" s="122"/>
      <c r="AA278" t="s">
        <v>54</v>
      </c>
      <c r="AB278" t="s">
        <v>405</v>
      </c>
      <c r="AC278" t="s">
        <v>405</v>
      </c>
      <c r="AD278" t="s">
        <v>405</v>
      </c>
      <c r="AE278" t="s">
        <v>566</v>
      </c>
      <c r="AF278">
        <v>118</v>
      </c>
      <c r="AG278" s="122">
        <v>14110</v>
      </c>
      <c r="AH278" s="122">
        <v>16588</v>
      </c>
      <c r="AI278" s="122">
        <v>937798</v>
      </c>
      <c r="AJ278" s="122">
        <v>852543</v>
      </c>
      <c r="AK278">
        <v>87</v>
      </c>
      <c r="AL278" s="122">
        <v>193103</v>
      </c>
      <c r="AM278" s="122">
        <v>175548</v>
      </c>
      <c r="AN278" s="122">
        <v>287254</v>
      </c>
      <c r="AO278" s="122">
        <v>106390</v>
      </c>
      <c r="AP278" s="122">
        <v>66949</v>
      </c>
      <c r="AQ278" s="122">
        <v>24796</v>
      </c>
      <c r="AR278" s="122">
        <v>535620</v>
      </c>
      <c r="AS278" s="122">
        <v>486928</v>
      </c>
      <c r="AT278">
        <v>0</v>
      </c>
      <c r="AU278">
        <v>0</v>
      </c>
      <c r="AV278" s="122">
        <v>1646206</v>
      </c>
    </row>
    <row r="279" spans="2:48" ht="12.75" hidden="1" customHeight="1">
      <c r="B279" t="s">
        <v>364</v>
      </c>
      <c r="C279" t="s">
        <v>62</v>
      </c>
      <c r="D279" t="s">
        <v>556</v>
      </c>
      <c r="E279" t="s">
        <v>556</v>
      </c>
      <c r="F279">
        <v>33</v>
      </c>
      <c r="G279" s="122">
        <v>2273</v>
      </c>
      <c r="H279" s="122">
        <v>13642</v>
      </c>
      <c r="I279" s="122">
        <v>575809</v>
      </c>
      <c r="J279" s="122">
        <v>479841</v>
      </c>
      <c r="K279" s="122">
        <v>57</v>
      </c>
      <c r="L279" s="122">
        <v>71357</v>
      </c>
      <c r="M279" s="122">
        <v>45486</v>
      </c>
      <c r="N279" s="122">
        <v>43805</v>
      </c>
      <c r="O279" s="122">
        <v>16224</v>
      </c>
      <c r="P279" s="122">
        <v>10881</v>
      </c>
      <c r="Q279" s="122">
        <v>4030</v>
      </c>
      <c r="R279" s="122">
        <v>176665</v>
      </c>
      <c r="S279" s="122">
        <v>147221</v>
      </c>
      <c r="T279" s="122">
        <v>61551</v>
      </c>
      <c r="U279" s="122">
        <v>22797</v>
      </c>
      <c r="V279" s="122">
        <v>715599</v>
      </c>
      <c r="W279" s="122">
        <f t="shared" si="8"/>
        <v>715599</v>
      </c>
      <c r="X279" s="122">
        <f t="shared" si="9"/>
        <v>940068</v>
      </c>
      <c r="Y279" s="122"/>
      <c r="AA279" t="s">
        <v>54</v>
      </c>
      <c r="AB279" t="s">
        <v>405</v>
      </c>
      <c r="AC279" t="s">
        <v>137</v>
      </c>
      <c r="AD279" t="s">
        <v>405</v>
      </c>
      <c r="AE279" t="s">
        <v>137</v>
      </c>
      <c r="AF279">
        <v>5</v>
      </c>
      <c r="AG279">
        <v>496</v>
      </c>
      <c r="AH279">
        <v>701</v>
      </c>
      <c r="AI279" s="122">
        <v>27943</v>
      </c>
      <c r="AJ279" s="122">
        <v>25403</v>
      </c>
      <c r="AK279">
        <v>82</v>
      </c>
      <c r="AL279" s="122">
        <v>7342</v>
      </c>
      <c r="AM279" s="122">
        <v>2719</v>
      </c>
      <c r="AN279" s="122">
        <v>10225</v>
      </c>
      <c r="AO279" s="122">
        <v>3787</v>
      </c>
      <c r="AP279" s="122">
        <v>2363</v>
      </c>
      <c r="AQ279">
        <v>875</v>
      </c>
      <c r="AR279" s="122">
        <v>19488</v>
      </c>
      <c r="AS279" s="122">
        <v>17716</v>
      </c>
      <c r="AT279" s="122">
        <v>5357</v>
      </c>
      <c r="AU279" s="122">
        <v>1984</v>
      </c>
      <c r="AV279" s="122">
        <v>52485</v>
      </c>
    </row>
    <row r="280" spans="2:48" ht="12.75" hidden="1" customHeight="1">
      <c r="B280" t="s">
        <v>364</v>
      </c>
      <c r="C280" t="s">
        <v>62</v>
      </c>
      <c r="D280" t="s">
        <v>431</v>
      </c>
      <c r="E280" t="s">
        <v>431</v>
      </c>
      <c r="F280" s="122">
        <v>1</v>
      </c>
      <c r="G280" s="122">
        <v>88</v>
      </c>
      <c r="H280" s="122">
        <v>413</v>
      </c>
      <c r="I280" s="122">
        <v>20948</v>
      </c>
      <c r="J280" s="122">
        <v>19044</v>
      </c>
      <c r="K280" s="122">
        <v>45</v>
      </c>
      <c r="L280" s="122">
        <v>3491</v>
      </c>
      <c r="M280" s="122">
        <v>3174</v>
      </c>
      <c r="N280" s="122">
        <v>1665</v>
      </c>
      <c r="O280" s="122">
        <v>617</v>
      </c>
      <c r="P280" s="122">
        <v>351</v>
      </c>
      <c r="Q280" s="122">
        <v>130</v>
      </c>
      <c r="R280" s="122">
        <v>6984</v>
      </c>
      <c r="S280" s="122">
        <v>6349</v>
      </c>
      <c r="T280" s="122">
        <v>2713</v>
      </c>
      <c r="U280" s="122">
        <v>1005</v>
      </c>
      <c r="V280" s="122">
        <v>30319</v>
      </c>
      <c r="W280" s="122">
        <f t="shared" si="8"/>
        <v>30319</v>
      </c>
      <c r="X280" s="122">
        <f t="shared" si="9"/>
        <v>36152</v>
      </c>
      <c r="Y280" s="122"/>
      <c r="AA280" t="s">
        <v>54</v>
      </c>
      <c r="AB280" t="s">
        <v>405</v>
      </c>
      <c r="AC280" t="s">
        <v>137</v>
      </c>
      <c r="AD280" t="s">
        <v>405</v>
      </c>
      <c r="AE280" t="s">
        <v>566</v>
      </c>
      <c r="AF280">
        <v>34</v>
      </c>
      <c r="AG280" s="122">
        <v>4697</v>
      </c>
      <c r="AH280" s="122">
        <v>4813</v>
      </c>
      <c r="AI280" s="122">
        <v>322786</v>
      </c>
      <c r="AJ280" s="122">
        <v>293442</v>
      </c>
      <c r="AK280">
        <v>84</v>
      </c>
      <c r="AL280" s="122">
        <v>58666</v>
      </c>
      <c r="AM280" s="122">
        <v>21728</v>
      </c>
      <c r="AN280" s="122">
        <v>92547</v>
      </c>
      <c r="AO280" s="122">
        <v>34277</v>
      </c>
      <c r="AP280" s="122">
        <v>18548</v>
      </c>
      <c r="AQ280" s="122">
        <v>6870</v>
      </c>
      <c r="AR280" s="122">
        <v>175981</v>
      </c>
      <c r="AS280" s="122">
        <v>159983</v>
      </c>
      <c r="AT280">
        <v>0</v>
      </c>
      <c r="AU280">
        <v>0</v>
      </c>
      <c r="AV280" s="122">
        <v>516299</v>
      </c>
    </row>
    <row r="281" spans="2:48" ht="12.75" hidden="1" customHeight="1">
      <c r="B281" t="s">
        <v>364</v>
      </c>
      <c r="C281" t="s">
        <v>62</v>
      </c>
      <c r="D281" t="s">
        <v>426</v>
      </c>
      <c r="E281" t="s">
        <v>137</v>
      </c>
      <c r="F281" s="122">
        <v>2</v>
      </c>
      <c r="G281" s="122">
        <v>139</v>
      </c>
      <c r="H281" s="122">
        <v>809</v>
      </c>
      <c r="I281" s="122">
        <v>34852</v>
      </c>
      <c r="J281" s="122">
        <v>31684</v>
      </c>
      <c r="K281" s="122">
        <v>55</v>
      </c>
      <c r="L281" s="122">
        <v>0</v>
      </c>
      <c r="M281" s="122">
        <v>1836</v>
      </c>
      <c r="N281" s="122">
        <v>2425</v>
      </c>
      <c r="O281" s="122">
        <v>898</v>
      </c>
      <c r="P281" s="122">
        <v>0</v>
      </c>
      <c r="Q281" s="122">
        <v>0</v>
      </c>
      <c r="R281" s="122">
        <v>18729</v>
      </c>
      <c r="S281" s="122">
        <v>6937</v>
      </c>
      <c r="T281" s="122">
        <v>0</v>
      </c>
      <c r="U281" s="122">
        <v>0</v>
      </c>
      <c r="V281" s="122">
        <v>41355</v>
      </c>
      <c r="W281" s="122">
        <f t="shared" si="8"/>
        <v>41355</v>
      </c>
      <c r="X281" s="122">
        <f t="shared" si="9"/>
        <v>56006</v>
      </c>
      <c r="Y281" s="122"/>
      <c r="AA281" t="s">
        <v>54</v>
      </c>
      <c r="AB281" t="s">
        <v>405</v>
      </c>
      <c r="AC281" t="s">
        <v>580</v>
      </c>
      <c r="AD281" t="s">
        <v>405</v>
      </c>
      <c r="AE281" t="s">
        <v>566</v>
      </c>
      <c r="AF281">
        <v>5</v>
      </c>
      <c r="AG281">
        <v>518</v>
      </c>
      <c r="AH281">
        <v>731</v>
      </c>
      <c r="AI281" s="122">
        <v>35358</v>
      </c>
      <c r="AJ281" s="122">
        <v>32144</v>
      </c>
      <c r="AK281">
        <v>82</v>
      </c>
      <c r="AL281" s="122">
        <v>10725</v>
      </c>
      <c r="AM281" s="122">
        <v>9750</v>
      </c>
      <c r="AN281" s="122">
        <v>6314</v>
      </c>
      <c r="AO281" s="122">
        <v>2338</v>
      </c>
      <c r="AP281" s="122">
        <v>2363</v>
      </c>
      <c r="AQ281">
        <v>875</v>
      </c>
      <c r="AR281" s="122">
        <v>21059</v>
      </c>
      <c r="AS281" s="122">
        <v>19144</v>
      </c>
      <c r="AT281">
        <v>0</v>
      </c>
      <c r="AU281">
        <v>0</v>
      </c>
      <c r="AV281" s="122">
        <v>64252</v>
      </c>
    </row>
    <row r="282" spans="2:48" ht="12.75" hidden="1" customHeight="1">
      <c r="B282" t="s">
        <v>364</v>
      </c>
      <c r="C282" t="s">
        <v>62</v>
      </c>
      <c r="D282" t="s">
        <v>426</v>
      </c>
      <c r="E282" t="s">
        <v>426</v>
      </c>
      <c r="F282">
        <v>111</v>
      </c>
      <c r="G282" s="122">
        <v>7371</v>
      </c>
      <c r="H282" s="122">
        <v>45334</v>
      </c>
      <c r="I282" s="122">
        <v>1847291</v>
      </c>
      <c r="J282" s="122">
        <v>1679355</v>
      </c>
      <c r="K282" s="122">
        <v>55</v>
      </c>
      <c r="L282" s="122">
        <v>209636</v>
      </c>
      <c r="M282" s="122">
        <v>176209</v>
      </c>
      <c r="N282" s="122">
        <v>148086</v>
      </c>
      <c r="O282" s="122">
        <v>54847</v>
      </c>
      <c r="P282" s="122">
        <v>40473</v>
      </c>
      <c r="Q282" s="122">
        <v>14990</v>
      </c>
      <c r="R282" s="122">
        <v>556789</v>
      </c>
      <c r="S282" s="122">
        <v>506172</v>
      </c>
      <c r="T282" s="122">
        <v>227050</v>
      </c>
      <c r="U282" s="122">
        <v>84093</v>
      </c>
      <c r="V282" s="122">
        <v>2515665</v>
      </c>
      <c r="W282" s="122">
        <f t="shared" si="8"/>
        <v>2515666</v>
      </c>
      <c r="X282" s="122">
        <f t="shared" si="9"/>
        <v>3029325</v>
      </c>
      <c r="Y282" s="122"/>
      <c r="AA282" t="s">
        <v>54</v>
      </c>
      <c r="AB282" t="s">
        <v>405</v>
      </c>
      <c r="AC282" t="s">
        <v>427</v>
      </c>
      <c r="AD282" t="s">
        <v>405</v>
      </c>
      <c r="AE282" t="s">
        <v>137</v>
      </c>
      <c r="AF282">
        <v>4</v>
      </c>
      <c r="AG282">
        <v>428</v>
      </c>
      <c r="AH282">
        <v>564</v>
      </c>
      <c r="AI282" s="122">
        <v>31531</v>
      </c>
      <c r="AJ282" s="122">
        <v>28665</v>
      </c>
      <c r="AK282">
        <v>91</v>
      </c>
      <c r="AL282" s="122">
        <v>6984</v>
      </c>
      <c r="AM282" s="122">
        <v>6349</v>
      </c>
      <c r="AN282" s="122">
        <v>7739</v>
      </c>
      <c r="AO282" s="122">
        <v>2866</v>
      </c>
      <c r="AP282" s="122">
        <v>1890</v>
      </c>
      <c r="AQ282">
        <v>700</v>
      </c>
      <c r="AR282" s="122">
        <v>14045</v>
      </c>
      <c r="AS282" s="122">
        <v>12768</v>
      </c>
      <c r="AT282" s="122">
        <v>4524</v>
      </c>
      <c r="AU282" s="122">
        <v>1676</v>
      </c>
      <c r="AV282" s="122">
        <v>53023</v>
      </c>
    </row>
    <row r="283" spans="2:48" ht="12.75" hidden="1" customHeight="1">
      <c r="B283" t="s">
        <v>364</v>
      </c>
      <c r="C283" t="s">
        <v>64</v>
      </c>
      <c r="F283">
        <v>2</v>
      </c>
      <c r="G283" s="122">
        <v>167</v>
      </c>
      <c r="H283" s="122">
        <v>1088</v>
      </c>
      <c r="I283" s="122"/>
      <c r="J283" s="122">
        <v>0</v>
      </c>
      <c r="K283" s="122"/>
      <c r="L283" s="122"/>
      <c r="M283" s="122">
        <v>0</v>
      </c>
      <c r="N283" s="122">
        <v>4079</v>
      </c>
      <c r="O283" s="122">
        <v>1511</v>
      </c>
      <c r="P283" s="122">
        <v>1242</v>
      </c>
      <c r="Q283" s="122">
        <v>460</v>
      </c>
      <c r="R283" s="122"/>
      <c r="S283" s="122">
        <v>0</v>
      </c>
      <c r="T283">
        <v>0</v>
      </c>
      <c r="U283" s="122">
        <v>0</v>
      </c>
      <c r="V283" s="122">
        <v>1971</v>
      </c>
      <c r="W283" s="122">
        <f t="shared" si="8"/>
        <v>1971</v>
      </c>
      <c r="X283" s="122">
        <f t="shared" si="9"/>
        <v>5321</v>
      </c>
      <c r="Y283" s="122"/>
      <c r="AA283" t="s">
        <v>54</v>
      </c>
      <c r="AB283" t="s">
        <v>405</v>
      </c>
      <c r="AC283" t="s">
        <v>427</v>
      </c>
      <c r="AD283" t="s">
        <v>405</v>
      </c>
      <c r="AE283" t="s">
        <v>566</v>
      </c>
      <c r="AF283">
        <v>42</v>
      </c>
      <c r="AG283" s="122">
        <v>4817</v>
      </c>
      <c r="AH283" s="122">
        <v>5894</v>
      </c>
      <c r="AI283" s="122">
        <v>314736</v>
      </c>
      <c r="AJ283" s="122">
        <v>286124</v>
      </c>
      <c r="AK283">
        <v>89</v>
      </c>
      <c r="AL283" s="122">
        <v>84531</v>
      </c>
      <c r="AM283" s="122">
        <v>76846</v>
      </c>
      <c r="AN283" s="122">
        <v>92621</v>
      </c>
      <c r="AO283" s="122">
        <v>34304</v>
      </c>
      <c r="AP283" s="122">
        <v>18860</v>
      </c>
      <c r="AQ283" s="122">
        <v>6985</v>
      </c>
      <c r="AR283" s="122">
        <v>186465</v>
      </c>
      <c r="AS283" s="122">
        <v>169514</v>
      </c>
      <c r="AT283" s="122">
        <v>2591</v>
      </c>
      <c r="AU283">
        <v>960</v>
      </c>
      <c r="AV283" s="122">
        <v>574733</v>
      </c>
    </row>
    <row r="284" spans="2:48" ht="12.75" hidden="1" customHeight="1">
      <c r="B284" t="s">
        <v>364</v>
      </c>
      <c r="C284" t="s">
        <v>64</v>
      </c>
      <c r="D284" t="s">
        <v>425</v>
      </c>
      <c r="E284" t="s">
        <v>425</v>
      </c>
      <c r="F284" s="122">
        <v>1</v>
      </c>
      <c r="G284" s="122">
        <v>70</v>
      </c>
      <c r="H284" s="122">
        <v>486</v>
      </c>
      <c r="I284" s="122">
        <v>22243</v>
      </c>
      <c r="J284" s="122">
        <v>20221</v>
      </c>
      <c r="K284">
        <v>65</v>
      </c>
      <c r="L284" s="122">
        <v>2350</v>
      </c>
      <c r="M284" s="122">
        <v>2136</v>
      </c>
      <c r="N284" s="122">
        <v>1287</v>
      </c>
      <c r="O284" s="122">
        <v>477</v>
      </c>
      <c r="P284" s="122">
        <v>351</v>
      </c>
      <c r="Q284" s="122">
        <v>130</v>
      </c>
      <c r="R284" s="122">
        <v>8025</v>
      </c>
      <c r="S284" s="122">
        <v>7295</v>
      </c>
      <c r="T284" s="122">
        <v>0</v>
      </c>
      <c r="U284" s="122">
        <v>0</v>
      </c>
      <c r="V284" s="122">
        <v>30259</v>
      </c>
      <c r="W284" s="122">
        <f t="shared" si="8"/>
        <v>30259</v>
      </c>
      <c r="X284" s="122">
        <f t="shared" si="9"/>
        <v>34256</v>
      </c>
      <c r="Y284" s="122"/>
      <c r="AA284" t="s">
        <v>54</v>
      </c>
      <c r="AB284" t="s">
        <v>405</v>
      </c>
      <c r="AC284" t="s">
        <v>579</v>
      </c>
      <c r="AD284" t="s">
        <v>405</v>
      </c>
      <c r="AE284" t="s">
        <v>566</v>
      </c>
      <c r="AF284">
        <v>94</v>
      </c>
      <c r="AG284" s="122">
        <v>10292</v>
      </c>
      <c r="AH284" s="122">
        <v>12866</v>
      </c>
      <c r="AI284" s="122">
        <v>621925</v>
      </c>
      <c r="AJ284" s="122">
        <v>565386</v>
      </c>
      <c r="AK284">
        <v>89</v>
      </c>
      <c r="AL284" s="122">
        <v>155029</v>
      </c>
      <c r="AM284" s="122">
        <v>129191</v>
      </c>
      <c r="AN284" s="122">
        <v>202517</v>
      </c>
      <c r="AO284" s="122">
        <v>75006</v>
      </c>
      <c r="AP284" s="122">
        <v>46386</v>
      </c>
      <c r="AQ284" s="122">
        <v>17180</v>
      </c>
      <c r="AR284" s="122">
        <v>407904</v>
      </c>
      <c r="AS284" s="122">
        <v>370822</v>
      </c>
      <c r="AT284">
        <v>0</v>
      </c>
      <c r="AU284">
        <v>0</v>
      </c>
      <c r="AV284" s="122">
        <v>1157585</v>
      </c>
    </row>
    <row r="285" spans="2:48" ht="12.75" hidden="1" customHeight="1">
      <c r="B285" t="s">
        <v>364</v>
      </c>
      <c r="C285" t="s">
        <v>64</v>
      </c>
      <c r="D285" t="s">
        <v>405</v>
      </c>
      <c r="E285" t="s">
        <v>137</v>
      </c>
      <c r="F285">
        <v>1</v>
      </c>
      <c r="G285">
        <v>67</v>
      </c>
      <c r="H285" s="122">
        <v>525</v>
      </c>
      <c r="I285" s="122">
        <v>20580</v>
      </c>
      <c r="J285" s="122">
        <v>18709</v>
      </c>
      <c r="K285">
        <v>70</v>
      </c>
      <c r="L285" s="122">
        <v>6240</v>
      </c>
      <c r="M285" s="122">
        <v>2311</v>
      </c>
      <c r="N285" s="122">
        <v>1151</v>
      </c>
      <c r="O285" s="122">
        <v>426</v>
      </c>
      <c r="P285" s="122">
        <v>122</v>
      </c>
      <c r="Q285" s="122">
        <v>45</v>
      </c>
      <c r="R285" s="122">
        <v>6815</v>
      </c>
      <c r="S285" s="122">
        <v>2524</v>
      </c>
      <c r="T285" s="122">
        <v>0</v>
      </c>
      <c r="U285" s="122">
        <v>0</v>
      </c>
      <c r="V285" s="122">
        <v>24015</v>
      </c>
      <c r="W285" s="122">
        <f t="shared" si="8"/>
        <v>24015</v>
      </c>
      <c r="X285" s="122">
        <f t="shared" si="9"/>
        <v>34908</v>
      </c>
      <c r="Y285" s="122"/>
      <c r="AA285" t="s">
        <v>54</v>
      </c>
      <c r="AB285" t="s">
        <v>405</v>
      </c>
      <c r="AC285" t="s">
        <v>426</v>
      </c>
      <c r="AD285" t="s">
        <v>425</v>
      </c>
      <c r="AE285" t="s">
        <v>566</v>
      </c>
      <c r="AF285">
        <v>1</v>
      </c>
      <c r="AG285">
        <v>157</v>
      </c>
      <c r="AH285">
        <v>147</v>
      </c>
      <c r="AI285" s="122">
        <v>11395</v>
      </c>
      <c r="AJ285" s="122">
        <v>10359</v>
      </c>
      <c r="AK285">
        <v>78</v>
      </c>
      <c r="AL285" s="122">
        <v>3127</v>
      </c>
      <c r="AM285" s="122">
        <v>2843</v>
      </c>
      <c r="AN285" s="122">
        <v>2185</v>
      </c>
      <c r="AO285">
        <v>809</v>
      </c>
      <c r="AP285">
        <v>473</v>
      </c>
      <c r="AQ285">
        <v>175</v>
      </c>
      <c r="AR285" s="122">
        <v>5920</v>
      </c>
      <c r="AS285" s="122">
        <v>5382</v>
      </c>
      <c r="AT285">
        <v>0</v>
      </c>
      <c r="AU285">
        <v>0</v>
      </c>
      <c r="AV285" s="122">
        <v>19568</v>
      </c>
    </row>
    <row r="286" spans="2:48" ht="12.75" hidden="1" customHeight="1">
      <c r="B286" t="s">
        <v>364</v>
      </c>
      <c r="C286" t="s">
        <v>64</v>
      </c>
      <c r="D286" t="s">
        <v>137</v>
      </c>
      <c r="E286" t="s">
        <v>137</v>
      </c>
      <c r="F286">
        <v>111</v>
      </c>
      <c r="G286" s="122">
        <v>9399</v>
      </c>
      <c r="H286" s="122">
        <v>72989</v>
      </c>
      <c r="I286" s="122">
        <v>4304925</v>
      </c>
      <c r="J286" s="122">
        <v>1594417</v>
      </c>
      <c r="K286" s="122">
        <v>100</v>
      </c>
      <c r="L286" s="122">
        <v>719484</v>
      </c>
      <c r="M286" s="122">
        <v>575988</v>
      </c>
      <c r="N286" s="122">
        <v>209511</v>
      </c>
      <c r="O286" s="122">
        <v>77597</v>
      </c>
      <c r="P286" s="122">
        <v>1674</v>
      </c>
      <c r="Q286" s="122">
        <v>620</v>
      </c>
      <c r="R286" s="122">
        <v>797761</v>
      </c>
      <c r="S286" s="122">
        <v>295467</v>
      </c>
      <c r="T286" s="122">
        <v>0</v>
      </c>
      <c r="U286" s="122">
        <v>0</v>
      </c>
      <c r="V286" s="122">
        <v>2544088</v>
      </c>
      <c r="W286" s="122">
        <f t="shared" si="8"/>
        <v>2544089</v>
      </c>
      <c r="X286" s="122">
        <f t="shared" si="9"/>
        <v>6033355</v>
      </c>
      <c r="Y286" s="122"/>
      <c r="AA286" t="s">
        <v>54</v>
      </c>
      <c r="AB286" t="s">
        <v>405</v>
      </c>
      <c r="AC286" t="s">
        <v>426</v>
      </c>
      <c r="AD286" t="s">
        <v>405</v>
      </c>
      <c r="AE286" t="s">
        <v>137</v>
      </c>
      <c r="AF286">
        <v>40</v>
      </c>
      <c r="AG286" s="122">
        <v>4791</v>
      </c>
      <c r="AH286" s="122">
        <v>5608</v>
      </c>
      <c r="AI286" s="122">
        <v>304775</v>
      </c>
      <c r="AJ286" s="122">
        <v>277069</v>
      </c>
      <c r="AK286">
        <v>88</v>
      </c>
      <c r="AL286" s="122">
        <v>90353</v>
      </c>
      <c r="AM286" s="122">
        <v>82139</v>
      </c>
      <c r="AN286" s="122">
        <v>78506</v>
      </c>
      <c r="AO286" s="122">
        <v>29076</v>
      </c>
      <c r="AP286" s="122">
        <v>22912</v>
      </c>
      <c r="AQ286" s="122">
        <v>8486</v>
      </c>
      <c r="AR286" s="122">
        <v>163409</v>
      </c>
      <c r="AS286" s="122">
        <v>148554</v>
      </c>
      <c r="AT286" s="122">
        <v>23508</v>
      </c>
      <c r="AU286" s="122">
        <v>8707</v>
      </c>
      <c r="AV286" s="122">
        <v>554030</v>
      </c>
    </row>
    <row r="287" spans="2:48" ht="12.75" hidden="1" customHeight="1">
      <c r="B287" t="s">
        <v>364</v>
      </c>
      <c r="C287" t="s">
        <v>64</v>
      </c>
      <c r="D287" t="s">
        <v>137</v>
      </c>
      <c r="E287" t="s">
        <v>406</v>
      </c>
      <c r="F287" s="122">
        <v>4</v>
      </c>
      <c r="G287" s="122">
        <v>496</v>
      </c>
      <c r="H287" s="122">
        <v>2424</v>
      </c>
      <c r="I287" s="122">
        <v>251444</v>
      </c>
      <c r="J287" s="122">
        <v>93127</v>
      </c>
      <c r="K287" s="122">
        <v>100</v>
      </c>
      <c r="L287" s="122">
        <v>27231</v>
      </c>
      <c r="M287" s="122">
        <v>24755</v>
      </c>
      <c r="N287" s="122">
        <v>11391</v>
      </c>
      <c r="O287" s="122">
        <v>4219</v>
      </c>
      <c r="P287" s="122">
        <v>1512</v>
      </c>
      <c r="Q287" s="122">
        <v>560</v>
      </c>
      <c r="R287" s="122">
        <v>20293</v>
      </c>
      <c r="S287" s="122">
        <v>18448</v>
      </c>
      <c r="T287" s="122">
        <v>6891</v>
      </c>
      <c r="U287" s="122">
        <v>2552</v>
      </c>
      <c r="V287" s="122">
        <v>143662</v>
      </c>
      <c r="W287" s="122">
        <f t="shared" si="8"/>
        <v>143661</v>
      </c>
      <c r="X287" s="122">
        <f t="shared" si="9"/>
        <v>318762</v>
      </c>
      <c r="Y287" s="122"/>
      <c r="AA287" t="s">
        <v>54</v>
      </c>
      <c r="AB287" t="s">
        <v>405</v>
      </c>
      <c r="AC287" t="s">
        <v>426</v>
      </c>
      <c r="AD287" t="s">
        <v>405</v>
      </c>
      <c r="AE287" t="s">
        <v>566</v>
      </c>
      <c r="AF287">
        <v>314</v>
      </c>
      <c r="AG287" s="122">
        <v>35853</v>
      </c>
      <c r="AH287" s="122">
        <v>44194</v>
      </c>
      <c r="AI287" s="122">
        <v>2301019</v>
      </c>
      <c r="AJ287" s="122">
        <v>2091836</v>
      </c>
      <c r="AK287">
        <v>87</v>
      </c>
      <c r="AL287" s="122">
        <v>606903</v>
      </c>
      <c r="AM287" s="122">
        <v>551730</v>
      </c>
      <c r="AN287" s="122">
        <v>705749</v>
      </c>
      <c r="AO287" s="122">
        <v>261388</v>
      </c>
      <c r="AP287" s="122">
        <v>166497</v>
      </c>
      <c r="AQ287" s="122">
        <v>61666</v>
      </c>
      <c r="AR287" s="122">
        <v>1328845</v>
      </c>
      <c r="AS287" s="122">
        <v>1208041</v>
      </c>
      <c r="AT287">
        <v>0</v>
      </c>
      <c r="AU287">
        <v>0</v>
      </c>
      <c r="AV287" s="122">
        <v>4174661</v>
      </c>
    </row>
    <row r="288" spans="2:48" ht="12.75" hidden="1" customHeight="1">
      <c r="B288" t="s">
        <v>364</v>
      </c>
      <c r="C288" t="s">
        <v>64</v>
      </c>
      <c r="D288" t="s">
        <v>137</v>
      </c>
      <c r="E288" t="s">
        <v>556</v>
      </c>
      <c r="F288">
        <v>3</v>
      </c>
      <c r="G288" s="122">
        <v>272</v>
      </c>
      <c r="H288" s="122">
        <v>1707</v>
      </c>
      <c r="I288" s="122">
        <v>111542</v>
      </c>
      <c r="J288" s="122">
        <v>41312</v>
      </c>
      <c r="K288" s="122">
        <v>100</v>
      </c>
      <c r="L288" s="122">
        <v>15852</v>
      </c>
      <c r="M288" s="122">
        <v>13210</v>
      </c>
      <c r="N288" s="122">
        <v>5454</v>
      </c>
      <c r="O288" s="122">
        <v>2020</v>
      </c>
      <c r="P288" s="122">
        <v>0</v>
      </c>
      <c r="Q288" s="122">
        <v>0</v>
      </c>
      <c r="R288" s="122">
        <v>20583</v>
      </c>
      <c r="S288" s="122">
        <v>17153</v>
      </c>
      <c r="T288" s="122">
        <v>4941</v>
      </c>
      <c r="U288" s="122">
        <v>1830</v>
      </c>
      <c r="V288" s="122">
        <v>75525</v>
      </c>
      <c r="W288" s="122">
        <f t="shared" si="8"/>
        <v>75525</v>
      </c>
      <c r="X288" s="122">
        <f t="shared" si="9"/>
        <v>158372</v>
      </c>
      <c r="Y288" s="122"/>
      <c r="AA288" t="s">
        <v>54</v>
      </c>
      <c r="AB288" t="s">
        <v>405</v>
      </c>
      <c r="AC288" t="s">
        <v>426</v>
      </c>
      <c r="AD288" t="s">
        <v>407</v>
      </c>
      <c r="AE288" t="s">
        <v>566</v>
      </c>
      <c r="AF288">
        <v>3</v>
      </c>
      <c r="AG288">
        <v>326</v>
      </c>
      <c r="AH288">
        <v>430</v>
      </c>
      <c r="AI288" s="122">
        <v>25776</v>
      </c>
      <c r="AJ288" s="122">
        <v>23432</v>
      </c>
      <c r="AK288">
        <v>87</v>
      </c>
      <c r="AL288" s="122">
        <v>8003</v>
      </c>
      <c r="AM288" s="122">
        <v>7276</v>
      </c>
      <c r="AN288" s="122">
        <v>4307</v>
      </c>
      <c r="AO288" s="122">
        <v>1595</v>
      </c>
      <c r="AP288" s="122">
        <v>1418</v>
      </c>
      <c r="AQ288">
        <v>525</v>
      </c>
      <c r="AR288" s="122">
        <v>11050</v>
      </c>
      <c r="AS288" s="122">
        <v>10045</v>
      </c>
      <c r="AT288">
        <v>0</v>
      </c>
      <c r="AU288">
        <v>0</v>
      </c>
      <c r="AV288" s="122">
        <v>42874</v>
      </c>
    </row>
    <row r="289" spans="2:48" ht="12.75" hidden="1" customHeight="1">
      <c r="B289" t="s">
        <v>364</v>
      </c>
      <c r="C289" t="s">
        <v>64</v>
      </c>
      <c r="D289" t="s">
        <v>137</v>
      </c>
      <c r="E289" t="s">
        <v>426</v>
      </c>
      <c r="F289" s="122">
        <v>13</v>
      </c>
      <c r="G289" s="122">
        <v>1174</v>
      </c>
      <c r="H289" s="122">
        <v>7793</v>
      </c>
      <c r="I289" s="122">
        <v>468758</v>
      </c>
      <c r="J289" s="122">
        <v>173614</v>
      </c>
      <c r="K289" s="122">
        <v>100</v>
      </c>
      <c r="L289" s="122">
        <v>60016</v>
      </c>
      <c r="M289" s="122">
        <v>54560</v>
      </c>
      <c r="N289" s="122">
        <v>25405</v>
      </c>
      <c r="O289" s="122">
        <v>9409</v>
      </c>
      <c r="P289" s="122">
        <v>1053</v>
      </c>
      <c r="Q289" s="122">
        <v>390</v>
      </c>
      <c r="R289" s="122">
        <v>85434</v>
      </c>
      <c r="S289" s="122">
        <v>77668</v>
      </c>
      <c r="T289" s="122">
        <v>33997</v>
      </c>
      <c r="U289" s="122">
        <v>12592</v>
      </c>
      <c r="V289" s="122">
        <v>328232</v>
      </c>
      <c r="W289" s="122">
        <f t="shared" si="8"/>
        <v>328233</v>
      </c>
      <c r="X289" s="122">
        <f t="shared" si="9"/>
        <v>674663</v>
      </c>
      <c r="Y289" s="122"/>
      <c r="AA289" t="s">
        <v>54</v>
      </c>
      <c r="AB289" t="s">
        <v>405</v>
      </c>
      <c r="AC289" t="s">
        <v>566</v>
      </c>
      <c r="AD289" t="s">
        <v>405</v>
      </c>
      <c r="AE289" t="s">
        <v>137</v>
      </c>
      <c r="AF289">
        <v>4</v>
      </c>
      <c r="AG289">
        <v>447</v>
      </c>
      <c r="AH289">
        <v>563</v>
      </c>
      <c r="AI289" s="122">
        <v>34384</v>
      </c>
      <c r="AJ289" s="122">
        <v>31258</v>
      </c>
      <c r="AK289">
        <v>86</v>
      </c>
      <c r="AL289">
        <v>0</v>
      </c>
      <c r="AM289" s="122">
        <v>1166</v>
      </c>
      <c r="AN289" s="122">
        <v>7966</v>
      </c>
      <c r="AO289" s="122">
        <v>2950</v>
      </c>
      <c r="AP289" s="122">
        <v>1890</v>
      </c>
      <c r="AQ289">
        <v>700</v>
      </c>
      <c r="AR289" s="122">
        <v>15778</v>
      </c>
      <c r="AS289" s="122">
        <v>14344</v>
      </c>
      <c r="AT289" s="122">
        <v>2359</v>
      </c>
      <c r="AU289">
        <v>874</v>
      </c>
      <c r="AV289" s="122">
        <v>51292</v>
      </c>
    </row>
    <row r="290" spans="2:48" ht="12.75" hidden="1" customHeight="1">
      <c r="B290" t="s">
        <v>364</v>
      </c>
      <c r="C290" t="s">
        <v>64</v>
      </c>
      <c r="D290" t="s">
        <v>406</v>
      </c>
      <c r="E290" t="s">
        <v>137</v>
      </c>
      <c r="F290" s="122">
        <v>7</v>
      </c>
      <c r="G290" s="122">
        <v>511</v>
      </c>
      <c r="H290" s="122">
        <v>3836</v>
      </c>
      <c r="I290" s="122">
        <v>180416</v>
      </c>
      <c r="J290" s="122">
        <v>164015</v>
      </c>
      <c r="K290" s="122">
        <v>70</v>
      </c>
      <c r="L290" s="122">
        <v>44089</v>
      </c>
      <c r="M290" s="122">
        <v>37903</v>
      </c>
      <c r="N290" s="122">
        <v>11949</v>
      </c>
      <c r="O290" s="122">
        <v>4425</v>
      </c>
      <c r="P290" s="122">
        <v>3375</v>
      </c>
      <c r="Q290" s="122">
        <v>1250</v>
      </c>
      <c r="R290" s="122">
        <v>42496</v>
      </c>
      <c r="S290" s="122">
        <v>15739</v>
      </c>
      <c r="T290" s="122">
        <v>0</v>
      </c>
      <c r="U290" s="122">
        <v>0</v>
      </c>
      <c r="V290" s="122">
        <v>223333</v>
      </c>
      <c r="W290" s="122">
        <f t="shared" si="8"/>
        <v>223332</v>
      </c>
      <c r="X290" s="122">
        <f t="shared" si="9"/>
        <v>282325</v>
      </c>
      <c r="Y290" s="122"/>
      <c r="AA290" t="s">
        <v>54</v>
      </c>
      <c r="AB290" t="s">
        <v>405</v>
      </c>
      <c r="AC290" t="s">
        <v>566</v>
      </c>
      <c r="AD290" t="s">
        <v>405</v>
      </c>
      <c r="AE290" t="s">
        <v>566</v>
      </c>
      <c r="AF290">
        <v>95</v>
      </c>
      <c r="AG290" s="122">
        <v>8586</v>
      </c>
      <c r="AH290" s="122">
        <v>13122</v>
      </c>
      <c r="AI290" s="122">
        <v>657972</v>
      </c>
      <c r="AJ290" s="122">
        <v>598156</v>
      </c>
      <c r="AK290">
        <v>88</v>
      </c>
      <c r="AL290">
        <v>0</v>
      </c>
      <c r="AM290" s="122">
        <v>2728</v>
      </c>
      <c r="AN290" s="122">
        <v>175523</v>
      </c>
      <c r="AO290" s="122">
        <v>65009</v>
      </c>
      <c r="AP290" s="122">
        <v>49402</v>
      </c>
      <c r="AQ290" s="122">
        <v>18297</v>
      </c>
      <c r="AR290" s="122">
        <v>323663</v>
      </c>
      <c r="AS290" s="122">
        <v>294239</v>
      </c>
      <c r="AT290">
        <v>0</v>
      </c>
      <c r="AU290">
        <v>0</v>
      </c>
      <c r="AV290" s="122">
        <v>978429</v>
      </c>
    </row>
    <row r="291" spans="2:48" ht="12.75" hidden="1" customHeight="1">
      <c r="B291" t="s">
        <v>364</v>
      </c>
      <c r="C291" t="s">
        <v>64</v>
      </c>
      <c r="D291" t="s">
        <v>406</v>
      </c>
      <c r="E291" t="s">
        <v>406</v>
      </c>
      <c r="F291">
        <v>136</v>
      </c>
      <c r="G291" s="122">
        <v>12464</v>
      </c>
      <c r="H291" s="122">
        <v>72225</v>
      </c>
      <c r="I291" s="122">
        <v>4480197</v>
      </c>
      <c r="J291" s="122">
        <v>4072906</v>
      </c>
      <c r="K291" s="122">
        <v>72</v>
      </c>
      <c r="L291" s="122">
        <v>887724</v>
      </c>
      <c r="M291" s="122">
        <v>775683</v>
      </c>
      <c r="N291" s="122">
        <v>274659</v>
      </c>
      <c r="O291" s="122">
        <v>101726</v>
      </c>
      <c r="P291" s="122">
        <v>90206</v>
      </c>
      <c r="Q291" s="122">
        <v>33410</v>
      </c>
      <c r="R291" s="122">
        <v>638487</v>
      </c>
      <c r="S291" s="122">
        <v>580442</v>
      </c>
      <c r="T291" s="122">
        <v>263565</v>
      </c>
      <c r="U291" s="122">
        <v>97617</v>
      </c>
      <c r="V291" s="122">
        <v>5661784</v>
      </c>
      <c r="W291" s="122">
        <f t="shared" si="8"/>
        <v>5661784</v>
      </c>
      <c r="X291" s="122">
        <f t="shared" si="9"/>
        <v>6634838</v>
      </c>
      <c r="Y291" s="122"/>
      <c r="AA291" t="s">
        <v>54</v>
      </c>
      <c r="AB291" t="s">
        <v>405</v>
      </c>
      <c r="AC291" t="s">
        <v>481</v>
      </c>
      <c r="AD291" t="s">
        <v>405</v>
      </c>
      <c r="AE291" t="s">
        <v>566</v>
      </c>
      <c r="AF291">
        <v>2</v>
      </c>
      <c r="AG291">
        <v>203</v>
      </c>
      <c r="AH291">
        <v>289</v>
      </c>
      <c r="AI291" s="122">
        <v>11626</v>
      </c>
      <c r="AJ291" s="122">
        <v>10570</v>
      </c>
      <c r="AK291">
        <v>82</v>
      </c>
      <c r="AL291" s="122">
        <v>2242</v>
      </c>
      <c r="AM291" s="122">
        <v>2038</v>
      </c>
      <c r="AN291" s="122">
        <v>4799</v>
      </c>
      <c r="AO291" s="122">
        <v>1777</v>
      </c>
      <c r="AP291">
        <v>945</v>
      </c>
      <c r="AQ291">
        <v>350</v>
      </c>
      <c r="AR291" s="122">
        <v>9676</v>
      </c>
      <c r="AS291" s="122">
        <v>8796</v>
      </c>
      <c r="AT291">
        <v>0</v>
      </c>
      <c r="AU291">
        <v>0</v>
      </c>
      <c r="AV291" s="122">
        <v>23532</v>
      </c>
    </row>
    <row r="292" spans="2:48" ht="12.75" hidden="1" customHeight="1">
      <c r="B292" t="s">
        <v>364</v>
      </c>
      <c r="C292" t="s">
        <v>64</v>
      </c>
      <c r="D292" t="s">
        <v>427</v>
      </c>
      <c r="E292" t="s">
        <v>137</v>
      </c>
      <c r="F292">
        <v>1</v>
      </c>
      <c r="G292" s="122">
        <v>62</v>
      </c>
      <c r="H292" s="122">
        <v>474</v>
      </c>
      <c r="I292" s="122">
        <v>15016</v>
      </c>
      <c r="J292" s="122">
        <v>13651</v>
      </c>
      <c r="K292" s="122">
        <v>60</v>
      </c>
      <c r="L292" s="122">
        <v>2457</v>
      </c>
      <c r="M292" s="122">
        <v>910</v>
      </c>
      <c r="N292" s="122">
        <v>1521</v>
      </c>
      <c r="O292" s="122">
        <v>563</v>
      </c>
      <c r="P292" s="122">
        <v>351</v>
      </c>
      <c r="Q292" s="122">
        <v>130</v>
      </c>
      <c r="R292" s="122">
        <v>10204</v>
      </c>
      <c r="S292" s="122">
        <v>3779</v>
      </c>
      <c r="T292" s="122">
        <v>0</v>
      </c>
      <c r="U292" s="122">
        <v>0</v>
      </c>
      <c r="V292" s="122">
        <v>19034</v>
      </c>
      <c r="W292" s="122">
        <f t="shared" si="8"/>
        <v>19033</v>
      </c>
      <c r="X292" s="122">
        <f t="shared" si="9"/>
        <v>29549</v>
      </c>
      <c r="Y292" s="122"/>
      <c r="AA292" t="s">
        <v>54</v>
      </c>
      <c r="AB292" t="s">
        <v>405</v>
      </c>
      <c r="AC292" t="s">
        <v>433</v>
      </c>
      <c r="AD292" t="s">
        <v>405</v>
      </c>
      <c r="AE292" t="s">
        <v>137</v>
      </c>
      <c r="AF292">
        <v>6</v>
      </c>
      <c r="AG292">
        <v>647</v>
      </c>
      <c r="AH292">
        <v>850</v>
      </c>
      <c r="AI292" s="122">
        <v>39837</v>
      </c>
      <c r="AJ292" s="122">
        <v>36215</v>
      </c>
      <c r="AK292">
        <v>84</v>
      </c>
      <c r="AL292" s="122">
        <v>12878</v>
      </c>
      <c r="AM292" s="122">
        <v>11707</v>
      </c>
      <c r="AN292" s="122">
        <v>8498</v>
      </c>
      <c r="AO292" s="122">
        <v>3148</v>
      </c>
      <c r="AP292" s="122">
        <v>2835</v>
      </c>
      <c r="AQ292" s="122">
        <v>1050</v>
      </c>
      <c r="AR292" s="122">
        <v>22616</v>
      </c>
      <c r="AS292" s="122">
        <v>20560</v>
      </c>
      <c r="AT292" s="122">
        <v>5242</v>
      </c>
      <c r="AU292" s="122">
        <v>1941</v>
      </c>
      <c r="AV292" s="122">
        <v>74621</v>
      </c>
    </row>
    <row r="293" spans="2:48" ht="12.75" hidden="1" customHeight="1">
      <c r="B293" t="s">
        <v>364</v>
      </c>
      <c r="C293" t="s">
        <v>64</v>
      </c>
      <c r="D293" t="s">
        <v>427</v>
      </c>
      <c r="E293" s="122" t="s">
        <v>427</v>
      </c>
      <c r="F293" s="122">
        <v>13</v>
      </c>
      <c r="G293" s="122">
        <v>878</v>
      </c>
      <c r="H293" s="122">
        <v>6557</v>
      </c>
      <c r="I293" s="122">
        <v>314349</v>
      </c>
      <c r="J293" s="122">
        <v>285772</v>
      </c>
      <c r="K293" s="122">
        <v>56</v>
      </c>
      <c r="L293" s="122">
        <v>31858</v>
      </c>
      <c r="M293" s="122">
        <v>18599</v>
      </c>
      <c r="N293" s="122">
        <v>16395</v>
      </c>
      <c r="O293" s="122">
        <v>6072</v>
      </c>
      <c r="P293" s="122">
        <v>4212</v>
      </c>
      <c r="Q293" s="122">
        <v>1560</v>
      </c>
      <c r="R293" s="122">
        <v>63095</v>
      </c>
      <c r="S293" s="122">
        <v>57359</v>
      </c>
      <c r="T293" s="122">
        <v>24849</v>
      </c>
      <c r="U293" s="122">
        <v>9203</v>
      </c>
      <c r="V293" s="122">
        <v>378565</v>
      </c>
      <c r="W293" s="122">
        <f t="shared" si="8"/>
        <v>378565</v>
      </c>
      <c r="X293" s="122">
        <f t="shared" si="9"/>
        <v>454758</v>
      </c>
      <c r="Y293" s="122"/>
      <c r="AA293" t="s">
        <v>54</v>
      </c>
      <c r="AB293" t="s">
        <v>405</v>
      </c>
      <c r="AC293" t="s">
        <v>433</v>
      </c>
      <c r="AD293" t="s">
        <v>405</v>
      </c>
      <c r="AE293" t="s">
        <v>566</v>
      </c>
      <c r="AF293">
        <v>3</v>
      </c>
      <c r="AG293">
        <v>498</v>
      </c>
      <c r="AH293">
        <v>398</v>
      </c>
      <c r="AI293" s="122">
        <v>34175</v>
      </c>
      <c r="AJ293" s="122">
        <v>31068</v>
      </c>
      <c r="AK293">
        <v>85</v>
      </c>
      <c r="AL293" s="122">
        <v>5023</v>
      </c>
      <c r="AM293" s="122">
        <v>4567</v>
      </c>
      <c r="AN293" s="122">
        <v>7948</v>
      </c>
      <c r="AO293" s="122">
        <v>2944</v>
      </c>
      <c r="AP293" s="122">
        <v>1418</v>
      </c>
      <c r="AQ293">
        <v>525</v>
      </c>
      <c r="AR293" s="122">
        <v>17367</v>
      </c>
      <c r="AS293" s="122">
        <v>15788</v>
      </c>
      <c r="AT293">
        <v>0</v>
      </c>
      <c r="AU293">
        <v>0</v>
      </c>
      <c r="AV293" s="122">
        <v>54891</v>
      </c>
    </row>
    <row r="294" spans="2:48" ht="12.75" hidden="1" customHeight="1">
      <c r="B294" t="s">
        <v>364</v>
      </c>
      <c r="C294" t="s">
        <v>64</v>
      </c>
      <c r="D294" t="s">
        <v>407</v>
      </c>
      <c r="E294" t="s">
        <v>407</v>
      </c>
      <c r="F294" s="122">
        <v>2</v>
      </c>
      <c r="G294" s="122">
        <v>113</v>
      </c>
      <c r="H294" s="122">
        <v>1125</v>
      </c>
      <c r="I294" s="122">
        <v>46251</v>
      </c>
      <c r="J294" s="122">
        <v>42047</v>
      </c>
      <c r="K294" s="122">
        <v>76</v>
      </c>
      <c r="L294" s="122">
        <v>4528</v>
      </c>
      <c r="M294" s="122">
        <v>4116</v>
      </c>
      <c r="N294" s="122">
        <v>2432</v>
      </c>
      <c r="O294" s="122">
        <v>901</v>
      </c>
      <c r="P294" s="122">
        <v>945</v>
      </c>
      <c r="Q294" s="122">
        <v>350</v>
      </c>
      <c r="R294" s="122">
        <v>7494</v>
      </c>
      <c r="S294" s="122">
        <v>6813</v>
      </c>
      <c r="T294" s="122">
        <v>0</v>
      </c>
      <c r="U294" s="122">
        <v>0</v>
      </c>
      <c r="V294" s="122">
        <v>54226</v>
      </c>
      <c r="W294" s="122">
        <f t="shared" si="8"/>
        <v>54227</v>
      </c>
      <c r="X294" s="122">
        <f t="shared" si="9"/>
        <v>61650</v>
      </c>
      <c r="Y294" s="122"/>
      <c r="AA294" t="s">
        <v>54</v>
      </c>
      <c r="AB294" t="s">
        <v>405</v>
      </c>
      <c r="AC294" t="s">
        <v>429</v>
      </c>
      <c r="AD294" t="s">
        <v>405</v>
      </c>
      <c r="AE294" t="s">
        <v>137</v>
      </c>
      <c r="AF294">
        <v>1</v>
      </c>
      <c r="AG294">
        <v>123</v>
      </c>
      <c r="AH294">
        <v>144</v>
      </c>
      <c r="AI294" s="122">
        <v>8545</v>
      </c>
      <c r="AJ294" s="122">
        <v>7768</v>
      </c>
      <c r="AK294">
        <v>73</v>
      </c>
      <c r="AL294" s="122">
        <v>1014</v>
      </c>
      <c r="AM294">
        <v>922</v>
      </c>
      <c r="AN294" s="122">
        <v>2605</v>
      </c>
      <c r="AO294">
        <v>965</v>
      </c>
      <c r="AP294">
        <v>473</v>
      </c>
      <c r="AQ294">
        <v>175</v>
      </c>
      <c r="AR294" s="122">
        <v>3695</v>
      </c>
      <c r="AS294" s="122">
        <v>3359</v>
      </c>
      <c r="AT294" s="122">
        <v>1306</v>
      </c>
      <c r="AU294">
        <v>484</v>
      </c>
      <c r="AV294" s="122">
        <v>13673</v>
      </c>
    </row>
    <row r="295" spans="2:48" ht="12.75" hidden="1" customHeight="1">
      <c r="B295" t="s">
        <v>364</v>
      </c>
      <c r="C295" t="s">
        <v>64</v>
      </c>
      <c r="D295" t="s">
        <v>556</v>
      </c>
      <c r="E295" t="s">
        <v>137</v>
      </c>
      <c r="F295" s="122">
        <v>2</v>
      </c>
      <c r="G295" s="122">
        <v>307</v>
      </c>
      <c r="H295" s="122">
        <v>1503</v>
      </c>
      <c r="I295" s="122">
        <v>216675</v>
      </c>
      <c r="J295" s="122">
        <v>180563</v>
      </c>
      <c r="K295" s="122">
        <v>45</v>
      </c>
      <c r="L295" s="122">
        <v>19502</v>
      </c>
      <c r="M295" s="122">
        <v>7223</v>
      </c>
      <c r="N295" s="122">
        <v>8098</v>
      </c>
      <c r="O295" s="122">
        <v>2999</v>
      </c>
      <c r="P295" s="122">
        <v>0</v>
      </c>
      <c r="Q295" s="122">
        <v>0</v>
      </c>
      <c r="R295" s="122">
        <v>19254</v>
      </c>
      <c r="S295" s="122">
        <v>7131</v>
      </c>
      <c r="T295" s="122">
        <v>0</v>
      </c>
      <c r="U295" s="122">
        <v>0</v>
      </c>
      <c r="V295" s="122">
        <v>197916</v>
      </c>
      <c r="W295" s="122">
        <f t="shared" si="8"/>
        <v>197916</v>
      </c>
      <c r="X295" s="122">
        <f t="shared" si="9"/>
        <v>263529</v>
      </c>
      <c r="Y295" s="122"/>
      <c r="AA295" t="s">
        <v>54</v>
      </c>
      <c r="AB295" t="s">
        <v>405</v>
      </c>
      <c r="AC295" t="s">
        <v>429</v>
      </c>
      <c r="AD295" t="s">
        <v>405</v>
      </c>
      <c r="AE295" t="s">
        <v>566</v>
      </c>
      <c r="AF295">
        <v>1</v>
      </c>
      <c r="AG295">
        <v>79</v>
      </c>
      <c r="AH295">
        <v>141</v>
      </c>
      <c r="AI295" s="122">
        <v>9243</v>
      </c>
      <c r="AJ295" s="122">
        <v>8403</v>
      </c>
      <c r="AK295">
        <v>90</v>
      </c>
      <c r="AL295" s="122">
        <v>1547</v>
      </c>
      <c r="AM295" s="122">
        <v>1407</v>
      </c>
      <c r="AN295" s="122">
        <v>3370</v>
      </c>
      <c r="AO295" s="122">
        <v>1248</v>
      </c>
      <c r="AP295">
        <v>473</v>
      </c>
      <c r="AQ295">
        <v>175</v>
      </c>
      <c r="AR295" s="122">
        <v>4870</v>
      </c>
      <c r="AS295" s="122">
        <v>4427</v>
      </c>
      <c r="AT295">
        <v>0</v>
      </c>
      <c r="AU295">
        <v>0</v>
      </c>
      <c r="AV295" s="122">
        <v>15660</v>
      </c>
    </row>
    <row r="296" spans="2:48" ht="12.75" hidden="1" customHeight="1">
      <c r="B296" t="s">
        <v>364</v>
      </c>
      <c r="C296" t="s">
        <v>64</v>
      </c>
      <c r="D296" t="s">
        <v>556</v>
      </c>
      <c r="E296" t="s">
        <v>556</v>
      </c>
      <c r="F296">
        <v>21</v>
      </c>
      <c r="G296" s="122">
        <v>1701</v>
      </c>
      <c r="H296" s="122">
        <v>12567</v>
      </c>
      <c r="I296" s="122">
        <v>730167</v>
      </c>
      <c r="J296" s="122">
        <v>608472</v>
      </c>
      <c r="K296" s="122">
        <v>53</v>
      </c>
      <c r="L296" s="122">
        <v>74435</v>
      </c>
      <c r="M296" s="122">
        <v>50750</v>
      </c>
      <c r="N296" s="122">
        <v>32777</v>
      </c>
      <c r="O296" s="122">
        <v>12140</v>
      </c>
      <c r="P296" s="122">
        <v>6588</v>
      </c>
      <c r="Q296" s="122">
        <v>2440</v>
      </c>
      <c r="R296" s="122">
        <v>126976</v>
      </c>
      <c r="S296" s="122">
        <v>105814</v>
      </c>
      <c r="T296" s="122">
        <v>40993</v>
      </c>
      <c r="U296" s="122">
        <v>15182</v>
      </c>
      <c r="V296" s="122">
        <v>794797</v>
      </c>
      <c r="W296" s="122">
        <f t="shared" si="8"/>
        <v>794798</v>
      </c>
      <c r="X296" s="122">
        <f t="shared" si="9"/>
        <v>1011936</v>
      </c>
      <c r="Y296" s="122"/>
      <c r="AA296" t="s">
        <v>54</v>
      </c>
      <c r="AB296" t="s">
        <v>137</v>
      </c>
      <c r="AC296" t="s">
        <v>425</v>
      </c>
      <c r="AD296" t="s">
        <v>137</v>
      </c>
      <c r="AE296" t="s">
        <v>137</v>
      </c>
      <c r="AF296">
        <v>1</v>
      </c>
      <c r="AG296">
        <v>39</v>
      </c>
      <c r="AH296">
        <v>147</v>
      </c>
      <c r="AI296" s="122">
        <v>1702</v>
      </c>
      <c r="AJ296">
        <v>631</v>
      </c>
      <c r="AK296">
        <v>320</v>
      </c>
      <c r="AL296">
        <v>343</v>
      </c>
      <c r="AM296">
        <v>311</v>
      </c>
      <c r="AN296">
        <v>878</v>
      </c>
      <c r="AO296">
        <v>325</v>
      </c>
      <c r="AP296">
        <v>714</v>
      </c>
      <c r="AQ296">
        <v>265</v>
      </c>
      <c r="AR296" s="122">
        <v>2148</v>
      </c>
      <c r="AS296">
        <v>795</v>
      </c>
      <c r="AT296">
        <v>0</v>
      </c>
      <c r="AU296">
        <v>0</v>
      </c>
      <c r="AV296" s="122">
        <v>2327</v>
      </c>
    </row>
    <row r="297" spans="2:48" ht="12.75" hidden="1" customHeight="1">
      <c r="B297" t="s">
        <v>364</v>
      </c>
      <c r="C297" t="s">
        <v>64</v>
      </c>
      <c r="D297" t="s">
        <v>426</v>
      </c>
      <c r="E297" t="s">
        <v>137</v>
      </c>
      <c r="F297" s="122">
        <v>27</v>
      </c>
      <c r="G297" s="122">
        <v>2069</v>
      </c>
      <c r="H297" s="122">
        <v>31269</v>
      </c>
      <c r="I297" s="122">
        <v>1955569</v>
      </c>
      <c r="J297" s="122">
        <v>1777790</v>
      </c>
      <c r="K297" s="122">
        <v>35</v>
      </c>
      <c r="L297" s="122">
        <v>131294</v>
      </c>
      <c r="M297" s="122">
        <v>78879</v>
      </c>
      <c r="N297" s="122">
        <v>47633</v>
      </c>
      <c r="O297" s="122">
        <v>17642</v>
      </c>
      <c r="P297" s="122">
        <v>1404</v>
      </c>
      <c r="Q297" s="122">
        <v>520</v>
      </c>
      <c r="R297" s="122">
        <v>150950</v>
      </c>
      <c r="S297" s="122">
        <v>55907</v>
      </c>
      <c r="T297" s="122">
        <v>2651</v>
      </c>
      <c r="U297" s="122">
        <v>982</v>
      </c>
      <c r="V297" s="122">
        <v>1931720</v>
      </c>
      <c r="W297" s="122">
        <f t="shared" si="8"/>
        <v>1931720</v>
      </c>
      <c r="X297" s="122">
        <f t="shared" si="9"/>
        <v>2289501</v>
      </c>
      <c r="Y297" s="122"/>
      <c r="AA297" t="s">
        <v>54</v>
      </c>
      <c r="AB297" t="s">
        <v>137</v>
      </c>
      <c r="AC297" t="s">
        <v>137</v>
      </c>
      <c r="AD297" t="s">
        <v>137</v>
      </c>
      <c r="AE297" t="s">
        <v>137</v>
      </c>
      <c r="AF297">
        <v>18</v>
      </c>
      <c r="AG297">
        <v>994</v>
      </c>
      <c r="AH297" s="122">
        <v>2595</v>
      </c>
      <c r="AI297" s="122">
        <v>70548</v>
      </c>
      <c r="AJ297" s="122">
        <v>26129</v>
      </c>
      <c r="AK297">
        <v>173</v>
      </c>
      <c r="AL297" s="122">
        <v>12810</v>
      </c>
      <c r="AM297" s="122">
        <v>4744</v>
      </c>
      <c r="AN297" s="122">
        <v>12557</v>
      </c>
      <c r="AO297" s="122">
        <v>4651</v>
      </c>
      <c r="AP297">
        <v>0</v>
      </c>
      <c r="AQ297">
        <v>0</v>
      </c>
      <c r="AR297" s="122">
        <v>39043</v>
      </c>
      <c r="AS297" s="122">
        <v>14460</v>
      </c>
      <c r="AT297" s="122">
        <v>8752</v>
      </c>
      <c r="AU297" s="122">
        <v>3242</v>
      </c>
      <c r="AV297" s="122">
        <v>53226</v>
      </c>
    </row>
    <row r="298" spans="2:48" ht="12.75" hidden="1" customHeight="1">
      <c r="B298" t="s">
        <v>364</v>
      </c>
      <c r="C298" t="s">
        <v>64</v>
      </c>
      <c r="D298" t="s">
        <v>426</v>
      </c>
      <c r="E298" t="s">
        <v>406</v>
      </c>
      <c r="F298">
        <v>1</v>
      </c>
      <c r="G298" s="122">
        <v>57</v>
      </c>
      <c r="H298" s="122">
        <v>703</v>
      </c>
      <c r="I298" s="122">
        <v>31512</v>
      </c>
      <c r="J298" s="122">
        <v>28647</v>
      </c>
      <c r="K298" s="122">
        <v>55</v>
      </c>
      <c r="L298" s="122">
        <v>2812</v>
      </c>
      <c r="M298" s="122">
        <v>2556</v>
      </c>
      <c r="N298" s="122">
        <v>1224</v>
      </c>
      <c r="O298" s="122">
        <v>453</v>
      </c>
      <c r="P298" s="122">
        <v>621</v>
      </c>
      <c r="Q298" s="122">
        <v>230</v>
      </c>
      <c r="R298" s="122">
        <v>2749</v>
      </c>
      <c r="S298" s="122">
        <v>2499</v>
      </c>
      <c r="T298" s="122">
        <v>1407</v>
      </c>
      <c r="U298" s="122">
        <v>521</v>
      </c>
      <c r="V298" s="122">
        <v>34907</v>
      </c>
      <c r="W298" s="122">
        <f t="shared" si="8"/>
        <v>34906</v>
      </c>
      <c r="X298" s="122">
        <f t="shared" si="9"/>
        <v>40325</v>
      </c>
      <c r="Y298" s="122"/>
      <c r="AA298" t="s">
        <v>54</v>
      </c>
      <c r="AB298" t="s">
        <v>137</v>
      </c>
      <c r="AC298" t="s">
        <v>137</v>
      </c>
      <c r="AD298" t="s">
        <v>137</v>
      </c>
      <c r="AE298" t="s">
        <v>566</v>
      </c>
      <c r="AF298">
        <v>36</v>
      </c>
      <c r="AG298" s="122">
        <v>4385</v>
      </c>
      <c r="AH298" s="122">
        <v>5007</v>
      </c>
      <c r="AI298" s="122">
        <v>242353</v>
      </c>
      <c r="AJ298" s="122">
        <v>89760</v>
      </c>
      <c r="AK298">
        <v>214</v>
      </c>
      <c r="AL298" s="122">
        <v>56744</v>
      </c>
      <c r="AM298" s="122">
        <v>21016</v>
      </c>
      <c r="AN298" s="122">
        <v>70459</v>
      </c>
      <c r="AO298" s="122">
        <v>26096</v>
      </c>
      <c r="AP298" s="122">
        <v>13636</v>
      </c>
      <c r="AQ298" s="122">
        <v>5051</v>
      </c>
      <c r="AR298" s="122">
        <v>238472</v>
      </c>
      <c r="AS298" s="122">
        <v>88323</v>
      </c>
      <c r="AT298">
        <v>0</v>
      </c>
      <c r="AU298">
        <v>0</v>
      </c>
      <c r="AV298" s="122">
        <v>230246</v>
      </c>
    </row>
    <row r="299" spans="2:48" ht="12.75" hidden="1" customHeight="1">
      <c r="B299" t="s">
        <v>364</v>
      </c>
      <c r="C299" t="s">
        <v>64</v>
      </c>
      <c r="D299" t="s">
        <v>426</v>
      </c>
      <c r="E299" t="s">
        <v>426</v>
      </c>
      <c r="F299" s="122">
        <v>86</v>
      </c>
      <c r="G299" s="122">
        <v>6494</v>
      </c>
      <c r="H299" s="122">
        <v>51779</v>
      </c>
      <c r="I299" s="122">
        <v>2851250</v>
      </c>
      <c r="J299" s="122">
        <v>2592045</v>
      </c>
      <c r="K299" s="122">
        <v>53</v>
      </c>
      <c r="L299" s="122">
        <v>336587</v>
      </c>
      <c r="M299" s="122">
        <v>237145</v>
      </c>
      <c r="N299" s="122">
        <v>143412</v>
      </c>
      <c r="O299" s="122">
        <v>53115</v>
      </c>
      <c r="P299" s="122">
        <v>32049</v>
      </c>
      <c r="Q299" s="122">
        <v>11870</v>
      </c>
      <c r="R299" s="122">
        <v>482287</v>
      </c>
      <c r="S299" s="122">
        <v>438443</v>
      </c>
      <c r="T299" s="122">
        <v>194566</v>
      </c>
      <c r="U299" s="122">
        <v>72061</v>
      </c>
      <c r="V299" s="122">
        <v>3404680</v>
      </c>
      <c r="W299" s="122">
        <f t="shared" si="8"/>
        <v>3404679</v>
      </c>
      <c r="X299" s="122">
        <f t="shared" si="9"/>
        <v>4040151</v>
      </c>
      <c r="Y299" s="122"/>
      <c r="AA299" t="s">
        <v>54</v>
      </c>
      <c r="AB299" t="s">
        <v>137</v>
      </c>
      <c r="AC299" t="s">
        <v>137</v>
      </c>
      <c r="AD299" t="s">
        <v>407</v>
      </c>
      <c r="AE299" t="s">
        <v>566</v>
      </c>
      <c r="AF299">
        <v>1</v>
      </c>
      <c r="AG299">
        <v>192</v>
      </c>
      <c r="AH299">
        <v>147</v>
      </c>
      <c r="AI299" s="122">
        <v>17756</v>
      </c>
      <c r="AJ299" s="122">
        <v>6576</v>
      </c>
      <c r="AK299">
        <v>100</v>
      </c>
      <c r="AL299" s="122">
        <v>1973</v>
      </c>
      <c r="AM299">
        <v>731</v>
      </c>
      <c r="AN299" s="122">
        <v>2454</v>
      </c>
      <c r="AO299">
        <v>909</v>
      </c>
      <c r="AP299">
        <v>473</v>
      </c>
      <c r="AQ299">
        <v>175</v>
      </c>
      <c r="AR299" s="122">
        <v>5456</v>
      </c>
      <c r="AS299" s="122">
        <v>4960</v>
      </c>
      <c r="AT299">
        <v>0</v>
      </c>
      <c r="AU299">
        <v>0</v>
      </c>
      <c r="AV299" s="122">
        <v>13351</v>
      </c>
    </row>
    <row r="300" spans="2:48" ht="12.75" hidden="1" customHeight="1">
      <c r="B300" t="s">
        <v>365</v>
      </c>
      <c r="C300" t="s">
        <v>48</v>
      </c>
      <c r="F300">
        <v>37</v>
      </c>
      <c r="G300" s="122">
        <v>3780</v>
      </c>
      <c r="H300" s="122">
        <v>2597</v>
      </c>
      <c r="I300" s="122"/>
      <c r="J300" s="122">
        <v>0</v>
      </c>
      <c r="K300" s="122"/>
      <c r="L300" s="122"/>
      <c r="M300" s="122">
        <v>0</v>
      </c>
      <c r="N300" s="122">
        <v>46051</v>
      </c>
      <c r="O300" s="122">
        <v>17056</v>
      </c>
      <c r="P300" s="122">
        <v>12987</v>
      </c>
      <c r="Q300" s="122">
        <v>4810</v>
      </c>
      <c r="R300" s="122"/>
      <c r="S300" s="122">
        <v>0</v>
      </c>
      <c r="T300" s="122">
        <v>0</v>
      </c>
      <c r="U300" s="122">
        <v>0</v>
      </c>
      <c r="V300" s="122">
        <v>21866</v>
      </c>
      <c r="W300" s="122">
        <f t="shared" si="8"/>
        <v>21866</v>
      </c>
      <c r="X300" s="122">
        <f t="shared" si="9"/>
        <v>59038</v>
      </c>
      <c r="Y300" s="122"/>
      <c r="AA300" t="s">
        <v>54</v>
      </c>
      <c r="AB300" t="s">
        <v>137</v>
      </c>
      <c r="AC300" t="s">
        <v>580</v>
      </c>
      <c r="AD300" t="s">
        <v>137</v>
      </c>
      <c r="AE300" t="s">
        <v>137</v>
      </c>
      <c r="AF300">
        <v>1</v>
      </c>
      <c r="AG300">
        <v>93</v>
      </c>
      <c r="AH300">
        <v>126</v>
      </c>
      <c r="AI300" s="122">
        <v>4183</v>
      </c>
      <c r="AJ300" s="122">
        <v>1549</v>
      </c>
      <c r="AK300">
        <v>293</v>
      </c>
      <c r="AL300">
        <v>793</v>
      </c>
      <c r="AM300">
        <v>721</v>
      </c>
      <c r="AN300" s="122">
        <v>2255</v>
      </c>
      <c r="AO300">
        <v>835</v>
      </c>
      <c r="AP300">
        <v>621</v>
      </c>
      <c r="AQ300">
        <v>230</v>
      </c>
      <c r="AR300" s="122">
        <v>3825</v>
      </c>
      <c r="AS300" s="122">
        <v>1416</v>
      </c>
      <c r="AT300">
        <v>0</v>
      </c>
      <c r="AU300">
        <v>0</v>
      </c>
      <c r="AV300" s="122">
        <v>4752</v>
      </c>
    </row>
    <row r="301" spans="2:48" ht="12.75" hidden="1" customHeight="1">
      <c r="B301" t="s">
        <v>365</v>
      </c>
      <c r="C301" t="s">
        <v>48</v>
      </c>
      <c r="D301" t="s">
        <v>405</v>
      </c>
      <c r="E301" t="s">
        <v>405</v>
      </c>
      <c r="F301">
        <v>15</v>
      </c>
      <c r="G301" s="122">
        <v>1899</v>
      </c>
      <c r="H301" s="122">
        <v>923</v>
      </c>
      <c r="I301" s="122">
        <v>33213</v>
      </c>
      <c r="J301" s="122">
        <v>30194</v>
      </c>
      <c r="K301" s="122">
        <v>92</v>
      </c>
      <c r="L301" s="122">
        <v>4595</v>
      </c>
      <c r="M301" s="122">
        <v>4178</v>
      </c>
      <c r="N301" s="122">
        <v>26001</v>
      </c>
      <c r="O301" s="122">
        <v>9630</v>
      </c>
      <c r="P301" s="122">
        <v>21507</v>
      </c>
      <c r="Q301" s="122">
        <v>7966</v>
      </c>
      <c r="R301" s="122">
        <v>33264</v>
      </c>
      <c r="S301" s="122">
        <v>30240</v>
      </c>
      <c r="T301" s="122">
        <v>0</v>
      </c>
      <c r="U301" s="122">
        <v>0</v>
      </c>
      <c r="V301" s="122">
        <v>82207</v>
      </c>
      <c r="W301" s="122">
        <f t="shared" si="8"/>
        <v>82208</v>
      </c>
      <c r="X301" s="122">
        <f t="shared" si="9"/>
        <v>118580</v>
      </c>
      <c r="Y301" s="122"/>
      <c r="AA301" t="s">
        <v>54</v>
      </c>
      <c r="AB301" t="s">
        <v>137</v>
      </c>
      <c r="AC301" t="s">
        <v>580</v>
      </c>
      <c r="AD301" t="s">
        <v>137</v>
      </c>
      <c r="AE301" t="s">
        <v>566</v>
      </c>
      <c r="AF301">
        <v>3</v>
      </c>
      <c r="AG301">
        <v>286</v>
      </c>
      <c r="AH301">
        <v>393</v>
      </c>
      <c r="AI301" s="122">
        <v>14951</v>
      </c>
      <c r="AJ301" s="122">
        <v>5537</v>
      </c>
      <c r="AK301">
        <v>303</v>
      </c>
      <c r="AL301" s="122">
        <v>2484</v>
      </c>
      <c r="AM301" s="122">
        <v>2258</v>
      </c>
      <c r="AN301" s="122">
        <v>5306</v>
      </c>
      <c r="AO301" s="122">
        <v>1965</v>
      </c>
      <c r="AP301" s="122">
        <v>1242</v>
      </c>
      <c r="AQ301">
        <v>460</v>
      </c>
      <c r="AR301" s="122">
        <v>13453</v>
      </c>
      <c r="AS301" s="122">
        <v>4982</v>
      </c>
      <c r="AT301">
        <v>0</v>
      </c>
      <c r="AU301">
        <v>0</v>
      </c>
      <c r="AV301" s="122">
        <v>15203</v>
      </c>
    </row>
    <row r="302" spans="2:48" ht="12.75" hidden="1" customHeight="1">
      <c r="B302" t="s">
        <v>365</v>
      </c>
      <c r="C302" t="s">
        <v>48</v>
      </c>
      <c r="D302" t="s">
        <v>137</v>
      </c>
      <c r="E302" t="s">
        <v>137</v>
      </c>
      <c r="F302" s="122">
        <v>1269</v>
      </c>
      <c r="G302" s="122">
        <v>143666</v>
      </c>
      <c r="H302" s="122">
        <v>71038</v>
      </c>
      <c r="I302" s="122">
        <v>127890</v>
      </c>
      <c r="J302" s="122">
        <v>47367</v>
      </c>
      <c r="K302" s="122">
        <v>467</v>
      </c>
      <c r="L302" s="122">
        <v>51841</v>
      </c>
      <c r="M302" s="122">
        <v>50174</v>
      </c>
      <c r="N302" s="122">
        <v>1876137</v>
      </c>
      <c r="O302" s="122">
        <v>694865</v>
      </c>
      <c r="P302" s="122">
        <v>921619</v>
      </c>
      <c r="Q302" s="122">
        <v>341340</v>
      </c>
      <c r="R302" s="122">
        <v>5023331</v>
      </c>
      <c r="S302" s="122">
        <v>1860493</v>
      </c>
      <c r="T302" s="122">
        <v>0</v>
      </c>
      <c r="U302" s="122">
        <v>0</v>
      </c>
      <c r="V302" s="122">
        <v>2994239</v>
      </c>
      <c r="W302" s="122">
        <f t="shared" si="8"/>
        <v>2994239</v>
      </c>
      <c r="X302" s="122">
        <f t="shared" si="9"/>
        <v>8000818</v>
      </c>
      <c r="Y302" s="122"/>
      <c r="AA302" t="s">
        <v>54</v>
      </c>
      <c r="AB302" t="s">
        <v>137</v>
      </c>
      <c r="AC302" t="s">
        <v>427</v>
      </c>
      <c r="AD302" t="s">
        <v>137</v>
      </c>
      <c r="AE302" t="s">
        <v>566</v>
      </c>
      <c r="AF302">
        <v>8</v>
      </c>
      <c r="AG302">
        <v>508</v>
      </c>
      <c r="AH302" s="122">
        <v>1050</v>
      </c>
      <c r="AI302" s="122">
        <v>27339</v>
      </c>
      <c r="AJ302" s="122">
        <v>10126</v>
      </c>
      <c r="AK302">
        <v>382</v>
      </c>
      <c r="AL302" s="122">
        <v>5895</v>
      </c>
      <c r="AM302" s="122">
        <v>5359</v>
      </c>
      <c r="AN302" s="122">
        <v>8890</v>
      </c>
      <c r="AO302" s="122">
        <v>3293</v>
      </c>
      <c r="AP302" s="122">
        <v>3078</v>
      </c>
      <c r="AQ302" s="122">
        <v>1140</v>
      </c>
      <c r="AR302" s="122">
        <v>21098</v>
      </c>
      <c r="AS302" s="122">
        <v>7814</v>
      </c>
      <c r="AT302">
        <v>0</v>
      </c>
      <c r="AU302">
        <v>0</v>
      </c>
      <c r="AV302" s="122">
        <v>27732</v>
      </c>
    </row>
    <row r="303" spans="2:48" ht="12.75" hidden="1" customHeight="1">
      <c r="B303" t="s">
        <v>365</v>
      </c>
      <c r="C303" t="s">
        <v>48</v>
      </c>
      <c r="D303" t="s">
        <v>137</v>
      </c>
      <c r="E303" s="122" t="s">
        <v>407</v>
      </c>
      <c r="F303" s="122">
        <v>2</v>
      </c>
      <c r="G303" s="122">
        <v>164</v>
      </c>
      <c r="H303" s="122">
        <v>91</v>
      </c>
      <c r="I303" s="122">
        <v>1857</v>
      </c>
      <c r="J303" s="122">
        <v>688</v>
      </c>
      <c r="K303" s="122">
        <v>397</v>
      </c>
      <c r="L303" s="122">
        <v>280</v>
      </c>
      <c r="M303" s="122">
        <v>273</v>
      </c>
      <c r="N303" s="122">
        <v>1992</v>
      </c>
      <c r="O303" s="122">
        <v>738</v>
      </c>
      <c r="P303" s="122">
        <v>473</v>
      </c>
      <c r="Q303" s="122">
        <v>175</v>
      </c>
      <c r="R303" s="122">
        <v>3916</v>
      </c>
      <c r="S303" s="122">
        <v>3560</v>
      </c>
      <c r="T303" s="122">
        <v>0</v>
      </c>
      <c r="U303" s="122">
        <v>0</v>
      </c>
      <c r="V303" s="122">
        <v>5433</v>
      </c>
      <c r="W303" s="122">
        <f t="shared" si="8"/>
        <v>5434</v>
      </c>
      <c r="X303" s="122">
        <f t="shared" si="9"/>
        <v>8518</v>
      </c>
      <c r="Y303" s="122"/>
      <c r="AA303" t="s">
        <v>54</v>
      </c>
      <c r="AB303" t="s">
        <v>137</v>
      </c>
      <c r="AC303" t="s">
        <v>407</v>
      </c>
      <c r="AD303" t="s">
        <v>137</v>
      </c>
      <c r="AE303" t="s">
        <v>137</v>
      </c>
      <c r="AF303">
        <v>1</v>
      </c>
      <c r="AG303">
        <v>281</v>
      </c>
      <c r="AH303">
        <v>134</v>
      </c>
      <c r="AI303" s="122">
        <v>28847</v>
      </c>
      <c r="AJ303" s="122">
        <v>10684</v>
      </c>
      <c r="AK303">
        <v>250</v>
      </c>
      <c r="AL303" s="122">
        <v>2705</v>
      </c>
      <c r="AM303" s="122">
        <v>2459</v>
      </c>
      <c r="AN303" s="122">
        <v>3427</v>
      </c>
      <c r="AO303" s="122">
        <v>1269</v>
      </c>
      <c r="AP303">
        <v>473</v>
      </c>
      <c r="AQ303">
        <v>175</v>
      </c>
      <c r="AR303" s="122">
        <v>2208</v>
      </c>
      <c r="AS303">
        <v>818</v>
      </c>
      <c r="AT303">
        <v>0</v>
      </c>
      <c r="AU303">
        <v>0</v>
      </c>
      <c r="AV303" s="122">
        <v>15406</v>
      </c>
    </row>
    <row r="304" spans="2:48" ht="12.75" hidden="1" customHeight="1">
      <c r="B304" t="s">
        <v>365</v>
      </c>
      <c r="C304" t="s">
        <v>48</v>
      </c>
      <c r="D304" t="s">
        <v>406</v>
      </c>
      <c r="E304" t="s">
        <v>406</v>
      </c>
      <c r="F304" s="122">
        <v>50</v>
      </c>
      <c r="G304" s="122">
        <v>5897</v>
      </c>
      <c r="H304" s="122">
        <v>2917</v>
      </c>
      <c r="I304" s="122">
        <v>91073</v>
      </c>
      <c r="J304" s="122">
        <v>82793</v>
      </c>
      <c r="K304" s="122">
        <v>95</v>
      </c>
      <c r="L304" s="122">
        <v>13100</v>
      </c>
      <c r="M304" s="122">
        <v>11642</v>
      </c>
      <c r="N304" s="122">
        <v>72130</v>
      </c>
      <c r="O304" s="122">
        <v>26715</v>
      </c>
      <c r="P304" s="122">
        <v>39634</v>
      </c>
      <c r="Q304" s="122">
        <v>14679</v>
      </c>
      <c r="R304" s="122">
        <v>128928</v>
      </c>
      <c r="S304" s="122">
        <v>117208</v>
      </c>
      <c r="T304" s="122">
        <v>0</v>
      </c>
      <c r="U304" s="122">
        <v>0</v>
      </c>
      <c r="V304" s="122">
        <v>253037</v>
      </c>
      <c r="W304" s="122">
        <f t="shared" si="8"/>
        <v>253037</v>
      </c>
      <c r="X304" s="122">
        <f t="shared" si="9"/>
        <v>344865</v>
      </c>
      <c r="Y304" s="122"/>
      <c r="AA304" t="s">
        <v>54</v>
      </c>
      <c r="AB304" t="s">
        <v>137</v>
      </c>
      <c r="AC304" t="s">
        <v>407</v>
      </c>
      <c r="AD304" t="s">
        <v>137</v>
      </c>
      <c r="AE304" t="s">
        <v>566</v>
      </c>
      <c r="AF304">
        <v>5</v>
      </c>
      <c r="AG304">
        <v>625</v>
      </c>
      <c r="AH304">
        <v>686</v>
      </c>
      <c r="AI304" s="122">
        <v>33321</v>
      </c>
      <c r="AJ304" s="122">
        <v>12341</v>
      </c>
      <c r="AK304">
        <v>306</v>
      </c>
      <c r="AL304" s="122">
        <v>7743</v>
      </c>
      <c r="AM304" s="122">
        <v>7039</v>
      </c>
      <c r="AN304" s="122">
        <v>11884</v>
      </c>
      <c r="AO304" s="122">
        <v>4401</v>
      </c>
      <c r="AP304" s="122">
        <v>4045</v>
      </c>
      <c r="AQ304" s="122">
        <v>1498</v>
      </c>
      <c r="AR304" s="122">
        <v>27011</v>
      </c>
      <c r="AS304" s="122">
        <v>10004</v>
      </c>
      <c r="AT304">
        <v>0</v>
      </c>
      <c r="AU304">
        <v>0</v>
      </c>
      <c r="AV304" s="122">
        <v>35284</v>
      </c>
    </row>
    <row r="305" spans="2:48" ht="12.75" hidden="1" customHeight="1">
      <c r="B305" t="s">
        <v>365</v>
      </c>
      <c r="C305" t="s">
        <v>48</v>
      </c>
      <c r="D305" t="s">
        <v>407</v>
      </c>
      <c r="E305" t="s">
        <v>137</v>
      </c>
      <c r="F305">
        <v>1</v>
      </c>
      <c r="G305" s="122">
        <v>378</v>
      </c>
      <c r="H305" s="122">
        <v>73</v>
      </c>
      <c r="I305" s="122">
        <v>11778</v>
      </c>
      <c r="J305" s="122">
        <v>10707</v>
      </c>
      <c r="K305" s="122">
        <v>93</v>
      </c>
      <c r="L305" s="122">
        <v>1980</v>
      </c>
      <c r="M305" s="122">
        <v>1800</v>
      </c>
      <c r="N305" s="122">
        <v>4606</v>
      </c>
      <c r="O305" s="122">
        <v>1706</v>
      </c>
      <c r="P305" s="122">
        <v>4016</v>
      </c>
      <c r="Q305" s="122">
        <v>1487</v>
      </c>
      <c r="R305" s="122">
        <v>5337</v>
      </c>
      <c r="S305" s="122">
        <v>1977</v>
      </c>
      <c r="T305" s="122">
        <v>0</v>
      </c>
      <c r="U305" s="122">
        <v>0</v>
      </c>
      <c r="V305" s="122">
        <v>17677</v>
      </c>
      <c r="W305" s="122">
        <f t="shared" si="8"/>
        <v>17677</v>
      </c>
      <c r="X305" s="122">
        <f t="shared" si="9"/>
        <v>27717</v>
      </c>
      <c r="Y305" s="122"/>
      <c r="AA305" t="s">
        <v>54</v>
      </c>
      <c r="AB305" t="s">
        <v>137</v>
      </c>
      <c r="AC305" t="s">
        <v>579</v>
      </c>
      <c r="AD305" t="s">
        <v>137</v>
      </c>
      <c r="AE305" t="s">
        <v>137</v>
      </c>
      <c r="AF305">
        <v>2</v>
      </c>
      <c r="AG305">
        <v>174</v>
      </c>
      <c r="AH305">
        <v>275</v>
      </c>
      <c r="AI305" s="122">
        <v>9384</v>
      </c>
      <c r="AJ305" s="122">
        <v>3475</v>
      </c>
      <c r="AK305">
        <v>291</v>
      </c>
      <c r="AL305" s="122">
        <v>2624</v>
      </c>
      <c r="AM305" s="122">
        <v>2187</v>
      </c>
      <c r="AN305" s="122">
        <v>3545</v>
      </c>
      <c r="AO305" s="122">
        <v>1313</v>
      </c>
      <c r="AP305">
        <v>351</v>
      </c>
      <c r="AQ305">
        <v>130</v>
      </c>
      <c r="AR305" s="122">
        <v>8080</v>
      </c>
      <c r="AS305" s="122">
        <v>2992</v>
      </c>
      <c r="AT305">
        <v>0</v>
      </c>
      <c r="AU305">
        <v>0</v>
      </c>
      <c r="AV305" s="122">
        <v>10097</v>
      </c>
    </row>
    <row r="306" spans="2:48" ht="12.75" hidden="1" customHeight="1">
      <c r="B306" t="s">
        <v>365</v>
      </c>
      <c r="C306" t="s">
        <v>48</v>
      </c>
      <c r="D306" t="s">
        <v>407</v>
      </c>
      <c r="E306" t="s">
        <v>407</v>
      </c>
      <c r="F306" s="122">
        <v>1207</v>
      </c>
      <c r="G306" s="122">
        <v>135591</v>
      </c>
      <c r="H306" s="122">
        <v>70554</v>
      </c>
      <c r="I306" s="122">
        <v>1682138</v>
      </c>
      <c r="J306" s="122">
        <v>1529217</v>
      </c>
      <c r="K306" s="122">
        <v>91</v>
      </c>
      <c r="L306" s="122">
        <v>218665</v>
      </c>
      <c r="M306" s="122">
        <v>185686</v>
      </c>
      <c r="N306" s="122">
        <v>1729920</v>
      </c>
      <c r="O306" s="122">
        <v>640711</v>
      </c>
      <c r="P306" s="122">
        <v>1073730</v>
      </c>
      <c r="Q306" s="122">
        <v>397678</v>
      </c>
      <c r="R306" s="122">
        <v>3179696</v>
      </c>
      <c r="S306" s="122">
        <v>2890633</v>
      </c>
      <c r="T306" s="122">
        <v>0</v>
      </c>
      <c r="U306" s="122">
        <v>0</v>
      </c>
      <c r="V306" s="122">
        <v>5643924</v>
      </c>
      <c r="W306" s="122">
        <f t="shared" si="8"/>
        <v>5643925</v>
      </c>
      <c r="X306" s="122">
        <f t="shared" si="9"/>
        <v>7884149</v>
      </c>
      <c r="Y306" s="122"/>
      <c r="AA306" t="s">
        <v>54</v>
      </c>
      <c r="AB306" t="s">
        <v>137</v>
      </c>
      <c r="AC306" t="s">
        <v>579</v>
      </c>
      <c r="AD306" t="s">
        <v>137</v>
      </c>
      <c r="AE306" t="s">
        <v>566</v>
      </c>
      <c r="AF306">
        <v>79</v>
      </c>
      <c r="AG306" s="122">
        <v>7573</v>
      </c>
      <c r="AH306" s="122">
        <v>10929</v>
      </c>
      <c r="AI306" s="122">
        <v>384173</v>
      </c>
      <c r="AJ306" s="122">
        <v>142286</v>
      </c>
      <c r="AK306">
        <v>303</v>
      </c>
      <c r="AL306" s="122">
        <v>115864</v>
      </c>
      <c r="AM306" s="122">
        <v>96553</v>
      </c>
      <c r="AN306" s="122">
        <v>115538</v>
      </c>
      <c r="AO306" s="122">
        <v>42792</v>
      </c>
      <c r="AP306" s="122">
        <v>26040</v>
      </c>
      <c r="AQ306" s="122">
        <v>9644</v>
      </c>
      <c r="AR306" s="122">
        <v>412480</v>
      </c>
      <c r="AS306" s="122">
        <v>152770</v>
      </c>
      <c r="AT306">
        <v>0</v>
      </c>
      <c r="AU306">
        <v>0</v>
      </c>
      <c r="AV306" s="122">
        <v>444046</v>
      </c>
    </row>
    <row r="307" spans="2:48" ht="12.75" hidden="1" customHeight="1">
      <c r="B307" t="s">
        <v>365</v>
      </c>
      <c r="C307" t="s">
        <v>48</v>
      </c>
      <c r="D307" t="s">
        <v>429</v>
      </c>
      <c r="E307" t="s">
        <v>429</v>
      </c>
      <c r="F307">
        <v>1</v>
      </c>
      <c r="G307" s="122">
        <v>102</v>
      </c>
      <c r="H307" s="122">
        <v>74</v>
      </c>
      <c r="I307" s="122">
        <v>3773</v>
      </c>
      <c r="J307" s="122">
        <v>3430</v>
      </c>
      <c r="K307" s="122">
        <v>92</v>
      </c>
      <c r="L307" s="122">
        <v>0</v>
      </c>
      <c r="M307" s="122">
        <v>0</v>
      </c>
      <c r="N307" s="122">
        <v>1243</v>
      </c>
      <c r="O307" s="122">
        <v>460</v>
      </c>
      <c r="P307" s="122">
        <v>351</v>
      </c>
      <c r="Q307" s="122">
        <v>130</v>
      </c>
      <c r="R307" s="122">
        <v>2161</v>
      </c>
      <c r="S307" s="122">
        <v>1965</v>
      </c>
      <c r="T307" s="122">
        <v>0</v>
      </c>
      <c r="U307" s="122">
        <v>0</v>
      </c>
      <c r="V307" s="122">
        <v>5985</v>
      </c>
      <c r="W307" s="122">
        <f t="shared" si="8"/>
        <v>5985</v>
      </c>
      <c r="X307" s="122">
        <f t="shared" si="9"/>
        <v>7528</v>
      </c>
      <c r="Y307" s="122"/>
      <c r="AA307" t="s">
        <v>54</v>
      </c>
      <c r="AB307" t="s">
        <v>137</v>
      </c>
      <c r="AC307" t="s">
        <v>579</v>
      </c>
      <c r="AD307" t="s">
        <v>407</v>
      </c>
      <c r="AE307" t="s">
        <v>566</v>
      </c>
      <c r="AF307">
        <v>1</v>
      </c>
      <c r="AG307">
        <v>234</v>
      </c>
      <c r="AH307">
        <v>142</v>
      </c>
      <c r="AI307" s="122">
        <v>22287</v>
      </c>
      <c r="AJ307" s="122">
        <v>8254</v>
      </c>
      <c r="AK307">
        <v>100</v>
      </c>
      <c r="AL307" s="122">
        <v>3669</v>
      </c>
      <c r="AM307" s="122">
        <v>3057</v>
      </c>
      <c r="AN307" s="122">
        <v>4355</v>
      </c>
      <c r="AO307" s="122">
        <v>1613</v>
      </c>
      <c r="AP307">
        <v>0</v>
      </c>
      <c r="AQ307">
        <v>0</v>
      </c>
      <c r="AR307" s="122">
        <v>5830</v>
      </c>
      <c r="AS307" s="122">
        <v>5300</v>
      </c>
      <c r="AT307">
        <v>0</v>
      </c>
      <c r="AU307">
        <v>0</v>
      </c>
      <c r="AV307" s="122">
        <v>18225</v>
      </c>
    </row>
    <row r="308" spans="2:48" ht="12.75" hidden="1" customHeight="1">
      <c r="B308" t="s">
        <v>365</v>
      </c>
      <c r="C308" t="s">
        <v>50</v>
      </c>
      <c r="F308" s="122">
        <v>9</v>
      </c>
      <c r="G308" s="122">
        <v>841</v>
      </c>
      <c r="H308" s="122">
        <v>816</v>
      </c>
      <c r="I308" s="122"/>
      <c r="J308" s="122">
        <v>0</v>
      </c>
      <c r="K308" s="122"/>
      <c r="L308" s="122"/>
      <c r="M308" s="122">
        <v>0</v>
      </c>
      <c r="N308" s="122">
        <v>10247</v>
      </c>
      <c r="O308" s="122">
        <v>3795</v>
      </c>
      <c r="P308" s="122">
        <v>3159</v>
      </c>
      <c r="Q308" s="122">
        <v>1170</v>
      </c>
      <c r="R308" s="122"/>
      <c r="S308" s="122">
        <v>0</v>
      </c>
      <c r="T308" s="122">
        <v>0</v>
      </c>
      <c r="U308" s="122">
        <v>0</v>
      </c>
      <c r="V308" s="122">
        <v>4965</v>
      </c>
      <c r="W308" s="122">
        <f t="shared" si="8"/>
        <v>4965</v>
      </c>
      <c r="X308" s="122">
        <f t="shared" si="9"/>
        <v>13406</v>
      </c>
      <c r="Y308" s="122"/>
      <c r="AA308" t="s">
        <v>54</v>
      </c>
      <c r="AB308" t="s">
        <v>137</v>
      </c>
      <c r="AC308" t="s">
        <v>426</v>
      </c>
      <c r="AD308" t="s">
        <v>137</v>
      </c>
      <c r="AE308" t="s">
        <v>137</v>
      </c>
      <c r="AF308">
        <v>7</v>
      </c>
      <c r="AG308">
        <v>946</v>
      </c>
      <c r="AH308">
        <v>969</v>
      </c>
      <c r="AI308" s="122">
        <v>55080</v>
      </c>
      <c r="AJ308" s="122">
        <v>20400</v>
      </c>
      <c r="AK308">
        <v>389</v>
      </c>
      <c r="AL308" s="122">
        <v>24045</v>
      </c>
      <c r="AM308" s="122">
        <v>21859</v>
      </c>
      <c r="AN308" s="122">
        <v>19427</v>
      </c>
      <c r="AO308" s="122">
        <v>7195</v>
      </c>
      <c r="AP308" s="122">
        <v>2457</v>
      </c>
      <c r="AQ308">
        <v>910</v>
      </c>
      <c r="AR308" s="122">
        <v>39360</v>
      </c>
      <c r="AS308" s="122">
        <v>14578</v>
      </c>
      <c r="AT308" s="122">
        <v>3775</v>
      </c>
      <c r="AU308" s="122">
        <v>1398</v>
      </c>
      <c r="AV308" s="122">
        <v>66339</v>
      </c>
    </row>
    <row r="309" spans="2:48" ht="12.75" hidden="1" customHeight="1">
      <c r="B309" t="s">
        <v>365</v>
      </c>
      <c r="C309" t="s">
        <v>50</v>
      </c>
      <c r="D309" t="s">
        <v>405</v>
      </c>
      <c r="E309" t="s">
        <v>405</v>
      </c>
      <c r="F309" s="122">
        <v>10</v>
      </c>
      <c r="G309" s="122">
        <v>1324</v>
      </c>
      <c r="H309" s="122">
        <v>939</v>
      </c>
      <c r="I309" s="122">
        <v>60290</v>
      </c>
      <c r="J309" s="122">
        <v>54809</v>
      </c>
      <c r="K309" s="122">
        <v>91</v>
      </c>
      <c r="L309" s="122">
        <v>12438</v>
      </c>
      <c r="M309" s="122">
        <v>10915</v>
      </c>
      <c r="N309" s="122">
        <v>18009</v>
      </c>
      <c r="O309" s="122">
        <v>6670</v>
      </c>
      <c r="P309" s="122">
        <v>4604</v>
      </c>
      <c r="Q309" s="122">
        <v>1705</v>
      </c>
      <c r="R309" s="122">
        <v>28843</v>
      </c>
      <c r="S309" s="122">
        <v>26221</v>
      </c>
      <c r="T309" s="122">
        <v>0</v>
      </c>
      <c r="U309" s="122">
        <v>0</v>
      </c>
      <c r="V309" s="122">
        <v>100320</v>
      </c>
      <c r="W309" s="122">
        <f t="shared" si="8"/>
        <v>100320</v>
      </c>
      <c r="X309" s="122">
        <f t="shared" si="9"/>
        <v>124184</v>
      </c>
      <c r="Y309" s="122"/>
      <c r="AA309" t="s">
        <v>54</v>
      </c>
      <c r="AB309" t="s">
        <v>137</v>
      </c>
      <c r="AC309" t="s">
        <v>426</v>
      </c>
      <c r="AD309" t="s">
        <v>137</v>
      </c>
      <c r="AE309" t="s">
        <v>566</v>
      </c>
      <c r="AF309">
        <v>122</v>
      </c>
      <c r="AG309" s="122">
        <v>10596</v>
      </c>
      <c r="AH309" s="122">
        <v>17027</v>
      </c>
      <c r="AI309" s="122">
        <v>432140</v>
      </c>
      <c r="AJ309" s="122">
        <v>160052</v>
      </c>
      <c r="AK309">
        <v>346</v>
      </c>
      <c r="AL309" s="122">
        <v>123850</v>
      </c>
      <c r="AM309" s="122">
        <v>112591</v>
      </c>
      <c r="AN309" s="122">
        <v>159304</v>
      </c>
      <c r="AO309" s="122">
        <v>59001</v>
      </c>
      <c r="AP309" s="122">
        <v>65868</v>
      </c>
      <c r="AQ309" s="122">
        <v>24395</v>
      </c>
      <c r="AR309" s="122">
        <v>712244</v>
      </c>
      <c r="AS309" s="122">
        <v>263794</v>
      </c>
      <c r="AT309">
        <v>0</v>
      </c>
      <c r="AU309">
        <v>0</v>
      </c>
      <c r="AV309" s="122">
        <v>619833</v>
      </c>
    </row>
    <row r="310" spans="2:48" ht="12.75" hidden="1" customHeight="1">
      <c r="B310" t="s">
        <v>365</v>
      </c>
      <c r="C310" t="s">
        <v>50</v>
      </c>
      <c r="D310" t="s">
        <v>137</v>
      </c>
      <c r="E310" t="s">
        <v>137</v>
      </c>
      <c r="F310" s="122">
        <v>143</v>
      </c>
      <c r="G310" s="122">
        <v>12729</v>
      </c>
      <c r="H310" s="122">
        <v>12814</v>
      </c>
      <c r="I310" s="122">
        <v>268524</v>
      </c>
      <c r="J310" s="122">
        <v>99453</v>
      </c>
      <c r="K310" s="122">
        <v>391</v>
      </c>
      <c r="L310" s="122">
        <v>71410</v>
      </c>
      <c r="M310" s="122">
        <v>63426</v>
      </c>
      <c r="N310" s="122">
        <v>199669</v>
      </c>
      <c r="O310" s="122">
        <v>73952</v>
      </c>
      <c r="P310" s="122">
        <v>65158</v>
      </c>
      <c r="Q310" s="122">
        <v>24133</v>
      </c>
      <c r="R310" s="122">
        <v>530521</v>
      </c>
      <c r="S310" s="122">
        <v>196489</v>
      </c>
      <c r="T310" s="122">
        <v>0</v>
      </c>
      <c r="U310" s="122">
        <v>0</v>
      </c>
      <c r="V310" s="122">
        <v>457453</v>
      </c>
      <c r="W310" s="122">
        <f t="shared" si="8"/>
        <v>457453</v>
      </c>
      <c r="X310" s="122">
        <f t="shared" si="9"/>
        <v>1135282</v>
      </c>
      <c r="Y310" s="122"/>
      <c r="AA310" t="s">
        <v>54</v>
      </c>
      <c r="AB310" t="s">
        <v>137</v>
      </c>
      <c r="AC310" t="s">
        <v>566</v>
      </c>
      <c r="AD310" t="s">
        <v>137</v>
      </c>
      <c r="AE310" t="s">
        <v>137</v>
      </c>
      <c r="AF310">
        <v>2</v>
      </c>
      <c r="AG310">
        <v>124</v>
      </c>
      <c r="AH310">
        <v>267</v>
      </c>
      <c r="AI310" s="122">
        <v>8206</v>
      </c>
      <c r="AJ310" s="122">
        <v>3039</v>
      </c>
      <c r="AK310">
        <v>250</v>
      </c>
      <c r="AL310">
        <v>0</v>
      </c>
      <c r="AM310">
        <v>0</v>
      </c>
      <c r="AN310" s="122">
        <v>1758</v>
      </c>
      <c r="AO310">
        <v>651</v>
      </c>
      <c r="AP310">
        <v>0</v>
      </c>
      <c r="AQ310">
        <v>0</v>
      </c>
      <c r="AR310" s="122">
        <v>2933</v>
      </c>
      <c r="AS310" s="122">
        <v>1086</v>
      </c>
      <c r="AT310" s="122">
        <v>3611</v>
      </c>
      <c r="AU310" s="122">
        <v>1337</v>
      </c>
      <c r="AV310" s="122">
        <v>6114</v>
      </c>
    </row>
    <row r="311" spans="2:48" ht="12.75" hidden="1" customHeight="1">
      <c r="B311" t="s">
        <v>365</v>
      </c>
      <c r="C311" t="s">
        <v>50</v>
      </c>
      <c r="D311" t="s">
        <v>406</v>
      </c>
      <c r="E311" t="s">
        <v>406</v>
      </c>
      <c r="F311">
        <v>32</v>
      </c>
      <c r="G311" s="122">
        <v>3719</v>
      </c>
      <c r="H311" s="122">
        <v>2981</v>
      </c>
      <c r="I311" s="122">
        <v>156771</v>
      </c>
      <c r="J311" s="122">
        <v>142519</v>
      </c>
      <c r="K311" s="122">
        <v>94</v>
      </c>
      <c r="L311" s="122">
        <v>25874</v>
      </c>
      <c r="M311" s="122">
        <v>25852</v>
      </c>
      <c r="N311" s="122">
        <v>52651</v>
      </c>
      <c r="O311" s="122">
        <v>19500</v>
      </c>
      <c r="P311" s="122">
        <v>27640</v>
      </c>
      <c r="Q311" s="122">
        <v>10237</v>
      </c>
      <c r="R311" s="122">
        <v>90135</v>
      </c>
      <c r="S311" s="122">
        <v>81941</v>
      </c>
      <c r="T311" s="122">
        <v>0</v>
      </c>
      <c r="U311" s="122">
        <v>0</v>
      </c>
      <c r="V311" s="122">
        <v>280050</v>
      </c>
      <c r="W311" s="122">
        <f t="shared" si="8"/>
        <v>280049</v>
      </c>
      <c r="X311" s="122">
        <f t="shared" si="9"/>
        <v>353071</v>
      </c>
      <c r="Y311" s="122"/>
      <c r="AA311" t="s">
        <v>54</v>
      </c>
      <c r="AB311" t="s">
        <v>137</v>
      </c>
      <c r="AC311" t="s">
        <v>566</v>
      </c>
      <c r="AD311" t="s">
        <v>137</v>
      </c>
      <c r="AE311" t="s">
        <v>566</v>
      </c>
      <c r="AF311">
        <v>65</v>
      </c>
      <c r="AG311" s="122">
        <v>5462</v>
      </c>
      <c r="AH311" s="122">
        <v>9307</v>
      </c>
      <c r="AI311" s="122">
        <v>383490</v>
      </c>
      <c r="AJ311" s="122">
        <v>142033</v>
      </c>
      <c r="AK311">
        <v>283</v>
      </c>
      <c r="AL311">
        <v>0</v>
      </c>
      <c r="AM311">
        <v>0</v>
      </c>
      <c r="AN311" s="122">
        <v>114458</v>
      </c>
      <c r="AO311" s="122">
        <v>42392</v>
      </c>
      <c r="AP311" s="122">
        <v>57207</v>
      </c>
      <c r="AQ311" s="122">
        <v>21188</v>
      </c>
      <c r="AR311" s="122">
        <v>246002</v>
      </c>
      <c r="AS311" s="122">
        <v>91112</v>
      </c>
      <c r="AT311">
        <v>0</v>
      </c>
      <c r="AU311">
        <v>0</v>
      </c>
      <c r="AV311" s="122">
        <v>296725</v>
      </c>
    </row>
    <row r="312" spans="2:48" ht="12.75" hidden="1" customHeight="1">
      <c r="B312" t="s">
        <v>365</v>
      </c>
      <c r="C312" t="s">
        <v>50</v>
      </c>
      <c r="D312" t="s">
        <v>406</v>
      </c>
      <c r="E312" t="s">
        <v>427</v>
      </c>
      <c r="F312" s="122">
        <v>3</v>
      </c>
      <c r="G312" s="122">
        <v>255</v>
      </c>
      <c r="H312" s="122">
        <v>288</v>
      </c>
      <c r="I312" s="122">
        <v>11077</v>
      </c>
      <c r="J312" s="122">
        <v>10070</v>
      </c>
      <c r="K312" s="122">
        <v>93</v>
      </c>
      <c r="L312" s="122">
        <v>1916</v>
      </c>
      <c r="M312" s="122">
        <v>1742</v>
      </c>
      <c r="N312" s="122">
        <v>3111</v>
      </c>
      <c r="O312" s="122">
        <v>1152</v>
      </c>
      <c r="P312" s="122">
        <v>4045</v>
      </c>
      <c r="Q312" s="122">
        <v>1498</v>
      </c>
      <c r="R312" s="122">
        <v>4369</v>
      </c>
      <c r="S312" s="122">
        <v>3972</v>
      </c>
      <c r="T312" s="122">
        <v>0</v>
      </c>
      <c r="U312" s="122">
        <v>0</v>
      </c>
      <c r="V312" s="122">
        <v>18434</v>
      </c>
      <c r="W312" s="122">
        <f t="shared" si="8"/>
        <v>18434</v>
      </c>
      <c r="X312" s="122">
        <f t="shared" si="9"/>
        <v>24518</v>
      </c>
      <c r="Y312" s="122"/>
      <c r="AA312" t="s">
        <v>54</v>
      </c>
      <c r="AB312" t="s">
        <v>137</v>
      </c>
      <c r="AC312" t="s">
        <v>433</v>
      </c>
      <c r="AD312" t="s">
        <v>137</v>
      </c>
      <c r="AE312" t="s">
        <v>137</v>
      </c>
      <c r="AF312">
        <v>3</v>
      </c>
      <c r="AG312">
        <v>457</v>
      </c>
      <c r="AH312">
        <v>418</v>
      </c>
      <c r="AI312" s="122">
        <v>22793</v>
      </c>
      <c r="AJ312" s="122">
        <v>8442</v>
      </c>
      <c r="AK312">
        <v>250</v>
      </c>
      <c r="AL312" s="122">
        <v>4735</v>
      </c>
      <c r="AM312" s="122">
        <v>4305</v>
      </c>
      <c r="AN312" s="122">
        <v>6218</v>
      </c>
      <c r="AO312" s="122">
        <v>2303</v>
      </c>
      <c r="AP312" s="122">
        <v>8678</v>
      </c>
      <c r="AQ312" s="122">
        <v>3214</v>
      </c>
      <c r="AR312" s="122">
        <v>21283</v>
      </c>
      <c r="AS312" s="122">
        <v>7883</v>
      </c>
      <c r="AT312">
        <v>0</v>
      </c>
      <c r="AU312">
        <v>0</v>
      </c>
      <c r="AV312" s="122">
        <v>26146</v>
      </c>
    </row>
    <row r="313" spans="2:48" ht="12.75" hidden="1" customHeight="1">
      <c r="B313" t="s">
        <v>365</v>
      </c>
      <c r="C313" t="s">
        <v>50</v>
      </c>
      <c r="D313" t="s">
        <v>407</v>
      </c>
      <c r="E313" t="s">
        <v>407</v>
      </c>
      <c r="F313">
        <v>335</v>
      </c>
      <c r="G313" s="122">
        <v>37418</v>
      </c>
      <c r="H313" s="122">
        <v>30217</v>
      </c>
      <c r="I313" s="122">
        <v>1482818</v>
      </c>
      <c r="J313" s="122">
        <v>1348016</v>
      </c>
      <c r="K313" s="122">
        <v>91</v>
      </c>
      <c r="L313" s="122">
        <v>291439</v>
      </c>
      <c r="M313" s="122">
        <v>261583</v>
      </c>
      <c r="N313" s="122">
        <v>513337</v>
      </c>
      <c r="O313" s="122">
        <v>190125</v>
      </c>
      <c r="P313" s="122">
        <v>184833</v>
      </c>
      <c r="Q313" s="122">
        <v>68457</v>
      </c>
      <c r="R313" s="122">
        <v>917398</v>
      </c>
      <c r="S313" s="122">
        <v>833998</v>
      </c>
      <c r="T313" s="122">
        <v>-2906</v>
      </c>
      <c r="U313" s="122">
        <v>-1076</v>
      </c>
      <c r="V313" s="122">
        <v>2701103</v>
      </c>
      <c r="W313" s="122">
        <f t="shared" si="8"/>
        <v>2703255</v>
      </c>
      <c r="X313" s="122">
        <f t="shared" si="9"/>
        <v>3392731</v>
      </c>
      <c r="Y313" s="122"/>
      <c r="AA313" t="s">
        <v>54</v>
      </c>
      <c r="AB313" t="s">
        <v>137</v>
      </c>
      <c r="AC313" t="s">
        <v>433</v>
      </c>
      <c r="AD313" t="s">
        <v>137</v>
      </c>
      <c r="AE313" t="s">
        <v>566</v>
      </c>
      <c r="AF313">
        <v>41</v>
      </c>
      <c r="AG313" s="122">
        <v>2484</v>
      </c>
      <c r="AH313" s="122">
        <v>5696</v>
      </c>
      <c r="AI313" s="122">
        <v>72905</v>
      </c>
      <c r="AJ313" s="122">
        <v>27002</v>
      </c>
      <c r="AK313">
        <v>366</v>
      </c>
      <c r="AL313" s="122">
        <v>14900</v>
      </c>
      <c r="AM313" s="122">
        <v>13546</v>
      </c>
      <c r="AN313" s="122">
        <v>42963</v>
      </c>
      <c r="AO313" s="122">
        <v>15912</v>
      </c>
      <c r="AP313" s="122">
        <v>16100</v>
      </c>
      <c r="AQ313" s="122">
        <v>5963</v>
      </c>
      <c r="AR313" s="122">
        <v>197763</v>
      </c>
      <c r="AS313" s="122">
        <v>73245</v>
      </c>
      <c r="AT313">
        <v>0</v>
      </c>
      <c r="AU313">
        <v>0</v>
      </c>
      <c r="AV313" s="122">
        <v>135669</v>
      </c>
    </row>
    <row r="314" spans="2:48" ht="12.75" hidden="1" customHeight="1">
      <c r="B314" t="s">
        <v>365</v>
      </c>
      <c r="C314" t="s">
        <v>50</v>
      </c>
      <c r="D314" t="s">
        <v>408</v>
      </c>
      <c r="E314" t="s">
        <v>408</v>
      </c>
      <c r="F314">
        <v>23</v>
      </c>
      <c r="G314" s="122">
        <v>2174</v>
      </c>
      <c r="H314" s="122">
        <v>2036</v>
      </c>
      <c r="I314" s="122">
        <v>106184</v>
      </c>
      <c r="J314" s="122">
        <v>96531</v>
      </c>
      <c r="K314" s="122">
        <v>94</v>
      </c>
      <c r="L314" s="122">
        <v>0</v>
      </c>
      <c r="M314" s="122">
        <v>0</v>
      </c>
      <c r="N314" s="122">
        <v>26492</v>
      </c>
      <c r="O314" s="122">
        <v>9812</v>
      </c>
      <c r="P314" s="122">
        <v>35555</v>
      </c>
      <c r="Q314" s="122">
        <v>13169</v>
      </c>
      <c r="R314" s="122">
        <v>23987</v>
      </c>
      <c r="S314" s="122">
        <v>21807</v>
      </c>
      <c r="T314" s="122">
        <v>0</v>
      </c>
      <c r="U314" s="122">
        <v>0</v>
      </c>
      <c r="V314" s="122">
        <v>141318</v>
      </c>
      <c r="W314" s="122">
        <f t="shared" si="8"/>
        <v>141319</v>
      </c>
      <c r="X314" s="122">
        <f t="shared" si="9"/>
        <v>192218</v>
      </c>
      <c r="Y314" s="122"/>
      <c r="AA314" t="s">
        <v>54</v>
      </c>
      <c r="AB314" t="s">
        <v>137</v>
      </c>
      <c r="AC314" t="s">
        <v>429</v>
      </c>
      <c r="AD314" t="s">
        <v>137</v>
      </c>
      <c r="AE314" t="s">
        <v>566</v>
      </c>
      <c r="AF314">
        <v>1</v>
      </c>
      <c r="AG314">
        <v>155</v>
      </c>
      <c r="AH314">
        <v>141</v>
      </c>
      <c r="AI314" s="122">
        <v>14560</v>
      </c>
      <c r="AJ314" s="122">
        <v>5393</v>
      </c>
      <c r="AK314">
        <v>250</v>
      </c>
      <c r="AL314" s="122">
        <v>1775</v>
      </c>
      <c r="AM314" s="122">
        <v>1613</v>
      </c>
      <c r="AN314" s="122">
        <v>4033</v>
      </c>
      <c r="AO314" s="122">
        <v>1494</v>
      </c>
      <c r="AP314">
        <v>351</v>
      </c>
      <c r="AQ314">
        <v>130</v>
      </c>
      <c r="AR314" s="122">
        <v>3363</v>
      </c>
      <c r="AS314" s="122">
        <v>1246</v>
      </c>
      <c r="AT314">
        <v>0</v>
      </c>
      <c r="AU314">
        <v>0</v>
      </c>
      <c r="AV314" s="122">
        <v>9875</v>
      </c>
    </row>
    <row r="315" spans="2:48" ht="12.75" hidden="1" customHeight="1">
      <c r="B315" t="s">
        <v>365</v>
      </c>
      <c r="C315" t="s">
        <v>50</v>
      </c>
      <c r="D315" t="s">
        <v>429</v>
      </c>
      <c r="E315" s="122" t="s">
        <v>429</v>
      </c>
      <c r="F315" s="122">
        <v>5</v>
      </c>
      <c r="G315" s="122">
        <v>486</v>
      </c>
      <c r="H315" s="122">
        <v>433</v>
      </c>
      <c r="I315" s="122">
        <v>20843</v>
      </c>
      <c r="J315" s="122">
        <v>18949</v>
      </c>
      <c r="K315" s="122">
        <v>94</v>
      </c>
      <c r="L315" s="122">
        <v>0</v>
      </c>
      <c r="M315" s="122">
        <v>0</v>
      </c>
      <c r="N315" s="122">
        <v>5919</v>
      </c>
      <c r="O315" s="122">
        <v>2192</v>
      </c>
      <c r="P315" s="122">
        <v>7865</v>
      </c>
      <c r="Q315" s="122">
        <v>2913</v>
      </c>
      <c r="R315" s="122">
        <v>7464</v>
      </c>
      <c r="S315" s="122">
        <v>6785</v>
      </c>
      <c r="T315" s="122">
        <v>0</v>
      </c>
      <c r="U315" s="122">
        <v>0</v>
      </c>
      <c r="V315" s="122">
        <v>30839</v>
      </c>
      <c r="W315" s="122">
        <f t="shared" si="8"/>
        <v>30839</v>
      </c>
      <c r="X315" s="122">
        <f t="shared" si="9"/>
        <v>42091</v>
      </c>
      <c r="Y315" s="122"/>
      <c r="AA315" t="s">
        <v>54</v>
      </c>
      <c r="AB315" t="s">
        <v>137</v>
      </c>
      <c r="AC315" t="s">
        <v>429</v>
      </c>
      <c r="AD315" t="s">
        <v>407</v>
      </c>
      <c r="AE315" t="s">
        <v>566</v>
      </c>
      <c r="AF315">
        <v>2</v>
      </c>
      <c r="AG315">
        <v>335</v>
      </c>
      <c r="AH315">
        <v>279</v>
      </c>
      <c r="AI315" s="122">
        <v>31631</v>
      </c>
      <c r="AJ315" s="122">
        <v>11715</v>
      </c>
      <c r="AK315">
        <v>175</v>
      </c>
      <c r="AL315" s="122">
        <v>3130</v>
      </c>
      <c r="AM315" s="122">
        <v>2846</v>
      </c>
      <c r="AN315" s="122">
        <v>4342</v>
      </c>
      <c r="AO315" s="122">
        <v>1608</v>
      </c>
      <c r="AP315">
        <v>824</v>
      </c>
      <c r="AQ315">
        <v>305</v>
      </c>
      <c r="AR315" s="122">
        <v>8343</v>
      </c>
      <c r="AS315" s="122">
        <v>7585</v>
      </c>
      <c r="AT315">
        <v>0</v>
      </c>
      <c r="AU315">
        <v>0</v>
      </c>
      <c r="AV315" s="122">
        <v>24059</v>
      </c>
    </row>
    <row r="316" spans="2:48" ht="12.75" customHeight="1">
      <c r="B316" t="s">
        <v>365</v>
      </c>
      <c r="C316" t="s">
        <v>52</v>
      </c>
      <c r="F316">
        <v>6</v>
      </c>
      <c r="G316">
        <v>528</v>
      </c>
      <c r="H316" s="122">
        <v>714</v>
      </c>
      <c r="I316" s="122"/>
      <c r="J316" s="122">
        <v>0</v>
      </c>
      <c r="K316" s="122"/>
      <c r="L316" s="122"/>
      <c r="M316" s="122">
        <v>0</v>
      </c>
      <c r="N316" s="122">
        <v>15489</v>
      </c>
      <c r="O316" s="122">
        <v>5737</v>
      </c>
      <c r="P316" s="122">
        <v>2106</v>
      </c>
      <c r="Q316" s="122">
        <v>780</v>
      </c>
      <c r="R316" s="122"/>
      <c r="S316" s="122">
        <v>0</v>
      </c>
      <c r="T316" s="122">
        <v>0</v>
      </c>
      <c r="U316" s="122">
        <v>0</v>
      </c>
      <c r="V316" s="122">
        <v>6517</v>
      </c>
      <c r="W316" s="122">
        <f t="shared" si="8"/>
        <v>6517</v>
      </c>
      <c r="X316" s="122">
        <f t="shared" si="9"/>
        <v>17595</v>
      </c>
      <c r="Y316" s="122"/>
      <c r="AA316" t="s">
        <v>54</v>
      </c>
      <c r="AB316" t="s">
        <v>406</v>
      </c>
      <c r="AC316" t="s">
        <v>578</v>
      </c>
      <c r="AD316" t="s">
        <v>406</v>
      </c>
      <c r="AE316" t="s">
        <v>566</v>
      </c>
      <c r="AF316">
        <v>1</v>
      </c>
      <c r="AG316">
        <v>86</v>
      </c>
      <c r="AH316">
        <v>149</v>
      </c>
      <c r="AI316" s="122">
        <v>5691</v>
      </c>
      <c r="AJ316" s="122">
        <v>5173</v>
      </c>
      <c r="AK316">
        <v>95</v>
      </c>
      <c r="AL316">
        <v>830</v>
      </c>
      <c r="AM316">
        <v>755</v>
      </c>
      <c r="AN316" s="122">
        <v>2106</v>
      </c>
      <c r="AO316">
        <v>780</v>
      </c>
      <c r="AP316">
        <v>621</v>
      </c>
      <c r="AQ316">
        <v>230</v>
      </c>
      <c r="AR316" s="122">
        <v>3625</v>
      </c>
      <c r="AS316" s="122">
        <v>3295</v>
      </c>
      <c r="AT316">
        <v>0</v>
      </c>
      <c r="AU316">
        <v>0</v>
      </c>
      <c r="AV316" s="122">
        <v>10233</v>
      </c>
    </row>
    <row r="317" spans="2:48" ht="12.75" hidden="1" customHeight="1">
      <c r="B317" t="s">
        <v>365</v>
      </c>
      <c r="C317" t="s">
        <v>52</v>
      </c>
      <c r="D317" t="s">
        <v>405</v>
      </c>
      <c r="E317" t="s">
        <v>405</v>
      </c>
      <c r="F317">
        <v>38</v>
      </c>
      <c r="G317" s="122">
        <v>4858</v>
      </c>
      <c r="H317" s="122">
        <v>4451</v>
      </c>
      <c r="I317" s="122">
        <v>243205</v>
      </c>
      <c r="J317" s="122">
        <v>221096</v>
      </c>
      <c r="K317" s="122">
        <v>90</v>
      </c>
      <c r="L317" s="122">
        <v>49293</v>
      </c>
      <c r="M317" s="122">
        <v>39312</v>
      </c>
      <c r="N317" s="122">
        <v>96688</v>
      </c>
      <c r="O317" s="122">
        <v>35810</v>
      </c>
      <c r="P317" s="122">
        <v>19359</v>
      </c>
      <c r="Q317" s="122">
        <v>7170</v>
      </c>
      <c r="R317" s="122">
        <v>162094</v>
      </c>
      <c r="S317" s="122">
        <v>147358</v>
      </c>
      <c r="T317" s="122">
        <v>0</v>
      </c>
      <c r="U317" s="122">
        <v>0</v>
      </c>
      <c r="V317" s="122">
        <v>450747</v>
      </c>
      <c r="W317" s="122">
        <f t="shared" si="8"/>
        <v>450746</v>
      </c>
      <c r="X317" s="122">
        <f t="shared" si="9"/>
        <v>570639</v>
      </c>
      <c r="Y317" s="122"/>
      <c r="AA317" t="s">
        <v>54</v>
      </c>
      <c r="AB317" t="s">
        <v>406</v>
      </c>
      <c r="AC317" t="s">
        <v>425</v>
      </c>
      <c r="AD317" t="s">
        <v>406</v>
      </c>
      <c r="AE317" t="s">
        <v>137</v>
      </c>
      <c r="AF317">
        <v>24</v>
      </c>
      <c r="AG317" s="122">
        <v>3038</v>
      </c>
      <c r="AH317" s="122">
        <v>3390</v>
      </c>
      <c r="AI317" s="122">
        <v>209254</v>
      </c>
      <c r="AJ317" s="122">
        <v>190231</v>
      </c>
      <c r="AK317">
        <v>86</v>
      </c>
      <c r="AL317" s="122">
        <v>39971</v>
      </c>
      <c r="AM317" s="122">
        <v>36338</v>
      </c>
      <c r="AN317" s="122">
        <v>55615</v>
      </c>
      <c r="AO317" s="122">
        <v>20598</v>
      </c>
      <c r="AP317" s="122">
        <v>14202</v>
      </c>
      <c r="AQ317" s="122">
        <v>5260</v>
      </c>
      <c r="AR317" s="122">
        <v>100165</v>
      </c>
      <c r="AS317" s="122">
        <v>91060</v>
      </c>
      <c r="AT317" s="122">
        <v>25785</v>
      </c>
      <c r="AU317" s="122">
        <v>9550</v>
      </c>
      <c r="AV317" s="122">
        <v>353036</v>
      </c>
    </row>
    <row r="318" spans="2:48" ht="12.75" hidden="1" customHeight="1">
      <c r="B318" t="s">
        <v>365</v>
      </c>
      <c r="C318" t="s">
        <v>52</v>
      </c>
      <c r="D318" t="s">
        <v>405</v>
      </c>
      <c r="E318" t="s">
        <v>426</v>
      </c>
      <c r="F318" s="122">
        <v>1</v>
      </c>
      <c r="G318" s="122">
        <v>126</v>
      </c>
      <c r="H318" s="122">
        <v>103</v>
      </c>
      <c r="I318" s="122">
        <v>4723</v>
      </c>
      <c r="J318" s="122">
        <v>4294</v>
      </c>
      <c r="K318" s="122">
        <v>92</v>
      </c>
      <c r="L318" s="122">
        <v>1536</v>
      </c>
      <c r="M318" s="122">
        <v>1396</v>
      </c>
      <c r="N318" s="122">
        <v>1914</v>
      </c>
      <c r="O318" s="122">
        <v>709</v>
      </c>
      <c r="P318" s="122">
        <v>351</v>
      </c>
      <c r="Q318" s="122">
        <v>130</v>
      </c>
      <c r="R318" s="122">
        <v>4434</v>
      </c>
      <c r="S318" s="122">
        <v>4031</v>
      </c>
      <c r="T318" s="122">
        <v>0</v>
      </c>
      <c r="U318" s="122">
        <v>0</v>
      </c>
      <c r="V318" s="122">
        <v>10560</v>
      </c>
      <c r="W318" s="122">
        <f t="shared" si="8"/>
        <v>10560</v>
      </c>
      <c r="X318" s="122">
        <f t="shared" si="9"/>
        <v>12958</v>
      </c>
      <c r="Y318" s="122"/>
      <c r="AA318" t="s">
        <v>54</v>
      </c>
      <c r="AB318" t="s">
        <v>406</v>
      </c>
      <c r="AC318" t="s">
        <v>425</v>
      </c>
      <c r="AD318" t="s">
        <v>406</v>
      </c>
      <c r="AE318" t="s">
        <v>566</v>
      </c>
      <c r="AF318">
        <v>43</v>
      </c>
      <c r="AG318" s="122">
        <v>5563</v>
      </c>
      <c r="AH318" s="122">
        <v>5992</v>
      </c>
      <c r="AI318" s="122">
        <v>367683</v>
      </c>
      <c r="AJ318" s="122">
        <v>334257</v>
      </c>
      <c r="AK318">
        <v>91</v>
      </c>
      <c r="AL318" s="122">
        <v>72472</v>
      </c>
      <c r="AM318" s="122">
        <v>65883</v>
      </c>
      <c r="AN318" s="122">
        <v>103710</v>
      </c>
      <c r="AO318" s="122">
        <v>38411</v>
      </c>
      <c r="AP318" s="122">
        <v>27756</v>
      </c>
      <c r="AQ318" s="122">
        <v>10280</v>
      </c>
      <c r="AR318" s="122">
        <v>206161</v>
      </c>
      <c r="AS318" s="122">
        <v>187419</v>
      </c>
      <c r="AT318">
        <v>0</v>
      </c>
      <c r="AU318">
        <v>0</v>
      </c>
      <c r="AV318" s="122">
        <v>636251</v>
      </c>
    </row>
    <row r="319" spans="2:48" ht="12.75" hidden="1" customHeight="1">
      <c r="B319" t="s">
        <v>365</v>
      </c>
      <c r="C319" t="s">
        <v>52</v>
      </c>
      <c r="D319" t="s">
        <v>137</v>
      </c>
      <c r="E319" t="s">
        <v>137</v>
      </c>
      <c r="F319">
        <v>166</v>
      </c>
      <c r="G319" s="122">
        <v>14393</v>
      </c>
      <c r="H319" s="122">
        <v>18551</v>
      </c>
      <c r="I319" s="122">
        <v>503865</v>
      </c>
      <c r="J319" s="122">
        <v>186617</v>
      </c>
      <c r="K319" s="122">
        <v>343</v>
      </c>
      <c r="L319" s="122">
        <v>131889</v>
      </c>
      <c r="M319" s="122">
        <v>114903</v>
      </c>
      <c r="N319" s="122">
        <v>247795</v>
      </c>
      <c r="O319" s="122">
        <v>91776</v>
      </c>
      <c r="P319" s="122">
        <v>83578</v>
      </c>
      <c r="Q319" s="122">
        <v>30955</v>
      </c>
      <c r="R319" s="122">
        <v>644165</v>
      </c>
      <c r="S319" s="122">
        <v>238580</v>
      </c>
      <c r="T319" s="122">
        <v>0</v>
      </c>
      <c r="U319" s="122">
        <v>0</v>
      </c>
      <c r="V319" s="122">
        <v>662830</v>
      </c>
      <c r="W319" s="122">
        <f t="shared" si="8"/>
        <v>662831</v>
      </c>
      <c r="X319" s="122">
        <f t="shared" si="9"/>
        <v>1611292</v>
      </c>
      <c r="Y319" s="122"/>
      <c r="AA319" t="s">
        <v>54</v>
      </c>
      <c r="AB319" t="s">
        <v>406</v>
      </c>
      <c r="AC319" t="s">
        <v>405</v>
      </c>
      <c r="AD319" t="s">
        <v>406</v>
      </c>
      <c r="AE319" t="s">
        <v>566</v>
      </c>
      <c r="AF319">
        <v>4</v>
      </c>
      <c r="AG319">
        <v>776</v>
      </c>
      <c r="AH319">
        <v>555</v>
      </c>
      <c r="AI319" s="122">
        <v>54648</v>
      </c>
      <c r="AJ319" s="122">
        <v>49680</v>
      </c>
      <c r="AK319">
        <v>89</v>
      </c>
      <c r="AL319" s="122">
        <v>13830</v>
      </c>
      <c r="AM319" s="122">
        <v>12573</v>
      </c>
      <c r="AN319" s="122">
        <v>13203</v>
      </c>
      <c r="AO319" s="122">
        <v>4890</v>
      </c>
      <c r="AP319" s="122">
        <v>3417</v>
      </c>
      <c r="AQ319" s="122">
        <v>1265</v>
      </c>
      <c r="AR319" s="122">
        <v>21733</v>
      </c>
      <c r="AS319" s="122">
        <v>19758</v>
      </c>
      <c r="AT319">
        <v>0</v>
      </c>
      <c r="AU319">
        <v>0</v>
      </c>
      <c r="AV319" s="122">
        <v>88166</v>
      </c>
    </row>
    <row r="320" spans="2:48" ht="12.75" hidden="1" customHeight="1">
      <c r="B320" t="s">
        <v>365</v>
      </c>
      <c r="C320" t="s">
        <v>52</v>
      </c>
      <c r="D320" t="s">
        <v>406</v>
      </c>
      <c r="E320" t="s">
        <v>406</v>
      </c>
      <c r="F320" s="122">
        <v>213</v>
      </c>
      <c r="G320" s="122">
        <v>24522</v>
      </c>
      <c r="H320" s="122">
        <v>24902</v>
      </c>
      <c r="I320" s="122">
        <v>1299056</v>
      </c>
      <c r="J320" s="122">
        <v>1180960</v>
      </c>
      <c r="K320" s="122">
        <v>93</v>
      </c>
      <c r="L320" s="122">
        <v>279381</v>
      </c>
      <c r="M320" s="122">
        <v>241204</v>
      </c>
      <c r="N320" s="122">
        <v>389450</v>
      </c>
      <c r="O320" s="122">
        <v>144241</v>
      </c>
      <c r="P320" s="122">
        <v>138090</v>
      </c>
      <c r="Q320" s="122">
        <v>51145</v>
      </c>
      <c r="R320" s="122">
        <v>816022</v>
      </c>
      <c r="S320" s="122">
        <v>741838</v>
      </c>
      <c r="T320" s="122">
        <v>5357</v>
      </c>
      <c r="U320" s="122">
        <v>1984</v>
      </c>
      <c r="V320" s="122">
        <v>2361372</v>
      </c>
      <c r="W320" s="122">
        <f t="shared" si="8"/>
        <v>2361372</v>
      </c>
      <c r="X320" s="122">
        <f t="shared" si="9"/>
        <v>2927356</v>
      </c>
      <c r="Y320" s="122"/>
      <c r="AA320" t="s">
        <v>54</v>
      </c>
      <c r="AB320" t="s">
        <v>406</v>
      </c>
      <c r="AC320" t="s">
        <v>137</v>
      </c>
      <c r="AD320" t="s">
        <v>406</v>
      </c>
      <c r="AE320" t="s">
        <v>137</v>
      </c>
      <c r="AF320">
        <v>49</v>
      </c>
      <c r="AG320" s="122">
        <v>5552</v>
      </c>
      <c r="AH320" s="122">
        <v>7009</v>
      </c>
      <c r="AI320" s="122">
        <v>337394</v>
      </c>
      <c r="AJ320" s="122">
        <v>306722</v>
      </c>
      <c r="AK320">
        <v>90</v>
      </c>
      <c r="AL320" s="122">
        <v>90584</v>
      </c>
      <c r="AM320" s="122">
        <v>33550</v>
      </c>
      <c r="AN320" s="122">
        <v>98990</v>
      </c>
      <c r="AO320" s="122">
        <v>36663</v>
      </c>
      <c r="AP320" s="122">
        <v>31954</v>
      </c>
      <c r="AQ320" s="122">
        <v>11835</v>
      </c>
      <c r="AR320" s="122">
        <v>193192</v>
      </c>
      <c r="AS320" s="122">
        <v>175629</v>
      </c>
      <c r="AT320" s="122">
        <v>59922</v>
      </c>
      <c r="AU320" s="122">
        <v>22193</v>
      </c>
      <c r="AV320" s="122">
        <v>586592</v>
      </c>
    </row>
    <row r="321" spans="2:48" ht="12.75" hidden="1" customHeight="1">
      <c r="B321" t="s">
        <v>365</v>
      </c>
      <c r="C321" t="s">
        <v>52</v>
      </c>
      <c r="D321" t="s">
        <v>407</v>
      </c>
      <c r="E321" t="s">
        <v>407</v>
      </c>
      <c r="F321">
        <v>960</v>
      </c>
      <c r="G321" s="122">
        <v>110113</v>
      </c>
      <c r="H321" s="122">
        <v>111319</v>
      </c>
      <c r="I321" s="122">
        <v>5690712</v>
      </c>
      <c r="J321" s="122">
        <v>5173374</v>
      </c>
      <c r="K321" s="122">
        <v>89</v>
      </c>
      <c r="L321" s="122">
        <v>1115010</v>
      </c>
      <c r="M321" s="122">
        <v>973084</v>
      </c>
      <c r="N321" s="122">
        <v>1824185</v>
      </c>
      <c r="O321" s="122">
        <v>675624</v>
      </c>
      <c r="P321" s="122">
        <v>473998</v>
      </c>
      <c r="Q321" s="122">
        <v>175555</v>
      </c>
      <c r="R321" s="122">
        <v>3824549</v>
      </c>
      <c r="S321" s="122">
        <v>3476862</v>
      </c>
      <c r="T321" s="122">
        <v>6147</v>
      </c>
      <c r="U321" s="122">
        <v>2277</v>
      </c>
      <c r="V321" s="122">
        <v>10476776</v>
      </c>
      <c r="W321" s="122">
        <f t="shared" si="8"/>
        <v>10476776</v>
      </c>
      <c r="X321" s="122">
        <f t="shared" si="9"/>
        <v>12934601</v>
      </c>
      <c r="Y321" s="122"/>
      <c r="AA321" t="s">
        <v>54</v>
      </c>
      <c r="AB321" t="s">
        <v>406</v>
      </c>
      <c r="AC321" t="s">
        <v>137</v>
      </c>
      <c r="AD321" t="s">
        <v>406</v>
      </c>
      <c r="AE321" t="s">
        <v>566</v>
      </c>
      <c r="AF321">
        <v>146</v>
      </c>
      <c r="AG321" s="122">
        <v>15842</v>
      </c>
      <c r="AH321" s="122">
        <v>20366</v>
      </c>
      <c r="AI321" s="122">
        <v>977530</v>
      </c>
      <c r="AJ321" s="122">
        <v>888664</v>
      </c>
      <c r="AK321">
        <v>90</v>
      </c>
      <c r="AL321" s="122">
        <v>257777</v>
      </c>
      <c r="AM321" s="122">
        <v>95473</v>
      </c>
      <c r="AN321" s="122">
        <v>315595</v>
      </c>
      <c r="AO321" s="122">
        <v>116887</v>
      </c>
      <c r="AP321" s="122">
        <v>97376</v>
      </c>
      <c r="AQ321" s="122">
        <v>36065</v>
      </c>
      <c r="AR321" s="122">
        <v>637847</v>
      </c>
      <c r="AS321" s="122">
        <v>579861</v>
      </c>
      <c r="AT321">
        <v>0</v>
      </c>
      <c r="AU321">
        <v>0</v>
      </c>
      <c r="AV321" s="122">
        <v>1716950</v>
      </c>
    </row>
    <row r="322" spans="2:48" ht="12.75" hidden="1" customHeight="1">
      <c r="B322" t="s">
        <v>365</v>
      </c>
      <c r="C322" t="s">
        <v>52</v>
      </c>
      <c r="D322" t="s">
        <v>408</v>
      </c>
      <c r="E322" t="s">
        <v>408</v>
      </c>
      <c r="F322">
        <v>2</v>
      </c>
      <c r="G322">
        <v>274</v>
      </c>
      <c r="H322" s="122">
        <v>221</v>
      </c>
      <c r="I322" s="122">
        <v>16844</v>
      </c>
      <c r="J322" s="122">
        <v>15313</v>
      </c>
      <c r="K322" s="122">
        <v>93</v>
      </c>
      <c r="L322" s="122">
        <v>2069</v>
      </c>
      <c r="M322" s="122">
        <v>1881</v>
      </c>
      <c r="N322" s="122">
        <v>4785</v>
      </c>
      <c r="O322" s="122">
        <v>1772</v>
      </c>
      <c r="P322" s="122">
        <v>1611</v>
      </c>
      <c r="Q322" s="122">
        <v>597</v>
      </c>
      <c r="R322" s="122">
        <v>5938</v>
      </c>
      <c r="S322" s="122">
        <v>5399</v>
      </c>
      <c r="T322">
        <v>0</v>
      </c>
      <c r="U322" s="122">
        <v>0</v>
      </c>
      <c r="V322" s="122">
        <v>24962</v>
      </c>
      <c r="W322" s="122">
        <f t="shared" si="8"/>
        <v>24962</v>
      </c>
      <c r="X322" s="122">
        <f t="shared" si="9"/>
        <v>31247</v>
      </c>
      <c r="Y322" s="122"/>
      <c r="AA322" t="s">
        <v>54</v>
      </c>
      <c r="AB322" t="s">
        <v>406</v>
      </c>
      <c r="AC322" t="s">
        <v>137</v>
      </c>
      <c r="AD322" t="s">
        <v>407</v>
      </c>
      <c r="AE322" t="s">
        <v>566</v>
      </c>
      <c r="AF322">
        <v>1</v>
      </c>
      <c r="AG322">
        <v>99</v>
      </c>
      <c r="AH322">
        <v>147</v>
      </c>
      <c r="AI322" s="122">
        <v>6831</v>
      </c>
      <c r="AJ322" s="122">
        <v>6210</v>
      </c>
      <c r="AK322">
        <v>85</v>
      </c>
      <c r="AL322" s="122">
        <v>1587</v>
      </c>
      <c r="AM322">
        <v>588</v>
      </c>
      <c r="AN322" s="122">
        <v>2358</v>
      </c>
      <c r="AO322">
        <v>873</v>
      </c>
      <c r="AP322">
        <v>621</v>
      </c>
      <c r="AQ322">
        <v>230</v>
      </c>
      <c r="AR322" s="122">
        <v>3168</v>
      </c>
      <c r="AS322" s="122">
        <v>2880</v>
      </c>
      <c r="AT322">
        <v>0</v>
      </c>
      <c r="AU322">
        <v>0</v>
      </c>
      <c r="AV322" s="122">
        <v>10782</v>
      </c>
    </row>
    <row r="323" spans="2:48" ht="12.75" hidden="1" customHeight="1">
      <c r="B323" t="s">
        <v>365</v>
      </c>
      <c r="C323" t="s">
        <v>54</v>
      </c>
      <c r="F323">
        <v>51</v>
      </c>
      <c r="G323" s="122">
        <v>3764</v>
      </c>
      <c r="H323" s="122">
        <v>7130</v>
      </c>
      <c r="I323" s="122"/>
      <c r="J323" s="122">
        <v>0</v>
      </c>
      <c r="K323" s="122"/>
      <c r="L323" s="122"/>
      <c r="M323" s="122">
        <v>0</v>
      </c>
      <c r="N323" s="122">
        <v>79935</v>
      </c>
      <c r="O323" s="122">
        <v>29606</v>
      </c>
      <c r="P323" s="122">
        <v>12987</v>
      </c>
      <c r="Q323" s="122">
        <v>4810</v>
      </c>
      <c r="R323" s="122"/>
      <c r="S323" s="122">
        <v>0</v>
      </c>
      <c r="T323">
        <v>0</v>
      </c>
      <c r="U323" s="122">
        <v>0</v>
      </c>
      <c r="V323" s="122">
        <v>34416</v>
      </c>
      <c r="W323" s="122">
        <f t="shared" si="8"/>
        <v>34416</v>
      </c>
      <c r="X323" s="122">
        <f t="shared" si="9"/>
        <v>92922</v>
      </c>
      <c r="Y323" s="122"/>
      <c r="AA323" t="s">
        <v>54</v>
      </c>
      <c r="AB323" t="s">
        <v>406</v>
      </c>
      <c r="AC323" t="s">
        <v>137</v>
      </c>
      <c r="AD323" t="s">
        <v>428</v>
      </c>
      <c r="AE323" t="s">
        <v>566</v>
      </c>
      <c r="AF323">
        <v>1</v>
      </c>
      <c r="AG323">
        <v>101</v>
      </c>
      <c r="AH323">
        <v>135</v>
      </c>
      <c r="AI323" s="122">
        <v>6250</v>
      </c>
      <c r="AJ323" s="122">
        <v>5682</v>
      </c>
      <c r="AK323">
        <v>95</v>
      </c>
      <c r="AL323" s="122">
        <v>1616</v>
      </c>
      <c r="AM323">
        <v>598</v>
      </c>
      <c r="AN323" s="122">
        <v>1354</v>
      </c>
      <c r="AO323">
        <v>501</v>
      </c>
      <c r="AP323">
        <v>621</v>
      </c>
      <c r="AQ323">
        <v>230</v>
      </c>
      <c r="AR323" s="122">
        <v>3770</v>
      </c>
      <c r="AS323" s="122">
        <v>3427</v>
      </c>
      <c r="AT323">
        <v>0</v>
      </c>
      <c r="AU323">
        <v>0</v>
      </c>
      <c r="AV323" s="122">
        <v>10439</v>
      </c>
    </row>
    <row r="324" spans="2:48" ht="12.75" hidden="1" customHeight="1">
      <c r="B324" t="s">
        <v>365</v>
      </c>
      <c r="C324" t="s">
        <v>54</v>
      </c>
      <c r="D324" t="s">
        <v>425</v>
      </c>
      <c r="E324" t="s">
        <v>425</v>
      </c>
      <c r="F324" s="122">
        <v>2</v>
      </c>
      <c r="G324" s="122">
        <v>213</v>
      </c>
      <c r="H324" s="122">
        <v>284</v>
      </c>
      <c r="I324" s="122">
        <v>14326</v>
      </c>
      <c r="J324" s="122">
        <v>13024</v>
      </c>
      <c r="K324" s="122">
        <v>91</v>
      </c>
      <c r="L324" s="122">
        <v>3952</v>
      </c>
      <c r="M324" s="122">
        <v>3592</v>
      </c>
      <c r="N324" s="122">
        <v>3652</v>
      </c>
      <c r="O324" s="122">
        <v>1352</v>
      </c>
      <c r="P324" s="122">
        <v>945</v>
      </c>
      <c r="Q324" s="122">
        <v>350</v>
      </c>
      <c r="R324" s="122">
        <v>7544</v>
      </c>
      <c r="S324" s="122">
        <v>6858</v>
      </c>
      <c r="T324" s="122">
        <v>0</v>
      </c>
      <c r="U324" s="122">
        <v>0</v>
      </c>
      <c r="V324" s="122">
        <v>25177</v>
      </c>
      <c r="W324" s="122">
        <f t="shared" si="8"/>
        <v>25176</v>
      </c>
      <c r="X324" s="122">
        <f t="shared" si="9"/>
        <v>30419</v>
      </c>
      <c r="Y324" s="122"/>
      <c r="AA324" t="s">
        <v>54</v>
      </c>
      <c r="AB324" t="s">
        <v>406</v>
      </c>
      <c r="AC324" t="s">
        <v>580</v>
      </c>
      <c r="AD324" t="s">
        <v>425</v>
      </c>
      <c r="AE324" t="s">
        <v>566</v>
      </c>
      <c r="AF324">
        <v>1</v>
      </c>
      <c r="AG324">
        <v>189</v>
      </c>
      <c r="AH324">
        <v>139</v>
      </c>
      <c r="AI324" s="122">
        <v>17375</v>
      </c>
      <c r="AJ324" s="122">
        <v>15796</v>
      </c>
      <c r="AK324">
        <v>79</v>
      </c>
      <c r="AL324" s="122">
        <v>2068</v>
      </c>
      <c r="AM324" s="122">
        <v>1880</v>
      </c>
      <c r="AN324" s="122">
        <v>2615</v>
      </c>
      <c r="AO324">
        <v>969</v>
      </c>
      <c r="AP324">
        <v>621</v>
      </c>
      <c r="AQ324">
        <v>230</v>
      </c>
      <c r="AR324" s="122">
        <v>7198</v>
      </c>
      <c r="AS324" s="122">
        <v>6543</v>
      </c>
      <c r="AT324">
        <v>0</v>
      </c>
      <c r="AU324">
        <v>0</v>
      </c>
      <c r="AV324" s="122">
        <v>25418</v>
      </c>
    </row>
    <row r="325" spans="2:48" ht="12.75" hidden="1" customHeight="1">
      <c r="B325" t="s">
        <v>365</v>
      </c>
      <c r="C325" t="s">
        <v>54</v>
      </c>
      <c r="D325" t="s">
        <v>425</v>
      </c>
      <c r="E325" t="s">
        <v>405</v>
      </c>
      <c r="F325">
        <v>1</v>
      </c>
      <c r="G325" s="122">
        <v>108</v>
      </c>
      <c r="H325" s="122">
        <v>137</v>
      </c>
      <c r="I325" s="122">
        <v>9043</v>
      </c>
      <c r="J325" s="122">
        <v>8221</v>
      </c>
      <c r="K325" s="122">
        <v>80</v>
      </c>
      <c r="L325" s="122">
        <v>1341</v>
      </c>
      <c r="M325" s="122">
        <v>1219</v>
      </c>
      <c r="N325" s="122">
        <v>3025</v>
      </c>
      <c r="O325" s="122">
        <v>1121</v>
      </c>
      <c r="P325" s="122">
        <v>473</v>
      </c>
      <c r="Q325" s="122">
        <v>175</v>
      </c>
      <c r="R325" s="122">
        <v>6276</v>
      </c>
      <c r="S325" s="122">
        <v>5705</v>
      </c>
      <c r="T325" s="122">
        <v>0</v>
      </c>
      <c r="U325" s="122">
        <v>0</v>
      </c>
      <c r="V325" s="122">
        <v>16441</v>
      </c>
      <c r="W325" s="122">
        <f t="shared" si="8"/>
        <v>16441</v>
      </c>
      <c r="X325" s="122">
        <f t="shared" si="9"/>
        <v>20158</v>
      </c>
      <c r="Y325" s="122"/>
      <c r="AA325" t="s">
        <v>54</v>
      </c>
      <c r="AB325" t="s">
        <v>406</v>
      </c>
      <c r="AC325" t="s">
        <v>580</v>
      </c>
      <c r="AD325" t="s">
        <v>406</v>
      </c>
      <c r="AE325" t="s">
        <v>137</v>
      </c>
      <c r="AF325">
        <v>12</v>
      </c>
      <c r="AG325" s="122">
        <v>1321</v>
      </c>
      <c r="AH325" s="122">
        <v>1695</v>
      </c>
      <c r="AI325" s="122">
        <v>93541</v>
      </c>
      <c r="AJ325" s="122">
        <v>85037</v>
      </c>
      <c r="AK325">
        <v>92</v>
      </c>
      <c r="AL325" s="122">
        <v>18220</v>
      </c>
      <c r="AM325" s="122">
        <v>16564</v>
      </c>
      <c r="AN325" s="122">
        <v>25080</v>
      </c>
      <c r="AO325" s="122">
        <v>9289</v>
      </c>
      <c r="AP325" s="122">
        <v>7722</v>
      </c>
      <c r="AQ325" s="122">
        <v>2860</v>
      </c>
      <c r="AR325" s="122">
        <v>39274</v>
      </c>
      <c r="AS325" s="122">
        <v>35703</v>
      </c>
      <c r="AT325" s="122">
        <v>19898</v>
      </c>
      <c r="AU325" s="122">
        <v>7370</v>
      </c>
      <c r="AV325" s="122">
        <v>156822</v>
      </c>
    </row>
    <row r="326" spans="2:48" ht="12.75" hidden="1" customHeight="1">
      <c r="B326" t="s">
        <v>365</v>
      </c>
      <c r="C326" t="s">
        <v>54</v>
      </c>
      <c r="D326" t="s">
        <v>425</v>
      </c>
      <c r="E326" t="s">
        <v>406</v>
      </c>
      <c r="F326">
        <v>1</v>
      </c>
      <c r="G326" s="122">
        <v>116</v>
      </c>
      <c r="H326" s="122">
        <v>135</v>
      </c>
      <c r="I326" s="122">
        <v>6014</v>
      </c>
      <c r="J326" s="122">
        <v>5468</v>
      </c>
      <c r="K326" s="122">
        <v>86</v>
      </c>
      <c r="L326" s="122">
        <v>1905</v>
      </c>
      <c r="M326" s="122">
        <v>1731</v>
      </c>
      <c r="N326" s="122">
        <v>2437</v>
      </c>
      <c r="O326" s="122">
        <v>903</v>
      </c>
      <c r="P326" s="122">
        <v>621</v>
      </c>
      <c r="Q326" s="122">
        <v>230</v>
      </c>
      <c r="R326" s="122">
        <v>4776</v>
      </c>
      <c r="S326" s="122">
        <v>4342</v>
      </c>
      <c r="T326" s="122">
        <v>0</v>
      </c>
      <c r="U326" s="122">
        <v>0</v>
      </c>
      <c r="V326" s="122">
        <v>12673</v>
      </c>
      <c r="W326" s="122">
        <f t="shared" si="8"/>
        <v>12674</v>
      </c>
      <c r="X326" s="122">
        <f t="shared" si="9"/>
        <v>15753</v>
      </c>
      <c r="Y326" s="122"/>
      <c r="AA326" t="s">
        <v>54</v>
      </c>
      <c r="AB326" t="s">
        <v>406</v>
      </c>
      <c r="AC326" t="s">
        <v>580</v>
      </c>
      <c r="AD326" t="s">
        <v>406</v>
      </c>
      <c r="AE326" t="s">
        <v>566</v>
      </c>
      <c r="AF326">
        <v>21</v>
      </c>
      <c r="AG326" s="122">
        <v>3148</v>
      </c>
      <c r="AH326" s="122">
        <v>2959</v>
      </c>
      <c r="AI326" s="122">
        <v>255181</v>
      </c>
      <c r="AJ326" s="122">
        <v>231983</v>
      </c>
      <c r="AK326">
        <v>90</v>
      </c>
      <c r="AL326" s="122">
        <v>43231</v>
      </c>
      <c r="AM326" s="122">
        <v>39301</v>
      </c>
      <c r="AN326" s="122">
        <v>56501</v>
      </c>
      <c r="AO326" s="122">
        <v>20926</v>
      </c>
      <c r="AP326" s="122">
        <v>14346</v>
      </c>
      <c r="AQ326" s="122">
        <v>5313</v>
      </c>
      <c r="AR326" s="122">
        <v>98609</v>
      </c>
      <c r="AS326" s="122">
        <v>89645</v>
      </c>
      <c r="AT326">
        <v>0</v>
      </c>
      <c r="AU326">
        <v>0</v>
      </c>
      <c r="AV326" s="122">
        <v>387168</v>
      </c>
    </row>
    <row r="327" spans="2:48" ht="12.75" hidden="1" customHeight="1">
      <c r="B327" t="s">
        <v>365</v>
      </c>
      <c r="C327" t="s">
        <v>54</v>
      </c>
      <c r="D327" t="s">
        <v>405</v>
      </c>
      <c r="E327" t="s">
        <v>425</v>
      </c>
      <c r="F327">
        <v>1</v>
      </c>
      <c r="G327" s="122">
        <v>157</v>
      </c>
      <c r="H327" s="122">
        <v>147</v>
      </c>
      <c r="I327" s="122">
        <v>11395</v>
      </c>
      <c r="J327" s="122">
        <v>10359</v>
      </c>
      <c r="K327" s="122">
        <v>78</v>
      </c>
      <c r="L327" s="122">
        <v>3127</v>
      </c>
      <c r="M327" s="122">
        <v>2843</v>
      </c>
      <c r="N327" s="122">
        <v>2185</v>
      </c>
      <c r="O327" s="122">
        <v>809</v>
      </c>
      <c r="P327" s="122">
        <v>473</v>
      </c>
      <c r="Q327" s="122">
        <v>175</v>
      </c>
      <c r="R327" s="122">
        <v>5920</v>
      </c>
      <c r="S327" s="122">
        <v>5382</v>
      </c>
      <c r="T327" s="122">
        <v>0</v>
      </c>
      <c r="U327" s="122">
        <v>0</v>
      </c>
      <c r="V327" s="122">
        <v>19568</v>
      </c>
      <c r="W327" s="122">
        <f t="shared" ref="W327:W390" si="10">SUM(ABS(J327),ABS(M327),ABS(O327),ABS(Q327),ABS(S327),ABS(U327))</f>
        <v>19568</v>
      </c>
      <c r="X327" s="122">
        <f t="shared" ref="X327:X390" si="11">SUM(ABS(I327),ABS(N327),ABS(P327),ABS(R327),ABS(T327),ABS(L327))</f>
        <v>23100</v>
      </c>
      <c r="Y327" s="122"/>
      <c r="AA327" t="s">
        <v>54</v>
      </c>
      <c r="AB327" t="s">
        <v>406</v>
      </c>
      <c r="AC327" t="s">
        <v>580</v>
      </c>
      <c r="AD327" t="s">
        <v>426</v>
      </c>
      <c r="AE327" t="s">
        <v>137</v>
      </c>
      <c r="AF327">
        <v>1</v>
      </c>
      <c r="AG327">
        <v>81</v>
      </c>
      <c r="AH327">
        <v>148</v>
      </c>
      <c r="AI327" s="122">
        <v>4993</v>
      </c>
      <c r="AJ327" s="122">
        <v>4539</v>
      </c>
      <c r="AK327">
        <v>93</v>
      </c>
      <c r="AL327">
        <v>814</v>
      </c>
      <c r="AM327">
        <v>740</v>
      </c>
      <c r="AN327" s="122">
        <v>1964</v>
      </c>
      <c r="AO327">
        <v>727</v>
      </c>
      <c r="AP327">
        <v>621</v>
      </c>
      <c r="AQ327">
        <v>230</v>
      </c>
      <c r="AR327" s="122">
        <v>3500</v>
      </c>
      <c r="AS327" s="122">
        <v>3182</v>
      </c>
      <c r="AT327">
        <v>0</v>
      </c>
      <c r="AU327">
        <v>0</v>
      </c>
      <c r="AV327" s="122">
        <v>9418</v>
      </c>
    </row>
    <row r="328" spans="2:48" ht="12.75" hidden="1" customHeight="1">
      <c r="B328" t="s">
        <v>365</v>
      </c>
      <c r="C328" t="s">
        <v>54</v>
      </c>
      <c r="D328" t="s">
        <v>405</v>
      </c>
      <c r="E328" t="s">
        <v>405</v>
      </c>
      <c r="F328" s="122">
        <v>112</v>
      </c>
      <c r="G328" s="122">
        <v>12641</v>
      </c>
      <c r="H328" s="122">
        <v>15698</v>
      </c>
      <c r="I328" s="122">
        <v>789385</v>
      </c>
      <c r="J328" s="122">
        <v>717622</v>
      </c>
      <c r="K328" s="122">
        <v>85</v>
      </c>
      <c r="L328" s="122">
        <v>204865</v>
      </c>
      <c r="M328" s="122">
        <v>181626</v>
      </c>
      <c r="N328" s="122">
        <v>248757</v>
      </c>
      <c r="O328" s="122">
        <v>92132</v>
      </c>
      <c r="P328" s="122">
        <v>54405</v>
      </c>
      <c r="Q328" s="122">
        <v>20150</v>
      </c>
      <c r="R328" s="122">
        <v>480207</v>
      </c>
      <c r="S328" s="122">
        <v>436552</v>
      </c>
      <c r="T328" s="122">
        <v>8677</v>
      </c>
      <c r="U328" s="122">
        <v>3214</v>
      </c>
      <c r="V328" s="122">
        <v>1451296</v>
      </c>
      <c r="W328" s="122">
        <f t="shared" si="10"/>
        <v>1451296</v>
      </c>
      <c r="X328" s="122">
        <f t="shared" si="11"/>
        <v>1786296</v>
      </c>
      <c r="Y328" s="122"/>
      <c r="AA328" t="s">
        <v>54</v>
      </c>
      <c r="AB328" t="s">
        <v>406</v>
      </c>
      <c r="AC328" t="s">
        <v>427</v>
      </c>
      <c r="AD328" t="s">
        <v>406</v>
      </c>
      <c r="AE328" t="s">
        <v>137</v>
      </c>
      <c r="AF328">
        <v>191</v>
      </c>
      <c r="AG328" s="122">
        <v>20673</v>
      </c>
      <c r="AH328" s="122">
        <v>26647</v>
      </c>
      <c r="AI328" s="122">
        <v>1289571</v>
      </c>
      <c r="AJ328" s="122">
        <v>1172337</v>
      </c>
      <c r="AK328">
        <v>90</v>
      </c>
      <c r="AL328" s="122">
        <v>335530</v>
      </c>
      <c r="AM328" s="122">
        <v>305028</v>
      </c>
      <c r="AN328" s="122">
        <v>318296</v>
      </c>
      <c r="AO328" s="122">
        <v>117887</v>
      </c>
      <c r="AP328" s="122">
        <v>119403</v>
      </c>
      <c r="AQ328" s="122">
        <v>44223</v>
      </c>
      <c r="AR328" s="122">
        <v>753866</v>
      </c>
      <c r="AS328" s="122">
        <v>685333</v>
      </c>
      <c r="AT328" s="122">
        <v>103090</v>
      </c>
      <c r="AU328" s="122">
        <v>38181</v>
      </c>
      <c r="AV328" s="122">
        <v>2362990</v>
      </c>
    </row>
    <row r="329" spans="2:48" ht="12.75" hidden="1" customHeight="1">
      <c r="B329" t="s">
        <v>365</v>
      </c>
      <c r="C329" t="s">
        <v>54</v>
      </c>
      <c r="D329" t="s">
        <v>405</v>
      </c>
      <c r="E329" t="s">
        <v>407</v>
      </c>
      <c r="F329" s="122">
        <v>2</v>
      </c>
      <c r="G329" s="122">
        <v>245</v>
      </c>
      <c r="H329" s="122">
        <v>287</v>
      </c>
      <c r="I329" s="122">
        <v>20827</v>
      </c>
      <c r="J329" s="122">
        <v>18933</v>
      </c>
      <c r="K329" s="122">
        <v>90</v>
      </c>
      <c r="L329" s="122">
        <v>6609</v>
      </c>
      <c r="M329" s="122">
        <v>6008</v>
      </c>
      <c r="N329" s="122">
        <v>3312</v>
      </c>
      <c r="O329" s="122">
        <v>1227</v>
      </c>
      <c r="P329" s="122">
        <v>945</v>
      </c>
      <c r="Q329" s="122">
        <v>350</v>
      </c>
      <c r="R329" s="122">
        <v>7195</v>
      </c>
      <c r="S329" s="122">
        <v>6541</v>
      </c>
      <c r="T329" s="122">
        <v>0</v>
      </c>
      <c r="U329" s="122">
        <v>0</v>
      </c>
      <c r="V329" s="122">
        <v>33059</v>
      </c>
      <c r="W329" s="122">
        <f t="shared" si="10"/>
        <v>33059</v>
      </c>
      <c r="X329" s="122">
        <f t="shared" si="11"/>
        <v>38888</v>
      </c>
      <c r="Y329" s="122"/>
      <c r="AA329" t="s">
        <v>54</v>
      </c>
      <c r="AB329" t="s">
        <v>406</v>
      </c>
      <c r="AC329" t="s">
        <v>427</v>
      </c>
      <c r="AD329" t="s">
        <v>406</v>
      </c>
      <c r="AE329" t="s">
        <v>566</v>
      </c>
      <c r="AF329">
        <v>369</v>
      </c>
      <c r="AG329" s="122">
        <v>40824</v>
      </c>
      <c r="AH329" s="122">
        <v>52416</v>
      </c>
      <c r="AI329" s="122">
        <v>2565467</v>
      </c>
      <c r="AJ329" s="122">
        <v>2332243</v>
      </c>
      <c r="AK329">
        <v>90</v>
      </c>
      <c r="AL329" s="122">
        <v>751936</v>
      </c>
      <c r="AM329" s="122">
        <v>683578</v>
      </c>
      <c r="AN329" s="122">
        <v>770657</v>
      </c>
      <c r="AO329" s="122">
        <v>285428</v>
      </c>
      <c r="AP329" s="122">
        <v>234941</v>
      </c>
      <c r="AQ329" s="122">
        <v>87015</v>
      </c>
      <c r="AR329" s="122">
        <v>1585034</v>
      </c>
      <c r="AS329" s="122">
        <v>1440940</v>
      </c>
      <c r="AT329">
        <v>0</v>
      </c>
      <c r="AU329">
        <v>0</v>
      </c>
      <c r="AV329" s="122">
        <v>4829204</v>
      </c>
    </row>
    <row r="330" spans="2:48" ht="12.75" hidden="1" customHeight="1">
      <c r="B330" t="s">
        <v>365</v>
      </c>
      <c r="C330" t="s">
        <v>54</v>
      </c>
      <c r="D330" t="s">
        <v>137</v>
      </c>
      <c r="E330" t="s">
        <v>137</v>
      </c>
      <c r="F330">
        <v>78</v>
      </c>
      <c r="G330" s="122">
        <v>6366</v>
      </c>
      <c r="H330" s="122">
        <v>10839</v>
      </c>
      <c r="I330" s="122">
        <v>264999</v>
      </c>
      <c r="J330" s="122">
        <v>98148</v>
      </c>
      <c r="K330">
        <v>326</v>
      </c>
      <c r="L330" s="122">
        <v>87850</v>
      </c>
      <c r="M330" s="122">
        <v>71372</v>
      </c>
      <c r="N330" s="122">
        <v>96468</v>
      </c>
      <c r="O330" s="122">
        <v>35729</v>
      </c>
      <c r="P330" s="122">
        <v>26967</v>
      </c>
      <c r="Q330" s="122">
        <v>9988</v>
      </c>
      <c r="R330" s="122">
        <v>406709</v>
      </c>
      <c r="S330" s="122">
        <v>150633</v>
      </c>
      <c r="T330">
        <v>0</v>
      </c>
      <c r="U330" s="122">
        <v>0</v>
      </c>
      <c r="V330" s="122">
        <v>365869</v>
      </c>
      <c r="W330" s="122">
        <f t="shared" si="10"/>
        <v>365870</v>
      </c>
      <c r="X330" s="122">
        <f t="shared" si="11"/>
        <v>882993</v>
      </c>
      <c r="Y330" s="122"/>
      <c r="AA330" t="s">
        <v>54</v>
      </c>
      <c r="AB330" t="s">
        <v>406</v>
      </c>
      <c r="AC330" t="s">
        <v>407</v>
      </c>
      <c r="AD330" t="s">
        <v>425</v>
      </c>
      <c r="AE330" t="s">
        <v>566</v>
      </c>
      <c r="AF330">
        <v>1</v>
      </c>
      <c r="AG330">
        <v>138</v>
      </c>
      <c r="AH330">
        <v>136</v>
      </c>
      <c r="AI330" s="122">
        <v>8875</v>
      </c>
      <c r="AJ330" s="122">
        <v>8068</v>
      </c>
      <c r="AK330">
        <v>95</v>
      </c>
      <c r="AL330" s="122">
        <v>1872</v>
      </c>
      <c r="AM330" s="122">
        <v>1702</v>
      </c>
      <c r="AN330" s="122">
        <v>3369</v>
      </c>
      <c r="AO330" s="122">
        <v>1248</v>
      </c>
      <c r="AP330">
        <v>621</v>
      </c>
      <c r="AQ330">
        <v>230</v>
      </c>
      <c r="AR330" s="122">
        <v>4117</v>
      </c>
      <c r="AS330" s="122">
        <v>3743</v>
      </c>
      <c r="AT330">
        <v>0</v>
      </c>
      <c r="AU330">
        <v>0</v>
      </c>
      <c r="AV330" s="122">
        <v>14990</v>
      </c>
    </row>
    <row r="331" spans="2:48" ht="12.75" hidden="1" customHeight="1">
      <c r="B331" t="s">
        <v>365</v>
      </c>
      <c r="C331" t="s">
        <v>54</v>
      </c>
      <c r="D331" t="s">
        <v>406</v>
      </c>
      <c r="E331" t="s">
        <v>425</v>
      </c>
      <c r="F331">
        <v>3</v>
      </c>
      <c r="G331">
        <v>455</v>
      </c>
      <c r="H331" s="122">
        <v>424</v>
      </c>
      <c r="I331" s="122">
        <v>37270</v>
      </c>
      <c r="J331" s="122">
        <v>33882</v>
      </c>
      <c r="K331" s="122">
        <v>90</v>
      </c>
      <c r="L331" s="122">
        <v>6131</v>
      </c>
      <c r="M331" s="122">
        <v>5407</v>
      </c>
      <c r="N331" s="122">
        <v>7545</v>
      </c>
      <c r="O331" s="122">
        <v>2795</v>
      </c>
      <c r="P331" s="122">
        <v>2214</v>
      </c>
      <c r="Q331" s="122">
        <v>820</v>
      </c>
      <c r="R331" s="122">
        <v>14640</v>
      </c>
      <c r="S331" s="122">
        <v>13309</v>
      </c>
      <c r="T331" s="122">
        <v>0</v>
      </c>
      <c r="U331" s="122">
        <v>0</v>
      </c>
      <c r="V331" s="122">
        <v>56213</v>
      </c>
      <c r="W331" s="122">
        <f t="shared" si="10"/>
        <v>56213</v>
      </c>
      <c r="X331" s="122">
        <f t="shared" si="11"/>
        <v>67800</v>
      </c>
      <c r="Y331" s="122"/>
      <c r="AA331" t="s">
        <v>54</v>
      </c>
      <c r="AB331" t="s">
        <v>406</v>
      </c>
      <c r="AC331" t="s">
        <v>407</v>
      </c>
      <c r="AD331" t="s">
        <v>406</v>
      </c>
      <c r="AE331" t="s">
        <v>137</v>
      </c>
      <c r="AF331">
        <v>6</v>
      </c>
      <c r="AG331">
        <v>786</v>
      </c>
      <c r="AH331">
        <v>854</v>
      </c>
      <c r="AI331" s="122">
        <v>57671</v>
      </c>
      <c r="AJ331" s="122">
        <v>52428</v>
      </c>
      <c r="AK331">
        <v>89</v>
      </c>
      <c r="AL331" s="122">
        <v>9379</v>
      </c>
      <c r="AM331" s="122">
        <v>8527</v>
      </c>
      <c r="AN331" s="122">
        <v>16096</v>
      </c>
      <c r="AO331" s="122">
        <v>5961</v>
      </c>
      <c r="AP331" s="122">
        <v>3848</v>
      </c>
      <c r="AQ331" s="122">
        <v>1425</v>
      </c>
      <c r="AR331" s="122">
        <v>24501</v>
      </c>
      <c r="AS331" s="122">
        <v>22273</v>
      </c>
      <c r="AT331" s="122">
        <v>8161</v>
      </c>
      <c r="AU331" s="122">
        <v>3023</v>
      </c>
      <c r="AV331" s="122">
        <v>93637</v>
      </c>
    </row>
    <row r="332" spans="2:48" ht="12.75" hidden="1" customHeight="1">
      <c r="B332" t="s">
        <v>365</v>
      </c>
      <c r="C332" t="s">
        <v>54</v>
      </c>
      <c r="D332" t="s">
        <v>406</v>
      </c>
      <c r="E332" t="s">
        <v>406</v>
      </c>
      <c r="F332" s="122">
        <v>1183</v>
      </c>
      <c r="G332" s="122">
        <v>124944</v>
      </c>
      <c r="H332" s="122">
        <v>166026</v>
      </c>
      <c r="I332" s="122">
        <v>7724341</v>
      </c>
      <c r="J332" s="122">
        <v>7022128</v>
      </c>
      <c r="K332" s="122">
        <v>90</v>
      </c>
      <c r="L332" s="122">
        <v>1937886</v>
      </c>
      <c r="M332" s="122">
        <v>1724383</v>
      </c>
      <c r="N332" s="122">
        <v>2280103</v>
      </c>
      <c r="O332" s="122">
        <v>844483</v>
      </c>
      <c r="P332" s="122">
        <v>757147</v>
      </c>
      <c r="Q332" s="122">
        <v>280425</v>
      </c>
      <c r="R332" s="122">
        <v>4902299</v>
      </c>
      <c r="S332" s="122">
        <v>4456635</v>
      </c>
      <c r="T332" s="122">
        <v>190187</v>
      </c>
      <c r="U332" s="122">
        <v>70440</v>
      </c>
      <c r="V332" s="122">
        <v>14398493</v>
      </c>
      <c r="W332" s="122">
        <f t="shared" si="10"/>
        <v>14398494</v>
      </c>
      <c r="X332" s="122">
        <f t="shared" si="11"/>
        <v>17791963</v>
      </c>
      <c r="Y332" s="122"/>
      <c r="AA332" t="s">
        <v>54</v>
      </c>
      <c r="AB332" t="s">
        <v>406</v>
      </c>
      <c r="AC332" t="s">
        <v>407</v>
      </c>
      <c r="AD332" t="s">
        <v>406</v>
      </c>
      <c r="AE332" t="s">
        <v>566</v>
      </c>
      <c r="AF332">
        <v>13</v>
      </c>
      <c r="AG332" s="122">
        <v>1679</v>
      </c>
      <c r="AH332" s="122">
        <v>1818</v>
      </c>
      <c r="AI332" s="122">
        <v>123061</v>
      </c>
      <c r="AJ332" s="122">
        <v>111873</v>
      </c>
      <c r="AK332">
        <v>92</v>
      </c>
      <c r="AL332" s="122">
        <v>25891</v>
      </c>
      <c r="AM332" s="122">
        <v>23538</v>
      </c>
      <c r="AN332" s="122">
        <v>31991</v>
      </c>
      <c r="AO332" s="122">
        <v>11848</v>
      </c>
      <c r="AP332" s="122">
        <v>8073</v>
      </c>
      <c r="AQ332" s="122">
        <v>2990</v>
      </c>
      <c r="AR332" s="122">
        <v>59273</v>
      </c>
      <c r="AS332" s="122">
        <v>53885</v>
      </c>
      <c r="AT332">
        <v>0</v>
      </c>
      <c r="AU332">
        <v>0</v>
      </c>
      <c r="AV332" s="122">
        <v>204134</v>
      </c>
    </row>
    <row r="333" spans="2:48" ht="12.75" hidden="1" customHeight="1">
      <c r="B333" t="s">
        <v>365</v>
      </c>
      <c r="C333" t="s">
        <v>54</v>
      </c>
      <c r="D333" t="s">
        <v>407</v>
      </c>
      <c r="E333" s="122" t="s">
        <v>405</v>
      </c>
      <c r="F333" s="122">
        <v>1</v>
      </c>
      <c r="G333" s="122">
        <v>104</v>
      </c>
      <c r="H333" s="122">
        <v>143</v>
      </c>
      <c r="I333" s="122">
        <v>4608</v>
      </c>
      <c r="J333" s="122">
        <v>4189</v>
      </c>
      <c r="K333" s="122">
        <v>79</v>
      </c>
      <c r="L333" s="122">
        <v>1465</v>
      </c>
      <c r="M333" s="122">
        <v>1221</v>
      </c>
      <c r="N333" s="122">
        <v>2341</v>
      </c>
      <c r="O333" s="122">
        <v>867</v>
      </c>
      <c r="P333" s="122">
        <v>473</v>
      </c>
      <c r="Q333" s="122">
        <v>175</v>
      </c>
      <c r="R333" s="122">
        <v>3315</v>
      </c>
      <c r="S333" s="122">
        <v>3014</v>
      </c>
      <c r="T333" s="122">
        <v>2611</v>
      </c>
      <c r="U333" s="122">
        <v>967</v>
      </c>
      <c r="V333" s="122">
        <v>10433</v>
      </c>
      <c r="W333" s="122">
        <f t="shared" si="10"/>
        <v>10433</v>
      </c>
      <c r="X333" s="122">
        <f t="shared" si="11"/>
        <v>14813</v>
      </c>
      <c r="Y333" s="122"/>
      <c r="AA333" t="s">
        <v>54</v>
      </c>
      <c r="AB333" t="s">
        <v>406</v>
      </c>
      <c r="AC333" t="s">
        <v>579</v>
      </c>
      <c r="AD333" t="s">
        <v>425</v>
      </c>
      <c r="AE333" t="s">
        <v>566</v>
      </c>
      <c r="AF333">
        <v>1</v>
      </c>
      <c r="AG333">
        <v>128</v>
      </c>
      <c r="AH333">
        <v>149</v>
      </c>
      <c r="AI333" s="122">
        <v>11020</v>
      </c>
      <c r="AJ333" s="122">
        <v>10018</v>
      </c>
      <c r="AK333">
        <v>95</v>
      </c>
      <c r="AL333" s="122">
        <v>2191</v>
      </c>
      <c r="AM333" s="122">
        <v>1825</v>
      </c>
      <c r="AN333" s="122">
        <v>1561</v>
      </c>
      <c r="AO333">
        <v>578</v>
      </c>
      <c r="AP333">
        <v>972</v>
      </c>
      <c r="AQ333">
        <v>360</v>
      </c>
      <c r="AR333" s="122">
        <v>3325</v>
      </c>
      <c r="AS333" s="122">
        <v>3023</v>
      </c>
      <c r="AT333">
        <v>0</v>
      </c>
      <c r="AU333">
        <v>0</v>
      </c>
      <c r="AV333" s="122">
        <v>15805</v>
      </c>
    </row>
    <row r="334" spans="2:48" ht="12.75" hidden="1" customHeight="1">
      <c r="B334" t="s">
        <v>365</v>
      </c>
      <c r="C334" t="s">
        <v>54</v>
      </c>
      <c r="D334" t="s">
        <v>407</v>
      </c>
      <c r="E334" t="s">
        <v>406</v>
      </c>
      <c r="F334">
        <v>2</v>
      </c>
      <c r="G334" s="122">
        <v>125</v>
      </c>
      <c r="H334" s="122">
        <v>262</v>
      </c>
      <c r="I334" s="122">
        <v>6046</v>
      </c>
      <c r="J334" s="122">
        <v>5496</v>
      </c>
      <c r="K334" s="122">
        <v>90</v>
      </c>
      <c r="L334" s="122">
        <v>765</v>
      </c>
      <c r="M334" s="122">
        <v>695</v>
      </c>
      <c r="N334" s="122">
        <v>1522</v>
      </c>
      <c r="O334" s="122">
        <v>564</v>
      </c>
      <c r="P334" s="122">
        <v>945</v>
      </c>
      <c r="Q334" s="122">
        <v>350</v>
      </c>
      <c r="R334" s="122">
        <v>7105</v>
      </c>
      <c r="S334" s="122">
        <v>6460</v>
      </c>
      <c r="T334" s="122">
        <v>0</v>
      </c>
      <c r="U334" s="122">
        <v>0</v>
      </c>
      <c r="V334" s="122">
        <v>13564</v>
      </c>
      <c r="W334" s="122">
        <f t="shared" si="10"/>
        <v>13565</v>
      </c>
      <c r="X334" s="122">
        <f t="shared" si="11"/>
        <v>16383</v>
      </c>
      <c r="Y334" s="122"/>
      <c r="AA334" t="s">
        <v>54</v>
      </c>
      <c r="AB334" t="s">
        <v>406</v>
      </c>
      <c r="AC334" t="s">
        <v>579</v>
      </c>
      <c r="AD334" t="s">
        <v>137</v>
      </c>
      <c r="AE334" t="s">
        <v>566</v>
      </c>
      <c r="AF334">
        <v>1</v>
      </c>
      <c r="AG334">
        <v>170</v>
      </c>
      <c r="AH334">
        <v>139</v>
      </c>
      <c r="AI334" s="122">
        <v>14151</v>
      </c>
      <c r="AJ334" s="122">
        <v>12865</v>
      </c>
      <c r="AK334">
        <v>85</v>
      </c>
      <c r="AL334" s="122">
        <v>2430</v>
      </c>
      <c r="AM334" s="122">
        <v>2025</v>
      </c>
      <c r="AN334" s="122">
        <v>2719</v>
      </c>
      <c r="AO334" s="122">
        <v>1007</v>
      </c>
      <c r="AP334">
        <v>621</v>
      </c>
      <c r="AQ334">
        <v>230</v>
      </c>
      <c r="AR334" s="122">
        <v>7530</v>
      </c>
      <c r="AS334" s="122">
        <v>2789</v>
      </c>
      <c r="AT334">
        <v>0</v>
      </c>
      <c r="AU334">
        <v>0</v>
      </c>
      <c r="AV334" s="122">
        <v>18915</v>
      </c>
    </row>
    <row r="335" spans="2:48" ht="12.75" hidden="1" customHeight="1">
      <c r="B335" t="s">
        <v>365</v>
      </c>
      <c r="C335" t="s">
        <v>54</v>
      </c>
      <c r="D335" t="s">
        <v>407</v>
      </c>
      <c r="E335" t="s">
        <v>407</v>
      </c>
      <c r="F335" s="122">
        <v>3776</v>
      </c>
      <c r="G335" s="122">
        <v>401688</v>
      </c>
      <c r="H335" s="122">
        <v>529642</v>
      </c>
      <c r="I335" s="122">
        <v>25595742</v>
      </c>
      <c r="J335" s="122">
        <v>23268856</v>
      </c>
      <c r="K335" s="122">
        <v>86</v>
      </c>
      <c r="L335" s="122">
        <v>5839354</v>
      </c>
      <c r="M335" s="122">
        <v>5030306</v>
      </c>
      <c r="N335" s="122">
        <v>7653528</v>
      </c>
      <c r="O335" s="122">
        <v>2834640</v>
      </c>
      <c r="P335" s="122">
        <v>1827822</v>
      </c>
      <c r="Q335" s="122">
        <v>676971</v>
      </c>
      <c r="R335" s="122">
        <v>15992146</v>
      </c>
      <c r="S335" s="122">
        <v>14538314</v>
      </c>
      <c r="T335" s="122">
        <v>165045</v>
      </c>
      <c r="U335" s="122">
        <v>61128</v>
      </c>
      <c r="V335" s="122">
        <v>46410215</v>
      </c>
      <c r="W335" s="122">
        <f t="shared" si="10"/>
        <v>46410215</v>
      </c>
      <c r="X335" s="122">
        <f t="shared" si="11"/>
        <v>57073637</v>
      </c>
      <c r="Y335" s="122"/>
      <c r="AA335" t="s">
        <v>54</v>
      </c>
      <c r="AB335" t="s">
        <v>406</v>
      </c>
      <c r="AC335" t="s">
        <v>579</v>
      </c>
      <c r="AD335" t="s">
        <v>406</v>
      </c>
      <c r="AE335" t="s">
        <v>137</v>
      </c>
      <c r="AF335">
        <v>150</v>
      </c>
      <c r="AG335" s="122">
        <v>17571</v>
      </c>
      <c r="AH335" s="122">
        <v>21314</v>
      </c>
      <c r="AI335" s="122">
        <v>1113274</v>
      </c>
      <c r="AJ335" s="122">
        <v>1012067</v>
      </c>
      <c r="AK335">
        <v>92</v>
      </c>
      <c r="AL335" s="122">
        <v>276015</v>
      </c>
      <c r="AM335" s="122">
        <v>230013</v>
      </c>
      <c r="AN335" s="122">
        <v>301670</v>
      </c>
      <c r="AO335" s="122">
        <v>111730</v>
      </c>
      <c r="AP335" s="122">
        <v>94635</v>
      </c>
      <c r="AQ335" s="122">
        <v>35050</v>
      </c>
      <c r="AR335" s="122">
        <v>603503</v>
      </c>
      <c r="AS335" s="122">
        <v>548639</v>
      </c>
      <c r="AT335" s="122">
        <v>130650</v>
      </c>
      <c r="AU335" s="122">
        <v>48389</v>
      </c>
      <c r="AV335" s="122">
        <v>1985887</v>
      </c>
    </row>
    <row r="336" spans="2:48" ht="12.75" hidden="1" customHeight="1">
      <c r="B336" t="s">
        <v>365</v>
      </c>
      <c r="C336" t="s">
        <v>54</v>
      </c>
      <c r="D336" t="s">
        <v>426</v>
      </c>
      <c r="E336" t="s">
        <v>426</v>
      </c>
      <c r="F336">
        <v>1</v>
      </c>
      <c r="G336" s="122">
        <v>117</v>
      </c>
      <c r="H336" s="122">
        <v>131</v>
      </c>
      <c r="I336" s="122">
        <v>9917</v>
      </c>
      <c r="J336" s="122">
        <v>9015</v>
      </c>
      <c r="K336">
        <v>77</v>
      </c>
      <c r="L336" s="122">
        <v>0</v>
      </c>
      <c r="M336" s="122">
        <v>0</v>
      </c>
      <c r="N336" s="122">
        <v>1429</v>
      </c>
      <c r="O336" s="122">
        <v>529</v>
      </c>
      <c r="P336" s="122">
        <v>351</v>
      </c>
      <c r="Q336" s="122">
        <v>130</v>
      </c>
      <c r="R336" s="122">
        <v>3712</v>
      </c>
      <c r="S336" s="122">
        <v>3375</v>
      </c>
      <c r="T336" s="122">
        <v>0</v>
      </c>
      <c r="U336" s="122">
        <v>0</v>
      </c>
      <c r="V336" s="122">
        <v>13049</v>
      </c>
      <c r="W336" s="122">
        <f t="shared" si="10"/>
        <v>13049</v>
      </c>
      <c r="X336" s="122">
        <f t="shared" si="11"/>
        <v>15409</v>
      </c>
      <c r="Y336" s="122"/>
      <c r="AA336" t="s">
        <v>54</v>
      </c>
      <c r="AB336" t="s">
        <v>406</v>
      </c>
      <c r="AC336" t="s">
        <v>579</v>
      </c>
      <c r="AD336" t="s">
        <v>406</v>
      </c>
      <c r="AE336" t="s">
        <v>566</v>
      </c>
      <c r="AF336">
        <v>670</v>
      </c>
      <c r="AG336" s="122">
        <v>74437</v>
      </c>
      <c r="AH336" s="122">
        <v>94101</v>
      </c>
      <c r="AI336" s="122">
        <v>4816979</v>
      </c>
      <c r="AJ336" s="122">
        <v>4379072</v>
      </c>
      <c r="AK336">
        <v>92</v>
      </c>
      <c r="AL336" s="122">
        <v>1151460</v>
      </c>
      <c r="AM336" s="122">
        <v>959550</v>
      </c>
      <c r="AN336" s="122">
        <v>1304256</v>
      </c>
      <c r="AO336" s="122">
        <v>483058</v>
      </c>
      <c r="AP336" s="122">
        <v>444674</v>
      </c>
      <c r="AQ336" s="122">
        <v>164694</v>
      </c>
      <c r="AR336" s="122">
        <v>2815444</v>
      </c>
      <c r="AS336" s="122">
        <v>2559495</v>
      </c>
      <c r="AT336">
        <v>0</v>
      </c>
      <c r="AU336">
        <v>0</v>
      </c>
      <c r="AV336" s="122">
        <v>8545869</v>
      </c>
    </row>
    <row r="337" spans="2:48" ht="12.75" hidden="1" customHeight="1">
      <c r="B337" t="s">
        <v>365</v>
      </c>
      <c r="C337" t="s">
        <v>54</v>
      </c>
      <c r="D337" t="s">
        <v>408</v>
      </c>
      <c r="E337" t="s">
        <v>408</v>
      </c>
      <c r="F337" s="122">
        <v>2</v>
      </c>
      <c r="G337" s="122">
        <v>198</v>
      </c>
      <c r="H337" s="122">
        <v>285</v>
      </c>
      <c r="I337" s="122">
        <v>13410</v>
      </c>
      <c r="J337" s="122">
        <v>12191</v>
      </c>
      <c r="K337" s="122">
        <v>78</v>
      </c>
      <c r="L337" s="122">
        <v>2230</v>
      </c>
      <c r="M337" s="122">
        <v>2473</v>
      </c>
      <c r="N337" s="122">
        <v>3813</v>
      </c>
      <c r="O337" s="122">
        <v>1412</v>
      </c>
      <c r="P337" s="122">
        <v>702</v>
      </c>
      <c r="Q337" s="122">
        <v>260</v>
      </c>
      <c r="R337" s="122">
        <v>7983</v>
      </c>
      <c r="S337" s="122">
        <v>7257</v>
      </c>
      <c r="T337" s="122">
        <v>0</v>
      </c>
      <c r="U337" s="122">
        <v>0</v>
      </c>
      <c r="V337" s="122">
        <v>23593</v>
      </c>
      <c r="W337" s="122">
        <f t="shared" si="10"/>
        <v>23593</v>
      </c>
      <c r="X337" s="122">
        <f t="shared" si="11"/>
        <v>28138</v>
      </c>
      <c r="Y337" s="122"/>
      <c r="AA337" t="s">
        <v>54</v>
      </c>
      <c r="AB337" t="s">
        <v>406</v>
      </c>
      <c r="AC337" t="s">
        <v>579</v>
      </c>
      <c r="AD337" t="s">
        <v>407</v>
      </c>
      <c r="AE337" t="s">
        <v>566</v>
      </c>
      <c r="AF337">
        <v>1</v>
      </c>
      <c r="AG337">
        <v>104</v>
      </c>
      <c r="AH337">
        <v>146</v>
      </c>
      <c r="AI337" s="122">
        <v>8734</v>
      </c>
      <c r="AJ337" s="122">
        <v>7940</v>
      </c>
      <c r="AK337">
        <v>97</v>
      </c>
      <c r="AL337" s="122">
        <v>3423</v>
      </c>
      <c r="AM337" s="122">
        <v>2852</v>
      </c>
      <c r="AN337" s="122">
        <v>1788</v>
      </c>
      <c r="AO337">
        <v>662</v>
      </c>
      <c r="AP337">
        <v>621</v>
      </c>
      <c r="AQ337">
        <v>230</v>
      </c>
      <c r="AR337" s="122">
        <v>4416</v>
      </c>
      <c r="AS337" s="122">
        <v>4014</v>
      </c>
      <c r="AT337">
        <v>0</v>
      </c>
      <c r="AU337">
        <v>0</v>
      </c>
      <c r="AV337" s="122">
        <v>15699</v>
      </c>
    </row>
    <row r="338" spans="2:48" ht="12.75" hidden="1" customHeight="1">
      <c r="B338" t="s">
        <v>365</v>
      </c>
      <c r="C338" t="s">
        <v>54</v>
      </c>
      <c r="D338" t="s">
        <v>429</v>
      </c>
      <c r="E338" t="s">
        <v>429</v>
      </c>
      <c r="F338">
        <v>1</v>
      </c>
      <c r="G338" s="122">
        <v>101</v>
      </c>
      <c r="H338" s="122">
        <v>139</v>
      </c>
      <c r="I338" s="122">
        <v>7920</v>
      </c>
      <c r="J338" s="122">
        <v>7200</v>
      </c>
      <c r="K338">
        <v>65</v>
      </c>
      <c r="L338" s="122">
        <v>880</v>
      </c>
      <c r="M338" s="122">
        <v>800</v>
      </c>
      <c r="N338" s="122">
        <v>1752</v>
      </c>
      <c r="O338" s="122">
        <v>649</v>
      </c>
      <c r="P338" s="122">
        <v>2045</v>
      </c>
      <c r="Q338" s="122">
        <v>757</v>
      </c>
      <c r="R338" s="122">
        <v>1494</v>
      </c>
      <c r="S338" s="122">
        <v>1358</v>
      </c>
      <c r="T338" s="122">
        <v>0</v>
      </c>
      <c r="U338" s="122">
        <v>0</v>
      </c>
      <c r="V338" s="122">
        <v>10765</v>
      </c>
      <c r="W338" s="122">
        <f t="shared" si="10"/>
        <v>10764</v>
      </c>
      <c r="X338" s="122">
        <f t="shared" si="11"/>
        <v>14091</v>
      </c>
      <c r="Y338" s="122"/>
      <c r="AA338" t="s">
        <v>54</v>
      </c>
      <c r="AB338" t="s">
        <v>406</v>
      </c>
      <c r="AC338" t="s">
        <v>428</v>
      </c>
      <c r="AD338" t="s">
        <v>406</v>
      </c>
      <c r="AE338" t="s">
        <v>137</v>
      </c>
      <c r="AF338">
        <v>14</v>
      </c>
      <c r="AG338" s="122">
        <v>1638</v>
      </c>
      <c r="AH338" s="122">
        <v>2010</v>
      </c>
      <c r="AI338" s="122">
        <v>109167</v>
      </c>
      <c r="AJ338" s="122">
        <v>99242</v>
      </c>
      <c r="AK338">
        <v>90</v>
      </c>
      <c r="AL338" s="122">
        <v>27684</v>
      </c>
      <c r="AM338" s="122">
        <v>25167</v>
      </c>
      <c r="AN338" s="122">
        <v>27849</v>
      </c>
      <c r="AO338" s="122">
        <v>10315</v>
      </c>
      <c r="AP338" s="122">
        <v>9045</v>
      </c>
      <c r="AQ338" s="122">
        <v>3350</v>
      </c>
      <c r="AR338" s="122">
        <v>57759</v>
      </c>
      <c r="AS338" s="122">
        <v>52508</v>
      </c>
      <c r="AT338" s="122">
        <v>9497</v>
      </c>
      <c r="AU338" s="122">
        <v>3518</v>
      </c>
      <c r="AV338" s="122">
        <v>194100</v>
      </c>
    </row>
    <row r="339" spans="2:48" hidden="1">
      <c r="B339" t="s">
        <v>365</v>
      </c>
      <c r="C339" t="s">
        <v>56</v>
      </c>
      <c r="F339" s="122">
        <v>47</v>
      </c>
      <c r="G339" s="122">
        <v>3075</v>
      </c>
      <c r="H339" s="122">
        <v>8677</v>
      </c>
      <c r="I339" s="122"/>
      <c r="J339" s="122">
        <v>0</v>
      </c>
      <c r="L339" s="122"/>
      <c r="M339" s="122">
        <v>0</v>
      </c>
      <c r="N339" s="122">
        <v>60064</v>
      </c>
      <c r="O339" s="122">
        <v>22246</v>
      </c>
      <c r="P339" s="122">
        <v>15687</v>
      </c>
      <c r="Q339" s="122">
        <v>5810</v>
      </c>
      <c r="R339" s="122"/>
      <c r="S339" s="122">
        <v>0</v>
      </c>
      <c r="T339" s="122">
        <v>12277</v>
      </c>
      <c r="U339" s="122">
        <v>4547</v>
      </c>
      <c r="V339" s="122">
        <v>32603</v>
      </c>
      <c r="W339" s="122">
        <f t="shared" si="10"/>
        <v>32603</v>
      </c>
      <c r="X339" s="122">
        <f t="shared" si="11"/>
        <v>88028</v>
      </c>
      <c r="Y339" s="122"/>
      <c r="AA339" t="s">
        <v>54</v>
      </c>
      <c r="AB339" t="s">
        <v>406</v>
      </c>
      <c r="AC339" t="s">
        <v>428</v>
      </c>
      <c r="AD339" t="s">
        <v>406</v>
      </c>
      <c r="AE339" t="s">
        <v>566</v>
      </c>
      <c r="AF339">
        <v>32</v>
      </c>
      <c r="AG339" s="122">
        <v>3584</v>
      </c>
      <c r="AH339" s="122">
        <v>4527</v>
      </c>
      <c r="AI339" s="122">
        <v>222831</v>
      </c>
      <c r="AJ339" s="122">
        <v>202573</v>
      </c>
      <c r="AK339">
        <v>90</v>
      </c>
      <c r="AL339" s="122">
        <v>62365</v>
      </c>
      <c r="AM339" s="122">
        <v>56695</v>
      </c>
      <c r="AN339" s="122">
        <v>66175</v>
      </c>
      <c r="AO339" s="122">
        <v>24509</v>
      </c>
      <c r="AP339" s="122">
        <v>19872</v>
      </c>
      <c r="AQ339" s="122">
        <v>7360</v>
      </c>
      <c r="AR339" s="122">
        <v>136389</v>
      </c>
      <c r="AS339" s="122">
        <v>123990</v>
      </c>
      <c r="AT339">
        <v>0</v>
      </c>
      <c r="AU339">
        <v>0</v>
      </c>
      <c r="AV339" s="122">
        <v>415127</v>
      </c>
    </row>
    <row r="340" spans="2:48" hidden="1">
      <c r="B340" t="s">
        <v>365</v>
      </c>
      <c r="C340" t="s">
        <v>56</v>
      </c>
      <c r="D340" t="s">
        <v>425</v>
      </c>
      <c r="E340" t="s">
        <v>425</v>
      </c>
      <c r="F340">
        <v>7</v>
      </c>
      <c r="G340" s="122">
        <v>811</v>
      </c>
      <c r="H340" s="122">
        <v>1314</v>
      </c>
      <c r="I340" s="122">
        <v>81740</v>
      </c>
      <c r="J340" s="122">
        <v>74309</v>
      </c>
      <c r="K340" s="122">
        <v>86</v>
      </c>
      <c r="L340" s="122">
        <v>18443</v>
      </c>
      <c r="M340" s="122">
        <v>15490</v>
      </c>
      <c r="N340" s="122">
        <v>16506</v>
      </c>
      <c r="O340" s="122">
        <v>6113</v>
      </c>
      <c r="P340" s="122">
        <v>3308</v>
      </c>
      <c r="Q340" s="122">
        <v>1225</v>
      </c>
      <c r="R340" s="122">
        <v>33188</v>
      </c>
      <c r="S340" s="122">
        <v>30171</v>
      </c>
      <c r="T340" s="122">
        <v>2201</v>
      </c>
      <c r="U340" s="122">
        <v>815</v>
      </c>
      <c r="V340" s="122">
        <v>128124</v>
      </c>
      <c r="W340" s="122">
        <f t="shared" si="10"/>
        <v>128123</v>
      </c>
      <c r="X340" s="122">
        <f t="shared" si="11"/>
        <v>155386</v>
      </c>
      <c r="Y340" s="122"/>
      <c r="AA340" t="s">
        <v>54</v>
      </c>
      <c r="AB340" t="s">
        <v>406</v>
      </c>
      <c r="AC340" t="s">
        <v>431</v>
      </c>
      <c r="AD340" t="s">
        <v>406</v>
      </c>
      <c r="AE340" t="s">
        <v>137</v>
      </c>
      <c r="AF340">
        <v>5</v>
      </c>
      <c r="AG340">
        <v>616</v>
      </c>
      <c r="AH340">
        <v>721</v>
      </c>
      <c r="AI340" s="122">
        <v>42529</v>
      </c>
      <c r="AJ340" s="122">
        <v>38663</v>
      </c>
      <c r="AK340">
        <v>92</v>
      </c>
      <c r="AL340" s="122">
        <v>9849</v>
      </c>
      <c r="AM340" s="122">
        <v>8953</v>
      </c>
      <c r="AN340" s="122">
        <v>10630</v>
      </c>
      <c r="AO340" s="122">
        <v>3937</v>
      </c>
      <c r="AP340" s="122">
        <v>3105</v>
      </c>
      <c r="AQ340" s="122">
        <v>1150</v>
      </c>
      <c r="AR340" s="122">
        <v>19651</v>
      </c>
      <c r="AS340" s="122">
        <v>17865</v>
      </c>
      <c r="AT340" s="122">
        <v>3308</v>
      </c>
      <c r="AU340" s="122">
        <v>1225</v>
      </c>
      <c r="AV340" s="122">
        <v>71793</v>
      </c>
    </row>
    <row r="341" spans="2:48" hidden="1">
      <c r="B341" t="s">
        <v>365</v>
      </c>
      <c r="C341" t="s">
        <v>56</v>
      </c>
      <c r="D341" t="s">
        <v>425</v>
      </c>
      <c r="E341" t="s">
        <v>406</v>
      </c>
      <c r="F341">
        <v>2</v>
      </c>
      <c r="G341" s="122">
        <v>232</v>
      </c>
      <c r="H341" s="122">
        <v>431</v>
      </c>
      <c r="I341" s="122">
        <v>28275</v>
      </c>
      <c r="J341" s="122">
        <v>25705</v>
      </c>
      <c r="K341" s="122">
        <v>70</v>
      </c>
      <c r="L341" s="122">
        <v>4739</v>
      </c>
      <c r="M341" s="122">
        <v>4106</v>
      </c>
      <c r="N341" s="122">
        <v>3235</v>
      </c>
      <c r="O341" s="122">
        <v>1198</v>
      </c>
      <c r="P341" s="122">
        <v>1242</v>
      </c>
      <c r="Q341" s="122">
        <v>460</v>
      </c>
      <c r="R341" s="122">
        <v>12719</v>
      </c>
      <c r="S341" s="122">
        <v>11562</v>
      </c>
      <c r="T341" s="122">
        <v>0</v>
      </c>
      <c r="U341" s="122">
        <v>0</v>
      </c>
      <c r="V341" s="122">
        <v>43031</v>
      </c>
      <c r="W341" s="122">
        <f t="shared" si="10"/>
        <v>43031</v>
      </c>
      <c r="X341" s="122">
        <f t="shared" si="11"/>
        <v>50210</v>
      </c>
      <c r="Y341" s="122"/>
      <c r="AA341" t="s">
        <v>54</v>
      </c>
      <c r="AB341" t="s">
        <v>406</v>
      </c>
      <c r="AC341" t="s">
        <v>431</v>
      </c>
      <c r="AD341" t="s">
        <v>406</v>
      </c>
      <c r="AE341" t="s">
        <v>566</v>
      </c>
      <c r="AF341">
        <v>8</v>
      </c>
      <c r="AG341">
        <v>811</v>
      </c>
      <c r="AH341" s="122">
        <v>1118</v>
      </c>
      <c r="AI341" s="122">
        <v>49903</v>
      </c>
      <c r="AJ341" s="122">
        <v>45366</v>
      </c>
      <c r="AK341">
        <v>91</v>
      </c>
      <c r="AL341" s="122">
        <v>10683</v>
      </c>
      <c r="AM341" s="122">
        <v>9712</v>
      </c>
      <c r="AN341" s="122">
        <v>16139</v>
      </c>
      <c r="AO341" s="122">
        <v>5978</v>
      </c>
      <c r="AP341" s="122">
        <v>4968</v>
      </c>
      <c r="AQ341" s="122">
        <v>1840</v>
      </c>
      <c r="AR341" s="122">
        <v>34811</v>
      </c>
      <c r="AS341" s="122">
        <v>31647</v>
      </c>
      <c r="AT341">
        <v>0</v>
      </c>
      <c r="AU341">
        <v>0</v>
      </c>
      <c r="AV341" s="122">
        <v>94542</v>
      </c>
    </row>
    <row r="342" spans="2:48" hidden="1">
      <c r="B342" t="s">
        <v>365</v>
      </c>
      <c r="C342" t="s">
        <v>56</v>
      </c>
      <c r="D342" t="s">
        <v>425</v>
      </c>
      <c r="E342" t="s">
        <v>407</v>
      </c>
      <c r="F342" s="122">
        <v>1</v>
      </c>
      <c r="G342" s="122">
        <v>83</v>
      </c>
      <c r="H342" s="122">
        <v>215</v>
      </c>
      <c r="I342" s="122">
        <v>7143</v>
      </c>
      <c r="J342" s="122">
        <v>6494</v>
      </c>
      <c r="K342" s="122">
        <v>90</v>
      </c>
      <c r="L342" s="122">
        <v>2476</v>
      </c>
      <c r="M342" s="122">
        <v>2064</v>
      </c>
      <c r="N342" s="122">
        <v>1718</v>
      </c>
      <c r="O342" s="122">
        <v>636</v>
      </c>
      <c r="P342" s="122">
        <v>473</v>
      </c>
      <c r="Q342" s="122">
        <v>175</v>
      </c>
      <c r="R342" s="122">
        <v>3525</v>
      </c>
      <c r="S342" s="122">
        <v>3204</v>
      </c>
      <c r="T342" s="122">
        <v>2568</v>
      </c>
      <c r="U342" s="122">
        <v>951</v>
      </c>
      <c r="V342" s="122">
        <v>13524</v>
      </c>
      <c r="W342" s="122">
        <f t="shared" si="10"/>
        <v>13524</v>
      </c>
      <c r="X342" s="122">
        <f t="shared" si="11"/>
        <v>17903</v>
      </c>
      <c r="Y342" s="122"/>
      <c r="AA342" t="s">
        <v>54</v>
      </c>
      <c r="AB342" t="s">
        <v>406</v>
      </c>
      <c r="AC342" t="s">
        <v>426</v>
      </c>
      <c r="AD342" t="s">
        <v>425</v>
      </c>
      <c r="AE342" t="s">
        <v>566</v>
      </c>
      <c r="AF342">
        <v>1</v>
      </c>
      <c r="AG342">
        <v>175</v>
      </c>
      <c r="AH342">
        <v>139</v>
      </c>
      <c r="AI342" s="122">
        <v>12821</v>
      </c>
      <c r="AJ342" s="122">
        <v>11655</v>
      </c>
      <c r="AK342">
        <v>95</v>
      </c>
      <c r="AL342" s="122">
        <v>1975</v>
      </c>
      <c r="AM342" s="122">
        <v>1795</v>
      </c>
      <c r="AN342" s="122">
        <v>2449</v>
      </c>
      <c r="AO342">
        <v>907</v>
      </c>
      <c r="AP342">
        <v>621</v>
      </c>
      <c r="AQ342">
        <v>230</v>
      </c>
      <c r="AR342" s="122">
        <v>6353</v>
      </c>
      <c r="AS342" s="122">
        <v>5776</v>
      </c>
      <c r="AT342">
        <v>0</v>
      </c>
      <c r="AU342">
        <v>0</v>
      </c>
      <c r="AV342" s="122">
        <v>20363</v>
      </c>
    </row>
    <row r="343" spans="2:48" hidden="1">
      <c r="B343" t="s">
        <v>365</v>
      </c>
      <c r="C343" t="s">
        <v>56</v>
      </c>
      <c r="D343" t="s">
        <v>405</v>
      </c>
      <c r="E343" t="s">
        <v>425</v>
      </c>
      <c r="F343" s="122">
        <v>2</v>
      </c>
      <c r="G343" s="122">
        <v>267</v>
      </c>
      <c r="H343" s="122">
        <v>333</v>
      </c>
      <c r="I343" s="122">
        <v>22311</v>
      </c>
      <c r="J343" s="122">
        <v>20283</v>
      </c>
      <c r="K343" s="122">
        <v>78</v>
      </c>
      <c r="L343" s="122">
        <v>6256</v>
      </c>
      <c r="M343" s="122">
        <v>5687</v>
      </c>
      <c r="N343" s="122">
        <v>4847</v>
      </c>
      <c r="O343" s="122">
        <v>1795</v>
      </c>
      <c r="P343" s="122">
        <v>824</v>
      </c>
      <c r="Q343" s="122">
        <v>305</v>
      </c>
      <c r="R343" s="122">
        <v>10413</v>
      </c>
      <c r="S343" s="122">
        <v>9466</v>
      </c>
      <c r="T343" s="122">
        <v>0</v>
      </c>
      <c r="U343" s="122">
        <v>0</v>
      </c>
      <c r="V343" s="122">
        <v>37536</v>
      </c>
      <c r="W343" s="122">
        <f t="shared" si="10"/>
        <v>37536</v>
      </c>
      <c r="X343" s="122">
        <f t="shared" si="11"/>
        <v>44651</v>
      </c>
      <c r="Y343" s="122"/>
      <c r="AA343" t="s">
        <v>54</v>
      </c>
      <c r="AB343" t="s">
        <v>406</v>
      </c>
      <c r="AC343" t="s">
        <v>426</v>
      </c>
      <c r="AD343" t="s">
        <v>137</v>
      </c>
      <c r="AE343" t="s">
        <v>566</v>
      </c>
      <c r="AF343">
        <v>4</v>
      </c>
      <c r="AG343">
        <v>535</v>
      </c>
      <c r="AH343">
        <v>536</v>
      </c>
      <c r="AI343" s="122">
        <v>36356</v>
      </c>
      <c r="AJ343" s="122">
        <v>33051</v>
      </c>
      <c r="AK343">
        <v>94</v>
      </c>
      <c r="AL343" s="122">
        <v>9707</v>
      </c>
      <c r="AM343" s="122">
        <v>8825</v>
      </c>
      <c r="AN343" s="122">
        <v>9000</v>
      </c>
      <c r="AO343" s="122">
        <v>3333</v>
      </c>
      <c r="AP343" s="122">
        <v>2835</v>
      </c>
      <c r="AQ343" s="122">
        <v>1050</v>
      </c>
      <c r="AR343" s="122">
        <v>13194</v>
      </c>
      <c r="AS343" s="122">
        <v>4887</v>
      </c>
      <c r="AT343">
        <v>0</v>
      </c>
      <c r="AU343">
        <v>0</v>
      </c>
      <c r="AV343" s="122">
        <v>51145</v>
      </c>
    </row>
    <row r="344" spans="2:48" hidden="1">
      <c r="B344" t="s">
        <v>365</v>
      </c>
      <c r="C344" t="s">
        <v>56</v>
      </c>
      <c r="D344" t="s">
        <v>405</v>
      </c>
      <c r="E344" t="s">
        <v>405</v>
      </c>
      <c r="F344" s="122">
        <v>279</v>
      </c>
      <c r="G344" s="122">
        <v>29310</v>
      </c>
      <c r="H344" s="122">
        <v>49493</v>
      </c>
      <c r="I344" s="122">
        <v>2486227</v>
      </c>
      <c r="J344" s="122">
        <v>2260206</v>
      </c>
      <c r="K344" s="122">
        <v>82</v>
      </c>
      <c r="L344" s="122">
        <v>642868</v>
      </c>
      <c r="M344" s="122">
        <v>562863</v>
      </c>
      <c r="N344" s="122">
        <v>621636</v>
      </c>
      <c r="O344" s="122">
        <v>230235</v>
      </c>
      <c r="P344" s="122">
        <v>131976</v>
      </c>
      <c r="Q344" s="122">
        <v>48880</v>
      </c>
      <c r="R344" s="122">
        <v>1263893</v>
      </c>
      <c r="S344" s="122">
        <v>1148993</v>
      </c>
      <c r="T344" s="122">
        <v>73527</v>
      </c>
      <c r="U344" s="122">
        <v>27232</v>
      </c>
      <c r="V344" s="122">
        <v>4278410</v>
      </c>
      <c r="W344" s="122">
        <f t="shared" si="10"/>
        <v>4278409</v>
      </c>
      <c r="X344" s="122">
        <f t="shared" si="11"/>
        <v>5220127</v>
      </c>
      <c r="Y344" s="122"/>
      <c r="AA344" t="s">
        <v>54</v>
      </c>
      <c r="AB344" t="s">
        <v>406</v>
      </c>
      <c r="AC344" t="s">
        <v>426</v>
      </c>
      <c r="AD344" t="s">
        <v>406</v>
      </c>
      <c r="AE344" t="s">
        <v>137</v>
      </c>
      <c r="AF344">
        <v>801</v>
      </c>
      <c r="AG344" s="122">
        <v>89486</v>
      </c>
      <c r="AH344" s="122">
        <v>114007</v>
      </c>
      <c r="AI344" s="122">
        <v>5563229</v>
      </c>
      <c r="AJ344" s="122">
        <v>5057481</v>
      </c>
      <c r="AK344">
        <v>90</v>
      </c>
      <c r="AL344" s="122">
        <v>1361261</v>
      </c>
      <c r="AM344" s="122">
        <v>1237510</v>
      </c>
      <c r="AN344" s="122">
        <v>1585914</v>
      </c>
      <c r="AO344" s="122">
        <v>587376</v>
      </c>
      <c r="AP344" s="122">
        <v>499883</v>
      </c>
      <c r="AQ344" s="122">
        <v>185142</v>
      </c>
      <c r="AR344" s="122">
        <v>3086501</v>
      </c>
      <c r="AS344" s="122">
        <v>2805910</v>
      </c>
      <c r="AT344" s="122">
        <v>801732</v>
      </c>
      <c r="AU344" s="122">
        <v>296938</v>
      </c>
      <c r="AV344" s="122">
        <v>10170356</v>
      </c>
    </row>
    <row r="345" spans="2:48" hidden="1">
      <c r="B345" t="s">
        <v>365</v>
      </c>
      <c r="C345" t="s">
        <v>56</v>
      </c>
      <c r="D345" t="s">
        <v>405</v>
      </c>
      <c r="E345" t="s">
        <v>407</v>
      </c>
      <c r="F345">
        <v>2</v>
      </c>
      <c r="G345" s="122">
        <v>182</v>
      </c>
      <c r="H345" s="122">
        <v>418</v>
      </c>
      <c r="I345" s="122">
        <v>18913</v>
      </c>
      <c r="J345" s="122">
        <v>17194</v>
      </c>
      <c r="K345" s="122">
        <v>85</v>
      </c>
      <c r="L345" s="122">
        <v>5731</v>
      </c>
      <c r="M345" s="122">
        <v>5210</v>
      </c>
      <c r="N345" s="122">
        <v>3231</v>
      </c>
      <c r="O345" s="122">
        <v>1197</v>
      </c>
      <c r="P345" s="122">
        <v>945</v>
      </c>
      <c r="Q345" s="122">
        <v>350</v>
      </c>
      <c r="R345" s="122">
        <v>9238</v>
      </c>
      <c r="S345" s="122">
        <v>8398</v>
      </c>
      <c r="T345" s="122">
        <v>0</v>
      </c>
      <c r="U345" s="122">
        <v>0</v>
      </c>
      <c r="V345" s="122">
        <v>32348</v>
      </c>
      <c r="W345" s="122">
        <f t="shared" si="10"/>
        <v>32349</v>
      </c>
      <c r="X345" s="122">
        <f t="shared" si="11"/>
        <v>38058</v>
      </c>
      <c r="Y345" s="122"/>
      <c r="AA345" t="s">
        <v>54</v>
      </c>
      <c r="AB345" t="s">
        <v>406</v>
      </c>
      <c r="AC345" t="s">
        <v>426</v>
      </c>
      <c r="AD345" t="s">
        <v>406</v>
      </c>
      <c r="AE345" t="s">
        <v>566</v>
      </c>
      <c r="AF345" s="122">
        <v>3813</v>
      </c>
      <c r="AG345" s="122">
        <v>408230</v>
      </c>
      <c r="AH345" s="122">
        <v>535447</v>
      </c>
      <c r="AI345" s="122">
        <v>25801962</v>
      </c>
      <c r="AJ345" s="122">
        <v>23456329</v>
      </c>
      <c r="AK345">
        <v>90</v>
      </c>
      <c r="AL345" s="122">
        <v>6213436</v>
      </c>
      <c r="AM345" s="122">
        <v>5648578</v>
      </c>
      <c r="AN345" s="122">
        <v>7210889</v>
      </c>
      <c r="AO345" s="122">
        <v>2670700</v>
      </c>
      <c r="AP345" s="122">
        <v>2474189</v>
      </c>
      <c r="AQ345" s="122">
        <v>916366</v>
      </c>
      <c r="AR345" s="122">
        <v>16346306</v>
      </c>
      <c r="AS345" s="122">
        <v>14860278</v>
      </c>
      <c r="AT345">
        <v>0</v>
      </c>
      <c r="AU345">
        <v>0</v>
      </c>
      <c r="AV345" s="122">
        <v>47552251</v>
      </c>
    </row>
    <row r="346" spans="2:48" hidden="1">
      <c r="B346" t="s">
        <v>365</v>
      </c>
      <c r="C346" t="s">
        <v>56</v>
      </c>
      <c r="D346" t="s">
        <v>137</v>
      </c>
      <c r="E346" t="s">
        <v>137</v>
      </c>
      <c r="F346">
        <v>356</v>
      </c>
      <c r="G346" s="122">
        <v>33513</v>
      </c>
      <c r="H346" s="122">
        <v>70990</v>
      </c>
      <c r="I346" s="122">
        <v>3177211</v>
      </c>
      <c r="J346" s="122">
        <v>1176745</v>
      </c>
      <c r="K346" s="122">
        <v>153</v>
      </c>
      <c r="L346" s="122">
        <v>529153</v>
      </c>
      <c r="M346" s="122">
        <v>332056</v>
      </c>
      <c r="N346" s="122">
        <v>617500</v>
      </c>
      <c r="O346" s="122">
        <v>228704</v>
      </c>
      <c r="P346" s="122">
        <v>31818</v>
      </c>
      <c r="Q346" s="122">
        <v>11784</v>
      </c>
      <c r="R346" s="122">
        <v>2460563</v>
      </c>
      <c r="S346" s="122">
        <v>911320</v>
      </c>
      <c r="T346" s="122">
        <v>7731</v>
      </c>
      <c r="U346" s="122">
        <v>2863</v>
      </c>
      <c r="V346" s="122">
        <v>2663472</v>
      </c>
      <c r="W346" s="122">
        <f t="shared" si="10"/>
        <v>2663472</v>
      </c>
      <c r="X346" s="122">
        <f t="shared" si="11"/>
        <v>6823976</v>
      </c>
      <c r="Y346" s="122"/>
      <c r="AA346" t="s">
        <v>54</v>
      </c>
      <c r="AB346" t="s">
        <v>406</v>
      </c>
      <c r="AC346" t="s">
        <v>426</v>
      </c>
      <c r="AD346" t="s">
        <v>427</v>
      </c>
      <c r="AE346" t="s">
        <v>566</v>
      </c>
      <c r="AF346">
        <v>1</v>
      </c>
      <c r="AG346">
        <v>134</v>
      </c>
      <c r="AH346">
        <v>146</v>
      </c>
      <c r="AI346" s="122">
        <v>8075</v>
      </c>
      <c r="AJ346" s="122">
        <v>7341</v>
      </c>
      <c r="AK346">
        <v>94</v>
      </c>
      <c r="AL346" s="122">
        <v>2811</v>
      </c>
      <c r="AM346" s="122">
        <v>2556</v>
      </c>
      <c r="AN346" s="122">
        <v>2735</v>
      </c>
      <c r="AO346" s="122">
        <v>1013</v>
      </c>
      <c r="AP346">
        <v>621</v>
      </c>
      <c r="AQ346">
        <v>230</v>
      </c>
      <c r="AR346" s="122">
        <v>5386</v>
      </c>
      <c r="AS346" s="122">
        <v>4896</v>
      </c>
      <c r="AT346">
        <v>0</v>
      </c>
      <c r="AU346">
        <v>0</v>
      </c>
      <c r="AV346" s="122">
        <v>16036</v>
      </c>
    </row>
    <row r="347" spans="2:48" hidden="1">
      <c r="B347" t="s">
        <v>365</v>
      </c>
      <c r="C347" t="s">
        <v>56</v>
      </c>
      <c r="D347" t="s">
        <v>137</v>
      </c>
      <c r="E347" t="s">
        <v>426</v>
      </c>
      <c r="F347">
        <v>1</v>
      </c>
      <c r="G347" s="122">
        <v>123</v>
      </c>
      <c r="H347" s="122">
        <v>218</v>
      </c>
      <c r="I347" s="122">
        <v>16588</v>
      </c>
      <c r="J347" s="122">
        <v>6144</v>
      </c>
      <c r="K347" s="122">
        <v>100</v>
      </c>
      <c r="L347" s="122">
        <v>2816</v>
      </c>
      <c r="M347" s="122">
        <v>2560</v>
      </c>
      <c r="N347" s="122">
        <v>2392</v>
      </c>
      <c r="O347" s="122">
        <v>886</v>
      </c>
      <c r="P347" s="122">
        <v>0</v>
      </c>
      <c r="Q347" s="122">
        <v>0</v>
      </c>
      <c r="R347" s="122">
        <v>4054</v>
      </c>
      <c r="S347" s="122">
        <v>3685</v>
      </c>
      <c r="T347" s="122">
        <v>1089</v>
      </c>
      <c r="U347" s="122">
        <v>403</v>
      </c>
      <c r="V347" s="122">
        <v>13678</v>
      </c>
      <c r="W347" s="122">
        <f t="shared" si="10"/>
        <v>13678</v>
      </c>
      <c r="X347" s="122">
        <f t="shared" si="11"/>
        <v>26939</v>
      </c>
      <c r="Y347" s="122"/>
      <c r="AA347" t="s">
        <v>54</v>
      </c>
      <c r="AB347" t="s">
        <v>406</v>
      </c>
      <c r="AC347" t="s">
        <v>426</v>
      </c>
      <c r="AD347" t="s">
        <v>407</v>
      </c>
      <c r="AE347" t="s">
        <v>566</v>
      </c>
      <c r="AF347">
        <v>1</v>
      </c>
      <c r="AG347">
        <v>160</v>
      </c>
      <c r="AH347">
        <v>146</v>
      </c>
      <c r="AI347" s="122">
        <v>12259</v>
      </c>
      <c r="AJ347" s="122">
        <v>11144</v>
      </c>
      <c r="AK347">
        <v>93</v>
      </c>
      <c r="AL347" s="122">
        <v>2107</v>
      </c>
      <c r="AM347" s="122">
        <v>1915</v>
      </c>
      <c r="AN347" s="122">
        <v>3127</v>
      </c>
      <c r="AO347" s="122">
        <v>1158</v>
      </c>
      <c r="AP347" s="122">
        <v>2727</v>
      </c>
      <c r="AQ347" s="122">
        <v>1010</v>
      </c>
      <c r="AR347" s="122">
        <v>3139</v>
      </c>
      <c r="AS347" s="122">
        <v>2853</v>
      </c>
      <c r="AT347">
        <v>0</v>
      </c>
      <c r="AU347">
        <v>0</v>
      </c>
      <c r="AV347" s="122">
        <v>18081</v>
      </c>
    </row>
    <row r="348" spans="2:48" hidden="1">
      <c r="B348" t="s">
        <v>365</v>
      </c>
      <c r="C348" t="s">
        <v>56</v>
      </c>
      <c r="D348" t="s">
        <v>406</v>
      </c>
      <c r="E348" t="s">
        <v>425</v>
      </c>
      <c r="F348" s="122">
        <v>3</v>
      </c>
      <c r="G348" s="122">
        <v>271</v>
      </c>
      <c r="H348" s="122">
        <v>572</v>
      </c>
      <c r="I348" s="122">
        <v>21391</v>
      </c>
      <c r="J348" s="122">
        <v>19446</v>
      </c>
      <c r="K348" s="122">
        <v>88</v>
      </c>
      <c r="L348" s="122">
        <v>7278</v>
      </c>
      <c r="M348" s="122">
        <v>6065</v>
      </c>
      <c r="N348" s="122">
        <v>4892</v>
      </c>
      <c r="O348" s="122">
        <v>1812</v>
      </c>
      <c r="P348" s="122">
        <v>1863</v>
      </c>
      <c r="Q348" s="122">
        <v>690</v>
      </c>
      <c r="R348" s="122">
        <v>11317</v>
      </c>
      <c r="S348" s="122">
        <v>10288</v>
      </c>
      <c r="T348" s="122">
        <v>5144</v>
      </c>
      <c r="U348" s="122">
        <v>1905</v>
      </c>
      <c r="V348" s="122">
        <v>40206</v>
      </c>
      <c r="W348" s="122">
        <f t="shared" si="10"/>
        <v>40206</v>
      </c>
      <c r="X348" s="122">
        <f t="shared" si="11"/>
        <v>51885</v>
      </c>
      <c r="Y348" s="122"/>
      <c r="AA348" t="s">
        <v>54</v>
      </c>
      <c r="AB348" t="s">
        <v>406</v>
      </c>
      <c r="AC348" t="s">
        <v>426</v>
      </c>
      <c r="AD348" t="s">
        <v>579</v>
      </c>
      <c r="AE348" t="s">
        <v>566</v>
      </c>
      <c r="AF348">
        <v>2</v>
      </c>
      <c r="AG348">
        <v>216</v>
      </c>
      <c r="AH348">
        <v>280</v>
      </c>
      <c r="AI348" s="122">
        <v>12957</v>
      </c>
      <c r="AJ348" s="122">
        <v>11779</v>
      </c>
      <c r="AK348">
        <v>92</v>
      </c>
      <c r="AL348" s="122">
        <v>4213</v>
      </c>
      <c r="AM348" s="122">
        <v>3830</v>
      </c>
      <c r="AN348" s="122">
        <v>2879</v>
      </c>
      <c r="AO348" s="122">
        <v>1066</v>
      </c>
      <c r="AP348" s="122">
        <v>1944</v>
      </c>
      <c r="AQ348">
        <v>720</v>
      </c>
      <c r="AR348" s="122">
        <v>8260</v>
      </c>
      <c r="AS348" s="122">
        <v>6884</v>
      </c>
      <c r="AT348">
        <v>0</v>
      </c>
      <c r="AU348">
        <v>0</v>
      </c>
      <c r="AV348" s="122">
        <v>24279</v>
      </c>
    </row>
    <row r="349" spans="2:48" hidden="1">
      <c r="B349" t="s">
        <v>365</v>
      </c>
      <c r="C349" t="s">
        <v>56</v>
      </c>
      <c r="D349" t="s">
        <v>406</v>
      </c>
      <c r="E349" t="s">
        <v>137</v>
      </c>
      <c r="F349">
        <v>15</v>
      </c>
      <c r="G349" s="122">
        <v>1745</v>
      </c>
      <c r="H349" s="122">
        <v>2908</v>
      </c>
      <c r="I349" s="122">
        <v>159591</v>
      </c>
      <c r="J349" s="122">
        <v>145083</v>
      </c>
      <c r="K349" s="122">
        <v>85</v>
      </c>
      <c r="L349" s="122">
        <v>29110</v>
      </c>
      <c r="M349" s="122">
        <v>23264</v>
      </c>
      <c r="N349" s="122">
        <v>35081</v>
      </c>
      <c r="O349" s="122">
        <v>12993</v>
      </c>
      <c r="P349" s="122">
        <v>9315</v>
      </c>
      <c r="Q349" s="122">
        <v>3450</v>
      </c>
      <c r="R349" s="122">
        <v>96022</v>
      </c>
      <c r="S349" s="122">
        <v>35564</v>
      </c>
      <c r="T349" s="122">
        <v>2662</v>
      </c>
      <c r="U349" s="122">
        <v>986</v>
      </c>
      <c r="V349" s="122">
        <v>221339</v>
      </c>
      <c r="W349" s="122">
        <f t="shared" si="10"/>
        <v>221340</v>
      </c>
      <c r="X349" s="122">
        <f t="shared" si="11"/>
        <v>331781</v>
      </c>
      <c r="Y349" s="122"/>
      <c r="AA349" t="s">
        <v>54</v>
      </c>
      <c r="AB349" t="s">
        <v>406</v>
      </c>
      <c r="AC349" t="s">
        <v>566</v>
      </c>
      <c r="AD349" t="s">
        <v>425</v>
      </c>
      <c r="AE349" t="s">
        <v>566</v>
      </c>
      <c r="AF349">
        <v>1</v>
      </c>
      <c r="AG349">
        <v>118</v>
      </c>
      <c r="AH349">
        <v>139</v>
      </c>
      <c r="AI349" s="122">
        <v>9604</v>
      </c>
      <c r="AJ349" s="122">
        <v>8731</v>
      </c>
      <c r="AK349">
        <v>85</v>
      </c>
      <c r="AL349">
        <v>0</v>
      </c>
      <c r="AM349" s="122">
        <v>1209</v>
      </c>
      <c r="AN349" s="122">
        <v>1660</v>
      </c>
      <c r="AO349">
        <v>615</v>
      </c>
      <c r="AP349">
        <v>621</v>
      </c>
      <c r="AQ349">
        <v>230</v>
      </c>
      <c r="AR349" s="122">
        <v>4536</v>
      </c>
      <c r="AS349" s="122">
        <v>4124</v>
      </c>
      <c r="AT349">
        <v>0</v>
      </c>
      <c r="AU349">
        <v>0</v>
      </c>
      <c r="AV349" s="122">
        <v>14908</v>
      </c>
    </row>
    <row r="350" spans="2:48" hidden="1">
      <c r="B350" t="s">
        <v>365</v>
      </c>
      <c r="C350" t="s">
        <v>56</v>
      </c>
      <c r="D350" t="s">
        <v>406</v>
      </c>
      <c r="E350" t="s">
        <v>406</v>
      </c>
      <c r="F350" s="122">
        <v>5200</v>
      </c>
      <c r="G350" s="122">
        <v>511020</v>
      </c>
      <c r="H350" s="122">
        <v>972229</v>
      </c>
      <c r="I350" s="122">
        <v>45049550</v>
      </c>
      <c r="J350" s="122">
        <v>40954136</v>
      </c>
      <c r="K350">
        <v>86</v>
      </c>
      <c r="L350" s="122">
        <v>11674598</v>
      </c>
      <c r="M350" s="122">
        <v>10457716</v>
      </c>
      <c r="N350" s="122">
        <v>10194640</v>
      </c>
      <c r="O350" s="122">
        <v>3775793</v>
      </c>
      <c r="P350" s="122">
        <v>3298174</v>
      </c>
      <c r="Q350" s="122">
        <v>1221546</v>
      </c>
      <c r="R350" s="122">
        <v>22997572</v>
      </c>
      <c r="S350" s="122">
        <v>20906883</v>
      </c>
      <c r="T350" s="122">
        <v>3478711</v>
      </c>
      <c r="U350" s="122">
        <v>1288412</v>
      </c>
      <c r="V350" s="122">
        <v>78604485</v>
      </c>
      <c r="W350" s="122">
        <f t="shared" si="10"/>
        <v>78604486</v>
      </c>
      <c r="X350" s="122">
        <f t="shared" si="11"/>
        <v>96693245</v>
      </c>
      <c r="Y350" s="122"/>
      <c r="AA350" t="s">
        <v>54</v>
      </c>
      <c r="AB350" t="s">
        <v>406</v>
      </c>
      <c r="AC350" t="s">
        <v>566</v>
      </c>
      <c r="AD350" t="s">
        <v>406</v>
      </c>
      <c r="AE350" t="s">
        <v>137</v>
      </c>
      <c r="AF350">
        <v>73</v>
      </c>
      <c r="AG350" s="122">
        <v>7747</v>
      </c>
      <c r="AH350" s="122">
        <v>10263</v>
      </c>
      <c r="AI350" s="122">
        <v>565815</v>
      </c>
      <c r="AJ350" s="122">
        <v>514377</v>
      </c>
      <c r="AK350">
        <v>90</v>
      </c>
      <c r="AL350">
        <v>0</v>
      </c>
      <c r="AM350" s="122">
        <v>24253</v>
      </c>
      <c r="AN350" s="122">
        <v>140601</v>
      </c>
      <c r="AO350" s="122">
        <v>52074</v>
      </c>
      <c r="AP350" s="122">
        <v>49003</v>
      </c>
      <c r="AQ350" s="122">
        <v>18149</v>
      </c>
      <c r="AR350" s="122">
        <v>275817</v>
      </c>
      <c r="AS350" s="122">
        <v>250743</v>
      </c>
      <c r="AT350" s="122">
        <v>85994</v>
      </c>
      <c r="AU350" s="122">
        <v>31850</v>
      </c>
      <c r="AV350" s="122">
        <v>891447</v>
      </c>
    </row>
    <row r="351" spans="2:48" hidden="1">
      <c r="B351" t="s">
        <v>365</v>
      </c>
      <c r="C351" t="s">
        <v>56</v>
      </c>
      <c r="D351" t="s">
        <v>406</v>
      </c>
      <c r="E351" t="s">
        <v>427</v>
      </c>
      <c r="F351">
        <v>2</v>
      </c>
      <c r="G351">
        <v>237</v>
      </c>
      <c r="H351" s="122">
        <v>412</v>
      </c>
      <c r="I351" s="122">
        <v>24590</v>
      </c>
      <c r="J351" s="122">
        <v>22354</v>
      </c>
      <c r="K351">
        <v>70</v>
      </c>
      <c r="L351" s="122">
        <v>4351</v>
      </c>
      <c r="M351" s="122">
        <v>3956</v>
      </c>
      <c r="N351" s="122">
        <v>3680</v>
      </c>
      <c r="O351" s="122">
        <v>1363</v>
      </c>
      <c r="P351" s="122">
        <v>1242</v>
      </c>
      <c r="Q351" s="122">
        <v>460</v>
      </c>
      <c r="R351" s="122">
        <v>12029</v>
      </c>
      <c r="S351" s="122">
        <v>10935</v>
      </c>
      <c r="T351" s="122">
        <v>2784</v>
      </c>
      <c r="U351" s="122">
        <v>1031</v>
      </c>
      <c r="V351" s="122">
        <v>40100</v>
      </c>
      <c r="W351" s="122">
        <f t="shared" si="10"/>
        <v>40099</v>
      </c>
      <c r="X351" s="122">
        <f t="shared" si="11"/>
        <v>48676</v>
      </c>
      <c r="Y351" s="122"/>
      <c r="AA351" t="s">
        <v>54</v>
      </c>
      <c r="AB351" t="s">
        <v>406</v>
      </c>
      <c r="AC351" t="s">
        <v>566</v>
      </c>
      <c r="AD351" t="s">
        <v>406</v>
      </c>
      <c r="AE351" t="s">
        <v>566</v>
      </c>
      <c r="AF351">
        <v>274</v>
      </c>
      <c r="AG351" s="122">
        <v>27853</v>
      </c>
      <c r="AH351" s="122">
        <v>38172</v>
      </c>
      <c r="AI351" s="122">
        <v>2095459</v>
      </c>
      <c r="AJ351" s="122">
        <v>1904962</v>
      </c>
      <c r="AK351">
        <v>90</v>
      </c>
      <c r="AL351" s="122">
        <v>1325</v>
      </c>
      <c r="AM351" s="122">
        <v>16115</v>
      </c>
      <c r="AN351" s="122">
        <v>501544</v>
      </c>
      <c r="AO351" s="122">
        <v>185757</v>
      </c>
      <c r="AP351" s="122">
        <v>177194</v>
      </c>
      <c r="AQ351" s="122">
        <v>65627</v>
      </c>
      <c r="AR351" s="122">
        <v>1120096</v>
      </c>
      <c r="AS351" s="122">
        <v>1018269</v>
      </c>
      <c r="AT351">
        <v>0</v>
      </c>
      <c r="AU351">
        <v>0</v>
      </c>
      <c r="AV351" s="122">
        <v>3190730</v>
      </c>
    </row>
    <row r="352" spans="2:48" hidden="1">
      <c r="B352" t="s">
        <v>365</v>
      </c>
      <c r="C352" t="s">
        <v>56</v>
      </c>
      <c r="D352" t="s">
        <v>406</v>
      </c>
      <c r="E352" t="s">
        <v>407</v>
      </c>
      <c r="F352">
        <v>2</v>
      </c>
      <c r="G352" s="122">
        <v>196</v>
      </c>
      <c r="H352" s="122">
        <v>397</v>
      </c>
      <c r="I352" s="122">
        <v>21948</v>
      </c>
      <c r="J352" s="122">
        <v>19952</v>
      </c>
      <c r="K352" s="122">
        <v>84</v>
      </c>
      <c r="L352" s="122">
        <v>2629</v>
      </c>
      <c r="M352" s="122">
        <v>2390</v>
      </c>
      <c r="N352" s="122">
        <v>3130</v>
      </c>
      <c r="O352" s="122">
        <v>1159</v>
      </c>
      <c r="P352" s="122">
        <v>1242</v>
      </c>
      <c r="Q352" s="122">
        <v>460</v>
      </c>
      <c r="R352" s="122">
        <v>10228</v>
      </c>
      <c r="S352" s="122">
        <v>9298</v>
      </c>
      <c r="T352" s="122">
        <v>0</v>
      </c>
      <c r="U352" s="122">
        <v>0</v>
      </c>
      <c r="V352" s="122">
        <v>33260</v>
      </c>
      <c r="W352" s="122">
        <f t="shared" si="10"/>
        <v>33259</v>
      </c>
      <c r="X352" s="122">
        <f t="shared" si="11"/>
        <v>39177</v>
      </c>
      <c r="Y352" s="122"/>
      <c r="AA352" t="s">
        <v>54</v>
      </c>
      <c r="AB352" t="s">
        <v>406</v>
      </c>
      <c r="AC352" t="s">
        <v>481</v>
      </c>
      <c r="AD352" t="s">
        <v>425</v>
      </c>
      <c r="AE352" t="s">
        <v>566</v>
      </c>
      <c r="AF352">
        <v>1</v>
      </c>
      <c r="AG352">
        <v>155</v>
      </c>
      <c r="AH352">
        <v>146</v>
      </c>
      <c r="AI352" s="122">
        <v>11320</v>
      </c>
      <c r="AJ352" s="122">
        <v>10291</v>
      </c>
      <c r="AK352">
        <v>86</v>
      </c>
      <c r="AL352" s="122">
        <v>1702</v>
      </c>
      <c r="AM352" s="122">
        <v>1547</v>
      </c>
      <c r="AN352" s="122">
        <v>3247</v>
      </c>
      <c r="AO352" s="122">
        <v>1203</v>
      </c>
      <c r="AP352">
        <v>621</v>
      </c>
      <c r="AQ352">
        <v>230</v>
      </c>
      <c r="AR352" s="122">
        <v>5701</v>
      </c>
      <c r="AS352" s="122">
        <v>5183</v>
      </c>
      <c r="AT352">
        <v>0</v>
      </c>
      <c r="AU352">
        <v>0</v>
      </c>
      <c r="AV352" s="122">
        <v>18453</v>
      </c>
    </row>
    <row r="353" spans="2:48" hidden="1">
      <c r="B353" t="s">
        <v>365</v>
      </c>
      <c r="C353" t="s">
        <v>56</v>
      </c>
      <c r="D353" t="s">
        <v>406</v>
      </c>
      <c r="E353" t="s">
        <v>426</v>
      </c>
      <c r="F353">
        <v>2</v>
      </c>
      <c r="G353" s="122">
        <v>243</v>
      </c>
      <c r="H353" s="122">
        <v>376</v>
      </c>
      <c r="I353" s="122">
        <v>20375</v>
      </c>
      <c r="J353" s="122">
        <v>18523</v>
      </c>
      <c r="K353" s="122">
        <v>86</v>
      </c>
      <c r="L353" s="122">
        <v>7222</v>
      </c>
      <c r="M353" s="122">
        <v>6566</v>
      </c>
      <c r="N353" s="122">
        <v>5038</v>
      </c>
      <c r="O353" s="122">
        <v>1866</v>
      </c>
      <c r="P353" s="122">
        <v>1364</v>
      </c>
      <c r="Q353" s="122">
        <v>505</v>
      </c>
      <c r="R353" s="122">
        <v>8426</v>
      </c>
      <c r="S353" s="122">
        <v>7660</v>
      </c>
      <c r="T353" s="122">
        <v>2584</v>
      </c>
      <c r="U353" s="122">
        <v>957</v>
      </c>
      <c r="V353" s="122">
        <v>36077</v>
      </c>
      <c r="W353" s="122">
        <f t="shared" si="10"/>
        <v>36077</v>
      </c>
      <c r="X353" s="122">
        <f t="shared" si="11"/>
        <v>45009</v>
      </c>
      <c r="Y353" s="122"/>
      <c r="AA353" t="s">
        <v>54</v>
      </c>
      <c r="AB353" t="s">
        <v>406</v>
      </c>
      <c r="AC353" t="s">
        <v>481</v>
      </c>
      <c r="AD353" t="s">
        <v>406</v>
      </c>
      <c r="AE353" t="s">
        <v>137</v>
      </c>
      <c r="AF353">
        <v>2</v>
      </c>
      <c r="AG353">
        <v>190</v>
      </c>
      <c r="AH353">
        <v>287</v>
      </c>
      <c r="AI353" s="122">
        <v>12096</v>
      </c>
      <c r="AJ353" s="122">
        <v>10997</v>
      </c>
      <c r="AK353">
        <v>94</v>
      </c>
      <c r="AL353" s="122">
        <v>1903</v>
      </c>
      <c r="AM353" s="122">
        <v>1730</v>
      </c>
      <c r="AN353" s="122">
        <v>2903</v>
      </c>
      <c r="AO353" s="122">
        <v>1075</v>
      </c>
      <c r="AP353" s="122">
        <v>1242</v>
      </c>
      <c r="AQ353">
        <v>460</v>
      </c>
      <c r="AR353" s="122">
        <v>6770</v>
      </c>
      <c r="AS353" s="122">
        <v>6155</v>
      </c>
      <c r="AT353" s="122">
        <v>2335</v>
      </c>
      <c r="AU353">
        <v>865</v>
      </c>
      <c r="AV353" s="122">
        <v>21282</v>
      </c>
    </row>
    <row r="354" spans="2:48" hidden="1">
      <c r="B354" t="s">
        <v>365</v>
      </c>
      <c r="C354" t="s">
        <v>56</v>
      </c>
      <c r="D354" t="s">
        <v>427</v>
      </c>
      <c r="E354" s="122" t="s">
        <v>406</v>
      </c>
      <c r="F354" s="122">
        <v>1</v>
      </c>
      <c r="G354" s="122">
        <v>146</v>
      </c>
      <c r="H354" s="122">
        <v>223</v>
      </c>
      <c r="I354" s="122">
        <v>21065</v>
      </c>
      <c r="J354" s="122">
        <v>19150</v>
      </c>
      <c r="K354" s="122">
        <v>79</v>
      </c>
      <c r="L354" s="122">
        <v>0</v>
      </c>
      <c r="M354" s="122">
        <v>0</v>
      </c>
      <c r="N354" s="122">
        <v>2585</v>
      </c>
      <c r="O354" s="122">
        <v>957</v>
      </c>
      <c r="P354" s="122">
        <v>621</v>
      </c>
      <c r="Q354" s="122">
        <v>230</v>
      </c>
      <c r="R354" s="122">
        <v>4973</v>
      </c>
      <c r="S354" s="122">
        <v>4521</v>
      </c>
      <c r="T354" s="122">
        <v>3425</v>
      </c>
      <c r="U354" s="122">
        <v>1268</v>
      </c>
      <c r="V354" s="122">
        <v>26126</v>
      </c>
      <c r="W354" s="122">
        <f t="shared" si="10"/>
        <v>26126</v>
      </c>
      <c r="X354" s="122">
        <f t="shared" si="11"/>
        <v>32669</v>
      </c>
      <c r="Y354" s="122"/>
      <c r="AA354" t="s">
        <v>54</v>
      </c>
      <c r="AB354" t="s">
        <v>406</v>
      </c>
      <c r="AC354" t="s">
        <v>481</v>
      </c>
      <c r="AD354" t="s">
        <v>406</v>
      </c>
      <c r="AE354" t="s">
        <v>566</v>
      </c>
      <c r="AF354">
        <v>4</v>
      </c>
      <c r="AG354">
        <v>363</v>
      </c>
      <c r="AH354">
        <v>565</v>
      </c>
      <c r="AI354" s="122">
        <v>20093</v>
      </c>
      <c r="AJ354" s="122">
        <v>18266</v>
      </c>
      <c r="AK354">
        <v>89</v>
      </c>
      <c r="AL354" s="122">
        <v>4881</v>
      </c>
      <c r="AM354" s="122">
        <v>4437</v>
      </c>
      <c r="AN354" s="122">
        <v>7280</v>
      </c>
      <c r="AO354" s="122">
        <v>2696</v>
      </c>
      <c r="AP354" s="122">
        <v>2484</v>
      </c>
      <c r="AQ354">
        <v>920</v>
      </c>
      <c r="AR354" s="122">
        <v>16660</v>
      </c>
      <c r="AS354" s="122">
        <v>15146</v>
      </c>
      <c r="AT354">
        <v>0</v>
      </c>
      <c r="AU354">
        <v>0</v>
      </c>
      <c r="AV354" s="122">
        <v>41465</v>
      </c>
    </row>
    <row r="355" spans="2:48" hidden="1">
      <c r="B355" t="s">
        <v>365</v>
      </c>
      <c r="C355" t="s">
        <v>56</v>
      </c>
      <c r="D355" t="s">
        <v>407</v>
      </c>
      <c r="E355" t="s">
        <v>425</v>
      </c>
      <c r="F355" s="122">
        <v>1</v>
      </c>
      <c r="G355" s="122">
        <v>89</v>
      </c>
      <c r="H355" s="122">
        <v>161</v>
      </c>
      <c r="I355" s="122">
        <v>5789</v>
      </c>
      <c r="J355" s="122">
        <v>5263</v>
      </c>
      <c r="K355" s="122">
        <v>78</v>
      </c>
      <c r="L355" s="122">
        <v>1824</v>
      </c>
      <c r="M355" s="122">
        <v>1520</v>
      </c>
      <c r="N355" s="122">
        <v>2165</v>
      </c>
      <c r="O355" s="122">
        <v>802</v>
      </c>
      <c r="P355" s="122">
        <v>473</v>
      </c>
      <c r="Q355" s="122">
        <v>175</v>
      </c>
      <c r="R355" s="122">
        <v>4038</v>
      </c>
      <c r="S355" s="122">
        <v>3671</v>
      </c>
      <c r="T355" s="122">
        <v>0</v>
      </c>
      <c r="U355" s="122">
        <v>0</v>
      </c>
      <c r="V355" s="122">
        <v>11431</v>
      </c>
      <c r="W355" s="122">
        <f t="shared" si="10"/>
        <v>11431</v>
      </c>
      <c r="X355" s="122">
        <f t="shared" si="11"/>
        <v>14289</v>
      </c>
      <c r="Y355" s="122"/>
      <c r="AA355" t="s">
        <v>54</v>
      </c>
      <c r="AB355" t="s">
        <v>406</v>
      </c>
      <c r="AC355" t="s">
        <v>433</v>
      </c>
      <c r="AD355" t="s">
        <v>406</v>
      </c>
      <c r="AE355" t="s">
        <v>137</v>
      </c>
      <c r="AF355">
        <v>32</v>
      </c>
      <c r="AG355" s="122">
        <v>3771</v>
      </c>
      <c r="AH355" s="122">
        <v>4499</v>
      </c>
      <c r="AI355" s="122">
        <v>229589</v>
      </c>
      <c r="AJ355" s="122">
        <v>208717</v>
      </c>
      <c r="AK355">
        <v>90</v>
      </c>
      <c r="AL355" s="122">
        <v>47376</v>
      </c>
      <c r="AM355" s="122">
        <v>43069</v>
      </c>
      <c r="AN355" s="122">
        <v>58201</v>
      </c>
      <c r="AO355" s="122">
        <v>21556</v>
      </c>
      <c r="AP355" s="122">
        <v>19872</v>
      </c>
      <c r="AQ355" s="122">
        <v>7360</v>
      </c>
      <c r="AR355" s="122">
        <v>111975</v>
      </c>
      <c r="AS355" s="122">
        <v>101796</v>
      </c>
      <c r="AT355" s="122">
        <v>60492</v>
      </c>
      <c r="AU355" s="122">
        <v>22405</v>
      </c>
      <c r="AV355" s="122">
        <v>404902</v>
      </c>
    </row>
    <row r="356" spans="2:48" hidden="1">
      <c r="B356" t="s">
        <v>365</v>
      </c>
      <c r="C356" t="s">
        <v>56</v>
      </c>
      <c r="D356" t="s">
        <v>407</v>
      </c>
      <c r="E356" t="s">
        <v>405</v>
      </c>
      <c r="F356" s="122">
        <v>2</v>
      </c>
      <c r="G356" s="122">
        <v>231</v>
      </c>
      <c r="H356" s="122">
        <v>360</v>
      </c>
      <c r="I356" s="122">
        <v>25112</v>
      </c>
      <c r="J356" s="122">
        <v>22829</v>
      </c>
      <c r="K356" s="122">
        <v>89</v>
      </c>
      <c r="L356" s="122">
        <v>8185</v>
      </c>
      <c r="M356" s="122">
        <v>7108</v>
      </c>
      <c r="N356" s="122">
        <v>4728</v>
      </c>
      <c r="O356" s="122">
        <v>1751</v>
      </c>
      <c r="P356" s="122">
        <v>945</v>
      </c>
      <c r="Q356" s="122">
        <v>350</v>
      </c>
      <c r="R356" s="122">
        <v>7707</v>
      </c>
      <c r="S356" s="122">
        <v>7006</v>
      </c>
      <c r="T356" s="122">
        <v>0</v>
      </c>
      <c r="U356" s="122">
        <v>0</v>
      </c>
      <c r="V356" s="122">
        <v>39044</v>
      </c>
      <c r="W356" s="122">
        <f t="shared" si="10"/>
        <v>39044</v>
      </c>
      <c r="X356" s="122">
        <f t="shared" si="11"/>
        <v>46677</v>
      </c>
      <c r="Y356" s="122"/>
      <c r="AA356" t="s">
        <v>54</v>
      </c>
      <c r="AB356" t="s">
        <v>406</v>
      </c>
      <c r="AC356" t="s">
        <v>433</v>
      </c>
      <c r="AD356" t="s">
        <v>406</v>
      </c>
      <c r="AE356" t="s">
        <v>566</v>
      </c>
      <c r="AF356">
        <v>160</v>
      </c>
      <c r="AG356" s="122">
        <v>16455</v>
      </c>
      <c r="AH356" s="122">
        <v>21882</v>
      </c>
      <c r="AI356" s="122">
        <v>1043375</v>
      </c>
      <c r="AJ356" s="122">
        <v>948523</v>
      </c>
      <c r="AK356">
        <v>91</v>
      </c>
      <c r="AL356" s="122">
        <v>182941</v>
      </c>
      <c r="AM356" s="122">
        <v>166310</v>
      </c>
      <c r="AN356" s="122">
        <v>282666</v>
      </c>
      <c r="AO356" s="122">
        <v>104691</v>
      </c>
      <c r="AP356" s="122">
        <v>100886</v>
      </c>
      <c r="AQ356" s="122">
        <v>37365</v>
      </c>
      <c r="AR356" s="122">
        <v>665987</v>
      </c>
      <c r="AS356" s="122">
        <v>605443</v>
      </c>
      <c r="AT356">
        <v>0</v>
      </c>
      <c r="AU356">
        <v>0</v>
      </c>
      <c r="AV356" s="122">
        <v>1862332</v>
      </c>
    </row>
    <row r="357" spans="2:48" hidden="1">
      <c r="B357" t="s">
        <v>365</v>
      </c>
      <c r="C357" t="s">
        <v>56</v>
      </c>
      <c r="D357" t="s">
        <v>407</v>
      </c>
      <c r="E357" t="s">
        <v>137</v>
      </c>
      <c r="F357" s="122">
        <v>11</v>
      </c>
      <c r="G357" s="122">
        <v>1004</v>
      </c>
      <c r="H357" s="122">
        <v>2097</v>
      </c>
      <c r="I357" s="122">
        <v>66024</v>
      </c>
      <c r="J357" s="122">
        <v>60022</v>
      </c>
      <c r="K357" s="122">
        <v>83</v>
      </c>
      <c r="L357" s="122">
        <v>14021</v>
      </c>
      <c r="M357" s="122">
        <v>9624</v>
      </c>
      <c r="N357" s="122">
        <v>21387</v>
      </c>
      <c r="O357" s="122">
        <v>7921</v>
      </c>
      <c r="P357" s="122">
        <v>6248</v>
      </c>
      <c r="Q357" s="122">
        <v>2314</v>
      </c>
      <c r="R357" s="122">
        <v>82224</v>
      </c>
      <c r="S357" s="122">
        <v>30453</v>
      </c>
      <c r="T357" s="122">
        <v>0</v>
      </c>
      <c r="U357" s="122">
        <v>0</v>
      </c>
      <c r="V357" s="122">
        <v>110334</v>
      </c>
      <c r="W357" s="122">
        <f t="shared" si="10"/>
        <v>110334</v>
      </c>
      <c r="X357" s="122">
        <f t="shared" si="11"/>
        <v>189904</v>
      </c>
      <c r="Y357" s="122"/>
      <c r="AA357" t="s">
        <v>54</v>
      </c>
      <c r="AB357" t="s">
        <v>406</v>
      </c>
      <c r="AC357" t="s">
        <v>429</v>
      </c>
      <c r="AD357" t="s">
        <v>406</v>
      </c>
      <c r="AE357" t="s">
        <v>566</v>
      </c>
      <c r="AF357">
        <v>16</v>
      </c>
      <c r="AG357" s="122">
        <v>2158</v>
      </c>
      <c r="AH357" s="122">
        <v>2241</v>
      </c>
      <c r="AI357" s="122">
        <v>163579</v>
      </c>
      <c r="AJ357" s="122">
        <v>148708</v>
      </c>
      <c r="AK357">
        <v>89</v>
      </c>
      <c r="AL357" s="122">
        <v>28061</v>
      </c>
      <c r="AM357" s="122">
        <v>25510</v>
      </c>
      <c r="AN357" s="122">
        <v>34159</v>
      </c>
      <c r="AO357" s="122">
        <v>12651</v>
      </c>
      <c r="AP357" s="122">
        <v>9747</v>
      </c>
      <c r="AQ357" s="122">
        <v>3610</v>
      </c>
      <c r="AR357" s="122">
        <v>72910</v>
      </c>
      <c r="AS357" s="122">
        <v>66282</v>
      </c>
      <c r="AT357">
        <v>0</v>
      </c>
      <c r="AU357">
        <v>0</v>
      </c>
      <c r="AV357" s="122">
        <v>256761</v>
      </c>
    </row>
    <row r="358" spans="2:48" hidden="1">
      <c r="B358" t="s">
        <v>365</v>
      </c>
      <c r="C358" t="s">
        <v>56</v>
      </c>
      <c r="D358" t="s">
        <v>407</v>
      </c>
      <c r="E358" t="s">
        <v>406</v>
      </c>
      <c r="F358" s="122">
        <v>3</v>
      </c>
      <c r="G358" s="122">
        <v>321</v>
      </c>
      <c r="H358" s="122">
        <v>594</v>
      </c>
      <c r="I358" s="122">
        <v>32158</v>
      </c>
      <c r="J358" s="122">
        <v>29235</v>
      </c>
      <c r="K358" s="122">
        <v>78</v>
      </c>
      <c r="L358" s="122">
        <v>7136</v>
      </c>
      <c r="M358" s="122">
        <v>6487</v>
      </c>
      <c r="N358" s="122">
        <v>6423</v>
      </c>
      <c r="O358" s="122">
        <v>2379</v>
      </c>
      <c r="P358" s="122">
        <v>1418</v>
      </c>
      <c r="Q358" s="122">
        <v>525</v>
      </c>
      <c r="R358" s="122">
        <v>13906</v>
      </c>
      <c r="S358" s="122">
        <v>12642</v>
      </c>
      <c r="T358" s="122">
        <v>2943</v>
      </c>
      <c r="U358" s="122">
        <v>1090</v>
      </c>
      <c r="V358" s="122">
        <v>52358</v>
      </c>
      <c r="W358" s="122">
        <f t="shared" si="10"/>
        <v>52358</v>
      </c>
      <c r="X358" s="122">
        <f t="shared" si="11"/>
        <v>63984</v>
      </c>
      <c r="Y358" s="122"/>
      <c r="AA358" t="s">
        <v>54</v>
      </c>
      <c r="AB358" t="s">
        <v>427</v>
      </c>
      <c r="AC358" t="s">
        <v>566</v>
      </c>
      <c r="AD358" t="s">
        <v>406</v>
      </c>
      <c r="AE358" t="s">
        <v>566</v>
      </c>
      <c r="AF358">
        <v>1</v>
      </c>
      <c r="AG358">
        <v>122</v>
      </c>
      <c r="AH358">
        <v>150</v>
      </c>
      <c r="AI358" s="122">
        <v>12235</v>
      </c>
      <c r="AJ358" s="122">
        <v>11123</v>
      </c>
      <c r="AK358">
        <v>94</v>
      </c>
      <c r="AL358">
        <v>0</v>
      </c>
      <c r="AM358">
        <v>0</v>
      </c>
      <c r="AN358" s="122">
        <v>1490</v>
      </c>
      <c r="AO358">
        <v>552</v>
      </c>
      <c r="AP358">
        <v>621</v>
      </c>
      <c r="AQ358">
        <v>230</v>
      </c>
      <c r="AR358" s="122">
        <v>3953</v>
      </c>
      <c r="AS358" s="122">
        <v>3594</v>
      </c>
      <c r="AT358">
        <v>0</v>
      </c>
      <c r="AU358">
        <v>0</v>
      </c>
      <c r="AV358" s="122">
        <v>15498</v>
      </c>
    </row>
    <row r="359" spans="2:48">
      <c r="B359" t="s">
        <v>365</v>
      </c>
      <c r="C359" t="s">
        <v>56</v>
      </c>
      <c r="D359" t="s">
        <v>407</v>
      </c>
      <c r="E359" t="s">
        <v>407</v>
      </c>
      <c r="F359" s="122">
        <v>14737</v>
      </c>
      <c r="G359" s="122">
        <v>1442834</v>
      </c>
      <c r="H359" s="122">
        <v>2719386</v>
      </c>
      <c r="I359" s="122">
        <v>126008122</v>
      </c>
      <c r="J359" s="122">
        <v>114552837</v>
      </c>
      <c r="K359" s="122">
        <v>82</v>
      </c>
      <c r="L359" s="122">
        <v>33503737</v>
      </c>
      <c r="M359" s="122">
        <v>28736561</v>
      </c>
      <c r="N359" s="122">
        <v>28799690</v>
      </c>
      <c r="O359" s="122">
        <v>10666552</v>
      </c>
      <c r="P359" s="122">
        <v>7082580</v>
      </c>
      <c r="Q359" s="122">
        <v>2623178</v>
      </c>
      <c r="R359" s="122">
        <v>67407260</v>
      </c>
      <c r="S359" s="122">
        <v>61279327</v>
      </c>
      <c r="T359" s="122">
        <v>5583183</v>
      </c>
      <c r="U359" s="122">
        <v>2067846</v>
      </c>
      <c r="V359" s="122">
        <v>219926300</v>
      </c>
      <c r="W359" s="122">
        <f t="shared" si="10"/>
        <v>219926301</v>
      </c>
      <c r="X359" s="122">
        <f t="shared" si="11"/>
        <v>268384572</v>
      </c>
      <c r="Y359" s="122"/>
      <c r="AA359" t="s">
        <v>54</v>
      </c>
      <c r="AB359" t="s">
        <v>407</v>
      </c>
      <c r="AC359" t="s">
        <v>578</v>
      </c>
      <c r="AD359" t="s">
        <v>407</v>
      </c>
      <c r="AE359" t="s">
        <v>137</v>
      </c>
      <c r="AF359">
        <v>3</v>
      </c>
      <c r="AG359">
        <v>363</v>
      </c>
      <c r="AH359">
        <v>409</v>
      </c>
      <c r="AI359" s="122">
        <v>24476</v>
      </c>
      <c r="AJ359" s="122">
        <v>22250</v>
      </c>
      <c r="AK359">
        <v>87</v>
      </c>
      <c r="AL359" s="122">
        <v>5582</v>
      </c>
      <c r="AM359" s="122">
        <v>5074</v>
      </c>
      <c r="AN359" s="122">
        <v>5155</v>
      </c>
      <c r="AO359" s="122">
        <v>1909</v>
      </c>
      <c r="AP359" s="122">
        <v>2994</v>
      </c>
      <c r="AQ359" s="122">
        <v>1109</v>
      </c>
      <c r="AR359" s="122">
        <v>14321</v>
      </c>
      <c r="AS359" s="122">
        <v>13019</v>
      </c>
      <c r="AT359">
        <v>0</v>
      </c>
      <c r="AU359">
        <v>0</v>
      </c>
      <c r="AV359" s="122">
        <v>43362</v>
      </c>
    </row>
    <row r="360" spans="2:48">
      <c r="B360" t="s">
        <v>365</v>
      </c>
      <c r="C360" t="s">
        <v>56</v>
      </c>
      <c r="D360" t="s">
        <v>407</v>
      </c>
      <c r="E360" t="s">
        <v>426</v>
      </c>
      <c r="F360">
        <v>5</v>
      </c>
      <c r="G360" s="122">
        <v>639</v>
      </c>
      <c r="H360" s="122">
        <v>1003</v>
      </c>
      <c r="I360" s="122">
        <v>66851</v>
      </c>
      <c r="J360" s="122">
        <v>60773</v>
      </c>
      <c r="K360" s="122">
        <v>81</v>
      </c>
      <c r="L360" s="122">
        <v>17439</v>
      </c>
      <c r="M360" s="122">
        <v>15528</v>
      </c>
      <c r="N360" s="122">
        <v>13921</v>
      </c>
      <c r="O360" s="122">
        <v>5156</v>
      </c>
      <c r="P360" s="122">
        <v>2363</v>
      </c>
      <c r="Q360" s="122">
        <v>875</v>
      </c>
      <c r="R360" s="122">
        <v>23999</v>
      </c>
      <c r="S360" s="122">
        <v>21817</v>
      </c>
      <c r="T360" s="122">
        <v>2490</v>
      </c>
      <c r="U360" s="122">
        <v>922</v>
      </c>
      <c r="V360" s="122">
        <v>105072</v>
      </c>
      <c r="W360" s="122">
        <f t="shared" si="10"/>
        <v>105071</v>
      </c>
      <c r="X360" s="122">
        <f t="shared" si="11"/>
        <v>127063</v>
      </c>
      <c r="Y360" s="122"/>
      <c r="AA360" t="s">
        <v>54</v>
      </c>
      <c r="AB360" t="s">
        <v>407</v>
      </c>
      <c r="AC360" t="s">
        <v>578</v>
      </c>
      <c r="AD360" t="s">
        <v>407</v>
      </c>
      <c r="AE360" t="s">
        <v>566</v>
      </c>
      <c r="AF360">
        <v>5</v>
      </c>
      <c r="AG360">
        <v>514</v>
      </c>
      <c r="AH360">
        <v>696</v>
      </c>
      <c r="AI360" s="122">
        <v>32029</v>
      </c>
      <c r="AJ360" s="122">
        <v>29117</v>
      </c>
      <c r="AK360">
        <v>89</v>
      </c>
      <c r="AL360" s="122">
        <v>9103</v>
      </c>
      <c r="AM360" s="122">
        <v>8275</v>
      </c>
      <c r="AN360" s="122">
        <v>8042</v>
      </c>
      <c r="AO360" s="122">
        <v>2978</v>
      </c>
      <c r="AP360" s="122">
        <v>2363</v>
      </c>
      <c r="AQ360">
        <v>875</v>
      </c>
      <c r="AR360" s="122">
        <v>20006</v>
      </c>
      <c r="AS360" s="122">
        <v>18187</v>
      </c>
      <c r="AT360">
        <v>0</v>
      </c>
      <c r="AU360">
        <v>0</v>
      </c>
      <c r="AV360" s="122">
        <v>59433</v>
      </c>
    </row>
    <row r="361" spans="2:48" hidden="1">
      <c r="B361" t="s">
        <v>365</v>
      </c>
      <c r="C361" t="s">
        <v>56</v>
      </c>
      <c r="D361" t="s">
        <v>556</v>
      </c>
      <c r="E361" t="s">
        <v>556</v>
      </c>
      <c r="F361" s="122">
        <v>5</v>
      </c>
      <c r="G361" s="122">
        <v>436</v>
      </c>
      <c r="H361" s="122">
        <v>1034</v>
      </c>
      <c r="I361" s="122">
        <v>45402</v>
      </c>
      <c r="J361" s="122">
        <v>37835</v>
      </c>
      <c r="K361" s="122">
        <v>74</v>
      </c>
      <c r="L361" s="122">
        <v>1993</v>
      </c>
      <c r="M361" s="122">
        <v>1135</v>
      </c>
      <c r="N361" s="122">
        <v>8624</v>
      </c>
      <c r="O361" s="122">
        <v>3194</v>
      </c>
      <c r="P361" s="122">
        <v>1755</v>
      </c>
      <c r="Q361" s="122">
        <v>650</v>
      </c>
      <c r="R361" s="122">
        <v>20882</v>
      </c>
      <c r="S361" s="122">
        <v>17402</v>
      </c>
      <c r="T361" s="122">
        <v>11711</v>
      </c>
      <c r="U361" s="122">
        <v>4338</v>
      </c>
      <c r="V361" s="122">
        <v>64554</v>
      </c>
      <c r="W361" s="122">
        <f t="shared" si="10"/>
        <v>64554</v>
      </c>
      <c r="X361" s="122">
        <f t="shared" si="11"/>
        <v>90367</v>
      </c>
      <c r="Y361" s="122"/>
      <c r="AA361" t="s">
        <v>54</v>
      </c>
      <c r="AB361" t="s">
        <v>407</v>
      </c>
      <c r="AC361" t="s">
        <v>425</v>
      </c>
      <c r="AD361" t="s">
        <v>407</v>
      </c>
      <c r="AE361" t="s">
        <v>137</v>
      </c>
      <c r="AF361">
        <v>2</v>
      </c>
      <c r="AG361">
        <v>241</v>
      </c>
      <c r="AH361">
        <v>269</v>
      </c>
      <c r="AI361" s="122">
        <v>16031</v>
      </c>
      <c r="AJ361" s="122">
        <v>14574</v>
      </c>
      <c r="AK361">
        <v>91</v>
      </c>
      <c r="AL361" s="122">
        <v>3109</v>
      </c>
      <c r="AM361" s="122">
        <v>2826</v>
      </c>
      <c r="AN361" s="122">
        <v>3427</v>
      </c>
      <c r="AO361" s="122">
        <v>1269</v>
      </c>
      <c r="AP361">
        <v>945</v>
      </c>
      <c r="AQ361">
        <v>350</v>
      </c>
      <c r="AR361" s="122">
        <v>8819</v>
      </c>
      <c r="AS361" s="122">
        <v>8018</v>
      </c>
      <c r="AT361">
        <v>0</v>
      </c>
      <c r="AU361">
        <v>0</v>
      </c>
      <c r="AV361" s="122">
        <v>27037</v>
      </c>
    </row>
    <row r="362" spans="2:48" hidden="1">
      <c r="B362" t="s">
        <v>365</v>
      </c>
      <c r="C362" t="s">
        <v>56</v>
      </c>
      <c r="D362" t="s">
        <v>426</v>
      </c>
      <c r="E362" t="s">
        <v>426</v>
      </c>
      <c r="F362">
        <v>34</v>
      </c>
      <c r="G362" s="122">
        <v>3060</v>
      </c>
      <c r="H362" s="122">
        <v>7019</v>
      </c>
      <c r="I362" s="122">
        <v>342874</v>
      </c>
      <c r="J362" s="122">
        <v>311704</v>
      </c>
      <c r="K362" s="122">
        <v>66</v>
      </c>
      <c r="L362" s="122">
        <v>24778</v>
      </c>
      <c r="M362" s="122">
        <v>15387</v>
      </c>
      <c r="N362" s="122">
        <v>58111</v>
      </c>
      <c r="O362" s="122">
        <v>21523</v>
      </c>
      <c r="P362" s="122">
        <v>14820</v>
      </c>
      <c r="Q362" s="122">
        <v>5489</v>
      </c>
      <c r="R362" s="122">
        <v>139796</v>
      </c>
      <c r="S362" s="122">
        <v>127087</v>
      </c>
      <c r="T362" s="122">
        <v>70605</v>
      </c>
      <c r="U362" s="122">
        <v>26150</v>
      </c>
      <c r="V362" s="122">
        <v>507340</v>
      </c>
      <c r="W362" s="122">
        <f t="shared" si="10"/>
        <v>507340</v>
      </c>
      <c r="X362" s="122">
        <f t="shared" si="11"/>
        <v>650984</v>
      </c>
      <c r="Y362" s="122"/>
      <c r="AA362" t="s">
        <v>54</v>
      </c>
      <c r="AB362" t="s">
        <v>407</v>
      </c>
      <c r="AC362" t="s">
        <v>425</v>
      </c>
      <c r="AD362" t="s">
        <v>407</v>
      </c>
      <c r="AE362" t="s">
        <v>566</v>
      </c>
      <c r="AF362">
        <v>2</v>
      </c>
      <c r="AG362">
        <v>233</v>
      </c>
      <c r="AH362">
        <v>291</v>
      </c>
      <c r="AI362" s="122">
        <v>20931</v>
      </c>
      <c r="AJ362" s="122">
        <v>19028</v>
      </c>
      <c r="AK362">
        <v>85</v>
      </c>
      <c r="AL362" s="122">
        <v>1962</v>
      </c>
      <c r="AM362" s="122">
        <v>1784</v>
      </c>
      <c r="AN362" s="122">
        <v>3719</v>
      </c>
      <c r="AO362" s="122">
        <v>1377</v>
      </c>
      <c r="AP362">
        <v>945</v>
      </c>
      <c r="AQ362">
        <v>350</v>
      </c>
      <c r="AR362" s="122">
        <v>6484</v>
      </c>
      <c r="AS362" s="122">
        <v>5894</v>
      </c>
      <c r="AT362">
        <v>0</v>
      </c>
      <c r="AU362">
        <v>0</v>
      </c>
      <c r="AV362" s="122">
        <v>28433</v>
      </c>
    </row>
    <row r="363" spans="2:48" hidden="1">
      <c r="B363" t="s">
        <v>365</v>
      </c>
      <c r="C363" t="s">
        <v>56</v>
      </c>
      <c r="D363" t="s">
        <v>481</v>
      </c>
      <c r="E363" t="s">
        <v>481</v>
      </c>
      <c r="F363">
        <v>1</v>
      </c>
      <c r="G363" s="122">
        <v>60</v>
      </c>
      <c r="H363" s="122">
        <v>214</v>
      </c>
      <c r="I363" s="122">
        <v>5875</v>
      </c>
      <c r="J363" s="122">
        <v>5341</v>
      </c>
      <c r="K363" s="122">
        <v>85</v>
      </c>
      <c r="L363" s="122">
        <v>854</v>
      </c>
      <c r="M363" s="122">
        <v>776</v>
      </c>
      <c r="N363" s="122">
        <v>729</v>
      </c>
      <c r="O363" s="122">
        <v>270</v>
      </c>
      <c r="P363" s="122">
        <v>351</v>
      </c>
      <c r="Q363" s="122">
        <v>130</v>
      </c>
      <c r="R363" s="122">
        <v>4967</v>
      </c>
      <c r="S363" s="122">
        <v>4515</v>
      </c>
      <c r="T363">
        <v>0</v>
      </c>
      <c r="U363" s="122">
        <v>0</v>
      </c>
      <c r="V363" s="122">
        <v>11032</v>
      </c>
      <c r="W363" s="122">
        <f t="shared" si="10"/>
        <v>11032</v>
      </c>
      <c r="X363" s="122">
        <f t="shared" si="11"/>
        <v>12776</v>
      </c>
      <c r="Y363" s="122"/>
      <c r="AA363" t="s">
        <v>54</v>
      </c>
      <c r="AB363" t="s">
        <v>407</v>
      </c>
      <c r="AC363" t="s">
        <v>405</v>
      </c>
      <c r="AD363" t="s">
        <v>407</v>
      </c>
      <c r="AE363" t="s">
        <v>137</v>
      </c>
      <c r="AF363">
        <v>2</v>
      </c>
      <c r="AG363">
        <v>214</v>
      </c>
      <c r="AH363">
        <v>291</v>
      </c>
      <c r="AI363" s="122">
        <v>16938</v>
      </c>
      <c r="AJ363" s="122">
        <v>15398</v>
      </c>
      <c r="AK363">
        <v>86</v>
      </c>
      <c r="AL363" s="122">
        <v>2517</v>
      </c>
      <c r="AM363" s="122">
        <v>2288</v>
      </c>
      <c r="AN363" s="122">
        <v>4535</v>
      </c>
      <c r="AO363" s="122">
        <v>1680</v>
      </c>
      <c r="AP363">
        <v>945</v>
      </c>
      <c r="AQ363">
        <v>350</v>
      </c>
      <c r="AR363" s="122">
        <v>5986</v>
      </c>
      <c r="AS363" s="122">
        <v>5442</v>
      </c>
      <c r="AT363">
        <v>0</v>
      </c>
      <c r="AU363">
        <v>0</v>
      </c>
      <c r="AV363" s="122">
        <v>25158</v>
      </c>
    </row>
    <row r="364" spans="2:48" hidden="1">
      <c r="B364" t="s">
        <v>365</v>
      </c>
      <c r="C364" t="s">
        <v>56</v>
      </c>
      <c r="D364" t="s">
        <v>433</v>
      </c>
      <c r="E364" t="s">
        <v>433</v>
      </c>
      <c r="F364">
        <v>3</v>
      </c>
      <c r="G364" s="122">
        <v>239</v>
      </c>
      <c r="H364" s="122">
        <v>567</v>
      </c>
      <c r="I364" s="122">
        <v>25222</v>
      </c>
      <c r="J364" s="122">
        <v>22929</v>
      </c>
      <c r="K364" s="122">
        <v>74</v>
      </c>
      <c r="L364" s="122">
        <v>996</v>
      </c>
      <c r="M364" s="122">
        <v>905</v>
      </c>
      <c r="N364" s="122">
        <v>5561</v>
      </c>
      <c r="O364" s="122">
        <v>2060</v>
      </c>
      <c r="P364" s="122">
        <v>1053</v>
      </c>
      <c r="Q364" s="122">
        <v>390</v>
      </c>
      <c r="R364" s="122">
        <v>11606</v>
      </c>
      <c r="S364" s="122">
        <v>10551</v>
      </c>
      <c r="T364" s="122">
        <v>7060</v>
      </c>
      <c r="U364" s="122">
        <v>2615</v>
      </c>
      <c r="V364" s="122">
        <v>39449</v>
      </c>
      <c r="W364" s="122">
        <f t="shared" si="10"/>
        <v>39450</v>
      </c>
      <c r="X364" s="122">
        <f t="shared" si="11"/>
        <v>51498</v>
      </c>
      <c r="Y364" s="122"/>
      <c r="AA364" t="s">
        <v>54</v>
      </c>
      <c r="AB364" t="s">
        <v>407</v>
      </c>
      <c r="AC364" t="s">
        <v>405</v>
      </c>
      <c r="AD364" t="s">
        <v>407</v>
      </c>
      <c r="AE364" t="s">
        <v>566</v>
      </c>
      <c r="AF364">
        <v>1</v>
      </c>
      <c r="AG364">
        <v>283</v>
      </c>
      <c r="AH364">
        <v>147</v>
      </c>
      <c r="AI364" s="122">
        <v>22385</v>
      </c>
      <c r="AJ364" s="122">
        <v>20350</v>
      </c>
      <c r="AK364">
        <v>90</v>
      </c>
      <c r="AL364" s="122">
        <v>5323</v>
      </c>
      <c r="AM364" s="122">
        <v>4839</v>
      </c>
      <c r="AN364" s="122">
        <v>5930</v>
      </c>
      <c r="AO364" s="122">
        <v>2196</v>
      </c>
      <c r="AP364">
        <v>473</v>
      </c>
      <c r="AQ364">
        <v>175</v>
      </c>
      <c r="AR364" s="122">
        <v>7571</v>
      </c>
      <c r="AS364" s="122">
        <v>6883</v>
      </c>
      <c r="AT364">
        <v>0</v>
      </c>
      <c r="AU364">
        <v>0</v>
      </c>
      <c r="AV364" s="122">
        <v>34443</v>
      </c>
    </row>
    <row r="365" spans="2:48" hidden="1">
      <c r="B365" t="s">
        <v>365</v>
      </c>
      <c r="C365" t="s">
        <v>56</v>
      </c>
      <c r="D365" t="s">
        <v>408</v>
      </c>
      <c r="E365" t="s">
        <v>408</v>
      </c>
      <c r="F365" s="122">
        <v>18</v>
      </c>
      <c r="G365" s="122">
        <v>2022</v>
      </c>
      <c r="H365" s="122">
        <v>3411</v>
      </c>
      <c r="I365" s="122">
        <v>195903</v>
      </c>
      <c r="J365" s="122">
        <v>178093</v>
      </c>
      <c r="K365" s="122">
        <v>68</v>
      </c>
      <c r="L365" s="122">
        <v>18156</v>
      </c>
      <c r="M365" s="122">
        <v>14408</v>
      </c>
      <c r="N365" s="122">
        <v>45512</v>
      </c>
      <c r="O365" s="122">
        <v>16856</v>
      </c>
      <c r="P365" s="122">
        <v>10565</v>
      </c>
      <c r="Q365" s="122">
        <v>3913</v>
      </c>
      <c r="R365" s="122">
        <v>108103</v>
      </c>
      <c r="S365" s="122">
        <v>98276</v>
      </c>
      <c r="T365" s="122">
        <v>0</v>
      </c>
      <c r="U365" s="122">
        <v>0</v>
      </c>
      <c r="V365" s="122">
        <v>311546</v>
      </c>
      <c r="W365" s="122">
        <f t="shared" si="10"/>
        <v>311546</v>
      </c>
      <c r="X365" s="122">
        <f t="shared" si="11"/>
        <v>378239</v>
      </c>
      <c r="Y365" s="122"/>
      <c r="AA365" t="s">
        <v>54</v>
      </c>
      <c r="AB365" t="s">
        <v>407</v>
      </c>
      <c r="AC365" t="s">
        <v>137</v>
      </c>
      <c r="AD365" t="s">
        <v>405</v>
      </c>
      <c r="AE365" t="s">
        <v>566</v>
      </c>
      <c r="AF365">
        <v>2</v>
      </c>
      <c r="AG365">
        <v>191</v>
      </c>
      <c r="AH365">
        <v>279</v>
      </c>
      <c r="AI365" s="122">
        <v>10661</v>
      </c>
      <c r="AJ365" s="122">
        <v>9692</v>
      </c>
      <c r="AK365">
        <v>86</v>
      </c>
      <c r="AL365" s="122">
        <v>4059</v>
      </c>
      <c r="AM365" s="122">
        <v>1503</v>
      </c>
      <c r="AN365" s="122">
        <v>3105</v>
      </c>
      <c r="AO365" s="122">
        <v>1150</v>
      </c>
      <c r="AP365">
        <v>945</v>
      </c>
      <c r="AQ365">
        <v>350</v>
      </c>
      <c r="AR365" s="122">
        <v>7923</v>
      </c>
      <c r="AS365" s="122">
        <v>7203</v>
      </c>
      <c r="AT365">
        <v>0</v>
      </c>
      <c r="AU365">
        <v>0</v>
      </c>
      <c r="AV365" s="122">
        <v>19898</v>
      </c>
    </row>
    <row r="366" spans="2:48" hidden="1">
      <c r="B366" t="s">
        <v>365</v>
      </c>
      <c r="C366" t="s">
        <v>56</v>
      </c>
      <c r="D366" t="s">
        <v>429</v>
      </c>
      <c r="E366" s="122" t="s">
        <v>429</v>
      </c>
      <c r="F366" s="122">
        <v>7</v>
      </c>
      <c r="G366" s="122">
        <v>615</v>
      </c>
      <c r="H366" s="122">
        <v>1306</v>
      </c>
      <c r="I366" s="122">
        <v>70402</v>
      </c>
      <c r="J366" s="122">
        <v>64002</v>
      </c>
      <c r="K366" s="122">
        <v>65</v>
      </c>
      <c r="L366" s="122">
        <v>3640</v>
      </c>
      <c r="M366" s="122">
        <v>1922</v>
      </c>
      <c r="N366" s="122">
        <v>11739</v>
      </c>
      <c r="O366" s="122">
        <v>4348</v>
      </c>
      <c r="P366" s="122">
        <v>8029</v>
      </c>
      <c r="Q366" s="122">
        <v>2974</v>
      </c>
      <c r="R366" s="122">
        <v>19769</v>
      </c>
      <c r="S366" s="122">
        <v>17972</v>
      </c>
      <c r="T366" s="122">
        <v>292</v>
      </c>
      <c r="U366" s="122">
        <v>108</v>
      </c>
      <c r="V366" s="122">
        <v>91326</v>
      </c>
      <c r="W366" s="122">
        <f t="shared" si="10"/>
        <v>91326</v>
      </c>
      <c r="X366" s="122">
        <f t="shared" si="11"/>
        <v>113871</v>
      </c>
      <c r="Y366" s="122"/>
      <c r="AA366" t="s">
        <v>54</v>
      </c>
      <c r="AB366" t="s">
        <v>407</v>
      </c>
      <c r="AC366" t="s">
        <v>137</v>
      </c>
      <c r="AD366" t="s">
        <v>137</v>
      </c>
      <c r="AE366" t="s">
        <v>566</v>
      </c>
      <c r="AF366">
        <v>1</v>
      </c>
      <c r="AG366">
        <v>140</v>
      </c>
      <c r="AH366">
        <v>137</v>
      </c>
      <c r="AI366" s="122">
        <v>7115</v>
      </c>
      <c r="AJ366" s="122">
        <v>6468</v>
      </c>
      <c r="AK366">
        <v>90</v>
      </c>
      <c r="AL366" s="122">
        <v>1754</v>
      </c>
      <c r="AM366">
        <v>650</v>
      </c>
      <c r="AN366" s="122">
        <v>1700</v>
      </c>
      <c r="AO366">
        <v>630</v>
      </c>
      <c r="AP366">
        <v>473</v>
      </c>
      <c r="AQ366">
        <v>175</v>
      </c>
      <c r="AR366" s="122">
        <v>8119</v>
      </c>
      <c r="AS366" s="122">
        <v>3007</v>
      </c>
      <c r="AT366">
        <v>0</v>
      </c>
      <c r="AU366">
        <v>0</v>
      </c>
      <c r="AV366" s="122">
        <v>10930</v>
      </c>
    </row>
    <row r="367" spans="2:48" hidden="1">
      <c r="B367" t="s">
        <v>365</v>
      </c>
      <c r="C367" t="s">
        <v>58</v>
      </c>
      <c r="F367">
        <v>30</v>
      </c>
      <c r="G367" s="122">
        <v>1644</v>
      </c>
      <c r="H367" s="122">
        <v>7418</v>
      </c>
      <c r="I367" s="122"/>
      <c r="J367" s="122">
        <v>0</v>
      </c>
      <c r="K367" s="122"/>
      <c r="L367" s="122"/>
      <c r="M367" s="122">
        <v>0</v>
      </c>
      <c r="N367" s="122">
        <v>37925</v>
      </c>
      <c r="O367" s="122">
        <v>14046</v>
      </c>
      <c r="P367" s="122">
        <v>5252</v>
      </c>
      <c r="Q367" s="122">
        <v>1945</v>
      </c>
      <c r="R367" s="122"/>
      <c r="S367" s="122">
        <v>0</v>
      </c>
      <c r="T367" s="122">
        <v>38269</v>
      </c>
      <c r="U367" s="122">
        <v>14174</v>
      </c>
      <c r="V367" s="122">
        <v>30165</v>
      </c>
      <c r="W367" s="122">
        <f t="shared" si="10"/>
        <v>30165</v>
      </c>
      <c r="X367" s="122">
        <f t="shared" si="11"/>
        <v>81446</v>
      </c>
      <c r="Y367" s="122"/>
      <c r="AA367" t="s">
        <v>54</v>
      </c>
      <c r="AB367" t="s">
        <v>407</v>
      </c>
      <c r="AC367" t="s">
        <v>137</v>
      </c>
      <c r="AD367" t="s">
        <v>407</v>
      </c>
      <c r="AE367" t="s">
        <v>137</v>
      </c>
      <c r="AF367">
        <v>222</v>
      </c>
      <c r="AG367" s="122">
        <v>24914</v>
      </c>
      <c r="AH367" s="122">
        <v>30923</v>
      </c>
      <c r="AI367" s="122">
        <v>1427514</v>
      </c>
      <c r="AJ367" s="122">
        <v>1297740</v>
      </c>
      <c r="AK367">
        <v>85</v>
      </c>
      <c r="AL367" s="122">
        <v>358637</v>
      </c>
      <c r="AM367" s="122">
        <v>132828</v>
      </c>
      <c r="AN367" s="122">
        <v>483860</v>
      </c>
      <c r="AO367" s="122">
        <v>179207</v>
      </c>
      <c r="AP367" s="122">
        <v>105600</v>
      </c>
      <c r="AQ367" s="122">
        <v>39111</v>
      </c>
      <c r="AR367" s="122">
        <v>965587</v>
      </c>
      <c r="AS367" s="122">
        <v>877806</v>
      </c>
      <c r="AT367" s="122">
        <v>198788</v>
      </c>
      <c r="AU367" s="122">
        <v>73625</v>
      </c>
      <c r="AV367" s="122">
        <v>2600318</v>
      </c>
    </row>
    <row r="368" spans="2:48" hidden="1">
      <c r="B368" t="s">
        <v>365</v>
      </c>
      <c r="C368" t="s">
        <v>58</v>
      </c>
      <c r="D368" t="s">
        <v>555</v>
      </c>
      <c r="E368" t="s">
        <v>555</v>
      </c>
      <c r="F368">
        <v>1</v>
      </c>
      <c r="G368" s="122">
        <v>80</v>
      </c>
      <c r="H368" s="122">
        <v>243</v>
      </c>
      <c r="I368" s="122">
        <v>9075</v>
      </c>
      <c r="J368" s="122">
        <v>8250</v>
      </c>
      <c r="K368" s="122">
        <v>65</v>
      </c>
      <c r="L368" s="122">
        <v>1008</v>
      </c>
      <c r="M368" s="122">
        <v>917</v>
      </c>
      <c r="N368" s="122">
        <v>1726</v>
      </c>
      <c r="O368" s="122">
        <v>639</v>
      </c>
      <c r="P368" s="122">
        <v>351</v>
      </c>
      <c r="Q368" s="122">
        <v>130</v>
      </c>
      <c r="R368" s="122">
        <v>4707</v>
      </c>
      <c r="S368" s="122">
        <v>4279</v>
      </c>
      <c r="T368" s="122">
        <v>2612</v>
      </c>
      <c r="U368" s="122">
        <v>967</v>
      </c>
      <c r="V368" s="122">
        <v>15182</v>
      </c>
      <c r="W368" s="122">
        <f t="shared" si="10"/>
        <v>15182</v>
      </c>
      <c r="X368" s="122">
        <f t="shared" si="11"/>
        <v>19479</v>
      </c>
      <c r="Y368" s="122"/>
      <c r="AA368" t="s">
        <v>54</v>
      </c>
      <c r="AB368" t="s">
        <v>407</v>
      </c>
      <c r="AC368" t="s">
        <v>137</v>
      </c>
      <c r="AD368" t="s">
        <v>407</v>
      </c>
      <c r="AE368" t="s">
        <v>566</v>
      </c>
      <c r="AF368" s="122">
        <v>1260</v>
      </c>
      <c r="AG368" s="122">
        <v>126099</v>
      </c>
      <c r="AH368" s="122">
        <v>176425</v>
      </c>
      <c r="AI368" s="122">
        <v>7563518</v>
      </c>
      <c r="AJ368" s="122">
        <v>6875925</v>
      </c>
      <c r="AK368">
        <v>87</v>
      </c>
      <c r="AL368" s="122">
        <v>1988101</v>
      </c>
      <c r="AM368" s="122">
        <v>736334</v>
      </c>
      <c r="AN368" s="122">
        <v>2502094</v>
      </c>
      <c r="AO368" s="122">
        <v>926702</v>
      </c>
      <c r="AP368" s="122">
        <v>628940</v>
      </c>
      <c r="AQ368" s="122">
        <v>232941</v>
      </c>
      <c r="AR368" s="122">
        <v>5358462</v>
      </c>
      <c r="AS368" s="122">
        <v>4871329</v>
      </c>
      <c r="AT368">
        <v>0</v>
      </c>
      <c r="AU368">
        <v>0</v>
      </c>
      <c r="AV368" s="122">
        <v>13643231</v>
      </c>
    </row>
    <row r="369" spans="2:48" hidden="1">
      <c r="B369" t="s">
        <v>365</v>
      </c>
      <c r="C369" t="s">
        <v>58</v>
      </c>
      <c r="D369" t="s">
        <v>425</v>
      </c>
      <c r="E369" t="s">
        <v>425</v>
      </c>
      <c r="F369">
        <v>4</v>
      </c>
      <c r="G369">
        <v>451</v>
      </c>
      <c r="H369" s="122">
        <v>1053</v>
      </c>
      <c r="I369" s="122">
        <v>73868</v>
      </c>
      <c r="J369" s="122">
        <v>67153</v>
      </c>
      <c r="K369" s="122">
        <v>86</v>
      </c>
      <c r="L369" s="122">
        <v>14139</v>
      </c>
      <c r="M369" s="122">
        <v>12854</v>
      </c>
      <c r="N369" s="122">
        <v>8810</v>
      </c>
      <c r="O369" s="122">
        <v>3263</v>
      </c>
      <c r="P369" s="122">
        <v>2039</v>
      </c>
      <c r="Q369" s="122">
        <v>755</v>
      </c>
      <c r="R369" s="122">
        <v>16275</v>
      </c>
      <c r="S369" s="122">
        <v>14796</v>
      </c>
      <c r="T369" s="122">
        <v>5160</v>
      </c>
      <c r="U369" s="122">
        <v>1911</v>
      </c>
      <c r="V369" s="122">
        <v>100731</v>
      </c>
      <c r="W369" s="122">
        <f t="shared" si="10"/>
        <v>100732</v>
      </c>
      <c r="X369" s="122">
        <f t="shared" si="11"/>
        <v>120291</v>
      </c>
      <c r="Y369" s="122"/>
      <c r="AA369" t="s">
        <v>54</v>
      </c>
      <c r="AB369" t="s">
        <v>407</v>
      </c>
      <c r="AC369" t="s">
        <v>580</v>
      </c>
      <c r="AD369" t="s">
        <v>407</v>
      </c>
      <c r="AE369" t="s">
        <v>137</v>
      </c>
      <c r="AF369">
        <v>1</v>
      </c>
      <c r="AG369">
        <v>173</v>
      </c>
      <c r="AH369">
        <v>138</v>
      </c>
      <c r="AI369" s="122">
        <v>12146</v>
      </c>
      <c r="AJ369" s="122">
        <v>11042</v>
      </c>
      <c r="AK369">
        <v>90</v>
      </c>
      <c r="AL369" s="122">
        <v>1656</v>
      </c>
      <c r="AM369" s="122">
        <v>1506</v>
      </c>
      <c r="AN369" s="122">
        <v>2820</v>
      </c>
      <c r="AO369" s="122">
        <v>1044</v>
      </c>
      <c r="AP369">
        <v>743</v>
      </c>
      <c r="AQ369">
        <v>275</v>
      </c>
      <c r="AR369" s="122">
        <v>3363</v>
      </c>
      <c r="AS369" s="122">
        <v>3057</v>
      </c>
      <c r="AT369" s="122">
        <v>3170</v>
      </c>
      <c r="AU369" s="122">
        <v>1174</v>
      </c>
      <c r="AV369" s="122">
        <v>18098</v>
      </c>
    </row>
    <row r="370" spans="2:48" hidden="1">
      <c r="B370" t="s">
        <v>365</v>
      </c>
      <c r="C370" t="s">
        <v>58</v>
      </c>
      <c r="D370" t="s">
        <v>425</v>
      </c>
      <c r="E370" t="s">
        <v>137</v>
      </c>
      <c r="F370">
        <v>1</v>
      </c>
      <c r="G370">
        <v>95</v>
      </c>
      <c r="H370" s="122">
        <v>296</v>
      </c>
      <c r="I370" s="122">
        <v>19141</v>
      </c>
      <c r="J370" s="122">
        <v>17401</v>
      </c>
      <c r="K370" s="122">
        <v>63</v>
      </c>
      <c r="L370" s="122">
        <v>2436</v>
      </c>
      <c r="M370" s="122">
        <v>2215</v>
      </c>
      <c r="N370" s="122">
        <v>1538</v>
      </c>
      <c r="O370" s="122">
        <v>570</v>
      </c>
      <c r="P370" s="122">
        <v>0</v>
      </c>
      <c r="Q370" s="122">
        <v>0</v>
      </c>
      <c r="R370" s="122">
        <v>4938</v>
      </c>
      <c r="S370" s="122">
        <v>1829</v>
      </c>
      <c r="T370" s="122">
        <v>0</v>
      </c>
      <c r="U370" s="122">
        <v>0</v>
      </c>
      <c r="V370" s="122">
        <v>22014</v>
      </c>
      <c r="W370" s="122">
        <f t="shared" si="10"/>
        <v>22015</v>
      </c>
      <c r="X370" s="122">
        <f t="shared" si="11"/>
        <v>28053</v>
      </c>
      <c r="Y370" s="122"/>
      <c r="AA370" t="s">
        <v>54</v>
      </c>
      <c r="AB370" t="s">
        <v>407</v>
      </c>
      <c r="AC370" t="s">
        <v>580</v>
      </c>
      <c r="AD370" t="s">
        <v>407</v>
      </c>
      <c r="AE370" t="s">
        <v>566</v>
      </c>
      <c r="AF370">
        <v>3</v>
      </c>
      <c r="AG370">
        <v>307</v>
      </c>
      <c r="AH370">
        <v>434</v>
      </c>
      <c r="AI370" s="122">
        <v>21336</v>
      </c>
      <c r="AJ370" s="122">
        <v>19396</v>
      </c>
      <c r="AK370">
        <v>86</v>
      </c>
      <c r="AL370" s="122">
        <v>5102</v>
      </c>
      <c r="AM370" s="122">
        <v>4638</v>
      </c>
      <c r="AN370" s="122">
        <v>6232</v>
      </c>
      <c r="AO370" s="122">
        <v>2308</v>
      </c>
      <c r="AP370" s="122">
        <v>1418</v>
      </c>
      <c r="AQ370">
        <v>525</v>
      </c>
      <c r="AR370" s="122">
        <v>13218</v>
      </c>
      <c r="AS370" s="122">
        <v>12017</v>
      </c>
      <c r="AT370">
        <v>0</v>
      </c>
      <c r="AU370">
        <v>0</v>
      </c>
      <c r="AV370" s="122">
        <v>38884</v>
      </c>
    </row>
    <row r="371" spans="2:48" hidden="1">
      <c r="B371" t="s">
        <v>365</v>
      </c>
      <c r="C371" t="s">
        <v>58</v>
      </c>
      <c r="D371" t="s">
        <v>425</v>
      </c>
      <c r="E371" t="s">
        <v>406</v>
      </c>
      <c r="F371">
        <v>1</v>
      </c>
      <c r="G371" s="122">
        <v>70</v>
      </c>
      <c r="H371" s="122">
        <v>282</v>
      </c>
      <c r="I371" s="122">
        <v>9554</v>
      </c>
      <c r="J371" s="122">
        <v>8686</v>
      </c>
      <c r="K371" s="122">
        <v>70</v>
      </c>
      <c r="L371" s="122">
        <v>1086</v>
      </c>
      <c r="M371" s="122">
        <v>987</v>
      </c>
      <c r="N371" s="122">
        <v>1382</v>
      </c>
      <c r="O371" s="122">
        <v>512</v>
      </c>
      <c r="P371" s="122">
        <v>621</v>
      </c>
      <c r="Q371" s="122">
        <v>230</v>
      </c>
      <c r="R371" s="122">
        <v>7111</v>
      </c>
      <c r="S371" s="122">
        <v>6464</v>
      </c>
      <c r="T371" s="122">
        <v>0</v>
      </c>
      <c r="U371" s="122">
        <v>0</v>
      </c>
      <c r="V371" s="122">
        <v>16879</v>
      </c>
      <c r="W371" s="122">
        <f t="shared" si="10"/>
        <v>16879</v>
      </c>
      <c r="X371" s="122">
        <f t="shared" si="11"/>
        <v>19754</v>
      </c>
      <c r="Y371" s="122"/>
      <c r="AA371" t="s">
        <v>54</v>
      </c>
      <c r="AB371" t="s">
        <v>407</v>
      </c>
      <c r="AC371" t="s">
        <v>427</v>
      </c>
      <c r="AD371" t="s">
        <v>137</v>
      </c>
      <c r="AE371" t="s">
        <v>566</v>
      </c>
      <c r="AF371">
        <v>1</v>
      </c>
      <c r="AG371">
        <v>106</v>
      </c>
      <c r="AH371">
        <v>140</v>
      </c>
      <c r="AI371" s="122">
        <v>7321</v>
      </c>
      <c r="AJ371" s="122">
        <v>6656</v>
      </c>
      <c r="AK371">
        <v>87</v>
      </c>
      <c r="AL371" s="122">
        <v>2251</v>
      </c>
      <c r="AM371" s="122">
        <v>2046</v>
      </c>
      <c r="AN371" s="122">
        <v>1346</v>
      </c>
      <c r="AO371">
        <v>499</v>
      </c>
      <c r="AP371">
        <v>473</v>
      </c>
      <c r="AQ371">
        <v>175</v>
      </c>
      <c r="AR371" s="122">
        <v>3476</v>
      </c>
      <c r="AS371" s="122">
        <v>1288</v>
      </c>
      <c r="AT371">
        <v>0</v>
      </c>
      <c r="AU371">
        <v>0</v>
      </c>
      <c r="AV371" s="122">
        <v>10663</v>
      </c>
    </row>
    <row r="372" spans="2:48" hidden="1">
      <c r="B372" t="s">
        <v>365</v>
      </c>
      <c r="C372" t="s">
        <v>58</v>
      </c>
      <c r="D372" t="s">
        <v>405</v>
      </c>
      <c r="E372" t="s">
        <v>405</v>
      </c>
      <c r="F372">
        <v>32</v>
      </c>
      <c r="G372" s="122">
        <v>3372</v>
      </c>
      <c r="H372" s="122">
        <v>8319</v>
      </c>
      <c r="I372" s="122">
        <v>518710</v>
      </c>
      <c r="J372" s="122">
        <v>471555</v>
      </c>
      <c r="K372">
        <v>80</v>
      </c>
      <c r="L372" s="122">
        <v>96860</v>
      </c>
      <c r="M372" s="122">
        <v>80799</v>
      </c>
      <c r="N372" s="122">
        <v>71877</v>
      </c>
      <c r="O372" s="122">
        <v>26621</v>
      </c>
      <c r="P372" s="122">
        <v>15620</v>
      </c>
      <c r="Q372" s="122">
        <v>5785</v>
      </c>
      <c r="R372" s="122">
        <v>128490</v>
      </c>
      <c r="S372" s="122">
        <v>116809</v>
      </c>
      <c r="T372" s="122">
        <v>50027</v>
      </c>
      <c r="U372" s="122">
        <v>18528</v>
      </c>
      <c r="V372" s="122">
        <v>720097</v>
      </c>
      <c r="W372" s="122">
        <f t="shared" si="10"/>
        <v>720097</v>
      </c>
      <c r="X372" s="122">
        <f t="shared" si="11"/>
        <v>881584</v>
      </c>
      <c r="Y372" s="122"/>
      <c r="AA372" t="s">
        <v>54</v>
      </c>
      <c r="AB372" t="s">
        <v>407</v>
      </c>
      <c r="AC372" t="s">
        <v>427</v>
      </c>
      <c r="AD372" t="s">
        <v>407</v>
      </c>
      <c r="AE372" t="s">
        <v>137</v>
      </c>
      <c r="AF372">
        <v>137</v>
      </c>
      <c r="AG372" s="122">
        <v>15540</v>
      </c>
      <c r="AH372" s="122">
        <v>19349</v>
      </c>
      <c r="AI372" s="122">
        <v>957808</v>
      </c>
      <c r="AJ372" s="122">
        <v>870735</v>
      </c>
      <c r="AK372">
        <v>88</v>
      </c>
      <c r="AL372" s="122">
        <v>286530</v>
      </c>
      <c r="AM372" s="122">
        <v>260482</v>
      </c>
      <c r="AN372" s="122">
        <v>301260</v>
      </c>
      <c r="AO372" s="122">
        <v>111578</v>
      </c>
      <c r="AP372" s="122">
        <v>65435</v>
      </c>
      <c r="AQ372" s="122">
        <v>24235</v>
      </c>
      <c r="AR372" s="122">
        <v>511518</v>
      </c>
      <c r="AS372" s="122">
        <v>465016</v>
      </c>
      <c r="AT372" s="122">
        <v>121293</v>
      </c>
      <c r="AU372" s="122">
        <v>44923</v>
      </c>
      <c r="AV372" s="122">
        <v>1776969</v>
      </c>
    </row>
    <row r="373" spans="2:48" hidden="1">
      <c r="B373" t="s">
        <v>365</v>
      </c>
      <c r="C373" t="s">
        <v>58</v>
      </c>
      <c r="D373" t="s">
        <v>405</v>
      </c>
      <c r="E373" t="s">
        <v>137</v>
      </c>
      <c r="F373" s="122">
        <v>1</v>
      </c>
      <c r="G373" s="122">
        <v>64</v>
      </c>
      <c r="H373" s="122">
        <v>246</v>
      </c>
      <c r="I373" s="122">
        <v>8546</v>
      </c>
      <c r="J373" s="122">
        <v>7769</v>
      </c>
      <c r="K373" s="122">
        <v>92</v>
      </c>
      <c r="L373" s="122">
        <v>0</v>
      </c>
      <c r="M373" s="122">
        <v>0</v>
      </c>
      <c r="N373" s="122">
        <v>1552</v>
      </c>
      <c r="O373" s="122">
        <v>575</v>
      </c>
      <c r="P373" s="122">
        <v>473</v>
      </c>
      <c r="Q373" s="122">
        <v>175</v>
      </c>
      <c r="R373" s="122">
        <v>5075</v>
      </c>
      <c r="S373" s="122">
        <v>1880</v>
      </c>
      <c r="T373" s="122">
        <v>0</v>
      </c>
      <c r="U373" s="122">
        <v>0</v>
      </c>
      <c r="V373" s="122">
        <v>10399</v>
      </c>
      <c r="W373" s="122">
        <f t="shared" si="10"/>
        <v>10399</v>
      </c>
      <c r="X373" s="122">
        <f t="shared" si="11"/>
        <v>15646</v>
      </c>
      <c r="Y373" s="122"/>
      <c r="AA373" t="s">
        <v>54</v>
      </c>
      <c r="AB373" t="s">
        <v>407</v>
      </c>
      <c r="AC373" t="s">
        <v>427</v>
      </c>
      <c r="AD373" t="s">
        <v>407</v>
      </c>
      <c r="AE373" t="s">
        <v>566</v>
      </c>
      <c r="AF373">
        <v>689</v>
      </c>
      <c r="AG373" s="122">
        <v>74790</v>
      </c>
      <c r="AH373" s="122">
        <v>96652</v>
      </c>
      <c r="AI373" s="122">
        <v>4564899</v>
      </c>
      <c r="AJ373" s="122">
        <v>4149908</v>
      </c>
      <c r="AK373">
        <v>87</v>
      </c>
      <c r="AL373" s="122">
        <v>1363373</v>
      </c>
      <c r="AM373" s="122">
        <v>1239430</v>
      </c>
      <c r="AN373" s="122">
        <v>1372965</v>
      </c>
      <c r="AO373" s="122">
        <v>508506</v>
      </c>
      <c r="AP373" s="122">
        <v>328536</v>
      </c>
      <c r="AQ373" s="122">
        <v>121680</v>
      </c>
      <c r="AR373" s="122">
        <v>2929823</v>
      </c>
      <c r="AS373" s="122">
        <v>2663476</v>
      </c>
      <c r="AT373" s="122">
        <v>46989</v>
      </c>
      <c r="AU373" s="122">
        <v>17403</v>
      </c>
      <c r="AV373" s="122">
        <v>8700403</v>
      </c>
    </row>
    <row r="374" spans="2:48" hidden="1">
      <c r="B374" t="s">
        <v>365</v>
      </c>
      <c r="C374" t="s">
        <v>58</v>
      </c>
      <c r="D374" t="s">
        <v>137</v>
      </c>
      <c r="E374" t="s">
        <v>137</v>
      </c>
      <c r="F374">
        <v>785</v>
      </c>
      <c r="G374" s="122">
        <v>74279</v>
      </c>
      <c r="H374" s="122">
        <v>209103</v>
      </c>
      <c r="I374" s="122">
        <v>10942678</v>
      </c>
      <c r="J374" s="122">
        <v>4052844</v>
      </c>
      <c r="K374" s="122">
        <v>102</v>
      </c>
      <c r="L374" s="122">
        <v>1712089</v>
      </c>
      <c r="M374" s="122">
        <v>1208494</v>
      </c>
      <c r="N374" s="122">
        <v>1584111</v>
      </c>
      <c r="O374" s="122">
        <v>586708</v>
      </c>
      <c r="P374" s="122">
        <v>11672</v>
      </c>
      <c r="Q374" s="122">
        <v>4323</v>
      </c>
      <c r="R374" s="122">
        <v>5799208</v>
      </c>
      <c r="S374" s="122">
        <v>2147855</v>
      </c>
      <c r="T374" s="122">
        <v>40342</v>
      </c>
      <c r="U374" s="122">
        <v>14941</v>
      </c>
      <c r="V374" s="122">
        <v>8015165</v>
      </c>
      <c r="W374" s="122">
        <f t="shared" si="10"/>
        <v>8015165</v>
      </c>
      <c r="X374" s="122">
        <f t="shared" si="11"/>
        <v>20090100</v>
      </c>
      <c r="Y374" s="122"/>
      <c r="AA374" t="s">
        <v>54</v>
      </c>
      <c r="AB374" t="s">
        <v>407</v>
      </c>
      <c r="AC374" t="s">
        <v>407</v>
      </c>
      <c r="AD374" t="s">
        <v>405</v>
      </c>
      <c r="AE374" t="s">
        <v>137</v>
      </c>
      <c r="AF374">
        <v>1</v>
      </c>
      <c r="AG374">
        <v>70</v>
      </c>
      <c r="AH374">
        <v>145</v>
      </c>
      <c r="AI374" s="122">
        <v>2820</v>
      </c>
      <c r="AJ374" s="122">
        <v>2564</v>
      </c>
      <c r="AK374">
        <v>91</v>
      </c>
      <c r="AL374">
        <v>302</v>
      </c>
      <c r="AM374">
        <v>274</v>
      </c>
      <c r="AN374" s="122">
        <v>1272</v>
      </c>
      <c r="AO374">
        <v>471</v>
      </c>
      <c r="AP374">
        <v>473</v>
      </c>
      <c r="AQ374">
        <v>175</v>
      </c>
      <c r="AR374" s="122">
        <v>3098</v>
      </c>
      <c r="AS374" s="122">
        <v>2817</v>
      </c>
      <c r="AT374" s="122">
        <v>2158</v>
      </c>
      <c r="AU374">
        <v>799</v>
      </c>
      <c r="AV374" s="122">
        <v>7100</v>
      </c>
    </row>
    <row r="375" spans="2:48" hidden="1">
      <c r="B375" t="s">
        <v>365</v>
      </c>
      <c r="C375" t="s">
        <v>58</v>
      </c>
      <c r="D375" t="s">
        <v>137</v>
      </c>
      <c r="E375" t="s">
        <v>407</v>
      </c>
      <c r="F375" s="122">
        <v>1</v>
      </c>
      <c r="G375" s="122">
        <v>111</v>
      </c>
      <c r="H375" s="122">
        <v>296</v>
      </c>
      <c r="I375" s="122">
        <v>21951</v>
      </c>
      <c r="J375" s="122">
        <v>8130</v>
      </c>
      <c r="K375" s="122">
        <v>100</v>
      </c>
      <c r="L375" s="122">
        <v>2841</v>
      </c>
      <c r="M375" s="122">
        <v>2583</v>
      </c>
      <c r="N375" s="122">
        <v>2035</v>
      </c>
      <c r="O375" s="122">
        <v>754</v>
      </c>
      <c r="P375" s="122">
        <v>473</v>
      </c>
      <c r="Q375" s="122">
        <v>175</v>
      </c>
      <c r="R375" s="122">
        <v>3553</v>
      </c>
      <c r="S375" s="122">
        <v>3230</v>
      </c>
      <c r="T375" s="122">
        <v>2125</v>
      </c>
      <c r="U375" s="122">
        <v>787</v>
      </c>
      <c r="V375" s="122">
        <v>15659</v>
      </c>
      <c r="W375" s="122">
        <f t="shared" si="10"/>
        <v>15659</v>
      </c>
      <c r="X375" s="122">
        <f t="shared" si="11"/>
        <v>32978</v>
      </c>
      <c r="Y375" s="122"/>
      <c r="AA375" t="s">
        <v>54</v>
      </c>
      <c r="AB375" t="s">
        <v>407</v>
      </c>
      <c r="AC375" t="s">
        <v>407</v>
      </c>
      <c r="AD375" t="s">
        <v>406</v>
      </c>
      <c r="AE375" t="s">
        <v>566</v>
      </c>
      <c r="AF375">
        <v>1</v>
      </c>
      <c r="AG375">
        <v>122</v>
      </c>
      <c r="AH375">
        <v>146</v>
      </c>
      <c r="AI375" s="122">
        <v>12513</v>
      </c>
      <c r="AJ375" s="122">
        <v>11375</v>
      </c>
      <c r="AK375">
        <v>73</v>
      </c>
      <c r="AL375" s="122">
        <v>2412</v>
      </c>
      <c r="AM375" s="122">
        <v>2193</v>
      </c>
      <c r="AN375" s="122">
        <v>1917</v>
      </c>
      <c r="AO375">
        <v>710</v>
      </c>
      <c r="AP375">
        <v>824</v>
      </c>
      <c r="AQ375">
        <v>305</v>
      </c>
      <c r="AR375">
        <v>164</v>
      </c>
      <c r="AS375">
        <v>149</v>
      </c>
      <c r="AT375">
        <v>0</v>
      </c>
      <c r="AU375">
        <v>0</v>
      </c>
      <c r="AV375" s="122">
        <v>14732</v>
      </c>
    </row>
    <row r="376" spans="2:48" hidden="1">
      <c r="B376" t="s">
        <v>365</v>
      </c>
      <c r="C376" t="s">
        <v>58</v>
      </c>
      <c r="D376" t="s">
        <v>137</v>
      </c>
      <c r="E376" t="s">
        <v>556</v>
      </c>
      <c r="F376">
        <v>3</v>
      </c>
      <c r="G376" s="122">
        <v>231</v>
      </c>
      <c r="H376" s="122">
        <v>790</v>
      </c>
      <c r="I376" s="122">
        <v>29493</v>
      </c>
      <c r="J376" s="122">
        <v>10923</v>
      </c>
      <c r="K376" s="122">
        <v>100</v>
      </c>
      <c r="L376" s="122">
        <v>4142</v>
      </c>
      <c r="M376" s="122">
        <v>3452</v>
      </c>
      <c r="N376" s="122">
        <v>4999</v>
      </c>
      <c r="O376" s="122">
        <v>1851</v>
      </c>
      <c r="P376" s="122">
        <v>351</v>
      </c>
      <c r="Q376" s="122">
        <v>130</v>
      </c>
      <c r="R376" s="122">
        <v>17653</v>
      </c>
      <c r="S376" s="122">
        <v>14711</v>
      </c>
      <c r="T376" s="122">
        <v>4116</v>
      </c>
      <c r="U376" s="122">
        <v>1524</v>
      </c>
      <c r="V376" s="122">
        <v>32592</v>
      </c>
      <c r="W376" s="122">
        <f t="shared" si="10"/>
        <v>32591</v>
      </c>
      <c r="X376" s="122">
        <f t="shared" si="11"/>
        <v>60754</v>
      </c>
      <c r="Y376" s="122"/>
      <c r="AA376" t="s">
        <v>54</v>
      </c>
      <c r="AB376" t="s">
        <v>407</v>
      </c>
      <c r="AC376" t="s">
        <v>407</v>
      </c>
      <c r="AD376" t="s">
        <v>427</v>
      </c>
      <c r="AE376" t="s">
        <v>566</v>
      </c>
      <c r="AF376">
        <v>1</v>
      </c>
      <c r="AG376">
        <v>253</v>
      </c>
      <c r="AH376">
        <v>146</v>
      </c>
      <c r="AI376" s="122">
        <v>20365</v>
      </c>
      <c r="AJ376" s="122">
        <v>18514</v>
      </c>
      <c r="AK376">
        <v>93</v>
      </c>
      <c r="AL376" s="122">
        <v>6630</v>
      </c>
      <c r="AM376" s="122">
        <v>6027</v>
      </c>
      <c r="AN376" s="122">
        <v>3086</v>
      </c>
      <c r="AO376" s="122">
        <v>1143</v>
      </c>
      <c r="AP376" s="122">
        <v>1175</v>
      </c>
      <c r="AQ376">
        <v>435</v>
      </c>
      <c r="AR376" s="122">
        <v>5704</v>
      </c>
      <c r="AS376" s="122">
        <v>5185</v>
      </c>
      <c r="AT376">
        <v>0</v>
      </c>
      <c r="AU376">
        <v>0</v>
      </c>
      <c r="AV376" s="122">
        <v>31304</v>
      </c>
    </row>
    <row r="377" spans="2:48" hidden="1">
      <c r="B377" t="s">
        <v>365</v>
      </c>
      <c r="C377" t="s">
        <v>58</v>
      </c>
      <c r="D377" t="s">
        <v>137</v>
      </c>
      <c r="E377" t="s">
        <v>426</v>
      </c>
      <c r="F377">
        <v>5</v>
      </c>
      <c r="G377" s="122">
        <v>476</v>
      </c>
      <c r="H377" s="122">
        <v>1417</v>
      </c>
      <c r="I377" s="122">
        <v>72785</v>
      </c>
      <c r="J377" s="122">
        <v>26958</v>
      </c>
      <c r="K377" s="122">
        <v>100</v>
      </c>
      <c r="L377" s="122">
        <v>9103</v>
      </c>
      <c r="M377" s="122">
        <v>8276</v>
      </c>
      <c r="N377" s="122">
        <v>9135</v>
      </c>
      <c r="O377" s="122">
        <v>3383</v>
      </c>
      <c r="P377" s="122">
        <v>0</v>
      </c>
      <c r="Q377" s="122">
        <v>0</v>
      </c>
      <c r="R377" s="122">
        <v>30380</v>
      </c>
      <c r="S377" s="122">
        <v>27619</v>
      </c>
      <c r="T377" s="122">
        <v>13962</v>
      </c>
      <c r="U377" s="122">
        <v>5171</v>
      </c>
      <c r="V377" s="122">
        <v>71406</v>
      </c>
      <c r="W377" s="122">
        <f t="shared" si="10"/>
        <v>71407</v>
      </c>
      <c r="X377" s="122">
        <f t="shared" si="11"/>
        <v>135365</v>
      </c>
      <c r="Y377" s="122"/>
      <c r="AA377" t="s">
        <v>54</v>
      </c>
      <c r="AB377" t="s">
        <v>407</v>
      </c>
      <c r="AC377" t="s">
        <v>407</v>
      </c>
      <c r="AD377" t="s">
        <v>407</v>
      </c>
      <c r="AE377" t="s">
        <v>137</v>
      </c>
      <c r="AF377">
        <v>846</v>
      </c>
      <c r="AG377" s="122">
        <v>98987</v>
      </c>
      <c r="AH377" s="122">
        <v>119268</v>
      </c>
      <c r="AI377" s="122">
        <v>6555801</v>
      </c>
      <c r="AJ377" s="122">
        <v>5959819</v>
      </c>
      <c r="AK377">
        <v>85</v>
      </c>
      <c r="AL377" s="122">
        <v>1150123</v>
      </c>
      <c r="AM377" s="122">
        <v>1045566</v>
      </c>
      <c r="AN377" s="122">
        <v>1904916</v>
      </c>
      <c r="AO377" s="122">
        <v>705525</v>
      </c>
      <c r="AP377" s="122">
        <v>405793</v>
      </c>
      <c r="AQ377" s="122">
        <v>150294</v>
      </c>
      <c r="AR377" s="122">
        <v>3565566</v>
      </c>
      <c r="AS377" s="122">
        <v>3241424</v>
      </c>
      <c r="AT377" s="122">
        <v>753107</v>
      </c>
      <c r="AU377" s="122">
        <v>278929</v>
      </c>
      <c r="AV377" s="122">
        <v>11381556</v>
      </c>
    </row>
    <row r="378" spans="2:48" hidden="1">
      <c r="B378" t="s">
        <v>365</v>
      </c>
      <c r="C378" t="s">
        <v>58</v>
      </c>
      <c r="D378" t="s">
        <v>430</v>
      </c>
      <c r="E378" t="s">
        <v>430</v>
      </c>
      <c r="F378">
        <v>2</v>
      </c>
      <c r="G378" s="122">
        <v>187</v>
      </c>
      <c r="H378" s="122">
        <v>492</v>
      </c>
      <c r="I378" s="122">
        <v>23662</v>
      </c>
      <c r="J378" s="122">
        <v>8764</v>
      </c>
      <c r="K378" s="122">
        <v>100</v>
      </c>
      <c r="L378" s="122">
        <v>3570</v>
      </c>
      <c r="M378" s="122">
        <v>3246</v>
      </c>
      <c r="N378" s="122">
        <v>4549</v>
      </c>
      <c r="O378" s="122">
        <v>1685</v>
      </c>
      <c r="P378" s="122">
        <v>0</v>
      </c>
      <c r="Q378" s="122">
        <v>0</v>
      </c>
      <c r="R378" s="122">
        <v>14194</v>
      </c>
      <c r="S378" s="122">
        <v>5257</v>
      </c>
      <c r="T378" s="122">
        <v>0</v>
      </c>
      <c r="U378" s="122">
        <v>0</v>
      </c>
      <c r="V378" s="122">
        <v>18952</v>
      </c>
      <c r="W378" s="122">
        <f t="shared" si="10"/>
        <v>18952</v>
      </c>
      <c r="X378" s="122">
        <f t="shared" si="11"/>
        <v>45975</v>
      </c>
      <c r="Y378" s="122"/>
      <c r="AA378" t="s">
        <v>54</v>
      </c>
      <c r="AB378" t="s">
        <v>407</v>
      </c>
      <c r="AC378" t="s">
        <v>407</v>
      </c>
      <c r="AD378" t="s">
        <v>407</v>
      </c>
      <c r="AE378" t="s">
        <v>566</v>
      </c>
      <c r="AF378" s="122">
        <v>3965</v>
      </c>
      <c r="AG378" s="122">
        <v>464916</v>
      </c>
      <c r="AH378" s="122">
        <v>555446</v>
      </c>
      <c r="AI378" s="122">
        <v>30851513</v>
      </c>
      <c r="AJ378" s="122">
        <v>28046830</v>
      </c>
      <c r="AK378">
        <v>86</v>
      </c>
      <c r="AL378" s="122">
        <v>6463528</v>
      </c>
      <c r="AM378" s="122">
        <v>5875934</v>
      </c>
      <c r="AN378" s="122">
        <v>9009344</v>
      </c>
      <c r="AO378" s="122">
        <v>3336794</v>
      </c>
      <c r="AP378" s="122">
        <v>1971604</v>
      </c>
      <c r="AQ378" s="122">
        <v>730224</v>
      </c>
      <c r="AR378" s="122">
        <v>18544471</v>
      </c>
      <c r="AS378" s="122">
        <v>16858610</v>
      </c>
      <c r="AT378">
        <v>0</v>
      </c>
      <c r="AU378">
        <v>0</v>
      </c>
      <c r="AV378" s="122">
        <v>54848392</v>
      </c>
    </row>
    <row r="379" spans="2:48" hidden="1">
      <c r="B379" t="s">
        <v>365</v>
      </c>
      <c r="C379" t="s">
        <v>58</v>
      </c>
      <c r="D379" t="s">
        <v>406</v>
      </c>
      <c r="E379" t="s">
        <v>425</v>
      </c>
      <c r="F379" s="122">
        <v>5</v>
      </c>
      <c r="G379" s="122">
        <v>479</v>
      </c>
      <c r="H379" s="122">
        <v>1227</v>
      </c>
      <c r="I379" s="122">
        <v>60834</v>
      </c>
      <c r="J379" s="122">
        <v>55304</v>
      </c>
      <c r="K379" s="122">
        <v>84</v>
      </c>
      <c r="L379" s="122">
        <v>15071</v>
      </c>
      <c r="M379" s="122">
        <v>13480</v>
      </c>
      <c r="N379" s="122">
        <v>10353</v>
      </c>
      <c r="O379" s="122">
        <v>3834</v>
      </c>
      <c r="P379" s="122">
        <v>3105</v>
      </c>
      <c r="Q379" s="122">
        <v>1150</v>
      </c>
      <c r="R379" s="122">
        <v>16819</v>
      </c>
      <c r="S379" s="122">
        <v>15290</v>
      </c>
      <c r="T379" s="122">
        <v>10515</v>
      </c>
      <c r="U379" s="122">
        <v>3895</v>
      </c>
      <c r="V379" s="122">
        <v>92953</v>
      </c>
      <c r="W379" s="122">
        <f t="shared" si="10"/>
        <v>92953</v>
      </c>
      <c r="X379" s="122">
        <f t="shared" si="11"/>
        <v>116697</v>
      </c>
      <c r="Y379" s="122"/>
      <c r="AA379" t="s">
        <v>54</v>
      </c>
      <c r="AB379" t="s">
        <v>407</v>
      </c>
      <c r="AC379" t="s">
        <v>407</v>
      </c>
      <c r="AD379" t="s">
        <v>431</v>
      </c>
      <c r="AE379" t="s">
        <v>566</v>
      </c>
      <c r="AF379">
        <v>1</v>
      </c>
      <c r="AG379">
        <v>169</v>
      </c>
      <c r="AH379">
        <v>140</v>
      </c>
      <c r="AI379" s="122">
        <v>11663</v>
      </c>
      <c r="AJ379" s="122">
        <v>10603</v>
      </c>
      <c r="AK379">
        <v>91</v>
      </c>
      <c r="AL379" s="122">
        <v>3909</v>
      </c>
      <c r="AM379" s="122">
        <v>3554</v>
      </c>
      <c r="AN379" s="122">
        <v>2055</v>
      </c>
      <c r="AO379">
        <v>761</v>
      </c>
      <c r="AP379">
        <v>473</v>
      </c>
      <c r="AQ379">
        <v>175</v>
      </c>
      <c r="AR379" s="122">
        <v>5495</v>
      </c>
      <c r="AS379" s="122">
        <v>4996</v>
      </c>
      <c r="AT379">
        <v>0</v>
      </c>
      <c r="AU379">
        <v>0</v>
      </c>
      <c r="AV379" s="122">
        <v>20089</v>
      </c>
    </row>
    <row r="380" spans="2:48" hidden="1">
      <c r="B380" t="s">
        <v>365</v>
      </c>
      <c r="C380" t="s">
        <v>58</v>
      </c>
      <c r="D380" t="s">
        <v>406</v>
      </c>
      <c r="E380" t="s">
        <v>405</v>
      </c>
      <c r="F380" s="122">
        <v>1</v>
      </c>
      <c r="G380" s="122">
        <v>72</v>
      </c>
      <c r="H380" s="122">
        <v>270</v>
      </c>
      <c r="I380" s="122">
        <v>8706</v>
      </c>
      <c r="J380" s="122">
        <v>7914</v>
      </c>
      <c r="K380" s="122">
        <v>70</v>
      </c>
      <c r="L380" s="122">
        <v>2144</v>
      </c>
      <c r="M380" s="122">
        <v>1949</v>
      </c>
      <c r="N380" s="122">
        <v>1168</v>
      </c>
      <c r="O380" s="122">
        <v>432</v>
      </c>
      <c r="P380" s="122">
        <v>621</v>
      </c>
      <c r="Q380" s="122">
        <v>230</v>
      </c>
      <c r="R380" s="122">
        <v>6652</v>
      </c>
      <c r="S380" s="122">
        <v>6047</v>
      </c>
      <c r="T380" s="122">
        <v>0</v>
      </c>
      <c r="U380" s="122">
        <v>0</v>
      </c>
      <c r="V380" s="122">
        <v>16573</v>
      </c>
      <c r="W380" s="122">
        <f t="shared" si="10"/>
        <v>16572</v>
      </c>
      <c r="X380" s="122">
        <f t="shared" si="11"/>
        <v>19291</v>
      </c>
      <c r="Y380" s="122"/>
      <c r="AA380" t="s">
        <v>54</v>
      </c>
      <c r="AB380" t="s">
        <v>407</v>
      </c>
      <c r="AC380" t="s">
        <v>407</v>
      </c>
      <c r="AD380" t="s">
        <v>426</v>
      </c>
      <c r="AE380" t="s">
        <v>566</v>
      </c>
      <c r="AF380">
        <v>2</v>
      </c>
      <c r="AG380">
        <v>247</v>
      </c>
      <c r="AH380">
        <v>270</v>
      </c>
      <c r="AI380" s="122">
        <v>13083</v>
      </c>
      <c r="AJ380" s="122">
        <v>11894</v>
      </c>
      <c r="AK380">
        <v>91</v>
      </c>
      <c r="AL380" s="122">
        <v>4196</v>
      </c>
      <c r="AM380" s="122">
        <v>3815</v>
      </c>
      <c r="AN380" s="122">
        <v>6018</v>
      </c>
      <c r="AO380" s="122">
        <v>2229</v>
      </c>
      <c r="AP380">
        <v>945</v>
      </c>
      <c r="AQ380">
        <v>350</v>
      </c>
      <c r="AR380" s="122">
        <v>9161</v>
      </c>
      <c r="AS380" s="122">
        <v>8328</v>
      </c>
      <c r="AT380">
        <v>0</v>
      </c>
      <c r="AU380">
        <v>0</v>
      </c>
      <c r="AV380" s="122">
        <v>26616</v>
      </c>
    </row>
    <row r="381" spans="2:48" hidden="1">
      <c r="B381" t="s">
        <v>365</v>
      </c>
      <c r="C381" t="s">
        <v>58</v>
      </c>
      <c r="D381" t="s">
        <v>406</v>
      </c>
      <c r="E381" t="s">
        <v>137</v>
      </c>
      <c r="F381">
        <v>21</v>
      </c>
      <c r="G381" s="122">
        <v>2324</v>
      </c>
      <c r="H381" s="122">
        <v>5632</v>
      </c>
      <c r="I381" s="122">
        <v>344457</v>
      </c>
      <c r="J381" s="122">
        <v>313142</v>
      </c>
      <c r="K381" s="122">
        <v>85</v>
      </c>
      <c r="L381" s="122">
        <v>83659</v>
      </c>
      <c r="M381" s="122">
        <v>65503</v>
      </c>
      <c r="N381" s="122">
        <v>47763</v>
      </c>
      <c r="O381" s="122">
        <v>17690</v>
      </c>
      <c r="P381" s="122">
        <v>13041</v>
      </c>
      <c r="Q381" s="122">
        <v>4830</v>
      </c>
      <c r="R381" s="122">
        <v>146916</v>
      </c>
      <c r="S381" s="122">
        <v>54413</v>
      </c>
      <c r="T381" s="122">
        <v>161</v>
      </c>
      <c r="U381" s="122">
        <v>60</v>
      </c>
      <c r="V381" s="122">
        <v>455638</v>
      </c>
      <c r="W381" s="122">
        <f t="shared" si="10"/>
        <v>455638</v>
      </c>
      <c r="X381" s="122">
        <f t="shared" si="11"/>
        <v>635997</v>
      </c>
      <c r="Y381" s="122"/>
      <c r="AA381" t="s">
        <v>54</v>
      </c>
      <c r="AB381" t="s">
        <v>407</v>
      </c>
      <c r="AC381" t="s">
        <v>407</v>
      </c>
      <c r="AD381" t="s">
        <v>433</v>
      </c>
      <c r="AE381" t="s">
        <v>566</v>
      </c>
      <c r="AF381">
        <v>2</v>
      </c>
      <c r="AG381">
        <v>213</v>
      </c>
      <c r="AH381">
        <v>299</v>
      </c>
      <c r="AI381" s="122">
        <v>15847</v>
      </c>
      <c r="AJ381" s="122">
        <v>14406</v>
      </c>
      <c r="AK381">
        <v>79</v>
      </c>
      <c r="AL381" s="122">
        <v>4620</v>
      </c>
      <c r="AM381" s="122">
        <v>4200</v>
      </c>
      <c r="AN381" s="122">
        <v>2592</v>
      </c>
      <c r="AO381">
        <v>960</v>
      </c>
      <c r="AP381">
        <v>945</v>
      </c>
      <c r="AQ381">
        <v>350</v>
      </c>
      <c r="AR381" s="122">
        <v>7765</v>
      </c>
      <c r="AS381" s="122">
        <v>7059</v>
      </c>
      <c r="AT381">
        <v>0</v>
      </c>
      <c r="AU381">
        <v>0</v>
      </c>
      <c r="AV381" s="122">
        <v>26975</v>
      </c>
    </row>
    <row r="382" spans="2:48" hidden="1">
      <c r="B382" t="s">
        <v>365</v>
      </c>
      <c r="C382" t="s">
        <v>58</v>
      </c>
      <c r="D382" t="s">
        <v>406</v>
      </c>
      <c r="E382" s="122" t="s">
        <v>406</v>
      </c>
      <c r="F382" s="122">
        <v>2508</v>
      </c>
      <c r="G382" s="122">
        <v>240198</v>
      </c>
      <c r="H382" s="122">
        <v>649223</v>
      </c>
      <c r="I382" s="122">
        <v>33322680</v>
      </c>
      <c r="J382" s="122">
        <v>30293345</v>
      </c>
      <c r="K382" s="122">
        <v>81</v>
      </c>
      <c r="L382" s="122">
        <v>7914688</v>
      </c>
      <c r="M382" s="122">
        <v>6740679</v>
      </c>
      <c r="N382" s="122">
        <v>4974926</v>
      </c>
      <c r="O382" s="122">
        <v>1842565</v>
      </c>
      <c r="P382" s="122">
        <v>1596926</v>
      </c>
      <c r="Q382" s="122">
        <v>591454</v>
      </c>
      <c r="R382" s="122">
        <v>11885640</v>
      </c>
      <c r="S382" s="122">
        <v>10805128</v>
      </c>
      <c r="T382" s="122">
        <v>3113729</v>
      </c>
      <c r="U382" s="122">
        <v>1153233</v>
      </c>
      <c r="V382" s="122">
        <v>51426404</v>
      </c>
      <c r="W382" s="122">
        <f t="shared" si="10"/>
        <v>51426404</v>
      </c>
      <c r="X382" s="122">
        <f t="shared" si="11"/>
        <v>62808589</v>
      </c>
      <c r="Y382" s="122"/>
      <c r="AA382" t="s">
        <v>54</v>
      </c>
      <c r="AB382" t="s">
        <v>407</v>
      </c>
      <c r="AC382" t="s">
        <v>579</v>
      </c>
      <c r="AD382" t="s">
        <v>405</v>
      </c>
      <c r="AE382" t="s">
        <v>137</v>
      </c>
      <c r="AF382">
        <v>1</v>
      </c>
      <c r="AG382">
        <v>104</v>
      </c>
      <c r="AH382">
        <v>143</v>
      </c>
      <c r="AI382" s="122">
        <v>4608</v>
      </c>
      <c r="AJ382" s="122">
        <v>4189</v>
      </c>
      <c r="AK382">
        <v>79</v>
      </c>
      <c r="AL382" s="122">
        <v>1465</v>
      </c>
      <c r="AM382" s="122">
        <v>1221</v>
      </c>
      <c r="AN382" s="122">
        <v>2341</v>
      </c>
      <c r="AO382">
        <v>867</v>
      </c>
      <c r="AP382">
        <v>473</v>
      </c>
      <c r="AQ382">
        <v>175</v>
      </c>
      <c r="AR382" s="122">
        <v>3315</v>
      </c>
      <c r="AS382" s="122">
        <v>3014</v>
      </c>
      <c r="AT382" s="122">
        <v>2611</v>
      </c>
      <c r="AU382">
        <v>967</v>
      </c>
      <c r="AV382" s="122">
        <v>10433</v>
      </c>
    </row>
    <row r="383" spans="2:48" hidden="1">
      <c r="B383" t="s">
        <v>365</v>
      </c>
      <c r="C383" t="s">
        <v>58</v>
      </c>
      <c r="D383" t="s">
        <v>406</v>
      </c>
      <c r="E383" t="s">
        <v>427</v>
      </c>
      <c r="F383">
        <v>2</v>
      </c>
      <c r="G383" s="122">
        <v>223</v>
      </c>
      <c r="H383" s="122">
        <v>470</v>
      </c>
      <c r="I383" s="122">
        <v>26331</v>
      </c>
      <c r="J383" s="122">
        <v>23937</v>
      </c>
      <c r="K383" s="122">
        <v>75</v>
      </c>
      <c r="L383" s="122">
        <v>5514</v>
      </c>
      <c r="M383" s="122">
        <v>5012</v>
      </c>
      <c r="N383" s="122">
        <v>4944</v>
      </c>
      <c r="O383" s="122">
        <v>1831</v>
      </c>
      <c r="P383" s="122">
        <v>1242</v>
      </c>
      <c r="Q383" s="122">
        <v>460</v>
      </c>
      <c r="R383" s="122">
        <v>11984</v>
      </c>
      <c r="S383" s="122">
        <v>10895</v>
      </c>
      <c r="T383" s="122">
        <v>2486</v>
      </c>
      <c r="U383" s="122">
        <v>921</v>
      </c>
      <c r="V383" s="122">
        <v>43055</v>
      </c>
      <c r="W383" s="122">
        <f t="shared" si="10"/>
        <v>43056</v>
      </c>
      <c r="X383" s="122">
        <f t="shared" si="11"/>
        <v>52501</v>
      </c>
      <c r="Y383" s="122"/>
      <c r="AA383" t="s">
        <v>54</v>
      </c>
      <c r="AB383" t="s">
        <v>407</v>
      </c>
      <c r="AC383" t="s">
        <v>579</v>
      </c>
      <c r="AD383" t="s">
        <v>405</v>
      </c>
      <c r="AE383" t="s">
        <v>566</v>
      </c>
      <c r="AF383">
        <v>1</v>
      </c>
      <c r="AG383">
        <v>125</v>
      </c>
      <c r="AH383">
        <v>140</v>
      </c>
      <c r="AI383" s="122">
        <v>10139</v>
      </c>
      <c r="AJ383" s="122">
        <v>9218</v>
      </c>
      <c r="AK383">
        <v>90</v>
      </c>
      <c r="AL383" s="122">
        <v>1850</v>
      </c>
      <c r="AM383" s="122">
        <v>1541</v>
      </c>
      <c r="AN383" s="122">
        <v>1907</v>
      </c>
      <c r="AO383">
        <v>706</v>
      </c>
      <c r="AP383">
        <v>473</v>
      </c>
      <c r="AQ383">
        <v>175</v>
      </c>
      <c r="AR383" s="122">
        <v>3133</v>
      </c>
      <c r="AS383" s="122">
        <v>2848</v>
      </c>
      <c r="AT383">
        <v>0</v>
      </c>
      <c r="AU383">
        <v>0</v>
      </c>
      <c r="AV383" s="122">
        <v>14488</v>
      </c>
    </row>
    <row r="384" spans="2:48" hidden="1">
      <c r="B384" t="s">
        <v>365</v>
      </c>
      <c r="C384" t="s">
        <v>58</v>
      </c>
      <c r="D384" t="s">
        <v>406</v>
      </c>
      <c r="E384" t="s">
        <v>407</v>
      </c>
      <c r="F384" s="122">
        <v>3</v>
      </c>
      <c r="G384" s="122">
        <v>257</v>
      </c>
      <c r="H384" s="122">
        <v>819</v>
      </c>
      <c r="I384" s="122">
        <v>35107</v>
      </c>
      <c r="J384" s="122">
        <v>31916</v>
      </c>
      <c r="K384" s="122">
        <v>75</v>
      </c>
      <c r="L384" s="122">
        <v>7408</v>
      </c>
      <c r="M384" s="122">
        <v>3981</v>
      </c>
      <c r="N384" s="122">
        <v>5755</v>
      </c>
      <c r="O384" s="122">
        <v>2131</v>
      </c>
      <c r="P384" s="122">
        <v>1863</v>
      </c>
      <c r="Q384" s="122">
        <v>690</v>
      </c>
      <c r="R384" s="122">
        <v>12419</v>
      </c>
      <c r="S384" s="122">
        <v>11290</v>
      </c>
      <c r="T384" s="122">
        <v>7430</v>
      </c>
      <c r="U384" s="122">
        <v>2752</v>
      </c>
      <c r="V384" s="122">
        <v>52760</v>
      </c>
      <c r="W384" s="122">
        <f t="shared" si="10"/>
        <v>52760</v>
      </c>
      <c r="X384" s="122">
        <f t="shared" si="11"/>
        <v>69982</v>
      </c>
      <c r="Y384" s="122"/>
      <c r="AA384" t="s">
        <v>54</v>
      </c>
      <c r="AB384" t="s">
        <v>407</v>
      </c>
      <c r="AC384" t="s">
        <v>579</v>
      </c>
      <c r="AD384" t="s">
        <v>137</v>
      </c>
      <c r="AE384" t="s">
        <v>137</v>
      </c>
      <c r="AF384">
        <v>2</v>
      </c>
      <c r="AG384">
        <v>310</v>
      </c>
      <c r="AH384">
        <v>280</v>
      </c>
      <c r="AI384" s="122">
        <v>24758</v>
      </c>
      <c r="AJ384" s="122">
        <v>22507</v>
      </c>
      <c r="AK384">
        <v>91</v>
      </c>
      <c r="AL384" s="122">
        <v>4544</v>
      </c>
      <c r="AM384" s="122">
        <v>3787</v>
      </c>
      <c r="AN384" s="122">
        <v>4755</v>
      </c>
      <c r="AO384" s="122">
        <v>1761</v>
      </c>
      <c r="AP384">
        <v>945</v>
      </c>
      <c r="AQ384">
        <v>350</v>
      </c>
      <c r="AR384" s="122">
        <v>8331</v>
      </c>
      <c r="AS384" s="122">
        <v>3085</v>
      </c>
      <c r="AT384">
        <v>0</v>
      </c>
      <c r="AU384">
        <v>0</v>
      </c>
      <c r="AV384" s="122">
        <v>31490</v>
      </c>
    </row>
    <row r="385" spans="2:48" hidden="1">
      <c r="B385" t="s">
        <v>365</v>
      </c>
      <c r="C385" t="s">
        <v>58</v>
      </c>
      <c r="D385" t="s">
        <v>406</v>
      </c>
      <c r="E385" t="s">
        <v>426</v>
      </c>
      <c r="F385">
        <v>4</v>
      </c>
      <c r="G385">
        <v>356</v>
      </c>
      <c r="H385" s="122">
        <v>1064</v>
      </c>
      <c r="I385" s="122">
        <v>50166</v>
      </c>
      <c r="J385" s="122">
        <v>45605</v>
      </c>
      <c r="K385" s="122">
        <v>79</v>
      </c>
      <c r="L385" s="122">
        <v>10808</v>
      </c>
      <c r="M385" s="122">
        <v>9825</v>
      </c>
      <c r="N385" s="122">
        <v>6688</v>
      </c>
      <c r="O385" s="122">
        <v>2477</v>
      </c>
      <c r="P385" s="122">
        <v>2484</v>
      </c>
      <c r="Q385" s="122">
        <v>920</v>
      </c>
      <c r="R385" s="122">
        <v>22713</v>
      </c>
      <c r="S385" s="122">
        <v>20648</v>
      </c>
      <c r="T385" s="122">
        <v>1749</v>
      </c>
      <c r="U385" s="122">
        <v>648</v>
      </c>
      <c r="V385" s="122">
        <v>80124</v>
      </c>
      <c r="W385" s="122">
        <f t="shared" si="10"/>
        <v>80123</v>
      </c>
      <c r="X385" s="122">
        <f t="shared" si="11"/>
        <v>94608</v>
      </c>
      <c r="Y385" s="122"/>
      <c r="AA385" t="s">
        <v>54</v>
      </c>
      <c r="AB385" t="s">
        <v>407</v>
      </c>
      <c r="AC385" t="s">
        <v>579</v>
      </c>
      <c r="AD385" t="s">
        <v>137</v>
      </c>
      <c r="AE385" t="s">
        <v>566</v>
      </c>
      <c r="AF385">
        <v>3</v>
      </c>
      <c r="AG385">
        <v>456</v>
      </c>
      <c r="AH385">
        <v>382</v>
      </c>
      <c r="AI385" s="122">
        <v>31464</v>
      </c>
      <c r="AJ385" s="122">
        <v>28604</v>
      </c>
      <c r="AK385">
        <v>90</v>
      </c>
      <c r="AL385" s="122">
        <v>5662</v>
      </c>
      <c r="AM385" s="122">
        <v>4718</v>
      </c>
      <c r="AN385" s="122">
        <v>7610</v>
      </c>
      <c r="AO385" s="122">
        <v>2818</v>
      </c>
      <c r="AP385" s="122">
        <v>1418</v>
      </c>
      <c r="AQ385">
        <v>525</v>
      </c>
      <c r="AR385" s="122">
        <v>11916</v>
      </c>
      <c r="AS385" s="122">
        <v>4413</v>
      </c>
      <c r="AT385">
        <v>0</v>
      </c>
      <c r="AU385">
        <v>0</v>
      </c>
      <c r="AV385" s="122">
        <v>41079</v>
      </c>
    </row>
    <row r="386" spans="2:48" hidden="1">
      <c r="B386" t="s">
        <v>365</v>
      </c>
      <c r="C386" t="s">
        <v>58</v>
      </c>
      <c r="D386" t="s">
        <v>427</v>
      </c>
      <c r="E386" t="s">
        <v>406</v>
      </c>
      <c r="F386">
        <v>2</v>
      </c>
      <c r="G386" s="122">
        <v>202</v>
      </c>
      <c r="H386" s="122">
        <v>487</v>
      </c>
      <c r="I386" s="122">
        <v>25539</v>
      </c>
      <c r="J386" s="122">
        <v>23218</v>
      </c>
      <c r="K386" s="122">
        <v>72</v>
      </c>
      <c r="L386" s="122">
        <v>5119</v>
      </c>
      <c r="M386" s="122">
        <v>4654</v>
      </c>
      <c r="N386" s="122">
        <v>3335</v>
      </c>
      <c r="O386" s="122">
        <v>1235</v>
      </c>
      <c r="P386" s="122">
        <v>1242</v>
      </c>
      <c r="Q386" s="122">
        <v>460</v>
      </c>
      <c r="R386" s="122">
        <v>11431</v>
      </c>
      <c r="S386" s="122">
        <v>10392</v>
      </c>
      <c r="T386" s="122">
        <v>2261</v>
      </c>
      <c r="U386" s="122">
        <v>838</v>
      </c>
      <c r="V386" s="122">
        <v>40797</v>
      </c>
      <c r="W386" s="122">
        <f t="shared" si="10"/>
        <v>40797</v>
      </c>
      <c r="X386" s="122">
        <f t="shared" si="11"/>
        <v>48927</v>
      </c>
      <c r="Y386" s="122"/>
      <c r="AA386" t="s">
        <v>54</v>
      </c>
      <c r="AB386" t="s">
        <v>407</v>
      </c>
      <c r="AC386" t="s">
        <v>579</v>
      </c>
      <c r="AD386" t="s">
        <v>406</v>
      </c>
      <c r="AE386" t="s">
        <v>566</v>
      </c>
      <c r="AF386">
        <v>2</v>
      </c>
      <c r="AG386">
        <v>308</v>
      </c>
      <c r="AH386">
        <v>257</v>
      </c>
      <c r="AI386" s="122">
        <v>20576</v>
      </c>
      <c r="AJ386" s="122">
        <v>18705</v>
      </c>
      <c r="AK386">
        <v>93</v>
      </c>
      <c r="AL386" s="122">
        <v>3542</v>
      </c>
      <c r="AM386" s="122">
        <v>2951</v>
      </c>
      <c r="AN386" s="122">
        <v>4630</v>
      </c>
      <c r="AO386" s="122">
        <v>1715</v>
      </c>
      <c r="AP386" s="122">
        <v>1094</v>
      </c>
      <c r="AQ386">
        <v>405</v>
      </c>
      <c r="AR386" s="122">
        <v>9721</v>
      </c>
      <c r="AS386" s="122">
        <v>8837</v>
      </c>
      <c r="AT386">
        <v>0</v>
      </c>
      <c r="AU386">
        <v>0</v>
      </c>
      <c r="AV386" s="122">
        <v>32614</v>
      </c>
    </row>
    <row r="387" spans="2:48" hidden="1">
      <c r="B387" t="s">
        <v>365</v>
      </c>
      <c r="C387" t="s">
        <v>58</v>
      </c>
      <c r="D387" t="s">
        <v>427</v>
      </c>
      <c r="E387" t="s">
        <v>427</v>
      </c>
      <c r="F387" s="122">
        <v>44</v>
      </c>
      <c r="G387" s="122">
        <v>3636</v>
      </c>
      <c r="H387" s="122">
        <v>12020</v>
      </c>
      <c r="I387" s="122">
        <v>502741</v>
      </c>
      <c r="J387" s="122">
        <v>457037</v>
      </c>
      <c r="K387" s="122">
        <v>56</v>
      </c>
      <c r="L387" s="122">
        <v>71513</v>
      </c>
      <c r="M387" s="122">
        <v>45767</v>
      </c>
      <c r="N387" s="122">
        <v>79972</v>
      </c>
      <c r="O387" s="122">
        <v>29619</v>
      </c>
      <c r="P387" s="122">
        <v>15444</v>
      </c>
      <c r="Q387" s="122">
        <v>5720</v>
      </c>
      <c r="R387" s="122">
        <v>234106</v>
      </c>
      <c r="S387" s="122">
        <v>212824</v>
      </c>
      <c r="T387" s="122">
        <v>88610</v>
      </c>
      <c r="U387" s="122">
        <v>32818</v>
      </c>
      <c r="V387" s="122">
        <v>783786</v>
      </c>
      <c r="W387" s="122">
        <f t="shared" si="10"/>
        <v>783785</v>
      </c>
      <c r="X387" s="122">
        <f t="shared" si="11"/>
        <v>992386</v>
      </c>
      <c r="Y387" s="122"/>
      <c r="AA387" t="s">
        <v>54</v>
      </c>
      <c r="AB387" t="s">
        <v>407</v>
      </c>
      <c r="AC387" t="s">
        <v>579</v>
      </c>
      <c r="AD387" t="s">
        <v>407</v>
      </c>
      <c r="AE387" t="s">
        <v>137</v>
      </c>
      <c r="AF387">
        <v>515</v>
      </c>
      <c r="AG387" s="122">
        <v>57802</v>
      </c>
      <c r="AH387" s="122">
        <v>72391</v>
      </c>
      <c r="AI387" s="122">
        <v>3701869</v>
      </c>
      <c r="AJ387" s="122">
        <v>3365335</v>
      </c>
      <c r="AK387">
        <v>88</v>
      </c>
      <c r="AL387" s="122">
        <v>954240</v>
      </c>
      <c r="AM387" s="122">
        <v>795200</v>
      </c>
      <c r="AN387" s="122">
        <v>976705</v>
      </c>
      <c r="AO387" s="122">
        <v>361742</v>
      </c>
      <c r="AP387" s="122">
        <v>246832</v>
      </c>
      <c r="AQ387" s="122">
        <v>91419</v>
      </c>
      <c r="AR387" s="122">
        <v>2085361</v>
      </c>
      <c r="AS387" s="122">
        <v>1895783</v>
      </c>
      <c r="AT387" s="122">
        <v>327451</v>
      </c>
      <c r="AU387" s="122">
        <v>121278</v>
      </c>
      <c r="AV387" s="122">
        <v>6630758</v>
      </c>
    </row>
    <row r="388" spans="2:48" hidden="1">
      <c r="B388" t="s">
        <v>365</v>
      </c>
      <c r="C388" t="s">
        <v>58</v>
      </c>
      <c r="D388" t="s">
        <v>407</v>
      </c>
      <c r="E388" t="s">
        <v>405</v>
      </c>
      <c r="F388">
        <v>2</v>
      </c>
      <c r="G388" s="122">
        <v>207</v>
      </c>
      <c r="H388" s="122">
        <v>536</v>
      </c>
      <c r="I388" s="122">
        <v>27813</v>
      </c>
      <c r="J388" s="122">
        <v>25285</v>
      </c>
      <c r="K388" s="122">
        <v>71</v>
      </c>
      <c r="L388" s="122">
        <v>8785</v>
      </c>
      <c r="M388" s="122">
        <v>7678</v>
      </c>
      <c r="N388" s="122">
        <v>4965</v>
      </c>
      <c r="O388" s="122">
        <v>1839</v>
      </c>
      <c r="P388" s="122">
        <v>945</v>
      </c>
      <c r="Q388" s="122">
        <v>350</v>
      </c>
      <c r="R388" s="122">
        <v>12256</v>
      </c>
      <c r="S388" s="122">
        <v>11141</v>
      </c>
      <c r="T388" s="122">
        <v>0</v>
      </c>
      <c r="U388" s="122">
        <v>0</v>
      </c>
      <c r="V388" s="122">
        <v>46293</v>
      </c>
      <c r="W388" s="122">
        <f t="shared" si="10"/>
        <v>46293</v>
      </c>
      <c r="X388" s="122">
        <f t="shared" si="11"/>
        <v>54764</v>
      </c>
      <c r="Y388" s="122"/>
      <c r="AA388" t="s">
        <v>54</v>
      </c>
      <c r="AB388" t="s">
        <v>407</v>
      </c>
      <c r="AC388" t="s">
        <v>579</v>
      </c>
      <c r="AD388" t="s">
        <v>407</v>
      </c>
      <c r="AE388" t="s">
        <v>566</v>
      </c>
      <c r="AF388" s="122">
        <v>4295</v>
      </c>
      <c r="AG388" s="122">
        <v>473152</v>
      </c>
      <c r="AH388" s="122">
        <v>605232</v>
      </c>
      <c r="AI388" s="122">
        <v>30960511</v>
      </c>
      <c r="AJ388" s="122">
        <v>28145919</v>
      </c>
      <c r="AK388">
        <v>89</v>
      </c>
      <c r="AL388" s="122">
        <v>8398132</v>
      </c>
      <c r="AM388" s="122">
        <v>6998444</v>
      </c>
      <c r="AN388" s="122">
        <v>8360635</v>
      </c>
      <c r="AO388" s="122">
        <v>3096531</v>
      </c>
      <c r="AP388" s="122">
        <v>2085413</v>
      </c>
      <c r="AQ388" s="122">
        <v>772375</v>
      </c>
      <c r="AR388" s="122">
        <v>18123641</v>
      </c>
      <c r="AS388" s="122">
        <v>16476037</v>
      </c>
      <c r="AT388">
        <v>0</v>
      </c>
      <c r="AU388">
        <v>0</v>
      </c>
      <c r="AV388" s="122">
        <v>55489307</v>
      </c>
    </row>
    <row r="389" spans="2:48" hidden="1">
      <c r="B389" t="s">
        <v>365</v>
      </c>
      <c r="C389" t="s">
        <v>58</v>
      </c>
      <c r="D389" t="s">
        <v>407</v>
      </c>
      <c r="E389" t="s">
        <v>137</v>
      </c>
      <c r="F389" s="122">
        <v>31</v>
      </c>
      <c r="G389" s="122">
        <v>2482</v>
      </c>
      <c r="H389" s="122">
        <v>8500</v>
      </c>
      <c r="I389" s="122">
        <v>378058</v>
      </c>
      <c r="J389" s="122">
        <v>343689</v>
      </c>
      <c r="K389" s="122">
        <v>80</v>
      </c>
      <c r="L389" s="122">
        <v>67360</v>
      </c>
      <c r="M389" s="122">
        <v>55621</v>
      </c>
      <c r="N389" s="122">
        <v>49245</v>
      </c>
      <c r="O389" s="122">
        <v>18239</v>
      </c>
      <c r="P389" s="122">
        <v>14850</v>
      </c>
      <c r="Q389" s="122">
        <v>5500</v>
      </c>
      <c r="R389" s="122">
        <v>193487</v>
      </c>
      <c r="S389" s="122">
        <v>71662</v>
      </c>
      <c r="T389" s="122">
        <v>0</v>
      </c>
      <c r="U389" s="122">
        <v>0</v>
      </c>
      <c r="V389" s="122">
        <v>494711</v>
      </c>
      <c r="W389" s="122">
        <f t="shared" si="10"/>
        <v>494711</v>
      </c>
      <c r="X389" s="122">
        <f t="shared" si="11"/>
        <v>703000</v>
      </c>
      <c r="Y389" s="122"/>
      <c r="AA389" t="s">
        <v>54</v>
      </c>
      <c r="AB389" t="s">
        <v>407</v>
      </c>
      <c r="AC389" t="s">
        <v>428</v>
      </c>
      <c r="AD389" t="s">
        <v>407</v>
      </c>
      <c r="AE389" t="s">
        <v>137</v>
      </c>
      <c r="AF389">
        <v>15</v>
      </c>
      <c r="AG389" s="122">
        <v>1850</v>
      </c>
      <c r="AH389" s="122">
        <v>2050</v>
      </c>
      <c r="AI389" s="122">
        <v>116106</v>
      </c>
      <c r="AJ389" s="122">
        <v>105551</v>
      </c>
      <c r="AK389">
        <v>90</v>
      </c>
      <c r="AL389" s="122">
        <v>20755</v>
      </c>
      <c r="AM389" s="122">
        <v>18868</v>
      </c>
      <c r="AN389" s="122">
        <v>24161</v>
      </c>
      <c r="AO389" s="122">
        <v>8948</v>
      </c>
      <c r="AP389" s="122">
        <v>7088</v>
      </c>
      <c r="AQ389" s="122">
        <v>2625</v>
      </c>
      <c r="AR389" s="122">
        <v>50255</v>
      </c>
      <c r="AS389" s="122">
        <v>45686</v>
      </c>
      <c r="AT389" s="122">
        <v>33664</v>
      </c>
      <c r="AU389" s="122">
        <v>12468</v>
      </c>
      <c r="AV389" s="122">
        <v>194147</v>
      </c>
    </row>
    <row r="390" spans="2:48" hidden="1">
      <c r="B390" t="s">
        <v>365</v>
      </c>
      <c r="C390" t="s">
        <v>58</v>
      </c>
      <c r="D390" t="s">
        <v>407</v>
      </c>
      <c r="E390" t="s">
        <v>406</v>
      </c>
      <c r="F390" s="122">
        <v>1</v>
      </c>
      <c r="G390" s="122">
        <v>102</v>
      </c>
      <c r="H390" s="122">
        <v>234</v>
      </c>
      <c r="I390" s="122">
        <v>12354</v>
      </c>
      <c r="J390" s="122">
        <v>11231</v>
      </c>
      <c r="K390" s="122">
        <v>79</v>
      </c>
      <c r="L390" s="122">
        <v>3436</v>
      </c>
      <c r="M390" s="122">
        <v>3124</v>
      </c>
      <c r="N390" s="122">
        <v>1969</v>
      </c>
      <c r="O390" s="122">
        <v>729</v>
      </c>
      <c r="P390" s="122">
        <v>473</v>
      </c>
      <c r="Q390" s="122">
        <v>175</v>
      </c>
      <c r="R390" s="122">
        <v>5676</v>
      </c>
      <c r="S390" s="122">
        <v>5160</v>
      </c>
      <c r="T390" s="122">
        <v>0</v>
      </c>
      <c r="U390" s="122">
        <v>0</v>
      </c>
      <c r="V390" s="122">
        <v>20418</v>
      </c>
      <c r="W390" s="122">
        <f t="shared" si="10"/>
        <v>20419</v>
      </c>
      <c r="X390" s="122">
        <f t="shared" si="11"/>
        <v>23908</v>
      </c>
      <c r="Y390" s="122"/>
      <c r="AA390" t="s">
        <v>54</v>
      </c>
      <c r="AB390" t="s">
        <v>407</v>
      </c>
      <c r="AC390" t="s">
        <v>428</v>
      </c>
      <c r="AD390" t="s">
        <v>407</v>
      </c>
      <c r="AE390" t="s">
        <v>566</v>
      </c>
      <c r="AF390">
        <v>79</v>
      </c>
      <c r="AG390" s="122">
        <v>8738</v>
      </c>
      <c r="AH390" s="122">
        <v>11094</v>
      </c>
      <c r="AI390" s="122">
        <v>575215</v>
      </c>
      <c r="AJ390" s="122">
        <v>522922</v>
      </c>
      <c r="AK390">
        <v>90</v>
      </c>
      <c r="AL390" s="122">
        <v>162712</v>
      </c>
      <c r="AM390" s="122">
        <v>147920</v>
      </c>
      <c r="AN390" s="122">
        <v>138721</v>
      </c>
      <c r="AO390" s="122">
        <v>51378</v>
      </c>
      <c r="AP390" s="122">
        <v>37679</v>
      </c>
      <c r="AQ390" s="122">
        <v>13955</v>
      </c>
      <c r="AR390" s="122">
        <v>332739</v>
      </c>
      <c r="AS390" s="122">
        <v>302490</v>
      </c>
      <c r="AT390">
        <v>0</v>
      </c>
      <c r="AU390">
        <v>0</v>
      </c>
      <c r="AV390" s="122">
        <v>1038665</v>
      </c>
    </row>
    <row r="391" spans="2:48" hidden="1">
      <c r="B391" t="s">
        <v>365</v>
      </c>
      <c r="C391" t="s">
        <v>58</v>
      </c>
      <c r="D391" t="s">
        <v>407</v>
      </c>
      <c r="E391" t="s">
        <v>427</v>
      </c>
      <c r="F391">
        <v>1</v>
      </c>
      <c r="G391" s="122">
        <v>130</v>
      </c>
      <c r="H391" s="122">
        <v>230</v>
      </c>
      <c r="I391" s="122">
        <v>20557</v>
      </c>
      <c r="J391" s="122">
        <v>18688</v>
      </c>
      <c r="K391" s="122">
        <v>68</v>
      </c>
      <c r="L391" s="122">
        <v>4918</v>
      </c>
      <c r="M391" s="122">
        <v>4471</v>
      </c>
      <c r="N391" s="122">
        <v>1925</v>
      </c>
      <c r="O391" s="122">
        <v>713</v>
      </c>
      <c r="P391" s="122">
        <v>473</v>
      </c>
      <c r="Q391" s="122">
        <v>175</v>
      </c>
      <c r="R391" s="122">
        <v>8524</v>
      </c>
      <c r="S391" s="122">
        <v>7749</v>
      </c>
      <c r="T391">
        <v>0</v>
      </c>
      <c r="U391" s="122">
        <v>0</v>
      </c>
      <c r="V391" s="122">
        <v>31796</v>
      </c>
      <c r="W391" s="122">
        <f t="shared" ref="W391:W454" si="12">SUM(ABS(J391),ABS(M391),ABS(O391),ABS(Q391),ABS(S391),ABS(U391))</f>
        <v>31796</v>
      </c>
      <c r="X391" s="122">
        <f t="shared" ref="X391:X454" si="13">SUM(ABS(I391),ABS(N391),ABS(P391),ABS(R391),ABS(T391),ABS(L391))</f>
        <v>36397</v>
      </c>
      <c r="Y391" s="122"/>
      <c r="AA391" t="s">
        <v>54</v>
      </c>
      <c r="AB391" t="s">
        <v>407</v>
      </c>
      <c r="AC391" t="s">
        <v>431</v>
      </c>
      <c r="AD391" t="s">
        <v>407</v>
      </c>
      <c r="AE391" t="s">
        <v>137</v>
      </c>
      <c r="AF391">
        <v>1</v>
      </c>
      <c r="AG391">
        <v>106</v>
      </c>
      <c r="AH391">
        <v>149</v>
      </c>
      <c r="AI391" s="122">
        <v>6824</v>
      </c>
      <c r="AJ391" s="122">
        <v>6204</v>
      </c>
      <c r="AK391">
        <v>87</v>
      </c>
      <c r="AL391" s="122">
        <v>2088</v>
      </c>
      <c r="AM391" s="122">
        <v>1898</v>
      </c>
      <c r="AN391" s="122">
        <v>1296</v>
      </c>
      <c r="AO391">
        <v>480</v>
      </c>
      <c r="AP391">
        <v>473</v>
      </c>
      <c r="AQ391">
        <v>175</v>
      </c>
      <c r="AR391" s="122">
        <v>2718</v>
      </c>
      <c r="AS391" s="122">
        <v>2471</v>
      </c>
      <c r="AT391" s="122">
        <v>2466</v>
      </c>
      <c r="AU391">
        <v>913</v>
      </c>
      <c r="AV391" s="122">
        <v>12140</v>
      </c>
    </row>
    <row r="392" spans="2:48" hidden="1">
      <c r="B392" t="s">
        <v>365</v>
      </c>
      <c r="C392" t="s">
        <v>58</v>
      </c>
      <c r="D392" t="s">
        <v>407</v>
      </c>
      <c r="E392" t="s">
        <v>407</v>
      </c>
      <c r="F392" s="122">
        <v>5460</v>
      </c>
      <c r="G392" s="122">
        <v>501747</v>
      </c>
      <c r="H392" s="122">
        <v>1413605</v>
      </c>
      <c r="I392" s="122">
        <v>69626791</v>
      </c>
      <c r="J392" s="122">
        <v>63297082</v>
      </c>
      <c r="K392" s="122">
        <v>80</v>
      </c>
      <c r="L392" s="122">
        <v>17920048</v>
      </c>
      <c r="M392" s="122">
        <v>15128361</v>
      </c>
      <c r="N392" s="122">
        <v>10267872</v>
      </c>
      <c r="O392" s="122">
        <v>3802915</v>
      </c>
      <c r="P392" s="122">
        <v>2603835</v>
      </c>
      <c r="Q392" s="122">
        <v>964383</v>
      </c>
      <c r="R392" s="122">
        <v>25395032</v>
      </c>
      <c r="S392" s="122">
        <v>23086392</v>
      </c>
      <c r="T392" s="122">
        <v>5283208</v>
      </c>
      <c r="U392" s="122">
        <v>1956744</v>
      </c>
      <c r="V392" s="122">
        <v>108235878</v>
      </c>
      <c r="W392" s="122">
        <f t="shared" si="12"/>
        <v>108235877</v>
      </c>
      <c r="X392" s="122">
        <f t="shared" si="13"/>
        <v>131096786</v>
      </c>
      <c r="Y392" s="122"/>
      <c r="AA392" t="s">
        <v>54</v>
      </c>
      <c r="AB392" t="s">
        <v>407</v>
      </c>
      <c r="AC392" t="s">
        <v>431</v>
      </c>
      <c r="AD392" t="s">
        <v>407</v>
      </c>
      <c r="AE392" t="s">
        <v>566</v>
      </c>
      <c r="AF392">
        <v>2</v>
      </c>
      <c r="AG392">
        <v>194</v>
      </c>
      <c r="AH392">
        <v>292</v>
      </c>
      <c r="AI392" s="122">
        <v>13310</v>
      </c>
      <c r="AJ392" s="122">
        <v>12100</v>
      </c>
      <c r="AK392">
        <v>82</v>
      </c>
      <c r="AL392" s="122">
        <v>1767</v>
      </c>
      <c r="AM392" s="122">
        <v>1607</v>
      </c>
      <c r="AN392" s="122">
        <v>3146</v>
      </c>
      <c r="AO392" s="122">
        <v>1165</v>
      </c>
      <c r="AP392">
        <v>945</v>
      </c>
      <c r="AQ392">
        <v>350</v>
      </c>
      <c r="AR392" s="122">
        <v>9170</v>
      </c>
      <c r="AS392" s="122">
        <v>8337</v>
      </c>
      <c r="AT392">
        <v>0</v>
      </c>
      <c r="AU392">
        <v>0</v>
      </c>
      <c r="AV392" s="122">
        <v>23559</v>
      </c>
    </row>
    <row r="393" spans="2:48" hidden="1">
      <c r="B393" t="s">
        <v>365</v>
      </c>
      <c r="C393" t="s">
        <v>58</v>
      </c>
      <c r="D393" t="s">
        <v>407</v>
      </c>
      <c r="E393" t="s">
        <v>426</v>
      </c>
      <c r="F393">
        <v>1</v>
      </c>
      <c r="G393" s="122">
        <v>153</v>
      </c>
      <c r="H393" s="122">
        <v>243</v>
      </c>
      <c r="I393" s="122">
        <v>20061</v>
      </c>
      <c r="J393" s="122">
        <v>18237</v>
      </c>
      <c r="K393">
        <v>78</v>
      </c>
      <c r="L393" s="122">
        <v>5506</v>
      </c>
      <c r="M393" s="122">
        <v>5005</v>
      </c>
      <c r="N393" s="122">
        <v>3730</v>
      </c>
      <c r="O393" s="122">
        <v>1382</v>
      </c>
      <c r="P393" s="122">
        <v>473</v>
      </c>
      <c r="Q393" s="122">
        <v>175</v>
      </c>
      <c r="R393" s="122">
        <v>4522</v>
      </c>
      <c r="S393" s="122">
        <v>4111</v>
      </c>
      <c r="T393" s="122">
        <v>2964</v>
      </c>
      <c r="U393" s="122">
        <v>1098</v>
      </c>
      <c r="V393" s="122">
        <v>30008</v>
      </c>
      <c r="W393" s="122">
        <f t="shared" si="12"/>
        <v>30008</v>
      </c>
      <c r="X393" s="122">
        <f t="shared" si="13"/>
        <v>37256</v>
      </c>
      <c r="Y393" s="122"/>
      <c r="AA393" t="s">
        <v>54</v>
      </c>
      <c r="AB393" t="s">
        <v>407</v>
      </c>
      <c r="AC393" t="s">
        <v>426</v>
      </c>
      <c r="AD393" t="s">
        <v>406</v>
      </c>
      <c r="AE393" t="s">
        <v>566</v>
      </c>
      <c r="AF393">
        <v>2</v>
      </c>
      <c r="AG393">
        <v>125</v>
      </c>
      <c r="AH393">
        <v>262</v>
      </c>
      <c r="AI393" s="122">
        <v>6046</v>
      </c>
      <c r="AJ393" s="122">
        <v>5496</v>
      </c>
      <c r="AK393">
        <v>90</v>
      </c>
      <c r="AL393">
        <v>765</v>
      </c>
      <c r="AM393">
        <v>695</v>
      </c>
      <c r="AN393" s="122">
        <v>1522</v>
      </c>
      <c r="AO393">
        <v>564</v>
      </c>
      <c r="AP393">
        <v>945</v>
      </c>
      <c r="AQ393">
        <v>350</v>
      </c>
      <c r="AR393" s="122">
        <v>7105</v>
      </c>
      <c r="AS393" s="122">
        <v>6460</v>
      </c>
      <c r="AT393">
        <v>0</v>
      </c>
      <c r="AU393">
        <v>0</v>
      </c>
      <c r="AV393" s="122">
        <v>13564</v>
      </c>
    </row>
    <row r="394" spans="2:48" hidden="1">
      <c r="B394" t="s">
        <v>365</v>
      </c>
      <c r="C394" t="s">
        <v>58</v>
      </c>
      <c r="D394" t="s">
        <v>556</v>
      </c>
      <c r="E394" t="s">
        <v>137</v>
      </c>
      <c r="F394" s="122">
        <v>3</v>
      </c>
      <c r="G394" s="122">
        <v>252</v>
      </c>
      <c r="H394" s="122">
        <v>807</v>
      </c>
      <c r="I394" s="122">
        <v>34824</v>
      </c>
      <c r="J394" s="122">
        <v>29020</v>
      </c>
      <c r="K394" s="122">
        <v>58</v>
      </c>
      <c r="L394" s="122">
        <v>4708</v>
      </c>
      <c r="M394" s="122">
        <v>2426</v>
      </c>
      <c r="N394" s="122">
        <v>5204</v>
      </c>
      <c r="O394" s="122">
        <v>1928</v>
      </c>
      <c r="P394" s="122">
        <v>702</v>
      </c>
      <c r="Q394" s="122">
        <v>260</v>
      </c>
      <c r="R394" s="122">
        <v>22235</v>
      </c>
      <c r="S394" s="122">
        <v>8235</v>
      </c>
      <c r="T394" s="122">
        <v>0</v>
      </c>
      <c r="U394" s="122">
        <v>0</v>
      </c>
      <c r="V394" s="122">
        <v>41869</v>
      </c>
      <c r="W394" s="122">
        <f t="shared" si="12"/>
        <v>41869</v>
      </c>
      <c r="X394" s="122">
        <f t="shared" si="13"/>
        <v>67673</v>
      </c>
      <c r="Y394" s="122"/>
      <c r="AA394" t="s">
        <v>54</v>
      </c>
      <c r="AB394" t="s">
        <v>407</v>
      </c>
      <c r="AC394" t="s">
        <v>426</v>
      </c>
      <c r="AD394" t="s">
        <v>407</v>
      </c>
      <c r="AE394" t="s">
        <v>137</v>
      </c>
      <c r="AF394">
        <v>566</v>
      </c>
      <c r="AG394" s="122">
        <v>63462</v>
      </c>
      <c r="AH394" s="122">
        <v>79446</v>
      </c>
      <c r="AI394" s="122">
        <v>3957674</v>
      </c>
      <c r="AJ394" s="122">
        <v>3597885</v>
      </c>
      <c r="AK394">
        <v>88</v>
      </c>
      <c r="AL394" s="122">
        <v>1118352</v>
      </c>
      <c r="AM394" s="122">
        <v>1016684</v>
      </c>
      <c r="AN394" s="122">
        <v>1175642</v>
      </c>
      <c r="AO394" s="122">
        <v>435423</v>
      </c>
      <c r="AP394" s="122">
        <v>268412</v>
      </c>
      <c r="AQ394" s="122">
        <v>99412</v>
      </c>
      <c r="AR394" s="122">
        <v>2210665</v>
      </c>
      <c r="AS394" s="122">
        <v>2009696</v>
      </c>
      <c r="AT394" s="122">
        <v>355268</v>
      </c>
      <c r="AU394" s="122">
        <v>131581</v>
      </c>
      <c r="AV394" s="122">
        <v>7290680</v>
      </c>
    </row>
    <row r="395" spans="2:48" hidden="1">
      <c r="B395" t="s">
        <v>365</v>
      </c>
      <c r="C395" t="s">
        <v>58</v>
      </c>
      <c r="D395" t="s">
        <v>556</v>
      </c>
      <c r="E395" t="s">
        <v>556</v>
      </c>
      <c r="F395">
        <v>72</v>
      </c>
      <c r="G395" s="122">
        <v>6081</v>
      </c>
      <c r="H395" s="122">
        <v>19855</v>
      </c>
      <c r="I395" s="122">
        <v>915844</v>
      </c>
      <c r="J395" s="122">
        <v>763204</v>
      </c>
      <c r="K395" s="122">
        <v>59</v>
      </c>
      <c r="L395" s="122">
        <v>82452</v>
      </c>
      <c r="M395" s="122">
        <v>57202</v>
      </c>
      <c r="N395" s="122">
        <v>123308</v>
      </c>
      <c r="O395" s="122">
        <v>45670</v>
      </c>
      <c r="P395" s="122">
        <v>26285</v>
      </c>
      <c r="Q395" s="122">
        <v>9735</v>
      </c>
      <c r="R395" s="122">
        <v>391385</v>
      </c>
      <c r="S395" s="122">
        <v>326154</v>
      </c>
      <c r="T395" s="122">
        <v>163553</v>
      </c>
      <c r="U395" s="122">
        <v>60575</v>
      </c>
      <c r="V395" s="122">
        <v>1262540</v>
      </c>
      <c r="W395" s="122">
        <f t="shared" si="12"/>
        <v>1262540</v>
      </c>
      <c r="X395" s="122">
        <f t="shared" si="13"/>
        <v>1702827</v>
      </c>
      <c r="Y395" s="122"/>
      <c r="AA395" t="s">
        <v>54</v>
      </c>
      <c r="AB395" t="s">
        <v>407</v>
      </c>
      <c r="AC395" t="s">
        <v>426</v>
      </c>
      <c r="AD395" t="s">
        <v>407</v>
      </c>
      <c r="AE395" t="s">
        <v>566</v>
      </c>
      <c r="AF395" s="122">
        <v>2527</v>
      </c>
      <c r="AG395" s="122">
        <v>276264</v>
      </c>
      <c r="AH395" s="122">
        <v>355989</v>
      </c>
      <c r="AI395" s="122">
        <v>17553093</v>
      </c>
      <c r="AJ395" s="122">
        <v>15957357</v>
      </c>
      <c r="AK395">
        <v>87</v>
      </c>
      <c r="AL395" s="122">
        <v>4617972</v>
      </c>
      <c r="AM395" s="122">
        <v>4198156</v>
      </c>
      <c r="AN395" s="122">
        <v>5104906</v>
      </c>
      <c r="AO395" s="122">
        <v>1890706</v>
      </c>
      <c r="AP395" s="122">
        <v>1252122</v>
      </c>
      <c r="AQ395" s="122">
        <v>463749</v>
      </c>
      <c r="AR395" s="122">
        <v>10914130</v>
      </c>
      <c r="AS395" s="122">
        <v>9921936</v>
      </c>
      <c r="AT395">
        <v>0</v>
      </c>
      <c r="AU395">
        <v>0</v>
      </c>
      <c r="AV395" s="122">
        <v>32431904</v>
      </c>
    </row>
    <row r="396" spans="2:48" hidden="1">
      <c r="B396" t="s">
        <v>365</v>
      </c>
      <c r="C396" t="s">
        <v>58</v>
      </c>
      <c r="D396" t="s">
        <v>426</v>
      </c>
      <c r="E396" t="s">
        <v>137</v>
      </c>
      <c r="F396">
        <v>4</v>
      </c>
      <c r="G396" s="122">
        <v>263</v>
      </c>
      <c r="H396" s="122">
        <v>1146</v>
      </c>
      <c r="I396" s="122">
        <v>37130</v>
      </c>
      <c r="J396" s="122">
        <v>33754</v>
      </c>
      <c r="K396" s="122">
        <v>61</v>
      </c>
      <c r="L396" s="122">
        <v>5318</v>
      </c>
      <c r="M396" s="122">
        <v>2893</v>
      </c>
      <c r="N396" s="122">
        <v>4305</v>
      </c>
      <c r="O396" s="122">
        <v>1594</v>
      </c>
      <c r="P396" s="122">
        <v>702</v>
      </c>
      <c r="Q396" s="122">
        <v>260</v>
      </c>
      <c r="R396" s="122">
        <v>27797</v>
      </c>
      <c r="S396" s="122">
        <v>10295</v>
      </c>
      <c r="T396" s="122">
        <v>0</v>
      </c>
      <c r="U396" s="122">
        <v>0</v>
      </c>
      <c r="V396" s="122">
        <v>48797</v>
      </c>
      <c r="W396" s="122">
        <f t="shared" si="12"/>
        <v>48796</v>
      </c>
      <c r="X396" s="122">
        <f t="shared" si="13"/>
        <v>75252</v>
      </c>
      <c r="Y396" s="122"/>
      <c r="AA396" t="s">
        <v>54</v>
      </c>
      <c r="AB396" t="s">
        <v>407</v>
      </c>
      <c r="AC396" t="s">
        <v>566</v>
      </c>
      <c r="AD396" t="s">
        <v>404</v>
      </c>
      <c r="AE396" t="s">
        <v>566</v>
      </c>
      <c r="AF396">
        <v>1</v>
      </c>
      <c r="AG396">
        <v>117</v>
      </c>
      <c r="AH396">
        <v>129</v>
      </c>
      <c r="AI396" s="122">
        <v>3601</v>
      </c>
      <c r="AJ396" s="122">
        <v>3274</v>
      </c>
      <c r="AK396">
        <v>91</v>
      </c>
      <c r="AL396">
        <v>0</v>
      </c>
      <c r="AM396" s="122">
        <v>1049</v>
      </c>
      <c r="AN396" s="122">
        <v>2133</v>
      </c>
      <c r="AO396">
        <v>790</v>
      </c>
      <c r="AP396">
        <v>473</v>
      </c>
      <c r="AQ396">
        <v>175</v>
      </c>
      <c r="AR396" s="122">
        <v>8832</v>
      </c>
      <c r="AS396" s="122">
        <v>3271</v>
      </c>
      <c r="AT396">
        <v>0</v>
      </c>
      <c r="AU396">
        <v>0</v>
      </c>
      <c r="AV396" s="122">
        <v>8559</v>
      </c>
    </row>
    <row r="397" spans="2:48" hidden="1">
      <c r="B397" t="s">
        <v>365</v>
      </c>
      <c r="C397" t="s">
        <v>58</v>
      </c>
      <c r="D397" t="s">
        <v>426</v>
      </c>
      <c r="E397" t="s">
        <v>426</v>
      </c>
      <c r="F397" s="122">
        <v>428</v>
      </c>
      <c r="G397" s="122">
        <v>36428</v>
      </c>
      <c r="H397" s="122">
        <v>116136</v>
      </c>
      <c r="I397" s="122">
        <v>5103796</v>
      </c>
      <c r="J397" s="122">
        <v>4639814</v>
      </c>
      <c r="K397" s="122">
        <v>57</v>
      </c>
      <c r="L397" s="122">
        <v>694909</v>
      </c>
      <c r="M397" s="122">
        <v>556854</v>
      </c>
      <c r="N397" s="122">
        <v>745950</v>
      </c>
      <c r="O397" s="122">
        <v>276278</v>
      </c>
      <c r="P397" s="122">
        <v>154535</v>
      </c>
      <c r="Q397" s="122">
        <v>57235</v>
      </c>
      <c r="R397" s="122">
        <v>2298118</v>
      </c>
      <c r="S397" s="122">
        <v>2089198</v>
      </c>
      <c r="T397" s="122">
        <v>892765</v>
      </c>
      <c r="U397" s="122">
        <v>330654</v>
      </c>
      <c r="V397" s="122">
        <v>7950033</v>
      </c>
      <c r="W397" s="122">
        <f t="shared" si="12"/>
        <v>7950033</v>
      </c>
      <c r="X397" s="122">
        <f t="shared" si="13"/>
        <v>9890073</v>
      </c>
      <c r="Y397" s="122"/>
      <c r="AA397" t="s">
        <v>54</v>
      </c>
      <c r="AB397" t="s">
        <v>407</v>
      </c>
      <c r="AC397" t="s">
        <v>566</v>
      </c>
      <c r="AD397" t="s">
        <v>405</v>
      </c>
      <c r="AE397" t="s">
        <v>137</v>
      </c>
      <c r="AF397">
        <v>1</v>
      </c>
      <c r="AG397">
        <v>92</v>
      </c>
      <c r="AH397">
        <v>148</v>
      </c>
      <c r="AI397" s="122">
        <v>6724</v>
      </c>
      <c r="AJ397" s="122">
        <v>6113</v>
      </c>
      <c r="AK397">
        <v>91</v>
      </c>
      <c r="AL397">
        <v>0</v>
      </c>
      <c r="AM397">
        <v>0</v>
      </c>
      <c r="AN397" s="122">
        <v>1122</v>
      </c>
      <c r="AO397">
        <v>416</v>
      </c>
      <c r="AP397">
        <v>473</v>
      </c>
      <c r="AQ397">
        <v>175</v>
      </c>
      <c r="AR397" s="122">
        <v>5285</v>
      </c>
      <c r="AS397" s="122">
        <v>4804</v>
      </c>
      <c r="AT397">
        <v>0</v>
      </c>
      <c r="AU397">
        <v>0</v>
      </c>
      <c r="AV397" s="122">
        <v>11507</v>
      </c>
    </row>
    <row r="398" spans="2:48" hidden="1">
      <c r="B398" t="s">
        <v>365</v>
      </c>
      <c r="C398" t="s">
        <v>58</v>
      </c>
      <c r="D398" t="s">
        <v>433</v>
      </c>
      <c r="E398" t="s">
        <v>137</v>
      </c>
      <c r="F398">
        <v>1</v>
      </c>
      <c r="G398" s="122">
        <v>67</v>
      </c>
      <c r="H398" s="122">
        <v>292</v>
      </c>
      <c r="I398" s="122">
        <v>8553</v>
      </c>
      <c r="J398" s="122">
        <v>7775</v>
      </c>
      <c r="K398" s="122">
        <v>78</v>
      </c>
      <c r="L398" s="122">
        <v>4088</v>
      </c>
      <c r="M398" s="122">
        <v>1514</v>
      </c>
      <c r="N398" s="122">
        <v>814</v>
      </c>
      <c r="O398" s="122">
        <v>301</v>
      </c>
      <c r="P398" s="122">
        <v>0</v>
      </c>
      <c r="Q398" s="122">
        <v>0</v>
      </c>
      <c r="R398" s="122">
        <v>6017</v>
      </c>
      <c r="S398" s="122">
        <v>2228</v>
      </c>
      <c r="T398" s="122">
        <v>0</v>
      </c>
      <c r="U398" s="122">
        <v>0</v>
      </c>
      <c r="V398" s="122">
        <v>11819</v>
      </c>
      <c r="W398" s="122">
        <f t="shared" si="12"/>
        <v>11818</v>
      </c>
      <c r="X398" s="122">
        <f t="shared" si="13"/>
        <v>19472</v>
      </c>
      <c r="Y398" s="122"/>
      <c r="AA398" t="s">
        <v>54</v>
      </c>
      <c r="AB398" t="s">
        <v>407</v>
      </c>
      <c r="AC398" t="s">
        <v>566</v>
      </c>
      <c r="AD398" t="s">
        <v>405</v>
      </c>
      <c r="AE398" t="s">
        <v>566</v>
      </c>
      <c r="AF398">
        <v>1</v>
      </c>
      <c r="AG398">
        <v>92</v>
      </c>
      <c r="AH398">
        <v>126</v>
      </c>
      <c r="AI398" s="122">
        <v>5443</v>
      </c>
      <c r="AJ398" s="122">
        <v>4949</v>
      </c>
      <c r="AK398">
        <v>91</v>
      </c>
      <c r="AL398">
        <v>0</v>
      </c>
      <c r="AM398">
        <v>500</v>
      </c>
      <c r="AN398" s="122">
        <v>1516</v>
      </c>
      <c r="AO398">
        <v>562</v>
      </c>
      <c r="AP398">
        <v>473</v>
      </c>
      <c r="AQ398">
        <v>175</v>
      </c>
      <c r="AR398" s="122">
        <v>4064</v>
      </c>
      <c r="AS398" s="122">
        <v>3694</v>
      </c>
      <c r="AT398">
        <v>0</v>
      </c>
      <c r="AU398">
        <v>0</v>
      </c>
      <c r="AV398" s="122">
        <v>9880</v>
      </c>
    </row>
    <row r="399" spans="2:48" hidden="1">
      <c r="B399" t="s">
        <v>365</v>
      </c>
      <c r="C399" t="s">
        <v>58</v>
      </c>
      <c r="D399" t="s">
        <v>433</v>
      </c>
      <c r="E399" t="s">
        <v>433</v>
      </c>
      <c r="F399">
        <v>6</v>
      </c>
      <c r="G399" s="122">
        <v>449</v>
      </c>
      <c r="H399" s="122">
        <v>1548</v>
      </c>
      <c r="I399" s="122">
        <v>70741</v>
      </c>
      <c r="J399" s="122">
        <v>64310</v>
      </c>
      <c r="K399" s="122">
        <v>65</v>
      </c>
      <c r="L399" s="122">
        <v>4866</v>
      </c>
      <c r="M399" s="122">
        <v>3218</v>
      </c>
      <c r="N399" s="122">
        <v>9595</v>
      </c>
      <c r="O399" s="122">
        <v>3554</v>
      </c>
      <c r="P399" s="122">
        <v>2106</v>
      </c>
      <c r="Q399" s="122">
        <v>780</v>
      </c>
      <c r="R399" s="122">
        <v>25218</v>
      </c>
      <c r="S399" s="122">
        <v>22926</v>
      </c>
      <c r="T399" s="122">
        <v>11784</v>
      </c>
      <c r="U399" s="122">
        <v>4364</v>
      </c>
      <c r="V399" s="122">
        <v>99152</v>
      </c>
      <c r="W399" s="122">
        <f t="shared" si="12"/>
        <v>99152</v>
      </c>
      <c r="X399" s="122">
        <f t="shared" si="13"/>
        <v>124310</v>
      </c>
      <c r="Y399" s="122"/>
      <c r="AA399" t="s">
        <v>54</v>
      </c>
      <c r="AB399" t="s">
        <v>407</v>
      </c>
      <c r="AC399" t="s">
        <v>566</v>
      </c>
      <c r="AD399" t="s">
        <v>137</v>
      </c>
      <c r="AE399" t="s">
        <v>137</v>
      </c>
      <c r="AF399">
        <v>1</v>
      </c>
      <c r="AG399">
        <v>127</v>
      </c>
      <c r="AH399">
        <v>135</v>
      </c>
      <c r="AI399" s="122">
        <v>11838</v>
      </c>
      <c r="AJ399" s="122">
        <v>10762</v>
      </c>
      <c r="AK399">
        <v>91</v>
      </c>
      <c r="AL399">
        <v>0</v>
      </c>
      <c r="AM399">
        <v>0</v>
      </c>
      <c r="AN399" s="122">
        <v>1720</v>
      </c>
      <c r="AO399">
        <v>637</v>
      </c>
      <c r="AP399">
        <v>473</v>
      </c>
      <c r="AQ399">
        <v>175</v>
      </c>
      <c r="AR399" s="122">
        <v>3174</v>
      </c>
      <c r="AS399" s="122">
        <v>1175</v>
      </c>
      <c r="AT399">
        <v>0</v>
      </c>
      <c r="AU399">
        <v>0</v>
      </c>
      <c r="AV399" s="122">
        <v>12749</v>
      </c>
    </row>
    <row r="400" spans="2:48" hidden="1">
      <c r="B400" t="s">
        <v>365</v>
      </c>
      <c r="C400" t="s">
        <v>58</v>
      </c>
      <c r="D400" t="s">
        <v>408</v>
      </c>
      <c r="E400" t="s">
        <v>406</v>
      </c>
      <c r="F400" s="122">
        <v>1</v>
      </c>
      <c r="G400" s="122">
        <v>153</v>
      </c>
      <c r="H400" s="122">
        <v>261</v>
      </c>
      <c r="I400" s="122">
        <v>26677</v>
      </c>
      <c r="J400" s="122">
        <v>24252</v>
      </c>
      <c r="K400" s="122">
        <v>82</v>
      </c>
      <c r="L400" s="122">
        <v>2843</v>
      </c>
      <c r="M400" s="122">
        <v>2584</v>
      </c>
      <c r="N400" s="122">
        <v>1862</v>
      </c>
      <c r="O400" s="122">
        <v>690</v>
      </c>
      <c r="P400" s="122">
        <v>621</v>
      </c>
      <c r="Q400" s="122">
        <v>230</v>
      </c>
      <c r="R400" s="122">
        <v>4434</v>
      </c>
      <c r="S400" s="122">
        <v>4031</v>
      </c>
      <c r="T400" s="122">
        <v>3496</v>
      </c>
      <c r="U400" s="122">
        <v>1295</v>
      </c>
      <c r="V400" s="122">
        <v>33081</v>
      </c>
      <c r="W400" s="122">
        <f t="shared" si="12"/>
        <v>33082</v>
      </c>
      <c r="X400" s="122">
        <f t="shared" si="13"/>
        <v>39933</v>
      </c>
      <c r="Y400" s="122"/>
      <c r="AA400" t="s">
        <v>54</v>
      </c>
      <c r="AB400" t="s">
        <v>407</v>
      </c>
      <c r="AC400" t="s">
        <v>566</v>
      </c>
      <c r="AD400" t="s">
        <v>137</v>
      </c>
      <c r="AE400" t="s">
        <v>566</v>
      </c>
      <c r="AF400">
        <v>1</v>
      </c>
      <c r="AG400">
        <v>90</v>
      </c>
      <c r="AH400">
        <v>149</v>
      </c>
      <c r="AI400" s="122">
        <v>12825</v>
      </c>
      <c r="AJ400" s="122">
        <v>11659</v>
      </c>
      <c r="AK400">
        <v>91</v>
      </c>
      <c r="AL400">
        <v>0</v>
      </c>
      <c r="AM400">
        <v>0</v>
      </c>
      <c r="AN400" s="122">
        <v>1974</v>
      </c>
      <c r="AO400">
        <v>731</v>
      </c>
      <c r="AP400">
        <v>473</v>
      </c>
      <c r="AQ400">
        <v>175</v>
      </c>
      <c r="AR400" s="122">
        <v>1916</v>
      </c>
      <c r="AS400">
        <v>710</v>
      </c>
      <c r="AT400">
        <v>0</v>
      </c>
      <c r="AU400">
        <v>0</v>
      </c>
      <c r="AV400" s="122">
        <v>13275</v>
      </c>
    </row>
    <row r="401" spans="2:48" hidden="1">
      <c r="B401" t="s">
        <v>365</v>
      </c>
      <c r="C401" t="s">
        <v>58</v>
      </c>
      <c r="D401" t="s">
        <v>408</v>
      </c>
      <c r="E401" t="s">
        <v>408</v>
      </c>
      <c r="F401" s="122">
        <v>2</v>
      </c>
      <c r="G401" s="122">
        <v>181</v>
      </c>
      <c r="H401" s="122">
        <v>492</v>
      </c>
      <c r="I401" s="122">
        <v>24548</v>
      </c>
      <c r="J401" s="122">
        <v>22316</v>
      </c>
      <c r="K401" s="122">
        <v>65</v>
      </c>
      <c r="L401" s="122">
        <v>4668</v>
      </c>
      <c r="M401" s="122">
        <v>4244</v>
      </c>
      <c r="N401" s="122">
        <v>3120</v>
      </c>
      <c r="O401" s="122">
        <v>1156</v>
      </c>
      <c r="P401" s="122">
        <v>1589</v>
      </c>
      <c r="Q401" s="122">
        <v>589</v>
      </c>
      <c r="R401" s="122">
        <v>10812</v>
      </c>
      <c r="S401" s="122">
        <v>9829</v>
      </c>
      <c r="T401" s="122">
        <v>0</v>
      </c>
      <c r="U401" s="122">
        <v>0</v>
      </c>
      <c r="V401" s="122">
        <v>38133</v>
      </c>
      <c r="W401" s="122">
        <f t="shared" si="12"/>
        <v>38134</v>
      </c>
      <c r="X401" s="122">
        <f t="shared" si="13"/>
        <v>44737</v>
      </c>
      <c r="Y401" s="122"/>
      <c r="AA401" t="s">
        <v>54</v>
      </c>
      <c r="AB401" t="s">
        <v>407</v>
      </c>
      <c r="AC401" t="s">
        <v>566</v>
      </c>
      <c r="AD401" t="s">
        <v>406</v>
      </c>
      <c r="AE401" t="s">
        <v>566</v>
      </c>
      <c r="AF401">
        <v>1</v>
      </c>
      <c r="AG401">
        <v>147</v>
      </c>
      <c r="AH401">
        <v>133</v>
      </c>
      <c r="AI401" s="122">
        <v>14388</v>
      </c>
      <c r="AJ401" s="122">
        <v>13080</v>
      </c>
      <c r="AK401">
        <v>90</v>
      </c>
      <c r="AL401">
        <v>0</v>
      </c>
      <c r="AM401">
        <v>0</v>
      </c>
      <c r="AN401" s="122">
        <v>1887</v>
      </c>
      <c r="AO401">
        <v>699</v>
      </c>
      <c r="AP401">
        <v>473</v>
      </c>
      <c r="AQ401">
        <v>175</v>
      </c>
      <c r="AR401" s="122">
        <v>2864</v>
      </c>
      <c r="AS401" s="122">
        <v>2603</v>
      </c>
      <c r="AT401">
        <v>0</v>
      </c>
      <c r="AU401">
        <v>0</v>
      </c>
      <c r="AV401" s="122">
        <v>16557</v>
      </c>
    </row>
    <row r="402" spans="2:48" hidden="1">
      <c r="B402" t="s">
        <v>365</v>
      </c>
      <c r="C402" t="s">
        <v>60</v>
      </c>
      <c r="F402">
        <v>18</v>
      </c>
      <c r="G402">
        <v>962</v>
      </c>
      <c r="H402" s="122">
        <v>6375</v>
      </c>
      <c r="I402" s="122"/>
      <c r="J402" s="122">
        <v>0</v>
      </c>
      <c r="K402" s="122"/>
      <c r="L402" s="122"/>
      <c r="M402" s="122">
        <v>0</v>
      </c>
      <c r="N402" s="122">
        <v>15296</v>
      </c>
      <c r="O402" s="122">
        <v>5665</v>
      </c>
      <c r="P402" s="122">
        <v>6710</v>
      </c>
      <c r="Q402" s="122">
        <v>2485</v>
      </c>
      <c r="R402" s="122"/>
      <c r="S402" s="122">
        <v>0</v>
      </c>
      <c r="T402" s="122">
        <v>1845</v>
      </c>
      <c r="U402" s="122">
        <v>683</v>
      </c>
      <c r="V402" s="122">
        <v>8833</v>
      </c>
      <c r="W402" s="122">
        <f t="shared" si="12"/>
        <v>8833</v>
      </c>
      <c r="X402" s="122">
        <f t="shared" si="13"/>
        <v>23851</v>
      </c>
      <c r="Y402" s="122"/>
      <c r="AA402" t="s">
        <v>54</v>
      </c>
      <c r="AB402" t="s">
        <v>407</v>
      </c>
      <c r="AC402" t="s">
        <v>566</v>
      </c>
      <c r="AD402" t="s">
        <v>407</v>
      </c>
      <c r="AE402" t="s">
        <v>137</v>
      </c>
      <c r="AF402">
        <v>537</v>
      </c>
      <c r="AG402" s="122">
        <v>53405</v>
      </c>
      <c r="AH402" s="122">
        <v>75164</v>
      </c>
      <c r="AI402" s="122">
        <v>3765593</v>
      </c>
      <c r="AJ402" s="122">
        <v>3423266</v>
      </c>
      <c r="AK402">
        <v>85</v>
      </c>
      <c r="AL402">
        <v>0</v>
      </c>
      <c r="AM402" s="122">
        <v>95125</v>
      </c>
      <c r="AN402" s="122">
        <v>974204</v>
      </c>
      <c r="AO402" s="122">
        <v>360816</v>
      </c>
      <c r="AP402" s="122">
        <v>257476</v>
      </c>
      <c r="AQ402" s="122">
        <v>95361</v>
      </c>
      <c r="AR402" s="122">
        <v>2032301</v>
      </c>
      <c r="AS402" s="122">
        <v>1847546</v>
      </c>
      <c r="AT402" s="122">
        <v>657305</v>
      </c>
      <c r="AU402" s="122">
        <v>243446</v>
      </c>
      <c r="AV402" s="122">
        <v>6065561</v>
      </c>
    </row>
    <row r="403" spans="2:48" hidden="1">
      <c r="B403" t="s">
        <v>365</v>
      </c>
      <c r="C403" t="s">
        <v>60</v>
      </c>
      <c r="D403" t="s">
        <v>555</v>
      </c>
      <c r="E403" t="s">
        <v>556</v>
      </c>
      <c r="F403">
        <v>1</v>
      </c>
      <c r="G403" s="122">
        <v>89</v>
      </c>
      <c r="H403" s="122">
        <v>334</v>
      </c>
      <c r="I403" s="122">
        <v>15777</v>
      </c>
      <c r="J403" s="122">
        <v>14342</v>
      </c>
      <c r="K403" s="122">
        <v>55</v>
      </c>
      <c r="L403" s="122">
        <v>3506</v>
      </c>
      <c r="M403" s="122">
        <v>2922</v>
      </c>
      <c r="N403" s="122">
        <v>1085</v>
      </c>
      <c r="O403" s="122">
        <v>402</v>
      </c>
      <c r="P403" s="122">
        <v>351</v>
      </c>
      <c r="Q403" s="122">
        <v>130</v>
      </c>
      <c r="R403" s="122">
        <v>6265</v>
      </c>
      <c r="S403" s="122">
        <v>5221</v>
      </c>
      <c r="T403" s="122">
        <v>2731</v>
      </c>
      <c r="U403" s="122">
        <v>1012</v>
      </c>
      <c r="V403" s="122">
        <v>24028</v>
      </c>
      <c r="W403" s="122">
        <f t="shared" si="12"/>
        <v>24029</v>
      </c>
      <c r="X403" s="122">
        <f t="shared" si="13"/>
        <v>29715</v>
      </c>
      <c r="Y403" s="122"/>
      <c r="AA403" t="s">
        <v>54</v>
      </c>
      <c r="AB403" t="s">
        <v>407</v>
      </c>
      <c r="AC403" t="s">
        <v>566</v>
      </c>
      <c r="AD403" t="s">
        <v>407</v>
      </c>
      <c r="AE403" t="s">
        <v>566</v>
      </c>
      <c r="AF403" s="122">
        <v>2687</v>
      </c>
      <c r="AG403" s="122">
        <v>264461</v>
      </c>
      <c r="AH403" s="122">
        <v>372341</v>
      </c>
      <c r="AI403" s="122">
        <v>19847035</v>
      </c>
      <c r="AJ403" s="122">
        <v>18042759</v>
      </c>
      <c r="AK403">
        <v>87</v>
      </c>
      <c r="AL403" s="122">
        <v>2276</v>
      </c>
      <c r="AM403" s="122">
        <v>159597</v>
      </c>
      <c r="AN403" s="122">
        <v>4995606</v>
      </c>
      <c r="AO403" s="122">
        <v>1850224</v>
      </c>
      <c r="AP403" s="122">
        <v>1389183</v>
      </c>
      <c r="AQ403" s="122">
        <v>514512</v>
      </c>
      <c r="AR403" s="122">
        <v>11019972</v>
      </c>
      <c r="AS403" s="122">
        <v>10018156</v>
      </c>
      <c r="AT403" s="122">
        <v>2215</v>
      </c>
      <c r="AU403">
        <v>820</v>
      </c>
      <c r="AV403" s="122">
        <v>30586070</v>
      </c>
    </row>
    <row r="404" spans="2:48" hidden="1">
      <c r="B404" t="s">
        <v>365</v>
      </c>
      <c r="C404" t="s">
        <v>60</v>
      </c>
      <c r="D404" t="s">
        <v>425</v>
      </c>
      <c r="E404" t="s">
        <v>425</v>
      </c>
      <c r="F404">
        <v>3</v>
      </c>
      <c r="G404">
        <v>204</v>
      </c>
      <c r="H404" s="122">
        <v>1003</v>
      </c>
      <c r="I404" s="122">
        <v>38748</v>
      </c>
      <c r="J404" s="122">
        <v>35225</v>
      </c>
      <c r="K404">
        <v>84</v>
      </c>
      <c r="L404" s="122">
        <v>8546</v>
      </c>
      <c r="M404" s="122">
        <v>7428</v>
      </c>
      <c r="N404" s="122">
        <v>4880</v>
      </c>
      <c r="O404" s="122">
        <v>1807</v>
      </c>
      <c r="P404" s="122">
        <v>1418</v>
      </c>
      <c r="Q404" s="122">
        <v>525</v>
      </c>
      <c r="R404" s="122">
        <v>10441</v>
      </c>
      <c r="S404" s="122">
        <v>9492</v>
      </c>
      <c r="T404" s="122">
        <v>4284</v>
      </c>
      <c r="U404" s="122">
        <v>1587</v>
      </c>
      <c r="V404" s="122">
        <v>56064</v>
      </c>
      <c r="W404" s="122">
        <f t="shared" si="12"/>
        <v>56064</v>
      </c>
      <c r="X404" s="122">
        <f t="shared" si="13"/>
        <v>68317</v>
      </c>
      <c r="Y404" s="122"/>
      <c r="AA404" t="s">
        <v>54</v>
      </c>
      <c r="AB404" t="s">
        <v>407</v>
      </c>
      <c r="AC404" t="s">
        <v>481</v>
      </c>
      <c r="AD404" t="s">
        <v>407</v>
      </c>
      <c r="AE404" t="s">
        <v>566</v>
      </c>
      <c r="AF404">
        <v>11</v>
      </c>
      <c r="AG404" s="122">
        <v>1492</v>
      </c>
      <c r="AH404" s="122">
        <v>1505</v>
      </c>
      <c r="AI404" s="122">
        <v>107573</v>
      </c>
      <c r="AJ404" s="122">
        <v>97793</v>
      </c>
      <c r="AK404">
        <v>90</v>
      </c>
      <c r="AL404" s="122">
        <v>28171</v>
      </c>
      <c r="AM404" s="122">
        <v>25610</v>
      </c>
      <c r="AN404" s="122">
        <v>22034</v>
      </c>
      <c r="AO404" s="122">
        <v>8161</v>
      </c>
      <c r="AP404" s="122">
        <v>5076</v>
      </c>
      <c r="AQ404" s="122">
        <v>1880</v>
      </c>
      <c r="AR404" s="122">
        <v>41536</v>
      </c>
      <c r="AS404" s="122">
        <v>37760</v>
      </c>
      <c r="AT404">
        <v>0</v>
      </c>
      <c r="AU404">
        <v>0</v>
      </c>
      <c r="AV404" s="122">
        <v>171204</v>
      </c>
    </row>
    <row r="405" spans="2:48" hidden="1">
      <c r="B405" t="s">
        <v>365</v>
      </c>
      <c r="C405" t="s">
        <v>60</v>
      </c>
      <c r="D405" t="s">
        <v>425</v>
      </c>
      <c r="E405" s="122" t="s">
        <v>406</v>
      </c>
      <c r="F405" s="122">
        <v>1</v>
      </c>
      <c r="G405" s="122">
        <v>86</v>
      </c>
      <c r="H405" s="122">
        <v>326</v>
      </c>
      <c r="I405" s="122">
        <v>15854</v>
      </c>
      <c r="J405" s="122">
        <v>14413</v>
      </c>
      <c r="K405" s="122">
        <v>65</v>
      </c>
      <c r="L405" s="122">
        <v>1814</v>
      </c>
      <c r="M405" s="122">
        <v>1649</v>
      </c>
      <c r="N405" s="122">
        <v>1563</v>
      </c>
      <c r="O405" s="122">
        <v>579</v>
      </c>
      <c r="P405" s="122">
        <v>621</v>
      </c>
      <c r="Q405" s="122">
        <v>230</v>
      </c>
      <c r="R405" s="122">
        <v>8076</v>
      </c>
      <c r="S405" s="122">
        <v>7342</v>
      </c>
      <c r="T405" s="122">
        <v>0</v>
      </c>
      <c r="U405" s="122">
        <v>0</v>
      </c>
      <c r="V405" s="122">
        <v>24213</v>
      </c>
      <c r="W405" s="122">
        <f t="shared" si="12"/>
        <v>24213</v>
      </c>
      <c r="X405" s="122">
        <f t="shared" si="13"/>
        <v>27928</v>
      </c>
      <c r="Y405" s="122"/>
      <c r="AA405" t="s">
        <v>54</v>
      </c>
      <c r="AB405" t="s">
        <v>407</v>
      </c>
      <c r="AC405" t="s">
        <v>433</v>
      </c>
      <c r="AD405" t="s">
        <v>137</v>
      </c>
      <c r="AE405" t="s">
        <v>566</v>
      </c>
      <c r="AF405">
        <v>1</v>
      </c>
      <c r="AG405">
        <v>156</v>
      </c>
      <c r="AH405">
        <v>147</v>
      </c>
      <c r="AI405" s="122">
        <v>13699</v>
      </c>
      <c r="AJ405" s="122">
        <v>12453</v>
      </c>
      <c r="AK405">
        <v>91</v>
      </c>
      <c r="AL405" s="122">
        <v>2301</v>
      </c>
      <c r="AM405" s="122">
        <v>2092</v>
      </c>
      <c r="AN405" s="122">
        <v>3228</v>
      </c>
      <c r="AO405" s="122">
        <v>1195</v>
      </c>
      <c r="AP405">
        <v>473</v>
      </c>
      <c r="AQ405">
        <v>175</v>
      </c>
      <c r="AR405" s="122">
        <v>3168</v>
      </c>
      <c r="AS405" s="122">
        <v>1173</v>
      </c>
      <c r="AT405">
        <v>0</v>
      </c>
      <c r="AU405">
        <v>0</v>
      </c>
      <c r="AV405" s="122">
        <v>17089</v>
      </c>
    </row>
    <row r="406" spans="2:48" hidden="1">
      <c r="B406" t="s">
        <v>365</v>
      </c>
      <c r="C406" t="s">
        <v>60</v>
      </c>
      <c r="D406" t="s">
        <v>405</v>
      </c>
      <c r="E406" t="s">
        <v>405</v>
      </c>
      <c r="F406">
        <v>9</v>
      </c>
      <c r="G406" s="122">
        <v>810</v>
      </c>
      <c r="H406" s="122">
        <v>3113</v>
      </c>
      <c r="I406" s="122">
        <v>198150</v>
      </c>
      <c r="J406" s="122">
        <v>180137</v>
      </c>
      <c r="K406" s="122">
        <v>72</v>
      </c>
      <c r="L406" s="122">
        <v>25247</v>
      </c>
      <c r="M406" s="122">
        <v>22952</v>
      </c>
      <c r="N406" s="122">
        <v>16736</v>
      </c>
      <c r="O406" s="122">
        <v>6199</v>
      </c>
      <c r="P406" s="122">
        <v>4860</v>
      </c>
      <c r="Q406" s="122">
        <v>1800</v>
      </c>
      <c r="R406" s="122">
        <v>48450</v>
      </c>
      <c r="S406" s="122">
        <v>44045</v>
      </c>
      <c r="T406" s="122">
        <v>2549</v>
      </c>
      <c r="U406" s="122">
        <v>944</v>
      </c>
      <c r="V406" s="122">
        <v>256077</v>
      </c>
      <c r="W406" s="122">
        <f t="shared" si="12"/>
        <v>256077</v>
      </c>
      <c r="X406" s="122">
        <f t="shared" si="13"/>
        <v>295992</v>
      </c>
      <c r="Y406" s="122"/>
      <c r="AA406" t="s">
        <v>54</v>
      </c>
      <c r="AB406" t="s">
        <v>407</v>
      </c>
      <c r="AC406" t="s">
        <v>433</v>
      </c>
      <c r="AD406" t="s">
        <v>406</v>
      </c>
      <c r="AE406" t="s">
        <v>566</v>
      </c>
      <c r="AF406">
        <v>1</v>
      </c>
      <c r="AG406">
        <v>141</v>
      </c>
      <c r="AH406">
        <v>131</v>
      </c>
      <c r="AI406" s="122">
        <v>10143</v>
      </c>
      <c r="AJ406" s="122">
        <v>9221</v>
      </c>
      <c r="AK406">
        <v>91</v>
      </c>
      <c r="AL406" s="122">
        <v>1738</v>
      </c>
      <c r="AM406" s="122">
        <v>1580</v>
      </c>
      <c r="AN406" s="122">
        <v>1903</v>
      </c>
      <c r="AO406">
        <v>705</v>
      </c>
      <c r="AP406" s="122">
        <v>1175</v>
      </c>
      <c r="AQ406">
        <v>435</v>
      </c>
      <c r="AR406" s="122">
        <v>5570</v>
      </c>
      <c r="AS406" s="122">
        <v>5064</v>
      </c>
      <c r="AT406">
        <v>0</v>
      </c>
      <c r="AU406">
        <v>0</v>
      </c>
      <c r="AV406" s="122">
        <v>17004</v>
      </c>
    </row>
    <row r="407" spans="2:48" hidden="1">
      <c r="B407" t="s">
        <v>365</v>
      </c>
      <c r="C407" t="s">
        <v>60</v>
      </c>
      <c r="D407" t="s">
        <v>137</v>
      </c>
      <c r="E407" t="s">
        <v>137</v>
      </c>
      <c r="F407">
        <v>608</v>
      </c>
      <c r="G407" s="122">
        <v>49916</v>
      </c>
      <c r="H407" s="122">
        <v>205245</v>
      </c>
      <c r="I407" s="122">
        <v>10395347</v>
      </c>
      <c r="J407" s="122">
        <v>3850129</v>
      </c>
      <c r="K407" s="122">
        <v>100</v>
      </c>
      <c r="L407" s="122">
        <v>1621849</v>
      </c>
      <c r="M407" s="122">
        <v>1230773</v>
      </c>
      <c r="N407" s="122">
        <v>1066565</v>
      </c>
      <c r="O407" s="122">
        <v>395024</v>
      </c>
      <c r="P407" s="122">
        <v>8951</v>
      </c>
      <c r="Q407" s="122">
        <v>3315</v>
      </c>
      <c r="R407" s="122">
        <v>4151722</v>
      </c>
      <c r="S407" s="122">
        <v>1537675</v>
      </c>
      <c r="T407" s="122">
        <v>4166</v>
      </c>
      <c r="U407" s="122">
        <v>1543</v>
      </c>
      <c r="V407" s="122">
        <v>7018458</v>
      </c>
      <c r="W407" s="122">
        <f t="shared" si="12"/>
        <v>7018459</v>
      </c>
      <c r="X407" s="122">
        <f t="shared" si="13"/>
        <v>17248600</v>
      </c>
      <c r="Y407" s="122"/>
      <c r="AA407" t="s">
        <v>54</v>
      </c>
      <c r="AB407" t="s">
        <v>407</v>
      </c>
      <c r="AC407" t="s">
        <v>433</v>
      </c>
      <c r="AD407" t="s">
        <v>407</v>
      </c>
      <c r="AE407" t="s">
        <v>137</v>
      </c>
      <c r="AF407">
        <v>30</v>
      </c>
      <c r="AG407" s="122">
        <v>3577</v>
      </c>
      <c r="AH407" s="122">
        <v>4264</v>
      </c>
      <c r="AI407" s="122">
        <v>259513</v>
      </c>
      <c r="AJ407" s="122">
        <v>235921</v>
      </c>
      <c r="AK407">
        <v>89</v>
      </c>
      <c r="AL407" s="122">
        <v>50341</v>
      </c>
      <c r="AM407" s="122">
        <v>45764</v>
      </c>
      <c r="AN407" s="122">
        <v>56645</v>
      </c>
      <c r="AO407" s="122">
        <v>20980</v>
      </c>
      <c r="AP407" s="122">
        <v>15679</v>
      </c>
      <c r="AQ407" s="122">
        <v>5807</v>
      </c>
      <c r="AR407" s="122">
        <v>106413</v>
      </c>
      <c r="AS407" s="122">
        <v>96739</v>
      </c>
      <c r="AT407" s="122">
        <v>38093</v>
      </c>
      <c r="AU407" s="122">
        <v>14109</v>
      </c>
      <c r="AV407" s="122">
        <v>419319</v>
      </c>
    </row>
    <row r="408" spans="2:48" hidden="1">
      <c r="B408" t="s">
        <v>365</v>
      </c>
      <c r="C408" t="s">
        <v>60</v>
      </c>
      <c r="D408" t="s">
        <v>137</v>
      </c>
      <c r="E408" t="s">
        <v>556</v>
      </c>
      <c r="F408">
        <v>7</v>
      </c>
      <c r="G408" s="122">
        <v>562</v>
      </c>
      <c r="H408" s="122">
        <v>2422</v>
      </c>
      <c r="I408" s="122">
        <v>109085</v>
      </c>
      <c r="J408" s="122">
        <v>40402</v>
      </c>
      <c r="K408" s="122">
        <v>100</v>
      </c>
      <c r="L408" s="122">
        <v>12856</v>
      </c>
      <c r="M408" s="122">
        <v>10713</v>
      </c>
      <c r="N408" s="122">
        <v>12671</v>
      </c>
      <c r="O408" s="122">
        <v>4693</v>
      </c>
      <c r="P408" s="122">
        <v>702</v>
      </c>
      <c r="Q408" s="122">
        <v>260</v>
      </c>
      <c r="R408" s="122">
        <v>41996</v>
      </c>
      <c r="S408" s="122">
        <v>34997</v>
      </c>
      <c r="T408" s="122">
        <v>16967</v>
      </c>
      <c r="U408" s="122">
        <v>6284</v>
      </c>
      <c r="V408" s="122">
        <v>97349</v>
      </c>
      <c r="W408" s="122">
        <f t="shared" si="12"/>
        <v>97349</v>
      </c>
      <c r="X408" s="122">
        <f t="shared" si="13"/>
        <v>194277</v>
      </c>
      <c r="Y408" s="122"/>
      <c r="AA408" t="s">
        <v>54</v>
      </c>
      <c r="AB408" t="s">
        <v>407</v>
      </c>
      <c r="AC408" t="s">
        <v>433</v>
      </c>
      <c r="AD408" t="s">
        <v>407</v>
      </c>
      <c r="AE408" t="s">
        <v>566</v>
      </c>
      <c r="AF408">
        <v>268</v>
      </c>
      <c r="AG408" s="122">
        <v>30983</v>
      </c>
      <c r="AH408" s="122">
        <v>37286</v>
      </c>
      <c r="AI408" s="122">
        <v>2200110</v>
      </c>
      <c r="AJ408" s="122">
        <v>2000100</v>
      </c>
      <c r="AK408">
        <v>89</v>
      </c>
      <c r="AL408" s="122">
        <v>405353</v>
      </c>
      <c r="AM408" s="122">
        <v>368502</v>
      </c>
      <c r="AN408" s="122">
        <v>514451</v>
      </c>
      <c r="AO408" s="122">
        <v>190538</v>
      </c>
      <c r="AP408" s="122">
        <v>143820</v>
      </c>
      <c r="AQ408" s="122">
        <v>53267</v>
      </c>
      <c r="AR408" s="122">
        <v>1135405</v>
      </c>
      <c r="AS408" s="122">
        <v>1032187</v>
      </c>
      <c r="AT408">
        <v>0</v>
      </c>
      <c r="AU408">
        <v>0</v>
      </c>
      <c r="AV408" s="122">
        <v>3644593</v>
      </c>
    </row>
    <row r="409" spans="2:48" hidden="1">
      <c r="B409" t="s">
        <v>365</v>
      </c>
      <c r="C409" t="s">
        <v>60</v>
      </c>
      <c r="D409" t="s">
        <v>137</v>
      </c>
      <c r="E409" t="s">
        <v>426</v>
      </c>
      <c r="F409">
        <v>12</v>
      </c>
      <c r="G409" s="122">
        <v>963</v>
      </c>
      <c r="H409" s="122">
        <v>4219</v>
      </c>
      <c r="I409" s="122">
        <v>203890</v>
      </c>
      <c r="J409" s="122">
        <v>75515</v>
      </c>
      <c r="K409" s="122">
        <v>100</v>
      </c>
      <c r="L409" s="122">
        <v>24589</v>
      </c>
      <c r="M409" s="122">
        <v>22354</v>
      </c>
      <c r="N409" s="122">
        <v>20481</v>
      </c>
      <c r="O409" s="122">
        <v>7586</v>
      </c>
      <c r="P409" s="122">
        <v>0</v>
      </c>
      <c r="Q409" s="122">
        <v>0</v>
      </c>
      <c r="R409" s="122">
        <v>62254</v>
      </c>
      <c r="S409" s="122">
        <v>56594</v>
      </c>
      <c r="T409" s="122">
        <v>25436</v>
      </c>
      <c r="U409" s="122">
        <v>9421</v>
      </c>
      <c r="V409" s="122">
        <v>171469</v>
      </c>
      <c r="W409" s="122">
        <f t="shared" si="12"/>
        <v>171470</v>
      </c>
      <c r="X409" s="122">
        <f t="shared" si="13"/>
        <v>336650</v>
      </c>
      <c r="Y409" s="122"/>
      <c r="AA409" t="s">
        <v>54</v>
      </c>
      <c r="AB409" t="s">
        <v>407</v>
      </c>
      <c r="AC409" t="s">
        <v>429</v>
      </c>
      <c r="AD409" t="s">
        <v>137</v>
      </c>
      <c r="AE409" t="s">
        <v>566</v>
      </c>
      <c r="AF409">
        <v>1</v>
      </c>
      <c r="AG409">
        <v>119</v>
      </c>
      <c r="AH409">
        <v>131</v>
      </c>
      <c r="AI409" s="122">
        <v>9426</v>
      </c>
      <c r="AJ409" s="122">
        <v>8569</v>
      </c>
      <c r="AK409">
        <v>90</v>
      </c>
      <c r="AL409" s="122">
        <v>1181</v>
      </c>
      <c r="AM409" s="122">
        <v>1074</v>
      </c>
      <c r="AN409" s="122">
        <v>1668</v>
      </c>
      <c r="AO409">
        <v>618</v>
      </c>
      <c r="AP409">
        <v>473</v>
      </c>
      <c r="AQ409">
        <v>175</v>
      </c>
      <c r="AR409" s="122">
        <v>2877</v>
      </c>
      <c r="AS409" s="122">
        <v>1066</v>
      </c>
      <c r="AT409">
        <v>0</v>
      </c>
      <c r="AU409">
        <v>0</v>
      </c>
      <c r="AV409" s="122">
        <v>11501</v>
      </c>
    </row>
    <row r="410" spans="2:48" hidden="1">
      <c r="B410" t="s">
        <v>365</v>
      </c>
      <c r="C410" t="s">
        <v>60</v>
      </c>
      <c r="D410" t="s">
        <v>406</v>
      </c>
      <c r="E410" t="s">
        <v>425</v>
      </c>
      <c r="F410">
        <v>1</v>
      </c>
      <c r="G410" s="122">
        <v>82</v>
      </c>
      <c r="H410" s="122">
        <v>312</v>
      </c>
      <c r="I410" s="122">
        <v>13578</v>
      </c>
      <c r="J410" s="122">
        <v>12343</v>
      </c>
      <c r="K410" s="122">
        <v>80</v>
      </c>
      <c r="L410" s="122">
        <v>2296</v>
      </c>
      <c r="M410" s="122">
        <v>2087</v>
      </c>
      <c r="N410" s="122">
        <v>1998</v>
      </c>
      <c r="O410" s="122">
        <v>740</v>
      </c>
      <c r="P410" s="122">
        <v>473</v>
      </c>
      <c r="Q410" s="122">
        <v>175</v>
      </c>
      <c r="R410" s="122">
        <v>4340</v>
      </c>
      <c r="S410" s="122">
        <v>3945</v>
      </c>
      <c r="T410" s="122">
        <v>2906</v>
      </c>
      <c r="U410" s="122">
        <v>1076</v>
      </c>
      <c r="V410" s="122">
        <v>20367</v>
      </c>
      <c r="W410" s="122">
        <f t="shared" si="12"/>
        <v>20366</v>
      </c>
      <c r="X410" s="122">
        <f t="shared" si="13"/>
        <v>25591</v>
      </c>
      <c r="Y410" s="122"/>
      <c r="AA410" t="s">
        <v>54</v>
      </c>
      <c r="AB410" t="s">
        <v>407</v>
      </c>
      <c r="AC410" t="s">
        <v>429</v>
      </c>
      <c r="AD410" t="s">
        <v>407</v>
      </c>
      <c r="AE410" t="s">
        <v>137</v>
      </c>
      <c r="AF410">
        <v>8</v>
      </c>
      <c r="AG410" s="122">
        <v>1040</v>
      </c>
      <c r="AH410" s="122">
        <v>1163</v>
      </c>
      <c r="AI410" s="122">
        <v>79865</v>
      </c>
      <c r="AJ410" s="122">
        <v>72605</v>
      </c>
      <c r="AK410">
        <v>87</v>
      </c>
      <c r="AL410" s="122">
        <v>12505</v>
      </c>
      <c r="AM410" s="122">
        <v>11369</v>
      </c>
      <c r="AN410" s="122">
        <v>18316</v>
      </c>
      <c r="AO410" s="122">
        <v>6784</v>
      </c>
      <c r="AP410" s="122">
        <v>4565</v>
      </c>
      <c r="AQ410" s="122">
        <v>1691</v>
      </c>
      <c r="AR410" s="122">
        <v>28466</v>
      </c>
      <c r="AS410" s="122">
        <v>25878</v>
      </c>
      <c r="AT410" s="122">
        <v>14513</v>
      </c>
      <c r="AU410" s="122">
        <v>5375</v>
      </c>
      <c r="AV410" s="122">
        <v>123701</v>
      </c>
    </row>
    <row r="411" spans="2:48" hidden="1">
      <c r="B411" t="s">
        <v>365</v>
      </c>
      <c r="C411" t="s">
        <v>60</v>
      </c>
      <c r="D411" t="s">
        <v>406</v>
      </c>
      <c r="E411" t="s">
        <v>137</v>
      </c>
      <c r="F411" s="122">
        <v>25</v>
      </c>
      <c r="G411" s="122">
        <v>2494</v>
      </c>
      <c r="H411" s="122">
        <v>8581</v>
      </c>
      <c r="I411" s="122">
        <v>524871</v>
      </c>
      <c r="J411" s="122">
        <v>477156</v>
      </c>
      <c r="K411" s="122">
        <v>83</v>
      </c>
      <c r="L411" s="122">
        <v>123025</v>
      </c>
      <c r="M411" s="122">
        <v>100281</v>
      </c>
      <c r="N411" s="122">
        <v>52867</v>
      </c>
      <c r="O411" s="122">
        <v>19580</v>
      </c>
      <c r="P411" s="122">
        <v>15876</v>
      </c>
      <c r="Q411" s="122">
        <v>5880</v>
      </c>
      <c r="R411" s="122">
        <v>163359</v>
      </c>
      <c r="S411" s="122">
        <v>60503</v>
      </c>
      <c r="T411" s="122">
        <v>0</v>
      </c>
      <c r="U411" s="122">
        <v>0</v>
      </c>
      <c r="V411" s="122">
        <v>663401</v>
      </c>
      <c r="W411" s="122">
        <f t="shared" si="12"/>
        <v>663400</v>
      </c>
      <c r="X411" s="122">
        <f t="shared" si="13"/>
        <v>879998</v>
      </c>
      <c r="Y411" s="122"/>
      <c r="AA411" t="s">
        <v>54</v>
      </c>
      <c r="AB411" t="s">
        <v>407</v>
      </c>
      <c r="AC411" t="s">
        <v>429</v>
      </c>
      <c r="AD411" t="s">
        <v>407</v>
      </c>
      <c r="AE411" t="s">
        <v>566</v>
      </c>
      <c r="AF411">
        <v>20</v>
      </c>
      <c r="AG411" s="122">
        <v>2457</v>
      </c>
      <c r="AH411" s="122">
        <v>2821</v>
      </c>
      <c r="AI411" s="122">
        <v>172582</v>
      </c>
      <c r="AJ411" s="122">
        <v>156893</v>
      </c>
      <c r="AK411">
        <v>88</v>
      </c>
      <c r="AL411" s="122">
        <v>26460</v>
      </c>
      <c r="AM411" s="122">
        <v>24055</v>
      </c>
      <c r="AN411" s="122">
        <v>42266</v>
      </c>
      <c r="AO411" s="122">
        <v>15654</v>
      </c>
      <c r="AP411" s="122">
        <v>17469</v>
      </c>
      <c r="AQ411" s="122">
        <v>6470</v>
      </c>
      <c r="AR411" s="122">
        <v>90070</v>
      </c>
      <c r="AS411" s="122">
        <v>81882</v>
      </c>
      <c r="AT411">
        <v>0</v>
      </c>
      <c r="AU411">
        <v>0</v>
      </c>
      <c r="AV411" s="122">
        <v>284954</v>
      </c>
    </row>
    <row r="412" spans="2:48" hidden="1">
      <c r="B412" t="s">
        <v>365</v>
      </c>
      <c r="C412" t="s">
        <v>60</v>
      </c>
      <c r="D412" t="s">
        <v>406</v>
      </c>
      <c r="E412" t="s">
        <v>406</v>
      </c>
      <c r="F412" s="122">
        <v>1113</v>
      </c>
      <c r="G412" s="122">
        <v>110858</v>
      </c>
      <c r="H412" s="122">
        <v>378222</v>
      </c>
      <c r="I412" s="122">
        <v>22684059</v>
      </c>
      <c r="J412" s="122">
        <v>20621872</v>
      </c>
      <c r="K412" s="122">
        <v>80</v>
      </c>
      <c r="L412" s="122">
        <v>5282920</v>
      </c>
      <c r="M412" s="122">
        <v>4541521</v>
      </c>
      <c r="N412" s="122">
        <v>2324649</v>
      </c>
      <c r="O412" s="122">
        <v>860981</v>
      </c>
      <c r="P412" s="122">
        <v>708426</v>
      </c>
      <c r="Q412" s="122">
        <v>262380</v>
      </c>
      <c r="R412" s="122">
        <v>5299815</v>
      </c>
      <c r="S412" s="122">
        <v>4818013</v>
      </c>
      <c r="T412" s="122">
        <v>1713034</v>
      </c>
      <c r="U412" s="122">
        <v>634457</v>
      </c>
      <c r="V412" s="122">
        <v>31739225</v>
      </c>
      <c r="W412" s="122">
        <f t="shared" si="12"/>
        <v>31739224</v>
      </c>
      <c r="X412" s="122">
        <f t="shared" si="13"/>
        <v>38012903</v>
      </c>
      <c r="Y412" s="122"/>
      <c r="AA412" t="s">
        <v>54</v>
      </c>
      <c r="AB412" t="s">
        <v>579</v>
      </c>
      <c r="AC412" t="s">
        <v>426</v>
      </c>
      <c r="AD412" t="s">
        <v>407</v>
      </c>
      <c r="AE412" t="s">
        <v>566</v>
      </c>
      <c r="AF412">
        <v>1</v>
      </c>
      <c r="AG412">
        <v>127</v>
      </c>
      <c r="AH412">
        <v>139</v>
      </c>
      <c r="AI412" s="122">
        <v>8852</v>
      </c>
      <c r="AJ412" s="122">
        <v>7377</v>
      </c>
      <c r="AK412">
        <v>90</v>
      </c>
      <c r="AL412" s="122">
        <v>1354</v>
      </c>
      <c r="AM412" s="122">
        <v>1231</v>
      </c>
      <c r="AN412" s="122">
        <v>2235</v>
      </c>
      <c r="AO412">
        <v>828</v>
      </c>
      <c r="AP412">
        <v>473</v>
      </c>
      <c r="AQ412">
        <v>175</v>
      </c>
      <c r="AR412" s="122">
        <v>4699</v>
      </c>
      <c r="AS412" s="122">
        <v>4272</v>
      </c>
      <c r="AT412">
        <v>0</v>
      </c>
      <c r="AU412">
        <v>0</v>
      </c>
      <c r="AV412" s="122">
        <v>13882</v>
      </c>
    </row>
    <row r="413" spans="2:48" hidden="1">
      <c r="B413" t="s">
        <v>365</v>
      </c>
      <c r="C413" t="s">
        <v>60</v>
      </c>
      <c r="D413" t="s">
        <v>406</v>
      </c>
      <c r="E413" t="s">
        <v>427</v>
      </c>
      <c r="F413">
        <v>2</v>
      </c>
      <c r="G413" s="122">
        <v>162</v>
      </c>
      <c r="H413" s="122">
        <v>706</v>
      </c>
      <c r="I413" s="122">
        <v>35968</v>
      </c>
      <c r="J413" s="122">
        <v>32698</v>
      </c>
      <c r="K413" s="122">
        <v>82</v>
      </c>
      <c r="L413" s="122">
        <v>7892</v>
      </c>
      <c r="M413" s="122">
        <v>7174</v>
      </c>
      <c r="N413" s="122">
        <v>3873</v>
      </c>
      <c r="O413" s="122">
        <v>1435</v>
      </c>
      <c r="P413" s="122">
        <v>1242</v>
      </c>
      <c r="Q413" s="122">
        <v>460</v>
      </c>
      <c r="R413" s="122">
        <v>6776</v>
      </c>
      <c r="S413" s="122">
        <v>6160</v>
      </c>
      <c r="T413" s="122">
        <v>1801</v>
      </c>
      <c r="U413" s="122">
        <v>667</v>
      </c>
      <c r="V413" s="122">
        <v>48594</v>
      </c>
      <c r="W413" s="122">
        <f t="shared" si="12"/>
        <v>48594</v>
      </c>
      <c r="X413" s="122">
        <f t="shared" si="13"/>
        <v>57552</v>
      </c>
      <c r="Y413" s="122"/>
      <c r="AA413" t="s">
        <v>54</v>
      </c>
      <c r="AB413" t="s">
        <v>426</v>
      </c>
      <c r="AC413" t="s">
        <v>137</v>
      </c>
      <c r="AD413" t="s">
        <v>426</v>
      </c>
      <c r="AE413" t="s">
        <v>137</v>
      </c>
      <c r="AF413">
        <v>1</v>
      </c>
      <c r="AG413">
        <v>51</v>
      </c>
      <c r="AH413">
        <v>148</v>
      </c>
      <c r="AI413" s="122">
        <v>3651</v>
      </c>
      <c r="AJ413" s="122">
        <v>3319</v>
      </c>
      <c r="AK413">
        <v>65</v>
      </c>
      <c r="AL413">
        <v>615</v>
      </c>
      <c r="AM413">
        <v>228</v>
      </c>
      <c r="AN413">
        <v>627</v>
      </c>
      <c r="AO413">
        <v>232</v>
      </c>
      <c r="AP413">
        <v>621</v>
      </c>
      <c r="AQ413">
        <v>230</v>
      </c>
      <c r="AR413" s="122">
        <v>2092</v>
      </c>
      <c r="AS413" s="122">
        <v>1901</v>
      </c>
      <c r="AT413">
        <v>0</v>
      </c>
      <c r="AU413">
        <v>0</v>
      </c>
      <c r="AV413" s="122">
        <v>5911</v>
      </c>
    </row>
    <row r="414" spans="2:48" hidden="1">
      <c r="B414" t="s">
        <v>365</v>
      </c>
      <c r="C414" t="s">
        <v>60</v>
      </c>
      <c r="D414" t="s">
        <v>427</v>
      </c>
      <c r="E414" t="s">
        <v>137</v>
      </c>
      <c r="F414" s="122">
        <v>1</v>
      </c>
      <c r="G414" s="122">
        <v>65</v>
      </c>
      <c r="H414" s="122">
        <v>310</v>
      </c>
      <c r="I414" s="122">
        <v>10071</v>
      </c>
      <c r="J414" s="122">
        <v>9155</v>
      </c>
      <c r="K414">
        <v>75</v>
      </c>
      <c r="L414" s="122">
        <v>4629</v>
      </c>
      <c r="M414" s="122">
        <v>1714</v>
      </c>
      <c r="N414" s="122">
        <v>1481</v>
      </c>
      <c r="O414" s="122">
        <v>549</v>
      </c>
      <c r="P414" s="122">
        <v>0</v>
      </c>
      <c r="Q414" s="122">
        <v>0</v>
      </c>
      <c r="R414" s="122">
        <v>3890</v>
      </c>
      <c r="S414" s="122">
        <v>1441</v>
      </c>
      <c r="T414" s="122">
        <v>0</v>
      </c>
      <c r="U414" s="122">
        <v>0</v>
      </c>
      <c r="V414" s="122">
        <v>12859</v>
      </c>
      <c r="W414" s="122">
        <f t="shared" si="12"/>
        <v>12859</v>
      </c>
      <c r="X414" s="122">
        <f t="shared" si="13"/>
        <v>20071</v>
      </c>
      <c r="Y414" s="122"/>
      <c r="AA414" t="s">
        <v>54</v>
      </c>
      <c r="AB414" t="s">
        <v>426</v>
      </c>
      <c r="AC414" t="s">
        <v>580</v>
      </c>
      <c r="AD414" t="s">
        <v>426</v>
      </c>
      <c r="AE414" t="s">
        <v>566</v>
      </c>
      <c r="AF414">
        <v>1</v>
      </c>
      <c r="AG414">
        <v>71</v>
      </c>
      <c r="AH414">
        <v>150</v>
      </c>
      <c r="AI414" s="122">
        <v>4390</v>
      </c>
      <c r="AJ414" s="122">
        <v>3991</v>
      </c>
      <c r="AK414">
        <v>73</v>
      </c>
      <c r="AL414">
        <v>373</v>
      </c>
      <c r="AM414">
        <v>339</v>
      </c>
      <c r="AN414">
        <v>967</v>
      </c>
      <c r="AO414">
        <v>358</v>
      </c>
      <c r="AP414">
        <v>621</v>
      </c>
      <c r="AQ414">
        <v>230</v>
      </c>
      <c r="AR414" s="122">
        <v>4244</v>
      </c>
      <c r="AS414" s="122">
        <v>3858</v>
      </c>
      <c r="AT414">
        <v>0</v>
      </c>
      <c r="AU414">
        <v>0</v>
      </c>
      <c r="AV414" s="122">
        <v>8776</v>
      </c>
    </row>
    <row r="415" spans="2:48" hidden="1">
      <c r="B415" t="s">
        <v>365</v>
      </c>
      <c r="C415" t="s">
        <v>60</v>
      </c>
      <c r="D415" t="s">
        <v>427</v>
      </c>
      <c r="E415" t="s">
        <v>406</v>
      </c>
      <c r="F415">
        <v>1</v>
      </c>
      <c r="G415">
        <v>85</v>
      </c>
      <c r="H415">
        <v>325</v>
      </c>
      <c r="I415" s="122">
        <v>16542</v>
      </c>
      <c r="J415" s="122">
        <v>15038</v>
      </c>
      <c r="K415">
        <v>79</v>
      </c>
      <c r="L415" s="122">
        <v>2298</v>
      </c>
      <c r="M415" s="122">
        <v>2089</v>
      </c>
      <c r="N415" s="122">
        <v>1817</v>
      </c>
      <c r="O415">
        <v>673</v>
      </c>
      <c r="P415">
        <v>621</v>
      </c>
      <c r="Q415">
        <v>230</v>
      </c>
      <c r="R415" s="122">
        <v>3957</v>
      </c>
      <c r="S415" s="122">
        <v>3597</v>
      </c>
      <c r="T415" s="122">
        <v>2503</v>
      </c>
      <c r="U415">
        <v>927</v>
      </c>
      <c r="V415" s="122">
        <v>22554</v>
      </c>
      <c r="W415" s="122">
        <f t="shared" si="12"/>
        <v>22554</v>
      </c>
      <c r="X415" s="122">
        <f t="shared" si="13"/>
        <v>27738</v>
      </c>
      <c r="Y415" s="122"/>
      <c r="AA415" t="s">
        <v>54</v>
      </c>
      <c r="AB415" t="s">
        <v>426</v>
      </c>
      <c r="AC415" t="s">
        <v>566</v>
      </c>
      <c r="AD415" t="s">
        <v>426</v>
      </c>
      <c r="AE415" t="s">
        <v>137</v>
      </c>
      <c r="AF415">
        <v>2</v>
      </c>
      <c r="AG415">
        <v>169</v>
      </c>
      <c r="AH415">
        <v>280</v>
      </c>
      <c r="AI415" s="122">
        <v>12969</v>
      </c>
      <c r="AJ415" s="122">
        <v>11790</v>
      </c>
      <c r="AK415">
        <v>78</v>
      </c>
      <c r="AL415">
        <v>0</v>
      </c>
      <c r="AM415">
        <v>0</v>
      </c>
      <c r="AN415" s="122">
        <v>2060</v>
      </c>
      <c r="AO415">
        <v>763</v>
      </c>
      <c r="AP415">
        <v>702</v>
      </c>
      <c r="AQ415">
        <v>260</v>
      </c>
      <c r="AR415" s="122">
        <v>5097</v>
      </c>
      <c r="AS415" s="122">
        <v>4633</v>
      </c>
      <c r="AT415" s="122">
        <v>2842</v>
      </c>
      <c r="AU415" s="122">
        <v>1053</v>
      </c>
      <c r="AV415" s="122">
        <v>18499</v>
      </c>
    </row>
    <row r="416" spans="2:48" hidden="1">
      <c r="B416" t="s">
        <v>365</v>
      </c>
      <c r="C416" t="s">
        <v>60</v>
      </c>
      <c r="D416" t="s">
        <v>427</v>
      </c>
      <c r="E416" t="s">
        <v>427</v>
      </c>
      <c r="F416">
        <v>66</v>
      </c>
      <c r="G416" s="122">
        <v>4755</v>
      </c>
      <c r="H416" s="122">
        <v>22577</v>
      </c>
      <c r="I416" s="122">
        <v>875285</v>
      </c>
      <c r="J416" s="122">
        <v>795714</v>
      </c>
      <c r="K416">
        <v>55</v>
      </c>
      <c r="L416" s="122">
        <v>134562</v>
      </c>
      <c r="M416" s="122">
        <v>93070</v>
      </c>
      <c r="N416" s="122">
        <v>102431</v>
      </c>
      <c r="O416" s="122">
        <v>37937</v>
      </c>
      <c r="P416" s="122">
        <v>22815</v>
      </c>
      <c r="Q416" s="122">
        <v>8450</v>
      </c>
      <c r="R416" s="122">
        <v>334707</v>
      </c>
      <c r="S416" s="122">
        <v>304279</v>
      </c>
      <c r="T416" s="122">
        <v>143950</v>
      </c>
      <c r="U416" s="122">
        <v>53315</v>
      </c>
      <c r="V416" s="122">
        <v>1292765</v>
      </c>
      <c r="W416" s="122">
        <f t="shared" si="12"/>
        <v>1292765</v>
      </c>
      <c r="X416" s="122">
        <f t="shared" si="13"/>
        <v>1613750</v>
      </c>
      <c r="Y416" s="122"/>
      <c r="AA416" t="s">
        <v>54</v>
      </c>
      <c r="AB416" t="s">
        <v>426</v>
      </c>
      <c r="AC416" t="s">
        <v>566</v>
      </c>
      <c r="AD416" t="s">
        <v>426</v>
      </c>
      <c r="AE416" t="s">
        <v>566</v>
      </c>
      <c r="AF416">
        <v>1</v>
      </c>
      <c r="AG416">
        <v>117</v>
      </c>
      <c r="AH416">
        <v>131</v>
      </c>
      <c r="AI416" s="122">
        <v>9917</v>
      </c>
      <c r="AJ416" s="122">
        <v>9015</v>
      </c>
      <c r="AK416">
        <v>77</v>
      </c>
      <c r="AL416">
        <v>0</v>
      </c>
      <c r="AM416">
        <v>0</v>
      </c>
      <c r="AN416" s="122">
        <v>1429</v>
      </c>
      <c r="AO416">
        <v>529</v>
      </c>
      <c r="AP416">
        <v>351</v>
      </c>
      <c r="AQ416">
        <v>130</v>
      </c>
      <c r="AR416" s="122">
        <v>3712</v>
      </c>
      <c r="AS416" s="122">
        <v>3375</v>
      </c>
      <c r="AT416">
        <v>0</v>
      </c>
      <c r="AU416">
        <v>0</v>
      </c>
      <c r="AV416" s="122">
        <v>13049</v>
      </c>
    </row>
    <row r="417" spans="2:48" hidden="1">
      <c r="B417" t="s">
        <v>365</v>
      </c>
      <c r="C417" t="s">
        <v>60</v>
      </c>
      <c r="D417" t="s">
        <v>407</v>
      </c>
      <c r="E417" t="s">
        <v>137</v>
      </c>
      <c r="F417">
        <v>37</v>
      </c>
      <c r="G417" s="122">
        <v>2922</v>
      </c>
      <c r="H417" s="122">
        <v>12633</v>
      </c>
      <c r="I417" s="122">
        <v>569487</v>
      </c>
      <c r="J417" s="122">
        <v>517715</v>
      </c>
      <c r="K417">
        <v>75</v>
      </c>
      <c r="L417" s="122">
        <v>117320</v>
      </c>
      <c r="M417" s="122">
        <v>82807</v>
      </c>
      <c r="N417" s="122">
        <v>59614</v>
      </c>
      <c r="O417" s="122">
        <v>22079</v>
      </c>
      <c r="P417" s="122">
        <v>16538</v>
      </c>
      <c r="Q417" s="122">
        <v>6125</v>
      </c>
      <c r="R417" s="122">
        <v>240793</v>
      </c>
      <c r="S417" s="122">
        <v>89183</v>
      </c>
      <c r="T417" s="122">
        <v>0</v>
      </c>
      <c r="U417" s="122">
        <v>0</v>
      </c>
      <c r="V417" s="122">
        <v>717909</v>
      </c>
      <c r="W417" s="122">
        <f t="shared" si="12"/>
        <v>717909</v>
      </c>
      <c r="X417" s="122">
        <f t="shared" si="13"/>
        <v>1003752</v>
      </c>
      <c r="Y417" s="122"/>
      <c r="AA417" t="s">
        <v>54</v>
      </c>
      <c r="AB417" t="s">
        <v>433</v>
      </c>
      <c r="AC417" t="s">
        <v>566</v>
      </c>
      <c r="AD417" t="s">
        <v>433</v>
      </c>
      <c r="AE417" t="s">
        <v>137</v>
      </c>
      <c r="AF417">
        <v>1</v>
      </c>
      <c r="AG417">
        <v>159</v>
      </c>
      <c r="AH417">
        <v>131</v>
      </c>
      <c r="AI417" s="122">
        <v>11440</v>
      </c>
      <c r="AJ417" s="122">
        <v>10400</v>
      </c>
      <c r="AK417">
        <v>81</v>
      </c>
      <c r="AL417">
        <v>0</v>
      </c>
      <c r="AM417">
        <v>0</v>
      </c>
      <c r="AN417" s="122">
        <v>2089</v>
      </c>
      <c r="AO417">
        <v>774</v>
      </c>
      <c r="AP417">
        <v>351</v>
      </c>
      <c r="AQ417">
        <v>130</v>
      </c>
      <c r="AR417" s="122">
        <v>3754</v>
      </c>
      <c r="AS417" s="122">
        <v>3413</v>
      </c>
      <c r="AT417" s="122">
        <v>3114</v>
      </c>
      <c r="AU417" s="122">
        <v>1154</v>
      </c>
      <c r="AV417" s="122">
        <v>15870</v>
      </c>
    </row>
    <row r="418" spans="2:48" hidden="1">
      <c r="B418" t="s">
        <v>365</v>
      </c>
      <c r="C418" t="s">
        <v>60</v>
      </c>
      <c r="D418" t="s">
        <v>407</v>
      </c>
      <c r="E418" t="s">
        <v>407</v>
      </c>
      <c r="F418" s="122">
        <v>2295</v>
      </c>
      <c r="G418" s="122">
        <v>204282</v>
      </c>
      <c r="H418" s="122">
        <v>775284</v>
      </c>
      <c r="I418" s="122">
        <v>41020527</v>
      </c>
      <c r="J418" s="122">
        <v>37291388</v>
      </c>
      <c r="K418">
        <v>79</v>
      </c>
      <c r="L418" s="122">
        <v>10554227</v>
      </c>
      <c r="M418" s="122">
        <v>8774556</v>
      </c>
      <c r="N418" s="122">
        <v>4282074</v>
      </c>
      <c r="O418" s="122">
        <v>1585953</v>
      </c>
      <c r="P418" s="122">
        <v>1089768</v>
      </c>
      <c r="Q418" s="122">
        <v>403618</v>
      </c>
      <c r="R418" s="122">
        <v>10494726</v>
      </c>
      <c r="S418" s="122">
        <v>9540660</v>
      </c>
      <c r="T418" s="122">
        <v>2480462</v>
      </c>
      <c r="U418" s="122">
        <v>918689</v>
      </c>
      <c r="V418" s="122">
        <v>58514865</v>
      </c>
      <c r="W418" s="122">
        <f t="shared" si="12"/>
        <v>58514864</v>
      </c>
      <c r="X418" s="122">
        <f t="shared" si="13"/>
        <v>69921784</v>
      </c>
      <c r="Y418" s="122"/>
      <c r="AA418" t="s">
        <v>54</v>
      </c>
      <c r="AB418" t="s">
        <v>408</v>
      </c>
      <c r="AC418" t="s">
        <v>137</v>
      </c>
      <c r="AD418" t="s">
        <v>408</v>
      </c>
      <c r="AE418" t="s">
        <v>566</v>
      </c>
      <c r="AF418">
        <v>1</v>
      </c>
      <c r="AG418">
        <v>79</v>
      </c>
      <c r="AH418">
        <v>149</v>
      </c>
      <c r="AI418" s="122">
        <v>4677</v>
      </c>
      <c r="AJ418" s="122">
        <v>4252</v>
      </c>
      <c r="AK418">
        <v>90</v>
      </c>
      <c r="AL418" s="122">
        <v>1149</v>
      </c>
      <c r="AM418">
        <v>426</v>
      </c>
      <c r="AN418" s="122">
        <v>1928</v>
      </c>
      <c r="AO418">
        <v>714</v>
      </c>
      <c r="AP418">
        <v>351</v>
      </c>
      <c r="AQ418">
        <v>130</v>
      </c>
      <c r="AR418" s="122">
        <v>3646</v>
      </c>
      <c r="AS418" s="122">
        <v>3315</v>
      </c>
      <c r="AT418">
        <v>0</v>
      </c>
      <c r="AU418">
        <v>0</v>
      </c>
      <c r="AV418" s="122">
        <v>8836</v>
      </c>
    </row>
    <row r="419" spans="2:48" hidden="1">
      <c r="B419" t="s">
        <v>365</v>
      </c>
      <c r="C419" t="s">
        <v>60</v>
      </c>
      <c r="D419" t="s">
        <v>407</v>
      </c>
      <c r="E419" t="s">
        <v>556</v>
      </c>
      <c r="F419">
        <v>1</v>
      </c>
      <c r="G419">
        <v>109</v>
      </c>
      <c r="H419">
        <v>310</v>
      </c>
      <c r="I419" s="122">
        <v>17696</v>
      </c>
      <c r="J419" s="122">
        <v>16087</v>
      </c>
      <c r="K419">
        <v>73</v>
      </c>
      <c r="L419" s="122">
        <v>6823</v>
      </c>
      <c r="M419" s="122">
        <v>6203</v>
      </c>
      <c r="N419" s="122">
        <v>2617</v>
      </c>
      <c r="O419" s="122">
        <v>969</v>
      </c>
      <c r="P419" s="122">
        <v>473</v>
      </c>
      <c r="Q419">
        <v>175</v>
      </c>
      <c r="R419" s="122">
        <v>6181</v>
      </c>
      <c r="S419" s="122">
        <v>5151</v>
      </c>
      <c r="T419" s="122">
        <v>0</v>
      </c>
      <c r="U419" s="122">
        <v>0</v>
      </c>
      <c r="V419" s="122">
        <v>28585</v>
      </c>
      <c r="W419" s="122">
        <f t="shared" si="12"/>
        <v>28585</v>
      </c>
      <c r="X419" s="122">
        <f t="shared" si="13"/>
        <v>33790</v>
      </c>
      <c r="Y419" s="122"/>
      <c r="AA419" t="s">
        <v>54</v>
      </c>
      <c r="AB419" t="s">
        <v>408</v>
      </c>
      <c r="AC419" t="s">
        <v>579</v>
      </c>
      <c r="AD419" t="s">
        <v>408</v>
      </c>
      <c r="AE419" t="s">
        <v>566</v>
      </c>
      <c r="AF419">
        <v>2</v>
      </c>
      <c r="AG419">
        <v>324</v>
      </c>
      <c r="AH419">
        <v>276</v>
      </c>
      <c r="AI419" s="122">
        <v>27385</v>
      </c>
      <c r="AJ419" s="122">
        <v>24895</v>
      </c>
      <c r="AK419">
        <v>80</v>
      </c>
      <c r="AL419" s="122">
        <v>5807</v>
      </c>
      <c r="AM419" s="122">
        <v>4839</v>
      </c>
      <c r="AN419" s="122">
        <v>5272</v>
      </c>
      <c r="AO419" s="122">
        <v>1952</v>
      </c>
      <c r="AP419">
        <v>702</v>
      </c>
      <c r="AQ419">
        <v>260</v>
      </c>
      <c r="AR419" s="122">
        <v>9630</v>
      </c>
      <c r="AS419" s="122">
        <v>8754</v>
      </c>
      <c r="AT419">
        <v>0</v>
      </c>
      <c r="AU419">
        <v>0</v>
      </c>
      <c r="AV419" s="122">
        <v>40701</v>
      </c>
    </row>
    <row r="420" spans="2:48" hidden="1">
      <c r="B420" t="s">
        <v>365</v>
      </c>
      <c r="C420" t="s">
        <v>60</v>
      </c>
      <c r="D420" t="s">
        <v>407</v>
      </c>
      <c r="E420" t="s">
        <v>426</v>
      </c>
      <c r="F420">
        <v>1</v>
      </c>
      <c r="G420">
        <v>89</v>
      </c>
      <c r="H420">
        <v>307</v>
      </c>
      <c r="I420" s="122">
        <v>14416</v>
      </c>
      <c r="J420" s="122">
        <v>13105</v>
      </c>
      <c r="K420">
        <v>65</v>
      </c>
      <c r="L420" s="122">
        <v>3300</v>
      </c>
      <c r="M420" s="122">
        <v>3000</v>
      </c>
      <c r="N420" s="122">
        <v>1088</v>
      </c>
      <c r="O420">
        <v>403</v>
      </c>
      <c r="P420">
        <v>473</v>
      </c>
      <c r="Q420">
        <v>175</v>
      </c>
      <c r="R420" s="122">
        <v>8177</v>
      </c>
      <c r="S420" s="122">
        <v>7433</v>
      </c>
      <c r="T420">
        <v>0</v>
      </c>
      <c r="U420">
        <v>0</v>
      </c>
      <c r="V420" s="122">
        <v>24117</v>
      </c>
      <c r="W420" s="122">
        <f t="shared" si="12"/>
        <v>24116</v>
      </c>
      <c r="X420" s="122">
        <f t="shared" si="13"/>
        <v>27454</v>
      </c>
      <c r="Y420" s="122"/>
      <c r="AA420" t="s">
        <v>54</v>
      </c>
      <c r="AB420" t="s">
        <v>408</v>
      </c>
      <c r="AC420" t="s">
        <v>426</v>
      </c>
      <c r="AD420" t="s">
        <v>408</v>
      </c>
      <c r="AE420" t="s">
        <v>566</v>
      </c>
      <c r="AF420">
        <v>31</v>
      </c>
      <c r="AG420" s="122">
        <v>2894</v>
      </c>
      <c r="AH420" s="122">
        <v>4307</v>
      </c>
      <c r="AI420" s="122">
        <v>189823</v>
      </c>
      <c r="AJ420" s="122">
        <v>172566</v>
      </c>
      <c r="AK420">
        <v>90</v>
      </c>
      <c r="AL420" s="122">
        <v>63052</v>
      </c>
      <c r="AM420" s="122">
        <v>57320</v>
      </c>
      <c r="AN420" s="122">
        <v>61476</v>
      </c>
      <c r="AO420" s="122">
        <v>22769</v>
      </c>
      <c r="AP420" s="122">
        <v>10881</v>
      </c>
      <c r="AQ420" s="122">
        <v>4030</v>
      </c>
      <c r="AR420" s="122">
        <v>77308</v>
      </c>
      <c r="AS420" s="122">
        <v>70280</v>
      </c>
      <c r="AT420">
        <v>0</v>
      </c>
      <c r="AU420">
        <v>0</v>
      </c>
      <c r="AV420" s="122">
        <v>326965</v>
      </c>
    </row>
    <row r="421" spans="2:48" hidden="1">
      <c r="B421" t="s">
        <v>365</v>
      </c>
      <c r="C421" t="s">
        <v>60</v>
      </c>
      <c r="D421" t="s">
        <v>556</v>
      </c>
      <c r="E421" t="s">
        <v>137</v>
      </c>
      <c r="F421">
        <v>8</v>
      </c>
      <c r="G421">
        <v>718</v>
      </c>
      <c r="H421" s="122">
        <v>2689</v>
      </c>
      <c r="I421" s="122">
        <v>142748</v>
      </c>
      <c r="J421" s="122">
        <v>118957</v>
      </c>
      <c r="K421">
        <v>57</v>
      </c>
      <c r="L421" s="122">
        <v>20662</v>
      </c>
      <c r="M421" s="122">
        <v>11832</v>
      </c>
      <c r="N421" s="122">
        <v>15341</v>
      </c>
      <c r="O421" s="122">
        <v>5682</v>
      </c>
      <c r="P421" s="122">
        <v>2808</v>
      </c>
      <c r="Q421" s="122">
        <v>1040</v>
      </c>
      <c r="R421" s="122">
        <v>58849</v>
      </c>
      <c r="S421" s="122">
        <v>21796</v>
      </c>
      <c r="T421" s="122">
        <v>0</v>
      </c>
      <c r="U421" s="122">
        <v>0</v>
      </c>
      <c r="V421" s="122">
        <v>159307</v>
      </c>
      <c r="W421" s="122">
        <f t="shared" si="12"/>
        <v>159307</v>
      </c>
      <c r="X421" s="122">
        <f t="shared" si="13"/>
        <v>240408</v>
      </c>
      <c r="Y421" s="122"/>
      <c r="AA421" t="s">
        <v>54</v>
      </c>
      <c r="AB421" t="s">
        <v>408</v>
      </c>
      <c r="AC421" t="s">
        <v>566</v>
      </c>
      <c r="AD421" t="s">
        <v>408</v>
      </c>
      <c r="AE421" t="s">
        <v>566</v>
      </c>
      <c r="AF421">
        <v>4</v>
      </c>
      <c r="AG421">
        <v>457</v>
      </c>
      <c r="AH421">
        <v>539</v>
      </c>
      <c r="AI421" s="122">
        <v>36276</v>
      </c>
      <c r="AJ421" s="122">
        <v>32978</v>
      </c>
      <c r="AK421">
        <v>83</v>
      </c>
      <c r="AL421">
        <v>0</v>
      </c>
      <c r="AM421">
        <v>446</v>
      </c>
      <c r="AN421" s="122">
        <v>6443</v>
      </c>
      <c r="AO421" s="122">
        <v>2386</v>
      </c>
      <c r="AP421" s="122">
        <v>2160</v>
      </c>
      <c r="AQ421">
        <v>800</v>
      </c>
      <c r="AR421" s="122">
        <v>16042</v>
      </c>
      <c r="AS421" s="122">
        <v>14583</v>
      </c>
      <c r="AT421">
        <v>0</v>
      </c>
      <c r="AU421">
        <v>0</v>
      </c>
      <c r="AV421" s="122">
        <v>51194</v>
      </c>
    </row>
    <row r="422" spans="2:48" hidden="1">
      <c r="B422" t="s">
        <v>365</v>
      </c>
      <c r="C422" t="s">
        <v>60</v>
      </c>
      <c r="D422" t="s">
        <v>556</v>
      </c>
      <c r="E422" t="s">
        <v>556</v>
      </c>
      <c r="F422">
        <v>111</v>
      </c>
      <c r="G422" s="122">
        <v>9168</v>
      </c>
      <c r="H422" s="122">
        <v>37592</v>
      </c>
      <c r="I422" s="122">
        <v>1810096</v>
      </c>
      <c r="J422" s="122">
        <v>1508413</v>
      </c>
      <c r="K422">
        <v>57</v>
      </c>
      <c r="L422" s="122">
        <v>255153</v>
      </c>
      <c r="M422" s="122">
        <v>181944</v>
      </c>
      <c r="N422" s="122">
        <v>180117</v>
      </c>
      <c r="O422" s="122">
        <v>66710</v>
      </c>
      <c r="P422" s="122">
        <v>38421</v>
      </c>
      <c r="Q422" s="122">
        <v>14230</v>
      </c>
      <c r="R422" s="122">
        <v>611799</v>
      </c>
      <c r="S422" s="122">
        <v>509833</v>
      </c>
      <c r="T422" s="122">
        <v>231782</v>
      </c>
      <c r="U422" s="122">
        <v>85845</v>
      </c>
      <c r="V422" s="122">
        <v>2366975</v>
      </c>
      <c r="W422" s="122">
        <f t="shared" si="12"/>
        <v>2366975</v>
      </c>
      <c r="X422" s="122">
        <f t="shared" si="13"/>
        <v>3127368</v>
      </c>
      <c r="Y422" s="122"/>
      <c r="AA422" t="s">
        <v>54</v>
      </c>
      <c r="AB422" t="s">
        <v>429</v>
      </c>
      <c r="AC422" t="s">
        <v>429</v>
      </c>
      <c r="AD422" t="s">
        <v>429</v>
      </c>
      <c r="AE422" t="s">
        <v>566</v>
      </c>
      <c r="AF422">
        <v>2</v>
      </c>
      <c r="AG422">
        <v>195</v>
      </c>
      <c r="AH422">
        <v>276</v>
      </c>
      <c r="AI422" s="122">
        <v>14486</v>
      </c>
      <c r="AJ422" s="122">
        <v>13169</v>
      </c>
      <c r="AK422">
        <v>77</v>
      </c>
      <c r="AL422" s="122">
        <v>1830</v>
      </c>
      <c r="AM422" s="122">
        <v>1663</v>
      </c>
      <c r="AN422" s="122">
        <v>4040</v>
      </c>
      <c r="AO422" s="122">
        <v>1496</v>
      </c>
      <c r="AP422" s="122">
        <v>2396</v>
      </c>
      <c r="AQ422">
        <v>887</v>
      </c>
      <c r="AR422" s="122">
        <v>4222</v>
      </c>
      <c r="AS422" s="122">
        <v>3838</v>
      </c>
      <c r="AT422">
        <v>0</v>
      </c>
      <c r="AU422">
        <v>0</v>
      </c>
      <c r="AV422" s="122">
        <v>21055</v>
      </c>
    </row>
    <row r="423" spans="2:48" hidden="1">
      <c r="B423" t="s">
        <v>365</v>
      </c>
      <c r="C423" t="s">
        <v>60</v>
      </c>
      <c r="D423" t="s">
        <v>426</v>
      </c>
      <c r="E423" t="s">
        <v>137</v>
      </c>
      <c r="F423">
        <v>9</v>
      </c>
      <c r="G423" s="122">
        <v>756</v>
      </c>
      <c r="H423" s="122">
        <v>3001</v>
      </c>
      <c r="I423" s="122">
        <v>143638</v>
      </c>
      <c r="J423" s="122">
        <v>130580</v>
      </c>
      <c r="K423">
        <v>60</v>
      </c>
      <c r="L423" s="122">
        <v>28948</v>
      </c>
      <c r="M423" s="122">
        <v>15059</v>
      </c>
      <c r="N423" s="122">
        <v>14794</v>
      </c>
      <c r="O423" s="122">
        <v>5479</v>
      </c>
      <c r="P423" s="122">
        <v>1404</v>
      </c>
      <c r="Q423" s="122">
        <v>520</v>
      </c>
      <c r="R423" s="122">
        <v>65487</v>
      </c>
      <c r="S423" s="122">
        <v>24255</v>
      </c>
      <c r="T423" s="122">
        <v>0</v>
      </c>
      <c r="U423" s="122">
        <v>0</v>
      </c>
      <c r="V423" s="122">
        <v>175893</v>
      </c>
      <c r="W423" s="122">
        <f t="shared" si="12"/>
        <v>175893</v>
      </c>
      <c r="X423" s="122">
        <f t="shared" si="13"/>
        <v>254271</v>
      </c>
      <c r="Y423" s="122"/>
      <c r="AA423" t="s">
        <v>56</v>
      </c>
      <c r="AC423" t="s">
        <v>566</v>
      </c>
      <c r="AE423" t="s">
        <v>566</v>
      </c>
      <c r="AF423">
        <v>234</v>
      </c>
      <c r="AG423" s="122">
        <v>17011</v>
      </c>
      <c r="AH423" s="122">
        <v>44094</v>
      </c>
      <c r="AJ423">
        <v>0</v>
      </c>
      <c r="AM423">
        <v>0</v>
      </c>
      <c r="AN423" s="122">
        <v>323426</v>
      </c>
      <c r="AO423" s="122">
        <v>119788</v>
      </c>
      <c r="AP423" s="122">
        <v>78071</v>
      </c>
      <c r="AQ423" s="122">
        <v>28915</v>
      </c>
      <c r="AS423">
        <v>0</v>
      </c>
      <c r="AT423" s="122">
        <v>56971</v>
      </c>
      <c r="AU423" s="122">
        <v>21100</v>
      </c>
      <c r="AV423" s="122">
        <v>169803</v>
      </c>
    </row>
    <row r="424" spans="2:48" hidden="1">
      <c r="B424" t="s">
        <v>365</v>
      </c>
      <c r="C424" t="s">
        <v>60</v>
      </c>
      <c r="D424" t="s">
        <v>426</v>
      </c>
      <c r="E424" t="s">
        <v>426</v>
      </c>
      <c r="F424">
        <v>348</v>
      </c>
      <c r="G424" s="122">
        <v>25844</v>
      </c>
      <c r="H424" s="122">
        <v>116960</v>
      </c>
      <c r="I424" s="122">
        <v>4811617</v>
      </c>
      <c r="J424" s="122">
        <v>4374197</v>
      </c>
      <c r="K424">
        <v>56</v>
      </c>
      <c r="L424" s="122">
        <v>623007</v>
      </c>
      <c r="M424" s="122">
        <v>470447</v>
      </c>
      <c r="N424" s="122">
        <v>520799</v>
      </c>
      <c r="O424" s="122">
        <v>192888</v>
      </c>
      <c r="P424" s="122">
        <v>120501</v>
      </c>
      <c r="Q424" s="122">
        <v>44630</v>
      </c>
      <c r="R424" s="122">
        <v>1910662</v>
      </c>
      <c r="S424" s="122">
        <v>1736966</v>
      </c>
      <c r="T424" s="122">
        <v>669207</v>
      </c>
      <c r="U424" s="122">
        <v>247855</v>
      </c>
      <c r="V424" s="122">
        <v>7066982</v>
      </c>
      <c r="W424" s="122">
        <f t="shared" si="12"/>
        <v>7066983</v>
      </c>
      <c r="X424" s="122">
        <f t="shared" si="13"/>
        <v>8655793</v>
      </c>
      <c r="Y424" s="122"/>
      <c r="AA424" t="s">
        <v>56</v>
      </c>
      <c r="AB424" t="s">
        <v>425</v>
      </c>
      <c r="AC424" t="s">
        <v>425</v>
      </c>
      <c r="AD424" t="s">
        <v>425</v>
      </c>
      <c r="AE424" t="s">
        <v>137</v>
      </c>
      <c r="AF424">
        <v>8</v>
      </c>
      <c r="AG424">
        <v>769</v>
      </c>
      <c r="AH424" s="122">
        <v>1504</v>
      </c>
      <c r="AI424" s="122">
        <v>71570</v>
      </c>
      <c r="AJ424" s="122">
        <v>65064</v>
      </c>
      <c r="AK424">
        <v>77</v>
      </c>
      <c r="AL424" s="122">
        <v>10888</v>
      </c>
      <c r="AM424" s="122">
        <v>9898</v>
      </c>
      <c r="AN424" s="122">
        <v>15818</v>
      </c>
      <c r="AO424" s="122">
        <v>5858</v>
      </c>
      <c r="AP424" s="122">
        <v>3780</v>
      </c>
      <c r="AQ424" s="122">
        <v>1400</v>
      </c>
      <c r="AR424" s="122">
        <v>29940</v>
      </c>
      <c r="AS424" s="122">
        <v>27218</v>
      </c>
      <c r="AT424" s="122">
        <v>10179</v>
      </c>
      <c r="AU424" s="122">
        <v>3770</v>
      </c>
      <c r="AV424" s="122">
        <v>113209</v>
      </c>
    </row>
    <row r="425" spans="2:48" hidden="1">
      <c r="B425" t="s">
        <v>365</v>
      </c>
      <c r="C425" t="s">
        <v>60</v>
      </c>
      <c r="D425" t="s">
        <v>433</v>
      </c>
      <c r="E425" t="s">
        <v>433</v>
      </c>
      <c r="F425" s="122">
        <v>2</v>
      </c>
      <c r="G425" s="122">
        <v>116</v>
      </c>
      <c r="H425" s="122">
        <v>659</v>
      </c>
      <c r="I425" s="122">
        <v>24511</v>
      </c>
      <c r="J425" s="122">
        <v>22283</v>
      </c>
      <c r="K425">
        <v>61</v>
      </c>
      <c r="L425" s="122">
        <v>0</v>
      </c>
      <c r="M425" s="122">
        <v>0</v>
      </c>
      <c r="N425" s="122">
        <v>1512</v>
      </c>
      <c r="O425" s="122">
        <v>560</v>
      </c>
      <c r="P425" s="122">
        <v>702</v>
      </c>
      <c r="Q425" s="122">
        <v>260</v>
      </c>
      <c r="R425" s="122">
        <v>8068</v>
      </c>
      <c r="S425" s="122">
        <v>7335</v>
      </c>
      <c r="T425" s="122">
        <v>3663</v>
      </c>
      <c r="U425" s="122">
        <v>1357</v>
      </c>
      <c r="V425" s="122">
        <v>31794</v>
      </c>
      <c r="W425" s="122">
        <f t="shared" si="12"/>
        <v>31795</v>
      </c>
      <c r="X425" s="122">
        <f t="shared" si="13"/>
        <v>38456</v>
      </c>
      <c r="Y425" s="122"/>
      <c r="AA425" t="s">
        <v>56</v>
      </c>
      <c r="AB425" t="s">
        <v>425</v>
      </c>
      <c r="AC425" t="s">
        <v>425</v>
      </c>
      <c r="AD425" t="s">
        <v>425</v>
      </c>
      <c r="AE425" t="s">
        <v>566</v>
      </c>
      <c r="AF425">
        <v>12</v>
      </c>
      <c r="AG425" s="122">
        <v>1188</v>
      </c>
      <c r="AH425" s="122">
        <v>2141</v>
      </c>
      <c r="AI425" s="122">
        <v>109724</v>
      </c>
      <c r="AJ425" s="122">
        <v>99749</v>
      </c>
      <c r="AK425">
        <v>86</v>
      </c>
      <c r="AL425" s="122">
        <v>25159</v>
      </c>
      <c r="AM425" s="122">
        <v>22872</v>
      </c>
      <c r="AN425" s="122">
        <v>19361</v>
      </c>
      <c r="AO425" s="122">
        <v>7171</v>
      </c>
      <c r="AP425" s="122">
        <v>5549</v>
      </c>
      <c r="AQ425" s="122">
        <v>2055</v>
      </c>
      <c r="AR425" s="122">
        <v>56212</v>
      </c>
      <c r="AS425" s="122">
        <v>51102</v>
      </c>
      <c r="AT425">
        <v>0</v>
      </c>
      <c r="AU425">
        <v>0</v>
      </c>
      <c r="AV425" s="122">
        <v>182949</v>
      </c>
    </row>
    <row r="426" spans="2:48" hidden="1">
      <c r="B426" t="s">
        <v>365</v>
      </c>
      <c r="C426" t="s">
        <v>62</v>
      </c>
      <c r="F426">
        <v>4</v>
      </c>
      <c r="G426">
        <v>261</v>
      </c>
      <c r="H426" s="122">
        <v>1742</v>
      </c>
      <c r="I426" s="122"/>
      <c r="J426" s="122">
        <v>0</v>
      </c>
      <c r="L426" s="122"/>
      <c r="M426" s="122">
        <v>0</v>
      </c>
      <c r="N426" s="122">
        <v>5263</v>
      </c>
      <c r="O426" s="122">
        <v>1949</v>
      </c>
      <c r="P426" s="122">
        <v>351</v>
      </c>
      <c r="Q426">
        <v>130</v>
      </c>
      <c r="R426" s="122"/>
      <c r="S426" s="122">
        <v>0</v>
      </c>
      <c r="T426" s="122">
        <v>2125</v>
      </c>
      <c r="U426" s="122">
        <v>787</v>
      </c>
      <c r="V426" s="122">
        <v>2866</v>
      </c>
      <c r="W426" s="122">
        <f t="shared" si="12"/>
        <v>2866</v>
      </c>
      <c r="X426" s="122">
        <f t="shared" si="13"/>
        <v>7739</v>
      </c>
      <c r="Y426" s="122"/>
      <c r="AA426" t="s">
        <v>56</v>
      </c>
      <c r="AB426" t="s">
        <v>425</v>
      </c>
      <c r="AC426" t="s">
        <v>425</v>
      </c>
      <c r="AD426" t="s">
        <v>406</v>
      </c>
      <c r="AE426" t="s">
        <v>137</v>
      </c>
      <c r="AF426">
        <v>1</v>
      </c>
      <c r="AG426">
        <v>133</v>
      </c>
      <c r="AH426">
        <v>170</v>
      </c>
      <c r="AI426" s="122">
        <v>11598</v>
      </c>
      <c r="AJ426" s="122">
        <v>10543</v>
      </c>
      <c r="AK426">
        <v>86</v>
      </c>
      <c r="AL426" s="122">
        <v>1753</v>
      </c>
      <c r="AM426" s="122">
        <v>1594</v>
      </c>
      <c r="AN426" s="122">
        <v>2019</v>
      </c>
      <c r="AO426">
        <v>748</v>
      </c>
      <c r="AP426">
        <v>621</v>
      </c>
      <c r="AQ426">
        <v>230</v>
      </c>
      <c r="AR426" s="122">
        <v>3508</v>
      </c>
      <c r="AS426" s="122">
        <v>3189</v>
      </c>
      <c r="AT426" s="122">
        <v>3091</v>
      </c>
      <c r="AU426" s="122">
        <v>1145</v>
      </c>
      <c r="AV426" s="122">
        <v>17448</v>
      </c>
    </row>
    <row r="427" spans="2:48" hidden="1">
      <c r="B427" t="s">
        <v>365</v>
      </c>
      <c r="C427" t="s">
        <v>62</v>
      </c>
      <c r="D427" t="s">
        <v>425</v>
      </c>
      <c r="E427" t="s">
        <v>425</v>
      </c>
      <c r="F427">
        <v>2</v>
      </c>
      <c r="G427">
        <v>145</v>
      </c>
      <c r="H427">
        <v>836</v>
      </c>
      <c r="I427" s="122">
        <v>72380</v>
      </c>
      <c r="J427" s="122">
        <v>65800</v>
      </c>
      <c r="K427">
        <v>87</v>
      </c>
      <c r="L427" s="122">
        <v>9185</v>
      </c>
      <c r="M427" s="122">
        <v>8350</v>
      </c>
      <c r="N427" s="122">
        <v>4093</v>
      </c>
      <c r="O427" s="122">
        <v>1516</v>
      </c>
      <c r="P427" s="122">
        <v>945</v>
      </c>
      <c r="Q427">
        <v>350</v>
      </c>
      <c r="R427" s="122">
        <v>10356</v>
      </c>
      <c r="S427" s="122">
        <v>9415</v>
      </c>
      <c r="T427" s="122">
        <v>0</v>
      </c>
      <c r="U427" s="122">
        <v>0</v>
      </c>
      <c r="V427" s="122">
        <v>85430</v>
      </c>
      <c r="W427" s="122">
        <f t="shared" si="12"/>
        <v>85431</v>
      </c>
      <c r="X427" s="122">
        <f t="shared" si="13"/>
        <v>96959</v>
      </c>
      <c r="Y427" s="122"/>
      <c r="AA427" t="s">
        <v>56</v>
      </c>
      <c r="AB427" t="s">
        <v>425</v>
      </c>
      <c r="AC427" t="s">
        <v>137</v>
      </c>
      <c r="AD427" t="s">
        <v>425</v>
      </c>
      <c r="AE427" t="s">
        <v>137</v>
      </c>
      <c r="AF427">
        <v>3</v>
      </c>
      <c r="AG427">
        <v>281</v>
      </c>
      <c r="AH427">
        <v>521</v>
      </c>
      <c r="AI427" s="122">
        <v>18849</v>
      </c>
      <c r="AJ427" s="122">
        <v>17135</v>
      </c>
      <c r="AK427">
        <v>82</v>
      </c>
      <c r="AL427" s="122">
        <v>5630</v>
      </c>
      <c r="AM427" s="122">
        <v>2085</v>
      </c>
      <c r="AN427" s="122">
        <v>6302</v>
      </c>
      <c r="AO427" s="122">
        <v>2334</v>
      </c>
      <c r="AP427" s="122">
        <v>1418</v>
      </c>
      <c r="AQ427">
        <v>525</v>
      </c>
      <c r="AR427" s="122">
        <v>12844</v>
      </c>
      <c r="AS427" s="122">
        <v>11676</v>
      </c>
      <c r="AT427" s="122">
        <v>2645</v>
      </c>
      <c r="AU427">
        <v>979</v>
      </c>
      <c r="AV427" s="122">
        <v>34735</v>
      </c>
    </row>
    <row r="428" spans="2:48" hidden="1">
      <c r="B428" t="s">
        <v>365</v>
      </c>
      <c r="C428" t="s">
        <v>62</v>
      </c>
      <c r="D428" t="s">
        <v>405</v>
      </c>
      <c r="E428" t="s">
        <v>405</v>
      </c>
      <c r="F428">
        <v>4</v>
      </c>
      <c r="G428" s="122">
        <v>408</v>
      </c>
      <c r="H428" s="122">
        <v>1658</v>
      </c>
      <c r="I428" s="122">
        <v>103812</v>
      </c>
      <c r="J428" s="122">
        <v>94374</v>
      </c>
      <c r="K428">
        <v>78</v>
      </c>
      <c r="L428" s="122">
        <v>28765</v>
      </c>
      <c r="M428" s="122">
        <v>26150</v>
      </c>
      <c r="N428" s="122">
        <v>9288</v>
      </c>
      <c r="O428" s="122">
        <v>3440</v>
      </c>
      <c r="P428" s="122">
        <v>1769</v>
      </c>
      <c r="Q428" s="122">
        <v>655</v>
      </c>
      <c r="R428" s="122">
        <v>16427</v>
      </c>
      <c r="S428" s="122">
        <v>14934</v>
      </c>
      <c r="T428" s="122">
        <v>8104</v>
      </c>
      <c r="U428" s="122">
        <v>3002</v>
      </c>
      <c r="V428" s="122">
        <v>142555</v>
      </c>
      <c r="W428" s="122">
        <f t="shared" si="12"/>
        <v>142555</v>
      </c>
      <c r="X428" s="122">
        <f t="shared" si="13"/>
        <v>168165</v>
      </c>
      <c r="Y428" s="122"/>
      <c r="AA428" t="s">
        <v>56</v>
      </c>
      <c r="AB428" t="s">
        <v>425</v>
      </c>
      <c r="AC428" t="s">
        <v>137</v>
      </c>
      <c r="AD428" t="s">
        <v>425</v>
      </c>
      <c r="AE428" t="s">
        <v>566</v>
      </c>
      <c r="AF428">
        <v>7</v>
      </c>
      <c r="AG428">
        <v>591</v>
      </c>
      <c r="AH428" s="122">
        <v>1296</v>
      </c>
      <c r="AI428" s="122">
        <v>59115</v>
      </c>
      <c r="AJ428" s="122">
        <v>53741</v>
      </c>
      <c r="AK428">
        <v>90</v>
      </c>
      <c r="AL428" s="122">
        <v>15454</v>
      </c>
      <c r="AM428" s="122">
        <v>5724</v>
      </c>
      <c r="AN428" s="122">
        <v>10484</v>
      </c>
      <c r="AO428" s="122">
        <v>3883</v>
      </c>
      <c r="AP428" s="122">
        <v>3308</v>
      </c>
      <c r="AQ428" s="122">
        <v>1225</v>
      </c>
      <c r="AR428" s="122">
        <v>19017</v>
      </c>
      <c r="AS428" s="122">
        <v>17288</v>
      </c>
      <c r="AT428">
        <v>0</v>
      </c>
      <c r="AU428">
        <v>0</v>
      </c>
      <c r="AV428" s="122">
        <v>81861</v>
      </c>
    </row>
    <row r="429" spans="2:48" hidden="1">
      <c r="B429" t="s">
        <v>365</v>
      </c>
      <c r="C429" t="s">
        <v>62</v>
      </c>
      <c r="D429" t="s">
        <v>137</v>
      </c>
      <c r="E429" t="s">
        <v>555</v>
      </c>
      <c r="F429" s="122">
        <v>1</v>
      </c>
      <c r="G429" s="122">
        <v>81</v>
      </c>
      <c r="H429" s="122">
        <v>402</v>
      </c>
      <c r="I429" s="122">
        <v>23046</v>
      </c>
      <c r="J429" s="122">
        <v>8536</v>
      </c>
      <c r="K429">
        <v>100</v>
      </c>
      <c r="L429" s="122">
        <v>2086</v>
      </c>
      <c r="M429" s="122">
        <v>1897</v>
      </c>
      <c r="N429" s="122">
        <v>1482</v>
      </c>
      <c r="O429" s="122">
        <v>549</v>
      </c>
      <c r="P429" s="122">
        <v>0</v>
      </c>
      <c r="Q429" s="122">
        <v>0</v>
      </c>
      <c r="R429" s="122">
        <v>4244</v>
      </c>
      <c r="S429" s="122">
        <v>3858</v>
      </c>
      <c r="T429" s="122">
        <v>1735</v>
      </c>
      <c r="U429" s="122">
        <v>643</v>
      </c>
      <c r="V429" s="122">
        <v>15482</v>
      </c>
      <c r="W429" s="122">
        <f t="shared" si="12"/>
        <v>15483</v>
      </c>
      <c r="X429" s="122">
        <f t="shared" si="13"/>
        <v>32593</v>
      </c>
      <c r="Y429" s="122"/>
      <c r="AA429" t="s">
        <v>56</v>
      </c>
      <c r="AB429" t="s">
        <v>425</v>
      </c>
      <c r="AC429" t="s">
        <v>137</v>
      </c>
      <c r="AD429" t="s">
        <v>406</v>
      </c>
      <c r="AE429" t="s">
        <v>137</v>
      </c>
      <c r="AF429">
        <v>1</v>
      </c>
      <c r="AG429">
        <v>106</v>
      </c>
      <c r="AH429">
        <v>219</v>
      </c>
      <c r="AI429" s="122">
        <v>9992</v>
      </c>
      <c r="AJ429" s="122">
        <v>9084</v>
      </c>
      <c r="AK429">
        <v>85</v>
      </c>
      <c r="AL429" s="122">
        <v>2199</v>
      </c>
      <c r="AM429">
        <v>815</v>
      </c>
      <c r="AN429" s="122">
        <v>2367</v>
      </c>
      <c r="AO429">
        <v>877</v>
      </c>
      <c r="AP429">
        <v>621</v>
      </c>
      <c r="AQ429">
        <v>230</v>
      </c>
      <c r="AR429" s="122">
        <v>4302</v>
      </c>
      <c r="AS429" s="122">
        <v>3911</v>
      </c>
      <c r="AT429" s="122">
        <v>3656</v>
      </c>
      <c r="AU429" s="122">
        <v>1354</v>
      </c>
      <c r="AV429" s="122">
        <v>16270</v>
      </c>
    </row>
    <row r="430" spans="2:48" hidden="1">
      <c r="B430" t="s">
        <v>365</v>
      </c>
      <c r="C430" t="s">
        <v>62</v>
      </c>
      <c r="D430" t="s">
        <v>137</v>
      </c>
      <c r="E430" t="s">
        <v>403</v>
      </c>
      <c r="F430">
        <v>1</v>
      </c>
      <c r="G430" s="122">
        <v>57</v>
      </c>
      <c r="H430" s="122">
        <v>435</v>
      </c>
      <c r="I430" s="122">
        <v>14439</v>
      </c>
      <c r="J430" s="122">
        <v>5348</v>
      </c>
      <c r="K430">
        <v>100</v>
      </c>
      <c r="L430" s="122">
        <v>5348</v>
      </c>
      <c r="M430" s="122">
        <v>4456</v>
      </c>
      <c r="N430" s="122">
        <v>1220</v>
      </c>
      <c r="O430" s="122">
        <v>452</v>
      </c>
      <c r="P430" s="122">
        <v>0</v>
      </c>
      <c r="Q430" s="122">
        <v>0</v>
      </c>
      <c r="R430" s="122">
        <v>3595</v>
      </c>
      <c r="S430" s="122">
        <v>1332</v>
      </c>
      <c r="T430" s="122">
        <v>0</v>
      </c>
      <c r="U430" s="122">
        <v>0</v>
      </c>
      <c r="V430" s="122">
        <v>11588</v>
      </c>
      <c r="W430" s="122">
        <f t="shared" si="12"/>
        <v>11588</v>
      </c>
      <c r="X430" s="122">
        <f t="shared" si="13"/>
        <v>24602</v>
      </c>
      <c r="Y430" s="122"/>
      <c r="AA430" t="s">
        <v>56</v>
      </c>
      <c r="AB430" t="s">
        <v>425</v>
      </c>
      <c r="AC430" t="s">
        <v>137</v>
      </c>
      <c r="AD430" t="s">
        <v>406</v>
      </c>
      <c r="AE430" t="s">
        <v>566</v>
      </c>
      <c r="AF430">
        <v>1</v>
      </c>
      <c r="AG430">
        <v>90</v>
      </c>
      <c r="AH430">
        <v>217</v>
      </c>
      <c r="AI430" s="122">
        <v>8850</v>
      </c>
      <c r="AJ430" s="122">
        <v>8045</v>
      </c>
      <c r="AK430">
        <v>70</v>
      </c>
      <c r="AL430" s="122">
        <v>1605</v>
      </c>
      <c r="AM430">
        <v>594</v>
      </c>
      <c r="AN430" s="122">
        <v>1980</v>
      </c>
      <c r="AO430">
        <v>733</v>
      </c>
      <c r="AP430">
        <v>621</v>
      </c>
      <c r="AQ430">
        <v>230</v>
      </c>
      <c r="AR430" s="122">
        <v>6540</v>
      </c>
      <c r="AS430" s="122">
        <v>5946</v>
      </c>
      <c r="AT430">
        <v>0</v>
      </c>
      <c r="AU430">
        <v>0</v>
      </c>
      <c r="AV430" s="122">
        <v>15549</v>
      </c>
    </row>
    <row r="431" spans="2:48" hidden="1">
      <c r="B431" t="s">
        <v>365</v>
      </c>
      <c r="C431" t="s">
        <v>62</v>
      </c>
      <c r="D431" t="s">
        <v>137</v>
      </c>
      <c r="E431" t="s">
        <v>137</v>
      </c>
      <c r="F431">
        <v>304</v>
      </c>
      <c r="G431" s="122">
        <v>25549</v>
      </c>
      <c r="H431" s="122">
        <v>125604</v>
      </c>
      <c r="I431" s="122">
        <v>6904166</v>
      </c>
      <c r="J431" s="122">
        <v>2557098</v>
      </c>
      <c r="K431">
        <v>100</v>
      </c>
      <c r="L431" s="122">
        <v>1122606</v>
      </c>
      <c r="M431" s="122">
        <v>858926</v>
      </c>
      <c r="N431" s="122">
        <v>538286</v>
      </c>
      <c r="O431" s="122">
        <v>199365</v>
      </c>
      <c r="P431" s="122">
        <v>9288</v>
      </c>
      <c r="Q431" s="122">
        <v>3440</v>
      </c>
      <c r="R431" s="122">
        <v>2143727</v>
      </c>
      <c r="S431" s="122">
        <v>793973</v>
      </c>
      <c r="T431" s="122">
        <v>5066</v>
      </c>
      <c r="U431" s="122">
        <v>1876</v>
      </c>
      <c r="V431" s="122">
        <v>4414679</v>
      </c>
      <c r="W431" s="122">
        <f t="shared" si="12"/>
        <v>4414678</v>
      </c>
      <c r="X431" s="122">
        <f t="shared" si="13"/>
        <v>10723139</v>
      </c>
      <c r="Y431" s="122"/>
      <c r="AA431" t="s">
        <v>56</v>
      </c>
      <c r="AB431" t="s">
        <v>425</v>
      </c>
      <c r="AC431" t="s">
        <v>580</v>
      </c>
      <c r="AD431" t="s">
        <v>406</v>
      </c>
      <c r="AE431" t="s">
        <v>137</v>
      </c>
      <c r="AF431">
        <v>1</v>
      </c>
      <c r="AG431">
        <v>157</v>
      </c>
      <c r="AH431">
        <v>204</v>
      </c>
      <c r="AI431" s="122">
        <v>18386</v>
      </c>
      <c r="AJ431" s="122">
        <v>16715</v>
      </c>
      <c r="AK431">
        <v>83</v>
      </c>
      <c r="AL431" s="122">
        <v>2676</v>
      </c>
      <c r="AM431" s="122">
        <v>2433</v>
      </c>
      <c r="AN431" s="122">
        <v>3624</v>
      </c>
      <c r="AO431" s="122">
        <v>1342</v>
      </c>
      <c r="AP431">
        <v>621</v>
      </c>
      <c r="AQ431">
        <v>230</v>
      </c>
      <c r="AR431" s="122">
        <v>6565</v>
      </c>
      <c r="AS431" s="122">
        <v>5968</v>
      </c>
      <c r="AT431">
        <v>0</v>
      </c>
      <c r="AU431">
        <v>0</v>
      </c>
      <c r="AV431" s="122">
        <v>26688</v>
      </c>
    </row>
    <row r="432" spans="2:48" hidden="1">
      <c r="B432" t="s">
        <v>365</v>
      </c>
      <c r="C432" t="s">
        <v>62</v>
      </c>
      <c r="D432" t="s">
        <v>137</v>
      </c>
      <c r="E432" t="s">
        <v>427</v>
      </c>
      <c r="F432">
        <v>1</v>
      </c>
      <c r="G432">
        <v>85</v>
      </c>
      <c r="H432">
        <v>393</v>
      </c>
      <c r="I432" s="122">
        <v>20498</v>
      </c>
      <c r="J432" s="122">
        <v>7592</v>
      </c>
      <c r="K432">
        <v>100</v>
      </c>
      <c r="L432" s="122">
        <v>1687</v>
      </c>
      <c r="M432" s="122">
        <v>1534</v>
      </c>
      <c r="N432" s="122">
        <v>1758</v>
      </c>
      <c r="O432" s="122">
        <v>651</v>
      </c>
      <c r="P432" s="122">
        <v>0</v>
      </c>
      <c r="Q432">
        <v>0</v>
      </c>
      <c r="R432" s="122">
        <v>6330</v>
      </c>
      <c r="S432" s="122">
        <v>5755</v>
      </c>
      <c r="T432" s="122">
        <v>3122</v>
      </c>
      <c r="U432" s="122">
        <v>1156</v>
      </c>
      <c r="V432" s="122">
        <v>16688</v>
      </c>
      <c r="W432" s="122">
        <f t="shared" si="12"/>
        <v>16688</v>
      </c>
      <c r="X432" s="122">
        <f t="shared" si="13"/>
        <v>33395</v>
      </c>
      <c r="Y432" s="122"/>
      <c r="AA432" t="s">
        <v>56</v>
      </c>
      <c r="AB432" t="s">
        <v>425</v>
      </c>
      <c r="AC432" t="s">
        <v>427</v>
      </c>
      <c r="AD432" t="s">
        <v>425</v>
      </c>
      <c r="AE432" t="s">
        <v>137</v>
      </c>
      <c r="AF432">
        <v>2</v>
      </c>
      <c r="AG432">
        <v>251</v>
      </c>
      <c r="AH432">
        <v>368</v>
      </c>
      <c r="AI432" s="122">
        <v>22421</v>
      </c>
      <c r="AJ432" s="122">
        <v>20382</v>
      </c>
      <c r="AK432">
        <v>92</v>
      </c>
      <c r="AL432" s="122">
        <v>7218</v>
      </c>
      <c r="AM432" s="122">
        <v>6562</v>
      </c>
      <c r="AN432" s="122">
        <v>5823</v>
      </c>
      <c r="AO432" s="122">
        <v>2157</v>
      </c>
      <c r="AP432">
        <v>945</v>
      </c>
      <c r="AQ432">
        <v>350</v>
      </c>
      <c r="AR432" s="122">
        <v>9471</v>
      </c>
      <c r="AS432" s="122">
        <v>8610</v>
      </c>
      <c r="AT432">
        <v>0</v>
      </c>
      <c r="AU432">
        <v>0</v>
      </c>
      <c r="AV432" s="122">
        <v>38061</v>
      </c>
    </row>
    <row r="433" spans="2:48" hidden="1">
      <c r="B433" t="s">
        <v>365</v>
      </c>
      <c r="C433" t="s">
        <v>62</v>
      </c>
      <c r="D433" t="s">
        <v>137</v>
      </c>
      <c r="E433" t="s">
        <v>407</v>
      </c>
      <c r="F433">
        <v>1</v>
      </c>
      <c r="G433" s="122">
        <v>78</v>
      </c>
      <c r="H433">
        <v>422</v>
      </c>
      <c r="I433" s="122">
        <v>20302</v>
      </c>
      <c r="J433" s="122">
        <v>7519</v>
      </c>
      <c r="K433">
        <v>100</v>
      </c>
      <c r="L433" s="122">
        <v>7519</v>
      </c>
      <c r="M433" s="122">
        <v>6266</v>
      </c>
      <c r="N433" s="122">
        <v>1901</v>
      </c>
      <c r="O433" s="122">
        <v>704</v>
      </c>
      <c r="P433" s="122">
        <v>0</v>
      </c>
      <c r="Q433">
        <v>0</v>
      </c>
      <c r="R433" s="122">
        <v>3217</v>
      </c>
      <c r="S433" s="122">
        <v>2925</v>
      </c>
      <c r="T433">
        <v>0</v>
      </c>
      <c r="U433">
        <v>0</v>
      </c>
      <c r="V433" s="122">
        <v>17414</v>
      </c>
      <c r="W433" s="122">
        <f t="shared" si="12"/>
        <v>17414</v>
      </c>
      <c r="X433" s="122">
        <f t="shared" si="13"/>
        <v>32939</v>
      </c>
      <c r="Y433" s="122"/>
      <c r="AA433" t="s">
        <v>56</v>
      </c>
      <c r="AB433" t="s">
        <v>425</v>
      </c>
      <c r="AC433" t="s">
        <v>427</v>
      </c>
      <c r="AD433" t="s">
        <v>425</v>
      </c>
      <c r="AE433" t="s">
        <v>566</v>
      </c>
      <c r="AF433">
        <v>2</v>
      </c>
      <c r="AG433">
        <v>167</v>
      </c>
      <c r="AH433">
        <v>405</v>
      </c>
      <c r="AI433" s="122">
        <v>16683</v>
      </c>
      <c r="AJ433" s="122">
        <v>15167</v>
      </c>
      <c r="AK433">
        <v>82</v>
      </c>
      <c r="AL433" s="122">
        <v>3984</v>
      </c>
      <c r="AM433" s="122">
        <v>3622</v>
      </c>
      <c r="AN433" s="122">
        <v>3690</v>
      </c>
      <c r="AO433" s="122">
        <v>1366</v>
      </c>
      <c r="AP433">
        <v>945</v>
      </c>
      <c r="AQ433">
        <v>350</v>
      </c>
      <c r="AR433" s="122">
        <v>8369</v>
      </c>
      <c r="AS433" s="122">
        <v>7608</v>
      </c>
      <c r="AT433">
        <v>0</v>
      </c>
      <c r="AU433">
        <v>0</v>
      </c>
      <c r="AV433" s="122">
        <v>28113</v>
      </c>
    </row>
    <row r="434" spans="2:48" hidden="1">
      <c r="B434" t="s">
        <v>365</v>
      </c>
      <c r="C434" t="s">
        <v>62</v>
      </c>
      <c r="D434" t="s">
        <v>137</v>
      </c>
      <c r="E434" t="s">
        <v>556</v>
      </c>
      <c r="F434">
        <v>2</v>
      </c>
      <c r="G434">
        <v>217</v>
      </c>
      <c r="H434">
        <v>820</v>
      </c>
      <c r="I434" s="122">
        <v>62107</v>
      </c>
      <c r="J434" s="122">
        <v>23003</v>
      </c>
      <c r="K434">
        <v>100</v>
      </c>
      <c r="L434" s="122">
        <v>6989</v>
      </c>
      <c r="M434" s="122">
        <v>5824</v>
      </c>
      <c r="N434" s="122">
        <v>4901</v>
      </c>
      <c r="O434" s="122">
        <v>1815</v>
      </c>
      <c r="P434" s="122">
        <v>0</v>
      </c>
      <c r="Q434">
        <v>0</v>
      </c>
      <c r="R434" s="122">
        <v>13157</v>
      </c>
      <c r="S434" s="122">
        <v>10964</v>
      </c>
      <c r="T434" s="122">
        <v>2290</v>
      </c>
      <c r="U434">
        <v>848</v>
      </c>
      <c r="V434" s="122">
        <v>42454</v>
      </c>
      <c r="W434" s="122">
        <f t="shared" si="12"/>
        <v>42454</v>
      </c>
      <c r="X434" s="122">
        <f t="shared" si="13"/>
        <v>89444</v>
      </c>
      <c r="Y434" s="122"/>
      <c r="AA434" t="s">
        <v>56</v>
      </c>
      <c r="AB434" t="s">
        <v>425</v>
      </c>
      <c r="AC434" t="s">
        <v>427</v>
      </c>
      <c r="AD434" t="s">
        <v>406</v>
      </c>
      <c r="AE434" t="s">
        <v>137</v>
      </c>
      <c r="AF434">
        <v>1</v>
      </c>
      <c r="AG434">
        <v>99</v>
      </c>
      <c r="AH434">
        <v>176</v>
      </c>
      <c r="AI434" s="122">
        <v>6207</v>
      </c>
      <c r="AJ434" s="122">
        <v>5642</v>
      </c>
      <c r="AK434">
        <v>85</v>
      </c>
      <c r="AL434" s="122">
        <v>1862</v>
      </c>
      <c r="AM434" s="122">
        <v>1693</v>
      </c>
      <c r="AN434" s="122">
        <v>2405</v>
      </c>
      <c r="AO434">
        <v>891</v>
      </c>
      <c r="AP434">
        <v>621</v>
      </c>
      <c r="AQ434">
        <v>230</v>
      </c>
      <c r="AR434" s="122">
        <v>3707</v>
      </c>
      <c r="AS434" s="122">
        <v>3370</v>
      </c>
      <c r="AT434" s="122">
        <v>2544</v>
      </c>
      <c r="AU434">
        <v>942</v>
      </c>
      <c r="AV434" s="122">
        <v>12768</v>
      </c>
    </row>
    <row r="435" spans="2:48" hidden="1">
      <c r="B435" t="s">
        <v>365</v>
      </c>
      <c r="C435" t="s">
        <v>62</v>
      </c>
      <c r="D435" t="s">
        <v>137</v>
      </c>
      <c r="E435" t="s">
        <v>426</v>
      </c>
      <c r="F435">
        <v>13</v>
      </c>
      <c r="G435" s="122">
        <v>967</v>
      </c>
      <c r="H435" s="122">
        <v>5300</v>
      </c>
      <c r="I435" s="122">
        <v>258587</v>
      </c>
      <c r="J435" s="122">
        <v>95773</v>
      </c>
      <c r="K435">
        <v>100</v>
      </c>
      <c r="L435" s="122">
        <v>28293</v>
      </c>
      <c r="M435" s="122">
        <v>24514</v>
      </c>
      <c r="N435" s="122">
        <v>19470</v>
      </c>
      <c r="O435" s="122">
        <v>7211</v>
      </c>
      <c r="P435" s="122">
        <v>1755</v>
      </c>
      <c r="Q435" s="122">
        <v>650</v>
      </c>
      <c r="R435" s="122">
        <v>64179</v>
      </c>
      <c r="S435" s="122">
        <v>58345</v>
      </c>
      <c r="T435" s="122">
        <v>22960</v>
      </c>
      <c r="U435" s="122">
        <v>8504</v>
      </c>
      <c r="V435" s="122">
        <v>194996</v>
      </c>
      <c r="W435" s="122">
        <f t="shared" si="12"/>
        <v>194997</v>
      </c>
      <c r="X435" s="122">
        <f t="shared" si="13"/>
        <v>395244</v>
      </c>
      <c r="Y435" s="122"/>
      <c r="AA435" t="s">
        <v>56</v>
      </c>
      <c r="AB435" t="s">
        <v>425</v>
      </c>
      <c r="AC435" t="s">
        <v>427</v>
      </c>
      <c r="AD435" t="s">
        <v>406</v>
      </c>
      <c r="AE435" t="s">
        <v>566</v>
      </c>
      <c r="AF435">
        <v>1</v>
      </c>
      <c r="AG435">
        <v>105</v>
      </c>
      <c r="AH435">
        <v>180</v>
      </c>
      <c r="AI435" s="122">
        <v>9296</v>
      </c>
      <c r="AJ435" s="122">
        <v>8451</v>
      </c>
      <c r="AK435">
        <v>85</v>
      </c>
      <c r="AL435" s="122">
        <v>2782</v>
      </c>
      <c r="AM435" s="122">
        <v>2529</v>
      </c>
      <c r="AN435" s="122">
        <v>1277</v>
      </c>
      <c r="AO435">
        <v>473</v>
      </c>
      <c r="AP435">
        <v>621</v>
      </c>
      <c r="AQ435">
        <v>230</v>
      </c>
      <c r="AR435" s="122">
        <v>4834</v>
      </c>
      <c r="AS435" s="122">
        <v>4394</v>
      </c>
      <c r="AT435">
        <v>0</v>
      </c>
      <c r="AU435">
        <v>0</v>
      </c>
      <c r="AV435" s="122">
        <v>16077</v>
      </c>
    </row>
    <row r="436" spans="2:48" hidden="1">
      <c r="B436" t="s">
        <v>365</v>
      </c>
      <c r="C436" t="s">
        <v>62</v>
      </c>
      <c r="D436" t="s">
        <v>406</v>
      </c>
      <c r="E436" t="s">
        <v>137</v>
      </c>
      <c r="F436">
        <v>17</v>
      </c>
      <c r="G436" s="122">
        <v>1738</v>
      </c>
      <c r="H436" s="122">
        <v>7196</v>
      </c>
      <c r="I436" s="122">
        <v>452310</v>
      </c>
      <c r="J436" s="122">
        <v>411191</v>
      </c>
      <c r="K436">
        <v>78</v>
      </c>
      <c r="L436" s="122">
        <v>114299</v>
      </c>
      <c r="M436" s="122">
        <v>98616</v>
      </c>
      <c r="N436" s="122">
        <v>40923</v>
      </c>
      <c r="O436" s="122">
        <v>15157</v>
      </c>
      <c r="P436" s="122">
        <v>10557</v>
      </c>
      <c r="Q436" s="122">
        <v>3910</v>
      </c>
      <c r="R436" s="122">
        <v>126541</v>
      </c>
      <c r="S436" s="122">
        <v>46867</v>
      </c>
      <c r="T436" s="122">
        <v>3962</v>
      </c>
      <c r="U436" s="122">
        <v>1467</v>
      </c>
      <c r="V436" s="122">
        <v>577208</v>
      </c>
      <c r="W436" s="122">
        <f t="shared" si="12"/>
        <v>577208</v>
      </c>
      <c r="X436" s="122">
        <f t="shared" si="13"/>
        <v>748592</v>
      </c>
      <c r="Y436" s="122"/>
      <c r="AA436" t="s">
        <v>56</v>
      </c>
      <c r="AB436" t="s">
        <v>425</v>
      </c>
      <c r="AC436" t="s">
        <v>427</v>
      </c>
      <c r="AD436" t="s">
        <v>407</v>
      </c>
      <c r="AE436" t="s">
        <v>137</v>
      </c>
      <c r="AF436">
        <v>1</v>
      </c>
      <c r="AG436">
        <v>91</v>
      </c>
      <c r="AH436">
        <v>194</v>
      </c>
      <c r="AI436" s="122">
        <v>8331</v>
      </c>
      <c r="AJ436" s="122">
        <v>7573</v>
      </c>
      <c r="AK436">
        <v>91</v>
      </c>
      <c r="AL436" s="122">
        <v>2808</v>
      </c>
      <c r="AM436" s="122">
        <v>2552</v>
      </c>
      <c r="AN436" s="122">
        <v>1557</v>
      </c>
      <c r="AO436">
        <v>577</v>
      </c>
      <c r="AP436">
        <v>473</v>
      </c>
      <c r="AQ436">
        <v>175</v>
      </c>
      <c r="AR436" s="122">
        <v>2315</v>
      </c>
      <c r="AS436" s="122">
        <v>2105</v>
      </c>
      <c r="AT436" s="122">
        <v>2226</v>
      </c>
      <c r="AU436">
        <v>825</v>
      </c>
      <c r="AV436" s="122">
        <v>13807</v>
      </c>
    </row>
    <row r="437" spans="2:48" hidden="1">
      <c r="B437" t="s">
        <v>365</v>
      </c>
      <c r="C437" t="s">
        <v>62</v>
      </c>
      <c r="D437" t="s">
        <v>406</v>
      </c>
      <c r="E437" t="s">
        <v>406</v>
      </c>
      <c r="F437">
        <v>534</v>
      </c>
      <c r="G437" s="122">
        <v>55171</v>
      </c>
      <c r="H437" s="122">
        <v>221638</v>
      </c>
      <c r="I437" s="122">
        <v>14576076</v>
      </c>
      <c r="J437" s="122">
        <v>13250978</v>
      </c>
      <c r="K437">
        <v>76</v>
      </c>
      <c r="L437" s="122">
        <v>3359172</v>
      </c>
      <c r="M437" s="122">
        <v>2879887</v>
      </c>
      <c r="N437" s="122">
        <v>1208145</v>
      </c>
      <c r="O437" s="122">
        <v>447461</v>
      </c>
      <c r="P437" s="122">
        <v>338135</v>
      </c>
      <c r="Q437" s="122">
        <v>125235</v>
      </c>
      <c r="R437" s="122">
        <v>2611390</v>
      </c>
      <c r="S437" s="122">
        <v>2373991</v>
      </c>
      <c r="T437" s="122">
        <v>992168</v>
      </c>
      <c r="U437" s="122">
        <v>367470</v>
      </c>
      <c r="V437" s="122">
        <v>19445022</v>
      </c>
      <c r="W437" s="122">
        <f t="shared" si="12"/>
        <v>19445022</v>
      </c>
      <c r="X437" s="122">
        <f t="shared" si="13"/>
        <v>23085086</v>
      </c>
      <c r="Y437" s="122"/>
      <c r="AA437" t="s">
        <v>56</v>
      </c>
      <c r="AB437" t="s">
        <v>425</v>
      </c>
      <c r="AC437" t="s">
        <v>579</v>
      </c>
      <c r="AD437" t="s">
        <v>425</v>
      </c>
      <c r="AE437" t="s">
        <v>137</v>
      </c>
      <c r="AF437">
        <v>4</v>
      </c>
      <c r="AG437">
        <v>372</v>
      </c>
      <c r="AH437">
        <v>775</v>
      </c>
      <c r="AI437" s="122">
        <v>33503</v>
      </c>
      <c r="AJ437" s="122">
        <v>30457</v>
      </c>
      <c r="AK437">
        <v>87</v>
      </c>
      <c r="AL437" s="122">
        <v>10577</v>
      </c>
      <c r="AM437" s="122">
        <v>8814</v>
      </c>
      <c r="AN437" s="122">
        <v>7376</v>
      </c>
      <c r="AO437" s="122">
        <v>2732</v>
      </c>
      <c r="AP437" s="122">
        <v>2039</v>
      </c>
      <c r="AQ437">
        <v>755</v>
      </c>
      <c r="AR437" s="122">
        <v>12307</v>
      </c>
      <c r="AS437" s="122">
        <v>11188</v>
      </c>
      <c r="AT437" s="122">
        <v>7039</v>
      </c>
      <c r="AU437" s="122">
        <v>2607</v>
      </c>
      <c r="AV437" s="122">
        <v>56552</v>
      </c>
    </row>
    <row r="438" spans="2:48" hidden="1">
      <c r="B438" t="s">
        <v>365</v>
      </c>
      <c r="C438" t="s">
        <v>62</v>
      </c>
      <c r="D438" t="s">
        <v>406</v>
      </c>
      <c r="E438" t="s">
        <v>427</v>
      </c>
      <c r="F438">
        <v>1</v>
      </c>
      <c r="G438" s="122">
        <v>152</v>
      </c>
      <c r="H438" s="122">
        <v>426</v>
      </c>
      <c r="I438" s="122">
        <v>33146</v>
      </c>
      <c r="J438" s="122">
        <v>30133</v>
      </c>
      <c r="K438">
        <v>70</v>
      </c>
      <c r="L438" s="122">
        <v>20038</v>
      </c>
      <c r="M438" s="122">
        <v>7422</v>
      </c>
      <c r="N438" s="122">
        <v>3699</v>
      </c>
      <c r="O438" s="122">
        <v>1370</v>
      </c>
      <c r="P438" s="122">
        <v>621</v>
      </c>
      <c r="Q438" s="122">
        <v>230</v>
      </c>
      <c r="R438" s="122">
        <v>4579</v>
      </c>
      <c r="S438" s="122">
        <v>4162</v>
      </c>
      <c r="T438" s="122">
        <v>2594</v>
      </c>
      <c r="U438" s="122">
        <v>961</v>
      </c>
      <c r="V438" s="122">
        <v>44278</v>
      </c>
      <c r="W438" s="122">
        <f t="shared" si="12"/>
        <v>44278</v>
      </c>
      <c r="X438" s="122">
        <f t="shared" si="13"/>
        <v>64677</v>
      </c>
      <c r="Y438" s="122"/>
      <c r="AA438" t="s">
        <v>56</v>
      </c>
      <c r="AB438" t="s">
        <v>425</v>
      </c>
      <c r="AC438" t="s">
        <v>579</v>
      </c>
      <c r="AD438" t="s">
        <v>425</v>
      </c>
      <c r="AE438" t="s">
        <v>566</v>
      </c>
      <c r="AF438">
        <v>8</v>
      </c>
      <c r="AG438">
        <v>668</v>
      </c>
      <c r="AH438" s="122">
        <v>1459</v>
      </c>
      <c r="AI438" s="122">
        <v>61513</v>
      </c>
      <c r="AJ438" s="122">
        <v>55921</v>
      </c>
      <c r="AK438">
        <v>90</v>
      </c>
      <c r="AL438" s="122">
        <v>14599</v>
      </c>
      <c r="AM438" s="122">
        <v>12166</v>
      </c>
      <c r="AN438" s="122">
        <v>9772</v>
      </c>
      <c r="AO438" s="122">
        <v>3619</v>
      </c>
      <c r="AP438" s="122">
        <v>4067</v>
      </c>
      <c r="AQ438" s="122">
        <v>1506</v>
      </c>
      <c r="AR438" s="122">
        <v>30489</v>
      </c>
      <c r="AS438" s="122">
        <v>27717</v>
      </c>
      <c r="AT438">
        <v>0</v>
      </c>
      <c r="AU438">
        <v>0</v>
      </c>
      <c r="AV438" s="122">
        <v>100929</v>
      </c>
    </row>
    <row r="439" spans="2:48" hidden="1">
      <c r="B439" t="s">
        <v>365</v>
      </c>
      <c r="C439" t="s">
        <v>62</v>
      </c>
      <c r="D439" t="s">
        <v>427</v>
      </c>
      <c r="E439" t="s">
        <v>137</v>
      </c>
      <c r="F439">
        <v>4</v>
      </c>
      <c r="G439" s="122">
        <v>314</v>
      </c>
      <c r="H439" s="122">
        <v>1647</v>
      </c>
      <c r="I439" s="122">
        <v>86787</v>
      </c>
      <c r="J439" s="122">
        <v>78897</v>
      </c>
      <c r="K439">
        <v>62</v>
      </c>
      <c r="L439" s="122">
        <v>6609</v>
      </c>
      <c r="M439" s="122">
        <v>4662</v>
      </c>
      <c r="N439" s="122">
        <v>6096</v>
      </c>
      <c r="O439" s="122">
        <v>2258</v>
      </c>
      <c r="P439" s="122">
        <v>351</v>
      </c>
      <c r="Q439" s="122">
        <v>130</v>
      </c>
      <c r="R439" s="122">
        <v>29300</v>
      </c>
      <c r="S439" s="122">
        <v>10852</v>
      </c>
      <c r="T439" s="122">
        <v>0</v>
      </c>
      <c r="U439" s="122">
        <v>0</v>
      </c>
      <c r="V439" s="122">
        <v>96799</v>
      </c>
      <c r="W439" s="122">
        <f t="shared" si="12"/>
        <v>96799</v>
      </c>
      <c r="X439" s="122">
        <f t="shared" si="13"/>
        <v>129143</v>
      </c>
      <c r="Y439" s="122"/>
      <c r="AA439" t="s">
        <v>56</v>
      </c>
      <c r="AB439" t="s">
        <v>425</v>
      </c>
      <c r="AC439" t="s">
        <v>579</v>
      </c>
      <c r="AD439" t="s">
        <v>405</v>
      </c>
      <c r="AE439" t="s">
        <v>566</v>
      </c>
      <c r="AF439">
        <v>2</v>
      </c>
      <c r="AG439">
        <v>243</v>
      </c>
      <c r="AH439">
        <v>332</v>
      </c>
      <c r="AI439" s="122">
        <v>20125</v>
      </c>
      <c r="AJ439" s="122">
        <v>18296</v>
      </c>
      <c r="AK439">
        <v>87</v>
      </c>
      <c r="AL439" s="122">
        <v>4771</v>
      </c>
      <c r="AM439" s="122">
        <v>3976</v>
      </c>
      <c r="AN439" s="122">
        <v>4147</v>
      </c>
      <c r="AO439" s="122">
        <v>1536</v>
      </c>
      <c r="AP439">
        <v>945</v>
      </c>
      <c r="AQ439">
        <v>350</v>
      </c>
      <c r="AR439" s="122">
        <v>9764</v>
      </c>
      <c r="AS439" s="122">
        <v>8876</v>
      </c>
      <c r="AT439">
        <v>0</v>
      </c>
      <c r="AU439">
        <v>0</v>
      </c>
      <c r="AV439" s="122">
        <v>33034</v>
      </c>
    </row>
    <row r="440" spans="2:48" hidden="1">
      <c r="B440" t="s">
        <v>365</v>
      </c>
      <c r="C440" t="s">
        <v>62</v>
      </c>
      <c r="D440" t="s">
        <v>427</v>
      </c>
      <c r="E440" t="s">
        <v>406</v>
      </c>
      <c r="F440">
        <v>1</v>
      </c>
      <c r="G440" s="122">
        <v>51</v>
      </c>
      <c r="H440" s="122">
        <v>386</v>
      </c>
      <c r="I440" s="122">
        <v>9532</v>
      </c>
      <c r="J440" s="122">
        <v>8666</v>
      </c>
      <c r="K440">
        <v>55</v>
      </c>
      <c r="L440" s="122">
        <v>1430</v>
      </c>
      <c r="M440" s="122">
        <v>530</v>
      </c>
      <c r="N440" s="122">
        <v>1234</v>
      </c>
      <c r="O440" s="122">
        <v>457</v>
      </c>
      <c r="P440" s="122">
        <v>351</v>
      </c>
      <c r="Q440" s="122">
        <v>130</v>
      </c>
      <c r="R440" s="122">
        <v>4530</v>
      </c>
      <c r="S440" s="122">
        <v>4118</v>
      </c>
      <c r="T440" s="122">
        <v>2469</v>
      </c>
      <c r="U440" s="122">
        <v>914</v>
      </c>
      <c r="V440" s="122">
        <v>14815</v>
      </c>
      <c r="W440" s="122">
        <f t="shared" si="12"/>
        <v>14815</v>
      </c>
      <c r="X440" s="122">
        <f t="shared" si="13"/>
        <v>19546</v>
      </c>
      <c r="Y440" s="122"/>
      <c r="AA440" t="s">
        <v>56</v>
      </c>
      <c r="AB440" t="s">
        <v>425</v>
      </c>
      <c r="AC440" t="s">
        <v>579</v>
      </c>
      <c r="AD440" t="s">
        <v>406</v>
      </c>
      <c r="AE440" t="s">
        <v>137</v>
      </c>
      <c r="AF440">
        <v>2</v>
      </c>
      <c r="AG440">
        <v>212</v>
      </c>
      <c r="AH440">
        <v>388</v>
      </c>
      <c r="AI440" s="122">
        <v>20631</v>
      </c>
      <c r="AJ440" s="122">
        <v>18756</v>
      </c>
      <c r="AK440">
        <v>94</v>
      </c>
      <c r="AL440" s="122">
        <v>5223</v>
      </c>
      <c r="AM440" s="122">
        <v>4352</v>
      </c>
      <c r="AN440" s="122">
        <v>3846</v>
      </c>
      <c r="AO440" s="122">
        <v>1425</v>
      </c>
      <c r="AP440" s="122">
        <v>1242</v>
      </c>
      <c r="AQ440">
        <v>460</v>
      </c>
      <c r="AR440" s="122">
        <v>6516</v>
      </c>
      <c r="AS440" s="122">
        <v>5923</v>
      </c>
      <c r="AT440" s="122">
        <v>3954</v>
      </c>
      <c r="AU440" s="122">
        <v>1465</v>
      </c>
      <c r="AV440" s="122">
        <v>32380</v>
      </c>
    </row>
    <row r="441" spans="2:48" hidden="1">
      <c r="B441" t="s">
        <v>365</v>
      </c>
      <c r="C441" t="s">
        <v>62</v>
      </c>
      <c r="D441" t="s">
        <v>427</v>
      </c>
      <c r="E441" t="s">
        <v>427</v>
      </c>
      <c r="F441" s="122">
        <v>24</v>
      </c>
      <c r="G441" s="122">
        <v>1488</v>
      </c>
      <c r="H441" s="122">
        <v>9941</v>
      </c>
      <c r="I441" s="122">
        <v>363362</v>
      </c>
      <c r="J441" s="122">
        <v>330329</v>
      </c>
      <c r="K441">
        <v>55</v>
      </c>
      <c r="L441" s="122">
        <v>48022</v>
      </c>
      <c r="M441" s="122">
        <v>27766</v>
      </c>
      <c r="N441" s="122">
        <v>32884</v>
      </c>
      <c r="O441" s="122">
        <v>12179</v>
      </c>
      <c r="P441" s="122">
        <v>8073</v>
      </c>
      <c r="Q441" s="122">
        <v>2990</v>
      </c>
      <c r="R441" s="122">
        <v>142219</v>
      </c>
      <c r="S441" s="122">
        <v>129290</v>
      </c>
      <c r="T441" s="122">
        <v>36411</v>
      </c>
      <c r="U441" s="122">
        <v>13485</v>
      </c>
      <c r="V441" s="122">
        <v>516040</v>
      </c>
      <c r="W441" s="122">
        <f t="shared" si="12"/>
        <v>516039</v>
      </c>
      <c r="X441" s="122">
        <f t="shared" si="13"/>
        <v>630971</v>
      </c>
      <c r="Y441" s="122"/>
      <c r="AA441" t="s">
        <v>56</v>
      </c>
      <c r="AB441" t="s">
        <v>425</v>
      </c>
      <c r="AC441" t="s">
        <v>579</v>
      </c>
      <c r="AD441" t="s">
        <v>406</v>
      </c>
      <c r="AE441" t="s">
        <v>566</v>
      </c>
      <c r="AF441">
        <v>1</v>
      </c>
      <c r="AG441">
        <v>144</v>
      </c>
      <c r="AH441">
        <v>220</v>
      </c>
      <c r="AI441" s="122">
        <v>19873</v>
      </c>
      <c r="AJ441" s="122">
        <v>18066</v>
      </c>
      <c r="AK441">
        <v>70</v>
      </c>
      <c r="AL441" s="122">
        <v>2670</v>
      </c>
      <c r="AM441" s="122">
        <v>2225</v>
      </c>
      <c r="AN441" s="122">
        <v>2073</v>
      </c>
      <c r="AO441">
        <v>768</v>
      </c>
      <c r="AP441">
        <v>621</v>
      </c>
      <c r="AQ441">
        <v>230</v>
      </c>
      <c r="AR441" s="122">
        <v>6496</v>
      </c>
      <c r="AS441" s="122">
        <v>5905</v>
      </c>
      <c r="AT441">
        <v>0</v>
      </c>
      <c r="AU441">
        <v>0</v>
      </c>
      <c r="AV441" s="122">
        <v>27195</v>
      </c>
    </row>
    <row r="442" spans="2:48" hidden="1">
      <c r="B442" t="s">
        <v>365</v>
      </c>
      <c r="C442" t="s">
        <v>62</v>
      </c>
      <c r="D442" t="s">
        <v>407</v>
      </c>
      <c r="E442" t="s">
        <v>137</v>
      </c>
      <c r="F442">
        <v>37</v>
      </c>
      <c r="G442" s="122">
        <v>2840</v>
      </c>
      <c r="H442" s="122">
        <v>15319</v>
      </c>
      <c r="I442" s="122">
        <v>707533</v>
      </c>
      <c r="J442" s="122">
        <v>643211</v>
      </c>
      <c r="K442">
        <v>75</v>
      </c>
      <c r="L442" s="122">
        <v>162297</v>
      </c>
      <c r="M442" s="122">
        <v>133852</v>
      </c>
      <c r="N442" s="122">
        <v>57912</v>
      </c>
      <c r="O442" s="122">
        <v>21449</v>
      </c>
      <c r="P442" s="122">
        <v>16646</v>
      </c>
      <c r="Q442" s="122">
        <v>6165</v>
      </c>
      <c r="R442" s="122">
        <v>256136</v>
      </c>
      <c r="S442" s="122">
        <v>94865</v>
      </c>
      <c r="T442" s="122">
        <v>0</v>
      </c>
      <c r="U442" s="122">
        <v>0</v>
      </c>
      <c r="V442" s="122">
        <v>899543</v>
      </c>
      <c r="W442" s="122">
        <f t="shared" si="12"/>
        <v>899542</v>
      </c>
      <c r="X442" s="122">
        <f t="shared" si="13"/>
        <v>1200524</v>
      </c>
      <c r="Y442" s="122"/>
      <c r="AA442" t="s">
        <v>56</v>
      </c>
      <c r="AB442" t="s">
        <v>425</v>
      </c>
      <c r="AC442" t="s">
        <v>579</v>
      </c>
      <c r="AD442" t="s">
        <v>407</v>
      </c>
      <c r="AE442" t="s">
        <v>137</v>
      </c>
      <c r="AF442">
        <v>1</v>
      </c>
      <c r="AG442">
        <v>83</v>
      </c>
      <c r="AH442">
        <v>215</v>
      </c>
      <c r="AI442" s="122">
        <v>7143</v>
      </c>
      <c r="AJ442" s="122">
        <v>6494</v>
      </c>
      <c r="AK442">
        <v>90</v>
      </c>
      <c r="AL442" s="122">
        <v>2476</v>
      </c>
      <c r="AM442" s="122">
        <v>2064</v>
      </c>
      <c r="AN442" s="122">
        <v>1718</v>
      </c>
      <c r="AO442">
        <v>636</v>
      </c>
      <c r="AP442">
        <v>473</v>
      </c>
      <c r="AQ442">
        <v>175</v>
      </c>
      <c r="AR442" s="122">
        <v>3525</v>
      </c>
      <c r="AS442" s="122">
        <v>3204</v>
      </c>
      <c r="AT442" s="122">
        <v>2568</v>
      </c>
      <c r="AU442">
        <v>951</v>
      </c>
      <c r="AV442" s="122">
        <v>13524</v>
      </c>
    </row>
    <row r="443" spans="2:48" hidden="1">
      <c r="B443" t="s">
        <v>365</v>
      </c>
      <c r="C443" t="s">
        <v>62</v>
      </c>
      <c r="D443" t="s">
        <v>407</v>
      </c>
      <c r="E443" t="s">
        <v>407</v>
      </c>
      <c r="F443">
        <v>943</v>
      </c>
      <c r="G443" s="122">
        <v>82233</v>
      </c>
      <c r="H443" s="122">
        <v>389546</v>
      </c>
      <c r="I443" s="122">
        <v>21139543</v>
      </c>
      <c r="J443" s="122">
        <v>19217766</v>
      </c>
      <c r="K443">
        <v>75</v>
      </c>
      <c r="L443" s="122">
        <v>5370861</v>
      </c>
      <c r="M443" s="122">
        <v>4522098</v>
      </c>
      <c r="N443" s="122">
        <v>1783589</v>
      </c>
      <c r="O443" s="122">
        <v>660589</v>
      </c>
      <c r="P443" s="122">
        <v>445265</v>
      </c>
      <c r="Q443" s="122">
        <v>164913</v>
      </c>
      <c r="R443" s="122">
        <v>4496511</v>
      </c>
      <c r="S443" s="122">
        <v>4087737</v>
      </c>
      <c r="T443" s="122">
        <v>1254707</v>
      </c>
      <c r="U443" s="122">
        <v>464706</v>
      </c>
      <c r="V443" s="122">
        <v>29117809</v>
      </c>
      <c r="W443" s="122">
        <f t="shared" si="12"/>
        <v>29117809</v>
      </c>
      <c r="X443" s="122">
        <f t="shared" si="13"/>
        <v>34490476</v>
      </c>
      <c r="Y443" s="122"/>
      <c r="AA443" t="s">
        <v>56</v>
      </c>
      <c r="AB443" t="s">
        <v>425</v>
      </c>
      <c r="AC443" t="s">
        <v>431</v>
      </c>
      <c r="AD443" t="s">
        <v>425</v>
      </c>
      <c r="AE443" t="s">
        <v>566</v>
      </c>
      <c r="AF443">
        <v>1</v>
      </c>
      <c r="AG443">
        <v>85</v>
      </c>
      <c r="AH443">
        <v>179</v>
      </c>
      <c r="AI443" s="122">
        <v>7924</v>
      </c>
      <c r="AJ443" s="122">
        <v>7204</v>
      </c>
      <c r="AK443">
        <v>92</v>
      </c>
      <c r="AL443" s="122">
        <v>1245</v>
      </c>
      <c r="AM443" s="122">
        <v>1132</v>
      </c>
      <c r="AN443" s="122">
        <v>1152</v>
      </c>
      <c r="AO443">
        <v>427</v>
      </c>
      <c r="AP443" s="122">
        <v>1175</v>
      </c>
      <c r="AQ443">
        <v>435</v>
      </c>
      <c r="AR443" s="122">
        <v>3733</v>
      </c>
      <c r="AS443" s="122">
        <v>3393</v>
      </c>
      <c r="AT443">
        <v>0</v>
      </c>
      <c r="AU443">
        <v>0</v>
      </c>
      <c r="AV443" s="122">
        <v>12591</v>
      </c>
    </row>
    <row r="444" spans="2:48" hidden="1">
      <c r="B444" t="s">
        <v>365</v>
      </c>
      <c r="C444" t="s">
        <v>62</v>
      </c>
      <c r="D444" t="s">
        <v>407</v>
      </c>
      <c r="E444" t="s">
        <v>426</v>
      </c>
      <c r="F444">
        <v>1</v>
      </c>
      <c r="G444">
        <v>85</v>
      </c>
      <c r="H444" s="122">
        <v>398</v>
      </c>
      <c r="I444" s="122">
        <v>25241</v>
      </c>
      <c r="J444" s="122">
        <v>22947</v>
      </c>
      <c r="K444">
        <v>79</v>
      </c>
      <c r="L444" s="122">
        <v>0</v>
      </c>
      <c r="M444" s="122">
        <v>6340</v>
      </c>
      <c r="N444" s="122">
        <v>2061</v>
      </c>
      <c r="O444" s="122">
        <v>764</v>
      </c>
      <c r="P444" s="122">
        <v>473</v>
      </c>
      <c r="Q444">
        <v>175</v>
      </c>
      <c r="R444" s="122">
        <v>5929</v>
      </c>
      <c r="S444" s="122">
        <v>5390</v>
      </c>
      <c r="T444" s="122">
        <v>0</v>
      </c>
      <c r="U444" s="122">
        <v>0</v>
      </c>
      <c r="V444" s="122">
        <v>35615</v>
      </c>
      <c r="W444" s="122">
        <f t="shared" si="12"/>
        <v>35616</v>
      </c>
      <c r="X444" s="122">
        <f t="shared" si="13"/>
        <v>33704</v>
      </c>
      <c r="Y444" s="122"/>
      <c r="AA444" t="s">
        <v>56</v>
      </c>
      <c r="AB444" t="s">
        <v>425</v>
      </c>
      <c r="AC444" t="s">
        <v>426</v>
      </c>
      <c r="AD444" t="s">
        <v>425</v>
      </c>
      <c r="AE444" t="s">
        <v>137</v>
      </c>
      <c r="AF444">
        <v>14</v>
      </c>
      <c r="AG444" s="122">
        <v>1596</v>
      </c>
      <c r="AH444" s="122">
        <v>2686</v>
      </c>
      <c r="AI444" s="122">
        <v>149423</v>
      </c>
      <c r="AJ444" s="122">
        <v>135839</v>
      </c>
      <c r="AK444">
        <v>81</v>
      </c>
      <c r="AL444" s="122">
        <v>36394</v>
      </c>
      <c r="AM444" s="122">
        <v>33086</v>
      </c>
      <c r="AN444" s="122">
        <v>29953</v>
      </c>
      <c r="AO444" s="122">
        <v>11094</v>
      </c>
      <c r="AP444" s="122">
        <v>6399</v>
      </c>
      <c r="AQ444" s="122">
        <v>2370</v>
      </c>
      <c r="AR444" s="122">
        <v>64626</v>
      </c>
      <c r="AS444" s="122">
        <v>58751</v>
      </c>
      <c r="AT444" s="122">
        <v>18308</v>
      </c>
      <c r="AU444" s="122">
        <v>6781</v>
      </c>
      <c r="AV444" s="122">
        <v>247921</v>
      </c>
    </row>
    <row r="445" spans="2:48" hidden="1">
      <c r="B445" t="s">
        <v>365</v>
      </c>
      <c r="C445" t="s">
        <v>62</v>
      </c>
      <c r="D445" t="s">
        <v>556</v>
      </c>
      <c r="E445" t="s">
        <v>137</v>
      </c>
      <c r="F445">
        <v>6</v>
      </c>
      <c r="G445">
        <v>533</v>
      </c>
      <c r="H445" s="122">
        <v>2488</v>
      </c>
      <c r="I445" s="122">
        <v>147059</v>
      </c>
      <c r="J445" s="122">
        <v>122549</v>
      </c>
      <c r="K445">
        <v>43</v>
      </c>
      <c r="L445" s="122">
        <v>17060</v>
      </c>
      <c r="M445" s="122">
        <v>9198</v>
      </c>
      <c r="N445" s="122">
        <v>11135</v>
      </c>
      <c r="O445" s="122">
        <v>4124</v>
      </c>
      <c r="P445" s="122">
        <v>1175</v>
      </c>
      <c r="Q445">
        <v>435</v>
      </c>
      <c r="R445" s="122">
        <v>44746</v>
      </c>
      <c r="S445" s="122">
        <v>16573</v>
      </c>
      <c r="T445" s="122">
        <v>0</v>
      </c>
      <c r="U445" s="122">
        <v>0</v>
      </c>
      <c r="V445" s="122">
        <v>152879</v>
      </c>
      <c r="W445" s="122">
        <f t="shared" si="12"/>
        <v>152879</v>
      </c>
      <c r="X445" s="122">
        <f t="shared" si="13"/>
        <v>221175</v>
      </c>
      <c r="Y445" s="122"/>
      <c r="AA445" t="s">
        <v>56</v>
      </c>
      <c r="AB445" t="s">
        <v>425</v>
      </c>
      <c r="AC445" t="s">
        <v>426</v>
      </c>
      <c r="AD445" t="s">
        <v>425</v>
      </c>
      <c r="AE445" t="s">
        <v>566</v>
      </c>
      <c r="AF445">
        <v>24</v>
      </c>
      <c r="AG445" s="122">
        <v>2686</v>
      </c>
      <c r="AH445" s="122">
        <v>4174</v>
      </c>
      <c r="AI445" s="122">
        <v>232912</v>
      </c>
      <c r="AJ445" s="122">
        <v>211739</v>
      </c>
      <c r="AK445">
        <v>85</v>
      </c>
      <c r="AL445" s="122">
        <v>57425</v>
      </c>
      <c r="AM445" s="122">
        <v>52204</v>
      </c>
      <c r="AN445" s="122">
        <v>49237</v>
      </c>
      <c r="AO445" s="122">
        <v>18236</v>
      </c>
      <c r="AP445" s="122">
        <v>11448</v>
      </c>
      <c r="AQ445" s="122">
        <v>4240</v>
      </c>
      <c r="AR445" s="122">
        <v>113226</v>
      </c>
      <c r="AS445" s="122">
        <v>102933</v>
      </c>
      <c r="AT445">
        <v>0</v>
      </c>
      <c r="AU445">
        <v>0</v>
      </c>
      <c r="AV445" s="122">
        <v>389352</v>
      </c>
    </row>
    <row r="446" spans="2:48" hidden="1">
      <c r="B446" t="s">
        <v>365</v>
      </c>
      <c r="C446" t="s">
        <v>62</v>
      </c>
      <c r="D446" t="s">
        <v>556</v>
      </c>
      <c r="E446" t="s">
        <v>556</v>
      </c>
      <c r="F446">
        <v>38</v>
      </c>
      <c r="G446" s="122">
        <v>2693</v>
      </c>
      <c r="H446" s="122">
        <v>15803</v>
      </c>
      <c r="I446" s="122">
        <v>691395</v>
      </c>
      <c r="J446" s="122">
        <v>576162</v>
      </c>
      <c r="K446">
        <v>55</v>
      </c>
      <c r="L446" s="122">
        <v>54664</v>
      </c>
      <c r="M446" s="122">
        <v>42694</v>
      </c>
      <c r="N446" s="122">
        <v>61708</v>
      </c>
      <c r="O446" s="122">
        <v>22855</v>
      </c>
      <c r="P446" s="122">
        <v>12987</v>
      </c>
      <c r="Q446" s="122">
        <v>4810</v>
      </c>
      <c r="R446" s="122">
        <v>218342</v>
      </c>
      <c r="S446" s="122">
        <v>181952</v>
      </c>
      <c r="T446" s="122">
        <v>84586</v>
      </c>
      <c r="U446" s="122">
        <v>31328</v>
      </c>
      <c r="V446" s="122">
        <v>859801</v>
      </c>
      <c r="W446" s="122">
        <f t="shared" si="12"/>
        <v>859801</v>
      </c>
      <c r="X446" s="122">
        <f t="shared" si="13"/>
        <v>1123682</v>
      </c>
      <c r="Y446" s="122"/>
      <c r="AA446" t="s">
        <v>56</v>
      </c>
      <c r="AB446" t="s">
        <v>425</v>
      </c>
      <c r="AC446" t="s">
        <v>426</v>
      </c>
      <c r="AD446" t="s">
        <v>405</v>
      </c>
      <c r="AE446" t="s">
        <v>566</v>
      </c>
      <c r="AF446">
        <v>1</v>
      </c>
      <c r="AG446">
        <v>99</v>
      </c>
      <c r="AH446">
        <v>205</v>
      </c>
      <c r="AI446" s="122">
        <v>8638</v>
      </c>
      <c r="AJ446" s="122">
        <v>7852</v>
      </c>
      <c r="AK446">
        <v>73</v>
      </c>
      <c r="AL446" s="122">
        <v>2220</v>
      </c>
      <c r="AM446" s="122">
        <v>2018</v>
      </c>
      <c r="AN446" s="122">
        <v>2405</v>
      </c>
      <c r="AO446">
        <v>891</v>
      </c>
      <c r="AP446">
        <v>473</v>
      </c>
      <c r="AQ446">
        <v>175</v>
      </c>
      <c r="AR446" s="122">
        <v>6465</v>
      </c>
      <c r="AS446" s="122">
        <v>5877</v>
      </c>
      <c r="AT446">
        <v>0</v>
      </c>
      <c r="AU446">
        <v>0</v>
      </c>
      <c r="AV446" s="122">
        <v>16813</v>
      </c>
    </row>
    <row r="447" spans="2:48" hidden="1">
      <c r="B447" t="s">
        <v>365</v>
      </c>
      <c r="C447" t="s">
        <v>62</v>
      </c>
      <c r="D447" t="s">
        <v>426</v>
      </c>
      <c r="E447" t="s">
        <v>137</v>
      </c>
      <c r="F447">
        <v>10</v>
      </c>
      <c r="G447" s="122">
        <v>721</v>
      </c>
      <c r="H447" s="122">
        <v>4229</v>
      </c>
      <c r="I447" s="122">
        <v>184214</v>
      </c>
      <c r="J447" s="122">
        <v>167468</v>
      </c>
      <c r="K447">
        <v>55</v>
      </c>
      <c r="L447" s="122">
        <v>23627</v>
      </c>
      <c r="M447" s="122">
        <v>11840</v>
      </c>
      <c r="N447" s="122">
        <v>15130</v>
      </c>
      <c r="O447" s="122">
        <v>5604</v>
      </c>
      <c r="P447" s="122">
        <v>1755</v>
      </c>
      <c r="Q447" s="122">
        <v>650</v>
      </c>
      <c r="R447" s="122">
        <v>82440</v>
      </c>
      <c r="S447" s="122">
        <v>30533</v>
      </c>
      <c r="T447" s="122">
        <v>0</v>
      </c>
      <c r="U447" s="122">
        <v>0</v>
      </c>
      <c r="V447" s="122">
        <v>216095</v>
      </c>
      <c r="W447" s="122">
        <f t="shared" si="12"/>
        <v>216095</v>
      </c>
      <c r="X447" s="122">
        <f t="shared" si="13"/>
        <v>307166</v>
      </c>
      <c r="Y447" s="122"/>
      <c r="AA447" t="s">
        <v>56</v>
      </c>
      <c r="AB447" t="s">
        <v>425</v>
      </c>
      <c r="AC447" t="s">
        <v>426</v>
      </c>
      <c r="AD447" t="s">
        <v>137</v>
      </c>
      <c r="AE447" t="s">
        <v>566</v>
      </c>
      <c r="AF447">
        <v>1</v>
      </c>
      <c r="AG447">
        <v>81</v>
      </c>
      <c r="AH447">
        <v>152</v>
      </c>
      <c r="AI447" s="122">
        <v>6463</v>
      </c>
      <c r="AJ447" s="122">
        <v>5875</v>
      </c>
      <c r="AK447">
        <v>90</v>
      </c>
      <c r="AL447" s="122">
        <v>1028</v>
      </c>
      <c r="AM447">
        <v>935</v>
      </c>
      <c r="AN447" s="122">
        <v>1466</v>
      </c>
      <c r="AO447">
        <v>543</v>
      </c>
      <c r="AP447">
        <v>473</v>
      </c>
      <c r="AQ447">
        <v>175</v>
      </c>
      <c r="AR447" s="122">
        <v>2916</v>
      </c>
      <c r="AS447" s="122">
        <v>1080</v>
      </c>
      <c r="AT447">
        <v>0</v>
      </c>
      <c r="AU447">
        <v>0</v>
      </c>
      <c r="AV447" s="122">
        <v>8608</v>
      </c>
    </row>
    <row r="448" spans="2:48" hidden="1">
      <c r="B448" t="s">
        <v>365</v>
      </c>
      <c r="C448" t="s">
        <v>62</v>
      </c>
      <c r="D448" t="s">
        <v>426</v>
      </c>
      <c r="E448" t="s">
        <v>407</v>
      </c>
      <c r="F448">
        <v>1</v>
      </c>
      <c r="G448">
        <v>74</v>
      </c>
      <c r="H448">
        <v>415</v>
      </c>
      <c r="I448" s="122">
        <v>18906</v>
      </c>
      <c r="J448" s="122">
        <v>17187</v>
      </c>
      <c r="K448">
        <v>50</v>
      </c>
      <c r="L448" s="122">
        <v>5801</v>
      </c>
      <c r="M448" s="122">
        <v>2148</v>
      </c>
      <c r="N448" s="122">
        <v>1602</v>
      </c>
      <c r="O448" s="122">
        <v>593</v>
      </c>
      <c r="P448">
        <v>122</v>
      </c>
      <c r="Q448">
        <v>45</v>
      </c>
      <c r="R448" s="122">
        <v>4380</v>
      </c>
      <c r="S448" s="122">
        <v>3982</v>
      </c>
      <c r="T448" s="122">
        <v>0</v>
      </c>
      <c r="U448">
        <v>0</v>
      </c>
      <c r="V448" s="122">
        <v>23956</v>
      </c>
      <c r="W448" s="122">
        <f t="shared" si="12"/>
        <v>23955</v>
      </c>
      <c r="X448" s="122">
        <f t="shared" si="13"/>
        <v>30811</v>
      </c>
      <c r="Y448" s="122"/>
      <c r="AA448" t="s">
        <v>56</v>
      </c>
      <c r="AB448" t="s">
        <v>425</v>
      </c>
      <c r="AC448" t="s">
        <v>426</v>
      </c>
      <c r="AD448" t="s">
        <v>406</v>
      </c>
      <c r="AE448" t="s">
        <v>137</v>
      </c>
      <c r="AF448">
        <v>8</v>
      </c>
      <c r="AG448">
        <v>868</v>
      </c>
      <c r="AH448" s="122">
        <v>1477</v>
      </c>
      <c r="AI448" s="122">
        <v>69944</v>
      </c>
      <c r="AJ448" s="122">
        <v>63585</v>
      </c>
      <c r="AK448">
        <v>87</v>
      </c>
      <c r="AL448" s="122">
        <v>21396</v>
      </c>
      <c r="AM448" s="122">
        <v>19451</v>
      </c>
      <c r="AN448" s="122">
        <v>18955</v>
      </c>
      <c r="AO448" s="122">
        <v>7020</v>
      </c>
      <c r="AP448" s="122">
        <v>4968</v>
      </c>
      <c r="AQ448" s="122">
        <v>1840</v>
      </c>
      <c r="AR448" s="122">
        <v>34780</v>
      </c>
      <c r="AS448" s="122">
        <v>31618</v>
      </c>
      <c r="AT448" s="122">
        <v>10233</v>
      </c>
      <c r="AU448" s="122">
        <v>3790</v>
      </c>
      <c r="AV448" s="122">
        <v>127305</v>
      </c>
    </row>
    <row r="449" spans="2:48" hidden="1">
      <c r="B449" t="s">
        <v>365</v>
      </c>
      <c r="C449" t="s">
        <v>62</v>
      </c>
      <c r="D449" t="s">
        <v>426</v>
      </c>
      <c r="E449" t="s">
        <v>426</v>
      </c>
      <c r="F449">
        <v>107</v>
      </c>
      <c r="G449" s="122">
        <v>7135</v>
      </c>
      <c r="H449" s="122">
        <v>43868</v>
      </c>
      <c r="I449" s="122">
        <v>1855681</v>
      </c>
      <c r="J449" s="122">
        <v>1686983</v>
      </c>
      <c r="K449">
        <v>56</v>
      </c>
      <c r="L449" s="122">
        <v>205029</v>
      </c>
      <c r="M449" s="122">
        <v>115111</v>
      </c>
      <c r="N449" s="122">
        <v>148463</v>
      </c>
      <c r="O449" s="122">
        <v>54986</v>
      </c>
      <c r="P449" s="122">
        <v>34398</v>
      </c>
      <c r="Q449" s="122">
        <v>12740</v>
      </c>
      <c r="R449" s="122">
        <v>573273</v>
      </c>
      <c r="S449" s="122">
        <v>521157</v>
      </c>
      <c r="T449" s="122">
        <v>166683</v>
      </c>
      <c r="U449" s="122">
        <v>61735</v>
      </c>
      <c r="V449" s="122">
        <v>2452712</v>
      </c>
      <c r="W449" s="122">
        <f t="shared" si="12"/>
        <v>2452712</v>
      </c>
      <c r="X449" s="122">
        <f t="shared" si="13"/>
        <v>2983527</v>
      </c>
      <c r="Y449" s="122"/>
      <c r="AA449" t="s">
        <v>56</v>
      </c>
      <c r="AB449" t="s">
        <v>425</v>
      </c>
      <c r="AC449" t="s">
        <v>426</v>
      </c>
      <c r="AD449" t="s">
        <v>406</v>
      </c>
      <c r="AE449" t="s">
        <v>566</v>
      </c>
      <c r="AF449">
        <v>5</v>
      </c>
      <c r="AG449">
        <v>586</v>
      </c>
      <c r="AH449">
        <v>924</v>
      </c>
      <c r="AI449" s="122">
        <v>53453</v>
      </c>
      <c r="AJ449" s="122">
        <v>48593</v>
      </c>
      <c r="AK449">
        <v>79</v>
      </c>
      <c r="AL449" s="122">
        <v>12677</v>
      </c>
      <c r="AM449" s="122">
        <v>11525</v>
      </c>
      <c r="AN449" s="122">
        <v>11528</v>
      </c>
      <c r="AO449" s="122">
        <v>4270</v>
      </c>
      <c r="AP449" s="122">
        <v>2957</v>
      </c>
      <c r="AQ449" s="122">
        <v>1095</v>
      </c>
      <c r="AR449" s="122">
        <v>27204</v>
      </c>
      <c r="AS449" s="122">
        <v>24731</v>
      </c>
      <c r="AT449">
        <v>0</v>
      </c>
      <c r="AU449">
        <v>0</v>
      </c>
      <c r="AV449" s="122">
        <v>90213</v>
      </c>
    </row>
    <row r="450" spans="2:48" hidden="1">
      <c r="B450" t="s">
        <v>365</v>
      </c>
      <c r="C450" t="s">
        <v>62</v>
      </c>
      <c r="D450" t="s">
        <v>433</v>
      </c>
      <c r="E450" t="s">
        <v>433</v>
      </c>
      <c r="F450">
        <v>3</v>
      </c>
      <c r="G450" s="122">
        <v>238</v>
      </c>
      <c r="H450" s="122">
        <v>1290</v>
      </c>
      <c r="I450" s="122">
        <v>69945</v>
      </c>
      <c r="J450" s="122">
        <v>63586</v>
      </c>
      <c r="K450">
        <v>58</v>
      </c>
      <c r="L450" s="122">
        <v>8111</v>
      </c>
      <c r="M450" s="122">
        <v>5103</v>
      </c>
      <c r="N450" s="122">
        <v>4245</v>
      </c>
      <c r="O450" s="122">
        <v>1572</v>
      </c>
      <c r="P450" s="122">
        <v>1053</v>
      </c>
      <c r="Q450" s="122">
        <v>390</v>
      </c>
      <c r="R450" s="122">
        <v>12625</v>
      </c>
      <c r="S450" s="122">
        <v>11477</v>
      </c>
      <c r="T450" s="122">
        <v>7180</v>
      </c>
      <c r="U450" s="122">
        <v>2659</v>
      </c>
      <c r="V450" s="122">
        <v>84788</v>
      </c>
      <c r="W450" s="122">
        <f t="shared" si="12"/>
        <v>84787</v>
      </c>
      <c r="X450" s="122">
        <f t="shared" si="13"/>
        <v>103159</v>
      </c>
      <c r="Y450" s="122"/>
      <c r="AA450" t="s">
        <v>56</v>
      </c>
      <c r="AB450" t="s">
        <v>425</v>
      </c>
      <c r="AC450" t="s">
        <v>566</v>
      </c>
      <c r="AD450" t="s">
        <v>425</v>
      </c>
      <c r="AE450" t="s">
        <v>137</v>
      </c>
      <c r="AF450">
        <v>3</v>
      </c>
      <c r="AG450">
        <v>230</v>
      </c>
      <c r="AH450">
        <v>547</v>
      </c>
      <c r="AI450" s="122">
        <v>25038</v>
      </c>
      <c r="AJ450" s="122">
        <v>22762</v>
      </c>
      <c r="AK450">
        <v>87</v>
      </c>
      <c r="AL450">
        <v>0</v>
      </c>
      <c r="AM450">
        <v>0</v>
      </c>
      <c r="AN450" s="122">
        <v>3802</v>
      </c>
      <c r="AO450" s="122">
        <v>1408</v>
      </c>
      <c r="AP450" s="122">
        <v>1296</v>
      </c>
      <c r="AQ450">
        <v>480</v>
      </c>
      <c r="AR450" s="122">
        <v>11846</v>
      </c>
      <c r="AS450" s="122">
        <v>10769</v>
      </c>
      <c r="AT450">
        <v>0</v>
      </c>
      <c r="AU450">
        <v>0</v>
      </c>
      <c r="AV450" s="122">
        <v>35419</v>
      </c>
    </row>
    <row r="451" spans="2:48" hidden="1">
      <c r="B451" t="s">
        <v>365</v>
      </c>
      <c r="C451" t="s">
        <v>62</v>
      </c>
      <c r="D451" t="s">
        <v>408</v>
      </c>
      <c r="E451" t="s">
        <v>408</v>
      </c>
      <c r="F451">
        <v>1</v>
      </c>
      <c r="G451">
        <v>277</v>
      </c>
      <c r="H451" s="122">
        <v>392</v>
      </c>
      <c r="I451" s="122">
        <v>72654</v>
      </c>
      <c r="J451" s="122">
        <v>66049</v>
      </c>
      <c r="K451">
        <v>65</v>
      </c>
      <c r="L451" s="122">
        <v>19081</v>
      </c>
      <c r="M451" s="122">
        <v>15901</v>
      </c>
      <c r="N451" s="122">
        <v>6504</v>
      </c>
      <c r="O451" s="122">
        <v>2409</v>
      </c>
      <c r="P451" s="122">
        <v>351</v>
      </c>
      <c r="Q451" s="122">
        <v>130</v>
      </c>
      <c r="R451" s="122">
        <v>9893</v>
      </c>
      <c r="S451" s="122">
        <v>8993</v>
      </c>
      <c r="T451" s="122">
        <v>0</v>
      </c>
      <c r="U451" s="122">
        <v>0</v>
      </c>
      <c r="V451" s="122">
        <v>93482</v>
      </c>
      <c r="W451" s="122">
        <f t="shared" si="12"/>
        <v>93482</v>
      </c>
      <c r="X451" s="122">
        <f t="shared" si="13"/>
        <v>108483</v>
      </c>
      <c r="Y451" s="122"/>
      <c r="AA451" t="s">
        <v>56</v>
      </c>
      <c r="AB451" t="s">
        <v>425</v>
      </c>
      <c r="AC451" t="s">
        <v>566</v>
      </c>
      <c r="AD451" t="s">
        <v>425</v>
      </c>
      <c r="AE451" t="s">
        <v>566</v>
      </c>
      <c r="AF451">
        <v>10</v>
      </c>
      <c r="AG451">
        <v>845</v>
      </c>
      <c r="AH451" s="122">
        <v>1878</v>
      </c>
      <c r="AI451" s="122">
        <v>115089</v>
      </c>
      <c r="AJ451" s="122">
        <v>104627</v>
      </c>
      <c r="AK451">
        <v>85</v>
      </c>
      <c r="AL451">
        <v>0</v>
      </c>
      <c r="AM451" s="122">
        <v>1199</v>
      </c>
      <c r="AN451" s="122">
        <v>22204</v>
      </c>
      <c r="AO451" s="122">
        <v>8224</v>
      </c>
      <c r="AP451" s="122">
        <v>4725</v>
      </c>
      <c r="AQ451" s="122">
        <v>1750</v>
      </c>
      <c r="AR451" s="122">
        <v>41067</v>
      </c>
      <c r="AS451" s="122">
        <v>37334</v>
      </c>
      <c r="AT451">
        <v>0</v>
      </c>
      <c r="AU451">
        <v>0</v>
      </c>
      <c r="AV451" s="122">
        <v>153133</v>
      </c>
    </row>
    <row r="452" spans="2:48" hidden="1">
      <c r="B452" t="s">
        <v>365</v>
      </c>
      <c r="C452" t="s">
        <v>64</v>
      </c>
      <c r="F452">
        <v>2</v>
      </c>
      <c r="G452">
        <v>171</v>
      </c>
      <c r="H452" s="122">
        <v>1273</v>
      </c>
      <c r="I452" s="122"/>
      <c r="J452" s="122">
        <v>0</v>
      </c>
      <c r="L452" s="122"/>
      <c r="M452" s="122">
        <v>0</v>
      </c>
      <c r="N452" s="122">
        <v>3226</v>
      </c>
      <c r="O452" s="122">
        <v>1195</v>
      </c>
      <c r="P452" s="122">
        <v>621</v>
      </c>
      <c r="Q452">
        <v>230</v>
      </c>
      <c r="R452" s="122"/>
      <c r="S452" s="122">
        <v>0</v>
      </c>
      <c r="T452" s="122">
        <v>0</v>
      </c>
      <c r="U452" s="122">
        <v>0</v>
      </c>
      <c r="V452" s="122">
        <v>1425</v>
      </c>
      <c r="W452" s="122">
        <f t="shared" si="12"/>
        <v>1425</v>
      </c>
      <c r="X452" s="122">
        <f t="shared" si="13"/>
        <v>3847</v>
      </c>
      <c r="Y452" s="122"/>
      <c r="AA452" t="s">
        <v>56</v>
      </c>
      <c r="AB452" t="s">
        <v>425</v>
      </c>
      <c r="AC452" t="s">
        <v>481</v>
      </c>
      <c r="AD452" t="s">
        <v>406</v>
      </c>
      <c r="AE452" t="s">
        <v>566</v>
      </c>
      <c r="AF452">
        <v>1</v>
      </c>
      <c r="AG452">
        <v>70</v>
      </c>
      <c r="AH452">
        <v>225</v>
      </c>
      <c r="AI452" s="122">
        <v>8043</v>
      </c>
      <c r="AJ452" s="122">
        <v>7312</v>
      </c>
      <c r="AK452">
        <v>86</v>
      </c>
      <c r="AL452" s="122">
        <v>1210</v>
      </c>
      <c r="AM452" s="122">
        <v>1100</v>
      </c>
      <c r="AN452" s="122">
        <v>1701</v>
      </c>
      <c r="AO452">
        <v>630</v>
      </c>
      <c r="AP452">
        <v>621</v>
      </c>
      <c r="AQ452">
        <v>230</v>
      </c>
      <c r="AR452" s="122">
        <v>4110</v>
      </c>
      <c r="AS452" s="122">
        <v>3736</v>
      </c>
      <c r="AT452">
        <v>0</v>
      </c>
      <c r="AU452">
        <v>0</v>
      </c>
      <c r="AV452" s="122">
        <v>13008</v>
      </c>
    </row>
    <row r="453" spans="2:48" hidden="1">
      <c r="B453" t="s">
        <v>365</v>
      </c>
      <c r="C453" t="s">
        <v>64</v>
      </c>
      <c r="D453" t="s">
        <v>425</v>
      </c>
      <c r="E453" t="s">
        <v>425</v>
      </c>
      <c r="F453">
        <v>2</v>
      </c>
      <c r="G453" s="122">
        <v>157</v>
      </c>
      <c r="H453" s="122">
        <v>1112</v>
      </c>
      <c r="I453" s="122">
        <v>67650</v>
      </c>
      <c r="J453" s="122">
        <v>61500</v>
      </c>
      <c r="K453">
        <v>79</v>
      </c>
      <c r="L453" s="122">
        <v>18701</v>
      </c>
      <c r="M453" s="122">
        <v>17001</v>
      </c>
      <c r="N453" s="122">
        <v>3030</v>
      </c>
      <c r="O453" s="122">
        <v>1122</v>
      </c>
      <c r="P453" s="122">
        <v>945</v>
      </c>
      <c r="Q453" s="122">
        <v>350</v>
      </c>
      <c r="R453" s="122">
        <v>9325</v>
      </c>
      <c r="S453" s="122">
        <v>8477</v>
      </c>
      <c r="T453" s="122">
        <v>2947</v>
      </c>
      <c r="U453" s="122">
        <v>1092</v>
      </c>
      <c r="V453" s="122">
        <v>89541</v>
      </c>
      <c r="W453" s="122">
        <f t="shared" si="12"/>
        <v>89542</v>
      </c>
      <c r="X453" s="122">
        <f t="shared" si="13"/>
        <v>102598</v>
      </c>
      <c r="Y453" s="122"/>
      <c r="AA453" t="s">
        <v>56</v>
      </c>
      <c r="AB453" t="s">
        <v>425</v>
      </c>
      <c r="AC453" t="s">
        <v>433</v>
      </c>
      <c r="AD453" t="s">
        <v>406</v>
      </c>
      <c r="AE453" t="s">
        <v>137</v>
      </c>
      <c r="AF453">
        <v>1</v>
      </c>
      <c r="AG453">
        <v>91</v>
      </c>
      <c r="AH453">
        <v>215</v>
      </c>
      <c r="AI453" s="122">
        <v>9846</v>
      </c>
      <c r="AJ453" s="122">
        <v>8951</v>
      </c>
      <c r="AK453">
        <v>70</v>
      </c>
      <c r="AL453" s="122">
        <v>1323</v>
      </c>
      <c r="AM453" s="122">
        <v>1202</v>
      </c>
      <c r="AN453" s="122">
        <v>1474</v>
      </c>
      <c r="AO453">
        <v>546</v>
      </c>
      <c r="AP453">
        <v>621</v>
      </c>
      <c r="AQ453">
        <v>230</v>
      </c>
      <c r="AR453" s="122">
        <v>6309</v>
      </c>
      <c r="AS453" s="122">
        <v>5735</v>
      </c>
      <c r="AT453">
        <v>0</v>
      </c>
      <c r="AU453">
        <v>0</v>
      </c>
      <c r="AV453" s="122">
        <v>16664</v>
      </c>
    </row>
    <row r="454" spans="2:48">
      <c r="B454" t="s">
        <v>365</v>
      </c>
      <c r="C454" t="s">
        <v>64</v>
      </c>
      <c r="D454" t="s">
        <v>425</v>
      </c>
      <c r="E454" t="s">
        <v>405</v>
      </c>
      <c r="F454">
        <v>1</v>
      </c>
      <c r="G454">
        <v>54</v>
      </c>
      <c r="H454" s="122">
        <v>544</v>
      </c>
      <c r="I454" s="122">
        <v>19559</v>
      </c>
      <c r="J454" s="122">
        <v>17781</v>
      </c>
      <c r="K454">
        <v>75</v>
      </c>
      <c r="L454" s="122">
        <v>2829</v>
      </c>
      <c r="M454" s="122">
        <v>2572</v>
      </c>
      <c r="N454" s="122">
        <v>1328</v>
      </c>
      <c r="O454" s="122">
        <v>492</v>
      </c>
      <c r="P454" s="122">
        <v>473</v>
      </c>
      <c r="Q454">
        <v>175</v>
      </c>
      <c r="R454" s="122">
        <v>5456</v>
      </c>
      <c r="S454" s="122">
        <v>4960</v>
      </c>
      <c r="T454" s="122">
        <v>0</v>
      </c>
      <c r="U454">
        <v>0</v>
      </c>
      <c r="V454" s="122">
        <v>25979</v>
      </c>
      <c r="W454" s="122">
        <f t="shared" si="12"/>
        <v>25980</v>
      </c>
      <c r="X454" s="122">
        <f t="shared" si="13"/>
        <v>29645</v>
      </c>
      <c r="Y454" s="122"/>
      <c r="AA454" t="s">
        <v>56</v>
      </c>
      <c r="AB454" t="s">
        <v>405</v>
      </c>
      <c r="AC454" t="s">
        <v>578</v>
      </c>
      <c r="AD454" t="s">
        <v>405</v>
      </c>
      <c r="AE454" t="s">
        <v>137</v>
      </c>
      <c r="AF454">
        <v>3</v>
      </c>
      <c r="AG454">
        <v>278</v>
      </c>
      <c r="AH454">
        <v>569</v>
      </c>
      <c r="AI454" s="122">
        <v>23774</v>
      </c>
      <c r="AJ454" s="122">
        <v>21612</v>
      </c>
      <c r="AK454">
        <v>81</v>
      </c>
      <c r="AL454" s="122">
        <v>6762</v>
      </c>
      <c r="AM454" s="122">
        <v>6148</v>
      </c>
      <c r="AN454" s="122">
        <v>6720</v>
      </c>
      <c r="AO454" s="122">
        <v>2489</v>
      </c>
      <c r="AP454" s="122">
        <v>1647</v>
      </c>
      <c r="AQ454">
        <v>610</v>
      </c>
      <c r="AR454" s="122">
        <v>10159</v>
      </c>
      <c r="AS454" s="122">
        <v>9235</v>
      </c>
      <c r="AT454" s="122">
        <v>7253</v>
      </c>
      <c r="AU454" s="122">
        <v>2686</v>
      </c>
      <c r="AV454" s="122">
        <v>42780</v>
      </c>
    </row>
    <row r="455" spans="2:48" hidden="1">
      <c r="B455" t="s">
        <v>365</v>
      </c>
      <c r="C455" t="s">
        <v>64</v>
      </c>
      <c r="D455" t="s">
        <v>405</v>
      </c>
      <c r="E455" t="s">
        <v>405</v>
      </c>
      <c r="F455">
        <v>2</v>
      </c>
      <c r="G455" s="122">
        <v>245</v>
      </c>
      <c r="H455" s="122">
        <v>1124</v>
      </c>
      <c r="I455" s="122">
        <v>97413</v>
      </c>
      <c r="J455" s="122">
        <v>88558</v>
      </c>
      <c r="K455">
        <v>73</v>
      </c>
      <c r="L455" s="122">
        <v>17961</v>
      </c>
      <c r="M455" s="122">
        <v>16329</v>
      </c>
      <c r="N455" s="122">
        <v>5772</v>
      </c>
      <c r="O455" s="122">
        <v>2138</v>
      </c>
      <c r="P455" s="122">
        <v>945</v>
      </c>
      <c r="Q455" s="122">
        <v>350</v>
      </c>
      <c r="R455" s="122">
        <v>11064</v>
      </c>
      <c r="S455" s="122">
        <v>10058</v>
      </c>
      <c r="T455" s="122">
        <v>3268</v>
      </c>
      <c r="U455" s="122">
        <v>1210</v>
      </c>
      <c r="V455" s="122">
        <v>118642</v>
      </c>
      <c r="W455" s="122">
        <f t="shared" ref="W455:W518" si="14">SUM(ABS(J455),ABS(M455),ABS(O455),ABS(Q455),ABS(S455),ABS(U455))</f>
        <v>118643</v>
      </c>
      <c r="X455" s="122">
        <f t="shared" ref="X455:X518" si="15">SUM(ABS(I455),ABS(N455),ABS(P455),ABS(R455),ABS(T455),ABS(L455))</f>
        <v>136423</v>
      </c>
      <c r="Y455" s="122"/>
      <c r="AA455" t="s">
        <v>56</v>
      </c>
      <c r="AB455" t="s">
        <v>405</v>
      </c>
      <c r="AC455" t="s">
        <v>425</v>
      </c>
      <c r="AD455" t="s">
        <v>425</v>
      </c>
      <c r="AE455" t="s">
        <v>137</v>
      </c>
      <c r="AF455">
        <v>1</v>
      </c>
      <c r="AG455">
        <v>105</v>
      </c>
      <c r="AH455">
        <v>197</v>
      </c>
      <c r="AI455" s="122">
        <v>9912</v>
      </c>
      <c r="AJ455" s="122">
        <v>9011</v>
      </c>
      <c r="AK455">
        <v>73</v>
      </c>
      <c r="AL455" s="122">
        <v>1911</v>
      </c>
      <c r="AM455" s="122">
        <v>1737</v>
      </c>
      <c r="AN455" s="122">
        <v>1831</v>
      </c>
      <c r="AO455">
        <v>678</v>
      </c>
      <c r="AP455">
        <v>473</v>
      </c>
      <c r="AQ455">
        <v>175</v>
      </c>
      <c r="AR455" s="122">
        <v>6610</v>
      </c>
      <c r="AS455" s="122">
        <v>6009</v>
      </c>
      <c r="AT455">
        <v>0</v>
      </c>
      <c r="AU455">
        <v>0</v>
      </c>
      <c r="AV455" s="122">
        <v>17610</v>
      </c>
    </row>
    <row r="456" spans="2:48" hidden="1">
      <c r="B456" t="s">
        <v>365</v>
      </c>
      <c r="C456" t="s">
        <v>64</v>
      </c>
      <c r="D456" t="s">
        <v>405</v>
      </c>
      <c r="E456" t="s">
        <v>137</v>
      </c>
      <c r="F456">
        <v>1</v>
      </c>
      <c r="G456">
        <v>83</v>
      </c>
      <c r="H456" s="122">
        <v>515</v>
      </c>
      <c r="I456" s="122">
        <v>24655</v>
      </c>
      <c r="J456" s="122">
        <v>22413</v>
      </c>
      <c r="K456">
        <v>92</v>
      </c>
      <c r="L456" s="122">
        <v>11903</v>
      </c>
      <c r="M456" s="122">
        <v>10821</v>
      </c>
      <c r="N456" s="122">
        <v>1381</v>
      </c>
      <c r="O456" s="122">
        <v>511</v>
      </c>
      <c r="P456" s="122">
        <v>473</v>
      </c>
      <c r="Q456">
        <v>175</v>
      </c>
      <c r="R456" s="122">
        <v>4546</v>
      </c>
      <c r="S456" s="122">
        <v>1684</v>
      </c>
      <c r="T456" s="122">
        <v>0</v>
      </c>
      <c r="U456" s="122">
        <v>0</v>
      </c>
      <c r="V456" s="122">
        <v>35604</v>
      </c>
      <c r="W456" s="122">
        <f t="shared" si="14"/>
        <v>35604</v>
      </c>
      <c r="X456" s="122">
        <f t="shared" si="15"/>
        <v>42958</v>
      </c>
      <c r="Y456" s="122"/>
      <c r="AA456" t="s">
        <v>56</v>
      </c>
      <c r="AB456" t="s">
        <v>405</v>
      </c>
      <c r="AC456" t="s">
        <v>425</v>
      </c>
      <c r="AD456" t="s">
        <v>405</v>
      </c>
      <c r="AE456" t="s">
        <v>137</v>
      </c>
      <c r="AF456">
        <v>1</v>
      </c>
      <c r="AG456">
        <v>148</v>
      </c>
      <c r="AH456">
        <v>174</v>
      </c>
      <c r="AI456" s="122">
        <v>13525</v>
      </c>
      <c r="AJ456" s="122">
        <v>12296</v>
      </c>
      <c r="AK456">
        <v>92</v>
      </c>
      <c r="AL456" s="122">
        <v>2092</v>
      </c>
      <c r="AM456" s="122">
        <v>1902</v>
      </c>
      <c r="AN456" s="122">
        <v>2168</v>
      </c>
      <c r="AO456">
        <v>803</v>
      </c>
      <c r="AP456">
        <v>473</v>
      </c>
      <c r="AQ456">
        <v>175</v>
      </c>
      <c r="AR456" s="122">
        <v>4193</v>
      </c>
      <c r="AS456" s="122">
        <v>3811</v>
      </c>
      <c r="AT456" s="122">
        <v>3357</v>
      </c>
      <c r="AU456" s="122">
        <v>1243</v>
      </c>
      <c r="AV456" s="122">
        <v>20230</v>
      </c>
    </row>
    <row r="457" spans="2:48" hidden="1">
      <c r="B457" t="s">
        <v>365</v>
      </c>
      <c r="C457" t="s">
        <v>64</v>
      </c>
      <c r="D457" t="s">
        <v>137</v>
      </c>
      <c r="E457" t="s">
        <v>425</v>
      </c>
      <c r="F457">
        <v>1</v>
      </c>
      <c r="G457">
        <v>92</v>
      </c>
      <c r="H457">
        <v>596</v>
      </c>
      <c r="I457" s="122">
        <v>41602</v>
      </c>
      <c r="J457" s="122">
        <v>15408</v>
      </c>
      <c r="K457">
        <v>100</v>
      </c>
      <c r="L457" s="122">
        <v>6277</v>
      </c>
      <c r="M457" s="122">
        <v>5707</v>
      </c>
      <c r="N457" s="122">
        <v>2248</v>
      </c>
      <c r="O457" s="122">
        <v>832</v>
      </c>
      <c r="P457" s="122">
        <v>0</v>
      </c>
      <c r="Q457">
        <v>0</v>
      </c>
      <c r="R457" s="122">
        <v>4878</v>
      </c>
      <c r="S457" s="122">
        <v>4435</v>
      </c>
      <c r="T457">
        <v>0</v>
      </c>
      <c r="U457">
        <v>0</v>
      </c>
      <c r="V457" s="122">
        <v>26382</v>
      </c>
      <c r="W457" s="122">
        <f t="shared" si="14"/>
        <v>26382</v>
      </c>
      <c r="X457" s="122">
        <f t="shared" si="15"/>
        <v>55005</v>
      </c>
      <c r="Y457" s="122"/>
      <c r="AA457" t="s">
        <v>56</v>
      </c>
      <c r="AB457" t="s">
        <v>405</v>
      </c>
      <c r="AC457" t="s">
        <v>425</v>
      </c>
      <c r="AD457" t="s">
        <v>405</v>
      </c>
      <c r="AE457" t="s">
        <v>566</v>
      </c>
      <c r="AF457">
        <v>1</v>
      </c>
      <c r="AG457">
        <v>100</v>
      </c>
      <c r="AH457">
        <v>196</v>
      </c>
      <c r="AI457" s="122">
        <v>8452</v>
      </c>
      <c r="AJ457" s="122">
        <v>7683</v>
      </c>
      <c r="AK457">
        <v>78</v>
      </c>
      <c r="AL457" s="122">
        <v>1740</v>
      </c>
      <c r="AM457" s="122">
        <v>1581</v>
      </c>
      <c r="AN457" s="122">
        <v>2440</v>
      </c>
      <c r="AO457">
        <v>904</v>
      </c>
      <c r="AP457">
        <v>824</v>
      </c>
      <c r="AQ457">
        <v>305</v>
      </c>
      <c r="AR457" s="122">
        <v>6140</v>
      </c>
      <c r="AS457" s="122">
        <v>5582</v>
      </c>
      <c r="AT457">
        <v>0</v>
      </c>
      <c r="AU457">
        <v>0</v>
      </c>
      <c r="AV457" s="122">
        <v>16055</v>
      </c>
    </row>
    <row r="458" spans="2:48" hidden="1">
      <c r="B458" t="s">
        <v>365</v>
      </c>
      <c r="C458" t="s">
        <v>64</v>
      </c>
      <c r="D458" t="s">
        <v>137</v>
      </c>
      <c r="E458" t="s">
        <v>137</v>
      </c>
      <c r="F458">
        <v>897</v>
      </c>
      <c r="G458" s="122">
        <v>74098</v>
      </c>
      <c r="H458" s="122">
        <v>566504</v>
      </c>
      <c r="I458" s="122">
        <v>32749352</v>
      </c>
      <c r="J458" s="122">
        <v>12129390</v>
      </c>
      <c r="K458">
        <v>100</v>
      </c>
      <c r="L458" s="122">
        <v>6224859</v>
      </c>
      <c r="M458" s="122">
        <v>5128507</v>
      </c>
      <c r="N458" s="122">
        <v>1668074</v>
      </c>
      <c r="O458" s="122">
        <v>617805</v>
      </c>
      <c r="P458" s="122">
        <v>15928</v>
      </c>
      <c r="Q458" s="122">
        <v>5899</v>
      </c>
      <c r="R458" s="122">
        <v>6027987</v>
      </c>
      <c r="S458" s="122">
        <v>2232588</v>
      </c>
      <c r="T458" s="122">
        <v>21350</v>
      </c>
      <c r="U458" s="122">
        <v>7907</v>
      </c>
      <c r="V458" s="122">
        <v>20122096</v>
      </c>
      <c r="W458" s="122">
        <f t="shared" si="14"/>
        <v>20122096</v>
      </c>
      <c r="X458" s="122">
        <f t="shared" si="15"/>
        <v>46707550</v>
      </c>
      <c r="Y458" s="122"/>
      <c r="AA458" t="s">
        <v>56</v>
      </c>
      <c r="AB458" t="s">
        <v>405</v>
      </c>
      <c r="AC458" t="s">
        <v>405</v>
      </c>
      <c r="AD458" t="s">
        <v>425</v>
      </c>
      <c r="AE458" t="s">
        <v>137</v>
      </c>
      <c r="AF458">
        <v>1</v>
      </c>
      <c r="AG458">
        <v>103</v>
      </c>
      <c r="AH458">
        <v>167</v>
      </c>
      <c r="AI458" s="122">
        <v>10629</v>
      </c>
      <c r="AJ458" s="122">
        <v>9663</v>
      </c>
      <c r="AK458">
        <v>87</v>
      </c>
      <c r="AL458" s="122">
        <v>2439</v>
      </c>
      <c r="AM458" s="122">
        <v>2217</v>
      </c>
      <c r="AN458" s="122">
        <v>3163</v>
      </c>
      <c r="AO458" s="122">
        <v>1172</v>
      </c>
      <c r="AP458">
        <v>473</v>
      </c>
      <c r="AQ458">
        <v>175</v>
      </c>
      <c r="AR458" s="122">
        <v>4981</v>
      </c>
      <c r="AS458" s="122">
        <v>4528</v>
      </c>
      <c r="AT458">
        <v>0</v>
      </c>
      <c r="AU458">
        <v>0</v>
      </c>
      <c r="AV458" s="122">
        <v>17755</v>
      </c>
    </row>
    <row r="459" spans="2:48" hidden="1">
      <c r="B459" t="s">
        <v>365</v>
      </c>
      <c r="C459" t="s">
        <v>64</v>
      </c>
      <c r="D459" t="s">
        <v>137</v>
      </c>
      <c r="E459" t="s">
        <v>406</v>
      </c>
      <c r="F459">
        <v>6</v>
      </c>
      <c r="G459" s="122">
        <v>870</v>
      </c>
      <c r="H459" s="122">
        <v>3870</v>
      </c>
      <c r="I459" s="122">
        <v>438241</v>
      </c>
      <c r="J459" s="122">
        <v>162311</v>
      </c>
      <c r="K459">
        <v>100</v>
      </c>
      <c r="L459" s="122">
        <v>68361</v>
      </c>
      <c r="M459" s="122">
        <v>54713</v>
      </c>
      <c r="N459" s="122">
        <v>19952</v>
      </c>
      <c r="O459" s="122">
        <v>7390</v>
      </c>
      <c r="P459" s="122">
        <v>1431</v>
      </c>
      <c r="Q459" s="122">
        <v>530</v>
      </c>
      <c r="R459" s="122">
        <v>46620</v>
      </c>
      <c r="S459" s="122">
        <v>42382</v>
      </c>
      <c r="T459" s="122">
        <v>7657</v>
      </c>
      <c r="U459" s="122">
        <v>2836</v>
      </c>
      <c r="V459" s="122">
        <v>270162</v>
      </c>
      <c r="W459" s="122">
        <f t="shared" si="14"/>
        <v>270162</v>
      </c>
      <c r="X459" s="122">
        <f t="shared" si="15"/>
        <v>582262</v>
      </c>
      <c r="Y459" s="122"/>
      <c r="AA459" t="s">
        <v>56</v>
      </c>
      <c r="AB459" t="s">
        <v>405</v>
      </c>
      <c r="AC459" t="s">
        <v>405</v>
      </c>
      <c r="AD459" t="s">
        <v>425</v>
      </c>
      <c r="AE459" t="s">
        <v>566</v>
      </c>
      <c r="AF459">
        <v>2</v>
      </c>
      <c r="AG459">
        <v>167</v>
      </c>
      <c r="AH459">
        <v>393</v>
      </c>
      <c r="AI459" s="122">
        <v>23598</v>
      </c>
      <c r="AJ459" s="122">
        <v>21453</v>
      </c>
      <c r="AK459">
        <v>88</v>
      </c>
      <c r="AL459" s="122">
        <v>5645</v>
      </c>
      <c r="AM459" s="122">
        <v>5132</v>
      </c>
      <c r="AN459" s="122">
        <v>5761</v>
      </c>
      <c r="AO459" s="122">
        <v>2134</v>
      </c>
      <c r="AP459" s="122">
        <v>1296</v>
      </c>
      <c r="AQ459">
        <v>480</v>
      </c>
      <c r="AR459" s="122">
        <v>11254</v>
      </c>
      <c r="AS459" s="122">
        <v>10231</v>
      </c>
      <c r="AT459">
        <v>0</v>
      </c>
      <c r="AU459">
        <v>0</v>
      </c>
      <c r="AV459" s="122">
        <v>39429</v>
      </c>
    </row>
    <row r="460" spans="2:48" hidden="1">
      <c r="B460" t="s">
        <v>365</v>
      </c>
      <c r="C460" t="s">
        <v>64</v>
      </c>
      <c r="D460" t="s">
        <v>137</v>
      </c>
      <c r="E460" t="s">
        <v>427</v>
      </c>
      <c r="F460">
        <v>1</v>
      </c>
      <c r="G460">
        <v>35</v>
      </c>
      <c r="H460" s="122">
        <v>585</v>
      </c>
      <c r="I460" s="122">
        <v>14091</v>
      </c>
      <c r="J460" s="122">
        <v>5219</v>
      </c>
      <c r="K460">
        <v>100</v>
      </c>
      <c r="L460" s="122">
        <v>1276</v>
      </c>
      <c r="M460" s="122">
        <v>1160</v>
      </c>
      <c r="N460" s="122">
        <v>591</v>
      </c>
      <c r="O460" s="122">
        <v>219</v>
      </c>
      <c r="P460" s="122">
        <v>0</v>
      </c>
      <c r="Q460">
        <v>0</v>
      </c>
      <c r="R460" s="122">
        <v>3251</v>
      </c>
      <c r="S460" s="122">
        <v>2955</v>
      </c>
      <c r="T460" s="122">
        <v>1075</v>
      </c>
      <c r="U460">
        <v>398</v>
      </c>
      <c r="V460" s="122">
        <v>9951</v>
      </c>
      <c r="W460" s="122">
        <f t="shared" si="14"/>
        <v>9951</v>
      </c>
      <c r="X460" s="122">
        <f t="shared" si="15"/>
        <v>20284</v>
      </c>
      <c r="Y460" s="122"/>
      <c r="AA460" t="s">
        <v>56</v>
      </c>
      <c r="AB460" t="s">
        <v>405</v>
      </c>
      <c r="AC460" t="s">
        <v>405</v>
      </c>
      <c r="AD460" t="s">
        <v>405</v>
      </c>
      <c r="AE460" t="s">
        <v>137</v>
      </c>
      <c r="AF460">
        <v>137</v>
      </c>
      <c r="AG460" s="122">
        <v>15255</v>
      </c>
      <c r="AH460" s="122">
        <v>24933</v>
      </c>
      <c r="AI460" s="122">
        <v>1328916</v>
      </c>
      <c r="AJ460" s="122">
        <v>1208105</v>
      </c>
      <c r="AK460">
        <v>82</v>
      </c>
      <c r="AL460" s="122">
        <v>285206</v>
      </c>
      <c r="AM460" s="122">
        <v>259278</v>
      </c>
      <c r="AN460" s="122">
        <v>321614</v>
      </c>
      <c r="AO460" s="122">
        <v>119116</v>
      </c>
      <c r="AP460" s="122">
        <v>68933</v>
      </c>
      <c r="AQ460" s="122">
        <v>25531</v>
      </c>
      <c r="AR460" s="122">
        <v>576122</v>
      </c>
      <c r="AS460" s="122">
        <v>523748</v>
      </c>
      <c r="AT460" s="122">
        <v>251277</v>
      </c>
      <c r="AU460" s="122">
        <v>93066</v>
      </c>
      <c r="AV460" s="122">
        <v>2228844</v>
      </c>
    </row>
    <row r="461" spans="2:48" hidden="1">
      <c r="B461" t="s">
        <v>365</v>
      </c>
      <c r="C461" t="s">
        <v>64</v>
      </c>
      <c r="D461" t="s">
        <v>137</v>
      </c>
      <c r="E461" t="s">
        <v>407</v>
      </c>
      <c r="F461">
        <v>9</v>
      </c>
      <c r="G461">
        <v>954</v>
      </c>
      <c r="H461" s="122">
        <v>5173</v>
      </c>
      <c r="I461" s="122">
        <v>389343</v>
      </c>
      <c r="J461" s="122">
        <v>144201</v>
      </c>
      <c r="K461">
        <v>100</v>
      </c>
      <c r="L461" s="122">
        <v>87737</v>
      </c>
      <c r="M461" s="122">
        <v>76058</v>
      </c>
      <c r="N461" s="122">
        <v>22217</v>
      </c>
      <c r="O461" s="122">
        <v>8229</v>
      </c>
      <c r="P461">
        <v>365</v>
      </c>
      <c r="Q461">
        <v>135</v>
      </c>
      <c r="R461" s="122">
        <v>46025</v>
      </c>
      <c r="S461" s="122">
        <v>41841</v>
      </c>
      <c r="T461" s="122">
        <v>0</v>
      </c>
      <c r="U461">
        <v>0</v>
      </c>
      <c r="V461" s="122">
        <v>270463</v>
      </c>
      <c r="W461" s="122">
        <f t="shared" si="14"/>
        <v>270464</v>
      </c>
      <c r="X461" s="122">
        <f t="shared" si="15"/>
        <v>545687</v>
      </c>
      <c r="Y461" s="122"/>
      <c r="AA461" t="s">
        <v>56</v>
      </c>
      <c r="AB461" t="s">
        <v>405</v>
      </c>
      <c r="AC461" t="s">
        <v>405</v>
      </c>
      <c r="AD461" t="s">
        <v>405</v>
      </c>
      <c r="AE461" t="s">
        <v>566</v>
      </c>
      <c r="AF461">
        <v>477</v>
      </c>
      <c r="AG461" s="122">
        <v>51088</v>
      </c>
      <c r="AH461" s="122">
        <v>87740</v>
      </c>
      <c r="AI461" s="122">
        <v>4377926</v>
      </c>
      <c r="AJ461" s="122">
        <v>3979932</v>
      </c>
      <c r="AK461">
        <v>81</v>
      </c>
      <c r="AL461" s="122">
        <v>1316610</v>
      </c>
      <c r="AM461" s="122">
        <v>1196918</v>
      </c>
      <c r="AN461" s="122">
        <v>1053962</v>
      </c>
      <c r="AO461" s="122">
        <v>390356</v>
      </c>
      <c r="AP461" s="122">
        <v>256262</v>
      </c>
      <c r="AQ461" s="122">
        <v>94912</v>
      </c>
      <c r="AR461" s="122">
        <v>2394771</v>
      </c>
      <c r="AS461" s="122">
        <v>2177064</v>
      </c>
      <c r="AT461" s="122">
        <v>11476</v>
      </c>
      <c r="AU461" s="122">
        <v>4250</v>
      </c>
      <c r="AV461" s="122">
        <v>7843433</v>
      </c>
    </row>
    <row r="462" spans="2:48" hidden="1">
      <c r="B462" t="s">
        <v>365</v>
      </c>
      <c r="C462" t="s">
        <v>64</v>
      </c>
      <c r="D462" t="s">
        <v>137</v>
      </c>
      <c r="E462" t="s">
        <v>556</v>
      </c>
      <c r="F462">
        <v>12</v>
      </c>
      <c r="G462">
        <v>975</v>
      </c>
      <c r="H462" s="122">
        <v>7812</v>
      </c>
      <c r="I462" s="122">
        <v>433624</v>
      </c>
      <c r="J462" s="122">
        <v>160601</v>
      </c>
      <c r="K462">
        <v>100</v>
      </c>
      <c r="L462" s="122">
        <v>79801</v>
      </c>
      <c r="M462" s="122">
        <v>63854</v>
      </c>
      <c r="N462" s="122">
        <v>22177</v>
      </c>
      <c r="O462" s="122">
        <v>8214</v>
      </c>
      <c r="P462">
        <v>351</v>
      </c>
      <c r="Q462">
        <v>130</v>
      </c>
      <c r="R462" s="122">
        <v>70027</v>
      </c>
      <c r="S462" s="122">
        <v>58355</v>
      </c>
      <c r="T462" s="122">
        <v>23696</v>
      </c>
      <c r="U462" s="122">
        <v>8776</v>
      </c>
      <c r="V462" s="122">
        <v>299931</v>
      </c>
      <c r="W462" s="122">
        <f t="shared" si="14"/>
        <v>299930</v>
      </c>
      <c r="X462" s="122">
        <f t="shared" si="15"/>
        <v>629676</v>
      </c>
      <c r="Y462" s="122"/>
      <c r="AA462" t="s">
        <v>56</v>
      </c>
      <c r="AB462" t="s">
        <v>405</v>
      </c>
      <c r="AC462" t="s">
        <v>405</v>
      </c>
      <c r="AD462" t="s">
        <v>137</v>
      </c>
      <c r="AE462" t="s">
        <v>566</v>
      </c>
      <c r="AF462">
        <v>2</v>
      </c>
      <c r="AG462">
        <v>219</v>
      </c>
      <c r="AH462">
        <v>377</v>
      </c>
      <c r="AI462" s="122">
        <v>17115</v>
      </c>
      <c r="AJ462" s="122">
        <v>15559</v>
      </c>
      <c r="AK462">
        <v>79</v>
      </c>
      <c r="AL462" s="122">
        <v>4761</v>
      </c>
      <c r="AM462" s="122">
        <v>4328</v>
      </c>
      <c r="AN462" s="122">
        <v>5334</v>
      </c>
      <c r="AO462" s="122">
        <v>1975</v>
      </c>
      <c r="AP462">
        <v>824</v>
      </c>
      <c r="AQ462">
        <v>305</v>
      </c>
      <c r="AR462" s="122">
        <v>12897</v>
      </c>
      <c r="AS462" s="122">
        <v>4777</v>
      </c>
      <c r="AT462">
        <v>0</v>
      </c>
      <c r="AU462">
        <v>0</v>
      </c>
      <c r="AV462" s="122">
        <v>26944</v>
      </c>
    </row>
    <row r="463" spans="2:48" hidden="1">
      <c r="B463" t="s">
        <v>365</v>
      </c>
      <c r="C463" t="s">
        <v>64</v>
      </c>
      <c r="D463" t="s">
        <v>137</v>
      </c>
      <c r="E463" t="s">
        <v>426</v>
      </c>
      <c r="F463">
        <v>41</v>
      </c>
      <c r="G463" s="122">
        <v>3195</v>
      </c>
      <c r="H463" s="122">
        <v>26314</v>
      </c>
      <c r="I463" s="122">
        <v>1440370</v>
      </c>
      <c r="J463" s="122">
        <v>533471</v>
      </c>
      <c r="K463">
        <v>100</v>
      </c>
      <c r="L463" s="122">
        <v>226518</v>
      </c>
      <c r="M463" s="122">
        <v>184925</v>
      </c>
      <c r="N463" s="122">
        <v>75045</v>
      </c>
      <c r="O463" s="122">
        <v>27794</v>
      </c>
      <c r="P463" s="122">
        <v>2727</v>
      </c>
      <c r="Q463" s="122">
        <v>1010</v>
      </c>
      <c r="R463" s="122">
        <v>236825</v>
      </c>
      <c r="S463" s="122">
        <v>215296</v>
      </c>
      <c r="T463" s="122">
        <v>69545</v>
      </c>
      <c r="U463" s="122">
        <v>25758</v>
      </c>
      <c r="V463" s="122">
        <v>988254</v>
      </c>
      <c r="W463" s="122">
        <f t="shared" si="14"/>
        <v>988254</v>
      </c>
      <c r="X463" s="122">
        <f t="shared" si="15"/>
        <v>2051030</v>
      </c>
      <c r="Y463" s="122"/>
      <c r="AA463" t="s">
        <v>56</v>
      </c>
      <c r="AB463" t="s">
        <v>405</v>
      </c>
      <c r="AC463" t="s">
        <v>405</v>
      </c>
      <c r="AD463" t="s">
        <v>407</v>
      </c>
      <c r="AE463" t="s">
        <v>137</v>
      </c>
      <c r="AF463">
        <v>1</v>
      </c>
      <c r="AG463">
        <v>119</v>
      </c>
      <c r="AH463">
        <v>158</v>
      </c>
      <c r="AI463" s="122">
        <v>8817</v>
      </c>
      <c r="AJ463" s="122">
        <v>8015</v>
      </c>
      <c r="AK463">
        <v>80</v>
      </c>
      <c r="AL463" s="122">
        <v>1238</v>
      </c>
      <c r="AM463" s="122">
        <v>1125</v>
      </c>
      <c r="AN463" s="122">
        <v>2050</v>
      </c>
      <c r="AO463">
        <v>759</v>
      </c>
      <c r="AP463">
        <v>473</v>
      </c>
      <c r="AQ463">
        <v>175</v>
      </c>
      <c r="AR463" s="122">
        <v>3475</v>
      </c>
      <c r="AS463" s="122">
        <v>3159</v>
      </c>
      <c r="AT463" s="122">
        <v>2801</v>
      </c>
      <c r="AU463" s="122">
        <v>1037</v>
      </c>
      <c r="AV463" s="122">
        <v>14271</v>
      </c>
    </row>
    <row r="464" spans="2:48" hidden="1">
      <c r="B464" t="s">
        <v>365</v>
      </c>
      <c r="C464" t="s">
        <v>64</v>
      </c>
      <c r="D464" t="s">
        <v>406</v>
      </c>
      <c r="E464" t="s">
        <v>137</v>
      </c>
      <c r="F464">
        <v>13</v>
      </c>
      <c r="G464" s="122">
        <v>978</v>
      </c>
      <c r="H464" s="122">
        <v>7506</v>
      </c>
      <c r="I464" s="122">
        <v>362909</v>
      </c>
      <c r="J464" s="122">
        <v>329917</v>
      </c>
      <c r="K464">
        <v>72</v>
      </c>
      <c r="L464" s="122">
        <v>102508</v>
      </c>
      <c r="M464" s="122">
        <v>74024</v>
      </c>
      <c r="N464" s="122">
        <v>23659</v>
      </c>
      <c r="O464" s="122">
        <v>8762</v>
      </c>
      <c r="P464" s="122">
        <v>8073</v>
      </c>
      <c r="Q464" s="122">
        <v>2990</v>
      </c>
      <c r="R464" s="122">
        <v>91196</v>
      </c>
      <c r="S464" s="122">
        <v>33776</v>
      </c>
      <c r="T464" s="122">
        <v>3277</v>
      </c>
      <c r="U464" s="122">
        <v>1214</v>
      </c>
      <c r="V464" s="122">
        <v>450684</v>
      </c>
      <c r="W464" s="122">
        <f t="shared" si="14"/>
        <v>450683</v>
      </c>
      <c r="X464" s="122">
        <f t="shared" si="15"/>
        <v>591622</v>
      </c>
      <c r="Y464" s="122"/>
      <c r="AA464" t="s">
        <v>56</v>
      </c>
      <c r="AB464" t="s">
        <v>405</v>
      </c>
      <c r="AC464" t="s">
        <v>405</v>
      </c>
      <c r="AD464" t="s">
        <v>426</v>
      </c>
      <c r="AE464" t="s">
        <v>137</v>
      </c>
      <c r="AF464">
        <v>1</v>
      </c>
      <c r="AG464">
        <v>113</v>
      </c>
      <c r="AH464">
        <v>220</v>
      </c>
      <c r="AI464" s="122">
        <v>13039</v>
      </c>
      <c r="AJ464" s="122">
        <v>11854</v>
      </c>
      <c r="AK464">
        <v>79</v>
      </c>
      <c r="AL464" s="122">
        <v>3830</v>
      </c>
      <c r="AM464" s="122">
        <v>3481</v>
      </c>
      <c r="AN464" s="122">
        <v>1372</v>
      </c>
      <c r="AO464">
        <v>508</v>
      </c>
      <c r="AP464">
        <v>473</v>
      </c>
      <c r="AQ464">
        <v>175</v>
      </c>
      <c r="AR464" s="122">
        <v>3403</v>
      </c>
      <c r="AS464" s="122">
        <v>3094</v>
      </c>
      <c r="AT464" s="122">
        <v>2719</v>
      </c>
      <c r="AU464" s="122">
        <v>1007</v>
      </c>
      <c r="AV464" s="122">
        <v>20119</v>
      </c>
    </row>
    <row r="465" spans="2:48" hidden="1">
      <c r="B465" t="s">
        <v>365</v>
      </c>
      <c r="C465" t="s">
        <v>64</v>
      </c>
      <c r="D465" t="s">
        <v>406</v>
      </c>
      <c r="E465" t="s">
        <v>406</v>
      </c>
      <c r="F465">
        <v>397</v>
      </c>
      <c r="G465" s="122">
        <v>36726</v>
      </c>
      <c r="H465" s="122">
        <v>208168</v>
      </c>
      <c r="I465" s="122">
        <v>12639192</v>
      </c>
      <c r="J465" s="122">
        <v>11490175</v>
      </c>
      <c r="K465">
        <v>72</v>
      </c>
      <c r="L465" s="122">
        <v>2914155</v>
      </c>
      <c r="M465" s="122">
        <v>2529776</v>
      </c>
      <c r="N465" s="122">
        <v>823832</v>
      </c>
      <c r="O465" s="122">
        <v>305123</v>
      </c>
      <c r="P465" s="122">
        <v>248036</v>
      </c>
      <c r="Q465" s="122">
        <v>91865</v>
      </c>
      <c r="R465" s="122">
        <v>1971294</v>
      </c>
      <c r="S465" s="122">
        <v>1792085</v>
      </c>
      <c r="T465" s="122">
        <v>661586</v>
      </c>
      <c r="U465" s="122">
        <v>245032</v>
      </c>
      <c r="V465" s="122">
        <v>16454056</v>
      </c>
      <c r="W465" s="122">
        <f t="shared" si="14"/>
        <v>16454056</v>
      </c>
      <c r="X465" s="122">
        <f t="shared" si="15"/>
        <v>19258095</v>
      </c>
      <c r="Y465" s="122"/>
      <c r="AA465" t="s">
        <v>56</v>
      </c>
      <c r="AB465" t="s">
        <v>405</v>
      </c>
      <c r="AC465" t="s">
        <v>405</v>
      </c>
      <c r="AD465" t="s">
        <v>426</v>
      </c>
      <c r="AE465" t="s">
        <v>566</v>
      </c>
      <c r="AF465">
        <v>1</v>
      </c>
      <c r="AG465">
        <v>106</v>
      </c>
      <c r="AH465">
        <v>187</v>
      </c>
      <c r="AI465" s="122">
        <v>9125</v>
      </c>
      <c r="AJ465" s="122">
        <v>8296</v>
      </c>
      <c r="AK465">
        <v>73</v>
      </c>
      <c r="AL465" s="122">
        <v>2346</v>
      </c>
      <c r="AM465" s="122">
        <v>2132</v>
      </c>
      <c r="AN465" s="122">
        <v>1424</v>
      </c>
      <c r="AO465">
        <v>527</v>
      </c>
      <c r="AP465">
        <v>351</v>
      </c>
      <c r="AQ465">
        <v>130</v>
      </c>
      <c r="AR465" s="122">
        <v>6635</v>
      </c>
      <c r="AS465" s="122">
        <v>6032</v>
      </c>
      <c r="AT465">
        <v>0</v>
      </c>
      <c r="AU465">
        <v>0</v>
      </c>
      <c r="AV465" s="122">
        <v>17118</v>
      </c>
    </row>
    <row r="466" spans="2:48" hidden="1">
      <c r="B466" t="s">
        <v>365</v>
      </c>
      <c r="C466" t="s">
        <v>64</v>
      </c>
      <c r="D466" t="s">
        <v>406</v>
      </c>
      <c r="E466" t="s">
        <v>427</v>
      </c>
      <c r="F466">
        <v>1</v>
      </c>
      <c r="G466">
        <v>98</v>
      </c>
      <c r="H466" s="122">
        <v>626</v>
      </c>
      <c r="I466" s="122">
        <v>45465</v>
      </c>
      <c r="J466" s="122">
        <v>41331</v>
      </c>
      <c r="K466">
        <v>60</v>
      </c>
      <c r="L466" s="122">
        <v>5759</v>
      </c>
      <c r="M466" s="122">
        <v>5235</v>
      </c>
      <c r="N466" s="122">
        <v>2169</v>
      </c>
      <c r="O466" s="122">
        <v>803</v>
      </c>
      <c r="P466" s="122">
        <v>621</v>
      </c>
      <c r="Q466">
        <v>230</v>
      </c>
      <c r="R466" s="122">
        <v>5296</v>
      </c>
      <c r="S466" s="122">
        <v>4815</v>
      </c>
      <c r="T466" s="122">
        <v>1954</v>
      </c>
      <c r="U466">
        <v>724</v>
      </c>
      <c r="V466" s="122">
        <v>53139</v>
      </c>
      <c r="W466" s="122">
        <f t="shared" si="14"/>
        <v>53138</v>
      </c>
      <c r="X466" s="122">
        <f t="shared" si="15"/>
        <v>61264</v>
      </c>
      <c r="Y466" s="122"/>
      <c r="AA466" t="s">
        <v>56</v>
      </c>
      <c r="AB466" t="s">
        <v>405</v>
      </c>
      <c r="AC466" t="s">
        <v>137</v>
      </c>
      <c r="AD466" t="s">
        <v>425</v>
      </c>
      <c r="AE466" t="s">
        <v>566</v>
      </c>
      <c r="AF466">
        <v>2</v>
      </c>
      <c r="AG466">
        <v>162</v>
      </c>
      <c r="AH466">
        <v>322</v>
      </c>
      <c r="AI466" s="122">
        <v>13848</v>
      </c>
      <c r="AJ466" s="122">
        <v>12589</v>
      </c>
      <c r="AK466">
        <v>91</v>
      </c>
      <c r="AL466" s="122">
        <v>3433</v>
      </c>
      <c r="AM466" s="122">
        <v>1271</v>
      </c>
      <c r="AN466" s="122">
        <v>2836</v>
      </c>
      <c r="AO466" s="122">
        <v>1050</v>
      </c>
      <c r="AP466">
        <v>945</v>
      </c>
      <c r="AQ466">
        <v>350</v>
      </c>
      <c r="AR466" s="122">
        <v>5364</v>
      </c>
      <c r="AS466" s="122">
        <v>4877</v>
      </c>
      <c r="AT466">
        <v>0</v>
      </c>
      <c r="AU466">
        <v>0</v>
      </c>
      <c r="AV466" s="122">
        <v>20138</v>
      </c>
    </row>
    <row r="467" spans="2:48" hidden="1">
      <c r="B467" t="s">
        <v>365</v>
      </c>
      <c r="C467" t="s">
        <v>64</v>
      </c>
      <c r="D467" t="s">
        <v>406</v>
      </c>
      <c r="E467" t="s">
        <v>426</v>
      </c>
      <c r="F467" s="122">
        <v>1</v>
      </c>
      <c r="G467" s="122">
        <v>102</v>
      </c>
      <c r="H467" s="122">
        <v>466</v>
      </c>
      <c r="I467" s="122">
        <v>26134</v>
      </c>
      <c r="J467" s="122">
        <v>23758</v>
      </c>
      <c r="K467">
        <v>86</v>
      </c>
      <c r="L467" s="122">
        <v>9646</v>
      </c>
      <c r="M467" s="122">
        <v>3573</v>
      </c>
      <c r="N467" s="122">
        <v>2490</v>
      </c>
      <c r="O467" s="122">
        <v>922</v>
      </c>
      <c r="P467" s="122">
        <v>621</v>
      </c>
      <c r="Q467" s="122">
        <v>230</v>
      </c>
      <c r="R467" s="122">
        <v>8770</v>
      </c>
      <c r="S467" s="122">
        <v>7973</v>
      </c>
      <c r="T467" s="122">
        <v>0</v>
      </c>
      <c r="U467" s="122">
        <v>0</v>
      </c>
      <c r="V467" s="122">
        <v>36456</v>
      </c>
      <c r="W467" s="122">
        <f t="shared" si="14"/>
        <v>36456</v>
      </c>
      <c r="X467" s="122">
        <f t="shared" si="15"/>
        <v>47661</v>
      </c>
      <c r="Y467" s="122"/>
      <c r="AA467" t="s">
        <v>56</v>
      </c>
      <c r="AB467" t="s">
        <v>405</v>
      </c>
      <c r="AC467" t="s">
        <v>137</v>
      </c>
      <c r="AD467" t="s">
        <v>405</v>
      </c>
      <c r="AE467" t="s">
        <v>137</v>
      </c>
      <c r="AF467">
        <v>82</v>
      </c>
      <c r="AG467" s="122">
        <v>7306</v>
      </c>
      <c r="AH467" s="122">
        <v>15865</v>
      </c>
      <c r="AI467" s="122">
        <v>582826</v>
      </c>
      <c r="AJ467" s="122">
        <v>529842</v>
      </c>
      <c r="AK467">
        <v>80</v>
      </c>
      <c r="AL467" s="122">
        <v>175929</v>
      </c>
      <c r="AM467" s="122">
        <v>65159</v>
      </c>
      <c r="AN467" s="122">
        <v>162721</v>
      </c>
      <c r="AO467" s="122">
        <v>60267</v>
      </c>
      <c r="AP467" s="122">
        <v>39029</v>
      </c>
      <c r="AQ467" s="122">
        <v>14455</v>
      </c>
      <c r="AR467" s="122">
        <v>345819</v>
      </c>
      <c r="AS467" s="122">
        <v>314381</v>
      </c>
      <c r="AT467" s="122">
        <v>95849</v>
      </c>
      <c r="AU467" s="122">
        <v>35499</v>
      </c>
      <c r="AV467" s="122">
        <v>1019603</v>
      </c>
    </row>
    <row r="468" spans="2:48" hidden="1">
      <c r="B468" t="s">
        <v>365</v>
      </c>
      <c r="C468" t="s">
        <v>64</v>
      </c>
      <c r="D468" t="s">
        <v>427</v>
      </c>
      <c r="E468" t="s">
        <v>137</v>
      </c>
      <c r="F468">
        <v>20</v>
      </c>
      <c r="G468" s="122">
        <v>1562</v>
      </c>
      <c r="H468" s="122">
        <v>18462</v>
      </c>
      <c r="I468" s="122">
        <v>1102736</v>
      </c>
      <c r="J468" s="122">
        <v>1002487</v>
      </c>
      <c r="K468">
        <v>38</v>
      </c>
      <c r="L468" s="122">
        <v>95153</v>
      </c>
      <c r="M468" s="122">
        <v>73564</v>
      </c>
      <c r="N468" s="122">
        <v>35468</v>
      </c>
      <c r="O468" s="122">
        <v>13136</v>
      </c>
      <c r="P468" s="122">
        <v>1053</v>
      </c>
      <c r="Q468" s="122">
        <v>390</v>
      </c>
      <c r="R468" s="122">
        <v>249076</v>
      </c>
      <c r="S468" s="122">
        <v>92250</v>
      </c>
      <c r="T468" s="122">
        <v>7702</v>
      </c>
      <c r="U468" s="122">
        <v>2853</v>
      </c>
      <c r="V468" s="122">
        <v>1184681</v>
      </c>
      <c r="W468" s="122">
        <f t="shared" si="14"/>
        <v>1184680</v>
      </c>
      <c r="X468" s="122">
        <f t="shared" si="15"/>
        <v>1491188</v>
      </c>
      <c r="Y468" s="122"/>
      <c r="AA468" t="s">
        <v>56</v>
      </c>
      <c r="AB468" t="s">
        <v>405</v>
      </c>
      <c r="AC468" t="s">
        <v>137</v>
      </c>
      <c r="AD468" t="s">
        <v>405</v>
      </c>
      <c r="AE468" t="s">
        <v>566</v>
      </c>
      <c r="AF468">
        <v>161</v>
      </c>
      <c r="AG468" s="122">
        <v>14125</v>
      </c>
      <c r="AH468" s="122">
        <v>29559</v>
      </c>
      <c r="AI468" s="122">
        <v>1202921</v>
      </c>
      <c r="AJ468" s="122">
        <v>1093565</v>
      </c>
      <c r="AK468">
        <v>81</v>
      </c>
      <c r="AL468" s="122">
        <v>323871</v>
      </c>
      <c r="AM468" s="122">
        <v>119952</v>
      </c>
      <c r="AN468" s="122">
        <v>312504</v>
      </c>
      <c r="AO468" s="122">
        <v>115742</v>
      </c>
      <c r="AP468" s="122">
        <v>78994</v>
      </c>
      <c r="AQ468" s="122">
        <v>29257</v>
      </c>
      <c r="AR468" s="122">
        <v>711343</v>
      </c>
      <c r="AS468" s="122">
        <v>646675</v>
      </c>
      <c r="AT468">
        <v>0</v>
      </c>
      <c r="AU468">
        <v>0</v>
      </c>
      <c r="AV468" s="122">
        <v>2005191</v>
      </c>
    </row>
    <row r="469" spans="2:48" hidden="1">
      <c r="B469" t="s">
        <v>365</v>
      </c>
      <c r="C469" t="s">
        <v>64</v>
      </c>
      <c r="D469" t="s">
        <v>427</v>
      </c>
      <c r="E469" t="s">
        <v>406</v>
      </c>
      <c r="F469">
        <v>2</v>
      </c>
      <c r="G469" s="122">
        <v>174</v>
      </c>
      <c r="H469" s="122">
        <v>1283</v>
      </c>
      <c r="I469" s="122">
        <v>80778</v>
      </c>
      <c r="J469" s="122">
        <v>73435</v>
      </c>
      <c r="K469">
        <v>48</v>
      </c>
      <c r="L469" s="122">
        <v>2856</v>
      </c>
      <c r="M469" s="122">
        <v>1058</v>
      </c>
      <c r="N469" s="122">
        <v>4233</v>
      </c>
      <c r="O469" s="122">
        <v>1568</v>
      </c>
      <c r="P469" s="122">
        <v>0</v>
      </c>
      <c r="Q469">
        <v>0</v>
      </c>
      <c r="R469" s="122">
        <v>21878</v>
      </c>
      <c r="S469" s="122">
        <v>19889</v>
      </c>
      <c r="T469" s="122">
        <v>4655</v>
      </c>
      <c r="U469" s="122">
        <v>1724</v>
      </c>
      <c r="V469" s="122">
        <v>97674</v>
      </c>
      <c r="W469" s="122">
        <f t="shared" si="14"/>
        <v>97674</v>
      </c>
      <c r="X469" s="122">
        <f t="shared" si="15"/>
        <v>114400</v>
      </c>
      <c r="Y469" s="122"/>
      <c r="AA469" t="s">
        <v>56</v>
      </c>
      <c r="AB469" t="s">
        <v>405</v>
      </c>
      <c r="AC469" t="s">
        <v>137</v>
      </c>
      <c r="AD469" t="s">
        <v>406</v>
      </c>
      <c r="AE469" t="s">
        <v>137</v>
      </c>
      <c r="AF469">
        <v>1</v>
      </c>
      <c r="AG469">
        <v>228</v>
      </c>
      <c r="AH469">
        <v>208</v>
      </c>
      <c r="AI469" s="122">
        <v>26221</v>
      </c>
      <c r="AJ469" s="122">
        <v>23837</v>
      </c>
      <c r="AK469">
        <v>73</v>
      </c>
      <c r="AL469" s="122">
        <v>4963</v>
      </c>
      <c r="AM469" s="122">
        <v>1838</v>
      </c>
      <c r="AN469" s="122">
        <v>5560</v>
      </c>
      <c r="AO469" s="122">
        <v>2059</v>
      </c>
      <c r="AP469">
        <v>473</v>
      </c>
      <c r="AQ469">
        <v>175</v>
      </c>
      <c r="AR469" s="122">
        <v>6109</v>
      </c>
      <c r="AS469" s="122">
        <v>5554</v>
      </c>
      <c r="AT469" s="122">
        <v>4035</v>
      </c>
      <c r="AU469" s="122">
        <v>1494</v>
      </c>
      <c r="AV469" s="122">
        <v>34958</v>
      </c>
    </row>
    <row r="470" spans="2:48" hidden="1">
      <c r="B470" t="s">
        <v>365</v>
      </c>
      <c r="C470" t="s">
        <v>64</v>
      </c>
      <c r="D470" t="s">
        <v>427</v>
      </c>
      <c r="E470" t="s">
        <v>427</v>
      </c>
      <c r="F470">
        <v>35</v>
      </c>
      <c r="G470" s="122">
        <v>2837</v>
      </c>
      <c r="H470" s="122">
        <v>21884</v>
      </c>
      <c r="I470" s="122">
        <v>1285935</v>
      </c>
      <c r="J470" s="122">
        <v>1169032</v>
      </c>
      <c r="K470">
        <v>54</v>
      </c>
      <c r="L470" s="122">
        <v>178177</v>
      </c>
      <c r="M470" s="122">
        <v>113578</v>
      </c>
      <c r="N470" s="122">
        <v>65438</v>
      </c>
      <c r="O470" s="122">
        <v>24236</v>
      </c>
      <c r="P470" s="122">
        <v>9126</v>
      </c>
      <c r="Q470" s="122">
        <v>3380</v>
      </c>
      <c r="R470" s="122">
        <v>201215</v>
      </c>
      <c r="S470" s="122">
        <v>182922</v>
      </c>
      <c r="T470" s="122">
        <v>69946</v>
      </c>
      <c r="U470" s="122">
        <v>25906</v>
      </c>
      <c r="V470" s="122">
        <v>1519054</v>
      </c>
      <c r="W470" s="122">
        <f t="shared" si="14"/>
        <v>1519054</v>
      </c>
      <c r="X470" s="122">
        <f t="shared" si="15"/>
        <v>1809837</v>
      </c>
      <c r="Y470" s="122"/>
      <c r="AA470" t="s">
        <v>56</v>
      </c>
      <c r="AB470" t="s">
        <v>405</v>
      </c>
      <c r="AC470" t="s">
        <v>580</v>
      </c>
      <c r="AD470" t="s">
        <v>405</v>
      </c>
      <c r="AE470" t="s">
        <v>137</v>
      </c>
      <c r="AF470">
        <v>1</v>
      </c>
      <c r="AG470">
        <v>76</v>
      </c>
      <c r="AH470">
        <v>203</v>
      </c>
      <c r="AI470" s="122">
        <v>7700</v>
      </c>
      <c r="AJ470" s="122">
        <v>7000</v>
      </c>
      <c r="AK470">
        <v>73</v>
      </c>
      <c r="AL470">
        <v>990</v>
      </c>
      <c r="AM470">
        <v>900</v>
      </c>
      <c r="AN470" s="122">
        <v>1019</v>
      </c>
      <c r="AO470">
        <v>377</v>
      </c>
      <c r="AP470">
        <v>473</v>
      </c>
      <c r="AQ470">
        <v>175</v>
      </c>
      <c r="AR470" s="122">
        <v>3167</v>
      </c>
      <c r="AS470" s="122">
        <v>2879</v>
      </c>
      <c r="AT470" s="122">
        <v>2112</v>
      </c>
      <c r="AU470">
        <v>782</v>
      </c>
      <c r="AV470" s="122">
        <v>12113</v>
      </c>
    </row>
    <row r="471" spans="2:48" hidden="1">
      <c r="B471" t="s">
        <v>365</v>
      </c>
      <c r="C471" t="s">
        <v>64</v>
      </c>
      <c r="D471" t="s">
        <v>407</v>
      </c>
      <c r="E471" t="s">
        <v>137</v>
      </c>
      <c r="F471">
        <v>42</v>
      </c>
      <c r="G471" s="122">
        <v>3345</v>
      </c>
      <c r="H471" s="122">
        <v>22339</v>
      </c>
      <c r="I471" s="122">
        <v>1200723</v>
      </c>
      <c r="J471" s="122">
        <v>1091566</v>
      </c>
      <c r="K471">
        <v>70</v>
      </c>
      <c r="L471" s="122">
        <v>247390</v>
      </c>
      <c r="M471" s="122">
        <v>204115</v>
      </c>
      <c r="N471" s="122">
        <v>72621</v>
      </c>
      <c r="O471" s="122">
        <v>26897</v>
      </c>
      <c r="P471" s="122">
        <v>16815</v>
      </c>
      <c r="Q471" s="122">
        <v>6228</v>
      </c>
      <c r="R471" s="122">
        <v>274607</v>
      </c>
      <c r="S471" s="122">
        <v>101706</v>
      </c>
      <c r="T471" s="122">
        <v>0</v>
      </c>
      <c r="U471">
        <v>0</v>
      </c>
      <c r="V471" s="122">
        <v>1430512</v>
      </c>
      <c r="W471" s="122">
        <f t="shared" si="14"/>
        <v>1430512</v>
      </c>
      <c r="X471" s="122">
        <f t="shared" si="15"/>
        <v>1812156</v>
      </c>
      <c r="Y471" s="122"/>
      <c r="AA471" t="s">
        <v>56</v>
      </c>
      <c r="AB471" t="s">
        <v>405</v>
      </c>
      <c r="AC471" t="s">
        <v>580</v>
      </c>
      <c r="AD471" t="s">
        <v>405</v>
      </c>
      <c r="AE471" t="s">
        <v>566</v>
      </c>
      <c r="AF471">
        <v>5</v>
      </c>
      <c r="AG471">
        <v>498</v>
      </c>
      <c r="AH471">
        <v>881</v>
      </c>
      <c r="AI471" s="122">
        <v>43535</v>
      </c>
      <c r="AJ471" s="122">
        <v>39577</v>
      </c>
      <c r="AK471">
        <v>81</v>
      </c>
      <c r="AL471" s="122">
        <v>11699</v>
      </c>
      <c r="AM471" s="122">
        <v>10636</v>
      </c>
      <c r="AN471" s="122">
        <v>7085</v>
      </c>
      <c r="AO471" s="122">
        <v>2624</v>
      </c>
      <c r="AP471" s="122">
        <v>2363</v>
      </c>
      <c r="AQ471">
        <v>875</v>
      </c>
      <c r="AR471" s="122">
        <v>22263</v>
      </c>
      <c r="AS471" s="122">
        <v>20240</v>
      </c>
      <c r="AT471">
        <v>0</v>
      </c>
      <c r="AU471">
        <v>0</v>
      </c>
      <c r="AV471" s="122">
        <v>73952</v>
      </c>
    </row>
    <row r="472" spans="2:48" hidden="1">
      <c r="B472" t="s">
        <v>365</v>
      </c>
      <c r="C472" t="s">
        <v>64</v>
      </c>
      <c r="D472" t="s">
        <v>407</v>
      </c>
      <c r="E472" t="s">
        <v>407</v>
      </c>
      <c r="F472">
        <v>507</v>
      </c>
      <c r="G472" s="122">
        <v>42163</v>
      </c>
      <c r="H472" s="122">
        <v>263311</v>
      </c>
      <c r="I472" s="122">
        <v>13933787</v>
      </c>
      <c r="J472" s="122">
        <v>12667079</v>
      </c>
      <c r="K472">
        <v>72</v>
      </c>
      <c r="L472" s="122">
        <v>3739113</v>
      </c>
      <c r="M472" s="122">
        <v>3166373</v>
      </c>
      <c r="N472" s="122">
        <v>938847</v>
      </c>
      <c r="O472" s="122">
        <v>347721</v>
      </c>
      <c r="P472" s="122">
        <v>240044</v>
      </c>
      <c r="Q472" s="122">
        <v>88905</v>
      </c>
      <c r="R472" s="122">
        <v>2479163</v>
      </c>
      <c r="S472" s="122">
        <v>2253784</v>
      </c>
      <c r="T472" s="122">
        <v>792720</v>
      </c>
      <c r="U472" s="122">
        <v>293600</v>
      </c>
      <c r="V472" s="122">
        <v>18817463</v>
      </c>
      <c r="W472" s="122">
        <f t="shared" si="14"/>
        <v>18817462</v>
      </c>
      <c r="X472" s="122">
        <f t="shared" si="15"/>
        <v>22123674</v>
      </c>
      <c r="Y472" s="122"/>
      <c r="AA472" t="s">
        <v>56</v>
      </c>
      <c r="AB472" t="s">
        <v>405</v>
      </c>
      <c r="AC472" t="s">
        <v>427</v>
      </c>
      <c r="AD472" t="s">
        <v>425</v>
      </c>
      <c r="AE472" t="s">
        <v>566</v>
      </c>
      <c r="AF472">
        <v>1</v>
      </c>
      <c r="AG472">
        <v>141</v>
      </c>
      <c r="AH472">
        <v>171</v>
      </c>
      <c r="AI472" s="122">
        <v>11929</v>
      </c>
      <c r="AJ472" s="122">
        <v>10845</v>
      </c>
      <c r="AK472">
        <v>73</v>
      </c>
      <c r="AL472" s="122">
        <v>3066</v>
      </c>
      <c r="AM472" s="122">
        <v>2787</v>
      </c>
      <c r="AN472" s="122">
        <v>3439</v>
      </c>
      <c r="AO472" s="122">
        <v>1274</v>
      </c>
      <c r="AP472">
        <v>473</v>
      </c>
      <c r="AQ472">
        <v>175</v>
      </c>
      <c r="AR472" s="122">
        <v>5166</v>
      </c>
      <c r="AS472" s="122">
        <v>4696</v>
      </c>
      <c r="AT472">
        <v>0</v>
      </c>
      <c r="AU472">
        <v>0</v>
      </c>
      <c r="AV472" s="122">
        <v>19777</v>
      </c>
    </row>
    <row r="473" spans="2:48" hidden="1">
      <c r="B473" t="s">
        <v>365</v>
      </c>
      <c r="C473" t="s">
        <v>64</v>
      </c>
      <c r="D473" t="s">
        <v>556</v>
      </c>
      <c r="E473" t="s">
        <v>137</v>
      </c>
      <c r="F473">
        <v>72</v>
      </c>
      <c r="G473" s="122">
        <v>6640</v>
      </c>
      <c r="H473" s="122">
        <v>64873</v>
      </c>
      <c r="I473" s="122">
        <v>5115389</v>
      </c>
      <c r="J473" s="122">
        <v>4262824</v>
      </c>
      <c r="K473">
        <v>34</v>
      </c>
      <c r="L473" s="122">
        <v>353943</v>
      </c>
      <c r="M473" s="122">
        <v>186078</v>
      </c>
      <c r="N473" s="122">
        <v>155439</v>
      </c>
      <c r="O473" s="122">
        <v>57570</v>
      </c>
      <c r="P473" s="122">
        <v>3159</v>
      </c>
      <c r="Q473" s="122">
        <v>1170</v>
      </c>
      <c r="R473" s="122">
        <v>487785</v>
      </c>
      <c r="S473" s="122">
        <v>180661</v>
      </c>
      <c r="T473" s="122">
        <v>0</v>
      </c>
      <c r="U473">
        <v>0</v>
      </c>
      <c r="V473" s="122">
        <v>4688303</v>
      </c>
      <c r="W473" s="122">
        <f t="shared" si="14"/>
        <v>4688303</v>
      </c>
      <c r="X473" s="122">
        <f t="shared" si="15"/>
        <v>6115715</v>
      </c>
      <c r="Y473" s="122"/>
      <c r="AA473" t="s">
        <v>56</v>
      </c>
      <c r="AB473" t="s">
        <v>405</v>
      </c>
      <c r="AC473" t="s">
        <v>427</v>
      </c>
      <c r="AD473" t="s">
        <v>405</v>
      </c>
      <c r="AE473" t="s">
        <v>137</v>
      </c>
      <c r="AF473">
        <v>35</v>
      </c>
      <c r="AG473" s="122">
        <v>4031</v>
      </c>
      <c r="AH473" s="122">
        <v>6266</v>
      </c>
      <c r="AI473" s="122">
        <v>346637</v>
      </c>
      <c r="AJ473" s="122">
        <v>315125</v>
      </c>
      <c r="AK473">
        <v>84</v>
      </c>
      <c r="AL473" s="122">
        <v>90373</v>
      </c>
      <c r="AM473" s="122">
        <v>82158</v>
      </c>
      <c r="AN473" s="122">
        <v>74925</v>
      </c>
      <c r="AO473" s="122">
        <v>27750</v>
      </c>
      <c r="AP473" s="122">
        <v>17523</v>
      </c>
      <c r="AQ473" s="122">
        <v>6490</v>
      </c>
      <c r="AR473" s="122">
        <v>148071</v>
      </c>
      <c r="AS473" s="122">
        <v>134610</v>
      </c>
      <c r="AT473" s="122">
        <v>40503</v>
      </c>
      <c r="AU473" s="122">
        <v>15001</v>
      </c>
      <c r="AV473" s="122">
        <v>581133</v>
      </c>
    </row>
    <row r="474" spans="2:48" hidden="1">
      <c r="B474" t="s">
        <v>365</v>
      </c>
      <c r="C474" t="s">
        <v>64</v>
      </c>
      <c r="D474" t="s">
        <v>556</v>
      </c>
      <c r="E474" t="s">
        <v>407</v>
      </c>
      <c r="F474">
        <v>2</v>
      </c>
      <c r="G474" s="122">
        <v>184</v>
      </c>
      <c r="H474" s="122">
        <v>1745</v>
      </c>
      <c r="I474" s="122">
        <v>134434</v>
      </c>
      <c r="J474" s="122">
        <v>112029</v>
      </c>
      <c r="K474">
        <v>30</v>
      </c>
      <c r="L474" s="122">
        <v>10083</v>
      </c>
      <c r="M474" s="122">
        <v>3734</v>
      </c>
      <c r="N474" s="122">
        <v>4481</v>
      </c>
      <c r="O474" s="122">
        <v>1660</v>
      </c>
      <c r="P474" s="122">
        <v>473</v>
      </c>
      <c r="Q474" s="122">
        <v>175</v>
      </c>
      <c r="R474" s="122">
        <v>7130</v>
      </c>
      <c r="S474" s="122">
        <v>6482</v>
      </c>
      <c r="T474">
        <v>0</v>
      </c>
      <c r="U474">
        <v>0</v>
      </c>
      <c r="V474" s="122">
        <v>124080</v>
      </c>
      <c r="W474" s="122">
        <f t="shared" si="14"/>
        <v>124080</v>
      </c>
      <c r="X474" s="122">
        <f t="shared" si="15"/>
        <v>156601</v>
      </c>
      <c r="Y474" s="122"/>
      <c r="AA474" t="s">
        <v>56</v>
      </c>
      <c r="AB474" t="s">
        <v>405</v>
      </c>
      <c r="AC474" t="s">
        <v>427</v>
      </c>
      <c r="AD474" t="s">
        <v>405</v>
      </c>
      <c r="AE474" t="s">
        <v>566</v>
      </c>
      <c r="AF474">
        <v>110</v>
      </c>
      <c r="AG474" s="122">
        <v>11465</v>
      </c>
      <c r="AH474" s="122">
        <v>19164</v>
      </c>
      <c r="AI474" s="122">
        <v>931934</v>
      </c>
      <c r="AJ474" s="122">
        <v>847212</v>
      </c>
      <c r="AK474">
        <v>82</v>
      </c>
      <c r="AL474" s="122">
        <v>260555</v>
      </c>
      <c r="AM474" s="122">
        <v>236868</v>
      </c>
      <c r="AN474" s="122">
        <v>252488</v>
      </c>
      <c r="AO474" s="122">
        <v>93514</v>
      </c>
      <c r="AP474" s="122">
        <v>53069</v>
      </c>
      <c r="AQ474" s="122">
        <v>19655</v>
      </c>
      <c r="AR474" s="122">
        <v>518741</v>
      </c>
      <c r="AS474" s="122">
        <v>471583</v>
      </c>
      <c r="AT474">
        <v>0</v>
      </c>
      <c r="AU474">
        <v>0</v>
      </c>
      <c r="AV474" s="122">
        <v>1668832</v>
      </c>
    </row>
    <row r="475" spans="2:48" hidden="1">
      <c r="B475" t="s">
        <v>365</v>
      </c>
      <c r="C475" t="s">
        <v>64</v>
      </c>
      <c r="D475" t="s">
        <v>556</v>
      </c>
      <c r="E475" t="s">
        <v>556</v>
      </c>
      <c r="F475" s="122">
        <v>67</v>
      </c>
      <c r="G475" s="122">
        <v>5197</v>
      </c>
      <c r="H475" s="122">
        <v>44676</v>
      </c>
      <c r="I475" s="122">
        <v>2571245</v>
      </c>
      <c r="J475" s="122">
        <v>2142704</v>
      </c>
      <c r="K475">
        <v>53</v>
      </c>
      <c r="L475" s="122">
        <v>343725</v>
      </c>
      <c r="M475" s="122">
        <v>217386</v>
      </c>
      <c r="N475" s="122">
        <v>116498</v>
      </c>
      <c r="O475" s="122">
        <v>43147</v>
      </c>
      <c r="P475" s="122">
        <v>18603</v>
      </c>
      <c r="Q475" s="122">
        <v>6890</v>
      </c>
      <c r="R475" s="122">
        <v>387193</v>
      </c>
      <c r="S475" s="122">
        <v>322661</v>
      </c>
      <c r="T475" s="122">
        <v>123752</v>
      </c>
      <c r="U475" s="122">
        <v>45834</v>
      </c>
      <c r="V475" s="122">
        <v>2778623</v>
      </c>
      <c r="W475" s="122">
        <f t="shared" si="14"/>
        <v>2778622</v>
      </c>
      <c r="X475" s="122">
        <f t="shared" si="15"/>
        <v>3561016</v>
      </c>
      <c r="Y475" s="122"/>
      <c r="AA475" t="s">
        <v>56</v>
      </c>
      <c r="AB475" t="s">
        <v>405</v>
      </c>
      <c r="AC475" t="s">
        <v>407</v>
      </c>
      <c r="AD475" t="s">
        <v>405</v>
      </c>
      <c r="AE475" t="s">
        <v>566</v>
      </c>
      <c r="AF475">
        <v>2</v>
      </c>
      <c r="AG475">
        <v>251</v>
      </c>
      <c r="AH475">
        <v>340</v>
      </c>
      <c r="AI475" s="122">
        <v>18699</v>
      </c>
      <c r="AJ475" s="122">
        <v>16999</v>
      </c>
      <c r="AK475">
        <v>90</v>
      </c>
      <c r="AL475" s="122">
        <v>7182</v>
      </c>
      <c r="AM475" s="122">
        <v>6529</v>
      </c>
      <c r="AN475" s="122">
        <v>6490</v>
      </c>
      <c r="AO475" s="122">
        <v>2404</v>
      </c>
      <c r="AP475" s="122">
        <v>1094</v>
      </c>
      <c r="AQ475">
        <v>405</v>
      </c>
      <c r="AR475" s="122">
        <v>11096</v>
      </c>
      <c r="AS475" s="122">
        <v>10087</v>
      </c>
      <c r="AT475">
        <v>0</v>
      </c>
      <c r="AU475">
        <v>0</v>
      </c>
      <c r="AV475" s="122">
        <v>36424</v>
      </c>
    </row>
    <row r="476" spans="2:48" hidden="1">
      <c r="B476" t="s">
        <v>365</v>
      </c>
      <c r="C476" t="s">
        <v>64</v>
      </c>
      <c r="D476" t="s">
        <v>431</v>
      </c>
      <c r="E476" t="s">
        <v>431</v>
      </c>
      <c r="F476">
        <v>1</v>
      </c>
      <c r="G476" s="122">
        <v>81</v>
      </c>
      <c r="H476" s="122">
        <v>602</v>
      </c>
      <c r="I476" s="122">
        <v>34728</v>
      </c>
      <c r="J476" s="122">
        <v>31571</v>
      </c>
      <c r="K476">
        <v>50</v>
      </c>
      <c r="L476" s="122">
        <v>6431</v>
      </c>
      <c r="M476" s="122">
        <v>5846</v>
      </c>
      <c r="N476" s="122">
        <v>982</v>
      </c>
      <c r="O476" s="122">
        <v>364</v>
      </c>
      <c r="P476" s="122">
        <v>0</v>
      </c>
      <c r="Q476" s="122">
        <v>0</v>
      </c>
      <c r="R476" s="122">
        <v>4658</v>
      </c>
      <c r="S476" s="122">
        <v>4234</v>
      </c>
      <c r="T476" s="122">
        <v>1728</v>
      </c>
      <c r="U476" s="122">
        <v>640</v>
      </c>
      <c r="V476" s="122">
        <v>42656</v>
      </c>
      <c r="W476" s="122">
        <f t="shared" si="14"/>
        <v>42655</v>
      </c>
      <c r="X476" s="122">
        <f t="shared" si="15"/>
        <v>48527</v>
      </c>
      <c r="Y476" s="122"/>
      <c r="AA476" t="s">
        <v>56</v>
      </c>
      <c r="AB476" t="s">
        <v>405</v>
      </c>
      <c r="AC476" t="s">
        <v>579</v>
      </c>
      <c r="AD476" t="s">
        <v>405</v>
      </c>
      <c r="AE476" t="s">
        <v>137</v>
      </c>
      <c r="AF476">
        <v>39</v>
      </c>
      <c r="AG476" s="122">
        <v>4239</v>
      </c>
      <c r="AH476" s="122">
        <v>7574</v>
      </c>
      <c r="AI476" s="122">
        <v>405831</v>
      </c>
      <c r="AJ476" s="122">
        <v>368937</v>
      </c>
      <c r="AK476">
        <v>81</v>
      </c>
      <c r="AL476" s="122">
        <v>102668</v>
      </c>
      <c r="AM476" s="122">
        <v>85557</v>
      </c>
      <c r="AN476" s="122">
        <v>78417</v>
      </c>
      <c r="AO476" s="122">
        <v>29043</v>
      </c>
      <c r="AP476" s="122">
        <v>18482</v>
      </c>
      <c r="AQ476" s="122">
        <v>6845</v>
      </c>
      <c r="AR476" s="122">
        <v>173716</v>
      </c>
      <c r="AS476" s="122">
        <v>157923</v>
      </c>
      <c r="AT476" s="122">
        <v>57491</v>
      </c>
      <c r="AU476" s="122">
        <v>21293</v>
      </c>
      <c r="AV476" s="122">
        <v>669598</v>
      </c>
    </row>
    <row r="477" spans="2:48" hidden="1">
      <c r="B477" t="s">
        <v>365</v>
      </c>
      <c r="C477" t="s">
        <v>64</v>
      </c>
      <c r="D477" t="s">
        <v>426</v>
      </c>
      <c r="E477" t="s">
        <v>137</v>
      </c>
      <c r="F477">
        <v>116</v>
      </c>
      <c r="G477" s="122">
        <v>10554</v>
      </c>
      <c r="H477" s="122">
        <v>105991</v>
      </c>
      <c r="I477" s="122">
        <v>7809616</v>
      </c>
      <c r="J477" s="122">
        <v>7099651</v>
      </c>
      <c r="K477">
        <v>35</v>
      </c>
      <c r="L477" s="122">
        <v>647677</v>
      </c>
      <c r="M477" s="122">
        <v>356709</v>
      </c>
      <c r="N477" s="122">
        <v>247413</v>
      </c>
      <c r="O477" s="122">
        <v>91635</v>
      </c>
      <c r="P477" s="122">
        <v>2457</v>
      </c>
      <c r="Q477" s="122">
        <v>910</v>
      </c>
      <c r="R477" s="122">
        <v>908032</v>
      </c>
      <c r="S477" s="122">
        <v>336308</v>
      </c>
      <c r="T477" s="122">
        <v>6283</v>
      </c>
      <c r="U477" s="122">
        <v>2327</v>
      </c>
      <c r="V477" s="122">
        <v>7887541</v>
      </c>
      <c r="W477" s="122">
        <f t="shared" si="14"/>
        <v>7887540</v>
      </c>
      <c r="X477" s="122">
        <f t="shared" si="15"/>
        <v>9621478</v>
      </c>
      <c r="Y477" s="122"/>
      <c r="AA477" t="s">
        <v>56</v>
      </c>
      <c r="AB477" t="s">
        <v>405</v>
      </c>
      <c r="AC477" t="s">
        <v>579</v>
      </c>
      <c r="AD477" t="s">
        <v>405</v>
      </c>
      <c r="AE477" t="s">
        <v>566</v>
      </c>
      <c r="AF477">
        <v>122</v>
      </c>
      <c r="AG477" s="122">
        <v>12596</v>
      </c>
      <c r="AH477" s="122">
        <v>22182</v>
      </c>
      <c r="AI477" s="122">
        <v>1138596</v>
      </c>
      <c r="AJ477" s="122">
        <v>1035087</v>
      </c>
      <c r="AK477">
        <v>85</v>
      </c>
      <c r="AL477" s="122">
        <v>333671</v>
      </c>
      <c r="AM477" s="122">
        <v>278059</v>
      </c>
      <c r="AN477" s="122">
        <v>242185</v>
      </c>
      <c r="AO477" s="122">
        <v>89698</v>
      </c>
      <c r="AP477" s="122">
        <v>64323</v>
      </c>
      <c r="AQ477" s="122">
        <v>23823</v>
      </c>
      <c r="AR477" s="122">
        <v>568267</v>
      </c>
      <c r="AS477" s="122">
        <v>516606</v>
      </c>
      <c r="AT477">
        <v>0</v>
      </c>
      <c r="AU477">
        <v>0</v>
      </c>
      <c r="AV477" s="122">
        <v>1943274</v>
      </c>
    </row>
    <row r="478" spans="2:48" hidden="1">
      <c r="B478" t="s">
        <v>365</v>
      </c>
      <c r="C478" t="s">
        <v>64</v>
      </c>
      <c r="D478" t="s">
        <v>426</v>
      </c>
      <c r="E478" t="s">
        <v>406</v>
      </c>
      <c r="F478">
        <v>1</v>
      </c>
      <c r="G478">
        <v>112</v>
      </c>
      <c r="H478" s="122">
        <v>837</v>
      </c>
      <c r="I478" s="122">
        <v>77862</v>
      </c>
      <c r="J478" s="122">
        <v>70784</v>
      </c>
      <c r="K478">
        <v>30</v>
      </c>
      <c r="L478" s="122">
        <v>6371</v>
      </c>
      <c r="M478" s="122">
        <v>2359</v>
      </c>
      <c r="N478" s="122">
        <v>2732</v>
      </c>
      <c r="O478" s="122">
        <v>1012</v>
      </c>
      <c r="P478" s="122">
        <v>270</v>
      </c>
      <c r="Q478">
        <v>100</v>
      </c>
      <c r="R478" s="122">
        <v>4440</v>
      </c>
      <c r="S478" s="122">
        <v>4036</v>
      </c>
      <c r="T478" s="122">
        <v>2134</v>
      </c>
      <c r="U478" s="122">
        <v>790</v>
      </c>
      <c r="V478" s="122">
        <v>79082</v>
      </c>
      <c r="W478" s="122">
        <f t="shared" si="14"/>
        <v>79081</v>
      </c>
      <c r="X478" s="122">
        <f t="shared" si="15"/>
        <v>93809</v>
      </c>
      <c r="Y478" s="122"/>
      <c r="AA478" t="s">
        <v>56</v>
      </c>
      <c r="AB478" t="s">
        <v>405</v>
      </c>
      <c r="AC478" t="s">
        <v>579</v>
      </c>
      <c r="AD478" t="s">
        <v>407</v>
      </c>
      <c r="AE478" t="s">
        <v>137</v>
      </c>
      <c r="AF478">
        <v>2</v>
      </c>
      <c r="AG478">
        <v>232</v>
      </c>
      <c r="AH478">
        <v>371</v>
      </c>
      <c r="AI478" s="122">
        <v>20842</v>
      </c>
      <c r="AJ478" s="122">
        <v>18948</v>
      </c>
      <c r="AK478">
        <v>85</v>
      </c>
      <c r="AL478" s="122">
        <v>6640</v>
      </c>
      <c r="AM478" s="122">
        <v>5533</v>
      </c>
      <c r="AN478" s="122">
        <v>5644</v>
      </c>
      <c r="AO478" s="122">
        <v>2090</v>
      </c>
      <c r="AP478">
        <v>945</v>
      </c>
      <c r="AQ478">
        <v>350</v>
      </c>
      <c r="AR478" s="122">
        <v>7942</v>
      </c>
      <c r="AS478" s="122">
        <v>7220</v>
      </c>
      <c r="AT478" s="122">
        <v>3018</v>
      </c>
      <c r="AU478" s="122">
        <v>1118</v>
      </c>
      <c r="AV478" s="122">
        <v>35258</v>
      </c>
    </row>
    <row r="479" spans="2:48" hidden="1">
      <c r="B479" t="s">
        <v>365</v>
      </c>
      <c r="C479" t="s">
        <v>64</v>
      </c>
      <c r="D479" t="s">
        <v>426</v>
      </c>
      <c r="E479" t="s">
        <v>407</v>
      </c>
      <c r="F479">
        <v>2</v>
      </c>
      <c r="G479" s="122">
        <v>148</v>
      </c>
      <c r="H479" s="122">
        <v>1528</v>
      </c>
      <c r="I479" s="122">
        <v>88849</v>
      </c>
      <c r="J479" s="122">
        <v>80771</v>
      </c>
      <c r="K479">
        <v>40</v>
      </c>
      <c r="L479" s="122">
        <v>11507</v>
      </c>
      <c r="M479" s="122">
        <v>8351</v>
      </c>
      <c r="N479" s="122">
        <v>2526</v>
      </c>
      <c r="O479" s="122">
        <v>936</v>
      </c>
      <c r="P479" s="122">
        <v>122</v>
      </c>
      <c r="Q479" s="122">
        <v>45</v>
      </c>
      <c r="R479" s="122">
        <v>8086</v>
      </c>
      <c r="S479" s="122">
        <v>7351</v>
      </c>
      <c r="T479" s="122">
        <v>0</v>
      </c>
      <c r="U479" s="122">
        <v>0</v>
      </c>
      <c r="V479" s="122">
        <v>97454</v>
      </c>
      <c r="W479" s="122">
        <f t="shared" si="14"/>
        <v>97454</v>
      </c>
      <c r="X479" s="122">
        <f t="shared" si="15"/>
        <v>111090</v>
      </c>
      <c r="Y479" s="122"/>
      <c r="AA479" t="s">
        <v>56</v>
      </c>
      <c r="AB479" t="s">
        <v>405</v>
      </c>
      <c r="AC479" t="s">
        <v>579</v>
      </c>
      <c r="AD479" t="s">
        <v>407</v>
      </c>
      <c r="AE479" t="s">
        <v>566</v>
      </c>
      <c r="AF479">
        <v>2</v>
      </c>
      <c r="AG479">
        <v>159</v>
      </c>
      <c r="AH479">
        <v>359</v>
      </c>
      <c r="AI479" s="122">
        <v>14398</v>
      </c>
      <c r="AJ479" s="122">
        <v>13089</v>
      </c>
      <c r="AK479">
        <v>91</v>
      </c>
      <c r="AL479" s="122">
        <v>3663</v>
      </c>
      <c r="AM479" s="122">
        <v>3053</v>
      </c>
      <c r="AN479" s="122">
        <v>2998</v>
      </c>
      <c r="AO479" s="122">
        <v>1110</v>
      </c>
      <c r="AP479">
        <v>945</v>
      </c>
      <c r="AQ479">
        <v>350</v>
      </c>
      <c r="AR479" s="122">
        <v>6462</v>
      </c>
      <c r="AS479" s="122">
        <v>5875</v>
      </c>
      <c r="AT479">
        <v>0</v>
      </c>
      <c r="AU479">
        <v>0</v>
      </c>
      <c r="AV479" s="122">
        <v>23477</v>
      </c>
    </row>
    <row r="480" spans="2:48" hidden="1">
      <c r="B480" t="s">
        <v>365</v>
      </c>
      <c r="C480" t="s">
        <v>64</v>
      </c>
      <c r="D480" t="s">
        <v>426</v>
      </c>
      <c r="E480" t="s">
        <v>426</v>
      </c>
      <c r="F480">
        <v>211</v>
      </c>
      <c r="G480" s="122">
        <v>16418</v>
      </c>
      <c r="H480" s="122">
        <v>138845</v>
      </c>
      <c r="I480" s="122">
        <v>7874738</v>
      </c>
      <c r="J480" s="122">
        <v>7158852</v>
      </c>
      <c r="K480">
        <v>53</v>
      </c>
      <c r="L480" s="122">
        <v>1055666</v>
      </c>
      <c r="M480" s="122">
        <v>651749</v>
      </c>
      <c r="N480" s="122">
        <v>376542</v>
      </c>
      <c r="O480" s="122">
        <v>139460</v>
      </c>
      <c r="P480" s="122">
        <v>59711</v>
      </c>
      <c r="Q480" s="122">
        <v>22115</v>
      </c>
      <c r="R480" s="122">
        <v>1199518</v>
      </c>
      <c r="S480" s="122">
        <v>1090471</v>
      </c>
      <c r="T480" s="122">
        <v>381369</v>
      </c>
      <c r="U480" s="122">
        <v>141248</v>
      </c>
      <c r="V480" s="122">
        <v>9203895</v>
      </c>
      <c r="W480" s="122">
        <f t="shared" si="14"/>
        <v>9203895</v>
      </c>
      <c r="X480" s="122">
        <f t="shared" si="15"/>
        <v>10947544</v>
      </c>
      <c r="Y480" s="122"/>
      <c r="AA480" t="s">
        <v>56</v>
      </c>
      <c r="AB480" t="s">
        <v>405</v>
      </c>
      <c r="AC480" t="s">
        <v>428</v>
      </c>
      <c r="AD480" t="s">
        <v>425</v>
      </c>
      <c r="AE480" t="s">
        <v>137</v>
      </c>
      <c r="AF480">
        <v>1</v>
      </c>
      <c r="AG480">
        <v>135</v>
      </c>
      <c r="AH480">
        <v>152</v>
      </c>
      <c r="AI480" s="122">
        <v>10286</v>
      </c>
      <c r="AJ480" s="122">
        <v>9351</v>
      </c>
      <c r="AK480">
        <v>83</v>
      </c>
      <c r="AL480" s="122">
        <v>1355</v>
      </c>
      <c r="AM480" s="122">
        <v>1232</v>
      </c>
      <c r="AN480" s="122">
        <v>1641</v>
      </c>
      <c r="AO480">
        <v>608</v>
      </c>
      <c r="AP480">
        <v>473</v>
      </c>
      <c r="AQ480">
        <v>175</v>
      </c>
      <c r="AR480" s="122">
        <v>3513</v>
      </c>
      <c r="AS480" s="122">
        <v>3194</v>
      </c>
      <c r="AT480" s="122">
        <v>3204</v>
      </c>
      <c r="AU480" s="122">
        <v>1187</v>
      </c>
      <c r="AV480" s="122">
        <v>15746</v>
      </c>
    </row>
    <row r="481" spans="2:48" hidden="1">
      <c r="B481" t="s">
        <v>365</v>
      </c>
      <c r="C481" t="s">
        <v>64</v>
      </c>
      <c r="D481" t="s">
        <v>433</v>
      </c>
      <c r="E481" t="s">
        <v>137</v>
      </c>
      <c r="F481">
        <v>1</v>
      </c>
      <c r="G481" s="122">
        <v>69</v>
      </c>
      <c r="H481" s="122">
        <v>964</v>
      </c>
      <c r="I481" s="122">
        <v>59598</v>
      </c>
      <c r="J481" s="122">
        <v>54180</v>
      </c>
      <c r="K481">
        <v>30</v>
      </c>
      <c r="L481" s="122">
        <v>0</v>
      </c>
      <c r="M481" s="122">
        <v>0</v>
      </c>
      <c r="N481" s="122">
        <v>1682</v>
      </c>
      <c r="O481" s="122">
        <v>623</v>
      </c>
      <c r="P481" s="122">
        <v>0</v>
      </c>
      <c r="Q481">
        <v>0</v>
      </c>
      <c r="R481" s="122">
        <v>5262</v>
      </c>
      <c r="S481" s="122">
        <v>1949</v>
      </c>
      <c r="T481" s="122">
        <v>0</v>
      </c>
      <c r="U481" s="122">
        <v>0</v>
      </c>
      <c r="V481" s="122">
        <v>56751</v>
      </c>
      <c r="W481" s="122">
        <f t="shared" si="14"/>
        <v>56752</v>
      </c>
      <c r="X481" s="122">
        <f t="shared" si="15"/>
        <v>66542</v>
      </c>
      <c r="Y481" s="122"/>
      <c r="AA481" t="s">
        <v>56</v>
      </c>
      <c r="AB481" t="s">
        <v>405</v>
      </c>
      <c r="AC481" t="s">
        <v>428</v>
      </c>
      <c r="AD481" t="s">
        <v>405</v>
      </c>
      <c r="AE481" t="s">
        <v>137</v>
      </c>
      <c r="AF481">
        <v>12</v>
      </c>
      <c r="AG481" s="122">
        <v>1306</v>
      </c>
      <c r="AH481" s="122">
        <v>2362</v>
      </c>
      <c r="AI481" s="122">
        <v>122528</v>
      </c>
      <c r="AJ481" s="122">
        <v>111390</v>
      </c>
      <c r="AK481">
        <v>79</v>
      </c>
      <c r="AL481" s="122">
        <v>31616</v>
      </c>
      <c r="AM481" s="122">
        <v>28742</v>
      </c>
      <c r="AN481" s="122">
        <v>27152</v>
      </c>
      <c r="AO481" s="122">
        <v>10056</v>
      </c>
      <c r="AP481" s="122">
        <v>5468</v>
      </c>
      <c r="AQ481" s="122">
        <v>2025</v>
      </c>
      <c r="AR481" s="122">
        <v>50065</v>
      </c>
      <c r="AS481" s="122">
        <v>45514</v>
      </c>
      <c r="AT481" s="122">
        <v>20645</v>
      </c>
      <c r="AU481" s="122">
        <v>7646</v>
      </c>
      <c r="AV481" s="122">
        <v>205373</v>
      </c>
    </row>
    <row r="482" spans="2:48" hidden="1">
      <c r="B482" t="s">
        <v>365</v>
      </c>
      <c r="C482" t="s">
        <v>64</v>
      </c>
      <c r="D482" t="s">
        <v>433</v>
      </c>
      <c r="E482" t="s">
        <v>433</v>
      </c>
      <c r="F482">
        <v>1</v>
      </c>
      <c r="G482" s="122">
        <v>55</v>
      </c>
      <c r="H482" s="122">
        <v>854</v>
      </c>
      <c r="I482" s="122">
        <v>34882</v>
      </c>
      <c r="J482" s="122">
        <v>31711</v>
      </c>
      <c r="K482">
        <v>55</v>
      </c>
      <c r="L482" s="122">
        <v>5232</v>
      </c>
      <c r="M482" s="122">
        <v>1938</v>
      </c>
      <c r="N482" s="122">
        <v>1351</v>
      </c>
      <c r="O482" s="122">
        <v>500</v>
      </c>
      <c r="P482" s="122">
        <v>351</v>
      </c>
      <c r="Q482" s="122">
        <v>130</v>
      </c>
      <c r="R482" s="122">
        <v>5537</v>
      </c>
      <c r="S482" s="122">
        <v>5033</v>
      </c>
      <c r="T482" s="122">
        <v>0</v>
      </c>
      <c r="U482" s="122">
        <v>0</v>
      </c>
      <c r="V482" s="122">
        <v>39313</v>
      </c>
      <c r="W482" s="122">
        <f t="shared" si="14"/>
        <v>39312</v>
      </c>
      <c r="X482" s="122">
        <f t="shared" si="15"/>
        <v>47353</v>
      </c>
      <c r="Y482" s="122"/>
      <c r="AA482" t="s">
        <v>56</v>
      </c>
      <c r="AB482" t="s">
        <v>405</v>
      </c>
      <c r="AC482" t="s">
        <v>428</v>
      </c>
      <c r="AD482" t="s">
        <v>405</v>
      </c>
      <c r="AE482" t="s">
        <v>566</v>
      </c>
      <c r="AF482">
        <v>14</v>
      </c>
      <c r="AG482" s="122">
        <v>1506</v>
      </c>
      <c r="AH482" s="122">
        <v>2598</v>
      </c>
      <c r="AI482" s="122">
        <v>136548</v>
      </c>
      <c r="AJ482" s="122">
        <v>124135</v>
      </c>
      <c r="AK482">
        <v>80</v>
      </c>
      <c r="AL482" s="122">
        <v>37370</v>
      </c>
      <c r="AM482" s="122">
        <v>33972</v>
      </c>
      <c r="AN482" s="122">
        <v>32786</v>
      </c>
      <c r="AO482" s="122">
        <v>12143</v>
      </c>
      <c r="AP482" s="122">
        <v>5009</v>
      </c>
      <c r="AQ482" s="122">
        <v>1855</v>
      </c>
      <c r="AR482" s="122">
        <v>66655</v>
      </c>
      <c r="AS482" s="122">
        <v>60596</v>
      </c>
      <c r="AT482">
        <v>0</v>
      </c>
      <c r="AU482">
        <v>0</v>
      </c>
      <c r="AV482" s="122">
        <v>232701</v>
      </c>
    </row>
    <row r="483" spans="2:48" hidden="1">
      <c r="B483" t="s">
        <v>366</v>
      </c>
      <c r="C483" t="s">
        <v>48</v>
      </c>
      <c r="D483" t="s">
        <v>137</v>
      </c>
      <c r="E483" t="s">
        <v>137</v>
      </c>
      <c r="F483">
        <v>60</v>
      </c>
      <c r="G483" s="122">
        <v>5175</v>
      </c>
      <c r="H483" s="122">
        <v>3068</v>
      </c>
      <c r="I483" s="122">
        <v>-47472</v>
      </c>
      <c r="J483" s="122">
        <v>-17582</v>
      </c>
      <c r="K483">
        <v>441</v>
      </c>
      <c r="L483" s="122">
        <v>-7011</v>
      </c>
      <c r="M483" s="122">
        <v>-6971</v>
      </c>
      <c r="N483" s="122">
        <v>66876</v>
      </c>
      <c r="O483" s="122">
        <v>24769</v>
      </c>
      <c r="P483" s="122">
        <v>31269</v>
      </c>
      <c r="Q483" s="122">
        <v>11581</v>
      </c>
      <c r="R483" s="122">
        <v>221630</v>
      </c>
      <c r="S483" s="122">
        <v>82085</v>
      </c>
      <c r="T483" s="122">
        <v>0</v>
      </c>
      <c r="U483">
        <v>0</v>
      </c>
      <c r="V483" s="122">
        <v>93882</v>
      </c>
      <c r="W483" s="122">
        <f t="shared" si="14"/>
        <v>142988</v>
      </c>
      <c r="X483" s="122">
        <f t="shared" si="15"/>
        <v>374258</v>
      </c>
      <c r="Y483" s="122"/>
      <c r="AA483" t="s">
        <v>56</v>
      </c>
      <c r="AB483" t="s">
        <v>405</v>
      </c>
      <c r="AC483" t="s">
        <v>431</v>
      </c>
      <c r="AD483" t="s">
        <v>405</v>
      </c>
      <c r="AE483" t="s">
        <v>137</v>
      </c>
      <c r="AF483">
        <v>1</v>
      </c>
      <c r="AG483">
        <v>124</v>
      </c>
      <c r="AH483">
        <v>209</v>
      </c>
      <c r="AI483" s="122">
        <v>12774</v>
      </c>
      <c r="AJ483" s="122">
        <v>11612</v>
      </c>
      <c r="AK483">
        <v>81</v>
      </c>
      <c r="AL483" s="122">
        <v>3648</v>
      </c>
      <c r="AM483" s="122">
        <v>3316</v>
      </c>
      <c r="AN483" s="122">
        <v>3030</v>
      </c>
      <c r="AO483" s="122">
        <v>1122</v>
      </c>
      <c r="AP483">
        <v>473</v>
      </c>
      <c r="AQ483">
        <v>175</v>
      </c>
      <c r="AR483" s="122">
        <v>6104</v>
      </c>
      <c r="AS483" s="122">
        <v>5549</v>
      </c>
      <c r="AT483">
        <v>0</v>
      </c>
      <c r="AU483">
        <v>0</v>
      </c>
      <c r="AV483" s="122">
        <v>21775</v>
      </c>
    </row>
    <row r="484" spans="2:48" hidden="1">
      <c r="B484" t="s">
        <v>366</v>
      </c>
      <c r="C484" t="s">
        <v>48</v>
      </c>
      <c r="D484" t="s">
        <v>406</v>
      </c>
      <c r="E484" t="s">
        <v>406</v>
      </c>
      <c r="F484">
        <v>103</v>
      </c>
      <c r="G484" s="122">
        <v>11890</v>
      </c>
      <c r="H484" s="122">
        <v>5899</v>
      </c>
      <c r="I484" s="122">
        <v>189778</v>
      </c>
      <c r="J484" s="122">
        <v>172525</v>
      </c>
      <c r="K484">
        <v>98</v>
      </c>
      <c r="L484" s="122">
        <v>29921</v>
      </c>
      <c r="M484" s="122">
        <v>26897</v>
      </c>
      <c r="N484" s="122">
        <v>147076</v>
      </c>
      <c r="O484" s="122">
        <v>54473</v>
      </c>
      <c r="P484" s="122">
        <v>63896</v>
      </c>
      <c r="Q484" s="122">
        <v>23665</v>
      </c>
      <c r="R484" s="122">
        <v>251378</v>
      </c>
      <c r="S484" s="122">
        <v>228526</v>
      </c>
      <c r="T484" s="122">
        <v>0</v>
      </c>
      <c r="U484" s="122">
        <v>0</v>
      </c>
      <c r="V484" s="122">
        <v>506085</v>
      </c>
      <c r="W484" s="122">
        <f t="shared" si="14"/>
        <v>506086</v>
      </c>
      <c r="X484" s="122">
        <f t="shared" si="15"/>
        <v>682049</v>
      </c>
      <c r="Y484" s="122"/>
      <c r="AA484" t="s">
        <v>56</v>
      </c>
      <c r="AB484" t="s">
        <v>405</v>
      </c>
      <c r="AC484" t="s">
        <v>431</v>
      </c>
      <c r="AD484" t="s">
        <v>405</v>
      </c>
      <c r="AE484" t="s">
        <v>566</v>
      </c>
      <c r="AF484">
        <v>3</v>
      </c>
      <c r="AG484">
        <v>265</v>
      </c>
      <c r="AH484">
        <v>548</v>
      </c>
      <c r="AI484" s="122">
        <v>22038</v>
      </c>
      <c r="AJ484" s="122">
        <v>20034</v>
      </c>
      <c r="AK484">
        <v>84</v>
      </c>
      <c r="AL484" s="122">
        <v>6801</v>
      </c>
      <c r="AM484" s="122">
        <v>6183</v>
      </c>
      <c r="AN484" s="122">
        <v>6377</v>
      </c>
      <c r="AO484" s="122">
        <v>2362</v>
      </c>
      <c r="AP484" s="122">
        <v>1418</v>
      </c>
      <c r="AQ484">
        <v>525</v>
      </c>
      <c r="AR484" s="122">
        <v>11419</v>
      </c>
      <c r="AS484" s="122">
        <v>10381</v>
      </c>
      <c r="AT484">
        <v>0</v>
      </c>
      <c r="AU484">
        <v>0</v>
      </c>
      <c r="AV484" s="122">
        <v>39484</v>
      </c>
    </row>
    <row r="485" spans="2:48" hidden="1">
      <c r="B485" t="s">
        <v>366</v>
      </c>
      <c r="C485" t="s">
        <v>50</v>
      </c>
      <c r="D485" t="s">
        <v>137</v>
      </c>
      <c r="E485" t="s">
        <v>137</v>
      </c>
      <c r="F485">
        <v>10</v>
      </c>
      <c r="G485" s="122">
        <v>844</v>
      </c>
      <c r="H485" s="122">
        <v>921</v>
      </c>
      <c r="I485" s="122">
        <v>18960</v>
      </c>
      <c r="J485" s="122">
        <v>7022</v>
      </c>
      <c r="K485">
        <v>369</v>
      </c>
      <c r="L485" s="122">
        <v>5924</v>
      </c>
      <c r="M485" s="122">
        <v>5386</v>
      </c>
      <c r="N485" s="122">
        <v>12727</v>
      </c>
      <c r="O485" s="122">
        <v>4714</v>
      </c>
      <c r="P485" s="122">
        <v>3861</v>
      </c>
      <c r="Q485" s="122">
        <v>1430</v>
      </c>
      <c r="R485" s="122">
        <v>34140</v>
      </c>
      <c r="S485" s="122">
        <v>12645</v>
      </c>
      <c r="T485" s="122">
        <v>0</v>
      </c>
      <c r="U485" s="122">
        <v>0</v>
      </c>
      <c r="V485" s="122">
        <v>31196</v>
      </c>
      <c r="W485" s="122">
        <f t="shared" si="14"/>
        <v>31197</v>
      </c>
      <c r="X485" s="122">
        <f t="shared" si="15"/>
        <v>75612</v>
      </c>
      <c r="Y485" s="122"/>
      <c r="AA485" t="s">
        <v>56</v>
      </c>
      <c r="AB485" t="s">
        <v>405</v>
      </c>
      <c r="AC485" t="s">
        <v>426</v>
      </c>
      <c r="AD485" t="s">
        <v>425</v>
      </c>
      <c r="AE485" t="s">
        <v>137</v>
      </c>
      <c r="AF485">
        <v>4</v>
      </c>
      <c r="AG485">
        <v>420</v>
      </c>
      <c r="AH485">
        <v>845</v>
      </c>
      <c r="AI485" s="122">
        <v>37575</v>
      </c>
      <c r="AJ485" s="122">
        <v>34159</v>
      </c>
      <c r="AK485">
        <v>75</v>
      </c>
      <c r="AL485" s="122">
        <v>10076</v>
      </c>
      <c r="AM485" s="122">
        <v>9160</v>
      </c>
      <c r="AN485" s="122">
        <v>8977</v>
      </c>
      <c r="AO485" s="122">
        <v>3325</v>
      </c>
      <c r="AP485" s="122">
        <v>1890</v>
      </c>
      <c r="AQ485">
        <v>700</v>
      </c>
      <c r="AR485" s="122">
        <v>20568</v>
      </c>
      <c r="AS485" s="122">
        <v>18698</v>
      </c>
      <c r="AT485" s="122">
        <v>9105</v>
      </c>
      <c r="AU485" s="122">
        <v>3372</v>
      </c>
      <c r="AV485" s="122">
        <v>69414</v>
      </c>
    </row>
    <row r="486" spans="2:48" hidden="1">
      <c r="B486" t="s">
        <v>366</v>
      </c>
      <c r="C486" t="s">
        <v>50</v>
      </c>
      <c r="D486" t="s">
        <v>406</v>
      </c>
      <c r="E486" t="s">
        <v>406</v>
      </c>
      <c r="F486">
        <v>33</v>
      </c>
      <c r="G486" s="122">
        <v>3030</v>
      </c>
      <c r="H486" s="122">
        <v>3082</v>
      </c>
      <c r="I486" s="122">
        <v>125942</v>
      </c>
      <c r="J486" s="122">
        <v>114493</v>
      </c>
      <c r="K486">
        <v>93</v>
      </c>
      <c r="L486" s="122">
        <v>23020</v>
      </c>
      <c r="M486" s="122">
        <v>20928</v>
      </c>
      <c r="N486" s="122">
        <v>40221</v>
      </c>
      <c r="O486" s="122">
        <v>14896</v>
      </c>
      <c r="P486" s="122">
        <v>20493</v>
      </c>
      <c r="Q486" s="122">
        <v>7590</v>
      </c>
      <c r="R486" s="122">
        <v>73528</v>
      </c>
      <c r="S486" s="122">
        <v>66844</v>
      </c>
      <c r="T486" s="122">
        <v>0</v>
      </c>
      <c r="U486" s="122">
        <v>0</v>
      </c>
      <c r="V486" s="122">
        <v>224751</v>
      </c>
      <c r="W486" s="122">
        <f t="shared" si="14"/>
        <v>224751</v>
      </c>
      <c r="X486" s="122">
        <f t="shared" si="15"/>
        <v>283204</v>
      </c>
      <c r="Y486" s="122"/>
      <c r="AA486" t="s">
        <v>56</v>
      </c>
      <c r="AB486" t="s">
        <v>405</v>
      </c>
      <c r="AC486" t="s">
        <v>426</v>
      </c>
      <c r="AD486" t="s">
        <v>425</v>
      </c>
      <c r="AE486" t="s">
        <v>566</v>
      </c>
      <c r="AF486">
        <v>15</v>
      </c>
      <c r="AG486" s="122">
        <v>1748</v>
      </c>
      <c r="AH486" s="122">
        <v>2579</v>
      </c>
      <c r="AI486" s="122">
        <v>140386</v>
      </c>
      <c r="AJ486" s="122">
        <v>127624</v>
      </c>
      <c r="AK486">
        <v>86</v>
      </c>
      <c r="AL486" s="122">
        <v>36548</v>
      </c>
      <c r="AM486" s="122">
        <v>33226</v>
      </c>
      <c r="AN486" s="122">
        <v>34166</v>
      </c>
      <c r="AO486" s="122">
        <v>12654</v>
      </c>
      <c r="AP486" s="122">
        <v>7817</v>
      </c>
      <c r="AQ486" s="122">
        <v>2895</v>
      </c>
      <c r="AR486" s="122">
        <v>80919</v>
      </c>
      <c r="AS486" s="122">
        <v>73563</v>
      </c>
      <c r="AT486">
        <v>0</v>
      </c>
      <c r="AU486">
        <v>0</v>
      </c>
      <c r="AV486" s="122">
        <v>249962</v>
      </c>
    </row>
    <row r="487" spans="2:48" hidden="1">
      <c r="B487" t="s">
        <v>366</v>
      </c>
      <c r="C487" t="s">
        <v>52</v>
      </c>
      <c r="D487" t="s">
        <v>425</v>
      </c>
      <c r="E487" t="s">
        <v>425</v>
      </c>
      <c r="F487">
        <v>1</v>
      </c>
      <c r="G487">
        <v>108</v>
      </c>
      <c r="H487" s="122">
        <v>110</v>
      </c>
      <c r="I487" s="122">
        <v>5964</v>
      </c>
      <c r="J487" s="122">
        <v>5422</v>
      </c>
      <c r="K487">
        <v>93</v>
      </c>
      <c r="L487" s="122">
        <v>0</v>
      </c>
      <c r="M487" s="122">
        <v>0</v>
      </c>
      <c r="N487" s="122">
        <v>2620</v>
      </c>
      <c r="O487" s="122">
        <v>970</v>
      </c>
      <c r="P487" s="122">
        <v>473</v>
      </c>
      <c r="Q487">
        <v>175</v>
      </c>
      <c r="R487" s="122">
        <v>2772</v>
      </c>
      <c r="S487" s="122">
        <v>2520</v>
      </c>
      <c r="T487" s="122">
        <v>0</v>
      </c>
      <c r="U487" s="122">
        <v>0</v>
      </c>
      <c r="V487" s="122">
        <v>9087</v>
      </c>
      <c r="W487" s="122">
        <f t="shared" si="14"/>
        <v>9087</v>
      </c>
      <c r="X487" s="122">
        <f t="shared" si="15"/>
        <v>11829</v>
      </c>
      <c r="Y487" s="122"/>
      <c r="AA487" t="s">
        <v>56</v>
      </c>
      <c r="AB487" t="s">
        <v>405</v>
      </c>
      <c r="AC487" t="s">
        <v>426</v>
      </c>
      <c r="AD487" t="s">
        <v>405</v>
      </c>
      <c r="AE487" t="s">
        <v>137</v>
      </c>
      <c r="AF487">
        <v>253</v>
      </c>
      <c r="AG487" s="122">
        <v>27445</v>
      </c>
      <c r="AH487" s="122">
        <v>46749</v>
      </c>
      <c r="AI487" s="122">
        <v>2365638</v>
      </c>
      <c r="AJ487" s="122">
        <v>2150580</v>
      </c>
      <c r="AK487">
        <v>81</v>
      </c>
      <c r="AL487" s="122">
        <v>593979</v>
      </c>
      <c r="AM487" s="122">
        <v>539981</v>
      </c>
      <c r="AN487" s="122">
        <v>548479</v>
      </c>
      <c r="AO487" s="122">
        <v>203140</v>
      </c>
      <c r="AP487" s="122">
        <v>119502</v>
      </c>
      <c r="AQ487" s="122">
        <v>44260</v>
      </c>
      <c r="AR487" s="122">
        <v>1022308</v>
      </c>
      <c r="AS487" s="122">
        <v>929371</v>
      </c>
      <c r="AT487" s="122">
        <v>443225</v>
      </c>
      <c r="AU487" s="122">
        <v>164158</v>
      </c>
      <c r="AV487" s="122">
        <v>4031489</v>
      </c>
    </row>
    <row r="488" spans="2:48" hidden="1">
      <c r="B488" t="s">
        <v>366</v>
      </c>
      <c r="C488" t="s">
        <v>52</v>
      </c>
      <c r="D488" t="s">
        <v>405</v>
      </c>
      <c r="E488" t="s">
        <v>405</v>
      </c>
      <c r="F488" s="122">
        <v>1</v>
      </c>
      <c r="G488" s="122">
        <v>107</v>
      </c>
      <c r="H488" s="122">
        <v>123</v>
      </c>
      <c r="I488" s="122">
        <v>5960</v>
      </c>
      <c r="J488" s="122">
        <v>5418</v>
      </c>
      <c r="K488">
        <v>92</v>
      </c>
      <c r="L488" s="122">
        <v>1110</v>
      </c>
      <c r="M488" s="122">
        <v>1009</v>
      </c>
      <c r="N488" s="122">
        <v>1429</v>
      </c>
      <c r="O488" s="122">
        <v>529</v>
      </c>
      <c r="P488" s="122">
        <v>824</v>
      </c>
      <c r="Q488" s="122">
        <v>305</v>
      </c>
      <c r="R488" s="122">
        <v>3791</v>
      </c>
      <c r="S488" s="122">
        <v>3446</v>
      </c>
      <c r="T488" s="122">
        <v>0</v>
      </c>
      <c r="U488" s="122">
        <v>0</v>
      </c>
      <c r="V488" s="122">
        <v>10708</v>
      </c>
      <c r="W488" s="122">
        <f t="shared" si="14"/>
        <v>10707</v>
      </c>
      <c r="X488" s="122">
        <f t="shared" si="15"/>
        <v>13114</v>
      </c>
      <c r="Y488" s="122"/>
      <c r="AA488" t="s">
        <v>56</v>
      </c>
      <c r="AB488" t="s">
        <v>405</v>
      </c>
      <c r="AC488" t="s">
        <v>426</v>
      </c>
      <c r="AD488" t="s">
        <v>405</v>
      </c>
      <c r="AE488" t="s">
        <v>566</v>
      </c>
      <c r="AF488">
        <v>757</v>
      </c>
      <c r="AG488" s="122">
        <v>82628</v>
      </c>
      <c r="AH488" s="122">
        <v>134686</v>
      </c>
      <c r="AI488" s="122">
        <v>7177266</v>
      </c>
      <c r="AJ488" s="122">
        <v>6524787</v>
      </c>
      <c r="AK488">
        <v>82</v>
      </c>
      <c r="AL488" s="122">
        <v>1916024</v>
      </c>
      <c r="AM488" s="122">
        <v>1741840</v>
      </c>
      <c r="AN488" s="122">
        <v>1717844</v>
      </c>
      <c r="AO488" s="122">
        <v>636239</v>
      </c>
      <c r="AP488" s="122">
        <v>374375</v>
      </c>
      <c r="AQ488" s="122">
        <v>138657</v>
      </c>
      <c r="AR488" s="122">
        <v>3694024</v>
      </c>
      <c r="AS488" s="122">
        <v>3358204</v>
      </c>
      <c r="AT488">
        <v>0</v>
      </c>
      <c r="AU488">
        <v>0</v>
      </c>
      <c r="AV488" s="122">
        <v>12399727</v>
      </c>
    </row>
    <row r="489" spans="2:48" hidden="1">
      <c r="B489" t="s">
        <v>366</v>
      </c>
      <c r="C489" t="s">
        <v>52</v>
      </c>
      <c r="D489" t="s">
        <v>137</v>
      </c>
      <c r="E489" t="s">
        <v>137</v>
      </c>
      <c r="F489" s="122">
        <v>6</v>
      </c>
      <c r="G489" s="122">
        <v>784</v>
      </c>
      <c r="H489" s="122">
        <v>665</v>
      </c>
      <c r="I489" s="122">
        <v>28174</v>
      </c>
      <c r="J489" s="122">
        <v>10435</v>
      </c>
      <c r="K489">
        <v>350</v>
      </c>
      <c r="L489" s="122">
        <v>8583</v>
      </c>
      <c r="M489" s="122">
        <v>7064</v>
      </c>
      <c r="N489" s="122">
        <v>13834</v>
      </c>
      <c r="O489" s="122">
        <v>5124</v>
      </c>
      <c r="P489" s="122">
        <v>3078</v>
      </c>
      <c r="Q489" s="122">
        <v>1140</v>
      </c>
      <c r="R489" s="122">
        <v>30435</v>
      </c>
      <c r="S489" s="122">
        <v>11272</v>
      </c>
      <c r="T489" s="122">
        <v>2673</v>
      </c>
      <c r="U489" s="122">
        <v>990</v>
      </c>
      <c r="V489" s="122">
        <v>36024</v>
      </c>
      <c r="W489" s="122">
        <f t="shared" si="14"/>
        <v>36025</v>
      </c>
      <c r="X489" s="122">
        <f t="shared" si="15"/>
        <v>86777</v>
      </c>
      <c r="Y489" s="122"/>
      <c r="AA489" t="s">
        <v>56</v>
      </c>
      <c r="AB489" t="s">
        <v>405</v>
      </c>
      <c r="AC489" t="s">
        <v>426</v>
      </c>
      <c r="AD489" t="s">
        <v>137</v>
      </c>
      <c r="AE489" t="s">
        <v>566</v>
      </c>
      <c r="AF489">
        <v>1</v>
      </c>
      <c r="AG489">
        <v>78</v>
      </c>
      <c r="AH489">
        <v>219</v>
      </c>
      <c r="AI489" s="122">
        <v>5122</v>
      </c>
      <c r="AJ489" s="122">
        <v>4657</v>
      </c>
      <c r="AK489">
        <v>82</v>
      </c>
      <c r="AL489" s="122">
        <v>1476</v>
      </c>
      <c r="AM489" s="122">
        <v>1342</v>
      </c>
      <c r="AN489" s="122">
        <v>1901</v>
      </c>
      <c r="AO489">
        <v>704</v>
      </c>
      <c r="AP489">
        <v>473</v>
      </c>
      <c r="AQ489">
        <v>175</v>
      </c>
      <c r="AR489" s="122">
        <v>8130</v>
      </c>
      <c r="AS489" s="122">
        <v>3011</v>
      </c>
      <c r="AT489">
        <v>0</v>
      </c>
      <c r="AU489">
        <v>0</v>
      </c>
      <c r="AV489" s="122">
        <v>9889</v>
      </c>
    </row>
    <row r="490" spans="2:48" hidden="1">
      <c r="B490" t="s">
        <v>366</v>
      </c>
      <c r="C490" t="s">
        <v>52</v>
      </c>
      <c r="D490" t="s">
        <v>406</v>
      </c>
      <c r="E490" t="s">
        <v>406</v>
      </c>
      <c r="F490">
        <v>82</v>
      </c>
      <c r="G490" s="122">
        <v>8919</v>
      </c>
      <c r="H490" s="122">
        <v>9652</v>
      </c>
      <c r="I490" s="122">
        <v>470157</v>
      </c>
      <c r="J490" s="122">
        <v>427416</v>
      </c>
      <c r="K490">
        <v>93</v>
      </c>
      <c r="L490" s="122">
        <v>83171</v>
      </c>
      <c r="M490" s="122">
        <v>73737</v>
      </c>
      <c r="N490" s="122">
        <v>146954</v>
      </c>
      <c r="O490" s="122">
        <v>54427</v>
      </c>
      <c r="P490" s="122">
        <v>56538</v>
      </c>
      <c r="Q490" s="122">
        <v>20940</v>
      </c>
      <c r="R490" s="122">
        <v>289780</v>
      </c>
      <c r="S490" s="122">
        <v>263436</v>
      </c>
      <c r="T490" s="122">
        <v>2840</v>
      </c>
      <c r="U490" s="122">
        <v>1052</v>
      </c>
      <c r="V490" s="122">
        <v>841008</v>
      </c>
      <c r="W490" s="122">
        <f t="shared" si="14"/>
        <v>841008</v>
      </c>
      <c r="X490" s="122">
        <f t="shared" si="15"/>
        <v>1049440</v>
      </c>
      <c r="Y490" s="122"/>
      <c r="AA490" t="s">
        <v>56</v>
      </c>
      <c r="AB490" t="s">
        <v>405</v>
      </c>
      <c r="AC490" t="s">
        <v>426</v>
      </c>
      <c r="AD490" t="s">
        <v>406</v>
      </c>
      <c r="AE490" t="s">
        <v>566</v>
      </c>
      <c r="AF490">
        <v>1</v>
      </c>
      <c r="AG490">
        <v>104</v>
      </c>
      <c r="AH490">
        <v>156</v>
      </c>
      <c r="AI490" s="122">
        <v>7678</v>
      </c>
      <c r="AJ490" s="122">
        <v>6980</v>
      </c>
      <c r="AK490">
        <v>79</v>
      </c>
      <c r="AL490" s="122">
        <v>1125</v>
      </c>
      <c r="AM490" s="122">
        <v>1023</v>
      </c>
      <c r="AN490" s="122">
        <v>2204</v>
      </c>
      <c r="AO490">
        <v>816</v>
      </c>
      <c r="AP490">
        <v>473</v>
      </c>
      <c r="AQ490">
        <v>175</v>
      </c>
      <c r="AR490" s="122">
        <v>4716</v>
      </c>
      <c r="AS490" s="122">
        <v>4287</v>
      </c>
      <c r="AT490">
        <v>0</v>
      </c>
      <c r="AU490">
        <v>0</v>
      </c>
      <c r="AV490" s="122">
        <v>13281</v>
      </c>
    </row>
    <row r="491" spans="2:48" hidden="1">
      <c r="B491" t="s">
        <v>366</v>
      </c>
      <c r="C491" t="s">
        <v>54</v>
      </c>
      <c r="D491" t="s">
        <v>405</v>
      </c>
      <c r="E491" t="s">
        <v>405</v>
      </c>
      <c r="F491" s="122">
        <v>20</v>
      </c>
      <c r="G491" s="122">
        <v>2080</v>
      </c>
      <c r="H491" s="122">
        <v>2826</v>
      </c>
      <c r="I491" s="122">
        <v>160822</v>
      </c>
      <c r="J491" s="122">
        <v>146202</v>
      </c>
      <c r="K491">
        <v>89</v>
      </c>
      <c r="L491" s="122">
        <v>32968</v>
      </c>
      <c r="M491" s="122">
        <v>29971</v>
      </c>
      <c r="N491" s="122">
        <v>30947</v>
      </c>
      <c r="O491" s="122">
        <v>11462</v>
      </c>
      <c r="P491" s="122">
        <v>9450</v>
      </c>
      <c r="Q491" s="122">
        <v>3500</v>
      </c>
      <c r="R491" s="122">
        <v>54677</v>
      </c>
      <c r="S491" s="122">
        <v>49707</v>
      </c>
      <c r="T491" s="122">
        <v>2029</v>
      </c>
      <c r="U491" s="122">
        <v>752</v>
      </c>
      <c r="V491" s="122">
        <v>241593</v>
      </c>
      <c r="W491" s="122">
        <f t="shared" si="14"/>
        <v>241594</v>
      </c>
      <c r="X491" s="122">
        <f t="shared" si="15"/>
        <v>290893</v>
      </c>
      <c r="Y491" s="122"/>
      <c r="AA491" t="s">
        <v>56</v>
      </c>
      <c r="AB491" t="s">
        <v>405</v>
      </c>
      <c r="AC491" t="s">
        <v>426</v>
      </c>
      <c r="AD491" t="s">
        <v>407</v>
      </c>
      <c r="AE491" t="s">
        <v>137</v>
      </c>
      <c r="AF491">
        <v>4</v>
      </c>
      <c r="AG491">
        <v>391</v>
      </c>
      <c r="AH491">
        <v>755</v>
      </c>
      <c r="AI491" s="122">
        <v>36192</v>
      </c>
      <c r="AJ491" s="122">
        <v>32902</v>
      </c>
      <c r="AK491">
        <v>82</v>
      </c>
      <c r="AL491" s="122">
        <v>7886</v>
      </c>
      <c r="AM491" s="122">
        <v>7169</v>
      </c>
      <c r="AN491" s="122">
        <v>8519</v>
      </c>
      <c r="AO491" s="122">
        <v>3155</v>
      </c>
      <c r="AP491" s="122">
        <v>1890</v>
      </c>
      <c r="AQ491">
        <v>700</v>
      </c>
      <c r="AR491" s="122">
        <v>14304</v>
      </c>
      <c r="AS491" s="122">
        <v>13003</v>
      </c>
      <c r="AT491" s="122">
        <v>7950</v>
      </c>
      <c r="AU491" s="122">
        <v>2945</v>
      </c>
      <c r="AV491" s="122">
        <v>59875</v>
      </c>
    </row>
    <row r="492" spans="2:48" hidden="1">
      <c r="B492" t="s">
        <v>366</v>
      </c>
      <c r="C492" t="s">
        <v>54</v>
      </c>
      <c r="D492" t="s">
        <v>406</v>
      </c>
      <c r="E492" t="s">
        <v>406</v>
      </c>
      <c r="F492">
        <v>460</v>
      </c>
      <c r="G492" s="122">
        <v>49311</v>
      </c>
      <c r="H492" s="122">
        <v>64747</v>
      </c>
      <c r="I492" s="122">
        <v>3205666</v>
      </c>
      <c r="J492" s="122">
        <v>2914242</v>
      </c>
      <c r="K492">
        <v>91</v>
      </c>
      <c r="L492" s="122">
        <v>658932</v>
      </c>
      <c r="M492" s="122">
        <v>588232</v>
      </c>
      <c r="N492" s="122">
        <v>907162</v>
      </c>
      <c r="O492" s="122">
        <v>335986</v>
      </c>
      <c r="P492" s="122">
        <v>292329</v>
      </c>
      <c r="Q492" s="122">
        <v>108270</v>
      </c>
      <c r="R492" s="122">
        <v>1906113</v>
      </c>
      <c r="S492" s="122">
        <v>1732830</v>
      </c>
      <c r="T492" s="122">
        <v>52377</v>
      </c>
      <c r="U492" s="122">
        <v>19399</v>
      </c>
      <c r="V492" s="122">
        <v>5698959</v>
      </c>
      <c r="W492" s="122">
        <f t="shared" si="14"/>
        <v>5698959</v>
      </c>
      <c r="X492" s="122">
        <f t="shared" si="15"/>
        <v>7022579</v>
      </c>
      <c r="Y492" s="122"/>
      <c r="AA492" t="s">
        <v>56</v>
      </c>
      <c r="AB492" t="s">
        <v>405</v>
      </c>
      <c r="AC492" t="s">
        <v>426</v>
      </c>
      <c r="AD492" t="s">
        <v>407</v>
      </c>
      <c r="AE492" t="s">
        <v>566</v>
      </c>
      <c r="AF492">
        <v>3</v>
      </c>
      <c r="AG492">
        <v>369</v>
      </c>
      <c r="AH492">
        <v>559</v>
      </c>
      <c r="AI492" s="122">
        <v>32379</v>
      </c>
      <c r="AJ492" s="122">
        <v>29436</v>
      </c>
      <c r="AK492">
        <v>81</v>
      </c>
      <c r="AL492" s="122">
        <v>9149</v>
      </c>
      <c r="AM492" s="122">
        <v>8317</v>
      </c>
      <c r="AN492" s="122">
        <v>8203</v>
      </c>
      <c r="AO492" s="122">
        <v>3038</v>
      </c>
      <c r="AP492" s="122">
        <v>2120</v>
      </c>
      <c r="AQ492">
        <v>785</v>
      </c>
      <c r="AR492" s="122">
        <v>16581</v>
      </c>
      <c r="AS492" s="122">
        <v>15074</v>
      </c>
      <c r="AT492">
        <v>0</v>
      </c>
      <c r="AU492">
        <v>0</v>
      </c>
      <c r="AV492" s="122">
        <v>56650</v>
      </c>
    </row>
    <row r="493" spans="2:48" hidden="1">
      <c r="B493" t="s">
        <v>366</v>
      </c>
      <c r="C493" t="s">
        <v>54</v>
      </c>
      <c r="D493" t="s">
        <v>407</v>
      </c>
      <c r="E493" t="s">
        <v>407</v>
      </c>
      <c r="F493">
        <v>2</v>
      </c>
      <c r="G493">
        <v>211</v>
      </c>
      <c r="H493">
        <v>294</v>
      </c>
      <c r="I493" s="122">
        <v>10381</v>
      </c>
      <c r="J493" s="122">
        <v>9438</v>
      </c>
      <c r="K493">
        <v>77</v>
      </c>
      <c r="L493" s="122">
        <v>2807</v>
      </c>
      <c r="M493" s="122">
        <v>2552</v>
      </c>
      <c r="N493" s="122">
        <v>4886</v>
      </c>
      <c r="O493" s="122">
        <v>1809</v>
      </c>
      <c r="P493">
        <v>945</v>
      </c>
      <c r="Q493">
        <v>350</v>
      </c>
      <c r="R493" s="122">
        <v>9380</v>
      </c>
      <c r="S493" s="122">
        <v>8527</v>
      </c>
      <c r="T493" s="122">
        <v>2667</v>
      </c>
      <c r="U493">
        <v>988</v>
      </c>
      <c r="V493" s="122">
        <v>23664</v>
      </c>
      <c r="W493" s="122">
        <f t="shared" si="14"/>
        <v>23664</v>
      </c>
      <c r="X493" s="122">
        <f t="shared" si="15"/>
        <v>31066</v>
      </c>
      <c r="Y493" s="122"/>
      <c r="AA493" t="s">
        <v>56</v>
      </c>
      <c r="AB493" t="s">
        <v>405</v>
      </c>
      <c r="AC493" t="s">
        <v>426</v>
      </c>
      <c r="AD493" t="s">
        <v>426</v>
      </c>
      <c r="AE493" t="s">
        <v>566</v>
      </c>
      <c r="AF493">
        <v>1</v>
      </c>
      <c r="AG493">
        <v>93</v>
      </c>
      <c r="AH493">
        <v>187</v>
      </c>
      <c r="AI493" s="122">
        <v>8934</v>
      </c>
      <c r="AJ493" s="122">
        <v>8122</v>
      </c>
      <c r="AK493">
        <v>87</v>
      </c>
      <c r="AL493" s="122">
        <v>2743</v>
      </c>
      <c r="AM493" s="122">
        <v>2494</v>
      </c>
      <c r="AN493" s="122">
        <v>1135</v>
      </c>
      <c r="AO493">
        <v>420</v>
      </c>
      <c r="AP493">
        <v>473</v>
      </c>
      <c r="AQ493">
        <v>175</v>
      </c>
      <c r="AR493" s="122">
        <v>4159</v>
      </c>
      <c r="AS493" s="122">
        <v>3781</v>
      </c>
      <c r="AT493">
        <v>0</v>
      </c>
      <c r="AU493">
        <v>0</v>
      </c>
      <c r="AV493" s="122">
        <v>14992</v>
      </c>
    </row>
    <row r="494" spans="2:48" hidden="1">
      <c r="B494" t="s">
        <v>366</v>
      </c>
      <c r="C494" t="s">
        <v>56</v>
      </c>
      <c r="D494" t="s">
        <v>425</v>
      </c>
      <c r="E494" t="s">
        <v>425</v>
      </c>
      <c r="F494">
        <v>6</v>
      </c>
      <c r="G494">
        <v>541</v>
      </c>
      <c r="H494" s="122">
        <v>1091</v>
      </c>
      <c r="I494" s="122">
        <v>53030</v>
      </c>
      <c r="J494" s="122">
        <v>48209</v>
      </c>
      <c r="K494">
        <v>90</v>
      </c>
      <c r="L494" s="122">
        <v>10157</v>
      </c>
      <c r="M494" s="122">
        <v>6957</v>
      </c>
      <c r="N494" s="122">
        <v>11978</v>
      </c>
      <c r="O494" s="122">
        <v>4436</v>
      </c>
      <c r="P494" s="122">
        <v>2835</v>
      </c>
      <c r="Q494" s="122">
        <v>1050</v>
      </c>
      <c r="R494" s="122">
        <v>18810</v>
      </c>
      <c r="S494" s="122">
        <v>17100</v>
      </c>
      <c r="T494" s="122">
        <v>0</v>
      </c>
      <c r="U494">
        <v>0</v>
      </c>
      <c r="V494" s="122">
        <v>77753</v>
      </c>
      <c r="W494" s="122">
        <f t="shared" si="14"/>
        <v>77752</v>
      </c>
      <c r="X494" s="122">
        <f t="shared" si="15"/>
        <v>96810</v>
      </c>
      <c r="Y494" s="122"/>
      <c r="AA494" t="s">
        <v>56</v>
      </c>
      <c r="AB494" t="s">
        <v>405</v>
      </c>
      <c r="AC494" t="s">
        <v>566</v>
      </c>
      <c r="AD494" t="s">
        <v>425</v>
      </c>
      <c r="AE494" t="s">
        <v>566</v>
      </c>
      <c r="AF494">
        <v>1</v>
      </c>
      <c r="AG494">
        <v>120</v>
      </c>
      <c r="AH494">
        <v>188</v>
      </c>
      <c r="AI494" s="122">
        <v>14062</v>
      </c>
      <c r="AJ494" s="122">
        <v>12783</v>
      </c>
      <c r="AK494">
        <v>79</v>
      </c>
      <c r="AL494">
        <v>0</v>
      </c>
      <c r="AM494">
        <v>0</v>
      </c>
      <c r="AN494" s="122">
        <v>2483</v>
      </c>
      <c r="AO494">
        <v>920</v>
      </c>
      <c r="AP494">
        <v>473</v>
      </c>
      <c r="AQ494">
        <v>175</v>
      </c>
      <c r="AR494" s="122">
        <v>5468</v>
      </c>
      <c r="AS494" s="122">
        <v>4971</v>
      </c>
      <c r="AT494">
        <v>0</v>
      </c>
      <c r="AU494">
        <v>0</v>
      </c>
      <c r="AV494" s="122">
        <v>18848</v>
      </c>
    </row>
    <row r="495" spans="2:48" hidden="1">
      <c r="B495" t="s">
        <v>366</v>
      </c>
      <c r="C495" t="s">
        <v>56</v>
      </c>
      <c r="D495" t="s">
        <v>405</v>
      </c>
      <c r="E495" t="s">
        <v>425</v>
      </c>
      <c r="F495">
        <v>1</v>
      </c>
      <c r="G495" s="122">
        <v>88</v>
      </c>
      <c r="H495" s="122">
        <v>225</v>
      </c>
      <c r="I495" s="122">
        <v>9393</v>
      </c>
      <c r="J495" s="122">
        <v>8539</v>
      </c>
      <c r="K495">
        <v>92</v>
      </c>
      <c r="L495" s="122">
        <v>1662</v>
      </c>
      <c r="M495" s="122">
        <v>1511</v>
      </c>
      <c r="N495" s="122">
        <v>1076</v>
      </c>
      <c r="O495" s="122">
        <v>399</v>
      </c>
      <c r="P495" s="122">
        <v>621</v>
      </c>
      <c r="Q495" s="122">
        <v>230</v>
      </c>
      <c r="R495" s="122">
        <v>7115</v>
      </c>
      <c r="S495" s="122">
        <v>6468</v>
      </c>
      <c r="T495" s="122">
        <v>0</v>
      </c>
      <c r="U495" s="122">
        <v>0</v>
      </c>
      <c r="V495" s="122">
        <v>17146</v>
      </c>
      <c r="W495" s="122">
        <f t="shared" si="14"/>
        <v>17147</v>
      </c>
      <c r="X495" s="122">
        <f t="shared" si="15"/>
        <v>19867</v>
      </c>
      <c r="Y495" s="122"/>
      <c r="AA495" t="s">
        <v>56</v>
      </c>
      <c r="AB495" t="s">
        <v>405</v>
      </c>
      <c r="AC495" t="s">
        <v>566</v>
      </c>
      <c r="AD495" t="s">
        <v>405</v>
      </c>
      <c r="AE495" t="s">
        <v>137</v>
      </c>
      <c r="AF495">
        <v>37</v>
      </c>
      <c r="AG495" s="122">
        <v>3694</v>
      </c>
      <c r="AH495" s="122">
        <v>6812</v>
      </c>
      <c r="AI495" s="122">
        <v>391727</v>
      </c>
      <c r="AJ495" s="122">
        <v>356116</v>
      </c>
      <c r="AK495">
        <v>81</v>
      </c>
      <c r="AL495">
        <v>0</v>
      </c>
      <c r="AM495" s="122">
        <v>9664</v>
      </c>
      <c r="AN495" s="122">
        <v>81117</v>
      </c>
      <c r="AO495" s="122">
        <v>30043</v>
      </c>
      <c r="AP495" s="122">
        <v>15552</v>
      </c>
      <c r="AQ495" s="122">
        <v>5760</v>
      </c>
      <c r="AR495" s="122">
        <v>166475</v>
      </c>
      <c r="AS495" s="122">
        <v>151341</v>
      </c>
      <c r="AT495" s="122">
        <v>36586</v>
      </c>
      <c r="AU495" s="122">
        <v>13550</v>
      </c>
      <c r="AV495" s="122">
        <v>566474</v>
      </c>
    </row>
    <row r="496" spans="2:48" hidden="1">
      <c r="B496" t="s">
        <v>366</v>
      </c>
      <c r="C496" t="s">
        <v>56</v>
      </c>
      <c r="D496" t="s">
        <v>405</v>
      </c>
      <c r="E496" t="s">
        <v>405</v>
      </c>
      <c r="F496">
        <v>84</v>
      </c>
      <c r="G496" s="122">
        <v>7868</v>
      </c>
      <c r="H496" s="122">
        <v>15456</v>
      </c>
      <c r="I496" s="122">
        <v>807845</v>
      </c>
      <c r="J496" s="122">
        <v>734405</v>
      </c>
      <c r="K496">
        <v>82</v>
      </c>
      <c r="L496" s="122">
        <v>168104</v>
      </c>
      <c r="M496" s="122">
        <v>142744</v>
      </c>
      <c r="N496" s="122">
        <v>155162</v>
      </c>
      <c r="O496" s="122">
        <v>57467</v>
      </c>
      <c r="P496" s="122">
        <v>39623</v>
      </c>
      <c r="Q496" s="122">
        <v>14675</v>
      </c>
      <c r="R496" s="122">
        <v>280133</v>
      </c>
      <c r="S496" s="122">
        <v>254666</v>
      </c>
      <c r="T496" s="122">
        <v>22550</v>
      </c>
      <c r="U496" s="122">
        <v>8352</v>
      </c>
      <c r="V496" s="122">
        <v>1212310</v>
      </c>
      <c r="W496" s="122">
        <f t="shared" si="14"/>
        <v>1212309</v>
      </c>
      <c r="X496" s="122">
        <f t="shared" si="15"/>
        <v>1473417</v>
      </c>
      <c r="Y496" s="122"/>
      <c r="AA496" t="s">
        <v>56</v>
      </c>
      <c r="AB496" t="s">
        <v>405</v>
      </c>
      <c r="AC496" t="s">
        <v>566</v>
      </c>
      <c r="AD496" t="s">
        <v>405</v>
      </c>
      <c r="AE496" t="s">
        <v>566</v>
      </c>
      <c r="AF496">
        <v>146</v>
      </c>
      <c r="AG496" s="122">
        <v>13761</v>
      </c>
      <c r="AH496" s="122">
        <v>25135</v>
      </c>
      <c r="AI496" s="122">
        <v>1405651</v>
      </c>
      <c r="AJ496" s="122">
        <v>1277864</v>
      </c>
      <c r="AK496">
        <v>87</v>
      </c>
      <c r="AL496">
        <v>0</v>
      </c>
      <c r="AM496" s="122">
        <v>245038</v>
      </c>
      <c r="AN496" s="122">
        <v>312619</v>
      </c>
      <c r="AO496" s="122">
        <v>115785</v>
      </c>
      <c r="AP496" s="122">
        <v>68648</v>
      </c>
      <c r="AQ496" s="122">
        <v>25425</v>
      </c>
      <c r="AR496" s="122">
        <v>581326</v>
      </c>
      <c r="AS496" s="122">
        <v>528478</v>
      </c>
      <c r="AT496">
        <v>0</v>
      </c>
      <c r="AU496">
        <v>0</v>
      </c>
      <c r="AV496" s="122">
        <v>2192590</v>
      </c>
    </row>
    <row r="497" spans="2:48" hidden="1">
      <c r="B497" t="s">
        <v>366</v>
      </c>
      <c r="C497" t="s">
        <v>56</v>
      </c>
      <c r="D497" t="s">
        <v>405</v>
      </c>
      <c r="E497" t="s">
        <v>426</v>
      </c>
      <c r="F497">
        <v>1</v>
      </c>
      <c r="G497" s="122">
        <v>99</v>
      </c>
      <c r="H497" s="122">
        <v>171</v>
      </c>
      <c r="I497" s="122">
        <v>11146</v>
      </c>
      <c r="J497" s="122">
        <v>10132</v>
      </c>
      <c r="K497">
        <v>89</v>
      </c>
      <c r="L497" s="122">
        <v>0</v>
      </c>
      <c r="M497" s="122">
        <v>3164</v>
      </c>
      <c r="N497" s="122">
        <v>2411</v>
      </c>
      <c r="O497" s="122">
        <v>893</v>
      </c>
      <c r="P497" s="122">
        <v>473</v>
      </c>
      <c r="Q497">
        <v>175</v>
      </c>
      <c r="R497" s="122">
        <v>2884</v>
      </c>
      <c r="S497" s="122">
        <v>2622</v>
      </c>
      <c r="T497" s="122">
        <v>0</v>
      </c>
      <c r="U497" s="122">
        <v>0</v>
      </c>
      <c r="V497" s="122">
        <v>16986</v>
      </c>
      <c r="W497" s="122">
        <f t="shared" si="14"/>
        <v>16986</v>
      </c>
      <c r="X497" s="122">
        <f t="shared" si="15"/>
        <v>16914</v>
      </c>
      <c r="Y497" s="122"/>
      <c r="AA497" t="s">
        <v>56</v>
      </c>
      <c r="AB497" t="s">
        <v>405</v>
      </c>
      <c r="AC497" t="s">
        <v>566</v>
      </c>
      <c r="AD497" t="s">
        <v>407</v>
      </c>
      <c r="AE497" t="s">
        <v>137</v>
      </c>
      <c r="AF497">
        <v>1</v>
      </c>
      <c r="AG497">
        <v>73</v>
      </c>
      <c r="AH497">
        <v>171</v>
      </c>
      <c r="AI497" s="122">
        <v>6548</v>
      </c>
      <c r="AJ497" s="122">
        <v>5952</v>
      </c>
      <c r="AK497">
        <v>91</v>
      </c>
      <c r="AL497">
        <v>0</v>
      </c>
      <c r="AM497">
        <v>0</v>
      </c>
      <c r="AN497" s="122">
        <v>1778</v>
      </c>
      <c r="AO497">
        <v>659</v>
      </c>
      <c r="AP497">
        <v>621</v>
      </c>
      <c r="AQ497">
        <v>230</v>
      </c>
      <c r="AR497" s="122">
        <v>3546</v>
      </c>
      <c r="AS497" s="122">
        <v>3224</v>
      </c>
      <c r="AT497">
        <v>0</v>
      </c>
      <c r="AU497">
        <v>0</v>
      </c>
      <c r="AV497" s="122">
        <v>10065</v>
      </c>
    </row>
    <row r="498" spans="2:48" hidden="1">
      <c r="B498" t="s">
        <v>366</v>
      </c>
      <c r="C498" t="s">
        <v>56</v>
      </c>
      <c r="D498" t="s">
        <v>137</v>
      </c>
      <c r="E498" t="s">
        <v>137</v>
      </c>
      <c r="F498">
        <v>21</v>
      </c>
      <c r="G498" s="122">
        <v>2572</v>
      </c>
      <c r="H498" s="122">
        <v>4205</v>
      </c>
      <c r="I498" s="122">
        <v>259704</v>
      </c>
      <c r="J498" s="122">
        <v>96187</v>
      </c>
      <c r="K498">
        <v>114</v>
      </c>
      <c r="L498" s="122">
        <v>54084</v>
      </c>
      <c r="M498" s="122">
        <v>44446</v>
      </c>
      <c r="N498" s="122">
        <v>54976</v>
      </c>
      <c r="O498" s="122">
        <v>20361</v>
      </c>
      <c r="P498" s="122">
        <v>2370</v>
      </c>
      <c r="Q498" s="122">
        <v>878</v>
      </c>
      <c r="R498" s="122">
        <v>160075</v>
      </c>
      <c r="S498" s="122">
        <v>59287</v>
      </c>
      <c r="T498" s="122">
        <v>0</v>
      </c>
      <c r="U498" s="122">
        <v>0</v>
      </c>
      <c r="V498" s="122">
        <v>221160</v>
      </c>
      <c r="W498" s="122">
        <f t="shared" si="14"/>
        <v>221159</v>
      </c>
      <c r="X498" s="122">
        <f t="shared" si="15"/>
        <v>531209</v>
      </c>
      <c r="Y498" s="122"/>
      <c r="AA498" t="s">
        <v>56</v>
      </c>
      <c r="AB498" t="s">
        <v>405</v>
      </c>
      <c r="AC498" t="s">
        <v>566</v>
      </c>
      <c r="AD498" t="s">
        <v>426</v>
      </c>
      <c r="AE498" t="s">
        <v>566</v>
      </c>
      <c r="AF498">
        <v>1</v>
      </c>
      <c r="AG498">
        <v>99</v>
      </c>
      <c r="AH498">
        <v>171</v>
      </c>
      <c r="AI498" s="122">
        <v>11146</v>
      </c>
      <c r="AJ498" s="122">
        <v>10132</v>
      </c>
      <c r="AK498">
        <v>89</v>
      </c>
      <c r="AL498">
        <v>0</v>
      </c>
      <c r="AM498" s="122">
        <v>3164</v>
      </c>
      <c r="AN498" s="122">
        <v>2411</v>
      </c>
      <c r="AO498">
        <v>893</v>
      </c>
      <c r="AP498">
        <v>473</v>
      </c>
      <c r="AQ498">
        <v>175</v>
      </c>
      <c r="AR498" s="122">
        <v>2884</v>
      </c>
      <c r="AS498" s="122">
        <v>2622</v>
      </c>
      <c r="AT498">
        <v>0</v>
      </c>
      <c r="AU498">
        <v>0</v>
      </c>
      <c r="AV498" s="122">
        <v>16986</v>
      </c>
    </row>
    <row r="499" spans="2:48" hidden="1">
      <c r="B499" t="s">
        <v>366</v>
      </c>
      <c r="C499" t="s">
        <v>56</v>
      </c>
      <c r="D499" t="s">
        <v>406</v>
      </c>
      <c r="E499" t="s">
        <v>425</v>
      </c>
      <c r="F499">
        <v>2</v>
      </c>
      <c r="G499">
        <v>226</v>
      </c>
      <c r="H499" s="122">
        <v>390</v>
      </c>
      <c r="I499" s="122">
        <v>20227</v>
      </c>
      <c r="J499" s="122">
        <v>18388</v>
      </c>
      <c r="K499">
        <v>82</v>
      </c>
      <c r="L499" s="122">
        <v>4967</v>
      </c>
      <c r="M499" s="122">
        <v>4516</v>
      </c>
      <c r="N499" s="122">
        <v>5174</v>
      </c>
      <c r="O499" s="122">
        <v>1916</v>
      </c>
      <c r="P499" s="122">
        <v>1242</v>
      </c>
      <c r="Q499">
        <v>460</v>
      </c>
      <c r="R499" s="122">
        <v>9878</v>
      </c>
      <c r="S499" s="122">
        <v>8980</v>
      </c>
      <c r="T499" s="122">
        <v>3178</v>
      </c>
      <c r="U499" s="122">
        <v>1177</v>
      </c>
      <c r="V499" s="122">
        <v>35438</v>
      </c>
      <c r="W499" s="122">
        <f t="shared" si="14"/>
        <v>35437</v>
      </c>
      <c r="X499" s="122">
        <f t="shared" si="15"/>
        <v>44666</v>
      </c>
      <c r="Y499" s="122"/>
      <c r="AA499" t="s">
        <v>56</v>
      </c>
      <c r="AB499" t="s">
        <v>405</v>
      </c>
      <c r="AC499" t="s">
        <v>433</v>
      </c>
      <c r="AD499" t="s">
        <v>405</v>
      </c>
      <c r="AE499" t="s">
        <v>137</v>
      </c>
      <c r="AF499">
        <v>3</v>
      </c>
      <c r="AG499">
        <v>352</v>
      </c>
      <c r="AH499">
        <v>562</v>
      </c>
      <c r="AI499" s="122">
        <v>32633</v>
      </c>
      <c r="AJ499" s="122">
        <v>29666</v>
      </c>
      <c r="AK499">
        <v>84</v>
      </c>
      <c r="AL499" s="122">
        <v>8340</v>
      </c>
      <c r="AM499" s="122">
        <v>7582</v>
      </c>
      <c r="AN499" s="122">
        <v>6448</v>
      </c>
      <c r="AO499" s="122">
        <v>2388</v>
      </c>
      <c r="AP499" s="122">
        <v>1418</v>
      </c>
      <c r="AQ499">
        <v>525</v>
      </c>
      <c r="AR499" s="122">
        <v>11858</v>
      </c>
      <c r="AS499" s="122">
        <v>10780</v>
      </c>
      <c r="AT499" s="122">
        <v>5313</v>
      </c>
      <c r="AU499" s="122">
        <v>1968</v>
      </c>
      <c r="AV499" s="122">
        <v>52909</v>
      </c>
    </row>
    <row r="500" spans="2:48" hidden="1">
      <c r="B500" t="s">
        <v>366</v>
      </c>
      <c r="C500" t="s">
        <v>56</v>
      </c>
      <c r="D500" t="s">
        <v>406</v>
      </c>
      <c r="E500" t="s">
        <v>137</v>
      </c>
      <c r="F500">
        <v>6</v>
      </c>
      <c r="G500" s="122">
        <v>727</v>
      </c>
      <c r="H500" s="122">
        <v>1214</v>
      </c>
      <c r="I500" s="122">
        <v>66698</v>
      </c>
      <c r="J500" s="122">
        <v>60635</v>
      </c>
      <c r="K500">
        <v>85</v>
      </c>
      <c r="L500" s="122">
        <v>20540</v>
      </c>
      <c r="M500" s="122">
        <v>18112</v>
      </c>
      <c r="N500" s="122">
        <v>15252</v>
      </c>
      <c r="O500" s="122">
        <v>5649</v>
      </c>
      <c r="P500" s="122">
        <v>3726</v>
      </c>
      <c r="Q500" s="122">
        <v>1380</v>
      </c>
      <c r="R500" s="122">
        <v>41250</v>
      </c>
      <c r="S500" s="122">
        <v>15278</v>
      </c>
      <c r="T500" s="122">
        <v>0</v>
      </c>
      <c r="U500" s="122">
        <v>0</v>
      </c>
      <c r="V500" s="122">
        <v>101054</v>
      </c>
      <c r="W500" s="122">
        <f t="shared" si="14"/>
        <v>101054</v>
      </c>
      <c r="X500" s="122">
        <f t="shared" si="15"/>
        <v>147466</v>
      </c>
      <c r="Y500" s="122"/>
      <c r="AA500" t="s">
        <v>56</v>
      </c>
      <c r="AB500" t="s">
        <v>405</v>
      </c>
      <c r="AC500" t="s">
        <v>433</v>
      </c>
      <c r="AD500" t="s">
        <v>405</v>
      </c>
      <c r="AE500" t="s">
        <v>566</v>
      </c>
      <c r="AF500">
        <v>11</v>
      </c>
      <c r="AG500" s="122">
        <v>1158</v>
      </c>
      <c r="AH500" s="122">
        <v>2053</v>
      </c>
      <c r="AI500" s="122">
        <v>110297</v>
      </c>
      <c r="AJ500" s="122">
        <v>100270</v>
      </c>
      <c r="AK500">
        <v>86</v>
      </c>
      <c r="AL500" s="122">
        <v>23459</v>
      </c>
      <c r="AM500" s="122">
        <v>21326</v>
      </c>
      <c r="AN500" s="122">
        <v>23929</v>
      </c>
      <c r="AO500" s="122">
        <v>8863</v>
      </c>
      <c r="AP500" s="122">
        <v>6247</v>
      </c>
      <c r="AQ500" s="122">
        <v>2314</v>
      </c>
      <c r="AR500" s="122">
        <v>52715</v>
      </c>
      <c r="AS500" s="122">
        <v>47923</v>
      </c>
      <c r="AT500">
        <v>0</v>
      </c>
      <c r="AU500">
        <v>0</v>
      </c>
      <c r="AV500" s="122">
        <v>180696</v>
      </c>
    </row>
    <row r="501" spans="2:48" hidden="1">
      <c r="B501" t="s">
        <v>366</v>
      </c>
      <c r="C501" t="s">
        <v>56</v>
      </c>
      <c r="D501" t="s">
        <v>406</v>
      </c>
      <c r="E501" t="s">
        <v>406</v>
      </c>
      <c r="F501" s="122">
        <v>4468</v>
      </c>
      <c r="G501" s="122">
        <v>449556</v>
      </c>
      <c r="H501" s="122">
        <v>844168</v>
      </c>
      <c r="I501" s="122">
        <v>39547320</v>
      </c>
      <c r="J501" s="122">
        <v>35952109</v>
      </c>
      <c r="K501">
        <v>85</v>
      </c>
      <c r="L501" s="122">
        <v>9974614</v>
      </c>
      <c r="M501" s="122">
        <v>8812129</v>
      </c>
      <c r="N501" s="122">
        <v>8967302</v>
      </c>
      <c r="O501" s="122">
        <v>3321223</v>
      </c>
      <c r="P501" s="122">
        <v>2828073</v>
      </c>
      <c r="Q501" s="122">
        <v>1047434</v>
      </c>
      <c r="R501" s="122">
        <v>19590112</v>
      </c>
      <c r="S501" s="122">
        <v>17809192</v>
      </c>
      <c r="T501" s="122">
        <v>4645887</v>
      </c>
      <c r="U501" s="122">
        <v>1720699</v>
      </c>
      <c r="V501" s="122">
        <v>68662786</v>
      </c>
      <c r="W501" s="122">
        <f t="shared" si="14"/>
        <v>68662786</v>
      </c>
      <c r="X501" s="122">
        <f t="shared" si="15"/>
        <v>85553308</v>
      </c>
      <c r="Y501" s="122"/>
      <c r="AA501" t="s">
        <v>56</v>
      </c>
      <c r="AB501" t="s">
        <v>405</v>
      </c>
      <c r="AC501" t="s">
        <v>429</v>
      </c>
      <c r="AD501" t="s">
        <v>405</v>
      </c>
      <c r="AE501" t="s">
        <v>566</v>
      </c>
      <c r="AF501">
        <v>1</v>
      </c>
      <c r="AG501">
        <v>139</v>
      </c>
      <c r="AH501">
        <v>180</v>
      </c>
      <c r="AI501" s="122">
        <v>13999</v>
      </c>
      <c r="AJ501" s="122">
        <v>12726</v>
      </c>
      <c r="AK501">
        <v>86</v>
      </c>
      <c r="AL501" s="122">
        <v>1965</v>
      </c>
      <c r="AM501" s="122">
        <v>1786</v>
      </c>
      <c r="AN501" s="122">
        <v>2067</v>
      </c>
      <c r="AO501">
        <v>765</v>
      </c>
      <c r="AP501">
        <v>473</v>
      </c>
      <c r="AQ501">
        <v>175</v>
      </c>
      <c r="AR501" s="122">
        <v>6516</v>
      </c>
      <c r="AS501" s="122">
        <v>5923</v>
      </c>
      <c r="AT501">
        <v>0</v>
      </c>
      <c r="AU501">
        <v>0</v>
      </c>
      <c r="AV501" s="122">
        <v>21376</v>
      </c>
    </row>
    <row r="502" spans="2:48" hidden="1">
      <c r="B502" t="s">
        <v>366</v>
      </c>
      <c r="C502" t="s">
        <v>56</v>
      </c>
      <c r="D502" t="s">
        <v>406</v>
      </c>
      <c r="E502" t="s">
        <v>427</v>
      </c>
      <c r="F502">
        <v>3</v>
      </c>
      <c r="G502">
        <v>343</v>
      </c>
      <c r="H502" s="122">
        <v>473</v>
      </c>
      <c r="I502" s="122">
        <v>27263</v>
      </c>
      <c r="J502" s="122">
        <v>24784</v>
      </c>
      <c r="K502">
        <v>85</v>
      </c>
      <c r="L502" s="122">
        <v>3910</v>
      </c>
      <c r="M502" s="122">
        <v>3555</v>
      </c>
      <c r="N502" s="122">
        <v>6129</v>
      </c>
      <c r="O502" s="122">
        <v>2270</v>
      </c>
      <c r="P502" s="122">
        <v>1863</v>
      </c>
      <c r="Q502" s="122">
        <v>690</v>
      </c>
      <c r="R502" s="122">
        <v>12427</v>
      </c>
      <c r="S502" s="122">
        <v>11297</v>
      </c>
      <c r="T502" s="122">
        <v>2604</v>
      </c>
      <c r="U502" s="122">
        <v>964</v>
      </c>
      <c r="V502" s="122">
        <v>43560</v>
      </c>
      <c r="W502" s="122">
        <f t="shared" si="14"/>
        <v>43560</v>
      </c>
      <c r="X502" s="122">
        <f t="shared" si="15"/>
        <v>54196</v>
      </c>
      <c r="Y502" s="122"/>
      <c r="AA502" t="s">
        <v>56</v>
      </c>
      <c r="AB502" t="s">
        <v>137</v>
      </c>
      <c r="AC502" t="s">
        <v>425</v>
      </c>
      <c r="AD502" t="s">
        <v>137</v>
      </c>
      <c r="AE502" t="s">
        <v>566</v>
      </c>
      <c r="AF502">
        <v>4</v>
      </c>
      <c r="AG502">
        <v>553</v>
      </c>
      <c r="AH502">
        <v>853</v>
      </c>
      <c r="AI502" s="122">
        <v>79990</v>
      </c>
      <c r="AJ502" s="122">
        <v>29626</v>
      </c>
      <c r="AK502">
        <v>138</v>
      </c>
      <c r="AL502" s="122">
        <v>6912</v>
      </c>
      <c r="AM502" s="122">
        <v>6283</v>
      </c>
      <c r="AN502" s="122">
        <v>8858</v>
      </c>
      <c r="AO502" s="122">
        <v>3281</v>
      </c>
      <c r="AP502" s="122">
        <v>3059</v>
      </c>
      <c r="AQ502" s="122">
        <v>1133</v>
      </c>
      <c r="AR502" s="122">
        <v>26245</v>
      </c>
      <c r="AS502" s="122">
        <v>9721</v>
      </c>
      <c r="AT502">
        <v>0</v>
      </c>
      <c r="AU502">
        <v>0</v>
      </c>
      <c r="AV502" s="122">
        <v>50044</v>
      </c>
    </row>
    <row r="503" spans="2:48" hidden="1">
      <c r="B503" t="s">
        <v>366</v>
      </c>
      <c r="C503" t="s">
        <v>56</v>
      </c>
      <c r="D503" t="s">
        <v>406</v>
      </c>
      <c r="E503" t="s">
        <v>426</v>
      </c>
      <c r="F503">
        <v>1</v>
      </c>
      <c r="G503" s="122">
        <v>117</v>
      </c>
      <c r="H503" s="122">
        <v>186</v>
      </c>
      <c r="I503" s="122">
        <v>11552</v>
      </c>
      <c r="J503" s="122">
        <v>10502</v>
      </c>
      <c r="K503">
        <v>86</v>
      </c>
      <c r="L503" s="122">
        <v>1900</v>
      </c>
      <c r="M503" s="122">
        <v>1727</v>
      </c>
      <c r="N503" s="122">
        <v>1574</v>
      </c>
      <c r="O503" s="122">
        <v>583</v>
      </c>
      <c r="P503" s="122">
        <v>621</v>
      </c>
      <c r="Q503" s="122">
        <v>230</v>
      </c>
      <c r="R503" s="122">
        <v>3420</v>
      </c>
      <c r="S503" s="122">
        <v>3109</v>
      </c>
      <c r="T503" s="122">
        <v>2822</v>
      </c>
      <c r="U503" s="122">
        <v>1045</v>
      </c>
      <c r="V503" s="122">
        <v>17196</v>
      </c>
      <c r="W503" s="122">
        <f t="shared" si="14"/>
        <v>17196</v>
      </c>
      <c r="X503" s="122">
        <f t="shared" si="15"/>
        <v>21889</v>
      </c>
      <c r="Y503" s="122"/>
      <c r="AA503" t="s">
        <v>56</v>
      </c>
      <c r="AB503" t="s">
        <v>137</v>
      </c>
      <c r="AC503" t="s">
        <v>405</v>
      </c>
      <c r="AD503" t="s">
        <v>137</v>
      </c>
      <c r="AE503" t="s">
        <v>566</v>
      </c>
      <c r="AF503">
        <v>1</v>
      </c>
      <c r="AG503">
        <v>111</v>
      </c>
      <c r="AH503">
        <v>219</v>
      </c>
      <c r="AI503" s="122">
        <v>13981</v>
      </c>
      <c r="AJ503" s="122">
        <v>5178</v>
      </c>
      <c r="AK503">
        <v>100</v>
      </c>
      <c r="AL503">
        <v>954</v>
      </c>
      <c r="AM503">
        <v>868</v>
      </c>
      <c r="AN503" s="122">
        <v>1348</v>
      </c>
      <c r="AO503">
        <v>499</v>
      </c>
      <c r="AP503">
        <v>0</v>
      </c>
      <c r="AQ503">
        <v>0</v>
      </c>
      <c r="AR503" s="122">
        <v>7883</v>
      </c>
      <c r="AS503" s="122">
        <v>2920</v>
      </c>
      <c r="AT503">
        <v>0</v>
      </c>
      <c r="AU503">
        <v>0</v>
      </c>
      <c r="AV503" s="122">
        <v>9464</v>
      </c>
    </row>
    <row r="504" spans="2:48" hidden="1">
      <c r="B504" t="s">
        <v>366</v>
      </c>
      <c r="C504" t="s">
        <v>56</v>
      </c>
      <c r="D504" t="s">
        <v>427</v>
      </c>
      <c r="E504" t="s">
        <v>427</v>
      </c>
      <c r="F504">
        <v>2</v>
      </c>
      <c r="G504" s="122">
        <v>254</v>
      </c>
      <c r="H504" s="122">
        <v>403</v>
      </c>
      <c r="I504" s="122">
        <v>28757</v>
      </c>
      <c r="J504" s="122">
        <v>26142</v>
      </c>
      <c r="K504">
        <v>65</v>
      </c>
      <c r="L504" s="122">
        <v>3265</v>
      </c>
      <c r="M504" s="122">
        <v>6182</v>
      </c>
      <c r="N504" s="122">
        <v>3858</v>
      </c>
      <c r="O504" s="122">
        <v>1429</v>
      </c>
      <c r="P504" s="122">
        <v>702</v>
      </c>
      <c r="Q504" s="122">
        <v>260</v>
      </c>
      <c r="R504" s="122">
        <v>11793</v>
      </c>
      <c r="S504" s="122">
        <v>10721</v>
      </c>
      <c r="T504" s="122">
        <v>2995</v>
      </c>
      <c r="U504" s="122">
        <v>1109</v>
      </c>
      <c r="V504" s="122">
        <v>45844</v>
      </c>
      <c r="W504" s="122">
        <f t="shared" si="14"/>
        <v>45843</v>
      </c>
      <c r="X504" s="122">
        <f t="shared" si="15"/>
        <v>51370</v>
      </c>
      <c r="Y504" s="122"/>
      <c r="AA504" t="s">
        <v>56</v>
      </c>
      <c r="AB504" t="s">
        <v>137</v>
      </c>
      <c r="AC504" t="s">
        <v>137</v>
      </c>
      <c r="AD504" t="s">
        <v>137</v>
      </c>
      <c r="AE504" t="s">
        <v>137</v>
      </c>
      <c r="AF504">
        <v>41</v>
      </c>
      <c r="AG504" s="122">
        <v>4108</v>
      </c>
      <c r="AH504" s="122">
        <v>7972</v>
      </c>
      <c r="AI504" s="122">
        <v>380446</v>
      </c>
      <c r="AJ504" s="122">
        <v>140906</v>
      </c>
      <c r="AK504">
        <v>107</v>
      </c>
      <c r="AL504" s="122">
        <v>68706</v>
      </c>
      <c r="AM504" s="122">
        <v>25447</v>
      </c>
      <c r="AN504" s="122">
        <v>75694</v>
      </c>
      <c r="AO504" s="122">
        <v>28035</v>
      </c>
      <c r="AP504">
        <v>351</v>
      </c>
      <c r="AQ504">
        <v>130</v>
      </c>
      <c r="AR504" s="122">
        <v>287418</v>
      </c>
      <c r="AS504" s="122">
        <v>106451</v>
      </c>
      <c r="AT504" s="122">
        <v>7222</v>
      </c>
      <c r="AU504" s="122">
        <v>2675</v>
      </c>
      <c r="AV504" s="122">
        <v>303643</v>
      </c>
    </row>
    <row r="505" spans="2:48" hidden="1">
      <c r="B505" t="s">
        <v>366</v>
      </c>
      <c r="C505" t="s">
        <v>56</v>
      </c>
      <c r="D505" t="s">
        <v>407</v>
      </c>
      <c r="E505" t="s">
        <v>407</v>
      </c>
      <c r="F505">
        <v>12</v>
      </c>
      <c r="G505" s="122">
        <v>1174</v>
      </c>
      <c r="H505" s="122">
        <v>2142</v>
      </c>
      <c r="I505" s="122">
        <v>100633</v>
      </c>
      <c r="J505" s="122">
        <v>91484</v>
      </c>
      <c r="K505">
        <v>81</v>
      </c>
      <c r="L505" s="122">
        <v>25176</v>
      </c>
      <c r="M505" s="122">
        <v>22621</v>
      </c>
      <c r="N505" s="122">
        <v>26082</v>
      </c>
      <c r="O505" s="122">
        <v>9660</v>
      </c>
      <c r="P505" s="122">
        <v>5670</v>
      </c>
      <c r="Q505" s="122">
        <v>2100</v>
      </c>
      <c r="R505" s="122">
        <v>52428</v>
      </c>
      <c r="S505" s="122">
        <v>47661</v>
      </c>
      <c r="T505" s="122">
        <v>6034</v>
      </c>
      <c r="U505" s="122">
        <v>2235</v>
      </c>
      <c r="V505" s="122">
        <v>175762</v>
      </c>
      <c r="W505" s="122">
        <f t="shared" si="14"/>
        <v>175761</v>
      </c>
      <c r="X505" s="122">
        <f t="shared" si="15"/>
        <v>216023</v>
      </c>
      <c r="Y505" s="122"/>
      <c r="AA505" t="s">
        <v>56</v>
      </c>
      <c r="AB505" t="s">
        <v>137</v>
      </c>
      <c r="AC505" t="s">
        <v>137</v>
      </c>
      <c r="AD505" t="s">
        <v>137</v>
      </c>
      <c r="AE505" t="s">
        <v>566</v>
      </c>
      <c r="AF505" s="122">
        <v>1066</v>
      </c>
      <c r="AG505" s="122">
        <v>103169</v>
      </c>
      <c r="AH505" s="122">
        <v>215742</v>
      </c>
      <c r="AI505" s="122">
        <v>9502088</v>
      </c>
      <c r="AJ505" s="122">
        <v>3519292</v>
      </c>
      <c r="AK505">
        <v>103</v>
      </c>
      <c r="AL505" s="122">
        <v>1896177</v>
      </c>
      <c r="AM505" s="122">
        <v>702288</v>
      </c>
      <c r="AN505" s="122">
        <v>2019668</v>
      </c>
      <c r="AO505" s="122">
        <v>748025</v>
      </c>
      <c r="AP505" s="122">
        <v>15951</v>
      </c>
      <c r="AQ505" s="122">
        <v>5908</v>
      </c>
      <c r="AR505" s="122">
        <v>7727281</v>
      </c>
      <c r="AS505" s="122">
        <v>2861956</v>
      </c>
      <c r="AT505">
        <v>0</v>
      </c>
      <c r="AU505">
        <v>0</v>
      </c>
      <c r="AV505" s="122">
        <v>7837469</v>
      </c>
    </row>
    <row r="506" spans="2:48" hidden="1">
      <c r="B506" t="s">
        <v>366</v>
      </c>
      <c r="C506" t="s">
        <v>56</v>
      </c>
      <c r="D506" t="s">
        <v>426</v>
      </c>
      <c r="E506" t="s">
        <v>426</v>
      </c>
      <c r="F506">
        <v>7</v>
      </c>
      <c r="G506" s="122">
        <v>637</v>
      </c>
      <c r="H506" s="122">
        <v>1473</v>
      </c>
      <c r="I506" s="122">
        <v>67126</v>
      </c>
      <c r="J506" s="122">
        <v>61023</v>
      </c>
      <c r="K506">
        <v>67</v>
      </c>
      <c r="L506" s="122">
        <v>8051</v>
      </c>
      <c r="M506" s="122">
        <v>6818</v>
      </c>
      <c r="N506" s="122">
        <v>12202</v>
      </c>
      <c r="O506" s="122">
        <v>4519</v>
      </c>
      <c r="P506" s="122">
        <v>2727</v>
      </c>
      <c r="Q506" s="122">
        <v>1010</v>
      </c>
      <c r="R506" s="122">
        <v>28583</v>
      </c>
      <c r="S506" s="122">
        <v>25985</v>
      </c>
      <c r="T506" s="122">
        <v>14249</v>
      </c>
      <c r="U506" s="122">
        <v>5277</v>
      </c>
      <c r="V506" s="122">
        <v>104632</v>
      </c>
      <c r="W506" s="122">
        <f t="shared" si="14"/>
        <v>104632</v>
      </c>
      <c r="X506" s="122">
        <f t="shared" si="15"/>
        <v>132938</v>
      </c>
      <c r="Y506" s="122"/>
      <c r="AA506" t="s">
        <v>56</v>
      </c>
      <c r="AB506" t="s">
        <v>137</v>
      </c>
      <c r="AC506" t="s">
        <v>137</v>
      </c>
      <c r="AD506" t="s">
        <v>579</v>
      </c>
      <c r="AE506" t="s">
        <v>566</v>
      </c>
      <c r="AF506">
        <v>1</v>
      </c>
      <c r="AG506">
        <v>77</v>
      </c>
      <c r="AH506">
        <v>224</v>
      </c>
      <c r="AI506" s="122">
        <v>7288</v>
      </c>
      <c r="AJ506" s="122">
        <v>2699</v>
      </c>
      <c r="AK506">
        <v>100</v>
      </c>
      <c r="AL506" s="122">
        <v>6073</v>
      </c>
      <c r="AM506" s="122">
        <v>2249</v>
      </c>
      <c r="AN506" s="122">
        <v>1003</v>
      </c>
      <c r="AO506">
        <v>372</v>
      </c>
      <c r="AP506">
        <v>0</v>
      </c>
      <c r="AQ506">
        <v>0</v>
      </c>
      <c r="AR506" s="122">
        <v>2861</v>
      </c>
      <c r="AS506" s="122">
        <v>2385</v>
      </c>
      <c r="AT506">
        <v>0</v>
      </c>
      <c r="AU506">
        <v>0</v>
      </c>
      <c r="AV506" s="122">
        <v>7705</v>
      </c>
    </row>
    <row r="507" spans="2:48" hidden="1">
      <c r="B507" t="s">
        <v>366</v>
      </c>
      <c r="C507" t="s">
        <v>58</v>
      </c>
      <c r="F507">
        <v>21</v>
      </c>
      <c r="G507" s="122">
        <v>1321</v>
      </c>
      <c r="H507" s="122">
        <v>5250</v>
      </c>
      <c r="I507" s="122"/>
      <c r="J507" s="122">
        <v>0</v>
      </c>
      <c r="L507" s="122"/>
      <c r="M507" s="122">
        <v>0</v>
      </c>
      <c r="N507" s="122">
        <v>29639</v>
      </c>
      <c r="O507" s="122">
        <v>10977</v>
      </c>
      <c r="P507" s="122">
        <v>13446</v>
      </c>
      <c r="Q507" s="122">
        <v>4980</v>
      </c>
      <c r="R507" s="122"/>
      <c r="S507" s="122">
        <v>0</v>
      </c>
      <c r="T507" s="122">
        <v>0</v>
      </c>
      <c r="U507" s="122">
        <v>0</v>
      </c>
      <c r="V507" s="122">
        <v>15957</v>
      </c>
      <c r="W507" s="122">
        <f t="shared" si="14"/>
        <v>15957</v>
      </c>
      <c r="X507" s="122">
        <f t="shared" si="15"/>
        <v>43085</v>
      </c>
      <c r="Y507" s="122"/>
      <c r="AA507" t="s">
        <v>56</v>
      </c>
      <c r="AB507" t="s">
        <v>137</v>
      </c>
      <c r="AC507" t="s">
        <v>137</v>
      </c>
      <c r="AD507" t="s">
        <v>426</v>
      </c>
      <c r="AE507" t="s">
        <v>137</v>
      </c>
      <c r="AF507">
        <v>1</v>
      </c>
      <c r="AG507">
        <v>77</v>
      </c>
      <c r="AH507">
        <v>223</v>
      </c>
      <c r="AI507" s="122">
        <v>8989</v>
      </c>
      <c r="AJ507" s="122">
        <v>3329</v>
      </c>
      <c r="AK507">
        <v>100</v>
      </c>
      <c r="AL507" s="122">
        <v>3329</v>
      </c>
      <c r="AM507" s="122">
        <v>1233</v>
      </c>
      <c r="AN507">
        <v>937</v>
      </c>
      <c r="AO507">
        <v>347</v>
      </c>
      <c r="AP507">
        <v>0</v>
      </c>
      <c r="AQ507">
        <v>0</v>
      </c>
      <c r="AR507" s="122">
        <v>3854</v>
      </c>
      <c r="AS507" s="122">
        <v>3503</v>
      </c>
      <c r="AT507">
        <v>0</v>
      </c>
      <c r="AU507">
        <v>0</v>
      </c>
      <c r="AV507" s="122">
        <v>8413</v>
      </c>
    </row>
    <row r="508" spans="2:48" hidden="1">
      <c r="B508" t="s">
        <v>366</v>
      </c>
      <c r="C508" t="s">
        <v>58</v>
      </c>
      <c r="D508" t="s">
        <v>425</v>
      </c>
      <c r="E508" t="s">
        <v>425</v>
      </c>
      <c r="F508">
        <v>1</v>
      </c>
      <c r="G508">
        <v>65</v>
      </c>
      <c r="H508" s="122">
        <v>279</v>
      </c>
      <c r="I508" s="122">
        <v>8598</v>
      </c>
      <c r="J508" s="122">
        <v>7816</v>
      </c>
      <c r="K508">
        <v>73</v>
      </c>
      <c r="L508" s="122">
        <v>2210</v>
      </c>
      <c r="M508" s="122">
        <v>2009</v>
      </c>
      <c r="N508" s="122">
        <v>1342</v>
      </c>
      <c r="O508" s="122">
        <v>497</v>
      </c>
      <c r="P508" s="122">
        <v>473</v>
      </c>
      <c r="Q508">
        <v>175</v>
      </c>
      <c r="R508" s="122">
        <v>5420</v>
      </c>
      <c r="S508" s="122">
        <v>4927</v>
      </c>
      <c r="T508" s="122">
        <v>0</v>
      </c>
      <c r="U508" s="122">
        <v>0</v>
      </c>
      <c r="V508" s="122">
        <v>15424</v>
      </c>
      <c r="W508" s="122">
        <f t="shared" si="14"/>
        <v>15424</v>
      </c>
      <c r="X508" s="122">
        <f t="shared" si="15"/>
        <v>18043</v>
      </c>
      <c r="Y508" s="122"/>
      <c r="AA508" t="s">
        <v>56</v>
      </c>
      <c r="AB508" t="s">
        <v>137</v>
      </c>
      <c r="AC508" t="s">
        <v>137</v>
      </c>
      <c r="AD508" t="s">
        <v>426</v>
      </c>
      <c r="AE508" t="s">
        <v>566</v>
      </c>
      <c r="AF508">
        <v>1</v>
      </c>
      <c r="AG508">
        <v>70</v>
      </c>
      <c r="AH508">
        <v>204</v>
      </c>
      <c r="AI508" s="122">
        <v>8962</v>
      </c>
      <c r="AJ508" s="122">
        <v>3319</v>
      </c>
      <c r="AK508">
        <v>100</v>
      </c>
      <c r="AL508" s="122">
        <v>1660</v>
      </c>
      <c r="AM508">
        <v>615</v>
      </c>
      <c r="AN508">
        <v>858</v>
      </c>
      <c r="AO508">
        <v>318</v>
      </c>
      <c r="AP508">
        <v>0</v>
      </c>
      <c r="AQ508">
        <v>0</v>
      </c>
      <c r="AR508" s="122">
        <v>2909</v>
      </c>
      <c r="AS508" s="122">
        <v>2645</v>
      </c>
      <c r="AT508">
        <v>0</v>
      </c>
      <c r="AU508">
        <v>0</v>
      </c>
      <c r="AV508" s="122">
        <v>6897</v>
      </c>
    </row>
    <row r="509" spans="2:48" hidden="1">
      <c r="B509" t="s">
        <v>366</v>
      </c>
      <c r="C509" t="s">
        <v>58</v>
      </c>
      <c r="D509" t="s">
        <v>425</v>
      </c>
      <c r="E509" t="s">
        <v>406</v>
      </c>
      <c r="F509">
        <v>2</v>
      </c>
      <c r="G509">
        <v>153</v>
      </c>
      <c r="H509">
        <v>478</v>
      </c>
      <c r="I509" s="122">
        <v>17005</v>
      </c>
      <c r="J509" s="122">
        <v>15459</v>
      </c>
      <c r="K509">
        <v>85</v>
      </c>
      <c r="L509" s="122">
        <v>4117</v>
      </c>
      <c r="M509" s="122">
        <v>3743</v>
      </c>
      <c r="N509" s="122">
        <v>2977</v>
      </c>
      <c r="O509" s="122">
        <v>1102</v>
      </c>
      <c r="P509" s="122">
        <v>1593</v>
      </c>
      <c r="Q509">
        <v>590</v>
      </c>
      <c r="R509" s="122">
        <v>6463</v>
      </c>
      <c r="S509" s="122">
        <v>5876</v>
      </c>
      <c r="T509" s="122">
        <v>4321</v>
      </c>
      <c r="U509" s="122">
        <v>1600</v>
      </c>
      <c r="V509" s="122">
        <v>28370</v>
      </c>
      <c r="W509" s="122">
        <f t="shared" si="14"/>
        <v>28370</v>
      </c>
      <c r="X509" s="122">
        <f t="shared" si="15"/>
        <v>36476</v>
      </c>
      <c r="Y509" s="122"/>
      <c r="AA509" t="s">
        <v>56</v>
      </c>
      <c r="AB509" t="s">
        <v>137</v>
      </c>
      <c r="AC509" t="s">
        <v>580</v>
      </c>
      <c r="AD509" t="s">
        <v>137</v>
      </c>
      <c r="AE509" t="s">
        <v>566</v>
      </c>
      <c r="AF509">
        <v>4</v>
      </c>
      <c r="AG509">
        <v>401</v>
      </c>
      <c r="AH509">
        <v>810</v>
      </c>
      <c r="AI509" s="122">
        <v>31989</v>
      </c>
      <c r="AJ509" s="122">
        <v>11848</v>
      </c>
      <c r="AK509">
        <v>201</v>
      </c>
      <c r="AL509" s="122">
        <v>4739</v>
      </c>
      <c r="AM509" s="122">
        <v>4308</v>
      </c>
      <c r="AN509" s="122">
        <v>6958</v>
      </c>
      <c r="AO509" s="122">
        <v>2577</v>
      </c>
      <c r="AP509" s="122">
        <v>1156</v>
      </c>
      <c r="AQ509">
        <v>428</v>
      </c>
      <c r="AR509" s="122">
        <v>33669</v>
      </c>
      <c r="AS509" s="122">
        <v>12470</v>
      </c>
      <c r="AT509">
        <v>0</v>
      </c>
      <c r="AU509">
        <v>0</v>
      </c>
      <c r="AV509" s="122">
        <v>31631</v>
      </c>
    </row>
    <row r="510" spans="2:48" hidden="1">
      <c r="B510" t="s">
        <v>366</v>
      </c>
      <c r="C510" t="s">
        <v>58</v>
      </c>
      <c r="D510" t="s">
        <v>405</v>
      </c>
      <c r="E510" t="s">
        <v>405</v>
      </c>
      <c r="F510">
        <v>35</v>
      </c>
      <c r="G510" s="122">
        <v>3167</v>
      </c>
      <c r="H510" s="122">
        <v>9232</v>
      </c>
      <c r="I510" s="122">
        <v>480760</v>
      </c>
      <c r="J510" s="122">
        <v>437054</v>
      </c>
      <c r="K510">
        <v>74</v>
      </c>
      <c r="L510" s="122">
        <v>125940</v>
      </c>
      <c r="M510" s="122">
        <v>112753</v>
      </c>
      <c r="N510" s="122">
        <v>72004</v>
      </c>
      <c r="O510" s="122">
        <v>26668</v>
      </c>
      <c r="P510" s="122">
        <v>16754</v>
      </c>
      <c r="Q510" s="122">
        <v>6205</v>
      </c>
      <c r="R510" s="122">
        <v>144141</v>
      </c>
      <c r="S510" s="122">
        <v>131037</v>
      </c>
      <c r="T510" s="122">
        <v>36253</v>
      </c>
      <c r="U510" s="122">
        <v>13427</v>
      </c>
      <c r="V510" s="122">
        <v>727145</v>
      </c>
      <c r="W510" s="122">
        <f t="shared" si="14"/>
        <v>727144</v>
      </c>
      <c r="X510" s="122">
        <f t="shared" si="15"/>
        <v>875852</v>
      </c>
      <c r="Y510" s="122"/>
      <c r="AA510" t="s">
        <v>56</v>
      </c>
      <c r="AB510" t="s">
        <v>137</v>
      </c>
      <c r="AC510" t="s">
        <v>427</v>
      </c>
      <c r="AD510" t="s">
        <v>137</v>
      </c>
      <c r="AE510" t="s">
        <v>137</v>
      </c>
      <c r="AF510">
        <v>2</v>
      </c>
      <c r="AG510">
        <v>215</v>
      </c>
      <c r="AH510">
        <v>415</v>
      </c>
      <c r="AI510" s="122">
        <v>21017</v>
      </c>
      <c r="AJ510" s="122">
        <v>7784</v>
      </c>
      <c r="AK510">
        <v>228</v>
      </c>
      <c r="AL510" s="122">
        <v>3471</v>
      </c>
      <c r="AM510" s="122">
        <v>3155</v>
      </c>
      <c r="AN510" s="122">
        <v>4706</v>
      </c>
      <c r="AO510" s="122">
        <v>1743</v>
      </c>
      <c r="AP510">
        <v>180</v>
      </c>
      <c r="AQ510">
        <v>67</v>
      </c>
      <c r="AR510" s="122">
        <v>15006</v>
      </c>
      <c r="AS510" s="122">
        <v>5558</v>
      </c>
      <c r="AT510">
        <v>0</v>
      </c>
      <c r="AU510">
        <v>0</v>
      </c>
      <c r="AV510" s="122">
        <v>18307</v>
      </c>
    </row>
    <row r="511" spans="2:48" hidden="1">
      <c r="B511" t="s">
        <v>366</v>
      </c>
      <c r="C511" t="s">
        <v>58</v>
      </c>
      <c r="D511" t="s">
        <v>137</v>
      </c>
      <c r="E511" t="s">
        <v>137</v>
      </c>
      <c r="F511">
        <v>97</v>
      </c>
      <c r="G511" s="122">
        <v>10072</v>
      </c>
      <c r="H511" s="122">
        <v>25704</v>
      </c>
      <c r="I511" s="122">
        <v>1474531</v>
      </c>
      <c r="J511" s="122">
        <v>546122</v>
      </c>
      <c r="K511">
        <v>100</v>
      </c>
      <c r="L511" s="122">
        <v>285697</v>
      </c>
      <c r="M511" s="122">
        <v>239481</v>
      </c>
      <c r="N511" s="122">
        <v>230683</v>
      </c>
      <c r="O511" s="122">
        <v>85438</v>
      </c>
      <c r="P511" s="122">
        <v>621</v>
      </c>
      <c r="Q511" s="122">
        <v>230</v>
      </c>
      <c r="R511" s="122">
        <v>674048</v>
      </c>
      <c r="S511" s="122">
        <v>249647</v>
      </c>
      <c r="T511">
        <v>0</v>
      </c>
      <c r="U511">
        <v>0</v>
      </c>
      <c r="V511" s="122">
        <v>1120919</v>
      </c>
      <c r="W511" s="122">
        <f t="shared" si="14"/>
        <v>1120918</v>
      </c>
      <c r="X511" s="122">
        <f t="shared" si="15"/>
        <v>2665580</v>
      </c>
      <c r="Y511" s="122"/>
      <c r="AA511" t="s">
        <v>56</v>
      </c>
      <c r="AB511" t="s">
        <v>137</v>
      </c>
      <c r="AC511" t="s">
        <v>427</v>
      </c>
      <c r="AD511" t="s">
        <v>137</v>
      </c>
      <c r="AE511" t="s">
        <v>566</v>
      </c>
      <c r="AF511">
        <v>29</v>
      </c>
      <c r="AG511" s="122">
        <v>2850</v>
      </c>
      <c r="AH511" s="122">
        <v>5752</v>
      </c>
      <c r="AI511" s="122">
        <v>302956</v>
      </c>
      <c r="AJ511" s="122">
        <v>112206</v>
      </c>
      <c r="AK511">
        <v>199</v>
      </c>
      <c r="AL511" s="122">
        <v>54620</v>
      </c>
      <c r="AM511" s="122">
        <v>49655</v>
      </c>
      <c r="AN511" s="122">
        <v>55332</v>
      </c>
      <c r="AO511" s="122">
        <v>20493</v>
      </c>
      <c r="AP511" s="122">
        <v>5684</v>
      </c>
      <c r="AQ511" s="122">
        <v>2105</v>
      </c>
      <c r="AR511" s="122">
        <v>182158</v>
      </c>
      <c r="AS511" s="122">
        <v>67466</v>
      </c>
      <c r="AT511">
        <v>0</v>
      </c>
      <c r="AU511">
        <v>0</v>
      </c>
      <c r="AV511" s="122">
        <v>251925</v>
      </c>
    </row>
    <row r="512" spans="2:48" hidden="1">
      <c r="B512" t="s">
        <v>366</v>
      </c>
      <c r="C512" t="s">
        <v>58</v>
      </c>
      <c r="D512" t="s">
        <v>137</v>
      </c>
      <c r="E512" t="s">
        <v>406</v>
      </c>
      <c r="F512">
        <v>1</v>
      </c>
      <c r="G512" s="122">
        <v>193</v>
      </c>
      <c r="H512" s="122">
        <v>238</v>
      </c>
      <c r="I512" s="122">
        <v>26757</v>
      </c>
      <c r="J512" s="122">
        <v>9910</v>
      </c>
      <c r="K512">
        <v>100</v>
      </c>
      <c r="L512" s="122">
        <v>9084</v>
      </c>
      <c r="M512" s="122">
        <v>8258</v>
      </c>
      <c r="N512" s="122">
        <v>4234</v>
      </c>
      <c r="O512" s="122">
        <v>1568</v>
      </c>
      <c r="P512" s="122">
        <v>621</v>
      </c>
      <c r="Q512" s="122">
        <v>230</v>
      </c>
      <c r="R512" s="122">
        <v>5315</v>
      </c>
      <c r="S512" s="122">
        <v>4832</v>
      </c>
      <c r="T512">
        <v>0</v>
      </c>
      <c r="U512">
        <v>0</v>
      </c>
      <c r="V512" s="122">
        <v>24799</v>
      </c>
      <c r="W512" s="122">
        <f t="shared" si="14"/>
        <v>24798</v>
      </c>
      <c r="X512" s="122">
        <f t="shared" si="15"/>
        <v>46011</v>
      </c>
      <c r="Y512" s="122"/>
      <c r="AA512" t="s">
        <v>56</v>
      </c>
      <c r="AB512" t="s">
        <v>137</v>
      </c>
      <c r="AC512" t="s">
        <v>427</v>
      </c>
      <c r="AD512" t="s">
        <v>427</v>
      </c>
      <c r="AE512" t="s">
        <v>137</v>
      </c>
      <c r="AF512">
        <v>1</v>
      </c>
      <c r="AG512">
        <v>37</v>
      </c>
      <c r="AH512">
        <v>225</v>
      </c>
      <c r="AI512" s="122">
        <v>2687</v>
      </c>
      <c r="AJ512">
        <v>995</v>
      </c>
      <c r="AK512">
        <v>250</v>
      </c>
      <c r="AL512">
        <v>507</v>
      </c>
      <c r="AM512">
        <v>461</v>
      </c>
      <c r="AN512">
        <v>445</v>
      </c>
      <c r="AO512">
        <v>165</v>
      </c>
      <c r="AP512">
        <v>351</v>
      </c>
      <c r="AQ512">
        <v>130</v>
      </c>
      <c r="AR512" s="122">
        <v>2760</v>
      </c>
      <c r="AS512" s="122">
        <v>2509</v>
      </c>
      <c r="AT512" s="122">
        <v>1459</v>
      </c>
      <c r="AU512">
        <v>540</v>
      </c>
      <c r="AV512" s="122">
        <v>4800</v>
      </c>
    </row>
    <row r="513" spans="2:48" hidden="1">
      <c r="B513" t="s">
        <v>366</v>
      </c>
      <c r="C513" t="s">
        <v>58</v>
      </c>
      <c r="D513" t="s">
        <v>137</v>
      </c>
      <c r="E513" t="s">
        <v>427</v>
      </c>
      <c r="F513">
        <v>1</v>
      </c>
      <c r="G513" s="122">
        <v>81</v>
      </c>
      <c r="H513" s="122">
        <v>265</v>
      </c>
      <c r="I513" s="122">
        <v>11009</v>
      </c>
      <c r="J513" s="122">
        <v>4077</v>
      </c>
      <c r="K513">
        <v>100</v>
      </c>
      <c r="L513" s="122">
        <v>1107</v>
      </c>
      <c r="M513" s="122">
        <v>1007</v>
      </c>
      <c r="N513" s="122">
        <v>1289</v>
      </c>
      <c r="O513" s="122">
        <v>477</v>
      </c>
      <c r="P513" s="122">
        <v>0</v>
      </c>
      <c r="Q513" s="122">
        <v>0</v>
      </c>
      <c r="R513" s="122">
        <v>6013</v>
      </c>
      <c r="S513" s="122">
        <v>5467</v>
      </c>
      <c r="T513" s="122">
        <v>2184</v>
      </c>
      <c r="U513">
        <v>809</v>
      </c>
      <c r="V513" s="122">
        <v>11837</v>
      </c>
      <c r="W513" s="122">
        <f t="shared" si="14"/>
        <v>11837</v>
      </c>
      <c r="X513" s="122">
        <f t="shared" si="15"/>
        <v>21602</v>
      </c>
      <c r="Y513" s="122"/>
      <c r="AA513" t="s">
        <v>56</v>
      </c>
      <c r="AB513" t="s">
        <v>137</v>
      </c>
      <c r="AC513" t="s">
        <v>407</v>
      </c>
      <c r="AD513" t="s">
        <v>137</v>
      </c>
      <c r="AE513" t="s">
        <v>137</v>
      </c>
      <c r="AF513">
        <v>1</v>
      </c>
      <c r="AG513">
        <v>103</v>
      </c>
      <c r="AH513">
        <v>193</v>
      </c>
      <c r="AI513" s="122">
        <v>8160</v>
      </c>
      <c r="AJ513" s="122">
        <v>3022</v>
      </c>
      <c r="AK513">
        <v>100</v>
      </c>
      <c r="AL513">
        <v>586</v>
      </c>
      <c r="AM513">
        <v>533</v>
      </c>
      <c r="AN513" s="122">
        <v>2371</v>
      </c>
      <c r="AO513">
        <v>878</v>
      </c>
      <c r="AP513">
        <v>0</v>
      </c>
      <c r="AQ513">
        <v>0</v>
      </c>
      <c r="AR513" s="122">
        <v>8716</v>
      </c>
      <c r="AS513" s="122">
        <v>3228</v>
      </c>
      <c r="AT513">
        <v>0</v>
      </c>
      <c r="AU513">
        <v>0</v>
      </c>
      <c r="AV513" s="122">
        <v>7661</v>
      </c>
    </row>
    <row r="514" spans="2:48" hidden="1">
      <c r="B514" t="s">
        <v>366</v>
      </c>
      <c r="C514" t="s">
        <v>58</v>
      </c>
      <c r="D514" t="s">
        <v>137</v>
      </c>
      <c r="E514" t="s">
        <v>556</v>
      </c>
      <c r="F514">
        <v>1</v>
      </c>
      <c r="G514" s="122">
        <v>74</v>
      </c>
      <c r="H514" s="122">
        <v>289</v>
      </c>
      <c r="I514" s="122">
        <v>7762</v>
      </c>
      <c r="J514" s="122">
        <v>2875</v>
      </c>
      <c r="K514">
        <v>100</v>
      </c>
      <c r="L514" s="122">
        <v>1941</v>
      </c>
      <c r="M514" s="122">
        <v>719</v>
      </c>
      <c r="N514" s="122">
        <v>1175</v>
      </c>
      <c r="O514" s="122">
        <v>435</v>
      </c>
      <c r="P514" s="122">
        <v>0</v>
      </c>
      <c r="Q514" s="122">
        <v>0</v>
      </c>
      <c r="R514" s="122">
        <v>7794</v>
      </c>
      <c r="S514" s="122">
        <v>6495</v>
      </c>
      <c r="T514" s="122">
        <v>2800</v>
      </c>
      <c r="U514" s="122">
        <v>1037</v>
      </c>
      <c r="V514" s="122">
        <v>11561</v>
      </c>
      <c r="W514" s="122">
        <f t="shared" si="14"/>
        <v>11561</v>
      </c>
      <c r="X514" s="122">
        <f t="shared" si="15"/>
        <v>21472</v>
      </c>
      <c r="Y514" s="122"/>
      <c r="AA514" t="s">
        <v>56</v>
      </c>
      <c r="AB514" t="s">
        <v>137</v>
      </c>
      <c r="AC514" t="s">
        <v>407</v>
      </c>
      <c r="AD514" t="s">
        <v>137</v>
      </c>
      <c r="AE514" t="s">
        <v>566</v>
      </c>
      <c r="AF514">
        <v>10</v>
      </c>
      <c r="AG514" s="122">
        <v>1316</v>
      </c>
      <c r="AH514" s="122">
        <v>1947</v>
      </c>
      <c r="AI514" s="122">
        <v>148180</v>
      </c>
      <c r="AJ514" s="122">
        <v>54882</v>
      </c>
      <c r="AK514">
        <v>156</v>
      </c>
      <c r="AL514" s="122">
        <v>24154</v>
      </c>
      <c r="AM514" s="122">
        <v>21959</v>
      </c>
      <c r="AN514" s="122">
        <v>25611</v>
      </c>
      <c r="AO514" s="122">
        <v>9486</v>
      </c>
      <c r="AP514">
        <v>824</v>
      </c>
      <c r="AQ514">
        <v>305</v>
      </c>
      <c r="AR514" s="122">
        <v>60803</v>
      </c>
      <c r="AS514" s="122">
        <v>22520</v>
      </c>
      <c r="AT514">
        <v>0</v>
      </c>
      <c r="AU514">
        <v>0</v>
      </c>
      <c r="AV514" s="122">
        <v>109150</v>
      </c>
    </row>
    <row r="515" spans="2:48" hidden="1">
      <c r="B515" t="s">
        <v>366</v>
      </c>
      <c r="C515" t="s">
        <v>58</v>
      </c>
      <c r="D515" t="s">
        <v>137</v>
      </c>
      <c r="E515" t="s">
        <v>426</v>
      </c>
      <c r="F515">
        <v>47</v>
      </c>
      <c r="G515" s="122">
        <v>4706</v>
      </c>
      <c r="H515" s="122">
        <v>11374</v>
      </c>
      <c r="I515" s="122">
        <v>637142</v>
      </c>
      <c r="J515" s="122">
        <v>235979</v>
      </c>
      <c r="K515">
        <v>100</v>
      </c>
      <c r="L515" s="122">
        <v>96783</v>
      </c>
      <c r="M515" s="122">
        <v>87984</v>
      </c>
      <c r="N515" s="122">
        <v>108222</v>
      </c>
      <c r="O515" s="122">
        <v>40082</v>
      </c>
      <c r="P515" s="122">
        <v>351</v>
      </c>
      <c r="Q515" s="122">
        <v>130</v>
      </c>
      <c r="R515" s="122">
        <v>179123</v>
      </c>
      <c r="S515" s="122">
        <v>162839</v>
      </c>
      <c r="T515" s="122">
        <v>113876</v>
      </c>
      <c r="U515" s="122">
        <v>42176</v>
      </c>
      <c r="V515" s="122">
        <v>569190</v>
      </c>
      <c r="W515" s="122">
        <f t="shared" si="14"/>
        <v>569190</v>
      </c>
      <c r="X515" s="122">
        <f t="shared" si="15"/>
        <v>1135497</v>
      </c>
      <c r="Y515" s="122"/>
      <c r="AA515" t="s">
        <v>56</v>
      </c>
      <c r="AB515" t="s">
        <v>137</v>
      </c>
      <c r="AC515" t="s">
        <v>579</v>
      </c>
      <c r="AD515" t="s">
        <v>137</v>
      </c>
      <c r="AE515" t="s">
        <v>137</v>
      </c>
      <c r="AF515">
        <v>5</v>
      </c>
      <c r="AG515">
        <v>507</v>
      </c>
      <c r="AH515">
        <v>953</v>
      </c>
      <c r="AI515" s="122">
        <v>42619</v>
      </c>
      <c r="AJ515" s="122">
        <v>15785</v>
      </c>
      <c r="AK515">
        <v>214</v>
      </c>
      <c r="AL515" s="122">
        <v>9585</v>
      </c>
      <c r="AM515" s="122">
        <v>7988</v>
      </c>
      <c r="AN515" s="122">
        <v>9250</v>
      </c>
      <c r="AO515" s="122">
        <v>3426</v>
      </c>
      <c r="AP515" s="122">
        <v>1404</v>
      </c>
      <c r="AQ515">
        <v>520</v>
      </c>
      <c r="AR515" s="122">
        <v>29686</v>
      </c>
      <c r="AS515" s="122">
        <v>10995</v>
      </c>
      <c r="AT515" s="122">
        <v>4524</v>
      </c>
      <c r="AU515" s="122">
        <v>1675</v>
      </c>
      <c r="AV515" s="122">
        <v>40388</v>
      </c>
    </row>
    <row r="516" spans="2:48" hidden="1">
      <c r="B516" t="s">
        <v>366</v>
      </c>
      <c r="C516" t="s">
        <v>58</v>
      </c>
      <c r="D516" t="s">
        <v>406</v>
      </c>
      <c r="E516" t="s">
        <v>425</v>
      </c>
      <c r="F516">
        <v>2</v>
      </c>
      <c r="G516" s="122">
        <v>211</v>
      </c>
      <c r="H516" s="122">
        <v>545</v>
      </c>
      <c r="I516" s="122">
        <v>27937</v>
      </c>
      <c r="J516" s="122">
        <v>25398</v>
      </c>
      <c r="K516">
        <v>70</v>
      </c>
      <c r="L516" s="122">
        <v>7742</v>
      </c>
      <c r="M516" s="122">
        <v>6886</v>
      </c>
      <c r="N516" s="122">
        <v>4807</v>
      </c>
      <c r="O516" s="122">
        <v>1780</v>
      </c>
      <c r="P516" s="122">
        <v>1242</v>
      </c>
      <c r="Q516" s="122">
        <v>460</v>
      </c>
      <c r="R516" s="122">
        <v>10126</v>
      </c>
      <c r="S516" s="122">
        <v>9205</v>
      </c>
      <c r="T516" s="122">
        <v>5967</v>
      </c>
      <c r="U516" s="122">
        <v>2210</v>
      </c>
      <c r="V516" s="122">
        <v>45939</v>
      </c>
      <c r="W516" s="122">
        <f t="shared" si="14"/>
        <v>45939</v>
      </c>
      <c r="X516" s="122">
        <f t="shared" si="15"/>
        <v>57821</v>
      </c>
      <c r="Y516" s="122"/>
      <c r="AA516" t="s">
        <v>56</v>
      </c>
      <c r="AB516" t="s">
        <v>137</v>
      </c>
      <c r="AC516" t="s">
        <v>579</v>
      </c>
      <c r="AD516" t="s">
        <v>137</v>
      </c>
      <c r="AE516" t="s">
        <v>566</v>
      </c>
      <c r="AF516">
        <v>207</v>
      </c>
      <c r="AG516" s="122">
        <v>17682</v>
      </c>
      <c r="AH516" s="122">
        <v>39648</v>
      </c>
      <c r="AI516" s="122">
        <v>1454191</v>
      </c>
      <c r="AJ516" s="122">
        <v>538589</v>
      </c>
      <c r="AK516">
        <v>204</v>
      </c>
      <c r="AL516" s="122">
        <v>330670</v>
      </c>
      <c r="AM516" s="122">
        <v>275558</v>
      </c>
      <c r="AN516" s="122">
        <v>318700</v>
      </c>
      <c r="AO516" s="122">
        <v>118037</v>
      </c>
      <c r="AP516" s="122">
        <v>37776</v>
      </c>
      <c r="AQ516" s="122">
        <v>13991</v>
      </c>
      <c r="AR516" s="122">
        <v>1338049</v>
      </c>
      <c r="AS516" s="122">
        <v>495574</v>
      </c>
      <c r="AT516">
        <v>0</v>
      </c>
      <c r="AU516">
        <v>0</v>
      </c>
      <c r="AV516" s="122">
        <v>1441750</v>
      </c>
    </row>
    <row r="517" spans="2:48" hidden="1">
      <c r="B517" t="s">
        <v>366</v>
      </c>
      <c r="C517" t="s">
        <v>58</v>
      </c>
      <c r="D517" t="s">
        <v>406</v>
      </c>
      <c r="E517" t="s">
        <v>137</v>
      </c>
      <c r="F517">
        <v>13</v>
      </c>
      <c r="G517" s="122">
        <v>1379</v>
      </c>
      <c r="H517" s="122">
        <v>3395</v>
      </c>
      <c r="I517" s="122">
        <v>210738</v>
      </c>
      <c r="J517" s="122">
        <v>191580</v>
      </c>
      <c r="K517">
        <v>77</v>
      </c>
      <c r="L517" s="122">
        <v>41671</v>
      </c>
      <c r="M517" s="122">
        <v>31438</v>
      </c>
      <c r="N517" s="122">
        <v>29604</v>
      </c>
      <c r="O517" s="122">
        <v>10965</v>
      </c>
      <c r="P517" s="122">
        <v>8073</v>
      </c>
      <c r="Q517" s="122">
        <v>2990</v>
      </c>
      <c r="R517" s="122">
        <v>70416</v>
      </c>
      <c r="S517" s="122">
        <v>26080</v>
      </c>
      <c r="T517" s="122">
        <v>0</v>
      </c>
      <c r="U517" s="122">
        <v>0</v>
      </c>
      <c r="V517" s="122">
        <v>263052</v>
      </c>
      <c r="W517" s="122">
        <f t="shared" si="14"/>
        <v>263053</v>
      </c>
      <c r="X517" s="122">
        <f t="shared" si="15"/>
        <v>360502</v>
      </c>
      <c r="Y517" s="122"/>
      <c r="AA517" t="s">
        <v>56</v>
      </c>
      <c r="AB517" t="s">
        <v>137</v>
      </c>
      <c r="AC517" t="s">
        <v>579</v>
      </c>
      <c r="AD517" t="s">
        <v>406</v>
      </c>
      <c r="AE517" t="s">
        <v>566</v>
      </c>
      <c r="AF517">
        <v>1</v>
      </c>
      <c r="AG517">
        <v>90</v>
      </c>
      <c r="AH517">
        <v>218</v>
      </c>
      <c r="AI517" s="122">
        <v>12146</v>
      </c>
      <c r="AJ517" s="122">
        <v>4498</v>
      </c>
      <c r="AK517">
        <v>100</v>
      </c>
      <c r="AL517" s="122">
        <v>2249</v>
      </c>
      <c r="AM517" s="122">
        <v>1874</v>
      </c>
      <c r="AN517" s="122">
        <v>1099</v>
      </c>
      <c r="AO517">
        <v>407</v>
      </c>
      <c r="AP517">
        <v>0</v>
      </c>
      <c r="AQ517">
        <v>0</v>
      </c>
      <c r="AR517" s="122">
        <v>4179</v>
      </c>
      <c r="AS517" s="122">
        <v>3799</v>
      </c>
      <c r="AT517">
        <v>0</v>
      </c>
      <c r="AU517">
        <v>0</v>
      </c>
      <c r="AV517" s="122">
        <v>10579</v>
      </c>
    </row>
    <row r="518" spans="2:48" hidden="1">
      <c r="B518" t="s">
        <v>366</v>
      </c>
      <c r="C518" t="s">
        <v>58</v>
      </c>
      <c r="D518" t="s">
        <v>406</v>
      </c>
      <c r="E518" t="s">
        <v>406</v>
      </c>
      <c r="F518" s="122">
        <v>1715</v>
      </c>
      <c r="G518" s="122">
        <v>153081</v>
      </c>
      <c r="H518" s="122">
        <v>439024</v>
      </c>
      <c r="I518" s="122">
        <v>20421770</v>
      </c>
      <c r="J518" s="122">
        <v>18565245</v>
      </c>
      <c r="K518">
        <v>81</v>
      </c>
      <c r="L518" s="122">
        <v>4488196</v>
      </c>
      <c r="M518" s="122">
        <v>3919323</v>
      </c>
      <c r="N518" s="122">
        <v>3191309</v>
      </c>
      <c r="O518" s="122">
        <v>1181966</v>
      </c>
      <c r="P518" s="122">
        <v>1110078</v>
      </c>
      <c r="Q518" s="122">
        <v>411140</v>
      </c>
      <c r="R518" s="122">
        <v>7508212</v>
      </c>
      <c r="S518" s="122">
        <v>6825647</v>
      </c>
      <c r="T518" s="122">
        <v>2812286</v>
      </c>
      <c r="U518" s="122">
        <v>1041587</v>
      </c>
      <c r="V518" s="122">
        <v>31944909</v>
      </c>
      <c r="W518" s="122">
        <f t="shared" si="14"/>
        <v>31944908</v>
      </c>
      <c r="X518" s="122">
        <f t="shared" si="15"/>
        <v>39531851</v>
      </c>
      <c r="Y518" s="122"/>
      <c r="AA518" t="s">
        <v>56</v>
      </c>
      <c r="AB518" t="s">
        <v>137</v>
      </c>
      <c r="AC518" t="s">
        <v>579</v>
      </c>
      <c r="AD518" t="s">
        <v>579</v>
      </c>
      <c r="AE518" t="s">
        <v>137</v>
      </c>
      <c r="AF518">
        <v>2</v>
      </c>
      <c r="AG518">
        <v>90</v>
      </c>
      <c r="AH518">
        <v>430</v>
      </c>
      <c r="AI518" s="122">
        <v>5798</v>
      </c>
      <c r="AJ518" s="122">
        <v>2147</v>
      </c>
      <c r="AK518">
        <v>356</v>
      </c>
      <c r="AL518" s="122">
        <v>1568</v>
      </c>
      <c r="AM518" s="122">
        <v>1307</v>
      </c>
      <c r="AN518" s="122">
        <v>1095</v>
      </c>
      <c r="AO518">
        <v>406</v>
      </c>
      <c r="AP518">
        <v>701</v>
      </c>
      <c r="AQ518">
        <v>259</v>
      </c>
      <c r="AR518" s="122">
        <v>6525</v>
      </c>
      <c r="AS518" s="122">
        <v>5437</v>
      </c>
      <c r="AT518" s="122">
        <v>3613</v>
      </c>
      <c r="AU518" s="122">
        <v>1338</v>
      </c>
      <c r="AV518" s="122">
        <v>10895</v>
      </c>
    </row>
    <row r="519" spans="2:48" hidden="1">
      <c r="B519" t="s">
        <v>366</v>
      </c>
      <c r="C519" t="s">
        <v>58</v>
      </c>
      <c r="D519" t="s">
        <v>406</v>
      </c>
      <c r="E519" t="s">
        <v>407</v>
      </c>
      <c r="F519">
        <v>1</v>
      </c>
      <c r="G519" s="122">
        <v>91</v>
      </c>
      <c r="H519" s="122">
        <v>242</v>
      </c>
      <c r="I519" s="122">
        <v>11705</v>
      </c>
      <c r="J519" s="122">
        <v>10641</v>
      </c>
      <c r="K519">
        <v>85</v>
      </c>
      <c r="L519" s="122">
        <v>3498</v>
      </c>
      <c r="M519" s="122">
        <v>3180</v>
      </c>
      <c r="N519" s="122">
        <v>1105</v>
      </c>
      <c r="O519" s="122">
        <v>409</v>
      </c>
      <c r="P519" s="122">
        <v>621</v>
      </c>
      <c r="Q519" s="122">
        <v>230</v>
      </c>
      <c r="R519" s="122">
        <v>2692</v>
      </c>
      <c r="S519" s="122">
        <v>2448</v>
      </c>
      <c r="T519" s="122">
        <v>2308</v>
      </c>
      <c r="U519" s="122">
        <v>855</v>
      </c>
      <c r="V519" s="122">
        <v>17763</v>
      </c>
      <c r="W519" s="122">
        <f t="shared" ref="W519:W582" si="16">SUM(ABS(J519),ABS(M519),ABS(O519),ABS(Q519),ABS(S519),ABS(U519))</f>
        <v>17763</v>
      </c>
      <c r="X519" s="122">
        <f t="shared" ref="X519:X582" si="17">SUM(ABS(I519),ABS(N519),ABS(P519),ABS(R519),ABS(T519),ABS(L519))</f>
        <v>21929</v>
      </c>
      <c r="Y519" s="122"/>
      <c r="AA519" t="s">
        <v>56</v>
      </c>
      <c r="AB519" t="s">
        <v>137</v>
      </c>
      <c r="AC519" t="s">
        <v>428</v>
      </c>
      <c r="AD519" t="s">
        <v>137</v>
      </c>
      <c r="AE519" t="s">
        <v>566</v>
      </c>
      <c r="AF519">
        <v>4</v>
      </c>
      <c r="AG519">
        <v>370</v>
      </c>
      <c r="AH519">
        <v>886</v>
      </c>
      <c r="AI519" s="122">
        <v>45204</v>
      </c>
      <c r="AJ519" s="122">
        <v>16742</v>
      </c>
      <c r="AK519">
        <v>100</v>
      </c>
      <c r="AL519" s="122">
        <v>5592</v>
      </c>
      <c r="AM519" s="122">
        <v>5084</v>
      </c>
      <c r="AN519" s="122">
        <v>7585</v>
      </c>
      <c r="AO519" s="122">
        <v>2809</v>
      </c>
      <c r="AP519">
        <v>0</v>
      </c>
      <c r="AQ519">
        <v>0</v>
      </c>
      <c r="AR519" s="122">
        <v>23427</v>
      </c>
      <c r="AS519" s="122">
        <v>8677</v>
      </c>
      <c r="AT519">
        <v>0</v>
      </c>
      <c r="AU519">
        <v>0</v>
      </c>
      <c r="AV519" s="122">
        <v>33312</v>
      </c>
    </row>
    <row r="520" spans="2:48" hidden="1">
      <c r="B520" t="s">
        <v>366</v>
      </c>
      <c r="C520" t="s">
        <v>58</v>
      </c>
      <c r="D520" t="s">
        <v>406</v>
      </c>
      <c r="E520" t="s">
        <v>426</v>
      </c>
      <c r="F520">
        <v>1</v>
      </c>
      <c r="G520" s="122">
        <v>78</v>
      </c>
      <c r="H520" s="122">
        <v>262</v>
      </c>
      <c r="I520" s="122">
        <v>8881</v>
      </c>
      <c r="J520" s="122">
        <v>8074</v>
      </c>
      <c r="K520">
        <v>85</v>
      </c>
      <c r="L520" s="122">
        <v>1776</v>
      </c>
      <c r="M520" s="122">
        <v>1615</v>
      </c>
      <c r="N520" s="122">
        <v>1853</v>
      </c>
      <c r="O520" s="122">
        <v>686</v>
      </c>
      <c r="P520" s="122">
        <v>621</v>
      </c>
      <c r="Q520" s="122">
        <v>230</v>
      </c>
      <c r="R520" s="122">
        <v>5190</v>
      </c>
      <c r="S520" s="122">
        <v>4718</v>
      </c>
      <c r="T520" s="122">
        <v>2139</v>
      </c>
      <c r="U520">
        <v>792</v>
      </c>
      <c r="V520" s="122">
        <v>16115</v>
      </c>
      <c r="W520" s="122">
        <f t="shared" si="16"/>
        <v>16115</v>
      </c>
      <c r="X520" s="122">
        <f t="shared" si="17"/>
        <v>20460</v>
      </c>
      <c r="Y520" s="122"/>
      <c r="AA520" t="s">
        <v>56</v>
      </c>
      <c r="AB520" t="s">
        <v>137</v>
      </c>
      <c r="AC520" t="s">
        <v>426</v>
      </c>
      <c r="AD520" t="s">
        <v>137</v>
      </c>
      <c r="AE520" t="s">
        <v>137</v>
      </c>
      <c r="AF520">
        <v>21</v>
      </c>
      <c r="AG520" s="122">
        <v>2201</v>
      </c>
      <c r="AH520" s="122">
        <v>4190</v>
      </c>
      <c r="AI520" s="122">
        <v>230487</v>
      </c>
      <c r="AJ520" s="122">
        <v>85366</v>
      </c>
      <c r="AK520">
        <v>129</v>
      </c>
      <c r="AL520" s="122">
        <v>35918</v>
      </c>
      <c r="AM520" s="122">
        <v>32653</v>
      </c>
      <c r="AN520" s="122">
        <v>43625</v>
      </c>
      <c r="AO520" s="122">
        <v>16157</v>
      </c>
      <c r="AP520" s="122">
        <v>1755</v>
      </c>
      <c r="AQ520">
        <v>650</v>
      </c>
      <c r="AR520" s="122">
        <v>137224</v>
      </c>
      <c r="AS520" s="122">
        <v>50824</v>
      </c>
      <c r="AT520" s="122">
        <v>1843</v>
      </c>
      <c r="AU520">
        <v>683</v>
      </c>
      <c r="AV520" s="122">
        <v>186332</v>
      </c>
    </row>
    <row r="521" spans="2:48" hidden="1">
      <c r="B521" t="s">
        <v>366</v>
      </c>
      <c r="C521" t="s">
        <v>58</v>
      </c>
      <c r="D521" t="s">
        <v>427</v>
      </c>
      <c r="E521" t="s">
        <v>427</v>
      </c>
      <c r="F521">
        <v>40</v>
      </c>
      <c r="G521" s="122">
        <v>3307</v>
      </c>
      <c r="H521" s="122">
        <v>10747</v>
      </c>
      <c r="I521" s="122">
        <v>510791</v>
      </c>
      <c r="J521" s="122">
        <v>464355</v>
      </c>
      <c r="K521">
        <v>57</v>
      </c>
      <c r="L521" s="122">
        <v>27187</v>
      </c>
      <c r="M521" s="122">
        <v>22034</v>
      </c>
      <c r="N521" s="122">
        <v>67167</v>
      </c>
      <c r="O521" s="122">
        <v>24877</v>
      </c>
      <c r="P521" s="122">
        <v>14243</v>
      </c>
      <c r="Q521" s="122">
        <v>5275</v>
      </c>
      <c r="R521" s="122">
        <v>185451</v>
      </c>
      <c r="S521" s="122">
        <v>168591</v>
      </c>
      <c r="T521" s="122">
        <v>82844</v>
      </c>
      <c r="U521" s="122">
        <v>30683</v>
      </c>
      <c r="V521" s="122">
        <v>715815</v>
      </c>
      <c r="W521" s="122">
        <f t="shared" si="16"/>
        <v>715815</v>
      </c>
      <c r="X521" s="122">
        <f t="shared" si="17"/>
        <v>887683</v>
      </c>
      <c r="Y521" s="122"/>
      <c r="AA521" t="s">
        <v>56</v>
      </c>
      <c r="AB521" t="s">
        <v>137</v>
      </c>
      <c r="AC521" t="s">
        <v>426</v>
      </c>
      <c r="AD521" t="s">
        <v>137</v>
      </c>
      <c r="AE521" t="s">
        <v>566</v>
      </c>
      <c r="AF521">
        <v>413</v>
      </c>
      <c r="AG521" s="122">
        <v>41316</v>
      </c>
      <c r="AH521" s="122">
        <v>83981</v>
      </c>
      <c r="AI521" s="122">
        <v>4001491</v>
      </c>
      <c r="AJ521" s="122">
        <v>1482034</v>
      </c>
      <c r="AK521">
        <v>157</v>
      </c>
      <c r="AL521" s="122">
        <v>724709</v>
      </c>
      <c r="AM521" s="122">
        <v>658826</v>
      </c>
      <c r="AN521" s="122">
        <v>803755</v>
      </c>
      <c r="AO521" s="122">
        <v>297687</v>
      </c>
      <c r="AP521" s="122">
        <v>50295</v>
      </c>
      <c r="AQ521" s="122">
        <v>18628</v>
      </c>
      <c r="AR521" s="122">
        <v>2953643</v>
      </c>
      <c r="AS521" s="122">
        <v>1093942</v>
      </c>
      <c r="AT521">
        <v>0</v>
      </c>
      <c r="AU521">
        <v>0</v>
      </c>
      <c r="AV521" s="122">
        <v>3551117</v>
      </c>
    </row>
    <row r="522" spans="2:48" hidden="1">
      <c r="B522" t="s">
        <v>366</v>
      </c>
      <c r="C522" t="s">
        <v>58</v>
      </c>
      <c r="D522" t="s">
        <v>407</v>
      </c>
      <c r="E522" t="s">
        <v>407</v>
      </c>
      <c r="F522">
        <v>8</v>
      </c>
      <c r="G522" s="122">
        <v>852</v>
      </c>
      <c r="H522" s="122">
        <v>2124</v>
      </c>
      <c r="I522" s="122">
        <v>157878</v>
      </c>
      <c r="J522" s="122">
        <v>143526</v>
      </c>
      <c r="K522">
        <v>77</v>
      </c>
      <c r="L522" s="122">
        <v>12099</v>
      </c>
      <c r="M522" s="122">
        <v>10664</v>
      </c>
      <c r="N522" s="122">
        <v>19239</v>
      </c>
      <c r="O522" s="122">
        <v>7126</v>
      </c>
      <c r="P522" s="122">
        <v>3780</v>
      </c>
      <c r="Q522" s="122">
        <v>1400</v>
      </c>
      <c r="R522" s="122">
        <v>28950</v>
      </c>
      <c r="S522" s="122">
        <v>26318</v>
      </c>
      <c r="T522" s="122">
        <v>2157</v>
      </c>
      <c r="U522" s="122">
        <v>799</v>
      </c>
      <c r="V522" s="122">
        <v>189832</v>
      </c>
      <c r="W522" s="122">
        <f t="shared" si="16"/>
        <v>189833</v>
      </c>
      <c r="X522" s="122">
        <f t="shared" si="17"/>
        <v>224103</v>
      </c>
      <c r="Y522" s="122"/>
      <c r="AA522" t="s">
        <v>56</v>
      </c>
      <c r="AB522" t="s">
        <v>137</v>
      </c>
      <c r="AC522" t="s">
        <v>426</v>
      </c>
      <c r="AD522" t="s">
        <v>406</v>
      </c>
      <c r="AE522" t="s">
        <v>566</v>
      </c>
      <c r="AF522">
        <v>1</v>
      </c>
      <c r="AG522">
        <v>74</v>
      </c>
      <c r="AH522">
        <v>215</v>
      </c>
      <c r="AI522" s="122">
        <v>9632</v>
      </c>
      <c r="AJ522" s="122">
        <v>3567</v>
      </c>
      <c r="AK522">
        <v>100</v>
      </c>
      <c r="AL522" s="122">
        <v>2308</v>
      </c>
      <c r="AM522" s="122">
        <v>2099</v>
      </c>
      <c r="AN522" s="122">
        <v>1415</v>
      </c>
      <c r="AO522">
        <v>524</v>
      </c>
      <c r="AP522">
        <v>0</v>
      </c>
      <c r="AQ522">
        <v>0</v>
      </c>
      <c r="AR522" s="122">
        <v>2659</v>
      </c>
      <c r="AS522" s="122">
        <v>2417</v>
      </c>
      <c r="AT522">
        <v>0</v>
      </c>
      <c r="AU522">
        <v>0</v>
      </c>
      <c r="AV522" s="122">
        <v>8607</v>
      </c>
    </row>
    <row r="523" spans="2:48" hidden="1">
      <c r="B523" t="s">
        <v>366</v>
      </c>
      <c r="C523" t="s">
        <v>58</v>
      </c>
      <c r="D523" t="s">
        <v>556</v>
      </c>
      <c r="E523" t="s">
        <v>556</v>
      </c>
      <c r="F523">
        <v>13</v>
      </c>
      <c r="G523" s="122">
        <v>1126</v>
      </c>
      <c r="H523" s="122">
        <v>3691</v>
      </c>
      <c r="I523" s="122">
        <v>166805</v>
      </c>
      <c r="J523" s="122">
        <v>139004</v>
      </c>
      <c r="K523">
        <v>58</v>
      </c>
      <c r="L523" s="122">
        <v>14155</v>
      </c>
      <c r="M523" s="122">
        <v>8601</v>
      </c>
      <c r="N523" s="122">
        <v>22198</v>
      </c>
      <c r="O523" s="122">
        <v>8222</v>
      </c>
      <c r="P523" s="122">
        <v>5103</v>
      </c>
      <c r="Q523" s="122">
        <v>1890</v>
      </c>
      <c r="R523" s="122">
        <v>78446</v>
      </c>
      <c r="S523" s="122">
        <v>65371</v>
      </c>
      <c r="T523" s="122">
        <v>32591</v>
      </c>
      <c r="U523" s="122">
        <v>12071</v>
      </c>
      <c r="V523" s="122">
        <v>235159</v>
      </c>
      <c r="W523" s="122">
        <f t="shared" si="16"/>
        <v>235159</v>
      </c>
      <c r="X523" s="122">
        <f t="shared" si="17"/>
        <v>319298</v>
      </c>
      <c r="Y523" s="122"/>
      <c r="AA523" t="s">
        <v>56</v>
      </c>
      <c r="AB523" t="s">
        <v>137</v>
      </c>
      <c r="AC523" t="s">
        <v>426</v>
      </c>
      <c r="AD523" t="s">
        <v>426</v>
      </c>
      <c r="AE523" t="s">
        <v>137</v>
      </c>
      <c r="AF523">
        <v>3</v>
      </c>
      <c r="AG523">
        <v>256</v>
      </c>
      <c r="AH523">
        <v>667</v>
      </c>
      <c r="AI523" s="122">
        <v>31442</v>
      </c>
      <c r="AJ523" s="122">
        <v>11645</v>
      </c>
      <c r="AK523">
        <v>185</v>
      </c>
      <c r="AL523" s="122">
        <v>5370</v>
      </c>
      <c r="AM523" s="122">
        <v>4882</v>
      </c>
      <c r="AN523" s="122">
        <v>4010</v>
      </c>
      <c r="AO523" s="122">
        <v>1485</v>
      </c>
      <c r="AP523">
        <v>0</v>
      </c>
      <c r="AQ523">
        <v>0</v>
      </c>
      <c r="AR523" s="122">
        <v>10884</v>
      </c>
      <c r="AS523" s="122">
        <v>9895</v>
      </c>
      <c r="AT523" s="122">
        <v>5049</v>
      </c>
      <c r="AU523" s="122">
        <v>1870</v>
      </c>
      <c r="AV523" s="122">
        <v>29776</v>
      </c>
    </row>
    <row r="524" spans="2:48" hidden="1">
      <c r="B524" t="s">
        <v>366</v>
      </c>
      <c r="C524" t="s">
        <v>58</v>
      </c>
      <c r="D524" t="s">
        <v>431</v>
      </c>
      <c r="E524" t="s">
        <v>431</v>
      </c>
      <c r="F524">
        <v>2</v>
      </c>
      <c r="G524" s="122">
        <v>153</v>
      </c>
      <c r="H524" s="122">
        <v>523</v>
      </c>
      <c r="I524" s="122">
        <v>21389</v>
      </c>
      <c r="J524" s="122">
        <v>19444</v>
      </c>
      <c r="K524">
        <v>65</v>
      </c>
      <c r="L524" s="122">
        <v>2307</v>
      </c>
      <c r="M524" s="122">
        <v>2098</v>
      </c>
      <c r="N524" s="122">
        <v>3112</v>
      </c>
      <c r="O524" s="122">
        <v>1153</v>
      </c>
      <c r="P524" s="122">
        <v>702</v>
      </c>
      <c r="Q524" s="122">
        <v>260</v>
      </c>
      <c r="R524" s="122">
        <v>8159</v>
      </c>
      <c r="S524" s="122">
        <v>7417</v>
      </c>
      <c r="T524" s="122">
        <v>4237</v>
      </c>
      <c r="U524" s="122">
        <v>1569</v>
      </c>
      <c r="V524" s="122">
        <v>31941</v>
      </c>
      <c r="W524" s="122">
        <f t="shared" si="16"/>
        <v>31941</v>
      </c>
      <c r="X524" s="122">
        <f t="shared" si="17"/>
        <v>39906</v>
      </c>
      <c r="Y524" s="122"/>
      <c r="AA524" t="s">
        <v>56</v>
      </c>
      <c r="AB524" t="s">
        <v>137</v>
      </c>
      <c r="AC524" t="s">
        <v>566</v>
      </c>
      <c r="AD524" t="s">
        <v>137</v>
      </c>
      <c r="AE524" t="s">
        <v>137</v>
      </c>
      <c r="AF524">
        <v>16</v>
      </c>
      <c r="AG524" s="122">
        <v>1480</v>
      </c>
      <c r="AH524" s="122">
        <v>3215</v>
      </c>
      <c r="AI524" s="122">
        <v>170210</v>
      </c>
      <c r="AJ524" s="122">
        <v>63041</v>
      </c>
      <c r="AK524">
        <v>109</v>
      </c>
      <c r="AL524">
        <v>0</v>
      </c>
      <c r="AM524">
        <v>0</v>
      </c>
      <c r="AN524" s="122">
        <v>27759</v>
      </c>
      <c r="AO524" s="122">
        <v>10281</v>
      </c>
      <c r="AP524">
        <v>351</v>
      </c>
      <c r="AQ524">
        <v>130</v>
      </c>
      <c r="AR524" s="122">
        <v>110459</v>
      </c>
      <c r="AS524" s="122">
        <v>40911</v>
      </c>
      <c r="AT524">
        <v>0</v>
      </c>
      <c r="AU524">
        <v>0</v>
      </c>
      <c r="AV524" s="122">
        <v>114362</v>
      </c>
    </row>
    <row r="525" spans="2:48" hidden="1">
      <c r="B525" t="s">
        <v>366</v>
      </c>
      <c r="C525" t="s">
        <v>58</v>
      </c>
      <c r="D525" t="s">
        <v>426</v>
      </c>
      <c r="E525" t="s">
        <v>137</v>
      </c>
      <c r="F525">
        <v>1</v>
      </c>
      <c r="G525" s="122">
        <v>102</v>
      </c>
      <c r="H525" s="122">
        <v>299</v>
      </c>
      <c r="I525" s="122">
        <v>18636</v>
      </c>
      <c r="J525" s="122">
        <v>16942</v>
      </c>
      <c r="K525">
        <v>45</v>
      </c>
      <c r="L525" s="122">
        <v>1694</v>
      </c>
      <c r="M525" s="122">
        <v>1540</v>
      </c>
      <c r="N525" s="122">
        <v>1897</v>
      </c>
      <c r="O525" s="122">
        <v>703</v>
      </c>
      <c r="P525" s="122">
        <v>351</v>
      </c>
      <c r="Q525" s="122">
        <v>130</v>
      </c>
      <c r="R525" s="122">
        <v>7830</v>
      </c>
      <c r="S525" s="122">
        <v>2900</v>
      </c>
      <c r="T525" s="122">
        <v>0</v>
      </c>
      <c r="U525" s="122">
        <v>0</v>
      </c>
      <c r="V525" s="122">
        <v>22215</v>
      </c>
      <c r="W525" s="122">
        <f t="shared" si="16"/>
        <v>22215</v>
      </c>
      <c r="X525" s="122">
        <f t="shared" si="17"/>
        <v>30408</v>
      </c>
      <c r="Y525" s="122"/>
      <c r="AA525" t="s">
        <v>56</v>
      </c>
      <c r="AB525" t="s">
        <v>137</v>
      </c>
      <c r="AC525" t="s">
        <v>566</v>
      </c>
      <c r="AD525" t="s">
        <v>137</v>
      </c>
      <c r="AE525" t="s">
        <v>566</v>
      </c>
      <c r="AF525">
        <v>281</v>
      </c>
      <c r="AG525" s="122">
        <v>26855</v>
      </c>
      <c r="AH525" s="122">
        <v>56332</v>
      </c>
      <c r="AI525" s="122">
        <v>2938884</v>
      </c>
      <c r="AJ525" s="122">
        <v>1088476</v>
      </c>
      <c r="AK525">
        <v>122</v>
      </c>
      <c r="AL525">
        <v>0</v>
      </c>
      <c r="AM525" s="122">
        <v>11511</v>
      </c>
      <c r="AN525" s="122">
        <v>535430</v>
      </c>
      <c r="AO525" s="122">
        <v>198307</v>
      </c>
      <c r="AP525" s="122">
        <v>24079</v>
      </c>
      <c r="AQ525" s="122">
        <v>8918</v>
      </c>
      <c r="AR525" s="122">
        <v>1939094</v>
      </c>
      <c r="AS525" s="122">
        <v>718183</v>
      </c>
      <c r="AT525">
        <v>0</v>
      </c>
      <c r="AU525">
        <v>0</v>
      </c>
      <c r="AV525" s="122">
        <v>2025395</v>
      </c>
    </row>
    <row r="526" spans="2:48" hidden="1">
      <c r="B526" t="s">
        <v>366</v>
      </c>
      <c r="C526" t="s">
        <v>58</v>
      </c>
      <c r="D526" t="s">
        <v>426</v>
      </c>
      <c r="E526" t="s">
        <v>406</v>
      </c>
      <c r="F526">
        <v>1</v>
      </c>
      <c r="G526">
        <v>74</v>
      </c>
      <c r="H526" s="122">
        <v>248</v>
      </c>
      <c r="I526" s="122">
        <v>8586</v>
      </c>
      <c r="J526" s="122">
        <v>7805</v>
      </c>
      <c r="K526">
        <v>55</v>
      </c>
      <c r="L526" s="122">
        <v>954</v>
      </c>
      <c r="M526" s="122">
        <v>867</v>
      </c>
      <c r="N526" s="122">
        <v>1234</v>
      </c>
      <c r="O526" s="122">
        <v>457</v>
      </c>
      <c r="P526" s="122">
        <v>351</v>
      </c>
      <c r="Q526" s="122">
        <v>130</v>
      </c>
      <c r="R526" s="122">
        <v>7326</v>
      </c>
      <c r="S526" s="122">
        <v>6660</v>
      </c>
      <c r="T526">
        <v>0</v>
      </c>
      <c r="U526">
        <v>0</v>
      </c>
      <c r="V526" s="122">
        <v>15919</v>
      </c>
      <c r="W526" s="122">
        <f t="shared" si="16"/>
        <v>15919</v>
      </c>
      <c r="X526" s="122">
        <f t="shared" si="17"/>
        <v>18451</v>
      </c>
      <c r="Y526" s="122"/>
      <c r="AA526" t="s">
        <v>56</v>
      </c>
      <c r="AB526" t="s">
        <v>137</v>
      </c>
      <c r="AC526" t="s">
        <v>566</v>
      </c>
      <c r="AD526" t="s">
        <v>407</v>
      </c>
      <c r="AE526" t="s">
        <v>566</v>
      </c>
      <c r="AF526">
        <v>2</v>
      </c>
      <c r="AG526">
        <v>135</v>
      </c>
      <c r="AH526">
        <v>388</v>
      </c>
      <c r="AI526" s="122">
        <v>13634</v>
      </c>
      <c r="AJ526" s="122">
        <v>5050</v>
      </c>
      <c r="AK526">
        <v>100</v>
      </c>
      <c r="AL526">
        <v>0</v>
      </c>
      <c r="AM526">
        <v>0</v>
      </c>
      <c r="AN526" s="122">
        <v>3283</v>
      </c>
      <c r="AO526" s="122">
        <v>1216</v>
      </c>
      <c r="AP526">
        <v>351</v>
      </c>
      <c r="AQ526">
        <v>130</v>
      </c>
      <c r="AR526" s="122">
        <v>8912</v>
      </c>
      <c r="AS526" s="122">
        <v>8102</v>
      </c>
      <c r="AT526">
        <v>0</v>
      </c>
      <c r="AU526">
        <v>0</v>
      </c>
      <c r="AV526" s="122">
        <v>14497</v>
      </c>
    </row>
    <row r="527" spans="2:48" hidden="1">
      <c r="B527" t="s">
        <v>366</v>
      </c>
      <c r="C527" t="s">
        <v>58</v>
      </c>
      <c r="D527" t="s">
        <v>426</v>
      </c>
      <c r="E527" t="s">
        <v>426</v>
      </c>
      <c r="F527">
        <v>98</v>
      </c>
      <c r="G527" s="122">
        <v>8462</v>
      </c>
      <c r="H527" s="122">
        <v>26443</v>
      </c>
      <c r="I527" s="122">
        <v>1200879</v>
      </c>
      <c r="J527" s="122">
        <v>1091708</v>
      </c>
      <c r="K527">
        <v>60</v>
      </c>
      <c r="L527" s="122">
        <v>141059</v>
      </c>
      <c r="M527" s="122">
        <v>116864</v>
      </c>
      <c r="N527" s="122">
        <v>166133</v>
      </c>
      <c r="O527" s="122">
        <v>61531</v>
      </c>
      <c r="P527" s="122">
        <v>37485</v>
      </c>
      <c r="Q527" s="122">
        <v>13883</v>
      </c>
      <c r="R527" s="122">
        <v>510033</v>
      </c>
      <c r="S527" s="122">
        <v>463666</v>
      </c>
      <c r="T527" s="122">
        <v>227066</v>
      </c>
      <c r="U527" s="122">
        <v>84099</v>
      </c>
      <c r="V527" s="122">
        <v>1831751</v>
      </c>
      <c r="W527" s="122">
        <f t="shared" si="16"/>
        <v>1831751</v>
      </c>
      <c r="X527" s="122">
        <f t="shared" si="17"/>
        <v>2282655</v>
      </c>
      <c r="Y527" s="122"/>
      <c r="AA527" t="s">
        <v>56</v>
      </c>
      <c r="AB527" t="s">
        <v>137</v>
      </c>
      <c r="AC527" t="s">
        <v>433</v>
      </c>
      <c r="AD527" t="s">
        <v>137</v>
      </c>
      <c r="AE527" t="s">
        <v>137</v>
      </c>
      <c r="AF527">
        <v>3</v>
      </c>
      <c r="AG527">
        <v>407</v>
      </c>
      <c r="AH527">
        <v>537</v>
      </c>
      <c r="AI527" s="122">
        <v>32736</v>
      </c>
      <c r="AJ527" s="122">
        <v>12124</v>
      </c>
      <c r="AK527">
        <v>200</v>
      </c>
      <c r="AL527" s="122">
        <v>4937</v>
      </c>
      <c r="AM527" s="122">
        <v>4489</v>
      </c>
      <c r="AN527" s="122">
        <v>6741</v>
      </c>
      <c r="AO527" s="122">
        <v>2496</v>
      </c>
      <c r="AP527" s="122">
        <v>5418</v>
      </c>
      <c r="AQ527" s="122">
        <v>2007</v>
      </c>
      <c r="AR527" s="122">
        <v>21843</v>
      </c>
      <c r="AS527" s="122">
        <v>8090</v>
      </c>
      <c r="AT527">
        <v>0</v>
      </c>
      <c r="AU527">
        <v>0</v>
      </c>
      <c r="AV527" s="122">
        <v>29206</v>
      </c>
    </row>
    <row r="528" spans="2:48" hidden="1">
      <c r="B528" t="s">
        <v>366</v>
      </c>
      <c r="C528" t="s">
        <v>60</v>
      </c>
      <c r="F528">
        <v>5</v>
      </c>
      <c r="G528">
        <v>651</v>
      </c>
      <c r="H528" s="122">
        <v>1778</v>
      </c>
      <c r="I528" s="122"/>
      <c r="J528" s="122">
        <v>0</v>
      </c>
      <c r="L528" s="122"/>
      <c r="M528" s="122">
        <v>0</v>
      </c>
      <c r="N528" s="122">
        <v>15263</v>
      </c>
      <c r="O528" s="122">
        <v>5653</v>
      </c>
      <c r="P528" s="122">
        <v>3105</v>
      </c>
      <c r="Q528" s="122">
        <v>1150</v>
      </c>
      <c r="R528" s="122"/>
      <c r="S528" s="122">
        <v>0</v>
      </c>
      <c r="T528" s="122">
        <v>8903</v>
      </c>
      <c r="U528" s="122">
        <v>3297</v>
      </c>
      <c r="V528" s="122">
        <v>10100</v>
      </c>
      <c r="W528" s="122">
        <f t="shared" si="16"/>
        <v>10100</v>
      </c>
      <c r="X528" s="122">
        <f t="shared" si="17"/>
        <v>27271</v>
      </c>
      <c r="Y528" s="122"/>
      <c r="AA528" t="s">
        <v>56</v>
      </c>
      <c r="AB528" t="s">
        <v>137</v>
      </c>
      <c r="AC528" t="s">
        <v>433</v>
      </c>
      <c r="AD528" t="s">
        <v>137</v>
      </c>
      <c r="AE528" t="s">
        <v>566</v>
      </c>
      <c r="AF528">
        <v>50</v>
      </c>
      <c r="AG528" s="122">
        <v>3058</v>
      </c>
      <c r="AH528" s="122">
        <v>8691</v>
      </c>
      <c r="AI528" s="122">
        <v>193521</v>
      </c>
      <c r="AJ528" s="122">
        <v>71674</v>
      </c>
      <c r="AK528">
        <v>297</v>
      </c>
      <c r="AL528" s="122">
        <v>33349</v>
      </c>
      <c r="AM528" s="122">
        <v>30318</v>
      </c>
      <c r="AN528" s="122">
        <v>55813</v>
      </c>
      <c r="AO528" s="122">
        <v>20671</v>
      </c>
      <c r="AP528" s="122">
        <v>15126</v>
      </c>
      <c r="AQ528" s="122">
        <v>5602</v>
      </c>
      <c r="AR528" s="122">
        <v>254642</v>
      </c>
      <c r="AS528" s="122">
        <v>94312</v>
      </c>
      <c r="AT528">
        <v>0</v>
      </c>
      <c r="AU528">
        <v>0</v>
      </c>
      <c r="AV528" s="122">
        <v>222577</v>
      </c>
    </row>
    <row r="529" spans="2:48" hidden="1">
      <c r="B529" t="s">
        <v>366</v>
      </c>
      <c r="C529" t="s">
        <v>60</v>
      </c>
      <c r="D529" t="s">
        <v>425</v>
      </c>
      <c r="E529" t="s">
        <v>425</v>
      </c>
      <c r="F529">
        <v>1</v>
      </c>
      <c r="G529" s="122">
        <v>66</v>
      </c>
      <c r="H529" s="122">
        <v>333</v>
      </c>
      <c r="I529" s="122">
        <v>9370</v>
      </c>
      <c r="J529" s="122">
        <v>8518</v>
      </c>
      <c r="K529">
        <v>73</v>
      </c>
      <c r="L529" s="122">
        <v>1774</v>
      </c>
      <c r="M529" s="122">
        <v>657</v>
      </c>
      <c r="N529" s="122">
        <v>800</v>
      </c>
      <c r="O529" s="122">
        <v>296</v>
      </c>
      <c r="P529" s="122">
        <v>473</v>
      </c>
      <c r="Q529" s="122">
        <v>175</v>
      </c>
      <c r="R529" s="122">
        <v>9406</v>
      </c>
      <c r="S529" s="122">
        <v>8551</v>
      </c>
      <c r="T529" s="122">
        <v>0</v>
      </c>
      <c r="U529" s="122">
        <v>0</v>
      </c>
      <c r="V529" s="122">
        <v>18197</v>
      </c>
      <c r="W529" s="122">
        <f t="shared" si="16"/>
        <v>18197</v>
      </c>
      <c r="X529" s="122">
        <f t="shared" si="17"/>
        <v>21823</v>
      </c>
      <c r="Y529" s="122"/>
      <c r="AA529" t="s">
        <v>56</v>
      </c>
      <c r="AB529" t="s">
        <v>137</v>
      </c>
      <c r="AC529" t="s">
        <v>429</v>
      </c>
      <c r="AD529" t="s">
        <v>137</v>
      </c>
      <c r="AE529" t="s">
        <v>137</v>
      </c>
      <c r="AF529">
        <v>1</v>
      </c>
      <c r="AG529">
        <v>115</v>
      </c>
      <c r="AH529">
        <v>196</v>
      </c>
      <c r="AI529" s="122">
        <v>13781</v>
      </c>
      <c r="AJ529" s="122">
        <v>5104</v>
      </c>
      <c r="AK529">
        <v>100</v>
      </c>
      <c r="AL529">
        <v>960</v>
      </c>
      <c r="AM529">
        <v>872</v>
      </c>
      <c r="AN529" s="122">
        <v>1403</v>
      </c>
      <c r="AO529">
        <v>519</v>
      </c>
      <c r="AP529" s="122">
        <v>1508</v>
      </c>
      <c r="AQ529">
        <v>558</v>
      </c>
      <c r="AR529" s="122">
        <v>4958</v>
      </c>
      <c r="AS529" s="122">
        <v>1836</v>
      </c>
      <c r="AT529">
        <v>0</v>
      </c>
      <c r="AU529">
        <v>0</v>
      </c>
      <c r="AV529" s="122">
        <v>8891</v>
      </c>
    </row>
    <row r="530" spans="2:48" hidden="1">
      <c r="B530" t="s">
        <v>366</v>
      </c>
      <c r="C530" t="s">
        <v>60</v>
      </c>
      <c r="D530" t="s">
        <v>405</v>
      </c>
      <c r="E530" t="s">
        <v>405</v>
      </c>
      <c r="F530">
        <v>7</v>
      </c>
      <c r="G530">
        <v>622</v>
      </c>
      <c r="H530" s="122">
        <v>2256</v>
      </c>
      <c r="I530" s="122">
        <v>121310</v>
      </c>
      <c r="J530" s="122">
        <v>110282</v>
      </c>
      <c r="K530">
        <v>71</v>
      </c>
      <c r="L530" s="122">
        <v>18960</v>
      </c>
      <c r="M530" s="122">
        <v>17063</v>
      </c>
      <c r="N530" s="122">
        <v>14494</v>
      </c>
      <c r="O530" s="122">
        <v>5368</v>
      </c>
      <c r="P530" s="122">
        <v>3996</v>
      </c>
      <c r="Q530" s="122">
        <v>1480</v>
      </c>
      <c r="R530" s="122">
        <v>32548</v>
      </c>
      <c r="S530" s="122">
        <v>29589</v>
      </c>
      <c r="T530" s="122">
        <v>9809</v>
      </c>
      <c r="U530" s="122">
        <v>3633</v>
      </c>
      <c r="V530" s="122">
        <v>167414</v>
      </c>
      <c r="W530" s="122">
        <f t="shared" si="16"/>
        <v>167415</v>
      </c>
      <c r="X530" s="122">
        <f t="shared" si="17"/>
        <v>201117</v>
      </c>
      <c r="Y530" s="122"/>
      <c r="AA530" t="s">
        <v>56</v>
      </c>
      <c r="AB530" t="s">
        <v>137</v>
      </c>
      <c r="AC530" t="s">
        <v>429</v>
      </c>
      <c r="AD530" t="s">
        <v>137</v>
      </c>
      <c r="AE530" t="s">
        <v>566</v>
      </c>
      <c r="AF530">
        <v>2</v>
      </c>
      <c r="AG530">
        <v>200</v>
      </c>
      <c r="AH530">
        <v>374</v>
      </c>
      <c r="AI530" s="122">
        <v>15670</v>
      </c>
      <c r="AJ530" s="122">
        <v>5804</v>
      </c>
      <c r="AK530">
        <v>175</v>
      </c>
      <c r="AL530" s="122">
        <v>2608</v>
      </c>
      <c r="AM530" s="122">
        <v>2371</v>
      </c>
      <c r="AN530" s="122">
        <v>4123</v>
      </c>
      <c r="AO530" s="122">
        <v>1527</v>
      </c>
      <c r="AP530" s="122">
        <v>1367</v>
      </c>
      <c r="AQ530">
        <v>506</v>
      </c>
      <c r="AR530" s="122">
        <v>12914</v>
      </c>
      <c r="AS530" s="122">
        <v>4783</v>
      </c>
      <c r="AT530">
        <v>0</v>
      </c>
      <c r="AU530">
        <v>0</v>
      </c>
      <c r="AV530" s="122">
        <v>14990</v>
      </c>
    </row>
    <row r="531" spans="2:48" hidden="1">
      <c r="B531" t="s">
        <v>366</v>
      </c>
      <c r="C531" t="s">
        <v>60</v>
      </c>
      <c r="D531" t="s">
        <v>137</v>
      </c>
      <c r="E531" t="s">
        <v>137</v>
      </c>
      <c r="F531">
        <v>76</v>
      </c>
      <c r="G531" s="122">
        <v>6712</v>
      </c>
      <c r="H531" s="122">
        <v>25399</v>
      </c>
      <c r="I531" s="122">
        <v>1397779</v>
      </c>
      <c r="J531" s="122">
        <v>517696</v>
      </c>
      <c r="K531">
        <v>100</v>
      </c>
      <c r="L531" s="122">
        <v>214193</v>
      </c>
      <c r="M531" s="122">
        <v>181414</v>
      </c>
      <c r="N531" s="122">
        <v>144308</v>
      </c>
      <c r="O531" s="122">
        <v>53447</v>
      </c>
      <c r="P531" s="122">
        <v>351</v>
      </c>
      <c r="Q531">
        <v>130</v>
      </c>
      <c r="R531" s="122">
        <v>507752</v>
      </c>
      <c r="S531" s="122">
        <v>188056</v>
      </c>
      <c r="T531" s="122">
        <v>2078</v>
      </c>
      <c r="U531" s="122">
        <v>770</v>
      </c>
      <c r="V531" s="122">
        <v>941514</v>
      </c>
      <c r="W531" s="122">
        <f t="shared" si="16"/>
        <v>941513</v>
      </c>
      <c r="X531" s="122">
        <f t="shared" si="17"/>
        <v>2266461</v>
      </c>
      <c r="Y531" s="122"/>
      <c r="AA531" t="s">
        <v>56</v>
      </c>
      <c r="AB531" t="s">
        <v>430</v>
      </c>
      <c r="AC531" t="s">
        <v>137</v>
      </c>
      <c r="AD531" t="s">
        <v>137</v>
      </c>
      <c r="AE531" t="s">
        <v>566</v>
      </c>
      <c r="AF531">
        <v>1</v>
      </c>
      <c r="AG531">
        <v>73</v>
      </c>
      <c r="AH531">
        <v>208</v>
      </c>
      <c r="AI531" s="122">
        <v>8676</v>
      </c>
      <c r="AJ531" s="122">
        <v>3213</v>
      </c>
      <c r="AK531">
        <v>100</v>
      </c>
      <c r="AL531" s="122">
        <v>1531</v>
      </c>
      <c r="AM531">
        <v>567</v>
      </c>
      <c r="AN531" s="122">
        <v>2019</v>
      </c>
      <c r="AO531">
        <v>748</v>
      </c>
      <c r="AP531">
        <v>0</v>
      </c>
      <c r="AQ531">
        <v>0</v>
      </c>
      <c r="AR531" s="122">
        <v>6910</v>
      </c>
      <c r="AS531" s="122">
        <v>2559</v>
      </c>
      <c r="AT531">
        <v>0</v>
      </c>
      <c r="AU531">
        <v>0</v>
      </c>
      <c r="AV531" s="122">
        <v>7087</v>
      </c>
    </row>
    <row r="532" spans="2:48">
      <c r="B532" t="s">
        <v>366</v>
      </c>
      <c r="C532" t="s">
        <v>60</v>
      </c>
      <c r="D532" t="s">
        <v>137</v>
      </c>
      <c r="E532" t="s">
        <v>427</v>
      </c>
      <c r="F532">
        <v>3</v>
      </c>
      <c r="G532" s="122">
        <v>145</v>
      </c>
      <c r="H532" s="122">
        <v>1075</v>
      </c>
      <c r="I532" s="122">
        <v>28867</v>
      </c>
      <c r="J532" s="122">
        <v>10692</v>
      </c>
      <c r="K532">
        <v>100</v>
      </c>
      <c r="L532" s="122">
        <v>2757</v>
      </c>
      <c r="M532" s="122">
        <v>2506</v>
      </c>
      <c r="N532" s="122">
        <v>3012</v>
      </c>
      <c r="O532" s="122">
        <v>1115</v>
      </c>
      <c r="P532" s="122">
        <v>0</v>
      </c>
      <c r="Q532" s="122">
        <v>0</v>
      </c>
      <c r="R532" s="122">
        <v>12444</v>
      </c>
      <c r="S532" s="122">
        <v>11312</v>
      </c>
      <c r="T532" s="122">
        <v>4703</v>
      </c>
      <c r="U532" s="122">
        <v>1742</v>
      </c>
      <c r="V532" s="122">
        <v>27367</v>
      </c>
      <c r="W532" s="122">
        <f t="shared" si="16"/>
        <v>27367</v>
      </c>
      <c r="X532" s="122">
        <f t="shared" si="17"/>
        <v>51783</v>
      </c>
      <c r="Y532" s="122"/>
      <c r="AA532" t="s">
        <v>56</v>
      </c>
      <c r="AB532" t="s">
        <v>406</v>
      </c>
      <c r="AC532" t="s">
        <v>578</v>
      </c>
      <c r="AD532" t="s">
        <v>406</v>
      </c>
      <c r="AE532" t="s">
        <v>137</v>
      </c>
      <c r="AF532">
        <v>33</v>
      </c>
      <c r="AG532" s="122">
        <v>3455</v>
      </c>
      <c r="AH532" s="122">
        <v>6565</v>
      </c>
      <c r="AI532" s="122">
        <v>340722</v>
      </c>
      <c r="AJ532" s="122">
        <v>309747</v>
      </c>
      <c r="AK532">
        <v>85</v>
      </c>
      <c r="AL532" s="122">
        <v>68121</v>
      </c>
      <c r="AM532" s="122">
        <v>61928</v>
      </c>
      <c r="AN532" s="122">
        <v>69186</v>
      </c>
      <c r="AO532" s="122">
        <v>25624</v>
      </c>
      <c r="AP532" s="122">
        <v>20844</v>
      </c>
      <c r="AQ532" s="122">
        <v>7720</v>
      </c>
      <c r="AR532" s="122">
        <v>138001</v>
      </c>
      <c r="AS532" s="122">
        <v>125456</v>
      </c>
      <c r="AT532" s="122">
        <v>69728</v>
      </c>
      <c r="AU532" s="122">
        <v>25825</v>
      </c>
      <c r="AV532" s="122">
        <v>556300</v>
      </c>
    </row>
    <row r="533" spans="2:48">
      <c r="B533" t="s">
        <v>366</v>
      </c>
      <c r="C533" t="s">
        <v>60</v>
      </c>
      <c r="D533" t="s">
        <v>137</v>
      </c>
      <c r="E533" t="s">
        <v>556</v>
      </c>
      <c r="F533">
        <v>1</v>
      </c>
      <c r="G533">
        <v>79</v>
      </c>
      <c r="H533">
        <v>329</v>
      </c>
      <c r="I533" s="122">
        <v>12238</v>
      </c>
      <c r="J533" s="122">
        <v>4533</v>
      </c>
      <c r="K533">
        <v>100</v>
      </c>
      <c r="L533" s="122">
        <v>1343</v>
      </c>
      <c r="M533" s="122">
        <v>1119</v>
      </c>
      <c r="N533" s="122">
        <v>1534</v>
      </c>
      <c r="O533">
        <v>568</v>
      </c>
      <c r="P533">
        <v>0</v>
      </c>
      <c r="Q533">
        <v>0</v>
      </c>
      <c r="R533" s="122">
        <v>7917</v>
      </c>
      <c r="S533" s="122">
        <v>6597</v>
      </c>
      <c r="T533" s="122">
        <v>2861</v>
      </c>
      <c r="U533" s="122">
        <v>1060</v>
      </c>
      <c r="V533" s="122">
        <v>13877</v>
      </c>
      <c r="W533" s="122">
        <f t="shared" si="16"/>
        <v>13877</v>
      </c>
      <c r="X533" s="122">
        <f t="shared" si="17"/>
        <v>25893</v>
      </c>
      <c r="Y533" s="122"/>
      <c r="AA533" t="s">
        <v>56</v>
      </c>
      <c r="AB533" t="s">
        <v>406</v>
      </c>
      <c r="AC533" t="s">
        <v>578</v>
      </c>
      <c r="AD533" t="s">
        <v>406</v>
      </c>
      <c r="AE533" t="s">
        <v>566</v>
      </c>
      <c r="AF533">
        <v>30</v>
      </c>
      <c r="AG533" s="122">
        <v>3398</v>
      </c>
      <c r="AH533" s="122">
        <v>5665</v>
      </c>
      <c r="AI533" s="122">
        <v>350428</v>
      </c>
      <c r="AJ533" s="122">
        <v>318570</v>
      </c>
      <c r="AK533">
        <v>87</v>
      </c>
      <c r="AL533" s="122">
        <v>78183</v>
      </c>
      <c r="AM533" s="122">
        <v>71076</v>
      </c>
      <c r="AN533" s="122">
        <v>72867</v>
      </c>
      <c r="AO533" s="122">
        <v>26988</v>
      </c>
      <c r="AP533" s="122">
        <v>20034</v>
      </c>
      <c r="AQ533" s="122">
        <v>7420</v>
      </c>
      <c r="AR533" s="122">
        <v>145854</v>
      </c>
      <c r="AS533" s="122">
        <v>132594</v>
      </c>
      <c r="AT533">
        <v>0</v>
      </c>
      <c r="AU533">
        <v>0</v>
      </c>
      <c r="AV533" s="122">
        <v>556648</v>
      </c>
    </row>
    <row r="534" spans="2:48">
      <c r="B534" t="s">
        <v>366</v>
      </c>
      <c r="C534" t="s">
        <v>60</v>
      </c>
      <c r="D534" t="s">
        <v>137</v>
      </c>
      <c r="E534" t="s">
        <v>426</v>
      </c>
      <c r="F534">
        <v>5</v>
      </c>
      <c r="G534">
        <v>370</v>
      </c>
      <c r="H534" s="122">
        <v>1674</v>
      </c>
      <c r="I534" s="122">
        <v>70283</v>
      </c>
      <c r="J534" s="122">
        <v>26031</v>
      </c>
      <c r="K534">
        <v>100</v>
      </c>
      <c r="L534" s="122">
        <v>6594</v>
      </c>
      <c r="M534" s="122">
        <v>5994</v>
      </c>
      <c r="N534" s="122">
        <v>7377</v>
      </c>
      <c r="O534" s="122">
        <v>2732</v>
      </c>
      <c r="P534" s="122">
        <v>351</v>
      </c>
      <c r="Q534">
        <v>130</v>
      </c>
      <c r="R534" s="122">
        <v>27313</v>
      </c>
      <c r="S534" s="122">
        <v>24830</v>
      </c>
      <c r="T534" s="122">
        <v>10402</v>
      </c>
      <c r="U534" s="122">
        <v>3853</v>
      </c>
      <c r="V534" s="122">
        <v>63570</v>
      </c>
      <c r="W534" s="122">
        <f t="shared" si="16"/>
        <v>63570</v>
      </c>
      <c r="X534" s="122">
        <f t="shared" si="17"/>
        <v>122320</v>
      </c>
      <c r="Y534" s="122"/>
      <c r="AA534" t="s">
        <v>56</v>
      </c>
      <c r="AB534" t="s">
        <v>406</v>
      </c>
      <c r="AC534" t="s">
        <v>578</v>
      </c>
      <c r="AD534" t="s">
        <v>427</v>
      </c>
      <c r="AE534" t="s">
        <v>137</v>
      </c>
      <c r="AF534">
        <v>1</v>
      </c>
      <c r="AG534">
        <v>129</v>
      </c>
      <c r="AH534">
        <v>193</v>
      </c>
      <c r="AI534" s="122">
        <v>12855</v>
      </c>
      <c r="AJ534" s="122">
        <v>11687</v>
      </c>
      <c r="AK534">
        <v>70</v>
      </c>
      <c r="AL534" s="122">
        <v>1461</v>
      </c>
      <c r="AM534" s="122">
        <v>1328</v>
      </c>
      <c r="AN534" s="122">
        <v>2362</v>
      </c>
      <c r="AO534">
        <v>875</v>
      </c>
      <c r="AP534">
        <v>621</v>
      </c>
      <c r="AQ534">
        <v>230</v>
      </c>
      <c r="AR534" s="122">
        <v>4815</v>
      </c>
      <c r="AS534" s="122">
        <v>4378</v>
      </c>
      <c r="AT534" s="122">
        <v>2784</v>
      </c>
      <c r="AU534" s="122">
        <v>1031</v>
      </c>
      <c r="AV534" s="122">
        <v>19529</v>
      </c>
    </row>
    <row r="535" spans="2:48" hidden="1">
      <c r="B535" t="s">
        <v>366</v>
      </c>
      <c r="C535" t="s">
        <v>60</v>
      </c>
      <c r="D535" t="s">
        <v>406</v>
      </c>
      <c r="E535" t="s">
        <v>137</v>
      </c>
      <c r="F535">
        <v>8</v>
      </c>
      <c r="G535">
        <v>538</v>
      </c>
      <c r="H535" s="122">
        <v>2624</v>
      </c>
      <c r="I535" s="122">
        <v>99149</v>
      </c>
      <c r="J535" s="122">
        <v>90135</v>
      </c>
      <c r="K535">
        <v>79</v>
      </c>
      <c r="L535" s="122">
        <v>20758</v>
      </c>
      <c r="M535" s="122">
        <v>23244</v>
      </c>
      <c r="N535" s="122">
        <v>10967</v>
      </c>
      <c r="O535" s="122">
        <v>4062</v>
      </c>
      <c r="P535" s="122">
        <v>5240</v>
      </c>
      <c r="Q535" s="122">
        <v>1941</v>
      </c>
      <c r="R535" s="122">
        <v>38282</v>
      </c>
      <c r="S535" s="122">
        <v>14179</v>
      </c>
      <c r="T535" s="122">
        <v>0</v>
      </c>
      <c r="U535" s="122">
        <v>0</v>
      </c>
      <c r="V535" s="122">
        <v>133561</v>
      </c>
      <c r="W535" s="122">
        <f t="shared" si="16"/>
        <v>133561</v>
      </c>
      <c r="X535" s="122">
        <f t="shared" si="17"/>
        <v>174396</v>
      </c>
      <c r="Y535" s="122"/>
      <c r="AA535" t="s">
        <v>56</v>
      </c>
      <c r="AB535" t="s">
        <v>406</v>
      </c>
      <c r="AC535" t="s">
        <v>425</v>
      </c>
      <c r="AD535" t="s">
        <v>137</v>
      </c>
      <c r="AE535" t="s">
        <v>137</v>
      </c>
      <c r="AF535">
        <v>1</v>
      </c>
      <c r="AG535">
        <v>126</v>
      </c>
      <c r="AH535">
        <v>199</v>
      </c>
      <c r="AI535" s="122">
        <v>11223</v>
      </c>
      <c r="AJ535" s="122">
        <v>10203</v>
      </c>
      <c r="AK535">
        <v>86</v>
      </c>
      <c r="AL535" s="122">
        <v>1128</v>
      </c>
      <c r="AM535" s="122">
        <v>1025</v>
      </c>
      <c r="AN535" s="122">
        <v>2834</v>
      </c>
      <c r="AO535" s="122">
        <v>1050</v>
      </c>
      <c r="AP535">
        <v>621</v>
      </c>
      <c r="AQ535">
        <v>230</v>
      </c>
      <c r="AR535" s="122">
        <v>6639</v>
      </c>
      <c r="AS535" s="122">
        <v>2459</v>
      </c>
      <c r="AT535" s="122">
        <v>2662</v>
      </c>
      <c r="AU535">
        <v>986</v>
      </c>
      <c r="AV535" s="122">
        <v>15952</v>
      </c>
    </row>
    <row r="536" spans="2:48" hidden="1">
      <c r="B536" t="s">
        <v>366</v>
      </c>
      <c r="C536" t="s">
        <v>60</v>
      </c>
      <c r="D536" t="s">
        <v>406</v>
      </c>
      <c r="E536" t="s">
        <v>406</v>
      </c>
      <c r="F536">
        <v>569</v>
      </c>
      <c r="G536" s="122">
        <v>50753</v>
      </c>
      <c r="H536" s="122">
        <v>192674</v>
      </c>
      <c r="I536" s="122">
        <v>10416979</v>
      </c>
      <c r="J536" s="122">
        <v>9469981</v>
      </c>
      <c r="K536">
        <v>78</v>
      </c>
      <c r="L536" s="122">
        <v>2062609</v>
      </c>
      <c r="M536" s="122">
        <v>1771614</v>
      </c>
      <c r="N536" s="122">
        <v>1082636</v>
      </c>
      <c r="O536" s="122">
        <v>400976</v>
      </c>
      <c r="P536" s="122">
        <v>367858</v>
      </c>
      <c r="Q536" s="122">
        <v>136244</v>
      </c>
      <c r="R536" s="122">
        <v>2591635</v>
      </c>
      <c r="S536" s="122">
        <v>2356032</v>
      </c>
      <c r="T536" s="122">
        <v>930468</v>
      </c>
      <c r="U536" s="122">
        <v>344618</v>
      </c>
      <c r="V536" s="122">
        <v>14479465</v>
      </c>
      <c r="W536" s="122">
        <f t="shared" si="16"/>
        <v>14479465</v>
      </c>
      <c r="X536" s="122">
        <f t="shared" si="17"/>
        <v>17452185</v>
      </c>
      <c r="Y536" s="122"/>
      <c r="AA536" t="s">
        <v>56</v>
      </c>
      <c r="AB536" t="s">
        <v>406</v>
      </c>
      <c r="AC536" t="s">
        <v>425</v>
      </c>
      <c r="AD536" t="s">
        <v>137</v>
      </c>
      <c r="AE536" t="s">
        <v>566</v>
      </c>
      <c r="AF536">
        <v>3</v>
      </c>
      <c r="AG536">
        <v>558</v>
      </c>
      <c r="AH536">
        <v>623</v>
      </c>
      <c r="AI536" s="122">
        <v>51419</v>
      </c>
      <c r="AJ536" s="122">
        <v>46745</v>
      </c>
      <c r="AK536">
        <v>79</v>
      </c>
      <c r="AL536" s="122">
        <v>20132</v>
      </c>
      <c r="AM536" s="122">
        <v>18302</v>
      </c>
      <c r="AN536" s="122">
        <v>10681</v>
      </c>
      <c r="AO536" s="122">
        <v>3956</v>
      </c>
      <c r="AP536" s="122">
        <v>1863</v>
      </c>
      <c r="AQ536">
        <v>690</v>
      </c>
      <c r="AR536" s="122">
        <v>24124</v>
      </c>
      <c r="AS536" s="122">
        <v>8935</v>
      </c>
      <c r="AT536">
        <v>0</v>
      </c>
      <c r="AU536">
        <v>0</v>
      </c>
      <c r="AV536" s="122">
        <v>78628</v>
      </c>
    </row>
    <row r="537" spans="2:48" hidden="1">
      <c r="B537" t="s">
        <v>366</v>
      </c>
      <c r="C537" t="s">
        <v>60</v>
      </c>
      <c r="D537" t="s">
        <v>406</v>
      </c>
      <c r="E537" t="s">
        <v>426</v>
      </c>
      <c r="F537">
        <v>1</v>
      </c>
      <c r="G537" s="122">
        <v>77</v>
      </c>
      <c r="H537" s="122">
        <v>379</v>
      </c>
      <c r="I537" s="122">
        <v>17808</v>
      </c>
      <c r="J537" s="122">
        <v>16189</v>
      </c>
      <c r="K537">
        <v>79</v>
      </c>
      <c r="L537" s="122">
        <v>2968</v>
      </c>
      <c r="M537" s="122">
        <v>2698</v>
      </c>
      <c r="N537" s="122">
        <v>1686</v>
      </c>
      <c r="O537" s="122">
        <v>624</v>
      </c>
      <c r="P537" s="122">
        <v>621</v>
      </c>
      <c r="Q537" s="122">
        <v>230</v>
      </c>
      <c r="R537" s="122">
        <v>4377</v>
      </c>
      <c r="S537" s="122">
        <v>3980</v>
      </c>
      <c r="T537" s="122">
        <v>1678</v>
      </c>
      <c r="U537">
        <v>622</v>
      </c>
      <c r="V537" s="122">
        <v>24343</v>
      </c>
      <c r="W537" s="122">
        <f t="shared" si="16"/>
        <v>24343</v>
      </c>
      <c r="X537" s="122">
        <f t="shared" si="17"/>
        <v>29138</v>
      </c>
      <c r="Y537" s="122"/>
      <c r="AA537" t="s">
        <v>56</v>
      </c>
      <c r="AB537" t="s">
        <v>406</v>
      </c>
      <c r="AC537" t="s">
        <v>425</v>
      </c>
      <c r="AD537" t="s">
        <v>406</v>
      </c>
      <c r="AE537" t="s">
        <v>137</v>
      </c>
      <c r="AF537">
        <v>361</v>
      </c>
      <c r="AG537" s="122">
        <v>42790</v>
      </c>
      <c r="AH537" s="122">
        <v>70081</v>
      </c>
      <c r="AI537" s="122">
        <v>4046286</v>
      </c>
      <c r="AJ537" s="122">
        <v>3678442</v>
      </c>
      <c r="AK537">
        <v>84</v>
      </c>
      <c r="AL537" s="122">
        <v>967622</v>
      </c>
      <c r="AM537" s="122">
        <v>879657</v>
      </c>
      <c r="AN537" s="122">
        <v>852139</v>
      </c>
      <c r="AO537" s="122">
        <v>315607</v>
      </c>
      <c r="AP537" s="122">
        <v>223196</v>
      </c>
      <c r="AQ537" s="122">
        <v>82665</v>
      </c>
      <c r="AR537" s="122">
        <v>1553294</v>
      </c>
      <c r="AS537" s="122">
        <v>1412085</v>
      </c>
      <c r="AT537" s="122">
        <v>705893</v>
      </c>
      <c r="AU537" s="122">
        <v>261442</v>
      </c>
      <c r="AV537" s="122">
        <v>6629897</v>
      </c>
    </row>
    <row r="538" spans="2:48" hidden="1">
      <c r="B538" t="s">
        <v>366</v>
      </c>
      <c r="C538" t="s">
        <v>60</v>
      </c>
      <c r="D538" t="s">
        <v>427</v>
      </c>
      <c r="E538" t="s">
        <v>137</v>
      </c>
      <c r="F538">
        <v>1</v>
      </c>
      <c r="G538" s="122">
        <v>111</v>
      </c>
      <c r="H538" s="122">
        <v>370</v>
      </c>
      <c r="I538" s="122">
        <v>30142</v>
      </c>
      <c r="J538" s="122">
        <v>27401</v>
      </c>
      <c r="K538">
        <v>30</v>
      </c>
      <c r="L538" s="122">
        <v>0</v>
      </c>
      <c r="M538" s="122">
        <v>0</v>
      </c>
      <c r="N538" s="122">
        <v>2703</v>
      </c>
      <c r="O538" s="122">
        <v>1001</v>
      </c>
      <c r="P538" s="122">
        <v>0</v>
      </c>
      <c r="Q538" s="122">
        <v>0</v>
      </c>
      <c r="R538" s="122">
        <v>8176</v>
      </c>
      <c r="S538" s="122">
        <v>3028</v>
      </c>
      <c r="T538" s="122">
        <v>0</v>
      </c>
      <c r="U538" s="122">
        <v>0</v>
      </c>
      <c r="V538" s="122">
        <v>31430</v>
      </c>
      <c r="W538" s="122">
        <f t="shared" si="16"/>
        <v>31430</v>
      </c>
      <c r="X538" s="122">
        <f t="shared" si="17"/>
        <v>41021</v>
      </c>
      <c r="Y538" s="122"/>
      <c r="AA538" t="s">
        <v>56</v>
      </c>
      <c r="AB538" t="s">
        <v>406</v>
      </c>
      <c r="AC538" t="s">
        <v>425</v>
      </c>
      <c r="AD538" t="s">
        <v>406</v>
      </c>
      <c r="AE538" t="s">
        <v>566</v>
      </c>
      <c r="AF538">
        <v>320</v>
      </c>
      <c r="AG538" s="122">
        <v>38534</v>
      </c>
      <c r="AH538" s="122">
        <v>60849</v>
      </c>
      <c r="AI538" s="122">
        <v>3654928</v>
      </c>
      <c r="AJ538" s="122">
        <v>3322662</v>
      </c>
      <c r="AK538">
        <v>85</v>
      </c>
      <c r="AL538" s="122">
        <v>1076175</v>
      </c>
      <c r="AM538" s="122">
        <v>978341</v>
      </c>
      <c r="AN538" s="122">
        <v>777213</v>
      </c>
      <c r="AO538" s="122">
        <v>287857</v>
      </c>
      <c r="AP538" s="122">
        <v>204593</v>
      </c>
      <c r="AQ538" s="122">
        <v>75775</v>
      </c>
      <c r="AR538" s="122">
        <v>1711004</v>
      </c>
      <c r="AS538" s="122">
        <v>1555458</v>
      </c>
      <c r="AT538">
        <v>0</v>
      </c>
      <c r="AU538">
        <v>0</v>
      </c>
      <c r="AV538" s="122">
        <v>6220093</v>
      </c>
    </row>
    <row r="539" spans="2:48" hidden="1">
      <c r="B539" t="s">
        <v>366</v>
      </c>
      <c r="C539" t="s">
        <v>60</v>
      </c>
      <c r="D539" t="s">
        <v>427</v>
      </c>
      <c r="E539" t="s">
        <v>427</v>
      </c>
      <c r="F539">
        <v>103</v>
      </c>
      <c r="G539" s="122">
        <v>7510</v>
      </c>
      <c r="H539" s="122">
        <v>35343</v>
      </c>
      <c r="I539" s="122">
        <v>1474459</v>
      </c>
      <c r="J539" s="122">
        <v>1340418</v>
      </c>
      <c r="K539">
        <v>50</v>
      </c>
      <c r="L539" s="122">
        <v>166093</v>
      </c>
      <c r="M539" s="122">
        <v>149860</v>
      </c>
      <c r="N539" s="122">
        <v>156673</v>
      </c>
      <c r="O539" s="122">
        <v>58027</v>
      </c>
      <c r="P539" s="122">
        <v>36153</v>
      </c>
      <c r="Q539" s="122">
        <v>13390</v>
      </c>
      <c r="R539" s="122">
        <v>520022</v>
      </c>
      <c r="S539" s="122">
        <v>472747</v>
      </c>
      <c r="T539" s="122">
        <v>211715</v>
      </c>
      <c r="U539" s="122">
        <v>78413</v>
      </c>
      <c r="V539" s="122">
        <v>2112855</v>
      </c>
      <c r="W539" s="122">
        <f t="shared" si="16"/>
        <v>2112855</v>
      </c>
      <c r="X539" s="122">
        <f t="shared" si="17"/>
        <v>2565115</v>
      </c>
      <c r="Y539" s="122"/>
      <c r="AA539" t="s">
        <v>56</v>
      </c>
      <c r="AB539" t="s">
        <v>406</v>
      </c>
      <c r="AC539" t="s">
        <v>425</v>
      </c>
      <c r="AD539" t="s">
        <v>407</v>
      </c>
      <c r="AE539" t="s">
        <v>566</v>
      </c>
      <c r="AF539">
        <v>1</v>
      </c>
      <c r="AG539">
        <v>144</v>
      </c>
      <c r="AH539">
        <v>174</v>
      </c>
      <c r="AI539" s="122">
        <v>11156</v>
      </c>
      <c r="AJ539" s="122">
        <v>10142</v>
      </c>
      <c r="AK539">
        <v>95</v>
      </c>
      <c r="AL539" s="122">
        <v>5566</v>
      </c>
      <c r="AM539" s="122">
        <v>5060</v>
      </c>
      <c r="AN539" s="122">
        <v>2944</v>
      </c>
      <c r="AO539" s="122">
        <v>1090</v>
      </c>
      <c r="AP539">
        <v>621</v>
      </c>
      <c r="AQ539">
        <v>230</v>
      </c>
      <c r="AR539" s="122">
        <v>4683</v>
      </c>
      <c r="AS539" s="122">
        <v>4257</v>
      </c>
      <c r="AT539">
        <v>0</v>
      </c>
      <c r="AU539">
        <v>0</v>
      </c>
      <c r="AV539" s="122">
        <v>20780</v>
      </c>
    </row>
    <row r="540" spans="2:48" hidden="1">
      <c r="B540" t="s">
        <v>366</v>
      </c>
      <c r="C540" t="s">
        <v>60</v>
      </c>
      <c r="D540" t="s">
        <v>407</v>
      </c>
      <c r="E540" t="s">
        <v>407</v>
      </c>
      <c r="F540">
        <v>1</v>
      </c>
      <c r="G540">
        <v>88</v>
      </c>
      <c r="H540">
        <v>312</v>
      </c>
      <c r="I540" s="122">
        <v>15911</v>
      </c>
      <c r="J540" s="122">
        <v>14465</v>
      </c>
      <c r="K540">
        <v>65</v>
      </c>
      <c r="L540" s="122">
        <v>1986</v>
      </c>
      <c r="M540" s="122">
        <v>1806</v>
      </c>
      <c r="N540" s="122">
        <v>2154</v>
      </c>
      <c r="O540" s="122">
        <v>798</v>
      </c>
      <c r="P540">
        <v>824</v>
      </c>
      <c r="Q540">
        <v>305</v>
      </c>
      <c r="R540" s="122">
        <v>4136</v>
      </c>
      <c r="S540" s="122">
        <v>3760</v>
      </c>
      <c r="T540" s="122">
        <v>2544</v>
      </c>
      <c r="U540" s="122">
        <v>942</v>
      </c>
      <c r="V540" s="122">
        <v>22076</v>
      </c>
      <c r="W540" s="122">
        <f t="shared" si="16"/>
        <v>22076</v>
      </c>
      <c r="X540" s="122">
        <f t="shared" si="17"/>
        <v>27555</v>
      </c>
      <c r="Y540" s="122"/>
      <c r="AA540" t="s">
        <v>56</v>
      </c>
      <c r="AB540" t="s">
        <v>406</v>
      </c>
      <c r="AC540" t="s">
        <v>405</v>
      </c>
      <c r="AD540" t="s">
        <v>406</v>
      </c>
      <c r="AE540" t="s">
        <v>137</v>
      </c>
      <c r="AF540">
        <v>31</v>
      </c>
      <c r="AG540" s="122">
        <v>3997</v>
      </c>
      <c r="AH540" s="122">
        <v>6134</v>
      </c>
      <c r="AI540" s="122">
        <v>411570</v>
      </c>
      <c r="AJ540" s="122">
        <v>374154</v>
      </c>
      <c r="AK540">
        <v>85</v>
      </c>
      <c r="AL540" s="122">
        <v>97778</v>
      </c>
      <c r="AM540" s="122">
        <v>88889</v>
      </c>
      <c r="AN540" s="122">
        <v>88709</v>
      </c>
      <c r="AO540" s="122">
        <v>32855</v>
      </c>
      <c r="AP540" s="122">
        <v>19251</v>
      </c>
      <c r="AQ540" s="122">
        <v>7130</v>
      </c>
      <c r="AR540" s="122">
        <v>131766</v>
      </c>
      <c r="AS540" s="122">
        <v>119788</v>
      </c>
      <c r="AT540" s="122">
        <v>77989</v>
      </c>
      <c r="AU540" s="122">
        <v>28885</v>
      </c>
      <c r="AV540" s="122">
        <v>651700</v>
      </c>
    </row>
    <row r="541" spans="2:48" hidden="1">
      <c r="B541" t="s">
        <v>366</v>
      </c>
      <c r="C541" t="s">
        <v>60</v>
      </c>
      <c r="D541" t="s">
        <v>556</v>
      </c>
      <c r="E541" t="s">
        <v>556</v>
      </c>
      <c r="F541">
        <v>23</v>
      </c>
      <c r="G541" s="122">
        <v>1835</v>
      </c>
      <c r="H541" s="122">
        <v>7897</v>
      </c>
      <c r="I541" s="122">
        <v>338909</v>
      </c>
      <c r="J541" s="122">
        <v>282424</v>
      </c>
      <c r="K541">
        <v>56</v>
      </c>
      <c r="L541" s="122">
        <v>35660</v>
      </c>
      <c r="M541" s="122">
        <v>17309</v>
      </c>
      <c r="N541" s="122">
        <v>37480</v>
      </c>
      <c r="O541" s="122">
        <v>13882</v>
      </c>
      <c r="P541" s="122">
        <v>8073</v>
      </c>
      <c r="Q541" s="122">
        <v>2990</v>
      </c>
      <c r="R541" s="122">
        <v>142676</v>
      </c>
      <c r="S541" s="122">
        <v>118897</v>
      </c>
      <c r="T541" s="122">
        <v>63468</v>
      </c>
      <c r="U541" s="122">
        <v>23507</v>
      </c>
      <c r="V541" s="122">
        <v>459008</v>
      </c>
      <c r="W541" s="122">
        <f t="shared" si="16"/>
        <v>459009</v>
      </c>
      <c r="X541" s="122">
        <f t="shared" si="17"/>
        <v>626266</v>
      </c>
      <c r="Y541" s="122"/>
      <c r="AA541" t="s">
        <v>56</v>
      </c>
      <c r="AB541" t="s">
        <v>406</v>
      </c>
      <c r="AC541" t="s">
        <v>405</v>
      </c>
      <c r="AD541" t="s">
        <v>406</v>
      </c>
      <c r="AE541" t="s">
        <v>566</v>
      </c>
      <c r="AF541">
        <v>24</v>
      </c>
      <c r="AG541" s="122">
        <v>3190</v>
      </c>
      <c r="AH541" s="122">
        <v>4528</v>
      </c>
      <c r="AI541" s="122">
        <v>288250</v>
      </c>
      <c r="AJ541" s="122">
        <v>262045</v>
      </c>
      <c r="AK541">
        <v>86</v>
      </c>
      <c r="AL541" s="122">
        <v>94070</v>
      </c>
      <c r="AM541" s="122">
        <v>85518</v>
      </c>
      <c r="AN541" s="122">
        <v>68163</v>
      </c>
      <c r="AO541" s="122">
        <v>25245</v>
      </c>
      <c r="AP541" s="122">
        <v>15606</v>
      </c>
      <c r="AQ541" s="122">
        <v>5780</v>
      </c>
      <c r="AR541" s="122">
        <v>136085</v>
      </c>
      <c r="AS541" s="122">
        <v>123714</v>
      </c>
      <c r="AT541">
        <v>0</v>
      </c>
      <c r="AU541">
        <v>0</v>
      </c>
      <c r="AV541" s="122">
        <v>502303</v>
      </c>
    </row>
    <row r="542" spans="2:48" hidden="1">
      <c r="B542" t="s">
        <v>366</v>
      </c>
      <c r="C542" t="s">
        <v>60</v>
      </c>
      <c r="D542" t="s">
        <v>431</v>
      </c>
      <c r="E542" t="s">
        <v>431</v>
      </c>
      <c r="F542">
        <v>2</v>
      </c>
      <c r="G542">
        <v>150</v>
      </c>
      <c r="H542">
        <v>693</v>
      </c>
      <c r="I542" s="122">
        <v>25689</v>
      </c>
      <c r="J542" s="122">
        <v>23354</v>
      </c>
      <c r="K542">
        <v>55</v>
      </c>
      <c r="L542" s="122">
        <v>4717</v>
      </c>
      <c r="M542" s="122">
        <v>3511</v>
      </c>
      <c r="N542" s="122">
        <v>2833</v>
      </c>
      <c r="O542" s="122">
        <v>1049</v>
      </c>
      <c r="P542" s="122">
        <v>702</v>
      </c>
      <c r="Q542">
        <v>260</v>
      </c>
      <c r="R542" s="122">
        <v>13541</v>
      </c>
      <c r="S542" s="122">
        <v>12310</v>
      </c>
      <c r="T542" s="122">
        <v>4323</v>
      </c>
      <c r="U542" s="122">
        <v>1601</v>
      </c>
      <c r="V542" s="122">
        <v>42085</v>
      </c>
      <c r="W542" s="122">
        <f t="shared" si="16"/>
        <v>42085</v>
      </c>
      <c r="X542" s="122">
        <f t="shared" si="17"/>
        <v>51805</v>
      </c>
      <c r="Y542" s="122"/>
      <c r="AA542" t="s">
        <v>56</v>
      </c>
      <c r="AB542" t="s">
        <v>406</v>
      </c>
      <c r="AC542" t="s">
        <v>137</v>
      </c>
      <c r="AD542" t="s">
        <v>425</v>
      </c>
      <c r="AE542" t="s">
        <v>566</v>
      </c>
      <c r="AF542">
        <v>1</v>
      </c>
      <c r="AG542">
        <v>117</v>
      </c>
      <c r="AH542">
        <v>163</v>
      </c>
      <c r="AI542" s="122">
        <v>9119</v>
      </c>
      <c r="AJ542" s="122">
        <v>8290</v>
      </c>
      <c r="AK542">
        <v>95</v>
      </c>
      <c r="AL542" s="122">
        <v>2350</v>
      </c>
      <c r="AM542">
        <v>870</v>
      </c>
      <c r="AN542" s="122">
        <v>2806</v>
      </c>
      <c r="AO542" s="122">
        <v>1039</v>
      </c>
      <c r="AP542">
        <v>621</v>
      </c>
      <c r="AQ542">
        <v>230</v>
      </c>
      <c r="AR542" s="122">
        <v>4156</v>
      </c>
      <c r="AS542" s="122">
        <v>3778</v>
      </c>
      <c r="AT542">
        <v>0</v>
      </c>
      <c r="AU542">
        <v>0</v>
      </c>
      <c r="AV542" s="122">
        <v>14208</v>
      </c>
    </row>
    <row r="543" spans="2:48" hidden="1">
      <c r="B543" t="s">
        <v>366</v>
      </c>
      <c r="C543" t="s">
        <v>60</v>
      </c>
      <c r="D543" t="s">
        <v>426</v>
      </c>
      <c r="E543" t="s">
        <v>427</v>
      </c>
      <c r="F543">
        <v>1</v>
      </c>
      <c r="G543" s="122">
        <v>86</v>
      </c>
      <c r="H543" s="122">
        <v>326</v>
      </c>
      <c r="I543" s="122">
        <v>16474</v>
      </c>
      <c r="J543" s="122">
        <v>14976</v>
      </c>
      <c r="K543">
        <v>55</v>
      </c>
      <c r="L543" s="122">
        <v>2471</v>
      </c>
      <c r="M543" s="122">
        <v>915</v>
      </c>
      <c r="N543" s="122">
        <v>1045</v>
      </c>
      <c r="O543" s="122">
        <v>387</v>
      </c>
      <c r="P543" s="122">
        <v>351</v>
      </c>
      <c r="Q543" s="122">
        <v>130</v>
      </c>
      <c r="R543" s="122">
        <v>5208</v>
      </c>
      <c r="S543" s="122">
        <v>4735</v>
      </c>
      <c r="T543" s="122">
        <v>2376</v>
      </c>
      <c r="U543" s="122">
        <v>880</v>
      </c>
      <c r="V543" s="122">
        <v>22024</v>
      </c>
      <c r="W543" s="122">
        <f t="shared" si="16"/>
        <v>22023</v>
      </c>
      <c r="X543" s="122">
        <f t="shared" si="17"/>
        <v>27925</v>
      </c>
      <c r="Y543" s="122"/>
      <c r="AA543" t="s">
        <v>56</v>
      </c>
      <c r="AB543" t="s">
        <v>406</v>
      </c>
      <c r="AC543" t="s">
        <v>137</v>
      </c>
      <c r="AD543" t="s">
        <v>137</v>
      </c>
      <c r="AE543" t="s">
        <v>566</v>
      </c>
      <c r="AF543">
        <v>7</v>
      </c>
      <c r="AG543">
        <v>674</v>
      </c>
      <c r="AH543" s="122">
        <v>1398</v>
      </c>
      <c r="AI543" s="122">
        <v>58532</v>
      </c>
      <c r="AJ543" s="122">
        <v>53211</v>
      </c>
      <c r="AK543">
        <v>89</v>
      </c>
      <c r="AL543" s="122">
        <v>10431</v>
      </c>
      <c r="AM543" s="122">
        <v>3863</v>
      </c>
      <c r="AN543" s="122">
        <v>14527</v>
      </c>
      <c r="AO543" s="122">
        <v>5380</v>
      </c>
      <c r="AP543" s="122">
        <v>3996</v>
      </c>
      <c r="AQ543" s="122">
        <v>1480</v>
      </c>
      <c r="AR543" s="122">
        <v>47712</v>
      </c>
      <c r="AS543" s="122">
        <v>17671</v>
      </c>
      <c r="AT543">
        <v>0</v>
      </c>
      <c r="AU543">
        <v>0</v>
      </c>
      <c r="AV543" s="122">
        <v>81605</v>
      </c>
    </row>
    <row r="544" spans="2:48" hidden="1">
      <c r="B544" t="s">
        <v>366</v>
      </c>
      <c r="C544" t="s">
        <v>60</v>
      </c>
      <c r="D544" t="s">
        <v>426</v>
      </c>
      <c r="E544" t="s">
        <v>426</v>
      </c>
      <c r="F544">
        <v>130</v>
      </c>
      <c r="G544" s="122">
        <v>9912</v>
      </c>
      <c r="H544" s="122">
        <v>44247</v>
      </c>
      <c r="I544" s="122">
        <v>1943000</v>
      </c>
      <c r="J544" s="122">
        <v>1766364</v>
      </c>
      <c r="K544">
        <v>54</v>
      </c>
      <c r="L544" s="122">
        <v>211477</v>
      </c>
      <c r="M544" s="122">
        <v>168627</v>
      </c>
      <c r="N544" s="122">
        <v>195634</v>
      </c>
      <c r="O544" s="122">
        <v>72457</v>
      </c>
      <c r="P544" s="122">
        <v>46548</v>
      </c>
      <c r="Q544" s="122">
        <v>17240</v>
      </c>
      <c r="R544" s="122">
        <v>692835</v>
      </c>
      <c r="S544" s="122">
        <v>629850</v>
      </c>
      <c r="T544" s="122">
        <v>275569</v>
      </c>
      <c r="U544" s="122">
        <v>102062</v>
      </c>
      <c r="V544" s="122">
        <v>2756600</v>
      </c>
      <c r="W544" s="122">
        <f t="shared" si="16"/>
        <v>2756600</v>
      </c>
      <c r="X544" s="122">
        <f t="shared" si="17"/>
        <v>3365063</v>
      </c>
      <c r="Y544" s="122"/>
      <c r="AA544" t="s">
        <v>56</v>
      </c>
      <c r="AB544" t="s">
        <v>406</v>
      </c>
      <c r="AC544" t="s">
        <v>137</v>
      </c>
      <c r="AD544" t="s">
        <v>406</v>
      </c>
      <c r="AE544" t="s">
        <v>137</v>
      </c>
      <c r="AF544" s="122">
        <v>1203</v>
      </c>
      <c r="AG544" s="122">
        <v>122891</v>
      </c>
      <c r="AH544" s="122">
        <v>238046</v>
      </c>
      <c r="AI544" s="122">
        <v>11266153</v>
      </c>
      <c r="AJ544" s="122">
        <v>10241957</v>
      </c>
      <c r="AK544">
        <v>84</v>
      </c>
      <c r="AL544" s="122">
        <v>2879946</v>
      </c>
      <c r="AM544" s="122">
        <v>1066647</v>
      </c>
      <c r="AN544" s="122">
        <v>2488685</v>
      </c>
      <c r="AO544" s="122">
        <v>921735</v>
      </c>
      <c r="AP544" s="122">
        <v>748396</v>
      </c>
      <c r="AQ544" s="122">
        <v>277184</v>
      </c>
      <c r="AR544" s="122">
        <v>4818160</v>
      </c>
      <c r="AS544" s="122">
        <v>4380146</v>
      </c>
      <c r="AT544" s="122">
        <v>2483655</v>
      </c>
      <c r="AU544" s="122">
        <v>919872</v>
      </c>
      <c r="AV544" s="122">
        <v>17807540</v>
      </c>
    </row>
    <row r="545" spans="2:48" hidden="1">
      <c r="B545" t="s">
        <v>366</v>
      </c>
      <c r="C545" t="s">
        <v>62</v>
      </c>
      <c r="F545">
        <v>2</v>
      </c>
      <c r="G545">
        <v>468</v>
      </c>
      <c r="H545">
        <v>832</v>
      </c>
      <c r="I545" s="122"/>
      <c r="J545" s="122">
        <v>0</v>
      </c>
      <c r="L545" s="122"/>
      <c r="M545" s="122">
        <v>0</v>
      </c>
      <c r="N545" s="122">
        <v>10607</v>
      </c>
      <c r="O545" s="122">
        <v>3929</v>
      </c>
      <c r="P545" s="122">
        <v>621</v>
      </c>
      <c r="Q545">
        <v>230</v>
      </c>
      <c r="R545" s="122"/>
      <c r="S545" s="122">
        <v>0</v>
      </c>
      <c r="T545" s="122">
        <v>0</v>
      </c>
      <c r="U545">
        <v>0</v>
      </c>
      <c r="V545" s="122">
        <v>4159</v>
      </c>
      <c r="W545" s="122">
        <f t="shared" si="16"/>
        <v>4159</v>
      </c>
      <c r="X545" s="122">
        <f t="shared" si="17"/>
        <v>11228</v>
      </c>
      <c r="Y545" s="122"/>
      <c r="AA545" t="s">
        <v>56</v>
      </c>
      <c r="AB545" t="s">
        <v>406</v>
      </c>
      <c r="AC545" t="s">
        <v>137</v>
      </c>
      <c r="AD545" t="s">
        <v>406</v>
      </c>
      <c r="AE545" t="s">
        <v>566</v>
      </c>
      <c r="AF545">
        <v>913</v>
      </c>
      <c r="AG545" s="122">
        <v>93512</v>
      </c>
      <c r="AH545" s="122">
        <v>172264</v>
      </c>
      <c r="AI545" s="122">
        <v>8616310</v>
      </c>
      <c r="AJ545" s="122">
        <v>7833009</v>
      </c>
      <c r="AK545">
        <v>87</v>
      </c>
      <c r="AL545" s="122">
        <v>2251850</v>
      </c>
      <c r="AM545" s="122">
        <v>834019</v>
      </c>
      <c r="AN545" s="122">
        <v>1858935</v>
      </c>
      <c r="AO545" s="122">
        <v>688494</v>
      </c>
      <c r="AP545" s="122">
        <v>577187</v>
      </c>
      <c r="AQ545" s="122">
        <v>213773</v>
      </c>
      <c r="AR545" s="122">
        <v>4561235</v>
      </c>
      <c r="AS545" s="122">
        <v>4146577</v>
      </c>
      <c r="AT545">
        <v>0</v>
      </c>
      <c r="AU545">
        <v>0</v>
      </c>
      <c r="AV545" s="122">
        <v>13715873</v>
      </c>
    </row>
    <row r="546" spans="2:48" hidden="1">
      <c r="B546" t="s">
        <v>366</v>
      </c>
      <c r="C546" t="s">
        <v>62</v>
      </c>
      <c r="D546" t="s">
        <v>425</v>
      </c>
      <c r="E546" t="s">
        <v>425</v>
      </c>
      <c r="F546">
        <v>1</v>
      </c>
      <c r="G546">
        <v>79</v>
      </c>
      <c r="H546">
        <v>439</v>
      </c>
      <c r="I546" s="122">
        <v>24837</v>
      </c>
      <c r="J546" s="122">
        <v>22579</v>
      </c>
      <c r="K546">
        <v>65</v>
      </c>
      <c r="L546" s="122">
        <v>4186</v>
      </c>
      <c r="M546" s="122">
        <v>1550</v>
      </c>
      <c r="N546" s="122">
        <v>1732</v>
      </c>
      <c r="O546" s="122">
        <v>642</v>
      </c>
      <c r="P546" s="122">
        <v>473</v>
      </c>
      <c r="Q546" s="122">
        <v>175</v>
      </c>
      <c r="R546" s="122">
        <v>3412</v>
      </c>
      <c r="S546" s="122">
        <v>3102</v>
      </c>
      <c r="T546" s="122">
        <v>0</v>
      </c>
      <c r="U546" s="122">
        <v>0</v>
      </c>
      <c r="V546" s="122">
        <v>28049</v>
      </c>
      <c r="W546" s="122">
        <f t="shared" si="16"/>
        <v>28048</v>
      </c>
      <c r="X546" s="122">
        <f t="shared" si="17"/>
        <v>34640</v>
      </c>
      <c r="Y546" s="122"/>
      <c r="AA546" t="s">
        <v>56</v>
      </c>
      <c r="AB546" t="s">
        <v>406</v>
      </c>
      <c r="AC546" t="s">
        <v>137</v>
      </c>
      <c r="AD546" t="s">
        <v>427</v>
      </c>
      <c r="AE546" t="s">
        <v>137</v>
      </c>
      <c r="AF546">
        <v>1</v>
      </c>
      <c r="AG546">
        <v>83</v>
      </c>
      <c r="AH546">
        <v>197</v>
      </c>
      <c r="AI546" s="122">
        <v>5692</v>
      </c>
      <c r="AJ546" s="122">
        <v>5175</v>
      </c>
      <c r="AK546">
        <v>79</v>
      </c>
      <c r="AL546" s="122">
        <v>2620</v>
      </c>
      <c r="AM546">
        <v>970</v>
      </c>
      <c r="AN546" s="122">
        <v>1508</v>
      </c>
      <c r="AO546">
        <v>558</v>
      </c>
      <c r="AP546">
        <v>621</v>
      </c>
      <c r="AQ546">
        <v>230</v>
      </c>
      <c r="AR546" s="122">
        <v>3622</v>
      </c>
      <c r="AS546" s="122">
        <v>3293</v>
      </c>
      <c r="AT546" s="122">
        <v>2199</v>
      </c>
      <c r="AU546">
        <v>814</v>
      </c>
      <c r="AV546" s="122">
        <v>11040</v>
      </c>
    </row>
    <row r="547" spans="2:48" hidden="1">
      <c r="B547" t="s">
        <v>366</v>
      </c>
      <c r="C547" t="s">
        <v>62</v>
      </c>
      <c r="D547" t="s">
        <v>405</v>
      </c>
      <c r="E547" t="s">
        <v>405</v>
      </c>
      <c r="F547">
        <v>2</v>
      </c>
      <c r="G547" s="122">
        <v>131</v>
      </c>
      <c r="H547" s="122">
        <v>855</v>
      </c>
      <c r="I547" s="122">
        <v>34437</v>
      </c>
      <c r="J547" s="122">
        <v>31306</v>
      </c>
      <c r="K547">
        <v>65</v>
      </c>
      <c r="L547" s="122">
        <v>5449</v>
      </c>
      <c r="M547" s="122">
        <v>4953</v>
      </c>
      <c r="N547" s="122">
        <v>2730</v>
      </c>
      <c r="O547" s="122">
        <v>1011</v>
      </c>
      <c r="P547" s="122">
        <v>702</v>
      </c>
      <c r="Q547" s="122">
        <v>260</v>
      </c>
      <c r="R547" s="122">
        <v>12690</v>
      </c>
      <c r="S547" s="122">
        <v>11536</v>
      </c>
      <c r="T547" s="122">
        <v>0</v>
      </c>
      <c r="U547" s="122">
        <v>0</v>
      </c>
      <c r="V547" s="122">
        <v>49067</v>
      </c>
      <c r="W547" s="122">
        <f t="shared" si="16"/>
        <v>49066</v>
      </c>
      <c r="X547" s="122">
        <f t="shared" si="17"/>
        <v>56008</v>
      </c>
      <c r="Y547" s="122"/>
      <c r="AA547" t="s">
        <v>56</v>
      </c>
      <c r="AB547" t="s">
        <v>406</v>
      </c>
      <c r="AC547" t="s">
        <v>137</v>
      </c>
      <c r="AD547" t="s">
        <v>427</v>
      </c>
      <c r="AE547" t="s">
        <v>566</v>
      </c>
      <c r="AF547">
        <v>1</v>
      </c>
      <c r="AG547">
        <v>81</v>
      </c>
      <c r="AH547">
        <v>170</v>
      </c>
      <c r="AI547" s="122">
        <v>6895</v>
      </c>
      <c r="AJ547" s="122">
        <v>6268</v>
      </c>
      <c r="AK547">
        <v>79</v>
      </c>
      <c r="AL547" s="122">
        <v>1410</v>
      </c>
      <c r="AM547">
        <v>522</v>
      </c>
      <c r="AN547" s="122">
        <v>1843</v>
      </c>
      <c r="AO547">
        <v>683</v>
      </c>
      <c r="AP547">
        <v>621</v>
      </c>
      <c r="AQ547">
        <v>230</v>
      </c>
      <c r="AR547" s="122">
        <v>6051</v>
      </c>
      <c r="AS547" s="122">
        <v>5501</v>
      </c>
      <c r="AT547">
        <v>0</v>
      </c>
      <c r="AU547">
        <v>0</v>
      </c>
      <c r="AV547" s="122">
        <v>13204</v>
      </c>
    </row>
    <row r="548" spans="2:48" hidden="1">
      <c r="B548" t="s">
        <v>366</v>
      </c>
      <c r="C548" t="s">
        <v>62</v>
      </c>
      <c r="D548" t="s">
        <v>137</v>
      </c>
      <c r="E548" t="s">
        <v>137</v>
      </c>
      <c r="F548">
        <v>44</v>
      </c>
      <c r="G548" s="122">
        <v>3167</v>
      </c>
      <c r="H548" s="122">
        <v>18522</v>
      </c>
      <c r="I548" s="122">
        <v>828090</v>
      </c>
      <c r="J548" s="122">
        <v>306700</v>
      </c>
      <c r="K548">
        <v>100</v>
      </c>
      <c r="L548" s="122">
        <v>114396</v>
      </c>
      <c r="M548" s="122">
        <v>93030</v>
      </c>
      <c r="N548" s="122">
        <v>64487</v>
      </c>
      <c r="O548" s="122">
        <v>23884</v>
      </c>
      <c r="P548" s="122">
        <v>0</v>
      </c>
      <c r="Q548" s="122">
        <v>0</v>
      </c>
      <c r="R548" s="122">
        <v>310072</v>
      </c>
      <c r="S548" s="122">
        <v>114842</v>
      </c>
      <c r="T548" s="122">
        <v>5124</v>
      </c>
      <c r="U548" s="122">
        <v>1898</v>
      </c>
      <c r="V548" s="122">
        <v>540353</v>
      </c>
      <c r="W548" s="122">
        <f t="shared" si="16"/>
        <v>540354</v>
      </c>
      <c r="X548" s="122">
        <f t="shared" si="17"/>
        <v>1322169</v>
      </c>
      <c r="Y548" s="122"/>
      <c r="AA548" t="s">
        <v>56</v>
      </c>
      <c r="AB548" t="s">
        <v>406</v>
      </c>
      <c r="AC548" t="s">
        <v>137</v>
      </c>
      <c r="AD548" t="s">
        <v>407</v>
      </c>
      <c r="AE548" t="s">
        <v>137</v>
      </c>
      <c r="AF548">
        <v>1</v>
      </c>
      <c r="AG548">
        <v>80</v>
      </c>
      <c r="AH548">
        <v>215</v>
      </c>
      <c r="AI548" s="122">
        <v>8798</v>
      </c>
      <c r="AJ548" s="122">
        <v>7998</v>
      </c>
      <c r="AK548">
        <v>79</v>
      </c>
      <c r="AL548" s="122">
        <v>4049</v>
      </c>
      <c r="AM548" s="122">
        <v>1500</v>
      </c>
      <c r="AN548">
        <v>978</v>
      </c>
      <c r="AO548">
        <v>362</v>
      </c>
      <c r="AP548">
        <v>621</v>
      </c>
      <c r="AQ548">
        <v>230</v>
      </c>
      <c r="AR548" s="122">
        <v>2383</v>
      </c>
      <c r="AS548" s="122">
        <v>2166</v>
      </c>
      <c r="AT548">
        <v>419</v>
      </c>
      <c r="AU548">
        <v>155</v>
      </c>
      <c r="AV548" s="122">
        <v>12411</v>
      </c>
    </row>
    <row r="549" spans="2:48" hidden="1">
      <c r="B549" t="s">
        <v>366</v>
      </c>
      <c r="C549" t="s">
        <v>62</v>
      </c>
      <c r="D549" t="s">
        <v>137</v>
      </c>
      <c r="E549" t="s">
        <v>427</v>
      </c>
      <c r="F549">
        <v>5</v>
      </c>
      <c r="G549">
        <v>226</v>
      </c>
      <c r="H549" s="122">
        <v>2045</v>
      </c>
      <c r="I549" s="122">
        <v>50964</v>
      </c>
      <c r="J549" s="122">
        <v>18876</v>
      </c>
      <c r="K549">
        <v>100</v>
      </c>
      <c r="L549" s="122">
        <v>5127</v>
      </c>
      <c r="M549" s="122">
        <v>4661</v>
      </c>
      <c r="N549" s="122">
        <v>5005</v>
      </c>
      <c r="O549" s="122">
        <v>1854</v>
      </c>
      <c r="P549" s="122">
        <v>0</v>
      </c>
      <c r="Q549">
        <v>0</v>
      </c>
      <c r="R549" s="122">
        <v>22553</v>
      </c>
      <c r="S549" s="122">
        <v>20503</v>
      </c>
      <c r="T549" s="122">
        <v>7922</v>
      </c>
      <c r="U549" s="122">
        <v>2934</v>
      </c>
      <c r="V549" s="122">
        <v>48827</v>
      </c>
      <c r="W549" s="122">
        <f t="shared" si="16"/>
        <v>48828</v>
      </c>
      <c r="X549" s="122">
        <f t="shared" si="17"/>
        <v>91571</v>
      </c>
      <c r="Y549" s="122"/>
      <c r="AA549" t="s">
        <v>56</v>
      </c>
      <c r="AB549" t="s">
        <v>406</v>
      </c>
      <c r="AC549" t="s">
        <v>137</v>
      </c>
      <c r="AD549" t="s">
        <v>426</v>
      </c>
      <c r="AE549" t="s">
        <v>566</v>
      </c>
      <c r="AF549">
        <v>1</v>
      </c>
      <c r="AG549">
        <v>79</v>
      </c>
      <c r="AH549">
        <v>188</v>
      </c>
      <c r="AI549" s="122">
        <v>7104</v>
      </c>
      <c r="AJ549" s="122">
        <v>6458</v>
      </c>
      <c r="AK549">
        <v>94</v>
      </c>
      <c r="AL549" s="122">
        <v>1724</v>
      </c>
      <c r="AM549">
        <v>639</v>
      </c>
      <c r="AN549" s="122">
        <v>1725</v>
      </c>
      <c r="AO549">
        <v>639</v>
      </c>
      <c r="AP549">
        <v>621</v>
      </c>
      <c r="AQ549">
        <v>230</v>
      </c>
      <c r="AR549" s="122">
        <v>3608</v>
      </c>
      <c r="AS549" s="122">
        <v>3280</v>
      </c>
      <c r="AT549">
        <v>0</v>
      </c>
      <c r="AU549">
        <v>0</v>
      </c>
      <c r="AV549" s="122">
        <v>11246</v>
      </c>
    </row>
    <row r="550" spans="2:48" hidden="1">
      <c r="B550" t="s">
        <v>366</v>
      </c>
      <c r="C550" t="s">
        <v>62</v>
      </c>
      <c r="D550" t="s">
        <v>137</v>
      </c>
      <c r="E550" t="s">
        <v>426</v>
      </c>
      <c r="F550">
        <v>8</v>
      </c>
      <c r="G550" s="122">
        <v>493</v>
      </c>
      <c r="H550" s="122">
        <v>3364</v>
      </c>
      <c r="I550" s="122">
        <v>124655</v>
      </c>
      <c r="J550" s="122">
        <v>46169</v>
      </c>
      <c r="K550">
        <v>100</v>
      </c>
      <c r="L550" s="122">
        <v>12752</v>
      </c>
      <c r="M550" s="122">
        <v>10760</v>
      </c>
      <c r="N550" s="122">
        <v>10561</v>
      </c>
      <c r="O550" s="122">
        <v>3911</v>
      </c>
      <c r="P550" s="122">
        <v>0</v>
      </c>
      <c r="Q550" s="122">
        <v>0</v>
      </c>
      <c r="R550" s="122">
        <v>48122</v>
      </c>
      <c r="S550" s="122">
        <v>43747</v>
      </c>
      <c r="T550" s="122">
        <v>9198</v>
      </c>
      <c r="U550" s="122">
        <v>3407</v>
      </c>
      <c r="V550" s="122">
        <v>107994</v>
      </c>
      <c r="W550" s="122">
        <f t="shared" si="16"/>
        <v>107994</v>
      </c>
      <c r="X550" s="122">
        <f t="shared" si="17"/>
        <v>205288</v>
      </c>
      <c r="Y550" s="122"/>
      <c r="AA550" t="s">
        <v>56</v>
      </c>
      <c r="AB550" t="s">
        <v>406</v>
      </c>
      <c r="AC550" t="s">
        <v>580</v>
      </c>
      <c r="AD550" t="s">
        <v>137</v>
      </c>
      <c r="AE550" t="s">
        <v>566</v>
      </c>
      <c r="AF550">
        <v>2</v>
      </c>
      <c r="AG550">
        <v>159</v>
      </c>
      <c r="AH550">
        <v>437</v>
      </c>
      <c r="AI550" s="122">
        <v>17030</v>
      </c>
      <c r="AJ550" s="122">
        <v>15482</v>
      </c>
      <c r="AK550">
        <v>85</v>
      </c>
      <c r="AL550" s="122">
        <v>2556</v>
      </c>
      <c r="AM550" s="122">
        <v>2324</v>
      </c>
      <c r="AN550" s="122">
        <v>3034</v>
      </c>
      <c r="AO550" s="122">
        <v>1124</v>
      </c>
      <c r="AP550" s="122">
        <v>1242</v>
      </c>
      <c r="AQ550">
        <v>460</v>
      </c>
      <c r="AR550" s="122">
        <v>10881</v>
      </c>
      <c r="AS550" s="122">
        <v>4030</v>
      </c>
      <c r="AT550">
        <v>0</v>
      </c>
      <c r="AU550">
        <v>0</v>
      </c>
      <c r="AV550" s="122">
        <v>23420</v>
      </c>
    </row>
    <row r="551" spans="2:48" hidden="1">
      <c r="B551" t="s">
        <v>366</v>
      </c>
      <c r="C551" t="s">
        <v>62</v>
      </c>
      <c r="D551" t="s">
        <v>406</v>
      </c>
      <c r="E551" t="s">
        <v>137</v>
      </c>
      <c r="F551">
        <v>4</v>
      </c>
      <c r="G551" s="122">
        <v>323</v>
      </c>
      <c r="H551" s="122">
        <v>1602</v>
      </c>
      <c r="I551" s="122">
        <v>98080</v>
      </c>
      <c r="J551" s="122">
        <v>89163</v>
      </c>
      <c r="K551">
        <v>68</v>
      </c>
      <c r="L551" s="122">
        <v>0</v>
      </c>
      <c r="M551" s="122">
        <v>3565</v>
      </c>
      <c r="N551" s="122">
        <v>7237</v>
      </c>
      <c r="O551" s="122">
        <v>2680</v>
      </c>
      <c r="P551" s="122">
        <v>2484</v>
      </c>
      <c r="Q551" s="122">
        <v>920</v>
      </c>
      <c r="R551" s="122">
        <v>21951</v>
      </c>
      <c r="S551" s="122">
        <v>8130</v>
      </c>
      <c r="T551">
        <v>0</v>
      </c>
      <c r="U551">
        <v>0</v>
      </c>
      <c r="V551" s="122">
        <v>104459</v>
      </c>
      <c r="W551" s="122">
        <f t="shared" si="16"/>
        <v>104458</v>
      </c>
      <c r="X551" s="122">
        <f t="shared" si="17"/>
        <v>129752</v>
      </c>
      <c r="Y551" s="122"/>
      <c r="AA551" t="s">
        <v>56</v>
      </c>
      <c r="AB551" t="s">
        <v>406</v>
      </c>
      <c r="AC551" t="s">
        <v>580</v>
      </c>
      <c r="AD551" t="s">
        <v>406</v>
      </c>
      <c r="AE551" t="s">
        <v>137</v>
      </c>
      <c r="AF551">
        <v>219</v>
      </c>
      <c r="AG551" s="122">
        <v>25547</v>
      </c>
      <c r="AH551" s="122">
        <v>42611</v>
      </c>
      <c r="AI551" s="122">
        <v>2593451</v>
      </c>
      <c r="AJ551" s="122">
        <v>2357683</v>
      </c>
      <c r="AK551">
        <v>85</v>
      </c>
      <c r="AL551" s="122">
        <v>439358</v>
      </c>
      <c r="AM551" s="122">
        <v>399416</v>
      </c>
      <c r="AN551" s="122">
        <v>483674</v>
      </c>
      <c r="AO551" s="122">
        <v>179139</v>
      </c>
      <c r="AP551" s="122">
        <v>143802</v>
      </c>
      <c r="AQ551" s="122">
        <v>53260</v>
      </c>
      <c r="AR551" s="122">
        <v>906894</v>
      </c>
      <c r="AS551" s="122">
        <v>824449</v>
      </c>
      <c r="AT551" s="122">
        <v>461453</v>
      </c>
      <c r="AU551" s="122">
        <v>170908</v>
      </c>
      <c r="AV551" s="122">
        <v>3984855</v>
      </c>
    </row>
    <row r="552" spans="2:48" hidden="1">
      <c r="B552" t="s">
        <v>366</v>
      </c>
      <c r="C552" t="s">
        <v>62</v>
      </c>
      <c r="D552" t="s">
        <v>406</v>
      </c>
      <c r="E552" t="s">
        <v>406</v>
      </c>
      <c r="F552" s="122">
        <v>233</v>
      </c>
      <c r="G552" s="122">
        <v>21118</v>
      </c>
      <c r="H552" s="122">
        <v>96139</v>
      </c>
      <c r="I552" s="122">
        <v>5561997</v>
      </c>
      <c r="J552" s="122">
        <v>5056361</v>
      </c>
      <c r="K552">
        <v>75</v>
      </c>
      <c r="L552" s="122">
        <v>1144282</v>
      </c>
      <c r="M552" s="122">
        <v>986860</v>
      </c>
      <c r="N552" s="122">
        <v>455353</v>
      </c>
      <c r="O552" s="122">
        <v>168649</v>
      </c>
      <c r="P552" s="122">
        <v>148284</v>
      </c>
      <c r="Q552" s="122">
        <v>54920</v>
      </c>
      <c r="R552" s="122">
        <v>1054249</v>
      </c>
      <c r="S552" s="122">
        <v>958408</v>
      </c>
      <c r="T552" s="122">
        <v>447209</v>
      </c>
      <c r="U552" s="122">
        <v>165633</v>
      </c>
      <c r="V552" s="122">
        <v>7390832</v>
      </c>
      <c r="W552" s="122">
        <f t="shared" si="16"/>
        <v>7390831</v>
      </c>
      <c r="X552" s="122">
        <f t="shared" si="17"/>
        <v>8811374</v>
      </c>
      <c r="Y552" s="122"/>
      <c r="AA552" t="s">
        <v>56</v>
      </c>
      <c r="AB552" t="s">
        <v>406</v>
      </c>
      <c r="AC552" t="s">
        <v>580</v>
      </c>
      <c r="AD552" t="s">
        <v>406</v>
      </c>
      <c r="AE552" t="s">
        <v>566</v>
      </c>
      <c r="AF552">
        <v>144</v>
      </c>
      <c r="AG552" s="122">
        <v>15370</v>
      </c>
      <c r="AH552" s="122">
        <v>27130</v>
      </c>
      <c r="AI552" s="122">
        <v>1572862</v>
      </c>
      <c r="AJ552" s="122">
        <v>1429875</v>
      </c>
      <c r="AK552">
        <v>87</v>
      </c>
      <c r="AL552" s="122">
        <v>249891</v>
      </c>
      <c r="AM552" s="122">
        <v>227174</v>
      </c>
      <c r="AN552" s="122">
        <v>304093</v>
      </c>
      <c r="AO552" s="122">
        <v>112627</v>
      </c>
      <c r="AP552" s="122">
        <v>97524</v>
      </c>
      <c r="AQ552" s="122">
        <v>36120</v>
      </c>
      <c r="AR552" s="122">
        <v>707743</v>
      </c>
      <c r="AS552" s="122">
        <v>643403</v>
      </c>
      <c r="AT552">
        <v>0</v>
      </c>
      <c r="AU552">
        <v>0</v>
      </c>
      <c r="AV552" s="122">
        <v>2449199</v>
      </c>
    </row>
    <row r="553" spans="2:48" hidden="1">
      <c r="B553" t="s">
        <v>366</v>
      </c>
      <c r="C553" t="s">
        <v>62</v>
      </c>
      <c r="D553" t="s">
        <v>427</v>
      </c>
      <c r="E553" t="s">
        <v>427</v>
      </c>
      <c r="F553">
        <v>43</v>
      </c>
      <c r="G553" s="122">
        <v>2575</v>
      </c>
      <c r="H553" s="122">
        <v>17629</v>
      </c>
      <c r="I553" s="122">
        <v>607934</v>
      </c>
      <c r="J553" s="122">
        <v>552667</v>
      </c>
      <c r="K553">
        <v>51</v>
      </c>
      <c r="L553" s="122">
        <v>57884</v>
      </c>
      <c r="M553" s="122">
        <v>51846</v>
      </c>
      <c r="N553" s="122">
        <v>53217</v>
      </c>
      <c r="O553" s="122">
        <v>19710</v>
      </c>
      <c r="P553" s="122">
        <v>14742</v>
      </c>
      <c r="Q553" s="122">
        <v>5460</v>
      </c>
      <c r="R553" s="122">
        <v>232524</v>
      </c>
      <c r="S553" s="122">
        <v>211385</v>
      </c>
      <c r="T553" s="122">
        <v>85606</v>
      </c>
      <c r="U553" s="122">
        <v>31706</v>
      </c>
      <c r="V553" s="122">
        <v>872774</v>
      </c>
      <c r="W553" s="122">
        <f t="shared" si="16"/>
        <v>872774</v>
      </c>
      <c r="X553" s="122">
        <f t="shared" si="17"/>
        <v>1051907</v>
      </c>
      <c r="Y553" s="122"/>
      <c r="AA553" t="s">
        <v>56</v>
      </c>
      <c r="AB553" t="s">
        <v>406</v>
      </c>
      <c r="AC553" t="s">
        <v>580</v>
      </c>
      <c r="AD553" t="s">
        <v>427</v>
      </c>
      <c r="AE553" t="s">
        <v>137</v>
      </c>
      <c r="AF553">
        <v>1</v>
      </c>
      <c r="AG553">
        <v>122</v>
      </c>
      <c r="AH553">
        <v>185</v>
      </c>
      <c r="AI553" s="122">
        <v>9810</v>
      </c>
      <c r="AJ553" s="122">
        <v>8918</v>
      </c>
      <c r="AK553">
        <v>86</v>
      </c>
      <c r="AL553" s="122">
        <v>2950</v>
      </c>
      <c r="AM553" s="122">
        <v>2682</v>
      </c>
      <c r="AN553" s="122">
        <v>2346</v>
      </c>
      <c r="AO553">
        <v>869</v>
      </c>
      <c r="AP553">
        <v>621</v>
      </c>
      <c r="AQ553">
        <v>230</v>
      </c>
      <c r="AR553" s="122">
        <v>3990</v>
      </c>
      <c r="AS553" s="122">
        <v>3627</v>
      </c>
      <c r="AT553" s="122">
        <v>2831</v>
      </c>
      <c r="AU553" s="122">
        <v>1049</v>
      </c>
      <c r="AV553" s="122">
        <v>17375</v>
      </c>
    </row>
    <row r="554" spans="2:48" hidden="1">
      <c r="B554" t="s">
        <v>366</v>
      </c>
      <c r="C554" t="s">
        <v>62</v>
      </c>
      <c r="D554" t="s">
        <v>407</v>
      </c>
      <c r="E554" t="s">
        <v>407</v>
      </c>
      <c r="F554">
        <v>1</v>
      </c>
      <c r="G554">
        <v>82</v>
      </c>
      <c r="H554">
        <v>394</v>
      </c>
      <c r="I554" s="122">
        <v>20768</v>
      </c>
      <c r="J554" s="122">
        <v>18880</v>
      </c>
      <c r="K554">
        <v>65</v>
      </c>
      <c r="L554" s="122">
        <v>2264</v>
      </c>
      <c r="M554" s="122">
        <v>2058</v>
      </c>
      <c r="N554" s="122">
        <v>1772</v>
      </c>
      <c r="O554" s="122">
        <v>656</v>
      </c>
      <c r="P554" s="122">
        <v>473</v>
      </c>
      <c r="Q554">
        <v>175</v>
      </c>
      <c r="R554" s="122">
        <v>4567</v>
      </c>
      <c r="S554" s="122">
        <v>4152</v>
      </c>
      <c r="T554" s="122">
        <v>2322</v>
      </c>
      <c r="U554">
        <v>860</v>
      </c>
      <c r="V554" s="122">
        <v>26781</v>
      </c>
      <c r="W554" s="122">
        <f t="shared" si="16"/>
        <v>26781</v>
      </c>
      <c r="X554" s="122">
        <f t="shared" si="17"/>
        <v>32166</v>
      </c>
      <c r="Y554" s="122"/>
      <c r="AA554" t="s">
        <v>56</v>
      </c>
      <c r="AB554" t="s">
        <v>406</v>
      </c>
      <c r="AC554" t="s">
        <v>580</v>
      </c>
      <c r="AD554" t="s">
        <v>427</v>
      </c>
      <c r="AE554" t="s">
        <v>566</v>
      </c>
      <c r="AF554">
        <v>1</v>
      </c>
      <c r="AG554">
        <v>66</v>
      </c>
      <c r="AH554">
        <v>181</v>
      </c>
      <c r="AI554" s="122">
        <v>4583</v>
      </c>
      <c r="AJ554" s="122">
        <v>4166</v>
      </c>
      <c r="AK554">
        <v>79</v>
      </c>
      <c r="AL554" s="122">
        <v>1273</v>
      </c>
      <c r="AM554" s="122">
        <v>1157</v>
      </c>
      <c r="AN554">
        <v>999</v>
      </c>
      <c r="AO554">
        <v>370</v>
      </c>
      <c r="AP554">
        <v>621</v>
      </c>
      <c r="AQ554">
        <v>230</v>
      </c>
      <c r="AR554" s="122">
        <v>4426</v>
      </c>
      <c r="AS554" s="122">
        <v>4023</v>
      </c>
      <c r="AT554">
        <v>0</v>
      </c>
      <c r="AU554">
        <v>0</v>
      </c>
      <c r="AV554" s="122">
        <v>9947</v>
      </c>
    </row>
    <row r="555" spans="2:48" hidden="1">
      <c r="B555" t="s">
        <v>366</v>
      </c>
      <c r="C555" t="s">
        <v>62</v>
      </c>
      <c r="D555" t="s">
        <v>556</v>
      </c>
      <c r="E555" t="s">
        <v>137</v>
      </c>
      <c r="F555">
        <v>1</v>
      </c>
      <c r="G555" s="122">
        <v>79</v>
      </c>
      <c r="H555" s="122">
        <v>408</v>
      </c>
      <c r="I555" s="122">
        <v>16267</v>
      </c>
      <c r="J555" s="122">
        <v>13555</v>
      </c>
      <c r="K555">
        <v>60</v>
      </c>
      <c r="L555" s="122">
        <v>3615</v>
      </c>
      <c r="M555" s="122">
        <v>3012</v>
      </c>
      <c r="N555" s="122">
        <v>1440</v>
      </c>
      <c r="O555" s="122">
        <v>533</v>
      </c>
      <c r="P555" s="122">
        <v>0</v>
      </c>
      <c r="Q555" s="122">
        <v>0</v>
      </c>
      <c r="R555" s="122">
        <v>10855</v>
      </c>
      <c r="S555" s="122">
        <v>4020</v>
      </c>
      <c r="T555" s="122">
        <v>0</v>
      </c>
      <c r="U555" s="122">
        <v>0</v>
      </c>
      <c r="V555" s="122">
        <v>21121</v>
      </c>
      <c r="W555" s="122">
        <f t="shared" si="16"/>
        <v>21120</v>
      </c>
      <c r="X555" s="122">
        <f t="shared" si="17"/>
        <v>32177</v>
      </c>
      <c r="Y555" s="122"/>
      <c r="AA555" t="s">
        <v>56</v>
      </c>
      <c r="AB555" t="s">
        <v>406</v>
      </c>
      <c r="AC555" t="s">
        <v>580</v>
      </c>
      <c r="AD555" t="s">
        <v>407</v>
      </c>
      <c r="AE555" t="s">
        <v>566</v>
      </c>
      <c r="AF555">
        <v>1</v>
      </c>
      <c r="AG555">
        <v>203</v>
      </c>
      <c r="AH555">
        <v>191</v>
      </c>
      <c r="AI555" s="122">
        <v>26579</v>
      </c>
      <c r="AJ555" s="122">
        <v>24163</v>
      </c>
      <c r="AK555">
        <v>91</v>
      </c>
      <c r="AL555" s="122">
        <v>3599</v>
      </c>
      <c r="AM555" s="122">
        <v>3272</v>
      </c>
      <c r="AN555" s="122">
        <v>3813</v>
      </c>
      <c r="AO555" s="122">
        <v>1412</v>
      </c>
      <c r="AP555">
        <v>621</v>
      </c>
      <c r="AQ555">
        <v>230</v>
      </c>
      <c r="AR555" s="122">
        <v>4216</v>
      </c>
      <c r="AS555" s="122">
        <v>3833</v>
      </c>
      <c r="AT555">
        <v>0</v>
      </c>
      <c r="AU555">
        <v>0</v>
      </c>
      <c r="AV555" s="122">
        <v>32910</v>
      </c>
    </row>
    <row r="556" spans="2:48" hidden="1">
      <c r="B556" t="s">
        <v>366</v>
      </c>
      <c r="C556" t="s">
        <v>62</v>
      </c>
      <c r="D556" t="s">
        <v>556</v>
      </c>
      <c r="E556" t="s">
        <v>556</v>
      </c>
      <c r="F556">
        <v>10</v>
      </c>
      <c r="G556">
        <v>678</v>
      </c>
      <c r="H556" s="122">
        <v>4154</v>
      </c>
      <c r="I556" s="122">
        <v>170929</v>
      </c>
      <c r="J556" s="122">
        <v>142441</v>
      </c>
      <c r="K556">
        <v>59</v>
      </c>
      <c r="L556" s="122">
        <v>18379</v>
      </c>
      <c r="M556" s="122">
        <v>11961</v>
      </c>
      <c r="N556" s="122">
        <v>13117</v>
      </c>
      <c r="O556" s="122">
        <v>4858</v>
      </c>
      <c r="P556" s="122">
        <v>3780</v>
      </c>
      <c r="Q556" s="122">
        <v>1400</v>
      </c>
      <c r="R556" s="122">
        <v>51999</v>
      </c>
      <c r="S556" s="122">
        <v>43332</v>
      </c>
      <c r="T556" s="122">
        <v>22409</v>
      </c>
      <c r="U556" s="122">
        <v>8300</v>
      </c>
      <c r="V556" s="122">
        <v>212292</v>
      </c>
      <c r="W556" s="122">
        <f t="shared" si="16"/>
        <v>212292</v>
      </c>
      <c r="X556" s="122">
        <f t="shared" si="17"/>
        <v>280613</v>
      </c>
      <c r="Y556" s="122"/>
      <c r="AA556" t="s">
        <v>56</v>
      </c>
      <c r="AB556" t="s">
        <v>406</v>
      </c>
      <c r="AC556" t="s">
        <v>580</v>
      </c>
      <c r="AD556" t="s">
        <v>579</v>
      </c>
      <c r="AE556" t="s">
        <v>137</v>
      </c>
      <c r="AF556">
        <v>1</v>
      </c>
      <c r="AG556">
        <v>114</v>
      </c>
      <c r="AH556">
        <v>205</v>
      </c>
      <c r="AI556" s="122">
        <v>11620</v>
      </c>
      <c r="AJ556" s="122">
        <v>10563</v>
      </c>
      <c r="AK556">
        <v>94</v>
      </c>
      <c r="AL556" s="122">
        <v>2308</v>
      </c>
      <c r="AM556" s="122">
        <v>2099</v>
      </c>
      <c r="AN556" s="122">
        <v>2194</v>
      </c>
      <c r="AO556">
        <v>812</v>
      </c>
      <c r="AP556">
        <v>621</v>
      </c>
      <c r="AQ556">
        <v>230</v>
      </c>
      <c r="AR556" s="122">
        <v>3858</v>
      </c>
      <c r="AS556" s="122">
        <v>3215</v>
      </c>
      <c r="AT556" s="122">
        <v>2735</v>
      </c>
      <c r="AU556" s="122">
        <v>1013</v>
      </c>
      <c r="AV556" s="122">
        <v>17933</v>
      </c>
    </row>
    <row r="557" spans="2:48" hidden="1">
      <c r="B557" t="s">
        <v>366</v>
      </c>
      <c r="C557" t="s">
        <v>62</v>
      </c>
      <c r="D557" t="s">
        <v>431</v>
      </c>
      <c r="E557" t="s">
        <v>431</v>
      </c>
      <c r="F557">
        <v>2</v>
      </c>
      <c r="G557" s="122">
        <v>144</v>
      </c>
      <c r="H557" s="122">
        <v>830</v>
      </c>
      <c r="I557" s="122">
        <v>35072</v>
      </c>
      <c r="J557" s="122">
        <v>31884</v>
      </c>
      <c r="K557">
        <v>45</v>
      </c>
      <c r="L557" s="122">
        <v>5845</v>
      </c>
      <c r="M557" s="122">
        <v>5314</v>
      </c>
      <c r="N557" s="122">
        <v>2320</v>
      </c>
      <c r="O557" s="122">
        <v>859</v>
      </c>
      <c r="P557" s="122">
        <v>702</v>
      </c>
      <c r="Q557" s="122">
        <v>260</v>
      </c>
      <c r="R557" s="122">
        <v>11552</v>
      </c>
      <c r="S557" s="122">
        <v>10502</v>
      </c>
      <c r="T557" s="122">
        <v>4111</v>
      </c>
      <c r="U557" s="122">
        <v>1522</v>
      </c>
      <c r="V557" s="122">
        <v>50341</v>
      </c>
      <c r="W557" s="122">
        <f t="shared" si="16"/>
        <v>50341</v>
      </c>
      <c r="X557" s="122">
        <f t="shared" si="17"/>
        <v>59602</v>
      </c>
      <c r="Y557" s="122"/>
      <c r="AA557" t="s">
        <v>56</v>
      </c>
      <c r="AB557" t="s">
        <v>406</v>
      </c>
      <c r="AC557" t="s">
        <v>580</v>
      </c>
      <c r="AD557" t="s">
        <v>579</v>
      </c>
      <c r="AE557" t="s">
        <v>566</v>
      </c>
      <c r="AF557">
        <v>2</v>
      </c>
      <c r="AG557">
        <v>211</v>
      </c>
      <c r="AH557">
        <v>399</v>
      </c>
      <c r="AI557" s="122">
        <v>21037</v>
      </c>
      <c r="AJ557" s="122">
        <v>19125</v>
      </c>
      <c r="AK557">
        <v>86</v>
      </c>
      <c r="AL557" s="122">
        <v>3440</v>
      </c>
      <c r="AM557" s="122">
        <v>3127</v>
      </c>
      <c r="AN557" s="122">
        <v>5047</v>
      </c>
      <c r="AO557" s="122">
        <v>1869</v>
      </c>
      <c r="AP557" s="122">
        <v>1593</v>
      </c>
      <c r="AQ557">
        <v>590</v>
      </c>
      <c r="AR557" s="122">
        <v>10684</v>
      </c>
      <c r="AS557" s="122">
        <v>8904</v>
      </c>
      <c r="AT557">
        <v>0</v>
      </c>
      <c r="AU557">
        <v>0</v>
      </c>
      <c r="AV557" s="122">
        <v>33614</v>
      </c>
    </row>
    <row r="558" spans="2:48" hidden="1">
      <c r="B558" t="s">
        <v>366</v>
      </c>
      <c r="C558" t="s">
        <v>62</v>
      </c>
      <c r="D558" t="s">
        <v>426</v>
      </c>
      <c r="E558" t="s">
        <v>426</v>
      </c>
      <c r="F558">
        <v>67</v>
      </c>
      <c r="G558" s="122">
        <v>4664</v>
      </c>
      <c r="H558" s="122">
        <v>27612</v>
      </c>
      <c r="I558" s="122">
        <v>1134557</v>
      </c>
      <c r="J558" s="122">
        <v>1031416</v>
      </c>
      <c r="K558">
        <v>52</v>
      </c>
      <c r="L558" s="122">
        <v>137667</v>
      </c>
      <c r="M558" s="122">
        <v>113249</v>
      </c>
      <c r="N558" s="122">
        <v>97034</v>
      </c>
      <c r="O558" s="122">
        <v>35938</v>
      </c>
      <c r="P558" s="122">
        <v>23814</v>
      </c>
      <c r="Q558" s="122">
        <v>8820</v>
      </c>
      <c r="R558" s="122">
        <v>389359</v>
      </c>
      <c r="S558" s="122">
        <v>353963</v>
      </c>
      <c r="T558" s="122">
        <v>144886</v>
      </c>
      <c r="U558" s="122">
        <v>53661</v>
      </c>
      <c r="V558" s="122">
        <v>1597047</v>
      </c>
      <c r="W558" s="122">
        <f t="shared" si="16"/>
        <v>1597047</v>
      </c>
      <c r="X558" s="122">
        <f t="shared" si="17"/>
        <v>1927317</v>
      </c>
      <c r="Y558" s="122"/>
      <c r="AA558" t="s">
        <v>56</v>
      </c>
      <c r="AB558" t="s">
        <v>406</v>
      </c>
      <c r="AC558" t="s">
        <v>580</v>
      </c>
      <c r="AD558" t="s">
        <v>431</v>
      </c>
      <c r="AE558" t="s">
        <v>137</v>
      </c>
      <c r="AF558">
        <v>1</v>
      </c>
      <c r="AG558">
        <v>118</v>
      </c>
      <c r="AH558">
        <v>185</v>
      </c>
      <c r="AI558" s="122">
        <v>9384</v>
      </c>
      <c r="AJ558" s="122">
        <v>8531</v>
      </c>
      <c r="AK558">
        <v>84</v>
      </c>
      <c r="AL558" s="122">
        <v>2760</v>
      </c>
      <c r="AM558" s="122">
        <v>2509</v>
      </c>
      <c r="AN558" s="122">
        <v>2870</v>
      </c>
      <c r="AO558" s="122">
        <v>1063</v>
      </c>
      <c r="AP558">
        <v>270</v>
      </c>
      <c r="AQ558">
        <v>100</v>
      </c>
      <c r="AR558" s="122">
        <v>3890</v>
      </c>
      <c r="AS558" s="122">
        <v>3537</v>
      </c>
      <c r="AT558" s="122">
        <v>2648</v>
      </c>
      <c r="AU558">
        <v>981</v>
      </c>
      <c r="AV558" s="122">
        <v>16720</v>
      </c>
    </row>
    <row r="559" spans="2:48" hidden="1">
      <c r="B559" t="s">
        <v>366</v>
      </c>
      <c r="C559" t="s">
        <v>64</v>
      </c>
      <c r="F559">
        <v>10</v>
      </c>
      <c r="G559">
        <v>824</v>
      </c>
      <c r="H559" s="122">
        <v>5647</v>
      </c>
      <c r="I559" s="122"/>
      <c r="J559" s="122">
        <v>0</v>
      </c>
      <c r="L559" s="122"/>
      <c r="M559" s="122">
        <v>0</v>
      </c>
      <c r="N559" s="122">
        <v>17335</v>
      </c>
      <c r="O559" s="122">
        <v>6420</v>
      </c>
      <c r="P559" s="122">
        <v>5319</v>
      </c>
      <c r="Q559" s="122">
        <v>1970</v>
      </c>
      <c r="R559" s="122"/>
      <c r="S559" s="122">
        <v>0</v>
      </c>
      <c r="T559" s="122">
        <v>3241</v>
      </c>
      <c r="U559" s="122">
        <v>1200</v>
      </c>
      <c r="V559" s="122">
        <v>9591</v>
      </c>
      <c r="W559" s="122">
        <f t="shared" si="16"/>
        <v>9590</v>
      </c>
      <c r="X559" s="122">
        <f t="shared" si="17"/>
        <v>25895</v>
      </c>
      <c r="Y559" s="122"/>
      <c r="AA559" t="s">
        <v>56</v>
      </c>
      <c r="AB559" t="s">
        <v>406</v>
      </c>
      <c r="AC559" t="s">
        <v>580</v>
      </c>
      <c r="AD559" t="s">
        <v>426</v>
      </c>
      <c r="AE559" t="s">
        <v>137</v>
      </c>
      <c r="AF559">
        <v>1</v>
      </c>
      <c r="AG559">
        <v>90</v>
      </c>
      <c r="AH559">
        <v>210</v>
      </c>
      <c r="AI559" s="122">
        <v>7908</v>
      </c>
      <c r="AJ559" s="122">
        <v>7189</v>
      </c>
      <c r="AK559">
        <v>79</v>
      </c>
      <c r="AL559" s="122">
        <v>2197</v>
      </c>
      <c r="AM559" s="122">
        <v>1997</v>
      </c>
      <c r="AN559" s="122">
        <v>1973</v>
      </c>
      <c r="AO559">
        <v>731</v>
      </c>
      <c r="AP559">
        <v>621</v>
      </c>
      <c r="AQ559">
        <v>230</v>
      </c>
      <c r="AR559" s="122">
        <v>3886</v>
      </c>
      <c r="AS559" s="122">
        <v>3532</v>
      </c>
      <c r="AT559" s="122">
        <v>2438</v>
      </c>
      <c r="AU559">
        <v>903</v>
      </c>
      <c r="AV559" s="122">
        <v>14583</v>
      </c>
    </row>
    <row r="560" spans="2:48" hidden="1">
      <c r="B560" t="s">
        <v>366</v>
      </c>
      <c r="C560" t="s">
        <v>64</v>
      </c>
      <c r="D560" t="s">
        <v>425</v>
      </c>
      <c r="E560" t="s">
        <v>425</v>
      </c>
      <c r="F560">
        <v>2</v>
      </c>
      <c r="G560" s="122">
        <v>212</v>
      </c>
      <c r="H560" s="122">
        <v>1073</v>
      </c>
      <c r="I560" s="122">
        <v>75561</v>
      </c>
      <c r="J560" s="122">
        <v>68692</v>
      </c>
      <c r="K560">
        <v>72</v>
      </c>
      <c r="L560" s="122">
        <v>19584</v>
      </c>
      <c r="M560" s="122">
        <v>17804</v>
      </c>
      <c r="N560" s="122">
        <v>5171</v>
      </c>
      <c r="O560" s="122">
        <v>1915</v>
      </c>
      <c r="P560" s="122">
        <v>945</v>
      </c>
      <c r="Q560" s="122">
        <v>350</v>
      </c>
      <c r="R560" s="122">
        <v>9786</v>
      </c>
      <c r="S560" s="122">
        <v>8897</v>
      </c>
      <c r="T560" s="122">
        <v>0</v>
      </c>
      <c r="U560" s="122">
        <v>0</v>
      </c>
      <c r="V560" s="122">
        <v>97658</v>
      </c>
      <c r="W560" s="122">
        <f t="shared" si="16"/>
        <v>97658</v>
      </c>
      <c r="X560" s="122">
        <f t="shared" si="17"/>
        <v>111047</v>
      </c>
      <c r="Y560" s="122"/>
      <c r="AA560" t="s">
        <v>56</v>
      </c>
      <c r="AB560" t="s">
        <v>406</v>
      </c>
      <c r="AC560" t="s">
        <v>580</v>
      </c>
      <c r="AD560" t="s">
        <v>426</v>
      </c>
      <c r="AE560" t="s">
        <v>566</v>
      </c>
      <c r="AF560">
        <v>5</v>
      </c>
      <c r="AG560">
        <v>554</v>
      </c>
      <c r="AH560">
        <v>994</v>
      </c>
      <c r="AI560" s="122">
        <v>56568</v>
      </c>
      <c r="AJ560" s="122">
        <v>51426</v>
      </c>
      <c r="AK560">
        <v>85</v>
      </c>
      <c r="AL560" s="122">
        <v>15509</v>
      </c>
      <c r="AM560" s="122">
        <v>14099</v>
      </c>
      <c r="AN560" s="122">
        <v>12102</v>
      </c>
      <c r="AO560" s="122">
        <v>4482</v>
      </c>
      <c r="AP560" s="122">
        <v>2754</v>
      </c>
      <c r="AQ560" s="122">
        <v>1020</v>
      </c>
      <c r="AR560" s="122">
        <v>27290</v>
      </c>
      <c r="AS560" s="122">
        <v>24809</v>
      </c>
      <c r="AT560">
        <v>0</v>
      </c>
      <c r="AU560">
        <v>0</v>
      </c>
      <c r="AV560" s="122">
        <v>95836</v>
      </c>
    </row>
    <row r="561" spans="2:48" hidden="1">
      <c r="B561" t="s">
        <v>366</v>
      </c>
      <c r="C561" t="s">
        <v>64</v>
      </c>
      <c r="D561" t="s">
        <v>425</v>
      </c>
      <c r="E561" t="s">
        <v>137</v>
      </c>
      <c r="F561">
        <v>1</v>
      </c>
      <c r="G561">
        <v>69</v>
      </c>
      <c r="H561" s="122">
        <v>665</v>
      </c>
      <c r="I561" s="122">
        <v>35805</v>
      </c>
      <c r="J561" s="122">
        <v>32550</v>
      </c>
      <c r="K561">
        <v>20</v>
      </c>
      <c r="L561" s="122">
        <v>1953</v>
      </c>
      <c r="M561" s="122">
        <v>723</v>
      </c>
      <c r="N561" s="122">
        <v>1684</v>
      </c>
      <c r="O561" s="122">
        <v>624</v>
      </c>
      <c r="P561" s="122">
        <v>0</v>
      </c>
      <c r="Q561">
        <v>0</v>
      </c>
      <c r="R561" s="122">
        <v>6519</v>
      </c>
      <c r="S561" s="122">
        <v>2414</v>
      </c>
      <c r="T561">
        <v>0</v>
      </c>
      <c r="U561">
        <v>0</v>
      </c>
      <c r="V561" s="122">
        <v>36312</v>
      </c>
      <c r="W561" s="122">
        <f t="shared" si="16"/>
        <v>36311</v>
      </c>
      <c r="X561" s="122">
        <f t="shared" si="17"/>
        <v>45961</v>
      </c>
      <c r="Y561" s="122"/>
      <c r="AA561" t="s">
        <v>56</v>
      </c>
      <c r="AB561" t="s">
        <v>406</v>
      </c>
      <c r="AC561" t="s">
        <v>427</v>
      </c>
      <c r="AD561" t="s">
        <v>425</v>
      </c>
      <c r="AE561" t="s">
        <v>137</v>
      </c>
      <c r="AF561">
        <v>1</v>
      </c>
      <c r="AG561">
        <v>101</v>
      </c>
      <c r="AH561">
        <v>168</v>
      </c>
      <c r="AI561" s="122">
        <v>7413</v>
      </c>
      <c r="AJ561" s="122">
        <v>6739</v>
      </c>
      <c r="AK561">
        <v>79</v>
      </c>
      <c r="AL561" s="122">
        <v>1123</v>
      </c>
      <c r="AM561" s="122">
        <v>1021</v>
      </c>
      <c r="AN561" s="122">
        <v>2209</v>
      </c>
      <c r="AO561">
        <v>818</v>
      </c>
      <c r="AP561">
        <v>621</v>
      </c>
      <c r="AQ561">
        <v>230</v>
      </c>
      <c r="AR561" s="122">
        <v>5525</v>
      </c>
      <c r="AS561" s="122">
        <v>5023</v>
      </c>
      <c r="AT561">
        <v>0</v>
      </c>
      <c r="AU561">
        <v>0</v>
      </c>
      <c r="AV561" s="122">
        <v>13831</v>
      </c>
    </row>
    <row r="562" spans="2:48" hidden="1">
      <c r="B562" t="s">
        <v>366</v>
      </c>
      <c r="C562" t="s">
        <v>64</v>
      </c>
      <c r="D562" t="s">
        <v>405</v>
      </c>
      <c r="E562" t="s">
        <v>405</v>
      </c>
      <c r="F562" s="122">
        <v>1</v>
      </c>
      <c r="G562" s="122">
        <v>61</v>
      </c>
      <c r="H562" s="122">
        <v>665</v>
      </c>
      <c r="I562" s="122">
        <v>24593</v>
      </c>
      <c r="J562" s="122">
        <v>22358</v>
      </c>
      <c r="K562">
        <v>65</v>
      </c>
      <c r="L562" s="122">
        <v>2598</v>
      </c>
      <c r="M562" s="122">
        <v>2362</v>
      </c>
      <c r="N562" s="122">
        <v>1253</v>
      </c>
      <c r="O562" s="122">
        <v>464</v>
      </c>
      <c r="P562" s="122">
        <v>702</v>
      </c>
      <c r="Q562" s="122">
        <v>260</v>
      </c>
      <c r="R562" s="122">
        <v>6981</v>
      </c>
      <c r="S562" s="122">
        <v>6347</v>
      </c>
      <c r="T562" s="122">
        <v>4125</v>
      </c>
      <c r="U562" s="122">
        <v>1528</v>
      </c>
      <c r="V562" s="122">
        <v>33318</v>
      </c>
      <c r="W562" s="122">
        <f t="shared" si="16"/>
        <v>33319</v>
      </c>
      <c r="X562" s="122">
        <f t="shared" si="17"/>
        <v>40252</v>
      </c>
      <c r="Y562" s="122"/>
      <c r="AA562" t="s">
        <v>56</v>
      </c>
      <c r="AB562" t="s">
        <v>406</v>
      </c>
      <c r="AC562" t="s">
        <v>427</v>
      </c>
      <c r="AD562" t="s">
        <v>425</v>
      </c>
      <c r="AE562" t="s">
        <v>566</v>
      </c>
      <c r="AF562">
        <v>3</v>
      </c>
      <c r="AG562">
        <v>284</v>
      </c>
      <c r="AH562">
        <v>670</v>
      </c>
      <c r="AI562" s="122">
        <v>32998</v>
      </c>
      <c r="AJ562" s="122">
        <v>29999</v>
      </c>
      <c r="AK562">
        <v>83</v>
      </c>
      <c r="AL562" s="122">
        <v>7111</v>
      </c>
      <c r="AM562" s="122">
        <v>6464</v>
      </c>
      <c r="AN562" s="122">
        <v>5704</v>
      </c>
      <c r="AO562" s="122">
        <v>2113</v>
      </c>
      <c r="AP562" s="122">
        <v>1863</v>
      </c>
      <c r="AQ562">
        <v>690</v>
      </c>
      <c r="AR562" s="122">
        <v>15724</v>
      </c>
      <c r="AS562" s="122">
        <v>14295</v>
      </c>
      <c r="AT562">
        <v>0</v>
      </c>
      <c r="AU562">
        <v>0</v>
      </c>
      <c r="AV562" s="122">
        <v>53560</v>
      </c>
    </row>
    <row r="563" spans="2:48" hidden="1">
      <c r="B563" t="s">
        <v>366</v>
      </c>
      <c r="C563" t="s">
        <v>64</v>
      </c>
      <c r="D563" t="s">
        <v>137</v>
      </c>
      <c r="E563" t="s">
        <v>137</v>
      </c>
      <c r="F563">
        <v>106</v>
      </c>
      <c r="G563" s="122">
        <v>8662</v>
      </c>
      <c r="H563" s="122">
        <v>70383</v>
      </c>
      <c r="I563" s="122">
        <v>3903399</v>
      </c>
      <c r="J563" s="122">
        <v>1445703</v>
      </c>
      <c r="K563">
        <v>100</v>
      </c>
      <c r="L563" s="122">
        <v>780334</v>
      </c>
      <c r="M563" s="122">
        <v>658741</v>
      </c>
      <c r="N563" s="122">
        <v>194223</v>
      </c>
      <c r="O563" s="122">
        <v>71934</v>
      </c>
      <c r="P563" s="122">
        <v>1036</v>
      </c>
      <c r="Q563" s="122">
        <v>384</v>
      </c>
      <c r="R563" s="122">
        <v>702503</v>
      </c>
      <c r="S563" s="122">
        <v>260186</v>
      </c>
      <c r="T563" s="122">
        <v>1609</v>
      </c>
      <c r="U563" s="122">
        <v>596</v>
      </c>
      <c r="V563" s="122">
        <v>2437544</v>
      </c>
      <c r="W563" s="122">
        <f t="shared" si="16"/>
        <v>2437544</v>
      </c>
      <c r="X563" s="122">
        <f t="shared" si="17"/>
        <v>5583104</v>
      </c>
      <c r="Y563" s="122"/>
      <c r="AA563" t="s">
        <v>56</v>
      </c>
      <c r="AB563" t="s">
        <v>406</v>
      </c>
      <c r="AC563" t="s">
        <v>427</v>
      </c>
      <c r="AD563" t="s">
        <v>405</v>
      </c>
      <c r="AE563" t="s">
        <v>137</v>
      </c>
      <c r="AF563">
        <v>1</v>
      </c>
      <c r="AG563">
        <v>73</v>
      </c>
      <c r="AH563">
        <v>221</v>
      </c>
      <c r="AI563" s="122">
        <v>10786</v>
      </c>
      <c r="AJ563" s="122">
        <v>9805</v>
      </c>
      <c r="AK563">
        <v>92</v>
      </c>
      <c r="AL563" s="122">
        <v>3499</v>
      </c>
      <c r="AM563" s="122">
        <v>3181</v>
      </c>
      <c r="AN563" s="122">
        <v>1177</v>
      </c>
      <c r="AO563">
        <v>436</v>
      </c>
      <c r="AP563">
        <v>972</v>
      </c>
      <c r="AQ563">
        <v>360</v>
      </c>
      <c r="AR563" s="122">
        <v>4892</v>
      </c>
      <c r="AS563" s="122">
        <v>4447</v>
      </c>
      <c r="AT563">
        <v>0</v>
      </c>
      <c r="AU563">
        <v>0</v>
      </c>
      <c r="AV563" s="122">
        <v>18230</v>
      </c>
    </row>
    <row r="564" spans="2:48" hidden="1">
      <c r="B564" t="s">
        <v>366</v>
      </c>
      <c r="C564" t="s">
        <v>64</v>
      </c>
      <c r="D564" t="s">
        <v>137</v>
      </c>
      <c r="E564" t="s">
        <v>427</v>
      </c>
      <c r="F564">
        <v>5</v>
      </c>
      <c r="G564">
        <v>198</v>
      </c>
      <c r="H564" s="122">
        <v>2551</v>
      </c>
      <c r="I564" s="122">
        <v>60169</v>
      </c>
      <c r="J564" s="122">
        <v>22285</v>
      </c>
      <c r="K564">
        <v>100</v>
      </c>
      <c r="L564" s="122">
        <v>6053</v>
      </c>
      <c r="M564" s="122">
        <v>5502</v>
      </c>
      <c r="N564" s="122">
        <v>4355</v>
      </c>
      <c r="O564" s="122">
        <v>1613</v>
      </c>
      <c r="P564">
        <v>0</v>
      </c>
      <c r="Q564">
        <v>0</v>
      </c>
      <c r="R564" s="122">
        <v>22826</v>
      </c>
      <c r="S564" s="122">
        <v>20751</v>
      </c>
      <c r="T564" s="122">
        <v>7526</v>
      </c>
      <c r="U564" s="122">
        <v>2788</v>
      </c>
      <c r="V564" s="122">
        <v>52939</v>
      </c>
      <c r="W564" s="122">
        <f t="shared" si="16"/>
        <v>52939</v>
      </c>
      <c r="X564" s="122">
        <f t="shared" si="17"/>
        <v>100929</v>
      </c>
      <c r="Y564" s="122"/>
      <c r="AA564" t="s">
        <v>56</v>
      </c>
      <c r="AB564" t="s">
        <v>406</v>
      </c>
      <c r="AC564" t="s">
        <v>427</v>
      </c>
      <c r="AD564" t="s">
        <v>137</v>
      </c>
      <c r="AE564" t="s">
        <v>137</v>
      </c>
      <c r="AF564">
        <v>1</v>
      </c>
      <c r="AG564">
        <v>94</v>
      </c>
      <c r="AH564">
        <v>206</v>
      </c>
      <c r="AI564" s="122">
        <v>9208</v>
      </c>
      <c r="AJ564" s="122">
        <v>8371</v>
      </c>
      <c r="AK564">
        <v>79</v>
      </c>
      <c r="AL564" s="122">
        <v>2558</v>
      </c>
      <c r="AM564" s="122">
        <v>2325</v>
      </c>
      <c r="AN564" s="122">
        <v>2120</v>
      </c>
      <c r="AO564">
        <v>785</v>
      </c>
      <c r="AP564">
        <v>621</v>
      </c>
      <c r="AQ564">
        <v>230</v>
      </c>
      <c r="AR564" s="122">
        <v>4908</v>
      </c>
      <c r="AS564" s="122">
        <v>1818</v>
      </c>
      <c r="AT564">
        <v>0</v>
      </c>
      <c r="AU564">
        <v>0</v>
      </c>
      <c r="AV564" s="122">
        <v>13529</v>
      </c>
    </row>
    <row r="565" spans="2:48" hidden="1">
      <c r="B565" t="s">
        <v>366</v>
      </c>
      <c r="C565" t="s">
        <v>64</v>
      </c>
      <c r="D565" t="s">
        <v>137</v>
      </c>
      <c r="E565" t="s">
        <v>556</v>
      </c>
      <c r="F565">
        <v>3</v>
      </c>
      <c r="G565">
        <v>221</v>
      </c>
      <c r="H565" s="122">
        <v>1580</v>
      </c>
      <c r="I565" s="122">
        <v>77259</v>
      </c>
      <c r="J565" s="122">
        <v>28614</v>
      </c>
      <c r="K565">
        <v>100</v>
      </c>
      <c r="L565" s="122">
        <v>11775</v>
      </c>
      <c r="M565" s="122">
        <v>9812</v>
      </c>
      <c r="N565" s="122">
        <v>4519</v>
      </c>
      <c r="O565" s="122">
        <v>1674</v>
      </c>
      <c r="P565" s="122">
        <v>0</v>
      </c>
      <c r="Q565">
        <v>0</v>
      </c>
      <c r="R565" s="122">
        <v>18277</v>
      </c>
      <c r="S565" s="122">
        <v>15231</v>
      </c>
      <c r="T565" s="122">
        <v>4417</v>
      </c>
      <c r="U565" s="122">
        <v>1636</v>
      </c>
      <c r="V565" s="122">
        <v>56968</v>
      </c>
      <c r="W565" s="122">
        <f t="shared" si="16"/>
        <v>56967</v>
      </c>
      <c r="X565" s="122">
        <f t="shared" si="17"/>
        <v>116247</v>
      </c>
      <c r="Y565" s="122"/>
      <c r="AA565" t="s">
        <v>56</v>
      </c>
      <c r="AB565" t="s">
        <v>406</v>
      </c>
      <c r="AC565" t="s">
        <v>427</v>
      </c>
      <c r="AD565" t="s">
        <v>137</v>
      </c>
      <c r="AE565" t="s">
        <v>566</v>
      </c>
      <c r="AF565">
        <v>7</v>
      </c>
      <c r="AG565">
        <v>820</v>
      </c>
      <c r="AH565" s="122">
        <v>1454</v>
      </c>
      <c r="AI565" s="122">
        <v>75611</v>
      </c>
      <c r="AJ565" s="122">
        <v>68737</v>
      </c>
      <c r="AK565">
        <v>86</v>
      </c>
      <c r="AL565" s="122">
        <v>21785</v>
      </c>
      <c r="AM565" s="122">
        <v>19804</v>
      </c>
      <c r="AN565" s="122">
        <v>17587</v>
      </c>
      <c r="AO565" s="122">
        <v>6514</v>
      </c>
      <c r="AP565" s="122">
        <v>4347</v>
      </c>
      <c r="AQ565" s="122">
        <v>1610</v>
      </c>
      <c r="AR565" s="122">
        <v>53433</v>
      </c>
      <c r="AS565" s="122">
        <v>19790</v>
      </c>
      <c r="AT565">
        <v>0</v>
      </c>
      <c r="AU565">
        <v>0</v>
      </c>
      <c r="AV565" s="122">
        <v>116455</v>
      </c>
    </row>
    <row r="566" spans="2:48" hidden="1">
      <c r="B566" t="s">
        <v>366</v>
      </c>
      <c r="C566" t="s">
        <v>64</v>
      </c>
      <c r="D566" t="s">
        <v>137</v>
      </c>
      <c r="E566" t="s">
        <v>431</v>
      </c>
      <c r="F566">
        <v>1</v>
      </c>
      <c r="G566">
        <v>92</v>
      </c>
      <c r="H566" s="122">
        <v>691</v>
      </c>
      <c r="I566" s="122">
        <v>34514</v>
      </c>
      <c r="J566" s="122">
        <v>12783</v>
      </c>
      <c r="K566">
        <v>100</v>
      </c>
      <c r="L566" s="122">
        <v>11718</v>
      </c>
      <c r="M566" s="122">
        <v>10652</v>
      </c>
      <c r="N566" s="122">
        <v>2234</v>
      </c>
      <c r="O566" s="122">
        <v>828</v>
      </c>
      <c r="P566" s="122">
        <v>0</v>
      </c>
      <c r="Q566" s="122">
        <v>0</v>
      </c>
      <c r="R566" s="122">
        <v>10358</v>
      </c>
      <c r="S566" s="122">
        <v>9416</v>
      </c>
      <c r="T566" s="122">
        <v>4548</v>
      </c>
      <c r="U566" s="122">
        <v>1684</v>
      </c>
      <c r="V566" s="122">
        <v>35364</v>
      </c>
      <c r="W566" s="122">
        <f t="shared" si="16"/>
        <v>35363</v>
      </c>
      <c r="X566" s="122">
        <f t="shared" si="17"/>
        <v>63372</v>
      </c>
      <c r="Y566" s="122"/>
      <c r="AA566" t="s">
        <v>56</v>
      </c>
      <c r="AB566" t="s">
        <v>406</v>
      </c>
      <c r="AC566" t="s">
        <v>427</v>
      </c>
      <c r="AD566" t="s">
        <v>406</v>
      </c>
      <c r="AE566" t="s">
        <v>137</v>
      </c>
      <c r="AF566" s="122">
        <v>2953</v>
      </c>
      <c r="AG566" s="122">
        <v>301437</v>
      </c>
      <c r="AH566" s="122">
        <v>576896</v>
      </c>
      <c r="AI566" s="122">
        <v>27617086</v>
      </c>
      <c r="AJ566" s="122">
        <v>25106442</v>
      </c>
      <c r="AK566">
        <v>85</v>
      </c>
      <c r="AL566" s="122">
        <v>7138485</v>
      </c>
      <c r="AM566" s="122">
        <v>6489531</v>
      </c>
      <c r="AN566" s="122">
        <v>6010022</v>
      </c>
      <c r="AO566" s="122">
        <v>2225934</v>
      </c>
      <c r="AP566" s="122">
        <v>1854068</v>
      </c>
      <c r="AQ566" s="122">
        <v>686692</v>
      </c>
      <c r="AR566" s="122">
        <v>11749253</v>
      </c>
      <c r="AS566" s="122">
        <v>10681139</v>
      </c>
      <c r="AT566" s="122">
        <v>5196030</v>
      </c>
      <c r="AU566" s="122">
        <v>1924455</v>
      </c>
      <c r="AV566" s="122">
        <v>47114193</v>
      </c>
    </row>
    <row r="567" spans="2:48" hidden="1">
      <c r="B567" t="s">
        <v>366</v>
      </c>
      <c r="C567" t="s">
        <v>64</v>
      </c>
      <c r="D567" t="s">
        <v>137</v>
      </c>
      <c r="E567" t="s">
        <v>426</v>
      </c>
      <c r="F567">
        <v>34</v>
      </c>
      <c r="G567" s="122">
        <v>2314</v>
      </c>
      <c r="H567" s="122">
        <v>20486</v>
      </c>
      <c r="I567" s="122">
        <v>1000475</v>
      </c>
      <c r="J567" s="122">
        <v>370546</v>
      </c>
      <c r="K567">
        <v>100</v>
      </c>
      <c r="L567" s="122">
        <v>115798</v>
      </c>
      <c r="M567" s="122">
        <v>104455</v>
      </c>
      <c r="N567" s="122">
        <v>49769</v>
      </c>
      <c r="O567" s="122">
        <v>18433</v>
      </c>
      <c r="P567">
        <v>621</v>
      </c>
      <c r="Q567">
        <v>230</v>
      </c>
      <c r="R567" s="122">
        <v>176723</v>
      </c>
      <c r="S567" s="122">
        <v>160657</v>
      </c>
      <c r="T567" s="122">
        <v>60249</v>
      </c>
      <c r="U567" s="122">
        <v>22314</v>
      </c>
      <c r="V567" s="122">
        <v>676636</v>
      </c>
      <c r="W567" s="122">
        <f t="shared" si="16"/>
        <v>676635</v>
      </c>
      <c r="X567" s="122">
        <f t="shared" si="17"/>
        <v>1403635</v>
      </c>
      <c r="Y567" s="122"/>
      <c r="AA567" t="s">
        <v>56</v>
      </c>
      <c r="AB567" t="s">
        <v>406</v>
      </c>
      <c r="AC567" t="s">
        <v>427</v>
      </c>
      <c r="AD567" t="s">
        <v>406</v>
      </c>
      <c r="AE567" t="s">
        <v>566</v>
      </c>
      <c r="AF567" s="122">
        <v>2634</v>
      </c>
      <c r="AG567" s="122">
        <v>267263</v>
      </c>
      <c r="AH567" s="122">
        <v>493510</v>
      </c>
      <c r="AI567" s="122">
        <v>23874996</v>
      </c>
      <c r="AJ567" s="122">
        <v>21704541</v>
      </c>
      <c r="AK567">
        <v>86</v>
      </c>
      <c r="AL567" s="122">
        <v>6540352</v>
      </c>
      <c r="AM567" s="122">
        <v>5945774</v>
      </c>
      <c r="AN567" s="122">
        <v>5228699</v>
      </c>
      <c r="AO567" s="122">
        <v>1936555</v>
      </c>
      <c r="AP567" s="122">
        <v>1669817</v>
      </c>
      <c r="AQ567" s="122">
        <v>618451</v>
      </c>
      <c r="AR567" s="122">
        <v>13122731</v>
      </c>
      <c r="AS567" s="122">
        <v>11929756</v>
      </c>
      <c r="AT567" s="122">
        <v>15298</v>
      </c>
      <c r="AU567" s="122">
        <v>5666</v>
      </c>
      <c r="AV567" s="122">
        <v>42140743</v>
      </c>
    </row>
    <row r="568" spans="2:48" hidden="1">
      <c r="B568" t="s">
        <v>366</v>
      </c>
      <c r="C568" t="s">
        <v>64</v>
      </c>
      <c r="D568" t="s">
        <v>406</v>
      </c>
      <c r="E568" t="s">
        <v>425</v>
      </c>
      <c r="F568">
        <v>1</v>
      </c>
      <c r="G568">
        <v>78</v>
      </c>
      <c r="H568">
        <v>562</v>
      </c>
      <c r="I568" s="122">
        <v>28777</v>
      </c>
      <c r="J568" s="122">
        <v>26161</v>
      </c>
      <c r="K568">
        <v>79</v>
      </c>
      <c r="L568" s="122">
        <v>7994</v>
      </c>
      <c r="M568" s="122">
        <v>7267</v>
      </c>
      <c r="N568" s="122">
        <v>1705</v>
      </c>
      <c r="O568" s="122">
        <v>631</v>
      </c>
      <c r="P568" s="122">
        <v>621</v>
      </c>
      <c r="Q568" s="122">
        <v>230</v>
      </c>
      <c r="R568" s="122">
        <v>4568</v>
      </c>
      <c r="S568" s="122">
        <v>4153</v>
      </c>
      <c r="T568">
        <v>0</v>
      </c>
      <c r="U568">
        <v>0</v>
      </c>
      <c r="V568" s="122">
        <v>38442</v>
      </c>
      <c r="W568" s="122">
        <f t="shared" si="16"/>
        <v>38442</v>
      </c>
      <c r="X568" s="122">
        <f t="shared" si="17"/>
        <v>43665</v>
      </c>
      <c r="Y568" s="122"/>
      <c r="AA568" t="s">
        <v>56</v>
      </c>
      <c r="AB568" t="s">
        <v>406</v>
      </c>
      <c r="AC568" t="s">
        <v>427</v>
      </c>
      <c r="AD568" t="s">
        <v>427</v>
      </c>
      <c r="AE568" t="s">
        <v>137</v>
      </c>
      <c r="AF568">
        <v>6</v>
      </c>
      <c r="AG568">
        <v>605</v>
      </c>
      <c r="AH568" s="122">
        <v>1108</v>
      </c>
      <c r="AI568" s="122">
        <v>53861</v>
      </c>
      <c r="AJ568" s="122">
        <v>48965</v>
      </c>
      <c r="AK568">
        <v>84</v>
      </c>
      <c r="AL568" s="122">
        <v>12185</v>
      </c>
      <c r="AM568" s="122">
        <v>11078</v>
      </c>
      <c r="AN568" s="122">
        <v>13389</v>
      </c>
      <c r="AO568" s="122">
        <v>4959</v>
      </c>
      <c r="AP568" s="122">
        <v>3726</v>
      </c>
      <c r="AQ568" s="122">
        <v>1380</v>
      </c>
      <c r="AR568" s="122">
        <v>25479</v>
      </c>
      <c r="AS568" s="122">
        <v>23163</v>
      </c>
      <c r="AT568" s="122">
        <v>13052</v>
      </c>
      <c r="AU568" s="122">
        <v>4834</v>
      </c>
      <c r="AV568" s="122">
        <v>94378</v>
      </c>
    </row>
    <row r="569" spans="2:48" hidden="1">
      <c r="B569" t="s">
        <v>366</v>
      </c>
      <c r="C569" t="s">
        <v>64</v>
      </c>
      <c r="D569" t="s">
        <v>406</v>
      </c>
      <c r="E569" t="s">
        <v>137</v>
      </c>
      <c r="F569">
        <v>5</v>
      </c>
      <c r="G569">
        <v>457</v>
      </c>
      <c r="H569" s="122">
        <v>2777</v>
      </c>
      <c r="I569" s="122">
        <v>158162</v>
      </c>
      <c r="J569" s="122">
        <v>143784</v>
      </c>
      <c r="K569">
        <v>77</v>
      </c>
      <c r="L569" s="122">
        <v>42905</v>
      </c>
      <c r="M569" s="122">
        <v>39004</v>
      </c>
      <c r="N569" s="122">
        <v>10295</v>
      </c>
      <c r="O569" s="122">
        <v>3813</v>
      </c>
      <c r="P569" s="122">
        <v>3105</v>
      </c>
      <c r="Q569" s="122">
        <v>1150</v>
      </c>
      <c r="R569" s="122">
        <v>26383</v>
      </c>
      <c r="S569" s="122">
        <v>9771</v>
      </c>
      <c r="T569" s="122">
        <v>0</v>
      </c>
      <c r="U569">
        <v>0</v>
      </c>
      <c r="V569" s="122">
        <v>197522</v>
      </c>
      <c r="W569" s="122">
        <f t="shared" si="16"/>
        <v>197522</v>
      </c>
      <c r="X569" s="122">
        <f t="shared" si="17"/>
        <v>240850</v>
      </c>
      <c r="Y569" s="122"/>
      <c r="AA569" t="s">
        <v>56</v>
      </c>
      <c r="AB569" t="s">
        <v>406</v>
      </c>
      <c r="AC569" t="s">
        <v>427</v>
      </c>
      <c r="AD569" t="s">
        <v>427</v>
      </c>
      <c r="AE569" t="s">
        <v>566</v>
      </c>
      <c r="AF569">
        <v>5</v>
      </c>
      <c r="AG569">
        <v>600</v>
      </c>
      <c r="AH569">
        <v>924</v>
      </c>
      <c r="AI569" s="122">
        <v>56925</v>
      </c>
      <c r="AJ569" s="122">
        <v>51750</v>
      </c>
      <c r="AK569">
        <v>84</v>
      </c>
      <c r="AL569" s="122">
        <v>9881</v>
      </c>
      <c r="AM569" s="122">
        <v>8983</v>
      </c>
      <c r="AN569" s="122">
        <v>11964</v>
      </c>
      <c r="AO569" s="122">
        <v>4431</v>
      </c>
      <c r="AP569" s="122">
        <v>3456</v>
      </c>
      <c r="AQ569" s="122">
        <v>1280</v>
      </c>
      <c r="AR569" s="122">
        <v>26037</v>
      </c>
      <c r="AS569" s="122">
        <v>23670</v>
      </c>
      <c r="AT569">
        <v>0</v>
      </c>
      <c r="AU569">
        <v>0</v>
      </c>
      <c r="AV569" s="122">
        <v>90115</v>
      </c>
    </row>
    <row r="570" spans="2:48" hidden="1">
      <c r="B570" t="s">
        <v>366</v>
      </c>
      <c r="C570" t="s">
        <v>64</v>
      </c>
      <c r="D570" t="s">
        <v>406</v>
      </c>
      <c r="E570" t="s">
        <v>406</v>
      </c>
      <c r="F570">
        <v>194</v>
      </c>
      <c r="G570" s="122">
        <v>16270</v>
      </c>
      <c r="H570" s="122">
        <v>103323</v>
      </c>
      <c r="I570" s="122">
        <v>5782967</v>
      </c>
      <c r="J570" s="122">
        <v>5257243</v>
      </c>
      <c r="K570">
        <v>71</v>
      </c>
      <c r="L570" s="122">
        <v>1117305</v>
      </c>
      <c r="M570" s="122">
        <v>983298</v>
      </c>
      <c r="N570" s="122">
        <v>355582</v>
      </c>
      <c r="O570" s="122">
        <v>131697</v>
      </c>
      <c r="P570" s="122">
        <v>122580</v>
      </c>
      <c r="Q570" s="122">
        <v>45400</v>
      </c>
      <c r="R570" s="122">
        <v>895420</v>
      </c>
      <c r="S570" s="122">
        <v>814018</v>
      </c>
      <c r="T570" s="122">
        <v>362339</v>
      </c>
      <c r="U570" s="122">
        <v>134200</v>
      </c>
      <c r="V570" s="122">
        <v>7365856</v>
      </c>
      <c r="W570" s="122">
        <f t="shared" si="16"/>
        <v>7365856</v>
      </c>
      <c r="X570" s="122">
        <f t="shared" si="17"/>
        <v>8636193</v>
      </c>
      <c r="Y570" s="122"/>
      <c r="AA570" t="s">
        <v>56</v>
      </c>
      <c r="AB570" t="s">
        <v>406</v>
      </c>
      <c r="AC570" t="s">
        <v>427</v>
      </c>
      <c r="AD570" t="s">
        <v>407</v>
      </c>
      <c r="AE570" t="s">
        <v>137</v>
      </c>
      <c r="AF570">
        <v>6</v>
      </c>
      <c r="AG570">
        <v>678</v>
      </c>
      <c r="AH570" s="122">
        <v>1189</v>
      </c>
      <c r="AI570" s="122">
        <v>65077</v>
      </c>
      <c r="AJ570" s="122">
        <v>59161</v>
      </c>
      <c r="AK570">
        <v>88</v>
      </c>
      <c r="AL570" s="122">
        <v>19019</v>
      </c>
      <c r="AM570" s="122">
        <v>17290</v>
      </c>
      <c r="AN570" s="122">
        <v>12180</v>
      </c>
      <c r="AO570" s="122">
        <v>4511</v>
      </c>
      <c r="AP570" s="122">
        <v>3726</v>
      </c>
      <c r="AQ570" s="122">
        <v>1380</v>
      </c>
      <c r="AR570" s="122">
        <v>25704</v>
      </c>
      <c r="AS570" s="122">
        <v>23367</v>
      </c>
      <c r="AT570" s="122">
        <v>8590</v>
      </c>
      <c r="AU570" s="122">
        <v>3182</v>
      </c>
      <c r="AV570" s="122">
        <v>108891</v>
      </c>
    </row>
    <row r="571" spans="2:48" hidden="1">
      <c r="B571" t="s">
        <v>366</v>
      </c>
      <c r="C571" t="s">
        <v>64</v>
      </c>
      <c r="D571" t="s">
        <v>427</v>
      </c>
      <c r="E571" t="s">
        <v>137</v>
      </c>
      <c r="F571">
        <v>2</v>
      </c>
      <c r="G571">
        <v>133</v>
      </c>
      <c r="H571" s="122">
        <v>2724</v>
      </c>
      <c r="I571" s="122">
        <v>159043</v>
      </c>
      <c r="J571" s="122">
        <v>144584</v>
      </c>
      <c r="K571">
        <v>30</v>
      </c>
      <c r="L571" s="122">
        <v>3943</v>
      </c>
      <c r="M571" s="122">
        <v>1461</v>
      </c>
      <c r="N571" s="122">
        <v>3247</v>
      </c>
      <c r="O571" s="122">
        <v>1203</v>
      </c>
      <c r="P571" s="122">
        <v>0</v>
      </c>
      <c r="Q571" s="122">
        <v>0</v>
      </c>
      <c r="R571" s="122">
        <v>20573</v>
      </c>
      <c r="S571" s="122">
        <v>7620</v>
      </c>
      <c r="T571" s="122">
        <v>0</v>
      </c>
      <c r="U571" s="122">
        <v>0</v>
      </c>
      <c r="V571" s="122">
        <v>154867</v>
      </c>
      <c r="W571" s="122">
        <f t="shared" si="16"/>
        <v>154868</v>
      </c>
      <c r="X571" s="122">
        <f t="shared" si="17"/>
        <v>186806</v>
      </c>
      <c r="Y571" s="122"/>
      <c r="AA571" t="s">
        <v>56</v>
      </c>
      <c r="AB571" t="s">
        <v>406</v>
      </c>
      <c r="AC571" t="s">
        <v>427</v>
      </c>
      <c r="AD571" t="s">
        <v>407</v>
      </c>
      <c r="AE571" t="s">
        <v>566</v>
      </c>
      <c r="AF571">
        <v>1</v>
      </c>
      <c r="AG571">
        <v>91</v>
      </c>
      <c r="AH571">
        <v>188</v>
      </c>
      <c r="AI571" s="122">
        <v>8351</v>
      </c>
      <c r="AJ571" s="122">
        <v>7591</v>
      </c>
      <c r="AK571">
        <v>85</v>
      </c>
      <c r="AL571" s="122">
        <v>2629</v>
      </c>
      <c r="AM571" s="122">
        <v>2390</v>
      </c>
      <c r="AN571" s="122">
        <v>1327</v>
      </c>
      <c r="AO571">
        <v>491</v>
      </c>
      <c r="AP571">
        <v>621</v>
      </c>
      <c r="AQ571">
        <v>230</v>
      </c>
      <c r="AR571" s="122">
        <v>4142</v>
      </c>
      <c r="AS571" s="122">
        <v>3765</v>
      </c>
      <c r="AT571">
        <v>0</v>
      </c>
      <c r="AU571">
        <v>0</v>
      </c>
      <c r="AV571" s="122">
        <v>14468</v>
      </c>
    </row>
    <row r="572" spans="2:48" hidden="1">
      <c r="B572" t="s">
        <v>366</v>
      </c>
      <c r="C572" t="s">
        <v>64</v>
      </c>
      <c r="D572" t="s">
        <v>427</v>
      </c>
      <c r="E572" t="s">
        <v>406</v>
      </c>
      <c r="F572">
        <v>1</v>
      </c>
      <c r="G572">
        <v>50</v>
      </c>
      <c r="H572">
        <v>468</v>
      </c>
      <c r="I572" s="122">
        <v>15680</v>
      </c>
      <c r="J572" s="122">
        <v>14254</v>
      </c>
      <c r="K572">
        <v>55</v>
      </c>
      <c r="L572" s="122">
        <v>0</v>
      </c>
      <c r="M572" s="122">
        <v>0</v>
      </c>
      <c r="N572" s="122">
        <v>1211</v>
      </c>
      <c r="O572" s="122">
        <v>448</v>
      </c>
      <c r="P572" s="122">
        <v>351</v>
      </c>
      <c r="Q572" s="122">
        <v>130</v>
      </c>
      <c r="R572" s="122">
        <v>4338</v>
      </c>
      <c r="S572" s="122">
        <v>3944</v>
      </c>
      <c r="T572" s="122">
        <v>1653</v>
      </c>
      <c r="U572">
        <v>612</v>
      </c>
      <c r="V572" s="122">
        <v>19389</v>
      </c>
      <c r="W572" s="122">
        <f t="shared" si="16"/>
        <v>19388</v>
      </c>
      <c r="X572" s="122">
        <f t="shared" si="17"/>
        <v>23233</v>
      </c>
      <c r="Y572" s="122"/>
      <c r="AA572" t="s">
        <v>56</v>
      </c>
      <c r="AB572" t="s">
        <v>406</v>
      </c>
      <c r="AC572" t="s">
        <v>407</v>
      </c>
      <c r="AD572" t="s">
        <v>425</v>
      </c>
      <c r="AE572" t="s">
        <v>137</v>
      </c>
      <c r="AF572">
        <v>1</v>
      </c>
      <c r="AG572">
        <v>104</v>
      </c>
      <c r="AH572">
        <v>189</v>
      </c>
      <c r="AI572" s="122">
        <v>11658</v>
      </c>
      <c r="AJ572" s="122">
        <v>10598</v>
      </c>
      <c r="AK572">
        <v>85</v>
      </c>
      <c r="AL572" s="122">
        <v>1667</v>
      </c>
      <c r="AM572" s="122">
        <v>1516</v>
      </c>
      <c r="AN572" s="122">
        <v>3033</v>
      </c>
      <c r="AO572" s="122">
        <v>1123</v>
      </c>
      <c r="AP572">
        <v>621</v>
      </c>
      <c r="AQ572">
        <v>230</v>
      </c>
      <c r="AR572" s="122">
        <v>6483</v>
      </c>
      <c r="AS572" s="122">
        <v>5894</v>
      </c>
      <c r="AT572">
        <v>0</v>
      </c>
      <c r="AU572">
        <v>0</v>
      </c>
      <c r="AV572" s="122">
        <v>19361</v>
      </c>
    </row>
    <row r="573" spans="2:48" hidden="1">
      <c r="B573" t="s">
        <v>366</v>
      </c>
      <c r="C573" t="s">
        <v>64</v>
      </c>
      <c r="D573" t="s">
        <v>427</v>
      </c>
      <c r="E573" t="s">
        <v>427</v>
      </c>
      <c r="F573">
        <v>22</v>
      </c>
      <c r="G573" s="122">
        <v>1404</v>
      </c>
      <c r="H573" s="122">
        <v>13125</v>
      </c>
      <c r="I573" s="122">
        <v>527663</v>
      </c>
      <c r="J573" s="122">
        <v>479693</v>
      </c>
      <c r="K573">
        <v>51</v>
      </c>
      <c r="L573" s="122">
        <v>83730</v>
      </c>
      <c r="M573" s="122">
        <v>47439</v>
      </c>
      <c r="N573" s="122">
        <v>32942</v>
      </c>
      <c r="O573" s="122">
        <v>12201</v>
      </c>
      <c r="P573" s="122">
        <v>4563</v>
      </c>
      <c r="Q573" s="122">
        <v>1690</v>
      </c>
      <c r="R573" s="122">
        <v>119035</v>
      </c>
      <c r="S573" s="122">
        <v>108214</v>
      </c>
      <c r="T573" s="122">
        <v>43138</v>
      </c>
      <c r="U573" s="122">
        <v>15977</v>
      </c>
      <c r="V573" s="122">
        <v>665214</v>
      </c>
      <c r="W573" s="122">
        <f t="shared" si="16"/>
        <v>665214</v>
      </c>
      <c r="X573" s="122">
        <f t="shared" si="17"/>
        <v>811071</v>
      </c>
      <c r="Y573" s="122"/>
      <c r="AA573" t="s">
        <v>56</v>
      </c>
      <c r="AB573" t="s">
        <v>406</v>
      </c>
      <c r="AC573" t="s">
        <v>407</v>
      </c>
      <c r="AD573" t="s">
        <v>406</v>
      </c>
      <c r="AE573" t="s">
        <v>137</v>
      </c>
      <c r="AF573">
        <v>71</v>
      </c>
      <c r="AG573" s="122">
        <v>8138</v>
      </c>
      <c r="AH573" s="122">
        <v>13966</v>
      </c>
      <c r="AI573" s="122">
        <v>790409</v>
      </c>
      <c r="AJ573" s="122">
        <v>718554</v>
      </c>
      <c r="AK573">
        <v>87</v>
      </c>
      <c r="AL573" s="122">
        <v>181733</v>
      </c>
      <c r="AM573" s="122">
        <v>165211</v>
      </c>
      <c r="AN573" s="122">
        <v>163890</v>
      </c>
      <c r="AO573" s="122">
        <v>60700</v>
      </c>
      <c r="AP573" s="122">
        <v>45036</v>
      </c>
      <c r="AQ573" s="122">
        <v>16680</v>
      </c>
      <c r="AR573" s="122">
        <v>296890</v>
      </c>
      <c r="AS573" s="122">
        <v>269900</v>
      </c>
      <c r="AT573" s="122">
        <v>133371</v>
      </c>
      <c r="AU573" s="122">
        <v>49397</v>
      </c>
      <c r="AV573" s="122">
        <v>1280442</v>
      </c>
    </row>
    <row r="574" spans="2:48" hidden="1">
      <c r="B574" t="s">
        <v>366</v>
      </c>
      <c r="C574" t="s">
        <v>64</v>
      </c>
      <c r="D574" t="s">
        <v>427</v>
      </c>
      <c r="E574" t="s">
        <v>431</v>
      </c>
      <c r="F574">
        <v>1</v>
      </c>
      <c r="G574" s="122">
        <v>150</v>
      </c>
      <c r="H574" s="122">
        <v>642</v>
      </c>
      <c r="I574" s="122">
        <v>70204</v>
      </c>
      <c r="J574" s="122">
        <v>63822</v>
      </c>
      <c r="K574">
        <v>30</v>
      </c>
      <c r="L574" s="122">
        <v>5200</v>
      </c>
      <c r="M574" s="122">
        <v>4728</v>
      </c>
      <c r="N574" s="122">
        <v>3662</v>
      </c>
      <c r="O574" s="122">
        <v>1356</v>
      </c>
      <c r="P574" s="122">
        <v>0</v>
      </c>
      <c r="Q574" s="122">
        <v>0</v>
      </c>
      <c r="R574" s="122">
        <v>17387</v>
      </c>
      <c r="S574" s="122">
        <v>15807</v>
      </c>
      <c r="T574" s="122">
        <v>0</v>
      </c>
      <c r="U574" s="122">
        <v>0</v>
      </c>
      <c r="V574" s="122">
        <v>85712</v>
      </c>
      <c r="W574" s="122">
        <f t="shared" si="16"/>
        <v>85713</v>
      </c>
      <c r="X574" s="122">
        <f t="shared" si="17"/>
        <v>96453</v>
      </c>
      <c r="Y574" s="122"/>
      <c r="AA574" t="s">
        <v>56</v>
      </c>
      <c r="AB574" t="s">
        <v>406</v>
      </c>
      <c r="AC574" t="s">
        <v>407</v>
      </c>
      <c r="AD574" t="s">
        <v>406</v>
      </c>
      <c r="AE574" t="s">
        <v>566</v>
      </c>
      <c r="AF574">
        <v>71</v>
      </c>
      <c r="AG574" s="122">
        <v>8602</v>
      </c>
      <c r="AH574" s="122">
        <v>13474</v>
      </c>
      <c r="AI574" s="122">
        <v>821000</v>
      </c>
      <c r="AJ574" s="122">
        <v>746363</v>
      </c>
      <c r="AK574">
        <v>88</v>
      </c>
      <c r="AL574" s="122">
        <v>262603</v>
      </c>
      <c r="AM574" s="122">
        <v>238730</v>
      </c>
      <c r="AN574" s="122">
        <v>177547</v>
      </c>
      <c r="AO574" s="122">
        <v>65758</v>
      </c>
      <c r="AP574" s="122">
        <v>44294</v>
      </c>
      <c r="AQ574" s="122">
        <v>16405</v>
      </c>
      <c r="AR574" s="122">
        <v>356334</v>
      </c>
      <c r="AS574" s="122">
        <v>323940</v>
      </c>
      <c r="AT574">
        <v>0</v>
      </c>
      <c r="AU574">
        <v>0</v>
      </c>
      <c r="AV574" s="122">
        <v>1391196</v>
      </c>
    </row>
    <row r="575" spans="2:48" hidden="1">
      <c r="B575" t="s">
        <v>366</v>
      </c>
      <c r="C575" t="s">
        <v>64</v>
      </c>
      <c r="D575" t="s">
        <v>556</v>
      </c>
      <c r="E575" t="s">
        <v>137</v>
      </c>
      <c r="F575">
        <v>1</v>
      </c>
      <c r="G575" s="122">
        <v>66</v>
      </c>
      <c r="H575" s="122">
        <v>1176</v>
      </c>
      <c r="I575" s="122">
        <v>65497</v>
      </c>
      <c r="J575" s="122">
        <v>54581</v>
      </c>
      <c r="K575">
        <v>30</v>
      </c>
      <c r="L575" s="122">
        <v>4852</v>
      </c>
      <c r="M575" s="122">
        <v>4043</v>
      </c>
      <c r="N575" s="122">
        <v>1613</v>
      </c>
      <c r="O575" s="122">
        <v>597</v>
      </c>
      <c r="P575" s="122">
        <v>0</v>
      </c>
      <c r="Q575">
        <v>0</v>
      </c>
      <c r="R575" s="122">
        <v>5856</v>
      </c>
      <c r="S575" s="122">
        <v>2169</v>
      </c>
      <c r="T575" s="122">
        <v>0</v>
      </c>
      <c r="U575" s="122">
        <v>0</v>
      </c>
      <c r="V575" s="122">
        <v>61391</v>
      </c>
      <c r="W575" s="122">
        <f t="shared" si="16"/>
        <v>61390</v>
      </c>
      <c r="X575" s="122">
        <f t="shared" si="17"/>
        <v>77818</v>
      </c>
      <c r="Y575" s="122"/>
      <c r="AA575" t="s">
        <v>56</v>
      </c>
      <c r="AB575" t="s">
        <v>406</v>
      </c>
      <c r="AC575" t="s">
        <v>407</v>
      </c>
      <c r="AD575" t="s">
        <v>407</v>
      </c>
      <c r="AE575" t="s">
        <v>566</v>
      </c>
      <c r="AF575">
        <v>1</v>
      </c>
      <c r="AG575">
        <v>147</v>
      </c>
      <c r="AH575">
        <v>214</v>
      </c>
      <c r="AI575" s="122">
        <v>15786</v>
      </c>
      <c r="AJ575" s="122">
        <v>14351</v>
      </c>
      <c r="AK575">
        <v>65</v>
      </c>
      <c r="AL575" s="122">
        <v>2850</v>
      </c>
      <c r="AM575" s="122">
        <v>2591</v>
      </c>
      <c r="AN575" s="122">
        <v>3170</v>
      </c>
      <c r="AO575" s="122">
        <v>1174</v>
      </c>
      <c r="AP575">
        <v>621</v>
      </c>
      <c r="AQ575">
        <v>230</v>
      </c>
      <c r="AR575" s="122">
        <v>9091</v>
      </c>
      <c r="AS575" s="122">
        <v>8265</v>
      </c>
      <c r="AT575">
        <v>0</v>
      </c>
      <c r="AU575">
        <v>0</v>
      </c>
      <c r="AV575" s="122">
        <v>26610</v>
      </c>
    </row>
    <row r="576" spans="2:48" hidden="1">
      <c r="B576" t="s">
        <v>366</v>
      </c>
      <c r="C576" t="s">
        <v>64</v>
      </c>
      <c r="D576" t="s">
        <v>556</v>
      </c>
      <c r="E576" t="s">
        <v>556</v>
      </c>
      <c r="F576">
        <v>10</v>
      </c>
      <c r="G576" s="122">
        <v>801</v>
      </c>
      <c r="H576" s="122">
        <v>5658</v>
      </c>
      <c r="I576" s="122">
        <v>307406</v>
      </c>
      <c r="J576" s="122">
        <v>256172</v>
      </c>
      <c r="K576">
        <v>54</v>
      </c>
      <c r="L576" s="122">
        <v>32615</v>
      </c>
      <c r="M576" s="122">
        <v>24991</v>
      </c>
      <c r="N576" s="122">
        <v>17085</v>
      </c>
      <c r="O576" s="122">
        <v>6328</v>
      </c>
      <c r="P576" s="122">
        <v>3861</v>
      </c>
      <c r="Q576" s="122">
        <v>1430</v>
      </c>
      <c r="R576" s="122">
        <v>59948</v>
      </c>
      <c r="S576" s="122">
        <v>49957</v>
      </c>
      <c r="T576" s="122">
        <v>19440</v>
      </c>
      <c r="U576" s="122">
        <v>7200</v>
      </c>
      <c r="V576" s="122">
        <v>346078</v>
      </c>
      <c r="W576" s="122">
        <f t="shared" si="16"/>
        <v>346078</v>
      </c>
      <c r="X576" s="122">
        <f t="shared" si="17"/>
        <v>440355</v>
      </c>
      <c r="Y576" s="122"/>
      <c r="AA576" t="s">
        <v>56</v>
      </c>
      <c r="AB576" t="s">
        <v>406</v>
      </c>
      <c r="AC576" t="s">
        <v>579</v>
      </c>
      <c r="AD576" t="s">
        <v>425</v>
      </c>
      <c r="AE576" t="s">
        <v>137</v>
      </c>
      <c r="AF576">
        <v>3</v>
      </c>
      <c r="AG576">
        <v>275</v>
      </c>
      <c r="AH576">
        <v>613</v>
      </c>
      <c r="AI576" s="122">
        <v>24244</v>
      </c>
      <c r="AJ576" s="122">
        <v>22040</v>
      </c>
      <c r="AK576">
        <v>88</v>
      </c>
      <c r="AL576" s="122">
        <v>6854</v>
      </c>
      <c r="AM576" s="122">
        <v>5712</v>
      </c>
      <c r="AN576" s="122">
        <v>5734</v>
      </c>
      <c r="AO576" s="122">
        <v>2124</v>
      </c>
      <c r="AP576" s="122">
        <v>1863</v>
      </c>
      <c r="AQ576">
        <v>690</v>
      </c>
      <c r="AR576" s="122">
        <v>10147</v>
      </c>
      <c r="AS576" s="122">
        <v>9225</v>
      </c>
      <c r="AT576" s="122">
        <v>7451</v>
      </c>
      <c r="AU576" s="122">
        <v>2759</v>
      </c>
      <c r="AV576" s="122">
        <v>42549</v>
      </c>
    </row>
    <row r="577" spans="2:48" hidden="1">
      <c r="B577" t="s">
        <v>366</v>
      </c>
      <c r="C577" t="s">
        <v>64</v>
      </c>
      <c r="D577" t="s">
        <v>431</v>
      </c>
      <c r="E577" t="s">
        <v>431</v>
      </c>
      <c r="F577">
        <v>3</v>
      </c>
      <c r="G577" s="122">
        <v>244</v>
      </c>
      <c r="H577" s="122">
        <v>1784</v>
      </c>
      <c r="I577" s="122">
        <v>102244</v>
      </c>
      <c r="J577" s="122">
        <v>92949</v>
      </c>
      <c r="K577">
        <v>62</v>
      </c>
      <c r="L577" s="122">
        <v>14445</v>
      </c>
      <c r="M577" s="122">
        <v>7589</v>
      </c>
      <c r="N577" s="122">
        <v>4776</v>
      </c>
      <c r="O577" s="122">
        <v>1769</v>
      </c>
      <c r="P577" s="122">
        <v>351</v>
      </c>
      <c r="Q577" s="122">
        <v>130</v>
      </c>
      <c r="R577" s="122">
        <v>15520</v>
      </c>
      <c r="S577" s="122">
        <v>14109</v>
      </c>
      <c r="T577" s="122">
        <v>7872</v>
      </c>
      <c r="U577" s="122">
        <v>2916</v>
      </c>
      <c r="V577" s="122">
        <v>119462</v>
      </c>
      <c r="W577" s="122">
        <f t="shared" si="16"/>
        <v>119462</v>
      </c>
      <c r="X577" s="122">
        <f t="shared" si="17"/>
        <v>145208</v>
      </c>
      <c r="Y577" s="122"/>
      <c r="AA577" t="s">
        <v>56</v>
      </c>
      <c r="AB577" t="s">
        <v>406</v>
      </c>
      <c r="AC577" t="s">
        <v>579</v>
      </c>
      <c r="AD577" t="s">
        <v>425</v>
      </c>
      <c r="AE577" t="s">
        <v>566</v>
      </c>
      <c r="AF577">
        <v>4</v>
      </c>
      <c r="AG577">
        <v>374</v>
      </c>
      <c r="AH577">
        <v>744</v>
      </c>
      <c r="AI577" s="122">
        <v>30290</v>
      </c>
      <c r="AJ577" s="122">
        <v>27536</v>
      </c>
      <c r="AK577">
        <v>88</v>
      </c>
      <c r="AL577" s="122">
        <v>8851</v>
      </c>
      <c r="AM577" s="122">
        <v>7376</v>
      </c>
      <c r="AN577" s="122">
        <v>6949</v>
      </c>
      <c r="AO577" s="122">
        <v>2574</v>
      </c>
      <c r="AP577" s="122">
        <v>2484</v>
      </c>
      <c r="AQ577">
        <v>920</v>
      </c>
      <c r="AR577" s="122">
        <v>20047</v>
      </c>
      <c r="AS577" s="122">
        <v>18225</v>
      </c>
      <c r="AT577">
        <v>0</v>
      </c>
      <c r="AU577">
        <v>0</v>
      </c>
      <c r="AV577" s="122">
        <v>56631</v>
      </c>
    </row>
    <row r="578" spans="2:48" hidden="1">
      <c r="B578" t="s">
        <v>366</v>
      </c>
      <c r="C578" t="s">
        <v>64</v>
      </c>
      <c r="D578" t="s">
        <v>426</v>
      </c>
      <c r="E578" t="s">
        <v>137</v>
      </c>
      <c r="F578">
        <v>30</v>
      </c>
      <c r="G578" s="122">
        <v>2594</v>
      </c>
      <c r="H578" s="122">
        <v>29584</v>
      </c>
      <c r="I578" s="122">
        <v>2075879</v>
      </c>
      <c r="J578" s="122">
        <v>1887163</v>
      </c>
      <c r="K578">
        <v>37</v>
      </c>
      <c r="L578" s="122">
        <v>164300</v>
      </c>
      <c r="M578" s="122">
        <v>90847</v>
      </c>
      <c r="N578" s="122">
        <v>61037</v>
      </c>
      <c r="O578" s="122">
        <v>22606</v>
      </c>
      <c r="P578" s="122">
        <v>1053</v>
      </c>
      <c r="Q578">
        <v>390</v>
      </c>
      <c r="R578" s="122">
        <v>165723</v>
      </c>
      <c r="S578" s="122">
        <v>61379</v>
      </c>
      <c r="T578" s="122">
        <v>4152</v>
      </c>
      <c r="U578" s="122">
        <v>1538</v>
      </c>
      <c r="V578" s="122">
        <v>2063923</v>
      </c>
      <c r="W578" s="122">
        <f t="shared" si="16"/>
        <v>2063923</v>
      </c>
      <c r="X578" s="122">
        <f t="shared" si="17"/>
        <v>2472144</v>
      </c>
      <c r="Y578" s="122"/>
      <c r="AA578" t="s">
        <v>56</v>
      </c>
      <c r="AB578" t="s">
        <v>406</v>
      </c>
      <c r="AC578" t="s">
        <v>579</v>
      </c>
      <c r="AD578" t="s">
        <v>137</v>
      </c>
      <c r="AE578" t="s">
        <v>137</v>
      </c>
      <c r="AF578">
        <v>1</v>
      </c>
      <c r="AG578">
        <v>82</v>
      </c>
      <c r="AH578">
        <v>225</v>
      </c>
      <c r="AI578" s="122">
        <v>7343</v>
      </c>
      <c r="AJ578" s="122">
        <v>6675</v>
      </c>
      <c r="AK578">
        <v>70</v>
      </c>
      <c r="AL578" s="122">
        <v>2077</v>
      </c>
      <c r="AM578" s="122">
        <v>1731</v>
      </c>
      <c r="AN578" s="122">
        <v>1328</v>
      </c>
      <c r="AO578">
        <v>492</v>
      </c>
      <c r="AP578">
        <v>621</v>
      </c>
      <c r="AQ578">
        <v>230</v>
      </c>
      <c r="AR578" s="122">
        <v>7048</v>
      </c>
      <c r="AS578" s="122">
        <v>2610</v>
      </c>
      <c r="AT578">
        <v>0</v>
      </c>
      <c r="AU578">
        <v>0</v>
      </c>
      <c r="AV578" s="122">
        <v>11738</v>
      </c>
    </row>
    <row r="579" spans="2:48" hidden="1">
      <c r="B579" t="s">
        <v>366</v>
      </c>
      <c r="C579" t="s">
        <v>64</v>
      </c>
      <c r="D579" t="s">
        <v>426</v>
      </c>
      <c r="E579" t="s">
        <v>426</v>
      </c>
      <c r="F579">
        <v>98</v>
      </c>
      <c r="G579" s="122">
        <v>6734</v>
      </c>
      <c r="H579" s="122">
        <v>63175</v>
      </c>
      <c r="I579" s="122">
        <v>3063129</v>
      </c>
      <c r="J579" s="122">
        <v>2784663</v>
      </c>
      <c r="K579">
        <v>51</v>
      </c>
      <c r="L579" s="122">
        <v>364205</v>
      </c>
      <c r="M579" s="122">
        <v>284305</v>
      </c>
      <c r="N579" s="122">
        <v>147656</v>
      </c>
      <c r="O579" s="122">
        <v>54687</v>
      </c>
      <c r="P579" s="122">
        <v>26163</v>
      </c>
      <c r="Q579" s="122">
        <v>9690</v>
      </c>
      <c r="R579" s="122">
        <v>522595</v>
      </c>
      <c r="S579" s="122">
        <v>475087</v>
      </c>
      <c r="T579" s="122">
        <v>185149</v>
      </c>
      <c r="U579" s="122">
        <v>68574</v>
      </c>
      <c r="V579" s="122">
        <v>3677006</v>
      </c>
      <c r="W579" s="122">
        <f t="shared" si="16"/>
        <v>3677006</v>
      </c>
      <c r="X579" s="122">
        <f t="shared" si="17"/>
        <v>4308897</v>
      </c>
      <c r="Y579" s="122"/>
      <c r="AA579" t="s">
        <v>56</v>
      </c>
      <c r="AB579" t="s">
        <v>406</v>
      </c>
      <c r="AC579" t="s">
        <v>579</v>
      </c>
      <c r="AD579" t="s">
        <v>137</v>
      </c>
      <c r="AE579" t="s">
        <v>566</v>
      </c>
      <c r="AF579">
        <v>14</v>
      </c>
      <c r="AG579" s="122">
        <v>1477</v>
      </c>
      <c r="AH579" s="122">
        <v>2713</v>
      </c>
      <c r="AI579" s="122">
        <v>144369</v>
      </c>
      <c r="AJ579" s="122">
        <v>131245</v>
      </c>
      <c r="AK579">
        <v>89</v>
      </c>
      <c r="AL579" s="122">
        <v>35021</v>
      </c>
      <c r="AM579" s="122">
        <v>29184</v>
      </c>
      <c r="AN579" s="122">
        <v>26020</v>
      </c>
      <c r="AO579" s="122">
        <v>9637</v>
      </c>
      <c r="AP579" s="122">
        <v>8694</v>
      </c>
      <c r="AQ579" s="122">
        <v>3220</v>
      </c>
      <c r="AR579" s="122">
        <v>72505</v>
      </c>
      <c r="AS579" s="122">
        <v>26854</v>
      </c>
      <c r="AT579">
        <v>0</v>
      </c>
      <c r="AU579">
        <v>0</v>
      </c>
      <c r="AV579" s="122">
        <v>200140</v>
      </c>
    </row>
    <row r="580" spans="2:48" hidden="1">
      <c r="B580" t="s">
        <v>366</v>
      </c>
      <c r="C580" t="s">
        <v>64</v>
      </c>
      <c r="D580" t="s">
        <v>433</v>
      </c>
      <c r="E580" t="s">
        <v>433</v>
      </c>
      <c r="F580">
        <v>3</v>
      </c>
      <c r="G580" s="122">
        <v>216</v>
      </c>
      <c r="H580" s="122">
        <v>1789</v>
      </c>
      <c r="I580" s="122">
        <v>77599</v>
      </c>
      <c r="J580" s="122">
        <v>70545</v>
      </c>
      <c r="K580">
        <v>48</v>
      </c>
      <c r="L580" s="122">
        <v>20071</v>
      </c>
      <c r="M580" s="122">
        <v>9490</v>
      </c>
      <c r="N580" s="122">
        <v>5258</v>
      </c>
      <c r="O580" s="122">
        <v>1947</v>
      </c>
      <c r="P580" s="122">
        <v>1053</v>
      </c>
      <c r="Q580" s="122">
        <v>390</v>
      </c>
      <c r="R580" s="122">
        <v>15958</v>
      </c>
      <c r="S580" s="122">
        <v>14507</v>
      </c>
      <c r="T580" s="122">
        <v>7503</v>
      </c>
      <c r="U580" s="122">
        <v>2779</v>
      </c>
      <c r="V580" s="122">
        <v>99658</v>
      </c>
      <c r="W580" s="122">
        <f t="shared" si="16"/>
        <v>99658</v>
      </c>
      <c r="X580" s="122">
        <f t="shared" si="17"/>
        <v>127442</v>
      </c>
      <c r="Y580" s="122"/>
      <c r="AA580" t="s">
        <v>56</v>
      </c>
      <c r="AB580" t="s">
        <v>406</v>
      </c>
      <c r="AC580" t="s">
        <v>579</v>
      </c>
      <c r="AD580" t="s">
        <v>406</v>
      </c>
      <c r="AE580" t="s">
        <v>137</v>
      </c>
      <c r="AF580" s="122">
        <v>5110</v>
      </c>
      <c r="AG580" s="122">
        <v>535524</v>
      </c>
      <c r="AH580" s="122">
        <v>1016888</v>
      </c>
      <c r="AI580" s="122">
        <v>49670554</v>
      </c>
      <c r="AJ580" s="122">
        <v>45155049</v>
      </c>
      <c r="AK580">
        <v>85</v>
      </c>
      <c r="AL580" s="122">
        <v>12631590</v>
      </c>
      <c r="AM580" s="122">
        <v>10526325</v>
      </c>
      <c r="AN580" s="122">
        <v>10432334</v>
      </c>
      <c r="AO580" s="122">
        <v>3863827</v>
      </c>
      <c r="AP580" s="122">
        <v>3276430</v>
      </c>
      <c r="AQ580" s="122">
        <v>1213493</v>
      </c>
      <c r="AR580" s="122">
        <v>20646002</v>
      </c>
      <c r="AS580" s="122">
        <v>18769093</v>
      </c>
      <c r="AT580" s="122">
        <v>10883893</v>
      </c>
      <c r="AU580" s="122">
        <v>4031072</v>
      </c>
      <c r="AV580" s="122">
        <v>83558858</v>
      </c>
    </row>
    <row r="581" spans="2:48" hidden="1">
      <c r="B581" t="s">
        <v>367</v>
      </c>
      <c r="C581" t="s">
        <v>48</v>
      </c>
      <c r="F581">
        <v>38</v>
      </c>
      <c r="G581" s="122">
        <v>4130</v>
      </c>
      <c r="H581" s="122">
        <v>2139</v>
      </c>
      <c r="I581" s="122"/>
      <c r="J581" s="122">
        <v>0</v>
      </c>
      <c r="M581" s="122">
        <v>0</v>
      </c>
      <c r="N581" s="122">
        <v>50317</v>
      </c>
      <c r="O581" s="122">
        <v>18636</v>
      </c>
      <c r="P581" s="122">
        <v>48868</v>
      </c>
      <c r="Q581" s="122">
        <v>18099</v>
      </c>
      <c r="R581" s="122"/>
      <c r="S581" s="122">
        <v>0</v>
      </c>
      <c r="T581" s="122">
        <v>0</v>
      </c>
      <c r="U581">
        <v>0</v>
      </c>
      <c r="V581" s="122">
        <v>36735</v>
      </c>
      <c r="W581" s="122">
        <f t="shared" si="16"/>
        <v>36735</v>
      </c>
      <c r="X581" s="122">
        <f t="shared" si="17"/>
        <v>99185</v>
      </c>
      <c r="Y581" s="122"/>
      <c r="AA581" t="s">
        <v>56</v>
      </c>
      <c r="AB581" t="s">
        <v>406</v>
      </c>
      <c r="AC581" t="s">
        <v>579</v>
      </c>
      <c r="AD581" t="s">
        <v>406</v>
      </c>
      <c r="AE581" t="s">
        <v>566</v>
      </c>
      <c r="AF581" s="122">
        <v>4321</v>
      </c>
      <c r="AG581" s="122">
        <v>450688</v>
      </c>
      <c r="AH581" s="122">
        <v>818211</v>
      </c>
      <c r="AI581" s="122">
        <v>41656634</v>
      </c>
      <c r="AJ581" s="122">
        <v>37869667</v>
      </c>
      <c r="AK581">
        <v>87</v>
      </c>
      <c r="AL581" s="122">
        <v>11582639</v>
      </c>
      <c r="AM581" s="122">
        <v>9652199</v>
      </c>
      <c r="AN581" s="122">
        <v>8592923</v>
      </c>
      <c r="AO581" s="122">
        <v>3182564</v>
      </c>
      <c r="AP581" s="122">
        <v>2807053</v>
      </c>
      <c r="AQ581" s="122">
        <v>1039649</v>
      </c>
      <c r="AR581" s="122">
        <v>21474025</v>
      </c>
      <c r="AS581" s="122">
        <v>19521841</v>
      </c>
      <c r="AT581">
        <v>0</v>
      </c>
      <c r="AU581">
        <v>0</v>
      </c>
      <c r="AV581" s="122">
        <v>71265921</v>
      </c>
    </row>
    <row r="582" spans="2:48" hidden="1">
      <c r="B582" t="s">
        <v>367</v>
      </c>
      <c r="C582" t="s">
        <v>48</v>
      </c>
      <c r="D582" t="s">
        <v>137</v>
      </c>
      <c r="E582" t="s">
        <v>137</v>
      </c>
      <c r="F582" s="122">
        <v>4163</v>
      </c>
      <c r="G582" s="122">
        <v>556099</v>
      </c>
      <c r="H582" s="122">
        <v>210799</v>
      </c>
      <c r="I582" s="122">
        <v>-885895</v>
      </c>
      <c r="J582" s="122">
        <v>-328109</v>
      </c>
      <c r="K582">
        <v>457</v>
      </c>
      <c r="L582" s="122">
        <v>54020</v>
      </c>
      <c r="M582" s="122">
        <v>93430</v>
      </c>
      <c r="N582" s="122">
        <v>7076083</v>
      </c>
      <c r="O582" s="122">
        <v>2620771</v>
      </c>
      <c r="P582" s="122">
        <v>3185622</v>
      </c>
      <c r="Q582" s="122">
        <v>1179860</v>
      </c>
      <c r="R582" s="122">
        <v>18479206</v>
      </c>
      <c r="S582" s="122">
        <v>6844150</v>
      </c>
      <c r="T582" s="122">
        <v>1674</v>
      </c>
      <c r="U582" s="122">
        <v>620</v>
      </c>
      <c r="V582" s="122">
        <v>10410723</v>
      </c>
      <c r="W582" s="122">
        <f t="shared" si="16"/>
        <v>11066940</v>
      </c>
      <c r="X582" s="122">
        <f t="shared" si="17"/>
        <v>29682500</v>
      </c>
      <c r="Y582" s="122"/>
      <c r="AA582" t="s">
        <v>56</v>
      </c>
      <c r="AB582" t="s">
        <v>406</v>
      </c>
      <c r="AC582" t="s">
        <v>579</v>
      </c>
      <c r="AD582" t="s">
        <v>427</v>
      </c>
      <c r="AE582" t="s">
        <v>137</v>
      </c>
      <c r="AF582">
        <v>8</v>
      </c>
      <c r="AG582">
        <v>693</v>
      </c>
      <c r="AH582" s="122">
        <v>1456</v>
      </c>
      <c r="AI582" s="122">
        <v>43802</v>
      </c>
      <c r="AJ582" s="122">
        <v>39820</v>
      </c>
      <c r="AK582">
        <v>90</v>
      </c>
      <c r="AL582" s="122">
        <v>15092</v>
      </c>
      <c r="AM582" s="122">
        <v>12576</v>
      </c>
      <c r="AN582" s="122">
        <v>15672</v>
      </c>
      <c r="AO582" s="122">
        <v>5805</v>
      </c>
      <c r="AP582" s="122">
        <v>4968</v>
      </c>
      <c r="AQ582" s="122">
        <v>1840</v>
      </c>
      <c r="AR582" s="122">
        <v>27328</v>
      </c>
      <c r="AS582" s="122">
        <v>24844</v>
      </c>
      <c r="AT582" s="122">
        <v>19400</v>
      </c>
      <c r="AU582" s="122">
        <v>7185</v>
      </c>
      <c r="AV582" s="122">
        <v>92070</v>
      </c>
    </row>
    <row r="583" spans="2:48" hidden="1">
      <c r="B583" t="s">
        <v>367</v>
      </c>
      <c r="C583" t="s">
        <v>48</v>
      </c>
      <c r="D583" t="s">
        <v>137</v>
      </c>
      <c r="E583" t="s">
        <v>407</v>
      </c>
      <c r="F583">
        <v>3</v>
      </c>
      <c r="G583" s="122">
        <v>272</v>
      </c>
      <c r="H583" s="122">
        <v>132</v>
      </c>
      <c r="I583" s="122">
        <v>-207</v>
      </c>
      <c r="J583" s="122">
        <v>-77</v>
      </c>
      <c r="K583">
        <v>503</v>
      </c>
      <c r="L583" s="122">
        <v>0</v>
      </c>
      <c r="M583" s="122">
        <v>0</v>
      </c>
      <c r="N583" s="122">
        <v>3311</v>
      </c>
      <c r="O583" s="122">
        <v>1226</v>
      </c>
      <c r="P583" s="122">
        <v>1401</v>
      </c>
      <c r="Q583" s="122">
        <v>519</v>
      </c>
      <c r="R583" s="122">
        <v>8872</v>
      </c>
      <c r="S583" s="122">
        <v>8065</v>
      </c>
      <c r="T583" s="122">
        <v>0</v>
      </c>
      <c r="U583" s="122">
        <v>0</v>
      </c>
      <c r="V583" s="122">
        <v>9734</v>
      </c>
      <c r="W583" s="122">
        <f t="shared" ref="W583:W646" si="18">SUM(ABS(J583),ABS(M583),ABS(O583),ABS(Q583),ABS(S583),ABS(U583))</f>
        <v>9887</v>
      </c>
      <c r="X583" s="122">
        <f t="shared" ref="X583:X646" si="19">SUM(ABS(I583),ABS(N583),ABS(P583),ABS(R583),ABS(T583),ABS(L583))</f>
        <v>13791</v>
      </c>
      <c r="Y583" s="122"/>
      <c r="AA583" t="s">
        <v>56</v>
      </c>
      <c r="AB583" t="s">
        <v>406</v>
      </c>
      <c r="AC583" t="s">
        <v>579</v>
      </c>
      <c r="AD583" t="s">
        <v>407</v>
      </c>
      <c r="AE583" t="s">
        <v>137</v>
      </c>
      <c r="AF583">
        <v>2</v>
      </c>
      <c r="AG583">
        <v>176</v>
      </c>
      <c r="AH583">
        <v>422</v>
      </c>
      <c r="AI583" s="122">
        <v>16499</v>
      </c>
      <c r="AJ583" s="122">
        <v>14999</v>
      </c>
      <c r="AK583">
        <v>90</v>
      </c>
      <c r="AL583" s="122">
        <v>4584</v>
      </c>
      <c r="AM583" s="122">
        <v>3820</v>
      </c>
      <c r="AN583" s="122">
        <v>3796</v>
      </c>
      <c r="AO583" s="122">
        <v>1406</v>
      </c>
      <c r="AP583" s="122">
        <v>1242</v>
      </c>
      <c r="AQ583">
        <v>460</v>
      </c>
      <c r="AR583" s="122">
        <v>6500</v>
      </c>
      <c r="AS583" s="122">
        <v>5909</v>
      </c>
      <c r="AT583" s="122">
        <v>4549</v>
      </c>
      <c r="AU583" s="122">
        <v>1685</v>
      </c>
      <c r="AV583" s="122">
        <v>28279</v>
      </c>
    </row>
    <row r="584" spans="2:48" hidden="1">
      <c r="B584" t="s">
        <v>367</v>
      </c>
      <c r="C584" t="s">
        <v>48</v>
      </c>
      <c r="D584" t="s">
        <v>406</v>
      </c>
      <c r="E584" t="s">
        <v>406</v>
      </c>
      <c r="F584">
        <v>6</v>
      </c>
      <c r="G584">
        <v>629</v>
      </c>
      <c r="H584">
        <v>330</v>
      </c>
      <c r="I584" s="122">
        <v>-2691</v>
      </c>
      <c r="J584" s="122">
        <v>-2446</v>
      </c>
      <c r="K584">
        <v>93</v>
      </c>
      <c r="L584" s="122">
        <v>0</v>
      </c>
      <c r="M584" s="122">
        <v>0</v>
      </c>
      <c r="N584" s="122">
        <v>7658</v>
      </c>
      <c r="O584" s="122">
        <v>2836</v>
      </c>
      <c r="P584" s="122">
        <v>9163</v>
      </c>
      <c r="Q584" s="122">
        <v>3394</v>
      </c>
      <c r="R584" s="122">
        <v>20549</v>
      </c>
      <c r="S584" s="122">
        <v>18681</v>
      </c>
      <c r="T584" s="122">
        <v>0</v>
      </c>
      <c r="U584" s="122">
        <v>0</v>
      </c>
      <c r="V584" s="122">
        <v>22464</v>
      </c>
      <c r="W584" s="122">
        <f t="shared" si="18"/>
        <v>27357</v>
      </c>
      <c r="X584" s="122">
        <f t="shared" si="19"/>
        <v>40061</v>
      </c>
      <c r="Y584" s="122"/>
      <c r="AA584" t="s">
        <v>56</v>
      </c>
      <c r="AB584" t="s">
        <v>406</v>
      </c>
      <c r="AC584" t="s">
        <v>579</v>
      </c>
      <c r="AD584" t="s">
        <v>407</v>
      </c>
      <c r="AE584" t="s">
        <v>566</v>
      </c>
      <c r="AF584">
        <v>3</v>
      </c>
      <c r="AG584">
        <v>361</v>
      </c>
      <c r="AH584">
        <v>556</v>
      </c>
      <c r="AI584" s="122">
        <v>34047</v>
      </c>
      <c r="AJ584" s="122">
        <v>30952</v>
      </c>
      <c r="AK584">
        <v>91</v>
      </c>
      <c r="AL584" s="122">
        <v>12070</v>
      </c>
      <c r="AM584" s="122">
        <v>10058</v>
      </c>
      <c r="AN584" s="122">
        <v>5847</v>
      </c>
      <c r="AO584" s="122">
        <v>2166</v>
      </c>
      <c r="AP584" s="122">
        <v>1863</v>
      </c>
      <c r="AQ584">
        <v>690</v>
      </c>
      <c r="AR584" s="122">
        <v>18213</v>
      </c>
      <c r="AS584" s="122">
        <v>16557</v>
      </c>
      <c r="AT584">
        <v>0</v>
      </c>
      <c r="AU584">
        <v>0</v>
      </c>
      <c r="AV584" s="122">
        <v>60423</v>
      </c>
    </row>
    <row r="585" spans="2:48" hidden="1">
      <c r="B585" t="s">
        <v>367</v>
      </c>
      <c r="C585" t="s">
        <v>48</v>
      </c>
      <c r="D585" t="s">
        <v>407</v>
      </c>
      <c r="E585" t="s">
        <v>405</v>
      </c>
      <c r="F585">
        <v>1</v>
      </c>
      <c r="G585">
        <v>103</v>
      </c>
      <c r="H585">
        <v>56</v>
      </c>
      <c r="I585" s="122">
        <v>-934</v>
      </c>
      <c r="J585" s="122">
        <v>-849</v>
      </c>
      <c r="K585">
        <v>90</v>
      </c>
      <c r="L585" s="122">
        <v>0</v>
      </c>
      <c r="M585" s="122">
        <v>0</v>
      </c>
      <c r="N585" s="122">
        <v>1343</v>
      </c>
      <c r="O585" s="122">
        <v>497</v>
      </c>
      <c r="P585" s="122">
        <v>1360</v>
      </c>
      <c r="Q585">
        <v>504</v>
      </c>
      <c r="R585" s="122">
        <v>3997</v>
      </c>
      <c r="S585" s="122">
        <v>3633</v>
      </c>
      <c r="T585">
        <v>0</v>
      </c>
      <c r="U585">
        <v>0</v>
      </c>
      <c r="V585" s="122">
        <v>3785</v>
      </c>
      <c r="W585" s="122">
        <f t="shared" si="18"/>
        <v>5483</v>
      </c>
      <c r="X585" s="122">
        <f t="shared" si="19"/>
        <v>7634</v>
      </c>
      <c r="Y585" s="122"/>
      <c r="AA585" t="s">
        <v>56</v>
      </c>
      <c r="AB585" t="s">
        <v>406</v>
      </c>
      <c r="AC585" t="s">
        <v>579</v>
      </c>
      <c r="AD585" t="s">
        <v>579</v>
      </c>
      <c r="AE585" t="s">
        <v>137</v>
      </c>
      <c r="AF585">
        <v>1</v>
      </c>
      <c r="AG585">
        <v>80</v>
      </c>
      <c r="AH585">
        <v>212</v>
      </c>
      <c r="AI585" s="122">
        <v>7990</v>
      </c>
      <c r="AJ585" s="122">
        <v>7263</v>
      </c>
      <c r="AK585">
        <v>79</v>
      </c>
      <c r="AL585" s="122">
        <v>1321</v>
      </c>
      <c r="AM585" s="122">
        <v>1100</v>
      </c>
      <c r="AN585" s="122">
        <v>1059</v>
      </c>
      <c r="AO585">
        <v>392</v>
      </c>
      <c r="AP585">
        <v>621</v>
      </c>
      <c r="AQ585">
        <v>230</v>
      </c>
      <c r="AR585" s="122">
        <v>3918</v>
      </c>
      <c r="AS585" s="122">
        <v>3265</v>
      </c>
      <c r="AT585" s="122">
        <v>2172</v>
      </c>
      <c r="AU585">
        <v>804</v>
      </c>
      <c r="AV585" s="122">
        <v>13056</v>
      </c>
    </row>
    <row r="586" spans="2:48" hidden="1">
      <c r="B586" t="s">
        <v>367</v>
      </c>
      <c r="C586" t="s">
        <v>48</v>
      </c>
      <c r="D586" t="s">
        <v>407</v>
      </c>
      <c r="E586" t="s">
        <v>137</v>
      </c>
      <c r="F586">
        <v>3</v>
      </c>
      <c r="G586" s="122">
        <v>304</v>
      </c>
      <c r="H586" s="122">
        <v>179</v>
      </c>
      <c r="I586" s="122">
        <v>5642</v>
      </c>
      <c r="J586" s="122">
        <v>5129</v>
      </c>
      <c r="K586">
        <v>90</v>
      </c>
      <c r="L586" s="122">
        <v>381</v>
      </c>
      <c r="M586" s="122">
        <v>347</v>
      </c>
      <c r="N586" s="122">
        <v>3700</v>
      </c>
      <c r="O586" s="122">
        <v>1371</v>
      </c>
      <c r="P586" s="122">
        <v>2530</v>
      </c>
      <c r="Q586" s="122">
        <v>937</v>
      </c>
      <c r="R586" s="122">
        <v>5613</v>
      </c>
      <c r="S586" s="122">
        <v>2079</v>
      </c>
      <c r="T586" s="122">
        <v>0</v>
      </c>
      <c r="U586" s="122">
        <v>0</v>
      </c>
      <c r="V586" s="122">
        <v>9862</v>
      </c>
      <c r="W586" s="122">
        <f t="shared" si="18"/>
        <v>9863</v>
      </c>
      <c r="X586" s="122">
        <f t="shared" si="19"/>
        <v>17866</v>
      </c>
      <c r="Y586" s="122"/>
      <c r="AA586" t="s">
        <v>56</v>
      </c>
      <c r="AB586" t="s">
        <v>406</v>
      </c>
      <c r="AC586" t="s">
        <v>579</v>
      </c>
      <c r="AD586" t="s">
        <v>579</v>
      </c>
      <c r="AE586" t="s">
        <v>566</v>
      </c>
      <c r="AF586">
        <v>1</v>
      </c>
      <c r="AG586">
        <v>112</v>
      </c>
      <c r="AH586">
        <v>196</v>
      </c>
      <c r="AI586" s="122">
        <v>9494</v>
      </c>
      <c r="AJ586" s="122">
        <v>8631</v>
      </c>
      <c r="AK586">
        <v>86</v>
      </c>
      <c r="AL586" s="122">
        <v>3115</v>
      </c>
      <c r="AM586" s="122">
        <v>2596</v>
      </c>
      <c r="AN586" s="122">
        <v>2310</v>
      </c>
      <c r="AO586">
        <v>856</v>
      </c>
      <c r="AP586">
        <v>621</v>
      </c>
      <c r="AQ586">
        <v>230</v>
      </c>
      <c r="AR586" s="122">
        <v>6289</v>
      </c>
      <c r="AS586" s="122">
        <v>5241</v>
      </c>
      <c r="AT586">
        <v>0</v>
      </c>
      <c r="AU586">
        <v>0</v>
      </c>
      <c r="AV586" s="122">
        <v>17554</v>
      </c>
    </row>
    <row r="587" spans="2:48" hidden="1">
      <c r="B587" t="s">
        <v>367</v>
      </c>
      <c r="C587" t="s">
        <v>48</v>
      </c>
      <c r="D587" t="s">
        <v>407</v>
      </c>
      <c r="E587" t="s">
        <v>407</v>
      </c>
      <c r="F587" s="122">
        <v>10051</v>
      </c>
      <c r="G587" s="122">
        <v>1303587</v>
      </c>
      <c r="H587" s="122">
        <v>543230</v>
      </c>
      <c r="I587" s="122">
        <v>3295176</v>
      </c>
      <c r="J587" s="122">
        <v>2995614</v>
      </c>
      <c r="K587">
        <v>91</v>
      </c>
      <c r="L587" s="122">
        <v>310620</v>
      </c>
      <c r="M587" s="122">
        <v>219683</v>
      </c>
      <c r="N587" s="122">
        <v>16306417</v>
      </c>
      <c r="O587" s="122">
        <v>6039414</v>
      </c>
      <c r="P587" s="122">
        <v>13089630</v>
      </c>
      <c r="Q587" s="122">
        <v>4848011</v>
      </c>
      <c r="R587" s="122">
        <v>36581926</v>
      </c>
      <c r="S587" s="122">
        <v>33256296</v>
      </c>
      <c r="T587" s="122">
        <v>8082</v>
      </c>
      <c r="U587" s="122">
        <v>2993</v>
      </c>
      <c r="V587" s="122">
        <v>47362011</v>
      </c>
      <c r="W587" s="122">
        <f t="shared" si="18"/>
        <v>47362011</v>
      </c>
      <c r="X587" s="122">
        <f t="shared" si="19"/>
        <v>69591851</v>
      </c>
      <c r="Y587" s="122"/>
      <c r="AA587" t="s">
        <v>56</v>
      </c>
      <c r="AB587" t="s">
        <v>406</v>
      </c>
      <c r="AC587" t="s">
        <v>428</v>
      </c>
      <c r="AD587" t="s">
        <v>578</v>
      </c>
      <c r="AE587" t="s">
        <v>137</v>
      </c>
      <c r="AF587">
        <v>1</v>
      </c>
      <c r="AG587">
        <v>87</v>
      </c>
      <c r="AH587">
        <v>197</v>
      </c>
      <c r="AI587" s="122">
        <v>6930</v>
      </c>
      <c r="AJ587" s="122">
        <v>6300</v>
      </c>
      <c r="AK587">
        <v>85</v>
      </c>
      <c r="AL587" s="122">
        <v>2079</v>
      </c>
      <c r="AM587" s="122">
        <v>1890</v>
      </c>
      <c r="AN587" s="122">
        <v>1533</v>
      </c>
      <c r="AO587">
        <v>568</v>
      </c>
      <c r="AP587">
        <v>621</v>
      </c>
      <c r="AQ587">
        <v>230</v>
      </c>
      <c r="AR587" s="122">
        <v>3549</v>
      </c>
      <c r="AS587" s="122">
        <v>3227</v>
      </c>
      <c r="AT587" s="122">
        <v>2390</v>
      </c>
      <c r="AU587">
        <v>885</v>
      </c>
      <c r="AV587" s="122">
        <v>13099</v>
      </c>
    </row>
    <row r="588" spans="2:48" hidden="1">
      <c r="B588" t="s">
        <v>367</v>
      </c>
      <c r="C588" t="s">
        <v>50</v>
      </c>
      <c r="D588" t="s">
        <v>405</v>
      </c>
      <c r="E588" t="s">
        <v>405</v>
      </c>
      <c r="F588">
        <v>2</v>
      </c>
      <c r="G588" s="122">
        <v>204</v>
      </c>
      <c r="H588" s="122">
        <v>184</v>
      </c>
      <c r="I588" s="122">
        <v>7141</v>
      </c>
      <c r="J588" s="122">
        <v>6492</v>
      </c>
      <c r="K588">
        <v>90</v>
      </c>
      <c r="L588" s="122">
        <v>0</v>
      </c>
      <c r="M588" s="122">
        <v>0</v>
      </c>
      <c r="N588" s="122">
        <v>2491</v>
      </c>
      <c r="O588" s="122">
        <v>923</v>
      </c>
      <c r="P588" s="122">
        <v>945</v>
      </c>
      <c r="Q588">
        <v>350</v>
      </c>
      <c r="R588" s="122">
        <v>8242</v>
      </c>
      <c r="S588" s="122">
        <v>7493</v>
      </c>
      <c r="T588" s="122">
        <v>0</v>
      </c>
      <c r="U588" s="122">
        <v>0</v>
      </c>
      <c r="V588" s="122">
        <v>15257</v>
      </c>
      <c r="W588" s="122">
        <f t="shared" si="18"/>
        <v>15258</v>
      </c>
      <c r="X588" s="122">
        <f t="shared" si="19"/>
        <v>18819</v>
      </c>
      <c r="Y588" s="122"/>
      <c r="AA588" t="s">
        <v>56</v>
      </c>
      <c r="AB588" t="s">
        <v>406</v>
      </c>
      <c r="AC588" t="s">
        <v>428</v>
      </c>
      <c r="AD588" t="s">
        <v>137</v>
      </c>
      <c r="AE588" t="s">
        <v>566</v>
      </c>
      <c r="AF588">
        <v>2</v>
      </c>
      <c r="AG588">
        <v>178</v>
      </c>
      <c r="AH588">
        <v>365</v>
      </c>
      <c r="AI588" s="122">
        <v>13198</v>
      </c>
      <c r="AJ588" s="122">
        <v>11998</v>
      </c>
      <c r="AK588">
        <v>79</v>
      </c>
      <c r="AL588" s="122">
        <v>3666</v>
      </c>
      <c r="AM588" s="122">
        <v>3333</v>
      </c>
      <c r="AN588" s="122">
        <v>4334</v>
      </c>
      <c r="AO588" s="122">
        <v>1605</v>
      </c>
      <c r="AP588" s="122">
        <v>1242</v>
      </c>
      <c r="AQ588">
        <v>460</v>
      </c>
      <c r="AR588" s="122">
        <v>9972</v>
      </c>
      <c r="AS588" s="122">
        <v>3693</v>
      </c>
      <c r="AT588">
        <v>0</v>
      </c>
      <c r="AU588">
        <v>0</v>
      </c>
      <c r="AV588" s="122">
        <v>21089</v>
      </c>
    </row>
    <row r="589" spans="2:48" hidden="1">
      <c r="B589" t="s">
        <v>367</v>
      </c>
      <c r="C589" t="s">
        <v>50</v>
      </c>
      <c r="D589" t="s">
        <v>137</v>
      </c>
      <c r="E589" t="s">
        <v>137</v>
      </c>
      <c r="F589">
        <v>110</v>
      </c>
      <c r="G589" s="122">
        <v>15984</v>
      </c>
      <c r="H589" s="122">
        <v>9591</v>
      </c>
      <c r="I589" s="122">
        <v>435347</v>
      </c>
      <c r="J589" s="122">
        <v>161240</v>
      </c>
      <c r="K589">
        <v>388</v>
      </c>
      <c r="L589" s="122">
        <v>121134</v>
      </c>
      <c r="M589" s="122">
        <v>96926</v>
      </c>
      <c r="N589" s="122">
        <v>247572</v>
      </c>
      <c r="O589" s="122">
        <v>91693</v>
      </c>
      <c r="P589" s="122">
        <v>106396</v>
      </c>
      <c r="Q589" s="122">
        <v>39406</v>
      </c>
      <c r="R589" s="122">
        <v>506654</v>
      </c>
      <c r="S589" s="122">
        <v>187649</v>
      </c>
      <c r="T589" s="122">
        <v>0</v>
      </c>
      <c r="U589" s="122">
        <v>0</v>
      </c>
      <c r="V589" s="122">
        <v>576915</v>
      </c>
      <c r="W589" s="122">
        <f t="shared" si="18"/>
        <v>576914</v>
      </c>
      <c r="X589" s="122">
        <f t="shared" si="19"/>
        <v>1417103</v>
      </c>
      <c r="Y589" s="122"/>
      <c r="AA589" t="s">
        <v>56</v>
      </c>
      <c r="AB589" t="s">
        <v>406</v>
      </c>
      <c r="AC589" t="s">
        <v>428</v>
      </c>
      <c r="AD589" t="s">
        <v>406</v>
      </c>
      <c r="AE589" t="s">
        <v>137</v>
      </c>
      <c r="AF589">
        <v>268</v>
      </c>
      <c r="AG589" s="122">
        <v>28208</v>
      </c>
      <c r="AH589" s="122">
        <v>52376</v>
      </c>
      <c r="AI589" s="122">
        <v>2615472</v>
      </c>
      <c r="AJ589" s="122">
        <v>2377702</v>
      </c>
      <c r="AK589">
        <v>85</v>
      </c>
      <c r="AL589" s="122">
        <v>654669</v>
      </c>
      <c r="AM589" s="122">
        <v>595154</v>
      </c>
      <c r="AN589" s="122">
        <v>555382</v>
      </c>
      <c r="AO589" s="122">
        <v>205697</v>
      </c>
      <c r="AP589" s="122">
        <v>162297</v>
      </c>
      <c r="AQ589" s="122">
        <v>60110</v>
      </c>
      <c r="AR589" s="122">
        <v>1050734</v>
      </c>
      <c r="AS589" s="122">
        <v>955213</v>
      </c>
      <c r="AT589" s="122">
        <v>502453</v>
      </c>
      <c r="AU589" s="122">
        <v>186094</v>
      </c>
      <c r="AV589" s="122">
        <v>4379969</v>
      </c>
    </row>
    <row r="590" spans="2:48" hidden="1">
      <c r="B590" t="s">
        <v>367</v>
      </c>
      <c r="C590" t="s">
        <v>50</v>
      </c>
      <c r="D590" t="s">
        <v>137</v>
      </c>
      <c r="E590" t="s">
        <v>407</v>
      </c>
      <c r="F590">
        <v>1</v>
      </c>
      <c r="G590" s="122">
        <v>139</v>
      </c>
      <c r="H590" s="122">
        <v>95</v>
      </c>
      <c r="I590" s="122">
        <v>4110</v>
      </c>
      <c r="J590" s="122">
        <v>1522</v>
      </c>
      <c r="K590">
        <v>250</v>
      </c>
      <c r="L590" s="122">
        <v>1691</v>
      </c>
      <c r="M590" s="122">
        <v>1410</v>
      </c>
      <c r="N590" s="122">
        <v>2037</v>
      </c>
      <c r="O590" s="122">
        <v>755</v>
      </c>
      <c r="P590" s="122">
        <v>473</v>
      </c>
      <c r="Q590" s="122">
        <v>175</v>
      </c>
      <c r="R590" s="122">
        <v>4892</v>
      </c>
      <c r="S590" s="122">
        <v>4447</v>
      </c>
      <c r="T590" s="122">
        <v>0</v>
      </c>
      <c r="U590" s="122">
        <v>0</v>
      </c>
      <c r="V590" s="122">
        <v>8309</v>
      </c>
      <c r="W590" s="122">
        <f t="shared" si="18"/>
        <v>8309</v>
      </c>
      <c r="X590" s="122">
        <f t="shared" si="19"/>
        <v>13203</v>
      </c>
      <c r="Y590" s="122"/>
      <c r="AA590" t="s">
        <v>56</v>
      </c>
      <c r="AB590" t="s">
        <v>406</v>
      </c>
      <c r="AC590" t="s">
        <v>428</v>
      </c>
      <c r="AD590" t="s">
        <v>406</v>
      </c>
      <c r="AE590" t="s">
        <v>566</v>
      </c>
      <c r="AF590">
        <v>237</v>
      </c>
      <c r="AG590" s="122">
        <v>25180</v>
      </c>
      <c r="AH590" s="122">
        <v>44925</v>
      </c>
      <c r="AI590" s="122">
        <v>2368252</v>
      </c>
      <c r="AJ590" s="122">
        <v>2152956</v>
      </c>
      <c r="AK590">
        <v>84</v>
      </c>
      <c r="AL590" s="122">
        <v>632991</v>
      </c>
      <c r="AM590" s="122">
        <v>575447</v>
      </c>
      <c r="AN590" s="122">
        <v>445503</v>
      </c>
      <c r="AO590" s="122">
        <v>165001</v>
      </c>
      <c r="AP590" s="122">
        <v>149418</v>
      </c>
      <c r="AQ590" s="122">
        <v>55340</v>
      </c>
      <c r="AR590" s="122">
        <v>1198156</v>
      </c>
      <c r="AS590" s="122">
        <v>1089233</v>
      </c>
      <c r="AT590">
        <v>0</v>
      </c>
      <c r="AU590">
        <v>0</v>
      </c>
      <c r="AV590" s="122">
        <v>4037976</v>
      </c>
    </row>
    <row r="591" spans="2:48" hidden="1">
      <c r="B591" t="s">
        <v>367</v>
      </c>
      <c r="C591" t="s">
        <v>50</v>
      </c>
      <c r="D591" t="s">
        <v>406</v>
      </c>
      <c r="E591" t="s">
        <v>406</v>
      </c>
      <c r="F591" s="122">
        <v>7</v>
      </c>
      <c r="G591" s="122">
        <v>786</v>
      </c>
      <c r="H591" s="122">
        <v>654</v>
      </c>
      <c r="I591" s="122">
        <v>29705</v>
      </c>
      <c r="J591" s="122">
        <v>27004</v>
      </c>
      <c r="K591">
        <v>94</v>
      </c>
      <c r="L591" s="122">
        <v>5273</v>
      </c>
      <c r="M591" s="122">
        <v>4730</v>
      </c>
      <c r="N591" s="122">
        <v>11990</v>
      </c>
      <c r="O591" s="122">
        <v>4441</v>
      </c>
      <c r="P591" s="122">
        <v>4698</v>
      </c>
      <c r="Q591" s="122">
        <v>1740</v>
      </c>
      <c r="R591" s="122">
        <v>20682</v>
      </c>
      <c r="S591" s="122">
        <v>18802</v>
      </c>
      <c r="T591" s="122">
        <v>0</v>
      </c>
      <c r="U591" s="122">
        <v>0</v>
      </c>
      <c r="V591" s="122">
        <v>56716</v>
      </c>
      <c r="W591" s="122">
        <f t="shared" si="18"/>
        <v>56717</v>
      </c>
      <c r="X591" s="122">
        <f t="shared" si="19"/>
        <v>72348</v>
      </c>
      <c r="Y591" s="122"/>
      <c r="AA591" t="s">
        <v>56</v>
      </c>
      <c r="AB591" t="s">
        <v>406</v>
      </c>
      <c r="AC591" t="s">
        <v>431</v>
      </c>
      <c r="AD591" t="s">
        <v>406</v>
      </c>
      <c r="AE591" t="s">
        <v>137</v>
      </c>
      <c r="AF591">
        <v>177</v>
      </c>
      <c r="AG591" s="122">
        <v>17820</v>
      </c>
      <c r="AH591" s="122">
        <v>34928</v>
      </c>
      <c r="AI591" s="122">
        <v>1675426</v>
      </c>
      <c r="AJ591" s="122">
        <v>1523115</v>
      </c>
      <c r="AK591">
        <v>85</v>
      </c>
      <c r="AL591" s="122">
        <v>408698</v>
      </c>
      <c r="AM591" s="122">
        <v>371543</v>
      </c>
      <c r="AN591" s="122">
        <v>354582</v>
      </c>
      <c r="AO591" s="122">
        <v>131327</v>
      </c>
      <c r="AP591" s="122">
        <v>113325</v>
      </c>
      <c r="AQ591" s="122">
        <v>41972</v>
      </c>
      <c r="AR591" s="122">
        <v>739629</v>
      </c>
      <c r="AS591" s="122">
        <v>672390</v>
      </c>
      <c r="AT591" s="122">
        <v>266273</v>
      </c>
      <c r="AU591" s="122">
        <v>98620</v>
      </c>
      <c r="AV591" s="122">
        <v>2838966</v>
      </c>
    </row>
    <row r="592" spans="2:48" hidden="1">
      <c r="B592" t="s">
        <v>367</v>
      </c>
      <c r="C592" t="s">
        <v>50</v>
      </c>
      <c r="D592" t="s">
        <v>407</v>
      </c>
      <c r="E592" t="s">
        <v>137</v>
      </c>
      <c r="F592">
        <v>2</v>
      </c>
      <c r="G592">
        <v>298</v>
      </c>
      <c r="H592">
        <v>192</v>
      </c>
      <c r="I592" s="122">
        <v>10852</v>
      </c>
      <c r="J592" s="122">
        <v>9866</v>
      </c>
      <c r="K592">
        <v>91</v>
      </c>
      <c r="L592" s="122">
        <v>722</v>
      </c>
      <c r="M592" s="122">
        <v>602</v>
      </c>
      <c r="N592" s="122">
        <v>4430</v>
      </c>
      <c r="O592" s="122">
        <v>1641</v>
      </c>
      <c r="P592">
        <v>945</v>
      </c>
      <c r="Q592">
        <v>350</v>
      </c>
      <c r="R592" s="122">
        <v>11762</v>
      </c>
      <c r="S592" s="122">
        <v>4356</v>
      </c>
      <c r="T592" s="122">
        <v>0</v>
      </c>
      <c r="U592" s="122">
        <v>0</v>
      </c>
      <c r="V592" s="122">
        <v>16815</v>
      </c>
      <c r="W592" s="122">
        <f t="shared" si="18"/>
        <v>16815</v>
      </c>
      <c r="X592" s="122">
        <f t="shared" si="19"/>
        <v>28711</v>
      </c>
      <c r="Y592" s="122"/>
      <c r="AA592" t="s">
        <v>56</v>
      </c>
      <c r="AB592" t="s">
        <v>406</v>
      </c>
      <c r="AC592" t="s">
        <v>431</v>
      </c>
      <c r="AD592" t="s">
        <v>406</v>
      </c>
      <c r="AE592" t="s">
        <v>566</v>
      </c>
      <c r="AF592">
        <v>201</v>
      </c>
      <c r="AG592" s="122">
        <v>18471</v>
      </c>
      <c r="AH592" s="122">
        <v>38949</v>
      </c>
      <c r="AI592" s="122">
        <v>1736026</v>
      </c>
      <c r="AJ592" s="122">
        <v>1578205</v>
      </c>
      <c r="AK592">
        <v>85</v>
      </c>
      <c r="AL592" s="122">
        <v>423046</v>
      </c>
      <c r="AM592" s="122">
        <v>384588</v>
      </c>
      <c r="AN592" s="122">
        <v>355249</v>
      </c>
      <c r="AO592" s="122">
        <v>131574</v>
      </c>
      <c r="AP592" s="122">
        <v>126509</v>
      </c>
      <c r="AQ592" s="122">
        <v>46855</v>
      </c>
      <c r="AR592" s="122">
        <v>945069</v>
      </c>
      <c r="AS592" s="122">
        <v>859153</v>
      </c>
      <c r="AT592">
        <v>0</v>
      </c>
      <c r="AU592">
        <v>0</v>
      </c>
      <c r="AV592" s="122">
        <v>3000375</v>
      </c>
    </row>
    <row r="593" spans="2:48" hidden="1">
      <c r="B593" t="s">
        <v>367</v>
      </c>
      <c r="C593" t="s">
        <v>50</v>
      </c>
      <c r="D593" t="s">
        <v>407</v>
      </c>
      <c r="E593" t="s">
        <v>407</v>
      </c>
      <c r="F593">
        <v>842</v>
      </c>
      <c r="G593" s="122">
        <v>112048</v>
      </c>
      <c r="H593" s="122">
        <v>76058</v>
      </c>
      <c r="I593" s="122">
        <v>4739893</v>
      </c>
      <c r="J593" s="122">
        <v>4308994</v>
      </c>
      <c r="K593">
        <v>91</v>
      </c>
      <c r="L593" s="122">
        <v>637807</v>
      </c>
      <c r="M593" s="122">
        <v>539146</v>
      </c>
      <c r="N593" s="122">
        <v>1659181</v>
      </c>
      <c r="O593" s="122">
        <v>614511</v>
      </c>
      <c r="P593" s="122">
        <v>496690</v>
      </c>
      <c r="Q593" s="122">
        <v>183959</v>
      </c>
      <c r="R593" s="122">
        <v>2900739</v>
      </c>
      <c r="S593" s="122">
        <v>2637035</v>
      </c>
      <c r="T593" s="122">
        <v>11621</v>
      </c>
      <c r="U593" s="122">
        <v>4304</v>
      </c>
      <c r="V593" s="122">
        <v>8287950</v>
      </c>
      <c r="W593" s="122">
        <f t="shared" si="18"/>
        <v>8287949</v>
      </c>
      <c r="X593" s="122">
        <f t="shared" si="19"/>
        <v>10445931</v>
      </c>
      <c r="Y593" s="122"/>
      <c r="AA593" t="s">
        <v>56</v>
      </c>
      <c r="AB593" t="s">
        <v>406</v>
      </c>
      <c r="AC593" t="s">
        <v>426</v>
      </c>
      <c r="AD593" t="s">
        <v>578</v>
      </c>
      <c r="AE593" t="s">
        <v>137</v>
      </c>
      <c r="AF593">
        <v>1</v>
      </c>
      <c r="AG593">
        <v>84</v>
      </c>
      <c r="AH593">
        <v>185</v>
      </c>
      <c r="AI593" s="122">
        <v>6669</v>
      </c>
      <c r="AJ593" s="122">
        <v>6063</v>
      </c>
      <c r="AK593">
        <v>95</v>
      </c>
      <c r="AL593" s="122">
        <v>1215</v>
      </c>
      <c r="AM593" s="122">
        <v>1105</v>
      </c>
      <c r="AN593" s="122">
        <v>2058</v>
      </c>
      <c r="AO593">
        <v>762</v>
      </c>
      <c r="AP593">
        <v>621</v>
      </c>
      <c r="AQ593">
        <v>230</v>
      </c>
      <c r="AR593" s="122">
        <v>2660</v>
      </c>
      <c r="AS593" s="122">
        <v>2418</v>
      </c>
      <c r="AT593" s="122">
        <v>2359</v>
      </c>
      <c r="AU593">
        <v>874</v>
      </c>
      <c r="AV593" s="122">
        <v>11452</v>
      </c>
    </row>
    <row r="594" spans="2:48" hidden="1">
      <c r="B594" t="s">
        <v>367</v>
      </c>
      <c r="C594" t="s">
        <v>50</v>
      </c>
      <c r="D594" t="s">
        <v>433</v>
      </c>
      <c r="E594" t="s">
        <v>433</v>
      </c>
      <c r="F594">
        <v>1</v>
      </c>
      <c r="G594" s="122">
        <v>183</v>
      </c>
      <c r="H594" s="122">
        <v>100</v>
      </c>
      <c r="I594" s="122">
        <v>11776</v>
      </c>
      <c r="J594" s="122">
        <v>10706</v>
      </c>
      <c r="K594">
        <v>86</v>
      </c>
      <c r="L594" s="122">
        <v>1721</v>
      </c>
      <c r="M594" s="122">
        <v>1565</v>
      </c>
      <c r="N594" s="122">
        <v>3051</v>
      </c>
      <c r="O594" s="122">
        <v>1130</v>
      </c>
      <c r="P594" s="122">
        <v>351</v>
      </c>
      <c r="Q594" s="122">
        <v>130</v>
      </c>
      <c r="R594" s="122">
        <v>4071</v>
      </c>
      <c r="S594" s="122">
        <v>3701</v>
      </c>
      <c r="T594" s="122">
        <v>0</v>
      </c>
      <c r="U594" s="122">
        <v>0</v>
      </c>
      <c r="V594" s="122">
        <v>17231</v>
      </c>
      <c r="W594" s="122">
        <f t="shared" si="18"/>
        <v>17232</v>
      </c>
      <c r="X594" s="122">
        <f t="shared" si="19"/>
        <v>20970</v>
      </c>
      <c r="Y594" s="122"/>
      <c r="AA594" t="s">
        <v>56</v>
      </c>
      <c r="AB594" t="s">
        <v>406</v>
      </c>
      <c r="AC594" t="s">
        <v>426</v>
      </c>
      <c r="AD594" t="s">
        <v>578</v>
      </c>
      <c r="AE594" t="s">
        <v>566</v>
      </c>
      <c r="AF594">
        <v>1</v>
      </c>
      <c r="AG594">
        <v>135</v>
      </c>
      <c r="AH594">
        <v>172</v>
      </c>
      <c r="AI594" s="122">
        <v>10886</v>
      </c>
      <c r="AJ594" s="122">
        <v>9897</v>
      </c>
      <c r="AK594">
        <v>85</v>
      </c>
      <c r="AL594" s="122">
        <v>3254</v>
      </c>
      <c r="AM594" s="122">
        <v>2958</v>
      </c>
      <c r="AN594" s="122">
        <v>3285</v>
      </c>
      <c r="AO594" s="122">
        <v>1217</v>
      </c>
      <c r="AP594">
        <v>621</v>
      </c>
      <c r="AQ594">
        <v>230</v>
      </c>
      <c r="AR594" s="122">
        <v>5187</v>
      </c>
      <c r="AS594" s="122">
        <v>4716</v>
      </c>
      <c r="AT594">
        <v>0</v>
      </c>
      <c r="AU594">
        <v>0</v>
      </c>
      <c r="AV594" s="122">
        <v>19018</v>
      </c>
    </row>
    <row r="595" spans="2:48" hidden="1">
      <c r="B595" t="s">
        <v>367</v>
      </c>
      <c r="C595" t="s">
        <v>52</v>
      </c>
      <c r="F595">
        <v>7</v>
      </c>
      <c r="G595">
        <v>723</v>
      </c>
      <c r="H595">
        <v>825</v>
      </c>
      <c r="I595" s="122"/>
      <c r="J595" s="122">
        <v>0</v>
      </c>
      <c r="L595" s="122"/>
      <c r="M595" s="122">
        <v>0</v>
      </c>
      <c r="N595" s="122">
        <v>12716</v>
      </c>
      <c r="O595" s="122">
        <v>4710</v>
      </c>
      <c r="P595" s="122">
        <v>3364</v>
      </c>
      <c r="Q595" s="122">
        <v>1246</v>
      </c>
      <c r="R595" s="122"/>
      <c r="S595" s="122">
        <v>0</v>
      </c>
      <c r="T595" s="122">
        <v>0</v>
      </c>
      <c r="U595">
        <v>0</v>
      </c>
      <c r="V595" s="122">
        <v>5956</v>
      </c>
      <c r="W595" s="122">
        <f t="shared" si="18"/>
        <v>5956</v>
      </c>
      <c r="X595" s="122">
        <f t="shared" si="19"/>
        <v>16080</v>
      </c>
      <c r="Y595" s="122"/>
      <c r="AA595" t="s">
        <v>56</v>
      </c>
      <c r="AB595" t="s">
        <v>406</v>
      </c>
      <c r="AC595" t="s">
        <v>426</v>
      </c>
      <c r="AD595" t="s">
        <v>425</v>
      </c>
      <c r="AE595" t="s">
        <v>137</v>
      </c>
      <c r="AF595">
        <v>7</v>
      </c>
      <c r="AG595">
        <v>694</v>
      </c>
      <c r="AH595" s="122">
        <v>1426</v>
      </c>
      <c r="AI595" s="122">
        <v>65634</v>
      </c>
      <c r="AJ595" s="122">
        <v>59667</v>
      </c>
      <c r="AK595">
        <v>88</v>
      </c>
      <c r="AL595" s="122">
        <v>17053</v>
      </c>
      <c r="AM595" s="122">
        <v>15502</v>
      </c>
      <c r="AN595" s="122">
        <v>13246</v>
      </c>
      <c r="AO595" s="122">
        <v>4906</v>
      </c>
      <c r="AP595" s="122">
        <v>4347</v>
      </c>
      <c r="AQ595" s="122">
        <v>1610</v>
      </c>
      <c r="AR595" s="122">
        <v>24609</v>
      </c>
      <c r="AS595" s="122">
        <v>22372</v>
      </c>
      <c r="AT595" s="122">
        <v>16466</v>
      </c>
      <c r="AU595" s="122">
        <v>6098</v>
      </c>
      <c r="AV595" s="122">
        <v>110156</v>
      </c>
    </row>
    <row r="596" spans="2:48" hidden="1">
      <c r="B596" t="s">
        <v>367</v>
      </c>
      <c r="C596" t="s">
        <v>52</v>
      </c>
      <c r="D596" t="s">
        <v>405</v>
      </c>
      <c r="E596" t="s">
        <v>405</v>
      </c>
      <c r="F596">
        <v>5</v>
      </c>
      <c r="G596" s="122">
        <v>684</v>
      </c>
      <c r="H596" s="122">
        <v>573</v>
      </c>
      <c r="I596" s="122">
        <v>39818</v>
      </c>
      <c r="J596" s="122">
        <v>36198</v>
      </c>
      <c r="K596">
        <v>92</v>
      </c>
      <c r="L596" s="122">
        <v>5937</v>
      </c>
      <c r="M596" s="122">
        <v>5194</v>
      </c>
      <c r="N596" s="122">
        <v>9757</v>
      </c>
      <c r="O596" s="122">
        <v>3614</v>
      </c>
      <c r="P596" s="122">
        <v>2363</v>
      </c>
      <c r="Q596" s="122">
        <v>875</v>
      </c>
      <c r="R596" s="122">
        <v>20280</v>
      </c>
      <c r="S596" s="122">
        <v>18436</v>
      </c>
      <c r="T596" s="122">
        <v>3206</v>
      </c>
      <c r="U596" s="122">
        <v>1188</v>
      </c>
      <c r="V596" s="122">
        <v>65504</v>
      </c>
      <c r="W596" s="122">
        <f t="shared" si="18"/>
        <v>65505</v>
      </c>
      <c r="X596" s="122">
        <f t="shared" si="19"/>
        <v>81361</v>
      </c>
      <c r="Y596" s="122"/>
      <c r="AA596" t="s">
        <v>56</v>
      </c>
      <c r="AB596" t="s">
        <v>406</v>
      </c>
      <c r="AC596" t="s">
        <v>426</v>
      </c>
      <c r="AD596" t="s">
        <v>425</v>
      </c>
      <c r="AE596" t="s">
        <v>566</v>
      </c>
      <c r="AF596">
        <v>5</v>
      </c>
      <c r="AG596">
        <v>462</v>
      </c>
      <c r="AH596">
        <v>995</v>
      </c>
      <c r="AI596" s="122">
        <v>46461</v>
      </c>
      <c r="AJ596" s="122">
        <v>42238</v>
      </c>
      <c r="AK596">
        <v>86</v>
      </c>
      <c r="AL596" s="122">
        <v>8128</v>
      </c>
      <c r="AM596" s="122">
        <v>7389</v>
      </c>
      <c r="AN596" s="122">
        <v>9251</v>
      </c>
      <c r="AO596" s="122">
        <v>3426</v>
      </c>
      <c r="AP596" s="122">
        <v>3105</v>
      </c>
      <c r="AQ596" s="122">
        <v>1150</v>
      </c>
      <c r="AR596" s="122">
        <v>23431</v>
      </c>
      <c r="AS596" s="122">
        <v>21301</v>
      </c>
      <c r="AT596">
        <v>0</v>
      </c>
      <c r="AU596">
        <v>0</v>
      </c>
      <c r="AV596" s="122">
        <v>75504</v>
      </c>
    </row>
    <row r="597" spans="2:48" hidden="1">
      <c r="B597" t="s">
        <v>367</v>
      </c>
      <c r="C597" t="s">
        <v>52</v>
      </c>
      <c r="D597" t="s">
        <v>137</v>
      </c>
      <c r="E597" t="s">
        <v>137</v>
      </c>
      <c r="F597">
        <v>60</v>
      </c>
      <c r="G597" s="122">
        <v>7851</v>
      </c>
      <c r="H597" s="122">
        <v>6710</v>
      </c>
      <c r="I597" s="122">
        <v>310810</v>
      </c>
      <c r="J597" s="122">
        <v>115115</v>
      </c>
      <c r="K597">
        <v>360</v>
      </c>
      <c r="L597" s="122">
        <v>93594</v>
      </c>
      <c r="M597" s="122">
        <v>75359</v>
      </c>
      <c r="N597" s="122">
        <v>133039</v>
      </c>
      <c r="O597" s="122">
        <v>49274</v>
      </c>
      <c r="P597" s="122">
        <v>48064</v>
      </c>
      <c r="Q597" s="122">
        <v>17801</v>
      </c>
      <c r="R597" s="122">
        <v>311053</v>
      </c>
      <c r="S597" s="122">
        <v>115205</v>
      </c>
      <c r="T597" s="122">
        <v>0</v>
      </c>
      <c r="U597" s="122">
        <v>0</v>
      </c>
      <c r="V597" s="122">
        <v>372754</v>
      </c>
      <c r="W597" s="122">
        <f t="shared" si="18"/>
        <v>372754</v>
      </c>
      <c r="X597" s="122">
        <f t="shared" si="19"/>
        <v>896560</v>
      </c>
      <c r="Y597" s="122"/>
      <c r="AA597" t="s">
        <v>56</v>
      </c>
      <c r="AB597" t="s">
        <v>406</v>
      </c>
      <c r="AC597" t="s">
        <v>426</v>
      </c>
      <c r="AD597" t="s">
        <v>405</v>
      </c>
      <c r="AE597" t="s">
        <v>566</v>
      </c>
      <c r="AF597">
        <v>1</v>
      </c>
      <c r="AG597">
        <v>85</v>
      </c>
      <c r="AH597">
        <v>182</v>
      </c>
      <c r="AI597" s="122">
        <v>6286</v>
      </c>
      <c r="AJ597" s="122">
        <v>5714</v>
      </c>
      <c r="AK597">
        <v>83</v>
      </c>
      <c r="AL597">
        <v>848</v>
      </c>
      <c r="AM597">
        <v>771</v>
      </c>
      <c r="AN597" s="122">
        <v>1957</v>
      </c>
      <c r="AO597">
        <v>725</v>
      </c>
      <c r="AP597">
        <v>972</v>
      </c>
      <c r="AQ597">
        <v>360</v>
      </c>
      <c r="AR597" s="122">
        <v>5400</v>
      </c>
      <c r="AS597" s="122">
        <v>4910</v>
      </c>
      <c r="AT597">
        <v>0</v>
      </c>
      <c r="AU597">
        <v>0</v>
      </c>
      <c r="AV597" s="122">
        <v>12479</v>
      </c>
    </row>
    <row r="598" spans="2:48" hidden="1">
      <c r="B598" t="s">
        <v>367</v>
      </c>
      <c r="C598" t="s">
        <v>52</v>
      </c>
      <c r="D598" t="s">
        <v>137</v>
      </c>
      <c r="E598" t="s">
        <v>407</v>
      </c>
      <c r="F598">
        <v>1</v>
      </c>
      <c r="G598" s="122">
        <v>118</v>
      </c>
      <c r="H598" s="122">
        <v>109</v>
      </c>
      <c r="I598" s="122">
        <v>7426</v>
      </c>
      <c r="J598" s="122">
        <v>2750</v>
      </c>
      <c r="K598">
        <v>296</v>
      </c>
      <c r="L598" s="122">
        <v>0</v>
      </c>
      <c r="M598" s="122">
        <v>0</v>
      </c>
      <c r="N598" s="122">
        <v>2113</v>
      </c>
      <c r="O598" s="122">
        <v>783</v>
      </c>
      <c r="P598" s="122">
        <v>351</v>
      </c>
      <c r="Q598" s="122">
        <v>130</v>
      </c>
      <c r="R598" s="122">
        <v>2992</v>
      </c>
      <c r="S598" s="122">
        <v>2720</v>
      </c>
      <c r="T598" s="122">
        <v>0</v>
      </c>
      <c r="U598" s="122">
        <v>0</v>
      </c>
      <c r="V598" s="122">
        <v>6383</v>
      </c>
      <c r="W598" s="122">
        <f t="shared" si="18"/>
        <v>6383</v>
      </c>
      <c r="X598" s="122">
        <f t="shared" si="19"/>
        <v>12882</v>
      </c>
      <c r="Y598" s="122"/>
      <c r="AA598" t="s">
        <v>56</v>
      </c>
      <c r="AB598" t="s">
        <v>406</v>
      </c>
      <c r="AC598" t="s">
        <v>426</v>
      </c>
      <c r="AD598" t="s">
        <v>137</v>
      </c>
      <c r="AE598" t="s">
        <v>137</v>
      </c>
      <c r="AF598">
        <v>20</v>
      </c>
      <c r="AG598" s="122">
        <v>2050</v>
      </c>
      <c r="AH598" s="122">
        <v>4050</v>
      </c>
      <c r="AI598" s="122">
        <v>226304</v>
      </c>
      <c r="AJ598" s="122">
        <v>205730</v>
      </c>
      <c r="AK598">
        <v>86</v>
      </c>
      <c r="AL598" s="122">
        <v>66798</v>
      </c>
      <c r="AM598" s="122">
        <v>60726</v>
      </c>
      <c r="AN598" s="122">
        <v>57112</v>
      </c>
      <c r="AO598" s="122">
        <v>21153</v>
      </c>
      <c r="AP598" s="122">
        <v>12420</v>
      </c>
      <c r="AQ598" s="122">
        <v>4600</v>
      </c>
      <c r="AR598" s="122">
        <v>121735</v>
      </c>
      <c r="AS598" s="122">
        <v>45087</v>
      </c>
      <c r="AT598" s="122">
        <v>3692</v>
      </c>
      <c r="AU598" s="122">
        <v>1367</v>
      </c>
      <c r="AV598" s="122">
        <v>338663</v>
      </c>
    </row>
    <row r="599" spans="2:48" hidden="1">
      <c r="B599" t="s">
        <v>367</v>
      </c>
      <c r="C599" t="s">
        <v>52</v>
      </c>
      <c r="D599" t="s">
        <v>406</v>
      </c>
      <c r="E599" t="s">
        <v>406</v>
      </c>
      <c r="F599">
        <v>30</v>
      </c>
      <c r="G599" s="122">
        <v>3746</v>
      </c>
      <c r="H599" s="122">
        <v>3530</v>
      </c>
      <c r="I599" s="122">
        <v>223331</v>
      </c>
      <c r="J599" s="122">
        <v>203028</v>
      </c>
      <c r="K599">
        <v>94</v>
      </c>
      <c r="L599" s="122">
        <v>35992</v>
      </c>
      <c r="M599" s="122">
        <v>27859</v>
      </c>
      <c r="N599" s="122">
        <v>57700</v>
      </c>
      <c r="O599" s="122">
        <v>21370</v>
      </c>
      <c r="P599" s="122">
        <v>19076</v>
      </c>
      <c r="Q599" s="122">
        <v>7065</v>
      </c>
      <c r="R599" s="122">
        <v>109975</v>
      </c>
      <c r="S599" s="122">
        <v>99977</v>
      </c>
      <c r="T599" s="122">
        <v>2837</v>
      </c>
      <c r="U599" s="122">
        <v>1051</v>
      </c>
      <c r="V599" s="122">
        <v>360351</v>
      </c>
      <c r="W599" s="122">
        <f t="shared" si="18"/>
        <v>360350</v>
      </c>
      <c r="X599" s="122">
        <f t="shared" si="19"/>
        <v>448911</v>
      </c>
      <c r="Y599" s="122"/>
      <c r="AA599" t="s">
        <v>56</v>
      </c>
      <c r="AB599" t="s">
        <v>406</v>
      </c>
      <c r="AC599" t="s">
        <v>426</v>
      </c>
      <c r="AD599" t="s">
        <v>137</v>
      </c>
      <c r="AE599" t="s">
        <v>566</v>
      </c>
      <c r="AF599">
        <v>62</v>
      </c>
      <c r="AG599" s="122">
        <v>6826</v>
      </c>
      <c r="AH599" s="122">
        <v>12011</v>
      </c>
      <c r="AI599" s="122">
        <v>594173</v>
      </c>
      <c r="AJ599" s="122">
        <v>540157</v>
      </c>
      <c r="AK599">
        <v>85</v>
      </c>
      <c r="AL599" s="122">
        <v>153978</v>
      </c>
      <c r="AM599" s="122">
        <v>139980</v>
      </c>
      <c r="AN599" s="122">
        <v>150971</v>
      </c>
      <c r="AO599" s="122">
        <v>55915</v>
      </c>
      <c r="AP599" s="122">
        <v>38853</v>
      </c>
      <c r="AQ599" s="122">
        <v>14390</v>
      </c>
      <c r="AR599" s="122">
        <v>382531</v>
      </c>
      <c r="AS599" s="122">
        <v>141678</v>
      </c>
      <c r="AT599">
        <v>0</v>
      </c>
      <c r="AU599">
        <v>0</v>
      </c>
      <c r="AV599" s="122">
        <v>892120</v>
      </c>
    </row>
    <row r="600" spans="2:48" hidden="1">
      <c r="B600" t="s">
        <v>367</v>
      </c>
      <c r="C600" t="s">
        <v>52</v>
      </c>
      <c r="D600" t="s">
        <v>406</v>
      </c>
      <c r="E600" t="s">
        <v>407</v>
      </c>
      <c r="F600">
        <v>1</v>
      </c>
      <c r="G600">
        <v>83</v>
      </c>
      <c r="H600" s="122">
        <v>121</v>
      </c>
      <c r="I600" s="122">
        <v>3627</v>
      </c>
      <c r="J600" s="122">
        <v>3297</v>
      </c>
      <c r="K600">
        <v>95</v>
      </c>
      <c r="L600" s="122">
        <v>759</v>
      </c>
      <c r="M600" s="122">
        <v>633</v>
      </c>
      <c r="N600" s="122">
        <v>1482</v>
      </c>
      <c r="O600" s="122">
        <v>549</v>
      </c>
      <c r="P600">
        <v>621</v>
      </c>
      <c r="Q600">
        <v>230</v>
      </c>
      <c r="R600" s="122">
        <v>3511</v>
      </c>
      <c r="S600" s="122">
        <v>3192</v>
      </c>
      <c r="T600" s="122">
        <v>0</v>
      </c>
      <c r="U600">
        <v>0</v>
      </c>
      <c r="V600" s="122">
        <v>7901</v>
      </c>
      <c r="W600" s="122">
        <f t="shared" si="18"/>
        <v>7901</v>
      </c>
      <c r="X600" s="122">
        <f t="shared" si="19"/>
        <v>10000</v>
      </c>
      <c r="Y600" s="122"/>
      <c r="AA600" t="s">
        <v>56</v>
      </c>
      <c r="AB600" t="s">
        <v>406</v>
      </c>
      <c r="AC600" t="s">
        <v>426</v>
      </c>
      <c r="AD600" t="s">
        <v>406</v>
      </c>
      <c r="AE600" t="s">
        <v>137</v>
      </c>
      <c r="AF600" s="122">
        <v>18706</v>
      </c>
      <c r="AG600" s="122">
        <v>1928261</v>
      </c>
      <c r="AH600" s="122">
        <v>3647219</v>
      </c>
      <c r="AI600" s="122">
        <v>173800898</v>
      </c>
      <c r="AJ600" s="122">
        <v>158000816</v>
      </c>
      <c r="AK600">
        <v>85</v>
      </c>
      <c r="AL600" s="122">
        <v>43347580</v>
      </c>
      <c r="AM600" s="122">
        <v>39406890</v>
      </c>
      <c r="AN600" s="122">
        <v>38014288</v>
      </c>
      <c r="AO600" s="122">
        <v>14079365</v>
      </c>
      <c r="AP600" s="122">
        <v>11843514</v>
      </c>
      <c r="AQ600" s="122">
        <v>4386487</v>
      </c>
      <c r="AR600" s="122">
        <v>73458346</v>
      </c>
      <c r="AS600" s="122">
        <v>66780313</v>
      </c>
      <c r="AT600" s="122">
        <v>38938074</v>
      </c>
      <c r="AU600" s="122">
        <v>14421509</v>
      </c>
      <c r="AV600" s="122">
        <v>297075380</v>
      </c>
    </row>
    <row r="601" spans="2:48" hidden="1">
      <c r="B601" t="s">
        <v>367</v>
      </c>
      <c r="C601" t="s">
        <v>52</v>
      </c>
      <c r="D601" t="s">
        <v>407</v>
      </c>
      <c r="E601" t="s">
        <v>137</v>
      </c>
      <c r="F601">
        <v>6</v>
      </c>
      <c r="G601" s="122">
        <v>920</v>
      </c>
      <c r="H601" s="122">
        <v>692</v>
      </c>
      <c r="I601" s="122">
        <v>58601</v>
      </c>
      <c r="J601" s="122">
        <v>53274</v>
      </c>
      <c r="K601">
        <v>117</v>
      </c>
      <c r="L601" s="122">
        <v>12880</v>
      </c>
      <c r="M601" s="122">
        <v>11036</v>
      </c>
      <c r="N601" s="122">
        <v>15294</v>
      </c>
      <c r="O601" s="122">
        <v>5665</v>
      </c>
      <c r="P601" s="122">
        <v>2835</v>
      </c>
      <c r="Q601" s="122">
        <v>1050</v>
      </c>
      <c r="R601" s="122">
        <v>21435</v>
      </c>
      <c r="S601" s="122">
        <v>7939</v>
      </c>
      <c r="T601" s="122">
        <v>0</v>
      </c>
      <c r="U601" s="122">
        <v>0</v>
      </c>
      <c r="V601" s="122">
        <v>78963</v>
      </c>
      <c r="W601" s="122">
        <f t="shared" si="18"/>
        <v>78964</v>
      </c>
      <c r="X601" s="122">
        <f t="shared" si="19"/>
        <v>111045</v>
      </c>
      <c r="Y601" s="122"/>
      <c r="AA601" t="s">
        <v>56</v>
      </c>
      <c r="AB601" t="s">
        <v>406</v>
      </c>
      <c r="AC601" t="s">
        <v>426</v>
      </c>
      <c r="AD601" t="s">
        <v>406</v>
      </c>
      <c r="AE601" t="s">
        <v>566</v>
      </c>
      <c r="AF601" s="122">
        <v>16688</v>
      </c>
      <c r="AG601" s="122">
        <v>1666559</v>
      </c>
      <c r="AH601" s="122">
        <v>3089819</v>
      </c>
      <c r="AI601" s="122">
        <v>146984000</v>
      </c>
      <c r="AJ601" s="122">
        <v>133621818</v>
      </c>
      <c r="AK601">
        <v>86</v>
      </c>
      <c r="AL601" s="122">
        <v>37771346</v>
      </c>
      <c r="AM601" s="122">
        <v>34337586</v>
      </c>
      <c r="AN601" s="122">
        <v>32563515</v>
      </c>
      <c r="AO601" s="122">
        <v>12060561</v>
      </c>
      <c r="AP601" s="122">
        <v>10759967</v>
      </c>
      <c r="AQ601" s="122">
        <v>3985173</v>
      </c>
      <c r="AR601" s="122">
        <v>82036904</v>
      </c>
      <c r="AS601" s="122">
        <v>74579003</v>
      </c>
      <c r="AT601">
        <v>0</v>
      </c>
      <c r="AU601">
        <v>0</v>
      </c>
      <c r="AV601" s="122">
        <v>258584141</v>
      </c>
    </row>
    <row r="602" spans="2:48" hidden="1">
      <c r="B602" t="s">
        <v>367</v>
      </c>
      <c r="C602" t="s">
        <v>52</v>
      </c>
      <c r="D602" t="s">
        <v>407</v>
      </c>
      <c r="E602" t="s">
        <v>406</v>
      </c>
      <c r="F602">
        <v>1</v>
      </c>
      <c r="G602" s="122">
        <v>125</v>
      </c>
      <c r="H602" s="122">
        <v>112</v>
      </c>
      <c r="I602" s="122">
        <v>7827</v>
      </c>
      <c r="J602" s="122">
        <v>7115</v>
      </c>
      <c r="K602">
        <v>91</v>
      </c>
      <c r="L602" s="122">
        <v>1433</v>
      </c>
      <c r="M602" s="122">
        <v>1302</v>
      </c>
      <c r="N602" s="122">
        <v>1525</v>
      </c>
      <c r="O602" s="122">
        <v>565</v>
      </c>
      <c r="P602" s="122">
        <v>473</v>
      </c>
      <c r="Q602" s="122">
        <v>175</v>
      </c>
      <c r="R602" s="122">
        <v>2802</v>
      </c>
      <c r="S602" s="122">
        <v>2547</v>
      </c>
      <c r="T602" s="122">
        <v>0</v>
      </c>
      <c r="U602" s="122">
        <v>0</v>
      </c>
      <c r="V602" s="122">
        <v>11705</v>
      </c>
      <c r="W602" s="122">
        <f t="shared" si="18"/>
        <v>11704</v>
      </c>
      <c r="X602" s="122">
        <f t="shared" si="19"/>
        <v>14060</v>
      </c>
      <c r="Y602" s="122"/>
      <c r="AA602" t="s">
        <v>56</v>
      </c>
      <c r="AB602" t="s">
        <v>406</v>
      </c>
      <c r="AC602" t="s">
        <v>426</v>
      </c>
      <c r="AD602" t="s">
        <v>427</v>
      </c>
      <c r="AE602" t="s">
        <v>137</v>
      </c>
      <c r="AF602">
        <v>6</v>
      </c>
      <c r="AG602">
        <v>541</v>
      </c>
      <c r="AH602" s="122">
        <v>1147</v>
      </c>
      <c r="AI602" s="122">
        <v>47242</v>
      </c>
      <c r="AJ602" s="122">
        <v>42948</v>
      </c>
      <c r="AK602">
        <v>89</v>
      </c>
      <c r="AL602" s="122">
        <v>9730</v>
      </c>
      <c r="AM602" s="122">
        <v>8845</v>
      </c>
      <c r="AN602" s="122">
        <v>9979</v>
      </c>
      <c r="AO602" s="122">
        <v>3696</v>
      </c>
      <c r="AP602" s="122">
        <v>3456</v>
      </c>
      <c r="AQ602" s="122">
        <v>1280</v>
      </c>
      <c r="AR602" s="122">
        <v>23414</v>
      </c>
      <c r="AS602" s="122">
        <v>21285</v>
      </c>
      <c r="AT602" s="122">
        <v>9730</v>
      </c>
      <c r="AU602" s="122">
        <v>3604</v>
      </c>
      <c r="AV602" s="122">
        <v>81658</v>
      </c>
    </row>
    <row r="603" spans="2:48" hidden="1">
      <c r="B603" t="s">
        <v>367</v>
      </c>
      <c r="C603" t="s">
        <v>52</v>
      </c>
      <c r="D603" t="s">
        <v>407</v>
      </c>
      <c r="E603" t="s">
        <v>407</v>
      </c>
      <c r="F603" s="122">
        <v>2670</v>
      </c>
      <c r="G603" s="122">
        <v>333614</v>
      </c>
      <c r="H603" s="122">
        <v>309120</v>
      </c>
      <c r="I603" s="122">
        <v>18664544</v>
      </c>
      <c r="J603" s="122">
        <v>16967767</v>
      </c>
      <c r="K603">
        <v>89</v>
      </c>
      <c r="L603" s="122">
        <v>2854147</v>
      </c>
      <c r="M603" s="122">
        <v>2421725</v>
      </c>
      <c r="N603" s="122">
        <v>5583622</v>
      </c>
      <c r="O603" s="122">
        <v>2068008</v>
      </c>
      <c r="P603" s="122">
        <v>1399973</v>
      </c>
      <c r="Q603" s="122">
        <v>518509</v>
      </c>
      <c r="R603" s="122">
        <v>10934378</v>
      </c>
      <c r="S603" s="122">
        <v>9940344</v>
      </c>
      <c r="T603" s="122">
        <v>136710</v>
      </c>
      <c r="U603" s="122">
        <v>50633</v>
      </c>
      <c r="V603" s="122">
        <v>31966986</v>
      </c>
      <c r="W603" s="122">
        <f t="shared" si="18"/>
        <v>31966986</v>
      </c>
      <c r="X603" s="122">
        <f t="shared" si="19"/>
        <v>39573374</v>
      </c>
      <c r="Y603" s="122"/>
      <c r="AA603" t="s">
        <v>56</v>
      </c>
      <c r="AB603" t="s">
        <v>406</v>
      </c>
      <c r="AC603" t="s">
        <v>426</v>
      </c>
      <c r="AD603" t="s">
        <v>427</v>
      </c>
      <c r="AE603" t="s">
        <v>566</v>
      </c>
      <c r="AF603">
        <v>5</v>
      </c>
      <c r="AG603">
        <v>547</v>
      </c>
      <c r="AH603" s="122">
        <v>1054</v>
      </c>
      <c r="AI603" s="122">
        <v>61237</v>
      </c>
      <c r="AJ603" s="122">
        <v>55670</v>
      </c>
      <c r="AK603">
        <v>82</v>
      </c>
      <c r="AL603" s="122">
        <v>13670</v>
      </c>
      <c r="AM603" s="122">
        <v>12428</v>
      </c>
      <c r="AN603" s="122">
        <v>9035</v>
      </c>
      <c r="AO603" s="122">
        <v>3346</v>
      </c>
      <c r="AP603" s="122">
        <v>3105</v>
      </c>
      <c r="AQ603" s="122">
        <v>1150</v>
      </c>
      <c r="AR603" s="122">
        <v>28539</v>
      </c>
      <c r="AS603" s="122">
        <v>25945</v>
      </c>
      <c r="AT603">
        <v>0</v>
      </c>
      <c r="AU603">
        <v>0</v>
      </c>
      <c r="AV603" s="122">
        <v>98539</v>
      </c>
    </row>
    <row r="604" spans="2:48" hidden="1">
      <c r="B604" t="s">
        <v>367</v>
      </c>
      <c r="C604" t="s">
        <v>52</v>
      </c>
      <c r="D604" t="s">
        <v>408</v>
      </c>
      <c r="E604" t="s">
        <v>408</v>
      </c>
      <c r="F604">
        <v>1</v>
      </c>
      <c r="G604">
        <v>175</v>
      </c>
      <c r="H604" s="122">
        <v>115</v>
      </c>
      <c r="I604" s="122">
        <v>16558</v>
      </c>
      <c r="J604" s="122">
        <v>15052</v>
      </c>
      <c r="K604">
        <v>94</v>
      </c>
      <c r="L604" s="122">
        <v>1977</v>
      </c>
      <c r="M604" s="122">
        <v>1797</v>
      </c>
      <c r="N604" s="122">
        <v>2278</v>
      </c>
      <c r="O604" s="122">
        <v>844</v>
      </c>
      <c r="P604" s="122">
        <v>1053</v>
      </c>
      <c r="Q604">
        <v>390</v>
      </c>
      <c r="R604" s="122">
        <v>-408</v>
      </c>
      <c r="S604" s="122">
        <v>-371</v>
      </c>
      <c r="T604" s="122">
        <v>0</v>
      </c>
      <c r="U604" s="122">
        <v>0</v>
      </c>
      <c r="V604" s="122">
        <v>17713</v>
      </c>
      <c r="W604" s="122">
        <f t="shared" si="18"/>
        <v>18454</v>
      </c>
      <c r="X604" s="122">
        <f t="shared" si="19"/>
        <v>22274</v>
      </c>
      <c r="Y604" s="122"/>
      <c r="AA604" t="s">
        <v>56</v>
      </c>
      <c r="AB604" t="s">
        <v>406</v>
      </c>
      <c r="AC604" t="s">
        <v>426</v>
      </c>
      <c r="AD604" t="s">
        <v>407</v>
      </c>
      <c r="AE604" t="s">
        <v>137</v>
      </c>
      <c r="AF604">
        <v>5</v>
      </c>
      <c r="AG604">
        <v>534</v>
      </c>
      <c r="AH604" s="122">
        <v>1046</v>
      </c>
      <c r="AI604" s="122">
        <v>56953</v>
      </c>
      <c r="AJ604" s="122">
        <v>51776</v>
      </c>
      <c r="AK604">
        <v>84</v>
      </c>
      <c r="AL604" s="122">
        <v>10184</v>
      </c>
      <c r="AM604" s="122">
        <v>9258</v>
      </c>
      <c r="AN604" s="122">
        <v>10394</v>
      </c>
      <c r="AO604" s="122">
        <v>3849</v>
      </c>
      <c r="AP604" s="122">
        <v>2835</v>
      </c>
      <c r="AQ604" s="122">
        <v>1050</v>
      </c>
      <c r="AR604" s="122">
        <v>17749</v>
      </c>
      <c r="AS604" s="122">
        <v>16135</v>
      </c>
      <c r="AT604" s="122">
        <v>13324</v>
      </c>
      <c r="AU604" s="122">
        <v>4935</v>
      </c>
      <c r="AV604" s="122">
        <v>87003</v>
      </c>
    </row>
    <row r="605" spans="2:48" hidden="1">
      <c r="B605" t="s">
        <v>367</v>
      </c>
      <c r="C605" t="s">
        <v>52</v>
      </c>
      <c r="D605" t="s">
        <v>408</v>
      </c>
      <c r="E605" t="s">
        <v>429</v>
      </c>
      <c r="F605">
        <v>2</v>
      </c>
      <c r="G605" s="122">
        <v>219</v>
      </c>
      <c r="H605">
        <v>229</v>
      </c>
      <c r="I605" s="122">
        <v>11766</v>
      </c>
      <c r="J605" s="122">
        <v>10696</v>
      </c>
      <c r="K605">
        <v>88</v>
      </c>
      <c r="L605" s="122">
        <v>1187</v>
      </c>
      <c r="M605" s="122">
        <v>1079</v>
      </c>
      <c r="N605" s="122">
        <v>2674</v>
      </c>
      <c r="O605" s="122">
        <v>990</v>
      </c>
      <c r="P605" s="122">
        <v>1912</v>
      </c>
      <c r="Q605">
        <v>708</v>
      </c>
      <c r="R605" s="122">
        <v>7161</v>
      </c>
      <c r="S605" s="122">
        <v>6510</v>
      </c>
      <c r="T605" s="122">
        <v>0</v>
      </c>
      <c r="U605">
        <v>0</v>
      </c>
      <c r="V605" s="122">
        <v>19983</v>
      </c>
      <c r="W605" s="122">
        <f t="shared" si="18"/>
        <v>19983</v>
      </c>
      <c r="X605" s="122">
        <f t="shared" si="19"/>
        <v>24700</v>
      </c>
      <c r="Y605" s="122"/>
      <c r="AA605" t="s">
        <v>56</v>
      </c>
      <c r="AB605" t="s">
        <v>406</v>
      </c>
      <c r="AC605" t="s">
        <v>426</v>
      </c>
      <c r="AD605" t="s">
        <v>407</v>
      </c>
      <c r="AE605" t="s">
        <v>566</v>
      </c>
      <c r="AF605">
        <v>1</v>
      </c>
      <c r="AG605">
        <v>123</v>
      </c>
      <c r="AH605">
        <v>179</v>
      </c>
      <c r="AI605" s="122">
        <v>11067</v>
      </c>
      <c r="AJ605" s="122">
        <v>10061</v>
      </c>
      <c r="AK605">
        <v>86</v>
      </c>
      <c r="AL605" s="122">
        <v>3509</v>
      </c>
      <c r="AM605" s="122">
        <v>3190</v>
      </c>
      <c r="AN605" s="122">
        <v>1980</v>
      </c>
      <c r="AO605">
        <v>733</v>
      </c>
      <c r="AP605">
        <v>621</v>
      </c>
      <c r="AQ605">
        <v>230</v>
      </c>
      <c r="AR605" s="122">
        <v>4889</v>
      </c>
      <c r="AS605" s="122">
        <v>4445</v>
      </c>
      <c r="AT605">
        <v>0</v>
      </c>
      <c r="AU605">
        <v>0</v>
      </c>
      <c r="AV605" s="122">
        <v>18659</v>
      </c>
    </row>
    <row r="606" spans="2:48" hidden="1">
      <c r="B606" t="s">
        <v>367</v>
      </c>
      <c r="C606" t="s">
        <v>54</v>
      </c>
      <c r="F606">
        <v>3</v>
      </c>
      <c r="G606" s="122">
        <v>305</v>
      </c>
      <c r="H606" s="122">
        <v>395</v>
      </c>
      <c r="I606" s="122"/>
      <c r="J606" s="122">
        <v>0</v>
      </c>
      <c r="L606" s="122"/>
      <c r="M606" s="122">
        <v>0</v>
      </c>
      <c r="N606" s="122">
        <v>7301</v>
      </c>
      <c r="O606" s="122">
        <v>2704</v>
      </c>
      <c r="P606" s="122">
        <v>0</v>
      </c>
      <c r="Q606" s="122">
        <v>0</v>
      </c>
      <c r="R606" s="122"/>
      <c r="S606" s="122">
        <v>0</v>
      </c>
      <c r="T606">
        <v>0</v>
      </c>
      <c r="U606">
        <v>0</v>
      </c>
      <c r="V606" s="122">
        <v>2704</v>
      </c>
      <c r="W606" s="122">
        <f t="shared" si="18"/>
        <v>2704</v>
      </c>
      <c r="X606" s="122">
        <f t="shared" si="19"/>
        <v>7301</v>
      </c>
      <c r="Y606" s="122"/>
      <c r="AA606" t="s">
        <v>56</v>
      </c>
      <c r="AB606" t="s">
        <v>406</v>
      </c>
      <c r="AC606" t="s">
        <v>426</v>
      </c>
      <c r="AD606" t="s">
        <v>579</v>
      </c>
      <c r="AE606" t="s">
        <v>137</v>
      </c>
      <c r="AF606">
        <v>2</v>
      </c>
      <c r="AG606">
        <v>192</v>
      </c>
      <c r="AH606">
        <v>420</v>
      </c>
      <c r="AI606" s="122">
        <v>19127</v>
      </c>
      <c r="AJ606" s="122">
        <v>17389</v>
      </c>
      <c r="AK606">
        <v>85</v>
      </c>
      <c r="AL606" s="122">
        <v>5738</v>
      </c>
      <c r="AM606" s="122">
        <v>5217</v>
      </c>
      <c r="AN606" s="122">
        <v>3376</v>
      </c>
      <c r="AO606" s="122">
        <v>1250</v>
      </c>
      <c r="AP606" s="122">
        <v>1242</v>
      </c>
      <c r="AQ606">
        <v>460</v>
      </c>
      <c r="AR606" s="122">
        <v>6307</v>
      </c>
      <c r="AS606" s="122">
        <v>5256</v>
      </c>
      <c r="AT606" s="122">
        <v>4577</v>
      </c>
      <c r="AU606" s="122">
        <v>1695</v>
      </c>
      <c r="AV606" s="122">
        <v>31267</v>
      </c>
    </row>
    <row r="607" spans="2:48" hidden="1">
      <c r="B607" t="s">
        <v>367</v>
      </c>
      <c r="C607" t="s">
        <v>54</v>
      </c>
      <c r="D607" t="s">
        <v>405</v>
      </c>
      <c r="E607" t="s">
        <v>405</v>
      </c>
      <c r="F607">
        <v>5</v>
      </c>
      <c r="G607" s="122">
        <v>476</v>
      </c>
      <c r="H607" s="122">
        <v>708</v>
      </c>
      <c r="I607" s="122">
        <v>35349</v>
      </c>
      <c r="J607" s="122">
        <v>32135</v>
      </c>
      <c r="K607">
        <v>89</v>
      </c>
      <c r="L607" s="122">
        <v>4811</v>
      </c>
      <c r="M607" s="122">
        <v>4278</v>
      </c>
      <c r="N607" s="122">
        <v>9698</v>
      </c>
      <c r="O607" s="122">
        <v>3592</v>
      </c>
      <c r="P607" s="122">
        <v>2241</v>
      </c>
      <c r="Q607" s="122">
        <v>830</v>
      </c>
      <c r="R607" s="122">
        <v>20546</v>
      </c>
      <c r="S607" s="122">
        <v>18678</v>
      </c>
      <c r="T607" s="122">
        <v>0</v>
      </c>
      <c r="U607" s="122">
        <v>0</v>
      </c>
      <c r="V607" s="122">
        <v>59513</v>
      </c>
      <c r="W607" s="122">
        <f t="shared" si="18"/>
        <v>59513</v>
      </c>
      <c r="X607" s="122">
        <f t="shared" si="19"/>
        <v>72645</v>
      </c>
      <c r="Y607" s="122"/>
      <c r="AA607" t="s">
        <v>56</v>
      </c>
      <c r="AB607" t="s">
        <v>406</v>
      </c>
      <c r="AC607" t="s">
        <v>426</v>
      </c>
      <c r="AD607" t="s">
        <v>431</v>
      </c>
      <c r="AE607" t="s">
        <v>566</v>
      </c>
      <c r="AF607">
        <v>1</v>
      </c>
      <c r="AG607">
        <v>80</v>
      </c>
      <c r="AH607">
        <v>179</v>
      </c>
      <c r="AI607" s="122">
        <v>5373</v>
      </c>
      <c r="AJ607" s="122">
        <v>4884</v>
      </c>
      <c r="AK607">
        <v>92</v>
      </c>
      <c r="AL607" s="122">
        <v>1835</v>
      </c>
      <c r="AM607" s="122">
        <v>1668</v>
      </c>
      <c r="AN607" s="122">
        <v>1290</v>
      </c>
      <c r="AO607">
        <v>478</v>
      </c>
      <c r="AP607">
        <v>621</v>
      </c>
      <c r="AQ607">
        <v>230</v>
      </c>
      <c r="AR607" s="122">
        <v>5106</v>
      </c>
      <c r="AS607" s="122">
        <v>4642</v>
      </c>
      <c r="AT607">
        <v>0</v>
      </c>
      <c r="AU607">
        <v>0</v>
      </c>
      <c r="AV607" s="122">
        <v>11902</v>
      </c>
    </row>
    <row r="608" spans="2:48" hidden="1">
      <c r="B608" t="s">
        <v>367</v>
      </c>
      <c r="C608" t="s">
        <v>54</v>
      </c>
      <c r="D608" t="s">
        <v>137</v>
      </c>
      <c r="E608" t="s">
        <v>137</v>
      </c>
      <c r="F608">
        <v>32</v>
      </c>
      <c r="G608" s="122">
        <v>4647</v>
      </c>
      <c r="H608" s="122">
        <v>4375</v>
      </c>
      <c r="I608" s="122">
        <v>275999</v>
      </c>
      <c r="J608" s="122">
        <v>102222</v>
      </c>
      <c r="K608">
        <v>272</v>
      </c>
      <c r="L608" s="122">
        <v>76529</v>
      </c>
      <c r="M608" s="122">
        <v>59408</v>
      </c>
      <c r="N608" s="122">
        <v>82506</v>
      </c>
      <c r="O608" s="122">
        <v>30558</v>
      </c>
      <c r="P608" s="122">
        <v>17756</v>
      </c>
      <c r="Q608" s="122">
        <v>6576</v>
      </c>
      <c r="R608" s="122">
        <v>180865</v>
      </c>
      <c r="S608" s="122">
        <v>66987</v>
      </c>
      <c r="T608" s="122">
        <v>0</v>
      </c>
      <c r="U608" s="122">
        <v>0</v>
      </c>
      <c r="V608" s="122">
        <v>265751</v>
      </c>
      <c r="W608" s="122">
        <f t="shared" si="18"/>
        <v>265751</v>
      </c>
      <c r="X608" s="122">
        <f t="shared" si="19"/>
        <v>633655</v>
      </c>
      <c r="Y608" s="122"/>
      <c r="AA608" t="s">
        <v>56</v>
      </c>
      <c r="AB608" t="s">
        <v>406</v>
      </c>
      <c r="AC608" t="s">
        <v>426</v>
      </c>
      <c r="AD608" t="s">
        <v>426</v>
      </c>
      <c r="AE608" t="s">
        <v>137</v>
      </c>
      <c r="AF608">
        <v>24</v>
      </c>
      <c r="AG608" s="122">
        <v>2303</v>
      </c>
      <c r="AH608" s="122">
        <v>4479</v>
      </c>
      <c r="AI608" s="122">
        <v>170462</v>
      </c>
      <c r="AJ608" s="122">
        <v>154965</v>
      </c>
      <c r="AK608">
        <v>83</v>
      </c>
      <c r="AL608" s="122">
        <v>35220</v>
      </c>
      <c r="AM608" s="122">
        <v>32018</v>
      </c>
      <c r="AN608" s="122">
        <v>42721</v>
      </c>
      <c r="AO608" s="122">
        <v>15823</v>
      </c>
      <c r="AP608" s="122">
        <v>14904</v>
      </c>
      <c r="AQ608" s="122">
        <v>5520</v>
      </c>
      <c r="AR608" s="122">
        <v>108740</v>
      </c>
      <c r="AS608" s="122">
        <v>98854</v>
      </c>
      <c r="AT608" s="122">
        <v>58337</v>
      </c>
      <c r="AU608" s="122">
        <v>21606</v>
      </c>
      <c r="AV608" s="122">
        <v>328787</v>
      </c>
    </row>
    <row r="609" spans="2:48" hidden="1">
      <c r="B609" t="s">
        <v>367</v>
      </c>
      <c r="C609" t="s">
        <v>54</v>
      </c>
      <c r="D609" t="s">
        <v>137</v>
      </c>
      <c r="E609" t="s">
        <v>407</v>
      </c>
      <c r="F609">
        <v>3</v>
      </c>
      <c r="G609" s="122">
        <v>569</v>
      </c>
      <c r="H609" s="122">
        <v>420</v>
      </c>
      <c r="I609" s="122">
        <v>53918</v>
      </c>
      <c r="J609" s="122">
        <v>19970</v>
      </c>
      <c r="K609">
        <v>150</v>
      </c>
      <c r="L609" s="122">
        <v>6799</v>
      </c>
      <c r="M609" s="122">
        <v>5903</v>
      </c>
      <c r="N609" s="122">
        <v>8697</v>
      </c>
      <c r="O609" s="122">
        <v>3221</v>
      </c>
      <c r="P609" s="122">
        <v>824</v>
      </c>
      <c r="Q609" s="122">
        <v>305</v>
      </c>
      <c r="R609" s="122">
        <v>14173</v>
      </c>
      <c r="S609" s="122">
        <v>12885</v>
      </c>
      <c r="T609" s="122">
        <v>0</v>
      </c>
      <c r="U609" s="122">
        <v>0</v>
      </c>
      <c r="V609" s="122">
        <v>42283</v>
      </c>
      <c r="W609" s="122">
        <f t="shared" si="18"/>
        <v>42284</v>
      </c>
      <c r="X609" s="122">
        <f t="shared" si="19"/>
        <v>84411</v>
      </c>
      <c r="Y609" s="122"/>
      <c r="AA609" t="s">
        <v>56</v>
      </c>
      <c r="AB609" t="s">
        <v>406</v>
      </c>
      <c r="AC609" t="s">
        <v>426</v>
      </c>
      <c r="AD609" t="s">
        <v>426</v>
      </c>
      <c r="AE609" t="s">
        <v>566</v>
      </c>
      <c r="AF609">
        <v>11</v>
      </c>
      <c r="AG609" s="122">
        <v>1105</v>
      </c>
      <c r="AH609" s="122">
        <v>2096</v>
      </c>
      <c r="AI609" s="122">
        <v>99642</v>
      </c>
      <c r="AJ609" s="122">
        <v>90584</v>
      </c>
      <c r="AK609">
        <v>85</v>
      </c>
      <c r="AL609" s="122">
        <v>26997</v>
      </c>
      <c r="AM609" s="122">
        <v>24543</v>
      </c>
      <c r="AN609" s="122">
        <v>22981</v>
      </c>
      <c r="AO609" s="122">
        <v>8511</v>
      </c>
      <c r="AP609" s="122">
        <v>7346</v>
      </c>
      <c r="AQ609" s="122">
        <v>2721</v>
      </c>
      <c r="AR609" s="122">
        <v>55749</v>
      </c>
      <c r="AS609" s="122">
        <v>50681</v>
      </c>
      <c r="AT609">
        <v>0</v>
      </c>
      <c r="AU609">
        <v>0</v>
      </c>
      <c r="AV609" s="122">
        <v>177040</v>
      </c>
    </row>
    <row r="610" spans="2:48" hidden="1">
      <c r="B610" t="s">
        <v>367</v>
      </c>
      <c r="C610" t="s">
        <v>54</v>
      </c>
      <c r="D610" t="s">
        <v>406</v>
      </c>
      <c r="E610" t="s">
        <v>137</v>
      </c>
      <c r="F610">
        <v>1</v>
      </c>
      <c r="G610" s="122">
        <v>170</v>
      </c>
      <c r="H610" s="122">
        <v>139</v>
      </c>
      <c r="I610" s="122">
        <v>14151</v>
      </c>
      <c r="J610" s="122">
        <v>12865</v>
      </c>
      <c r="K610">
        <v>85</v>
      </c>
      <c r="L610" s="122">
        <v>2430</v>
      </c>
      <c r="M610" s="122">
        <v>2025</v>
      </c>
      <c r="N610" s="122">
        <v>2719</v>
      </c>
      <c r="O610" s="122">
        <v>1007</v>
      </c>
      <c r="P610">
        <v>621</v>
      </c>
      <c r="Q610">
        <v>230</v>
      </c>
      <c r="R610" s="122">
        <v>7530</v>
      </c>
      <c r="S610" s="122">
        <v>2789</v>
      </c>
      <c r="T610" s="122">
        <v>0</v>
      </c>
      <c r="U610">
        <v>0</v>
      </c>
      <c r="V610" s="122">
        <v>18915</v>
      </c>
      <c r="W610" s="122">
        <f t="shared" si="18"/>
        <v>18916</v>
      </c>
      <c r="X610" s="122">
        <f t="shared" si="19"/>
        <v>27451</v>
      </c>
      <c r="Y610" s="122"/>
      <c r="AA610" t="s">
        <v>56</v>
      </c>
      <c r="AB610" t="s">
        <v>406</v>
      </c>
      <c r="AC610" t="s">
        <v>426</v>
      </c>
      <c r="AD610" t="s">
        <v>429</v>
      </c>
      <c r="AE610" t="s">
        <v>566</v>
      </c>
      <c r="AF610">
        <v>1</v>
      </c>
      <c r="AG610">
        <v>96</v>
      </c>
      <c r="AH610">
        <v>162</v>
      </c>
      <c r="AI610" s="122">
        <v>7262</v>
      </c>
      <c r="AJ610" s="122">
        <v>6602</v>
      </c>
      <c r="AK610">
        <v>85</v>
      </c>
      <c r="AL610" s="122">
        <v>1085</v>
      </c>
      <c r="AM610">
        <v>987</v>
      </c>
      <c r="AN610" s="122">
        <v>1290</v>
      </c>
      <c r="AO610">
        <v>478</v>
      </c>
      <c r="AP610">
        <v>621</v>
      </c>
      <c r="AQ610">
        <v>230</v>
      </c>
      <c r="AR610" s="122">
        <v>5300</v>
      </c>
      <c r="AS610" s="122">
        <v>4818</v>
      </c>
      <c r="AT610">
        <v>0</v>
      </c>
      <c r="AU610">
        <v>0</v>
      </c>
      <c r="AV610" s="122">
        <v>13115</v>
      </c>
    </row>
    <row r="611" spans="2:48" hidden="1">
      <c r="B611" t="s">
        <v>367</v>
      </c>
      <c r="C611" t="s">
        <v>54</v>
      </c>
      <c r="D611" t="s">
        <v>406</v>
      </c>
      <c r="E611" t="s">
        <v>406</v>
      </c>
      <c r="F611">
        <v>217</v>
      </c>
      <c r="G611" s="122">
        <v>25680</v>
      </c>
      <c r="H611" s="122">
        <v>30483</v>
      </c>
      <c r="I611" s="122">
        <v>1775418</v>
      </c>
      <c r="J611" s="122">
        <v>1614016</v>
      </c>
      <c r="K611">
        <v>93</v>
      </c>
      <c r="L611" s="122">
        <v>380508</v>
      </c>
      <c r="M611" s="122">
        <v>315869</v>
      </c>
      <c r="N611" s="122">
        <v>454794</v>
      </c>
      <c r="O611" s="122">
        <v>168442</v>
      </c>
      <c r="P611" s="122">
        <v>136985</v>
      </c>
      <c r="Q611" s="122">
        <v>50735</v>
      </c>
      <c r="R611" s="122">
        <v>883637</v>
      </c>
      <c r="S611" s="122">
        <v>803306</v>
      </c>
      <c r="T611" s="122">
        <v>45777</v>
      </c>
      <c r="U611" s="122">
        <v>16954</v>
      </c>
      <c r="V611" s="122">
        <v>2969323</v>
      </c>
      <c r="W611" s="122">
        <f t="shared" si="18"/>
        <v>2969322</v>
      </c>
      <c r="X611" s="122">
        <f t="shared" si="19"/>
        <v>3677119</v>
      </c>
      <c r="Y611" s="122"/>
      <c r="AA611" t="s">
        <v>56</v>
      </c>
      <c r="AB611" t="s">
        <v>406</v>
      </c>
      <c r="AC611" t="s">
        <v>566</v>
      </c>
      <c r="AD611" t="s">
        <v>137</v>
      </c>
      <c r="AE611" t="s">
        <v>566</v>
      </c>
      <c r="AF611">
        <v>22</v>
      </c>
      <c r="AG611" s="122">
        <v>2103</v>
      </c>
      <c r="AH611" s="122">
        <v>4193</v>
      </c>
      <c r="AI611" s="122">
        <v>213775</v>
      </c>
      <c r="AJ611" s="122">
        <v>194341</v>
      </c>
      <c r="AK611">
        <v>85</v>
      </c>
      <c r="AL611">
        <v>0</v>
      </c>
      <c r="AM611" s="122">
        <v>1105</v>
      </c>
      <c r="AN611" s="122">
        <v>40753</v>
      </c>
      <c r="AO611" s="122">
        <v>15094</v>
      </c>
      <c r="AP611" s="122">
        <v>12960</v>
      </c>
      <c r="AQ611" s="122">
        <v>4800</v>
      </c>
      <c r="AR611" s="122">
        <v>132679</v>
      </c>
      <c r="AS611" s="122">
        <v>49140</v>
      </c>
      <c r="AT611">
        <v>0</v>
      </c>
      <c r="AU611">
        <v>0</v>
      </c>
      <c r="AV611" s="122">
        <v>264480</v>
      </c>
    </row>
    <row r="612" spans="2:48" hidden="1">
      <c r="B612" t="s">
        <v>367</v>
      </c>
      <c r="C612" t="s">
        <v>54</v>
      </c>
      <c r="D612" t="s">
        <v>406</v>
      </c>
      <c r="E612" t="s">
        <v>407</v>
      </c>
      <c r="F612">
        <v>1</v>
      </c>
      <c r="G612" s="122">
        <v>99</v>
      </c>
      <c r="H612" s="122">
        <v>147</v>
      </c>
      <c r="I612" s="122">
        <v>6831</v>
      </c>
      <c r="J612" s="122">
        <v>6210</v>
      </c>
      <c r="K612">
        <v>85</v>
      </c>
      <c r="L612" s="122">
        <v>1587</v>
      </c>
      <c r="M612" s="122">
        <v>588</v>
      </c>
      <c r="N612" s="122">
        <v>2358</v>
      </c>
      <c r="O612" s="122">
        <v>873</v>
      </c>
      <c r="P612" s="122">
        <v>621</v>
      </c>
      <c r="Q612" s="122">
        <v>230</v>
      </c>
      <c r="R612" s="122">
        <v>3168</v>
      </c>
      <c r="S612" s="122">
        <v>2880</v>
      </c>
      <c r="T612" s="122">
        <v>0</v>
      </c>
      <c r="U612">
        <v>0</v>
      </c>
      <c r="V612" s="122">
        <v>10782</v>
      </c>
      <c r="W612" s="122">
        <f t="shared" si="18"/>
        <v>10781</v>
      </c>
      <c r="X612" s="122">
        <f t="shared" si="19"/>
        <v>14565</v>
      </c>
      <c r="Y612" s="122"/>
      <c r="AA612" t="s">
        <v>56</v>
      </c>
      <c r="AB612" t="s">
        <v>406</v>
      </c>
      <c r="AC612" t="s">
        <v>566</v>
      </c>
      <c r="AD612" t="s">
        <v>406</v>
      </c>
      <c r="AE612" t="s">
        <v>137</v>
      </c>
      <c r="AF612">
        <v>754</v>
      </c>
      <c r="AG612" s="122">
        <v>70421</v>
      </c>
      <c r="AH612" s="122">
        <v>144260</v>
      </c>
      <c r="AI612" s="122">
        <v>7401059</v>
      </c>
      <c r="AJ612" s="122">
        <v>6728235</v>
      </c>
      <c r="AK612">
        <v>85</v>
      </c>
      <c r="AL612">
        <v>0</v>
      </c>
      <c r="AM612" s="122">
        <v>966947</v>
      </c>
      <c r="AN612" s="122">
        <v>1369878</v>
      </c>
      <c r="AO612" s="122">
        <v>507362</v>
      </c>
      <c r="AP612" s="122">
        <v>469541</v>
      </c>
      <c r="AQ612" s="122">
        <v>173904</v>
      </c>
      <c r="AR612" s="122">
        <v>2812302</v>
      </c>
      <c r="AS612" s="122">
        <v>2556638</v>
      </c>
      <c r="AT612" s="122">
        <v>1519565</v>
      </c>
      <c r="AU612" s="122">
        <v>562802</v>
      </c>
      <c r="AV612" s="122">
        <v>11495889</v>
      </c>
    </row>
    <row r="613" spans="2:48" hidden="1">
      <c r="B613" t="s">
        <v>367</v>
      </c>
      <c r="C613" t="s">
        <v>54</v>
      </c>
      <c r="D613" t="s">
        <v>407</v>
      </c>
      <c r="E613" t="s">
        <v>405</v>
      </c>
      <c r="F613">
        <v>3</v>
      </c>
      <c r="G613" s="122">
        <v>309</v>
      </c>
      <c r="H613" s="122">
        <v>401</v>
      </c>
      <c r="I613" s="122">
        <v>20595</v>
      </c>
      <c r="J613" s="122">
        <v>18723</v>
      </c>
      <c r="K613">
        <v>91</v>
      </c>
      <c r="L613" s="122">
        <v>3094</v>
      </c>
      <c r="M613" s="122">
        <v>2502</v>
      </c>
      <c r="N613" s="122">
        <v>5317</v>
      </c>
      <c r="O613" s="122">
        <v>1969</v>
      </c>
      <c r="P613" s="122">
        <v>1418</v>
      </c>
      <c r="Q613" s="122">
        <v>525</v>
      </c>
      <c r="R613" s="122">
        <v>11087</v>
      </c>
      <c r="S613" s="122">
        <v>10079</v>
      </c>
      <c r="T613" s="122">
        <v>0</v>
      </c>
      <c r="U613" s="122">
        <v>0</v>
      </c>
      <c r="V613" s="122">
        <v>33799</v>
      </c>
      <c r="W613" s="122">
        <f t="shared" si="18"/>
        <v>33798</v>
      </c>
      <c r="X613" s="122">
        <f t="shared" si="19"/>
        <v>41511</v>
      </c>
      <c r="Y613" s="122"/>
      <c r="AA613" t="s">
        <v>56</v>
      </c>
      <c r="AB613" t="s">
        <v>406</v>
      </c>
      <c r="AC613" t="s">
        <v>566</v>
      </c>
      <c r="AD613" t="s">
        <v>406</v>
      </c>
      <c r="AE613" t="s">
        <v>566</v>
      </c>
      <c r="AF613">
        <v>723</v>
      </c>
      <c r="AG613" s="122">
        <v>64748</v>
      </c>
      <c r="AH613" s="122">
        <v>133041</v>
      </c>
      <c r="AI613" s="122">
        <v>7044425</v>
      </c>
      <c r="AJ613" s="122">
        <v>6404023</v>
      </c>
      <c r="AK613">
        <v>88</v>
      </c>
      <c r="AL613">
        <v>0</v>
      </c>
      <c r="AM613" s="122">
        <v>1253503</v>
      </c>
      <c r="AN613" s="122">
        <v>1261898</v>
      </c>
      <c r="AO613" s="122">
        <v>467370</v>
      </c>
      <c r="AP613" s="122">
        <v>455686</v>
      </c>
      <c r="AQ613" s="122">
        <v>168773</v>
      </c>
      <c r="AR613" s="122">
        <v>3295363</v>
      </c>
      <c r="AS613" s="122">
        <v>2995784</v>
      </c>
      <c r="AT613">
        <v>0</v>
      </c>
      <c r="AU613">
        <v>0</v>
      </c>
      <c r="AV613" s="122">
        <v>11289453</v>
      </c>
    </row>
    <row r="614" spans="2:48" hidden="1">
      <c r="B614" t="s">
        <v>367</v>
      </c>
      <c r="C614" t="s">
        <v>54</v>
      </c>
      <c r="D614" t="s">
        <v>407</v>
      </c>
      <c r="E614" t="s">
        <v>137</v>
      </c>
      <c r="F614">
        <v>7</v>
      </c>
      <c r="G614" s="122">
        <v>905</v>
      </c>
      <c r="H614">
        <v>952</v>
      </c>
      <c r="I614" s="122">
        <v>72816</v>
      </c>
      <c r="J614" s="122">
        <v>66197</v>
      </c>
      <c r="K614">
        <v>91</v>
      </c>
      <c r="L614" s="122">
        <v>8429</v>
      </c>
      <c r="M614" s="122">
        <v>6476</v>
      </c>
      <c r="N614" s="122">
        <v>15284</v>
      </c>
      <c r="O614" s="122">
        <v>5661</v>
      </c>
      <c r="P614" s="122">
        <v>3308</v>
      </c>
      <c r="Q614" s="122">
        <v>1225</v>
      </c>
      <c r="R614" s="122">
        <v>26814</v>
      </c>
      <c r="S614" s="122">
        <v>9931</v>
      </c>
      <c r="T614">
        <v>0</v>
      </c>
      <c r="U614">
        <v>0</v>
      </c>
      <c r="V614" s="122">
        <v>89490</v>
      </c>
      <c r="W614" s="122">
        <f t="shared" si="18"/>
        <v>89490</v>
      </c>
      <c r="X614" s="122">
        <f t="shared" si="19"/>
        <v>126651</v>
      </c>
      <c r="Y614" s="122"/>
      <c r="AA614" t="s">
        <v>56</v>
      </c>
      <c r="AB614" t="s">
        <v>406</v>
      </c>
      <c r="AC614" t="s">
        <v>566</v>
      </c>
      <c r="AD614" t="s">
        <v>407</v>
      </c>
      <c r="AE614" t="s">
        <v>137</v>
      </c>
      <c r="AF614">
        <v>1</v>
      </c>
      <c r="AG614">
        <v>106</v>
      </c>
      <c r="AH614">
        <v>209</v>
      </c>
      <c r="AI614" s="122">
        <v>13597</v>
      </c>
      <c r="AJ614" s="122">
        <v>12361</v>
      </c>
      <c r="AK614">
        <v>82</v>
      </c>
      <c r="AL614">
        <v>0</v>
      </c>
      <c r="AM614">
        <v>0</v>
      </c>
      <c r="AN614" s="122">
        <v>1804</v>
      </c>
      <c r="AO614">
        <v>668</v>
      </c>
      <c r="AP614">
        <v>621</v>
      </c>
      <c r="AQ614">
        <v>230</v>
      </c>
      <c r="AR614" s="122">
        <v>6086</v>
      </c>
      <c r="AS614" s="122">
        <v>5533</v>
      </c>
      <c r="AT614">
        <v>0</v>
      </c>
      <c r="AU614">
        <v>0</v>
      </c>
      <c r="AV614" s="122">
        <v>18792</v>
      </c>
    </row>
    <row r="615" spans="2:48" hidden="1">
      <c r="B615" t="s">
        <v>367</v>
      </c>
      <c r="C615" t="s">
        <v>54</v>
      </c>
      <c r="D615" t="s">
        <v>407</v>
      </c>
      <c r="E615" t="s">
        <v>406</v>
      </c>
      <c r="F615">
        <v>1</v>
      </c>
      <c r="G615" s="122">
        <v>147</v>
      </c>
      <c r="H615" s="122">
        <v>133</v>
      </c>
      <c r="I615" s="122">
        <v>14388</v>
      </c>
      <c r="J615" s="122">
        <v>13080</v>
      </c>
      <c r="K615">
        <v>90</v>
      </c>
      <c r="L615" s="122">
        <v>0</v>
      </c>
      <c r="M615" s="122">
        <v>0</v>
      </c>
      <c r="N615" s="122">
        <v>1887</v>
      </c>
      <c r="O615" s="122">
        <v>699</v>
      </c>
      <c r="P615" s="122">
        <v>473</v>
      </c>
      <c r="Q615" s="122">
        <v>175</v>
      </c>
      <c r="R615" s="122">
        <v>2864</v>
      </c>
      <c r="S615" s="122">
        <v>2603</v>
      </c>
      <c r="T615" s="122">
        <v>0</v>
      </c>
      <c r="U615" s="122">
        <v>0</v>
      </c>
      <c r="V615" s="122">
        <v>16557</v>
      </c>
      <c r="W615" s="122">
        <f t="shared" si="18"/>
        <v>16557</v>
      </c>
      <c r="X615" s="122">
        <f t="shared" si="19"/>
        <v>19612</v>
      </c>
      <c r="Y615" s="122"/>
      <c r="AA615" t="s">
        <v>56</v>
      </c>
      <c r="AB615" t="s">
        <v>406</v>
      </c>
      <c r="AC615" t="s">
        <v>566</v>
      </c>
      <c r="AD615" t="s">
        <v>407</v>
      </c>
      <c r="AE615" t="s">
        <v>566</v>
      </c>
      <c r="AF615">
        <v>1</v>
      </c>
      <c r="AG615">
        <v>59</v>
      </c>
      <c r="AH615">
        <v>200</v>
      </c>
      <c r="AI615" s="122">
        <v>7076</v>
      </c>
      <c r="AJ615" s="122">
        <v>6433</v>
      </c>
      <c r="AK615">
        <v>95</v>
      </c>
      <c r="AL615">
        <v>0</v>
      </c>
      <c r="AM615">
        <v>0</v>
      </c>
      <c r="AN615">
        <v>824</v>
      </c>
      <c r="AO615">
        <v>305</v>
      </c>
      <c r="AP615">
        <v>621</v>
      </c>
      <c r="AQ615">
        <v>230</v>
      </c>
      <c r="AR615" s="122">
        <v>3308</v>
      </c>
      <c r="AS615" s="122">
        <v>3007</v>
      </c>
      <c r="AT615">
        <v>0</v>
      </c>
      <c r="AU615">
        <v>0</v>
      </c>
      <c r="AV615" s="122">
        <v>9975</v>
      </c>
    </row>
    <row r="616" spans="2:48" hidden="1">
      <c r="B616" t="s">
        <v>367</v>
      </c>
      <c r="C616" t="s">
        <v>54</v>
      </c>
      <c r="D616" t="s">
        <v>407</v>
      </c>
      <c r="E616" t="s">
        <v>427</v>
      </c>
      <c r="F616">
        <v>1</v>
      </c>
      <c r="G616" s="122">
        <v>253</v>
      </c>
      <c r="H616" s="122">
        <v>146</v>
      </c>
      <c r="I616" s="122">
        <v>20365</v>
      </c>
      <c r="J616" s="122">
        <v>18514</v>
      </c>
      <c r="K616">
        <v>93</v>
      </c>
      <c r="L616" s="122">
        <v>6630</v>
      </c>
      <c r="M616" s="122">
        <v>6027</v>
      </c>
      <c r="N616" s="122">
        <v>3086</v>
      </c>
      <c r="O616" s="122">
        <v>1143</v>
      </c>
      <c r="P616" s="122">
        <v>1175</v>
      </c>
      <c r="Q616" s="122">
        <v>435</v>
      </c>
      <c r="R616" s="122">
        <v>5704</v>
      </c>
      <c r="S616" s="122">
        <v>5185</v>
      </c>
      <c r="T616" s="122">
        <v>0</v>
      </c>
      <c r="U616" s="122">
        <v>0</v>
      </c>
      <c r="V616" s="122">
        <v>31304</v>
      </c>
      <c r="W616" s="122">
        <f t="shared" si="18"/>
        <v>31304</v>
      </c>
      <c r="X616" s="122">
        <f t="shared" si="19"/>
        <v>36960</v>
      </c>
      <c r="Y616" s="122"/>
      <c r="AA616" t="s">
        <v>56</v>
      </c>
      <c r="AB616" t="s">
        <v>406</v>
      </c>
      <c r="AC616" t="s">
        <v>566</v>
      </c>
      <c r="AD616" t="s">
        <v>426</v>
      </c>
      <c r="AE616" t="s">
        <v>566</v>
      </c>
      <c r="AF616">
        <v>2</v>
      </c>
      <c r="AG616">
        <v>193</v>
      </c>
      <c r="AH616">
        <v>356</v>
      </c>
      <c r="AI616" s="122">
        <v>18401</v>
      </c>
      <c r="AJ616" s="122">
        <v>16728</v>
      </c>
      <c r="AK616">
        <v>84</v>
      </c>
      <c r="AL616">
        <v>0</v>
      </c>
      <c r="AM616" s="122">
        <v>4271</v>
      </c>
      <c r="AN616" s="122">
        <v>2931</v>
      </c>
      <c r="AO616" s="122">
        <v>1086</v>
      </c>
      <c r="AP616" s="122">
        <v>1593</v>
      </c>
      <c r="AQ616">
        <v>590</v>
      </c>
      <c r="AR616" s="122">
        <v>11650</v>
      </c>
      <c r="AS616" s="122">
        <v>10591</v>
      </c>
      <c r="AT616">
        <v>0</v>
      </c>
      <c r="AU616">
        <v>0</v>
      </c>
      <c r="AV616" s="122">
        <v>33266</v>
      </c>
    </row>
    <row r="617" spans="2:48" hidden="1">
      <c r="B617" t="s">
        <v>367</v>
      </c>
      <c r="C617" t="s">
        <v>54</v>
      </c>
      <c r="D617" t="s">
        <v>407</v>
      </c>
      <c r="E617" t="s">
        <v>407</v>
      </c>
      <c r="F617" s="122">
        <v>7640</v>
      </c>
      <c r="G617" s="122">
        <v>854006</v>
      </c>
      <c r="H617" s="122">
        <v>1069221</v>
      </c>
      <c r="I617" s="122">
        <v>58529597</v>
      </c>
      <c r="J617" s="122">
        <v>53208724</v>
      </c>
      <c r="K617">
        <v>88</v>
      </c>
      <c r="L617" s="122">
        <v>11029604</v>
      </c>
      <c r="M617" s="122">
        <v>9071629</v>
      </c>
      <c r="N617" s="122">
        <v>15956558</v>
      </c>
      <c r="O617" s="122">
        <v>5909836</v>
      </c>
      <c r="P617" s="122">
        <v>3760323</v>
      </c>
      <c r="Q617" s="122">
        <v>1392712</v>
      </c>
      <c r="R617" s="122">
        <v>32579497</v>
      </c>
      <c r="S617" s="122">
        <v>29617725</v>
      </c>
      <c r="T617" s="122">
        <v>1141196</v>
      </c>
      <c r="U617" s="122">
        <v>422665</v>
      </c>
      <c r="V617" s="122">
        <v>99623292</v>
      </c>
      <c r="W617" s="122">
        <f t="shared" si="18"/>
        <v>99623291</v>
      </c>
      <c r="X617" s="122">
        <f t="shared" si="19"/>
        <v>122996775</v>
      </c>
      <c r="Y617" s="122"/>
      <c r="AA617" t="s">
        <v>56</v>
      </c>
      <c r="AB617" t="s">
        <v>406</v>
      </c>
      <c r="AC617" t="s">
        <v>481</v>
      </c>
      <c r="AD617" t="s">
        <v>406</v>
      </c>
      <c r="AE617" t="s">
        <v>137</v>
      </c>
      <c r="AF617">
        <v>21</v>
      </c>
      <c r="AG617" s="122">
        <v>2318</v>
      </c>
      <c r="AH617" s="122">
        <v>3963</v>
      </c>
      <c r="AI617" s="122">
        <v>210495</v>
      </c>
      <c r="AJ617" s="122">
        <v>191359</v>
      </c>
      <c r="AK617">
        <v>86</v>
      </c>
      <c r="AL617" s="122">
        <v>49711</v>
      </c>
      <c r="AM617" s="122">
        <v>45192</v>
      </c>
      <c r="AN617" s="122">
        <v>40449</v>
      </c>
      <c r="AO617" s="122">
        <v>14981</v>
      </c>
      <c r="AP617" s="122">
        <v>13122</v>
      </c>
      <c r="AQ617" s="122">
        <v>4860</v>
      </c>
      <c r="AR617" s="122">
        <v>79653</v>
      </c>
      <c r="AS617" s="122">
        <v>72412</v>
      </c>
      <c r="AT617" s="122">
        <v>43915</v>
      </c>
      <c r="AU617" s="122">
        <v>16265</v>
      </c>
      <c r="AV617" s="122">
        <v>345068</v>
      </c>
    </row>
    <row r="618" spans="2:48" hidden="1">
      <c r="B618" t="s">
        <v>367</v>
      </c>
      <c r="C618" t="s">
        <v>54</v>
      </c>
      <c r="D618" t="s">
        <v>407</v>
      </c>
      <c r="E618" t="s">
        <v>431</v>
      </c>
      <c r="F618">
        <v>1</v>
      </c>
      <c r="G618" s="122">
        <v>169</v>
      </c>
      <c r="H618" s="122">
        <v>140</v>
      </c>
      <c r="I618" s="122">
        <v>11663</v>
      </c>
      <c r="J618" s="122">
        <v>10603</v>
      </c>
      <c r="K618">
        <v>91</v>
      </c>
      <c r="L618" s="122">
        <v>3909</v>
      </c>
      <c r="M618" s="122">
        <v>3554</v>
      </c>
      <c r="N618" s="122">
        <v>2055</v>
      </c>
      <c r="O618" s="122">
        <v>761</v>
      </c>
      <c r="P618" s="122">
        <v>473</v>
      </c>
      <c r="Q618" s="122">
        <v>175</v>
      </c>
      <c r="R618" s="122">
        <v>5495</v>
      </c>
      <c r="S618" s="122">
        <v>4996</v>
      </c>
      <c r="T618" s="122">
        <v>0</v>
      </c>
      <c r="U618" s="122">
        <v>0</v>
      </c>
      <c r="V618" s="122">
        <v>20089</v>
      </c>
      <c r="W618" s="122">
        <f t="shared" si="18"/>
        <v>20089</v>
      </c>
      <c r="X618" s="122">
        <f t="shared" si="19"/>
        <v>23595</v>
      </c>
      <c r="Y618" s="122"/>
      <c r="AA618" t="s">
        <v>56</v>
      </c>
      <c r="AB618" t="s">
        <v>406</v>
      </c>
      <c r="AC618" t="s">
        <v>481</v>
      </c>
      <c r="AD618" t="s">
        <v>406</v>
      </c>
      <c r="AE618" t="s">
        <v>566</v>
      </c>
      <c r="AF618">
        <v>20</v>
      </c>
      <c r="AG618" s="122">
        <v>2173</v>
      </c>
      <c r="AH618" s="122">
        <v>3745</v>
      </c>
      <c r="AI618" s="122">
        <v>204674</v>
      </c>
      <c r="AJ618" s="122">
        <v>186068</v>
      </c>
      <c r="AK618">
        <v>83</v>
      </c>
      <c r="AL618" s="122">
        <v>45511</v>
      </c>
      <c r="AM618" s="122">
        <v>41373</v>
      </c>
      <c r="AN618" s="122">
        <v>38034</v>
      </c>
      <c r="AO618" s="122">
        <v>14087</v>
      </c>
      <c r="AP618" s="122">
        <v>13140</v>
      </c>
      <c r="AQ618" s="122">
        <v>4867</v>
      </c>
      <c r="AR618" s="122">
        <v>105412</v>
      </c>
      <c r="AS618" s="122">
        <v>95829</v>
      </c>
      <c r="AT618">
        <v>0</v>
      </c>
      <c r="AU618">
        <v>0</v>
      </c>
      <c r="AV618" s="122">
        <v>342224</v>
      </c>
    </row>
    <row r="619" spans="2:48" hidden="1">
      <c r="B619" t="s">
        <v>367</v>
      </c>
      <c r="C619" t="s">
        <v>54</v>
      </c>
      <c r="D619" t="s">
        <v>408</v>
      </c>
      <c r="E619" t="s">
        <v>408</v>
      </c>
      <c r="F619">
        <v>1</v>
      </c>
      <c r="G619">
        <v>181</v>
      </c>
      <c r="H619">
        <v>137</v>
      </c>
      <c r="I619" s="122">
        <v>18531</v>
      </c>
      <c r="J619" s="122">
        <v>16846</v>
      </c>
      <c r="K619">
        <v>65</v>
      </c>
      <c r="L619" s="122">
        <v>2433</v>
      </c>
      <c r="M619" s="122">
        <v>2028</v>
      </c>
      <c r="N619" s="122">
        <v>2563</v>
      </c>
      <c r="O619" s="122">
        <v>949</v>
      </c>
      <c r="P619" s="122">
        <v>351</v>
      </c>
      <c r="Q619">
        <v>130</v>
      </c>
      <c r="R619" s="122">
        <v>4886</v>
      </c>
      <c r="S619" s="122">
        <v>4442</v>
      </c>
      <c r="T619">
        <v>0</v>
      </c>
      <c r="U619">
        <v>0</v>
      </c>
      <c r="V619" s="122">
        <v>24395</v>
      </c>
      <c r="W619" s="122">
        <f t="shared" si="18"/>
        <v>24395</v>
      </c>
      <c r="X619" s="122">
        <f t="shared" si="19"/>
        <v>28764</v>
      </c>
      <c r="Y619" s="122"/>
      <c r="AA619" t="s">
        <v>56</v>
      </c>
      <c r="AB619" t="s">
        <v>406</v>
      </c>
      <c r="AC619" t="s">
        <v>433</v>
      </c>
      <c r="AD619" t="s">
        <v>425</v>
      </c>
      <c r="AE619" t="s">
        <v>137</v>
      </c>
      <c r="AF619">
        <v>1</v>
      </c>
      <c r="AG619">
        <v>106</v>
      </c>
      <c r="AH619">
        <v>194</v>
      </c>
      <c r="AI619" s="122">
        <v>10122</v>
      </c>
      <c r="AJ619" s="122">
        <v>9201</v>
      </c>
      <c r="AK619">
        <v>85</v>
      </c>
      <c r="AL619" s="122">
        <v>3186</v>
      </c>
      <c r="AM619" s="122">
        <v>2897</v>
      </c>
      <c r="AN619" s="122">
        <v>2589</v>
      </c>
      <c r="AO619">
        <v>959</v>
      </c>
      <c r="AP619">
        <v>621</v>
      </c>
      <c r="AQ619">
        <v>230</v>
      </c>
      <c r="AR619" s="122">
        <v>4106</v>
      </c>
      <c r="AS619" s="122">
        <v>3733</v>
      </c>
      <c r="AT619">
        <v>0</v>
      </c>
      <c r="AU619">
        <v>0</v>
      </c>
      <c r="AV619" s="122">
        <v>17020</v>
      </c>
    </row>
    <row r="620" spans="2:48" hidden="1">
      <c r="B620" t="s">
        <v>367</v>
      </c>
      <c r="C620" t="s">
        <v>56</v>
      </c>
      <c r="F620" s="122">
        <v>68</v>
      </c>
      <c r="G620" s="122">
        <v>4613</v>
      </c>
      <c r="H620" s="122">
        <v>13445</v>
      </c>
      <c r="I620" s="122"/>
      <c r="J620" s="122">
        <v>0</v>
      </c>
      <c r="L620" s="122"/>
      <c r="M620" s="122">
        <v>0</v>
      </c>
      <c r="N620" s="122">
        <v>88201</v>
      </c>
      <c r="O620" s="122">
        <v>32667</v>
      </c>
      <c r="P620" s="122">
        <v>16145</v>
      </c>
      <c r="Q620" s="122">
        <v>5979</v>
      </c>
      <c r="R620" s="122"/>
      <c r="S620" s="122">
        <v>0</v>
      </c>
      <c r="T620" s="122">
        <v>12771</v>
      </c>
      <c r="U620" s="122">
        <v>4730</v>
      </c>
      <c r="V620" s="122">
        <v>43377</v>
      </c>
      <c r="W620" s="122">
        <f t="shared" si="18"/>
        <v>43376</v>
      </c>
      <c r="X620" s="122">
        <f t="shared" si="19"/>
        <v>117117</v>
      </c>
      <c r="Y620" s="122"/>
      <c r="AA620" t="s">
        <v>56</v>
      </c>
      <c r="AB620" t="s">
        <v>406</v>
      </c>
      <c r="AC620" t="s">
        <v>433</v>
      </c>
      <c r="AD620" t="s">
        <v>425</v>
      </c>
      <c r="AE620" t="s">
        <v>566</v>
      </c>
      <c r="AF620">
        <v>2</v>
      </c>
      <c r="AG620">
        <v>255</v>
      </c>
      <c r="AH620">
        <v>398</v>
      </c>
      <c r="AI620" s="122">
        <v>32101</v>
      </c>
      <c r="AJ620" s="122">
        <v>29182</v>
      </c>
      <c r="AK620">
        <v>82</v>
      </c>
      <c r="AL620" s="122">
        <v>4549</v>
      </c>
      <c r="AM620" s="122">
        <v>4135</v>
      </c>
      <c r="AN620" s="122">
        <v>3835</v>
      </c>
      <c r="AO620" s="122">
        <v>1420</v>
      </c>
      <c r="AP620" s="122">
        <v>1242</v>
      </c>
      <c r="AQ620">
        <v>460</v>
      </c>
      <c r="AR620" s="122">
        <v>9870</v>
      </c>
      <c r="AS620" s="122">
        <v>8973</v>
      </c>
      <c r="AT620">
        <v>0</v>
      </c>
      <c r="AU620">
        <v>0</v>
      </c>
      <c r="AV620" s="122">
        <v>44171</v>
      </c>
    </row>
    <row r="621" spans="2:48" hidden="1">
      <c r="B621" t="s">
        <v>367</v>
      </c>
      <c r="C621" t="s">
        <v>56</v>
      </c>
      <c r="D621" t="s">
        <v>425</v>
      </c>
      <c r="E621" t="s">
        <v>425</v>
      </c>
      <c r="F621">
        <v>3</v>
      </c>
      <c r="G621" s="122">
        <v>255</v>
      </c>
      <c r="H621" s="122">
        <v>515</v>
      </c>
      <c r="I621" s="122">
        <v>21877</v>
      </c>
      <c r="J621" s="122">
        <v>19888</v>
      </c>
      <c r="K621">
        <v>91</v>
      </c>
      <c r="L621" s="122">
        <v>5848</v>
      </c>
      <c r="M621" s="122">
        <v>5316</v>
      </c>
      <c r="N621" s="122">
        <v>4279</v>
      </c>
      <c r="O621" s="122">
        <v>1585</v>
      </c>
      <c r="P621" s="122">
        <v>1296</v>
      </c>
      <c r="Q621" s="122">
        <v>480</v>
      </c>
      <c r="R621" s="122">
        <v>10761</v>
      </c>
      <c r="S621" s="122">
        <v>9783</v>
      </c>
      <c r="T621">
        <v>0</v>
      </c>
      <c r="U621">
        <v>0</v>
      </c>
      <c r="V621" s="122">
        <v>37052</v>
      </c>
      <c r="W621" s="122">
        <f t="shared" si="18"/>
        <v>37052</v>
      </c>
      <c r="X621" s="122">
        <f t="shared" si="19"/>
        <v>44061</v>
      </c>
      <c r="Y621" s="122"/>
      <c r="AA621" t="s">
        <v>56</v>
      </c>
      <c r="AB621" t="s">
        <v>406</v>
      </c>
      <c r="AC621" t="s">
        <v>433</v>
      </c>
      <c r="AD621" t="s">
        <v>137</v>
      </c>
      <c r="AE621" t="s">
        <v>566</v>
      </c>
      <c r="AF621">
        <v>1</v>
      </c>
      <c r="AG621">
        <v>261</v>
      </c>
      <c r="AH621">
        <v>169</v>
      </c>
      <c r="AI621" s="122">
        <v>41731</v>
      </c>
      <c r="AJ621" s="122">
        <v>37937</v>
      </c>
      <c r="AK621">
        <v>79</v>
      </c>
      <c r="AL621" s="122">
        <v>6660</v>
      </c>
      <c r="AM621" s="122">
        <v>6055</v>
      </c>
      <c r="AN621" s="122">
        <v>9055</v>
      </c>
      <c r="AO621" s="122">
        <v>3354</v>
      </c>
      <c r="AP621">
        <v>621</v>
      </c>
      <c r="AQ621">
        <v>230</v>
      </c>
      <c r="AR621" s="122">
        <v>4766</v>
      </c>
      <c r="AS621" s="122">
        <v>1765</v>
      </c>
      <c r="AT621">
        <v>0</v>
      </c>
      <c r="AU621">
        <v>0</v>
      </c>
      <c r="AV621" s="122">
        <v>49341</v>
      </c>
    </row>
    <row r="622" spans="2:48" hidden="1">
      <c r="B622" t="s">
        <v>367</v>
      </c>
      <c r="C622" t="s">
        <v>56</v>
      </c>
      <c r="D622" t="s">
        <v>425</v>
      </c>
      <c r="E622" t="s">
        <v>406</v>
      </c>
      <c r="F622">
        <v>3</v>
      </c>
      <c r="G622">
        <v>366</v>
      </c>
      <c r="H622" s="122">
        <v>567</v>
      </c>
      <c r="I622" s="122">
        <v>34686</v>
      </c>
      <c r="J622" s="122">
        <v>31532</v>
      </c>
      <c r="K622">
        <v>85</v>
      </c>
      <c r="L622" s="122">
        <v>7852</v>
      </c>
      <c r="M622" s="122">
        <v>6997</v>
      </c>
      <c r="N622" s="122">
        <v>7034</v>
      </c>
      <c r="O622" s="122">
        <v>2605</v>
      </c>
      <c r="P622" s="122">
        <v>1863</v>
      </c>
      <c r="Q622">
        <v>690</v>
      </c>
      <c r="R622" s="122">
        <v>15101</v>
      </c>
      <c r="S622" s="122">
        <v>13728</v>
      </c>
      <c r="T622" s="122">
        <v>2428</v>
      </c>
      <c r="U622" s="122">
        <v>899</v>
      </c>
      <c r="V622" s="122">
        <v>56452</v>
      </c>
      <c r="W622" s="122">
        <f t="shared" si="18"/>
        <v>56451</v>
      </c>
      <c r="X622" s="122">
        <f t="shared" si="19"/>
        <v>68964</v>
      </c>
      <c r="Y622" s="122"/>
      <c r="AA622" t="s">
        <v>56</v>
      </c>
      <c r="AB622" t="s">
        <v>406</v>
      </c>
      <c r="AC622" t="s">
        <v>433</v>
      </c>
      <c r="AD622" t="s">
        <v>406</v>
      </c>
      <c r="AE622" t="s">
        <v>137</v>
      </c>
      <c r="AF622">
        <v>509</v>
      </c>
      <c r="AG622" s="122">
        <v>51444</v>
      </c>
      <c r="AH622" s="122">
        <v>99365</v>
      </c>
      <c r="AI622" s="122">
        <v>5047177</v>
      </c>
      <c r="AJ622" s="122">
        <v>4588343</v>
      </c>
      <c r="AK622">
        <v>85</v>
      </c>
      <c r="AL622" s="122">
        <v>1068169</v>
      </c>
      <c r="AM622" s="122">
        <v>971063</v>
      </c>
      <c r="AN622" s="122">
        <v>904680</v>
      </c>
      <c r="AO622" s="122">
        <v>335067</v>
      </c>
      <c r="AP622" s="122">
        <v>323274</v>
      </c>
      <c r="AQ622" s="122">
        <v>119731</v>
      </c>
      <c r="AR622" s="122">
        <v>1943084</v>
      </c>
      <c r="AS622" s="122">
        <v>1766440</v>
      </c>
      <c r="AT622" s="122">
        <v>889243</v>
      </c>
      <c r="AU622" s="122">
        <v>329349</v>
      </c>
      <c r="AV622" s="122">
        <v>8109993</v>
      </c>
    </row>
    <row r="623" spans="2:48" hidden="1">
      <c r="B623" t="s">
        <v>367</v>
      </c>
      <c r="C623" t="s">
        <v>56</v>
      </c>
      <c r="D623" t="s">
        <v>405</v>
      </c>
      <c r="E623" t="s">
        <v>425</v>
      </c>
      <c r="F623">
        <v>1</v>
      </c>
      <c r="G623" s="122">
        <v>118</v>
      </c>
      <c r="H623" s="122">
        <v>218</v>
      </c>
      <c r="I623" s="122">
        <v>10465</v>
      </c>
      <c r="J623" s="122">
        <v>9514</v>
      </c>
      <c r="K623">
        <v>73</v>
      </c>
      <c r="L623" s="122">
        <v>2690</v>
      </c>
      <c r="M623" s="122">
        <v>2445</v>
      </c>
      <c r="N623" s="122">
        <v>2458</v>
      </c>
      <c r="O623" s="122">
        <v>910</v>
      </c>
      <c r="P623" s="122">
        <v>473</v>
      </c>
      <c r="Q623">
        <v>175</v>
      </c>
      <c r="R623" s="122">
        <v>5840</v>
      </c>
      <c r="S623" s="122">
        <v>5309</v>
      </c>
      <c r="T623" s="122">
        <v>3809</v>
      </c>
      <c r="U623" s="122">
        <v>1411</v>
      </c>
      <c r="V623" s="122">
        <v>19764</v>
      </c>
      <c r="W623" s="122">
        <f t="shared" si="18"/>
        <v>19764</v>
      </c>
      <c r="X623" s="122">
        <f t="shared" si="19"/>
        <v>25735</v>
      </c>
      <c r="Y623" s="122"/>
      <c r="AA623" t="s">
        <v>56</v>
      </c>
      <c r="AB623" t="s">
        <v>406</v>
      </c>
      <c r="AC623" t="s">
        <v>433</v>
      </c>
      <c r="AD623" t="s">
        <v>406</v>
      </c>
      <c r="AE623" t="s">
        <v>566</v>
      </c>
      <c r="AF623">
        <v>478</v>
      </c>
      <c r="AG623" s="122">
        <v>47870</v>
      </c>
      <c r="AH623" s="122">
        <v>88334</v>
      </c>
      <c r="AI623" s="122">
        <v>4526246</v>
      </c>
      <c r="AJ623" s="122">
        <v>4114769</v>
      </c>
      <c r="AK623">
        <v>88</v>
      </c>
      <c r="AL623" s="122">
        <v>976559</v>
      </c>
      <c r="AM623" s="122">
        <v>887781</v>
      </c>
      <c r="AN623" s="122">
        <v>913089</v>
      </c>
      <c r="AO623" s="122">
        <v>338181</v>
      </c>
      <c r="AP623" s="122">
        <v>306439</v>
      </c>
      <c r="AQ623" s="122">
        <v>113496</v>
      </c>
      <c r="AR623" s="122">
        <v>2254598</v>
      </c>
      <c r="AS623" s="122">
        <v>2049635</v>
      </c>
      <c r="AT623">
        <v>0</v>
      </c>
      <c r="AU623">
        <v>0</v>
      </c>
      <c r="AV623" s="122">
        <v>7503862</v>
      </c>
    </row>
    <row r="624" spans="2:48" hidden="1">
      <c r="B624" t="s">
        <v>367</v>
      </c>
      <c r="C624" t="s">
        <v>56</v>
      </c>
      <c r="D624" t="s">
        <v>405</v>
      </c>
      <c r="E624" t="s">
        <v>405</v>
      </c>
      <c r="F624">
        <v>13</v>
      </c>
      <c r="G624" s="122">
        <v>1495</v>
      </c>
      <c r="H624" s="122">
        <v>2626</v>
      </c>
      <c r="I624" s="122">
        <v>177421</v>
      </c>
      <c r="J624" s="122">
        <v>161292</v>
      </c>
      <c r="K624">
        <v>90</v>
      </c>
      <c r="L624" s="122">
        <v>48510</v>
      </c>
      <c r="M624" s="122">
        <v>43191</v>
      </c>
      <c r="N624" s="122">
        <v>35811</v>
      </c>
      <c r="O624" s="122">
        <v>13263</v>
      </c>
      <c r="P624" s="122">
        <v>6170</v>
      </c>
      <c r="Q624" s="122">
        <v>2285</v>
      </c>
      <c r="R624" s="122">
        <v>59742</v>
      </c>
      <c r="S624" s="122">
        <v>54311</v>
      </c>
      <c r="T624" s="122">
        <v>5122</v>
      </c>
      <c r="U624" s="122">
        <v>1897</v>
      </c>
      <c r="V624" s="122">
        <v>276239</v>
      </c>
      <c r="W624" s="122">
        <f t="shared" si="18"/>
        <v>276239</v>
      </c>
      <c r="X624" s="122">
        <f t="shared" si="19"/>
        <v>332776</v>
      </c>
      <c r="Y624" s="122"/>
      <c r="AA624" t="s">
        <v>56</v>
      </c>
      <c r="AB624" t="s">
        <v>406</v>
      </c>
      <c r="AC624" t="s">
        <v>433</v>
      </c>
      <c r="AD624" t="s">
        <v>427</v>
      </c>
      <c r="AE624" t="s">
        <v>566</v>
      </c>
      <c r="AF624">
        <v>1</v>
      </c>
      <c r="AG624">
        <v>93</v>
      </c>
      <c r="AH624">
        <v>207</v>
      </c>
      <c r="AI624" s="122">
        <v>8439</v>
      </c>
      <c r="AJ624" s="122">
        <v>7672</v>
      </c>
      <c r="AK624">
        <v>93</v>
      </c>
      <c r="AL624" s="122">
        <v>2757</v>
      </c>
      <c r="AM624" s="122">
        <v>2506</v>
      </c>
      <c r="AN624" s="122">
        <v>2038</v>
      </c>
      <c r="AO624">
        <v>755</v>
      </c>
      <c r="AP624">
        <v>621</v>
      </c>
      <c r="AQ624">
        <v>230</v>
      </c>
      <c r="AR624" s="122">
        <v>5418</v>
      </c>
      <c r="AS624" s="122">
        <v>4926</v>
      </c>
      <c r="AT624">
        <v>0</v>
      </c>
      <c r="AU624">
        <v>0</v>
      </c>
      <c r="AV624" s="122">
        <v>16089</v>
      </c>
    </row>
    <row r="625" spans="2:48" hidden="1">
      <c r="B625" t="s">
        <v>367</v>
      </c>
      <c r="C625" t="s">
        <v>56</v>
      </c>
      <c r="D625" t="s">
        <v>405</v>
      </c>
      <c r="E625" t="s">
        <v>407</v>
      </c>
      <c r="F625">
        <v>2</v>
      </c>
      <c r="G625" s="122">
        <v>228</v>
      </c>
      <c r="H625" s="122">
        <v>411</v>
      </c>
      <c r="I625" s="122">
        <v>22484</v>
      </c>
      <c r="J625" s="122">
        <v>20440</v>
      </c>
      <c r="K625">
        <v>85</v>
      </c>
      <c r="L625" s="122">
        <v>7135</v>
      </c>
      <c r="M625" s="122">
        <v>5945</v>
      </c>
      <c r="N625" s="122">
        <v>5558</v>
      </c>
      <c r="O625" s="122">
        <v>2059</v>
      </c>
      <c r="P625" s="122">
        <v>945</v>
      </c>
      <c r="Q625" s="122">
        <v>350</v>
      </c>
      <c r="R625" s="122">
        <v>8485</v>
      </c>
      <c r="S625" s="122">
        <v>7713</v>
      </c>
      <c r="T625" s="122">
        <v>3018</v>
      </c>
      <c r="U625" s="122">
        <v>1118</v>
      </c>
      <c r="V625" s="122">
        <v>37625</v>
      </c>
      <c r="W625" s="122">
        <f t="shared" si="18"/>
        <v>37625</v>
      </c>
      <c r="X625" s="122">
        <f t="shared" si="19"/>
        <v>47625</v>
      </c>
      <c r="Y625" s="122"/>
      <c r="AA625" t="s">
        <v>56</v>
      </c>
      <c r="AB625" t="s">
        <v>406</v>
      </c>
      <c r="AC625" t="s">
        <v>433</v>
      </c>
      <c r="AD625" t="s">
        <v>407</v>
      </c>
      <c r="AE625" t="s">
        <v>137</v>
      </c>
      <c r="AF625">
        <v>1</v>
      </c>
      <c r="AG625">
        <v>86</v>
      </c>
      <c r="AH625">
        <v>217</v>
      </c>
      <c r="AI625" s="122">
        <v>9307</v>
      </c>
      <c r="AJ625" s="122">
        <v>8461</v>
      </c>
      <c r="AK625">
        <v>70</v>
      </c>
      <c r="AL625">
        <v>982</v>
      </c>
      <c r="AM625">
        <v>893</v>
      </c>
      <c r="AN625" s="122">
        <v>1053</v>
      </c>
      <c r="AO625">
        <v>390</v>
      </c>
      <c r="AP625">
        <v>621</v>
      </c>
      <c r="AQ625">
        <v>230</v>
      </c>
      <c r="AR625" s="122">
        <v>4374</v>
      </c>
      <c r="AS625" s="122">
        <v>3976</v>
      </c>
      <c r="AT625" s="122">
        <v>2429</v>
      </c>
      <c r="AU625">
        <v>900</v>
      </c>
      <c r="AV625" s="122">
        <v>14850</v>
      </c>
    </row>
    <row r="626" spans="2:48" hidden="1">
      <c r="B626" t="s">
        <v>367</v>
      </c>
      <c r="C626" t="s">
        <v>56</v>
      </c>
      <c r="D626" t="s">
        <v>137</v>
      </c>
      <c r="E626" t="s">
        <v>137</v>
      </c>
      <c r="F626">
        <v>411</v>
      </c>
      <c r="G626" s="122">
        <v>36615</v>
      </c>
      <c r="H626" s="122">
        <v>83053</v>
      </c>
      <c r="I626" s="122">
        <v>3422877</v>
      </c>
      <c r="J626" s="122">
        <v>1267732</v>
      </c>
      <c r="K626">
        <v>111</v>
      </c>
      <c r="L626" s="122">
        <v>553675</v>
      </c>
      <c r="M626" s="122">
        <v>292563</v>
      </c>
      <c r="N626" s="122">
        <v>730895</v>
      </c>
      <c r="O626" s="122">
        <v>270702</v>
      </c>
      <c r="P626" s="122">
        <v>17575</v>
      </c>
      <c r="Q626" s="122">
        <v>6509</v>
      </c>
      <c r="R626" s="122">
        <v>2749136</v>
      </c>
      <c r="S626" s="122">
        <v>1018198</v>
      </c>
      <c r="T626" s="122">
        <v>0</v>
      </c>
      <c r="U626" s="122">
        <v>0</v>
      </c>
      <c r="V626" s="122">
        <v>2855705</v>
      </c>
      <c r="W626" s="122">
        <f t="shared" si="18"/>
        <v>2855704</v>
      </c>
      <c r="X626" s="122">
        <f t="shared" si="19"/>
        <v>7474158</v>
      </c>
      <c r="Y626" s="122"/>
      <c r="AA626" t="s">
        <v>56</v>
      </c>
      <c r="AB626" t="s">
        <v>406</v>
      </c>
      <c r="AC626" t="s">
        <v>408</v>
      </c>
      <c r="AD626" t="s">
        <v>406</v>
      </c>
      <c r="AE626" t="s">
        <v>137</v>
      </c>
      <c r="AF626">
        <v>1</v>
      </c>
      <c r="AG626">
        <v>82</v>
      </c>
      <c r="AH626">
        <v>216</v>
      </c>
      <c r="AI626" s="122">
        <v>16884</v>
      </c>
      <c r="AJ626" s="122">
        <v>15349</v>
      </c>
      <c r="AK626">
        <v>70</v>
      </c>
      <c r="AL626" s="122">
        <v>1919</v>
      </c>
      <c r="AM626" s="122">
        <v>1745</v>
      </c>
      <c r="AN626" s="122">
        <v>3394</v>
      </c>
      <c r="AO626" s="122">
        <v>1257</v>
      </c>
      <c r="AP626">
        <v>621</v>
      </c>
      <c r="AQ626">
        <v>230</v>
      </c>
      <c r="AR626" s="122">
        <v>4173</v>
      </c>
      <c r="AS626" s="122">
        <v>3793</v>
      </c>
      <c r="AT626" s="122">
        <v>3034</v>
      </c>
      <c r="AU626" s="122">
        <v>1124</v>
      </c>
      <c r="AV626" s="122">
        <v>23498</v>
      </c>
    </row>
    <row r="627" spans="2:48" hidden="1">
      <c r="B627" t="s">
        <v>367</v>
      </c>
      <c r="C627" t="s">
        <v>56</v>
      </c>
      <c r="D627" t="s">
        <v>137</v>
      </c>
      <c r="E627" t="s">
        <v>556</v>
      </c>
      <c r="F627">
        <v>1</v>
      </c>
      <c r="G627" s="122">
        <v>77</v>
      </c>
      <c r="H627" s="122">
        <v>224</v>
      </c>
      <c r="I627" s="122">
        <v>7288</v>
      </c>
      <c r="J627" s="122">
        <v>2699</v>
      </c>
      <c r="K627">
        <v>100</v>
      </c>
      <c r="L627" s="122">
        <v>6073</v>
      </c>
      <c r="M627" s="122">
        <v>2249</v>
      </c>
      <c r="N627" s="122">
        <v>1003</v>
      </c>
      <c r="O627" s="122">
        <v>372</v>
      </c>
      <c r="P627" s="122">
        <v>0</v>
      </c>
      <c r="Q627" s="122">
        <v>0</v>
      </c>
      <c r="R627" s="122">
        <v>2861</v>
      </c>
      <c r="S627" s="122">
        <v>2385</v>
      </c>
      <c r="T627">
        <v>0</v>
      </c>
      <c r="U627">
        <v>0</v>
      </c>
      <c r="V627" s="122">
        <v>7705</v>
      </c>
      <c r="W627" s="122">
        <f t="shared" si="18"/>
        <v>7705</v>
      </c>
      <c r="X627" s="122">
        <f t="shared" si="19"/>
        <v>17225</v>
      </c>
      <c r="Y627" s="122"/>
      <c r="AA627" t="s">
        <v>56</v>
      </c>
      <c r="AB627" t="s">
        <v>406</v>
      </c>
      <c r="AC627" t="s">
        <v>408</v>
      </c>
      <c r="AD627" t="s">
        <v>406</v>
      </c>
      <c r="AE627" t="s">
        <v>566</v>
      </c>
      <c r="AF627">
        <v>2</v>
      </c>
      <c r="AG627">
        <v>250</v>
      </c>
      <c r="AH627">
        <v>319</v>
      </c>
      <c r="AI627" s="122">
        <v>18517</v>
      </c>
      <c r="AJ627" s="122">
        <v>16834</v>
      </c>
      <c r="AK627">
        <v>88</v>
      </c>
      <c r="AL627" s="122">
        <v>3920</v>
      </c>
      <c r="AM627" s="122">
        <v>3564</v>
      </c>
      <c r="AN627" s="122">
        <v>5087</v>
      </c>
      <c r="AO627" s="122">
        <v>1884</v>
      </c>
      <c r="AP627" s="122">
        <v>1242</v>
      </c>
      <c r="AQ627">
        <v>460</v>
      </c>
      <c r="AR627" s="122">
        <v>10791</v>
      </c>
      <c r="AS627" s="122">
        <v>9810</v>
      </c>
      <c r="AT627">
        <v>0</v>
      </c>
      <c r="AU627">
        <v>0</v>
      </c>
      <c r="AV627" s="122">
        <v>32552</v>
      </c>
    </row>
    <row r="628" spans="2:48" hidden="1">
      <c r="B628" t="s">
        <v>367</v>
      </c>
      <c r="C628" t="s">
        <v>56</v>
      </c>
      <c r="D628" t="s">
        <v>406</v>
      </c>
      <c r="E628" t="s">
        <v>137</v>
      </c>
      <c r="F628">
        <v>6</v>
      </c>
      <c r="G628" s="122">
        <v>738</v>
      </c>
      <c r="H628" s="122">
        <v>1133</v>
      </c>
      <c r="I628" s="122">
        <v>77666</v>
      </c>
      <c r="J628" s="122">
        <v>70605</v>
      </c>
      <c r="K628">
        <v>81</v>
      </c>
      <c r="L628" s="122">
        <v>10521</v>
      </c>
      <c r="M628" s="122">
        <v>8122</v>
      </c>
      <c r="N628" s="122">
        <v>12384</v>
      </c>
      <c r="O628" s="122">
        <v>4586</v>
      </c>
      <c r="P628" s="122">
        <v>3024</v>
      </c>
      <c r="Q628" s="122">
        <v>1120</v>
      </c>
      <c r="R628" s="122">
        <v>40267</v>
      </c>
      <c r="S628" s="122">
        <v>14914</v>
      </c>
      <c r="T628" s="122">
        <v>0</v>
      </c>
      <c r="U628" s="122">
        <v>0</v>
      </c>
      <c r="V628" s="122">
        <v>99347</v>
      </c>
      <c r="W628" s="122">
        <f t="shared" si="18"/>
        <v>99347</v>
      </c>
      <c r="X628" s="122">
        <f t="shared" si="19"/>
        <v>143862</v>
      </c>
      <c r="Y628" s="122"/>
      <c r="AA628" t="s">
        <v>56</v>
      </c>
      <c r="AB628" t="s">
        <v>406</v>
      </c>
      <c r="AC628" t="s">
        <v>429</v>
      </c>
      <c r="AD628" t="s">
        <v>406</v>
      </c>
      <c r="AE628" t="s">
        <v>137</v>
      </c>
      <c r="AF628">
        <v>24</v>
      </c>
      <c r="AG628" s="122">
        <v>2706</v>
      </c>
      <c r="AH628" s="122">
        <v>4696</v>
      </c>
      <c r="AI628" s="122">
        <v>276269</v>
      </c>
      <c r="AJ628" s="122">
        <v>251154</v>
      </c>
      <c r="AK628">
        <v>85</v>
      </c>
      <c r="AL628" s="122">
        <v>47381</v>
      </c>
      <c r="AM628" s="122">
        <v>43074</v>
      </c>
      <c r="AN628" s="122">
        <v>48811</v>
      </c>
      <c r="AO628" s="122">
        <v>18078</v>
      </c>
      <c r="AP628" s="122">
        <v>14715</v>
      </c>
      <c r="AQ628" s="122">
        <v>5450</v>
      </c>
      <c r="AR628" s="122">
        <v>99595</v>
      </c>
      <c r="AS628" s="122">
        <v>90541</v>
      </c>
      <c r="AT628" s="122">
        <v>48673</v>
      </c>
      <c r="AU628" s="122">
        <v>18027</v>
      </c>
      <c r="AV628" s="122">
        <v>426323</v>
      </c>
    </row>
    <row r="629" spans="2:48" hidden="1">
      <c r="B629" t="s">
        <v>367</v>
      </c>
      <c r="C629" t="s">
        <v>56</v>
      </c>
      <c r="D629" t="s">
        <v>406</v>
      </c>
      <c r="E629" t="s">
        <v>406</v>
      </c>
      <c r="F629" s="122">
        <v>2502</v>
      </c>
      <c r="G629" s="122">
        <v>273550</v>
      </c>
      <c r="H629" s="122">
        <v>489234</v>
      </c>
      <c r="I629" s="122">
        <v>27482280</v>
      </c>
      <c r="J629" s="122">
        <v>24983891</v>
      </c>
      <c r="K629">
        <v>87</v>
      </c>
      <c r="L629" s="122">
        <v>6772506</v>
      </c>
      <c r="M629" s="122">
        <v>5471079</v>
      </c>
      <c r="N629" s="122">
        <v>5458495</v>
      </c>
      <c r="O629" s="122">
        <v>2021665</v>
      </c>
      <c r="P629" s="122">
        <v>1563504</v>
      </c>
      <c r="Q629" s="122">
        <v>579075</v>
      </c>
      <c r="R629" s="122">
        <v>11063736</v>
      </c>
      <c r="S629" s="122">
        <v>10057942</v>
      </c>
      <c r="T629" s="122">
        <v>2287131</v>
      </c>
      <c r="U629" s="122">
        <v>847085</v>
      </c>
      <c r="V629" s="122">
        <v>43960738</v>
      </c>
      <c r="W629" s="122">
        <f t="shared" si="18"/>
        <v>43960737</v>
      </c>
      <c r="X629" s="122">
        <f t="shared" si="19"/>
        <v>54627652</v>
      </c>
      <c r="Y629" s="122"/>
      <c r="AA629" t="s">
        <v>56</v>
      </c>
      <c r="AB629" t="s">
        <v>406</v>
      </c>
      <c r="AC629" t="s">
        <v>429</v>
      </c>
      <c r="AD629" t="s">
        <v>406</v>
      </c>
      <c r="AE629" t="s">
        <v>566</v>
      </c>
      <c r="AF629">
        <v>25</v>
      </c>
      <c r="AG629" s="122">
        <v>3043</v>
      </c>
      <c r="AH629" s="122">
        <v>4613</v>
      </c>
      <c r="AI629" s="122">
        <v>318936</v>
      </c>
      <c r="AJ629" s="122">
        <v>289942</v>
      </c>
      <c r="AK629">
        <v>85</v>
      </c>
      <c r="AL629" s="122">
        <v>48249</v>
      </c>
      <c r="AM629" s="122">
        <v>43863</v>
      </c>
      <c r="AN629" s="122">
        <v>53141</v>
      </c>
      <c r="AO629" s="122">
        <v>19682</v>
      </c>
      <c r="AP629" s="122">
        <v>16227</v>
      </c>
      <c r="AQ629" s="122">
        <v>6010</v>
      </c>
      <c r="AR629" s="122">
        <v>133888</v>
      </c>
      <c r="AS629" s="122">
        <v>121717</v>
      </c>
      <c r="AT629">
        <v>0</v>
      </c>
      <c r="AU629">
        <v>0</v>
      </c>
      <c r="AV629" s="122">
        <v>481213</v>
      </c>
    </row>
    <row r="630" spans="2:48" hidden="1">
      <c r="B630" t="s">
        <v>367</v>
      </c>
      <c r="C630" t="s">
        <v>56</v>
      </c>
      <c r="D630" t="s">
        <v>406</v>
      </c>
      <c r="E630" t="s">
        <v>427</v>
      </c>
      <c r="F630">
        <v>4</v>
      </c>
      <c r="G630" s="122">
        <v>385</v>
      </c>
      <c r="H630" s="122">
        <v>759</v>
      </c>
      <c r="I630" s="122">
        <v>39542</v>
      </c>
      <c r="J630" s="122">
        <v>35947</v>
      </c>
      <c r="K630">
        <v>78</v>
      </c>
      <c r="L630" s="122">
        <v>9729</v>
      </c>
      <c r="M630" s="122">
        <v>8084</v>
      </c>
      <c r="N630" s="122">
        <v>9803</v>
      </c>
      <c r="O630" s="122">
        <v>3631</v>
      </c>
      <c r="P630" s="122">
        <v>2484</v>
      </c>
      <c r="Q630" s="122">
        <v>920</v>
      </c>
      <c r="R630" s="122">
        <v>19621</v>
      </c>
      <c r="S630" s="122">
        <v>17837</v>
      </c>
      <c r="T630" s="122">
        <v>5877</v>
      </c>
      <c r="U630" s="122">
        <v>2177</v>
      </c>
      <c r="V630" s="122">
        <v>68596</v>
      </c>
      <c r="W630" s="122">
        <f t="shared" si="18"/>
        <v>68596</v>
      </c>
      <c r="X630" s="122">
        <f t="shared" si="19"/>
        <v>87056</v>
      </c>
      <c r="Y630" s="122"/>
      <c r="AA630" t="s">
        <v>56</v>
      </c>
      <c r="AB630" t="s">
        <v>427</v>
      </c>
      <c r="AC630" t="s">
        <v>425</v>
      </c>
      <c r="AD630" t="s">
        <v>406</v>
      </c>
      <c r="AE630" t="s">
        <v>566</v>
      </c>
      <c r="AF630">
        <v>1</v>
      </c>
      <c r="AG630">
        <v>116</v>
      </c>
      <c r="AH630">
        <v>222</v>
      </c>
      <c r="AI630" s="122">
        <v>11602</v>
      </c>
      <c r="AJ630" s="122">
        <v>10547</v>
      </c>
      <c r="AK630">
        <v>86</v>
      </c>
      <c r="AL630" s="122">
        <v>1662</v>
      </c>
      <c r="AM630" s="122">
        <v>1510</v>
      </c>
      <c r="AN630" s="122">
        <v>2829</v>
      </c>
      <c r="AO630" s="122">
        <v>1048</v>
      </c>
      <c r="AP630">
        <v>621</v>
      </c>
      <c r="AQ630">
        <v>230</v>
      </c>
      <c r="AR630" s="122">
        <v>9032</v>
      </c>
      <c r="AS630" s="122">
        <v>8211</v>
      </c>
      <c r="AT630">
        <v>0</v>
      </c>
      <c r="AU630">
        <v>0</v>
      </c>
      <c r="AV630" s="122">
        <v>21547</v>
      </c>
    </row>
    <row r="631" spans="2:48" hidden="1">
      <c r="B631" t="s">
        <v>367</v>
      </c>
      <c r="C631" t="s">
        <v>56</v>
      </c>
      <c r="D631" t="s">
        <v>406</v>
      </c>
      <c r="E631" t="s">
        <v>407</v>
      </c>
      <c r="F631">
        <v>9</v>
      </c>
      <c r="G631" s="122">
        <v>1173</v>
      </c>
      <c r="H631" s="122">
        <v>1778</v>
      </c>
      <c r="I631" s="122">
        <v>123864</v>
      </c>
      <c r="J631" s="122">
        <v>112604</v>
      </c>
      <c r="K631">
        <v>86</v>
      </c>
      <c r="L631" s="122">
        <v>31953</v>
      </c>
      <c r="M631" s="122">
        <v>28467</v>
      </c>
      <c r="N631" s="122">
        <v>21555</v>
      </c>
      <c r="O631" s="122">
        <v>7983</v>
      </c>
      <c r="P631" s="122">
        <v>5589</v>
      </c>
      <c r="Q631" s="122">
        <v>2070</v>
      </c>
      <c r="R631" s="122">
        <v>46631</v>
      </c>
      <c r="S631" s="122">
        <v>42392</v>
      </c>
      <c r="T631" s="122">
        <v>4809</v>
      </c>
      <c r="U631" s="122">
        <v>1781</v>
      </c>
      <c r="V631" s="122">
        <v>195297</v>
      </c>
      <c r="W631" s="122">
        <f t="shared" si="18"/>
        <v>195297</v>
      </c>
      <c r="X631" s="122">
        <f t="shared" si="19"/>
        <v>234401</v>
      </c>
      <c r="Y631" s="122"/>
      <c r="AA631" t="s">
        <v>56</v>
      </c>
      <c r="AB631" t="s">
        <v>427</v>
      </c>
      <c r="AC631" t="s">
        <v>137</v>
      </c>
      <c r="AD631" t="s">
        <v>427</v>
      </c>
      <c r="AE631" t="s">
        <v>137</v>
      </c>
      <c r="AF631">
        <v>3</v>
      </c>
      <c r="AG631">
        <v>277</v>
      </c>
      <c r="AH631">
        <v>599</v>
      </c>
      <c r="AI631" s="122">
        <v>27657</v>
      </c>
      <c r="AJ631" s="122">
        <v>25142</v>
      </c>
      <c r="AK631">
        <v>77</v>
      </c>
      <c r="AL631" s="122">
        <v>5800</v>
      </c>
      <c r="AM631" s="122">
        <v>2148</v>
      </c>
      <c r="AN631" s="122">
        <v>5170</v>
      </c>
      <c r="AO631" s="122">
        <v>1915</v>
      </c>
      <c r="AP631">
        <v>824</v>
      </c>
      <c r="AQ631">
        <v>305</v>
      </c>
      <c r="AR631" s="122">
        <v>11685</v>
      </c>
      <c r="AS631" s="122">
        <v>10623</v>
      </c>
      <c r="AT631" s="122">
        <v>4783</v>
      </c>
      <c r="AU631" s="122">
        <v>1771</v>
      </c>
      <c r="AV631" s="122">
        <v>41905</v>
      </c>
    </row>
    <row r="632" spans="2:48" hidden="1">
      <c r="B632" t="s">
        <v>367</v>
      </c>
      <c r="C632" t="s">
        <v>56</v>
      </c>
      <c r="D632" t="s">
        <v>406</v>
      </c>
      <c r="E632" t="s">
        <v>556</v>
      </c>
      <c r="F632">
        <v>1</v>
      </c>
      <c r="G632">
        <v>113</v>
      </c>
      <c r="H632">
        <v>186</v>
      </c>
      <c r="I632" s="122">
        <v>11375</v>
      </c>
      <c r="J632" s="122">
        <v>10341</v>
      </c>
      <c r="K632">
        <v>94</v>
      </c>
      <c r="L632" s="122">
        <v>1976</v>
      </c>
      <c r="M632" s="122">
        <v>1796</v>
      </c>
      <c r="N632" s="122">
        <v>2676</v>
      </c>
      <c r="O632" s="122">
        <v>991</v>
      </c>
      <c r="P632">
        <v>621</v>
      </c>
      <c r="Q632">
        <v>230</v>
      </c>
      <c r="R632" s="122">
        <v>4439</v>
      </c>
      <c r="S632" s="122">
        <v>3699</v>
      </c>
      <c r="T632">
        <v>0</v>
      </c>
      <c r="U632">
        <v>0</v>
      </c>
      <c r="V632" s="122">
        <v>17057</v>
      </c>
      <c r="W632" s="122">
        <f t="shared" si="18"/>
        <v>17057</v>
      </c>
      <c r="X632" s="122">
        <f t="shared" si="19"/>
        <v>21087</v>
      </c>
      <c r="Y632" s="122"/>
      <c r="AA632" t="s">
        <v>56</v>
      </c>
      <c r="AB632" t="s">
        <v>427</v>
      </c>
      <c r="AC632" t="s">
        <v>137</v>
      </c>
      <c r="AD632" t="s">
        <v>427</v>
      </c>
      <c r="AE632" t="s">
        <v>566</v>
      </c>
      <c r="AF632">
        <v>1</v>
      </c>
      <c r="AG632">
        <v>114</v>
      </c>
      <c r="AH632">
        <v>219</v>
      </c>
      <c r="AI632" s="122">
        <v>12196</v>
      </c>
      <c r="AJ632" s="122">
        <v>11087</v>
      </c>
      <c r="AK632">
        <v>55</v>
      </c>
      <c r="AL632" s="122">
        <v>1736</v>
      </c>
      <c r="AM632">
        <v>643</v>
      </c>
      <c r="AN632" s="122">
        <v>1881</v>
      </c>
      <c r="AO632">
        <v>697</v>
      </c>
      <c r="AP632">
        <v>351</v>
      </c>
      <c r="AQ632">
        <v>130</v>
      </c>
      <c r="AR632" s="122">
        <v>8703</v>
      </c>
      <c r="AS632" s="122">
        <v>7912</v>
      </c>
      <c r="AT632">
        <v>0</v>
      </c>
      <c r="AU632">
        <v>0</v>
      </c>
      <c r="AV632" s="122">
        <v>20469</v>
      </c>
    </row>
    <row r="633" spans="2:48" hidden="1">
      <c r="B633" t="s">
        <v>367</v>
      </c>
      <c r="C633" t="s">
        <v>56</v>
      </c>
      <c r="D633" t="s">
        <v>406</v>
      </c>
      <c r="E633" t="s">
        <v>426</v>
      </c>
      <c r="F633">
        <v>2</v>
      </c>
      <c r="G633" s="122">
        <v>198</v>
      </c>
      <c r="H633" s="122">
        <v>393</v>
      </c>
      <c r="I633" s="122">
        <v>21475</v>
      </c>
      <c r="J633" s="122">
        <v>19523</v>
      </c>
      <c r="K633">
        <v>86</v>
      </c>
      <c r="L633" s="122">
        <v>5716</v>
      </c>
      <c r="M633" s="122">
        <v>4268</v>
      </c>
      <c r="N633" s="122">
        <v>4751</v>
      </c>
      <c r="O633" s="122">
        <v>1760</v>
      </c>
      <c r="P633" s="122">
        <v>891</v>
      </c>
      <c r="Q633" s="122">
        <v>330</v>
      </c>
      <c r="R633" s="122">
        <v>11420</v>
      </c>
      <c r="S633" s="122">
        <v>10381</v>
      </c>
      <c r="T633" s="122">
        <v>0</v>
      </c>
      <c r="U633" s="122">
        <v>0</v>
      </c>
      <c r="V633" s="122">
        <v>36261</v>
      </c>
      <c r="W633" s="122">
        <f t="shared" si="18"/>
        <v>36262</v>
      </c>
      <c r="X633" s="122">
        <f t="shared" si="19"/>
        <v>44253</v>
      </c>
      <c r="Y633" s="122"/>
      <c r="AA633" t="s">
        <v>56</v>
      </c>
      <c r="AB633" t="s">
        <v>427</v>
      </c>
      <c r="AC633" t="s">
        <v>580</v>
      </c>
      <c r="AD633" t="s">
        <v>427</v>
      </c>
      <c r="AE633" t="s">
        <v>137</v>
      </c>
      <c r="AF633">
        <v>1</v>
      </c>
      <c r="AG633">
        <v>88</v>
      </c>
      <c r="AH633">
        <v>225</v>
      </c>
      <c r="AI633" s="122">
        <v>9589</v>
      </c>
      <c r="AJ633" s="122">
        <v>8717</v>
      </c>
      <c r="AK633">
        <v>65</v>
      </c>
      <c r="AL633" s="122">
        <v>1623</v>
      </c>
      <c r="AM633" s="122">
        <v>1476</v>
      </c>
      <c r="AN633" s="122">
        <v>2033</v>
      </c>
      <c r="AO633">
        <v>753</v>
      </c>
      <c r="AP633">
        <v>621</v>
      </c>
      <c r="AQ633">
        <v>230</v>
      </c>
      <c r="AR633" s="122">
        <v>3580</v>
      </c>
      <c r="AS633" s="122">
        <v>3255</v>
      </c>
      <c r="AT633" s="122">
        <v>2270</v>
      </c>
      <c r="AU633">
        <v>841</v>
      </c>
      <c r="AV633" s="122">
        <v>15271</v>
      </c>
    </row>
    <row r="634" spans="2:48" hidden="1">
      <c r="B634" t="s">
        <v>367</v>
      </c>
      <c r="C634" t="s">
        <v>56</v>
      </c>
      <c r="D634" t="s">
        <v>407</v>
      </c>
      <c r="E634" t="s">
        <v>405</v>
      </c>
      <c r="F634">
        <v>13</v>
      </c>
      <c r="G634" s="122">
        <v>1211</v>
      </c>
      <c r="H634" s="122">
        <v>2451</v>
      </c>
      <c r="I634" s="122">
        <v>111723</v>
      </c>
      <c r="J634" s="122">
        <v>101566</v>
      </c>
      <c r="K634">
        <v>84</v>
      </c>
      <c r="L634" s="122">
        <v>26428</v>
      </c>
      <c r="M634" s="122">
        <v>22812</v>
      </c>
      <c r="N634" s="122">
        <v>23107</v>
      </c>
      <c r="O634" s="122">
        <v>8558</v>
      </c>
      <c r="P634" s="122">
        <v>6021</v>
      </c>
      <c r="Q634" s="122">
        <v>2230</v>
      </c>
      <c r="R634" s="122">
        <v>50975</v>
      </c>
      <c r="S634" s="122">
        <v>46341</v>
      </c>
      <c r="T634" s="122">
        <v>6582</v>
      </c>
      <c r="U634" s="122">
        <v>2438</v>
      </c>
      <c r="V634" s="122">
        <v>183945</v>
      </c>
      <c r="W634" s="122">
        <f t="shared" si="18"/>
        <v>183945</v>
      </c>
      <c r="X634" s="122">
        <f t="shared" si="19"/>
        <v>224836</v>
      </c>
      <c r="Y634" s="122"/>
      <c r="AA634" t="s">
        <v>56</v>
      </c>
      <c r="AB634" t="s">
        <v>427</v>
      </c>
      <c r="AC634" t="s">
        <v>580</v>
      </c>
      <c r="AD634" t="s">
        <v>427</v>
      </c>
      <c r="AE634" t="s">
        <v>566</v>
      </c>
      <c r="AF634">
        <v>1</v>
      </c>
      <c r="AG634">
        <v>111</v>
      </c>
      <c r="AH634">
        <v>218</v>
      </c>
      <c r="AI634" s="122">
        <v>13951</v>
      </c>
      <c r="AJ634" s="122">
        <v>12683</v>
      </c>
      <c r="AK634">
        <v>65</v>
      </c>
      <c r="AL634" s="122">
        <v>1439</v>
      </c>
      <c r="AM634" s="122">
        <v>1309</v>
      </c>
      <c r="AN634" s="122">
        <v>1349</v>
      </c>
      <c r="AO634">
        <v>500</v>
      </c>
      <c r="AP634">
        <v>621</v>
      </c>
      <c r="AQ634">
        <v>230</v>
      </c>
      <c r="AR634" s="122">
        <v>6762</v>
      </c>
      <c r="AS634" s="122">
        <v>6147</v>
      </c>
      <c r="AT634">
        <v>0</v>
      </c>
      <c r="AU634">
        <v>0</v>
      </c>
      <c r="AV634" s="122">
        <v>20869</v>
      </c>
    </row>
    <row r="635" spans="2:48" hidden="1">
      <c r="B635" t="s">
        <v>367</v>
      </c>
      <c r="C635" t="s">
        <v>56</v>
      </c>
      <c r="D635" t="s">
        <v>407</v>
      </c>
      <c r="E635" t="s">
        <v>137</v>
      </c>
      <c r="F635">
        <v>31</v>
      </c>
      <c r="G635" s="122">
        <v>3575</v>
      </c>
      <c r="H635" s="122">
        <v>5916</v>
      </c>
      <c r="I635" s="122">
        <v>357637</v>
      </c>
      <c r="J635" s="122">
        <v>325125</v>
      </c>
      <c r="K635">
        <v>83</v>
      </c>
      <c r="L635" s="122">
        <v>66890</v>
      </c>
      <c r="M635" s="122">
        <v>60052</v>
      </c>
      <c r="N635" s="122">
        <v>64101</v>
      </c>
      <c r="O635" s="122">
        <v>23741</v>
      </c>
      <c r="P635" s="122">
        <v>15002</v>
      </c>
      <c r="Q635" s="122">
        <v>5556</v>
      </c>
      <c r="R635" s="122">
        <v>184777</v>
      </c>
      <c r="S635" s="122">
        <v>68436</v>
      </c>
      <c r="T635" s="122">
        <v>751</v>
      </c>
      <c r="U635" s="122">
        <v>278</v>
      </c>
      <c r="V635" s="122">
        <v>483189</v>
      </c>
      <c r="W635" s="122">
        <f t="shared" si="18"/>
        <v>483188</v>
      </c>
      <c r="X635" s="122">
        <f t="shared" si="19"/>
        <v>689158</v>
      </c>
      <c r="Y635" s="122"/>
      <c r="AA635" t="s">
        <v>56</v>
      </c>
      <c r="AB635" t="s">
        <v>427</v>
      </c>
      <c r="AC635" t="s">
        <v>427</v>
      </c>
      <c r="AD635" t="s">
        <v>406</v>
      </c>
      <c r="AE635" t="s">
        <v>137</v>
      </c>
      <c r="AF635">
        <v>1</v>
      </c>
      <c r="AG635">
        <v>91</v>
      </c>
      <c r="AH635">
        <v>196</v>
      </c>
      <c r="AI635" s="122">
        <v>9866</v>
      </c>
      <c r="AJ635" s="122">
        <v>8969</v>
      </c>
      <c r="AK635">
        <v>85</v>
      </c>
      <c r="AL635" s="122">
        <v>1769</v>
      </c>
      <c r="AM635" s="122">
        <v>1608</v>
      </c>
      <c r="AN635" s="122">
        <v>1605</v>
      </c>
      <c r="AO635">
        <v>595</v>
      </c>
      <c r="AP635">
        <v>621</v>
      </c>
      <c r="AQ635">
        <v>230</v>
      </c>
      <c r="AR635" s="122">
        <v>4103</v>
      </c>
      <c r="AS635" s="122">
        <v>3730</v>
      </c>
      <c r="AT635">
        <v>0</v>
      </c>
      <c r="AU635">
        <v>0</v>
      </c>
      <c r="AV635" s="122">
        <v>15132</v>
      </c>
    </row>
    <row r="636" spans="2:48" hidden="1">
      <c r="B636" t="s">
        <v>367</v>
      </c>
      <c r="C636" t="s">
        <v>56</v>
      </c>
      <c r="D636" t="s">
        <v>407</v>
      </c>
      <c r="E636" t="s">
        <v>406</v>
      </c>
      <c r="F636">
        <v>10</v>
      </c>
      <c r="G636" s="122">
        <v>951</v>
      </c>
      <c r="H636" s="122">
        <v>1842</v>
      </c>
      <c r="I636" s="122">
        <v>82914</v>
      </c>
      <c r="J636" s="122">
        <v>75376</v>
      </c>
      <c r="K636">
        <v>83</v>
      </c>
      <c r="L636" s="122">
        <v>23283</v>
      </c>
      <c r="M636" s="122">
        <v>18044</v>
      </c>
      <c r="N636" s="122">
        <v>21946</v>
      </c>
      <c r="O636" s="122">
        <v>8128</v>
      </c>
      <c r="P636" s="122">
        <v>4725</v>
      </c>
      <c r="Q636" s="122">
        <v>1750</v>
      </c>
      <c r="R636" s="122">
        <v>42827</v>
      </c>
      <c r="S636" s="122">
        <v>38933</v>
      </c>
      <c r="T636" s="122">
        <v>2478</v>
      </c>
      <c r="U636" s="122">
        <v>918</v>
      </c>
      <c r="V636" s="122">
        <v>143149</v>
      </c>
      <c r="W636" s="122">
        <f t="shared" si="18"/>
        <v>143149</v>
      </c>
      <c r="X636" s="122">
        <f t="shared" si="19"/>
        <v>178173</v>
      </c>
      <c r="Y636" s="122"/>
      <c r="AA636" t="s">
        <v>56</v>
      </c>
      <c r="AB636" t="s">
        <v>427</v>
      </c>
      <c r="AC636" t="s">
        <v>427</v>
      </c>
      <c r="AD636" t="s">
        <v>406</v>
      </c>
      <c r="AE636" t="s">
        <v>566</v>
      </c>
      <c r="AF636">
        <v>1</v>
      </c>
      <c r="AG636">
        <v>103</v>
      </c>
      <c r="AH636">
        <v>213</v>
      </c>
      <c r="AI636" s="122">
        <v>10634</v>
      </c>
      <c r="AJ636" s="122">
        <v>9667</v>
      </c>
      <c r="AK636">
        <v>79</v>
      </c>
      <c r="AL636" s="122">
        <v>2954</v>
      </c>
      <c r="AM636" s="122">
        <v>2685</v>
      </c>
      <c r="AN636" s="122">
        <v>2204</v>
      </c>
      <c r="AO636">
        <v>816</v>
      </c>
      <c r="AP636">
        <v>270</v>
      </c>
      <c r="AQ636">
        <v>100</v>
      </c>
      <c r="AR636" s="122">
        <v>5839</v>
      </c>
      <c r="AS636" s="122">
        <v>5308</v>
      </c>
      <c r="AT636">
        <v>0</v>
      </c>
      <c r="AU636">
        <v>0</v>
      </c>
      <c r="AV636" s="122">
        <v>18577</v>
      </c>
    </row>
    <row r="637" spans="2:48" hidden="1">
      <c r="B637" t="s">
        <v>367</v>
      </c>
      <c r="C637" t="s">
        <v>56</v>
      </c>
      <c r="D637" t="s">
        <v>407</v>
      </c>
      <c r="E637" t="s">
        <v>427</v>
      </c>
      <c r="F637">
        <v>2</v>
      </c>
      <c r="G637">
        <v>150</v>
      </c>
      <c r="H637">
        <v>403</v>
      </c>
      <c r="I637" s="122">
        <v>11392</v>
      </c>
      <c r="J637" s="122">
        <v>10357</v>
      </c>
      <c r="K637">
        <v>78</v>
      </c>
      <c r="L637" s="122">
        <v>3127</v>
      </c>
      <c r="M637" s="122">
        <v>2842</v>
      </c>
      <c r="N637" s="122">
        <v>3647</v>
      </c>
      <c r="O637" s="122">
        <v>1351</v>
      </c>
      <c r="P637" s="122">
        <v>945</v>
      </c>
      <c r="Q637">
        <v>350</v>
      </c>
      <c r="R637" s="122">
        <v>11044</v>
      </c>
      <c r="S637" s="122">
        <v>10040</v>
      </c>
      <c r="T637">
        <v>0</v>
      </c>
      <c r="U637">
        <v>0</v>
      </c>
      <c r="V637" s="122">
        <v>24940</v>
      </c>
      <c r="W637" s="122">
        <f t="shared" si="18"/>
        <v>24940</v>
      </c>
      <c r="X637" s="122">
        <f t="shared" si="19"/>
        <v>30155</v>
      </c>
      <c r="Y637" s="122"/>
      <c r="AA637" t="s">
        <v>56</v>
      </c>
      <c r="AB637" t="s">
        <v>427</v>
      </c>
      <c r="AC637" t="s">
        <v>427</v>
      </c>
      <c r="AD637" t="s">
        <v>427</v>
      </c>
      <c r="AE637" t="s">
        <v>137</v>
      </c>
      <c r="AF637">
        <v>3</v>
      </c>
      <c r="AG637">
        <v>346</v>
      </c>
      <c r="AH637">
        <v>635</v>
      </c>
      <c r="AI637" s="122">
        <v>38742</v>
      </c>
      <c r="AJ637" s="122">
        <v>35220</v>
      </c>
      <c r="AK637">
        <v>65</v>
      </c>
      <c r="AL637" s="122">
        <v>4911</v>
      </c>
      <c r="AM637" s="122">
        <v>4464</v>
      </c>
      <c r="AN637" s="122">
        <v>7402</v>
      </c>
      <c r="AO637" s="122">
        <v>2741</v>
      </c>
      <c r="AP637" s="122">
        <v>1341</v>
      </c>
      <c r="AQ637">
        <v>497</v>
      </c>
      <c r="AR637" s="122">
        <v>13022</v>
      </c>
      <c r="AS637" s="122">
        <v>11838</v>
      </c>
      <c r="AT637" s="122">
        <v>7738</v>
      </c>
      <c r="AU637" s="122">
        <v>2866</v>
      </c>
      <c r="AV637" s="122">
        <v>57627</v>
      </c>
    </row>
    <row r="638" spans="2:48" hidden="1">
      <c r="B638" t="s">
        <v>367</v>
      </c>
      <c r="C638" t="s">
        <v>56</v>
      </c>
      <c r="D638" t="s">
        <v>407</v>
      </c>
      <c r="E638" t="s">
        <v>407</v>
      </c>
      <c r="F638" s="122">
        <v>43903</v>
      </c>
      <c r="G638" s="122">
        <v>4418405</v>
      </c>
      <c r="H638" s="122">
        <v>8316210</v>
      </c>
      <c r="I638" s="122">
        <v>415723407</v>
      </c>
      <c r="J638" s="122">
        <v>377930368</v>
      </c>
      <c r="K638">
        <v>84</v>
      </c>
      <c r="L638" s="122">
        <v>104630336</v>
      </c>
      <c r="M638" s="122">
        <v>88557571</v>
      </c>
      <c r="N638" s="122">
        <v>87395852</v>
      </c>
      <c r="O638" s="122">
        <v>32368833</v>
      </c>
      <c r="P638" s="122">
        <v>20962329</v>
      </c>
      <c r="Q638" s="122">
        <v>7763826</v>
      </c>
      <c r="R638" s="122">
        <v>198117394</v>
      </c>
      <c r="S638" s="122">
        <v>180106720</v>
      </c>
      <c r="T638" s="122">
        <v>26704976</v>
      </c>
      <c r="U638" s="122">
        <v>9890732</v>
      </c>
      <c r="V638" s="122">
        <v>696618050</v>
      </c>
      <c r="W638" s="122">
        <f t="shared" si="18"/>
        <v>696618050</v>
      </c>
      <c r="X638" s="122">
        <f t="shared" si="19"/>
        <v>853534294</v>
      </c>
      <c r="Y638" s="122"/>
      <c r="AA638" t="s">
        <v>56</v>
      </c>
      <c r="AB638" t="s">
        <v>427</v>
      </c>
      <c r="AC638" t="s">
        <v>427</v>
      </c>
      <c r="AD638" t="s">
        <v>427</v>
      </c>
      <c r="AE638" t="s">
        <v>566</v>
      </c>
      <c r="AF638">
        <v>1</v>
      </c>
      <c r="AG638">
        <v>84</v>
      </c>
      <c r="AH638">
        <v>215</v>
      </c>
      <c r="AI638" s="122">
        <v>9201</v>
      </c>
      <c r="AJ638" s="122">
        <v>8365</v>
      </c>
      <c r="AK638">
        <v>79</v>
      </c>
      <c r="AL638" s="122">
        <v>1394</v>
      </c>
      <c r="AM638" s="122">
        <v>1267</v>
      </c>
      <c r="AN638" s="122">
        <v>2037</v>
      </c>
      <c r="AO638">
        <v>754</v>
      </c>
      <c r="AP638">
        <v>621</v>
      </c>
      <c r="AQ638">
        <v>230</v>
      </c>
      <c r="AR638" s="122">
        <v>4756</v>
      </c>
      <c r="AS638" s="122">
        <v>4323</v>
      </c>
      <c r="AT638">
        <v>0</v>
      </c>
      <c r="AU638">
        <v>0</v>
      </c>
      <c r="AV638" s="122">
        <v>14940</v>
      </c>
    </row>
    <row r="639" spans="2:48" hidden="1">
      <c r="B639" t="s">
        <v>367</v>
      </c>
      <c r="C639" t="s">
        <v>56</v>
      </c>
      <c r="D639" t="s">
        <v>407</v>
      </c>
      <c r="E639" t="s">
        <v>556</v>
      </c>
      <c r="F639">
        <v>9</v>
      </c>
      <c r="G639">
        <v>833</v>
      </c>
      <c r="H639" s="122">
        <v>1802</v>
      </c>
      <c r="I639" s="122">
        <v>80995</v>
      </c>
      <c r="J639" s="122">
        <v>73631</v>
      </c>
      <c r="K639">
        <v>78</v>
      </c>
      <c r="L639" s="122">
        <v>16834</v>
      </c>
      <c r="M639" s="122">
        <v>17634</v>
      </c>
      <c r="N639" s="122">
        <v>18198</v>
      </c>
      <c r="O639" s="122">
        <v>6740</v>
      </c>
      <c r="P639" s="122">
        <v>4253</v>
      </c>
      <c r="Q639" s="122">
        <v>1575</v>
      </c>
      <c r="R639" s="122">
        <v>50824</v>
      </c>
      <c r="S639" s="122">
        <v>42353</v>
      </c>
      <c r="T639" s="122">
        <v>4359</v>
      </c>
      <c r="U639" s="122">
        <v>1614</v>
      </c>
      <c r="V639" s="122">
        <v>143549</v>
      </c>
      <c r="W639" s="122">
        <f t="shared" si="18"/>
        <v>143547</v>
      </c>
      <c r="X639" s="122">
        <f t="shared" si="19"/>
        <v>175463</v>
      </c>
      <c r="Y639" s="122"/>
      <c r="AA639" t="s">
        <v>56</v>
      </c>
      <c r="AB639" t="s">
        <v>427</v>
      </c>
      <c r="AC639" t="s">
        <v>579</v>
      </c>
      <c r="AD639" t="s">
        <v>406</v>
      </c>
      <c r="AE639" t="s">
        <v>137</v>
      </c>
      <c r="AF639">
        <v>1</v>
      </c>
      <c r="AG639">
        <v>72</v>
      </c>
      <c r="AH639">
        <v>196</v>
      </c>
      <c r="AI639" s="122">
        <v>5230</v>
      </c>
      <c r="AJ639" s="122">
        <v>4755</v>
      </c>
      <c r="AK639">
        <v>93</v>
      </c>
      <c r="AL639" s="122">
        <v>1017</v>
      </c>
      <c r="AM639">
        <v>847</v>
      </c>
      <c r="AN639" s="122">
        <v>1483</v>
      </c>
      <c r="AO639">
        <v>549</v>
      </c>
      <c r="AP639">
        <v>621</v>
      </c>
      <c r="AQ639">
        <v>230</v>
      </c>
      <c r="AR639" s="122">
        <v>3279</v>
      </c>
      <c r="AS639" s="122">
        <v>2981</v>
      </c>
      <c r="AT639" s="122">
        <v>2408</v>
      </c>
      <c r="AU639">
        <v>892</v>
      </c>
      <c r="AV639" s="122">
        <v>10254</v>
      </c>
    </row>
    <row r="640" spans="2:48" hidden="1">
      <c r="B640" t="s">
        <v>367</v>
      </c>
      <c r="C640" t="s">
        <v>56</v>
      </c>
      <c r="D640" t="s">
        <v>407</v>
      </c>
      <c r="E640" t="s">
        <v>426</v>
      </c>
      <c r="F640">
        <v>5</v>
      </c>
      <c r="G640" s="122">
        <v>512</v>
      </c>
      <c r="H640" s="122">
        <v>922</v>
      </c>
      <c r="I640" s="122">
        <v>46379</v>
      </c>
      <c r="J640" s="122">
        <v>42163</v>
      </c>
      <c r="K640">
        <v>88</v>
      </c>
      <c r="L640" s="122">
        <v>7837</v>
      </c>
      <c r="M640" s="122">
        <v>9163</v>
      </c>
      <c r="N640" s="122">
        <v>11056</v>
      </c>
      <c r="O640" s="122">
        <v>4095</v>
      </c>
      <c r="P640" s="122">
        <v>2363</v>
      </c>
      <c r="Q640" s="122">
        <v>875</v>
      </c>
      <c r="R640" s="122">
        <v>24922</v>
      </c>
      <c r="S640" s="122">
        <v>22656</v>
      </c>
      <c r="T640" s="122">
        <v>0</v>
      </c>
      <c r="U640" s="122">
        <v>0</v>
      </c>
      <c r="V640" s="122">
        <v>78952</v>
      </c>
      <c r="W640" s="122">
        <f t="shared" si="18"/>
        <v>78952</v>
      </c>
      <c r="X640" s="122">
        <f t="shared" si="19"/>
        <v>92557</v>
      </c>
      <c r="Y640" s="122"/>
      <c r="AA640" t="s">
        <v>56</v>
      </c>
      <c r="AB640" t="s">
        <v>427</v>
      </c>
      <c r="AC640" t="s">
        <v>579</v>
      </c>
      <c r="AD640" t="s">
        <v>406</v>
      </c>
      <c r="AE640" t="s">
        <v>566</v>
      </c>
      <c r="AF640">
        <v>1</v>
      </c>
      <c r="AG640">
        <v>90</v>
      </c>
      <c r="AH640">
        <v>179</v>
      </c>
      <c r="AI640" s="122">
        <v>7511</v>
      </c>
      <c r="AJ640" s="122">
        <v>6828</v>
      </c>
      <c r="AK640">
        <v>85</v>
      </c>
      <c r="AL640" s="122">
        <v>2579</v>
      </c>
      <c r="AM640" s="122">
        <v>2149</v>
      </c>
      <c r="AN640" s="122">
        <v>1367</v>
      </c>
      <c r="AO640">
        <v>506</v>
      </c>
      <c r="AP640">
        <v>621</v>
      </c>
      <c r="AQ640">
        <v>230</v>
      </c>
      <c r="AR640" s="122">
        <v>4137</v>
      </c>
      <c r="AS640" s="122">
        <v>3761</v>
      </c>
      <c r="AT640">
        <v>0</v>
      </c>
      <c r="AU640">
        <v>0</v>
      </c>
      <c r="AV640" s="122">
        <v>13474</v>
      </c>
    </row>
    <row r="641" spans="2:48" hidden="1">
      <c r="B641" t="s">
        <v>367</v>
      </c>
      <c r="C641" t="s">
        <v>56</v>
      </c>
      <c r="D641" t="s">
        <v>407</v>
      </c>
      <c r="E641" t="s">
        <v>433</v>
      </c>
      <c r="F641">
        <v>3</v>
      </c>
      <c r="G641">
        <v>317</v>
      </c>
      <c r="H641" s="122">
        <v>601</v>
      </c>
      <c r="I641" s="122">
        <v>37212</v>
      </c>
      <c r="J641" s="122">
        <v>33829</v>
      </c>
      <c r="K641">
        <v>83</v>
      </c>
      <c r="L641" s="122">
        <v>7204</v>
      </c>
      <c r="M641" s="122">
        <v>6549</v>
      </c>
      <c r="N641" s="122">
        <v>6083</v>
      </c>
      <c r="O641" s="122">
        <v>2253</v>
      </c>
      <c r="P641" s="122">
        <v>1418</v>
      </c>
      <c r="Q641" s="122">
        <v>525</v>
      </c>
      <c r="R641" s="122">
        <v>16525</v>
      </c>
      <c r="S641" s="122">
        <v>15023</v>
      </c>
      <c r="T641" s="122">
        <v>2751</v>
      </c>
      <c r="U641" s="122">
        <v>1019</v>
      </c>
      <c r="V641" s="122">
        <v>59197</v>
      </c>
      <c r="W641" s="122">
        <f t="shared" si="18"/>
        <v>59198</v>
      </c>
      <c r="X641" s="122">
        <f t="shared" si="19"/>
        <v>71193</v>
      </c>
      <c r="Y641" s="122"/>
      <c r="AA641" t="s">
        <v>56</v>
      </c>
      <c r="AB641" t="s">
        <v>427</v>
      </c>
      <c r="AC641" t="s">
        <v>426</v>
      </c>
      <c r="AD641" t="s">
        <v>406</v>
      </c>
      <c r="AE641" t="s">
        <v>137</v>
      </c>
      <c r="AF641">
        <v>2</v>
      </c>
      <c r="AG641">
        <v>227</v>
      </c>
      <c r="AH641">
        <v>423</v>
      </c>
      <c r="AI641" s="122">
        <v>23269</v>
      </c>
      <c r="AJ641" s="122">
        <v>21154</v>
      </c>
      <c r="AK641">
        <v>86</v>
      </c>
      <c r="AL641" s="122">
        <v>7051</v>
      </c>
      <c r="AM641" s="122">
        <v>6410</v>
      </c>
      <c r="AN641" s="122">
        <v>4147</v>
      </c>
      <c r="AO641" s="122">
        <v>1536</v>
      </c>
      <c r="AP641" s="122">
        <v>1242</v>
      </c>
      <c r="AQ641">
        <v>460</v>
      </c>
      <c r="AR641" s="122">
        <v>7312</v>
      </c>
      <c r="AS641" s="122">
        <v>6647</v>
      </c>
      <c r="AT641" s="122">
        <v>4923</v>
      </c>
      <c r="AU641" s="122">
        <v>1823</v>
      </c>
      <c r="AV641" s="122">
        <v>38031</v>
      </c>
    </row>
    <row r="642" spans="2:48" hidden="1">
      <c r="B642" t="s">
        <v>367</v>
      </c>
      <c r="C642" t="s">
        <v>56</v>
      </c>
      <c r="D642" t="s">
        <v>556</v>
      </c>
      <c r="E642" t="s">
        <v>407</v>
      </c>
      <c r="F642">
        <v>1</v>
      </c>
      <c r="G642">
        <v>82</v>
      </c>
      <c r="H642" s="122">
        <v>170</v>
      </c>
      <c r="I642" s="122">
        <v>5270</v>
      </c>
      <c r="J642" s="122">
        <v>4392</v>
      </c>
      <c r="K642">
        <v>78</v>
      </c>
      <c r="L642" s="122">
        <v>1326</v>
      </c>
      <c r="M642" s="122">
        <v>1205</v>
      </c>
      <c r="N642" s="122">
        <v>996</v>
      </c>
      <c r="O642" s="122">
        <v>369</v>
      </c>
      <c r="P642" s="122">
        <v>473</v>
      </c>
      <c r="Q642" s="122">
        <v>175</v>
      </c>
      <c r="R642" s="122">
        <v>3657</v>
      </c>
      <c r="S642" s="122">
        <v>3325</v>
      </c>
      <c r="T642" s="122">
        <v>2189</v>
      </c>
      <c r="U642" s="122">
        <v>811</v>
      </c>
      <c r="V642" s="122">
        <v>10277</v>
      </c>
      <c r="W642" s="122">
        <f t="shared" si="18"/>
        <v>10277</v>
      </c>
      <c r="X642" s="122">
        <f t="shared" si="19"/>
        <v>13911</v>
      </c>
      <c r="Y642" s="122"/>
      <c r="AA642" t="s">
        <v>56</v>
      </c>
      <c r="AB642" t="s">
        <v>427</v>
      </c>
      <c r="AC642" t="s">
        <v>426</v>
      </c>
      <c r="AD642" t="s">
        <v>406</v>
      </c>
      <c r="AE642" t="s">
        <v>566</v>
      </c>
      <c r="AF642">
        <v>2</v>
      </c>
      <c r="AG642">
        <v>252</v>
      </c>
      <c r="AH642">
        <v>377</v>
      </c>
      <c r="AI642" s="122">
        <v>23572</v>
      </c>
      <c r="AJ642" s="122">
        <v>21429</v>
      </c>
      <c r="AK642">
        <v>82</v>
      </c>
      <c r="AL642" s="122">
        <v>6830</v>
      </c>
      <c r="AM642" s="122">
        <v>6209</v>
      </c>
      <c r="AN642" s="122">
        <v>5626</v>
      </c>
      <c r="AO642" s="122">
        <v>2084</v>
      </c>
      <c r="AP642" s="122">
        <v>1242</v>
      </c>
      <c r="AQ642">
        <v>460</v>
      </c>
      <c r="AR642" s="122">
        <v>11242</v>
      </c>
      <c r="AS642" s="122">
        <v>10220</v>
      </c>
      <c r="AT642">
        <v>0</v>
      </c>
      <c r="AU642">
        <v>0</v>
      </c>
      <c r="AV642" s="122">
        <v>40402</v>
      </c>
    </row>
    <row r="643" spans="2:48" hidden="1">
      <c r="B643" t="s">
        <v>367</v>
      </c>
      <c r="C643" t="s">
        <v>56</v>
      </c>
      <c r="D643" t="s">
        <v>556</v>
      </c>
      <c r="E643" t="s">
        <v>556</v>
      </c>
      <c r="F643">
        <v>5</v>
      </c>
      <c r="G643">
        <v>484</v>
      </c>
      <c r="H643" s="122">
        <v>1077</v>
      </c>
      <c r="I643" s="122">
        <v>57220</v>
      </c>
      <c r="J643" s="122">
        <v>47684</v>
      </c>
      <c r="K643">
        <v>65</v>
      </c>
      <c r="L643" s="122">
        <v>3208</v>
      </c>
      <c r="M643" s="122">
        <v>4615</v>
      </c>
      <c r="N643" s="122">
        <v>8449</v>
      </c>
      <c r="O643" s="122">
        <v>3129</v>
      </c>
      <c r="P643" s="122">
        <v>1755</v>
      </c>
      <c r="Q643">
        <v>650</v>
      </c>
      <c r="R643" s="122">
        <v>25034</v>
      </c>
      <c r="S643" s="122">
        <v>20861</v>
      </c>
      <c r="T643" s="122">
        <v>7587</v>
      </c>
      <c r="U643" s="122">
        <v>2810</v>
      </c>
      <c r="V643" s="122">
        <v>79749</v>
      </c>
      <c r="W643" s="122">
        <f t="shared" si="18"/>
        <v>79749</v>
      </c>
      <c r="X643" s="122">
        <f t="shared" si="19"/>
        <v>103253</v>
      </c>
      <c r="Y643" s="122"/>
      <c r="AA643" t="s">
        <v>56</v>
      </c>
      <c r="AB643" t="s">
        <v>427</v>
      </c>
      <c r="AC643" t="s">
        <v>566</v>
      </c>
      <c r="AD643" t="s">
        <v>406</v>
      </c>
      <c r="AE643" t="s">
        <v>137</v>
      </c>
      <c r="AF643">
        <v>1</v>
      </c>
      <c r="AG643">
        <v>146</v>
      </c>
      <c r="AH643">
        <v>223</v>
      </c>
      <c r="AI643" s="122">
        <v>21065</v>
      </c>
      <c r="AJ643" s="122">
        <v>19150</v>
      </c>
      <c r="AK643">
        <v>79</v>
      </c>
      <c r="AL643">
        <v>0</v>
      </c>
      <c r="AM643">
        <v>0</v>
      </c>
      <c r="AN643" s="122">
        <v>2585</v>
      </c>
      <c r="AO643">
        <v>957</v>
      </c>
      <c r="AP643">
        <v>621</v>
      </c>
      <c r="AQ643">
        <v>230</v>
      </c>
      <c r="AR643" s="122">
        <v>4973</v>
      </c>
      <c r="AS643" s="122">
        <v>4521</v>
      </c>
      <c r="AT643" s="122">
        <v>3425</v>
      </c>
      <c r="AU643" s="122">
        <v>1268</v>
      </c>
      <c r="AV643" s="122">
        <v>26126</v>
      </c>
    </row>
    <row r="644" spans="2:48" hidden="1">
      <c r="B644" t="s">
        <v>367</v>
      </c>
      <c r="C644" t="s">
        <v>56</v>
      </c>
      <c r="D644" t="s">
        <v>426</v>
      </c>
      <c r="E644" t="s">
        <v>426</v>
      </c>
      <c r="F644">
        <v>2</v>
      </c>
      <c r="G644">
        <v>214</v>
      </c>
      <c r="H644">
        <v>409</v>
      </c>
      <c r="I644" s="122">
        <v>25709</v>
      </c>
      <c r="J644" s="122">
        <v>23372</v>
      </c>
      <c r="K644">
        <v>70</v>
      </c>
      <c r="L644" s="122">
        <v>2660</v>
      </c>
      <c r="M644" s="122">
        <v>2418</v>
      </c>
      <c r="N644" s="122">
        <v>4658</v>
      </c>
      <c r="O644" s="122">
        <v>1725</v>
      </c>
      <c r="P644" s="122">
        <v>972</v>
      </c>
      <c r="Q644">
        <v>360</v>
      </c>
      <c r="R644" s="122">
        <v>8168</v>
      </c>
      <c r="S644" s="122">
        <v>7425</v>
      </c>
      <c r="T644" s="122">
        <v>5247</v>
      </c>
      <c r="U644" s="122">
        <v>1943</v>
      </c>
      <c r="V644" s="122">
        <v>37244</v>
      </c>
      <c r="W644" s="122">
        <f t="shared" si="18"/>
        <v>37243</v>
      </c>
      <c r="X644" s="122">
        <f t="shared" si="19"/>
        <v>47414</v>
      </c>
      <c r="Y644" s="122"/>
      <c r="AA644" t="s">
        <v>56</v>
      </c>
      <c r="AB644" t="s">
        <v>427</v>
      </c>
      <c r="AC644" t="s">
        <v>566</v>
      </c>
      <c r="AD644" t="s">
        <v>427</v>
      </c>
      <c r="AE644" t="s">
        <v>137</v>
      </c>
      <c r="AF644">
        <v>4</v>
      </c>
      <c r="AG644">
        <v>392</v>
      </c>
      <c r="AH644">
        <v>821</v>
      </c>
      <c r="AI644" s="122">
        <v>45297</v>
      </c>
      <c r="AJ644" s="122">
        <v>41179</v>
      </c>
      <c r="AK644">
        <v>68</v>
      </c>
      <c r="AL644">
        <v>0</v>
      </c>
      <c r="AM644" s="122">
        <v>3214</v>
      </c>
      <c r="AN644" s="122">
        <v>7326</v>
      </c>
      <c r="AO644" s="122">
        <v>2713</v>
      </c>
      <c r="AP644" s="122">
        <v>1404</v>
      </c>
      <c r="AQ644">
        <v>520</v>
      </c>
      <c r="AR644" s="122">
        <v>15411</v>
      </c>
      <c r="AS644" s="122">
        <v>14010</v>
      </c>
      <c r="AT644" s="122">
        <v>9937</v>
      </c>
      <c r="AU644" s="122">
        <v>3680</v>
      </c>
      <c r="AV644" s="122">
        <v>65317</v>
      </c>
    </row>
    <row r="645" spans="2:48" hidden="1">
      <c r="B645" t="s">
        <v>367</v>
      </c>
      <c r="C645" t="s">
        <v>56</v>
      </c>
      <c r="D645" t="s">
        <v>433</v>
      </c>
      <c r="E645" t="s">
        <v>137</v>
      </c>
      <c r="F645">
        <v>1</v>
      </c>
      <c r="G645" s="122">
        <v>202</v>
      </c>
      <c r="H645" s="122">
        <v>190</v>
      </c>
      <c r="I645" s="122">
        <v>16961</v>
      </c>
      <c r="J645" s="122">
        <v>15419</v>
      </c>
      <c r="K645">
        <v>73</v>
      </c>
      <c r="L645" s="122">
        <v>2293</v>
      </c>
      <c r="M645" s="122">
        <v>2084</v>
      </c>
      <c r="N645" s="122">
        <v>4386</v>
      </c>
      <c r="O645" s="122">
        <v>1625</v>
      </c>
      <c r="P645" s="122">
        <v>351</v>
      </c>
      <c r="Q645" s="122">
        <v>130</v>
      </c>
      <c r="R645" s="122">
        <v>14526</v>
      </c>
      <c r="S645" s="122">
        <v>5380</v>
      </c>
      <c r="T645" s="122">
        <v>0</v>
      </c>
      <c r="U645" s="122">
        <v>0</v>
      </c>
      <c r="V645" s="122">
        <v>24638</v>
      </c>
      <c r="W645" s="122">
        <f t="shared" si="18"/>
        <v>24638</v>
      </c>
      <c r="X645" s="122">
        <f t="shared" si="19"/>
        <v>38517</v>
      </c>
      <c r="Y645" s="122"/>
      <c r="AA645" t="s">
        <v>56</v>
      </c>
      <c r="AB645" t="s">
        <v>427</v>
      </c>
      <c r="AC645" t="s">
        <v>433</v>
      </c>
      <c r="AD645" t="s">
        <v>427</v>
      </c>
      <c r="AE645" t="s">
        <v>137</v>
      </c>
      <c r="AF645">
        <v>1</v>
      </c>
      <c r="AG645">
        <v>130</v>
      </c>
      <c r="AH645">
        <v>219</v>
      </c>
      <c r="AI645" s="122">
        <v>16029</v>
      </c>
      <c r="AJ645" s="122">
        <v>14572</v>
      </c>
      <c r="AK645">
        <v>55</v>
      </c>
      <c r="AL645" s="122">
        <v>3265</v>
      </c>
      <c r="AM645" s="122">
        <v>2968</v>
      </c>
      <c r="AN645" s="122">
        <v>1584</v>
      </c>
      <c r="AO645">
        <v>587</v>
      </c>
      <c r="AP645">
        <v>351</v>
      </c>
      <c r="AQ645">
        <v>130</v>
      </c>
      <c r="AR645" s="122">
        <v>7291</v>
      </c>
      <c r="AS645" s="122">
        <v>6628</v>
      </c>
      <c r="AT645">
        <v>0</v>
      </c>
      <c r="AU645">
        <v>0</v>
      </c>
      <c r="AV645" s="122">
        <v>24885</v>
      </c>
    </row>
    <row r="646" spans="2:48">
      <c r="B646" t="s">
        <v>367</v>
      </c>
      <c r="C646" t="s">
        <v>56</v>
      </c>
      <c r="D646" t="s">
        <v>408</v>
      </c>
      <c r="E646" t="s">
        <v>408</v>
      </c>
      <c r="F646" s="122">
        <v>10</v>
      </c>
      <c r="G646" s="122">
        <v>1146</v>
      </c>
      <c r="H646" s="122">
        <v>1900</v>
      </c>
      <c r="I646" s="122">
        <v>132033</v>
      </c>
      <c r="J646" s="122">
        <v>120030</v>
      </c>
      <c r="K646">
        <v>72</v>
      </c>
      <c r="L646" s="122">
        <v>13339</v>
      </c>
      <c r="M646" s="122">
        <v>11160</v>
      </c>
      <c r="N646" s="122">
        <v>24703</v>
      </c>
      <c r="O646" s="122">
        <v>9149</v>
      </c>
      <c r="P646" s="122">
        <v>3632</v>
      </c>
      <c r="Q646" s="122">
        <v>1345</v>
      </c>
      <c r="R646" s="122">
        <v>53770</v>
      </c>
      <c r="S646" s="122">
        <v>48882</v>
      </c>
      <c r="T646" s="122">
        <v>2375</v>
      </c>
      <c r="U646" s="122">
        <v>880</v>
      </c>
      <c r="V646" s="122">
        <v>191446</v>
      </c>
      <c r="W646" s="122">
        <f t="shared" si="18"/>
        <v>191446</v>
      </c>
      <c r="X646" s="122">
        <f t="shared" si="19"/>
        <v>229852</v>
      </c>
      <c r="Y646" s="122"/>
      <c r="AA646" t="s">
        <v>56</v>
      </c>
      <c r="AB646" t="s">
        <v>407</v>
      </c>
      <c r="AC646" t="s">
        <v>578</v>
      </c>
      <c r="AD646" t="s">
        <v>407</v>
      </c>
      <c r="AE646" t="s">
        <v>137</v>
      </c>
      <c r="AF646">
        <v>27</v>
      </c>
      <c r="AG646" s="122">
        <v>2892</v>
      </c>
      <c r="AH646" s="122">
        <v>5376</v>
      </c>
      <c r="AI646" s="122">
        <v>275237</v>
      </c>
      <c r="AJ646" s="122">
        <v>250216</v>
      </c>
      <c r="AK646">
        <v>83</v>
      </c>
      <c r="AL646" s="122">
        <v>74666</v>
      </c>
      <c r="AM646" s="122">
        <v>67878</v>
      </c>
      <c r="AN646" s="122">
        <v>63685</v>
      </c>
      <c r="AO646" s="122">
        <v>23587</v>
      </c>
      <c r="AP646" s="122">
        <v>12515</v>
      </c>
      <c r="AQ646" s="122">
        <v>4635</v>
      </c>
      <c r="AR646" s="122">
        <v>104459</v>
      </c>
      <c r="AS646" s="122">
        <v>94963</v>
      </c>
      <c r="AT646" s="122">
        <v>57213</v>
      </c>
      <c r="AU646" s="122">
        <v>21190</v>
      </c>
      <c r="AV646" s="122">
        <v>462469</v>
      </c>
    </row>
    <row r="647" spans="2:48">
      <c r="B647" t="s">
        <v>367</v>
      </c>
      <c r="C647" t="s">
        <v>56</v>
      </c>
      <c r="D647" t="s">
        <v>429</v>
      </c>
      <c r="E647" t="s">
        <v>429</v>
      </c>
      <c r="F647">
        <v>6</v>
      </c>
      <c r="G647">
        <v>542</v>
      </c>
      <c r="H647" s="122">
        <v>1183</v>
      </c>
      <c r="I647" s="122">
        <v>49728</v>
      </c>
      <c r="J647" s="122">
        <v>45207</v>
      </c>
      <c r="K647">
        <v>65</v>
      </c>
      <c r="L647" s="122">
        <v>12386</v>
      </c>
      <c r="M647" s="122">
        <v>9674</v>
      </c>
      <c r="N647" s="122">
        <v>9591</v>
      </c>
      <c r="O647" s="122">
        <v>3552</v>
      </c>
      <c r="P647" s="122">
        <v>2106</v>
      </c>
      <c r="Q647">
        <v>780</v>
      </c>
      <c r="R647" s="122">
        <v>30664</v>
      </c>
      <c r="S647" s="122">
        <v>27877</v>
      </c>
      <c r="T647" s="122">
        <v>2282</v>
      </c>
      <c r="U647">
        <v>845</v>
      </c>
      <c r="V647" s="122">
        <v>87935</v>
      </c>
      <c r="W647" s="122">
        <f t="shared" ref="W647:W710" si="20">SUM(ABS(J647),ABS(M647),ABS(O647),ABS(Q647),ABS(S647),ABS(U647))</f>
        <v>87935</v>
      </c>
      <c r="X647" s="122">
        <f t="shared" ref="X647:X710" si="21">SUM(ABS(I647),ABS(N647),ABS(P647),ABS(R647),ABS(T647),ABS(L647))</f>
        <v>106757</v>
      </c>
      <c r="Y647" s="122"/>
      <c r="AA647" t="s">
        <v>56</v>
      </c>
      <c r="AB647" t="s">
        <v>407</v>
      </c>
      <c r="AC647" t="s">
        <v>578</v>
      </c>
      <c r="AD647" t="s">
        <v>407</v>
      </c>
      <c r="AE647" t="s">
        <v>566</v>
      </c>
      <c r="AF647">
        <v>45</v>
      </c>
      <c r="AG647" s="122">
        <v>4358</v>
      </c>
      <c r="AH647" s="122">
        <v>8354</v>
      </c>
      <c r="AI647" s="122">
        <v>409899</v>
      </c>
      <c r="AJ647" s="122">
        <v>372636</v>
      </c>
      <c r="AK647">
        <v>85</v>
      </c>
      <c r="AL647" s="122">
        <v>101409</v>
      </c>
      <c r="AM647" s="122">
        <v>92190</v>
      </c>
      <c r="AN647" s="122">
        <v>81748</v>
      </c>
      <c r="AO647" s="122">
        <v>30277</v>
      </c>
      <c r="AP647" s="122">
        <v>21263</v>
      </c>
      <c r="AQ647" s="122">
        <v>7875</v>
      </c>
      <c r="AR647" s="122">
        <v>201456</v>
      </c>
      <c r="AS647" s="122">
        <v>183142</v>
      </c>
      <c r="AT647">
        <v>0</v>
      </c>
      <c r="AU647">
        <v>0</v>
      </c>
      <c r="AV647" s="122">
        <v>686120</v>
      </c>
    </row>
    <row r="648" spans="2:48">
      <c r="B648" t="s">
        <v>367</v>
      </c>
      <c r="C648" t="s">
        <v>58</v>
      </c>
      <c r="F648">
        <v>71</v>
      </c>
      <c r="G648" s="122">
        <v>3829</v>
      </c>
      <c r="H648" s="122">
        <v>18182</v>
      </c>
      <c r="I648" s="122"/>
      <c r="J648" s="122">
        <v>0</v>
      </c>
      <c r="L648" s="122"/>
      <c r="M648" s="122">
        <v>0</v>
      </c>
      <c r="N648" s="122">
        <v>80325</v>
      </c>
      <c r="O648" s="122">
        <v>29750</v>
      </c>
      <c r="P648" s="122">
        <v>11880</v>
      </c>
      <c r="Q648" s="122">
        <v>4400</v>
      </c>
      <c r="R648" s="122"/>
      <c r="S648" s="122">
        <v>0</v>
      </c>
      <c r="T648" s="122">
        <v>20539</v>
      </c>
      <c r="U648" s="122">
        <v>7607</v>
      </c>
      <c r="V648" s="122">
        <v>41757</v>
      </c>
      <c r="W648" s="122">
        <f t="shared" si="20"/>
        <v>41757</v>
      </c>
      <c r="X648" s="122">
        <f t="shared" si="21"/>
        <v>112744</v>
      </c>
      <c r="Y648" s="122"/>
      <c r="AA648" t="s">
        <v>56</v>
      </c>
      <c r="AB648" t="s">
        <v>407</v>
      </c>
      <c r="AC648" t="s">
        <v>578</v>
      </c>
      <c r="AD648" t="s">
        <v>579</v>
      </c>
      <c r="AE648" t="s">
        <v>566</v>
      </c>
      <c r="AF648">
        <v>1</v>
      </c>
      <c r="AG648">
        <v>102</v>
      </c>
      <c r="AH648">
        <v>207</v>
      </c>
      <c r="AI648" s="122">
        <v>9753</v>
      </c>
      <c r="AJ648" s="122">
        <v>8866</v>
      </c>
      <c r="AK648">
        <v>80</v>
      </c>
      <c r="AL648" s="122">
        <v>2875</v>
      </c>
      <c r="AM648" s="122">
        <v>2614</v>
      </c>
      <c r="AN648" s="122">
        <v>1661</v>
      </c>
      <c r="AO648">
        <v>615</v>
      </c>
      <c r="AP648">
        <v>473</v>
      </c>
      <c r="AQ648">
        <v>175</v>
      </c>
      <c r="AR648" s="122">
        <v>6452</v>
      </c>
      <c r="AS648" s="122">
        <v>5377</v>
      </c>
      <c r="AT648">
        <v>0</v>
      </c>
      <c r="AU648">
        <v>0</v>
      </c>
      <c r="AV648" s="122">
        <v>17647</v>
      </c>
    </row>
    <row r="649" spans="2:48" hidden="1">
      <c r="B649" t="s">
        <v>367</v>
      </c>
      <c r="C649" t="s">
        <v>58</v>
      </c>
      <c r="D649" t="s">
        <v>555</v>
      </c>
      <c r="E649" t="s">
        <v>555</v>
      </c>
      <c r="F649">
        <v>1</v>
      </c>
      <c r="G649" s="122">
        <v>81</v>
      </c>
      <c r="H649" s="122">
        <v>270</v>
      </c>
      <c r="I649" s="122">
        <v>12974</v>
      </c>
      <c r="J649" s="122">
        <v>11794</v>
      </c>
      <c r="K649">
        <v>63</v>
      </c>
      <c r="L649" s="122">
        <v>0</v>
      </c>
      <c r="M649" s="122">
        <v>0</v>
      </c>
      <c r="N649" s="122">
        <v>1523</v>
      </c>
      <c r="O649" s="122">
        <v>564</v>
      </c>
      <c r="P649" s="122">
        <v>351</v>
      </c>
      <c r="Q649" s="122">
        <v>130</v>
      </c>
      <c r="R649" s="122">
        <v>4642</v>
      </c>
      <c r="S649" s="122">
        <v>4220</v>
      </c>
      <c r="T649" s="122">
        <v>2449</v>
      </c>
      <c r="U649" s="122">
        <v>907</v>
      </c>
      <c r="V649" s="122">
        <v>17616</v>
      </c>
      <c r="W649" s="122">
        <f t="shared" si="20"/>
        <v>17615</v>
      </c>
      <c r="X649" s="122">
        <f t="shared" si="21"/>
        <v>21939</v>
      </c>
      <c r="Y649" s="122"/>
      <c r="AA649" t="s">
        <v>56</v>
      </c>
      <c r="AB649" t="s">
        <v>407</v>
      </c>
      <c r="AC649" t="s">
        <v>425</v>
      </c>
      <c r="AD649" t="s">
        <v>407</v>
      </c>
      <c r="AE649" t="s">
        <v>137</v>
      </c>
      <c r="AF649">
        <v>13</v>
      </c>
      <c r="AG649" s="122">
        <v>1457</v>
      </c>
      <c r="AH649" s="122">
        <v>2459</v>
      </c>
      <c r="AI649" s="122">
        <v>142480</v>
      </c>
      <c r="AJ649" s="122">
        <v>129528</v>
      </c>
      <c r="AK649">
        <v>83</v>
      </c>
      <c r="AL649" s="122">
        <v>20811</v>
      </c>
      <c r="AM649" s="122">
        <v>18919</v>
      </c>
      <c r="AN649" s="122">
        <v>29482</v>
      </c>
      <c r="AO649" s="122">
        <v>10919</v>
      </c>
      <c r="AP649" s="122">
        <v>5792</v>
      </c>
      <c r="AQ649" s="122">
        <v>2145</v>
      </c>
      <c r="AR649" s="122">
        <v>51116</v>
      </c>
      <c r="AS649" s="122">
        <v>46469</v>
      </c>
      <c r="AT649" s="122">
        <v>22652</v>
      </c>
      <c r="AU649" s="122">
        <v>8390</v>
      </c>
      <c r="AV649" s="122">
        <v>216370</v>
      </c>
    </row>
    <row r="650" spans="2:48" hidden="1">
      <c r="B650" t="s">
        <v>367</v>
      </c>
      <c r="C650" t="s">
        <v>58</v>
      </c>
      <c r="D650" t="s">
        <v>425</v>
      </c>
      <c r="E650" t="s">
        <v>425</v>
      </c>
      <c r="F650">
        <v>1</v>
      </c>
      <c r="G650">
        <v>87</v>
      </c>
      <c r="H650">
        <v>280</v>
      </c>
      <c r="I650" s="122">
        <v>12649</v>
      </c>
      <c r="J650" s="122">
        <v>11499</v>
      </c>
      <c r="K650">
        <v>80</v>
      </c>
      <c r="L650" s="122">
        <v>3565</v>
      </c>
      <c r="M650" s="122">
        <v>3241</v>
      </c>
      <c r="N650" s="122">
        <v>1804</v>
      </c>
      <c r="O650" s="122">
        <v>668</v>
      </c>
      <c r="P650">
        <v>473</v>
      </c>
      <c r="Q650">
        <v>175</v>
      </c>
      <c r="R650" s="122">
        <v>3639</v>
      </c>
      <c r="S650" s="122">
        <v>3308</v>
      </c>
      <c r="T650" s="122">
        <v>2260</v>
      </c>
      <c r="U650">
        <v>837</v>
      </c>
      <c r="V650" s="122">
        <v>19728</v>
      </c>
      <c r="W650" s="122">
        <f t="shared" si="20"/>
        <v>19728</v>
      </c>
      <c r="X650" s="122">
        <f t="shared" si="21"/>
        <v>24390</v>
      </c>
      <c r="Y650" s="122"/>
      <c r="AA650" t="s">
        <v>56</v>
      </c>
      <c r="AB650" t="s">
        <v>407</v>
      </c>
      <c r="AC650" t="s">
        <v>425</v>
      </c>
      <c r="AD650" t="s">
        <v>407</v>
      </c>
      <c r="AE650" t="s">
        <v>566</v>
      </c>
      <c r="AF650">
        <v>13</v>
      </c>
      <c r="AG650" s="122">
        <v>1506</v>
      </c>
      <c r="AH650" s="122">
        <v>2514</v>
      </c>
      <c r="AI650" s="122">
        <v>170521</v>
      </c>
      <c r="AJ650" s="122">
        <v>155020</v>
      </c>
      <c r="AK650">
        <v>86</v>
      </c>
      <c r="AL650" s="122">
        <v>31888</v>
      </c>
      <c r="AM650" s="122">
        <v>28989</v>
      </c>
      <c r="AN650" s="122">
        <v>28438</v>
      </c>
      <c r="AO650" s="122">
        <v>10532</v>
      </c>
      <c r="AP650" s="122">
        <v>6143</v>
      </c>
      <c r="AQ650" s="122">
        <v>2275</v>
      </c>
      <c r="AR650" s="122">
        <v>57292</v>
      </c>
      <c r="AS650" s="122">
        <v>52084</v>
      </c>
      <c r="AT650">
        <v>0</v>
      </c>
      <c r="AU650">
        <v>0</v>
      </c>
      <c r="AV650" s="122">
        <v>248900</v>
      </c>
    </row>
    <row r="651" spans="2:48" hidden="1">
      <c r="B651" t="s">
        <v>367</v>
      </c>
      <c r="C651" t="s">
        <v>58</v>
      </c>
      <c r="D651" t="s">
        <v>425</v>
      </c>
      <c r="E651" t="s">
        <v>405</v>
      </c>
      <c r="F651">
        <v>1</v>
      </c>
      <c r="G651" s="122">
        <v>58</v>
      </c>
      <c r="H651" s="122">
        <v>231</v>
      </c>
      <c r="I651" s="122">
        <v>7028</v>
      </c>
      <c r="J651" s="122">
        <v>6389</v>
      </c>
      <c r="K651">
        <v>91</v>
      </c>
      <c r="L651" s="122">
        <v>1298</v>
      </c>
      <c r="M651" s="122">
        <v>1081</v>
      </c>
      <c r="N651" s="122">
        <v>1343</v>
      </c>
      <c r="O651" s="122">
        <v>497</v>
      </c>
      <c r="P651" s="122">
        <v>473</v>
      </c>
      <c r="Q651" s="122">
        <v>175</v>
      </c>
      <c r="R651" s="122">
        <v>3183</v>
      </c>
      <c r="S651" s="122">
        <v>2893</v>
      </c>
      <c r="T651" s="122">
        <v>0</v>
      </c>
      <c r="U651" s="122">
        <v>0</v>
      </c>
      <c r="V651" s="122">
        <v>11036</v>
      </c>
      <c r="W651" s="122">
        <f t="shared" si="20"/>
        <v>11035</v>
      </c>
      <c r="X651" s="122">
        <f t="shared" si="21"/>
        <v>13325</v>
      </c>
      <c r="Y651" s="122"/>
      <c r="AA651" t="s">
        <v>56</v>
      </c>
      <c r="AB651" t="s">
        <v>407</v>
      </c>
      <c r="AC651" t="s">
        <v>405</v>
      </c>
      <c r="AD651" t="s">
        <v>407</v>
      </c>
      <c r="AE651" t="s">
        <v>137</v>
      </c>
      <c r="AF651">
        <v>2</v>
      </c>
      <c r="AG651">
        <v>221</v>
      </c>
      <c r="AH651">
        <v>361</v>
      </c>
      <c r="AI651" s="122">
        <v>20047</v>
      </c>
      <c r="AJ651" s="122">
        <v>18225</v>
      </c>
      <c r="AK651">
        <v>90</v>
      </c>
      <c r="AL651" s="122">
        <v>3482</v>
      </c>
      <c r="AM651" s="122">
        <v>3166</v>
      </c>
      <c r="AN651" s="122">
        <v>5208</v>
      </c>
      <c r="AO651" s="122">
        <v>1929</v>
      </c>
      <c r="AP651">
        <v>945</v>
      </c>
      <c r="AQ651">
        <v>350</v>
      </c>
      <c r="AR651" s="122">
        <v>6903</v>
      </c>
      <c r="AS651" s="122">
        <v>6276</v>
      </c>
      <c r="AT651" s="122">
        <v>5717</v>
      </c>
      <c r="AU651" s="122">
        <v>2117</v>
      </c>
      <c r="AV651" s="122">
        <v>32062</v>
      </c>
    </row>
    <row r="652" spans="2:48" hidden="1">
      <c r="B652" t="s">
        <v>367</v>
      </c>
      <c r="C652" t="s">
        <v>58</v>
      </c>
      <c r="D652" t="s">
        <v>425</v>
      </c>
      <c r="E652" t="s">
        <v>406</v>
      </c>
      <c r="F652">
        <v>2</v>
      </c>
      <c r="G652">
        <v>248</v>
      </c>
      <c r="H652" s="122">
        <v>541</v>
      </c>
      <c r="I652" s="122">
        <v>36776</v>
      </c>
      <c r="J652" s="122">
        <v>33433</v>
      </c>
      <c r="K652">
        <v>78</v>
      </c>
      <c r="L652" s="122">
        <v>9679</v>
      </c>
      <c r="M652" s="122">
        <v>8799</v>
      </c>
      <c r="N652" s="122">
        <v>5642</v>
      </c>
      <c r="O652" s="122">
        <v>2089</v>
      </c>
      <c r="P652" s="122">
        <v>1242</v>
      </c>
      <c r="Q652" s="122">
        <v>460</v>
      </c>
      <c r="R652" s="122">
        <v>9103</v>
      </c>
      <c r="S652" s="122">
        <v>8276</v>
      </c>
      <c r="T652" s="122">
        <v>5765</v>
      </c>
      <c r="U652" s="122">
        <v>2135</v>
      </c>
      <c r="V652" s="122">
        <v>55192</v>
      </c>
      <c r="W652" s="122">
        <f t="shared" si="20"/>
        <v>55192</v>
      </c>
      <c r="X652" s="122">
        <f t="shared" si="21"/>
        <v>68207</v>
      </c>
      <c r="Y652" s="122"/>
      <c r="AA652" t="s">
        <v>56</v>
      </c>
      <c r="AB652" t="s">
        <v>407</v>
      </c>
      <c r="AC652" t="s">
        <v>405</v>
      </c>
      <c r="AD652" t="s">
        <v>407</v>
      </c>
      <c r="AE652" t="s">
        <v>566</v>
      </c>
      <c r="AF652">
        <v>8</v>
      </c>
      <c r="AG652">
        <v>804</v>
      </c>
      <c r="AH652" s="122">
        <v>1448</v>
      </c>
      <c r="AI652" s="122">
        <v>69451</v>
      </c>
      <c r="AJ652" s="122">
        <v>63137</v>
      </c>
      <c r="AK652">
        <v>78</v>
      </c>
      <c r="AL652" s="122">
        <v>13746</v>
      </c>
      <c r="AM652" s="122">
        <v>12496</v>
      </c>
      <c r="AN652" s="122">
        <v>17556</v>
      </c>
      <c r="AO652" s="122">
        <v>6502</v>
      </c>
      <c r="AP652" s="122">
        <v>3780</v>
      </c>
      <c r="AQ652" s="122">
        <v>1400</v>
      </c>
      <c r="AR652" s="122">
        <v>39856</v>
      </c>
      <c r="AS652" s="122">
        <v>36233</v>
      </c>
      <c r="AT652">
        <v>0</v>
      </c>
      <c r="AU652">
        <v>0</v>
      </c>
      <c r="AV652" s="122">
        <v>119768</v>
      </c>
    </row>
    <row r="653" spans="2:48" hidden="1">
      <c r="B653" t="s">
        <v>367</v>
      </c>
      <c r="C653" t="s">
        <v>58</v>
      </c>
      <c r="D653" t="s">
        <v>405</v>
      </c>
      <c r="E653" t="s">
        <v>405</v>
      </c>
      <c r="F653">
        <v>11</v>
      </c>
      <c r="G653" s="122">
        <v>1152</v>
      </c>
      <c r="H653" s="122">
        <v>2841</v>
      </c>
      <c r="I653" s="122">
        <v>173569</v>
      </c>
      <c r="J653" s="122">
        <v>157790</v>
      </c>
      <c r="K653">
        <v>82</v>
      </c>
      <c r="L653" s="122">
        <v>45625</v>
      </c>
      <c r="M653" s="122">
        <v>35744</v>
      </c>
      <c r="N653" s="122">
        <v>25367</v>
      </c>
      <c r="O653" s="122">
        <v>9395</v>
      </c>
      <c r="P653" s="122">
        <v>5346</v>
      </c>
      <c r="Q653" s="122">
        <v>1980</v>
      </c>
      <c r="R653" s="122">
        <v>52663</v>
      </c>
      <c r="S653" s="122">
        <v>47876</v>
      </c>
      <c r="T653" s="122">
        <v>10172</v>
      </c>
      <c r="U653" s="122">
        <v>3767</v>
      </c>
      <c r="V653" s="122">
        <v>256552</v>
      </c>
      <c r="W653" s="122">
        <f t="shared" si="20"/>
        <v>256552</v>
      </c>
      <c r="X653" s="122">
        <f t="shared" si="21"/>
        <v>312742</v>
      </c>
      <c r="Y653" s="122"/>
      <c r="AA653" t="s">
        <v>56</v>
      </c>
      <c r="AB653" t="s">
        <v>407</v>
      </c>
      <c r="AC653" t="s">
        <v>137</v>
      </c>
      <c r="AD653" t="s">
        <v>405</v>
      </c>
      <c r="AE653" t="s">
        <v>566</v>
      </c>
      <c r="AF653">
        <v>1</v>
      </c>
      <c r="AG653">
        <v>99</v>
      </c>
      <c r="AH653">
        <v>168</v>
      </c>
      <c r="AI653" s="122">
        <v>7723</v>
      </c>
      <c r="AJ653" s="122">
        <v>7021</v>
      </c>
      <c r="AK653">
        <v>91</v>
      </c>
      <c r="AL653" s="122">
        <v>1919</v>
      </c>
      <c r="AM653">
        <v>711</v>
      </c>
      <c r="AN653" s="122">
        <v>2400</v>
      </c>
      <c r="AO653">
        <v>889</v>
      </c>
      <c r="AP653">
        <v>473</v>
      </c>
      <c r="AQ653">
        <v>175</v>
      </c>
      <c r="AR653" s="122">
        <v>4000</v>
      </c>
      <c r="AS653" s="122">
        <v>3637</v>
      </c>
      <c r="AT653">
        <v>0</v>
      </c>
      <c r="AU653">
        <v>0</v>
      </c>
      <c r="AV653" s="122">
        <v>12432</v>
      </c>
    </row>
    <row r="654" spans="2:48" hidden="1">
      <c r="B654" t="s">
        <v>367</v>
      </c>
      <c r="C654" t="s">
        <v>58</v>
      </c>
      <c r="D654" t="s">
        <v>405</v>
      </c>
      <c r="E654" t="s">
        <v>407</v>
      </c>
      <c r="F654">
        <v>2</v>
      </c>
      <c r="G654" s="122">
        <v>143</v>
      </c>
      <c r="H654" s="122">
        <v>524</v>
      </c>
      <c r="I654" s="122">
        <v>17240</v>
      </c>
      <c r="J654" s="122">
        <v>15673</v>
      </c>
      <c r="K654">
        <v>79</v>
      </c>
      <c r="L654" s="122">
        <v>5054</v>
      </c>
      <c r="M654" s="122">
        <v>4368</v>
      </c>
      <c r="N654" s="122">
        <v>2649</v>
      </c>
      <c r="O654" s="122">
        <v>981</v>
      </c>
      <c r="P654" s="122">
        <v>945</v>
      </c>
      <c r="Q654" s="122">
        <v>350</v>
      </c>
      <c r="R654" s="122">
        <v>8970</v>
      </c>
      <c r="S654" s="122">
        <v>8154</v>
      </c>
      <c r="T654" s="122">
        <v>2305</v>
      </c>
      <c r="U654" s="122">
        <v>854</v>
      </c>
      <c r="V654" s="122">
        <v>30380</v>
      </c>
      <c r="W654" s="122">
        <f t="shared" si="20"/>
        <v>30380</v>
      </c>
      <c r="X654" s="122">
        <f t="shared" si="21"/>
        <v>37163</v>
      </c>
      <c r="Y654" s="122"/>
      <c r="AA654" t="s">
        <v>56</v>
      </c>
      <c r="AB654" t="s">
        <v>407</v>
      </c>
      <c r="AC654" t="s">
        <v>137</v>
      </c>
      <c r="AD654" t="s">
        <v>137</v>
      </c>
      <c r="AE654" t="s">
        <v>137</v>
      </c>
      <c r="AF654">
        <v>1</v>
      </c>
      <c r="AG654">
        <v>98</v>
      </c>
      <c r="AH654">
        <v>163</v>
      </c>
      <c r="AI654" s="122">
        <v>7352</v>
      </c>
      <c r="AJ654" s="122">
        <v>6684</v>
      </c>
      <c r="AK654">
        <v>91</v>
      </c>
      <c r="AL654" s="122">
        <v>1829</v>
      </c>
      <c r="AM654">
        <v>677</v>
      </c>
      <c r="AN654" s="122">
        <v>1189</v>
      </c>
      <c r="AO654">
        <v>440</v>
      </c>
      <c r="AP654">
        <v>473</v>
      </c>
      <c r="AQ654">
        <v>175</v>
      </c>
      <c r="AR654" s="122">
        <v>5025</v>
      </c>
      <c r="AS654" s="122">
        <v>1861</v>
      </c>
      <c r="AT654">
        <v>0</v>
      </c>
      <c r="AU654">
        <v>0</v>
      </c>
      <c r="AV654" s="122">
        <v>9838</v>
      </c>
    </row>
    <row r="655" spans="2:48" hidden="1">
      <c r="B655" t="s">
        <v>367</v>
      </c>
      <c r="C655" t="s">
        <v>58</v>
      </c>
      <c r="D655" t="s">
        <v>137</v>
      </c>
      <c r="E655" t="s">
        <v>137</v>
      </c>
      <c r="F655" s="122">
        <v>1069</v>
      </c>
      <c r="G655" s="122">
        <v>85789</v>
      </c>
      <c r="H655" s="122">
        <v>283977</v>
      </c>
      <c r="I655" s="122">
        <v>12183605</v>
      </c>
      <c r="J655" s="122">
        <v>4512446</v>
      </c>
      <c r="K655">
        <v>102</v>
      </c>
      <c r="L655" s="122">
        <v>1983420</v>
      </c>
      <c r="M655" s="122">
        <v>1128708</v>
      </c>
      <c r="N655" s="122">
        <v>1758642</v>
      </c>
      <c r="O655" s="122">
        <v>651349</v>
      </c>
      <c r="P655" s="122">
        <v>14390</v>
      </c>
      <c r="Q655" s="122">
        <v>5330</v>
      </c>
      <c r="R655" s="122">
        <v>7217858</v>
      </c>
      <c r="S655" s="122">
        <v>2673281</v>
      </c>
      <c r="T655" s="122">
        <v>8653</v>
      </c>
      <c r="U655" s="122">
        <v>3205</v>
      </c>
      <c r="V655" s="122">
        <v>8974318</v>
      </c>
      <c r="W655" s="122">
        <f t="shared" si="20"/>
        <v>8974319</v>
      </c>
      <c r="X655" s="122">
        <f t="shared" si="21"/>
        <v>23166568</v>
      </c>
      <c r="Y655" s="122"/>
      <c r="AA655" t="s">
        <v>56</v>
      </c>
      <c r="AB655" t="s">
        <v>407</v>
      </c>
      <c r="AC655" t="s">
        <v>137</v>
      </c>
      <c r="AD655" t="s">
        <v>137</v>
      </c>
      <c r="AE655" t="s">
        <v>566</v>
      </c>
      <c r="AF655">
        <v>9</v>
      </c>
      <c r="AG655">
        <v>808</v>
      </c>
      <c r="AH655" s="122">
        <v>1730</v>
      </c>
      <c r="AI655" s="122">
        <v>62514</v>
      </c>
      <c r="AJ655" s="122">
        <v>56831</v>
      </c>
      <c r="AK655">
        <v>79</v>
      </c>
      <c r="AL655" s="122">
        <v>15115</v>
      </c>
      <c r="AM655" s="122">
        <v>5598</v>
      </c>
      <c r="AN655" s="122">
        <v>15073</v>
      </c>
      <c r="AO655" s="122">
        <v>5582</v>
      </c>
      <c r="AP655" s="122">
        <v>5303</v>
      </c>
      <c r="AQ655" s="122">
        <v>1964</v>
      </c>
      <c r="AR655" s="122">
        <v>55484</v>
      </c>
      <c r="AS655" s="122">
        <v>20550</v>
      </c>
      <c r="AT655">
        <v>0</v>
      </c>
      <c r="AU655">
        <v>0</v>
      </c>
      <c r="AV655" s="122">
        <v>90525</v>
      </c>
    </row>
    <row r="656" spans="2:48" hidden="1">
      <c r="B656" t="s">
        <v>367</v>
      </c>
      <c r="C656" t="s">
        <v>58</v>
      </c>
      <c r="D656" t="s">
        <v>137</v>
      </c>
      <c r="E656" t="s">
        <v>556</v>
      </c>
      <c r="F656">
        <v>2</v>
      </c>
      <c r="G656" s="122">
        <v>163</v>
      </c>
      <c r="H656" s="122">
        <v>550</v>
      </c>
      <c r="I656" s="122">
        <v>22518</v>
      </c>
      <c r="J656" s="122">
        <v>8340</v>
      </c>
      <c r="K656">
        <v>100</v>
      </c>
      <c r="L656" s="122">
        <v>2224</v>
      </c>
      <c r="M656" s="122">
        <v>1853</v>
      </c>
      <c r="N656" s="122">
        <v>3245</v>
      </c>
      <c r="O656" s="122">
        <v>1202</v>
      </c>
      <c r="P656" s="122">
        <v>351</v>
      </c>
      <c r="Q656" s="122">
        <v>130</v>
      </c>
      <c r="R656" s="122">
        <v>12083</v>
      </c>
      <c r="S656" s="122">
        <v>10069</v>
      </c>
      <c r="T656" s="122">
        <v>4372</v>
      </c>
      <c r="U656" s="122">
        <v>1619</v>
      </c>
      <c r="V656" s="122">
        <v>23214</v>
      </c>
      <c r="W656" s="122">
        <f t="shared" si="20"/>
        <v>23213</v>
      </c>
      <c r="X656" s="122">
        <f t="shared" si="21"/>
        <v>44793</v>
      </c>
      <c r="Y656" s="122"/>
      <c r="AA656" t="s">
        <v>56</v>
      </c>
      <c r="AB656" t="s">
        <v>407</v>
      </c>
      <c r="AC656" t="s">
        <v>137</v>
      </c>
      <c r="AD656" t="s">
        <v>406</v>
      </c>
      <c r="AE656" t="s">
        <v>566</v>
      </c>
      <c r="AF656">
        <v>3</v>
      </c>
      <c r="AG656">
        <v>252</v>
      </c>
      <c r="AH656">
        <v>539</v>
      </c>
      <c r="AI656" s="122">
        <v>19105</v>
      </c>
      <c r="AJ656" s="122">
        <v>17368</v>
      </c>
      <c r="AK656">
        <v>83</v>
      </c>
      <c r="AL656" s="122">
        <v>4436</v>
      </c>
      <c r="AM656" s="122">
        <v>1643</v>
      </c>
      <c r="AN656" s="122">
        <v>5773</v>
      </c>
      <c r="AO656" s="122">
        <v>2138</v>
      </c>
      <c r="AP656" s="122">
        <v>1418</v>
      </c>
      <c r="AQ656">
        <v>525</v>
      </c>
      <c r="AR656" s="122">
        <v>15643</v>
      </c>
      <c r="AS656" s="122">
        <v>14221</v>
      </c>
      <c r="AT656">
        <v>0</v>
      </c>
      <c r="AU656">
        <v>0</v>
      </c>
      <c r="AV656" s="122">
        <v>35895</v>
      </c>
    </row>
    <row r="657" spans="2:48" hidden="1">
      <c r="B657" t="s">
        <v>367</v>
      </c>
      <c r="C657" t="s">
        <v>58</v>
      </c>
      <c r="D657" t="s">
        <v>406</v>
      </c>
      <c r="E657" t="s">
        <v>425</v>
      </c>
      <c r="F657">
        <v>3</v>
      </c>
      <c r="G657" s="122">
        <v>263</v>
      </c>
      <c r="H657" s="122">
        <v>841</v>
      </c>
      <c r="I657" s="122">
        <v>36696</v>
      </c>
      <c r="J657" s="122">
        <v>33360</v>
      </c>
      <c r="K657">
        <v>73</v>
      </c>
      <c r="L657" s="122">
        <v>10264</v>
      </c>
      <c r="M657" s="122">
        <v>7842</v>
      </c>
      <c r="N657" s="122">
        <v>5708</v>
      </c>
      <c r="O657" s="122">
        <v>2114</v>
      </c>
      <c r="P657" s="122">
        <v>1863</v>
      </c>
      <c r="Q657" s="122">
        <v>690</v>
      </c>
      <c r="R657" s="122">
        <v>14034</v>
      </c>
      <c r="S657" s="122">
        <v>12758</v>
      </c>
      <c r="T657" s="122">
        <v>4884</v>
      </c>
      <c r="U657" s="122">
        <v>1809</v>
      </c>
      <c r="V657" s="122">
        <v>58573</v>
      </c>
      <c r="W657" s="122">
        <f t="shared" si="20"/>
        <v>58573</v>
      </c>
      <c r="X657" s="122">
        <f t="shared" si="21"/>
        <v>73449</v>
      </c>
      <c r="Y657" s="122"/>
      <c r="AA657" t="s">
        <v>56</v>
      </c>
      <c r="AB657" t="s">
        <v>407</v>
      </c>
      <c r="AC657" t="s">
        <v>137</v>
      </c>
      <c r="AD657" t="s">
        <v>407</v>
      </c>
      <c r="AE657" t="s">
        <v>137</v>
      </c>
      <c r="AF657" s="122">
        <v>2127</v>
      </c>
      <c r="AG657" s="122">
        <v>196837</v>
      </c>
      <c r="AH657" s="122">
        <v>403964</v>
      </c>
      <c r="AI657" s="122">
        <v>16523923</v>
      </c>
      <c r="AJ657" s="122">
        <v>15021748</v>
      </c>
      <c r="AK657">
        <v>81</v>
      </c>
      <c r="AL657" s="122">
        <v>4076651</v>
      </c>
      <c r="AM657" s="122">
        <v>1509871</v>
      </c>
      <c r="AN657" s="122">
        <v>4045612</v>
      </c>
      <c r="AO657" s="122">
        <v>1498375</v>
      </c>
      <c r="AP657" s="122">
        <v>1012868</v>
      </c>
      <c r="AQ657" s="122">
        <v>375136</v>
      </c>
      <c r="AR657" s="122">
        <v>8718008</v>
      </c>
      <c r="AS657" s="122">
        <v>7925461</v>
      </c>
      <c r="AT657" s="122">
        <v>3631454</v>
      </c>
      <c r="AU657" s="122">
        <v>1344983</v>
      </c>
      <c r="AV657" s="122">
        <v>27675574</v>
      </c>
    </row>
    <row r="658" spans="2:48" hidden="1">
      <c r="B658" t="s">
        <v>367</v>
      </c>
      <c r="C658" t="s">
        <v>58</v>
      </c>
      <c r="D658" t="s">
        <v>406</v>
      </c>
      <c r="E658" t="s">
        <v>137</v>
      </c>
      <c r="F658">
        <v>10</v>
      </c>
      <c r="G658" s="122">
        <v>1204</v>
      </c>
      <c r="H658" s="122">
        <v>2616</v>
      </c>
      <c r="I658" s="122">
        <v>184433</v>
      </c>
      <c r="J658" s="122">
        <v>167667</v>
      </c>
      <c r="K658">
        <v>79</v>
      </c>
      <c r="L658" s="122">
        <v>32041</v>
      </c>
      <c r="M658" s="122">
        <v>29732</v>
      </c>
      <c r="N658" s="122">
        <v>22740</v>
      </c>
      <c r="O658" s="122">
        <v>8422</v>
      </c>
      <c r="P658" s="122">
        <v>6210</v>
      </c>
      <c r="Q658" s="122">
        <v>2300</v>
      </c>
      <c r="R658" s="122">
        <v>77997</v>
      </c>
      <c r="S658" s="122">
        <v>28888</v>
      </c>
      <c r="T658" s="122">
        <v>0</v>
      </c>
      <c r="U658">
        <v>0</v>
      </c>
      <c r="V658" s="122">
        <v>237009</v>
      </c>
      <c r="W658" s="122">
        <f t="shared" si="20"/>
        <v>237009</v>
      </c>
      <c r="X658" s="122">
        <f t="shared" si="21"/>
        <v>323421</v>
      </c>
      <c r="Y658" s="122"/>
      <c r="AA658" t="s">
        <v>56</v>
      </c>
      <c r="AB658" t="s">
        <v>407</v>
      </c>
      <c r="AC658" t="s">
        <v>137</v>
      </c>
      <c r="AD658" t="s">
        <v>407</v>
      </c>
      <c r="AE658" t="s">
        <v>566</v>
      </c>
      <c r="AF658" s="122">
        <v>3880</v>
      </c>
      <c r="AG658" s="122">
        <v>361694</v>
      </c>
      <c r="AH658" s="122">
        <v>708360</v>
      </c>
      <c r="AI658" s="122">
        <v>31309454</v>
      </c>
      <c r="AJ658" s="122">
        <v>28463140</v>
      </c>
      <c r="AK658">
        <v>84</v>
      </c>
      <c r="AL658" s="122">
        <v>7932984</v>
      </c>
      <c r="AM658" s="122">
        <v>2938142</v>
      </c>
      <c r="AN658" s="122">
        <v>7322962</v>
      </c>
      <c r="AO658" s="122">
        <v>2712208</v>
      </c>
      <c r="AP658" s="122">
        <v>1853393</v>
      </c>
      <c r="AQ658" s="122">
        <v>686442</v>
      </c>
      <c r="AR658" s="122">
        <v>18482306</v>
      </c>
      <c r="AS658" s="122">
        <v>16802096</v>
      </c>
      <c r="AT658">
        <v>0</v>
      </c>
      <c r="AU658">
        <v>0</v>
      </c>
      <c r="AV658" s="122">
        <v>51602028</v>
      </c>
    </row>
    <row r="659" spans="2:48" hidden="1">
      <c r="B659" t="s">
        <v>367</v>
      </c>
      <c r="C659" t="s">
        <v>58</v>
      </c>
      <c r="D659" t="s">
        <v>406</v>
      </c>
      <c r="E659" t="s">
        <v>406</v>
      </c>
      <c r="F659" s="122">
        <v>3590</v>
      </c>
      <c r="G659" s="122">
        <v>376678</v>
      </c>
      <c r="H659" s="122">
        <v>943607</v>
      </c>
      <c r="I659" s="122">
        <v>54559771</v>
      </c>
      <c r="J659" s="122">
        <v>49599791</v>
      </c>
      <c r="K659">
        <v>80</v>
      </c>
      <c r="L659" s="122">
        <v>13470562</v>
      </c>
      <c r="M659" s="122">
        <v>11004268</v>
      </c>
      <c r="N659" s="122">
        <v>7851121</v>
      </c>
      <c r="O659" s="122">
        <v>2907823</v>
      </c>
      <c r="P659" s="122">
        <v>2251890</v>
      </c>
      <c r="Q659" s="122">
        <v>834034</v>
      </c>
      <c r="R659" s="122">
        <v>17577073</v>
      </c>
      <c r="S659" s="122">
        <v>15979157</v>
      </c>
      <c r="T659" s="122">
        <v>5109669</v>
      </c>
      <c r="U659" s="122">
        <v>1892470</v>
      </c>
      <c r="V659" s="122">
        <v>82217543</v>
      </c>
      <c r="W659" s="122">
        <f t="shared" si="20"/>
        <v>82217543</v>
      </c>
      <c r="X659" s="122">
        <f t="shared" si="21"/>
        <v>100820086</v>
      </c>
      <c r="Y659" s="122"/>
      <c r="AA659" t="s">
        <v>56</v>
      </c>
      <c r="AB659" t="s">
        <v>407</v>
      </c>
      <c r="AC659" t="s">
        <v>137</v>
      </c>
      <c r="AD659" t="s">
        <v>428</v>
      </c>
      <c r="AE659" t="s">
        <v>137</v>
      </c>
      <c r="AF659">
        <v>1</v>
      </c>
      <c r="AG659">
        <v>105</v>
      </c>
      <c r="AH659">
        <v>217</v>
      </c>
      <c r="AI659" s="122">
        <v>10546</v>
      </c>
      <c r="AJ659" s="122">
        <v>9588</v>
      </c>
      <c r="AK659">
        <v>80</v>
      </c>
      <c r="AL659" s="122">
        <v>2174</v>
      </c>
      <c r="AM659">
        <v>805</v>
      </c>
      <c r="AN659" s="122">
        <v>2448</v>
      </c>
      <c r="AO659">
        <v>907</v>
      </c>
      <c r="AP659">
        <v>473</v>
      </c>
      <c r="AQ659">
        <v>175</v>
      </c>
      <c r="AR659" s="122">
        <v>4306</v>
      </c>
      <c r="AS659" s="122">
        <v>3915</v>
      </c>
      <c r="AT659" s="122">
        <v>2850</v>
      </c>
      <c r="AU659" s="122">
        <v>1055</v>
      </c>
      <c r="AV659" s="122">
        <v>16445</v>
      </c>
    </row>
    <row r="660" spans="2:48" hidden="1">
      <c r="B660" t="s">
        <v>367</v>
      </c>
      <c r="C660" t="s">
        <v>58</v>
      </c>
      <c r="D660" t="s">
        <v>406</v>
      </c>
      <c r="E660" t="s">
        <v>427</v>
      </c>
      <c r="F660">
        <v>4</v>
      </c>
      <c r="G660">
        <v>408</v>
      </c>
      <c r="H660" s="122">
        <v>1121</v>
      </c>
      <c r="I660" s="122">
        <v>62565</v>
      </c>
      <c r="J660" s="122">
        <v>56877</v>
      </c>
      <c r="K660">
        <v>80</v>
      </c>
      <c r="L660" s="122">
        <v>19520</v>
      </c>
      <c r="M660" s="122">
        <v>16506</v>
      </c>
      <c r="N660" s="122">
        <v>8770</v>
      </c>
      <c r="O660" s="122">
        <v>3248</v>
      </c>
      <c r="P660" s="122">
        <v>2484</v>
      </c>
      <c r="Q660">
        <v>920</v>
      </c>
      <c r="R660" s="122">
        <v>17359</v>
      </c>
      <c r="S660" s="122">
        <v>15781</v>
      </c>
      <c r="T660" s="122">
        <v>4493</v>
      </c>
      <c r="U660" s="122">
        <v>1664</v>
      </c>
      <c r="V660" s="122">
        <v>94997</v>
      </c>
      <c r="W660" s="122">
        <f t="shared" si="20"/>
        <v>94996</v>
      </c>
      <c r="X660" s="122">
        <f t="shared" si="21"/>
        <v>115191</v>
      </c>
      <c r="Y660" s="122"/>
      <c r="AA660" t="s">
        <v>56</v>
      </c>
      <c r="AB660" t="s">
        <v>407</v>
      </c>
      <c r="AC660" t="s">
        <v>580</v>
      </c>
      <c r="AD660" t="s">
        <v>407</v>
      </c>
      <c r="AE660" t="s">
        <v>137</v>
      </c>
      <c r="AF660">
        <v>17</v>
      </c>
      <c r="AG660" s="122">
        <v>1932</v>
      </c>
      <c r="AH660" s="122">
        <v>3311</v>
      </c>
      <c r="AI660" s="122">
        <v>191793</v>
      </c>
      <c r="AJ660" s="122">
        <v>174357</v>
      </c>
      <c r="AK660">
        <v>84</v>
      </c>
      <c r="AL660" s="122">
        <v>45155</v>
      </c>
      <c r="AM660" s="122">
        <v>41050</v>
      </c>
      <c r="AN660" s="122">
        <v>37129</v>
      </c>
      <c r="AO660" s="122">
        <v>13751</v>
      </c>
      <c r="AP660" s="122">
        <v>8654</v>
      </c>
      <c r="AQ660" s="122">
        <v>3205</v>
      </c>
      <c r="AR660" s="122">
        <v>69408</v>
      </c>
      <c r="AS660" s="122">
        <v>63098</v>
      </c>
      <c r="AT660" s="122">
        <v>36225</v>
      </c>
      <c r="AU660" s="122">
        <v>13417</v>
      </c>
      <c r="AV660" s="122">
        <v>308879</v>
      </c>
    </row>
    <row r="661" spans="2:48" hidden="1">
      <c r="B661" t="s">
        <v>367</v>
      </c>
      <c r="C661" t="s">
        <v>58</v>
      </c>
      <c r="D661" t="s">
        <v>406</v>
      </c>
      <c r="E661" t="s">
        <v>407</v>
      </c>
      <c r="F661">
        <v>7</v>
      </c>
      <c r="G661" s="122">
        <v>791</v>
      </c>
      <c r="H661" s="122">
        <v>1953</v>
      </c>
      <c r="I661" s="122">
        <v>130688</v>
      </c>
      <c r="J661" s="122">
        <v>118807</v>
      </c>
      <c r="K661">
        <v>80</v>
      </c>
      <c r="L661" s="122">
        <v>31265</v>
      </c>
      <c r="M661" s="122">
        <v>24529</v>
      </c>
      <c r="N661" s="122">
        <v>16543</v>
      </c>
      <c r="O661" s="122">
        <v>6127</v>
      </c>
      <c r="P661" s="122">
        <v>4199</v>
      </c>
      <c r="Q661" s="122">
        <v>1555</v>
      </c>
      <c r="R661" s="122">
        <v>36494</v>
      </c>
      <c r="S661" s="122">
        <v>33176</v>
      </c>
      <c r="T661" s="122">
        <v>8108</v>
      </c>
      <c r="U661" s="122">
        <v>3003</v>
      </c>
      <c r="V661" s="122">
        <v>187198</v>
      </c>
      <c r="W661" s="122">
        <f t="shared" si="20"/>
        <v>187197</v>
      </c>
      <c r="X661" s="122">
        <f t="shared" si="21"/>
        <v>227297</v>
      </c>
      <c r="Y661" s="122"/>
      <c r="AA661" t="s">
        <v>56</v>
      </c>
      <c r="AB661" t="s">
        <v>407</v>
      </c>
      <c r="AC661" t="s">
        <v>580</v>
      </c>
      <c r="AD661" t="s">
        <v>407</v>
      </c>
      <c r="AE661" t="s">
        <v>566</v>
      </c>
      <c r="AF661">
        <v>24</v>
      </c>
      <c r="AG661" s="122">
        <v>2173</v>
      </c>
      <c r="AH661" s="122">
        <v>4597</v>
      </c>
      <c r="AI661" s="122">
        <v>214252</v>
      </c>
      <c r="AJ661" s="122">
        <v>194774</v>
      </c>
      <c r="AK661">
        <v>83</v>
      </c>
      <c r="AL661" s="122">
        <v>49122</v>
      </c>
      <c r="AM661" s="122">
        <v>44656</v>
      </c>
      <c r="AN661" s="122">
        <v>45872</v>
      </c>
      <c r="AO661" s="122">
        <v>16990</v>
      </c>
      <c r="AP661" s="122">
        <v>12501</v>
      </c>
      <c r="AQ661" s="122">
        <v>4630</v>
      </c>
      <c r="AR661" s="122">
        <v>106359</v>
      </c>
      <c r="AS661" s="122">
        <v>96690</v>
      </c>
      <c r="AT661">
        <v>0</v>
      </c>
      <c r="AU661">
        <v>0</v>
      </c>
      <c r="AV661" s="122">
        <v>357740</v>
      </c>
    </row>
    <row r="662" spans="2:48" hidden="1">
      <c r="B662" t="s">
        <v>367</v>
      </c>
      <c r="C662" t="s">
        <v>58</v>
      </c>
      <c r="D662" t="s">
        <v>406</v>
      </c>
      <c r="E662" t="s">
        <v>556</v>
      </c>
      <c r="F662">
        <v>1</v>
      </c>
      <c r="G662">
        <v>79</v>
      </c>
      <c r="H662" s="122">
        <v>279</v>
      </c>
      <c r="I662" s="122">
        <v>9450</v>
      </c>
      <c r="J662" s="122">
        <v>8591</v>
      </c>
      <c r="K662">
        <v>85</v>
      </c>
      <c r="L662" s="122">
        <v>3081</v>
      </c>
      <c r="M662" s="122">
        <v>2568</v>
      </c>
      <c r="N662" s="122">
        <v>1577</v>
      </c>
      <c r="O662" s="122">
        <v>584</v>
      </c>
      <c r="P662" s="122">
        <v>621</v>
      </c>
      <c r="Q662">
        <v>230</v>
      </c>
      <c r="R662" s="122">
        <v>4416</v>
      </c>
      <c r="S662" s="122">
        <v>3680</v>
      </c>
      <c r="T662" s="122">
        <v>2865</v>
      </c>
      <c r="U662" s="122">
        <v>1061</v>
      </c>
      <c r="V662" s="122">
        <v>16713</v>
      </c>
      <c r="W662" s="122">
        <f t="shared" si="20"/>
        <v>16714</v>
      </c>
      <c r="X662" s="122">
        <f t="shared" si="21"/>
        <v>22010</v>
      </c>
      <c r="Y662" s="122"/>
      <c r="AA662" t="s">
        <v>56</v>
      </c>
      <c r="AB662" t="s">
        <v>407</v>
      </c>
      <c r="AC662" t="s">
        <v>427</v>
      </c>
      <c r="AD662" t="s">
        <v>137</v>
      </c>
      <c r="AE662" t="s">
        <v>566</v>
      </c>
      <c r="AF662">
        <v>2</v>
      </c>
      <c r="AG662">
        <v>191</v>
      </c>
      <c r="AH662">
        <v>350</v>
      </c>
      <c r="AI662" s="122">
        <v>17416</v>
      </c>
      <c r="AJ662" s="122">
        <v>15832</v>
      </c>
      <c r="AK662">
        <v>82</v>
      </c>
      <c r="AL662" s="122">
        <v>2376</v>
      </c>
      <c r="AM662" s="122">
        <v>2160</v>
      </c>
      <c r="AN662" s="122">
        <v>4070</v>
      </c>
      <c r="AO662" s="122">
        <v>1507</v>
      </c>
      <c r="AP662">
        <v>945</v>
      </c>
      <c r="AQ662">
        <v>350</v>
      </c>
      <c r="AR662" s="122">
        <v>8606</v>
      </c>
      <c r="AS662" s="122">
        <v>3187</v>
      </c>
      <c r="AT662">
        <v>0</v>
      </c>
      <c r="AU662">
        <v>0</v>
      </c>
      <c r="AV662" s="122">
        <v>23037</v>
      </c>
    </row>
    <row r="663" spans="2:48" hidden="1">
      <c r="B663" t="s">
        <v>367</v>
      </c>
      <c r="C663" t="s">
        <v>58</v>
      </c>
      <c r="D663" t="s">
        <v>427</v>
      </c>
      <c r="E663" t="s">
        <v>406</v>
      </c>
      <c r="F663">
        <v>2</v>
      </c>
      <c r="G663">
        <v>204</v>
      </c>
      <c r="H663">
        <v>537</v>
      </c>
      <c r="I663" s="122">
        <v>29368</v>
      </c>
      <c r="J663" s="122">
        <v>26699</v>
      </c>
      <c r="K663">
        <v>82</v>
      </c>
      <c r="L663" s="122">
        <v>9448</v>
      </c>
      <c r="M663" s="122">
        <v>7874</v>
      </c>
      <c r="N663" s="122">
        <v>4466</v>
      </c>
      <c r="O663" s="122">
        <v>1654</v>
      </c>
      <c r="P663" s="122">
        <v>1242</v>
      </c>
      <c r="Q663">
        <v>460</v>
      </c>
      <c r="R663" s="122">
        <v>8668</v>
      </c>
      <c r="S663" s="122">
        <v>7880</v>
      </c>
      <c r="T663" s="122">
        <v>2037</v>
      </c>
      <c r="U663">
        <v>755</v>
      </c>
      <c r="V663" s="122">
        <v>45321</v>
      </c>
      <c r="W663" s="122">
        <f t="shared" si="20"/>
        <v>45322</v>
      </c>
      <c r="X663" s="122">
        <f t="shared" si="21"/>
        <v>55229</v>
      </c>
      <c r="Y663" s="122"/>
      <c r="AA663" t="s">
        <v>56</v>
      </c>
      <c r="AB663" t="s">
        <v>407</v>
      </c>
      <c r="AC663" t="s">
        <v>427</v>
      </c>
      <c r="AD663" t="s">
        <v>406</v>
      </c>
      <c r="AE663" t="s">
        <v>137</v>
      </c>
      <c r="AF663">
        <v>2</v>
      </c>
      <c r="AG663">
        <v>184</v>
      </c>
      <c r="AH663">
        <v>386</v>
      </c>
      <c r="AI663" s="122">
        <v>17574</v>
      </c>
      <c r="AJ663" s="122">
        <v>15977</v>
      </c>
      <c r="AK663">
        <v>84</v>
      </c>
      <c r="AL663" s="122">
        <v>4268</v>
      </c>
      <c r="AM663" s="122">
        <v>3880</v>
      </c>
      <c r="AN663" s="122">
        <v>3653</v>
      </c>
      <c r="AO663" s="122">
        <v>1353</v>
      </c>
      <c r="AP663">
        <v>945</v>
      </c>
      <c r="AQ663">
        <v>350</v>
      </c>
      <c r="AR663" s="122">
        <v>7690</v>
      </c>
      <c r="AS663" s="122">
        <v>6991</v>
      </c>
      <c r="AT663" s="122">
        <v>2628</v>
      </c>
      <c r="AU663">
        <v>973</v>
      </c>
      <c r="AV663" s="122">
        <v>29525</v>
      </c>
    </row>
    <row r="664" spans="2:48" hidden="1">
      <c r="B664" t="s">
        <v>367</v>
      </c>
      <c r="C664" t="s">
        <v>58</v>
      </c>
      <c r="D664" t="s">
        <v>427</v>
      </c>
      <c r="E664" t="s">
        <v>427</v>
      </c>
      <c r="F664">
        <v>6</v>
      </c>
      <c r="G664" s="122">
        <v>439</v>
      </c>
      <c r="H664" s="122">
        <v>1553</v>
      </c>
      <c r="I664" s="122">
        <v>61428</v>
      </c>
      <c r="J664" s="122">
        <v>55844</v>
      </c>
      <c r="K664">
        <v>60</v>
      </c>
      <c r="L664" s="122">
        <v>4928</v>
      </c>
      <c r="M664" s="122">
        <v>5048</v>
      </c>
      <c r="N664" s="122">
        <v>8766</v>
      </c>
      <c r="O664" s="122">
        <v>3247</v>
      </c>
      <c r="P664" s="122">
        <v>1755</v>
      </c>
      <c r="Q664" s="122">
        <v>650</v>
      </c>
      <c r="R664" s="122">
        <v>35484</v>
      </c>
      <c r="S664" s="122">
        <v>32258</v>
      </c>
      <c r="T664" s="122">
        <v>9569</v>
      </c>
      <c r="U664" s="122">
        <v>3544</v>
      </c>
      <c r="V664" s="122">
        <v>100590</v>
      </c>
      <c r="W664" s="122">
        <f t="shared" si="20"/>
        <v>100591</v>
      </c>
      <c r="X664" s="122">
        <f t="shared" si="21"/>
        <v>121930</v>
      </c>
      <c r="Y664" s="122"/>
      <c r="AA664" t="s">
        <v>56</v>
      </c>
      <c r="AB664" t="s">
        <v>407</v>
      </c>
      <c r="AC664" t="s">
        <v>427</v>
      </c>
      <c r="AD664" t="s">
        <v>406</v>
      </c>
      <c r="AE664" t="s">
        <v>566</v>
      </c>
      <c r="AF664">
        <v>3</v>
      </c>
      <c r="AG664">
        <v>329</v>
      </c>
      <c r="AH664">
        <v>537</v>
      </c>
      <c r="AI664" s="122">
        <v>27321</v>
      </c>
      <c r="AJ664" s="122">
        <v>24838</v>
      </c>
      <c r="AK664">
        <v>78</v>
      </c>
      <c r="AL664" s="122">
        <v>7663</v>
      </c>
      <c r="AM664" s="122">
        <v>6966</v>
      </c>
      <c r="AN664" s="122">
        <v>7094</v>
      </c>
      <c r="AO664" s="122">
        <v>2627</v>
      </c>
      <c r="AP664" s="122">
        <v>1418</v>
      </c>
      <c r="AQ664">
        <v>525</v>
      </c>
      <c r="AR664" s="122">
        <v>14958</v>
      </c>
      <c r="AS664" s="122">
        <v>13599</v>
      </c>
      <c r="AT664">
        <v>0</v>
      </c>
      <c r="AU664">
        <v>0</v>
      </c>
      <c r="AV664" s="122">
        <v>48555</v>
      </c>
    </row>
    <row r="665" spans="2:48" hidden="1">
      <c r="B665" t="s">
        <v>367</v>
      </c>
      <c r="C665" t="s">
        <v>58</v>
      </c>
      <c r="D665" t="s">
        <v>407</v>
      </c>
      <c r="E665" t="s">
        <v>425</v>
      </c>
      <c r="F665">
        <v>1</v>
      </c>
      <c r="G665">
        <v>84</v>
      </c>
      <c r="H665" s="122">
        <v>268</v>
      </c>
      <c r="I665" s="122">
        <v>13407</v>
      </c>
      <c r="J665" s="122">
        <v>12189</v>
      </c>
      <c r="K665">
        <v>79</v>
      </c>
      <c r="L665">
        <v>0</v>
      </c>
      <c r="M665">
        <v>0</v>
      </c>
      <c r="N665" s="122">
        <v>2047</v>
      </c>
      <c r="O665" s="122">
        <v>758</v>
      </c>
      <c r="P665" s="122">
        <v>473</v>
      </c>
      <c r="Q665">
        <v>175</v>
      </c>
      <c r="R665" s="122">
        <v>6620</v>
      </c>
      <c r="S665" s="122">
        <v>6018</v>
      </c>
      <c r="T665" s="122">
        <v>0</v>
      </c>
      <c r="U665">
        <v>0</v>
      </c>
      <c r="V665" s="122">
        <v>19140</v>
      </c>
      <c r="W665" s="122">
        <f t="shared" si="20"/>
        <v>19140</v>
      </c>
      <c r="X665" s="122">
        <f t="shared" si="21"/>
        <v>22547</v>
      </c>
      <c r="Y665" s="122"/>
      <c r="AA665" t="s">
        <v>56</v>
      </c>
      <c r="AB665" t="s">
        <v>407</v>
      </c>
      <c r="AC665" t="s">
        <v>427</v>
      </c>
      <c r="AD665" t="s">
        <v>407</v>
      </c>
      <c r="AE665" t="s">
        <v>137</v>
      </c>
      <c r="AF665" s="122">
        <v>1638</v>
      </c>
      <c r="AG665" s="122">
        <v>164835</v>
      </c>
      <c r="AH665" s="122">
        <v>314595</v>
      </c>
      <c r="AI665" s="122">
        <v>15096788</v>
      </c>
      <c r="AJ665" s="122">
        <v>13724353</v>
      </c>
      <c r="AK665">
        <v>83</v>
      </c>
      <c r="AL665" s="122">
        <v>4145274</v>
      </c>
      <c r="AM665" s="122">
        <v>3768431</v>
      </c>
      <c r="AN665" s="122">
        <v>3178369</v>
      </c>
      <c r="AO665" s="122">
        <v>1177173</v>
      </c>
      <c r="AP665" s="122">
        <v>781740</v>
      </c>
      <c r="AQ665" s="122">
        <v>289533</v>
      </c>
      <c r="AR665" s="122">
        <v>6824976</v>
      </c>
      <c r="AS665" s="122">
        <v>6204524</v>
      </c>
      <c r="AT665" s="122">
        <v>2238236</v>
      </c>
      <c r="AU665" s="122">
        <v>828976</v>
      </c>
      <c r="AV665" s="122">
        <v>25992990</v>
      </c>
    </row>
    <row r="666" spans="2:48" hidden="1">
      <c r="B666" t="s">
        <v>367</v>
      </c>
      <c r="C666" t="s">
        <v>58</v>
      </c>
      <c r="D666" t="s">
        <v>407</v>
      </c>
      <c r="E666" t="s">
        <v>405</v>
      </c>
      <c r="F666">
        <v>9</v>
      </c>
      <c r="G666">
        <v>788</v>
      </c>
      <c r="H666" s="122">
        <v>2322</v>
      </c>
      <c r="I666" s="122">
        <v>100644</v>
      </c>
      <c r="J666" s="122">
        <v>91494</v>
      </c>
      <c r="K666">
        <v>82</v>
      </c>
      <c r="L666" s="122">
        <v>31579</v>
      </c>
      <c r="M666" s="122">
        <v>26636</v>
      </c>
      <c r="N666" s="122">
        <v>15141</v>
      </c>
      <c r="O666" s="122">
        <v>5608</v>
      </c>
      <c r="P666" s="122">
        <v>4253</v>
      </c>
      <c r="Q666" s="122">
        <v>1575</v>
      </c>
      <c r="R666" s="122">
        <v>45839</v>
      </c>
      <c r="S666" s="122">
        <v>41672</v>
      </c>
      <c r="T666" s="122">
        <v>11209</v>
      </c>
      <c r="U666" s="122">
        <v>4152</v>
      </c>
      <c r="V666" s="122">
        <v>171136</v>
      </c>
      <c r="W666" s="122">
        <f t="shared" si="20"/>
        <v>171137</v>
      </c>
      <c r="X666" s="122">
        <f t="shared" si="21"/>
        <v>208665</v>
      </c>
      <c r="Y666" s="122"/>
      <c r="AA666" t="s">
        <v>56</v>
      </c>
      <c r="AB666" t="s">
        <v>407</v>
      </c>
      <c r="AC666" t="s">
        <v>427</v>
      </c>
      <c r="AD666" t="s">
        <v>407</v>
      </c>
      <c r="AE666" t="s">
        <v>566</v>
      </c>
      <c r="AF666" s="122">
        <v>2736</v>
      </c>
      <c r="AG666" s="122">
        <v>274159</v>
      </c>
      <c r="AH666" s="122">
        <v>507767</v>
      </c>
      <c r="AI666" s="122">
        <v>24635429</v>
      </c>
      <c r="AJ666" s="122">
        <v>22395844</v>
      </c>
      <c r="AK666">
        <v>84</v>
      </c>
      <c r="AL666" s="122">
        <v>7194364</v>
      </c>
      <c r="AM666" s="122">
        <v>6540331</v>
      </c>
      <c r="AN666" s="122">
        <v>5477084</v>
      </c>
      <c r="AO666" s="122">
        <v>2028550</v>
      </c>
      <c r="AP666" s="122">
        <v>1309358</v>
      </c>
      <c r="AQ666" s="122">
        <v>484947</v>
      </c>
      <c r="AR666" s="122">
        <v>13020162</v>
      </c>
      <c r="AS666" s="122">
        <v>11836511</v>
      </c>
      <c r="AT666">
        <v>0</v>
      </c>
      <c r="AU666">
        <v>0</v>
      </c>
      <c r="AV666" s="122">
        <v>43286183</v>
      </c>
    </row>
    <row r="667" spans="2:48" hidden="1">
      <c r="B667" t="s">
        <v>367</v>
      </c>
      <c r="C667" t="s">
        <v>58</v>
      </c>
      <c r="D667" t="s">
        <v>407</v>
      </c>
      <c r="E667" t="s">
        <v>137</v>
      </c>
      <c r="F667">
        <v>47</v>
      </c>
      <c r="G667" s="122">
        <v>4882</v>
      </c>
      <c r="H667" s="122">
        <v>12339</v>
      </c>
      <c r="I667" s="122">
        <v>738760</v>
      </c>
      <c r="J667" s="122">
        <v>671600</v>
      </c>
      <c r="K667">
        <v>81</v>
      </c>
      <c r="L667" s="122">
        <v>129657</v>
      </c>
      <c r="M667" s="122">
        <v>105010</v>
      </c>
      <c r="N667" s="122">
        <v>97532</v>
      </c>
      <c r="O667" s="122">
        <v>36123</v>
      </c>
      <c r="P667" s="122">
        <v>27101</v>
      </c>
      <c r="Q667" s="122">
        <v>10037</v>
      </c>
      <c r="R667" s="122">
        <v>324225</v>
      </c>
      <c r="S667" s="122">
        <v>120083</v>
      </c>
      <c r="T667" s="122">
        <v>0</v>
      </c>
      <c r="U667" s="122">
        <v>0</v>
      </c>
      <c r="V667" s="122">
        <v>942854</v>
      </c>
      <c r="W667" s="122">
        <f t="shared" si="20"/>
        <v>942853</v>
      </c>
      <c r="X667" s="122">
        <f t="shared" si="21"/>
        <v>1317275</v>
      </c>
      <c r="Y667" s="122"/>
      <c r="AA667" t="s">
        <v>56</v>
      </c>
      <c r="AB667" t="s">
        <v>407</v>
      </c>
      <c r="AC667" t="s">
        <v>427</v>
      </c>
      <c r="AD667" t="s">
        <v>426</v>
      </c>
      <c r="AE667" t="s">
        <v>566</v>
      </c>
      <c r="AF667">
        <v>1</v>
      </c>
      <c r="AG667">
        <v>96</v>
      </c>
      <c r="AH667">
        <v>214</v>
      </c>
      <c r="AI667" s="122">
        <v>12140</v>
      </c>
      <c r="AJ667" s="122">
        <v>11037</v>
      </c>
      <c r="AK667">
        <v>90</v>
      </c>
      <c r="AL667" s="122">
        <v>1931</v>
      </c>
      <c r="AM667" s="122">
        <v>1756</v>
      </c>
      <c r="AN667" s="122">
        <v>2184</v>
      </c>
      <c r="AO667">
        <v>809</v>
      </c>
      <c r="AP667">
        <v>473</v>
      </c>
      <c r="AQ667">
        <v>175</v>
      </c>
      <c r="AR667" s="122">
        <v>3860</v>
      </c>
      <c r="AS667" s="122">
        <v>3509</v>
      </c>
      <c r="AT667">
        <v>0</v>
      </c>
      <c r="AU667">
        <v>0</v>
      </c>
      <c r="AV667" s="122">
        <v>17285</v>
      </c>
    </row>
    <row r="668" spans="2:48" hidden="1">
      <c r="B668" t="s">
        <v>367</v>
      </c>
      <c r="C668" t="s">
        <v>58</v>
      </c>
      <c r="D668" t="s">
        <v>407</v>
      </c>
      <c r="E668" t="s">
        <v>406</v>
      </c>
      <c r="F668">
        <v>6</v>
      </c>
      <c r="G668" s="122">
        <v>755</v>
      </c>
      <c r="H668" s="122">
        <v>1563</v>
      </c>
      <c r="I668" s="122">
        <v>100384</v>
      </c>
      <c r="J668" s="122">
        <v>91258</v>
      </c>
      <c r="K668">
        <v>83</v>
      </c>
      <c r="L668" s="122">
        <v>35951</v>
      </c>
      <c r="M668" s="122">
        <v>26109</v>
      </c>
      <c r="N668" s="122">
        <v>17338</v>
      </c>
      <c r="O668" s="122">
        <v>6422</v>
      </c>
      <c r="P668" s="122">
        <v>2835</v>
      </c>
      <c r="Q668" s="122">
        <v>1050</v>
      </c>
      <c r="R668" s="122">
        <v>31210</v>
      </c>
      <c r="S668" s="122">
        <v>28372</v>
      </c>
      <c r="T668" s="122">
        <v>7682</v>
      </c>
      <c r="U668" s="122">
        <v>2845</v>
      </c>
      <c r="V668" s="122">
        <v>156056</v>
      </c>
      <c r="W668" s="122">
        <f t="shared" si="20"/>
        <v>156056</v>
      </c>
      <c r="X668" s="122">
        <f t="shared" si="21"/>
        <v>195400</v>
      </c>
      <c r="Y668" s="122"/>
      <c r="AA668" t="s">
        <v>56</v>
      </c>
      <c r="AB668" t="s">
        <v>407</v>
      </c>
      <c r="AC668" t="s">
        <v>407</v>
      </c>
      <c r="AD668" t="s">
        <v>405</v>
      </c>
      <c r="AE668" t="s">
        <v>137</v>
      </c>
      <c r="AF668">
        <v>4</v>
      </c>
      <c r="AG668">
        <v>421</v>
      </c>
      <c r="AH668">
        <v>773</v>
      </c>
      <c r="AI668" s="122">
        <v>43192</v>
      </c>
      <c r="AJ668" s="122">
        <v>39266</v>
      </c>
      <c r="AK668">
        <v>85</v>
      </c>
      <c r="AL668" s="122">
        <v>8695</v>
      </c>
      <c r="AM668" s="122">
        <v>7905</v>
      </c>
      <c r="AN668" s="122">
        <v>7867</v>
      </c>
      <c r="AO668" s="122">
        <v>2914</v>
      </c>
      <c r="AP668" s="122">
        <v>1769</v>
      </c>
      <c r="AQ668">
        <v>655</v>
      </c>
      <c r="AR668" s="122">
        <v>13290</v>
      </c>
      <c r="AS668" s="122">
        <v>12082</v>
      </c>
      <c r="AT668" s="122">
        <v>4896</v>
      </c>
      <c r="AU668" s="122">
        <v>1813</v>
      </c>
      <c r="AV668" s="122">
        <v>64634</v>
      </c>
    </row>
    <row r="669" spans="2:48" hidden="1">
      <c r="B669" t="s">
        <v>367</v>
      </c>
      <c r="C669" t="s">
        <v>58</v>
      </c>
      <c r="D669" t="s">
        <v>407</v>
      </c>
      <c r="E669" t="s">
        <v>427</v>
      </c>
      <c r="F669">
        <v>3</v>
      </c>
      <c r="G669" s="122">
        <v>232</v>
      </c>
      <c r="H669" s="122">
        <v>794</v>
      </c>
      <c r="I669" s="122">
        <v>25141</v>
      </c>
      <c r="J669" s="122">
        <v>22855</v>
      </c>
      <c r="K669">
        <v>78</v>
      </c>
      <c r="L669" s="122">
        <v>8349</v>
      </c>
      <c r="M669" s="122">
        <v>5595</v>
      </c>
      <c r="N669" s="122">
        <v>5065</v>
      </c>
      <c r="O669" s="122">
        <v>1876</v>
      </c>
      <c r="P669" s="122">
        <v>1418</v>
      </c>
      <c r="Q669">
        <v>525</v>
      </c>
      <c r="R669" s="122">
        <v>14720</v>
      </c>
      <c r="S669" s="122">
        <v>13382</v>
      </c>
      <c r="T669" s="122">
        <v>6850</v>
      </c>
      <c r="U669" s="122">
        <v>2537</v>
      </c>
      <c r="V669" s="122">
        <v>46770</v>
      </c>
      <c r="W669" s="122">
        <f t="shared" si="20"/>
        <v>46770</v>
      </c>
      <c r="X669" s="122">
        <f t="shared" si="21"/>
        <v>61543</v>
      </c>
      <c r="Y669" s="122"/>
      <c r="AA669" t="s">
        <v>56</v>
      </c>
      <c r="AB669" t="s">
        <v>407</v>
      </c>
      <c r="AC669" t="s">
        <v>407</v>
      </c>
      <c r="AD669" t="s">
        <v>405</v>
      </c>
      <c r="AE669" t="s">
        <v>566</v>
      </c>
      <c r="AF669">
        <v>4</v>
      </c>
      <c r="AG669">
        <v>420</v>
      </c>
      <c r="AH669">
        <v>760</v>
      </c>
      <c r="AI669" s="122">
        <v>39509</v>
      </c>
      <c r="AJ669" s="122">
        <v>35917</v>
      </c>
      <c r="AK669">
        <v>85</v>
      </c>
      <c r="AL669" s="122">
        <v>11749</v>
      </c>
      <c r="AM669" s="122">
        <v>10681</v>
      </c>
      <c r="AN669" s="122">
        <v>7741</v>
      </c>
      <c r="AO669" s="122">
        <v>2867</v>
      </c>
      <c r="AP669" s="122">
        <v>1890</v>
      </c>
      <c r="AQ669">
        <v>700</v>
      </c>
      <c r="AR669" s="122">
        <v>18379</v>
      </c>
      <c r="AS669" s="122">
        <v>16708</v>
      </c>
      <c r="AT669">
        <v>0</v>
      </c>
      <c r="AU669">
        <v>0</v>
      </c>
      <c r="AV669" s="122">
        <v>66873</v>
      </c>
    </row>
    <row r="670" spans="2:48" hidden="1">
      <c r="B670" t="s">
        <v>367</v>
      </c>
      <c r="C670" t="s">
        <v>58</v>
      </c>
      <c r="D670" t="s">
        <v>407</v>
      </c>
      <c r="E670" t="s">
        <v>407</v>
      </c>
      <c r="F670" s="122">
        <v>29521</v>
      </c>
      <c r="G670" s="122">
        <v>2923999</v>
      </c>
      <c r="H670" s="122">
        <v>7686759</v>
      </c>
      <c r="I670" s="122">
        <v>413713641</v>
      </c>
      <c r="J670" s="122">
        <v>376103309</v>
      </c>
      <c r="K670">
        <v>81</v>
      </c>
      <c r="L670" s="122">
        <v>112054976</v>
      </c>
      <c r="M670" s="122">
        <v>96154507</v>
      </c>
      <c r="N670" s="122">
        <v>60692418</v>
      </c>
      <c r="O670" s="122">
        <v>22478673</v>
      </c>
      <c r="P670" s="122">
        <v>13965249</v>
      </c>
      <c r="Q670" s="122">
        <v>5172314</v>
      </c>
      <c r="R670" s="122">
        <v>140802937</v>
      </c>
      <c r="S670" s="122">
        <v>128002669</v>
      </c>
      <c r="T670" s="122">
        <v>31933710</v>
      </c>
      <c r="U670" s="122">
        <v>11827300</v>
      </c>
      <c r="V670" s="122">
        <v>639738771</v>
      </c>
      <c r="W670" s="122">
        <f t="shared" si="20"/>
        <v>639738772</v>
      </c>
      <c r="X670" s="122">
        <f t="shared" si="21"/>
        <v>773162931</v>
      </c>
      <c r="Y670" s="122"/>
      <c r="AA670" t="s">
        <v>56</v>
      </c>
      <c r="AB670" t="s">
        <v>407</v>
      </c>
      <c r="AC670" t="s">
        <v>407</v>
      </c>
      <c r="AD670" t="s">
        <v>137</v>
      </c>
      <c r="AE670" t="s">
        <v>137</v>
      </c>
      <c r="AF670">
        <v>1</v>
      </c>
      <c r="AG670">
        <v>161</v>
      </c>
      <c r="AH670">
        <v>173</v>
      </c>
      <c r="AI670" s="122">
        <v>12421</v>
      </c>
      <c r="AJ670" s="122">
        <v>11292</v>
      </c>
      <c r="AK670">
        <v>91</v>
      </c>
      <c r="AL670" s="122">
        <v>5969</v>
      </c>
      <c r="AM670" s="122">
        <v>5427</v>
      </c>
      <c r="AN670" s="122">
        <v>3846</v>
      </c>
      <c r="AO670" s="122">
        <v>1424</v>
      </c>
      <c r="AP670">
        <v>473</v>
      </c>
      <c r="AQ670">
        <v>175</v>
      </c>
      <c r="AR670" s="122">
        <v>5172</v>
      </c>
      <c r="AS670" s="122">
        <v>1915</v>
      </c>
      <c r="AT670">
        <v>0</v>
      </c>
      <c r="AU670">
        <v>0</v>
      </c>
      <c r="AV670" s="122">
        <v>20233</v>
      </c>
    </row>
    <row r="671" spans="2:48" hidden="1">
      <c r="B671" t="s">
        <v>367</v>
      </c>
      <c r="C671" t="s">
        <v>58</v>
      </c>
      <c r="D671" t="s">
        <v>407</v>
      </c>
      <c r="E671" t="s">
        <v>556</v>
      </c>
      <c r="F671">
        <v>11</v>
      </c>
      <c r="G671" s="122">
        <v>994</v>
      </c>
      <c r="H671" s="122">
        <v>2892</v>
      </c>
      <c r="I671" s="122">
        <v>134936</v>
      </c>
      <c r="J671" s="122">
        <v>122669</v>
      </c>
      <c r="K671">
        <v>77</v>
      </c>
      <c r="L671" s="122">
        <v>30618</v>
      </c>
      <c r="M671" s="122">
        <v>32602</v>
      </c>
      <c r="N671" s="122">
        <v>20535</v>
      </c>
      <c r="O671" s="122">
        <v>7605</v>
      </c>
      <c r="P671" s="122">
        <v>5198</v>
      </c>
      <c r="Q671" s="122">
        <v>1925</v>
      </c>
      <c r="R671" s="122">
        <v>54009</v>
      </c>
      <c r="S671" s="122">
        <v>45007</v>
      </c>
      <c r="T671" s="122">
        <v>16658</v>
      </c>
      <c r="U671" s="122">
        <v>6170</v>
      </c>
      <c r="V671" s="122">
        <v>215979</v>
      </c>
      <c r="W671" s="122">
        <f t="shared" si="20"/>
        <v>215978</v>
      </c>
      <c r="X671" s="122">
        <f t="shared" si="21"/>
        <v>261954</v>
      </c>
      <c r="Y671" s="122"/>
      <c r="AA671" t="s">
        <v>56</v>
      </c>
      <c r="AB671" t="s">
        <v>407</v>
      </c>
      <c r="AC671" t="s">
        <v>407</v>
      </c>
      <c r="AD671" t="s">
        <v>137</v>
      </c>
      <c r="AE671" t="s">
        <v>566</v>
      </c>
      <c r="AF671">
        <v>20</v>
      </c>
      <c r="AG671" s="122">
        <v>2104</v>
      </c>
      <c r="AH671" s="122">
        <v>3935</v>
      </c>
      <c r="AI671" s="122">
        <v>192956</v>
      </c>
      <c r="AJ671" s="122">
        <v>175414</v>
      </c>
      <c r="AK671">
        <v>79</v>
      </c>
      <c r="AL671" s="122">
        <v>50099</v>
      </c>
      <c r="AM671" s="122">
        <v>45545</v>
      </c>
      <c r="AN671" s="122">
        <v>44296</v>
      </c>
      <c r="AO671" s="122">
        <v>16406</v>
      </c>
      <c r="AP671" s="122">
        <v>9450</v>
      </c>
      <c r="AQ671" s="122">
        <v>3500</v>
      </c>
      <c r="AR671" s="122">
        <v>113474</v>
      </c>
      <c r="AS671" s="122">
        <v>42028</v>
      </c>
      <c r="AT671">
        <v>0</v>
      </c>
      <c r="AU671">
        <v>0</v>
      </c>
      <c r="AV671" s="122">
        <v>282893</v>
      </c>
    </row>
    <row r="672" spans="2:48" hidden="1">
      <c r="B672" t="s">
        <v>367</v>
      </c>
      <c r="C672" t="s">
        <v>58</v>
      </c>
      <c r="D672" t="s">
        <v>407</v>
      </c>
      <c r="E672" t="s">
        <v>426</v>
      </c>
      <c r="F672">
        <v>3</v>
      </c>
      <c r="G672">
        <v>222</v>
      </c>
      <c r="H672">
        <v>744</v>
      </c>
      <c r="I672" s="122">
        <v>29120</v>
      </c>
      <c r="J672" s="122">
        <v>26473</v>
      </c>
      <c r="K672">
        <v>79</v>
      </c>
      <c r="L672" s="122">
        <v>2672</v>
      </c>
      <c r="M672" s="122">
        <v>2429</v>
      </c>
      <c r="N672" s="122">
        <v>5345</v>
      </c>
      <c r="O672" s="122">
        <v>1980</v>
      </c>
      <c r="P672" s="122">
        <v>1296</v>
      </c>
      <c r="Q672">
        <v>480</v>
      </c>
      <c r="R672" s="122">
        <v>16699</v>
      </c>
      <c r="S672" s="122">
        <v>15181</v>
      </c>
      <c r="T672" s="122">
        <v>0</v>
      </c>
      <c r="U672">
        <v>0</v>
      </c>
      <c r="V672" s="122">
        <v>46543</v>
      </c>
      <c r="W672" s="122">
        <f t="shared" si="20"/>
        <v>46543</v>
      </c>
      <c r="X672" s="122">
        <f t="shared" si="21"/>
        <v>55132</v>
      </c>
      <c r="Y672" s="122"/>
      <c r="AA672" t="s">
        <v>56</v>
      </c>
      <c r="AB672" t="s">
        <v>407</v>
      </c>
      <c r="AC672" t="s">
        <v>407</v>
      </c>
      <c r="AD672" t="s">
        <v>406</v>
      </c>
      <c r="AE672" t="s">
        <v>137</v>
      </c>
      <c r="AF672">
        <v>1</v>
      </c>
      <c r="AG672">
        <v>94</v>
      </c>
      <c r="AH672">
        <v>223</v>
      </c>
      <c r="AI672" s="122">
        <v>9245</v>
      </c>
      <c r="AJ672" s="122">
        <v>8404</v>
      </c>
      <c r="AK672">
        <v>79</v>
      </c>
      <c r="AL672" s="122">
        <v>3847</v>
      </c>
      <c r="AM672" s="122">
        <v>3497</v>
      </c>
      <c r="AN672" s="122">
        <v>1572</v>
      </c>
      <c r="AO672">
        <v>582</v>
      </c>
      <c r="AP672">
        <v>473</v>
      </c>
      <c r="AQ672">
        <v>175</v>
      </c>
      <c r="AR672" s="122">
        <v>3348</v>
      </c>
      <c r="AS672" s="122">
        <v>3044</v>
      </c>
      <c r="AT672" s="122">
        <v>2487</v>
      </c>
      <c r="AU672">
        <v>921</v>
      </c>
      <c r="AV672" s="122">
        <v>16624</v>
      </c>
    </row>
    <row r="673" spans="2:48" hidden="1">
      <c r="B673" t="s">
        <v>367</v>
      </c>
      <c r="C673" t="s">
        <v>58</v>
      </c>
      <c r="D673" t="s">
        <v>407</v>
      </c>
      <c r="E673" t="s">
        <v>433</v>
      </c>
      <c r="F673">
        <v>1</v>
      </c>
      <c r="G673" s="122">
        <v>93</v>
      </c>
      <c r="H673" s="122">
        <v>250</v>
      </c>
      <c r="I673" s="122">
        <v>14211</v>
      </c>
      <c r="J673" s="122">
        <v>12919</v>
      </c>
      <c r="K673">
        <v>91</v>
      </c>
      <c r="L673" s="122">
        <v>4763</v>
      </c>
      <c r="M673" s="122">
        <v>4330</v>
      </c>
      <c r="N673" s="122">
        <v>1131</v>
      </c>
      <c r="O673" s="122">
        <v>419</v>
      </c>
      <c r="P673" s="122">
        <v>473</v>
      </c>
      <c r="Q673">
        <v>175</v>
      </c>
      <c r="R673" s="122">
        <v>2577</v>
      </c>
      <c r="S673" s="122">
        <v>2343</v>
      </c>
      <c r="T673" s="122">
        <v>0</v>
      </c>
      <c r="U673" s="122">
        <v>0</v>
      </c>
      <c r="V673" s="122">
        <v>20186</v>
      </c>
      <c r="W673" s="122">
        <f t="shared" si="20"/>
        <v>20186</v>
      </c>
      <c r="X673" s="122">
        <f t="shared" si="21"/>
        <v>23155</v>
      </c>
      <c r="Y673" s="122"/>
      <c r="AA673" t="s">
        <v>56</v>
      </c>
      <c r="AB673" t="s">
        <v>407</v>
      </c>
      <c r="AC673" t="s">
        <v>407</v>
      </c>
      <c r="AD673" t="s">
        <v>406</v>
      </c>
      <c r="AE673" t="s">
        <v>566</v>
      </c>
      <c r="AF673">
        <v>2</v>
      </c>
      <c r="AG673">
        <v>257</v>
      </c>
      <c r="AH673">
        <v>341</v>
      </c>
      <c r="AI673" s="122">
        <v>20630</v>
      </c>
      <c r="AJ673" s="122">
        <v>18754</v>
      </c>
      <c r="AK673">
        <v>80</v>
      </c>
      <c r="AL673" s="122">
        <v>2706</v>
      </c>
      <c r="AM673" s="122">
        <v>2460</v>
      </c>
      <c r="AN673" s="122">
        <v>6260</v>
      </c>
      <c r="AO673" s="122">
        <v>2318</v>
      </c>
      <c r="AP673">
        <v>945</v>
      </c>
      <c r="AQ673">
        <v>350</v>
      </c>
      <c r="AR673" s="122">
        <v>12913</v>
      </c>
      <c r="AS673" s="122">
        <v>11739</v>
      </c>
      <c r="AT673">
        <v>0</v>
      </c>
      <c r="AU673">
        <v>0</v>
      </c>
      <c r="AV673" s="122">
        <v>35622</v>
      </c>
    </row>
    <row r="674" spans="2:48" hidden="1">
      <c r="B674" t="s">
        <v>367</v>
      </c>
      <c r="C674" t="s">
        <v>58</v>
      </c>
      <c r="D674" t="s">
        <v>556</v>
      </c>
      <c r="E674" t="s">
        <v>137</v>
      </c>
      <c r="F674">
        <v>2</v>
      </c>
      <c r="G674" s="122">
        <v>145</v>
      </c>
      <c r="H674" s="122">
        <v>537</v>
      </c>
      <c r="I674" s="122">
        <v>21775</v>
      </c>
      <c r="J674" s="122">
        <v>18146</v>
      </c>
      <c r="K674">
        <v>69</v>
      </c>
      <c r="L674" s="122">
        <v>3636</v>
      </c>
      <c r="M674" s="122">
        <v>1347</v>
      </c>
      <c r="N674" s="122">
        <v>2316</v>
      </c>
      <c r="O674" s="122">
        <v>858</v>
      </c>
      <c r="P674" s="122">
        <v>351</v>
      </c>
      <c r="Q674" s="122">
        <v>130</v>
      </c>
      <c r="R674" s="122">
        <v>10889</v>
      </c>
      <c r="S674" s="122">
        <v>4033</v>
      </c>
      <c r="T674">
        <v>0</v>
      </c>
      <c r="U674">
        <v>0</v>
      </c>
      <c r="V674" s="122">
        <v>24513</v>
      </c>
      <c r="W674" s="122">
        <f t="shared" si="20"/>
        <v>24514</v>
      </c>
      <c r="X674" s="122">
        <f t="shared" si="21"/>
        <v>38967</v>
      </c>
      <c r="Y674" s="122"/>
      <c r="AA674" t="s">
        <v>56</v>
      </c>
      <c r="AB674" t="s">
        <v>407</v>
      </c>
      <c r="AC674" t="s">
        <v>407</v>
      </c>
      <c r="AD674" t="s">
        <v>427</v>
      </c>
      <c r="AE674" t="s">
        <v>137</v>
      </c>
      <c r="AF674">
        <v>2</v>
      </c>
      <c r="AG674">
        <v>246</v>
      </c>
      <c r="AH674">
        <v>404</v>
      </c>
      <c r="AI674" s="122">
        <v>23853</v>
      </c>
      <c r="AJ674" s="122">
        <v>21684</v>
      </c>
      <c r="AK674">
        <v>76</v>
      </c>
      <c r="AL674" s="122">
        <v>5113</v>
      </c>
      <c r="AM674" s="122">
        <v>4648</v>
      </c>
      <c r="AN674" s="122">
        <v>5607</v>
      </c>
      <c r="AO674" s="122">
        <v>2077</v>
      </c>
      <c r="AP674">
        <v>945</v>
      </c>
      <c r="AQ674">
        <v>350</v>
      </c>
      <c r="AR674" s="122">
        <v>8566</v>
      </c>
      <c r="AS674" s="122">
        <v>7787</v>
      </c>
      <c r="AT674" s="122">
        <v>5768</v>
      </c>
      <c r="AU674" s="122">
        <v>2136</v>
      </c>
      <c r="AV674" s="122">
        <v>38683</v>
      </c>
    </row>
    <row r="675" spans="2:48" hidden="1">
      <c r="B675" t="s">
        <v>367</v>
      </c>
      <c r="C675" t="s">
        <v>58</v>
      </c>
      <c r="D675" t="s">
        <v>556</v>
      </c>
      <c r="E675" t="s">
        <v>556</v>
      </c>
      <c r="F675">
        <v>43</v>
      </c>
      <c r="G675" s="122">
        <v>3882</v>
      </c>
      <c r="H675" s="122">
        <v>11480</v>
      </c>
      <c r="I675" s="122">
        <v>558826</v>
      </c>
      <c r="J675" s="122">
        <v>465689</v>
      </c>
      <c r="K675">
        <v>61</v>
      </c>
      <c r="L675" s="122">
        <v>61306</v>
      </c>
      <c r="M675" s="122">
        <v>44154</v>
      </c>
      <c r="N675" s="122">
        <v>75629</v>
      </c>
      <c r="O675" s="122">
        <v>28011</v>
      </c>
      <c r="P675" s="122">
        <v>15215</v>
      </c>
      <c r="Q675" s="122">
        <v>5635</v>
      </c>
      <c r="R675" s="122">
        <v>233990</v>
      </c>
      <c r="S675" s="122">
        <v>194992</v>
      </c>
      <c r="T675" s="122">
        <v>95462</v>
      </c>
      <c r="U675" s="122">
        <v>35356</v>
      </c>
      <c r="V675" s="122">
        <v>773836</v>
      </c>
      <c r="W675" s="122">
        <f t="shared" si="20"/>
        <v>773837</v>
      </c>
      <c r="X675" s="122">
        <f t="shared" si="21"/>
        <v>1040428</v>
      </c>
      <c r="Y675" s="122"/>
      <c r="AA675" t="s">
        <v>56</v>
      </c>
      <c r="AB675" t="s">
        <v>407</v>
      </c>
      <c r="AC675" t="s">
        <v>407</v>
      </c>
      <c r="AD675" t="s">
        <v>427</v>
      </c>
      <c r="AE675" t="s">
        <v>566</v>
      </c>
      <c r="AF675">
        <v>3</v>
      </c>
      <c r="AG675">
        <v>259</v>
      </c>
      <c r="AH675">
        <v>585</v>
      </c>
      <c r="AI675" s="122">
        <v>20740</v>
      </c>
      <c r="AJ675" s="122">
        <v>18855</v>
      </c>
      <c r="AK675">
        <v>79</v>
      </c>
      <c r="AL675" s="122">
        <v>5744</v>
      </c>
      <c r="AM675" s="122">
        <v>5222</v>
      </c>
      <c r="AN675" s="122">
        <v>4985</v>
      </c>
      <c r="AO675" s="122">
        <v>1846</v>
      </c>
      <c r="AP675" s="122">
        <v>1418</v>
      </c>
      <c r="AQ675">
        <v>525</v>
      </c>
      <c r="AR675" s="122">
        <v>17202</v>
      </c>
      <c r="AS675" s="122">
        <v>15638</v>
      </c>
      <c r="AT675">
        <v>0</v>
      </c>
      <c r="AU675">
        <v>0</v>
      </c>
      <c r="AV675" s="122">
        <v>42086</v>
      </c>
    </row>
    <row r="676" spans="2:48" hidden="1">
      <c r="B676" t="s">
        <v>367</v>
      </c>
      <c r="C676" t="s">
        <v>58</v>
      </c>
      <c r="D676" t="s">
        <v>426</v>
      </c>
      <c r="E676" t="s">
        <v>137</v>
      </c>
      <c r="F676">
        <v>2</v>
      </c>
      <c r="G676" s="122">
        <v>150</v>
      </c>
      <c r="H676" s="122">
        <v>495</v>
      </c>
      <c r="I676" s="122">
        <v>16650</v>
      </c>
      <c r="J676" s="122">
        <v>15137</v>
      </c>
      <c r="K676">
        <v>63</v>
      </c>
      <c r="L676" s="122">
        <v>2838</v>
      </c>
      <c r="M676" s="122">
        <v>1051</v>
      </c>
      <c r="N676" s="122">
        <v>3140</v>
      </c>
      <c r="O676" s="122">
        <v>1163</v>
      </c>
      <c r="P676" s="122">
        <v>351</v>
      </c>
      <c r="Q676" s="122">
        <v>130</v>
      </c>
      <c r="R676" s="122">
        <v>14015</v>
      </c>
      <c r="S676" s="122">
        <v>5191</v>
      </c>
      <c r="T676" s="122">
        <v>0</v>
      </c>
      <c r="U676" s="122">
        <v>0</v>
      </c>
      <c r="V676" s="122">
        <v>22672</v>
      </c>
      <c r="W676" s="122">
        <f t="shared" si="20"/>
        <v>22672</v>
      </c>
      <c r="X676" s="122">
        <f t="shared" si="21"/>
        <v>36994</v>
      </c>
      <c r="Y676" s="122"/>
      <c r="AA676" t="s">
        <v>56</v>
      </c>
      <c r="AB676" t="s">
        <v>407</v>
      </c>
      <c r="AC676" t="s">
        <v>407</v>
      </c>
      <c r="AD676" t="s">
        <v>407</v>
      </c>
      <c r="AE676" t="s">
        <v>137</v>
      </c>
      <c r="AF676" s="122">
        <v>9728</v>
      </c>
      <c r="AG676" s="122">
        <v>1012884</v>
      </c>
      <c r="AH676" s="122">
        <v>1889391</v>
      </c>
      <c r="AI676" s="122">
        <v>92952503</v>
      </c>
      <c r="AJ676" s="122">
        <v>84502275</v>
      </c>
      <c r="AK676">
        <v>81</v>
      </c>
      <c r="AL676" s="122">
        <v>22853965</v>
      </c>
      <c r="AM676" s="122">
        <v>20776331</v>
      </c>
      <c r="AN676" s="122">
        <v>20594317</v>
      </c>
      <c r="AO676" s="122">
        <v>7627525</v>
      </c>
      <c r="AP676" s="122">
        <v>4620055</v>
      </c>
      <c r="AQ676" s="122">
        <v>1711131</v>
      </c>
      <c r="AR676" s="122">
        <v>41257512</v>
      </c>
      <c r="AS676" s="122">
        <v>37506829</v>
      </c>
      <c r="AT676" s="122">
        <v>17865835</v>
      </c>
      <c r="AU676" s="122">
        <v>6616976</v>
      </c>
      <c r="AV676" s="122">
        <v>158741067</v>
      </c>
    </row>
    <row r="677" spans="2:48" hidden="1">
      <c r="B677" t="s">
        <v>367</v>
      </c>
      <c r="C677" t="s">
        <v>58</v>
      </c>
      <c r="D677" t="s">
        <v>426</v>
      </c>
      <c r="E677" t="s">
        <v>407</v>
      </c>
      <c r="F677">
        <v>1</v>
      </c>
      <c r="G677" s="122">
        <v>127</v>
      </c>
      <c r="H677" s="122">
        <v>291</v>
      </c>
      <c r="I677" s="122">
        <v>20380</v>
      </c>
      <c r="J677" s="122">
        <v>18527</v>
      </c>
      <c r="K677">
        <v>79</v>
      </c>
      <c r="L677" s="122">
        <v>5963</v>
      </c>
      <c r="M677" s="122">
        <v>5421</v>
      </c>
      <c r="N677" s="122">
        <v>3087</v>
      </c>
      <c r="O677" s="122">
        <v>1143</v>
      </c>
      <c r="P677" s="122">
        <v>351</v>
      </c>
      <c r="Q677" s="122">
        <v>130</v>
      </c>
      <c r="R677" s="122">
        <v>3920</v>
      </c>
      <c r="S677" s="122">
        <v>3564</v>
      </c>
      <c r="T677" s="122">
        <v>3200</v>
      </c>
      <c r="U677" s="122">
        <v>1185</v>
      </c>
      <c r="V677" s="122">
        <v>29970</v>
      </c>
      <c r="W677" s="122">
        <f t="shared" si="20"/>
        <v>29970</v>
      </c>
      <c r="X677" s="122">
        <f t="shared" si="21"/>
        <v>36901</v>
      </c>
      <c r="Y677" s="122"/>
      <c r="AA677" t="s">
        <v>56</v>
      </c>
      <c r="AB677" t="s">
        <v>407</v>
      </c>
      <c r="AC677" t="s">
        <v>407</v>
      </c>
      <c r="AD677" t="s">
        <v>407</v>
      </c>
      <c r="AE677" t="s">
        <v>566</v>
      </c>
      <c r="AF677" s="122">
        <v>18335</v>
      </c>
      <c r="AG677" s="122">
        <v>1953815</v>
      </c>
      <c r="AH677" s="122">
        <v>3423029</v>
      </c>
      <c r="AI677" s="122">
        <v>175818516</v>
      </c>
      <c r="AJ677" s="122">
        <v>159835014</v>
      </c>
      <c r="AK677">
        <v>83</v>
      </c>
      <c r="AL677" s="122">
        <v>52904230</v>
      </c>
      <c r="AM677" s="122">
        <v>48094754</v>
      </c>
      <c r="AN677" s="122">
        <v>39309200</v>
      </c>
      <c r="AO677" s="122">
        <v>14558963</v>
      </c>
      <c r="AP677" s="122">
        <v>8865771</v>
      </c>
      <c r="AQ677" s="122">
        <v>3283619</v>
      </c>
      <c r="AR677" s="122">
        <v>93135404</v>
      </c>
      <c r="AS677" s="122">
        <v>84668548</v>
      </c>
      <c r="AT677">
        <v>0</v>
      </c>
      <c r="AU677">
        <v>0</v>
      </c>
      <c r="AV677" s="122">
        <v>310440897</v>
      </c>
    </row>
    <row r="678" spans="2:48" hidden="1">
      <c r="B678" t="s">
        <v>367</v>
      </c>
      <c r="C678" t="s">
        <v>58</v>
      </c>
      <c r="D678" t="s">
        <v>426</v>
      </c>
      <c r="E678" t="s">
        <v>426</v>
      </c>
      <c r="F678">
        <v>16</v>
      </c>
      <c r="G678" s="122">
        <v>1455</v>
      </c>
      <c r="H678" s="122">
        <v>4313</v>
      </c>
      <c r="I678" s="122">
        <v>218867</v>
      </c>
      <c r="J678" s="122">
        <v>198970</v>
      </c>
      <c r="K678">
        <v>57</v>
      </c>
      <c r="L678" s="122">
        <v>27519</v>
      </c>
      <c r="M678" s="122">
        <v>22711</v>
      </c>
      <c r="N678" s="122">
        <v>28306</v>
      </c>
      <c r="O678" s="122">
        <v>10484</v>
      </c>
      <c r="P678" s="122">
        <v>5589</v>
      </c>
      <c r="Q678" s="122">
        <v>2070</v>
      </c>
      <c r="R678" s="122">
        <v>85608</v>
      </c>
      <c r="S678" s="122">
        <v>77825</v>
      </c>
      <c r="T678" s="122">
        <v>31929</v>
      </c>
      <c r="U678" s="122">
        <v>11826</v>
      </c>
      <c r="V678" s="122">
        <v>323886</v>
      </c>
      <c r="W678" s="122">
        <f t="shared" si="20"/>
        <v>323886</v>
      </c>
      <c r="X678" s="122">
        <f t="shared" si="21"/>
        <v>397818</v>
      </c>
      <c r="Y678" s="122"/>
      <c r="AA678" t="s">
        <v>56</v>
      </c>
      <c r="AB678" t="s">
        <v>407</v>
      </c>
      <c r="AC678" t="s">
        <v>407</v>
      </c>
      <c r="AD678" t="s">
        <v>579</v>
      </c>
      <c r="AE678" t="s">
        <v>137</v>
      </c>
      <c r="AF678">
        <v>4</v>
      </c>
      <c r="AG678">
        <v>335</v>
      </c>
      <c r="AH678">
        <v>874</v>
      </c>
      <c r="AI678" s="122">
        <v>28910</v>
      </c>
      <c r="AJ678" s="122">
        <v>26282</v>
      </c>
      <c r="AK678">
        <v>79</v>
      </c>
      <c r="AL678" s="122">
        <v>7888</v>
      </c>
      <c r="AM678" s="122">
        <v>7171</v>
      </c>
      <c r="AN678" s="122">
        <v>7931</v>
      </c>
      <c r="AO678" s="122">
        <v>2938</v>
      </c>
      <c r="AP678" s="122">
        <v>1890</v>
      </c>
      <c r="AQ678">
        <v>700</v>
      </c>
      <c r="AR678" s="122">
        <v>19527</v>
      </c>
      <c r="AS678" s="122">
        <v>16272</v>
      </c>
      <c r="AT678" s="122">
        <v>7158</v>
      </c>
      <c r="AU678" s="122">
        <v>2651</v>
      </c>
      <c r="AV678" s="122">
        <v>56014</v>
      </c>
    </row>
    <row r="679" spans="2:48" hidden="1">
      <c r="B679" t="s">
        <v>367</v>
      </c>
      <c r="C679" t="s">
        <v>58</v>
      </c>
      <c r="D679" t="s">
        <v>433</v>
      </c>
      <c r="E679" t="s">
        <v>433</v>
      </c>
      <c r="F679">
        <v>4</v>
      </c>
      <c r="G679" s="122">
        <v>328</v>
      </c>
      <c r="H679" s="122">
        <v>1063</v>
      </c>
      <c r="I679" s="122">
        <v>43147</v>
      </c>
      <c r="J679" s="122">
        <v>39225</v>
      </c>
      <c r="K679">
        <v>65</v>
      </c>
      <c r="L679" s="122">
        <v>5437</v>
      </c>
      <c r="M679" s="122">
        <v>3890</v>
      </c>
      <c r="N679" s="122">
        <v>5945</v>
      </c>
      <c r="O679" s="122">
        <v>2202</v>
      </c>
      <c r="P679" s="122">
        <v>1053</v>
      </c>
      <c r="Q679" s="122">
        <v>390</v>
      </c>
      <c r="R679" s="122">
        <v>24128</v>
      </c>
      <c r="S679" s="122">
        <v>21934</v>
      </c>
      <c r="T679" s="122">
        <v>6752</v>
      </c>
      <c r="U679" s="122">
        <v>2501</v>
      </c>
      <c r="V679" s="122">
        <v>70142</v>
      </c>
      <c r="W679" s="122">
        <f t="shared" si="20"/>
        <v>70142</v>
      </c>
      <c r="X679" s="122">
        <f t="shared" si="21"/>
        <v>86462</v>
      </c>
      <c r="Y679" s="122"/>
      <c r="AA679" t="s">
        <v>56</v>
      </c>
      <c r="AB679" t="s">
        <v>407</v>
      </c>
      <c r="AC679" t="s">
        <v>407</v>
      </c>
      <c r="AD679" t="s">
        <v>579</v>
      </c>
      <c r="AE679" t="s">
        <v>566</v>
      </c>
      <c r="AF679">
        <v>5</v>
      </c>
      <c r="AG679">
        <v>509</v>
      </c>
      <c r="AH679">
        <v>926</v>
      </c>
      <c r="AI679" s="122">
        <v>48743</v>
      </c>
      <c r="AJ679" s="122">
        <v>44312</v>
      </c>
      <c r="AK679">
        <v>83</v>
      </c>
      <c r="AL679" s="122">
        <v>14350</v>
      </c>
      <c r="AM679" s="122">
        <v>13045</v>
      </c>
      <c r="AN679" s="122">
        <v>10229</v>
      </c>
      <c r="AO679" s="122">
        <v>3789</v>
      </c>
      <c r="AP679" s="122">
        <v>2363</v>
      </c>
      <c r="AQ679">
        <v>875</v>
      </c>
      <c r="AR679" s="122">
        <v>27030</v>
      </c>
      <c r="AS679" s="122">
        <v>22525</v>
      </c>
      <c r="AT679">
        <v>0</v>
      </c>
      <c r="AU679">
        <v>0</v>
      </c>
      <c r="AV679" s="122">
        <v>84546</v>
      </c>
    </row>
    <row r="680" spans="2:48" hidden="1">
      <c r="B680" t="s">
        <v>367</v>
      </c>
      <c r="C680" t="s">
        <v>58</v>
      </c>
      <c r="D680" t="s">
        <v>408</v>
      </c>
      <c r="E680" t="s">
        <v>408</v>
      </c>
      <c r="F680">
        <v>5</v>
      </c>
      <c r="G680" s="122">
        <v>755</v>
      </c>
      <c r="H680" s="122">
        <v>1268</v>
      </c>
      <c r="I680" s="122">
        <v>130548</v>
      </c>
      <c r="J680" s="122">
        <v>118680</v>
      </c>
      <c r="K680">
        <v>65</v>
      </c>
      <c r="L680" s="122">
        <v>16017</v>
      </c>
      <c r="M680" s="122">
        <v>13779</v>
      </c>
      <c r="N680" s="122">
        <v>13885</v>
      </c>
      <c r="O680" s="122">
        <v>5143</v>
      </c>
      <c r="P680" s="122">
        <v>1755</v>
      </c>
      <c r="Q680">
        <v>650</v>
      </c>
      <c r="R680" s="122">
        <v>28626</v>
      </c>
      <c r="S680" s="122">
        <v>26023</v>
      </c>
      <c r="T680" s="122">
        <v>902</v>
      </c>
      <c r="U680" s="122">
        <v>334</v>
      </c>
      <c r="V680" s="122">
        <v>164609</v>
      </c>
      <c r="W680" s="122">
        <f t="shared" si="20"/>
        <v>164609</v>
      </c>
      <c r="X680" s="122">
        <f t="shared" si="21"/>
        <v>191733</v>
      </c>
      <c r="Y680" s="122"/>
      <c r="AA680" t="s">
        <v>56</v>
      </c>
      <c r="AB680" t="s">
        <v>407</v>
      </c>
      <c r="AC680" t="s">
        <v>407</v>
      </c>
      <c r="AD680" t="s">
        <v>428</v>
      </c>
      <c r="AE680" t="s">
        <v>566</v>
      </c>
      <c r="AF680">
        <v>2</v>
      </c>
      <c r="AG680">
        <v>229</v>
      </c>
      <c r="AH680">
        <v>352</v>
      </c>
      <c r="AI680" s="122">
        <v>18423</v>
      </c>
      <c r="AJ680" s="122">
        <v>16748</v>
      </c>
      <c r="AK680">
        <v>76</v>
      </c>
      <c r="AL680" s="122">
        <v>4910</v>
      </c>
      <c r="AM680" s="122">
        <v>4463</v>
      </c>
      <c r="AN680" s="122">
        <v>5366</v>
      </c>
      <c r="AO680" s="122">
        <v>1988</v>
      </c>
      <c r="AP680">
        <v>945</v>
      </c>
      <c r="AQ680">
        <v>350</v>
      </c>
      <c r="AR680" s="122">
        <v>10596</v>
      </c>
      <c r="AS680" s="122">
        <v>9633</v>
      </c>
      <c r="AT680">
        <v>0</v>
      </c>
      <c r="AU680">
        <v>0</v>
      </c>
      <c r="AV680" s="122">
        <v>33182</v>
      </c>
    </row>
    <row r="681" spans="2:48" hidden="1">
      <c r="B681" t="s">
        <v>367</v>
      </c>
      <c r="C681" t="s">
        <v>58</v>
      </c>
      <c r="D681" t="s">
        <v>429</v>
      </c>
      <c r="E681" t="s">
        <v>429</v>
      </c>
      <c r="F681">
        <v>1</v>
      </c>
      <c r="G681" s="122">
        <v>90</v>
      </c>
      <c r="H681" s="122">
        <v>234</v>
      </c>
      <c r="I681" s="122">
        <v>12814</v>
      </c>
      <c r="J681" s="122">
        <v>11649</v>
      </c>
      <c r="K681">
        <v>79</v>
      </c>
      <c r="L681" s="122">
        <v>2035</v>
      </c>
      <c r="M681" s="122">
        <v>1696</v>
      </c>
      <c r="N681" s="122">
        <v>1253</v>
      </c>
      <c r="O681" s="122">
        <v>464</v>
      </c>
      <c r="P681" s="122">
        <v>351</v>
      </c>
      <c r="Q681">
        <v>130</v>
      </c>
      <c r="R681" s="122">
        <v>4679</v>
      </c>
      <c r="S681" s="122">
        <v>4254</v>
      </c>
      <c r="T681">
        <v>0</v>
      </c>
      <c r="U681">
        <v>0</v>
      </c>
      <c r="V681" s="122">
        <v>18193</v>
      </c>
      <c r="W681" s="122">
        <f t="shared" si="20"/>
        <v>18193</v>
      </c>
      <c r="X681" s="122">
        <f t="shared" si="21"/>
        <v>21132</v>
      </c>
      <c r="Y681" s="122"/>
      <c r="AA681" t="s">
        <v>56</v>
      </c>
      <c r="AB681" t="s">
        <v>407</v>
      </c>
      <c r="AC681" t="s">
        <v>407</v>
      </c>
      <c r="AD681" t="s">
        <v>426</v>
      </c>
      <c r="AE681" t="s">
        <v>137</v>
      </c>
      <c r="AF681">
        <v>3</v>
      </c>
      <c r="AG681">
        <v>300</v>
      </c>
      <c r="AH681">
        <v>559</v>
      </c>
      <c r="AI681" s="122">
        <v>23966</v>
      </c>
      <c r="AJ681" s="122">
        <v>21787</v>
      </c>
      <c r="AK681">
        <v>76</v>
      </c>
      <c r="AL681" s="122">
        <v>6070</v>
      </c>
      <c r="AM681" s="122">
        <v>5518</v>
      </c>
      <c r="AN681" s="122">
        <v>6283</v>
      </c>
      <c r="AO681" s="122">
        <v>2327</v>
      </c>
      <c r="AP681" s="122">
        <v>1418</v>
      </c>
      <c r="AQ681">
        <v>525</v>
      </c>
      <c r="AR681" s="122">
        <v>10331</v>
      </c>
      <c r="AS681" s="122">
        <v>9392</v>
      </c>
      <c r="AT681" s="122">
        <v>7437</v>
      </c>
      <c r="AU681" s="122">
        <v>2755</v>
      </c>
      <c r="AV681" s="122">
        <v>42304</v>
      </c>
    </row>
    <row r="682" spans="2:48" hidden="1">
      <c r="B682" t="s">
        <v>367</v>
      </c>
      <c r="C682" t="s">
        <v>60</v>
      </c>
      <c r="F682">
        <v>31</v>
      </c>
      <c r="G682" s="122">
        <v>1699</v>
      </c>
      <c r="H682" s="122">
        <v>10405</v>
      </c>
      <c r="I682" s="122"/>
      <c r="J682" s="122">
        <v>0</v>
      </c>
      <c r="L682" s="122"/>
      <c r="M682" s="122">
        <v>0</v>
      </c>
      <c r="N682" s="122">
        <v>35892</v>
      </c>
      <c r="O682" s="122">
        <v>13293</v>
      </c>
      <c r="P682" s="122">
        <v>4928</v>
      </c>
      <c r="Q682" s="122">
        <v>1825</v>
      </c>
      <c r="R682" s="122"/>
      <c r="S682" s="122">
        <v>0</v>
      </c>
      <c r="T682" s="122">
        <v>25488</v>
      </c>
      <c r="U682" s="122">
        <v>9440</v>
      </c>
      <c r="V682" s="122">
        <v>24558</v>
      </c>
      <c r="W682" s="122">
        <f t="shared" si="20"/>
        <v>24558</v>
      </c>
      <c r="X682" s="122">
        <f t="shared" si="21"/>
        <v>66308</v>
      </c>
      <c r="Y682" s="122"/>
      <c r="AA682" t="s">
        <v>56</v>
      </c>
      <c r="AB682" t="s">
        <v>407</v>
      </c>
      <c r="AC682" t="s">
        <v>407</v>
      </c>
      <c r="AD682" t="s">
        <v>426</v>
      </c>
      <c r="AE682" t="s">
        <v>566</v>
      </c>
      <c r="AF682">
        <v>10</v>
      </c>
      <c r="AG682" s="122">
        <v>1033</v>
      </c>
      <c r="AH682" s="122">
        <v>1996</v>
      </c>
      <c r="AI682" s="122">
        <v>106137</v>
      </c>
      <c r="AJ682" s="122">
        <v>96488</v>
      </c>
      <c r="AK682">
        <v>82</v>
      </c>
      <c r="AL682" s="122">
        <v>26900</v>
      </c>
      <c r="AM682" s="122">
        <v>24455</v>
      </c>
      <c r="AN682" s="122">
        <v>20782</v>
      </c>
      <c r="AO682" s="122">
        <v>7697</v>
      </c>
      <c r="AP682" s="122">
        <v>4725</v>
      </c>
      <c r="AQ682" s="122">
        <v>1750</v>
      </c>
      <c r="AR682" s="122">
        <v>48439</v>
      </c>
      <c r="AS682" s="122">
        <v>44035</v>
      </c>
      <c r="AT682">
        <v>0</v>
      </c>
      <c r="AU682">
        <v>0</v>
      </c>
      <c r="AV682" s="122">
        <v>174425</v>
      </c>
    </row>
    <row r="683" spans="2:48" hidden="1">
      <c r="B683" t="s">
        <v>367</v>
      </c>
      <c r="C683" t="s">
        <v>60</v>
      </c>
      <c r="D683" t="s">
        <v>555</v>
      </c>
      <c r="E683" t="s">
        <v>555</v>
      </c>
      <c r="F683">
        <v>2</v>
      </c>
      <c r="G683">
        <v>160</v>
      </c>
      <c r="H683">
        <v>701</v>
      </c>
      <c r="I683" s="122">
        <v>34920</v>
      </c>
      <c r="J683" s="122">
        <v>31745</v>
      </c>
      <c r="K683">
        <v>65</v>
      </c>
      <c r="L683" s="122">
        <v>1869</v>
      </c>
      <c r="M683" s="122">
        <v>2887</v>
      </c>
      <c r="N683" s="122">
        <v>3763</v>
      </c>
      <c r="O683" s="122">
        <v>1394</v>
      </c>
      <c r="P683">
        <v>702</v>
      </c>
      <c r="Q683">
        <v>260</v>
      </c>
      <c r="R683" s="122">
        <v>12269</v>
      </c>
      <c r="S683" s="122">
        <v>11154</v>
      </c>
      <c r="T683" s="122">
        <v>2568</v>
      </c>
      <c r="U683">
        <v>951</v>
      </c>
      <c r="V683" s="122">
        <v>48392</v>
      </c>
      <c r="W683" s="122">
        <f t="shared" si="20"/>
        <v>48391</v>
      </c>
      <c r="X683" s="122">
        <f t="shared" si="21"/>
        <v>56091</v>
      </c>
      <c r="Y683" s="122"/>
      <c r="AA683" t="s">
        <v>56</v>
      </c>
      <c r="AB683" t="s">
        <v>407</v>
      </c>
      <c r="AC683" t="s">
        <v>407</v>
      </c>
      <c r="AD683" t="s">
        <v>433</v>
      </c>
      <c r="AE683" t="s">
        <v>566</v>
      </c>
      <c r="AF683">
        <v>2</v>
      </c>
      <c r="AG683">
        <v>213</v>
      </c>
      <c r="AH683">
        <v>377</v>
      </c>
      <c r="AI683" s="122">
        <v>26339</v>
      </c>
      <c r="AJ683" s="122">
        <v>23945</v>
      </c>
      <c r="AK683">
        <v>85</v>
      </c>
      <c r="AL683" s="122">
        <v>4180</v>
      </c>
      <c r="AM683" s="122">
        <v>3800</v>
      </c>
      <c r="AN683" s="122">
        <v>4048</v>
      </c>
      <c r="AO683" s="122">
        <v>1499</v>
      </c>
      <c r="AP683">
        <v>945</v>
      </c>
      <c r="AQ683">
        <v>350</v>
      </c>
      <c r="AR683" s="122">
        <v>12301</v>
      </c>
      <c r="AS683" s="122">
        <v>11182</v>
      </c>
      <c r="AT683">
        <v>0</v>
      </c>
      <c r="AU683">
        <v>0</v>
      </c>
      <c r="AV683" s="122">
        <v>40776</v>
      </c>
    </row>
    <row r="684" spans="2:48" hidden="1">
      <c r="B684" t="s">
        <v>367</v>
      </c>
      <c r="C684" t="s">
        <v>60</v>
      </c>
      <c r="D684" t="s">
        <v>425</v>
      </c>
      <c r="E684" t="s">
        <v>425</v>
      </c>
      <c r="F684">
        <v>1</v>
      </c>
      <c r="G684">
        <v>66</v>
      </c>
      <c r="H684" s="122">
        <v>371</v>
      </c>
      <c r="I684" s="122">
        <v>16137</v>
      </c>
      <c r="J684" s="122">
        <v>14670</v>
      </c>
      <c r="K684">
        <v>81</v>
      </c>
      <c r="L684" s="122">
        <v>2186</v>
      </c>
      <c r="M684" s="122">
        <v>1987</v>
      </c>
      <c r="N684" s="122">
        <v>806</v>
      </c>
      <c r="O684" s="122">
        <v>298</v>
      </c>
      <c r="P684" s="122">
        <v>473</v>
      </c>
      <c r="Q684">
        <v>175</v>
      </c>
      <c r="R684" s="122">
        <v>4927</v>
      </c>
      <c r="S684" s="122">
        <v>4479</v>
      </c>
      <c r="T684" s="122">
        <v>0</v>
      </c>
      <c r="U684" s="122">
        <v>0</v>
      </c>
      <c r="V684" s="122">
        <v>21609</v>
      </c>
      <c r="W684" s="122">
        <f t="shared" si="20"/>
        <v>21609</v>
      </c>
      <c r="X684" s="122">
        <f t="shared" si="21"/>
        <v>24529</v>
      </c>
      <c r="Y684" s="122"/>
      <c r="AA684" t="s">
        <v>56</v>
      </c>
      <c r="AB684" t="s">
        <v>407</v>
      </c>
      <c r="AC684" t="s">
        <v>579</v>
      </c>
      <c r="AD684" t="s">
        <v>425</v>
      </c>
      <c r="AE684" t="s">
        <v>566</v>
      </c>
      <c r="AF684">
        <v>1</v>
      </c>
      <c r="AG684">
        <v>89</v>
      </c>
      <c r="AH684">
        <v>161</v>
      </c>
      <c r="AI684" s="122">
        <v>5789</v>
      </c>
      <c r="AJ684" s="122">
        <v>5263</v>
      </c>
      <c r="AK684">
        <v>78</v>
      </c>
      <c r="AL684" s="122">
        <v>1824</v>
      </c>
      <c r="AM684" s="122">
        <v>1520</v>
      </c>
      <c r="AN684" s="122">
        <v>2165</v>
      </c>
      <c r="AO684">
        <v>802</v>
      </c>
      <c r="AP684">
        <v>473</v>
      </c>
      <c r="AQ684">
        <v>175</v>
      </c>
      <c r="AR684" s="122">
        <v>4038</v>
      </c>
      <c r="AS684" s="122">
        <v>3671</v>
      </c>
      <c r="AT684">
        <v>0</v>
      </c>
      <c r="AU684">
        <v>0</v>
      </c>
      <c r="AV684" s="122">
        <v>11431</v>
      </c>
    </row>
    <row r="685" spans="2:48" hidden="1">
      <c r="B685" t="s">
        <v>367</v>
      </c>
      <c r="C685" t="s">
        <v>60</v>
      </c>
      <c r="D685" t="s">
        <v>425</v>
      </c>
      <c r="E685" t="s">
        <v>137</v>
      </c>
      <c r="F685">
        <v>3</v>
      </c>
      <c r="G685">
        <v>217</v>
      </c>
      <c r="H685">
        <v>965</v>
      </c>
      <c r="I685" s="122">
        <v>28097</v>
      </c>
      <c r="J685" s="122">
        <v>25543</v>
      </c>
      <c r="K685">
        <v>72</v>
      </c>
      <c r="L685" s="122">
        <v>7579</v>
      </c>
      <c r="M685" s="122">
        <v>6890</v>
      </c>
      <c r="N685" s="122">
        <v>4861</v>
      </c>
      <c r="O685" s="122">
        <v>1801</v>
      </c>
      <c r="P685">
        <v>702</v>
      </c>
      <c r="Q685">
        <v>260</v>
      </c>
      <c r="R685" s="122">
        <v>28701</v>
      </c>
      <c r="S685" s="122">
        <v>10630</v>
      </c>
      <c r="T685">
        <v>0</v>
      </c>
      <c r="U685">
        <v>0</v>
      </c>
      <c r="V685" s="122">
        <v>45123</v>
      </c>
      <c r="W685" s="122">
        <f t="shared" si="20"/>
        <v>45124</v>
      </c>
      <c r="X685" s="122">
        <f t="shared" si="21"/>
        <v>69940</v>
      </c>
      <c r="Y685" s="122"/>
      <c r="AA685" t="s">
        <v>56</v>
      </c>
      <c r="AB685" t="s">
        <v>407</v>
      </c>
      <c r="AC685" t="s">
        <v>579</v>
      </c>
      <c r="AD685" t="s">
        <v>405</v>
      </c>
      <c r="AE685" t="s">
        <v>137</v>
      </c>
      <c r="AF685">
        <v>1</v>
      </c>
      <c r="AG685">
        <v>80</v>
      </c>
      <c r="AH685">
        <v>183</v>
      </c>
      <c r="AI685" s="122">
        <v>6061</v>
      </c>
      <c r="AJ685" s="122">
        <v>5510</v>
      </c>
      <c r="AK685">
        <v>80</v>
      </c>
      <c r="AL685" s="122">
        <v>1851</v>
      </c>
      <c r="AM685" s="122">
        <v>1543</v>
      </c>
      <c r="AN685">
        <v>975</v>
      </c>
      <c r="AO685">
        <v>361</v>
      </c>
      <c r="AP685">
        <v>473</v>
      </c>
      <c r="AQ685">
        <v>175</v>
      </c>
      <c r="AR685" s="122">
        <v>3315</v>
      </c>
      <c r="AS685" s="122">
        <v>3013</v>
      </c>
      <c r="AT685" s="122">
        <v>1943</v>
      </c>
      <c r="AU685">
        <v>720</v>
      </c>
      <c r="AV685" s="122">
        <v>11321</v>
      </c>
    </row>
    <row r="686" spans="2:48" hidden="1">
      <c r="B686" t="s">
        <v>367</v>
      </c>
      <c r="C686" t="s">
        <v>60</v>
      </c>
      <c r="D686" t="s">
        <v>425</v>
      </c>
      <c r="E686" t="s">
        <v>406</v>
      </c>
      <c r="F686">
        <v>1</v>
      </c>
      <c r="G686">
        <v>65</v>
      </c>
      <c r="H686" s="122">
        <v>376</v>
      </c>
      <c r="I686" s="122">
        <v>12662</v>
      </c>
      <c r="J686" s="122">
        <v>11511</v>
      </c>
      <c r="K686">
        <v>70</v>
      </c>
      <c r="L686" s="122">
        <v>3402</v>
      </c>
      <c r="M686" s="122">
        <v>2835</v>
      </c>
      <c r="N686" s="122">
        <v>1113</v>
      </c>
      <c r="O686" s="122">
        <v>412</v>
      </c>
      <c r="P686" s="122">
        <v>621</v>
      </c>
      <c r="Q686">
        <v>230</v>
      </c>
      <c r="R686" s="122">
        <v>4348</v>
      </c>
      <c r="S686" s="122">
        <v>3953</v>
      </c>
      <c r="T686" s="122">
        <v>2409</v>
      </c>
      <c r="U686" s="122">
        <v>892</v>
      </c>
      <c r="V686" s="122">
        <v>19833</v>
      </c>
      <c r="W686" s="122">
        <f t="shared" si="20"/>
        <v>19833</v>
      </c>
      <c r="X686" s="122">
        <f t="shared" si="21"/>
        <v>24555</v>
      </c>
      <c r="Y686" s="122"/>
      <c r="AA686" t="s">
        <v>56</v>
      </c>
      <c r="AB686" t="s">
        <v>407</v>
      </c>
      <c r="AC686" t="s">
        <v>579</v>
      </c>
      <c r="AD686" t="s">
        <v>405</v>
      </c>
      <c r="AE686" t="s">
        <v>566</v>
      </c>
      <c r="AF686">
        <v>8</v>
      </c>
      <c r="AG686">
        <v>760</v>
      </c>
      <c r="AH686" s="122">
        <v>1558</v>
      </c>
      <c r="AI686" s="122">
        <v>70405</v>
      </c>
      <c r="AJ686" s="122">
        <v>64004</v>
      </c>
      <c r="AK686">
        <v>85</v>
      </c>
      <c r="AL686" s="122">
        <v>23526</v>
      </c>
      <c r="AM686" s="122">
        <v>19605</v>
      </c>
      <c r="AN686" s="122">
        <v>14006</v>
      </c>
      <c r="AO686" s="122">
        <v>5187</v>
      </c>
      <c r="AP686" s="122">
        <v>3780</v>
      </c>
      <c r="AQ686" s="122">
        <v>1400</v>
      </c>
      <c r="AR686" s="122">
        <v>34832</v>
      </c>
      <c r="AS686" s="122">
        <v>31665</v>
      </c>
      <c r="AT686">
        <v>0</v>
      </c>
      <c r="AU686">
        <v>0</v>
      </c>
      <c r="AV686" s="122">
        <v>121862</v>
      </c>
    </row>
    <row r="687" spans="2:48" hidden="1">
      <c r="B687" t="s">
        <v>367</v>
      </c>
      <c r="C687" t="s">
        <v>60</v>
      </c>
      <c r="D687" t="s">
        <v>405</v>
      </c>
      <c r="E687" t="s">
        <v>405</v>
      </c>
      <c r="F687">
        <v>5</v>
      </c>
      <c r="G687" s="122">
        <v>502</v>
      </c>
      <c r="H687" s="122">
        <v>1711</v>
      </c>
      <c r="I687" s="122">
        <v>101059</v>
      </c>
      <c r="J687" s="122">
        <v>91872</v>
      </c>
      <c r="K687">
        <v>76</v>
      </c>
      <c r="L687" s="122">
        <v>20797</v>
      </c>
      <c r="M687" s="122">
        <v>18469</v>
      </c>
      <c r="N687" s="122">
        <v>11130</v>
      </c>
      <c r="O687" s="122">
        <v>4122</v>
      </c>
      <c r="P687" s="122">
        <v>2390</v>
      </c>
      <c r="Q687" s="122">
        <v>885</v>
      </c>
      <c r="R687" s="122">
        <v>24094</v>
      </c>
      <c r="S687" s="122">
        <v>21904</v>
      </c>
      <c r="T687" s="122">
        <v>12428</v>
      </c>
      <c r="U687" s="122">
        <v>4603</v>
      </c>
      <c r="V687" s="122">
        <v>141855</v>
      </c>
      <c r="W687" s="122">
        <f t="shared" si="20"/>
        <v>141855</v>
      </c>
      <c r="X687" s="122">
        <f t="shared" si="21"/>
        <v>171898</v>
      </c>
      <c r="Y687" s="122"/>
      <c r="AA687" t="s">
        <v>56</v>
      </c>
      <c r="AB687" t="s">
        <v>407</v>
      </c>
      <c r="AC687" t="s">
        <v>579</v>
      </c>
      <c r="AD687" t="s">
        <v>137</v>
      </c>
      <c r="AE687" t="s">
        <v>137</v>
      </c>
      <c r="AF687">
        <v>1</v>
      </c>
      <c r="AG687">
        <v>119</v>
      </c>
      <c r="AH687">
        <v>174</v>
      </c>
      <c r="AI687" s="122">
        <v>9529</v>
      </c>
      <c r="AJ687" s="122">
        <v>8663</v>
      </c>
      <c r="AK687">
        <v>91</v>
      </c>
      <c r="AL687" s="122">
        <v>1667</v>
      </c>
      <c r="AM687" s="122">
        <v>1389</v>
      </c>
      <c r="AN687" s="122">
        <v>2713</v>
      </c>
      <c r="AO687" s="122">
        <v>1005</v>
      </c>
      <c r="AP687">
        <v>473</v>
      </c>
      <c r="AQ687">
        <v>175</v>
      </c>
      <c r="AR687" s="122">
        <v>7644</v>
      </c>
      <c r="AS687" s="122">
        <v>2831</v>
      </c>
      <c r="AT687">
        <v>751</v>
      </c>
      <c r="AU687">
        <v>278</v>
      </c>
      <c r="AV687" s="122">
        <v>14341</v>
      </c>
    </row>
    <row r="688" spans="2:48" hidden="1">
      <c r="B688" t="s">
        <v>367</v>
      </c>
      <c r="C688" t="s">
        <v>60</v>
      </c>
      <c r="D688" t="s">
        <v>405</v>
      </c>
      <c r="E688" t="s">
        <v>407</v>
      </c>
      <c r="F688">
        <v>1</v>
      </c>
      <c r="G688" s="122">
        <v>90</v>
      </c>
      <c r="H688" s="122">
        <v>317</v>
      </c>
      <c r="I688" s="122">
        <v>15607</v>
      </c>
      <c r="J688" s="122">
        <v>14188</v>
      </c>
      <c r="K688">
        <v>75</v>
      </c>
      <c r="L688" s="122">
        <v>4139</v>
      </c>
      <c r="M688" s="122">
        <v>3762</v>
      </c>
      <c r="N688" s="122">
        <v>1709</v>
      </c>
      <c r="O688" s="122">
        <v>633</v>
      </c>
      <c r="P688" s="122">
        <v>473</v>
      </c>
      <c r="Q688" s="122">
        <v>175</v>
      </c>
      <c r="R688" s="122">
        <v>6602</v>
      </c>
      <c r="S688" s="122">
        <v>6002</v>
      </c>
      <c r="T688" s="122">
        <v>0</v>
      </c>
      <c r="U688" s="122">
        <v>0</v>
      </c>
      <c r="V688" s="122">
        <v>24760</v>
      </c>
      <c r="W688" s="122">
        <f t="shared" si="20"/>
        <v>24760</v>
      </c>
      <c r="X688" s="122">
        <f t="shared" si="21"/>
        <v>28530</v>
      </c>
      <c r="Y688" s="122"/>
      <c r="AA688" t="s">
        <v>56</v>
      </c>
      <c r="AB688" t="s">
        <v>407</v>
      </c>
      <c r="AC688" t="s">
        <v>579</v>
      </c>
      <c r="AD688" t="s">
        <v>137</v>
      </c>
      <c r="AE688" t="s">
        <v>566</v>
      </c>
      <c r="AF688">
        <v>17</v>
      </c>
      <c r="AG688" s="122">
        <v>2261</v>
      </c>
      <c r="AH688" s="122">
        <v>3272</v>
      </c>
      <c r="AI688" s="122">
        <v>237214</v>
      </c>
      <c r="AJ688" s="122">
        <v>215649</v>
      </c>
      <c r="AK688">
        <v>85</v>
      </c>
      <c r="AL688" s="122">
        <v>57743</v>
      </c>
      <c r="AM688" s="122">
        <v>48119</v>
      </c>
      <c r="AN688" s="122">
        <v>36309</v>
      </c>
      <c r="AO688" s="122">
        <v>13448</v>
      </c>
      <c r="AP688" s="122">
        <v>8738</v>
      </c>
      <c r="AQ688" s="122">
        <v>3236</v>
      </c>
      <c r="AR688" s="122">
        <v>102134</v>
      </c>
      <c r="AS688" s="122">
        <v>37828</v>
      </c>
      <c r="AT688">
        <v>0</v>
      </c>
      <c r="AU688">
        <v>0</v>
      </c>
      <c r="AV688" s="122">
        <v>318280</v>
      </c>
    </row>
    <row r="689" spans="2:48" hidden="1">
      <c r="B689" t="s">
        <v>367</v>
      </c>
      <c r="C689" t="s">
        <v>60</v>
      </c>
      <c r="D689" t="s">
        <v>137</v>
      </c>
      <c r="E689" t="s">
        <v>425</v>
      </c>
      <c r="F689">
        <v>1</v>
      </c>
      <c r="G689">
        <v>88</v>
      </c>
      <c r="H689" s="122">
        <v>321</v>
      </c>
      <c r="I689" s="122">
        <v>22063</v>
      </c>
      <c r="J689" s="122">
        <v>8171</v>
      </c>
      <c r="K689">
        <v>100</v>
      </c>
      <c r="L689" s="122">
        <v>1816</v>
      </c>
      <c r="M689" s="122">
        <v>1513</v>
      </c>
      <c r="N689" s="122">
        <v>1677</v>
      </c>
      <c r="O689" s="122">
        <v>621</v>
      </c>
      <c r="P689" s="122">
        <v>0</v>
      </c>
      <c r="Q689" s="122">
        <v>0</v>
      </c>
      <c r="R689" s="122">
        <v>2743</v>
      </c>
      <c r="S689" s="122">
        <v>2493</v>
      </c>
      <c r="T689">
        <v>0</v>
      </c>
      <c r="U689">
        <v>0</v>
      </c>
      <c r="V689" s="122">
        <v>12799</v>
      </c>
      <c r="W689" s="122">
        <f t="shared" si="20"/>
        <v>12798</v>
      </c>
      <c r="X689" s="122">
        <f t="shared" si="21"/>
        <v>28299</v>
      </c>
      <c r="Y689" s="122"/>
      <c r="AA689" t="s">
        <v>56</v>
      </c>
      <c r="AB689" t="s">
        <v>407</v>
      </c>
      <c r="AC689" t="s">
        <v>579</v>
      </c>
      <c r="AD689" t="s">
        <v>406</v>
      </c>
      <c r="AE689" t="s">
        <v>137</v>
      </c>
      <c r="AF689">
        <v>5</v>
      </c>
      <c r="AG689">
        <v>553</v>
      </c>
      <c r="AH689">
        <v>972</v>
      </c>
      <c r="AI689" s="122">
        <v>51362</v>
      </c>
      <c r="AJ689" s="122">
        <v>46693</v>
      </c>
      <c r="AK689">
        <v>85</v>
      </c>
      <c r="AL689" s="122">
        <v>12710</v>
      </c>
      <c r="AM689" s="122">
        <v>10592</v>
      </c>
      <c r="AN689" s="122">
        <v>11736</v>
      </c>
      <c r="AO689" s="122">
        <v>4347</v>
      </c>
      <c r="AP689" s="122">
        <v>2363</v>
      </c>
      <c r="AQ689">
        <v>875</v>
      </c>
      <c r="AR689" s="122">
        <v>18832</v>
      </c>
      <c r="AS689" s="122">
        <v>17120</v>
      </c>
      <c r="AT689" s="122">
        <v>10250</v>
      </c>
      <c r="AU689" s="122">
        <v>3796</v>
      </c>
      <c r="AV689" s="122">
        <v>83423</v>
      </c>
    </row>
    <row r="690" spans="2:48" hidden="1">
      <c r="B690" t="s">
        <v>367</v>
      </c>
      <c r="C690" t="s">
        <v>60</v>
      </c>
      <c r="D690" t="s">
        <v>137</v>
      </c>
      <c r="E690" t="s">
        <v>137</v>
      </c>
      <c r="F690">
        <v>872</v>
      </c>
      <c r="G690" s="122">
        <v>67739</v>
      </c>
      <c r="H690" s="122">
        <v>295163</v>
      </c>
      <c r="I690" s="122">
        <v>13757080</v>
      </c>
      <c r="J690" s="122">
        <v>5095215</v>
      </c>
      <c r="K690">
        <v>100</v>
      </c>
      <c r="L690" s="122">
        <v>2149242</v>
      </c>
      <c r="M690" s="122">
        <v>1438245</v>
      </c>
      <c r="N690" s="122">
        <v>1434383</v>
      </c>
      <c r="O690" s="122">
        <v>531253</v>
      </c>
      <c r="P690" s="122">
        <v>19552</v>
      </c>
      <c r="Q690" s="122">
        <v>7242</v>
      </c>
      <c r="R690" s="122">
        <v>5924418</v>
      </c>
      <c r="S690" s="122">
        <v>2194229</v>
      </c>
      <c r="T690" s="122">
        <v>19754</v>
      </c>
      <c r="U690" s="122">
        <v>7316</v>
      </c>
      <c r="V690" s="122">
        <v>9273500</v>
      </c>
      <c r="W690" s="122">
        <f t="shared" si="20"/>
        <v>9273500</v>
      </c>
      <c r="X690" s="122">
        <f t="shared" si="21"/>
        <v>23304429</v>
      </c>
      <c r="Y690" s="122"/>
      <c r="AA690" t="s">
        <v>56</v>
      </c>
      <c r="AB690" t="s">
        <v>407</v>
      </c>
      <c r="AC690" t="s">
        <v>579</v>
      </c>
      <c r="AD690" t="s">
        <v>406</v>
      </c>
      <c r="AE690" t="s">
        <v>566</v>
      </c>
      <c r="AF690">
        <v>4</v>
      </c>
      <c r="AG690">
        <v>380</v>
      </c>
      <c r="AH690">
        <v>717</v>
      </c>
      <c r="AI690" s="122">
        <v>34100</v>
      </c>
      <c r="AJ690" s="122">
        <v>31000</v>
      </c>
      <c r="AK690">
        <v>88</v>
      </c>
      <c r="AL690" s="122">
        <v>8885</v>
      </c>
      <c r="AM690" s="122">
        <v>7404</v>
      </c>
      <c r="AN690" s="122">
        <v>7569</v>
      </c>
      <c r="AO690" s="122">
        <v>2803</v>
      </c>
      <c r="AP690" s="122">
        <v>1890</v>
      </c>
      <c r="AQ690">
        <v>700</v>
      </c>
      <c r="AR690" s="122">
        <v>15164</v>
      </c>
      <c r="AS690" s="122">
        <v>13785</v>
      </c>
      <c r="AT690">
        <v>0</v>
      </c>
      <c r="AU690">
        <v>0</v>
      </c>
      <c r="AV690" s="122">
        <v>55693</v>
      </c>
    </row>
    <row r="691" spans="2:48" hidden="1">
      <c r="B691" t="s">
        <v>367</v>
      </c>
      <c r="C691" t="s">
        <v>60</v>
      </c>
      <c r="D691" t="s">
        <v>137</v>
      </c>
      <c r="E691" t="s">
        <v>407</v>
      </c>
      <c r="F691">
        <v>5</v>
      </c>
      <c r="G691">
        <v>633</v>
      </c>
      <c r="H691" s="122">
        <v>1719</v>
      </c>
      <c r="I691" s="122">
        <v>165999</v>
      </c>
      <c r="J691" s="122">
        <v>61481</v>
      </c>
      <c r="K691">
        <v>100</v>
      </c>
      <c r="L691" s="122">
        <v>24391</v>
      </c>
      <c r="M691" s="122">
        <v>19123</v>
      </c>
      <c r="N691" s="122">
        <v>13792</v>
      </c>
      <c r="O691" s="122">
        <v>5108</v>
      </c>
      <c r="P691" s="122">
        <v>945</v>
      </c>
      <c r="Q691">
        <v>350</v>
      </c>
      <c r="R691" s="122">
        <v>23862</v>
      </c>
      <c r="S691" s="122">
        <v>21693</v>
      </c>
      <c r="T691" s="122">
        <v>0</v>
      </c>
      <c r="U691">
        <v>0</v>
      </c>
      <c r="V691" s="122">
        <v>107755</v>
      </c>
      <c r="W691" s="122">
        <f t="shared" si="20"/>
        <v>107755</v>
      </c>
      <c r="X691" s="122">
        <f t="shared" si="21"/>
        <v>228989</v>
      </c>
      <c r="Y691" s="122"/>
      <c r="AA691" t="s">
        <v>56</v>
      </c>
      <c r="AB691" t="s">
        <v>407</v>
      </c>
      <c r="AC691" t="s">
        <v>579</v>
      </c>
      <c r="AD691" t="s">
        <v>407</v>
      </c>
      <c r="AE691" t="s">
        <v>137</v>
      </c>
      <c r="AF691" s="122">
        <v>10109</v>
      </c>
      <c r="AG691" s="122">
        <v>981090</v>
      </c>
      <c r="AH691" s="122">
        <v>1963957</v>
      </c>
      <c r="AI691" s="122">
        <v>85896991</v>
      </c>
      <c r="AJ691" s="122">
        <v>78088173</v>
      </c>
      <c r="AK691">
        <v>82</v>
      </c>
      <c r="AL691" s="122">
        <v>24552486</v>
      </c>
      <c r="AM691" s="122">
        <v>20460405</v>
      </c>
      <c r="AN691" s="122">
        <v>18388734</v>
      </c>
      <c r="AO691" s="122">
        <v>6810642</v>
      </c>
      <c r="AP691" s="122">
        <v>4807474</v>
      </c>
      <c r="AQ691" s="122">
        <v>1780546</v>
      </c>
      <c r="AR691" s="122">
        <v>41121361</v>
      </c>
      <c r="AS691" s="122">
        <v>37383055</v>
      </c>
      <c r="AT691" s="122">
        <v>17908791</v>
      </c>
      <c r="AU691" s="122">
        <v>6632885</v>
      </c>
      <c r="AV691" s="122">
        <v>151155706</v>
      </c>
    </row>
    <row r="692" spans="2:48" hidden="1">
      <c r="B692" t="s">
        <v>367</v>
      </c>
      <c r="C692" t="s">
        <v>60</v>
      </c>
      <c r="D692" t="s">
        <v>137</v>
      </c>
      <c r="E692" t="s">
        <v>556</v>
      </c>
      <c r="F692">
        <v>6</v>
      </c>
      <c r="G692">
        <v>457</v>
      </c>
      <c r="H692" s="122">
        <v>2021</v>
      </c>
      <c r="I692" s="122">
        <v>84778</v>
      </c>
      <c r="J692" s="122">
        <v>31399</v>
      </c>
      <c r="K692">
        <v>100</v>
      </c>
      <c r="L692" s="122">
        <v>12532</v>
      </c>
      <c r="M692" s="122">
        <v>10443</v>
      </c>
      <c r="N692" s="122">
        <v>9963</v>
      </c>
      <c r="O692" s="122">
        <v>3690</v>
      </c>
      <c r="P692" s="122">
        <v>0</v>
      </c>
      <c r="Q692">
        <v>0</v>
      </c>
      <c r="R692" s="122">
        <v>33713</v>
      </c>
      <c r="S692" s="122">
        <v>28095</v>
      </c>
      <c r="T692" s="122">
        <v>13083</v>
      </c>
      <c r="U692" s="122">
        <v>4846</v>
      </c>
      <c r="V692" s="122">
        <v>78473</v>
      </c>
      <c r="W692" s="122">
        <f t="shared" si="20"/>
        <v>78473</v>
      </c>
      <c r="X692" s="122">
        <f t="shared" si="21"/>
        <v>154069</v>
      </c>
      <c r="Y692" s="122"/>
      <c r="AA692" t="s">
        <v>56</v>
      </c>
      <c r="AB692" t="s">
        <v>407</v>
      </c>
      <c r="AC692" t="s">
        <v>579</v>
      </c>
      <c r="AD692" t="s">
        <v>407</v>
      </c>
      <c r="AE692" t="s">
        <v>566</v>
      </c>
      <c r="AF692" s="122">
        <v>24192</v>
      </c>
      <c r="AG692" s="122">
        <v>2416908</v>
      </c>
      <c r="AH692" s="122">
        <v>4484053</v>
      </c>
      <c r="AI692" s="122">
        <v>216354345</v>
      </c>
      <c r="AJ692" s="122">
        <v>196685767</v>
      </c>
      <c r="AK692">
        <v>85</v>
      </c>
      <c r="AL692" s="122">
        <v>65302260</v>
      </c>
      <c r="AM692" s="122">
        <v>54418550</v>
      </c>
      <c r="AN692" s="122">
        <v>46497167</v>
      </c>
      <c r="AO692" s="122">
        <v>17221173</v>
      </c>
      <c r="AP692" s="122">
        <v>11575956</v>
      </c>
      <c r="AQ692" s="122">
        <v>4287391</v>
      </c>
      <c r="AR692" s="122">
        <v>113074017</v>
      </c>
      <c r="AS692" s="122">
        <v>102794560</v>
      </c>
      <c r="AT692">
        <v>0</v>
      </c>
      <c r="AU692">
        <v>0</v>
      </c>
      <c r="AV692" s="122">
        <v>375407440</v>
      </c>
    </row>
    <row r="693" spans="2:48" hidden="1">
      <c r="B693" t="s">
        <v>367</v>
      </c>
      <c r="C693" t="s">
        <v>60</v>
      </c>
      <c r="D693" t="s">
        <v>137</v>
      </c>
      <c r="E693" t="s">
        <v>428</v>
      </c>
      <c r="F693">
        <v>1</v>
      </c>
      <c r="G693">
        <v>79</v>
      </c>
      <c r="H693">
        <v>314</v>
      </c>
      <c r="I693" s="122">
        <v>14202</v>
      </c>
      <c r="J693" s="122">
        <v>5260</v>
      </c>
      <c r="K693">
        <v>100</v>
      </c>
      <c r="L693" s="122">
        <v>1286</v>
      </c>
      <c r="M693" s="122">
        <v>1169</v>
      </c>
      <c r="N693" s="122">
        <v>1935</v>
      </c>
      <c r="O693" s="122">
        <v>717</v>
      </c>
      <c r="P693">
        <v>0</v>
      </c>
      <c r="Q693">
        <v>0</v>
      </c>
      <c r="R693" s="122">
        <v>5368</v>
      </c>
      <c r="S693" s="122">
        <v>4880</v>
      </c>
      <c r="T693" s="122">
        <v>2158</v>
      </c>
      <c r="U693">
        <v>799</v>
      </c>
      <c r="V693" s="122">
        <v>12825</v>
      </c>
      <c r="W693" s="122">
        <f t="shared" si="20"/>
        <v>12825</v>
      </c>
      <c r="X693" s="122">
        <f t="shared" si="21"/>
        <v>24949</v>
      </c>
      <c r="Y693" s="122"/>
      <c r="AA693" t="s">
        <v>56</v>
      </c>
      <c r="AB693" t="s">
        <v>407</v>
      </c>
      <c r="AC693" t="s">
        <v>579</v>
      </c>
      <c r="AD693" t="s">
        <v>579</v>
      </c>
      <c r="AE693" t="s">
        <v>137</v>
      </c>
      <c r="AF693">
        <v>3</v>
      </c>
      <c r="AG693">
        <v>332</v>
      </c>
      <c r="AH693">
        <v>592</v>
      </c>
      <c r="AI693" s="122">
        <v>29834</v>
      </c>
      <c r="AJ693" s="122">
        <v>27122</v>
      </c>
      <c r="AK693">
        <v>79</v>
      </c>
      <c r="AL693" s="122">
        <v>9184</v>
      </c>
      <c r="AM693" s="122">
        <v>7653</v>
      </c>
      <c r="AN693" s="122">
        <v>5361</v>
      </c>
      <c r="AO693" s="122">
        <v>1985</v>
      </c>
      <c r="AP693" s="122">
        <v>1418</v>
      </c>
      <c r="AQ693">
        <v>525</v>
      </c>
      <c r="AR693" s="122">
        <v>13905</v>
      </c>
      <c r="AS693" s="122">
        <v>11587</v>
      </c>
      <c r="AT693" s="122">
        <v>5722</v>
      </c>
      <c r="AU693" s="122">
        <v>2119</v>
      </c>
      <c r="AV693" s="122">
        <v>50992</v>
      </c>
    </row>
    <row r="694" spans="2:48" hidden="1">
      <c r="B694" t="s">
        <v>367</v>
      </c>
      <c r="C694" t="s">
        <v>60</v>
      </c>
      <c r="D694" t="s">
        <v>137</v>
      </c>
      <c r="E694" t="s">
        <v>426</v>
      </c>
      <c r="F694">
        <v>2</v>
      </c>
      <c r="G694" s="122">
        <v>164</v>
      </c>
      <c r="H694" s="122">
        <v>611</v>
      </c>
      <c r="I694" s="122">
        <v>26210</v>
      </c>
      <c r="J694" s="122">
        <v>9708</v>
      </c>
      <c r="K694">
        <v>100</v>
      </c>
      <c r="L694" s="122">
        <v>3104</v>
      </c>
      <c r="M694" s="122">
        <v>2821</v>
      </c>
      <c r="N694" s="122">
        <v>2929</v>
      </c>
      <c r="O694" s="122">
        <v>1085</v>
      </c>
      <c r="P694" s="122">
        <v>351</v>
      </c>
      <c r="Q694" s="122">
        <v>130</v>
      </c>
      <c r="R694" s="122">
        <v>12186</v>
      </c>
      <c r="S694" s="122">
        <v>11078</v>
      </c>
      <c r="T694" s="122">
        <v>5368</v>
      </c>
      <c r="U694" s="122">
        <v>1988</v>
      </c>
      <c r="V694" s="122">
        <v>26809</v>
      </c>
      <c r="W694" s="122">
        <f t="shared" si="20"/>
        <v>26810</v>
      </c>
      <c r="X694" s="122">
        <f t="shared" si="21"/>
        <v>50148</v>
      </c>
      <c r="Y694" s="122"/>
      <c r="AA694" t="s">
        <v>56</v>
      </c>
      <c r="AB694" t="s">
        <v>407</v>
      </c>
      <c r="AC694" t="s">
        <v>579</v>
      </c>
      <c r="AD694" t="s">
        <v>579</v>
      </c>
      <c r="AE694" t="s">
        <v>566</v>
      </c>
      <c r="AF694">
        <v>1</v>
      </c>
      <c r="AG694">
        <v>100</v>
      </c>
      <c r="AH694">
        <v>208</v>
      </c>
      <c r="AI694" s="122">
        <v>10728</v>
      </c>
      <c r="AJ694" s="122">
        <v>9753</v>
      </c>
      <c r="AK694">
        <v>81</v>
      </c>
      <c r="AL694" s="122">
        <v>3502</v>
      </c>
      <c r="AM694" s="122">
        <v>2919</v>
      </c>
      <c r="AN694" s="122">
        <v>1347</v>
      </c>
      <c r="AO694">
        <v>499</v>
      </c>
      <c r="AP694">
        <v>473</v>
      </c>
      <c r="AQ694">
        <v>175</v>
      </c>
      <c r="AR694" s="122">
        <v>4814</v>
      </c>
      <c r="AS694" s="122">
        <v>4011</v>
      </c>
      <c r="AT694">
        <v>0</v>
      </c>
      <c r="AU694">
        <v>0</v>
      </c>
      <c r="AV694" s="122">
        <v>17356</v>
      </c>
    </row>
    <row r="695" spans="2:48" hidden="1">
      <c r="B695" t="s">
        <v>367</v>
      </c>
      <c r="C695" t="s">
        <v>60</v>
      </c>
      <c r="D695" t="s">
        <v>406</v>
      </c>
      <c r="E695" t="s">
        <v>425</v>
      </c>
      <c r="F695" s="122">
        <v>1</v>
      </c>
      <c r="G695" s="122">
        <v>100</v>
      </c>
      <c r="H695" s="122">
        <v>314</v>
      </c>
      <c r="I695" s="122">
        <v>17074</v>
      </c>
      <c r="J695" s="122">
        <v>15521</v>
      </c>
      <c r="K695">
        <v>70</v>
      </c>
      <c r="L695" s="122">
        <v>4205</v>
      </c>
      <c r="M695" s="122">
        <v>3823</v>
      </c>
      <c r="N695" s="122">
        <v>2390</v>
      </c>
      <c r="O695" s="122">
        <v>885</v>
      </c>
      <c r="P695" s="122">
        <v>621</v>
      </c>
      <c r="Q695" s="122">
        <v>230</v>
      </c>
      <c r="R695" s="122">
        <v>4539</v>
      </c>
      <c r="S695" s="122">
        <v>4126</v>
      </c>
      <c r="T695" s="122">
        <v>2562</v>
      </c>
      <c r="U695">
        <v>949</v>
      </c>
      <c r="V695" s="122">
        <v>25535</v>
      </c>
      <c r="W695" s="122">
        <f t="shared" si="20"/>
        <v>25534</v>
      </c>
      <c r="X695" s="122">
        <f t="shared" si="21"/>
        <v>31391</v>
      </c>
      <c r="Y695" s="122"/>
      <c r="AA695" t="s">
        <v>56</v>
      </c>
      <c r="AB695" t="s">
        <v>407</v>
      </c>
      <c r="AC695" t="s">
        <v>579</v>
      </c>
      <c r="AD695" t="s">
        <v>426</v>
      </c>
      <c r="AE695" t="s">
        <v>137</v>
      </c>
      <c r="AF695">
        <v>1</v>
      </c>
      <c r="AG695">
        <v>134</v>
      </c>
      <c r="AH695">
        <v>156</v>
      </c>
      <c r="AI695" s="122">
        <v>10557</v>
      </c>
      <c r="AJ695" s="122">
        <v>9597</v>
      </c>
      <c r="AK695">
        <v>91</v>
      </c>
      <c r="AL695" s="122">
        <v>1834</v>
      </c>
      <c r="AM695" s="122">
        <v>1528</v>
      </c>
      <c r="AN695" s="122">
        <v>2200</v>
      </c>
      <c r="AO695">
        <v>815</v>
      </c>
      <c r="AP695">
        <v>473</v>
      </c>
      <c r="AQ695">
        <v>175</v>
      </c>
      <c r="AR695" s="122">
        <v>5827</v>
      </c>
      <c r="AS695" s="122">
        <v>5297</v>
      </c>
      <c r="AT695">
        <v>0</v>
      </c>
      <c r="AU695">
        <v>0</v>
      </c>
      <c r="AV695" s="122">
        <v>17413</v>
      </c>
    </row>
    <row r="696" spans="2:48" hidden="1">
      <c r="B696" t="s">
        <v>367</v>
      </c>
      <c r="C696" t="s">
        <v>60</v>
      </c>
      <c r="D696" t="s">
        <v>406</v>
      </c>
      <c r="E696" t="s">
        <v>137</v>
      </c>
      <c r="F696">
        <v>14</v>
      </c>
      <c r="G696" s="122">
        <v>2577</v>
      </c>
      <c r="H696" s="122">
        <v>4774</v>
      </c>
      <c r="I696" s="122">
        <v>615327</v>
      </c>
      <c r="J696" s="122">
        <v>559388</v>
      </c>
      <c r="K696">
        <v>77</v>
      </c>
      <c r="L696" s="122">
        <v>73911</v>
      </c>
      <c r="M696" s="122">
        <v>56340</v>
      </c>
      <c r="N696" s="122">
        <v>54872</v>
      </c>
      <c r="O696" s="122">
        <v>20323</v>
      </c>
      <c r="P696" s="122">
        <v>8830</v>
      </c>
      <c r="Q696" s="122">
        <v>3270</v>
      </c>
      <c r="R696" s="122">
        <v>130338</v>
      </c>
      <c r="S696" s="122">
        <v>48273</v>
      </c>
      <c r="T696" s="122">
        <v>0</v>
      </c>
      <c r="U696" s="122">
        <v>0</v>
      </c>
      <c r="V696" s="122">
        <v>687595</v>
      </c>
      <c r="W696" s="122">
        <f t="shared" si="20"/>
        <v>687594</v>
      </c>
      <c r="X696" s="122">
        <f t="shared" si="21"/>
        <v>883278</v>
      </c>
      <c r="Y696" s="122"/>
      <c r="AA696" t="s">
        <v>56</v>
      </c>
      <c r="AB696" t="s">
        <v>407</v>
      </c>
      <c r="AC696" t="s">
        <v>579</v>
      </c>
      <c r="AD696" t="s">
        <v>426</v>
      </c>
      <c r="AE696" t="s">
        <v>566</v>
      </c>
      <c r="AF696">
        <v>1</v>
      </c>
      <c r="AG696">
        <v>173</v>
      </c>
      <c r="AH696">
        <v>166</v>
      </c>
      <c r="AI696" s="122">
        <v>14198</v>
      </c>
      <c r="AJ696" s="122">
        <v>12908</v>
      </c>
      <c r="AK696">
        <v>79</v>
      </c>
      <c r="AL696" s="122">
        <v>4291</v>
      </c>
      <c r="AM696" s="122">
        <v>3576</v>
      </c>
      <c r="AN696" s="122">
        <v>3620</v>
      </c>
      <c r="AO696" s="122">
        <v>1341</v>
      </c>
      <c r="AP696">
        <v>473</v>
      </c>
      <c r="AQ696">
        <v>175</v>
      </c>
      <c r="AR696" s="122">
        <v>6133</v>
      </c>
      <c r="AS696" s="122">
        <v>5575</v>
      </c>
      <c r="AT696">
        <v>0</v>
      </c>
      <c r="AU696">
        <v>0</v>
      </c>
      <c r="AV696" s="122">
        <v>23575</v>
      </c>
    </row>
    <row r="697" spans="2:48" hidden="1">
      <c r="B697" t="s">
        <v>367</v>
      </c>
      <c r="C697" t="s">
        <v>60</v>
      </c>
      <c r="D697" t="s">
        <v>406</v>
      </c>
      <c r="E697" t="s">
        <v>406</v>
      </c>
      <c r="F697" s="122">
        <v>2501</v>
      </c>
      <c r="G697" s="122">
        <v>266565</v>
      </c>
      <c r="H697" s="122">
        <v>851674</v>
      </c>
      <c r="I697" s="122">
        <v>53952734</v>
      </c>
      <c r="J697" s="122">
        <v>49047940</v>
      </c>
      <c r="K697">
        <v>76</v>
      </c>
      <c r="L697" s="122">
        <v>13202813</v>
      </c>
      <c r="M697" s="122">
        <v>10889958</v>
      </c>
      <c r="N697" s="122">
        <v>5675261</v>
      </c>
      <c r="O697" s="122">
        <v>2101948</v>
      </c>
      <c r="P697" s="122">
        <v>1557235</v>
      </c>
      <c r="Q697" s="122">
        <v>576754</v>
      </c>
      <c r="R697" s="122">
        <v>12962614</v>
      </c>
      <c r="S697" s="122">
        <v>11784194</v>
      </c>
      <c r="T697" s="122">
        <v>4449195</v>
      </c>
      <c r="U697" s="122">
        <v>1647850</v>
      </c>
      <c r="V697" s="122">
        <v>76048644</v>
      </c>
      <c r="W697" s="122">
        <f t="shared" si="20"/>
        <v>76048644</v>
      </c>
      <c r="X697" s="122">
        <f t="shared" si="21"/>
        <v>91799852</v>
      </c>
      <c r="Y697" s="122"/>
      <c r="AA697" t="s">
        <v>56</v>
      </c>
      <c r="AB697" t="s">
        <v>407</v>
      </c>
      <c r="AC697" t="s">
        <v>428</v>
      </c>
      <c r="AD697" t="s">
        <v>405</v>
      </c>
      <c r="AE697" t="s">
        <v>137</v>
      </c>
      <c r="AF697">
        <v>1</v>
      </c>
      <c r="AG697">
        <v>95</v>
      </c>
      <c r="AH697">
        <v>216</v>
      </c>
      <c r="AI697" s="122">
        <v>10920</v>
      </c>
      <c r="AJ697" s="122">
        <v>9927</v>
      </c>
      <c r="AK697">
        <v>79</v>
      </c>
      <c r="AL697" s="122">
        <v>1810</v>
      </c>
      <c r="AM697" s="122">
        <v>1646</v>
      </c>
      <c r="AN697" s="122">
        <v>1153</v>
      </c>
      <c r="AO697">
        <v>427</v>
      </c>
      <c r="AP697">
        <v>473</v>
      </c>
      <c r="AQ697">
        <v>175</v>
      </c>
      <c r="AR697" s="122">
        <v>3772</v>
      </c>
      <c r="AS697" s="122">
        <v>3429</v>
      </c>
      <c r="AT697" s="122">
        <v>2314</v>
      </c>
      <c r="AU697">
        <v>857</v>
      </c>
      <c r="AV697" s="122">
        <v>16461</v>
      </c>
    </row>
    <row r="698" spans="2:48" hidden="1">
      <c r="B698" t="s">
        <v>367</v>
      </c>
      <c r="C698" t="s">
        <v>60</v>
      </c>
      <c r="D698" t="s">
        <v>406</v>
      </c>
      <c r="E698" t="s">
        <v>427</v>
      </c>
      <c r="F698" s="122">
        <v>1</v>
      </c>
      <c r="G698" s="122">
        <v>83</v>
      </c>
      <c r="H698" s="122">
        <v>334</v>
      </c>
      <c r="I698" s="122">
        <v>14487</v>
      </c>
      <c r="J698" s="122">
        <v>13170</v>
      </c>
      <c r="K698">
        <v>85</v>
      </c>
      <c r="L698" s="122">
        <v>4330</v>
      </c>
      <c r="M698" s="122">
        <v>3936</v>
      </c>
      <c r="N698" s="122">
        <v>1266</v>
      </c>
      <c r="O698" s="122">
        <v>469</v>
      </c>
      <c r="P698" s="122">
        <v>621</v>
      </c>
      <c r="Q698" s="122">
        <v>230</v>
      </c>
      <c r="R698" s="122">
        <v>4105</v>
      </c>
      <c r="S698" s="122">
        <v>3732</v>
      </c>
      <c r="T698" s="122">
        <v>2920</v>
      </c>
      <c r="U698" s="122">
        <v>1082</v>
      </c>
      <c r="V698" s="122">
        <v>22618</v>
      </c>
      <c r="W698" s="122">
        <f t="shared" si="20"/>
        <v>22619</v>
      </c>
      <c r="X698" s="122">
        <f t="shared" si="21"/>
        <v>27729</v>
      </c>
      <c r="Y698" s="122"/>
      <c r="AA698" t="s">
        <v>56</v>
      </c>
      <c r="AB698" t="s">
        <v>407</v>
      </c>
      <c r="AC698" t="s">
        <v>428</v>
      </c>
      <c r="AD698" t="s">
        <v>137</v>
      </c>
      <c r="AE698" t="s">
        <v>566</v>
      </c>
      <c r="AF698">
        <v>1</v>
      </c>
      <c r="AG698">
        <v>150</v>
      </c>
      <c r="AH698">
        <v>174</v>
      </c>
      <c r="AI698" s="122">
        <v>15685</v>
      </c>
      <c r="AJ698" s="122">
        <v>14259</v>
      </c>
      <c r="AK698">
        <v>90</v>
      </c>
      <c r="AL698" s="122">
        <v>2179</v>
      </c>
      <c r="AM698" s="122">
        <v>1981</v>
      </c>
      <c r="AN698" s="122">
        <v>3662</v>
      </c>
      <c r="AO698" s="122">
        <v>1356</v>
      </c>
      <c r="AP698">
        <v>473</v>
      </c>
      <c r="AQ698">
        <v>175</v>
      </c>
      <c r="AR698" s="122">
        <v>4132</v>
      </c>
      <c r="AS698" s="122">
        <v>1530</v>
      </c>
      <c r="AT698">
        <v>0</v>
      </c>
      <c r="AU698">
        <v>0</v>
      </c>
      <c r="AV698" s="122">
        <v>19302</v>
      </c>
    </row>
    <row r="699" spans="2:48" hidden="1">
      <c r="B699" t="s">
        <v>367</v>
      </c>
      <c r="C699" t="s">
        <v>60</v>
      </c>
      <c r="D699" t="s">
        <v>406</v>
      </c>
      <c r="E699" t="s">
        <v>407</v>
      </c>
      <c r="F699">
        <v>3</v>
      </c>
      <c r="G699" s="122">
        <v>271</v>
      </c>
      <c r="H699" s="122">
        <v>1043</v>
      </c>
      <c r="I699" s="122">
        <v>57854</v>
      </c>
      <c r="J699" s="122">
        <v>52595</v>
      </c>
      <c r="K699">
        <v>73</v>
      </c>
      <c r="L699" s="122">
        <v>9065</v>
      </c>
      <c r="M699" s="122">
        <v>7975</v>
      </c>
      <c r="N699" s="122">
        <v>6334</v>
      </c>
      <c r="O699" s="122">
        <v>2346</v>
      </c>
      <c r="P699" s="122">
        <v>1863</v>
      </c>
      <c r="Q699" s="122">
        <v>690</v>
      </c>
      <c r="R699" s="122">
        <v>15091</v>
      </c>
      <c r="S699" s="122">
        <v>13719</v>
      </c>
      <c r="T699" s="122">
        <v>3906</v>
      </c>
      <c r="U699" s="122">
        <v>1447</v>
      </c>
      <c r="V699" s="122">
        <v>78771</v>
      </c>
      <c r="W699" s="122">
        <f t="shared" si="20"/>
        <v>78772</v>
      </c>
      <c r="X699" s="122">
        <f t="shared" si="21"/>
        <v>94113</v>
      </c>
      <c r="Y699" s="122"/>
      <c r="AA699" t="s">
        <v>56</v>
      </c>
      <c r="AB699" t="s">
        <v>407</v>
      </c>
      <c r="AC699" t="s">
        <v>428</v>
      </c>
      <c r="AD699" t="s">
        <v>407</v>
      </c>
      <c r="AE699" t="s">
        <v>137</v>
      </c>
      <c r="AF699">
        <v>67</v>
      </c>
      <c r="AG699" s="122">
        <v>7263</v>
      </c>
      <c r="AH699" s="122">
        <v>13225</v>
      </c>
      <c r="AI699" s="122">
        <v>707803</v>
      </c>
      <c r="AJ699" s="122">
        <v>643457</v>
      </c>
      <c r="AK699">
        <v>81</v>
      </c>
      <c r="AL699" s="122">
        <v>178254</v>
      </c>
      <c r="AM699" s="122">
        <v>162049</v>
      </c>
      <c r="AN699" s="122">
        <v>139406</v>
      </c>
      <c r="AO699" s="122">
        <v>51632</v>
      </c>
      <c r="AP699" s="122">
        <v>31307</v>
      </c>
      <c r="AQ699" s="122">
        <v>11595</v>
      </c>
      <c r="AR699" s="122">
        <v>288803</v>
      </c>
      <c r="AS699" s="122">
        <v>262548</v>
      </c>
      <c r="AT699" s="122">
        <v>105928</v>
      </c>
      <c r="AU699" s="122">
        <v>39232</v>
      </c>
      <c r="AV699" s="122">
        <v>1170514</v>
      </c>
    </row>
    <row r="700" spans="2:48" hidden="1">
      <c r="B700" t="s">
        <v>367</v>
      </c>
      <c r="C700" t="s">
        <v>60</v>
      </c>
      <c r="D700" t="s">
        <v>406</v>
      </c>
      <c r="E700" t="s">
        <v>556</v>
      </c>
      <c r="F700">
        <v>4</v>
      </c>
      <c r="G700">
        <v>369</v>
      </c>
      <c r="H700" s="122">
        <v>1370</v>
      </c>
      <c r="I700" s="122">
        <v>65417</v>
      </c>
      <c r="J700" s="122">
        <v>59470</v>
      </c>
      <c r="K700">
        <v>71</v>
      </c>
      <c r="L700" s="122">
        <v>16158</v>
      </c>
      <c r="M700" s="122">
        <v>14275</v>
      </c>
      <c r="N700" s="122">
        <v>8716</v>
      </c>
      <c r="O700" s="122">
        <v>3228</v>
      </c>
      <c r="P700" s="122">
        <v>2484</v>
      </c>
      <c r="Q700" s="122">
        <v>920</v>
      </c>
      <c r="R700" s="122">
        <v>22895</v>
      </c>
      <c r="S700" s="122">
        <v>19079</v>
      </c>
      <c r="T700" s="122">
        <v>11443</v>
      </c>
      <c r="U700" s="122">
        <v>4238</v>
      </c>
      <c r="V700" s="122">
        <v>101210</v>
      </c>
      <c r="W700" s="122">
        <f t="shared" si="20"/>
        <v>101210</v>
      </c>
      <c r="X700" s="122">
        <f t="shared" si="21"/>
        <v>127113</v>
      </c>
      <c r="Y700" s="122"/>
      <c r="AA700" t="s">
        <v>56</v>
      </c>
      <c r="AB700" t="s">
        <v>407</v>
      </c>
      <c r="AC700" t="s">
        <v>428</v>
      </c>
      <c r="AD700" t="s">
        <v>407</v>
      </c>
      <c r="AE700" t="s">
        <v>566</v>
      </c>
      <c r="AF700">
        <v>276</v>
      </c>
      <c r="AG700" s="122">
        <v>29955</v>
      </c>
      <c r="AH700" s="122">
        <v>51216</v>
      </c>
      <c r="AI700" s="122">
        <v>2862761</v>
      </c>
      <c r="AJ700" s="122">
        <v>2602510</v>
      </c>
      <c r="AK700">
        <v>86</v>
      </c>
      <c r="AL700" s="122">
        <v>798174</v>
      </c>
      <c r="AM700" s="122">
        <v>725612</v>
      </c>
      <c r="AN700" s="122">
        <v>560804</v>
      </c>
      <c r="AO700" s="122">
        <v>207705</v>
      </c>
      <c r="AP700" s="122">
        <v>134192</v>
      </c>
      <c r="AQ700" s="122">
        <v>49701</v>
      </c>
      <c r="AR700" s="122">
        <v>1309160</v>
      </c>
      <c r="AS700" s="122">
        <v>1190145</v>
      </c>
      <c r="AT700">
        <v>0</v>
      </c>
      <c r="AU700">
        <v>0</v>
      </c>
      <c r="AV700" s="122">
        <v>4775674</v>
      </c>
    </row>
    <row r="701" spans="2:48" hidden="1">
      <c r="B701" t="s">
        <v>367</v>
      </c>
      <c r="C701" t="s">
        <v>60</v>
      </c>
      <c r="D701" t="s">
        <v>406</v>
      </c>
      <c r="E701" t="s">
        <v>426</v>
      </c>
      <c r="F701">
        <v>3</v>
      </c>
      <c r="G701" s="122">
        <v>258</v>
      </c>
      <c r="H701" s="122">
        <v>1066</v>
      </c>
      <c r="I701" s="122">
        <v>55939</v>
      </c>
      <c r="J701" s="122">
        <v>50853</v>
      </c>
      <c r="K701">
        <v>71</v>
      </c>
      <c r="L701" s="122">
        <v>8742</v>
      </c>
      <c r="M701" s="122">
        <v>9986</v>
      </c>
      <c r="N701" s="122">
        <v>5619</v>
      </c>
      <c r="O701" s="122">
        <v>2081</v>
      </c>
      <c r="P701" s="122">
        <v>1863</v>
      </c>
      <c r="Q701" s="122">
        <v>690</v>
      </c>
      <c r="R701" s="122">
        <v>15891</v>
      </c>
      <c r="S701" s="122">
        <v>14446</v>
      </c>
      <c r="T701" s="122">
        <v>4771</v>
      </c>
      <c r="U701" s="122">
        <v>1767</v>
      </c>
      <c r="V701" s="122">
        <v>79823</v>
      </c>
      <c r="W701" s="122">
        <f t="shared" si="20"/>
        <v>79823</v>
      </c>
      <c r="X701" s="122">
        <f t="shared" si="21"/>
        <v>92825</v>
      </c>
      <c r="Y701" s="122"/>
      <c r="AA701" t="s">
        <v>56</v>
      </c>
      <c r="AB701" t="s">
        <v>407</v>
      </c>
      <c r="AC701" t="s">
        <v>431</v>
      </c>
      <c r="AD701" t="s">
        <v>407</v>
      </c>
      <c r="AE701" t="s">
        <v>137</v>
      </c>
      <c r="AF701">
        <v>10</v>
      </c>
      <c r="AG701" s="122">
        <v>1033</v>
      </c>
      <c r="AH701" s="122">
        <v>1935</v>
      </c>
      <c r="AI701" s="122">
        <v>93509</v>
      </c>
      <c r="AJ701" s="122">
        <v>85008</v>
      </c>
      <c r="AK701">
        <v>83</v>
      </c>
      <c r="AL701" s="122">
        <v>25813</v>
      </c>
      <c r="AM701" s="122">
        <v>23466</v>
      </c>
      <c r="AN701" s="122">
        <v>21252</v>
      </c>
      <c r="AO701" s="122">
        <v>7871</v>
      </c>
      <c r="AP701" s="122">
        <v>4725</v>
      </c>
      <c r="AQ701" s="122">
        <v>1750</v>
      </c>
      <c r="AR701" s="122">
        <v>46134</v>
      </c>
      <c r="AS701" s="122">
        <v>41940</v>
      </c>
      <c r="AT701" s="122">
        <v>7560</v>
      </c>
      <c r="AU701" s="122">
        <v>2800</v>
      </c>
      <c r="AV701" s="122">
        <v>162836</v>
      </c>
    </row>
    <row r="702" spans="2:48" hidden="1">
      <c r="B702" t="s">
        <v>367</v>
      </c>
      <c r="C702" t="s">
        <v>60</v>
      </c>
      <c r="D702" t="s">
        <v>427</v>
      </c>
      <c r="E702" t="s">
        <v>406</v>
      </c>
      <c r="F702">
        <v>1</v>
      </c>
      <c r="G702" s="122">
        <v>94</v>
      </c>
      <c r="H702" s="122">
        <v>316</v>
      </c>
      <c r="I702" s="122">
        <v>16621</v>
      </c>
      <c r="J702" s="122">
        <v>15110</v>
      </c>
      <c r="K702">
        <v>70</v>
      </c>
      <c r="L702" s="122">
        <v>4094</v>
      </c>
      <c r="M702" s="122">
        <v>3722</v>
      </c>
      <c r="N702" s="122">
        <v>2279</v>
      </c>
      <c r="O702" s="122">
        <v>844</v>
      </c>
      <c r="P702" s="122">
        <v>621</v>
      </c>
      <c r="Q702" s="122">
        <v>230</v>
      </c>
      <c r="R702" s="122">
        <v>3592</v>
      </c>
      <c r="S702" s="122">
        <v>3265</v>
      </c>
      <c r="T702" s="122">
        <v>2344</v>
      </c>
      <c r="U702" s="122">
        <v>868</v>
      </c>
      <c r="V702" s="122">
        <v>24039</v>
      </c>
      <c r="W702" s="122">
        <f t="shared" si="20"/>
        <v>24039</v>
      </c>
      <c r="X702" s="122">
        <f t="shared" si="21"/>
        <v>29551</v>
      </c>
      <c r="Y702" s="122"/>
      <c r="AA702" t="s">
        <v>56</v>
      </c>
      <c r="AB702" t="s">
        <v>407</v>
      </c>
      <c r="AC702" t="s">
        <v>431</v>
      </c>
      <c r="AD702" t="s">
        <v>407</v>
      </c>
      <c r="AE702" t="s">
        <v>566</v>
      </c>
      <c r="AF702">
        <v>19</v>
      </c>
      <c r="AG702" s="122">
        <v>2006</v>
      </c>
      <c r="AH702" s="122">
        <v>3639</v>
      </c>
      <c r="AI702" s="122">
        <v>199446</v>
      </c>
      <c r="AJ702" s="122">
        <v>181315</v>
      </c>
      <c r="AK702">
        <v>82</v>
      </c>
      <c r="AL702" s="122">
        <v>50911</v>
      </c>
      <c r="AM702" s="122">
        <v>46282</v>
      </c>
      <c r="AN702" s="122">
        <v>38077</v>
      </c>
      <c r="AO702" s="122">
        <v>14103</v>
      </c>
      <c r="AP702" s="122">
        <v>8978</v>
      </c>
      <c r="AQ702" s="122">
        <v>3325</v>
      </c>
      <c r="AR702" s="122">
        <v>93931</v>
      </c>
      <c r="AS702" s="122">
        <v>85392</v>
      </c>
      <c r="AT702">
        <v>0</v>
      </c>
      <c r="AU702">
        <v>0</v>
      </c>
      <c r="AV702" s="122">
        <v>330416</v>
      </c>
    </row>
    <row r="703" spans="2:48" hidden="1">
      <c r="B703" t="s">
        <v>367</v>
      </c>
      <c r="C703" t="s">
        <v>60</v>
      </c>
      <c r="D703" t="s">
        <v>427</v>
      </c>
      <c r="E703" t="s">
        <v>427</v>
      </c>
      <c r="F703">
        <v>11</v>
      </c>
      <c r="G703" s="122">
        <v>917</v>
      </c>
      <c r="H703" s="122">
        <v>3761</v>
      </c>
      <c r="I703" s="122">
        <v>173855</v>
      </c>
      <c r="J703" s="122">
        <v>158050</v>
      </c>
      <c r="K703">
        <v>54</v>
      </c>
      <c r="L703" s="122">
        <v>37401</v>
      </c>
      <c r="M703" s="122">
        <v>23117</v>
      </c>
      <c r="N703" s="122">
        <v>18561</v>
      </c>
      <c r="O703" s="122">
        <v>6875</v>
      </c>
      <c r="P703" s="122">
        <v>3159</v>
      </c>
      <c r="Q703" s="122">
        <v>1170</v>
      </c>
      <c r="R703" s="122">
        <v>68009</v>
      </c>
      <c r="S703" s="122">
        <v>61826</v>
      </c>
      <c r="T703" s="122">
        <v>17378</v>
      </c>
      <c r="U703" s="122">
        <v>6436</v>
      </c>
      <c r="V703" s="122">
        <v>257475</v>
      </c>
      <c r="W703" s="122">
        <f t="shared" si="20"/>
        <v>257474</v>
      </c>
      <c r="X703" s="122">
        <f t="shared" si="21"/>
        <v>318363</v>
      </c>
      <c r="Y703" s="122"/>
      <c r="AA703" t="s">
        <v>56</v>
      </c>
      <c r="AB703" t="s">
        <v>407</v>
      </c>
      <c r="AC703" t="s">
        <v>426</v>
      </c>
      <c r="AD703" t="s">
        <v>405</v>
      </c>
      <c r="AE703" t="s">
        <v>137</v>
      </c>
      <c r="AF703">
        <v>1</v>
      </c>
      <c r="AG703">
        <v>86</v>
      </c>
      <c r="AH703">
        <v>168</v>
      </c>
      <c r="AI703" s="122">
        <v>7746</v>
      </c>
      <c r="AJ703" s="122">
        <v>7042</v>
      </c>
      <c r="AK703">
        <v>90</v>
      </c>
      <c r="AL703" s="122">
        <v>1229</v>
      </c>
      <c r="AM703" s="122">
        <v>1118</v>
      </c>
      <c r="AN703" s="122">
        <v>1042</v>
      </c>
      <c r="AO703">
        <v>386</v>
      </c>
      <c r="AP703">
        <v>473</v>
      </c>
      <c r="AQ703">
        <v>175</v>
      </c>
      <c r="AR703" s="122">
        <v>3881</v>
      </c>
      <c r="AS703" s="122">
        <v>3529</v>
      </c>
      <c r="AT703">
        <v>0</v>
      </c>
      <c r="AU703">
        <v>0</v>
      </c>
      <c r="AV703" s="122">
        <v>12249</v>
      </c>
    </row>
    <row r="704" spans="2:48" hidden="1">
      <c r="B704" t="s">
        <v>367</v>
      </c>
      <c r="C704" t="s">
        <v>60</v>
      </c>
      <c r="D704" t="s">
        <v>407</v>
      </c>
      <c r="E704" t="s">
        <v>425</v>
      </c>
      <c r="F704">
        <v>1</v>
      </c>
      <c r="G704" s="122">
        <v>70</v>
      </c>
      <c r="H704" s="122">
        <v>314</v>
      </c>
      <c r="I704" s="122">
        <v>13698</v>
      </c>
      <c r="J704" s="122">
        <v>12452</v>
      </c>
      <c r="K704">
        <v>91</v>
      </c>
      <c r="L704" s="122">
        <v>4388</v>
      </c>
      <c r="M704" s="122">
        <v>3989</v>
      </c>
      <c r="N704" s="122">
        <v>1604</v>
      </c>
      <c r="O704" s="122">
        <v>594</v>
      </c>
      <c r="P704" s="122">
        <v>473</v>
      </c>
      <c r="Q704" s="122">
        <v>175</v>
      </c>
      <c r="R704" s="122">
        <v>1928</v>
      </c>
      <c r="S704" s="122">
        <v>1752</v>
      </c>
      <c r="T704" s="122">
        <v>0</v>
      </c>
      <c r="U704" s="122">
        <v>0</v>
      </c>
      <c r="V704" s="122">
        <v>18963</v>
      </c>
      <c r="W704" s="122">
        <f t="shared" si="20"/>
        <v>18962</v>
      </c>
      <c r="X704" s="122">
        <f t="shared" si="21"/>
        <v>22091</v>
      </c>
      <c r="Y704" s="122"/>
      <c r="AA704" t="s">
        <v>56</v>
      </c>
      <c r="AB704" t="s">
        <v>407</v>
      </c>
      <c r="AC704" t="s">
        <v>426</v>
      </c>
      <c r="AD704" t="s">
        <v>405</v>
      </c>
      <c r="AE704" t="s">
        <v>566</v>
      </c>
      <c r="AF704">
        <v>4</v>
      </c>
      <c r="AG704">
        <v>371</v>
      </c>
      <c r="AH704">
        <v>719</v>
      </c>
      <c r="AI704" s="122">
        <v>35370</v>
      </c>
      <c r="AJ704" s="122">
        <v>32154</v>
      </c>
      <c r="AK704">
        <v>84</v>
      </c>
      <c r="AL704" s="122">
        <v>10536</v>
      </c>
      <c r="AM704" s="122">
        <v>9578</v>
      </c>
      <c r="AN704" s="122">
        <v>8298</v>
      </c>
      <c r="AO704" s="122">
        <v>3073</v>
      </c>
      <c r="AP704" s="122">
        <v>1890</v>
      </c>
      <c r="AQ704">
        <v>700</v>
      </c>
      <c r="AR704" s="122">
        <v>16378</v>
      </c>
      <c r="AS704" s="122">
        <v>14889</v>
      </c>
      <c r="AT704">
        <v>0</v>
      </c>
      <c r="AU704">
        <v>0</v>
      </c>
      <c r="AV704" s="122">
        <v>60394</v>
      </c>
    </row>
    <row r="705" spans="2:48" hidden="1">
      <c r="B705" t="s">
        <v>367</v>
      </c>
      <c r="C705" t="s">
        <v>60</v>
      </c>
      <c r="D705" t="s">
        <v>407</v>
      </c>
      <c r="E705" t="s">
        <v>405</v>
      </c>
      <c r="F705">
        <v>4</v>
      </c>
      <c r="G705" s="122">
        <v>363</v>
      </c>
      <c r="H705" s="122">
        <v>1314</v>
      </c>
      <c r="I705" s="122">
        <v>73167</v>
      </c>
      <c r="J705" s="122">
        <v>66516</v>
      </c>
      <c r="K705">
        <v>78</v>
      </c>
      <c r="L705" s="122">
        <v>12937</v>
      </c>
      <c r="M705" s="122">
        <v>11761</v>
      </c>
      <c r="N705" s="122">
        <v>8673</v>
      </c>
      <c r="O705" s="122">
        <v>3212</v>
      </c>
      <c r="P705" s="122">
        <v>1890</v>
      </c>
      <c r="Q705" s="122">
        <v>700</v>
      </c>
      <c r="R705" s="122">
        <v>19772</v>
      </c>
      <c r="S705" s="122">
        <v>17975</v>
      </c>
      <c r="T705" s="122">
        <v>2502</v>
      </c>
      <c r="U705" s="122">
        <v>927</v>
      </c>
      <c r="V705" s="122">
        <v>101090</v>
      </c>
      <c r="W705" s="122">
        <f t="shared" si="20"/>
        <v>101091</v>
      </c>
      <c r="X705" s="122">
        <f t="shared" si="21"/>
        <v>118941</v>
      </c>
      <c r="Y705" s="122"/>
      <c r="AA705" t="s">
        <v>56</v>
      </c>
      <c r="AB705" t="s">
        <v>407</v>
      </c>
      <c r="AC705" t="s">
        <v>426</v>
      </c>
      <c r="AD705" t="s">
        <v>137</v>
      </c>
      <c r="AE705" t="s">
        <v>137</v>
      </c>
      <c r="AF705">
        <v>2</v>
      </c>
      <c r="AG705">
        <v>191</v>
      </c>
      <c r="AH705">
        <v>384</v>
      </c>
      <c r="AI705" s="122">
        <v>15622</v>
      </c>
      <c r="AJ705" s="122">
        <v>14202</v>
      </c>
      <c r="AK705">
        <v>79</v>
      </c>
      <c r="AL705" s="122">
        <v>4340</v>
      </c>
      <c r="AM705" s="122">
        <v>3946</v>
      </c>
      <c r="AN705" s="122">
        <v>4244</v>
      </c>
      <c r="AO705" s="122">
        <v>1572</v>
      </c>
      <c r="AP705">
        <v>945</v>
      </c>
      <c r="AQ705">
        <v>350</v>
      </c>
      <c r="AR705" s="122">
        <v>11666</v>
      </c>
      <c r="AS705" s="122">
        <v>4321</v>
      </c>
      <c r="AT705">
        <v>0</v>
      </c>
      <c r="AU705">
        <v>0</v>
      </c>
      <c r="AV705" s="122">
        <v>24390</v>
      </c>
    </row>
    <row r="706" spans="2:48" hidden="1">
      <c r="B706" t="s">
        <v>367</v>
      </c>
      <c r="C706" t="s">
        <v>60</v>
      </c>
      <c r="D706" t="s">
        <v>407</v>
      </c>
      <c r="E706" t="s">
        <v>137</v>
      </c>
      <c r="F706">
        <v>74</v>
      </c>
      <c r="G706" s="122">
        <v>6797</v>
      </c>
      <c r="H706" s="122">
        <v>25705</v>
      </c>
      <c r="I706" s="122">
        <v>1429518</v>
      </c>
      <c r="J706" s="122">
        <v>1299562</v>
      </c>
      <c r="K706">
        <v>77</v>
      </c>
      <c r="L706" s="122">
        <v>292544</v>
      </c>
      <c r="M706" s="122">
        <v>249258</v>
      </c>
      <c r="N706" s="122">
        <v>136680</v>
      </c>
      <c r="O706" s="122">
        <v>50622</v>
      </c>
      <c r="P706" s="122">
        <v>31238</v>
      </c>
      <c r="Q706" s="122">
        <v>11570</v>
      </c>
      <c r="R706" s="122">
        <v>506732</v>
      </c>
      <c r="S706" s="122">
        <v>187679</v>
      </c>
      <c r="T706" s="122">
        <v>2460</v>
      </c>
      <c r="U706" s="122">
        <v>911</v>
      </c>
      <c r="V706" s="122">
        <v>1799601</v>
      </c>
      <c r="W706" s="122">
        <f t="shared" si="20"/>
        <v>1799602</v>
      </c>
      <c r="X706" s="122">
        <f t="shared" si="21"/>
        <v>2399172</v>
      </c>
      <c r="Y706" s="122"/>
      <c r="AA706" t="s">
        <v>56</v>
      </c>
      <c r="AB706" t="s">
        <v>407</v>
      </c>
      <c r="AC706" t="s">
        <v>426</v>
      </c>
      <c r="AD706" t="s">
        <v>137</v>
      </c>
      <c r="AE706" t="s">
        <v>566</v>
      </c>
      <c r="AF706">
        <v>11</v>
      </c>
      <c r="AG706" s="122">
        <v>1176</v>
      </c>
      <c r="AH706" s="122">
        <v>2149</v>
      </c>
      <c r="AI706" s="122">
        <v>105719</v>
      </c>
      <c r="AJ706" s="122">
        <v>96109</v>
      </c>
      <c r="AK706">
        <v>95</v>
      </c>
      <c r="AL706" s="122">
        <v>32069</v>
      </c>
      <c r="AM706" s="122">
        <v>29153</v>
      </c>
      <c r="AN706" s="122">
        <v>25845</v>
      </c>
      <c r="AO706" s="122">
        <v>9572</v>
      </c>
      <c r="AP706" s="122">
        <v>5076</v>
      </c>
      <c r="AQ706" s="122">
        <v>1880</v>
      </c>
      <c r="AR706" s="122">
        <v>65455</v>
      </c>
      <c r="AS706" s="122">
        <v>24243</v>
      </c>
      <c r="AT706">
        <v>0</v>
      </c>
      <c r="AU706">
        <v>0</v>
      </c>
      <c r="AV706" s="122">
        <v>160957</v>
      </c>
    </row>
    <row r="707" spans="2:48" hidden="1">
      <c r="B707" t="s">
        <v>367</v>
      </c>
      <c r="C707" t="s">
        <v>60</v>
      </c>
      <c r="D707" t="s">
        <v>407</v>
      </c>
      <c r="E707" t="s">
        <v>406</v>
      </c>
      <c r="F707">
        <v>2</v>
      </c>
      <c r="G707" s="122">
        <v>217</v>
      </c>
      <c r="H707" s="122">
        <v>671</v>
      </c>
      <c r="I707" s="122">
        <v>41539</v>
      </c>
      <c r="J707" s="122">
        <v>37763</v>
      </c>
      <c r="K707">
        <v>82</v>
      </c>
      <c r="L707" s="122">
        <v>12770</v>
      </c>
      <c r="M707" s="122">
        <v>11352</v>
      </c>
      <c r="N707" s="122">
        <v>5124</v>
      </c>
      <c r="O707" s="122">
        <v>1898</v>
      </c>
      <c r="P707" s="122">
        <v>945</v>
      </c>
      <c r="Q707" s="122">
        <v>350</v>
      </c>
      <c r="R707" s="122">
        <v>10773</v>
      </c>
      <c r="S707" s="122">
        <v>9794</v>
      </c>
      <c r="T707" s="122">
        <v>3580</v>
      </c>
      <c r="U707" s="122">
        <v>1326</v>
      </c>
      <c r="V707" s="122">
        <v>62482</v>
      </c>
      <c r="W707" s="122">
        <f t="shared" si="20"/>
        <v>62483</v>
      </c>
      <c r="X707" s="122">
        <f t="shared" si="21"/>
        <v>74731</v>
      </c>
      <c r="Y707" s="122"/>
      <c r="AA707" t="s">
        <v>56</v>
      </c>
      <c r="AB707" t="s">
        <v>407</v>
      </c>
      <c r="AC707" t="s">
        <v>426</v>
      </c>
      <c r="AD707" t="s">
        <v>406</v>
      </c>
      <c r="AE707" t="s">
        <v>137</v>
      </c>
      <c r="AF707">
        <v>4</v>
      </c>
      <c r="AG707">
        <v>459</v>
      </c>
      <c r="AH707">
        <v>806</v>
      </c>
      <c r="AI707" s="122">
        <v>53669</v>
      </c>
      <c r="AJ707" s="122">
        <v>48790</v>
      </c>
      <c r="AK707">
        <v>79</v>
      </c>
      <c r="AL707" s="122">
        <v>13541</v>
      </c>
      <c r="AM707" s="122">
        <v>12310</v>
      </c>
      <c r="AN707" s="122">
        <v>9330</v>
      </c>
      <c r="AO707" s="122">
        <v>3456</v>
      </c>
      <c r="AP707" s="122">
        <v>1890</v>
      </c>
      <c r="AQ707">
        <v>700</v>
      </c>
      <c r="AR707" s="122">
        <v>17750</v>
      </c>
      <c r="AS707" s="122">
        <v>16136</v>
      </c>
      <c r="AT707" s="122">
        <v>7812</v>
      </c>
      <c r="AU707" s="122">
        <v>2893</v>
      </c>
      <c r="AV707" s="122">
        <v>84285</v>
      </c>
    </row>
    <row r="708" spans="2:48" hidden="1">
      <c r="B708" t="s">
        <v>367</v>
      </c>
      <c r="C708" t="s">
        <v>60</v>
      </c>
      <c r="D708" t="s">
        <v>407</v>
      </c>
      <c r="E708" t="s">
        <v>427</v>
      </c>
      <c r="F708">
        <v>1</v>
      </c>
      <c r="G708" s="122">
        <v>45</v>
      </c>
      <c r="H708" s="122">
        <v>332</v>
      </c>
      <c r="I708" s="122">
        <v>7679</v>
      </c>
      <c r="J708" s="122">
        <v>6980</v>
      </c>
      <c r="K708">
        <v>78</v>
      </c>
      <c r="L708" s="122">
        <v>1057</v>
      </c>
      <c r="M708" s="122">
        <v>960</v>
      </c>
      <c r="N708" s="122">
        <v>932</v>
      </c>
      <c r="O708" s="122">
        <v>345</v>
      </c>
      <c r="P708" s="122">
        <v>473</v>
      </c>
      <c r="Q708" s="122">
        <v>175</v>
      </c>
      <c r="R708" s="122">
        <v>4810</v>
      </c>
      <c r="S708" s="122">
        <v>4373</v>
      </c>
      <c r="T708" s="122">
        <v>0</v>
      </c>
      <c r="U708" s="122">
        <v>0</v>
      </c>
      <c r="V708" s="122">
        <v>12834</v>
      </c>
      <c r="W708" s="122">
        <f t="shared" si="20"/>
        <v>12833</v>
      </c>
      <c r="X708" s="122">
        <f t="shared" si="21"/>
        <v>14951</v>
      </c>
      <c r="Y708" s="122"/>
      <c r="AA708" t="s">
        <v>56</v>
      </c>
      <c r="AB708" t="s">
        <v>407</v>
      </c>
      <c r="AC708" t="s">
        <v>426</v>
      </c>
      <c r="AD708" t="s">
        <v>406</v>
      </c>
      <c r="AE708" t="s">
        <v>566</v>
      </c>
      <c r="AF708">
        <v>10</v>
      </c>
      <c r="AG708" s="122">
        <v>1038</v>
      </c>
      <c r="AH708" s="122">
        <v>1927</v>
      </c>
      <c r="AI708" s="122">
        <v>96532</v>
      </c>
      <c r="AJ708" s="122">
        <v>87757</v>
      </c>
      <c r="AK708">
        <v>80</v>
      </c>
      <c r="AL708" s="122">
        <v>26528</v>
      </c>
      <c r="AM708" s="122">
        <v>24116</v>
      </c>
      <c r="AN708" s="122">
        <v>22982</v>
      </c>
      <c r="AO708" s="122">
        <v>8512</v>
      </c>
      <c r="AP708" s="122">
        <v>5076</v>
      </c>
      <c r="AQ708" s="122">
        <v>1880</v>
      </c>
      <c r="AR708" s="122">
        <v>50305</v>
      </c>
      <c r="AS708" s="122">
        <v>45732</v>
      </c>
      <c r="AT708">
        <v>0</v>
      </c>
      <c r="AU708">
        <v>0</v>
      </c>
      <c r="AV708" s="122">
        <v>167997</v>
      </c>
    </row>
    <row r="709" spans="2:48" hidden="1">
      <c r="B709" t="s">
        <v>367</v>
      </c>
      <c r="C709" t="s">
        <v>60</v>
      </c>
      <c r="D709" t="s">
        <v>407</v>
      </c>
      <c r="E709" t="s">
        <v>407</v>
      </c>
      <c r="F709" s="122">
        <v>14248</v>
      </c>
      <c r="G709" s="122">
        <v>1384225</v>
      </c>
      <c r="H709" s="122">
        <v>4820865</v>
      </c>
      <c r="I709" s="122">
        <v>277007260</v>
      </c>
      <c r="J709" s="122">
        <v>251824782</v>
      </c>
      <c r="K709">
        <v>79</v>
      </c>
      <c r="L709" s="122">
        <v>72038357</v>
      </c>
      <c r="M709" s="122">
        <v>61585166</v>
      </c>
      <c r="N709" s="122">
        <v>29220166</v>
      </c>
      <c r="O709" s="122">
        <v>10822283</v>
      </c>
      <c r="P709" s="122">
        <v>6679141</v>
      </c>
      <c r="Q709" s="122">
        <v>2473756</v>
      </c>
      <c r="R709" s="122">
        <v>69214288</v>
      </c>
      <c r="S709" s="122">
        <v>62922080</v>
      </c>
      <c r="T709" s="122">
        <v>19812160</v>
      </c>
      <c r="U709" s="122">
        <v>7337837</v>
      </c>
      <c r="V709" s="122">
        <v>396965904</v>
      </c>
      <c r="W709" s="122">
        <f t="shared" si="20"/>
        <v>396965904</v>
      </c>
      <c r="X709" s="122">
        <f t="shared" si="21"/>
        <v>473971372</v>
      </c>
      <c r="Y709" s="122"/>
      <c r="AA709" t="s">
        <v>56</v>
      </c>
      <c r="AB709" t="s">
        <v>407</v>
      </c>
      <c r="AC709" t="s">
        <v>426</v>
      </c>
      <c r="AD709" t="s">
        <v>407</v>
      </c>
      <c r="AE709" t="s">
        <v>137</v>
      </c>
      <c r="AF709" s="122">
        <v>5257</v>
      </c>
      <c r="AG709" s="122">
        <v>530967</v>
      </c>
      <c r="AH709" s="122">
        <v>1018847</v>
      </c>
      <c r="AI709" s="122">
        <v>48118320</v>
      </c>
      <c r="AJ709" s="122">
        <v>43743927</v>
      </c>
      <c r="AK709">
        <v>81</v>
      </c>
      <c r="AL709" s="122">
        <v>12760565</v>
      </c>
      <c r="AM709" s="122">
        <v>11600514</v>
      </c>
      <c r="AN709" s="122">
        <v>10503327</v>
      </c>
      <c r="AO709" s="122">
        <v>3890121</v>
      </c>
      <c r="AP709" s="122">
        <v>2512689</v>
      </c>
      <c r="AQ709" s="122">
        <v>930626</v>
      </c>
      <c r="AR709" s="122">
        <v>21640935</v>
      </c>
      <c r="AS709" s="122">
        <v>19673577</v>
      </c>
      <c r="AT709" s="122">
        <v>8599270</v>
      </c>
      <c r="AU709" s="122">
        <v>3184915</v>
      </c>
      <c r="AV709" s="122">
        <v>83023680</v>
      </c>
    </row>
    <row r="710" spans="2:48" hidden="1">
      <c r="B710" t="s">
        <v>367</v>
      </c>
      <c r="C710" t="s">
        <v>60</v>
      </c>
      <c r="D710" t="s">
        <v>407</v>
      </c>
      <c r="E710" t="s">
        <v>556</v>
      </c>
      <c r="F710">
        <v>5</v>
      </c>
      <c r="G710">
        <v>429</v>
      </c>
      <c r="H710" s="122">
        <v>1673</v>
      </c>
      <c r="I710" s="122">
        <v>81475</v>
      </c>
      <c r="J710" s="122">
        <v>74068</v>
      </c>
      <c r="K710">
        <v>76</v>
      </c>
      <c r="L710" s="122">
        <v>17557</v>
      </c>
      <c r="M710" s="122">
        <v>16602</v>
      </c>
      <c r="N710" s="122">
        <v>8417</v>
      </c>
      <c r="O710" s="122">
        <v>3117</v>
      </c>
      <c r="P710" s="122">
        <v>2363</v>
      </c>
      <c r="Q710" s="122">
        <v>875</v>
      </c>
      <c r="R710" s="122">
        <v>23657</v>
      </c>
      <c r="S710" s="122">
        <v>19714</v>
      </c>
      <c r="T710" s="122">
        <v>9645</v>
      </c>
      <c r="U710" s="122">
        <v>3572</v>
      </c>
      <c r="V710" s="122">
        <v>117950</v>
      </c>
      <c r="W710" s="122">
        <f t="shared" si="20"/>
        <v>117948</v>
      </c>
      <c r="X710" s="122">
        <f t="shared" si="21"/>
        <v>143114</v>
      </c>
      <c r="Y710" s="122"/>
      <c r="AA710" t="s">
        <v>56</v>
      </c>
      <c r="AB710" t="s">
        <v>407</v>
      </c>
      <c r="AC710" t="s">
        <v>426</v>
      </c>
      <c r="AD710" t="s">
        <v>407</v>
      </c>
      <c r="AE710" t="s">
        <v>566</v>
      </c>
      <c r="AF710" s="122">
        <v>10478</v>
      </c>
      <c r="AG710" s="122">
        <v>1050571</v>
      </c>
      <c r="AH710" s="122">
        <v>1930286</v>
      </c>
      <c r="AI710" s="122">
        <v>93671097</v>
      </c>
      <c r="AJ710" s="122">
        <v>85155543</v>
      </c>
      <c r="AK710">
        <v>83</v>
      </c>
      <c r="AL710" s="122">
        <v>25326474</v>
      </c>
      <c r="AM710" s="122">
        <v>23024067</v>
      </c>
      <c r="AN710" s="122">
        <v>20637664</v>
      </c>
      <c r="AO710" s="122">
        <v>7643579</v>
      </c>
      <c r="AP710" s="122">
        <v>5092820</v>
      </c>
      <c r="AQ710" s="122">
        <v>1886230</v>
      </c>
      <c r="AR710" s="122">
        <v>50329166</v>
      </c>
      <c r="AS710" s="122">
        <v>45753786</v>
      </c>
      <c r="AT710">
        <v>0</v>
      </c>
      <c r="AU710">
        <v>0</v>
      </c>
      <c r="AV710" s="122">
        <v>163463204</v>
      </c>
    </row>
    <row r="711" spans="2:48" hidden="1">
      <c r="B711" t="s">
        <v>367</v>
      </c>
      <c r="C711" t="s">
        <v>60</v>
      </c>
      <c r="D711" t="s">
        <v>407</v>
      </c>
      <c r="E711" t="s">
        <v>428</v>
      </c>
      <c r="F711">
        <v>1</v>
      </c>
      <c r="G711" s="122">
        <v>70</v>
      </c>
      <c r="H711" s="122">
        <v>317</v>
      </c>
      <c r="I711" s="122">
        <v>11014</v>
      </c>
      <c r="J711" s="122">
        <v>10013</v>
      </c>
      <c r="K711">
        <v>79</v>
      </c>
      <c r="L711" s="122">
        <v>3064</v>
      </c>
      <c r="M711" s="122">
        <v>2785</v>
      </c>
      <c r="N711" s="122">
        <v>1426</v>
      </c>
      <c r="O711" s="122">
        <v>528</v>
      </c>
      <c r="P711" s="122">
        <v>473</v>
      </c>
      <c r="Q711" s="122">
        <v>175</v>
      </c>
      <c r="R711" s="122">
        <v>3824</v>
      </c>
      <c r="S711" s="122">
        <v>3477</v>
      </c>
      <c r="T711" s="122">
        <v>2387</v>
      </c>
      <c r="U711" s="122">
        <v>884</v>
      </c>
      <c r="V711" s="122">
        <v>17862</v>
      </c>
      <c r="W711" s="122">
        <f t="shared" ref="W711:W774" si="22">SUM(ABS(J711),ABS(M711),ABS(O711),ABS(Q711),ABS(S711),ABS(U711))</f>
        <v>17862</v>
      </c>
      <c r="X711" s="122">
        <f t="shared" ref="X711:X774" si="23">SUM(ABS(I711),ABS(N711),ABS(P711),ABS(R711),ABS(T711),ABS(L711))</f>
        <v>22188</v>
      </c>
      <c r="Y711" s="122"/>
      <c r="AA711" t="s">
        <v>56</v>
      </c>
      <c r="AB711" t="s">
        <v>407</v>
      </c>
      <c r="AC711" t="s">
        <v>426</v>
      </c>
      <c r="AD711" t="s">
        <v>579</v>
      </c>
      <c r="AE711" t="s">
        <v>566</v>
      </c>
      <c r="AF711">
        <v>1</v>
      </c>
      <c r="AG711">
        <v>83</v>
      </c>
      <c r="AH711">
        <v>190</v>
      </c>
      <c r="AI711" s="122">
        <v>6198</v>
      </c>
      <c r="AJ711" s="122">
        <v>5635</v>
      </c>
      <c r="AK711">
        <v>79</v>
      </c>
      <c r="AL711" s="122">
        <v>1717</v>
      </c>
      <c r="AM711" s="122">
        <v>1561</v>
      </c>
      <c r="AN711" s="122">
        <v>1505</v>
      </c>
      <c r="AO711">
        <v>557</v>
      </c>
      <c r="AP711">
        <v>473</v>
      </c>
      <c r="AQ711">
        <v>175</v>
      </c>
      <c r="AR711" s="122">
        <v>5943</v>
      </c>
      <c r="AS711" s="122">
        <v>4952</v>
      </c>
      <c r="AT711">
        <v>0</v>
      </c>
      <c r="AU711">
        <v>0</v>
      </c>
      <c r="AV711" s="122">
        <v>12880</v>
      </c>
    </row>
    <row r="712" spans="2:48" hidden="1">
      <c r="B712" t="s">
        <v>367</v>
      </c>
      <c r="C712" t="s">
        <v>60</v>
      </c>
      <c r="D712" t="s">
        <v>407</v>
      </c>
      <c r="E712" t="s">
        <v>426</v>
      </c>
      <c r="F712">
        <v>2</v>
      </c>
      <c r="G712">
        <v>183</v>
      </c>
      <c r="H712">
        <v>669</v>
      </c>
      <c r="I712" s="122">
        <v>32942</v>
      </c>
      <c r="J712" s="122">
        <v>29947</v>
      </c>
      <c r="K712">
        <v>72</v>
      </c>
      <c r="L712" s="122">
        <v>5395</v>
      </c>
      <c r="M712" s="122">
        <v>4905</v>
      </c>
      <c r="N712" s="122">
        <v>4215</v>
      </c>
      <c r="O712" s="122">
        <v>1561</v>
      </c>
      <c r="P712" s="122">
        <v>945</v>
      </c>
      <c r="Q712" s="122">
        <v>350</v>
      </c>
      <c r="R712" s="122">
        <v>15329</v>
      </c>
      <c r="S712" s="122">
        <v>13936</v>
      </c>
      <c r="T712" s="122">
        <v>2626</v>
      </c>
      <c r="U712">
        <v>973</v>
      </c>
      <c r="V712" s="122">
        <v>51671</v>
      </c>
      <c r="W712" s="122">
        <f t="shared" si="22"/>
        <v>51672</v>
      </c>
      <c r="X712" s="122">
        <f t="shared" si="23"/>
        <v>61452</v>
      </c>
      <c r="Y712" s="122"/>
      <c r="AA712" t="s">
        <v>56</v>
      </c>
      <c r="AB712" t="s">
        <v>407</v>
      </c>
      <c r="AC712" t="s">
        <v>426</v>
      </c>
      <c r="AD712" t="s">
        <v>426</v>
      </c>
      <c r="AE712" t="s">
        <v>137</v>
      </c>
      <c r="AF712">
        <v>1</v>
      </c>
      <c r="AG712">
        <v>104</v>
      </c>
      <c r="AH712">
        <v>185</v>
      </c>
      <c r="AI712" s="122">
        <v>11816</v>
      </c>
      <c r="AJ712" s="122">
        <v>10742</v>
      </c>
      <c r="AK712">
        <v>91</v>
      </c>
      <c r="AL712" s="122">
        <v>2035</v>
      </c>
      <c r="AM712" s="122">
        <v>1850</v>
      </c>
      <c r="AN712" s="122">
        <v>1521</v>
      </c>
      <c r="AO712">
        <v>563</v>
      </c>
      <c r="AP712">
        <v>473</v>
      </c>
      <c r="AQ712">
        <v>175</v>
      </c>
      <c r="AR712" s="122">
        <v>3419</v>
      </c>
      <c r="AS712" s="122">
        <v>3108</v>
      </c>
      <c r="AT712">
        <v>0</v>
      </c>
      <c r="AU712">
        <v>0</v>
      </c>
      <c r="AV712" s="122">
        <v>16438</v>
      </c>
    </row>
    <row r="713" spans="2:48" hidden="1">
      <c r="B713" t="s">
        <v>367</v>
      </c>
      <c r="C713" t="s">
        <v>60</v>
      </c>
      <c r="D713" t="s">
        <v>556</v>
      </c>
      <c r="E713" t="s">
        <v>137</v>
      </c>
      <c r="F713">
        <v>6</v>
      </c>
      <c r="G713">
        <v>588</v>
      </c>
      <c r="H713" s="122">
        <v>2049</v>
      </c>
      <c r="I713" s="122">
        <v>124671</v>
      </c>
      <c r="J713" s="122">
        <v>103892</v>
      </c>
      <c r="K713">
        <v>67</v>
      </c>
      <c r="L713" s="122">
        <v>14637</v>
      </c>
      <c r="M713" s="122">
        <v>16637</v>
      </c>
      <c r="N713" s="122">
        <v>12634</v>
      </c>
      <c r="O713" s="122">
        <v>4679</v>
      </c>
      <c r="P713" s="122">
        <v>1053</v>
      </c>
      <c r="Q713">
        <v>390</v>
      </c>
      <c r="R713" s="122">
        <v>48113</v>
      </c>
      <c r="S713" s="122">
        <v>17820</v>
      </c>
      <c r="T713" s="122">
        <v>0</v>
      </c>
      <c r="U713" s="122">
        <v>0</v>
      </c>
      <c r="V713" s="122">
        <v>143419</v>
      </c>
      <c r="W713" s="122">
        <f t="shared" si="22"/>
        <v>143418</v>
      </c>
      <c r="X713" s="122">
        <f t="shared" si="23"/>
        <v>201108</v>
      </c>
      <c r="Y713" s="122"/>
      <c r="AA713" t="s">
        <v>56</v>
      </c>
      <c r="AB713" t="s">
        <v>407</v>
      </c>
      <c r="AC713" t="s">
        <v>426</v>
      </c>
      <c r="AD713" t="s">
        <v>433</v>
      </c>
      <c r="AE713" t="s">
        <v>137</v>
      </c>
      <c r="AF713">
        <v>1</v>
      </c>
      <c r="AG713">
        <v>104</v>
      </c>
      <c r="AH713">
        <v>224</v>
      </c>
      <c r="AI713" s="122">
        <v>10873</v>
      </c>
      <c r="AJ713" s="122">
        <v>9884</v>
      </c>
      <c r="AK713">
        <v>79</v>
      </c>
      <c r="AL713" s="122">
        <v>3024</v>
      </c>
      <c r="AM713" s="122">
        <v>2749</v>
      </c>
      <c r="AN713" s="122">
        <v>2035</v>
      </c>
      <c r="AO713">
        <v>754</v>
      </c>
      <c r="AP713">
        <v>473</v>
      </c>
      <c r="AQ713">
        <v>175</v>
      </c>
      <c r="AR713" s="122">
        <v>4224</v>
      </c>
      <c r="AS713" s="122">
        <v>3840</v>
      </c>
      <c r="AT713" s="122">
        <v>2751</v>
      </c>
      <c r="AU713" s="122">
        <v>1019</v>
      </c>
      <c r="AV713" s="122">
        <v>18421</v>
      </c>
    </row>
    <row r="714" spans="2:48" hidden="1">
      <c r="B714" t="s">
        <v>367</v>
      </c>
      <c r="C714" t="s">
        <v>60</v>
      </c>
      <c r="D714" t="s">
        <v>556</v>
      </c>
      <c r="E714" t="s">
        <v>556</v>
      </c>
      <c r="F714">
        <v>64</v>
      </c>
      <c r="G714" s="122">
        <v>5431</v>
      </c>
      <c r="H714" s="122">
        <v>21517</v>
      </c>
      <c r="I714" s="122">
        <v>1111006</v>
      </c>
      <c r="J714" s="122">
        <v>925839</v>
      </c>
      <c r="K714">
        <v>58</v>
      </c>
      <c r="L714" s="122">
        <v>100757</v>
      </c>
      <c r="M714" s="122">
        <v>73939</v>
      </c>
      <c r="N714" s="122">
        <v>110557</v>
      </c>
      <c r="O714" s="122">
        <v>40947</v>
      </c>
      <c r="P714" s="122">
        <v>23625</v>
      </c>
      <c r="Q714" s="122">
        <v>8750</v>
      </c>
      <c r="R714" s="122">
        <v>358201</v>
      </c>
      <c r="S714" s="122">
        <v>298501</v>
      </c>
      <c r="T714" s="122">
        <v>140923</v>
      </c>
      <c r="U714" s="122">
        <v>52194</v>
      </c>
      <c r="V714" s="122">
        <v>1400170</v>
      </c>
      <c r="W714" s="122">
        <f t="shared" si="22"/>
        <v>1400170</v>
      </c>
      <c r="X714" s="122">
        <f t="shared" si="23"/>
        <v>1845069</v>
      </c>
      <c r="Y714" s="122"/>
      <c r="AA714" t="s">
        <v>56</v>
      </c>
      <c r="AB714" t="s">
        <v>407</v>
      </c>
      <c r="AC714" t="s">
        <v>566</v>
      </c>
      <c r="AD714" t="s">
        <v>405</v>
      </c>
      <c r="AE714" t="s">
        <v>137</v>
      </c>
      <c r="AF714">
        <v>1</v>
      </c>
      <c r="AG714">
        <v>66</v>
      </c>
      <c r="AH714">
        <v>176</v>
      </c>
      <c r="AI714" s="122">
        <v>6176</v>
      </c>
      <c r="AJ714" s="122">
        <v>5615</v>
      </c>
      <c r="AK714">
        <v>90</v>
      </c>
      <c r="AL714">
        <v>0</v>
      </c>
      <c r="AM714">
        <v>0</v>
      </c>
      <c r="AN714" s="122">
        <v>1447</v>
      </c>
      <c r="AO714">
        <v>536</v>
      </c>
      <c r="AP714">
        <v>473</v>
      </c>
      <c r="AQ714">
        <v>175</v>
      </c>
      <c r="AR714" s="122">
        <v>3438</v>
      </c>
      <c r="AS714" s="122">
        <v>3126</v>
      </c>
      <c r="AT714">
        <v>0</v>
      </c>
      <c r="AU714">
        <v>0</v>
      </c>
      <c r="AV714" s="122">
        <v>9452</v>
      </c>
    </row>
    <row r="715" spans="2:48" hidden="1">
      <c r="B715" t="s">
        <v>367</v>
      </c>
      <c r="C715" t="s">
        <v>60</v>
      </c>
      <c r="D715" t="s">
        <v>428</v>
      </c>
      <c r="E715" t="s">
        <v>428</v>
      </c>
      <c r="F715">
        <v>1</v>
      </c>
      <c r="G715">
        <v>74</v>
      </c>
      <c r="H715">
        <v>323</v>
      </c>
      <c r="I715" s="122">
        <v>13180</v>
      </c>
      <c r="J715" s="122">
        <v>11981</v>
      </c>
      <c r="K715">
        <v>55</v>
      </c>
      <c r="L715" s="122">
        <v>1977</v>
      </c>
      <c r="M715" s="122">
        <v>732</v>
      </c>
      <c r="N715" s="122">
        <v>1560</v>
      </c>
      <c r="O715">
        <v>578</v>
      </c>
      <c r="P715">
        <v>351</v>
      </c>
      <c r="Q715">
        <v>130</v>
      </c>
      <c r="R715" s="122">
        <v>4770</v>
      </c>
      <c r="S715" s="122">
        <v>4336</v>
      </c>
      <c r="T715" s="122">
        <v>2085</v>
      </c>
      <c r="U715">
        <v>772</v>
      </c>
      <c r="V715" s="122">
        <v>18530</v>
      </c>
      <c r="W715" s="122">
        <f t="shared" si="22"/>
        <v>18529</v>
      </c>
      <c r="X715" s="122">
        <f t="shared" si="23"/>
        <v>23923</v>
      </c>
      <c r="Y715" s="122"/>
      <c r="AA715" t="s">
        <v>56</v>
      </c>
      <c r="AB715" t="s">
        <v>407</v>
      </c>
      <c r="AC715" t="s">
        <v>566</v>
      </c>
      <c r="AD715" t="s">
        <v>137</v>
      </c>
      <c r="AE715" t="s">
        <v>566</v>
      </c>
      <c r="AF715">
        <v>33</v>
      </c>
      <c r="AG715" s="122">
        <v>2809</v>
      </c>
      <c r="AH715" s="122">
        <v>6198</v>
      </c>
      <c r="AI715" s="122">
        <v>267144</v>
      </c>
      <c r="AJ715" s="122">
        <v>242858</v>
      </c>
      <c r="AK715">
        <v>80</v>
      </c>
      <c r="AL715">
        <v>0</v>
      </c>
      <c r="AM715" s="122">
        <v>5540</v>
      </c>
      <c r="AN715" s="122">
        <v>60954</v>
      </c>
      <c r="AO715" s="122">
        <v>22576</v>
      </c>
      <c r="AP715" s="122">
        <v>15593</v>
      </c>
      <c r="AQ715" s="122">
        <v>5775</v>
      </c>
      <c r="AR715" s="122">
        <v>178886</v>
      </c>
      <c r="AS715" s="122">
        <v>66254</v>
      </c>
      <c r="AT715">
        <v>0</v>
      </c>
      <c r="AU715">
        <v>0</v>
      </c>
      <c r="AV715" s="122">
        <v>343003</v>
      </c>
    </row>
    <row r="716" spans="2:48" hidden="1">
      <c r="B716" t="s">
        <v>367</v>
      </c>
      <c r="C716" t="s">
        <v>60</v>
      </c>
      <c r="D716" t="s">
        <v>426</v>
      </c>
      <c r="E716" t="s">
        <v>137</v>
      </c>
      <c r="F716">
        <v>1</v>
      </c>
      <c r="G716">
        <v>110</v>
      </c>
      <c r="H716">
        <v>334</v>
      </c>
      <c r="I716" s="122">
        <v>19203</v>
      </c>
      <c r="J716" s="122">
        <v>17457</v>
      </c>
      <c r="K716">
        <v>55</v>
      </c>
      <c r="L716" s="122">
        <v>3912</v>
      </c>
      <c r="M716" s="122">
        <v>3556</v>
      </c>
      <c r="N716" s="122">
        <v>2335</v>
      </c>
      <c r="O716" s="122">
        <v>865</v>
      </c>
      <c r="P716" s="122">
        <v>351</v>
      </c>
      <c r="Q716">
        <v>130</v>
      </c>
      <c r="R716" s="122">
        <v>10715</v>
      </c>
      <c r="S716" s="122">
        <v>3969</v>
      </c>
      <c r="T716" s="122">
        <v>0</v>
      </c>
      <c r="U716" s="122">
        <v>0</v>
      </c>
      <c r="V716" s="122">
        <v>25977</v>
      </c>
      <c r="W716" s="122">
        <f t="shared" si="22"/>
        <v>25977</v>
      </c>
      <c r="X716" s="122">
        <f t="shared" si="23"/>
        <v>36516</v>
      </c>
      <c r="Y716" s="122"/>
      <c r="AA716" t="s">
        <v>56</v>
      </c>
      <c r="AB716" t="s">
        <v>407</v>
      </c>
      <c r="AC716" t="s">
        <v>566</v>
      </c>
      <c r="AD716" t="s">
        <v>407</v>
      </c>
      <c r="AE716" t="s">
        <v>137</v>
      </c>
      <c r="AF716" s="122">
        <v>3036</v>
      </c>
      <c r="AG716" s="122">
        <v>274678</v>
      </c>
      <c r="AH716" s="122">
        <v>565343</v>
      </c>
      <c r="AI716" s="122">
        <v>27315972</v>
      </c>
      <c r="AJ716" s="122">
        <v>24832702</v>
      </c>
      <c r="AK716">
        <v>81</v>
      </c>
      <c r="AL716">
        <v>0</v>
      </c>
      <c r="AM716" s="122">
        <v>1440492</v>
      </c>
      <c r="AN716" s="122">
        <v>5374442</v>
      </c>
      <c r="AO716" s="122">
        <v>1990534</v>
      </c>
      <c r="AP716" s="122">
        <v>1444079</v>
      </c>
      <c r="AQ716" s="122">
        <v>534844</v>
      </c>
      <c r="AR716" s="122">
        <v>12099651</v>
      </c>
      <c r="AS716" s="122">
        <v>10999683</v>
      </c>
      <c r="AT716" s="122">
        <v>5553254</v>
      </c>
      <c r="AU716" s="122">
        <v>2056761</v>
      </c>
      <c r="AV716" s="122">
        <v>41855016</v>
      </c>
    </row>
    <row r="717" spans="2:48" hidden="1">
      <c r="B717" t="s">
        <v>367</v>
      </c>
      <c r="C717" t="s">
        <v>60</v>
      </c>
      <c r="D717" t="s">
        <v>426</v>
      </c>
      <c r="E717" t="s">
        <v>426</v>
      </c>
      <c r="F717">
        <v>22</v>
      </c>
      <c r="G717" s="122">
        <v>1891</v>
      </c>
      <c r="H717" s="122">
        <v>7450</v>
      </c>
      <c r="I717" s="122">
        <v>383484</v>
      </c>
      <c r="J717" s="122">
        <v>348622</v>
      </c>
      <c r="K717">
        <v>56</v>
      </c>
      <c r="L717" s="122">
        <v>43373</v>
      </c>
      <c r="M717" s="122">
        <v>30273</v>
      </c>
      <c r="N717" s="122">
        <v>40386</v>
      </c>
      <c r="O717" s="122">
        <v>14958</v>
      </c>
      <c r="P717" s="122">
        <v>7884</v>
      </c>
      <c r="Q717" s="122">
        <v>2920</v>
      </c>
      <c r="R717" s="122">
        <v>126692</v>
      </c>
      <c r="S717" s="122">
        <v>115175</v>
      </c>
      <c r="T717" s="122">
        <v>46431</v>
      </c>
      <c r="U717" s="122">
        <v>17197</v>
      </c>
      <c r="V717" s="122">
        <v>529144</v>
      </c>
      <c r="W717" s="122">
        <f t="shared" si="22"/>
        <v>529145</v>
      </c>
      <c r="X717" s="122">
        <f t="shared" si="23"/>
        <v>648250</v>
      </c>
      <c r="Y717" s="122"/>
      <c r="AA717" t="s">
        <v>56</v>
      </c>
      <c r="AB717" t="s">
        <v>407</v>
      </c>
      <c r="AC717" t="s">
        <v>566</v>
      </c>
      <c r="AD717" t="s">
        <v>407</v>
      </c>
      <c r="AE717" t="s">
        <v>566</v>
      </c>
      <c r="AF717" s="122">
        <v>5480</v>
      </c>
      <c r="AG717" s="122">
        <v>487885</v>
      </c>
      <c r="AH717" s="122">
        <v>996084</v>
      </c>
      <c r="AI717" s="122">
        <v>52804904</v>
      </c>
      <c r="AJ717" s="122">
        <v>48004458</v>
      </c>
      <c r="AK717">
        <v>84</v>
      </c>
      <c r="AL717" s="122">
        <v>10513</v>
      </c>
      <c r="AM717" s="122">
        <v>886048</v>
      </c>
      <c r="AN717" s="122">
        <v>9605855</v>
      </c>
      <c r="AO717" s="122">
        <v>3557724</v>
      </c>
      <c r="AP717" s="122">
        <v>2627104</v>
      </c>
      <c r="AQ717" s="122">
        <v>973001</v>
      </c>
      <c r="AR717" s="122">
        <v>24713766</v>
      </c>
      <c r="AS717" s="122">
        <v>22467060</v>
      </c>
      <c r="AT717">
        <v>0</v>
      </c>
      <c r="AU717">
        <v>0</v>
      </c>
      <c r="AV717" s="122">
        <v>75888291</v>
      </c>
    </row>
    <row r="718" spans="2:48" hidden="1">
      <c r="B718" t="s">
        <v>367</v>
      </c>
      <c r="C718" t="s">
        <v>62</v>
      </c>
      <c r="F718">
        <v>4</v>
      </c>
      <c r="G718" s="122">
        <v>222</v>
      </c>
      <c r="H718" s="122">
        <v>1619</v>
      </c>
      <c r="I718" s="122"/>
      <c r="J718" s="122">
        <v>0</v>
      </c>
      <c r="L718" s="122"/>
      <c r="M718" s="122">
        <v>0</v>
      </c>
      <c r="N718" s="122">
        <v>4587</v>
      </c>
      <c r="O718" s="122">
        <v>1699</v>
      </c>
      <c r="P718" s="122">
        <v>945</v>
      </c>
      <c r="Q718" s="122">
        <v>350</v>
      </c>
      <c r="R718" s="122"/>
      <c r="S718" s="122">
        <v>0</v>
      </c>
      <c r="T718" s="122">
        <v>0</v>
      </c>
      <c r="U718" s="122">
        <v>0</v>
      </c>
      <c r="V718" s="122">
        <v>2049</v>
      </c>
      <c r="W718" s="122">
        <f t="shared" si="22"/>
        <v>2049</v>
      </c>
      <c r="X718" s="122">
        <f t="shared" si="23"/>
        <v>5532</v>
      </c>
      <c r="Y718" s="122"/>
      <c r="AA718" t="s">
        <v>56</v>
      </c>
      <c r="AB718" t="s">
        <v>407</v>
      </c>
      <c r="AC718" t="s">
        <v>566</v>
      </c>
      <c r="AD718" t="s">
        <v>579</v>
      </c>
      <c r="AE718" t="s">
        <v>566</v>
      </c>
      <c r="AF718">
        <v>2</v>
      </c>
      <c r="AG718">
        <v>189</v>
      </c>
      <c r="AH718">
        <v>378</v>
      </c>
      <c r="AI718" s="122">
        <v>19792</v>
      </c>
      <c r="AJ718" s="122">
        <v>17993</v>
      </c>
      <c r="AK718">
        <v>78</v>
      </c>
      <c r="AL718">
        <v>0</v>
      </c>
      <c r="AM718" s="122">
        <v>2331</v>
      </c>
      <c r="AN718" s="122">
        <v>3234</v>
      </c>
      <c r="AO718" s="122">
        <v>1198</v>
      </c>
      <c r="AP718">
        <v>945</v>
      </c>
      <c r="AQ718">
        <v>350</v>
      </c>
      <c r="AR718" s="122">
        <v>11792</v>
      </c>
      <c r="AS718" s="122">
        <v>9827</v>
      </c>
      <c r="AT718">
        <v>0</v>
      </c>
      <c r="AU718">
        <v>0</v>
      </c>
      <c r="AV718" s="122">
        <v>31699</v>
      </c>
    </row>
    <row r="719" spans="2:48" hidden="1">
      <c r="B719" t="s">
        <v>367</v>
      </c>
      <c r="C719" t="s">
        <v>62</v>
      </c>
      <c r="D719" t="s">
        <v>425</v>
      </c>
      <c r="E719" t="s">
        <v>425</v>
      </c>
      <c r="F719">
        <v>2</v>
      </c>
      <c r="G719" s="122">
        <v>128</v>
      </c>
      <c r="H719" s="122">
        <v>868</v>
      </c>
      <c r="I719" s="122">
        <v>31637</v>
      </c>
      <c r="J719" s="122">
        <v>28761</v>
      </c>
      <c r="K719">
        <v>69</v>
      </c>
      <c r="L719" s="122">
        <v>8219</v>
      </c>
      <c r="M719" s="122">
        <v>7472</v>
      </c>
      <c r="N719" s="122">
        <v>2634</v>
      </c>
      <c r="O719" s="122">
        <v>975</v>
      </c>
      <c r="P719" s="122">
        <v>824</v>
      </c>
      <c r="Q719" s="122">
        <v>305</v>
      </c>
      <c r="R719" s="122">
        <v>10239</v>
      </c>
      <c r="S719" s="122">
        <v>9309</v>
      </c>
      <c r="T719" s="122">
        <v>1678</v>
      </c>
      <c r="U719" s="122">
        <v>621</v>
      </c>
      <c r="V719" s="122">
        <v>47443</v>
      </c>
      <c r="W719" s="122">
        <f t="shared" si="22"/>
        <v>47443</v>
      </c>
      <c r="X719" s="122">
        <f t="shared" si="23"/>
        <v>55231</v>
      </c>
      <c r="Y719" s="122"/>
      <c r="AA719" t="s">
        <v>56</v>
      </c>
      <c r="AB719" t="s">
        <v>407</v>
      </c>
      <c r="AC719" t="s">
        <v>566</v>
      </c>
      <c r="AD719" t="s">
        <v>426</v>
      </c>
      <c r="AE719" t="s">
        <v>137</v>
      </c>
      <c r="AF719">
        <v>1</v>
      </c>
      <c r="AG719">
        <v>83</v>
      </c>
      <c r="AH719">
        <v>204</v>
      </c>
      <c r="AI719" s="122">
        <v>8612</v>
      </c>
      <c r="AJ719" s="122">
        <v>7829</v>
      </c>
      <c r="AK719">
        <v>79</v>
      </c>
      <c r="AL719">
        <v>0</v>
      </c>
      <c r="AM719" s="122">
        <v>2178</v>
      </c>
      <c r="AN719" s="122">
        <v>2027</v>
      </c>
      <c r="AO719">
        <v>751</v>
      </c>
      <c r="AP719">
        <v>473</v>
      </c>
      <c r="AQ719">
        <v>175</v>
      </c>
      <c r="AR719" s="122">
        <v>5853</v>
      </c>
      <c r="AS719" s="122">
        <v>5321</v>
      </c>
      <c r="AT719">
        <v>0</v>
      </c>
      <c r="AU719">
        <v>0</v>
      </c>
      <c r="AV719" s="122">
        <v>16253</v>
      </c>
    </row>
    <row r="720" spans="2:48" hidden="1">
      <c r="B720" t="s">
        <v>367</v>
      </c>
      <c r="C720" t="s">
        <v>62</v>
      </c>
      <c r="D720" t="s">
        <v>425</v>
      </c>
      <c r="E720" t="s">
        <v>137</v>
      </c>
      <c r="F720">
        <v>3</v>
      </c>
      <c r="G720" s="122">
        <v>265</v>
      </c>
      <c r="H720" s="122">
        <v>1204</v>
      </c>
      <c r="I720" s="122">
        <v>50643</v>
      </c>
      <c r="J720" s="122">
        <v>46039</v>
      </c>
      <c r="K720">
        <v>83</v>
      </c>
      <c r="L720" s="122">
        <v>18268</v>
      </c>
      <c r="M720" s="122">
        <v>12875</v>
      </c>
      <c r="N720" s="122">
        <v>6007</v>
      </c>
      <c r="O720" s="122">
        <v>2225</v>
      </c>
      <c r="P720" s="122">
        <v>898</v>
      </c>
      <c r="Q720" s="122">
        <v>333</v>
      </c>
      <c r="R720" s="122">
        <v>29511</v>
      </c>
      <c r="S720" s="122">
        <v>10930</v>
      </c>
      <c r="T720" s="122">
        <v>0</v>
      </c>
      <c r="U720" s="122">
        <v>0</v>
      </c>
      <c r="V720" s="122">
        <v>72401</v>
      </c>
      <c r="W720" s="122">
        <f t="shared" si="22"/>
        <v>72402</v>
      </c>
      <c r="X720" s="122">
        <f t="shared" si="23"/>
        <v>105327</v>
      </c>
      <c r="Y720" s="122"/>
      <c r="AA720" t="s">
        <v>56</v>
      </c>
      <c r="AB720" t="s">
        <v>407</v>
      </c>
      <c r="AC720" t="s">
        <v>481</v>
      </c>
      <c r="AD720" t="s">
        <v>407</v>
      </c>
      <c r="AE720" t="s">
        <v>137</v>
      </c>
      <c r="AF720">
        <v>6</v>
      </c>
      <c r="AG720">
        <v>624</v>
      </c>
      <c r="AH720" s="122">
        <v>1242</v>
      </c>
      <c r="AI720" s="122">
        <v>64237</v>
      </c>
      <c r="AJ720" s="122">
        <v>58397</v>
      </c>
      <c r="AK720">
        <v>82</v>
      </c>
      <c r="AL720" s="122">
        <v>13276</v>
      </c>
      <c r="AM720" s="122">
        <v>12069</v>
      </c>
      <c r="AN720" s="122">
        <v>12265</v>
      </c>
      <c r="AO720" s="122">
        <v>4543</v>
      </c>
      <c r="AP720" s="122">
        <v>3065</v>
      </c>
      <c r="AQ720" s="122">
        <v>1135</v>
      </c>
      <c r="AR720" s="122">
        <v>23446</v>
      </c>
      <c r="AS720" s="122">
        <v>21315</v>
      </c>
      <c r="AT720" s="122">
        <v>13108</v>
      </c>
      <c r="AU720" s="122">
        <v>4855</v>
      </c>
      <c r="AV720" s="122">
        <v>102313</v>
      </c>
    </row>
    <row r="721" spans="2:48" hidden="1">
      <c r="B721" t="s">
        <v>367</v>
      </c>
      <c r="C721" t="s">
        <v>62</v>
      </c>
      <c r="D721" t="s">
        <v>137</v>
      </c>
      <c r="E721" t="s">
        <v>137</v>
      </c>
      <c r="F721">
        <v>410</v>
      </c>
      <c r="G721" s="122">
        <v>32881</v>
      </c>
      <c r="H721" s="122">
        <v>169964</v>
      </c>
      <c r="I721" s="122">
        <v>8954777</v>
      </c>
      <c r="J721" s="122">
        <v>3316584</v>
      </c>
      <c r="K721">
        <v>100</v>
      </c>
      <c r="L721" s="122">
        <v>1312847</v>
      </c>
      <c r="M721" s="122">
        <v>933919</v>
      </c>
      <c r="N721" s="122">
        <v>697270</v>
      </c>
      <c r="O721" s="122">
        <v>258248</v>
      </c>
      <c r="P721" s="122">
        <v>9439</v>
      </c>
      <c r="Q721" s="122">
        <v>3496</v>
      </c>
      <c r="R721" s="122">
        <v>2837326</v>
      </c>
      <c r="S721" s="122">
        <v>1050862</v>
      </c>
      <c r="T721" s="122">
        <v>20613</v>
      </c>
      <c r="U721" s="122">
        <v>7634</v>
      </c>
      <c r="V721" s="122">
        <v>5570743</v>
      </c>
      <c r="W721" s="122">
        <f t="shared" si="22"/>
        <v>5570743</v>
      </c>
      <c r="X721" s="122">
        <f t="shared" si="23"/>
        <v>13832272</v>
      </c>
      <c r="Y721" s="122"/>
      <c r="AA721" t="s">
        <v>56</v>
      </c>
      <c r="AB721" t="s">
        <v>407</v>
      </c>
      <c r="AC721" t="s">
        <v>481</v>
      </c>
      <c r="AD721" t="s">
        <v>407</v>
      </c>
      <c r="AE721" t="s">
        <v>566</v>
      </c>
      <c r="AF721">
        <v>20</v>
      </c>
      <c r="AG721" s="122">
        <v>2169</v>
      </c>
      <c r="AH721" s="122">
        <v>3729</v>
      </c>
      <c r="AI721" s="122">
        <v>205857</v>
      </c>
      <c r="AJ721" s="122">
        <v>187143</v>
      </c>
      <c r="AK721">
        <v>86</v>
      </c>
      <c r="AL721" s="122">
        <v>53628</v>
      </c>
      <c r="AM721" s="122">
        <v>48752</v>
      </c>
      <c r="AN721" s="122">
        <v>43091</v>
      </c>
      <c r="AO721" s="122">
        <v>15960</v>
      </c>
      <c r="AP721" s="122">
        <v>10287</v>
      </c>
      <c r="AQ721" s="122">
        <v>3810</v>
      </c>
      <c r="AR721" s="122">
        <v>93723</v>
      </c>
      <c r="AS721" s="122">
        <v>85203</v>
      </c>
      <c r="AT721">
        <v>0</v>
      </c>
      <c r="AU721">
        <v>0</v>
      </c>
      <c r="AV721" s="122">
        <v>340867</v>
      </c>
    </row>
    <row r="722" spans="2:48" hidden="1">
      <c r="B722" t="s">
        <v>367</v>
      </c>
      <c r="C722" t="s">
        <v>62</v>
      </c>
      <c r="D722" t="s">
        <v>137</v>
      </c>
      <c r="E722" t="s">
        <v>556</v>
      </c>
      <c r="F722">
        <v>4</v>
      </c>
      <c r="G722">
        <v>318</v>
      </c>
      <c r="H722" s="122">
        <v>1634</v>
      </c>
      <c r="I722" s="122">
        <v>75995</v>
      </c>
      <c r="J722" s="122">
        <v>28146</v>
      </c>
      <c r="K722">
        <v>100</v>
      </c>
      <c r="L722" s="122">
        <v>15550</v>
      </c>
      <c r="M722" s="122">
        <v>12959</v>
      </c>
      <c r="N722" s="122">
        <v>7640</v>
      </c>
      <c r="O722" s="122">
        <v>2830</v>
      </c>
      <c r="P722" s="122">
        <v>0</v>
      </c>
      <c r="Q722" s="122">
        <v>0</v>
      </c>
      <c r="R722" s="122">
        <v>22052</v>
      </c>
      <c r="S722" s="122">
        <v>18376</v>
      </c>
      <c r="T722" s="122">
        <v>7871</v>
      </c>
      <c r="U722" s="122">
        <v>2915</v>
      </c>
      <c r="V722" s="122">
        <v>65226</v>
      </c>
      <c r="W722" s="122">
        <f t="shared" si="22"/>
        <v>65226</v>
      </c>
      <c r="X722" s="122">
        <f t="shared" si="23"/>
        <v>129108</v>
      </c>
      <c r="Y722" s="122"/>
      <c r="AA722" t="s">
        <v>56</v>
      </c>
      <c r="AB722" t="s">
        <v>407</v>
      </c>
      <c r="AC722" t="s">
        <v>433</v>
      </c>
      <c r="AD722" t="s">
        <v>405</v>
      </c>
      <c r="AE722" t="s">
        <v>566</v>
      </c>
      <c r="AF722">
        <v>1</v>
      </c>
      <c r="AG722">
        <v>71</v>
      </c>
      <c r="AH722">
        <v>192</v>
      </c>
      <c r="AI722" s="122">
        <v>7129</v>
      </c>
      <c r="AJ722" s="122">
        <v>6481</v>
      </c>
      <c r="AK722">
        <v>91</v>
      </c>
      <c r="AL722" s="122">
        <v>2395</v>
      </c>
      <c r="AM722" s="122">
        <v>2177</v>
      </c>
      <c r="AN722" s="122">
        <v>1376</v>
      </c>
      <c r="AO722">
        <v>510</v>
      </c>
      <c r="AP722">
        <v>473</v>
      </c>
      <c r="AQ722">
        <v>175</v>
      </c>
      <c r="AR722" s="122">
        <v>2167</v>
      </c>
      <c r="AS722" s="122">
        <v>1970</v>
      </c>
      <c r="AT722">
        <v>0</v>
      </c>
      <c r="AU722">
        <v>0</v>
      </c>
      <c r="AV722" s="122">
        <v>11313</v>
      </c>
    </row>
    <row r="723" spans="2:48" hidden="1">
      <c r="B723" t="s">
        <v>367</v>
      </c>
      <c r="C723" t="s">
        <v>62</v>
      </c>
      <c r="D723" t="s">
        <v>137</v>
      </c>
      <c r="E723" t="s">
        <v>426</v>
      </c>
      <c r="F723">
        <v>1</v>
      </c>
      <c r="G723">
        <v>79</v>
      </c>
      <c r="H723" s="122">
        <v>450</v>
      </c>
      <c r="I723" s="122">
        <v>20988</v>
      </c>
      <c r="J723" s="122">
        <v>7773</v>
      </c>
      <c r="K723">
        <v>100</v>
      </c>
      <c r="L723" s="122">
        <v>5030</v>
      </c>
      <c r="M723" s="122">
        <v>4573</v>
      </c>
      <c r="N723" s="122">
        <v>1687</v>
      </c>
      <c r="O723" s="122">
        <v>625</v>
      </c>
      <c r="P723" s="122">
        <v>0</v>
      </c>
      <c r="Q723" s="122">
        <v>0</v>
      </c>
      <c r="R723" s="122">
        <v>5267</v>
      </c>
      <c r="S723" s="122">
        <v>4788</v>
      </c>
      <c r="T723" s="122">
        <v>2415</v>
      </c>
      <c r="U723" s="122">
        <v>894</v>
      </c>
      <c r="V723" s="122">
        <v>18653</v>
      </c>
      <c r="W723" s="122">
        <f t="shared" si="22"/>
        <v>18653</v>
      </c>
      <c r="X723" s="122">
        <f t="shared" si="23"/>
        <v>35387</v>
      </c>
      <c r="Y723" s="122"/>
      <c r="AA723" t="s">
        <v>56</v>
      </c>
      <c r="AB723" t="s">
        <v>407</v>
      </c>
      <c r="AC723" t="s">
        <v>433</v>
      </c>
      <c r="AD723" t="s">
        <v>407</v>
      </c>
      <c r="AE723" t="s">
        <v>137</v>
      </c>
      <c r="AF723">
        <v>178</v>
      </c>
      <c r="AG723" s="122">
        <v>19261</v>
      </c>
      <c r="AH723" s="122">
        <v>33551</v>
      </c>
      <c r="AI723" s="122">
        <v>1906768</v>
      </c>
      <c r="AJ723" s="122">
        <v>1733426</v>
      </c>
      <c r="AK723">
        <v>84</v>
      </c>
      <c r="AL723" s="122">
        <v>375839</v>
      </c>
      <c r="AM723" s="122">
        <v>341672</v>
      </c>
      <c r="AN723" s="122">
        <v>373419</v>
      </c>
      <c r="AO723" s="122">
        <v>138303</v>
      </c>
      <c r="AP723" s="122">
        <v>83862</v>
      </c>
      <c r="AQ723" s="122">
        <v>31060</v>
      </c>
      <c r="AR723" s="122">
        <v>700423</v>
      </c>
      <c r="AS723" s="122">
        <v>636748</v>
      </c>
      <c r="AT723" s="122">
        <v>274962</v>
      </c>
      <c r="AU723" s="122">
        <v>101838</v>
      </c>
      <c r="AV723" s="122">
        <v>2983047</v>
      </c>
    </row>
    <row r="724" spans="2:48" hidden="1">
      <c r="B724" t="s">
        <v>367</v>
      </c>
      <c r="C724" t="s">
        <v>62</v>
      </c>
      <c r="D724" t="s">
        <v>406</v>
      </c>
      <c r="E724" t="s">
        <v>425</v>
      </c>
      <c r="F724">
        <v>2</v>
      </c>
      <c r="G724">
        <v>177</v>
      </c>
      <c r="H724" s="122">
        <v>832</v>
      </c>
      <c r="I724" s="122">
        <v>45115</v>
      </c>
      <c r="J724" s="122">
        <v>41014</v>
      </c>
      <c r="K724">
        <v>89</v>
      </c>
      <c r="L724" s="122">
        <v>15478</v>
      </c>
      <c r="M724" s="122">
        <v>12898</v>
      </c>
      <c r="N724" s="122">
        <v>2925</v>
      </c>
      <c r="O724" s="122">
        <v>1083</v>
      </c>
      <c r="P724" s="122">
        <v>1242</v>
      </c>
      <c r="Q724">
        <v>460</v>
      </c>
      <c r="R724" s="122">
        <v>9422</v>
      </c>
      <c r="S724" s="122">
        <v>8566</v>
      </c>
      <c r="T724">
        <v>0</v>
      </c>
      <c r="U724">
        <v>0</v>
      </c>
      <c r="V724" s="122">
        <v>64021</v>
      </c>
      <c r="W724" s="122">
        <f t="shared" si="22"/>
        <v>64021</v>
      </c>
      <c r="X724" s="122">
        <f t="shared" si="23"/>
        <v>74182</v>
      </c>
      <c r="Y724" s="122"/>
      <c r="AA724" t="s">
        <v>56</v>
      </c>
      <c r="AB724" t="s">
        <v>407</v>
      </c>
      <c r="AC724" t="s">
        <v>433</v>
      </c>
      <c r="AD724" t="s">
        <v>407</v>
      </c>
      <c r="AE724" t="s">
        <v>566</v>
      </c>
      <c r="AF724">
        <v>554</v>
      </c>
      <c r="AG724" s="122">
        <v>61933</v>
      </c>
      <c r="AH724" s="122">
        <v>102428</v>
      </c>
      <c r="AI724" s="122">
        <v>6336829</v>
      </c>
      <c r="AJ724" s="122">
        <v>5760753</v>
      </c>
      <c r="AK724">
        <v>86</v>
      </c>
      <c r="AL724" s="122">
        <v>1310618</v>
      </c>
      <c r="AM724" s="122">
        <v>1191470</v>
      </c>
      <c r="AN724" s="122">
        <v>1178273</v>
      </c>
      <c r="AO724" s="122">
        <v>436397</v>
      </c>
      <c r="AP724" s="122">
        <v>266963</v>
      </c>
      <c r="AQ724" s="122">
        <v>98875</v>
      </c>
      <c r="AR724" s="122">
        <v>2551560</v>
      </c>
      <c r="AS724" s="122">
        <v>2319600</v>
      </c>
      <c r="AT724">
        <v>0</v>
      </c>
      <c r="AU724">
        <v>0</v>
      </c>
      <c r="AV724" s="122">
        <v>9807096</v>
      </c>
    </row>
    <row r="725" spans="2:48" hidden="1">
      <c r="B725" t="s">
        <v>367</v>
      </c>
      <c r="C725" t="s">
        <v>62</v>
      </c>
      <c r="D725" t="s">
        <v>406</v>
      </c>
      <c r="E725" t="s">
        <v>137</v>
      </c>
      <c r="F725" s="122">
        <v>11</v>
      </c>
      <c r="G725" s="122">
        <v>1126</v>
      </c>
      <c r="H725" s="122">
        <v>4609</v>
      </c>
      <c r="I725" s="122">
        <v>291318</v>
      </c>
      <c r="J725" s="122">
        <v>264834</v>
      </c>
      <c r="K725">
        <v>73</v>
      </c>
      <c r="L725" s="122">
        <v>63832</v>
      </c>
      <c r="M725" s="122">
        <v>45408</v>
      </c>
      <c r="N725" s="122">
        <v>26411</v>
      </c>
      <c r="O725" s="122">
        <v>9782</v>
      </c>
      <c r="P725" s="122">
        <v>6602</v>
      </c>
      <c r="Q725" s="122">
        <v>2445</v>
      </c>
      <c r="R725" s="122">
        <v>87632</v>
      </c>
      <c r="S725" s="122">
        <v>32456</v>
      </c>
      <c r="T725" s="122">
        <v>0</v>
      </c>
      <c r="U725" s="122">
        <v>0</v>
      </c>
      <c r="V725" s="122">
        <v>354925</v>
      </c>
      <c r="W725" s="122">
        <f t="shared" si="22"/>
        <v>354925</v>
      </c>
      <c r="X725" s="122">
        <f t="shared" si="23"/>
        <v>475795</v>
      </c>
      <c r="Y725" s="122"/>
      <c r="AA725" t="s">
        <v>56</v>
      </c>
      <c r="AB725" t="s">
        <v>407</v>
      </c>
      <c r="AC725" t="s">
        <v>429</v>
      </c>
      <c r="AD725" t="s">
        <v>407</v>
      </c>
      <c r="AE725" t="s">
        <v>137</v>
      </c>
      <c r="AF725">
        <v>22</v>
      </c>
      <c r="AG725" s="122">
        <v>2383</v>
      </c>
      <c r="AH725" s="122">
        <v>3943</v>
      </c>
      <c r="AI725" s="122">
        <v>211565</v>
      </c>
      <c r="AJ725" s="122">
        <v>192332</v>
      </c>
      <c r="AK725">
        <v>84</v>
      </c>
      <c r="AL725" s="122">
        <v>31458</v>
      </c>
      <c r="AM725" s="122">
        <v>28598</v>
      </c>
      <c r="AN725" s="122">
        <v>47877</v>
      </c>
      <c r="AO725" s="122">
        <v>17732</v>
      </c>
      <c r="AP725" s="122">
        <v>10395</v>
      </c>
      <c r="AQ725" s="122">
        <v>3850</v>
      </c>
      <c r="AR725" s="122">
        <v>77416</v>
      </c>
      <c r="AS725" s="122">
        <v>70378</v>
      </c>
      <c r="AT725" s="122">
        <v>52763</v>
      </c>
      <c r="AU725" s="122">
        <v>19542</v>
      </c>
      <c r="AV725" s="122">
        <v>332432</v>
      </c>
    </row>
    <row r="726" spans="2:48" hidden="1">
      <c r="B726" t="s">
        <v>367</v>
      </c>
      <c r="C726" t="s">
        <v>62</v>
      </c>
      <c r="D726" t="s">
        <v>406</v>
      </c>
      <c r="E726" t="s">
        <v>406</v>
      </c>
      <c r="F726" s="122">
        <v>1359</v>
      </c>
      <c r="G726" s="122">
        <v>148924</v>
      </c>
      <c r="H726" s="122">
        <v>563955</v>
      </c>
      <c r="I726" s="122">
        <v>38774999</v>
      </c>
      <c r="J726" s="122">
        <v>35249999</v>
      </c>
      <c r="K726">
        <v>71</v>
      </c>
      <c r="L726" s="122">
        <v>9216339</v>
      </c>
      <c r="M726" s="122">
        <v>7631639</v>
      </c>
      <c r="N726" s="122">
        <v>3212432</v>
      </c>
      <c r="O726" s="122">
        <v>1189790</v>
      </c>
      <c r="P726" s="122">
        <v>848029</v>
      </c>
      <c r="Q726" s="122">
        <v>314085</v>
      </c>
      <c r="R726" s="122">
        <v>7609309</v>
      </c>
      <c r="S726" s="122">
        <v>6917553</v>
      </c>
      <c r="T726" s="122">
        <v>2642951</v>
      </c>
      <c r="U726" s="122">
        <v>978871</v>
      </c>
      <c r="V726" s="122">
        <v>52281937</v>
      </c>
      <c r="W726" s="122">
        <f t="shared" si="22"/>
        <v>52281937</v>
      </c>
      <c r="X726" s="122">
        <f t="shared" si="23"/>
        <v>62304059</v>
      </c>
      <c r="Y726" s="122"/>
      <c r="AA726" t="s">
        <v>56</v>
      </c>
      <c r="AB726" t="s">
        <v>407</v>
      </c>
      <c r="AC726" t="s">
        <v>429</v>
      </c>
      <c r="AD726" t="s">
        <v>407</v>
      </c>
      <c r="AE726" t="s">
        <v>566</v>
      </c>
      <c r="AF726">
        <v>40</v>
      </c>
      <c r="AG726" s="122">
        <v>4763</v>
      </c>
      <c r="AH726" s="122">
        <v>7460</v>
      </c>
      <c r="AI726" s="122">
        <v>527919</v>
      </c>
      <c r="AJ726" s="122">
        <v>479927</v>
      </c>
      <c r="AK726">
        <v>85</v>
      </c>
      <c r="AL726" s="122">
        <v>77202</v>
      </c>
      <c r="AM726" s="122">
        <v>70184</v>
      </c>
      <c r="AN726" s="122">
        <v>81506</v>
      </c>
      <c r="AO726" s="122">
        <v>30187</v>
      </c>
      <c r="AP726" s="122">
        <v>19481</v>
      </c>
      <c r="AQ726" s="122">
        <v>7215</v>
      </c>
      <c r="AR726" s="122">
        <v>193425</v>
      </c>
      <c r="AS726" s="122">
        <v>175841</v>
      </c>
      <c r="AT726">
        <v>0</v>
      </c>
      <c r="AU726">
        <v>0</v>
      </c>
      <c r="AV726" s="122">
        <v>763354</v>
      </c>
    </row>
    <row r="727" spans="2:48">
      <c r="B727" t="s">
        <v>367</v>
      </c>
      <c r="C727" t="s">
        <v>62</v>
      </c>
      <c r="D727" t="s">
        <v>406</v>
      </c>
      <c r="E727" t="s">
        <v>407</v>
      </c>
      <c r="F727">
        <v>2</v>
      </c>
      <c r="G727" s="122">
        <v>232</v>
      </c>
      <c r="H727" s="122">
        <v>789</v>
      </c>
      <c r="I727" s="122">
        <v>56625</v>
      </c>
      <c r="J727" s="122">
        <v>51477</v>
      </c>
      <c r="K727">
        <v>70</v>
      </c>
      <c r="L727" s="122">
        <v>14579</v>
      </c>
      <c r="M727" s="122">
        <v>12679</v>
      </c>
      <c r="N727" s="122">
        <v>3790</v>
      </c>
      <c r="O727" s="122">
        <v>1404</v>
      </c>
      <c r="P727" s="122">
        <v>1242</v>
      </c>
      <c r="Q727" s="122">
        <v>460</v>
      </c>
      <c r="R727" s="122">
        <v>9217</v>
      </c>
      <c r="S727" s="122">
        <v>8379</v>
      </c>
      <c r="T727" s="122">
        <v>5965</v>
      </c>
      <c r="U727" s="122">
        <v>2209</v>
      </c>
      <c r="V727" s="122">
        <v>76607</v>
      </c>
      <c r="W727" s="122">
        <f t="shared" si="22"/>
        <v>76608</v>
      </c>
      <c r="X727" s="122">
        <f t="shared" si="23"/>
        <v>91418</v>
      </c>
      <c r="Y727" s="122"/>
      <c r="AA727" t="s">
        <v>56</v>
      </c>
      <c r="AB727" t="s">
        <v>579</v>
      </c>
      <c r="AC727" t="s">
        <v>578</v>
      </c>
      <c r="AD727" t="s">
        <v>407</v>
      </c>
      <c r="AE727" t="s">
        <v>137</v>
      </c>
      <c r="AF727">
        <v>1</v>
      </c>
      <c r="AG727">
        <v>82</v>
      </c>
      <c r="AH727">
        <v>170</v>
      </c>
      <c r="AI727" s="122">
        <v>5270</v>
      </c>
      <c r="AJ727" s="122">
        <v>4392</v>
      </c>
      <c r="AK727">
        <v>78</v>
      </c>
      <c r="AL727" s="122">
        <v>1326</v>
      </c>
      <c r="AM727" s="122">
        <v>1205</v>
      </c>
      <c r="AN727">
        <v>996</v>
      </c>
      <c r="AO727">
        <v>369</v>
      </c>
      <c r="AP727">
        <v>473</v>
      </c>
      <c r="AQ727">
        <v>175</v>
      </c>
      <c r="AR727" s="122">
        <v>3657</v>
      </c>
      <c r="AS727" s="122">
        <v>3325</v>
      </c>
      <c r="AT727" s="122">
        <v>2189</v>
      </c>
      <c r="AU727">
        <v>811</v>
      </c>
      <c r="AV727" s="122">
        <v>10277</v>
      </c>
    </row>
    <row r="728" spans="2:48" hidden="1">
      <c r="B728" t="s">
        <v>367</v>
      </c>
      <c r="C728" t="s">
        <v>62</v>
      </c>
      <c r="D728" t="s">
        <v>406</v>
      </c>
      <c r="E728" t="s">
        <v>426</v>
      </c>
      <c r="F728">
        <v>1</v>
      </c>
      <c r="G728">
        <v>137</v>
      </c>
      <c r="H728">
        <v>443</v>
      </c>
      <c r="I728" s="122">
        <v>47503</v>
      </c>
      <c r="J728" s="122">
        <v>43184</v>
      </c>
      <c r="K728">
        <v>65</v>
      </c>
      <c r="L728" s="122">
        <v>10873</v>
      </c>
      <c r="M728" s="122">
        <v>9884</v>
      </c>
      <c r="N728" s="122">
        <v>3483</v>
      </c>
      <c r="O728" s="122">
        <v>1290</v>
      </c>
      <c r="P728" s="122">
        <v>621</v>
      </c>
      <c r="Q728">
        <v>230</v>
      </c>
      <c r="R728" s="122">
        <v>5092</v>
      </c>
      <c r="S728" s="122">
        <v>4629</v>
      </c>
      <c r="T728" s="122">
        <v>2715</v>
      </c>
      <c r="U728" s="122">
        <v>1005</v>
      </c>
      <c r="V728" s="122">
        <v>60223</v>
      </c>
      <c r="W728" s="122">
        <f t="shared" si="22"/>
        <v>60222</v>
      </c>
      <c r="X728" s="122">
        <f t="shared" si="23"/>
        <v>70287</v>
      </c>
      <c r="Y728" s="122"/>
      <c r="AA728" t="s">
        <v>56</v>
      </c>
      <c r="AB728" t="s">
        <v>579</v>
      </c>
      <c r="AC728" t="s">
        <v>137</v>
      </c>
      <c r="AD728" t="s">
        <v>579</v>
      </c>
      <c r="AE728" t="s">
        <v>137</v>
      </c>
      <c r="AF728">
        <v>5</v>
      </c>
      <c r="AG728">
        <v>386</v>
      </c>
      <c r="AH728" s="122">
        <v>1055</v>
      </c>
      <c r="AI728" s="122">
        <v>34042</v>
      </c>
      <c r="AJ728" s="122">
        <v>28368</v>
      </c>
      <c r="AK728">
        <v>70</v>
      </c>
      <c r="AL728" s="122">
        <v>5970</v>
      </c>
      <c r="AM728" s="122">
        <v>2211</v>
      </c>
      <c r="AN728" s="122">
        <v>7990</v>
      </c>
      <c r="AO728" s="122">
        <v>2959</v>
      </c>
      <c r="AP728" s="122">
        <v>1755</v>
      </c>
      <c r="AQ728">
        <v>650</v>
      </c>
      <c r="AR728" s="122">
        <v>20907</v>
      </c>
      <c r="AS728" s="122">
        <v>17423</v>
      </c>
      <c r="AT728" s="122">
        <v>10731</v>
      </c>
      <c r="AU728" s="122">
        <v>3974</v>
      </c>
      <c r="AV728" s="122">
        <v>55586</v>
      </c>
    </row>
    <row r="729" spans="2:48" hidden="1">
      <c r="B729" t="s">
        <v>367</v>
      </c>
      <c r="C729" t="s">
        <v>62</v>
      </c>
      <c r="D729" t="s">
        <v>427</v>
      </c>
      <c r="E729" t="s">
        <v>137</v>
      </c>
      <c r="F729">
        <v>1</v>
      </c>
      <c r="G729" s="122">
        <v>75</v>
      </c>
      <c r="H729" s="122">
        <v>386</v>
      </c>
      <c r="I729" s="122">
        <v>15210</v>
      </c>
      <c r="J729" s="122">
        <v>13827</v>
      </c>
      <c r="K729">
        <v>55</v>
      </c>
      <c r="L729" s="122">
        <v>3098</v>
      </c>
      <c r="M729" s="122">
        <v>2817</v>
      </c>
      <c r="N729" s="122">
        <v>1832</v>
      </c>
      <c r="O729" s="122">
        <v>679</v>
      </c>
      <c r="P729" s="122">
        <v>351</v>
      </c>
      <c r="Q729" s="122">
        <v>130</v>
      </c>
      <c r="R729" s="122">
        <v>8526</v>
      </c>
      <c r="S729" s="122">
        <v>3158</v>
      </c>
      <c r="T729" s="122">
        <v>0</v>
      </c>
      <c r="U729" s="122">
        <v>0</v>
      </c>
      <c r="V729" s="122">
        <v>20611</v>
      </c>
      <c r="W729" s="122">
        <f t="shared" si="22"/>
        <v>20611</v>
      </c>
      <c r="X729" s="122">
        <f t="shared" si="23"/>
        <v>29017</v>
      </c>
      <c r="Y729" s="122"/>
      <c r="AA729" t="s">
        <v>56</v>
      </c>
      <c r="AB729" t="s">
        <v>579</v>
      </c>
      <c r="AC729" t="s">
        <v>137</v>
      </c>
      <c r="AD729" t="s">
        <v>579</v>
      </c>
      <c r="AE729" t="s">
        <v>566</v>
      </c>
      <c r="AF729">
        <v>1</v>
      </c>
      <c r="AG729">
        <v>80</v>
      </c>
      <c r="AH729">
        <v>214</v>
      </c>
      <c r="AI729" s="122">
        <v>10463</v>
      </c>
      <c r="AJ729" s="122">
        <v>8719</v>
      </c>
      <c r="AK729">
        <v>65</v>
      </c>
      <c r="AL729" s="122">
        <v>1700</v>
      </c>
      <c r="AM729">
        <v>630</v>
      </c>
      <c r="AN729" s="122">
        <v>1156</v>
      </c>
      <c r="AO729">
        <v>428</v>
      </c>
      <c r="AP729">
        <v>351</v>
      </c>
      <c r="AQ729">
        <v>130</v>
      </c>
      <c r="AR729" s="122">
        <v>3556</v>
      </c>
      <c r="AS729" s="122">
        <v>2963</v>
      </c>
      <c r="AT729">
        <v>0</v>
      </c>
      <c r="AU729">
        <v>0</v>
      </c>
      <c r="AV729" s="122">
        <v>12871</v>
      </c>
    </row>
    <row r="730" spans="2:48" hidden="1">
      <c r="B730" t="s">
        <v>367</v>
      </c>
      <c r="C730" t="s">
        <v>62</v>
      </c>
      <c r="D730" t="s">
        <v>427</v>
      </c>
      <c r="E730" t="s">
        <v>406</v>
      </c>
      <c r="F730">
        <v>1</v>
      </c>
      <c r="G730" s="122">
        <v>97</v>
      </c>
      <c r="H730" s="122">
        <v>381</v>
      </c>
      <c r="I730" s="122">
        <v>21602</v>
      </c>
      <c r="J730" s="122">
        <v>19638</v>
      </c>
      <c r="K730">
        <v>79</v>
      </c>
      <c r="L730" s="122">
        <v>6546</v>
      </c>
      <c r="M730" s="122">
        <v>5455</v>
      </c>
      <c r="N730" s="122">
        <v>2009</v>
      </c>
      <c r="O730" s="122">
        <v>744</v>
      </c>
      <c r="P730" s="122">
        <v>621</v>
      </c>
      <c r="Q730" s="122">
        <v>230</v>
      </c>
      <c r="R730" s="122">
        <v>3831</v>
      </c>
      <c r="S730" s="122">
        <v>3483</v>
      </c>
      <c r="T730" s="122">
        <v>2389</v>
      </c>
      <c r="U730" s="122">
        <v>885</v>
      </c>
      <c r="V730" s="122">
        <v>30435</v>
      </c>
      <c r="W730" s="122">
        <f t="shared" si="22"/>
        <v>30435</v>
      </c>
      <c r="X730" s="122">
        <f t="shared" si="23"/>
        <v>36998</v>
      </c>
      <c r="Y730" s="122"/>
      <c r="AA730" t="s">
        <v>56</v>
      </c>
      <c r="AB730" t="s">
        <v>579</v>
      </c>
      <c r="AC730" t="s">
        <v>579</v>
      </c>
      <c r="AD730" t="s">
        <v>579</v>
      </c>
      <c r="AE730" t="s">
        <v>137</v>
      </c>
      <c r="AF730">
        <v>4</v>
      </c>
      <c r="AG730">
        <v>332</v>
      </c>
      <c r="AH730">
        <v>847</v>
      </c>
      <c r="AI730" s="122">
        <v>34072</v>
      </c>
      <c r="AJ730" s="122">
        <v>28393</v>
      </c>
      <c r="AK730">
        <v>67</v>
      </c>
      <c r="AL730" s="122">
        <v>5432</v>
      </c>
      <c r="AM730" s="122">
        <v>4527</v>
      </c>
      <c r="AN730" s="122">
        <v>4246</v>
      </c>
      <c r="AO730" s="122">
        <v>1573</v>
      </c>
      <c r="AP730" s="122">
        <v>1404</v>
      </c>
      <c r="AQ730">
        <v>520</v>
      </c>
      <c r="AR730" s="122">
        <v>20796</v>
      </c>
      <c r="AS730" s="122">
        <v>17330</v>
      </c>
      <c r="AT730" s="122">
        <v>4361</v>
      </c>
      <c r="AU730" s="122">
        <v>1615</v>
      </c>
      <c r="AV730" s="122">
        <v>53958</v>
      </c>
    </row>
    <row r="731" spans="2:48" hidden="1">
      <c r="B731" t="s">
        <v>367</v>
      </c>
      <c r="C731" t="s">
        <v>62</v>
      </c>
      <c r="D731" t="s">
        <v>427</v>
      </c>
      <c r="E731" t="s">
        <v>427</v>
      </c>
      <c r="F731">
        <v>10</v>
      </c>
      <c r="G731" s="122">
        <v>777</v>
      </c>
      <c r="H731" s="122">
        <v>4268</v>
      </c>
      <c r="I731" s="122">
        <v>211215</v>
      </c>
      <c r="J731" s="122">
        <v>192014</v>
      </c>
      <c r="K731">
        <v>53</v>
      </c>
      <c r="L731" s="122">
        <v>33991</v>
      </c>
      <c r="M731" s="122">
        <v>20090</v>
      </c>
      <c r="N731" s="122">
        <v>15040</v>
      </c>
      <c r="O731" s="122">
        <v>5570</v>
      </c>
      <c r="P731" s="122">
        <v>2457</v>
      </c>
      <c r="Q731" s="122">
        <v>910</v>
      </c>
      <c r="R731" s="122">
        <v>49047</v>
      </c>
      <c r="S731" s="122">
        <v>44588</v>
      </c>
      <c r="T731" s="122">
        <v>19400</v>
      </c>
      <c r="U731" s="122">
        <v>7185</v>
      </c>
      <c r="V731" s="122">
        <v>270357</v>
      </c>
      <c r="W731" s="122">
        <f t="shared" si="22"/>
        <v>270357</v>
      </c>
      <c r="X731" s="122">
        <f t="shared" si="23"/>
        <v>331150</v>
      </c>
      <c r="Y731" s="122"/>
      <c r="AA731" t="s">
        <v>56</v>
      </c>
      <c r="AB731" t="s">
        <v>579</v>
      </c>
      <c r="AC731" t="s">
        <v>579</v>
      </c>
      <c r="AD731" t="s">
        <v>579</v>
      </c>
      <c r="AE731" t="s">
        <v>566</v>
      </c>
      <c r="AF731">
        <v>7</v>
      </c>
      <c r="AG731">
        <v>650</v>
      </c>
      <c r="AH731" s="122">
        <v>1512</v>
      </c>
      <c r="AI731" s="122">
        <v>70414</v>
      </c>
      <c r="AJ731" s="122">
        <v>58679</v>
      </c>
      <c r="AK731">
        <v>70</v>
      </c>
      <c r="AL731" s="122">
        <v>12778</v>
      </c>
      <c r="AM731" s="122">
        <v>10649</v>
      </c>
      <c r="AN731" s="122">
        <v>9318</v>
      </c>
      <c r="AO731" s="122">
        <v>3451</v>
      </c>
      <c r="AP731" s="122">
        <v>2727</v>
      </c>
      <c r="AQ731" s="122">
        <v>1010</v>
      </c>
      <c r="AR731" s="122">
        <v>45308</v>
      </c>
      <c r="AS731" s="122">
        <v>37757</v>
      </c>
      <c r="AT731">
        <v>0</v>
      </c>
      <c r="AU731">
        <v>0</v>
      </c>
      <c r="AV731" s="122">
        <v>111545</v>
      </c>
    </row>
    <row r="732" spans="2:48" hidden="1">
      <c r="B732" t="s">
        <v>367</v>
      </c>
      <c r="C732" t="s">
        <v>62</v>
      </c>
      <c r="D732" t="s">
        <v>407</v>
      </c>
      <c r="E732" t="s">
        <v>405</v>
      </c>
      <c r="F732">
        <v>2</v>
      </c>
      <c r="G732">
        <v>347</v>
      </c>
      <c r="H732">
        <v>829</v>
      </c>
      <c r="I732" s="122">
        <v>94600</v>
      </c>
      <c r="J732" s="122">
        <v>86000</v>
      </c>
      <c r="K732">
        <v>65</v>
      </c>
      <c r="L732" s="122">
        <v>20701</v>
      </c>
      <c r="M732" s="122">
        <v>18819</v>
      </c>
      <c r="N732" s="122">
        <v>7752</v>
      </c>
      <c r="O732" s="122">
        <v>2871</v>
      </c>
      <c r="P732" s="122">
        <v>702</v>
      </c>
      <c r="Q732">
        <v>260</v>
      </c>
      <c r="R732" s="122">
        <v>12614</v>
      </c>
      <c r="S732" s="122">
        <v>11467</v>
      </c>
      <c r="T732" s="122">
        <v>7243</v>
      </c>
      <c r="U732" s="122">
        <v>2682</v>
      </c>
      <c r="V732" s="122">
        <v>122100</v>
      </c>
      <c r="W732" s="122">
        <f t="shared" si="22"/>
        <v>122099</v>
      </c>
      <c r="X732" s="122">
        <f t="shared" si="23"/>
        <v>143612</v>
      </c>
      <c r="Y732" s="122"/>
      <c r="AA732" t="s">
        <v>56</v>
      </c>
      <c r="AB732" t="s">
        <v>579</v>
      </c>
      <c r="AC732" t="s">
        <v>566</v>
      </c>
      <c r="AD732" t="s">
        <v>579</v>
      </c>
      <c r="AE732" t="s">
        <v>137</v>
      </c>
      <c r="AF732">
        <v>38</v>
      </c>
      <c r="AG732" s="122">
        <v>3196</v>
      </c>
      <c r="AH732" s="122">
        <v>7800</v>
      </c>
      <c r="AI732" s="122">
        <v>332351</v>
      </c>
      <c r="AJ732" s="122">
        <v>276959</v>
      </c>
      <c r="AK732">
        <v>67</v>
      </c>
      <c r="AL732">
        <v>0</v>
      </c>
      <c r="AM732" s="122">
        <v>3334</v>
      </c>
      <c r="AN732" s="122">
        <v>57438</v>
      </c>
      <c r="AO732" s="122">
        <v>21273</v>
      </c>
      <c r="AP732" s="122">
        <v>13689</v>
      </c>
      <c r="AQ732" s="122">
        <v>5070</v>
      </c>
      <c r="AR732" s="122">
        <v>170295</v>
      </c>
      <c r="AS732" s="122">
        <v>141913</v>
      </c>
      <c r="AT732" s="122">
        <v>85746</v>
      </c>
      <c r="AU732" s="122">
        <v>31758</v>
      </c>
      <c r="AV732" s="122">
        <v>480308</v>
      </c>
    </row>
    <row r="733" spans="2:48" hidden="1">
      <c r="B733" t="s">
        <v>367</v>
      </c>
      <c r="C733" t="s">
        <v>62</v>
      </c>
      <c r="D733" t="s">
        <v>407</v>
      </c>
      <c r="E733" t="s">
        <v>137</v>
      </c>
      <c r="F733">
        <v>84</v>
      </c>
      <c r="G733" s="122">
        <v>8194</v>
      </c>
      <c r="H733" s="122">
        <v>34957</v>
      </c>
      <c r="I733" s="122">
        <v>2144311</v>
      </c>
      <c r="J733" s="122">
        <v>1949374</v>
      </c>
      <c r="K733">
        <v>73</v>
      </c>
      <c r="L733" s="122">
        <v>435968</v>
      </c>
      <c r="M733" s="122">
        <v>359045</v>
      </c>
      <c r="N733" s="122">
        <v>170695</v>
      </c>
      <c r="O733" s="122">
        <v>63220</v>
      </c>
      <c r="P733" s="122">
        <v>34394</v>
      </c>
      <c r="Q733" s="122">
        <v>12738</v>
      </c>
      <c r="R733" s="122">
        <v>631672</v>
      </c>
      <c r="S733" s="122">
        <v>233952</v>
      </c>
      <c r="T733" s="122">
        <v>4194</v>
      </c>
      <c r="U733" s="122">
        <v>1553</v>
      </c>
      <c r="V733" s="122">
        <v>2619883</v>
      </c>
      <c r="W733" s="122">
        <f t="shared" si="22"/>
        <v>2619882</v>
      </c>
      <c r="X733" s="122">
        <f t="shared" si="23"/>
        <v>3421234</v>
      </c>
      <c r="Y733" s="122"/>
      <c r="AA733" t="s">
        <v>56</v>
      </c>
      <c r="AB733" t="s">
        <v>579</v>
      </c>
      <c r="AC733" t="s">
        <v>433</v>
      </c>
      <c r="AD733" t="s">
        <v>579</v>
      </c>
      <c r="AE733" t="s">
        <v>137</v>
      </c>
      <c r="AF733">
        <v>1</v>
      </c>
      <c r="AG733">
        <v>90</v>
      </c>
      <c r="AH733">
        <v>189</v>
      </c>
      <c r="AI733" s="122">
        <v>6906</v>
      </c>
      <c r="AJ733" s="122">
        <v>5755</v>
      </c>
      <c r="AK733">
        <v>77</v>
      </c>
      <c r="AL733">
        <v>737</v>
      </c>
      <c r="AM733">
        <v>670</v>
      </c>
      <c r="AN733" s="122">
        <v>2189</v>
      </c>
      <c r="AO733">
        <v>811</v>
      </c>
      <c r="AP733">
        <v>351</v>
      </c>
      <c r="AQ733">
        <v>130</v>
      </c>
      <c r="AR733" s="122">
        <v>4256</v>
      </c>
      <c r="AS733" s="122">
        <v>3547</v>
      </c>
      <c r="AT733" s="122">
        <v>2564</v>
      </c>
      <c r="AU733">
        <v>949</v>
      </c>
      <c r="AV733" s="122">
        <v>11862</v>
      </c>
    </row>
    <row r="734" spans="2:48" hidden="1">
      <c r="B734" t="s">
        <v>367</v>
      </c>
      <c r="C734" t="s">
        <v>62</v>
      </c>
      <c r="D734" t="s">
        <v>407</v>
      </c>
      <c r="E734" t="s">
        <v>406</v>
      </c>
      <c r="F734" s="122">
        <v>2</v>
      </c>
      <c r="G734" s="122">
        <v>169</v>
      </c>
      <c r="H734" s="122">
        <v>776</v>
      </c>
      <c r="I734" s="122">
        <v>39525</v>
      </c>
      <c r="J734" s="122">
        <v>35932</v>
      </c>
      <c r="K734">
        <v>83</v>
      </c>
      <c r="L734" s="122">
        <v>12474</v>
      </c>
      <c r="M734" s="122">
        <v>10395</v>
      </c>
      <c r="N734" s="122">
        <v>2907</v>
      </c>
      <c r="O734" s="122">
        <v>1077</v>
      </c>
      <c r="P734" s="122">
        <v>945</v>
      </c>
      <c r="Q734" s="122">
        <v>350</v>
      </c>
      <c r="R734" s="122">
        <v>9893</v>
      </c>
      <c r="S734" s="122">
        <v>8994</v>
      </c>
      <c r="T734" s="122">
        <v>0</v>
      </c>
      <c r="U734" s="122">
        <v>0</v>
      </c>
      <c r="V734" s="122">
        <v>56748</v>
      </c>
      <c r="W734" s="122">
        <f t="shared" si="22"/>
        <v>56748</v>
      </c>
      <c r="X734" s="122">
        <f t="shared" si="23"/>
        <v>65744</v>
      </c>
      <c r="Y734" s="122"/>
      <c r="AA734" t="s">
        <v>56</v>
      </c>
      <c r="AB734" t="s">
        <v>428</v>
      </c>
      <c r="AC734" t="s">
        <v>425</v>
      </c>
      <c r="AD734" t="s">
        <v>428</v>
      </c>
      <c r="AE734" t="s">
        <v>137</v>
      </c>
      <c r="AF734">
        <v>1</v>
      </c>
      <c r="AG734">
        <v>92</v>
      </c>
      <c r="AH734">
        <v>190</v>
      </c>
      <c r="AI734" s="122">
        <v>9363</v>
      </c>
      <c r="AJ734" s="122">
        <v>8512</v>
      </c>
      <c r="AK734">
        <v>65</v>
      </c>
      <c r="AL734">
        <v>676</v>
      </c>
      <c r="AM734">
        <v>615</v>
      </c>
      <c r="AN734" s="122">
        <v>1849</v>
      </c>
      <c r="AO734">
        <v>685</v>
      </c>
      <c r="AP734">
        <v>351</v>
      </c>
      <c r="AQ734">
        <v>130</v>
      </c>
      <c r="AR734" s="122">
        <v>2958</v>
      </c>
      <c r="AS734" s="122">
        <v>2689</v>
      </c>
      <c r="AT734" s="122">
        <v>2324</v>
      </c>
      <c r="AU734">
        <v>861</v>
      </c>
      <c r="AV734" s="122">
        <v>13491</v>
      </c>
    </row>
    <row r="735" spans="2:48" hidden="1">
      <c r="B735" t="s">
        <v>367</v>
      </c>
      <c r="C735" t="s">
        <v>62</v>
      </c>
      <c r="D735" t="s">
        <v>407</v>
      </c>
      <c r="E735" t="s">
        <v>427</v>
      </c>
      <c r="F735">
        <v>1</v>
      </c>
      <c r="G735">
        <v>85</v>
      </c>
      <c r="H735" s="122">
        <v>404</v>
      </c>
      <c r="I735" s="122">
        <v>20398</v>
      </c>
      <c r="J735" s="122">
        <v>18544</v>
      </c>
      <c r="K735">
        <v>73</v>
      </c>
      <c r="L735" s="122">
        <v>3008</v>
      </c>
      <c r="M735" s="122">
        <v>2735</v>
      </c>
      <c r="N735" s="122">
        <v>2079</v>
      </c>
      <c r="O735" s="122">
        <v>770</v>
      </c>
      <c r="P735" s="122">
        <v>473</v>
      </c>
      <c r="Q735">
        <v>175</v>
      </c>
      <c r="R735" s="122">
        <v>8469</v>
      </c>
      <c r="S735" s="122">
        <v>7699</v>
      </c>
      <c r="T735" s="122">
        <v>0</v>
      </c>
      <c r="U735">
        <v>0</v>
      </c>
      <c r="V735" s="122">
        <v>29922</v>
      </c>
      <c r="W735" s="122">
        <f t="shared" si="22"/>
        <v>29923</v>
      </c>
      <c r="X735" s="122">
        <f t="shared" si="23"/>
        <v>34427</v>
      </c>
      <c r="Y735" s="122"/>
      <c r="AA735" t="s">
        <v>56</v>
      </c>
      <c r="AB735" t="s">
        <v>428</v>
      </c>
      <c r="AC735" t="s">
        <v>428</v>
      </c>
      <c r="AD735" t="s">
        <v>428</v>
      </c>
      <c r="AE735" t="s">
        <v>137</v>
      </c>
      <c r="AF735">
        <v>1</v>
      </c>
      <c r="AG735">
        <v>81</v>
      </c>
      <c r="AH735">
        <v>203</v>
      </c>
      <c r="AI735" s="122">
        <v>6796</v>
      </c>
      <c r="AJ735" s="122">
        <v>6178</v>
      </c>
      <c r="AK735">
        <v>65</v>
      </c>
      <c r="AL735" s="122">
        <v>1636</v>
      </c>
      <c r="AM735" s="122">
        <v>1487</v>
      </c>
      <c r="AN735" s="122">
        <v>1561</v>
      </c>
      <c r="AO735">
        <v>578</v>
      </c>
      <c r="AP735">
        <v>0</v>
      </c>
      <c r="AQ735">
        <v>0</v>
      </c>
      <c r="AR735" s="122">
        <v>4149</v>
      </c>
      <c r="AS735" s="122">
        <v>3772</v>
      </c>
      <c r="AT735" s="122">
        <v>2173</v>
      </c>
      <c r="AU735">
        <v>805</v>
      </c>
      <c r="AV735" s="122">
        <v>12821</v>
      </c>
    </row>
    <row r="736" spans="2:48" hidden="1">
      <c r="B736" t="s">
        <v>367</v>
      </c>
      <c r="C736" t="s">
        <v>62</v>
      </c>
      <c r="D736" t="s">
        <v>407</v>
      </c>
      <c r="E736" t="s">
        <v>407</v>
      </c>
      <c r="F736" s="122">
        <v>6300</v>
      </c>
      <c r="G736" s="122">
        <v>593945</v>
      </c>
      <c r="H736" s="122">
        <v>2607276</v>
      </c>
      <c r="I736" s="122">
        <v>152386077</v>
      </c>
      <c r="J736" s="122">
        <v>138532797</v>
      </c>
      <c r="K736">
        <v>75</v>
      </c>
      <c r="L736" s="122">
        <v>37752641</v>
      </c>
      <c r="M736" s="122">
        <v>32444400</v>
      </c>
      <c r="N736" s="122">
        <v>12803322</v>
      </c>
      <c r="O736" s="122">
        <v>4741971</v>
      </c>
      <c r="P736" s="122">
        <v>2916569</v>
      </c>
      <c r="Q736" s="122">
        <v>1080211</v>
      </c>
      <c r="R736" s="122">
        <v>31905831</v>
      </c>
      <c r="S736" s="122">
        <v>29005301</v>
      </c>
      <c r="T736" s="122">
        <v>10630772</v>
      </c>
      <c r="U736" s="122">
        <v>3937323</v>
      </c>
      <c r="V736" s="122">
        <v>209742003</v>
      </c>
      <c r="W736" s="122">
        <f t="shared" si="22"/>
        <v>209742003</v>
      </c>
      <c r="X736" s="122">
        <f t="shared" si="23"/>
        <v>248395212</v>
      </c>
      <c r="Y736" s="122"/>
      <c r="AA736" t="s">
        <v>56</v>
      </c>
      <c r="AB736" t="s">
        <v>428</v>
      </c>
      <c r="AC736" t="s">
        <v>428</v>
      </c>
      <c r="AD736" t="s">
        <v>428</v>
      </c>
      <c r="AE736" t="s">
        <v>566</v>
      </c>
      <c r="AF736">
        <v>1</v>
      </c>
      <c r="AG736">
        <v>84</v>
      </c>
      <c r="AH736">
        <v>217</v>
      </c>
      <c r="AI736" s="122">
        <v>6766</v>
      </c>
      <c r="AJ736" s="122">
        <v>6151</v>
      </c>
      <c r="AK736">
        <v>65</v>
      </c>
      <c r="AL736">
        <v>752</v>
      </c>
      <c r="AM736">
        <v>683</v>
      </c>
      <c r="AN736" s="122">
        <v>1300</v>
      </c>
      <c r="AO736">
        <v>481</v>
      </c>
      <c r="AP736">
        <v>351</v>
      </c>
      <c r="AQ736">
        <v>130</v>
      </c>
      <c r="AR736" s="122">
        <v>9055</v>
      </c>
      <c r="AS736" s="122">
        <v>8232</v>
      </c>
      <c r="AT736">
        <v>0</v>
      </c>
      <c r="AU736">
        <v>0</v>
      </c>
      <c r="AV736" s="122">
        <v>15678</v>
      </c>
    </row>
    <row r="737" spans="2:48" hidden="1">
      <c r="B737" t="s">
        <v>367</v>
      </c>
      <c r="C737" t="s">
        <v>62</v>
      </c>
      <c r="D737" t="s">
        <v>407</v>
      </c>
      <c r="E737" t="s">
        <v>556</v>
      </c>
      <c r="F737">
        <v>1</v>
      </c>
      <c r="G737" s="122">
        <v>80</v>
      </c>
      <c r="H737" s="122">
        <v>397</v>
      </c>
      <c r="I737" s="122">
        <v>16647</v>
      </c>
      <c r="J737" s="122">
        <v>15134</v>
      </c>
      <c r="K737">
        <v>77</v>
      </c>
      <c r="L737" s="122">
        <v>11063</v>
      </c>
      <c r="M737" s="122">
        <v>4097</v>
      </c>
      <c r="N737" s="122">
        <v>980</v>
      </c>
      <c r="O737" s="122">
        <v>363</v>
      </c>
      <c r="P737" s="122">
        <v>473</v>
      </c>
      <c r="Q737">
        <v>175</v>
      </c>
      <c r="R737" s="122">
        <v>2762</v>
      </c>
      <c r="S737" s="122">
        <v>2302</v>
      </c>
      <c r="T737" s="122">
        <v>0</v>
      </c>
      <c r="U737" s="122">
        <v>0</v>
      </c>
      <c r="V737" s="122">
        <v>22071</v>
      </c>
      <c r="W737" s="122">
        <f t="shared" si="22"/>
        <v>22071</v>
      </c>
      <c r="X737" s="122">
        <f t="shared" si="23"/>
        <v>31925</v>
      </c>
      <c r="Y737" s="122"/>
      <c r="AA737" t="s">
        <v>56</v>
      </c>
      <c r="AB737" t="s">
        <v>428</v>
      </c>
      <c r="AC737" t="s">
        <v>566</v>
      </c>
      <c r="AD737" t="s">
        <v>428</v>
      </c>
      <c r="AE737" t="s">
        <v>566</v>
      </c>
      <c r="AF737">
        <v>1</v>
      </c>
      <c r="AG737">
        <v>86</v>
      </c>
      <c r="AH737">
        <v>202</v>
      </c>
      <c r="AI737" s="122">
        <v>9583</v>
      </c>
      <c r="AJ737" s="122">
        <v>8712</v>
      </c>
      <c r="AK737">
        <v>65</v>
      </c>
      <c r="AL737">
        <v>0</v>
      </c>
      <c r="AM737">
        <v>0</v>
      </c>
      <c r="AN737" s="122">
        <v>1042</v>
      </c>
      <c r="AO737">
        <v>386</v>
      </c>
      <c r="AP737">
        <v>351</v>
      </c>
      <c r="AQ737">
        <v>130</v>
      </c>
      <c r="AR737" s="122">
        <v>6317</v>
      </c>
      <c r="AS737" s="122">
        <v>5743</v>
      </c>
      <c r="AT737">
        <v>0</v>
      </c>
      <c r="AU737">
        <v>0</v>
      </c>
      <c r="AV737" s="122">
        <v>14971</v>
      </c>
    </row>
    <row r="738" spans="2:48" hidden="1">
      <c r="B738" t="s">
        <v>367</v>
      </c>
      <c r="C738" t="s">
        <v>62</v>
      </c>
      <c r="D738" t="s">
        <v>556</v>
      </c>
      <c r="E738" t="s">
        <v>137</v>
      </c>
      <c r="F738">
        <v>8</v>
      </c>
      <c r="G738" s="122">
        <v>538</v>
      </c>
      <c r="H738" s="122">
        <v>3337</v>
      </c>
      <c r="I738" s="122">
        <v>148811</v>
      </c>
      <c r="J738" s="122">
        <v>124009</v>
      </c>
      <c r="K738">
        <v>57</v>
      </c>
      <c r="L738" s="122">
        <v>33861</v>
      </c>
      <c r="M738" s="122">
        <v>17517</v>
      </c>
      <c r="N738" s="122">
        <v>11433</v>
      </c>
      <c r="O738" s="122">
        <v>4235</v>
      </c>
      <c r="P738" s="122">
        <v>351</v>
      </c>
      <c r="Q738" s="122">
        <v>130</v>
      </c>
      <c r="R738" s="122">
        <v>49312</v>
      </c>
      <c r="S738" s="122">
        <v>18264</v>
      </c>
      <c r="T738" s="122">
        <v>0</v>
      </c>
      <c r="U738" s="122">
        <v>0</v>
      </c>
      <c r="V738" s="122">
        <v>164154</v>
      </c>
      <c r="W738" s="122">
        <f t="shared" si="22"/>
        <v>164155</v>
      </c>
      <c r="X738" s="122">
        <f t="shared" si="23"/>
        <v>243768</v>
      </c>
      <c r="Y738" s="122"/>
      <c r="AA738" t="s">
        <v>56</v>
      </c>
      <c r="AB738" t="s">
        <v>428</v>
      </c>
      <c r="AC738" t="s">
        <v>566</v>
      </c>
      <c r="AD738" t="s">
        <v>433</v>
      </c>
      <c r="AE738" t="s">
        <v>137</v>
      </c>
      <c r="AF738">
        <v>1</v>
      </c>
      <c r="AG738">
        <v>98</v>
      </c>
      <c r="AH738">
        <v>191</v>
      </c>
      <c r="AI738" s="122">
        <v>8698</v>
      </c>
      <c r="AJ738" s="122">
        <v>7908</v>
      </c>
      <c r="AK738">
        <v>95</v>
      </c>
      <c r="AL738">
        <v>0</v>
      </c>
      <c r="AM738" s="122">
        <v>1257</v>
      </c>
      <c r="AN738" s="122">
        <v>2394</v>
      </c>
      <c r="AO738">
        <v>887</v>
      </c>
      <c r="AP738">
        <v>621</v>
      </c>
      <c r="AQ738">
        <v>230</v>
      </c>
      <c r="AR738" s="122">
        <v>7084</v>
      </c>
      <c r="AS738" s="122">
        <v>6440</v>
      </c>
      <c r="AT738">
        <v>0</v>
      </c>
      <c r="AU738">
        <v>0</v>
      </c>
      <c r="AV738" s="122">
        <v>16721</v>
      </c>
    </row>
    <row r="739" spans="2:48" hidden="1">
      <c r="B739" t="s">
        <v>367</v>
      </c>
      <c r="C739" t="s">
        <v>62</v>
      </c>
      <c r="D739" t="s">
        <v>556</v>
      </c>
      <c r="E739" t="s">
        <v>556</v>
      </c>
      <c r="F739">
        <v>55</v>
      </c>
      <c r="G739" s="122">
        <v>4434</v>
      </c>
      <c r="H739" s="122">
        <v>22922</v>
      </c>
      <c r="I739" s="122">
        <v>1173416</v>
      </c>
      <c r="J739" s="122">
        <v>977846</v>
      </c>
      <c r="K739">
        <v>56</v>
      </c>
      <c r="L739" s="122">
        <v>129510</v>
      </c>
      <c r="M739" s="122">
        <v>97456</v>
      </c>
      <c r="N739" s="122">
        <v>93566</v>
      </c>
      <c r="O739" s="122">
        <v>34654</v>
      </c>
      <c r="P739" s="122">
        <v>17577</v>
      </c>
      <c r="Q739" s="122">
        <v>6510</v>
      </c>
      <c r="R739" s="122">
        <v>315207</v>
      </c>
      <c r="S739" s="122">
        <v>262673</v>
      </c>
      <c r="T739" s="122">
        <v>113099</v>
      </c>
      <c r="U739" s="122">
        <v>41888</v>
      </c>
      <c r="V739" s="122">
        <v>1421028</v>
      </c>
      <c r="W739" s="122">
        <f t="shared" si="22"/>
        <v>1421027</v>
      </c>
      <c r="X739" s="122">
        <f t="shared" si="23"/>
        <v>1842375</v>
      </c>
      <c r="Y739" s="122"/>
      <c r="AA739" t="s">
        <v>56</v>
      </c>
      <c r="AB739" t="s">
        <v>431</v>
      </c>
      <c r="AC739" t="s">
        <v>137</v>
      </c>
      <c r="AD739" t="s">
        <v>431</v>
      </c>
      <c r="AE739" t="s">
        <v>137</v>
      </c>
      <c r="AF739">
        <v>1</v>
      </c>
      <c r="AG739">
        <v>101</v>
      </c>
      <c r="AH739">
        <v>208</v>
      </c>
      <c r="AI739" s="122">
        <v>10133</v>
      </c>
      <c r="AJ739" s="122">
        <v>9212</v>
      </c>
      <c r="AK739">
        <v>65</v>
      </c>
      <c r="AL739" s="122">
        <v>4042</v>
      </c>
      <c r="AM739" s="122">
        <v>1497</v>
      </c>
      <c r="AN739" s="122">
        <v>1501</v>
      </c>
      <c r="AO739">
        <v>556</v>
      </c>
      <c r="AP739">
        <v>351</v>
      </c>
      <c r="AQ739">
        <v>130</v>
      </c>
      <c r="AR739" s="122">
        <v>4930</v>
      </c>
      <c r="AS739" s="122">
        <v>4482</v>
      </c>
      <c r="AT739">
        <v>0</v>
      </c>
      <c r="AU739">
        <v>0</v>
      </c>
      <c r="AV739" s="122">
        <v>15877</v>
      </c>
    </row>
    <row r="740" spans="2:48" hidden="1">
      <c r="B740" t="s">
        <v>367</v>
      </c>
      <c r="C740" t="s">
        <v>62</v>
      </c>
      <c r="D740" t="s">
        <v>426</v>
      </c>
      <c r="E740" t="s">
        <v>137</v>
      </c>
      <c r="F740">
        <v>4</v>
      </c>
      <c r="G740" s="122">
        <v>341</v>
      </c>
      <c r="H740" s="122">
        <v>1675</v>
      </c>
      <c r="I740" s="122">
        <v>97134</v>
      </c>
      <c r="J740" s="122">
        <v>88304</v>
      </c>
      <c r="K740">
        <v>49</v>
      </c>
      <c r="L740" s="122">
        <v>14600</v>
      </c>
      <c r="M740" s="122">
        <v>8165</v>
      </c>
      <c r="N740" s="122">
        <v>6335</v>
      </c>
      <c r="O740" s="122">
        <v>2346</v>
      </c>
      <c r="P740" s="122">
        <v>0</v>
      </c>
      <c r="Q740" s="122">
        <v>0</v>
      </c>
      <c r="R740" s="122">
        <v>31553</v>
      </c>
      <c r="S740" s="122">
        <v>11686</v>
      </c>
      <c r="T740" s="122">
        <v>0</v>
      </c>
      <c r="U740" s="122">
        <v>0</v>
      </c>
      <c r="V740" s="122">
        <v>110502</v>
      </c>
      <c r="W740" s="122">
        <f t="shared" si="22"/>
        <v>110501</v>
      </c>
      <c r="X740" s="122">
        <f t="shared" si="23"/>
        <v>149622</v>
      </c>
      <c r="Y740" s="122"/>
      <c r="AA740" t="s">
        <v>56</v>
      </c>
      <c r="AB740" t="s">
        <v>431</v>
      </c>
      <c r="AC740" t="s">
        <v>580</v>
      </c>
      <c r="AD740" t="s">
        <v>431</v>
      </c>
      <c r="AE740" t="s">
        <v>137</v>
      </c>
      <c r="AF740">
        <v>1</v>
      </c>
      <c r="AG740">
        <v>126</v>
      </c>
      <c r="AH740">
        <v>186</v>
      </c>
      <c r="AI740" s="122">
        <v>11937</v>
      </c>
      <c r="AJ740" s="122">
        <v>10851</v>
      </c>
      <c r="AK740">
        <v>86</v>
      </c>
      <c r="AL740" s="122">
        <v>1439</v>
      </c>
      <c r="AM740" s="122">
        <v>1308</v>
      </c>
      <c r="AN740" s="122">
        <v>2296</v>
      </c>
      <c r="AO740">
        <v>850</v>
      </c>
      <c r="AP740">
        <v>621</v>
      </c>
      <c r="AQ740">
        <v>230</v>
      </c>
      <c r="AR740" s="122">
        <v>4040</v>
      </c>
      <c r="AS740" s="122">
        <v>3672</v>
      </c>
      <c r="AT740" s="122">
        <v>3098</v>
      </c>
      <c r="AU740" s="122">
        <v>1148</v>
      </c>
      <c r="AV740" s="122">
        <v>18060</v>
      </c>
    </row>
    <row r="741" spans="2:48" hidden="1">
      <c r="B741" t="s">
        <v>367</v>
      </c>
      <c r="C741" t="s">
        <v>62</v>
      </c>
      <c r="D741" t="s">
        <v>426</v>
      </c>
      <c r="E741" t="s">
        <v>426</v>
      </c>
      <c r="F741">
        <v>17</v>
      </c>
      <c r="G741" s="122">
        <v>1354</v>
      </c>
      <c r="H741" s="122">
        <v>7138</v>
      </c>
      <c r="I741" s="122">
        <v>371163</v>
      </c>
      <c r="J741" s="122">
        <v>337421</v>
      </c>
      <c r="K741">
        <v>55</v>
      </c>
      <c r="L741" s="122">
        <v>47995</v>
      </c>
      <c r="M741" s="122">
        <v>36044</v>
      </c>
      <c r="N741" s="122">
        <v>29975</v>
      </c>
      <c r="O741" s="122">
        <v>11102</v>
      </c>
      <c r="P741" s="122">
        <v>5616</v>
      </c>
      <c r="Q741" s="122">
        <v>2080</v>
      </c>
      <c r="R741" s="122">
        <v>103325</v>
      </c>
      <c r="S741" s="122">
        <v>93932</v>
      </c>
      <c r="T741" s="122">
        <v>46304</v>
      </c>
      <c r="U741" s="122">
        <v>17149</v>
      </c>
      <c r="V741" s="122">
        <v>497728</v>
      </c>
      <c r="W741" s="122">
        <f t="shared" si="22"/>
        <v>497728</v>
      </c>
      <c r="X741" s="122">
        <f t="shared" si="23"/>
        <v>604378</v>
      </c>
      <c r="Y741" s="122"/>
      <c r="AA741" t="s">
        <v>56</v>
      </c>
      <c r="AB741" t="s">
        <v>431</v>
      </c>
      <c r="AC741" t="s">
        <v>580</v>
      </c>
      <c r="AD741" t="s">
        <v>431</v>
      </c>
      <c r="AE741" t="s">
        <v>566</v>
      </c>
      <c r="AF741">
        <v>1</v>
      </c>
      <c r="AG741">
        <v>91</v>
      </c>
      <c r="AH741">
        <v>214</v>
      </c>
      <c r="AI741" s="122">
        <v>10086</v>
      </c>
      <c r="AJ741" s="122">
        <v>9169</v>
      </c>
      <c r="AK741">
        <v>65</v>
      </c>
      <c r="AL741">
        <v>922</v>
      </c>
      <c r="AM741">
        <v>838</v>
      </c>
      <c r="AN741" s="122">
        <v>2080</v>
      </c>
      <c r="AO741">
        <v>770</v>
      </c>
      <c r="AP741">
        <v>972</v>
      </c>
      <c r="AQ741">
        <v>360</v>
      </c>
      <c r="AR741" s="122">
        <v>5334</v>
      </c>
      <c r="AS741" s="122">
        <v>4849</v>
      </c>
      <c r="AT741">
        <v>0</v>
      </c>
      <c r="AU741">
        <v>0</v>
      </c>
      <c r="AV741" s="122">
        <v>15986</v>
      </c>
    </row>
    <row r="742" spans="2:48" hidden="1">
      <c r="B742" t="s">
        <v>367</v>
      </c>
      <c r="C742" t="s">
        <v>62</v>
      </c>
      <c r="D742" t="s">
        <v>433</v>
      </c>
      <c r="E742" t="s">
        <v>433</v>
      </c>
      <c r="F742">
        <v>1</v>
      </c>
      <c r="G742">
        <v>60</v>
      </c>
      <c r="H742" s="122">
        <v>415</v>
      </c>
      <c r="I742" s="122">
        <v>14458</v>
      </c>
      <c r="J742" s="122">
        <v>13143</v>
      </c>
      <c r="K742">
        <v>65</v>
      </c>
      <c r="L742" s="122">
        <v>1606</v>
      </c>
      <c r="M742" s="122">
        <v>1460</v>
      </c>
      <c r="N742" s="122">
        <v>1349</v>
      </c>
      <c r="O742" s="122">
        <v>500</v>
      </c>
      <c r="P742" s="122">
        <v>351</v>
      </c>
      <c r="Q742">
        <v>130</v>
      </c>
      <c r="R742" s="122">
        <v>4704</v>
      </c>
      <c r="S742" s="122">
        <v>4276</v>
      </c>
      <c r="T742" s="122">
        <v>2609</v>
      </c>
      <c r="U742" s="122">
        <v>966</v>
      </c>
      <c r="V742" s="122">
        <v>20476</v>
      </c>
      <c r="W742" s="122">
        <f t="shared" si="22"/>
        <v>20475</v>
      </c>
      <c r="X742" s="122">
        <f t="shared" si="23"/>
        <v>25077</v>
      </c>
      <c r="Y742" s="122"/>
      <c r="AA742" t="s">
        <v>56</v>
      </c>
      <c r="AB742" t="s">
        <v>431</v>
      </c>
      <c r="AC742" t="s">
        <v>431</v>
      </c>
      <c r="AD742" t="s">
        <v>431</v>
      </c>
      <c r="AE742" t="s">
        <v>137</v>
      </c>
      <c r="AF742">
        <v>1</v>
      </c>
      <c r="AG742">
        <v>79</v>
      </c>
      <c r="AH742">
        <v>207</v>
      </c>
      <c r="AI742" s="122">
        <v>6553</v>
      </c>
      <c r="AJ742" s="122">
        <v>5958</v>
      </c>
      <c r="AK742">
        <v>55</v>
      </c>
      <c r="AL742" s="122">
        <v>1335</v>
      </c>
      <c r="AM742" s="122">
        <v>1214</v>
      </c>
      <c r="AN742" s="122">
        <v>1202</v>
      </c>
      <c r="AO742">
        <v>445</v>
      </c>
      <c r="AP742">
        <v>351</v>
      </c>
      <c r="AQ742">
        <v>130</v>
      </c>
      <c r="AR742" s="122">
        <v>4803</v>
      </c>
      <c r="AS742" s="122">
        <v>4367</v>
      </c>
      <c r="AT742" s="122">
        <v>2107</v>
      </c>
      <c r="AU742">
        <v>780</v>
      </c>
      <c r="AV742" s="122">
        <v>12893</v>
      </c>
    </row>
    <row r="743" spans="2:48" hidden="1">
      <c r="B743" t="s">
        <v>367</v>
      </c>
      <c r="C743" t="s">
        <v>62</v>
      </c>
      <c r="D743" t="s">
        <v>408</v>
      </c>
      <c r="E743" t="s">
        <v>408</v>
      </c>
      <c r="F743">
        <v>1</v>
      </c>
      <c r="G743">
        <v>83</v>
      </c>
      <c r="H743" s="122">
        <v>443</v>
      </c>
      <c r="I743" s="122">
        <v>21812</v>
      </c>
      <c r="J743" s="122">
        <v>19829</v>
      </c>
      <c r="K743">
        <v>65</v>
      </c>
      <c r="L743" s="122">
        <v>5728</v>
      </c>
      <c r="M743" s="122">
        <v>4774</v>
      </c>
      <c r="N743" s="122">
        <v>2013</v>
      </c>
      <c r="O743" s="122">
        <v>746</v>
      </c>
      <c r="P743" s="122">
        <v>351</v>
      </c>
      <c r="Q743" s="122">
        <v>130</v>
      </c>
      <c r="R743" s="122">
        <v>4354</v>
      </c>
      <c r="S743" s="122">
        <v>3959</v>
      </c>
      <c r="T743" s="122">
        <v>2335</v>
      </c>
      <c r="U743" s="122">
        <v>865</v>
      </c>
      <c r="V743" s="122">
        <v>30302</v>
      </c>
      <c r="W743" s="122">
        <f t="shared" si="22"/>
        <v>30303</v>
      </c>
      <c r="X743" s="122">
        <f t="shared" si="23"/>
        <v>36593</v>
      </c>
      <c r="Y743" s="122"/>
      <c r="AA743" t="s">
        <v>56</v>
      </c>
      <c r="AB743" t="s">
        <v>431</v>
      </c>
      <c r="AC743" t="s">
        <v>431</v>
      </c>
      <c r="AD743" t="s">
        <v>431</v>
      </c>
      <c r="AE743" t="s">
        <v>566</v>
      </c>
      <c r="AF743">
        <v>1</v>
      </c>
      <c r="AG743">
        <v>82</v>
      </c>
      <c r="AH743">
        <v>218</v>
      </c>
      <c r="AI743" s="122">
        <v>7939</v>
      </c>
      <c r="AJ743" s="122">
        <v>7217</v>
      </c>
      <c r="AK743">
        <v>65</v>
      </c>
      <c r="AL743" s="122">
        <v>1911</v>
      </c>
      <c r="AM743" s="122">
        <v>1737</v>
      </c>
      <c r="AN743" s="122">
        <v>1500</v>
      </c>
      <c r="AO743">
        <v>556</v>
      </c>
      <c r="AP743">
        <v>351</v>
      </c>
      <c r="AQ743">
        <v>130</v>
      </c>
      <c r="AR743" s="122">
        <v>6231</v>
      </c>
      <c r="AS743" s="122">
        <v>5665</v>
      </c>
      <c r="AT743">
        <v>0</v>
      </c>
      <c r="AU743">
        <v>0</v>
      </c>
      <c r="AV743" s="122">
        <v>15305</v>
      </c>
    </row>
    <row r="744" spans="2:48" hidden="1">
      <c r="B744" t="s">
        <v>367</v>
      </c>
      <c r="C744" t="s">
        <v>64</v>
      </c>
      <c r="F744">
        <v>2</v>
      </c>
      <c r="G744">
        <v>68</v>
      </c>
      <c r="H744" s="122">
        <v>1071</v>
      </c>
      <c r="I744" s="122"/>
      <c r="J744" s="122">
        <v>0</v>
      </c>
      <c r="L744" s="122"/>
      <c r="M744" s="122">
        <v>0</v>
      </c>
      <c r="N744" s="122">
        <v>1651</v>
      </c>
      <c r="O744">
        <v>612</v>
      </c>
      <c r="P744">
        <v>0</v>
      </c>
      <c r="Q744">
        <v>0</v>
      </c>
      <c r="R744" s="122"/>
      <c r="S744" s="122">
        <v>0</v>
      </c>
      <c r="T744" s="122">
        <v>0</v>
      </c>
      <c r="U744" s="122">
        <v>0</v>
      </c>
      <c r="V744" s="122">
        <v>612</v>
      </c>
      <c r="W744" s="122">
        <f t="shared" si="22"/>
        <v>612</v>
      </c>
      <c r="X744" s="122">
        <f t="shared" si="23"/>
        <v>1651</v>
      </c>
      <c r="Y744" s="122"/>
      <c r="AA744" t="s">
        <v>56</v>
      </c>
      <c r="AB744" t="s">
        <v>431</v>
      </c>
      <c r="AC744" t="s">
        <v>566</v>
      </c>
      <c r="AD744" t="s">
        <v>431</v>
      </c>
      <c r="AE744" t="s">
        <v>137</v>
      </c>
      <c r="AF744">
        <v>7</v>
      </c>
      <c r="AG744">
        <v>497</v>
      </c>
      <c r="AH744" s="122">
        <v>1373</v>
      </c>
      <c r="AI744" s="122">
        <v>44538</v>
      </c>
      <c r="AJ744" s="122">
        <v>40489</v>
      </c>
      <c r="AK744">
        <v>65</v>
      </c>
      <c r="AL744">
        <v>0</v>
      </c>
      <c r="AM744">
        <v>0</v>
      </c>
      <c r="AN744" s="122">
        <v>8725</v>
      </c>
      <c r="AO744" s="122">
        <v>3231</v>
      </c>
      <c r="AP744" s="122">
        <v>2457</v>
      </c>
      <c r="AQ744">
        <v>910</v>
      </c>
      <c r="AR744" s="122">
        <v>29478</v>
      </c>
      <c r="AS744" s="122">
        <v>26798</v>
      </c>
      <c r="AT744" s="122">
        <v>11883</v>
      </c>
      <c r="AU744" s="122">
        <v>4401</v>
      </c>
      <c r="AV744" s="122">
        <v>75830</v>
      </c>
    </row>
    <row r="745" spans="2:48" hidden="1">
      <c r="B745" t="s">
        <v>367</v>
      </c>
      <c r="C745" t="s">
        <v>64</v>
      </c>
      <c r="D745" t="s">
        <v>555</v>
      </c>
      <c r="E745" t="s">
        <v>555</v>
      </c>
      <c r="F745">
        <v>2</v>
      </c>
      <c r="G745">
        <v>126</v>
      </c>
      <c r="H745" s="122">
        <v>990</v>
      </c>
      <c r="I745" s="122">
        <v>43857</v>
      </c>
      <c r="J745" s="122">
        <v>39870</v>
      </c>
      <c r="K745">
        <v>50</v>
      </c>
      <c r="L745" s="122">
        <v>3443</v>
      </c>
      <c r="M745" s="122">
        <v>5982</v>
      </c>
      <c r="N745" s="122">
        <v>2449</v>
      </c>
      <c r="O745" s="122">
        <v>907</v>
      </c>
      <c r="P745" s="122">
        <v>702</v>
      </c>
      <c r="Q745">
        <v>260</v>
      </c>
      <c r="R745" s="122">
        <v>10521</v>
      </c>
      <c r="S745" s="122">
        <v>9564</v>
      </c>
      <c r="T745" s="122">
        <v>1846</v>
      </c>
      <c r="U745" s="122">
        <v>684</v>
      </c>
      <c r="V745" s="122">
        <v>57267</v>
      </c>
      <c r="W745" s="122">
        <f t="shared" si="22"/>
        <v>57267</v>
      </c>
      <c r="X745" s="122">
        <f t="shared" si="23"/>
        <v>62818</v>
      </c>
      <c r="Y745" s="122"/>
      <c r="AA745" t="s">
        <v>56</v>
      </c>
      <c r="AB745" t="s">
        <v>431</v>
      </c>
      <c r="AC745" t="s">
        <v>566</v>
      </c>
      <c r="AD745" t="s">
        <v>431</v>
      </c>
      <c r="AE745" t="s">
        <v>566</v>
      </c>
      <c r="AF745">
        <v>1</v>
      </c>
      <c r="AG745">
        <v>108</v>
      </c>
      <c r="AH745">
        <v>181</v>
      </c>
      <c r="AI745" s="122">
        <v>11879</v>
      </c>
      <c r="AJ745" s="122">
        <v>10799</v>
      </c>
      <c r="AK745">
        <v>77</v>
      </c>
      <c r="AL745">
        <v>0</v>
      </c>
      <c r="AM745">
        <v>0</v>
      </c>
      <c r="AN745" s="122">
        <v>1417</v>
      </c>
      <c r="AO745">
        <v>525</v>
      </c>
      <c r="AP745">
        <v>351</v>
      </c>
      <c r="AQ745">
        <v>130</v>
      </c>
      <c r="AR745" s="122">
        <v>5791</v>
      </c>
      <c r="AS745" s="122">
        <v>5265</v>
      </c>
      <c r="AT745">
        <v>0</v>
      </c>
      <c r="AU745">
        <v>0</v>
      </c>
      <c r="AV745" s="122">
        <v>16718</v>
      </c>
    </row>
    <row r="746" spans="2:48" hidden="1">
      <c r="B746" t="s">
        <v>367</v>
      </c>
      <c r="C746" t="s">
        <v>64</v>
      </c>
      <c r="D746" t="s">
        <v>555</v>
      </c>
      <c r="E746" t="s">
        <v>137</v>
      </c>
      <c r="F746">
        <v>1</v>
      </c>
      <c r="G746">
        <v>50</v>
      </c>
      <c r="H746">
        <v>646</v>
      </c>
      <c r="I746" s="122">
        <v>13612</v>
      </c>
      <c r="J746" s="122">
        <v>12375</v>
      </c>
      <c r="K746">
        <v>55</v>
      </c>
      <c r="L746" s="122">
        <v>2042</v>
      </c>
      <c r="M746" s="122">
        <v>756</v>
      </c>
      <c r="N746" s="122">
        <v>1090</v>
      </c>
      <c r="O746">
        <v>404</v>
      </c>
      <c r="P746">
        <v>351</v>
      </c>
      <c r="Q746">
        <v>130</v>
      </c>
      <c r="R746" s="122">
        <v>15347</v>
      </c>
      <c r="S746" s="122">
        <v>5684</v>
      </c>
      <c r="T746" s="122">
        <v>0</v>
      </c>
      <c r="U746">
        <v>0</v>
      </c>
      <c r="V746" s="122">
        <v>19349</v>
      </c>
      <c r="W746" s="122">
        <f t="shared" si="22"/>
        <v>19349</v>
      </c>
      <c r="X746" s="122">
        <f t="shared" si="23"/>
        <v>32442</v>
      </c>
      <c r="Y746" s="122"/>
      <c r="AA746" t="s">
        <v>56</v>
      </c>
      <c r="AB746" t="s">
        <v>426</v>
      </c>
      <c r="AC746" t="s">
        <v>425</v>
      </c>
      <c r="AD746" t="s">
        <v>426</v>
      </c>
      <c r="AE746" t="s">
        <v>566</v>
      </c>
      <c r="AF746">
        <v>1</v>
      </c>
      <c r="AG746">
        <v>74</v>
      </c>
      <c r="AH746">
        <v>225</v>
      </c>
      <c r="AI746" s="122">
        <v>12621</v>
      </c>
      <c r="AJ746" s="122">
        <v>11474</v>
      </c>
      <c r="AK746">
        <v>65</v>
      </c>
      <c r="AL746" s="122">
        <v>1447</v>
      </c>
      <c r="AM746" s="122">
        <v>1315</v>
      </c>
      <c r="AN746" s="122">
        <v>1901</v>
      </c>
      <c r="AO746">
        <v>704</v>
      </c>
      <c r="AP746">
        <v>351</v>
      </c>
      <c r="AQ746">
        <v>130</v>
      </c>
      <c r="AR746" s="122">
        <v>5582</v>
      </c>
      <c r="AS746" s="122">
        <v>5075</v>
      </c>
      <c r="AT746">
        <v>0</v>
      </c>
      <c r="AU746">
        <v>0</v>
      </c>
      <c r="AV746" s="122">
        <v>18698</v>
      </c>
    </row>
    <row r="747" spans="2:48" hidden="1">
      <c r="B747" t="s">
        <v>367</v>
      </c>
      <c r="C747" t="s">
        <v>64</v>
      </c>
      <c r="D747" t="s">
        <v>555</v>
      </c>
      <c r="E747" t="s">
        <v>556</v>
      </c>
      <c r="F747">
        <v>1</v>
      </c>
      <c r="G747">
        <v>71</v>
      </c>
      <c r="H747" s="122">
        <v>1246</v>
      </c>
      <c r="I747" s="122">
        <v>68073</v>
      </c>
      <c r="J747" s="122">
        <v>61885</v>
      </c>
      <c r="K747">
        <v>30</v>
      </c>
      <c r="L747" s="122">
        <v>7564</v>
      </c>
      <c r="M747" s="122">
        <v>6876</v>
      </c>
      <c r="N747" s="122">
        <v>971</v>
      </c>
      <c r="O747" s="122">
        <v>360</v>
      </c>
      <c r="P747">
        <v>0</v>
      </c>
      <c r="Q747">
        <v>0</v>
      </c>
      <c r="R747" s="122">
        <v>12066</v>
      </c>
      <c r="S747" s="122">
        <v>10055</v>
      </c>
      <c r="T747">
        <v>0</v>
      </c>
      <c r="U747">
        <v>0</v>
      </c>
      <c r="V747" s="122">
        <v>79176</v>
      </c>
      <c r="W747" s="122">
        <f t="shared" si="22"/>
        <v>79176</v>
      </c>
      <c r="X747" s="122">
        <f t="shared" si="23"/>
        <v>88674</v>
      </c>
      <c r="Y747" s="122"/>
      <c r="AA747" t="s">
        <v>56</v>
      </c>
      <c r="AB747" t="s">
        <v>426</v>
      </c>
      <c r="AC747" t="s">
        <v>405</v>
      </c>
      <c r="AD747" t="s">
        <v>426</v>
      </c>
      <c r="AE747" t="s">
        <v>137</v>
      </c>
      <c r="AF747">
        <v>1</v>
      </c>
      <c r="AG747">
        <v>112</v>
      </c>
      <c r="AH747">
        <v>209</v>
      </c>
      <c r="AI747" s="122">
        <v>11695</v>
      </c>
      <c r="AJ747" s="122">
        <v>10631</v>
      </c>
      <c r="AK747">
        <v>65</v>
      </c>
      <c r="AL747" s="122">
        <v>1299</v>
      </c>
      <c r="AM747" s="122">
        <v>1181</v>
      </c>
      <c r="AN747" s="122">
        <v>2525</v>
      </c>
      <c r="AO747">
        <v>935</v>
      </c>
      <c r="AP747">
        <v>702</v>
      </c>
      <c r="AQ747">
        <v>260</v>
      </c>
      <c r="AR747" s="122">
        <v>4664</v>
      </c>
      <c r="AS747" s="122">
        <v>4240</v>
      </c>
      <c r="AT747" s="122">
        <v>2578</v>
      </c>
      <c r="AU747">
        <v>955</v>
      </c>
      <c r="AV747" s="122">
        <v>18203</v>
      </c>
    </row>
    <row r="748" spans="2:48" hidden="1">
      <c r="B748" t="s">
        <v>367</v>
      </c>
      <c r="C748" t="s">
        <v>64</v>
      </c>
      <c r="D748" t="s">
        <v>425</v>
      </c>
      <c r="E748" t="s">
        <v>137</v>
      </c>
      <c r="F748">
        <v>2</v>
      </c>
      <c r="G748">
        <v>131</v>
      </c>
      <c r="H748" s="122">
        <v>1041</v>
      </c>
      <c r="I748" s="122">
        <v>35226</v>
      </c>
      <c r="J748" s="122">
        <v>32023</v>
      </c>
      <c r="K748">
        <v>90</v>
      </c>
      <c r="L748" s="122">
        <v>12470</v>
      </c>
      <c r="M748" s="122">
        <v>10674</v>
      </c>
      <c r="N748" s="122">
        <v>2763</v>
      </c>
      <c r="O748" s="122">
        <v>1024</v>
      </c>
      <c r="P748" s="122">
        <v>351</v>
      </c>
      <c r="Q748">
        <v>130</v>
      </c>
      <c r="R748" s="122">
        <v>15976</v>
      </c>
      <c r="S748" s="122">
        <v>5917</v>
      </c>
      <c r="T748" s="122">
        <v>0</v>
      </c>
      <c r="U748" s="122">
        <v>0</v>
      </c>
      <c r="V748" s="122">
        <v>49768</v>
      </c>
      <c r="W748" s="122">
        <f t="shared" si="22"/>
        <v>49768</v>
      </c>
      <c r="X748" s="122">
        <f t="shared" si="23"/>
        <v>66786</v>
      </c>
      <c r="Y748" s="122"/>
      <c r="AA748" t="s">
        <v>56</v>
      </c>
      <c r="AB748" t="s">
        <v>426</v>
      </c>
      <c r="AC748" t="s">
        <v>137</v>
      </c>
      <c r="AD748" t="s">
        <v>137</v>
      </c>
      <c r="AE748" t="s">
        <v>566</v>
      </c>
      <c r="AF748">
        <v>6</v>
      </c>
      <c r="AG748">
        <v>468</v>
      </c>
      <c r="AH748" s="122">
        <v>1248</v>
      </c>
      <c r="AI748" s="122">
        <v>39221</v>
      </c>
      <c r="AJ748" s="122">
        <v>35656</v>
      </c>
      <c r="AK748">
        <v>70</v>
      </c>
      <c r="AL748" s="122">
        <v>9172</v>
      </c>
      <c r="AM748" s="122">
        <v>3397</v>
      </c>
      <c r="AN748" s="122">
        <v>9274</v>
      </c>
      <c r="AO748" s="122">
        <v>3435</v>
      </c>
      <c r="AP748">
        <v>702</v>
      </c>
      <c r="AQ748">
        <v>260</v>
      </c>
      <c r="AR748" s="122">
        <v>41373</v>
      </c>
      <c r="AS748" s="122">
        <v>15323</v>
      </c>
      <c r="AT748">
        <v>0</v>
      </c>
      <c r="AU748">
        <v>0</v>
      </c>
      <c r="AV748" s="122">
        <v>58071</v>
      </c>
    </row>
    <row r="749" spans="2:48" hidden="1">
      <c r="B749" t="s">
        <v>367</v>
      </c>
      <c r="C749" t="s">
        <v>64</v>
      </c>
      <c r="D749" t="s">
        <v>425</v>
      </c>
      <c r="E749" t="s">
        <v>407</v>
      </c>
      <c r="F749">
        <v>1</v>
      </c>
      <c r="G749" s="122">
        <v>119</v>
      </c>
      <c r="H749" s="122">
        <v>457</v>
      </c>
      <c r="I749" s="122">
        <v>33732</v>
      </c>
      <c r="J749" s="122">
        <v>30666</v>
      </c>
      <c r="K749">
        <v>65</v>
      </c>
      <c r="L749" s="122">
        <v>8423</v>
      </c>
      <c r="M749" s="122">
        <v>7019</v>
      </c>
      <c r="N749" s="122">
        <v>2700</v>
      </c>
      <c r="O749" s="122">
        <v>1000</v>
      </c>
      <c r="P749" s="122">
        <v>621</v>
      </c>
      <c r="Q749" s="122">
        <v>230</v>
      </c>
      <c r="R749" s="122">
        <v>5612</v>
      </c>
      <c r="S749" s="122">
        <v>5102</v>
      </c>
      <c r="T749" s="122">
        <v>3103</v>
      </c>
      <c r="U749" s="122">
        <v>1149</v>
      </c>
      <c r="V749" s="122">
        <v>45166</v>
      </c>
      <c r="W749" s="122">
        <f t="shared" si="22"/>
        <v>45166</v>
      </c>
      <c r="X749" s="122">
        <f t="shared" si="23"/>
        <v>54191</v>
      </c>
      <c r="Y749" s="122"/>
      <c r="AA749" t="s">
        <v>56</v>
      </c>
      <c r="AB749" t="s">
        <v>426</v>
      </c>
      <c r="AC749" t="s">
        <v>137</v>
      </c>
      <c r="AD749" t="s">
        <v>406</v>
      </c>
      <c r="AE749" t="s">
        <v>566</v>
      </c>
      <c r="AF749">
        <v>1</v>
      </c>
      <c r="AG749">
        <v>93</v>
      </c>
      <c r="AH749">
        <v>218</v>
      </c>
      <c r="AI749" s="122">
        <v>7975</v>
      </c>
      <c r="AJ749" s="122">
        <v>7250</v>
      </c>
      <c r="AK749">
        <v>79</v>
      </c>
      <c r="AL749" s="122">
        <v>3670</v>
      </c>
      <c r="AM749" s="122">
        <v>1359</v>
      </c>
      <c r="AN749" s="122">
        <v>2201</v>
      </c>
      <c r="AO749">
        <v>815</v>
      </c>
      <c r="AP749">
        <v>621</v>
      </c>
      <c r="AQ749">
        <v>230</v>
      </c>
      <c r="AR749" s="122">
        <v>5856</v>
      </c>
      <c r="AS749" s="122">
        <v>5324</v>
      </c>
      <c r="AT749">
        <v>0</v>
      </c>
      <c r="AU749">
        <v>0</v>
      </c>
      <c r="AV749" s="122">
        <v>14978</v>
      </c>
    </row>
    <row r="750" spans="2:48" hidden="1">
      <c r="B750" t="s">
        <v>367</v>
      </c>
      <c r="C750" t="s">
        <v>64</v>
      </c>
      <c r="D750" t="s">
        <v>405</v>
      </c>
      <c r="E750" t="s">
        <v>405</v>
      </c>
      <c r="F750">
        <v>2</v>
      </c>
      <c r="G750">
        <v>175</v>
      </c>
      <c r="H750" s="122">
        <v>1070</v>
      </c>
      <c r="I750" s="122">
        <v>59338</v>
      </c>
      <c r="J750" s="122">
        <v>53943</v>
      </c>
      <c r="K750">
        <v>64</v>
      </c>
      <c r="L750" s="122">
        <v>10505</v>
      </c>
      <c r="M750" s="122">
        <v>9550</v>
      </c>
      <c r="N750" s="122">
        <v>4090</v>
      </c>
      <c r="O750" s="122">
        <v>1515</v>
      </c>
      <c r="P750" s="122">
        <v>824</v>
      </c>
      <c r="Q750">
        <v>305</v>
      </c>
      <c r="R750" s="122">
        <v>14400</v>
      </c>
      <c r="S750" s="122">
        <v>13091</v>
      </c>
      <c r="T750" s="122">
        <v>2696</v>
      </c>
      <c r="U750" s="122">
        <v>999</v>
      </c>
      <c r="V750" s="122">
        <v>79403</v>
      </c>
      <c r="W750" s="122">
        <f t="shared" si="22"/>
        <v>79403</v>
      </c>
      <c r="X750" s="122">
        <f t="shared" si="23"/>
        <v>91853</v>
      </c>
      <c r="Y750" s="122"/>
      <c r="AA750" t="s">
        <v>56</v>
      </c>
      <c r="AB750" t="s">
        <v>426</v>
      </c>
      <c r="AC750" t="s">
        <v>137</v>
      </c>
      <c r="AD750" t="s">
        <v>426</v>
      </c>
      <c r="AE750" t="s">
        <v>137</v>
      </c>
      <c r="AF750">
        <v>58</v>
      </c>
      <c r="AG750" s="122">
        <v>5125</v>
      </c>
      <c r="AH750" s="122">
        <v>12274</v>
      </c>
      <c r="AI750" s="122">
        <v>493888</v>
      </c>
      <c r="AJ750" s="122">
        <v>448989</v>
      </c>
      <c r="AK750">
        <v>67</v>
      </c>
      <c r="AL750" s="122">
        <v>124082</v>
      </c>
      <c r="AM750" s="122">
        <v>45956</v>
      </c>
      <c r="AN750" s="122">
        <v>87052</v>
      </c>
      <c r="AO750" s="122">
        <v>32241</v>
      </c>
      <c r="AP750" s="122">
        <v>21312</v>
      </c>
      <c r="AQ750" s="122">
        <v>7893</v>
      </c>
      <c r="AR750" s="122">
        <v>244995</v>
      </c>
      <c r="AS750" s="122">
        <v>222723</v>
      </c>
      <c r="AT750" s="122">
        <v>119108</v>
      </c>
      <c r="AU750" s="122">
        <v>44114</v>
      </c>
      <c r="AV750" s="122">
        <v>801917</v>
      </c>
    </row>
    <row r="751" spans="2:48" hidden="1">
      <c r="B751" t="s">
        <v>367</v>
      </c>
      <c r="C751" t="s">
        <v>64</v>
      </c>
      <c r="D751" t="s">
        <v>405</v>
      </c>
      <c r="E751" t="s">
        <v>137</v>
      </c>
      <c r="F751">
        <v>1</v>
      </c>
      <c r="G751">
        <v>290</v>
      </c>
      <c r="H751" s="122">
        <v>474</v>
      </c>
      <c r="I751" s="122">
        <v>95254</v>
      </c>
      <c r="J751" s="122">
        <v>86595</v>
      </c>
      <c r="K751">
        <v>55</v>
      </c>
      <c r="L751" s="122">
        <v>18416</v>
      </c>
      <c r="M751" s="122">
        <v>16742</v>
      </c>
      <c r="N751" s="122">
        <v>6888</v>
      </c>
      <c r="O751" s="122">
        <v>2551</v>
      </c>
      <c r="P751" s="122">
        <v>473</v>
      </c>
      <c r="Q751">
        <v>175</v>
      </c>
      <c r="R751" s="122">
        <v>16253</v>
      </c>
      <c r="S751" s="122">
        <v>6020</v>
      </c>
      <c r="T751" s="122">
        <v>0</v>
      </c>
      <c r="U751" s="122">
        <v>0</v>
      </c>
      <c r="V751" s="122">
        <v>112082</v>
      </c>
      <c r="W751" s="122">
        <f t="shared" si="22"/>
        <v>112083</v>
      </c>
      <c r="X751" s="122">
        <f t="shared" si="23"/>
        <v>137284</v>
      </c>
      <c r="Y751" s="122"/>
      <c r="AA751" t="s">
        <v>56</v>
      </c>
      <c r="AB751" t="s">
        <v>426</v>
      </c>
      <c r="AC751" t="s">
        <v>137</v>
      </c>
      <c r="AD751" t="s">
        <v>426</v>
      </c>
      <c r="AE751" t="s">
        <v>566</v>
      </c>
      <c r="AF751">
        <v>5</v>
      </c>
      <c r="AG751">
        <v>648</v>
      </c>
      <c r="AH751" s="122">
        <v>1044</v>
      </c>
      <c r="AI751" s="122">
        <v>87983</v>
      </c>
      <c r="AJ751" s="122">
        <v>79985</v>
      </c>
      <c r="AK751">
        <v>70</v>
      </c>
      <c r="AL751" s="122">
        <v>21798</v>
      </c>
      <c r="AM751" s="122">
        <v>8074</v>
      </c>
      <c r="AN751" s="122">
        <v>10471</v>
      </c>
      <c r="AO751" s="122">
        <v>3878</v>
      </c>
      <c r="AP751" s="122">
        <v>4992</v>
      </c>
      <c r="AQ751" s="122">
        <v>1849</v>
      </c>
      <c r="AR751" s="122">
        <v>22653</v>
      </c>
      <c r="AS751" s="122">
        <v>20593</v>
      </c>
      <c r="AT751">
        <v>0</v>
      </c>
      <c r="AU751">
        <v>0</v>
      </c>
      <c r="AV751" s="122">
        <v>114379</v>
      </c>
    </row>
    <row r="752" spans="2:48" hidden="1">
      <c r="B752" t="s">
        <v>367</v>
      </c>
      <c r="C752" t="s">
        <v>64</v>
      </c>
      <c r="D752" t="s">
        <v>405</v>
      </c>
      <c r="E752" t="s">
        <v>407</v>
      </c>
      <c r="F752">
        <v>1</v>
      </c>
      <c r="G752">
        <v>36</v>
      </c>
      <c r="H752">
        <v>555</v>
      </c>
      <c r="I752" s="122">
        <v>15122</v>
      </c>
      <c r="J752" s="122">
        <v>13748</v>
      </c>
      <c r="K752">
        <v>79</v>
      </c>
      <c r="L752" s="122">
        <v>0</v>
      </c>
      <c r="M752" s="122">
        <v>0</v>
      </c>
      <c r="N752" s="122">
        <v>836</v>
      </c>
      <c r="O752" s="122">
        <v>310</v>
      </c>
      <c r="P752">
        <v>473</v>
      </c>
      <c r="Q752">
        <v>175</v>
      </c>
      <c r="R752" s="122">
        <v>2400</v>
      </c>
      <c r="S752" s="122">
        <v>2182</v>
      </c>
      <c r="T752" s="122">
        <v>1093</v>
      </c>
      <c r="U752">
        <v>405</v>
      </c>
      <c r="V752" s="122">
        <v>16819</v>
      </c>
      <c r="W752" s="122">
        <f t="shared" si="22"/>
        <v>16820</v>
      </c>
      <c r="X752" s="122">
        <f t="shared" si="23"/>
        <v>19924</v>
      </c>
      <c r="Y752" s="122"/>
      <c r="AA752" t="s">
        <v>56</v>
      </c>
      <c r="AB752" t="s">
        <v>426</v>
      </c>
      <c r="AC752" t="s">
        <v>137</v>
      </c>
      <c r="AD752" t="s">
        <v>481</v>
      </c>
      <c r="AE752" t="s">
        <v>137</v>
      </c>
      <c r="AF752">
        <v>1</v>
      </c>
      <c r="AG752">
        <v>89</v>
      </c>
      <c r="AH752">
        <v>209</v>
      </c>
      <c r="AI752" s="122">
        <v>7531</v>
      </c>
      <c r="AJ752" s="122">
        <v>6846</v>
      </c>
      <c r="AK752">
        <v>65</v>
      </c>
      <c r="AL752" s="122">
        <v>3004</v>
      </c>
      <c r="AM752" s="122">
        <v>1112</v>
      </c>
      <c r="AN752" s="122">
        <v>1081</v>
      </c>
      <c r="AO752">
        <v>400</v>
      </c>
      <c r="AP752">
        <v>351</v>
      </c>
      <c r="AQ752">
        <v>130</v>
      </c>
      <c r="AR752" s="122">
        <v>4287</v>
      </c>
      <c r="AS752" s="122">
        <v>3897</v>
      </c>
      <c r="AT752" s="122">
        <v>2282</v>
      </c>
      <c r="AU752">
        <v>845</v>
      </c>
      <c r="AV752" s="122">
        <v>13231</v>
      </c>
    </row>
    <row r="753" spans="2:48" hidden="1">
      <c r="B753" t="s">
        <v>367</v>
      </c>
      <c r="C753" t="s">
        <v>64</v>
      </c>
      <c r="D753" t="s">
        <v>137</v>
      </c>
      <c r="E753" t="s">
        <v>425</v>
      </c>
      <c r="F753">
        <v>1</v>
      </c>
      <c r="G753" s="122">
        <v>133</v>
      </c>
      <c r="H753" s="122">
        <v>730</v>
      </c>
      <c r="I753" s="122">
        <v>71304</v>
      </c>
      <c r="J753" s="122">
        <v>26409</v>
      </c>
      <c r="K753">
        <v>100</v>
      </c>
      <c r="L753" s="122">
        <v>17088</v>
      </c>
      <c r="M753" s="122">
        <v>15535</v>
      </c>
      <c r="N753" s="122">
        <v>3229</v>
      </c>
      <c r="O753" s="122">
        <v>1196</v>
      </c>
      <c r="P753" s="122">
        <v>122</v>
      </c>
      <c r="Q753" s="122">
        <v>45</v>
      </c>
      <c r="R753" s="122">
        <v>4991</v>
      </c>
      <c r="S753" s="122">
        <v>4537</v>
      </c>
      <c r="T753" s="122">
        <v>0</v>
      </c>
      <c r="U753">
        <v>0</v>
      </c>
      <c r="V753" s="122">
        <v>47721</v>
      </c>
      <c r="W753" s="122">
        <f t="shared" si="22"/>
        <v>47722</v>
      </c>
      <c r="X753" s="122">
        <f t="shared" si="23"/>
        <v>96734</v>
      </c>
      <c r="Y753" s="122"/>
      <c r="AA753" t="s">
        <v>56</v>
      </c>
      <c r="AB753" t="s">
        <v>426</v>
      </c>
      <c r="AC753" t="s">
        <v>580</v>
      </c>
      <c r="AD753" t="s">
        <v>406</v>
      </c>
      <c r="AE753" t="s">
        <v>137</v>
      </c>
      <c r="AF753">
        <v>1</v>
      </c>
      <c r="AG753">
        <v>96</v>
      </c>
      <c r="AH753">
        <v>175</v>
      </c>
      <c r="AI753" s="122">
        <v>6699</v>
      </c>
      <c r="AJ753" s="122">
        <v>6090</v>
      </c>
      <c r="AK753">
        <v>86</v>
      </c>
      <c r="AL753" s="122">
        <v>2015</v>
      </c>
      <c r="AM753" s="122">
        <v>1831</v>
      </c>
      <c r="AN753" s="122">
        <v>2105</v>
      </c>
      <c r="AO753">
        <v>780</v>
      </c>
      <c r="AP753">
        <v>621</v>
      </c>
      <c r="AQ753">
        <v>230</v>
      </c>
      <c r="AR753" s="122">
        <v>2883</v>
      </c>
      <c r="AS753" s="122">
        <v>2621</v>
      </c>
      <c r="AT753" s="122">
        <v>2510</v>
      </c>
      <c r="AU753">
        <v>930</v>
      </c>
      <c r="AV753" s="122">
        <v>12481</v>
      </c>
    </row>
    <row r="754" spans="2:48" hidden="1">
      <c r="B754" t="s">
        <v>367</v>
      </c>
      <c r="C754" t="s">
        <v>64</v>
      </c>
      <c r="D754" t="s">
        <v>137</v>
      </c>
      <c r="E754" t="s">
        <v>137</v>
      </c>
      <c r="F754" s="122">
        <v>1459</v>
      </c>
      <c r="G754" s="122">
        <v>125135</v>
      </c>
      <c r="H754" s="122">
        <v>930575</v>
      </c>
      <c r="I754" s="122">
        <v>55623638</v>
      </c>
      <c r="J754" s="122">
        <v>20601347</v>
      </c>
      <c r="K754">
        <v>100</v>
      </c>
      <c r="L754" s="122">
        <v>9476471</v>
      </c>
      <c r="M754" s="122">
        <v>7204329</v>
      </c>
      <c r="N754" s="122">
        <v>2710301</v>
      </c>
      <c r="O754" s="122">
        <v>1003815</v>
      </c>
      <c r="P754" s="122">
        <v>12529</v>
      </c>
      <c r="Q754" s="122">
        <v>4641</v>
      </c>
      <c r="R754" s="122">
        <v>10839039</v>
      </c>
      <c r="S754" s="122">
        <v>4014459</v>
      </c>
      <c r="T754" s="122">
        <v>45933</v>
      </c>
      <c r="U754" s="122">
        <v>17012</v>
      </c>
      <c r="V754" s="122">
        <v>32845603</v>
      </c>
      <c r="W754" s="122">
        <f t="shared" si="22"/>
        <v>32845603</v>
      </c>
      <c r="X754" s="122">
        <f t="shared" si="23"/>
        <v>78707911</v>
      </c>
      <c r="Y754" s="122"/>
      <c r="AA754" t="s">
        <v>56</v>
      </c>
      <c r="AB754" t="s">
        <v>426</v>
      </c>
      <c r="AC754" t="s">
        <v>580</v>
      </c>
      <c r="AD754" t="s">
        <v>426</v>
      </c>
      <c r="AE754" t="s">
        <v>137</v>
      </c>
      <c r="AF754">
        <v>21</v>
      </c>
      <c r="AG754" s="122">
        <v>2662</v>
      </c>
      <c r="AH754" s="122">
        <v>4420</v>
      </c>
      <c r="AI754" s="122">
        <v>318449</v>
      </c>
      <c r="AJ754" s="122">
        <v>289499</v>
      </c>
      <c r="AK754">
        <v>69</v>
      </c>
      <c r="AL754" s="122">
        <v>30156</v>
      </c>
      <c r="AM754" s="122">
        <v>27415</v>
      </c>
      <c r="AN754" s="122">
        <v>53912</v>
      </c>
      <c r="AO754" s="122">
        <v>19967</v>
      </c>
      <c r="AP754" s="122">
        <v>14067</v>
      </c>
      <c r="AQ754" s="122">
        <v>5210</v>
      </c>
      <c r="AR754" s="122">
        <v>107555</v>
      </c>
      <c r="AS754" s="122">
        <v>97778</v>
      </c>
      <c r="AT754" s="122">
        <v>52119</v>
      </c>
      <c r="AU754" s="122">
        <v>19303</v>
      </c>
      <c r="AV754" s="122">
        <v>459172</v>
      </c>
    </row>
    <row r="755" spans="2:48" hidden="1">
      <c r="B755" t="s">
        <v>367</v>
      </c>
      <c r="C755" t="s">
        <v>64</v>
      </c>
      <c r="D755" t="s">
        <v>137</v>
      </c>
      <c r="E755" t="s">
        <v>427</v>
      </c>
      <c r="F755" s="122">
        <v>4</v>
      </c>
      <c r="G755" s="122">
        <v>321</v>
      </c>
      <c r="H755" s="122">
        <v>2411</v>
      </c>
      <c r="I755" s="122">
        <v>124804</v>
      </c>
      <c r="J755" s="122">
        <v>46224</v>
      </c>
      <c r="K755">
        <v>100</v>
      </c>
      <c r="L755" s="122">
        <v>18546</v>
      </c>
      <c r="M755" s="122">
        <v>12144</v>
      </c>
      <c r="N755" s="122">
        <v>7412</v>
      </c>
      <c r="O755" s="122">
        <v>2745</v>
      </c>
      <c r="P755" s="122">
        <v>351</v>
      </c>
      <c r="Q755" s="122">
        <v>130</v>
      </c>
      <c r="R755" s="122">
        <v>32662</v>
      </c>
      <c r="S755" s="122">
        <v>29693</v>
      </c>
      <c r="T755" s="122">
        <v>8457</v>
      </c>
      <c r="U755" s="122">
        <v>3132</v>
      </c>
      <c r="V755" s="122">
        <v>94068</v>
      </c>
      <c r="W755" s="122">
        <f t="shared" si="22"/>
        <v>94068</v>
      </c>
      <c r="X755" s="122">
        <f t="shared" si="23"/>
        <v>192232</v>
      </c>
      <c r="Y755" s="122"/>
      <c r="AA755" t="s">
        <v>56</v>
      </c>
      <c r="AB755" t="s">
        <v>426</v>
      </c>
      <c r="AC755" t="s">
        <v>580</v>
      </c>
      <c r="AD755" t="s">
        <v>426</v>
      </c>
      <c r="AE755" t="s">
        <v>566</v>
      </c>
      <c r="AF755">
        <v>1</v>
      </c>
      <c r="AG755">
        <v>105</v>
      </c>
      <c r="AH755">
        <v>222</v>
      </c>
      <c r="AI755" s="122">
        <v>13315</v>
      </c>
      <c r="AJ755" s="122">
        <v>12104</v>
      </c>
      <c r="AK755">
        <v>65</v>
      </c>
      <c r="AL755" s="122">
        <v>1125</v>
      </c>
      <c r="AM755" s="122">
        <v>1022</v>
      </c>
      <c r="AN755" s="122">
        <v>1516</v>
      </c>
      <c r="AO755">
        <v>562</v>
      </c>
      <c r="AP755">
        <v>621</v>
      </c>
      <c r="AQ755">
        <v>230</v>
      </c>
      <c r="AR755" s="122">
        <v>6807</v>
      </c>
      <c r="AS755" s="122">
        <v>6188</v>
      </c>
      <c r="AT755">
        <v>0</v>
      </c>
      <c r="AU755">
        <v>0</v>
      </c>
      <c r="AV755" s="122">
        <v>20106</v>
      </c>
    </row>
    <row r="756" spans="2:48" hidden="1">
      <c r="B756" t="s">
        <v>367</v>
      </c>
      <c r="C756" t="s">
        <v>64</v>
      </c>
      <c r="D756" t="s">
        <v>137</v>
      </c>
      <c r="E756" t="s">
        <v>407</v>
      </c>
      <c r="F756">
        <v>17</v>
      </c>
      <c r="G756" s="122">
        <v>1353</v>
      </c>
      <c r="H756" s="122">
        <v>10102</v>
      </c>
      <c r="I756" s="122">
        <v>545916</v>
      </c>
      <c r="J756" s="122">
        <v>202191</v>
      </c>
      <c r="K756">
        <v>100</v>
      </c>
      <c r="L756" s="122">
        <v>124589</v>
      </c>
      <c r="M756" s="122">
        <v>108463</v>
      </c>
      <c r="N756" s="122">
        <v>28877</v>
      </c>
      <c r="O756" s="122">
        <v>10695</v>
      </c>
      <c r="P756" s="122">
        <v>1661</v>
      </c>
      <c r="Q756">
        <v>615</v>
      </c>
      <c r="R756" s="122">
        <v>72051</v>
      </c>
      <c r="S756" s="122">
        <v>65501</v>
      </c>
      <c r="T756" s="122">
        <v>8265</v>
      </c>
      <c r="U756" s="122">
        <v>3061</v>
      </c>
      <c r="V756" s="122">
        <v>390527</v>
      </c>
      <c r="W756" s="122">
        <f t="shared" si="22"/>
        <v>390526</v>
      </c>
      <c r="X756" s="122">
        <f t="shared" si="23"/>
        <v>781359</v>
      </c>
      <c r="Y756" s="122"/>
      <c r="AA756" t="s">
        <v>56</v>
      </c>
      <c r="AB756" t="s">
        <v>426</v>
      </c>
      <c r="AC756" t="s">
        <v>407</v>
      </c>
      <c r="AD756" t="s">
        <v>407</v>
      </c>
      <c r="AE756" t="s">
        <v>566</v>
      </c>
      <c r="AF756">
        <v>1</v>
      </c>
      <c r="AG756">
        <v>117</v>
      </c>
      <c r="AH756">
        <v>160</v>
      </c>
      <c r="AI756" s="122">
        <v>8279</v>
      </c>
      <c r="AJ756" s="122">
        <v>7527</v>
      </c>
      <c r="AK756">
        <v>79</v>
      </c>
      <c r="AL756" s="122">
        <v>2413</v>
      </c>
      <c r="AM756" s="122">
        <v>2194</v>
      </c>
      <c r="AN756" s="122">
        <v>2541</v>
      </c>
      <c r="AO756">
        <v>941</v>
      </c>
      <c r="AP756">
        <v>473</v>
      </c>
      <c r="AQ756">
        <v>175</v>
      </c>
      <c r="AR756" s="122">
        <v>4983</v>
      </c>
      <c r="AS756" s="122">
        <v>4530</v>
      </c>
      <c r="AT756">
        <v>0</v>
      </c>
      <c r="AU756">
        <v>0</v>
      </c>
      <c r="AV756" s="122">
        <v>15366</v>
      </c>
    </row>
    <row r="757" spans="2:48" hidden="1">
      <c r="B757" t="s">
        <v>367</v>
      </c>
      <c r="C757" t="s">
        <v>64</v>
      </c>
      <c r="D757" t="s">
        <v>137</v>
      </c>
      <c r="E757" t="s">
        <v>556</v>
      </c>
      <c r="F757">
        <v>31</v>
      </c>
      <c r="G757" s="122">
        <v>2741</v>
      </c>
      <c r="H757" s="122">
        <v>18637</v>
      </c>
      <c r="I757" s="122">
        <v>1115478</v>
      </c>
      <c r="J757" s="122">
        <v>413140</v>
      </c>
      <c r="K757">
        <v>100</v>
      </c>
      <c r="L757" s="122">
        <v>195179</v>
      </c>
      <c r="M757" s="122">
        <v>150930</v>
      </c>
      <c r="N757" s="122">
        <v>57774</v>
      </c>
      <c r="O757" s="122">
        <v>21398</v>
      </c>
      <c r="P757" s="122">
        <v>1404</v>
      </c>
      <c r="Q757" s="122">
        <v>520</v>
      </c>
      <c r="R757" s="122">
        <v>204797</v>
      </c>
      <c r="S757" s="122">
        <v>170664</v>
      </c>
      <c r="T757" s="122">
        <v>62572</v>
      </c>
      <c r="U757" s="122">
        <v>23175</v>
      </c>
      <c r="V757" s="122">
        <v>779826</v>
      </c>
      <c r="W757" s="122">
        <f t="shared" si="22"/>
        <v>779827</v>
      </c>
      <c r="X757" s="122">
        <f t="shared" si="23"/>
        <v>1637204</v>
      </c>
      <c r="Y757" s="122"/>
      <c r="AA757" t="s">
        <v>56</v>
      </c>
      <c r="AB757" t="s">
        <v>426</v>
      </c>
      <c r="AC757" t="s">
        <v>426</v>
      </c>
      <c r="AD757" t="s">
        <v>137</v>
      </c>
      <c r="AE757" t="s">
        <v>566</v>
      </c>
      <c r="AF757">
        <v>1</v>
      </c>
      <c r="AG757">
        <v>116</v>
      </c>
      <c r="AH757">
        <v>181</v>
      </c>
      <c r="AI757" s="122">
        <v>7577</v>
      </c>
      <c r="AJ757" s="122">
        <v>6888</v>
      </c>
      <c r="AK757">
        <v>100</v>
      </c>
      <c r="AL757" s="122">
        <v>2806</v>
      </c>
      <c r="AM757" s="122">
        <v>2551</v>
      </c>
      <c r="AN757" s="122">
        <v>1822</v>
      </c>
      <c r="AO757">
        <v>675</v>
      </c>
      <c r="AP757">
        <v>0</v>
      </c>
      <c r="AQ757">
        <v>0</v>
      </c>
      <c r="AR757" s="122">
        <v>8767</v>
      </c>
      <c r="AS757" s="122">
        <v>3247</v>
      </c>
      <c r="AT757">
        <v>0</v>
      </c>
      <c r="AU757">
        <v>0</v>
      </c>
      <c r="AV757" s="122">
        <v>13361</v>
      </c>
    </row>
    <row r="758" spans="2:48" hidden="1">
      <c r="B758" t="s">
        <v>367</v>
      </c>
      <c r="C758" t="s">
        <v>64</v>
      </c>
      <c r="D758" t="s">
        <v>137</v>
      </c>
      <c r="E758" t="s">
        <v>426</v>
      </c>
      <c r="F758">
        <v>6</v>
      </c>
      <c r="G758">
        <v>442</v>
      </c>
      <c r="H758" s="122">
        <v>3850</v>
      </c>
      <c r="I758" s="122">
        <v>199579</v>
      </c>
      <c r="J758" s="122">
        <v>73918</v>
      </c>
      <c r="K758">
        <v>100</v>
      </c>
      <c r="L758" s="122">
        <v>31282</v>
      </c>
      <c r="M758" s="122">
        <v>28354</v>
      </c>
      <c r="N758" s="122">
        <v>9601</v>
      </c>
      <c r="O758" s="122">
        <v>3556</v>
      </c>
      <c r="P758" s="122">
        <v>0</v>
      </c>
      <c r="Q758">
        <v>0</v>
      </c>
      <c r="R758" s="122">
        <v>39470</v>
      </c>
      <c r="S758" s="122">
        <v>35882</v>
      </c>
      <c r="T758" s="122">
        <v>8785</v>
      </c>
      <c r="U758" s="122">
        <v>3254</v>
      </c>
      <c r="V758" s="122">
        <v>144964</v>
      </c>
      <c r="W758" s="122">
        <f t="shared" si="22"/>
        <v>144964</v>
      </c>
      <c r="X758" s="122">
        <f t="shared" si="23"/>
        <v>288717</v>
      </c>
      <c r="Y758" s="122"/>
      <c r="AA758" t="s">
        <v>56</v>
      </c>
      <c r="AB758" t="s">
        <v>426</v>
      </c>
      <c r="AC758" t="s">
        <v>426</v>
      </c>
      <c r="AD758" t="s">
        <v>426</v>
      </c>
      <c r="AE758" t="s">
        <v>137</v>
      </c>
      <c r="AF758">
        <v>167</v>
      </c>
      <c r="AG758" s="122">
        <v>14965</v>
      </c>
      <c r="AH758" s="122">
        <v>35545</v>
      </c>
      <c r="AI758" s="122">
        <v>1571208</v>
      </c>
      <c r="AJ758" s="122">
        <v>1428371</v>
      </c>
      <c r="AK758">
        <v>67</v>
      </c>
      <c r="AL758" s="122">
        <v>287228</v>
      </c>
      <c r="AM758" s="122">
        <v>261116</v>
      </c>
      <c r="AN758" s="122">
        <v>265783</v>
      </c>
      <c r="AO758" s="122">
        <v>98438</v>
      </c>
      <c r="AP758" s="122">
        <v>61898</v>
      </c>
      <c r="AQ758" s="122">
        <v>22925</v>
      </c>
      <c r="AR758" s="122">
        <v>675645</v>
      </c>
      <c r="AS758" s="122">
        <v>614223</v>
      </c>
      <c r="AT758" s="122">
        <v>350382</v>
      </c>
      <c r="AU758" s="122">
        <v>129771</v>
      </c>
      <c r="AV758" s="122">
        <v>2554845</v>
      </c>
    </row>
    <row r="759" spans="2:48" hidden="1">
      <c r="B759" t="s">
        <v>367</v>
      </c>
      <c r="C759" t="s">
        <v>64</v>
      </c>
      <c r="D759" t="s">
        <v>406</v>
      </c>
      <c r="E759" t="s">
        <v>137</v>
      </c>
      <c r="F759">
        <v>15</v>
      </c>
      <c r="G759" s="122">
        <v>1718</v>
      </c>
      <c r="H759" s="122">
        <v>8004</v>
      </c>
      <c r="I759" s="122">
        <v>589102</v>
      </c>
      <c r="J759" s="122">
        <v>535547</v>
      </c>
      <c r="K759">
        <v>74</v>
      </c>
      <c r="L759" s="122">
        <v>130373</v>
      </c>
      <c r="M759" s="122">
        <v>111460</v>
      </c>
      <c r="N759" s="122">
        <v>36646</v>
      </c>
      <c r="O759" s="122">
        <v>13572</v>
      </c>
      <c r="P759" s="122">
        <v>8343</v>
      </c>
      <c r="Q759" s="122">
        <v>3090</v>
      </c>
      <c r="R759" s="122">
        <v>133534</v>
      </c>
      <c r="S759" s="122">
        <v>49457</v>
      </c>
      <c r="T759">
        <v>0</v>
      </c>
      <c r="U759">
        <v>0</v>
      </c>
      <c r="V759" s="122">
        <v>713127</v>
      </c>
      <c r="W759" s="122">
        <f t="shared" si="22"/>
        <v>713126</v>
      </c>
      <c r="X759" s="122">
        <f t="shared" si="23"/>
        <v>897998</v>
      </c>
      <c r="Y759" s="122"/>
      <c r="AA759" t="s">
        <v>56</v>
      </c>
      <c r="AB759" t="s">
        <v>426</v>
      </c>
      <c r="AC759" t="s">
        <v>426</v>
      </c>
      <c r="AD759" t="s">
        <v>426</v>
      </c>
      <c r="AE759" t="s">
        <v>566</v>
      </c>
      <c r="AF759">
        <v>11</v>
      </c>
      <c r="AG759" s="122">
        <v>1079</v>
      </c>
      <c r="AH759" s="122">
        <v>2340</v>
      </c>
      <c r="AI759" s="122">
        <v>117810</v>
      </c>
      <c r="AJ759" s="122">
        <v>107100</v>
      </c>
      <c r="AK759">
        <v>66</v>
      </c>
      <c r="AL759" s="122">
        <v>20328</v>
      </c>
      <c r="AM759" s="122">
        <v>18480</v>
      </c>
      <c r="AN759" s="122">
        <v>19580</v>
      </c>
      <c r="AO759" s="122">
        <v>7252</v>
      </c>
      <c r="AP759" s="122">
        <v>4131</v>
      </c>
      <c r="AQ759" s="122">
        <v>1530</v>
      </c>
      <c r="AR759" s="122">
        <v>66671</v>
      </c>
      <c r="AS759" s="122">
        <v>60610</v>
      </c>
      <c r="AT759">
        <v>0</v>
      </c>
      <c r="AU759">
        <v>0</v>
      </c>
      <c r="AV759" s="122">
        <v>194971</v>
      </c>
    </row>
    <row r="760" spans="2:48" hidden="1">
      <c r="B760" t="s">
        <v>367</v>
      </c>
      <c r="C760" t="s">
        <v>64</v>
      </c>
      <c r="D760" t="s">
        <v>406</v>
      </c>
      <c r="E760" t="s">
        <v>406</v>
      </c>
      <c r="F760">
        <v>793</v>
      </c>
      <c r="G760" s="122">
        <v>82984</v>
      </c>
      <c r="H760" s="122">
        <v>408486</v>
      </c>
      <c r="I760" s="122">
        <v>27433598</v>
      </c>
      <c r="J760" s="122">
        <v>24939635</v>
      </c>
      <c r="K760">
        <v>68</v>
      </c>
      <c r="L760" s="122">
        <v>6538382</v>
      </c>
      <c r="M760" s="122">
        <v>5472415</v>
      </c>
      <c r="N760" s="122">
        <v>1802864</v>
      </c>
      <c r="O760" s="122">
        <v>667727</v>
      </c>
      <c r="P760" s="122">
        <v>496388</v>
      </c>
      <c r="Q760" s="122">
        <v>183847</v>
      </c>
      <c r="R760" s="122">
        <v>5091213</v>
      </c>
      <c r="S760" s="122">
        <v>4628376</v>
      </c>
      <c r="T760" s="122">
        <v>1642690</v>
      </c>
      <c r="U760" s="122">
        <v>608404</v>
      </c>
      <c r="V760" s="122">
        <v>36500403</v>
      </c>
      <c r="W760" s="122">
        <f t="shared" si="22"/>
        <v>36500404</v>
      </c>
      <c r="X760" s="122">
        <f t="shared" si="23"/>
        <v>43005135</v>
      </c>
      <c r="Y760" s="122"/>
      <c r="AA760" t="s">
        <v>56</v>
      </c>
      <c r="AB760" t="s">
        <v>426</v>
      </c>
      <c r="AC760" t="s">
        <v>566</v>
      </c>
      <c r="AD760" t="s">
        <v>137</v>
      </c>
      <c r="AE760" t="s">
        <v>137</v>
      </c>
      <c r="AF760">
        <v>3</v>
      </c>
      <c r="AG760">
        <v>227</v>
      </c>
      <c r="AH760">
        <v>659</v>
      </c>
      <c r="AI760" s="122">
        <v>7415</v>
      </c>
      <c r="AJ760" s="122">
        <v>6741</v>
      </c>
      <c r="AK760">
        <v>65</v>
      </c>
      <c r="AL760">
        <v>0</v>
      </c>
      <c r="AM760">
        <v>0</v>
      </c>
      <c r="AN760" s="122">
        <v>3505</v>
      </c>
      <c r="AO760" s="122">
        <v>1298</v>
      </c>
      <c r="AP760" s="122">
        <v>1053</v>
      </c>
      <c r="AQ760">
        <v>390</v>
      </c>
      <c r="AR760" s="122">
        <v>31187</v>
      </c>
      <c r="AS760" s="122">
        <v>11551</v>
      </c>
      <c r="AT760" s="122">
        <v>6724</v>
      </c>
      <c r="AU760" s="122">
        <v>2490</v>
      </c>
      <c r="AV760" s="122">
        <v>22470</v>
      </c>
    </row>
    <row r="761" spans="2:48" hidden="1">
      <c r="B761" t="s">
        <v>367</v>
      </c>
      <c r="C761" t="s">
        <v>64</v>
      </c>
      <c r="D761" t="s">
        <v>406</v>
      </c>
      <c r="E761" t="s">
        <v>407</v>
      </c>
      <c r="F761">
        <v>6</v>
      </c>
      <c r="G761" s="122">
        <v>677</v>
      </c>
      <c r="H761" s="122">
        <v>2970</v>
      </c>
      <c r="I761" s="122">
        <v>216864</v>
      </c>
      <c r="J761" s="122">
        <v>197149</v>
      </c>
      <c r="K761">
        <v>66</v>
      </c>
      <c r="L761" s="122">
        <v>48218</v>
      </c>
      <c r="M761" s="122">
        <v>42001</v>
      </c>
      <c r="N761" s="122">
        <v>15597</v>
      </c>
      <c r="O761" s="122">
        <v>5777</v>
      </c>
      <c r="P761" s="122">
        <v>3726</v>
      </c>
      <c r="Q761" s="122">
        <v>1380</v>
      </c>
      <c r="R761" s="122">
        <v>32246</v>
      </c>
      <c r="S761" s="122">
        <v>29315</v>
      </c>
      <c r="T761" s="122">
        <v>17875</v>
      </c>
      <c r="U761" s="122">
        <v>6620</v>
      </c>
      <c r="V761" s="122">
        <v>282242</v>
      </c>
      <c r="W761" s="122">
        <f t="shared" si="22"/>
        <v>282242</v>
      </c>
      <c r="X761" s="122">
        <f t="shared" si="23"/>
        <v>334526</v>
      </c>
      <c r="Y761" s="122"/>
      <c r="AA761" t="s">
        <v>56</v>
      </c>
      <c r="AB761" t="s">
        <v>426</v>
      </c>
      <c r="AC761" t="s">
        <v>566</v>
      </c>
      <c r="AD761" t="s">
        <v>579</v>
      </c>
      <c r="AE761" t="s">
        <v>137</v>
      </c>
      <c r="AF761">
        <v>1</v>
      </c>
      <c r="AG761">
        <v>89</v>
      </c>
      <c r="AH761">
        <v>203</v>
      </c>
      <c r="AI761" s="122">
        <v>9552</v>
      </c>
      <c r="AJ761" s="122">
        <v>8683</v>
      </c>
      <c r="AK761">
        <v>65</v>
      </c>
      <c r="AL761">
        <v>0</v>
      </c>
      <c r="AM761">
        <v>0</v>
      </c>
      <c r="AN761" s="122">
        <v>1926</v>
      </c>
      <c r="AO761">
        <v>713</v>
      </c>
      <c r="AP761">
        <v>351</v>
      </c>
      <c r="AQ761">
        <v>130</v>
      </c>
      <c r="AR761" s="122">
        <v>3924</v>
      </c>
      <c r="AS761" s="122">
        <v>3270</v>
      </c>
      <c r="AT761" s="122">
        <v>2283</v>
      </c>
      <c r="AU761">
        <v>846</v>
      </c>
      <c r="AV761" s="122">
        <v>13642</v>
      </c>
    </row>
    <row r="762" spans="2:48" hidden="1">
      <c r="B762" t="s">
        <v>367</v>
      </c>
      <c r="C762" t="s">
        <v>64</v>
      </c>
      <c r="D762" t="s">
        <v>406</v>
      </c>
      <c r="E762" t="s">
        <v>426</v>
      </c>
      <c r="F762">
        <v>1</v>
      </c>
      <c r="G762">
        <v>86</v>
      </c>
      <c r="H762">
        <v>580</v>
      </c>
      <c r="I762" s="122">
        <v>32744</v>
      </c>
      <c r="J762" s="122">
        <v>29768</v>
      </c>
      <c r="K762">
        <v>70</v>
      </c>
      <c r="L762" s="122">
        <v>8065</v>
      </c>
      <c r="M762" s="122">
        <v>7332</v>
      </c>
      <c r="N762" s="122">
        <v>1923</v>
      </c>
      <c r="O762">
        <v>712</v>
      </c>
      <c r="P762">
        <v>621</v>
      </c>
      <c r="Q762">
        <v>230</v>
      </c>
      <c r="R762" s="122">
        <v>6689</v>
      </c>
      <c r="S762" s="122">
        <v>6081</v>
      </c>
      <c r="T762" s="122">
        <v>0</v>
      </c>
      <c r="U762">
        <v>0</v>
      </c>
      <c r="V762" s="122">
        <v>44123</v>
      </c>
      <c r="W762" s="122">
        <f t="shared" si="22"/>
        <v>44123</v>
      </c>
      <c r="X762" s="122">
        <f t="shared" si="23"/>
        <v>50042</v>
      </c>
      <c r="Y762" s="122"/>
      <c r="AA762" t="s">
        <v>56</v>
      </c>
      <c r="AB762" t="s">
        <v>426</v>
      </c>
      <c r="AC762" t="s">
        <v>566</v>
      </c>
      <c r="AD762" t="s">
        <v>426</v>
      </c>
      <c r="AE762" t="s">
        <v>137</v>
      </c>
      <c r="AF762">
        <v>265</v>
      </c>
      <c r="AG762" s="122">
        <v>23294</v>
      </c>
      <c r="AH762" s="122">
        <v>55429</v>
      </c>
      <c r="AI762" s="122">
        <v>2751802</v>
      </c>
      <c r="AJ762" s="122">
        <v>2501638</v>
      </c>
      <c r="AK762">
        <v>66</v>
      </c>
      <c r="AL762">
        <v>0</v>
      </c>
      <c r="AM762" s="122">
        <v>13741</v>
      </c>
      <c r="AN762" s="122">
        <v>432701</v>
      </c>
      <c r="AO762" s="122">
        <v>160260</v>
      </c>
      <c r="AP762" s="122">
        <v>92583</v>
      </c>
      <c r="AQ762" s="122">
        <v>34290</v>
      </c>
      <c r="AR762" s="122">
        <v>1050650</v>
      </c>
      <c r="AS762" s="122">
        <v>955136</v>
      </c>
      <c r="AT762" s="122">
        <v>544736</v>
      </c>
      <c r="AU762" s="122">
        <v>201754</v>
      </c>
      <c r="AV762" s="122">
        <v>3866820</v>
      </c>
    </row>
    <row r="763" spans="2:48" hidden="1">
      <c r="B763" t="s">
        <v>367</v>
      </c>
      <c r="C763" t="s">
        <v>64</v>
      </c>
      <c r="D763" t="s">
        <v>427</v>
      </c>
      <c r="E763" t="s">
        <v>137</v>
      </c>
      <c r="F763">
        <v>66</v>
      </c>
      <c r="G763" s="122">
        <v>5832</v>
      </c>
      <c r="H763" s="122">
        <v>68605</v>
      </c>
      <c r="I763" s="122">
        <v>4560453</v>
      </c>
      <c r="J763" s="122">
        <v>4145866</v>
      </c>
      <c r="K763">
        <v>32</v>
      </c>
      <c r="L763" s="122">
        <v>375680</v>
      </c>
      <c r="M763" s="122">
        <v>205252</v>
      </c>
      <c r="N763" s="122">
        <v>134260</v>
      </c>
      <c r="O763" s="122">
        <v>49726</v>
      </c>
      <c r="P763" s="122">
        <v>2808</v>
      </c>
      <c r="Q763" s="122">
        <v>1040</v>
      </c>
      <c r="R763" s="122">
        <v>629180</v>
      </c>
      <c r="S763" s="122">
        <v>233030</v>
      </c>
      <c r="T763" s="122">
        <v>5484</v>
      </c>
      <c r="U763" s="122">
        <v>2031</v>
      </c>
      <c r="V763" s="122">
        <v>4636945</v>
      </c>
      <c r="W763" s="122">
        <f t="shared" si="22"/>
        <v>4636945</v>
      </c>
      <c r="X763" s="122">
        <f t="shared" si="23"/>
        <v>5707865</v>
      </c>
      <c r="Y763" s="122"/>
      <c r="AA763" t="s">
        <v>56</v>
      </c>
      <c r="AB763" t="s">
        <v>426</v>
      </c>
      <c r="AC763" t="s">
        <v>566</v>
      </c>
      <c r="AD763" t="s">
        <v>426</v>
      </c>
      <c r="AE763" t="s">
        <v>566</v>
      </c>
      <c r="AF763">
        <v>21</v>
      </c>
      <c r="AG763" s="122">
        <v>1827</v>
      </c>
      <c r="AH763" s="122">
        <v>4033</v>
      </c>
      <c r="AI763" s="122">
        <v>247447</v>
      </c>
      <c r="AJ763" s="122">
        <v>224952</v>
      </c>
      <c r="AK763">
        <v>68</v>
      </c>
      <c r="AL763">
        <v>0</v>
      </c>
      <c r="AM763" s="122">
        <v>3226</v>
      </c>
      <c r="AN763" s="122">
        <v>36001</v>
      </c>
      <c r="AO763" s="122">
        <v>13334</v>
      </c>
      <c r="AP763" s="122">
        <v>7911</v>
      </c>
      <c r="AQ763" s="122">
        <v>2930</v>
      </c>
      <c r="AR763" s="122">
        <v>66327</v>
      </c>
      <c r="AS763" s="122">
        <v>60297</v>
      </c>
      <c r="AT763">
        <v>0</v>
      </c>
      <c r="AU763">
        <v>0</v>
      </c>
      <c r="AV763" s="122">
        <v>304738</v>
      </c>
    </row>
    <row r="764" spans="2:48" hidden="1">
      <c r="B764" t="s">
        <v>367</v>
      </c>
      <c r="C764" t="s">
        <v>64</v>
      </c>
      <c r="D764" t="s">
        <v>427</v>
      </c>
      <c r="E764" t="s">
        <v>406</v>
      </c>
      <c r="F764">
        <v>1</v>
      </c>
      <c r="G764" s="122">
        <v>98</v>
      </c>
      <c r="H764" s="122">
        <v>527</v>
      </c>
      <c r="I764" s="122">
        <v>32560</v>
      </c>
      <c r="J764" s="122">
        <v>29600</v>
      </c>
      <c r="K764">
        <v>65</v>
      </c>
      <c r="L764" s="122">
        <v>8130</v>
      </c>
      <c r="M764" s="122">
        <v>6775</v>
      </c>
      <c r="N764" s="122">
        <v>2233</v>
      </c>
      <c r="O764" s="122">
        <v>827</v>
      </c>
      <c r="P764" s="122">
        <v>621</v>
      </c>
      <c r="Q764" s="122">
        <v>230</v>
      </c>
      <c r="R764" s="122">
        <v>5270</v>
      </c>
      <c r="S764" s="122">
        <v>4791</v>
      </c>
      <c r="T764" s="122">
        <v>2847</v>
      </c>
      <c r="U764" s="122">
        <v>1055</v>
      </c>
      <c r="V764" s="122">
        <v>43278</v>
      </c>
      <c r="W764" s="122">
        <f t="shared" si="22"/>
        <v>43278</v>
      </c>
      <c r="X764" s="122">
        <f t="shared" si="23"/>
        <v>51661</v>
      </c>
      <c r="Y764" s="122"/>
      <c r="AA764" t="s">
        <v>56</v>
      </c>
      <c r="AB764" t="s">
        <v>426</v>
      </c>
      <c r="AC764" t="s">
        <v>433</v>
      </c>
      <c r="AD764" t="s">
        <v>426</v>
      </c>
      <c r="AE764" t="s">
        <v>137</v>
      </c>
      <c r="AF764">
        <v>2</v>
      </c>
      <c r="AG764">
        <v>190</v>
      </c>
      <c r="AH764">
        <v>408</v>
      </c>
      <c r="AI764" s="122">
        <v>19828</v>
      </c>
      <c r="AJ764" s="122">
        <v>18026</v>
      </c>
      <c r="AK764">
        <v>74</v>
      </c>
      <c r="AL764" s="122">
        <v>2217</v>
      </c>
      <c r="AM764" s="122">
        <v>2015</v>
      </c>
      <c r="AN764" s="122">
        <v>2314</v>
      </c>
      <c r="AO764">
        <v>857</v>
      </c>
      <c r="AP764">
        <v>702</v>
      </c>
      <c r="AQ764">
        <v>260</v>
      </c>
      <c r="AR764" s="122">
        <v>8449</v>
      </c>
      <c r="AS764" s="122">
        <v>7680</v>
      </c>
      <c r="AT764" s="122">
        <v>5424</v>
      </c>
      <c r="AU764" s="122">
        <v>2009</v>
      </c>
      <c r="AV764" s="122">
        <v>30848</v>
      </c>
    </row>
    <row r="765" spans="2:48" hidden="1">
      <c r="B765" t="s">
        <v>367</v>
      </c>
      <c r="C765" t="s">
        <v>64</v>
      </c>
      <c r="D765" t="s">
        <v>427</v>
      </c>
      <c r="E765" t="s">
        <v>427</v>
      </c>
      <c r="F765">
        <v>36</v>
      </c>
      <c r="G765" s="122">
        <v>2884</v>
      </c>
      <c r="H765" s="122">
        <v>23959</v>
      </c>
      <c r="I765" s="122">
        <v>1341584</v>
      </c>
      <c r="J765" s="122">
        <v>1219622</v>
      </c>
      <c r="K765">
        <v>51</v>
      </c>
      <c r="L765" s="122">
        <v>182987</v>
      </c>
      <c r="M765" s="122">
        <v>313102</v>
      </c>
      <c r="N765" s="122">
        <v>64143</v>
      </c>
      <c r="O765" s="122">
        <v>23757</v>
      </c>
      <c r="P765" s="122">
        <v>7722</v>
      </c>
      <c r="Q765" s="122">
        <v>2860</v>
      </c>
      <c r="R765" s="122">
        <v>257965</v>
      </c>
      <c r="S765" s="122">
        <v>234513</v>
      </c>
      <c r="T765" s="122">
        <v>60123</v>
      </c>
      <c r="U765" s="122">
        <v>22268</v>
      </c>
      <c r="V765" s="122">
        <v>1816122</v>
      </c>
      <c r="W765" s="122">
        <f t="shared" si="22"/>
        <v>1816122</v>
      </c>
      <c r="X765" s="122">
        <f t="shared" si="23"/>
        <v>1914524</v>
      </c>
      <c r="Y765" s="122"/>
      <c r="AA765" t="s">
        <v>56</v>
      </c>
      <c r="AB765" t="s">
        <v>481</v>
      </c>
      <c r="AC765" t="s">
        <v>426</v>
      </c>
      <c r="AD765" t="s">
        <v>481</v>
      </c>
      <c r="AE765" t="s">
        <v>566</v>
      </c>
      <c r="AF765">
        <v>2</v>
      </c>
      <c r="AG765">
        <v>149</v>
      </c>
      <c r="AH765">
        <v>397</v>
      </c>
      <c r="AI765" s="122">
        <v>13610</v>
      </c>
      <c r="AJ765" s="122">
        <v>12373</v>
      </c>
      <c r="AK765">
        <v>75</v>
      </c>
      <c r="AL765" s="122">
        <v>2716</v>
      </c>
      <c r="AM765" s="122">
        <v>2469</v>
      </c>
      <c r="AN765" s="122">
        <v>1817</v>
      </c>
      <c r="AO765">
        <v>673</v>
      </c>
      <c r="AP765">
        <v>702</v>
      </c>
      <c r="AQ765">
        <v>260</v>
      </c>
      <c r="AR765" s="122">
        <v>10348</v>
      </c>
      <c r="AS765" s="122">
        <v>9407</v>
      </c>
      <c r="AT765">
        <v>0</v>
      </c>
      <c r="AU765">
        <v>0</v>
      </c>
      <c r="AV765" s="122">
        <v>25181</v>
      </c>
    </row>
    <row r="766" spans="2:48" hidden="1">
      <c r="B766" t="s">
        <v>367</v>
      </c>
      <c r="C766" t="s">
        <v>64</v>
      </c>
      <c r="D766" t="s">
        <v>427</v>
      </c>
      <c r="E766" t="s">
        <v>407</v>
      </c>
      <c r="F766">
        <v>3</v>
      </c>
      <c r="G766" s="122">
        <v>499</v>
      </c>
      <c r="H766" s="122">
        <v>2364</v>
      </c>
      <c r="I766" s="122">
        <v>350937</v>
      </c>
      <c r="J766" s="122">
        <v>319033</v>
      </c>
      <c r="K766">
        <v>30</v>
      </c>
      <c r="L766" s="122">
        <v>17591</v>
      </c>
      <c r="M766" s="122">
        <v>15783</v>
      </c>
      <c r="N766" s="122">
        <v>11732</v>
      </c>
      <c r="O766" s="122">
        <v>4345</v>
      </c>
      <c r="P766" s="122">
        <v>0</v>
      </c>
      <c r="Q766" s="122">
        <v>0</v>
      </c>
      <c r="R766" s="122">
        <v>18121</v>
      </c>
      <c r="S766" s="122">
        <v>16474</v>
      </c>
      <c r="T766" s="122">
        <v>0</v>
      </c>
      <c r="U766" s="122">
        <v>0</v>
      </c>
      <c r="V766" s="122">
        <v>355636</v>
      </c>
      <c r="W766" s="122">
        <f t="shared" si="22"/>
        <v>355635</v>
      </c>
      <c r="X766" s="122">
        <f t="shared" si="23"/>
        <v>398381</v>
      </c>
      <c r="Y766" s="122"/>
      <c r="AA766" t="s">
        <v>56</v>
      </c>
      <c r="AB766" t="s">
        <v>433</v>
      </c>
      <c r="AC766" t="s">
        <v>427</v>
      </c>
      <c r="AD766" t="s">
        <v>433</v>
      </c>
      <c r="AE766" t="s">
        <v>566</v>
      </c>
      <c r="AF766">
        <v>2</v>
      </c>
      <c r="AG766">
        <v>324</v>
      </c>
      <c r="AH766">
        <v>366</v>
      </c>
      <c r="AI766" s="122">
        <v>35653</v>
      </c>
      <c r="AJ766" s="122">
        <v>32412</v>
      </c>
      <c r="AK766">
        <v>73</v>
      </c>
      <c r="AL766" s="122">
        <v>6205</v>
      </c>
      <c r="AM766" s="122">
        <v>5641</v>
      </c>
      <c r="AN766" s="122">
        <v>4126</v>
      </c>
      <c r="AO766" s="122">
        <v>1528</v>
      </c>
      <c r="AP766">
        <v>702</v>
      </c>
      <c r="AQ766">
        <v>260</v>
      </c>
      <c r="AR766" s="122">
        <v>10023</v>
      </c>
      <c r="AS766" s="122">
        <v>9111</v>
      </c>
      <c r="AT766">
        <v>0</v>
      </c>
      <c r="AU766">
        <v>0</v>
      </c>
      <c r="AV766" s="122">
        <v>48952</v>
      </c>
    </row>
    <row r="767" spans="2:48" hidden="1">
      <c r="B767" t="s">
        <v>367</v>
      </c>
      <c r="C767" t="s">
        <v>64</v>
      </c>
      <c r="D767" t="s">
        <v>407</v>
      </c>
      <c r="E767" t="s">
        <v>405</v>
      </c>
      <c r="F767">
        <v>2</v>
      </c>
      <c r="G767" s="122">
        <v>153</v>
      </c>
      <c r="H767" s="122">
        <v>1075</v>
      </c>
      <c r="I767" s="122">
        <v>60525</v>
      </c>
      <c r="J767" s="122">
        <v>55022</v>
      </c>
      <c r="K767">
        <v>74</v>
      </c>
      <c r="L767" s="122">
        <v>4786</v>
      </c>
      <c r="M767" s="122">
        <v>4351</v>
      </c>
      <c r="N767" s="122">
        <v>2420</v>
      </c>
      <c r="O767" s="122">
        <v>896</v>
      </c>
      <c r="P767" s="122">
        <v>945</v>
      </c>
      <c r="Q767" s="122">
        <v>350</v>
      </c>
      <c r="R767" s="122">
        <v>13599</v>
      </c>
      <c r="S767" s="122">
        <v>12363</v>
      </c>
      <c r="T767" s="122">
        <v>0</v>
      </c>
      <c r="U767" s="122">
        <v>0</v>
      </c>
      <c r="V767" s="122">
        <v>72983</v>
      </c>
      <c r="W767" s="122">
        <f t="shared" si="22"/>
        <v>72982</v>
      </c>
      <c r="X767" s="122">
        <f t="shared" si="23"/>
        <v>82275</v>
      </c>
      <c r="Y767" s="122"/>
      <c r="AA767" t="s">
        <v>56</v>
      </c>
      <c r="AB767" t="s">
        <v>433</v>
      </c>
      <c r="AC767" t="s">
        <v>566</v>
      </c>
      <c r="AD767" t="s">
        <v>433</v>
      </c>
      <c r="AE767" t="s">
        <v>137</v>
      </c>
      <c r="AF767">
        <v>4</v>
      </c>
      <c r="AG767">
        <v>363</v>
      </c>
      <c r="AH767">
        <v>730</v>
      </c>
      <c r="AI767" s="122">
        <v>40771</v>
      </c>
      <c r="AJ767" s="122">
        <v>37065</v>
      </c>
      <c r="AK767">
        <v>74</v>
      </c>
      <c r="AL767">
        <v>0</v>
      </c>
      <c r="AM767" s="122">
        <v>1138</v>
      </c>
      <c r="AN767" s="122">
        <v>7777</v>
      </c>
      <c r="AO767" s="122">
        <v>2880</v>
      </c>
      <c r="AP767" s="122">
        <v>1404</v>
      </c>
      <c r="AQ767">
        <v>520</v>
      </c>
      <c r="AR767" s="122">
        <v>15650</v>
      </c>
      <c r="AS767" s="122">
        <v>14228</v>
      </c>
      <c r="AT767" s="122">
        <v>10013</v>
      </c>
      <c r="AU767" s="122">
        <v>3709</v>
      </c>
      <c r="AV767" s="122">
        <v>59539</v>
      </c>
    </row>
    <row r="768" spans="2:48" hidden="1">
      <c r="B768" t="s">
        <v>367</v>
      </c>
      <c r="C768" t="s">
        <v>64</v>
      </c>
      <c r="D768" t="s">
        <v>407</v>
      </c>
      <c r="E768" t="s">
        <v>137</v>
      </c>
      <c r="F768">
        <v>154</v>
      </c>
      <c r="G768" s="122">
        <v>11758</v>
      </c>
      <c r="H768" s="122">
        <v>89445</v>
      </c>
      <c r="I768" s="122">
        <v>4388119</v>
      </c>
      <c r="J768" s="122">
        <v>3989199</v>
      </c>
      <c r="K768">
        <v>64</v>
      </c>
      <c r="L768" s="122">
        <v>847162</v>
      </c>
      <c r="M768" s="122">
        <v>663182</v>
      </c>
      <c r="N768" s="122">
        <v>260742</v>
      </c>
      <c r="O768" s="122">
        <v>96571</v>
      </c>
      <c r="P768" s="122">
        <v>40480</v>
      </c>
      <c r="Q768" s="122">
        <v>14993</v>
      </c>
      <c r="R768" s="122">
        <v>1095332</v>
      </c>
      <c r="S768" s="122">
        <v>405678</v>
      </c>
      <c r="T768" s="122">
        <v>8396</v>
      </c>
      <c r="U768" s="122">
        <v>3110</v>
      </c>
      <c r="V768" s="122">
        <v>5172732</v>
      </c>
      <c r="W768" s="122">
        <f t="shared" si="22"/>
        <v>5172733</v>
      </c>
      <c r="X768" s="122">
        <f t="shared" si="23"/>
        <v>6640231</v>
      </c>
      <c r="Y768" s="122"/>
      <c r="AA768" t="s">
        <v>56</v>
      </c>
      <c r="AB768" t="s">
        <v>433</v>
      </c>
      <c r="AC768" t="s">
        <v>433</v>
      </c>
      <c r="AD768" t="s">
        <v>137</v>
      </c>
      <c r="AE768" t="s">
        <v>566</v>
      </c>
      <c r="AF768">
        <v>1</v>
      </c>
      <c r="AG768">
        <v>202</v>
      </c>
      <c r="AH768">
        <v>190</v>
      </c>
      <c r="AI768" s="122">
        <v>16961</v>
      </c>
      <c r="AJ768" s="122">
        <v>15419</v>
      </c>
      <c r="AK768">
        <v>73</v>
      </c>
      <c r="AL768" s="122">
        <v>2293</v>
      </c>
      <c r="AM768" s="122">
        <v>2084</v>
      </c>
      <c r="AN768" s="122">
        <v>4386</v>
      </c>
      <c r="AO768" s="122">
        <v>1625</v>
      </c>
      <c r="AP768">
        <v>351</v>
      </c>
      <c r="AQ768">
        <v>130</v>
      </c>
      <c r="AR768" s="122">
        <v>14526</v>
      </c>
      <c r="AS768" s="122">
        <v>5380</v>
      </c>
      <c r="AT768">
        <v>0</v>
      </c>
      <c r="AU768">
        <v>0</v>
      </c>
      <c r="AV768" s="122">
        <v>24638</v>
      </c>
    </row>
    <row r="769" spans="2:48" hidden="1">
      <c r="B769" t="s">
        <v>367</v>
      </c>
      <c r="C769" t="s">
        <v>64</v>
      </c>
      <c r="D769" t="s">
        <v>407</v>
      </c>
      <c r="E769" t="s">
        <v>407</v>
      </c>
      <c r="F769" s="122">
        <v>3660</v>
      </c>
      <c r="G769" s="122">
        <v>301275</v>
      </c>
      <c r="H769" s="122">
        <v>1913709</v>
      </c>
      <c r="I769" s="122">
        <v>98969735</v>
      </c>
      <c r="J769" s="122">
        <v>89972486</v>
      </c>
      <c r="K769">
        <v>71</v>
      </c>
      <c r="L769" s="122">
        <v>25449902</v>
      </c>
      <c r="M769" s="122">
        <v>21613610</v>
      </c>
      <c r="N769" s="122">
        <v>6578445</v>
      </c>
      <c r="O769" s="122">
        <v>2436461</v>
      </c>
      <c r="P769" s="122">
        <v>1674699</v>
      </c>
      <c r="Q769" s="122">
        <v>620259</v>
      </c>
      <c r="R769" s="122">
        <v>18413797</v>
      </c>
      <c r="S769" s="122">
        <v>16739815</v>
      </c>
      <c r="T769" s="122">
        <v>6374152</v>
      </c>
      <c r="U769" s="122">
        <v>2360797</v>
      </c>
      <c r="V769" s="122">
        <v>133743429</v>
      </c>
      <c r="W769" s="122">
        <f t="shared" si="22"/>
        <v>133743428</v>
      </c>
      <c r="X769" s="122">
        <f t="shared" si="23"/>
        <v>157460730</v>
      </c>
      <c r="Y769" s="122"/>
      <c r="AA769" t="s">
        <v>56</v>
      </c>
      <c r="AB769" t="s">
        <v>433</v>
      </c>
      <c r="AC769" t="s">
        <v>433</v>
      </c>
      <c r="AD769" t="s">
        <v>433</v>
      </c>
      <c r="AE769" t="s">
        <v>137</v>
      </c>
      <c r="AF769">
        <v>6</v>
      </c>
      <c r="AG769">
        <v>494</v>
      </c>
      <c r="AH769" s="122">
        <v>1295</v>
      </c>
      <c r="AI769" s="122">
        <v>58341</v>
      </c>
      <c r="AJ769" s="122">
        <v>53037</v>
      </c>
      <c r="AK769">
        <v>70</v>
      </c>
      <c r="AL769" s="122">
        <v>6322</v>
      </c>
      <c r="AM769" s="122">
        <v>5748</v>
      </c>
      <c r="AN769" s="122">
        <v>8524</v>
      </c>
      <c r="AO769" s="122">
        <v>3157</v>
      </c>
      <c r="AP769" s="122">
        <v>2106</v>
      </c>
      <c r="AQ769">
        <v>780</v>
      </c>
      <c r="AR769" s="122">
        <v>24337</v>
      </c>
      <c r="AS769" s="122">
        <v>22125</v>
      </c>
      <c r="AT769" s="122">
        <v>14159</v>
      </c>
      <c r="AU769" s="122">
        <v>5244</v>
      </c>
      <c r="AV769" s="122">
        <v>90091</v>
      </c>
    </row>
    <row r="770" spans="2:48" hidden="1">
      <c r="B770" t="s">
        <v>367</v>
      </c>
      <c r="C770" t="s">
        <v>64</v>
      </c>
      <c r="D770" t="s">
        <v>407</v>
      </c>
      <c r="E770" t="s">
        <v>556</v>
      </c>
      <c r="F770">
        <v>2</v>
      </c>
      <c r="G770" s="122">
        <v>154</v>
      </c>
      <c r="H770" s="122">
        <v>1193</v>
      </c>
      <c r="I770" s="122">
        <v>46562</v>
      </c>
      <c r="J770" s="122">
        <v>42329</v>
      </c>
      <c r="K770">
        <v>85</v>
      </c>
      <c r="L770" s="122">
        <v>21505</v>
      </c>
      <c r="M770" s="122">
        <v>12949</v>
      </c>
      <c r="N770" s="122">
        <v>3266</v>
      </c>
      <c r="O770" s="122">
        <v>1210</v>
      </c>
      <c r="P770" s="122">
        <v>945</v>
      </c>
      <c r="Q770">
        <v>350</v>
      </c>
      <c r="R770" s="122">
        <v>9142</v>
      </c>
      <c r="S770" s="122">
        <v>7618</v>
      </c>
      <c r="T770" s="122">
        <v>2421</v>
      </c>
      <c r="U770" s="122">
        <v>897</v>
      </c>
      <c r="V770" s="122">
        <v>65353</v>
      </c>
      <c r="W770" s="122">
        <f t="shared" si="22"/>
        <v>65353</v>
      </c>
      <c r="X770" s="122">
        <f t="shared" si="23"/>
        <v>83841</v>
      </c>
      <c r="Y770" s="122"/>
      <c r="AA770" t="s">
        <v>56</v>
      </c>
      <c r="AB770" t="s">
        <v>433</v>
      </c>
      <c r="AC770" t="s">
        <v>433</v>
      </c>
      <c r="AD770" t="s">
        <v>433</v>
      </c>
      <c r="AE770" t="s">
        <v>566</v>
      </c>
      <c r="AF770">
        <v>1</v>
      </c>
      <c r="AG770">
        <v>394</v>
      </c>
      <c r="AH770">
        <v>186</v>
      </c>
      <c r="AI770" s="122">
        <v>51925</v>
      </c>
      <c r="AJ770" s="122">
        <v>47204</v>
      </c>
      <c r="AK770">
        <v>84</v>
      </c>
      <c r="AL770" s="122">
        <v>6684</v>
      </c>
      <c r="AM770" s="122">
        <v>6076</v>
      </c>
      <c r="AN770" s="122">
        <v>6479</v>
      </c>
      <c r="AO770" s="122">
        <v>2400</v>
      </c>
      <c r="AP770" s="122">
        <v>1175</v>
      </c>
      <c r="AQ770">
        <v>435</v>
      </c>
      <c r="AR770" s="122">
        <v>7057</v>
      </c>
      <c r="AS770" s="122">
        <v>6416</v>
      </c>
      <c r="AT770">
        <v>0</v>
      </c>
      <c r="AU770">
        <v>0</v>
      </c>
      <c r="AV770" s="122">
        <v>62531</v>
      </c>
    </row>
    <row r="771" spans="2:48" hidden="1">
      <c r="B771" t="s">
        <v>367</v>
      </c>
      <c r="C771" t="s">
        <v>64</v>
      </c>
      <c r="D771" t="s">
        <v>407</v>
      </c>
      <c r="E771" t="s">
        <v>426</v>
      </c>
      <c r="F771">
        <v>2</v>
      </c>
      <c r="G771" s="122">
        <v>131</v>
      </c>
      <c r="H771" s="122">
        <v>1095</v>
      </c>
      <c r="I771" s="122">
        <v>46370</v>
      </c>
      <c r="J771" s="122">
        <v>42154</v>
      </c>
      <c r="K771">
        <v>71</v>
      </c>
      <c r="L771" s="122">
        <v>8478</v>
      </c>
      <c r="M771" s="122">
        <v>7707</v>
      </c>
      <c r="N771" s="122">
        <v>2908</v>
      </c>
      <c r="O771" s="122">
        <v>1077</v>
      </c>
      <c r="P771" s="122">
        <v>473</v>
      </c>
      <c r="Q771" s="122">
        <v>175</v>
      </c>
      <c r="R771" s="122">
        <v>12798</v>
      </c>
      <c r="S771" s="122">
        <v>11634</v>
      </c>
      <c r="T771" s="122">
        <v>1882</v>
      </c>
      <c r="U771" s="122">
        <v>697</v>
      </c>
      <c r="V771" s="122">
        <v>63445</v>
      </c>
      <c r="W771" s="122">
        <f t="shared" si="22"/>
        <v>63444</v>
      </c>
      <c r="X771" s="122">
        <f t="shared" si="23"/>
        <v>72909</v>
      </c>
      <c r="Y771" s="122"/>
      <c r="AA771" t="s">
        <v>56</v>
      </c>
      <c r="AB771" t="s">
        <v>408</v>
      </c>
      <c r="AC771" t="s">
        <v>137</v>
      </c>
      <c r="AD771" t="s">
        <v>408</v>
      </c>
      <c r="AE771" t="s">
        <v>137</v>
      </c>
      <c r="AF771">
        <v>1</v>
      </c>
      <c r="AG771">
        <v>42</v>
      </c>
      <c r="AH771">
        <v>225</v>
      </c>
      <c r="AI771" s="122">
        <v>3700</v>
      </c>
      <c r="AJ771" s="122">
        <v>3364</v>
      </c>
      <c r="AK771">
        <v>92</v>
      </c>
      <c r="AL771">
        <v>923</v>
      </c>
      <c r="AM771">
        <v>342</v>
      </c>
      <c r="AN771">
        <v>514</v>
      </c>
      <c r="AO771">
        <v>190</v>
      </c>
      <c r="AP771">
        <v>351</v>
      </c>
      <c r="AQ771">
        <v>130</v>
      </c>
      <c r="AR771" s="122">
        <v>2418</v>
      </c>
      <c r="AS771" s="122">
        <v>2198</v>
      </c>
      <c r="AT771" s="122">
        <v>1588</v>
      </c>
      <c r="AU771">
        <v>588</v>
      </c>
      <c r="AV771" s="122">
        <v>6812</v>
      </c>
    </row>
    <row r="772" spans="2:48" hidden="1">
      <c r="B772" t="s">
        <v>367</v>
      </c>
      <c r="C772" t="s">
        <v>64</v>
      </c>
      <c r="D772" t="s">
        <v>407</v>
      </c>
      <c r="E772" t="s">
        <v>433</v>
      </c>
      <c r="F772">
        <v>1</v>
      </c>
      <c r="G772">
        <v>107</v>
      </c>
      <c r="H772">
        <v>473</v>
      </c>
      <c r="I772" s="122">
        <v>32648</v>
      </c>
      <c r="J772" s="122">
        <v>29680</v>
      </c>
      <c r="K772">
        <v>68</v>
      </c>
      <c r="L772" s="122">
        <v>7811</v>
      </c>
      <c r="M772" s="122">
        <v>7101</v>
      </c>
      <c r="N772" s="122">
        <v>2617</v>
      </c>
      <c r="O772">
        <v>969</v>
      </c>
      <c r="P772">
        <v>473</v>
      </c>
      <c r="Q772">
        <v>175</v>
      </c>
      <c r="R772" s="122">
        <v>7218</v>
      </c>
      <c r="S772" s="122">
        <v>6561</v>
      </c>
      <c r="T772" s="122">
        <v>0</v>
      </c>
      <c r="U772">
        <v>0</v>
      </c>
      <c r="V772" s="122">
        <v>44486</v>
      </c>
      <c r="W772" s="122">
        <f t="shared" si="22"/>
        <v>44486</v>
      </c>
      <c r="X772" s="122">
        <f t="shared" si="23"/>
        <v>50767</v>
      </c>
      <c r="Y772" s="122"/>
      <c r="AA772" t="s">
        <v>56</v>
      </c>
      <c r="AB772" t="s">
        <v>408</v>
      </c>
      <c r="AC772" t="s">
        <v>137</v>
      </c>
      <c r="AD772" t="s">
        <v>408</v>
      </c>
      <c r="AE772" t="s">
        <v>566</v>
      </c>
      <c r="AF772">
        <v>5</v>
      </c>
      <c r="AG772">
        <v>462</v>
      </c>
      <c r="AH772">
        <v>942</v>
      </c>
      <c r="AI772" s="122">
        <v>42967</v>
      </c>
      <c r="AJ772" s="122">
        <v>39061</v>
      </c>
      <c r="AK772">
        <v>73</v>
      </c>
      <c r="AL772" s="122">
        <v>8277</v>
      </c>
      <c r="AM772" s="122">
        <v>3066</v>
      </c>
      <c r="AN772" s="122">
        <v>9524</v>
      </c>
      <c r="AO772" s="122">
        <v>3527</v>
      </c>
      <c r="AP772" s="122">
        <v>2532</v>
      </c>
      <c r="AQ772">
        <v>938</v>
      </c>
      <c r="AR772" s="122">
        <v>23304</v>
      </c>
      <c r="AS772" s="122">
        <v>21185</v>
      </c>
      <c r="AT772">
        <v>0</v>
      </c>
      <c r="AU772">
        <v>0</v>
      </c>
      <c r="AV772" s="122">
        <v>67777</v>
      </c>
    </row>
    <row r="773" spans="2:48" hidden="1">
      <c r="B773" t="s">
        <v>367</v>
      </c>
      <c r="C773" t="s">
        <v>64</v>
      </c>
      <c r="D773" t="s">
        <v>556</v>
      </c>
      <c r="E773" t="s">
        <v>425</v>
      </c>
      <c r="F773">
        <v>1</v>
      </c>
      <c r="G773" s="122">
        <v>76</v>
      </c>
      <c r="H773" s="122">
        <v>1056</v>
      </c>
      <c r="I773" s="122">
        <v>67004</v>
      </c>
      <c r="J773" s="122">
        <v>55837</v>
      </c>
      <c r="K773">
        <v>30</v>
      </c>
      <c r="L773" s="122">
        <v>6398</v>
      </c>
      <c r="M773" s="122">
        <v>5816</v>
      </c>
      <c r="N773" s="122">
        <v>1509</v>
      </c>
      <c r="O773" s="122">
        <v>559</v>
      </c>
      <c r="P773" s="122">
        <v>0</v>
      </c>
      <c r="Q773" s="122">
        <v>0</v>
      </c>
      <c r="R773" s="122">
        <v>3682</v>
      </c>
      <c r="S773" s="122">
        <v>3347</v>
      </c>
      <c r="T773" s="122">
        <v>2118</v>
      </c>
      <c r="U773">
        <v>784</v>
      </c>
      <c r="V773" s="122">
        <v>66344</v>
      </c>
      <c r="W773" s="122">
        <f t="shared" si="22"/>
        <v>66343</v>
      </c>
      <c r="X773" s="122">
        <f t="shared" si="23"/>
        <v>80711</v>
      </c>
      <c r="Y773" s="122"/>
      <c r="AA773" t="s">
        <v>56</v>
      </c>
      <c r="AB773" t="s">
        <v>408</v>
      </c>
      <c r="AC773" t="s">
        <v>580</v>
      </c>
      <c r="AD773" t="s">
        <v>408</v>
      </c>
      <c r="AE773" t="s">
        <v>566</v>
      </c>
      <c r="AF773">
        <v>1</v>
      </c>
      <c r="AG773">
        <v>53</v>
      </c>
      <c r="AH773">
        <v>208</v>
      </c>
      <c r="AI773" s="122">
        <v>6463</v>
      </c>
      <c r="AJ773" s="122">
        <v>5875</v>
      </c>
      <c r="AK773">
        <v>65</v>
      </c>
      <c r="AL773" s="122">
        <v>1556</v>
      </c>
      <c r="AM773" s="122">
        <v>1414</v>
      </c>
      <c r="AN773">
        <v>645</v>
      </c>
      <c r="AO773">
        <v>239</v>
      </c>
      <c r="AP773">
        <v>351</v>
      </c>
      <c r="AQ773">
        <v>130</v>
      </c>
      <c r="AR773" s="122">
        <v>1993</v>
      </c>
      <c r="AS773" s="122">
        <v>1811</v>
      </c>
      <c r="AT773">
        <v>0</v>
      </c>
      <c r="AU773">
        <v>0</v>
      </c>
      <c r="AV773" s="122">
        <v>9469</v>
      </c>
    </row>
    <row r="774" spans="2:48" hidden="1">
      <c r="B774" t="s">
        <v>367</v>
      </c>
      <c r="C774" t="s">
        <v>64</v>
      </c>
      <c r="D774" t="s">
        <v>556</v>
      </c>
      <c r="E774" t="s">
        <v>137</v>
      </c>
      <c r="F774">
        <v>307</v>
      </c>
      <c r="G774" s="122">
        <v>30277</v>
      </c>
      <c r="H774" s="122">
        <v>301672</v>
      </c>
      <c r="I774" s="122">
        <v>24374769</v>
      </c>
      <c r="J774" s="122">
        <v>20312307</v>
      </c>
      <c r="K774">
        <v>32</v>
      </c>
      <c r="L774" s="122">
        <v>1524622</v>
      </c>
      <c r="M774" s="122">
        <v>786975</v>
      </c>
      <c r="N774" s="122">
        <v>670314</v>
      </c>
      <c r="O774" s="122">
        <v>248265</v>
      </c>
      <c r="P774" s="122">
        <v>3713</v>
      </c>
      <c r="Q774" s="122">
        <v>1375</v>
      </c>
      <c r="R774" s="122">
        <v>2488990</v>
      </c>
      <c r="S774" s="122">
        <v>921848</v>
      </c>
      <c r="T774" s="122">
        <v>12683</v>
      </c>
      <c r="U774" s="122">
        <v>4697</v>
      </c>
      <c r="V774" s="122">
        <v>22275468</v>
      </c>
      <c r="W774" s="122">
        <f t="shared" si="22"/>
        <v>22275467</v>
      </c>
      <c r="X774" s="122">
        <f t="shared" si="23"/>
        <v>29075091</v>
      </c>
      <c r="Y774" s="122"/>
      <c r="AA774" t="s">
        <v>56</v>
      </c>
      <c r="AB774" t="s">
        <v>408</v>
      </c>
      <c r="AC774" t="s">
        <v>427</v>
      </c>
      <c r="AD774" t="s">
        <v>403</v>
      </c>
      <c r="AE774" t="s">
        <v>566</v>
      </c>
      <c r="AF774">
        <v>2</v>
      </c>
      <c r="AG774">
        <v>254</v>
      </c>
      <c r="AH774">
        <v>352</v>
      </c>
      <c r="AI774" s="122">
        <v>9601</v>
      </c>
      <c r="AJ774" s="122">
        <v>8728</v>
      </c>
      <c r="AK774">
        <v>60</v>
      </c>
      <c r="AL774" s="122">
        <v>2134</v>
      </c>
      <c r="AM774" s="122">
        <v>1940</v>
      </c>
      <c r="AN774" s="122">
        <v>4333</v>
      </c>
      <c r="AO774" s="122">
        <v>1605</v>
      </c>
      <c r="AP774">
        <v>702</v>
      </c>
      <c r="AQ774">
        <v>260</v>
      </c>
      <c r="AR774" s="122">
        <v>27951</v>
      </c>
      <c r="AS774" s="122">
        <v>10352</v>
      </c>
      <c r="AT774">
        <v>0</v>
      </c>
      <c r="AU774">
        <v>0</v>
      </c>
      <c r="AV774" s="122">
        <v>22885</v>
      </c>
    </row>
    <row r="775" spans="2:48" hidden="1">
      <c r="B775" t="s">
        <v>367</v>
      </c>
      <c r="C775" t="s">
        <v>64</v>
      </c>
      <c r="D775" t="s">
        <v>556</v>
      </c>
      <c r="E775" t="s">
        <v>406</v>
      </c>
      <c r="F775">
        <v>1</v>
      </c>
      <c r="G775" s="122">
        <v>151</v>
      </c>
      <c r="H775" s="122">
        <v>824</v>
      </c>
      <c r="I775" s="122">
        <v>104618</v>
      </c>
      <c r="J775" s="122">
        <v>87182</v>
      </c>
      <c r="K775">
        <v>30</v>
      </c>
      <c r="L775" s="122">
        <v>7846</v>
      </c>
      <c r="M775" s="122">
        <v>2906</v>
      </c>
      <c r="N775" s="122">
        <v>3225</v>
      </c>
      <c r="O775" s="122">
        <v>1195</v>
      </c>
      <c r="P775" s="122">
        <v>270</v>
      </c>
      <c r="Q775" s="122">
        <v>100</v>
      </c>
      <c r="R775" s="122">
        <v>5681</v>
      </c>
      <c r="S775" s="122">
        <v>5164</v>
      </c>
      <c r="T775" s="122">
        <v>3034</v>
      </c>
      <c r="U775" s="122">
        <v>1124</v>
      </c>
      <c r="V775" s="122">
        <v>97670</v>
      </c>
      <c r="W775" s="122">
        <f t="shared" ref="W775:W838" si="24">SUM(ABS(J775),ABS(M775),ABS(O775),ABS(Q775),ABS(S775),ABS(U775))</f>
        <v>97671</v>
      </c>
      <c r="X775" s="122">
        <f t="shared" ref="X775:X838" si="25">SUM(ABS(I775),ABS(N775),ABS(P775),ABS(R775),ABS(T775),ABS(L775))</f>
        <v>124674</v>
      </c>
      <c r="Y775" s="122"/>
      <c r="AA775" t="s">
        <v>56</v>
      </c>
      <c r="AB775" t="s">
        <v>408</v>
      </c>
      <c r="AC775" t="s">
        <v>427</v>
      </c>
      <c r="AD775" t="s">
        <v>408</v>
      </c>
      <c r="AE775" t="s">
        <v>566</v>
      </c>
      <c r="AF775">
        <v>5</v>
      </c>
      <c r="AG775">
        <v>359</v>
      </c>
      <c r="AH775" s="122">
        <v>1040</v>
      </c>
      <c r="AI775" s="122">
        <v>50218</v>
      </c>
      <c r="AJ775" s="122">
        <v>45653</v>
      </c>
      <c r="AK775">
        <v>65</v>
      </c>
      <c r="AL775" s="122">
        <v>12089</v>
      </c>
      <c r="AM775" s="122">
        <v>10990</v>
      </c>
      <c r="AN775" s="122">
        <v>5833</v>
      </c>
      <c r="AO775" s="122">
        <v>2160</v>
      </c>
      <c r="AP775" s="122">
        <v>1755</v>
      </c>
      <c r="AQ775">
        <v>650</v>
      </c>
      <c r="AR775" s="122">
        <v>16042</v>
      </c>
      <c r="AS775" s="122">
        <v>14584</v>
      </c>
      <c r="AT775">
        <v>0</v>
      </c>
      <c r="AU775">
        <v>0</v>
      </c>
      <c r="AV775" s="122">
        <v>74037</v>
      </c>
    </row>
    <row r="776" spans="2:48" hidden="1">
      <c r="B776" t="s">
        <v>367</v>
      </c>
      <c r="C776" t="s">
        <v>64</v>
      </c>
      <c r="D776" t="s">
        <v>556</v>
      </c>
      <c r="E776" t="s">
        <v>407</v>
      </c>
      <c r="F776">
        <v>10</v>
      </c>
      <c r="G776" s="122">
        <v>1048</v>
      </c>
      <c r="H776" s="122">
        <v>9311</v>
      </c>
      <c r="I776" s="122">
        <v>850461</v>
      </c>
      <c r="J776" s="122">
        <v>708717</v>
      </c>
      <c r="K776">
        <v>32</v>
      </c>
      <c r="L776" s="122">
        <v>44059</v>
      </c>
      <c r="M776" s="122">
        <v>35343</v>
      </c>
      <c r="N776" s="122">
        <v>23887</v>
      </c>
      <c r="O776" s="122">
        <v>8847</v>
      </c>
      <c r="P776" s="122">
        <v>1539</v>
      </c>
      <c r="Q776" s="122">
        <v>570</v>
      </c>
      <c r="R776" s="122">
        <v>42726</v>
      </c>
      <c r="S776" s="122">
        <v>38842</v>
      </c>
      <c r="T776" s="122">
        <v>6857</v>
      </c>
      <c r="U776" s="122">
        <v>2539</v>
      </c>
      <c r="V776" s="122">
        <v>794859</v>
      </c>
      <c r="W776" s="122">
        <f t="shared" si="24"/>
        <v>794858</v>
      </c>
      <c r="X776" s="122">
        <f t="shared" si="25"/>
        <v>969529</v>
      </c>
      <c r="Y776" s="122"/>
      <c r="AA776" t="s">
        <v>56</v>
      </c>
      <c r="AB776" t="s">
        <v>408</v>
      </c>
      <c r="AC776" t="s">
        <v>407</v>
      </c>
      <c r="AD776" t="s">
        <v>408</v>
      </c>
      <c r="AE776" t="s">
        <v>566</v>
      </c>
      <c r="AF776">
        <v>2</v>
      </c>
      <c r="AG776">
        <v>322</v>
      </c>
      <c r="AH776">
        <v>381</v>
      </c>
      <c r="AI776" s="122">
        <v>42365</v>
      </c>
      <c r="AJ776" s="122">
        <v>38514</v>
      </c>
      <c r="AK776">
        <v>67</v>
      </c>
      <c r="AL776" s="122">
        <v>4508</v>
      </c>
      <c r="AM776" s="122">
        <v>4098</v>
      </c>
      <c r="AN776" s="122">
        <v>7275</v>
      </c>
      <c r="AO776" s="122">
        <v>2695</v>
      </c>
      <c r="AP776">
        <v>824</v>
      </c>
      <c r="AQ776">
        <v>305</v>
      </c>
      <c r="AR776" s="122">
        <v>15542</v>
      </c>
      <c r="AS776" s="122">
        <v>14129</v>
      </c>
      <c r="AT776">
        <v>0</v>
      </c>
      <c r="AU776">
        <v>0</v>
      </c>
      <c r="AV776" s="122">
        <v>59741</v>
      </c>
    </row>
    <row r="777" spans="2:48" hidden="1">
      <c r="B777" t="s">
        <v>367</v>
      </c>
      <c r="C777" t="s">
        <v>64</v>
      </c>
      <c r="D777" t="s">
        <v>556</v>
      </c>
      <c r="E777" t="s">
        <v>556</v>
      </c>
      <c r="F777">
        <v>233</v>
      </c>
      <c r="G777" s="122">
        <v>19516</v>
      </c>
      <c r="H777" s="122">
        <v>159304</v>
      </c>
      <c r="I777" s="122">
        <v>9878608</v>
      </c>
      <c r="J777" s="122">
        <v>8232173</v>
      </c>
      <c r="K777">
        <v>52</v>
      </c>
      <c r="L777" s="122">
        <v>1089543</v>
      </c>
      <c r="M777" s="122">
        <v>810041</v>
      </c>
      <c r="N777" s="122">
        <v>426917</v>
      </c>
      <c r="O777" s="122">
        <v>158117</v>
      </c>
      <c r="P777" s="122">
        <v>58224</v>
      </c>
      <c r="Q777" s="122">
        <v>21564</v>
      </c>
      <c r="R777" s="122">
        <v>1447000</v>
      </c>
      <c r="S777" s="122">
        <v>1205833</v>
      </c>
      <c r="T777" s="122">
        <v>499732</v>
      </c>
      <c r="U777" s="122">
        <v>185086</v>
      </c>
      <c r="V777" s="122">
        <v>10612815</v>
      </c>
      <c r="W777" s="122">
        <f t="shared" si="24"/>
        <v>10612814</v>
      </c>
      <c r="X777" s="122">
        <f t="shared" si="25"/>
        <v>13400024</v>
      </c>
      <c r="Y777" s="122"/>
      <c r="AA777" t="s">
        <v>56</v>
      </c>
      <c r="AB777" t="s">
        <v>408</v>
      </c>
      <c r="AC777" t="s">
        <v>579</v>
      </c>
      <c r="AD777" t="s">
        <v>408</v>
      </c>
      <c r="AE777" t="s">
        <v>137</v>
      </c>
      <c r="AF777">
        <v>1</v>
      </c>
      <c r="AG777">
        <v>81</v>
      </c>
      <c r="AH777">
        <v>170</v>
      </c>
      <c r="AI777" s="122">
        <v>6820</v>
      </c>
      <c r="AJ777" s="122">
        <v>6200</v>
      </c>
      <c r="AK777">
        <v>84</v>
      </c>
      <c r="AL777" s="122">
        <v>1153</v>
      </c>
      <c r="AM777">
        <v>961</v>
      </c>
      <c r="AN777" s="122">
        <v>1286</v>
      </c>
      <c r="AO777">
        <v>476</v>
      </c>
      <c r="AP777">
        <v>351</v>
      </c>
      <c r="AQ777">
        <v>130</v>
      </c>
      <c r="AR777" s="122">
        <v>4217</v>
      </c>
      <c r="AS777" s="122">
        <v>3834</v>
      </c>
      <c r="AT777">
        <v>0</v>
      </c>
      <c r="AU777">
        <v>0</v>
      </c>
      <c r="AV777" s="122">
        <v>11601</v>
      </c>
    </row>
    <row r="778" spans="2:48" hidden="1">
      <c r="B778" t="s">
        <v>367</v>
      </c>
      <c r="C778" t="s">
        <v>64</v>
      </c>
      <c r="D778" t="s">
        <v>428</v>
      </c>
      <c r="E778" t="s">
        <v>137</v>
      </c>
      <c r="F778">
        <v>1</v>
      </c>
      <c r="G778" s="122">
        <v>142</v>
      </c>
      <c r="H778" s="122">
        <v>900</v>
      </c>
      <c r="I778" s="122">
        <v>104701</v>
      </c>
      <c r="J778" s="122">
        <v>95182</v>
      </c>
      <c r="K778">
        <v>30</v>
      </c>
      <c r="L778" s="122">
        <v>8566</v>
      </c>
      <c r="M778" s="122">
        <v>3173</v>
      </c>
      <c r="N778" s="122">
        <v>3460</v>
      </c>
      <c r="O778" s="122">
        <v>1282</v>
      </c>
      <c r="P778" s="122">
        <v>0</v>
      </c>
      <c r="Q778" s="122">
        <v>0</v>
      </c>
      <c r="R778" s="122">
        <v>11042</v>
      </c>
      <c r="S778" s="122">
        <v>4089</v>
      </c>
      <c r="T778">
        <v>0</v>
      </c>
      <c r="U778">
        <v>0</v>
      </c>
      <c r="V778" s="122">
        <v>103726</v>
      </c>
      <c r="W778" s="122">
        <f t="shared" si="24"/>
        <v>103726</v>
      </c>
      <c r="X778" s="122">
        <f t="shared" si="25"/>
        <v>127769</v>
      </c>
      <c r="Y778" s="122"/>
      <c r="AA778" t="s">
        <v>56</v>
      </c>
      <c r="AB778" t="s">
        <v>408</v>
      </c>
      <c r="AC778" t="s">
        <v>579</v>
      </c>
      <c r="AD778" t="s">
        <v>408</v>
      </c>
      <c r="AE778" t="s">
        <v>566</v>
      </c>
      <c r="AF778">
        <v>4</v>
      </c>
      <c r="AG778">
        <v>519</v>
      </c>
      <c r="AH778">
        <v>744</v>
      </c>
      <c r="AI778" s="122">
        <v>48662</v>
      </c>
      <c r="AJ778" s="122">
        <v>44238</v>
      </c>
      <c r="AK778">
        <v>70</v>
      </c>
      <c r="AL778" s="122">
        <v>9868</v>
      </c>
      <c r="AM778" s="122">
        <v>8223</v>
      </c>
      <c r="AN778" s="122">
        <v>11946</v>
      </c>
      <c r="AO778" s="122">
        <v>4425</v>
      </c>
      <c r="AP778" s="122">
        <v>2025</v>
      </c>
      <c r="AQ778">
        <v>750</v>
      </c>
      <c r="AR778" s="122">
        <v>26028</v>
      </c>
      <c r="AS778" s="122">
        <v>23662</v>
      </c>
      <c r="AT778">
        <v>0</v>
      </c>
      <c r="AU778">
        <v>0</v>
      </c>
      <c r="AV778" s="122">
        <v>81298</v>
      </c>
    </row>
    <row r="779" spans="2:48" hidden="1">
      <c r="B779" t="s">
        <v>367</v>
      </c>
      <c r="C779" t="s">
        <v>64</v>
      </c>
      <c r="D779" t="s">
        <v>428</v>
      </c>
      <c r="E779" t="s">
        <v>407</v>
      </c>
      <c r="F779">
        <v>1</v>
      </c>
      <c r="G779" s="122">
        <v>52</v>
      </c>
      <c r="H779" s="122">
        <v>1057</v>
      </c>
      <c r="I779" s="122">
        <v>48862</v>
      </c>
      <c r="J779" s="122">
        <v>44420</v>
      </c>
      <c r="K779">
        <v>30</v>
      </c>
      <c r="L779" s="122">
        <v>0</v>
      </c>
      <c r="M779" s="122">
        <v>0</v>
      </c>
      <c r="N779" s="122">
        <v>1257</v>
      </c>
      <c r="O779" s="122">
        <v>466</v>
      </c>
      <c r="P779" s="122">
        <v>0</v>
      </c>
      <c r="Q779" s="122">
        <v>0</v>
      </c>
      <c r="R779" s="122">
        <v>4424</v>
      </c>
      <c r="S779" s="122">
        <v>4022</v>
      </c>
      <c r="T779" s="122">
        <v>0</v>
      </c>
      <c r="U779" s="122">
        <v>0</v>
      </c>
      <c r="V779" s="122">
        <v>48907</v>
      </c>
      <c r="W779" s="122">
        <f t="shared" si="24"/>
        <v>48908</v>
      </c>
      <c r="X779" s="122">
        <f t="shared" si="25"/>
        <v>54543</v>
      </c>
      <c r="Y779" s="122"/>
      <c r="AA779" t="s">
        <v>56</v>
      </c>
      <c r="AB779" t="s">
        <v>408</v>
      </c>
      <c r="AC779" t="s">
        <v>428</v>
      </c>
      <c r="AD779" t="s">
        <v>408</v>
      </c>
      <c r="AE779" t="s">
        <v>137</v>
      </c>
      <c r="AF779">
        <v>1</v>
      </c>
      <c r="AG779">
        <v>128</v>
      </c>
      <c r="AH779">
        <v>218</v>
      </c>
      <c r="AI779" s="122">
        <v>15342</v>
      </c>
      <c r="AJ779" s="122">
        <v>13948</v>
      </c>
      <c r="AK779">
        <v>65</v>
      </c>
      <c r="AL779" s="122">
        <v>1705</v>
      </c>
      <c r="AM779" s="122">
        <v>1550</v>
      </c>
      <c r="AN779" s="122">
        <v>2914</v>
      </c>
      <c r="AO779" s="122">
        <v>1079</v>
      </c>
      <c r="AP779">
        <v>473</v>
      </c>
      <c r="AQ779">
        <v>175</v>
      </c>
      <c r="AR779" s="122">
        <v>4794</v>
      </c>
      <c r="AS779" s="122">
        <v>4358</v>
      </c>
      <c r="AT779" s="122">
        <v>2680</v>
      </c>
      <c r="AU779">
        <v>993</v>
      </c>
      <c r="AV779" s="122">
        <v>22102</v>
      </c>
    </row>
    <row r="780" spans="2:48" hidden="1">
      <c r="B780" t="s">
        <v>367</v>
      </c>
      <c r="C780" t="s">
        <v>64</v>
      </c>
      <c r="D780" t="s">
        <v>428</v>
      </c>
      <c r="E780" t="s">
        <v>428</v>
      </c>
      <c r="F780">
        <v>5</v>
      </c>
      <c r="G780">
        <v>343</v>
      </c>
      <c r="H780" s="122">
        <v>3326</v>
      </c>
      <c r="I780" s="122">
        <v>153290</v>
      </c>
      <c r="J780" s="122">
        <v>139355</v>
      </c>
      <c r="K780">
        <v>49</v>
      </c>
      <c r="L780" s="122">
        <v>14775</v>
      </c>
      <c r="M780" s="122">
        <v>14829</v>
      </c>
      <c r="N780" s="122">
        <v>7602</v>
      </c>
      <c r="O780" s="122">
        <v>2815</v>
      </c>
      <c r="P780" s="122">
        <v>702</v>
      </c>
      <c r="Q780" s="122">
        <v>260</v>
      </c>
      <c r="R780" s="122">
        <v>43116</v>
      </c>
      <c r="S780" s="122">
        <v>39197</v>
      </c>
      <c r="T780" s="122">
        <v>7636</v>
      </c>
      <c r="U780" s="122">
        <v>2828</v>
      </c>
      <c r="V780" s="122">
        <v>199284</v>
      </c>
      <c r="W780" s="122">
        <f t="shared" si="24"/>
        <v>199284</v>
      </c>
      <c r="X780" s="122">
        <f t="shared" si="25"/>
        <v>227121</v>
      </c>
      <c r="Y780" s="122"/>
      <c r="AA780" t="s">
        <v>56</v>
      </c>
      <c r="AB780" t="s">
        <v>408</v>
      </c>
      <c r="AC780" t="s">
        <v>428</v>
      </c>
      <c r="AD780" t="s">
        <v>408</v>
      </c>
      <c r="AE780" t="s">
        <v>566</v>
      </c>
      <c r="AF780">
        <v>2</v>
      </c>
      <c r="AG780">
        <v>230</v>
      </c>
      <c r="AH780">
        <v>352</v>
      </c>
      <c r="AI780" s="122">
        <v>20570</v>
      </c>
      <c r="AJ780" s="122">
        <v>18700</v>
      </c>
      <c r="AK780">
        <v>65</v>
      </c>
      <c r="AL780" s="122">
        <v>6110</v>
      </c>
      <c r="AM780" s="122">
        <v>5555</v>
      </c>
      <c r="AN780" s="122">
        <v>4366</v>
      </c>
      <c r="AO780" s="122">
        <v>1617</v>
      </c>
      <c r="AP780">
        <v>702</v>
      </c>
      <c r="AQ780">
        <v>260</v>
      </c>
      <c r="AR780" s="122">
        <v>8677</v>
      </c>
      <c r="AS780" s="122">
        <v>7888</v>
      </c>
      <c r="AT780">
        <v>0</v>
      </c>
      <c r="AU780">
        <v>0</v>
      </c>
      <c r="AV780" s="122">
        <v>34020</v>
      </c>
    </row>
    <row r="781" spans="2:48" hidden="1">
      <c r="B781" t="s">
        <v>367</v>
      </c>
      <c r="C781" t="s">
        <v>64</v>
      </c>
      <c r="D781" t="s">
        <v>426</v>
      </c>
      <c r="E781" t="s">
        <v>555</v>
      </c>
      <c r="F781">
        <v>1</v>
      </c>
      <c r="G781" s="122">
        <v>120</v>
      </c>
      <c r="H781" s="122">
        <v>1508</v>
      </c>
      <c r="I781" s="122">
        <v>145906</v>
      </c>
      <c r="J781" s="122">
        <v>132642</v>
      </c>
      <c r="K781">
        <v>30</v>
      </c>
      <c r="L781" s="122">
        <v>16212</v>
      </c>
      <c r="M781" s="122">
        <v>14738</v>
      </c>
      <c r="N781" s="122">
        <v>2634</v>
      </c>
      <c r="O781" s="122">
        <v>976</v>
      </c>
      <c r="P781" s="122">
        <v>0</v>
      </c>
      <c r="Q781" s="122">
        <v>0</v>
      </c>
      <c r="R781" s="122">
        <v>12833</v>
      </c>
      <c r="S781" s="122">
        <v>11666</v>
      </c>
      <c r="T781" s="122">
        <v>3567</v>
      </c>
      <c r="U781" s="122">
        <v>1321</v>
      </c>
      <c r="V781" s="122">
        <v>161343</v>
      </c>
      <c r="W781" s="122">
        <f t="shared" si="24"/>
        <v>161343</v>
      </c>
      <c r="X781" s="122">
        <f t="shared" si="25"/>
        <v>181152</v>
      </c>
      <c r="Y781" s="122"/>
      <c r="AA781" t="s">
        <v>56</v>
      </c>
      <c r="AB781" t="s">
        <v>408</v>
      </c>
      <c r="AC781" t="s">
        <v>431</v>
      </c>
      <c r="AD781" t="s">
        <v>408</v>
      </c>
      <c r="AE781" t="s">
        <v>137</v>
      </c>
      <c r="AF781">
        <v>1</v>
      </c>
      <c r="AG781">
        <v>103</v>
      </c>
      <c r="AH781">
        <v>186</v>
      </c>
      <c r="AI781" s="122">
        <v>10640</v>
      </c>
      <c r="AJ781" s="122">
        <v>9673</v>
      </c>
      <c r="AK781">
        <v>95</v>
      </c>
      <c r="AL781" s="122">
        <v>1726</v>
      </c>
      <c r="AM781" s="122">
        <v>1569</v>
      </c>
      <c r="AN781" s="122">
        <v>1249</v>
      </c>
      <c r="AO781">
        <v>463</v>
      </c>
      <c r="AP781">
        <v>351</v>
      </c>
      <c r="AQ781">
        <v>130</v>
      </c>
      <c r="AR781" s="122">
        <v>2617</v>
      </c>
      <c r="AS781" s="122">
        <v>2379</v>
      </c>
      <c r="AT781" s="122">
        <v>2459</v>
      </c>
      <c r="AU781">
        <v>911</v>
      </c>
      <c r="AV781" s="122">
        <v>15125</v>
      </c>
    </row>
    <row r="782" spans="2:48" hidden="1">
      <c r="B782" t="s">
        <v>367</v>
      </c>
      <c r="C782" t="s">
        <v>64</v>
      </c>
      <c r="D782" t="s">
        <v>426</v>
      </c>
      <c r="E782" t="s">
        <v>425</v>
      </c>
      <c r="F782">
        <v>1</v>
      </c>
      <c r="G782" s="122">
        <v>45</v>
      </c>
      <c r="H782">
        <v>781</v>
      </c>
      <c r="I782" s="122">
        <v>26315</v>
      </c>
      <c r="J782" s="122">
        <v>23923</v>
      </c>
      <c r="K782">
        <v>60</v>
      </c>
      <c r="L782" s="122">
        <v>5848</v>
      </c>
      <c r="M782" s="122">
        <v>5316</v>
      </c>
      <c r="N782" s="122">
        <v>1097</v>
      </c>
      <c r="O782" s="122">
        <v>406</v>
      </c>
      <c r="P782" s="122">
        <v>0</v>
      </c>
      <c r="Q782" s="122">
        <v>0</v>
      </c>
      <c r="R782" s="122">
        <v>1870</v>
      </c>
      <c r="S782" s="122">
        <v>1700</v>
      </c>
      <c r="T782">
        <v>0</v>
      </c>
      <c r="U782">
        <v>0</v>
      </c>
      <c r="V782" s="122">
        <v>31345</v>
      </c>
      <c r="W782" s="122">
        <f t="shared" si="24"/>
        <v>31345</v>
      </c>
      <c r="X782" s="122">
        <f t="shared" si="25"/>
        <v>35130</v>
      </c>
      <c r="Y782" s="122"/>
      <c r="AA782" t="s">
        <v>56</v>
      </c>
      <c r="AB782" t="s">
        <v>408</v>
      </c>
      <c r="AC782" t="s">
        <v>426</v>
      </c>
      <c r="AD782" t="s">
        <v>408</v>
      </c>
      <c r="AE782" t="s">
        <v>137</v>
      </c>
      <c r="AF782">
        <v>17</v>
      </c>
      <c r="AG782" s="122">
        <v>1815</v>
      </c>
      <c r="AH782" s="122">
        <v>3378</v>
      </c>
      <c r="AI782" s="122">
        <v>187003</v>
      </c>
      <c r="AJ782" s="122">
        <v>170003</v>
      </c>
      <c r="AK782">
        <v>83</v>
      </c>
      <c r="AL782" s="122">
        <v>48935</v>
      </c>
      <c r="AM782" s="122">
        <v>44486</v>
      </c>
      <c r="AN782" s="122">
        <v>32705</v>
      </c>
      <c r="AO782" s="122">
        <v>12113</v>
      </c>
      <c r="AP782" s="122">
        <v>5967</v>
      </c>
      <c r="AQ782" s="122">
        <v>2210</v>
      </c>
      <c r="AR782" s="122">
        <v>54025</v>
      </c>
      <c r="AS782" s="122">
        <v>49114</v>
      </c>
      <c r="AT782" s="122">
        <v>33523</v>
      </c>
      <c r="AU782" s="122">
        <v>12416</v>
      </c>
      <c r="AV782" s="122">
        <v>290342</v>
      </c>
    </row>
    <row r="783" spans="2:48" hidden="1">
      <c r="B783" t="s">
        <v>367</v>
      </c>
      <c r="C783" t="s">
        <v>64</v>
      </c>
      <c r="D783" t="s">
        <v>426</v>
      </c>
      <c r="E783" t="s">
        <v>137</v>
      </c>
      <c r="F783">
        <v>87</v>
      </c>
      <c r="G783" s="122">
        <v>8455</v>
      </c>
      <c r="H783" s="122">
        <v>84205</v>
      </c>
      <c r="I783" s="122">
        <v>6447373</v>
      </c>
      <c r="J783" s="122">
        <v>5861248</v>
      </c>
      <c r="K783">
        <v>35</v>
      </c>
      <c r="L783" s="122">
        <v>483326</v>
      </c>
      <c r="M783" s="122">
        <v>401157</v>
      </c>
      <c r="N783" s="122">
        <v>194583</v>
      </c>
      <c r="O783" s="122">
        <v>72068</v>
      </c>
      <c r="P783" s="122">
        <v>3159</v>
      </c>
      <c r="Q783" s="122">
        <v>1170</v>
      </c>
      <c r="R783" s="122">
        <v>897195</v>
      </c>
      <c r="S783" s="122">
        <v>332295</v>
      </c>
      <c r="T783" s="122">
        <v>8780</v>
      </c>
      <c r="U783" s="122">
        <v>3252</v>
      </c>
      <c r="V783" s="122">
        <v>6671189</v>
      </c>
      <c r="W783" s="122">
        <f t="shared" si="24"/>
        <v>6671190</v>
      </c>
      <c r="X783" s="122">
        <f t="shared" si="25"/>
        <v>8034416</v>
      </c>
      <c r="Y783" s="122"/>
      <c r="AA783" t="s">
        <v>56</v>
      </c>
      <c r="AB783" t="s">
        <v>408</v>
      </c>
      <c r="AC783" t="s">
        <v>426</v>
      </c>
      <c r="AD783" t="s">
        <v>408</v>
      </c>
      <c r="AE783" t="s">
        <v>566</v>
      </c>
      <c r="AF783">
        <v>18</v>
      </c>
      <c r="AG783" s="122">
        <v>2068</v>
      </c>
      <c r="AH783" s="122">
        <v>3279</v>
      </c>
      <c r="AI783" s="122">
        <v>189782</v>
      </c>
      <c r="AJ783" s="122">
        <v>172529</v>
      </c>
      <c r="AK783">
        <v>73</v>
      </c>
      <c r="AL783" s="122">
        <v>39174</v>
      </c>
      <c r="AM783" s="122">
        <v>35613</v>
      </c>
      <c r="AN783" s="122">
        <v>46546</v>
      </c>
      <c r="AO783" s="122">
        <v>17239</v>
      </c>
      <c r="AP783" s="122">
        <v>7020</v>
      </c>
      <c r="AQ783" s="122">
        <v>2600</v>
      </c>
      <c r="AR783" s="122">
        <v>99661</v>
      </c>
      <c r="AS783" s="122">
        <v>90601</v>
      </c>
      <c r="AT783">
        <v>0</v>
      </c>
      <c r="AU783">
        <v>0</v>
      </c>
      <c r="AV783" s="122">
        <v>318582</v>
      </c>
    </row>
    <row r="784" spans="2:48" hidden="1">
      <c r="B784" t="s">
        <v>367</v>
      </c>
      <c r="C784" t="s">
        <v>64</v>
      </c>
      <c r="D784" t="s">
        <v>426</v>
      </c>
      <c r="E784" t="s">
        <v>407</v>
      </c>
      <c r="F784">
        <v>8</v>
      </c>
      <c r="G784" s="122">
        <v>789</v>
      </c>
      <c r="H784" s="122">
        <v>7375</v>
      </c>
      <c r="I784" s="122">
        <v>636767</v>
      </c>
      <c r="J784" s="122">
        <v>578879</v>
      </c>
      <c r="K784">
        <v>30</v>
      </c>
      <c r="L784" s="122">
        <v>33751</v>
      </c>
      <c r="M784" s="122">
        <v>23304</v>
      </c>
      <c r="N784" s="122">
        <v>18040</v>
      </c>
      <c r="O784" s="122">
        <v>6681</v>
      </c>
      <c r="P784" s="122">
        <v>1418</v>
      </c>
      <c r="Q784" s="122">
        <v>525</v>
      </c>
      <c r="R784" s="122">
        <v>31449</v>
      </c>
      <c r="S784" s="122">
        <v>28590</v>
      </c>
      <c r="T784" s="122">
        <v>7750</v>
      </c>
      <c r="U784" s="122">
        <v>2870</v>
      </c>
      <c r="V784" s="122">
        <v>640849</v>
      </c>
      <c r="W784" s="122">
        <f t="shared" si="24"/>
        <v>640849</v>
      </c>
      <c r="X784" s="122">
        <f t="shared" si="25"/>
        <v>729175</v>
      </c>
      <c r="Y784" s="122"/>
      <c r="AA784" t="s">
        <v>56</v>
      </c>
      <c r="AB784" t="s">
        <v>408</v>
      </c>
      <c r="AC784" t="s">
        <v>566</v>
      </c>
      <c r="AD784" t="s">
        <v>408</v>
      </c>
      <c r="AE784" t="s">
        <v>137</v>
      </c>
      <c r="AF784">
        <v>5</v>
      </c>
      <c r="AG784">
        <v>309</v>
      </c>
      <c r="AH784" s="122">
        <v>1027</v>
      </c>
      <c r="AI784" s="122">
        <v>33524</v>
      </c>
      <c r="AJ784" s="122">
        <v>30476</v>
      </c>
      <c r="AK784">
        <v>86</v>
      </c>
      <c r="AL784">
        <v>0</v>
      </c>
      <c r="AM784">
        <v>0</v>
      </c>
      <c r="AN784" s="122">
        <v>4494</v>
      </c>
      <c r="AO784" s="122">
        <v>1664</v>
      </c>
      <c r="AP784" s="122">
        <v>1755</v>
      </c>
      <c r="AQ784">
        <v>650</v>
      </c>
      <c r="AR784" s="122">
        <v>11608</v>
      </c>
      <c r="AS784" s="122">
        <v>10552</v>
      </c>
      <c r="AT784" s="122">
        <v>9338</v>
      </c>
      <c r="AU784" s="122">
        <v>3458</v>
      </c>
      <c r="AV784" s="122">
        <v>46801</v>
      </c>
    </row>
    <row r="785" spans="2:48" hidden="1">
      <c r="B785" t="s">
        <v>367</v>
      </c>
      <c r="C785" t="s">
        <v>64</v>
      </c>
      <c r="D785" t="s">
        <v>426</v>
      </c>
      <c r="E785" t="s">
        <v>426</v>
      </c>
      <c r="F785">
        <v>94</v>
      </c>
      <c r="G785" s="122">
        <v>8110</v>
      </c>
      <c r="H785" s="122">
        <v>64585</v>
      </c>
      <c r="I785" s="122">
        <v>3974091</v>
      </c>
      <c r="J785" s="122">
        <v>3612810</v>
      </c>
      <c r="K785">
        <v>50</v>
      </c>
      <c r="L785" s="122">
        <v>513957</v>
      </c>
      <c r="M785" s="122">
        <v>397767</v>
      </c>
      <c r="N785" s="122">
        <v>179721</v>
      </c>
      <c r="O785" s="122">
        <v>66563</v>
      </c>
      <c r="P785" s="122">
        <v>23517</v>
      </c>
      <c r="Q785" s="122">
        <v>8710</v>
      </c>
      <c r="R785" s="122">
        <v>665960</v>
      </c>
      <c r="S785" s="122">
        <v>605419</v>
      </c>
      <c r="T785" s="122">
        <v>193979</v>
      </c>
      <c r="U785" s="122">
        <v>71844</v>
      </c>
      <c r="V785" s="122">
        <v>4763112</v>
      </c>
      <c r="W785" s="122">
        <f t="shared" si="24"/>
        <v>4763113</v>
      </c>
      <c r="X785" s="122">
        <f t="shared" si="25"/>
        <v>5551225</v>
      </c>
      <c r="Y785" s="122"/>
      <c r="AA785" t="s">
        <v>56</v>
      </c>
      <c r="AB785" t="s">
        <v>408</v>
      </c>
      <c r="AC785" t="s">
        <v>566</v>
      </c>
      <c r="AD785" t="s">
        <v>408</v>
      </c>
      <c r="AE785" t="s">
        <v>566</v>
      </c>
      <c r="AF785">
        <v>23</v>
      </c>
      <c r="AG785" s="122">
        <v>1863</v>
      </c>
      <c r="AH785" s="122">
        <v>4286</v>
      </c>
      <c r="AI785" s="122">
        <v>200613</v>
      </c>
      <c r="AJ785" s="122">
        <v>182376</v>
      </c>
      <c r="AK785">
        <v>79</v>
      </c>
      <c r="AL785">
        <v>0</v>
      </c>
      <c r="AM785" s="122">
        <v>2904</v>
      </c>
      <c r="AN785" s="122">
        <v>37361</v>
      </c>
      <c r="AO785" s="122">
        <v>13837</v>
      </c>
      <c r="AP785" s="122">
        <v>10220</v>
      </c>
      <c r="AQ785" s="122">
        <v>3785</v>
      </c>
      <c r="AR785" s="122">
        <v>100929</v>
      </c>
      <c r="AS785" s="122">
        <v>91754</v>
      </c>
      <c r="AT785">
        <v>0</v>
      </c>
      <c r="AU785">
        <v>0</v>
      </c>
      <c r="AV785" s="122">
        <v>294656</v>
      </c>
    </row>
    <row r="786" spans="2:48" hidden="1">
      <c r="B786" t="s">
        <v>367</v>
      </c>
      <c r="C786" t="s">
        <v>64</v>
      </c>
      <c r="D786" t="s">
        <v>433</v>
      </c>
      <c r="E786" t="s">
        <v>407</v>
      </c>
      <c r="F786">
        <v>1</v>
      </c>
      <c r="G786" s="122">
        <v>35</v>
      </c>
      <c r="H786" s="122">
        <v>1246</v>
      </c>
      <c r="I786" s="122">
        <v>37847</v>
      </c>
      <c r="J786" s="122">
        <v>34406</v>
      </c>
      <c r="K786">
        <v>30</v>
      </c>
      <c r="L786" s="122">
        <v>3097</v>
      </c>
      <c r="M786" s="122">
        <v>1147</v>
      </c>
      <c r="N786" s="122">
        <v>849</v>
      </c>
      <c r="O786" s="122">
        <v>315</v>
      </c>
      <c r="P786" s="122">
        <v>0</v>
      </c>
      <c r="Q786" s="122">
        <v>0</v>
      </c>
      <c r="R786" s="122">
        <v>1615</v>
      </c>
      <c r="S786" s="122">
        <v>1468</v>
      </c>
      <c r="T786" s="122">
        <v>0</v>
      </c>
      <c r="U786" s="122">
        <v>0</v>
      </c>
      <c r="V786" s="122">
        <v>37336</v>
      </c>
      <c r="W786" s="122">
        <f t="shared" si="24"/>
        <v>37336</v>
      </c>
      <c r="X786" s="122">
        <f t="shared" si="25"/>
        <v>43408</v>
      </c>
      <c r="Y786" s="122"/>
      <c r="AA786" t="s">
        <v>56</v>
      </c>
      <c r="AB786" t="s">
        <v>408</v>
      </c>
      <c r="AC786" t="s">
        <v>433</v>
      </c>
      <c r="AD786" t="s">
        <v>408</v>
      </c>
      <c r="AE786" t="s">
        <v>566</v>
      </c>
      <c r="AF786">
        <v>1</v>
      </c>
      <c r="AG786">
        <v>102</v>
      </c>
      <c r="AH786">
        <v>172</v>
      </c>
      <c r="AI786" s="122">
        <v>10056</v>
      </c>
      <c r="AJ786" s="122">
        <v>9141</v>
      </c>
      <c r="AK786">
        <v>80</v>
      </c>
      <c r="AL786" s="122">
        <v>1441</v>
      </c>
      <c r="AM786" s="122">
        <v>1310</v>
      </c>
      <c r="AN786" s="122">
        <v>1368</v>
      </c>
      <c r="AO786">
        <v>507</v>
      </c>
      <c r="AP786">
        <v>351</v>
      </c>
      <c r="AQ786">
        <v>130</v>
      </c>
      <c r="AR786" s="122">
        <v>4305</v>
      </c>
      <c r="AS786" s="122">
        <v>3914</v>
      </c>
      <c r="AT786">
        <v>0</v>
      </c>
      <c r="AU786">
        <v>0</v>
      </c>
      <c r="AV786" s="122">
        <v>15002</v>
      </c>
    </row>
    <row r="787" spans="2:48" hidden="1">
      <c r="B787" t="s">
        <v>367</v>
      </c>
      <c r="C787" t="s">
        <v>64</v>
      </c>
      <c r="D787" t="s">
        <v>433</v>
      </c>
      <c r="E787" t="s">
        <v>433</v>
      </c>
      <c r="F787">
        <v>4</v>
      </c>
      <c r="G787">
        <v>331</v>
      </c>
      <c r="H787" s="122">
        <v>2106</v>
      </c>
      <c r="I787" s="122">
        <v>131564</v>
      </c>
      <c r="J787" s="122">
        <v>119603</v>
      </c>
      <c r="K787">
        <v>58</v>
      </c>
      <c r="L787" s="122">
        <v>4941</v>
      </c>
      <c r="M787" s="122">
        <v>4492</v>
      </c>
      <c r="N787" s="122">
        <v>8062</v>
      </c>
      <c r="O787" s="122">
        <v>2986</v>
      </c>
      <c r="P787" s="122">
        <v>1404</v>
      </c>
      <c r="Q787" s="122">
        <v>520</v>
      </c>
      <c r="R787" s="122">
        <v>19203</v>
      </c>
      <c r="S787" s="122">
        <v>17457</v>
      </c>
      <c r="T787" s="122">
        <v>8885</v>
      </c>
      <c r="U787" s="122">
        <v>3291</v>
      </c>
      <c r="V787" s="122">
        <v>148349</v>
      </c>
      <c r="W787" s="122">
        <f t="shared" si="24"/>
        <v>148349</v>
      </c>
      <c r="X787" s="122">
        <f t="shared" si="25"/>
        <v>174059</v>
      </c>
      <c r="Y787" s="122"/>
      <c r="AA787" t="s">
        <v>56</v>
      </c>
      <c r="AB787" t="s">
        <v>408</v>
      </c>
      <c r="AC787" t="s">
        <v>429</v>
      </c>
      <c r="AD787" t="s">
        <v>408</v>
      </c>
      <c r="AE787" t="s">
        <v>137</v>
      </c>
      <c r="AF787">
        <v>1</v>
      </c>
      <c r="AG787">
        <v>154</v>
      </c>
      <c r="AH787">
        <v>161</v>
      </c>
      <c r="AI787" s="122">
        <v>15861</v>
      </c>
      <c r="AJ787" s="122">
        <v>14419</v>
      </c>
      <c r="AK787">
        <v>65</v>
      </c>
      <c r="AL787" s="122">
        <v>1909</v>
      </c>
      <c r="AM787" s="122">
        <v>1736</v>
      </c>
      <c r="AN787" s="122">
        <v>1873</v>
      </c>
      <c r="AO787">
        <v>694</v>
      </c>
      <c r="AP787">
        <v>351</v>
      </c>
      <c r="AQ787">
        <v>130</v>
      </c>
      <c r="AR787" s="122">
        <v>3904</v>
      </c>
      <c r="AS787" s="122">
        <v>3549</v>
      </c>
      <c r="AT787">
        <v>890</v>
      </c>
      <c r="AU787">
        <v>330</v>
      </c>
      <c r="AV787" s="122">
        <v>20857</v>
      </c>
    </row>
    <row r="788" spans="2:48" hidden="1">
      <c r="B788" t="s">
        <v>367</v>
      </c>
      <c r="C788" t="s">
        <v>64</v>
      </c>
      <c r="D788" t="s">
        <v>408</v>
      </c>
      <c r="E788" t="s">
        <v>137</v>
      </c>
      <c r="F788">
        <v>1</v>
      </c>
      <c r="G788" s="122">
        <v>172</v>
      </c>
      <c r="H788" s="122">
        <v>559</v>
      </c>
      <c r="I788" s="122">
        <v>66836</v>
      </c>
      <c r="J788" s="122">
        <v>60760</v>
      </c>
      <c r="K788">
        <v>65</v>
      </c>
      <c r="L788" s="122">
        <v>26659</v>
      </c>
      <c r="M788" s="122">
        <v>9874</v>
      </c>
      <c r="N788" s="122">
        <v>4365</v>
      </c>
      <c r="O788" s="122">
        <v>1617</v>
      </c>
      <c r="P788" s="122">
        <v>0</v>
      </c>
      <c r="Q788" s="122">
        <v>0</v>
      </c>
      <c r="R788" s="122">
        <v>12778</v>
      </c>
      <c r="S788" s="122">
        <v>4732</v>
      </c>
      <c r="T788">
        <v>0</v>
      </c>
      <c r="U788">
        <v>0</v>
      </c>
      <c r="V788" s="122">
        <v>76983</v>
      </c>
      <c r="W788" s="122">
        <f t="shared" si="24"/>
        <v>76983</v>
      </c>
      <c r="X788" s="122">
        <f t="shared" si="25"/>
        <v>110638</v>
      </c>
      <c r="Y788" s="122"/>
      <c r="AA788" t="s">
        <v>56</v>
      </c>
      <c r="AB788" t="s">
        <v>408</v>
      </c>
      <c r="AC788" t="s">
        <v>429</v>
      </c>
      <c r="AD788" t="s">
        <v>408</v>
      </c>
      <c r="AE788" t="s">
        <v>566</v>
      </c>
      <c r="AF788">
        <v>1</v>
      </c>
      <c r="AG788">
        <v>146</v>
      </c>
      <c r="AH788">
        <v>168</v>
      </c>
      <c r="AI788" s="122">
        <v>14634</v>
      </c>
      <c r="AJ788" s="122">
        <v>13303</v>
      </c>
      <c r="AK788">
        <v>91</v>
      </c>
      <c r="AL788" s="122">
        <v>2281</v>
      </c>
      <c r="AM788" s="122">
        <v>2074</v>
      </c>
      <c r="AN788" s="122">
        <v>2990</v>
      </c>
      <c r="AO788" s="122">
        <v>1108</v>
      </c>
      <c r="AP788">
        <v>351</v>
      </c>
      <c r="AQ788">
        <v>130</v>
      </c>
      <c r="AR788" s="122">
        <v>4211</v>
      </c>
      <c r="AS788" s="122">
        <v>3828</v>
      </c>
      <c r="AT788">
        <v>0</v>
      </c>
      <c r="AU788">
        <v>0</v>
      </c>
      <c r="AV788" s="122">
        <v>20443</v>
      </c>
    </row>
    <row r="789" spans="2:48" hidden="1">
      <c r="B789" t="s">
        <v>368</v>
      </c>
      <c r="C789" t="s">
        <v>48</v>
      </c>
      <c r="D789" t="s">
        <v>405</v>
      </c>
      <c r="E789" t="s">
        <v>405</v>
      </c>
      <c r="F789">
        <v>82</v>
      </c>
      <c r="G789" s="122">
        <v>9607</v>
      </c>
      <c r="H789" s="122">
        <v>4455</v>
      </c>
      <c r="I789" s="122">
        <v>22715</v>
      </c>
      <c r="J789" s="122">
        <v>20650</v>
      </c>
      <c r="K789">
        <v>92</v>
      </c>
      <c r="L789" s="122">
        <v>5992</v>
      </c>
      <c r="M789" s="122">
        <v>2152</v>
      </c>
      <c r="N789" s="122">
        <v>171372</v>
      </c>
      <c r="O789" s="122">
        <v>63471</v>
      </c>
      <c r="P789" s="122">
        <v>126441</v>
      </c>
      <c r="Q789" s="122">
        <v>46830</v>
      </c>
      <c r="R789" s="122">
        <v>193197</v>
      </c>
      <c r="S789" s="122">
        <v>175634</v>
      </c>
      <c r="T789">
        <v>0</v>
      </c>
      <c r="U789">
        <v>0</v>
      </c>
      <c r="V789" s="122">
        <v>308737</v>
      </c>
      <c r="W789" s="122">
        <f t="shared" si="24"/>
        <v>308737</v>
      </c>
      <c r="X789" s="122">
        <f t="shared" si="25"/>
        <v>519717</v>
      </c>
      <c r="Y789" s="122"/>
      <c r="AA789" t="s">
        <v>56</v>
      </c>
      <c r="AB789" t="s">
        <v>429</v>
      </c>
      <c r="AC789" t="s">
        <v>137</v>
      </c>
      <c r="AD789" t="s">
        <v>137</v>
      </c>
      <c r="AE789" t="s">
        <v>137</v>
      </c>
      <c r="AF789">
        <v>1</v>
      </c>
      <c r="AG789">
        <v>87</v>
      </c>
      <c r="AH789">
        <v>194</v>
      </c>
      <c r="AI789" s="122">
        <v>6740</v>
      </c>
      <c r="AJ789" s="122">
        <v>6127</v>
      </c>
      <c r="AK789">
        <v>83</v>
      </c>
      <c r="AL789" s="122">
        <v>1528</v>
      </c>
      <c r="AM789">
        <v>566</v>
      </c>
      <c r="AN789" s="122">
        <v>1891</v>
      </c>
      <c r="AO789">
        <v>700</v>
      </c>
      <c r="AP789">
        <v>0</v>
      </c>
      <c r="AQ789">
        <v>0</v>
      </c>
      <c r="AR789" s="122">
        <v>6719</v>
      </c>
      <c r="AS789" s="122">
        <v>2488</v>
      </c>
      <c r="AT789">
        <v>0</v>
      </c>
      <c r="AU789">
        <v>0</v>
      </c>
      <c r="AV789" s="122">
        <v>9882</v>
      </c>
    </row>
    <row r="790" spans="2:48" hidden="1">
      <c r="B790" t="s">
        <v>368</v>
      </c>
      <c r="C790" t="s">
        <v>48</v>
      </c>
      <c r="D790" t="s">
        <v>137</v>
      </c>
      <c r="E790" t="s">
        <v>137</v>
      </c>
      <c r="F790">
        <v>353</v>
      </c>
      <c r="G790" s="122">
        <v>44858</v>
      </c>
      <c r="H790" s="122">
        <v>18660</v>
      </c>
      <c r="I790" s="122">
        <v>-51476</v>
      </c>
      <c r="J790" s="122">
        <v>-19065</v>
      </c>
      <c r="K790">
        <v>499</v>
      </c>
      <c r="L790" s="122">
        <v>7618</v>
      </c>
      <c r="M790" s="122">
        <v>9243</v>
      </c>
      <c r="N790" s="122">
        <v>609035</v>
      </c>
      <c r="O790" s="122">
        <v>225568</v>
      </c>
      <c r="P790" s="122">
        <v>463174</v>
      </c>
      <c r="Q790" s="122">
        <v>171546</v>
      </c>
      <c r="R790" s="122">
        <v>1348635</v>
      </c>
      <c r="S790" s="122">
        <v>499494</v>
      </c>
      <c r="T790" s="122">
        <v>0</v>
      </c>
      <c r="U790" s="122">
        <v>0</v>
      </c>
      <c r="V790" s="122">
        <v>886787</v>
      </c>
      <c r="W790" s="122">
        <f t="shared" si="24"/>
        <v>924916</v>
      </c>
      <c r="X790" s="122">
        <f t="shared" si="25"/>
        <v>2479938</v>
      </c>
      <c r="Y790" s="122"/>
      <c r="AA790" t="s">
        <v>56</v>
      </c>
      <c r="AB790" t="s">
        <v>429</v>
      </c>
      <c r="AC790" t="s">
        <v>137</v>
      </c>
      <c r="AD790" t="s">
        <v>429</v>
      </c>
      <c r="AE790" t="s">
        <v>137</v>
      </c>
      <c r="AF790">
        <v>1</v>
      </c>
      <c r="AG790">
        <v>88</v>
      </c>
      <c r="AH790">
        <v>222</v>
      </c>
      <c r="AI790" s="122">
        <v>14520</v>
      </c>
      <c r="AJ790" s="122">
        <v>13200</v>
      </c>
      <c r="AK790">
        <v>65</v>
      </c>
      <c r="AL790" s="122">
        <v>2574</v>
      </c>
      <c r="AM790">
        <v>953</v>
      </c>
      <c r="AN790" s="122">
        <v>1077</v>
      </c>
      <c r="AO790">
        <v>399</v>
      </c>
      <c r="AP790">
        <v>351</v>
      </c>
      <c r="AQ790">
        <v>130</v>
      </c>
      <c r="AR790" s="122">
        <v>1700</v>
      </c>
      <c r="AS790" s="122">
        <v>1545</v>
      </c>
      <c r="AT790">
        <v>-618</v>
      </c>
      <c r="AU790">
        <v>-229</v>
      </c>
      <c r="AV790" s="122">
        <v>15998</v>
      </c>
    </row>
    <row r="791" spans="2:48" hidden="1">
      <c r="B791" t="s">
        <v>368</v>
      </c>
      <c r="C791" t="s">
        <v>48</v>
      </c>
      <c r="D791" t="s">
        <v>406</v>
      </c>
      <c r="E791" t="s">
        <v>406</v>
      </c>
      <c r="F791">
        <v>49</v>
      </c>
      <c r="G791" s="122">
        <v>6475</v>
      </c>
      <c r="H791" s="122">
        <v>3109</v>
      </c>
      <c r="I791" s="122">
        <v>99357</v>
      </c>
      <c r="J791" s="122">
        <v>90324</v>
      </c>
      <c r="K791">
        <v>95</v>
      </c>
      <c r="L791" s="122">
        <v>11405</v>
      </c>
      <c r="M791" s="122">
        <v>7824</v>
      </c>
      <c r="N791" s="122">
        <v>106472</v>
      </c>
      <c r="O791" s="122">
        <v>39434</v>
      </c>
      <c r="P791" s="122">
        <v>53346</v>
      </c>
      <c r="Q791" s="122">
        <v>19758</v>
      </c>
      <c r="R791" s="122">
        <v>145610</v>
      </c>
      <c r="S791" s="122">
        <v>132372</v>
      </c>
      <c r="T791" s="122">
        <v>0</v>
      </c>
      <c r="U791" s="122">
        <v>0</v>
      </c>
      <c r="V791" s="122">
        <v>289713</v>
      </c>
      <c r="W791" s="122">
        <f t="shared" si="24"/>
        <v>289712</v>
      </c>
      <c r="X791" s="122">
        <f t="shared" si="25"/>
        <v>416190</v>
      </c>
      <c r="Y791" s="122"/>
      <c r="AA791" t="s">
        <v>56</v>
      </c>
      <c r="AB791" t="s">
        <v>429</v>
      </c>
      <c r="AC791" t="s">
        <v>137</v>
      </c>
      <c r="AD791" t="s">
        <v>429</v>
      </c>
      <c r="AE791" t="s">
        <v>566</v>
      </c>
      <c r="AF791">
        <v>1</v>
      </c>
      <c r="AG791">
        <v>97</v>
      </c>
      <c r="AH791">
        <v>179</v>
      </c>
      <c r="AI791" s="122">
        <v>7894</v>
      </c>
      <c r="AJ791" s="122">
        <v>7176</v>
      </c>
      <c r="AK791">
        <v>65</v>
      </c>
      <c r="AL791" s="122">
        <v>1399</v>
      </c>
      <c r="AM791">
        <v>518</v>
      </c>
      <c r="AN791" s="122">
        <v>2256</v>
      </c>
      <c r="AO791">
        <v>835</v>
      </c>
      <c r="AP791">
        <v>351</v>
      </c>
      <c r="AQ791">
        <v>130</v>
      </c>
      <c r="AR791" s="122">
        <v>5581</v>
      </c>
      <c r="AS791" s="122">
        <v>5074</v>
      </c>
      <c r="AT791">
        <v>0</v>
      </c>
      <c r="AU791">
        <v>0</v>
      </c>
      <c r="AV791" s="122">
        <v>13734</v>
      </c>
    </row>
    <row r="792" spans="2:48" hidden="1">
      <c r="B792" t="s">
        <v>368</v>
      </c>
      <c r="C792" t="s">
        <v>48</v>
      </c>
      <c r="D792" t="s">
        <v>407</v>
      </c>
      <c r="E792" t="s">
        <v>407</v>
      </c>
      <c r="F792">
        <v>145</v>
      </c>
      <c r="G792" s="122">
        <v>16971</v>
      </c>
      <c r="H792" s="122">
        <v>7239</v>
      </c>
      <c r="I792" s="122">
        <v>-85634</v>
      </c>
      <c r="J792" s="122">
        <v>-77849</v>
      </c>
      <c r="K792">
        <v>91</v>
      </c>
      <c r="L792" s="122">
        <v>-5742</v>
      </c>
      <c r="M792" s="122">
        <v>-2394</v>
      </c>
      <c r="N792" s="122">
        <v>209509</v>
      </c>
      <c r="O792" s="122">
        <v>77596</v>
      </c>
      <c r="P792" s="122">
        <v>168911</v>
      </c>
      <c r="Q792" s="122">
        <v>62560</v>
      </c>
      <c r="R792" s="122">
        <v>569108</v>
      </c>
      <c r="S792" s="122">
        <v>517371</v>
      </c>
      <c r="T792" s="122">
        <v>0</v>
      </c>
      <c r="U792" s="122">
        <v>0</v>
      </c>
      <c r="V792" s="122">
        <v>577284</v>
      </c>
      <c r="W792" s="122">
        <f t="shared" si="24"/>
        <v>737770</v>
      </c>
      <c r="X792" s="122">
        <f t="shared" si="25"/>
        <v>1038904</v>
      </c>
      <c r="Y792" s="122"/>
      <c r="AA792" t="s">
        <v>56</v>
      </c>
      <c r="AB792" t="s">
        <v>429</v>
      </c>
      <c r="AC792" t="s">
        <v>580</v>
      </c>
      <c r="AD792" t="s">
        <v>429</v>
      </c>
      <c r="AE792" t="s">
        <v>566</v>
      </c>
      <c r="AF792">
        <v>1</v>
      </c>
      <c r="AG792">
        <v>137</v>
      </c>
      <c r="AH792">
        <v>179</v>
      </c>
      <c r="AI792" s="122">
        <v>14245</v>
      </c>
      <c r="AJ792" s="122">
        <v>12950</v>
      </c>
      <c r="AK792">
        <v>85</v>
      </c>
      <c r="AL792" s="122">
        <v>1611</v>
      </c>
      <c r="AM792" s="122">
        <v>1465</v>
      </c>
      <c r="AN792" s="122">
        <v>1672</v>
      </c>
      <c r="AO792">
        <v>619</v>
      </c>
      <c r="AP792">
        <v>972</v>
      </c>
      <c r="AQ792">
        <v>360</v>
      </c>
      <c r="AR792" s="122">
        <v>5986</v>
      </c>
      <c r="AS792" s="122">
        <v>5442</v>
      </c>
      <c r="AT792">
        <v>0</v>
      </c>
      <c r="AU792">
        <v>0</v>
      </c>
      <c r="AV792" s="122">
        <v>20836</v>
      </c>
    </row>
    <row r="793" spans="2:48" hidden="1">
      <c r="B793" t="s">
        <v>368</v>
      </c>
      <c r="C793" t="s">
        <v>50</v>
      </c>
      <c r="D793" t="s">
        <v>137</v>
      </c>
      <c r="E793" t="s">
        <v>137</v>
      </c>
      <c r="F793">
        <v>64</v>
      </c>
      <c r="G793" s="122">
        <v>6716</v>
      </c>
      <c r="H793" s="122">
        <v>5447</v>
      </c>
      <c r="I793" s="122">
        <v>177108</v>
      </c>
      <c r="J793" s="122">
        <v>65595</v>
      </c>
      <c r="K793">
        <v>378</v>
      </c>
      <c r="L793" s="122">
        <v>41580</v>
      </c>
      <c r="M793" s="122">
        <v>37400</v>
      </c>
      <c r="N793" s="122">
        <v>114584</v>
      </c>
      <c r="O793" s="122">
        <v>42439</v>
      </c>
      <c r="P793" s="122">
        <v>36185</v>
      </c>
      <c r="Q793" s="122">
        <v>13402</v>
      </c>
      <c r="R793" s="122">
        <v>207598</v>
      </c>
      <c r="S793" s="122">
        <v>76888</v>
      </c>
      <c r="T793" s="122">
        <v>0</v>
      </c>
      <c r="U793" s="122">
        <v>0</v>
      </c>
      <c r="V793" s="122">
        <v>235724</v>
      </c>
      <c r="W793" s="122">
        <f t="shared" si="24"/>
        <v>235724</v>
      </c>
      <c r="X793" s="122">
        <f t="shared" si="25"/>
        <v>577055</v>
      </c>
      <c r="Y793" s="122"/>
      <c r="AA793" t="s">
        <v>56</v>
      </c>
      <c r="AB793" t="s">
        <v>429</v>
      </c>
      <c r="AC793" t="s">
        <v>579</v>
      </c>
      <c r="AD793" t="s">
        <v>408</v>
      </c>
      <c r="AE793" t="s">
        <v>566</v>
      </c>
      <c r="AF793">
        <v>1</v>
      </c>
      <c r="AG793">
        <v>85</v>
      </c>
      <c r="AH793">
        <v>181</v>
      </c>
      <c r="AI793" s="122">
        <v>8185</v>
      </c>
      <c r="AJ793" s="122">
        <v>7441</v>
      </c>
      <c r="AK793">
        <v>83</v>
      </c>
      <c r="AL793" s="122">
        <v>1068</v>
      </c>
      <c r="AM793">
        <v>890</v>
      </c>
      <c r="AN793" s="122">
        <v>1038</v>
      </c>
      <c r="AO793">
        <v>384</v>
      </c>
      <c r="AP793">
        <v>351</v>
      </c>
      <c r="AQ793">
        <v>130</v>
      </c>
      <c r="AR793" s="122">
        <v>4814</v>
      </c>
      <c r="AS793" s="122">
        <v>4376</v>
      </c>
      <c r="AT793">
        <v>0</v>
      </c>
      <c r="AU793">
        <v>0</v>
      </c>
      <c r="AV793" s="122">
        <v>13222</v>
      </c>
    </row>
    <row r="794" spans="2:48" hidden="1">
      <c r="B794" t="s">
        <v>368</v>
      </c>
      <c r="C794" t="s">
        <v>50</v>
      </c>
      <c r="D794" t="s">
        <v>406</v>
      </c>
      <c r="E794" t="s">
        <v>406</v>
      </c>
      <c r="F794">
        <v>13</v>
      </c>
      <c r="G794" s="122">
        <v>1993</v>
      </c>
      <c r="H794" s="122">
        <v>1219</v>
      </c>
      <c r="I794" s="122">
        <v>80725</v>
      </c>
      <c r="J794" s="122">
        <v>73387</v>
      </c>
      <c r="K794">
        <v>96</v>
      </c>
      <c r="L794" s="122">
        <v>13654</v>
      </c>
      <c r="M794" s="122">
        <v>11638</v>
      </c>
      <c r="N794" s="122">
        <v>31641</v>
      </c>
      <c r="O794" s="122">
        <v>11719</v>
      </c>
      <c r="P794" s="122">
        <v>15005</v>
      </c>
      <c r="Q794" s="122">
        <v>5557</v>
      </c>
      <c r="R794" s="122">
        <v>48867</v>
      </c>
      <c r="S794" s="122">
        <v>44424</v>
      </c>
      <c r="T794">
        <v>0</v>
      </c>
      <c r="U794">
        <v>0</v>
      </c>
      <c r="V794" s="122">
        <v>146725</v>
      </c>
      <c r="W794" s="122">
        <f t="shared" si="24"/>
        <v>146725</v>
      </c>
      <c r="X794" s="122">
        <f t="shared" si="25"/>
        <v>189892</v>
      </c>
      <c r="Y794" s="122"/>
      <c r="AA794" t="s">
        <v>56</v>
      </c>
      <c r="AB794" t="s">
        <v>429</v>
      </c>
      <c r="AC794" t="s">
        <v>579</v>
      </c>
      <c r="AD794" t="s">
        <v>429</v>
      </c>
      <c r="AE794" t="s">
        <v>137</v>
      </c>
      <c r="AF794">
        <v>3</v>
      </c>
      <c r="AG794">
        <v>323</v>
      </c>
      <c r="AH794">
        <v>588</v>
      </c>
      <c r="AI794" s="122">
        <v>29540</v>
      </c>
      <c r="AJ794" s="122">
        <v>26854</v>
      </c>
      <c r="AK794">
        <v>65</v>
      </c>
      <c r="AL794" s="122">
        <v>7758</v>
      </c>
      <c r="AM794" s="122">
        <v>6465</v>
      </c>
      <c r="AN794" s="122">
        <v>5051</v>
      </c>
      <c r="AO794" s="122">
        <v>1871</v>
      </c>
      <c r="AP794" s="122">
        <v>1053</v>
      </c>
      <c r="AQ794">
        <v>390</v>
      </c>
      <c r="AR794" s="122">
        <v>14288</v>
      </c>
      <c r="AS794" s="122">
        <v>12989</v>
      </c>
      <c r="AT794" s="122">
        <v>5381</v>
      </c>
      <c r="AU794" s="122">
        <v>1993</v>
      </c>
      <c r="AV794" s="122">
        <v>50562</v>
      </c>
    </row>
    <row r="795" spans="2:48" hidden="1">
      <c r="B795" t="s">
        <v>368</v>
      </c>
      <c r="C795" t="s">
        <v>50</v>
      </c>
      <c r="D795" t="s">
        <v>407</v>
      </c>
      <c r="E795" t="s">
        <v>407</v>
      </c>
      <c r="F795">
        <v>25</v>
      </c>
      <c r="G795" s="122">
        <v>3153</v>
      </c>
      <c r="H795" s="122">
        <v>2245</v>
      </c>
      <c r="I795" s="122">
        <v>113966</v>
      </c>
      <c r="J795" s="122">
        <v>103606</v>
      </c>
      <c r="K795">
        <v>91</v>
      </c>
      <c r="L795" s="122">
        <v>12140</v>
      </c>
      <c r="M795" s="122">
        <v>10475</v>
      </c>
      <c r="N795" s="122">
        <v>57671</v>
      </c>
      <c r="O795" s="122">
        <v>21359</v>
      </c>
      <c r="P795" s="122">
        <v>18290</v>
      </c>
      <c r="Q795" s="122">
        <v>6774</v>
      </c>
      <c r="R795" s="122">
        <v>81045</v>
      </c>
      <c r="S795" s="122">
        <v>73677</v>
      </c>
      <c r="T795" s="122">
        <v>0</v>
      </c>
      <c r="U795" s="122">
        <v>0</v>
      </c>
      <c r="V795" s="122">
        <v>215891</v>
      </c>
      <c r="W795" s="122">
        <f t="shared" si="24"/>
        <v>215891</v>
      </c>
      <c r="X795" s="122">
        <f t="shared" si="25"/>
        <v>283112</v>
      </c>
      <c r="Y795" s="122"/>
      <c r="AA795" t="s">
        <v>56</v>
      </c>
      <c r="AB795" t="s">
        <v>429</v>
      </c>
      <c r="AC795" t="s">
        <v>579</v>
      </c>
      <c r="AD795" t="s">
        <v>429</v>
      </c>
      <c r="AE795" t="s">
        <v>566</v>
      </c>
      <c r="AF795">
        <v>4</v>
      </c>
      <c r="AG795">
        <v>358</v>
      </c>
      <c r="AH795">
        <v>770</v>
      </c>
      <c r="AI795" s="122">
        <v>30646</v>
      </c>
      <c r="AJ795" s="122">
        <v>27860</v>
      </c>
      <c r="AK795">
        <v>70</v>
      </c>
      <c r="AL795" s="122">
        <v>7594</v>
      </c>
      <c r="AM795" s="122">
        <v>6328</v>
      </c>
      <c r="AN795" s="122">
        <v>6458</v>
      </c>
      <c r="AO795" s="122">
        <v>2392</v>
      </c>
      <c r="AP795" s="122">
        <v>1404</v>
      </c>
      <c r="AQ795">
        <v>520</v>
      </c>
      <c r="AR795" s="122">
        <v>22656</v>
      </c>
      <c r="AS795" s="122">
        <v>20596</v>
      </c>
      <c r="AT795">
        <v>0</v>
      </c>
      <c r="AU795">
        <v>0</v>
      </c>
      <c r="AV795" s="122">
        <v>57696</v>
      </c>
    </row>
    <row r="796" spans="2:48" hidden="1">
      <c r="B796" t="s">
        <v>368</v>
      </c>
      <c r="C796" t="s">
        <v>52</v>
      </c>
      <c r="F796">
        <v>2</v>
      </c>
      <c r="G796">
        <v>189</v>
      </c>
      <c r="H796">
        <v>220</v>
      </c>
      <c r="I796" s="122"/>
      <c r="J796" s="122">
        <v>0</v>
      </c>
      <c r="L796" s="122"/>
      <c r="M796" s="122">
        <v>0</v>
      </c>
      <c r="N796" s="122">
        <v>4603</v>
      </c>
      <c r="O796" s="122">
        <v>1705</v>
      </c>
      <c r="P796" s="122">
        <v>702</v>
      </c>
      <c r="Q796">
        <v>260</v>
      </c>
      <c r="R796" s="122"/>
      <c r="S796" s="122">
        <v>0</v>
      </c>
      <c r="T796" s="122">
        <v>0</v>
      </c>
      <c r="U796" s="122">
        <v>0</v>
      </c>
      <c r="V796" s="122">
        <v>1965</v>
      </c>
      <c r="W796" s="122">
        <f t="shared" si="24"/>
        <v>1965</v>
      </c>
      <c r="X796" s="122">
        <f t="shared" si="25"/>
        <v>5305</v>
      </c>
      <c r="Y796" s="122"/>
      <c r="AA796" t="s">
        <v>56</v>
      </c>
      <c r="AB796" t="s">
        <v>429</v>
      </c>
      <c r="AC796" t="s">
        <v>426</v>
      </c>
      <c r="AD796" t="s">
        <v>429</v>
      </c>
      <c r="AE796" t="s">
        <v>137</v>
      </c>
      <c r="AF796">
        <v>4</v>
      </c>
      <c r="AG796">
        <v>408</v>
      </c>
      <c r="AH796">
        <v>758</v>
      </c>
      <c r="AI796" s="122">
        <v>38955</v>
      </c>
      <c r="AJ796" s="122">
        <v>35414</v>
      </c>
      <c r="AK796">
        <v>85</v>
      </c>
      <c r="AL796" s="122">
        <v>9364</v>
      </c>
      <c r="AM796" s="122">
        <v>8513</v>
      </c>
      <c r="AN796" s="122">
        <v>6157</v>
      </c>
      <c r="AO796" s="122">
        <v>2281</v>
      </c>
      <c r="AP796" s="122">
        <v>1404</v>
      </c>
      <c r="AQ796">
        <v>520</v>
      </c>
      <c r="AR796" s="122">
        <v>13071</v>
      </c>
      <c r="AS796" s="122">
        <v>11883</v>
      </c>
      <c r="AT796" s="122">
        <v>7606</v>
      </c>
      <c r="AU796" s="122">
        <v>2817</v>
      </c>
      <c r="AV796" s="122">
        <v>61427</v>
      </c>
    </row>
    <row r="797" spans="2:48" hidden="1">
      <c r="B797" t="s">
        <v>368</v>
      </c>
      <c r="C797" t="s">
        <v>52</v>
      </c>
      <c r="D797" t="s">
        <v>405</v>
      </c>
      <c r="E797" t="s">
        <v>405</v>
      </c>
      <c r="F797">
        <v>28</v>
      </c>
      <c r="G797" s="122">
        <v>3731</v>
      </c>
      <c r="H797" s="122">
        <v>3190</v>
      </c>
      <c r="I797" s="122">
        <v>203973</v>
      </c>
      <c r="J797" s="122">
        <v>185430</v>
      </c>
      <c r="K797">
        <v>90</v>
      </c>
      <c r="L797" s="122">
        <v>17913</v>
      </c>
      <c r="M797" s="122">
        <v>18710</v>
      </c>
      <c r="N797" s="122">
        <v>63941</v>
      </c>
      <c r="O797" s="122">
        <v>23682</v>
      </c>
      <c r="P797" s="122">
        <v>15869</v>
      </c>
      <c r="Q797" s="122">
        <v>5877</v>
      </c>
      <c r="R797" s="122">
        <v>118113</v>
      </c>
      <c r="S797" s="122">
        <v>107376</v>
      </c>
      <c r="T797" s="122">
        <v>3217</v>
      </c>
      <c r="U797" s="122">
        <v>1191</v>
      </c>
      <c r="V797" s="122">
        <v>342266</v>
      </c>
      <c r="W797" s="122">
        <f t="shared" si="24"/>
        <v>342266</v>
      </c>
      <c r="X797" s="122">
        <f t="shared" si="25"/>
        <v>423026</v>
      </c>
      <c r="Y797" s="122"/>
      <c r="AA797" t="s">
        <v>56</v>
      </c>
      <c r="AB797" t="s">
        <v>429</v>
      </c>
      <c r="AC797" t="s">
        <v>426</v>
      </c>
      <c r="AD797" t="s">
        <v>429</v>
      </c>
      <c r="AE797" t="s">
        <v>566</v>
      </c>
      <c r="AF797">
        <v>4</v>
      </c>
      <c r="AG797">
        <v>374</v>
      </c>
      <c r="AH797">
        <v>782</v>
      </c>
      <c r="AI797" s="122">
        <v>36532</v>
      </c>
      <c r="AJ797" s="122">
        <v>33211</v>
      </c>
      <c r="AK797">
        <v>87</v>
      </c>
      <c r="AL797" s="122">
        <v>8825</v>
      </c>
      <c r="AM797" s="122">
        <v>8023</v>
      </c>
      <c r="AN797" s="122">
        <v>5423</v>
      </c>
      <c r="AO797" s="122">
        <v>2009</v>
      </c>
      <c r="AP797" s="122">
        <v>1323</v>
      </c>
      <c r="AQ797">
        <v>490</v>
      </c>
      <c r="AR797" s="122">
        <v>18448</v>
      </c>
      <c r="AS797" s="122">
        <v>16771</v>
      </c>
      <c r="AT797">
        <v>0</v>
      </c>
      <c r="AU797">
        <v>0</v>
      </c>
      <c r="AV797" s="122">
        <v>60504</v>
      </c>
    </row>
    <row r="798" spans="2:48" hidden="1">
      <c r="B798" t="s">
        <v>368</v>
      </c>
      <c r="C798" t="s">
        <v>52</v>
      </c>
      <c r="D798" t="s">
        <v>137</v>
      </c>
      <c r="E798" t="s">
        <v>137</v>
      </c>
      <c r="F798" s="122">
        <v>20</v>
      </c>
      <c r="G798" s="122">
        <v>2412</v>
      </c>
      <c r="H798" s="122">
        <v>2232</v>
      </c>
      <c r="I798" s="122">
        <v>106171</v>
      </c>
      <c r="J798" s="122">
        <v>39322</v>
      </c>
      <c r="K798">
        <v>353</v>
      </c>
      <c r="L798" s="122">
        <v>18584</v>
      </c>
      <c r="M798" s="122">
        <v>14624</v>
      </c>
      <c r="N798" s="122">
        <v>45195</v>
      </c>
      <c r="O798" s="122">
        <v>16739</v>
      </c>
      <c r="P798" s="122">
        <v>10101</v>
      </c>
      <c r="Q798" s="122">
        <v>3741</v>
      </c>
      <c r="R798" s="122">
        <v>99422</v>
      </c>
      <c r="S798" s="122">
        <v>36823</v>
      </c>
      <c r="T798">
        <v>0</v>
      </c>
      <c r="U798">
        <v>0</v>
      </c>
      <c r="V798" s="122">
        <v>111250</v>
      </c>
      <c r="W798" s="122">
        <f t="shared" si="24"/>
        <v>111249</v>
      </c>
      <c r="X798" s="122">
        <f t="shared" si="25"/>
        <v>279473</v>
      </c>
      <c r="Y798" s="122"/>
      <c r="AA798" t="s">
        <v>56</v>
      </c>
      <c r="AB798" t="s">
        <v>429</v>
      </c>
      <c r="AC798" t="s">
        <v>566</v>
      </c>
      <c r="AD798" t="s">
        <v>429</v>
      </c>
      <c r="AE798" t="s">
        <v>137</v>
      </c>
      <c r="AF798">
        <v>2</v>
      </c>
      <c r="AG798">
        <v>136</v>
      </c>
      <c r="AH798">
        <v>373</v>
      </c>
      <c r="AI798" s="122">
        <v>12633</v>
      </c>
      <c r="AJ798" s="122">
        <v>11484</v>
      </c>
      <c r="AK798">
        <v>74</v>
      </c>
      <c r="AL798">
        <v>0</v>
      </c>
      <c r="AM798">
        <v>0</v>
      </c>
      <c r="AN798" s="122">
        <v>2930</v>
      </c>
      <c r="AO798" s="122">
        <v>1085</v>
      </c>
      <c r="AP798" s="122">
        <v>1298</v>
      </c>
      <c r="AQ798">
        <v>481</v>
      </c>
      <c r="AR798" s="122">
        <v>5760</v>
      </c>
      <c r="AS798" s="122">
        <v>5237</v>
      </c>
      <c r="AT798" s="122">
        <v>2872</v>
      </c>
      <c r="AU798" s="122">
        <v>1064</v>
      </c>
      <c r="AV798" s="122">
        <v>19350</v>
      </c>
    </row>
    <row r="799" spans="2:48" hidden="1">
      <c r="B799" t="s">
        <v>368</v>
      </c>
      <c r="C799" t="s">
        <v>52</v>
      </c>
      <c r="D799" t="s">
        <v>406</v>
      </c>
      <c r="E799" t="s">
        <v>406</v>
      </c>
      <c r="F799">
        <v>148</v>
      </c>
      <c r="G799" s="122">
        <v>19847</v>
      </c>
      <c r="H799" s="122">
        <v>17253</v>
      </c>
      <c r="I799" s="122">
        <v>1131304</v>
      </c>
      <c r="J799" s="122">
        <v>1028458</v>
      </c>
      <c r="K799">
        <v>93</v>
      </c>
      <c r="L799" s="122">
        <v>232248</v>
      </c>
      <c r="M799" s="122">
        <v>191678</v>
      </c>
      <c r="N799" s="122">
        <v>335224</v>
      </c>
      <c r="O799" s="122">
        <v>124157</v>
      </c>
      <c r="P799" s="122">
        <v>111787</v>
      </c>
      <c r="Q799" s="122">
        <v>41403</v>
      </c>
      <c r="R799" s="122">
        <v>633166</v>
      </c>
      <c r="S799" s="122">
        <v>575605</v>
      </c>
      <c r="T799" s="122">
        <v>4452</v>
      </c>
      <c r="U799" s="122">
        <v>1649</v>
      </c>
      <c r="V799" s="122">
        <v>1962950</v>
      </c>
      <c r="W799" s="122">
        <f t="shared" si="24"/>
        <v>1962950</v>
      </c>
      <c r="X799" s="122">
        <f t="shared" si="25"/>
        <v>2448181</v>
      </c>
      <c r="Y799" s="122"/>
      <c r="AA799" t="s">
        <v>56</v>
      </c>
      <c r="AB799" t="s">
        <v>429</v>
      </c>
      <c r="AC799" t="s">
        <v>566</v>
      </c>
      <c r="AD799" t="s">
        <v>429</v>
      </c>
      <c r="AE799" t="s">
        <v>566</v>
      </c>
      <c r="AF799">
        <v>20</v>
      </c>
      <c r="AG799" s="122">
        <v>1693</v>
      </c>
      <c r="AH799" s="122">
        <v>3656</v>
      </c>
      <c r="AI799" s="122">
        <v>188523</v>
      </c>
      <c r="AJ799" s="122">
        <v>171385</v>
      </c>
      <c r="AK799">
        <v>71</v>
      </c>
      <c r="AL799">
        <v>0</v>
      </c>
      <c r="AM799" s="122">
        <v>4209</v>
      </c>
      <c r="AN799" s="122">
        <v>31758</v>
      </c>
      <c r="AO799" s="122">
        <v>11762</v>
      </c>
      <c r="AP799" s="122">
        <v>17528</v>
      </c>
      <c r="AQ799" s="122">
        <v>6492</v>
      </c>
      <c r="AR799" s="122">
        <v>74795</v>
      </c>
      <c r="AS799" s="122">
        <v>67995</v>
      </c>
      <c r="AT799">
        <v>0</v>
      </c>
      <c r="AU799">
        <v>0</v>
      </c>
      <c r="AV799" s="122">
        <v>261843</v>
      </c>
    </row>
    <row r="800" spans="2:48" hidden="1">
      <c r="B800" t="s">
        <v>368</v>
      </c>
      <c r="C800" t="s">
        <v>52</v>
      </c>
      <c r="D800" t="s">
        <v>407</v>
      </c>
      <c r="E800" t="s">
        <v>407</v>
      </c>
      <c r="F800">
        <v>83</v>
      </c>
      <c r="G800" s="122">
        <v>9162</v>
      </c>
      <c r="H800" s="122">
        <v>9746</v>
      </c>
      <c r="I800" s="122">
        <v>448736</v>
      </c>
      <c r="J800" s="122">
        <v>407942</v>
      </c>
      <c r="K800">
        <v>89</v>
      </c>
      <c r="L800" s="122">
        <v>94820</v>
      </c>
      <c r="M800" s="122">
        <v>79192</v>
      </c>
      <c r="N800" s="122">
        <v>162842</v>
      </c>
      <c r="O800" s="122">
        <v>60312</v>
      </c>
      <c r="P800" s="122">
        <v>43535</v>
      </c>
      <c r="Q800" s="122">
        <v>16124</v>
      </c>
      <c r="R800" s="122">
        <v>342452</v>
      </c>
      <c r="S800" s="122">
        <v>311320</v>
      </c>
      <c r="T800" s="122">
        <v>2361</v>
      </c>
      <c r="U800" s="122">
        <v>875</v>
      </c>
      <c r="V800" s="122">
        <v>875765</v>
      </c>
      <c r="W800" s="122">
        <f t="shared" si="24"/>
        <v>875765</v>
      </c>
      <c r="X800" s="122">
        <f t="shared" si="25"/>
        <v>1094746</v>
      </c>
      <c r="Y800" s="122"/>
      <c r="AA800" t="s">
        <v>56</v>
      </c>
      <c r="AB800" t="s">
        <v>429</v>
      </c>
      <c r="AC800" t="s">
        <v>433</v>
      </c>
      <c r="AD800" t="s">
        <v>429</v>
      </c>
      <c r="AE800" t="s">
        <v>137</v>
      </c>
      <c r="AF800">
        <v>1</v>
      </c>
      <c r="AG800">
        <v>114</v>
      </c>
      <c r="AH800">
        <v>219</v>
      </c>
      <c r="AI800" s="122">
        <v>12999</v>
      </c>
      <c r="AJ800" s="122">
        <v>11817</v>
      </c>
      <c r="AK800">
        <v>60</v>
      </c>
      <c r="AL800" s="122">
        <v>1444</v>
      </c>
      <c r="AM800" s="122">
        <v>1313</v>
      </c>
      <c r="AN800" s="122">
        <v>2124</v>
      </c>
      <c r="AO800">
        <v>787</v>
      </c>
      <c r="AP800">
        <v>702</v>
      </c>
      <c r="AQ800">
        <v>260</v>
      </c>
      <c r="AR800" s="122">
        <v>4642</v>
      </c>
      <c r="AS800" s="122">
        <v>4220</v>
      </c>
      <c r="AT800" s="122">
        <v>3047</v>
      </c>
      <c r="AU800" s="122">
        <v>1128</v>
      </c>
      <c r="AV800" s="122">
        <v>19525</v>
      </c>
    </row>
    <row r="801" spans="2:48" hidden="1">
      <c r="B801" t="s">
        <v>368</v>
      </c>
      <c r="C801" t="s">
        <v>54</v>
      </c>
      <c r="D801" t="s">
        <v>425</v>
      </c>
      <c r="E801" t="s">
        <v>425</v>
      </c>
      <c r="F801">
        <v>2</v>
      </c>
      <c r="G801" s="122">
        <v>155</v>
      </c>
      <c r="H801" s="122">
        <v>286</v>
      </c>
      <c r="I801" s="122">
        <v>10552</v>
      </c>
      <c r="J801" s="122">
        <v>9593</v>
      </c>
      <c r="K801">
        <v>91</v>
      </c>
      <c r="L801" s="122">
        <v>1897</v>
      </c>
      <c r="M801" s="122">
        <v>1619</v>
      </c>
      <c r="N801" s="122">
        <v>1929</v>
      </c>
      <c r="O801" s="122">
        <v>714</v>
      </c>
      <c r="P801" s="122">
        <v>1296</v>
      </c>
      <c r="Q801">
        <v>480</v>
      </c>
      <c r="R801" s="122">
        <v>6805</v>
      </c>
      <c r="S801" s="122">
        <v>6186</v>
      </c>
      <c r="T801" s="122">
        <v>0</v>
      </c>
      <c r="U801">
        <v>0</v>
      </c>
      <c r="V801" s="122">
        <v>18593</v>
      </c>
      <c r="W801" s="122">
        <f t="shared" si="24"/>
        <v>18592</v>
      </c>
      <c r="X801" s="122">
        <f t="shared" si="25"/>
        <v>22479</v>
      </c>
      <c r="Y801" s="122"/>
      <c r="AA801" t="s">
        <v>56</v>
      </c>
      <c r="AB801" t="s">
        <v>429</v>
      </c>
      <c r="AC801" t="s">
        <v>429</v>
      </c>
      <c r="AD801" t="s">
        <v>429</v>
      </c>
      <c r="AE801" t="s">
        <v>566</v>
      </c>
      <c r="AF801">
        <v>2</v>
      </c>
      <c r="AG801">
        <v>180</v>
      </c>
      <c r="AH801">
        <v>315</v>
      </c>
      <c r="AI801" s="122">
        <v>15549</v>
      </c>
      <c r="AJ801" s="122">
        <v>14135</v>
      </c>
      <c r="AK801">
        <v>77</v>
      </c>
      <c r="AL801" s="122">
        <v>1927</v>
      </c>
      <c r="AM801" s="122">
        <v>1752</v>
      </c>
      <c r="AN801" s="122">
        <v>4167</v>
      </c>
      <c r="AO801" s="122">
        <v>1543</v>
      </c>
      <c r="AP801" s="122">
        <v>2400</v>
      </c>
      <c r="AQ801">
        <v>889</v>
      </c>
      <c r="AR801" s="122">
        <v>4379</v>
      </c>
      <c r="AS801" s="122">
        <v>3981</v>
      </c>
      <c r="AT801">
        <v>0</v>
      </c>
      <c r="AU801">
        <v>0</v>
      </c>
      <c r="AV801" s="122">
        <v>22301</v>
      </c>
    </row>
    <row r="802" spans="2:48" hidden="1">
      <c r="B802" t="s">
        <v>368</v>
      </c>
      <c r="C802" t="s">
        <v>54</v>
      </c>
      <c r="D802" t="s">
        <v>405</v>
      </c>
      <c r="E802" t="s">
        <v>405</v>
      </c>
      <c r="F802">
        <v>42</v>
      </c>
      <c r="G802" s="122">
        <v>5042</v>
      </c>
      <c r="H802" s="122">
        <v>5863</v>
      </c>
      <c r="I802" s="122">
        <v>366036</v>
      </c>
      <c r="J802" s="122">
        <v>332760</v>
      </c>
      <c r="K802">
        <v>88</v>
      </c>
      <c r="L802" s="122">
        <v>68912</v>
      </c>
      <c r="M802" s="122">
        <v>61035</v>
      </c>
      <c r="N802" s="122">
        <v>91110</v>
      </c>
      <c r="O802" s="122">
        <v>33744</v>
      </c>
      <c r="P802" s="122">
        <v>22535</v>
      </c>
      <c r="Q802" s="122">
        <v>8346</v>
      </c>
      <c r="R802" s="122">
        <v>189365</v>
      </c>
      <c r="S802" s="122">
        <v>172150</v>
      </c>
      <c r="T802" s="122">
        <v>2533</v>
      </c>
      <c r="U802">
        <v>938</v>
      </c>
      <c r="V802" s="122">
        <v>608974</v>
      </c>
      <c r="W802" s="122">
        <f t="shared" si="24"/>
        <v>608973</v>
      </c>
      <c r="X802" s="122">
        <f t="shared" si="25"/>
        <v>740491</v>
      </c>
      <c r="Y802" s="122"/>
      <c r="AA802" t="s">
        <v>58</v>
      </c>
      <c r="AC802" t="s">
        <v>566</v>
      </c>
      <c r="AE802" t="s">
        <v>566</v>
      </c>
      <c r="AF802">
        <v>203</v>
      </c>
      <c r="AG802" s="122">
        <v>12545</v>
      </c>
      <c r="AH802" s="122">
        <v>51558</v>
      </c>
      <c r="AJ802">
        <v>0</v>
      </c>
      <c r="AM802">
        <v>0</v>
      </c>
      <c r="AN802" s="122">
        <v>261870</v>
      </c>
      <c r="AO802" s="122">
        <v>96989</v>
      </c>
      <c r="AP802" s="122">
        <v>59566</v>
      </c>
      <c r="AQ802" s="122">
        <v>22062</v>
      </c>
      <c r="AS802">
        <v>0</v>
      </c>
      <c r="AT802" s="122">
        <v>85061</v>
      </c>
      <c r="AU802" s="122">
        <v>31504</v>
      </c>
      <c r="AV802" s="122">
        <v>150554</v>
      </c>
    </row>
    <row r="803" spans="2:48">
      <c r="B803" t="s">
        <v>368</v>
      </c>
      <c r="C803" t="s">
        <v>54</v>
      </c>
      <c r="D803" t="s">
        <v>137</v>
      </c>
      <c r="E803" t="s">
        <v>137</v>
      </c>
      <c r="F803">
        <v>9</v>
      </c>
      <c r="G803">
        <v>860</v>
      </c>
      <c r="H803" s="122">
        <v>1295</v>
      </c>
      <c r="I803" s="122">
        <v>52691</v>
      </c>
      <c r="J803" s="122">
        <v>19515</v>
      </c>
      <c r="K803">
        <v>258</v>
      </c>
      <c r="L803" s="122">
        <v>5071</v>
      </c>
      <c r="M803" s="122">
        <v>2063</v>
      </c>
      <c r="N803" s="122">
        <v>21810</v>
      </c>
      <c r="O803" s="122">
        <v>8078</v>
      </c>
      <c r="P803" s="122">
        <v>10610</v>
      </c>
      <c r="Q803" s="122">
        <v>3930</v>
      </c>
      <c r="R803" s="122">
        <v>66968</v>
      </c>
      <c r="S803" s="122">
        <v>24803</v>
      </c>
      <c r="T803" s="122">
        <v>0</v>
      </c>
      <c r="U803">
        <v>0</v>
      </c>
      <c r="V803" s="122">
        <v>58388</v>
      </c>
      <c r="W803" s="122">
        <f t="shared" si="24"/>
        <v>58389</v>
      </c>
      <c r="X803" s="122">
        <f t="shared" si="25"/>
        <v>157150</v>
      </c>
      <c r="Y803" s="122"/>
      <c r="AA803" t="s">
        <v>58</v>
      </c>
      <c r="AB803" t="s">
        <v>578</v>
      </c>
      <c r="AC803" t="s">
        <v>578</v>
      </c>
      <c r="AD803" t="s">
        <v>578</v>
      </c>
      <c r="AE803" t="s">
        <v>137</v>
      </c>
      <c r="AF803">
        <v>1</v>
      </c>
      <c r="AG803">
        <v>80</v>
      </c>
      <c r="AH803">
        <v>243</v>
      </c>
      <c r="AI803" s="122">
        <v>9075</v>
      </c>
      <c r="AJ803" s="122">
        <v>8250</v>
      </c>
      <c r="AK803">
        <v>65</v>
      </c>
      <c r="AL803" s="122">
        <v>1008</v>
      </c>
      <c r="AM803">
        <v>917</v>
      </c>
      <c r="AN803" s="122">
        <v>1726</v>
      </c>
      <c r="AO803">
        <v>639</v>
      </c>
      <c r="AP803">
        <v>351</v>
      </c>
      <c r="AQ803">
        <v>130</v>
      </c>
      <c r="AR803" s="122">
        <v>4707</v>
      </c>
      <c r="AS803" s="122">
        <v>4279</v>
      </c>
      <c r="AT803" s="122">
        <v>2612</v>
      </c>
      <c r="AU803">
        <v>967</v>
      </c>
      <c r="AV803" s="122">
        <v>15182</v>
      </c>
    </row>
    <row r="804" spans="2:48" hidden="1">
      <c r="B804" t="s">
        <v>368</v>
      </c>
      <c r="C804" t="s">
        <v>54</v>
      </c>
      <c r="D804" t="s">
        <v>406</v>
      </c>
      <c r="E804" t="s">
        <v>425</v>
      </c>
      <c r="F804">
        <v>1</v>
      </c>
      <c r="G804" s="122">
        <v>118</v>
      </c>
      <c r="H804" s="122">
        <v>139</v>
      </c>
      <c r="I804" s="122">
        <v>9604</v>
      </c>
      <c r="J804" s="122">
        <v>8731</v>
      </c>
      <c r="K804">
        <v>85</v>
      </c>
      <c r="L804" s="122">
        <v>0</v>
      </c>
      <c r="M804" s="122">
        <v>1209</v>
      </c>
      <c r="N804" s="122">
        <v>1660</v>
      </c>
      <c r="O804" s="122">
        <v>615</v>
      </c>
      <c r="P804" s="122">
        <v>621</v>
      </c>
      <c r="Q804" s="122">
        <v>230</v>
      </c>
      <c r="R804" s="122">
        <v>4536</v>
      </c>
      <c r="S804" s="122">
        <v>4124</v>
      </c>
      <c r="T804" s="122">
        <v>0</v>
      </c>
      <c r="U804" s="122">
        <v>0</v>
      </c>
      <c r="V804" s="122">
        <v>14908</v>
      </c>
      <c r="W804" s="122">
        <f t="shared" si="24"/>
        <v>14909</v>
      </c>
      <c r="X804" s="122">
        <f t="shared" si="25"/>
        <v>16421</v>
      </c>
      <c r="Y804" s="122"/>
      <c r="AA804" t="s">
        <v>58</v>
      </c>
      <c r="AB804" t="s">
        <v>578</v>
      </c>
      <c r="AC804" t="s">
        <v>427</v>
      </c>
      <c r="AD804" t="s">
        <v>578</v>
      </c>
      <c r="AE804" t="s">
        <v>137</v>
      </c>
      <c r="AF804">
        <v>2</v>
      </c>
      <c r="AG804">
        <v>185</v>
      </c>
      <c r="AH804">
        <v>568</v>
      </c>
      <c r="AI804" s="122">
        <v>27866</v>
      </c>
      <c r="AJ804" s="122">
        <v>25333</v>
      </c>
      <c r="AK804">
        <v>60</v>
      </c>
      <c r="AL804" s="122">
        <v>6216</v>
      </c>
      <c r="AM804" s="122">
        <v>5651</v>
      </c>
      <c r="AN804" s="122">
        <v>3677</v>
      </c>
      <c r="AO804" s="122">
        <v>1362</v>
      </c>
      <c r="AP804">
        <v>702</v>
      </c>
      <c r="AQ804">
        <v>260</v>
      </c>
      <c r="AR804" s="122">
        <v>9492</v>
      </c>
      <c r="AS804" s="122">
        <v>8629</v>
      </c>
      <c r="AT804" s="122">
        <v>4665</v>
      </c>
      <c r="AU804" s="122">
        <v>1728</v>
      </c>
      <c r="AV804" s="122">
        <v>42963</v>
      </c>
    </row>
    <row r="805" spans="2:48" hidden="1">
      <c r="B805" t="s">
        <v>368</v>
      </c>
      <c r="C805" t="s">
        <v>54</v>
      </c>
      <c r="D805" t="s">
        <v>406</v>
      </c>
      <c r="E805" t="s">
        <v>406</v>
      </c>
      <c r="F805">
        <v>495</v>
      </c>
      <c r="G805" s="122">
        <v>58778</v>
      </c>
      <c r="H805" s="122">
        <v>69345</v>
      </c>
      <c r="I805" s="122">
        <v>3919325</v>
      </c>
      <c r="J805" s="122">
        <v>3563023</v>
      </c>
      <c r="K805">
        <v>91</v>
      </c>
      <c r="L805" s="122">
        <v>795193</v>
      </c>
      <c r="M805" s="122">
        <v>700060</v>
      </c>
      <c r="N805" s="122">
        <v>1054970</v>
      </c>
      <c r="O805" s="122">
        <v>390730</v>
      </c>
      <c r="P805" s="122">
        <v>336766</v>
      </c>
      <c r="Q805" s="122">
        <v>124728</v>
      </c>
      <c r="R805" s="122">
        <v>2174193</v>
      </c>
      <c r="S805" s="122">
        <v>1976539</v>
      </c>
      <c r="T805" s="122">
        <v>99396</v>
      </c>
      <c r="U805" s="122">
        <v>36813</v>
      </c>
      <c r="V805" s="122">
        <v>6791892</v>
      </c>
      <c r="W805" s="122">
        <f t="shared" si="24"/>
        <v>6791893</v>
      </c>
      <c r="X805" s="122">
        <f t="shared" si="25"/>
        <v>8379843</v>
      </c>
      <c r="Y805" s="122"/>
      <c r="AA805" t="s">
        <v>58</v>
      </c>
      <c r="AB805" t="s">
        <v>578</v>
      </c>
      <c r="AC805" t="s">
        <v>566</v>
      </c>
      <c r="AD805" t="s">
        <v>578</v>
      </c>
      <c r="AE805" t="s">
        <v>137</v>
      </c>
      <c r="AF805">
        <v>1</v>
      </c>
      <c r="AG805">
        <v>81</v>
      </c>
      <c r="AH805">
        <v>270</v>
      </c>
      <c r="AI805" s="122">
        <v>12974</v>
      </c>
      <c r="AJ805" s="122">
        <v>11794</v>
      </c>
      <c r="AK805">
        <v>63</v>
      </c>
      <c r="AL805">
        <v>0</v>
      </c>
      <c r="AM805">
        <v>0</v>
      </c>
      <c r="AN805" s="122">
        <v>1523</v>
      </c>
      <c r="AO805">
        <v>564</v>
      </c>
      <c r="AP805">
        <v>351</v>
      </c>
      <c r="AQ805">
        <v>130</v>
      </c>
      <c r="AR805" s="122">
        <v>4642</v>
      </c>
      <c r="AS805" s="122">
        <v>4220</v>
      </c>
      <c r="AT805" s="122">
        <v>2449</v>
      </c>
      <c r="AU805">
        <v>907</v>
      </c>
      <c r="AV805" s="122">
        <v>17616</v>
      </c>
    </row>
    <row r="806" spans="2:48" hidden="1">
      <c r="B806" t="s">
        <v>368</v>
      </c>
      <c r="C806" t="s">
        <v>54</v>
      </c>
      <c r="D806" t="s">
        <v>407</v>
      </c>
      <c r="E806" t="s">
        <v>137</v>
      </c>
      <c r="F806" s="122">
        <v>1</v>
      </c>
      <c r="G806" s="122">
        <v>150</v>
      </c>
      <c r="H806" s="122">
        <v>141</v>
      </c>
      <c r="I806" s="122">
        <v>10439</v>
      </c>
      <c r="J806" s="122">
        <v>9490</v>
      </c>
      <c r="K806">
        <v>91</v>
      </c>
      <c r="L806" s="122">
        <v>1923</v>
      </c>
      <c r="M806" s="122">
        <v>1603</v>
      </c>
      <c r="N806" s="122">
        <v>2695</v>
      </c>
      <c r="O806" s="122">
        <v>998</v>
      </c>
      <c r="P806" s="122">
        <v>473</v>
      </c>
      <c r="Q806" s="122">
        <v>175</v>
      </c>
      <c r="R806" s="122">
        <v>5710</v>
      </c>
      <c r="S806" s="122">
        <v>2115</v>
      </c>
      <c r="T806" s="122">
        <v>0</v>
      </c>
      <c r="U806" s="122">
        <v>0</v>
      </c>
      <c r="V806" s="122">
        <v>14381</v>
      </c>
      <c r="W806" s="122">
        <f t="shared" si="24"/>
        <v>14381</v>
      </c>
      <c r="X806" s="122">
        <f t="shared" si="25"/>
        <v>21240</v>
      </c>
      <c r="Y806" s="122"/>
      <c r="AA806" t="s">
        <v>58</v>
      </c>
      <c r="AB806" t="s">
        <v>425</v>
      </c>
      <c r="AC806" t="s">
        <v>425</v>
      </c>
      <c r="AD806" t="s">
        <v>425</v>
      </c>
      <c r="AE806" t="s">
        <v>137</v>
      </c>
      <c r="AF806">
        <v>5</v>
      </c>
      <c r="AG806">
        <v>435</v>
      </c>
      <c r="AH806" s="122">
        <v>1401</v>
      </c>
      <c r="AI806" s="122">
        <v>69142</v>
      </c>
      <c r="AJ806" s="122">
        <v>62856</v>
      </c>
      <c r="AK806">
        <v>67</v>
      </c>
      <c r="AL806" s="122">
        <v>8300</v>
      </c>
      <c r="AM806" s="122">
        <v>7545</v>
      </c>
      <c r="AN806" s="122">
        <v>8027</v>
      </c>
      <c r="AO806" s="122">
        <v>2973</v>
      </c>
      <c r="AP806" s="122">
        <v>2390</v>
      </c>
      <c r="AQ806">
        <v>885</v>
      </c>
      <c r="AR806" s="122">
        <v>24316</v>
      </c>
      <c r="AS806" s="122">
        <v>22106</v>
      </c>
      <c r="AT806" s="122">
        <v>10072</v>
      </c>
      <c r="AU806" s="122">
        <v>3730</v>
      </c>
      <c r="AV806" s="122">
        <v>100095</v>
      </c>
    </row>
    <row r="807" spans="2:48" hidden="1">
      <c r="B807" t="s">
        <v>368</v>
      </c>
      <c r="C807" t="s">
        <v>54</v>
      </c>
      <c r="D807" t="s">
        <v>407</v>
      </c>
      <c r="E807" t="s">
        <v>407</v>
      </c>
      <c r="F807">
        <v>308</v>
      </c>
      <c r="G807" s="122">
        <v>34772</v>
      </c>
      <c r="H807" s="122">
        <v>43237</v>
      </c>
      <c r="I807" s="122">
        <v>2227432</v>
      </c>
      <c r="J807" s="122">
        <v>2024938</v>
      </c>
      <c r="K807">
        <v>86</v>
      </c>
      <c r="L807" s="122">
        <v>490075</v>
      </c>
      <c r="M807" s="122">
        <v>430307</v>
      </c>
      <c r="N807" s="122">
        <v>630944</v>
      </c>
      <c r="O807" s="122">
        <v>233683</v>
      </c>
      <c r="P807" s="122">
        <v>153409</v>
      </c>
      <c r="Q807" s="122">
        <v>56818</v>
      </c>
      <c r="R807" s="122">
        <v>1435068</v>
      </c>
      <c r="S807" s="122">
        <v>1304607</v>
      </c>
      <c r="T807" s="122">
        <v>28761</v>
      </c>
      <c r="U807" s="122">
        <v>10652</v>
      </c>
      <c r="V807" s="122">
        <v>4061006</v>
      </c>
      <c r="W807" s="122">
        <f t="shared" si="24"/>
        <v>4061005</v>
      </c>
      <c r="X807" s="122">
        <f t="shared" si="25"/>
        <v>4965689</v>
      </c>
      <c r="Y807" s="122"/>
      <c r="AA807" t="s">
        <v>58</v>
      </c>
      <c r="AB807" t="s">
        <v>425</v>
      </c>
      <c r="AC807" t="s">
        <v>425</v>
      </c>
      <c r="AD807" t="s">
        <v>425</v>
      </c>
      <c r="AE807" t="s">
        <v>566</v>
      </c>
      <c r="AF807">
        <v>1</v>
      </c>
      <c r="AG807">
        <v>124</v>
      </c>
      <c r="AH807">
        <v>271</v>
      </c>
      <c r="AI807" s="122">
        <v>20320</v>
      </c>
      <c r="AJ807" s="122">
        <v>18473</v>
      </c>
      <c r="AK807">
        <v>78</v>
      </c>
      <c r="AL807" s="122">
        <v>4194</v>
      </c>
      <c r="AM807" s="122">
        <v>3813</v>
      </c>
      <c r="AN807" s="122">
        <v>2729</v>
      </c>
      <c r="AO807" s="122">
        <v>1011</v>
      </c>
      <c r="AP807">
        <v>473</v>
      </c>
      <c r="AQ807">
        <v>175</v>
      </c>
      <c r="AR807" s="122">
        <v>5867</v>
      </c>
      <c r="AS807" s="122">
        <v>5334</v>
      </c>
      <c r="AT807">
        <v>0</v>
      </c>
      <c r="AU807">
        <v>0</v>
      </c>
      <c r="AV807" s="122">
        <v>28805</v>
      </c>
    </row>
    <row r="808" spans="2:48" hidden="1">
      <c r="B808" t="s">
        <v>368</v>
      </c>
      <c r="C808" t="s">
        <v>54</v>
      </c>
      <c r="D808" t="s">
        <v>408</v>
      </c>
      <c r="E808" t="s">
        <v>408</v>
      </c>
      <c r="F808">
        <v>1</v>
      </c>
      <c r="G808">
        <v>93</v>
      </c>
      <c r="H808">
        <v>139</v>
      </c>
      <c r="I808" s="122">
        <v>9064</v>
      </c>
      <c r="J808" s="122">
        <v>8240</v>
      </c>
      <c r="K808">
        <v>96</v>
      </c>
      <c r="L808" s="122">
        <v>0</v>
      </c>
      <c r="M808" s="122">
        <v>0</v>
      </c>
      <c r="N808" s="122">
        <v>1665</v>
      </c>
      <c r="O808" s="122">
        <v>617</v>
      </c>
      <c r="P808" s="122">
        <v>351</v>
      </c>
      <c r="Q808">
        <v>130</v>
      </c>
      <c r="R808" s="122">
        <v>1859</v>
      </c>
      <c r="S808" s="122">
        <v>1690</v>
      </c>
      <c r="T808">
        <v>0</v>
      </c>
      <c r="U808">
        <v>0</v>
      </c>
      <c r="V808" s="122">
        <v>10677</v>
      </c>
      <c r="W808" s="122">
        <f t="shared" si="24"/>
        <v>10677</v>
      </c>
      <c r="X808" s="122">
        <f t="shared" si="25"/>
        <v>12939</v>
      </c>
      <c r="Y808" s="122"/>
      <c r="AA808" t="s">
        <v>58</v>
      </c>
      <c r="AB808" t="s">
        <v>425</v>
      </c>
      <c r="AC808" t="s">
        <v>137</v>
      </c>
      <c r="AD808" t="s">
        <v>425</v>
      </c>
      <c r="AE808" t="s">
        <v>566</v>
      </c>
      <c r="AF808">
        <v>4</v>
      </c>
      <c r="AG808">
        <v>420</v>
      </c>
      <c r="AH808">
        <v>995</v>
      </c>
      <c r="AI808" s="122">
        <v>59594</v>
      </c>
      <c r="AJ808" s="122">
        <v>54176</v>
      </c>
      <c r="AK808">
        <v>81</v>
      </c>
      <c r="AL808" s="122">
        <v>15038</v>
      </c>
      <c r="AM808" s="122">
        <v>5570</v>
      </c>
      <c r="AN808" s="122">
        <v>9093</v>
      </c>
      <c r="AO808" s="122">
        <v>3368</v>
      </c>
      <c r="AP808" s="122">
        <v>1647</v>
      </c>
      <c r="AQ808">
        <v>610</v>
      </c>
      <c r="AR808" s="122">
        <v>17618</v>
      </c>
      <c r="AS808" s="122">
        <v>16016</v>
      </c>
      <c r="AT808">
        <v>0</v>
      </c>
      <c r="AU808">
        <v>0</v>
      </c>
      <c r="AV808" s="122">
        <v>79740</v>
      </c>
    </row>
    <row r="809" spans="2:48" hidden="1">
      <c r="B809" t="s">
        <v>368</v>
      </c>
      <c r="C809" t="s">
        <v>56</v>
      </c>
      <c r="F809">
        <v>1</v>
      </c>
      <c r="G809" s="122">
        <v>140</v>
      </c>
      <c r="H809" s="122">
        <v>192</v>
      </c>
      <c r="I809" s="122"/>
      <c r="J809" s="122">
        <v>0</v>
      </c>
      <c r="L809" s="122"/>
      <c r="M809" s="122">
        <v>0</v>
      </c>
      <c r="N809" s="122">
        <v>3405</v>
      </c>
      <c r="O809" s="122">
        <v>1261</v>
      </c>
      <c r="P809" s="122">
        <v>0</v>
      </c>
      <c r="Q809" s="122">
        <v>0</v>
      </c>
      <c r="R809" s="122"/>
      <c r="S809" s="122">
        <v>0</v>
      </c>
      <c r="T809" s="122">
        <v>0</v>
      </c>
      <c r="U809" s="122">
        <v>0</v>
      </c>
      <c r="V809" s="122">
        <v>1261</v>
      </c>
      <c r="W809" s="122">
        <f t="shared" si="24"/>
        <v>1261</v>
      </c>
      <c r="X809" s="122">
        <f t="shared" si="25"/>
        <v>3405</v>
      </c>
      <c r="Y809" s="122"/>
      <c r="AA809" t="s">
        <v>58</v>
      </c>
      <c r="AB809" t="s">
        <v>425</v>
      </c>
      <c r="AC809" t="s">
        <v>137</v>
      </c>
      <c r="AD809" t="s">
        <v>406</v>
      </c>
      <c r="AE809" t="s">
        <v>137</v>
      </c>
      <c r="AF809">
        <v>1</v>
      </c>
      <c r="AG809">
        <v>81</v>
      </c>
      <c r="AH809">
        <v>232</v>
      </c>
      <c r="AI809" s="122">
        <v>10019</v>
      </c>
      <c r="AJ809" s="122">
        <v>9108</v>
      </c>
      <c r="AK809">
        <v>79</v>
      </c>
      <c r="AL809" s="122">
        <v>2049</v>
      </c>
      <c r="AM809">
        <v>759</v>
      </c>
      <c r="AN809">
        <v>991</v>
      </c>
      <c r="AO809">
        <v>367</v>
      </c>
      <c r="AP809">
        <v>621</v>
      </c>
      <c r="AQ809">
        <v>230</v>
      </c>
      <c r="AR809" s="122">
        <v>5219</v>
      </c>
      <c r="AS809" s="122">
        <v>4744</v>
      </c>
      <c r="AT809">
        <v>0</v>
      </c>
      <c r="AU809">
        <v>0</v>
      </c>
      <c r="AV809" s="122">
        <v>15208</v>
      </c>
    </row>
    <row r="810" spans="2:48" hidden="1">
      <c r="B810" t="s">
        <v>368</v>
      </c>
      <c r="C810" t="s">
        <v>56</v>
      </c>
      <c r="D810" t="s">
        <v>425</v>
      </c>
      <c r="E810" t="s">
        <v>425</v>
      </c>
      <c r="F810">
        <v>17</v>
      </c>
      <c r="G810" s="122">
        <v>1532</v>
      </c>
      <c r="H810" s="122">
        <v>3086</v>
      </c>
      <c r="I810" s="122">
        <v>133410</v>
      </c>
      <c r="J810" s="122">
        <v>121282</v>
      </c>
      <c r="K810">
        <v>85</v>
      </c>
      <c r="L810" s="122">
        <v>29991</v>
      </c>
      <c r="M810" s="122">
        <v>23786</v>
      </c>
      <c r="N810" s="122">
        <v>25110</v>
      </c>
      <c r="O810" s="122">
        <v>9300</v>
      </c>
      <c r="P810" s="122">
        <v>8613</v>
      </c>
      <c r="Q810" s="122">
        <v>3190</v>
      </c>
      <c r="R810" s="122">
        <v>68941</v>
      </c>
      <c r="S810" s="122">
        <v>62673</v>
      </c>
      <c r="T810" s="122">
        <v>9891</v>
      </c>
      <c r="U810" s="122">
        <v>3664</v>
      </c>
      <c r="V810" s="122">
        <v>223895</v>
      </c>
      <c r="W810" s="122">
        <f t="shared" si="24"/>
        <v>223895</v>
      </c>
      <c r="X810" s="122">
        <f t="shared" si="25"/>
        <v>275956</v>
      </c>
      <c r="Y810" s="122"/>
      <c r="AA810" t="s">
        <v>58</v>
      </c>
      <c r="AB810" t="s">
        <v>425</v>
      </c>
      <c r="AC810" t="s">
        <v>137</v>
      </c>
      <c r="AD810" t="s">
        <v>406</v>
      </c>
      <c r="AE810" t="s">
        <v>566</v>
      </c>
      <c r="AF810">
        <v>1</v>
      </c>
      <c r="AG810">
        <v>98</v>
      </c>
      <c r="AH810">
        <v>242</v>
      </c>
      <c r="AI810" s="122">
        <v>12214</v>
      </c>
      <c r="AJ810" s="122">
        <v>11104</v>
      </c>
      <c r="AK810">
        <v>70</v>
      </c>
      <c r="AL810" s="122">
        <v>2215</v>
      </c>
      <c r="AM810">
        <v>820</v>
      </c>
      <c r="AN810" s="122">
        <v>2016</v>
      </c>
      <c r="AO810">
        <v>747</v>
      </c>
      <c r="AP810">
        <v>621</v>
      </c>
      <c r="AQ810">
        <v>230</v>
      </c>
      <c r="AR810" s="122">
        <v>6737</v>
      </c>
      <c r="AS810" s="122">
        <v>6125</v>
      </c>
      <c r="AT810">
        <v>0</v>
      </c>
      <c r="AU810">
        <v>0</v>
      </c>
      <c r="AV810" s="122">
        <v>19026</v>
      </c>
    </row>
    <row r="811" spans="2:48" hidden="1">
      <c r="B811" t="s">
        <v>368</v>
      </c>
      <c r="C811" t="s">
        <v>56</v>
      </c>
      <c r="D811" t="s">
        <v>425</v>
      </c>
      <c r="E811" t="s">
        <v>405</v>
      </c>
      <c r="F811">
        <v>1</v>
      </c>
      <c r="G811">
        <v>146</v>
      </c>
      <c r="H811">
        <v>153</v>
      </c>
      <c r="I811" s="122">
        <v>12549</v>
      </c>
      <c r="J811" s="122">
        <v>11408</v>
      </c>
      <c r="K811">
        <v>81</v>
      </c>
      <c r="L811" s="122">
        <v>1952</v>
      </c>
      <c r="M811" s="122">
        <v>1627</v>
      </c>
      <c r="N811" s="122">
        <v>1784</v>
      </c>
      <c r="O811" s="122">
        <v>661</v>
      </c>
      <c r="P811" s="122">
        <v>473</v>
      </c>
      <c r="Q811">
        <v>175</v>
      </c>
      <c r="R811" s="122">
        <v>5653</v>
      </c>
      <c r="S811" s="122">
        <v>5139</v>
      </c>
      <c r="T811">
        <v>0</v>
      </c>
      <c r="U811">
        <v>0</v>
      </c>
      <c r="V811" s="122">
        <v>19010</v>
      </c>
      <c r="W811" s="122">
        <f t="shared" si="24"/>
        <v>19010</v>
      </c>
      <c r="X811" s="122">
        <f t="shared" si="25"/>
        <v>22411</v>
      </c>
      <c r="Y811" s="122"/>
      <c r="AA811" t="s">
        <v>58</v>
      </c>
      <c r="AB811" t="s">
        <v>425</v>
      </c>
      <c r="AC811" t="s">
        <v>580</v>
      </c>
      <c r="AD811" t="s">
        <v>425</v>
      </c>
      <c r="AE811" t="s">
        <v>137</v>
      </c>
      <c r="AF811">
        <v>1</v>
      </c>
      <c r="AG811">
        <v>214</v>
      </c>
      <c r="AH811">
        <v>254</v>
      </c>
      <c r="AI811" s="122">
        <v>33539</v>
      </c>
      <c r="AJ811" s="122">
        <v>30490</v>
      </c>
      <c r="AK811">
        <v>75</v>
      </c>
      <c r="AL811" s="122">
        <v>4428</v>
      </c>
      <c r="AM811" s="122">
        <v>4026</v>
      </c>
      <c r="AN811" s="122">
        <v>5082</v>
      </c>
      <c r="AO811" s="122">
        <v>1882</v>
      </c>
      <c r="AP811" s="122">
        <v>1094</v>
      </c>
      <c r="AQ811">
        <v>405</v>
      </c>
      <c r="AR811" s="122">
        <v>10197</v>
      </c>
      <c r="AS811" s="122">
        <v>9270</v>
      </c>
      <c r="AT811">
        <v>0</v>
      </c>
      <c r="AU811">
        <v>0</v>
      </c>
      <c r="AV811" s="122">
        <v>46073</v>
      </c>
    </row>
    <row r="812" spans="2:48" hidden="1">
      <c r="B812" t="s">
        <v>368</v>
      </c>
      <c r="C812" t="s">
        <v>56</v>
      </c>
      <c r="D812" t="s">
        <v>425</v>
      </c>
      <c r="E812" t="s">
        <v>137</v>
      </c>
      <c r="F812">
        <v>1</v>
      </c>
      <c r="G812" s="122">
        <v>81</v>
      </c>
      <c r="H812" s="122">
        <v>152</v>
      </c>
      <c r="I812" s="122">
        <v>6463</v>
      </c>
      <c r="J812" s="122">
        <v>5875</v>
      </c>
      <c r="K812">
        <v>90</v>
      </c>
      <c r="L812" s="122">
        <v>1028</v>
      </c>
      <c r="M812" s="122">
        <v>935</v>
      </c>
      <c r="N812" s="122">
        <v>1466</v>
      </c>
      <c r="O812" s="122">
        <v>543</v>
      </c>
      <c r="P812" s="122">
        <v>473</v>
      </c>
      <c r="Q812" s="122">
        <v>175</v>
      </c>
      <c r="R812" s="122">
        <v>2916</v>
      </c>
      <c r="S812" s="122">
        <v>1080</v>
      </c>
      <c r="T812" s="122">
        <v>0</v>
      </c>
      <c r="U812" s="122">
        <v>0</v>
      </c>
      <c r="V812" s="122">
        <v>8608</v>
      </c>
      <c r="W812" s="122">
        <f t="shared" si="24"/>
        <v>8608</v>
      </c>
      <c r="X812" s="122">
        <f t="shared" si="25"/>
        <v>12346</v>
      </c>
      <c r="Y812" s="122"/>
      <c r="AA812" t="s">
        <v>58</v>
      </c>
      <c r="AB812" t="s">
        <v>425</v>
      </c>
      <c r="AC812" t="s">
        <v>580</v>
      </c>
      <c r="AD812" t="s">
        <v>406</v>
      </c>
      <c r="AE812" t="s">
        <v>137</v>
      </c>
      <c r="AF812">
        <v>1</v>
      </c>
      <c r="AG812">
        <v>155</v>
      </c>
      <c r="AH812">
        <v>289</v>
      </c>
      <c r="AI812" s="122">
        <v>25368</v>
      </c>
      <c r="AJ812" s="122">
        <v>23062</v>
      </c>
      <c r="AK812">
        <v>70</v>
      </c>
      <c r="AL812" s="122">
        <v>6248</v>
      </c>
      <c r="AM812" s="122">
        <v>5680</v>
      </c>
      <c r="AN812" s="122">
        <v>3491</v>
      </c>
      <c r="AO812" s="122">
        <v>1293</v>
      </c>
      <c r="AP812">
        <v>621</v>
      </c>
      <c r="AQ812">
        <v>230</v>
      </c>
      <c r="AR812" s="122">
        <v>5617</v>
      </c>
      <c r="AS812" s="122">
        <v>5106</v>
      </c>
      <c r="AT812" s="122">
        <v>3429</v>
      </c>
      <c r="AU812" s="122">
        <v>1270</v>
      </c>
      <c r="AV812" s="122">
        <v>36642</v>
      </c>
    </row>
    <row r="813" spans="2:48" hidden="1">
      <c r="B813" t="s">
        <v>368</v>
      </c>
      <c r="C813" t="s">
        <v>56</v>
      </c>
      <c r="D813" t="s">
        <v>425</v>
      </c>
      <c r="E813" t="s">
        <v>406</v>
      </c>
      <c r="F813" s="122">
        <v>3</v>
      </c>
      <c r="G813" s="122">
        <v>351</v>
      </c>
      <c r="H813" s="122">
        <v>613</v>
      </c>
      <c r="I813" s="122">
        <v>36266</v>
      </c>
      <c r="J813" s="122">
        <v>32969</v>
      </c>
      <c r="K813">
        <v>79</v>
      </c>
      <c r="L813" s="122">
        <v>6997</v>
      </c>
      <c r="M813" s="122">
        <v>5496</v>
      </c>
      <c r="N813" s="122">
        <v>7890</v>
      </c>
      <c r="O813" s="122">
        <v>2922</v>
      </c>
      <c r="P813" s="122">
        <v>1863</v>
      </c>
      <c r="Q813" s="122">
        <v>690</v>
      </c>
      <c r="R813" s="122">
        <v>16094</v>
      </c>
      <c r="S813" s="122">
        <v>14631</v>
      </c>
      <c r="T813" s="122">
        <v>2392</v>
      </c>
      <c r="U813" s="122">
        <v>886</v>
      </c>
      <c r="V813" s="122">
        <v>57595</v>
      </c>
      <c r="W813" s="122">
        <f t="shared" si="24"/>
        <v>57594</v>
      </c>
      <c r="X813" s="122">
        <f t="shared" si="25"/>
        <v>71502</v>
      </c>
      <c r="Y813" s="122"/>
      <c r="AA813" t="s">
        <v>58</v>
      </c>
      <c r="AB813" t="s">
        <v>425</v>
      </c>
      <c r="AC813" t="s">
        <v>427</v>
      </c>
      <c r="AD813" t="s">
        <v>425</v>
      </c>
      <c r="AE813" t="s">
        <v>137</v>
      </c>
      <c r="AF813">
        <v>4</v>
      </c>
      <c r="AG813">
        <v>408</v>
      </c>
      <c r="AH813" s="122">
        <v>1065</v>
      </c>
      <c r="AI813" s="122">
        <v>64742</v>
      </c>
      <c r="AJ813" s="122">
        <v>58857</v>
      </c>
      <c r="AK813">
        <v>72</v>
      </c>
      <c r="AL813" s="122">
        <v>10095</v>
      </c>
      <c r="AM813" s="122">
        <v>9178</v>
      </c>
      <c r="AN813" s="122">
        <v>7784</v>
      </c>
      <c r="AO813" s="122">
        <v>2883</v>
      </c>
      <c r="AP813" s="122">
        <v>1917</v>
      </c>
      <c r="AQ813">
        <v>710</v>
      </c>
      <c r="AR813" s="122">
        <v>19188</v>
      </c>
      <c r="AS813" s="122">
        <v>17444</v>
      </c>
      <c r="AT813" s="122">
        <v>4786</v>
      </c>
      <c r="AU813" s="122">
        <v>1773</v>
      </c>
      <c r="AV813" s="122">
        <v>90844</v>
      </c>
    </row>
    <row r="814" spans="2:48" hidden="1">
      <c r="B814" t="s">
        <v>368</v>
      </c>
      <c r="C814" t="s">
        <v>56</v>
      </c>
      <c r="D814" t="s">
        <v>405</v>
      </c>
      <c r="E814" t="s">
        <v>425</v>
      </c>
      <c r="F814">
        <v>3</v>
      </c>
      <c r="G814">
        <v>309</v>
      </c>
      <c r="H814">
        <v>521</v>
      </c>
      <c r="I814" s="122">
        <v>25280</v>
      </c>
      <c r="J814" s="122">
        <v>22982</v>
      </c>
      <c r="K814">
        <v>81</v>
      </c>
      <c r="L814" s="122">
        <v>4964</v>
      </c>
      <c r="M814" s="122">
        <v>3371</v>
      </c>
      <c r="N814" s="122">
        <v>5601</v>
      </c>
      <c r="O814" s="122">
        <v>2074</v>
      </c>
      <c r="P814" s="122">
        <v>1418</v>
      </c>
      <c r="Q814">
        <v>525</v>
      </c>
      <c r="R814" s="122">
        <v>16426</v>
      </c>
      <c r="S814" s="122">
        <v>14933</v>
      </c>
      <c r="T814" s="122">
        <v>0</v>
      </c>
      <c r="U814" s="122">
        <v>0</v>
      </c>
      <c r="V814" s="122">
        <v>43885</v>
      </c>
      <c r="W814" s="122">
        <f t="shared" si="24"/>
        <v>43885</v>
      </c>
      <c r="X814" s="122">
        <f t="shared" si="25"/>
        <v>53689</v>
      </c>
      <c r="Y814" s="122"/>
      <c r="AA814" t="s">
        <v>58</v>
      </c>
      <c r="AB814" t="s">
        <v>425</v>
      </c>
      <c r="AC814" t="s">
        <v>427</v>
      </c>
      <c r="AD814" t="s">
        <v>425</v>
      </c>
      <c r="AE814" t="s">
        <v>566</v>
      </c>
      <c r="AF814">
        <v>1</v>
      </c>
      <c r="AG814">
        <v>112</v>
      </c>
      <c r="AH814">
        <v>278</v>
      </c>
      <c r="AI814" s="122">
        <v>17945</v>
      </c>
      <c r="AJ814" s="122">
        <v>16313</v>
      </c>
      <c r="AK814">
        <v>70</v>
      </c>
      <c r="AL814" s="122">
        <v>4420</v>
      </c>
      <c r="AM814" s="122">
        <v>4018</v>
      </c>
      <c r="AN814" s="122">
        <v>2047</v>
      </c>
      <c r="AO814">
        <v>758</v>
      </c>
      <c r="AP814">
        <v>621</v>
      </c>
      <c r="AQ814">
        <v>230</v>
      </c>
      <c r="AR814" s="122">
        <v>6109</v>
      </c>
      <c r="AS814" s="122">
        <v>5553</v>
      </c>
      <c r="AT814">
        <v>0</v>
      </c>
      <c r="AU814">
        <v>0</v>
      </c>
      <c r="AV814" s="122">
        <v>26873</v>
      </c>
    </row>
    <row r="815" spans="2:48" hidden="1">
      <c r="B815" t="s">
        <v>368</v>
      </c>
      <c r="C815" t="s">
        <v>56</v>
      </c>
      <c r="D815" t="s">
        <v>405</v>
      </c>
      <c r="E815" t="s">
        <v>405</v>
      </c>
      <c r="F815">
        <v>161</v>
      </c>
      <c r="G815" s="122">
        <v>16799</v>
      </c>
      <c r="H815" s="122">
        <v>29906</v>
      </c>
      <c r="I815" s="122">
        <v>1523227</v>
      </c>
      <c r="J815" s="122">
        <v>1384752</v>
      </c>
      <c r="K815">
        <v>82</v>
      </c>
      <c r="L815" s="122">
        <v>356755</v>
      </c>
      <c r="M815" s="122">
        <v>315898</v>
      </c>
      <c r="N815" s="122">
        <v>320816</v>
      </c>
      <c r="O815" s="122">
        <v>118821</v>
      </c>
      <c r="P815" s="122">
        <v>77666</v>
      </c>
      <c r="Q815" s="122">
        <v>28765</v>
      </c>
      <c r="R815" s="122">
        <v>752491</v>
      </c>
      <c r="S815" s="122">
        <v>684083</v>
      </c>
      <c r="T815" s="122">
        <v>128588</v>
      </c>
      <c r="U815" s="122">
        <v>47625</v>
      </c>
      <c r="V815" s="122">
        <v>2579944</v>
      </c>
      <c r="W815" s="122">
        <f t="shared" si="24"/>
        <v>2579944</v>
      </c>
      <c r="X815" s="122">
        <f t="shared" si="25"/>
        <v>3159543</v>
      </c>
      <c r="Y815" s="122"/>
      <c r="AA815" t="s">
        <v>58</v>
      </c>
      <c r="AB815" t="s">
        <v>425</v>
      </c>
      <c r="AC815" t="s">
        <v>427</v>
      </c>
      <c r="AD815" t="s">
        <v>406</v>
      </c>
      <c r="AE815" t="s">
        <v>137</v>
      </c>
      <c r="AF815">
        <v>2</v>
      </c>
      <c r="AG815">
        <v>175</v>
      </c>
      <c r="AH815">
        <v>492</v>
      </c>
      <c r="AI815" s="122">
        <v>20700</v>
      </c>
      <c r="AJ815" s="122">
        <v>18818</v>
      </c>
      <c r="AK815">
        <v>85</v>
      </c>
      <c r="AL815" s="122">
        <v>6218</v>
      </c>
      <c r="AM815" s="122">
        <v>5653</v>
      </c>
      <c r="AN815" s="122">
        <v>3617</v>
      </c>
      <c r="AO815" s="122">
        <v>1340</v>
      </c>
      <c r="AP815" s="122">
        <v>1242</v>
      </c>
      <c r="AQ815">
        <v>460</v>
      </c>
      <c r="AR815" s="122">
        <v>6786</v>
      </c>
      <c r="AS815" s="122">
        <v>6170</v>
      </c>
      <c r="AT815" s="122">
        <v>4483</v>
      </c>
      <c r="AU815" s="122">
        <v>1660</v>
      </c>
      <c r="AV815" s="122">
        <v>34100</v>
      </c>
    </row>
    <row r="816" spans="2:48" hidden="1">
      <c r="B816" t="s">
        <v>368</v>
      </c>
      <c r="C816" t="s">
        <v>56</v>
      </c>
      <c r="D816" t="s">
        <v>405</v>
      </c>
      <c r="E816" t="s">
        <v>137</v>
      </c>
      <c r="F816">
        <v>1</v>
      </c>
      <c r="G816" s="122">
        <v>96</v>
      </c>
      <c r="H816" s="122">
        <v>202</v>
      </c>
      <c r="I816" s="122">
        <v>8516</v>
      </c>
      <c r="J816" s="122">
        <v>7741</v>
      </c>
      <c r="K816">
        <v>79</v>
      </c>
      <c r="L816" s="122">
        <v>1125</v>
      </c>
      <c r="M816" s="122">
        <v>1023</v>
      </c>
      <c r="N816" s="122">
        <v>2339</v>
      </c>
      <c r="O816" s="122">
        <v>866</v>
      </c>
      <c r="P816" s="122">
        <v>351</v>
      </c>
      <c r="Q816" s="122">
        <v>130</v>
      </c>
      <c r="R816" s="122">
        <v>7066</v>
      </c>
      <c r="S816" s="122">
        <v>2617</v>
      </c>
      <c r="T816" s="122">
        <v>0</v>
      </c>
      <c r="U816" s="122">
        <v>0</v>
      </c>
      <c r="V816" s="122">
        <v>12377</v>
      </c>
      <c r="W816" s="122">
        <f t="shared" si="24"/>
        <v>12377</v>
      </c>
      <c r="X816" s="122">
        <f t="shared" si="25"/>
        <v>19397</v>
      </c>
      <c r="Y816" s="122"/>
      <c r="AA816" t="s">
        <v>58</v>
      </c>
      <c r="AB816" t="s">
        <v>425</v>
      </c>
      <c r="AC816" t="s">
        <v>427</v>
      </c>
      <c r="AD816" t="s">
        <v>407</v>
      </c>
      <c r="AE816" t="s">
        <v>137</v>
      </c>
      <c r="AF816">
        <v>1</v>
      </c>
      <c r="AG816">
        <v>83</v>
      </c>
      <c r="AH816">
        <v>272</v>
      </c>
      <c r="AI816" s="122">
        <v>12785</v>
      </c>
      <c r="AJ816" s="122">
        <v>11623</v>
      </c>
      <c r="AK816">
        <v>78</v>
      </c>
      <c r="AL816" s="122">
        <v>1914</v>
      </c>
      <c r="AM816" s="122">
        <v>1740</v>
      </c>
      <c r="AN816" s="122">
        <v>1778</v>
      </c>
      <c r="AO816">
        <v>659</v>
      </c>
      <c r="AP816">
        <v>473</v>
      </c>
      <c r="AQ816">
        <v>175</v>
      </c>
      <c r="AR816" s="122">
        <v>5718</v>
      </c>
      <c r="AS816" s="122">
        <v>5198</v>
      </c>
      <c r="AT816">
        <v>0</v>
      </c>
      <c r="AU816">
        <v>0</v>
      </c>
      <c r="AV816" s="122">
        <v>19394</v>
      </c>
    </row>
    <row r="817" spans="2:48" hidden="1">
      <c r="B817" t="s">
        <v>368</v>
      </c>
      <c r="C817" t="s">
        <v>56</v>
      </c>
      <c r="D817" t="s">
        <v>405</v>
      </c>
      <c r="E817" t="s">
        <v>407</v>
      </c>
      <c r="F817">
        <v>1</v>
      </c>
      <c r="G817">
        <v>105</v>
      </c>
      <c r="H817" s="122">
        <v>177</v>
      </c>
      <c r="I817" s="122">
        <v>10882</v>
      </c>
      <c r="J817" s="122">
        <v>9893</v>
      </c>
      <c r="K817">
        <v>79</v>
      </c>
      <c r="L817" s="122">
        <v>1413</v>
      </c>
      <c r="M817" s="122">
        <v>1285</v>
      </c>
      <c r="N817" s="122">
        <v>3059</v>
      </c>
      <c r="O817" s="122">
        <v>1133</v>
      </c>
      <c r="P817">
        <v>473</v>
      </c>
      <c r="Q817">
        <v>175</v>
      </c>
      <c r="R817" s="122">
        <v>3535</v>
      </c>
      <c r="S817" s="122">
        <v>3214</v>
      </c>
      <c r="T817" s="122">
        <v>2875</v>
      </c>
      <c r="U817" s="122">
        <v>1065</v>
      </c>
      <c r="V817" s="122">
        <v>16764</v>
      </c>
      <c r="W817" s="122">
        <f t="shared" si="24"/>
        <v>16765</v>
      </c>
      <c r="X817" s="122">
        <f t="shared" si="25"/>
        <v>22237</v>
      </c>
      <c r="Y817" s="122"/>
      <c r="AA817" t="s">
        <v>58</v>
      </c>
      <c r="AB817" t="s">
        <v>425</v>
      </c>
      <c r="AC817" t="s">
        <v>579</v>
      </c>
      <c r="AD817" t="s">
        <v>425</v>
      </c>
      <c r="AE817" t="s">
        <v>137</v>
      </c>
      <c r="AF817">
        <v>4</v>
      </c>
      <c r="AG817">
        <v>359</v>
      </c>
      <c r="AH817">
        <v>961</v>
      </c>
      <c r="AI817" s="122">
        <v>44467</v>
      </c>
      <c r="AJ817" s="122">
        <v>40425</v>
      </c>
      <c r="AK817">
        <v>77</v>
      </c>
      <c r="AL817" s="122">
        <v>7285</v>
      </c>
      <c r="AM817" s="122">
        <v>6071</v>
      </c>
      <c r="AN817" s="122">
        <v>7281</v>
      </c>
      <c r="AO817" s="122">
        <v>2697</v>
      </c>
      <c r="AP817" s="122">
        <v>1890</v>
      </c>
      <c r="AQ817">
        <v>700</v>
      </c>
      <c r="AR817" s="122">
        <v>15582</v>
      </c>
      <c r="AS817" s="122">
        <v>14165</v>
      </c>
      <c r="AT817" s="122">
        <v>9884</v>
      </c>
      <c r="AU817" s="122">
        <v>3661</v>
      </c>
      <c r="AV817" s="122">
        <v>67718</v>
      </c>
    </row>
    <row r="818" spans="2:48" hidden="1">
      <c r="B818" t="s">
        <v>368</v>
      </c>
      <c r="C818" t="s">
        <v>56</v>
      </c>
      <c r="D818" t="s">
        <v>405</v>
      </c>
      <c r="E818" t="s">
        <v>426</v>
      </c>
      <c r="F818">
        <v>2</v>
      </c>
      <c r="G818" s="122">
        <v>219</v>
      </c>
      <c r="H818" s="122">
        <v>408</v>
      </c>
      <c r="I818" s="122">
        <v>22164</v>
      </c>
      <c r="J818" s="122">
        <v>20149</v>
      </c>
      <c r="K818">
        <v>76</v>
      </c>
      <c r="L818" s="122">
        <v>6175</v>
      </c>
      <c r="M818" s="122">
        <v>5614</v>
      </c>
      <c r="N818" s="122">
        <v>2796</v>
      </c>
      <c r="O818" s="122">
        <v>1036</v>
      </c>
      <c r="P818" s="122">
        <v>824</v>
      </c>
      <c r="Q818" s="122">
        <v>305</v>
      </c>
      <c r="R818" s="122">
        <v>10038</v>
      </c>
      <c r="S818" s="122">
        <v>9126</v>
      </c>
      <c r="T818" s="122">
        <v>2719</v>
      </c>
      <c r="U818" s="122">
        <v>1007</v>
      </c>
      <c r="V818" s="122">
        <v>37237</v>
      </c>
      <c r="W818" s="122">
        <f t="shared" si="24"/>
        <v>37237</v>
      </c>
      <c r="X818" s="122">
        <f t="shared" si="25"/>
        <v>44716</v>
      </c>
      <c r="Y818" s="122"/>
      <c r="AA818" t="s">
        <v>58</v>
      </c>
      <c r="AB818" t="s">
        <v>425</v>
      </c>
      <c r="AC818" t="s">
        <v>579</v>
      </c>
      <c r="AD818" t="s">
        <v>425</v>
      </c>
      <c r="AE818" t="s">
        <v>566</v>
      </c>
      <c r="AF818">
        <v>7</v>
      </c>
      <c r="AG818">
        <v>737</v>
      </c>
      <c r="AH818" s="122">
        <v>1886</v>
      </c>
      <c r="AI818" s="122">
        <v>117780</v>
      </c>
      <c r="AJ818" s="122">
        <v>107072</v>
      </c>
      <c r="AK818">
        <v>83</v>
      </c>
      <c r="AL818" s="122">
        <v>32014</v>
      </c>
      <c r="AM818" s="122">
        <v>26679</v>
      </c>
      <c r="AN818" s="122">
        <v>14151</v>
      </c>
      <c r="AO818" s="122">
        <v>5241</v>
      </c>
      <c r="AP818" s="122">
        <v>3308</v>
      </c>
      <c r="AQ818" s="122">
        <v>1225</v>
      </c>
      <c r="AR818" s="122">
        <v>30188</v>
      </c>
      <c r="AS818" s="122">
        <v>27444</v>
      </c>
      <c r="AT818">
        <v>0</v>
      </c>
      <c r="AU818">
        <v>0</v>
      </c>
      <c r="AV818" s="122">
        <v>167661</v>
      </c>
    </row>
    <row r="819" spans="2:48" hidden="1">
      <c r="B819" t="s">
        <v>368</v>
      </c>
      <c r="C819" t="s">
        <v>56</v>
      </c>
      <c r="D819" t="s">
        <v>137</v>
      </c>
      <c r="E819" t="s">
        <v>137</v>
      </c>
      <c r="F819">
        <v>181</v>
      </c>
      <c r="G819" s="122">
        <v>18625</v>
      </c>
      <c r="H819" s="122">
        <v>36710</v>
      </c>
      <c r="I819" s="122">
        <v>1847228</v>
      </c>
      <c r="J819" s="122">
        <v>684158</v>
      </c>
      <c r="K819">
        <v>105</v>
      </c>
      <c r="L819" s="122">
        <v>275049</v>
      </c>
      <c r="M819" s="122">
        <v>121857</v>
      </c>
      <c r="N819" s="122">
        <v>381408</v>
      </c>
      <c r="O819" s="122">
        <v>141262</v>
      </c>
      <c r="P819" s="122">
        <v>5722</v>
      </c>
      <c r="Q819" s="122">
        <v>2119</v>
      </c>
      <c r="R819" s="122">
        <v>1364656</v>
      </c>
      <c r="S819" s="122">
        <v>505428</v>
      </c>
      <c r="T819" s="122">
        <v>2237</v>
      </c>
      <c r="U819">
        <v>828</v>
      </c>
      <c r="V819" s="122">
        <v>1455653</v>
      </c>
      <c r="W819" s="122">
        <f t="shared" si="24"/>
        <v>1455652</v>
      </c>
      <c r="X819" s="122">
        <f t="shared" si="25"/>
        <v>3876300</v>
      </c>
      <c r="Y819" s="122"/>
      <c r="AA819" t="s">
        <v>58</v>
      </c>
      <c r="AB819" t="s">
        <v>425</v>
      </c>
      <c r="AC819" t="s">
        <v>579</v>
      </c>
      <c r="AD819" t="s">
        <v>405</v>
      </c>
      <c r="AE819" t="s">
        <v>566</v>
      </c>
      <c r="AF819">
        <v>1</v>
      </c>
      <c r="AG819">
        <v>58</v>
      </c>
      <c r="AH819">
        <v>231</v>
      </c>
      <c r="AI819" s="122">
        <v>7028</v>
      </c>
      <c r="AJ819" s="122">
        <v>6389</v>
      </c>
      <c r="AK819">
        <v>91</v>
      </c>
      <c r="AL819" s="122">
        <v>1298</v>
      </c>
      <c r="AM819" s="122">
        <v>1081</v>
      </c>
      <c r="AN819" s="122">
        <v>1343</v>
      </c>
      <c r="AO819">
        <v>497</v>
      </c>
      <c r="AP819">
        <v>473</v>
      </c>
      <c r="AQ819">
        <v>175</v>
      </c>
      <c r="AR819" s="122">
        <v>3183</v>
      </c>
      <c r="AS819" s="122">
        <v>2893</v>
      </c>
      <c r="AT819">
        <v>0</v>
      </c>
      <c r="AU819">
        <v>0</v>
      </c>
      <c r="AV819" s="122">
        <v>11036</v>
      </c>
    </row>
    <row r="820" spans="2:48" hidden="1">
      <c r="B820" t="s">
        <v>368</v>
      </c>
      <c r="C820" t="s">
        <v>56</v>
      </c>
      <c r="D820" t="s">
        <v>137</v>
      </c>
      <c r="E820" t="s">
        <v>406</v>
      </c>
      <c r="F820">
        <v>1</v>
      </c>
      <c r="G820">
        <v>90</v>
      </c>
      <c r="H820" s="122">
        <v>218</v>
      </c>
      <c r="I820" s="122">
        <v>12146</v>
      </c>
      <c r="J820" s="122">
        <v>4498</v>
      </c>
      <c r="K820">
        <v>100</v>
      </c>
      <c r="L820" s="122">
        <v>2249</v>
      </c>
      <c r="M820" s="122">
        <v>1874</v>
      </c>
      <c r="N820" s="122">
        <v>1099</v>
      </c>
      <c r="O820" s="122">
        <v>407</v>
      </c>
      <c r="P820" s="122">
        <v>0</v>
      </c>
      <c r="Q820" s="122">
        <v>0</v>
      </c>
      <c r="R820" s="122">
        <v>4179</v>
      </c>
      <c r="S820" s="122">
        <v>3799</v>
      </c>
      <c r="T820" s="122">
        <v>0</v>
      </c>
      <c r="U820" s="122">
        <v>0</v>
      </c>
      <c r="V820" s="122">
        <v>10579</v>
      </c>
      <c r="W820" s="122">
        <f t="shared" si="24"/>
        <v>10578</v>
      </c>
      <c r="X820" s="122">
        <f t="shared" si="25"/>
        <v>19673</v>
      </c>
      <c r="Y820" s="122"/>
      <c r="AA820" t="s">
        <v>58</v>
      </c>
      <c r="AB820" t="s">
        <v>425</v>
      </c>
      <c r="AC820" t="s">
        <v>579</v>
      </c>
      <c r="AD820" t="s">
        <v>406</v>
      </c>
      <c r="AE820" t="s">
        <v>137</v>
      </c>
      <c r="AF820">
        <v>1</v>
      </c>
      <c r="AG820">
        <v>106</v>
      </c>
      <c r="AH820">
        <v>249</v>
      </c>
      <c r="AI820" s="122">
        <v>13315</v>
      </c>
      <c r="AJ820" s="122">
        <v>12104</v>
      </c>
      <c r="AK820">
        <v>86</v>
      </c>
      <c r="AL820" s="122">
        <v>4368</v>
      </c>
      <c r="AM820" s="122">
        <v>3640</v>
      </c>
      <c r="AN820" s="122">
        <v>1286</v>
      </c>
      <c r="AO820">
        <v>476</v>
      </c>
      <c r="AP820">
        <v>621</v>
      </c>
      <c r="AQ820">
        <v>230</v>
      </c>
      <c r="AR820" s="122">
        <v>3923</v>
      </c>
      <c r="AS820" s="122">
        <v>3566</v>
      </c>
      <c r="AT820" s="122">
        <v>2765</v>
      </c>
      <c r="AU820" s="122">
        <v>1024</v>
      </c>
      <c r="AV820" s="122">
        <v>21041</v>
      </c>
    </row>
    <row r="821" spans="2:48" hidden="1">
      <c r="B821" t="s">
        <v>368</v>
      </c>
      <c r="C821" t="s">
        <v>56</v>
      </c>
      <c r="D821" t="s">
        <v>430</v>
      </c>
      <c r="E821" t="s">
        <v>137</v>
      </c>
      <c r="F821">
        <v>1</v>
      </c>
      <c r="G821">
        <v>73</v>
      </c>
      <c r="H821">
        <v>208</v>
      </c>
      <c r="I821" s="122">
        <v>8676</v>
      </c>
      <c r="J821" s="122">
        <v>3213</v>
      </c>
      <c r="K821">
        <v>100</v>
      </c>
      <c r="L821" s="122">
        <v>1531</v>
      </c>
      <c r="M821">
        <v>567</v>
      </c>
      <c r="N821" s="122">
        <v>2019</v>
      </c>
      <c r="O821" s="122">
        <v>748</v>
      </c>
      <c r="P821" s="122">
        <v>0</v>
      </c>
      <c r="Q821" s="122">
        <v>0</v>
      </c>
      <c r="R821" s="122">
        <v>6910</v>
      </c>
      <c r="S821" s="122">
        <v>2559</v>
      </c>
      <c r="T821">
        <v>0</v>
      </c>
      <c r="U821">
        <v>0</v>
      </c>
      <c r="V821" s="122">
        <v>7087</v>
      </c>
      <c r="W821" s="122">
        <f t="shared" si="24"/>
        <v>7087</v>
      </c>
      <c r="X821" s="122">
        <f t="shared" si="25"/>
        <v>19136</v>
      </c>
      <c r="Y821" s="122"/>
      <c r="AA821" t="s">
        <v>58</v>
      </c>
      <c r="AB821" t="s">
        <v>425</v>
      </c>
      <c r="AC821" t="s">
        <v>428</v>
      </c>
      <c r="AD821" t="s">
        <v>425</v>
      </c>
      <c r="AE821" t="s">
        <v>566</v>
      </c>
      <c r="AF821">
        <v>1</v>
      </c>
      <c r="AG821">
        <v>228</v>
      </c>
      <c r="AH821">
        <v>234</v>
      </c>
      <c r="AI821" s="122">
        <v>33730</v>
      </c>
      <c r="AJ821" s="122">
        <v>30664</v>
      </c>
      <c r="AK821">
        <v>80</v>
      </c>
      <c r="AL821" s="122">
        <v>6355</v>
      </c>
      <c r="AM821" s="122">
        <v>5777</v>
      </c>
      <c r="AN821" s="122">
        <v>5561</v>
      </c>
      <c r="AO821" s="122">
        <v>2060</v>
      </c>
      <c r="AP821">
        <v>621</v>
      </c>
      <c r="AQ821">
        <v>230</v>
      </c>
      <c r="AR821" s="122">
        <v>7136</v>
      </c>
      <c r="AS821" s="122">
        <v>6487</v>
      </c>
      <c r="AT821">
        <v>0</v>
      </c>
      <c r="AU821">
        <v>0</v>
      </c>
      <c r="AV821" s="122">
        <v>45217</v>
      </c>
    </row>
    <row r="822" spans="2:48" hidden="1">
      <c r="B822" t="s">
        <v>368</v>
      </c>
      <c r="C822" t="s">
        <v>56</v>
      </c>
      <c r="D822" t="s">
        <v>406</v>
      </c>
      <c r="E822" t="s">
        <v>425</v>
      </c>
      <c r="F822">
        <v>2</v>
      </c>
      <c r="G822">
        <v>261</v>
      </c>
      <c r="H822" s="122">
        <v>368</v>
      </c>
      <c r="I822" s="122">
        <v>26559</v>
      </c>
      <c r="J822" s="122">
        <v>24144</v>
      </c>
      <c r="K822">
        <v>82</v>
      </c>
      <c r="L822" s="122">
        <v>3838</v>
      </c>
      <c r="M822" s="122">
        <v>3489</v>
      </c>
      <c r="N822" s="122">
        <v>4829</v>
      </c>
      <c r="O822" s="122">
        <v>1788</v>
      </c>
      <c r="P822" s="122">
        <v>1242</v>
      </c>
      <c r="Q822" s="122">
        <v>460</v>
      </c>
      <c r="R822" s="122">
        <v>11972</v>
      </c>
      <c r="S822" s="122">
        <v>10884</v>
      </c>
      <c r="T822" s="122">
        <v>0</v>
      </c>
      <c r="U822">
        <v>0</v>
      </c>
      <c r="V822" s="122">
        <v>40766</v>
      </c>
      <c r="W822" s="122">
        <f t="shared" si="24"/>
        <v>40765</v>
      </c>
      <c r="X822" s="122">
        <f t="shared" si="25"/>
        <v>48440</v>
      </c>
      <c r="Y822" s="122"/>
      <c r="AA822" t="s">
        <v>58</v>
      </c>
      <c r="AB822" t="s">
        <v>425</v>
      </c>
      <c r="AC822" t="s">
        <v>426</v>
      </c>
      <c r="AD822" t="s">
        <v>425</v>
      </c>
      <c r="AE822" t="s">
        <v>137</v>
      </c>
      <c r="AF822">
        <v>22</v>
      </c>
      <c r="AG822" s="122">
        <v>2065</v>
      </c>
      <c r="AH822" s="122">
        <v>5794</v>
      </c>
      <c r="AI822" s="122">
        <v>289551</v>
      </c>
      <c r="AJ822" s="122">
        <v>263228</v>
      </c>
      <c r="AK822">
        <v>73</v>
      </c>
      <c r="AL822" s="122">
        <v>65917</v>
      </c>
      <c r="AM822" s="122">
        <v>59925</v>
      </c>
      <c r="AN822" s="122">
        <v>42632</v>
      </c>
      <c r="AO822" s="122">
        <v>15790</v>
      </c>
      <c r="AP822" s="122">
        <v>10152</v>
      </c>
      <c r="AQ822" s="122">
        <v>3760</v>
      </c>
      <c r="AR822" s="122">
        <v>115359</v>
      </c>
      <c r="AS822" s="122">
        <v>104872</v>
      </c>
      <c r="AT822" s="122">
        <v>41943</v>
      </c>
      <c r="AU822" s="122">
        <v>15534</v>
      </c>
      <c r="AV822" s="122">
        <v>463109</v>
      </c>
    </row>
    <row r="823" spans="2:48" hidden="1">
      <c r="B823" t="s">
        <v>368</v>
      </c>
      <c r="C823" t="s">
        <v>56</v>
      </c>
      <c r="D823" t="s">
        <v>406</v>
      </c>
      <c r="E823" t="s">
        <v>137</v>
      </c>
      <c r="F823">
        <v>13</v>
      </c>
      <c r="G823" s="122">
        <v>1384</v>
      </c>
      <c r="H823" s="122">
        <v>2663</v>
      </c>
      <c r="I823" s="122">
        <v>133204</v>
      </c>
      <c r="J823" s="122">
        <v>121095</v>
      </c>
      <c r="K823">
        <v>86</v>
      </c>
      <c r="L823" s="122">
        <v>29178</v>
      </c>
      <c r="M823" s="122">
        <v>25117</v>
      </c>
      <c r="N823" s="122">
        <v>26869</v>
      </c>
      <c r="O823" s="122">
        <v>9951</v>
      </c>
      <c r="P823" s="122">
        <v>8424</v>
      </c>
      <c r="Q823" s="122">
        <v>3120</v>
      </c>
      <c r="R823" s="122">
        <v>82822</v>
      </c>
      <c r="S823" s="122">
        <v>30675</v>
      </c>
      <c r="T823" s="122">
        <v>0</v>
      </c>
      <c r="U823">
        <v>0</v>
      </c>
      <c r="V823" s="122">
        <v>189958</v>
      </c>
      <c r="W823" s="122">
        <f t="shared" si="24"/>
        <v>189958</v>
      </c>
      <c r="X823" s="122">
        <f t="shared" si="25"/>
        <v>280497</v>
      </c>
      <c r="Y823" s="122"/>
      <c r="AA823" t="s">
        <v>58</v>
      </c>
      <c r="AB823" t="s">
        <v>425</v>
      </c>
      <c r="AC823" t="s">
        <v>426</v>
      </c>
      <c r="AD823" t="s">
        <v>425</v>
      </c>
      <c r="AE823" t="s">
        <v>566</v>
      </c>
      <c r="AF823">
        <v>11</v>
      </c>
      <c r="AG823" s="122">
        <v>1132</v>
      </c>
      <c r="AH823" s="122">
        <v>2861</v>
      </c>
      <c r="AI823" s="122">
        <v>186932</v>
      </c>
      <c r="AJ823" s="122">
        <v>169938</v>
      </c>
      <c r="AK823">
        <v>81</v>
      </c>
      <c r="AL823" s="122">
        <v>34456</v>
      </c>
      <c r="AM823" s="122">
        <v>31323</v>
      </c>
      <c r="AN823" s="122">
        <v>23712</v>
      </c>
      <c r="AO823" s="122">
        <v>8782</v>
      </c>
      <c r="AP823" s="122">
        <v>6548</v>
      </c>
      <c r="AQ823" s="122">
        <v>2425</v>
      </c>
      <c r="AR823" s="122">
        <v>47655</v>
      </c>
      <c r="AS823" s="122">
        <v>43323</v>
      </c>
      <c r="AT823">
        <v>0</v>
      </c>
      <c r="AU823">
        <v>0</v>
      </c>
      <c r="AV823" s="122">
        <v>255791</v>
      </c>
    </row>
    <row r="824" spans="2:48" hidden="1">
      <c r="B824" t="s">
        <v>368</v>
      </c>
      <c r="C824" t="s">
        <v>56</v>
      </c>
      <c r="D824" t="s">
        <v>406</v>
      </c>
      <c r="E824" t="s">
        <v>406</v>
      </c>
      <c r="F824" s="122">
        <v>5269</v>
      </c>
      <c r="G824" s="122">
        <v>561352</v>
      </c>
      <c r="H824" s="122">
        <v>1027912</v>
      </c>
      <c r="I824" s="122">
        <v>52973312</v>
      </c>
      <c r="J824" s="122">
        <v>48157557</v>
      </c>
      <c r="K824">
        <v>85</v>
      </c>
      <c r="L824" s="122">
        <v>12834280</v>
      </c>
      <c r="M824" s="122">
        <v>11210633</v>
      </c>
      <c r="N824" s="122">
        <v>10778391</v>
      </c>
      <c r="O824" s="122">
        <v>3991997</v>
      </c>
      <c r="P824" s="122">
        <v>3415337</v>
      </c>
      <c r="Q824" s="122">
        <v>1264940</v>
      </c>
      <c r="R824" s="122">
        <v>24202367</v>
      </c>
      <c r="S824" s="122">
        <v>22002152</v>
      </c>
      <c r="T824" s="122">
        <v>6014050</v>
      </c>
      <c r="U824" s="122">
        <v>2227426</v>
      </c>
      <c r="V824" s="122">
        <v>88854703</v>
      </c>
      <c r="W824" s="122">
        <f t="shared" si="24"/>
        <v>88854705</v>
      </c>
      <c r="X824" s="122">
        <f t="shared" si="25"/>
        <v>110217737</v>
      </c>
      <c r="Y824" s="122"/>
      <c r="AA824" t="s">
        <v>58</v>
      </c>
      <c r="AB824" t="s">
        <v>425</v>
      </c>
      <c r="AC824" t="s">
        <v>426</v>
      </c>
      <c r="AD824" t="s">
        <v>137</v>
      </c>
      <c r="AE824" t="s">
        <v>566</v>
      </c>
      <c r="AF824">
        <v>1</v>
      </c>
      <c r="AG824">
        <v>95</v>
      </c>
      <c r="AH824">
        <v>296</v>
      </c>
      <c r="AI824" s="122">
        <v>19141</v>
      </c>
      <c r="AJ824" s="122">
        <v>17401</v>
      </c>
      <c r="AK824">
        <v>63</v>
      </c>
      <c r="AL824" s="122">
        <v>2436</v>
      </c>
      <c r="AM824" s="122">
        <v>2215</v>
      </c>
      <c r="AN824" s="122">
        <v>1538</v>
      </c>
      <c r="AO824">
        <v>570</v>
      </c>
      <c r="AP824">
        <v>0</v>
      </c>
      <c r="AQ824">
        <v>0</v>
      </c>
      <c r="AR824" s="122">
        <v>4938</v>
      </c>
      <c r="AS824" s="122">
        <v>1829</v>
      </c>
      <c r="AT824">
        <v>0</v>
      </c>
      <c r="AU824">
        <v>0</v>
      </c>
      <c r="AV824" s="122">
        <v>22014</v>
      </c>
    </row>
    <row r="825" spans="2:48" hidden="1">
      <c r="B825" t="s">
        <v>368</v>
      </c>
      <c r="C825" t="s">
        <v>56</v>
      </c>
      <c r="D825" t="s">
        <v>406</v>
      </c>
      <c r="E825" t="s">
        <v>427</v>
      </c>
      <c r="F825">
        <v>1</v>
      </c>
      <c r="G825" s="122">
        <v>83</v>
      </c>
      <c r="H825" s="122">
        <v>197</v>
      </c>
      <c r="I825" s="122">
        <v>5692</v>
      </c>
      <c r="J825" s="122">
        <v>5175</v>
      </c>
      <c r="K825">
        <v>79</v>
      </c>
      <c r="L825" s="122">
        <v>2620</v>
      </c>
      <c r="M825" s="122">
        <v>970</v>
      </c>
      <c r="N825" s="122">
        <v>1508</v>
      </c>
      <c r="O825" s="122">
        <v>558</v>
      </c>
      <c r="P825" s="122">
        <v>621</v>
      </c>
      <c r="Q825" s="122">
        <v>230</v>
      </c>
      <c r="R825" s="122">
        <v>3622</v>
      </c>
      <c r="S825" s="122">
        <v>3293</v>
      </c>
      <c r="T825" s="122">
        <v>2199</v>
      </c>
      <c r="U825" s="122">
        <v>814</v>
      </c>
      <c r="V825" s="122">
        <v>11040</v>
      </c>
      <c r="W825" s="122">
        <f t="shared" si="24"/>
        <v>11040</v>
      </c>
      <c r="X825" s="122">
        <f t="shared" si="25"/>
        <v>16262</v>
      </c>
      <c r="Y825" s="122"/>
      <c r="AA825" t="s">
        <v>58</v>
      </c>
      <c r="AB825" t="s">
        <v>425</v>
      </c>
      <c r="AC825" t="s">
        <v>426</v>
      </c>
      <c r="AD825" t="s">
        <v>406</v>
      </c>
      <c r="AE825" t="s">
        <v>137</v>
      </c>
      <c r="AF825">
        <v>2</v>
      </c>
      <c r="AG825">
        <v>151</v>
      </c>
      <c r="AH825">
        <v>520</v>
      </c>
      <c r="AI825" s="122">
        <v>17882</v>
      </c>
      <c r="AJ825" s="122">
        <v>16257</v>
      </c>
      <c r="AK825">
        <v>75</v>
      </c>
      <c r="AL825" s="122">
        <v>3657</v>
      </c>
      <c r="AM825" s="122">
        <v>3324</v>
      </c>
      <c r="AN825" s="122">
        <v>3350</v>
      </c>
      <c r="AO825" s="122">
        <v>1241</v>
      </c>
      <c r="AP825" s="122">
        <v>1593</v>
      </c>
      <c r="AQ825">
        <v>590</v>
      </c>
      <c r="AR825" s="122">
        <v>8115</v>
      </c>
      <c r="AS825" s="122">
        <v>7378</v>
      </c>
      <c r="AT825" s="122">
        <v>4785</v>
      </c>
      <c r="AU825" s="122">
        <v>1772</v>
      </c>
      <c r="AV825" s="122">
        <v>30562</v>
      </c>
    </row>
    <row r="826" spans="2:48" hidden="1">
      <c r="B826" t="s">
        <v>368</v>
      </c>
      <c r="C826" t="s">
        <v>56</v>
      </c>
      <c r="D826" t="s">
        <v>406</v>
      </c>
      <c r="E826" t="s">
        <v>426</v>
      </c>
      <c r="F826">
        <v>2</v>
      </c>
      <c r="G826">
        <v>207</v>
      </c>
      <c r="H826">
        <v>384</v>
      </c>
      <c r="I826" s="122">
        <v>21424</v>
      </c>
      <c r="J826" s="122">
        <v>19476</v>
      </c>
      <c r="K826">
        <v>89</v>
      </c>
      <c r="L826" s="122">
        <v>3009</v>
      </c>
      <c r="M826" s="122">
        <v>6245</v>
      </c>
      <c r="N826" s="122">
        <v>3570</v>
      </c>
      <c r="O826" s="122">
        <v>1322</v>
      </c>
      <c r="P826" s="122">
        <v>1242</v>
      </c>
      <c r="Q826">
        <v>460</v>
      </c>
      <c r="R826" s="122">
        <v>10597</v>
      </c>
      <c r="S826" s="122">
        <v>9634</v>
      </c>
      <c r="T826">
        <v>0</v>
      </c>
      <c r="U826">
        <v>0</v>
      </c>
      <c r="V826" s="122">
        <v>37137</v>
      </c>
      <c r="W826" s="122">
        <f t="shared" si="24"/>
        <v>37137</v>
      </c>
      <c r="X826" s="122">
        <f t="shared" si="25"/>
        <v>39842</v>
      </c>
      <c r="Y826" s="122"/>
      <c r="AA826" t="s">
        <v>58</v>
      </c>
      <c r="AB826" t="s">
        <v>425</v>
      </c>
      <c r="AC826" t="s">
        <v>426</v>
      </c>
      <c r="AD826" t="s">
        <v>406</v>
      </c>
      <c r="AE826" t="s">
        <v>566</v>
      </c>
      <c r="AF826">
        <v>2</v>
      </c>
      <c r="AG826">
        <v>163</v>
      </c>
      <c r="AH826">
        <v>521</v>
      </c>
      <c r="AI826" s="122">
        <v>20993</v>
      </c>
      <c r="AJ826" s="122">
        <v>19085</v>
      </c>
      <c r="AK826">
        <v>78</v>
      </c>
      <c r="AL826" s="122">
        <v>4505</v>
      </c>
      <c r="AM826" s="122">
        <v>4096</v>
      </c>
      <c r="AN826" s="122">
        <v>2889</v>
      </c>
      <c r="AO826" s="122">
        <v>1070</v>
      </c>
      <c r="AP826" s="122">
        <v>1242</v>
      </c>
      <c r="AQ826">
        <v>460</v>
      </c>
      <c r="AR826" s="122">
        <v>12346</v>
      </c>
      <c r="AS826" s="122">
        <v>11224</v>
      </c>
      <c r="AT826">
        <v>0</v>
      </c>
      <c r="AU826">
        <v>0</v>
      </c>
      <c r="AV826" s="122">
        <v>35934</v>
      </c>
    </row>
    <row r="827" spans="2:48" hidden="1">
      <c r="B827" t="s">
        <v>368</v>
      </c>
      <c r="C827" t="s">
        <v>56</v>
      </c>
      <c r="D827" t="s">
        <v>427</v>
      </c>
      <c r="E827" t="s">
        <v>406</v>
      </c>
      <c r="F827">
        <v>1</v>
      </c>
      <c r="G827">
        <v>103</v>
      </c>
      <c r="H827" s="122">
        <v>213</v>
      </c>
      <c r="I827" s="122">
        <v>10634</v>
      </c>
      <c r="J827" s="122">
        <v>9667</v>
      </c>
      <c r="K827">
        <v>79</v>
      </c>
      <c r="L827" s="122">
        <v>2954</v>
      </c>
      <c r="M827" s="122">
        <v>2685</v>
      </c>
      <c r="N827" s="122">
        <v>2204</v>
      </c>
      <c r="O827" s="122">
        <v>816</v>
      </c>
      <c r="P827">
        <v>270</v>
      </c>
      <c r="Q827">
        <v>100</v>
      </c>
      <c r="R827" s="122">
        <v>5839</v>
      </c>
      <c r="S827" s="122">
        <v>5308</v>
      </c>
      <c r="T827" s="122">
        <v>0</v>
      </c>
      <c r="U827" s="122">
        <v>0</v>
      </c>
      <c r="V827" s="122">
        <v>18577</v>
      </c>
      <c r="W827" s="122">
        <f t="shared" si="24"/>
        <v>18576</v>
      </c>
      <c r="X827" s="122">
        <f t="shared" si="25"/>
        <v>21901</v>
      </c>
      <c r="Y827" s="122"/>
      <c r="AA827" t="s">
        <v>58</v>
      </c>
      <c r="AB827" t="s">
        <v>425</v>
      </c>
      <c r="AC827" t="s">
        <v>426</v>
      </c>
      <c r="AD827" t="s">
        <v>407</v>
      </c>
      <c r="AE827" t="s">
        <v>566</v>
      </c>
      <c r="AF827">
        <v>1</v>
      </c>
      <c r="AG827">
        <v>51</v>
      </c>
      <c r="AH827">
        <v>265</v>
      </c>
      <c r="AI827" s="122">
        <v>8962</v>
      </c>
      <c r="AJ827" s="122">
        <v>8147</v>
      </c>
      <c r="AK827">
        <v>92</v>
      </c>
      <c r="AL827" s="122">
        <v>1447</v>
      </c>
      <c r="AM827" s="122">
        <v>1316</v>
      </c>
      <c r="AN827" s="122">
        <v>1081</v>
      </c>
      <c r="AO827">
        <v>400</v>
      </c>
      <c r="AP827">
        <v>351</v>
      </c>
      <c r="AQ827">
        <v>130</v>
      </c>
      <c r="AR827" s="122">
        <v>1775</v>
      </c>
      <c r="AS827" s="122">
        <v>1614</v>
      </c>
      <c r="AT827">
        <v>0</v>
      </c>
      <c r="AU827">
        <v>0</v>
      </c>
      <c r="AV827" s="122">
        <v>11607</v>
      </c>
    </row>
    <row r="828" spans="2:48" hidden="1">
      <c r="B828" t="s">
        <v>368</v>
      </c>
      <c r="C828" t="s">
        <v>56</v>
      </c>
      <c r="D828" t="s">
        <v>427</v>
      </c>
      <c r="E828" t="s">
        <v>427</v>
      </c>
      <c r="F828">
        <v>2</v>
      </c>
      <c r="G828" s="122">
        <v>159</v>
      </c>
      <c r="H828" s="122">
        <v>425</v>
      </c>
      <c r="I828" s="122">
        <v>16453</v>
      </c>
      <c r="J828" s="122">
        <v>14957</v>
      </c>
      <c r="K828">
        <v>65</v>
      </c>
      <c r="L828" s="122">
        <v>2489</v>
      </c>
      <c r="M828" s="122">
        <v>1580</v>
      </c>
      <c r="N828" s="122">
        <v>3075</v>
      </c>
      <c r="O828" s="122">
        <v>1139</v>
      </c>
      <c r="P828" s="122">
        <v>639</v>
      </c>
      <c r="Q828" s="122">
        <v>237</v>
      </c>
      <c r="R828" s="122">
        <v>7000</v>
      </c>
      <c r="S828" s="122">
        <v>6364</v>
      </c>
      <c r="T828" s="122">
        <v>4093</v>
      </c>
      <c r="U828" s="122">
        <v>1516</v>
      </c>
      <c r="V828" s="122">
        <v>25793</v>
      </c>
      <c r="W828" s="122">
        <f t="shared" si="24"/>
        <v>25793</v>
      </c>
      <c r="X828" s="122">
        <f t="shared" si="25"/>
        <v>33749</v>
      </c>
      <c r="Y828" s="122"/>
      <c r="AA828" t="s">
        <v>58</v>
      </c>
      <c r="AB828" t="s">
        <v>425</v>
      </c>
      <c r="AC828" t="s">
        <v>566</v>
      </c>
      <c r="AD828" t="s">
        <v>425</v>
      </c>
      <c r="AE828" t="s">
        <v>566</v>
      </c>
      <c r="AF828">
        <v>1</v>
      </c>
      <c r="AG828">
        <v>56</v>
      </c>
      <c r="AH828">
        <v>264</v>
      </c>
      <c r="AI828" s="122">
        <v>11247</v>
      </c>
      <c r="AJ828" s="122">
        <v>10224</v>
      </c>
      <c r="AK828">
        <v>91</v>
      </c>
      <c r="AL828">
        <v>0</v>
      </c>
      <c r="AM828">
        <v>0</v>
      </c>
      <c r="AN828">
        <v>974</v>
      </c>
      <c r="AO828">
        <v>361</v>
      </c>
      <c r="AP828">
        <v>473</v>
      </c>
      <c r="AQ828">
        <v>175</v>
      </c>
      <c r="AR828" s="122">
        <v>1969</v>
      </c>
      <c r="AS828" s="122">
        <v>1790</v>
      </c>
      <c r="AT828">
        <v>0</v>
      </c>
      <c r="AU828">
        <v>0</v>
      </c>
      <c r="AV828" s="122">
        <v>12550</v>
      </c>
    </row>
    <row r="829" spans="2:48" hidden="1">
      <c r="B829" t="s">
        <v>368</v>
      </c>
      <c r="C829" t="s">
        <v>56</v>
      </c>
      <c r="D829" t="s">
        <v>407</v>
      </c>
      <c r="E829" t="s">
        <v>137</v>
      </c>
      <c r="F829">
        <v>4</v>
      </c>
      <c r="G829">
        <v>485</v>
      </c>
      <c r="H829" s="122">
        <v>812</v>
      </c>
      <c r="I829" s="122">
        <v>48625</v>
      </c>
      <c r="J829" s="122">
        <v>44204</v>
      </c>
      <c r="K829">
        <v>76</v>
      </c>
      <c r="L829" s="122">
        <v>13030</v>
      </c>
      <c r="M829" s="122">
        <v>11846</v>
      </c>
      <c r="N829" s="122">
        <v>11815</v>
      </c>
      <c r="O829" s="122">
        <v>4376</v>
      </c>
      <c r="P829" s="122">
        <v>1890</v>
      </c>
      <c r="Q829">
        <v>700</v>
      </c>
      <c r="R829" s="122">
        <v>23120</v>
      </c>
      <c r="S829" s="122">
        <v>8563</v>
      </c>
      <c r="T829" s="122">
        <v>0</v>
      </c>
      <c r="U829" s="122">
        <v>0</v>
      </c>
      <c r="V829" s="122">
        <v>69688</v>
      </c>
      <c r="W829" s="122">
        <f t="shared" si="24"/>
        <v>69689</v>
      </c>
      <c r="X829" s="122">
        <f t="shared" si="25"/>
        <v>98480</v>
      </c>
      <c r="Y829" s="122"/>
      <c r="AA829" t="s">
        <v>58</v>
      </c>
      <c r="AB829" t="s">
        <v>425</v>
      </c>
      <c r="AC829" t="s">
        <v>481</v>
      </c>
      <c r="AD829" t="s">
        <v>406</v>
      </c>
      <c r="AE829" t="s">
        <v>137</v>
      </c>
      <c r="AF829">
        <v>1</v>
      </c>
      <c r="AG829">
        <v>78</v>
      </c>
      <c r="AH829">
        <v>286</v>
      </c>
      <c r="AI829" s="122">
        <v>9617</v>
      </c>
      <c r="AJ829" s="122">
        <v>8742</v>
      </c>
      <c r="AK829">
        <v>79</v>
      </c>
      <c r="AL829" s="122">
        <v>2671</v>
      </c>
      <c r="AM829" s="122">
        <v>2428</v>
      </c>
      <c r="AN829" s="122">
        <v>1907</v>
      </c>
      <c r="AO829">
        <v>706</v>
      </c>
      <c r="AP829">
        <v>972</v>
      </c>
      <c r="AQ829">
        <v>360</v>
      </c>
      <c r="AR829" s="122">
        <v>4345</v>
      </c>
      <c r="AS829" s="122">
        <v>3950</v>
      </c>
      <c r="AT829" s="122">
        <v>2855</v>
      </c>
      <c r="AU829" s="122">
        <v>1057</v>
      </c>
      <c r="AV829" s="122">
        <v>17245</v>
      </c>
    </row>
    <row r="830" spans="2:48" hidden="1">
      <c r="B830" t="s">
        <v>368</v>
      </c>
      <c r="C830" t="s">
        <v>56</v>
      </c>
      <c r="D830" t="s">
        <v>407</v>
      </c>
      <c r="E830" t="s">
        <v>406</v>
      </c>
      <c r="F830">
        <v>1</v>
      </c>
      <c r="G830" s="122">
        <v>165</v>
      </c>
      <c r="H830" s="122">
        <v>166</v>
      </c>
      <c r="I830" s="122">
        <v>12941</v>
      </c>
      <c r="J830" s="122">
        <v>11765</v>
      </c>
      <c r="K830">
        <v>80</v>
      </c>
      <c r="L830" s="122">
        <v>1681</v>
      </c>
      <c r="M830" s="122">
        <v>1528</v>
      </c>
      <c r="N830" s="122">
        <v>4027</v>
      </c>
      <c r="O830" s="122">
        <v>1492</v>
      </c>
      <c r="P830" s="122">
        <v>473</v>
      </c>
      <c r="Q830" s="122">
        <v>175</v>
      </c>
      <c r="R830" s="122">
        <v>8384</v>
      </c>
      <c r="S830" s="122">
        <v>7622</v>
      </c>
      <c r="T830">
        <v>0</v>
      </c>
      <c r="U830">
        <v>0</v>
      </c>
      <c r="V830" s="122">
        <v>22581</v>
      </c>
      <c r="W830" s="122">
        <f t="shared" si="24"/>
        <v>22582</v>
      </c>
      <c r="X830" s="122">
        <f t="shared" si="25"/>
        <v>27506</v>
      </c>
      <c r="Y830" s="122"/>
      <c r="AA830" t="s">
        <v>58</v>
      </c>
      <c r="AB830" t="s">
        <v>425</v>
      </c>
      <c r="AC830" t="s">
        <v>433</v>
      </c>
      <c r="AD830" t="s">
        <v>425</v>
      </c>
      <c r="AE830" t="s">
        <v>137</v>
      </c>
      <c r="AF830">
        <v>1</v>
      </c>
      <c r="AG830">
        <v>84</v>
      </c>
      <c r="AH830">
        <v>258</v>
      </c>
      <c r="AI830" s="122">
        <v>11384</v>
      </c>
      <c r="AJ830" s="122">
        <v>10349</v>
      </c>
      <c r="AK830">
        <v>88</v>
      </c>
      <c r="AL830" s="122">
        <v>3533</v>
      </c>
      <c r="AM830" s="122">
        <v>3212</v>
      </c>
      <c r="AN830" s="122">
        <v>1422</v>
      </c>
      <c r="AO830">
        <v>527</v>
      </c>
      <c r="AP830">
        <v>473</v>
      </c>
      <c r="AQ830">
        <v>175</v>
      </c>
      <c r="AR830" s="122">
        <v>2892</v>
      </c>
      <c r="AS830" s="122">
        <v>2629</v>
      </c>
      <c r="AT830" s="122">
        <v>1997</v>
      </c>
      <c r="AU830">
        <v>739</v>
      </c>
      <c r="AV830" s="122">
        <v>17632</v>
      </c>
    </row>
    <row r="831" spans="2:48" hidden="1">
      <c r="B831" t="s">
        <v>368</v>
      </c>
      <c r="C831" t="s">
        <v>56</v>
      </c>
      <c r="D831" t="s">
        <v>407</v>
      </c>
      <c r="E831" t="s">
        <v>407</v>
      </c>
      <c r="F831" s="122">
        <v>1947</v>
      </c>
      <c r="G831" s="122">
        <v>198511</v>
      </c>
      <c r="H831" s="122">
        <v>361246</v>
      </c>
      <c r="I831" s="122">
        <v>17241710</v>
      </c>
      <c r="J831" s="122">
        <v>15674282</v>
      </c>
      <c r="K831">
        <v>80</v>
      </c>
      <c r="L831" s="122">
        <v>4462758</v>
      </c>
      <c r="M831" s="122">
        <v>3890307</v>
      </c>
      <c r="N831" s="122">
        <v>3940762</v>
      </c>
      <c r="O831" s="122">
        <v>1459541</v>
      </c>
      <c r="P831" s="122">
        <v>931589</v>
      </c>
      <c r="Q831" s="122">
        <v>345033</v>
      </c>
      <c r="R831" s="122">
        <v>9775595</v>
      </c>
      <c r="S831" s="122">
        <v>8886905</v>
      </c>
      <c r="T831" s="122">
        <v>616206</v>
      </c>
      <c r="U831" s="122">
        <v>228224</v>
      </c>
      <c r="V831" s="122">
        <v>30484292</v>
      </c>
      <c r="W831" s="122">
        <f t="shared" si="24"/>
        <v>30484292</v>
      </c>
      <c r="X831" s="122">
        <f t="shared" si="25"/>
        <v>36968620</v>
      </c>
      <c r="Y831" s="122"/>
      <c r="AA831" t="s">
        <v>58</v>
      </c>
      <c r="AB831" t="s">
        <v>405</v>
      </c>
      <c r="AC831" t="s">
        <v>405</v>
      </c>
      <c r="AD831" t="s">
        <v>405</v>
      </c>
      <c r="AE831" t="s">
        <v>137</v>
      </c>
      <c r="AF831">
        <v>46</v>
      </c>
      <c r="AG831" s="122">
        <v>4791</v>
      </c>
      <c r="AH831" s="122">
        <v>11724</v>
      </c>
      <c r="AI831" s="122">
        <v>661677</v>
      </c>
      <c r="AJ831" s="122">
        <v>601525</v>
      </c>
      <c r="AK831">
        <v>76</v>
      </c>
      <c r="AL831" s="122">
        <v>170666</v>
      </c>
      <c r="AM831" s="122">
        <v>155151</v>
      </c>
      <c r="AN831" s="122">
        <v>102823</v>
      </c>
      <c r="AO831" s="122">
        <v>38083</v>
      </c>
      <c r="AP831" s="122">
        <v>22658</v>
      </c>
      <c r="AQ831" s="122">
        <v>8392</v>
      </c>
      <c r="AR831" s="122">
        <v>196052</v>
      </c>
      <c r="AS831" s="122">
        <v>178229</v>
      </c>
      <c r="AT831" s="122">
        <v>106058</v>
      </c>
      <c r="AU831" s="122">
        <v>39281</v>
      </c>
      <c r="AV831" s="122">
        <v>1020660</v>
      </c>
    </row>
    <row r="832" spans="2:48" hidden="1">
      <c r="B832" t="s">
        <v>368</v>
      </c>
      <c r="C832" t="s">
        <v>56</v>
      </c>
      <c r="D832" t="s">
        <v>556</v>
      </c>
      <c r="E832" t="s">
        <v>556</v>
      </c>
      <c r="F832">
        <v>2</v>
      </c>
      <c r="G832">
        <v>163</v>
      </c>
      <c r="H832">
        <v>413</v>
      </c>
      <c r="I832" s="122">
        <v>17543</v>
      </c>
      <c r="J832" s="122">
        <v>14619</v>
      </c>
      <c r="K832">
        <v>60</v>
      </c>
      <c r="L832" s="122">
        <v>2421</v>
      </c>
      <c r="M832" s="122">
        <v>1231</v>
      </c>
      <c r="N832" s="122">
        <v>2257</v>
      </c>
      <c r="O832" s="122">
        <v>836</v>
      </c>
      <c r="P832" s="122">
        <v>702</v>
      </c>
      <c r="Q832">
        <v>260</v>
      </c>
      <c r="R832" s="122">
        <v>10588</v>
      </c>
      <c r="S832" s="122">
        <v>8824</v>
      </c>
      <c r="T832" s="122">
        <v>0</v>
      </c>
      <c r="U832" s="122">
        <v>0</v>
      </c>
      <c r="V832" s="122">
        <v>25769</v>
      </c>
      <c r="W832" s="122">
        <f t="shared" si="24"/>
        <v>25770</v>
      </c>
      <c r="X832" s="122">
        <f t="shared" si="25"/>
        <v>33511</v>
      </c>
      <c r="Y832" s="122"/>
      <c r="AA832" t="s">
        <v>58</v>
      </c>
      <c r="AB832" t="s">
        <v>405</v>
      </c>
      <c r="AC832" t="s">
        <v>405</v>
      </c>
      <c r="AD832" t="s">
        <v>405</v>
      </c>
      <c r="AE832" t="s">
        <v>566</v>
      </c>
      <c r="AF832">
        <v>52</v>
      </c>
      <c r="AG832" s="122">
        <v>5014</v>
      </c>
      <c r="AH832" s="122">
        <v>13156</v>
      </c>
      <c r="AI832" s="122">
        <v>656274</v>
      </c>
      <c r="AJ832" s="122">
        <v>596613</v>
      </c>
      <c r="AK832">
        <v>80</v>
      </c>
      <c r="AL832" s="122">
        <v>211799</v>
      </c>
      <c r="AM832" s="122">
        <v>192544</v>
      </c>
      <c r="AN832" s="122">
        <v>108445</v>
      </c>
      <c r="AO832" s="122">
        <v>40165</v>
      </c>
      <c r="AP832" s="122">
        <v>26629</v>
      </c>
      <c r="AQ832" s="122">
        <v>9862</v>
      </c>
      <c r="AR832" s="122">
        <v>272892</v>
      </c>
      <c r="AS832" s="122">
        <v>248084</v>
      </c>
      <c r="AT832">
        <v>0</v>
      </c>
      <c r="AU832">
        <v>0</v>
      </c>
      <c r="AV832" s="122">
        <v>1087268</v>
      </c>
    </row>
    <row r="833" spans="2:48" hidden="1">
      <c r="B833" t="s">
        <v>368</v>
      </c>
      <c r="C833" t="s">
        <v>56</v>
      </c>
      <c r="D833" t="s">
        <v>431</v>
      </c>
      <c r="E833" t="s">
        <v>431</v>
      </c>
      <c r="F833">
        <v>2</v>
      </c>
      <c r="G833" s="122">
        <v>227</v>
      </c>
      <c r="H833" s="122">
        <v>394</v>
      </c>
      <c r="I833" s="122">
        <v>22070</v>
      </c>
      <c r="J833" s="122">
        <v>20064</v>
      </c>
      <c r="K833">
        <v>75</v>
      </c>
      <c r="L833" s="122">
        <v>5481</v>
      </c>
      <c r="M833" s="122">
        <v>2805</v>
      </c>
      <c r="N833" s="122">
        <v>3797</v>
      </c>
      <c r="O833" s="122">
        <v>1406</v>
      </c>
      <c r="P833" s="122">
        <v>972</v>
      </c>
      <c r="Q833" s="122">
        <v>360</v>
      </c>
      <c r="R833" s="122">
        <v>8970</v>
      </c>
      <c r="S833" s="122">
        <v>8154</v>
      </c>
      <c r="T833" s="122">
        <v>3098</v>
      </c>
      <c r="U833" s="122">
        <v>1148</v>
      </c>
      <c r="V833" s="122">
        <v>33937</v>
      </c>
      <c r="W833" s="122">
        <f t="shared" si="24"/>
        <v>33937</v>
      </c>
      <c r="X833" s="122">
        <f t="shared" si="25"/>
        <v>44388</v>
      </c>
      <c r="Y833" s="122"/>
      <c r="AA833" t="s">
        <v>58</v>
      </c>
      <c r="AB833" t="s">
        <v>405</v>
      </c>
      <c r="AC833" t="s">
        <v>137</v>
      </c>
      <c r="AD833" t="s">
        <v>405</v>
      </c>
      <c r="AE833" t="s">
        <v>137</v>
      </c>
      <c r="AF833">
        <v>14</v>
      </c>
      <c r="AG833" s="122">
        <v>1274</v>
      </c>
      <c r="AH833" s="122">
        <v>3744</v>
      </c>
      <c r="AI833" s="122">
        <v>199323</v>
      </c>
      <c r="AJ833" s="122">
        <v>181203</v>
      </c>
      <c r="AK833">
        <v>78</v>
      </c>
      <c r="AL833" s="122">
        <v>30402</v>
      </c>
      <c r="AM833" s="122">
        <v>11260</v>
      </c>
      <c r="AN833" s="122">
        <v>28643</v>
      </c>
      <c r="AO833" s="122">
        <v>10608</v>
      </c>
      <c r="AP833" s="122">
        <v>6642</v>
      </c>
      <c r="AQ833" s="122">
        <v>2460</v>
      </c>
      <c r="AR833" s="122">
        <v>51061</v>
      </c>
      <c r="AS833" s="122">
        <v>46419</v>
      </c>
      <c r="AT833" s="122">
        <v>35222</v>
      </c>
      <c r="AU833" s="122">
        <v>13045</v>
      </c>
      <c r="AV833" s="122">
        <v>264995</v>
      </c>
    </row>
    <row r="834" spans="2:48" hidden="1">
      <c r="B834" t="s">
        <v>368</v>
      </c>
      <c r="C834" t="s">
        <v>56</v>
      </c>
      <c r="D834" t="s">
        <v>426</v>
      </c>
      <c r="E834" t="s">
        <v>137</v>
      </c>
      <c r="F834">
        <v>2</v>
      </c>
      <c r="G834" s="122">
        <v>169</v>
      </c>
      <c r="H834" s="122">
        <v>379</v>
      </c>
      <c r="I834" s="122">
        <v>12531</v>
      </c>
      <c r="J834" s="122">
        <v>11392</v>
      </c>
      <c r="K834">
        <v>60</v>
      </c>
      <c r="L834" s="122">
        <v>2051</v>
      </c>
      <c r="M834" s="122">
        <v>759</v>
      </c>
      <c r="N834" s="122">
        <v>4121</v>
      </c>
      <c r="O834" s="122">
        <v>1526</v>
      </c>
      <c r="P834" s="122">
        <v>0</v>
      </c>
      <c r="Q834" s="122">
        <v>0</v>
      </c>
      <c r="R834" s="122">
        <v>13361</v>
      </c>
      <c r="S834" s="122">
        <v>4948</v>
      </c>
      <c r="T834" s="122">
        <v>0</v>
      </c>
      <c r="U834" s="122">
        <v>0</v>
      </c>
      <c r="V834" s="122">
        <v>18626</v>
      </c>
      <c r="W834" s="122">
        <f t="shared" si="24"/>
        <v>18625</v>
      </c>
      <c r="X834" s="122">
        <f t="shared" si="25"/>
        <v>32064</v>
      </c>
      <c r="Y834" s="122"/>
      <c r="AA834" t="s">
        <v>58</v>
      </c>
      <c r="AB834" t="s">
        <v>405</v>
      </c>
      <c r="AC834" t="s">
        <v>137</v>
      </c>
      <c r="AD834" t="s">
        <v>405</v>
      </c>
      <c r="AE834" t="s">
        <v>566</v>
      </c>
      <c r="AF834">
        <v>12</v>
      </c>
      <c r="AG834" s="122">
        <v>1241</v>
      </c>
      <c r="AH834" s="122">
        <v>3148</v>
      </c>
      <c r="AI834" s="122">
        <v>197506</v>
      </c>
      <c r="AJ834" s="122">
        <v>179551</v>
      </c>
      <c r="AK834">
        <v>79</v>
      </c>
      <c r="AL834" s="122">
        <v>41792</v>
      </c>
      <c r="AM834" s="122">
        <v>15479</v>
      </c>
      <c r="AN834" s="122">
        <v>23916</v>
      </c>
      <c r="AO834" s="122">
        <v>8858</v>
      </c>
      <c r="AP834" s="122">
        <v>5076</v>
      </c>
      <c r="AQ834" s="122">
        <v>1880</v>
      </c>
      <c r="AR834" s="122">
        <v>67841</v>
      </c>
      <c r="AS834" s="122">
        <v>61674</v>
      </c>
      <c r="AT834">
        <v>0</v>
      </c>
      <c r="AU834">
        <v>0</v>
      </c>
      <c r="AV834" s="122">
        <v>267441</v>
      </c>
    </row>
    <row r="835" spans="2:48" hidden="1">
      <c r="B835" t="s">
        <v>368</v>
      </c>
      <c r="C835" t="s">
        <v>56</v>
      </c>
      <c r="D835" t="s">
        <v>426</v>
      </c>
      <c r="E835" t="s">
        <v>406</v>
      </c>
      <c r="F835">
        <v>1</v>
      </c>
      <c r="G835">
        <v>93</v>
      </c>
      <c r="H835" s="122">
        <v>218</v>
      </c>
      <c r="I835" s="122">
        <v>7975</v>
      </c>
      <c r="J835" s="122">
        <v>7250</v>
      </c>
      <c r="K835">
        <v>79</v>
      </c>
      <c r="L835" s="122">
        <v>3670</v>
      </c>
      <c r="M835" s="122">
        <v>1359</v>
      </c>
      <c r="N835" s="122">
        <v>2201</v>
      </c>
      <c r="O835" s="122">
        <v>815</v>
      </c>
      <c r="P835" s="122">
        <v>621</v>
      </c>
      <c r="Q835">
        <v>230</v>
      </c>
      <c r="R835" s="122">
        <v>5856</v>
      </c>
      <c r="S835" s="122">
        <v>5324</v>
      </c>
      <c r="T835" s="122">
        <v>0</v>
      </c>
      <c r="U835">
        <v>0</v>
      </c>
      <c r="V835" s="122">
        <v>14978</v>
      </c>
      <c r="W835" s="122">
        <f t="shared" si="24"/>
        <v>14978</v>
      </c>
      <c r="X835" s="122">
        <f t="shared" si="25"/>
        <v>20323</v>
      </c>
      <c r="Y835" s="122"/>
      <c r="AA835" t="s">
        <v>58</v>
      </c>
      <c r="AB835" t="s">
        <v>405</v>
      </c>
      <c r="AC835" t="s">
        <v>137</v>
      </c>
      <c r="AD835" t="s">
        <v>407</v>
      </c>
      <c r="AE835" t="s">
        <v>137</v>
      </c>
      <c r="AF835">
        <v>2</v>
      </c>
      <c r="AG835">
        <v>131</v>
      </c>
      <c r="AH835">
        <v>518</v>
      </c>
      <c r="AI835" s="122">
        <v>21040</v>
      </c>
      <c r="AJ835" s="122">
        <v>19127</v>
      </c>
      <c r="AK835">
        <v>79</v>
      </c>
      <c r="AL835">
        <v>0</v>
      </c>
      <c r="AM835">
        <v>0</v>
      </c>
      <c r="AN835" s="122">
        <v>3195</v>
      </c>
      <c r="AO835" s="122">
        <v>1183</v>
      </c>
      <c r="AP835">
        <v>945</v>
      </c>
      <c r="AQ835">
        <v>350</v>
      </c>
      <c r="AR835" s="122">
        <v>4929</v>
      </c>
      <c r="AS835" s="122">
        <v>4481</v>
      </c>
      <c r="AT835" s="122">
        <v>3847</v>
      </c>
      <c r="AU835" s="122">
        <v>1425</v>
      </c>
      <c r="AV835" s="122">
        <v>26566</v>
      </c>
    </row>
    <row r="836" spans="2:48" hidden="1">
      <c r="B836" t="s">
        <v>368</v>
      </c>
      <c r="C836" t="s">
        <v>56</v>
      </c>
      <c r="D836" t="s">
        <v>426</v>
      </c>
      <c r="E836" t="s">
        <v>426</v>
      </c>
      <c r="F836">
        <v>9</v>
      </c>
      <c r="G836" s="122">
        <v>840</v>
      </c>
      <c r="H836" s="122">
        <v>1874</v>
      </c>
      <c r="I836" s="122">
        <v>91502</v>
      </c>
      <c r="J836" s="122">
        <v>83183</v>
      </c>
      <c r="K836">
        <v>66</v>
      </c>
      <c r="L836" s="122">
        <v>12592</v>
      </c>
      <c r="M836" s="122">
        <v>10603</v>
      </c>
      <c r="N836" s="122">
        <v>16767</v>
      </c>
      <c r="O836" s="122">
        <v>6210</v>
      </c>
      <c r="P836" s="122">
        <v>3780</v>
      </c>
      <c r="Q836" s="122">
        <v>1400</v>
      </c>
      <c r="R836" s="122">
        <v>39692</v>
      </c>
      <c r="S836" s="122">
        <v>36083</v>
      </c>
      <c r="T836" s="122">
        <v>18929</v>
      </c>
      <c r="U836" s="122">
        <v>7011</v>
      </c>
      <c r="V836" s="122">
        <v>144490</v>
      </c>
      <c r="W836" s="122">
        <f t="shared" si="24"/>
        <v>144490</v>
      </c>
      <c r="X836" s="122">
        <f t="shared" si="25"/>
        <v>183262</v>
      </c>
      <c r="Y836" s="122"/>
      <c r="AA836" t="s">
        <v>58</v>
      </c>
      <c r="AB836" t="s">
        <v>405</v>
      </c>
      <c r="AC836" t="s">
        <v>427</v>
      </c>
      <c r="AD836" t="s">
        <v>405</v>
      </c>
      <c r="AE836" t="s">
        <v>137</v>
      </c>
      <c r="AF836">
        <v>14</v>
      </c>
      <c r="AG836" s="122">
        <v>1280</v>
      </c>
      <c r="AH836" s="122">
        <v>3640</v>
      </c>
      <c r="AI836" s="122">
        <v>163835</v>
      </c>
      <c r="AJ836" s="122">
        <v>148941</v>
      </c>
      <c r="AK836">
        <v>77</v>
      </c>
      <c r="AL836" s="122">
        <v>41195</v>
      </c>
      <c r="AM836" s="122">
        <v>37450</v>
      </c>
      <c r="AN836" s="122">
        <v>26904</v>
      </c>
      <c r="AO836" s="122">
        <v>9964</v>
      </c>
      <c r="AP836" s="122">
        <v>7520</v>
      </c>
      <c r="AQ836" s="122">
        <v>2785</v>
      </c>
      <c r="AR836" s="122">
        <v>65082</v>
      </c>
      <c r="AS836" s="122">
        <v>59165</v>
      </c>
      <c r="AT836" s="122">
        <v>31778</v>
      </c>
      <c r="AU836" s="122">
        <v>11770</v>
      </c>
      <c r="AV836" s="122">
        <v>270076</v>
      </c>
    </row>
    <row r="837" spans="2:48" hidden="1">
      <c r="B837" t="s">
        <v>368</v>
      </c>
      <c r="C837" t="s">
        <v>56</v>
      </c>
      <c r="D837" t="s">
        <v>408</v>
      </c>
      <c r="E837" t="s">
        <v>408</v>
      </c>
      <c r="F837">
        <v>2</v>
      </c>
      <c r="G837">
        <v>186</v>
      </c>
      <c r="H837" s="122">
        <v>349</v>
      </c>
      <c r="I837" s="122">
        <v>16315</v>
      </c>
      <c r="J837" s="122">
        <v>14832</v>
      </c>
      <c r="K837">
        <v>84</v>
      </c>
      <c r="L837" s="122">
        <v>1717</v>
      </c>
      <c r="M837" s="122">
        <v>636</v>
      </c>
      <c r="N837" s="122">
        <v>2465</v>
      </c>
      <c r="O837" s="122">
        <v>913</v>
      </c>
      <c r="P837" s="122">
        <v>702</v>
      </c>
      <c r="Q837">
        <v>260</v>
      </c>
      <c r="R837" s="122">
        <v>8356</v>
      </c>
      <c r="S837" s="122">
        <v>7596</v>
      </c>
      <c r="T837" s="122">
        <v>2421</v>
      </c>
      <c r="U837" s="122">
        <v>896</v>
      </c>
      <c r="V837" s="122">
        <v>25133</v>
      </c>
      <c r="W837" s="122">
        <f t="shared" si="24"/>
        <v>25133</v>
      </c>
      <c r="X837" s="122">
        <f t="shared" si="25"/>
        <v>31976</v>
      </c>
      <c r="Y837" s="122"/>
      <c r="AA837" t="s">
        <v>58</v>
      </c>
      <c r="AB837" t="s">
        <v>405</v>
      </c>
      <c r="AC837" t="s">
        <v>427</v>
      </c>
      <c r="AD837" t="s">
        <v>405</v>
      </c>
      <c r="AE837" t="s">
        <v>566</v>
      </c>
      <c r="AF837">
        <v>13</v>
      </c>
      <c r="AG837" s="122">
        <v>1183</v>
      </c>
      <c r="AH837" s="122">
        <v>3401</v>
      </c>
      <c r="AI837" s="122">
        <v>170909</v>
      </c>
      <c r="AJ837" s="122">
        <v>155372</v>
      </c>
      <c r="AK837">
        <v>81</v>
      </c>
      <c r="AL837" s="122">
        <v>43901</v>
      </c>
      <c r="AM837" s="122">
        <v>39910</v>
      </c>
      <c r="AN837" s="122">
        <v>26707</v>
      </c>
      <c r="AO837" s="122">
        <v>9891</v>
      </c>
      <c r="AP837" s="122">
        <v>6480</v>
      </c>
      <c r="AQ837" s="122">
        <v>2400</v>
      </c>
      <c r="AR837" s="122">
        <v>61651</v>
      </c>
      <c r="AS837" s="122">
        <v>56047</v>
      </c>
      <c r="AT837">
        <v>0</v>
      </c>
      <c r="AU837">
        <v>0</v>
      </c>
      <c r="AV837" s="122">
        <v>263620</v>
      </c>
    </row>
    <row r="838" spans="2:48" hidden="1">
      <c r="B838" t="s">
        <v>368</v>
      </c>
      <c r="C838" t="s">
        <v>56</v>
      </c>
      <c r="D838" t="s">
        <v>429</v>
      </c>
      <c r="E838" t="s">
        <v>429</v>
      </c>
      <c r="F838">
        <v>1</v>
      </c>
      <c r="G838" s="122">
        <v>91</v>
      </c>
      <c r="H838" s="122">
        <v>159</v>
      </c>
      <c r="I838" s="122">
        <v>5110</v>
      </c>
      <c r="J838" s="122">
        <v>4646</v>
      </c>
      <c r="K838">
        <v>86</v>
      </c>
      <c r="L838" s="122">
        <v>888</v>
      </c>
      <c r="M838" s="122">
        <v>740</v>
      </c>
      <c r="N838" s="122">
        <v>1522</v>
      </c>
      <c r="O838" s="122">
        <v>564</v>
      </c>
      <c r="P838" s="122">
        <v>351</v>
      </c>
      <c r="Q838" s="122">
        <v>130</v>
      </c>
      <c r="R838" s="122">
        <v>6533</v>
      </c>
      <c r="S838" s="122">
        <v>5939</v>
      </c>
      <c r="T838" s="122">
        <v>0</v>
      </c>
      <c r="U838" s="122">
        <v>0</v>
      </c>
      <c r="V838" s="122">
        <v>12019</v>
      </c>
      <c r="W838" s="122">
        <f t="shared" si="24"/>
        <v>12019</v>
      </c>
      <c r="X838" s="122">
        <f t="shared" si="25"/>
        <v>14404</v>
      </c>
      <c r="Y838" s="122"/>
      <c r="AA838" t="s">
        <v>58</v>
      </c>
      <c r="AB838" t="s">
        <v>405</v>
      </c>
      <c r="AC838" t="s">
        <v>579</v>
      </c>
      <c r="AD838" t="s">
        <v>405</v>
      </c>
      <c r="AE838" t="s">
        <v>137</v>
      </c>
      <c r="AF838">
        <v>37</v>
      </c>
      <c r="AG838" s="122">
        <v>3601</v>
      </c>
      <c r="AH838" s="122">
        <v>9556</v>
      </c>
      <c r="AI838" s="122">
        <v>476508</v>
      </c>
      <c r="AJ838" s="122">
        <v>433189</v>
      </c>
      <c r="AK838">
        <v>79</v>
      </c>
      <c r="AL838" s="122">
        <v>125662</v>
      </c>
      <c r="AM838" s="122">
        <v>104719</v>
      </c>
      <c r="AN838" s="122">
        <v>75275</v>
      </c>
      <c r="AO838" s="122">
        <v>27880</v>
      </c>
      <c r="AP838" s="122">
        <v>17982</v>
      </c>
      <c r="AQ838" s="122">
        <v>6660</v>
      </c>
      <c r="AR838" s="122">
        <v>154799</v>
      </c>
      <c r="AS838" s="122">
        <v>140726</v>
      </c>
      <c r="AT838" s="122">
        <v>90057</v>
      </c>
      <c r="AU838" s="122">
        <v>33354</v>
      </c>
      <c r="AV838" s="122">
        <v>746528</v>
      </c>
    </row>
    <row r="839" spans="2:48" hidden="1">
      <c r="B839" t="s">
        <v>368</v>
      </c>
      <c r="C839" t="s">
        <v>58</v>
      </c>
      <c r="F839" s="122">
        <v>7</v>
      </c>
      <c r="G839" s="122">
        <v>625</v>
      </c>
      <c r="H839" s="122">
        <v>1719</v>
      </c>
      <c r="I839" s="122"/>
      <c r="J839" s="122">
        <v>0</v>
      </c>
      <c r="L839" s="122"/>
      <c r="M839" s="122">
        <v>0</v>
      </c>
      <c r="N839" s="122">
        <v>12342</v>
      </c>
      <c r="O839" s="122">
        <v>4571</v>
      </c>
      <c r="P839" s="122">
        <v>2484</v>
      </c>
      <c r="Q839" s="122">
        <v>920</v>
      </c>
      <c r="R839" s="122"/>
      <c r="S839" s="122">
        <v>0</v>
      </c>
      <c r="T839" s="122">
        <v>4423</v>
      </c>
      <c r="U839" s="122">
        <v>1638</v>
      </c>
      <c r="V839" s="122">
        <v>7130</v>
      </c>
      <c r="W839" s="122">
        <f t="shared" ref="W839:W902" si="26">SUM(ABS(J839),ABS(M839),ABS(O839),ABS(Q839),ABS(S839),ABS(U839))</f>
        <v>7129</v>
      </c>
      <c r="X839" s="122">
        <f t="shared" ref="X839:X902" si="27">SUM(ABS(I839),ABS(N839),ABS(P839),ABS(R839),ABS(T839),ABS(L839))</f>
        <v>19249</v>
      </c>
      <c r="Y839" s="122"/>
      <c r="AA839" t="s">
        <v>58</v>
      </c>
      <c r="AB839" t="s">
        <v>405</v>
      </c>
      <c r="AC839" t="s">
        <v>579</v>
      </c>
      <c r="AD839" t="s">
        <v>405</v>
      </c>
      <c r="AE839" t="s">
        <v>566</v>
      </c>
      <c r="AF839">
        <v>26</v>
      </c>
      <c r="AG839" s="122">
        <v>3184</v>
      </c>
      <c r="AH839" s="122">
        <v>6507</v>
      </c>
      <c r="AI839" s="122">
        <v>461339</v>
      </c>
      <c r="AJ839" s="122">
        <v>419399</v>
      </c>
      <c r="AK839">
        <v>82</v>
      </c>
      <c r="AL839" s="122">
        <v>120472</v>
      </c>
      <c r="AM839" s="122">
        <v>100394</v>
      </c>
      <c r="AN839" s="122">
        <v>66739</v>
      </c>
      <c r="AO839" s="122">
        <v>24718</v>
      </c>
      <c r="AP839" s="122">
        <v>13797</v>
      </c>
      <c r="AQ839" s="122">
        <v>5110</v>
      </c>
      <c r="AR839" s="122">
        <v>144329</v>
      </c>
      <c r="AS839" s="122">
        <v>131208</v>
      </c>
      <c r="AT839">
        <v>0</v>
      </c>
      <c r="AU839">
        <v>0</v>
      </c>
      <c r="AV839" s="122">
        <v>680829</v>
      </c>
    </row>
    <row r="840" spans="2:48" hidden="1">
      <c r="B840" t="s">
        <v>368</v>
      </c>
      <c r="C840" t="s">
        <v>58</v>
      </c>
      <c r="D840" t="s">
        <v>425</v>
      </c>
      <c r="E840" t="s">
        <v>425</v>
      </c>
      <c r="F840">
        <v>8</v>
      </c>
      <c r="G840" s="122">
        <v>861</v>
      </c>
      <c r="H840" s="122">
        <v>2175</v>
      </c>
      <c r="I840" s="122">
        <v>146775</v>
      </c>
      <c r="J840" s="122">
        <v>133431</v>
      </c>
      <c r="K840">
        <v>79</v>
      </c>
      <c r="L840" s="122">
        <v>36594</v>
      </c>
      <c r="M840" s="122">
        <v>32059</v>
      </c>
      <c r="N840" s="122">
        <v>19219</v>
      </c>
      <c r="O840" s="122">
        <v>7118</v>
      </c>
      <c r="P840" s="122">
        <v>3780</v>
      </c>
      <c r="Q840" s="122">
        <v>1400</v>
      </c>
      <c r="R840" s="122">
        <v>38946</v>
      </c>
      <c r="S840" s="122">
        <v>35406</v>
      </c>
      <c r="T840" s="122">
        <v>7369</v>
      </c>
      <c r="U840" s="122">
        <v>2729</v>
      </c>
      <c r="V840" s="122">
        <v>212144</v>
      </c>
      <c r="W840" s="122">
        <f t="shared" si="26"/>
        <v>212143</v>
      </c>
      <c r="X840" s="122">
        <f t="shared" si="27"/>
        <v>252683</v>
      </c>
      <c r="Y840" s="122"/>
      <c r="AA840" t="s">
        <v>58</v>
      </c>
      <c r="AB840" t="s">
        <v>405</v>
      </c>
      <c r="AC840" t="s">
        <v>579</v>
      </c>
      <c r="AD840" t="s">
        <v>407</v>
      </c>
      <c r="AE840" t="s">
        <v>566</v>
      </c>
      <c r="AF840">
        <v>1</v>
      </c>
      <c r="AG840">
        <v>66</v>
      </c>
      <c r="AH840">
        <v>293</v>
      </c>
      <c r="AI840" s="122">
        <v>9783</v>
      </c>
      <c r="AJ840" s="122">
        <v>8894</v>
      </c>
      <c r="AK840">
        <v>80</v>
      </c>
      <c r="AL840" s="122">
        <v>2988</v>
      </c>
      <c r="AM840" s="122">
        <v>2490</v>
      </c>
      <c r="AN840">
        <v>901</v>
      </c>
      <c r="AO840">
        <v>334</v>
      </c>
      <c r="AP840">
        <v>473</v>
      </c>
      <c r="AQ840">
        <v>175</v>
      </c>
      <c r="AR840" s="122">
        <v>5217</v>
      </c>
      <c r="AS840" s="122">
        <v>4742</v>
      </c>
      <c r="AT840">
        <v>0</v>
      </c>
      <c r="AU840">
        <v>0</v>
      </c>
      <c r="AV840" s="122">
        <v>16635</v>
      </c>
    </row>
    <row r="841" spans="2:48" hidden="1">
      <c r="B841" t="s">
        <v>368</v>
      </c>
      <c r="C841" t="s">
        <v>58</v>
      </c>
      <c r="D841" t="s">
        <v>425</v>
      </c>
      <c r="E841" t="s">
        <v>406</v>
      </c>
      <c r="F841">
        <v>1</v>
      </c>
      <c r="G841" s="122">
        <v>78</v>
      </c>
      <c r="H841" s="122">
        <v>286</v>
      </c>
      <c r="I841" s="122">
        <v>9617</v>
      </c>
      <c r="J841" s="122">
        <v>8742</v>
      </c>
      <c r="K841">
        <v>79</v>
      </c>
      <c r="L841" s="122">
        <v>2671</v>
      </c>
      <c r="M841" s="122">
        <v>2428</v>
      </c>
      <c r="N841" s="122">
        <v>1907</v>
      </c>
      <c r="O841" s="122">
        <v>706</v>
      </c>
      <c r="P841" s="122">
        <v>972</v>
      </c>
      <c r="Q841" s="122">
        <v>360</v>
      </c>
      <c r="R841" s="122">
        <v>4345</v>
      </c>
      <c r="S841" s="122">
        <v>3950</v>
      </c>
      <c r="T841" s="122">
        <v>2855</v>
      </c>
      <c r="U841" s="122">
        <v>1057</v>
      </c>
      <c r="V841" s="122">
        <v>17245</v>
      </c>
      <c r="W841" s="122">
        <f t="shared" si="26"/>
        <v>17243</v>
      </c>
      <c r="X841" s="122">
        <f t="shared" si="27"/>
        <v>22367</v>
      </c>
      <c r="Y841" s="122"/>
      <c r="AA841" t="s">
        <v>58</v>
      </c>
      <c r="AB841" t="s">
        <v>405</v>
      </c>
      <c r="AC841" t="s">
        <v>428</v>
      </c>
      <c r="AD841" t="s">
        <v>405</v>
      </c>
      <c r="AE841" t="s">
        <v>137</v>
      </c>
      <c r="AF841">
        <v>3</v>
      </c>
      <c r="AG841">
        <v>360</v>
      </c>
      <c r="AH841">
        <v>728</v>
      </c>
      <c r="AI841" s="122">
        <v>45347</v>
      </c>
      <c r="AJ841" s="122">
        <v>41225</v>
      </c>
      <c r="AK841">
        <v>74</v>
      </c>
      <c r="AL841" s="122">
        <v>9917</v>
      </c>
      <c r="AM841" s="122">
        <v>9016</v>
      </c>
      <c r="AN841" s="122">
        <v>7877</v>
      </c>
      <c r="AO841" s="122">
        <v>2918</v>
      </c>
      <c r="AP841" s="122">
        <v>1418</v>
      </c>
      <c r="AQ841">
        <v>525</v>
      </c>
      <c r="AR841" s="122">
        <v>13996</v>
      </c>
      <c r="AS841" s="122">
        <v>12724</v>
      </c>
      <c r="AT841" s="122">
        <v>8604</v>
      </c>
      <c r="AU841" s="122">
        <v>3187</v>
      </c>
      <c r="AV841" s="122">
        <v>69594</v>
      </c>
    </row>
    <row r="842" spans="2:48" hidden="1">
      <c r="B842" t="s">
        <v>368</v>
      </c>
      <c r="C842" t="s">
        <v>58</v>
      </c>
      <c r="D842" t="s">
        <v>425</v>
      </c>
      <c r="E842" t="s">
        <v>407</v>
      </c>
      <c r="F842">
        <v>1</v>
      </c>
      <c r="G842" s="122">
        <v>51</v>
      </c>
      <c r="H842" s="122">
        <v>265</v>
      </c>
      <c r="I842" s="122">
        <v>8962</v>
      </c>
      <c r="J842" s="122">
        <v>8147</v>
      </c>
      <c r="K842">
        <v>92</v>
      </c>
      <c r="L842" s="122">
        <v>1447</v>
      </c>
      <c r="M842" s="122">
        <v>1316</v>
      </c>
      <c r="N842" s="122">
        <v>1081</v>
      </c>
      <c r="O842" s="122">
        <v>400</v>
      </c>
      <c r="P842" s="122">
        <v>351</v>
      </c>
      <c r="Q842" s="122">
        <v>130</v>
      </c>
      <c r="R842" s="122">
        <v>1775</v>
      </c>
      <c r="S842" s="122">
        <v>1614</v>
      </c>
      <c r="T842" s="122">
        <v>0</v>
      </c>
      <c r="U842" s="122">
        <v>0</v>
      </c>
      <c r="V842" s="122">
        <v>11607</v>
      </c>
      <c r="W842" s="122">
        <f t="shared" si="26"/>
        <v>11607</v>
      </c>
      <c r="X842" s="122">
        <f t="shared" si="27"/>
        <v>13616</v>
      </c>
      <c r="Y842" s="122"/>
      <c r="AA842" t="s">
        <v>58</v>
      </c>
      <c r="AB842" t="s">
        <v>405</v>
      </c>
      <c r="AC842" t="s">
        <v>428</v>
      </c>
      <c r="AD842" t="s">
        <v>405</v>
      </c>
      <c r="AE842" t="s">
        <v>566</v>
      </c>
      <c r="AF842">
        <v>4</v>
      </c>
      <c r="AG842">
        <v>621</v>
      </c>
      <c r="AH842" s="122">
        <v>1060</v>
      </c>
      <c r="AI842" s="122">
        <v>109495</v>
      </c>
      <c r="AJ842" s="122">
        <v>99541</v>
      </c>
      <c r="AK842">
        <v>79</v>
      </c>
      <c r="AL842" s="122">
        <v>20498</v>
      </c>
      <c r="AM842" s="122">
        <v>18635</v>
      </c>
      <c r="AN842" s="122">
        <v>11910</v>
      </c>
      <c r="AO842" s="122">
        <v>4411</v>
      </c>
      <c r="AP842" s="122">
        <v>1769</v>
      </c>
      <c r="AQ842">
        <v>655</v>
      </c>
      <c r="AR842" s="122">
        <v>22640</v>
      </c>
      <c r="AS842" s="122">
        <v>20582</v>
      </c>
      <c r="AT842">
        <v>0</v>
      </c>
      <c r="AU842">
        <v>0</v>
      </c>
      <c r="AV842" s="122">
        <v>143823</v>
      </c>
    </row>
    <row r="843" spans="2:48" hidden="1">
      <c r="B843" t="s">
        <v>368</v>
      </c>
      <c r="C843" t="s">
        <v>58</v>
      </c>
      <c r="D843" t="s">
        <v>405</v>
      </c>
      <c r="E843" t="s">
        <v>405</v>
      </c>
      <c r="F843">
        <v>31</v>
      </c>
      <c r="G843" s="122">
        <v>3229</v>
      </c>
      <c r="H843" s="122">
        <v>7820</v>
      </c>
      <c r="I843" s="122">
        <v>472605</v>
      </c>
      <c r="J843" s="122">
        <v>429641</v>
      </c>
      <c r="K843">
        <v>77</v>
      </c>
      <c r="L843" s="122">
        <v>105117</v>
      </c>
      <c r="M843" s="122">
        <v>92830</v>
      </c>
      <c r="N843" s="122">
        <v>67664</v>
      </c>
      <c r="O843" s="122">
        <v>25061</v>
      </c>
      <c r="P843" s="122">
        <v>14985</v>
      </c>
      <c r="Q843" s="122">
        <v>5550</v>
      </c>
      <c r="R843" s="122">
        <v>163852</v>
      </c>
      <c r="S843" s="122">
        <v>148956</v>
      </c>
      <c r="T843" s="122">
        <v>25667</v>
      </c>
      <c r="U843" s="122">
        <v>9506</v>
      </c>
      <c r="V843" s="122">
        <v>711544</v>
      </c>
      <c r="W843" s="122">
        <f t="shared" si="26"/>
        <v>711544</v>
      </c>
      <c r="X843" s="122">
        <f t="shared" si="27"/>
        <v>849890</v>
      </c>
      <c r="Y843" s="122"/>
      <c r="AA843" t="s">
        <v>58</v>
      </c>
      <c r="AB843" t="s">
        <v>405</v>
      </c>
      <c r="AC843" t="s">
        <v>431</v>
      </c>
      <c r="AD843" t="s">
        <v>405</v>
      </c>
      <c r="AE843" t="s">
        <v>137</v>
      </c>
      <c r="AF843">
        <v>1</v>
      </c>
      <c r="AG843">
        <v>124</v>
      </c>
      <c r="AH843">
        <v>237</v>
      </c>
      <c r="AI843" s="122">
        <v>15600</v>
      </c>
      <c r="AJ843" s="122">
        <v>14182</v>
      </c>
      <c r="AK843">
        <v>81</v>
      </c>
      <c r="AL843" s="122">
        <v>4455</v>
      </c>
      <c r="AM843" s="122">
        <v>4050</v>
      </c>
      <c r="AN843" s="122">
        <v>2727</v>
      </c>
      <c r="AO843" s="122">
        <v>1010</v>
      </c>
      <c r="AP843">
        <v>473</v>
      </c>
      <c r="AQ843">
        <v>175</v>
      </c>
      <c r="AR843" s="122">
        <v>6091</v>
      </c>
      <c r="AS843" s="122">
        <v>5537</v>
      </c>
      <c r="AT843">
        <v>0</v>
      </c>
      <c r="AU843">
        <v>0</v>
      </c>
      <c r="AV843" s="122">
        <v>24954</v>
      </c>
    </row>
    <row r="844" spans="2:48" hidden="1">
      <c r="B844" t="s">
        <v>368</v>
      </c>
      <c r="C844" t="s">
        <v>58</v>
      </c>
      <c r="D844" t="s">
        <v>137</v>
      </c>
      <c r="E844" t="s">
        <v>405</v>
      </c>
      <c r="F844">
        <v>1</v>
      </c>
      <c r="G844">
        <v>152</v>
      </c>
      <c r="H844" s="122">
        <v>298</v>
      </c>
      <c r="I844" s="122">
        <v>31270</v>
      </c>
      <c r="J844" s="122">
        <v>11581</v>
      </c>
      <c r="K844">
        <v>100</v>
      </c>
      <c r="L844" s="122">
        <v>5518</v>
      </c>
      <c r="M844" s="122">
        <v>2044</v>
      </c>
      <c r="N844" s="122">
        <v>2724</v>
      </c>
      <c r="O844" s="122">
        <v>1009</v>
      </c>
      <c r="P844">
        <v>0</v>
      </c>
      <c r="Q844">
        <v>0</v>
      </c>
      <c r="R844" s="122">
        <v>5779</v>
      </c>
      <c r="S844" s="122">
        <v>5253</v>
      </c>
      <c r="T844" s="122">
        <v>0</v>
      </c>
      <c r="U844" s="122">
        <v>0</v>
      </c>
      <c r="V844" s="122">
        <v>19887</v>
      </c>
      <c r="W844" s="122">
        <f t="shared" si="26"/>
        <v>19887</v>
      </c>
      <c r="X844" s="122">
        <f t="shared" si="27"/>
        <v>45291</v>
      </c>
      <c r="Y844" s="122"/>
      <c r="AA844" t="s">
        <v>58</v>
      </c>
      <c r="AB844" t="s">
        <v>405</v>
      </c>
      <c r="AC844" t="s">
        <v>426</v>
      </c>
      <c r="AD844" t="s">
        <v>578</v>
      </c>
      <c r="AE844" t="s">
        <v>137</v>
      </c>
      <c r="AF844">
        <v>1</v>
      </c>
      <c r="AG844">
        <v>122</v>
      </c>
      <c r="AH844">
        <v>249</v>
      </c>
      <c r="AI844" s="122">
        <v>14466</v>
      </c>
      <c r="AJ844" s="122">
        <v>13151</v>
      </c>
      <c r="AK844">
        <v>78</v>
      </c>
      <c r="AL844" s="122">
        <v>6305</v>
      </c>
      <c r="AM844" s="122">
        <v>5732</v>
      </c>
      <c r="AN844" s="122">
        <v>2563</v>
      </c>
      <c r="AO844">
        <v>949</v>
      </c>
      <c r="AP844">
        <v>473</v>
      </c>
      <c r="AQ844">
        <v>175</v>
      </c>
      <c r="AR844" s="122">
        <v>3773</v>
      </c>
      <c r="AS844" s="122">
        <v>3430</v>
      </c>
      <c r="AT844" s="122">
        <v>2836</v>
      </c>
      <c r="AU844" s="122">
        <v>1050</v>
      </c>
      <c r="AV844" s="122">
        <v>24487</v>
      </c>
    </row>
    <row r="845" spans="2:48" hidden="1">
      <c r="B845" t="s">
        <v>368</v>
      </c>
      <c r="C845" t="s">
        <v>58</v>
      </c>
      <c r="D845" t="s">
        <v>137</v>
      </c>
      <c r="E845" t="s">
        <v>137</v>
      </c>
      <c r="F845">
        <v>743</v>
      </c>
      <c r="G845" s="122">
        <v>67704</v>
      </c>
      <c r="H845" s="122">
        <v>200019</v>
      </c>
      <c r="I845" s="122">
        <v>10107900</v>
      </c>
      <c r="J845" s="122">
        <v>3743667</v>
      </c>
      <c r="K845">
        <v>100</v>
      </c>
      <c r="L845" s="122">
        <v>1613990</v>
      </c>
      <c r="M845" s="122">
        <v>866612</v>
      </c>
      <c r="N845" s="122">
        <v>1352036</v>
      </c>
      <c r="O845" s="122">
        <v>500754</v>
      </c>
      <c r="P845" s="122">
        <v>5455</v>
      </c>
      <c r="Q845" s="122">
        <v>2020</v>
      </c>
      <c r="R845" s="122">
        <v>5249715</v>
      </c>
      <c r="S845" s="122">
        <v>1944339</v>
      </c>
      <c r="T845" s="122">
        <v>4934</v>
      </c>
      <c r="U845" s="122">
        <v>1827</v>
      </c>
      <c r="V845" s="122">
        <v>7059220</v>
      </c>
      <c r="W845" s="122">
        <f t="shared" si="26"/>
        <v>7059219</v>
      </c>
      <c r="X845" s="122">
        <f t="shared" si="27"/>
        <v>18334030</v>
      </c>
      <c r="Y845" s="122"/>
      <c r="AA845" t="s">
        <v>58</v>
      </c>
      <c r="AB845" t="s">
        <v>405</v>
      </c>
      <c r="AC845" t="s">
        <v>426</v>
      </c>
      <c r="AD845" t="s">
        <v>425</v>
      </c>
      <c r="AE845" t="s">
        <v>566</v>
      </c>
      <c r="AF845">
        <v>1</v>
      </c>
      <c r="AG845">
        <v>131</v>
      </c>
      <c r="AH845">
        <v>262</v>
      </c>
      <c r="AI845" s="122">
        <v>19612</v>
      </c>
      <c r="AJ845" s="122">
        <v>17829</v>
      </c>
      <c r="AK845">
        <v>90</v>
      </c>
      <c r="AL845" s="122">
        <v>6545</v>
      </c>
      <c r="AM845" s="122">
        <v>5950</v>
      </c>
      <c r="AN845" s="122">
        <v>3204</v>
      </c>
      <c r="AO845" s="122">
        <v>1187</v>
      </c>
      <c r="AP845">
        <v>473</v>
      </c>
      <c r="AQ845">
        <v>175</v>
      </c>
      <c r="AR845" s="122">
        <v>4596</v>
      </c>
      <c r="AS845" s="122">
        <v>4179</v>
      </c>
      <c r="AT845">
        <v>0</v>
      </c>
      <c r="AU845">
        <v>0</v>
      </c>
      <c r="AV845" s="122">
        <v>29319</v>
      </c>
    </row>
    <row r="846" spans="2:48" hidden="1">
      <c r="B846" t="s">
        <v>368</v>
      </c>
      <c r="C846" t="s">
        <v>58</v>
      </c>
      <c r="D846" t="s">
        <v>137</v>
      </c>
      <c r="E846" t="s">
        <v>406</v>
      </c>
      <c r="F846">
        <v>2</v>
      </c>
      <c r="G846" s="122">
        <v>190</v>
      </c>
      <c r="H846">
        <v>520</v>
      </c>
      <c r="I846" s="122">
        <v>30422</v>
      </c>
      <c r="J846" s="122">
        <v>11267</v>
      </c>
      <c r="K846">
        <v>100</v>
      </c>
      <c r="L846" s="122">
        <v>2969</v>
      </c>
      <c r="M846" s="122">
        <v>2699</v>
      </c>
      <c r="N846" s="122">
        <v>3510</v>
      </c>
      <c r="O846" s="122">
        <v>1300</v>
      </c>
      <c r="P846" s="122">
        <v>621</v>
      </c>
      <c r="Q846" s="122">
        <v>230</v>
      </c>
      <c r="R846" s="122">
        <v>9211</v>
      </c>
      <c r="S846" s="122">
        <v>8373</v>
      </c>
      <c r="T846" s="122">
        <v>2368</v>
      </c>
      <c r="U846">
        <v>877</v>
      </c>
      <c r="V846" s="122">
        <v>24747</v>
      </c>
      <c r="W846" s="122">
        <f t="shared" si="26"/>
        <v>24746</v>
      </c>
      <c r="X846" s="122">
        <f t="shared" si="27"/>
        <v>49101</v>
      </c>
      <c r="Y846" s="122"/>
      <c r="AA846" t="s">
        <v>58</v>
      </c>
      <c r="AB846" t="s">
        <v>405</v>
      </c>
      <c r="AC846" t="s">
        <v>426</v>
      </c>
      <c r="AD846" t="s">
        <v>405</v>
      </c>
      <c r="AE846" t="s">
        <v>137</v>
      </c>
      <c r="AF846">
        <v>76</v>
      </c>
      <c r="AG846" s="122">
        <v>7398</v>
      </c>
      <c r="AH846" s="122">
        <v>19807</v>
      </c>
      <c r="AI846" s="122">
        <v>1024979</v>
      </c>
      <c r="AJ846" s="122">
        <v>931799</v>
      </c>
      <c r="AK846">
        <v>76</v>
      </c>
      <c r="AL846" s="122">
        <v>229162</v>
      </c>
      <c r="AM846" s="122">
        <v>208329</v>
      </c>
      <c r="AN846" s="122">
        <v>152411</v>
      </c>
      <c r="AO846" s="122">
        <v>56448</v>
      </c>
      <c r="AP846" s="122">
        <v>36180</v>
      </c>
      <c r="AQ846" s="122">
        <v>13400</v>
      </c>
      <c r="AR846" s="122">
        <v>344281</v>
      </c>
      <c r="AS846" s="122">
        <v>312982</v>
      </c>
      <c r="AT846" s="122">
        <v>168832</v>
      </c>
      <c r="AU846" s="122">
        <v>62530</v>
      </c>
      <c r="AV846" s="122">
        <v>1585489</v>
      </c>
    </row>
    <row r="847" spans="2:48" hidden="1">
      <c r="B847" t="s">
        <v>368</v>
      </c>
      <c r="C847" t="s">
        <v>58</v>
      </c>
      <c r="D847" t="s">
        <v>137</v>
      </c>
      <c r="E847" t="s">
        <v>427</v>
      </c>
      <c r="F847">
        <v>1</v>
      </c>
      <c r="G847" s="122">
        <v>81</v>
      </c>
      <c r="H847" s="122">
        <v>294</v>
      </c>
      <c r="I847" s="122">
        <v>11110</v>
      </c>
      <c r="J847" s="122">
        <v>4115</v>
      </c>
      <c r="K847">
        <v>100</v>
      </c>
      <c r="L847" s="122">
        <v>1886</v>
      </c>
      <c r="M847" s="122">
        <v>1714</v>
      </c>
      <c r="N847" s="122">
        <v>1984</v>
      </c>
      <c r="O847" s="122">
        <v>735</v>
      </c>
      <c r="P847" s="122">
        <v>0</v>
      </c>
      <c r="Q847" s="122">
        <v>0</v>
      </c>
      <c r="R847" s="122">
        <v>6506</v>
      </c>
      <c r="S847" s="122">
        <v>5915</v>
      </c>
      <c r="T847" s="122">
        <v>2453</v>
      </c>
      <c r="U847">
        <v>908</v>
      </c>
      <c r="V847" s="122">
        <v>13387</v>
      </c>
      <c r="W847" s="122">
        <f t="shared" si="26"/>
        <v>13387</v>
      </c>
      <c r="X847" s="122">
        <f t="shared" si="27"/>
        <v>23939</v>
      </c>
      <c r="Y847" s="122"/>
      <c r="AA847" t="s">
        <v>58</v>
      </c>
      <c r="AB847" t="s">
        <v>405</v>
      </c>
      <c r="AC847" t="s">
        <v>426</v>
      </c>
      <c r="AD847" t="s">
        <v>405</v>
      </c>
      <c r="AE847" t="s">
        <v>566</v>
      </c>
      <c r="AF847">
        <v>59</v>
      </c>
      <c r="AG847" s="122">
        <v>6136</v>
      </c>
      <c r="AH847" s="122">
        <v>15101</v>
      </c>
      <c r="AI847" s="122">
        <v>926323</v>
      </c>
      <c r="AJ847" s="122">
        <v>842112</v>
      </c>
      <c r="AK847">
        <v>78</v>
      </c>
      <c r="AL847" s="122">
        <v>213845</v>
      </c>
      <c r="AM847" s="122">
        <v>194405</v>
      </c>
      <c r="AN847" s="122">
        <v>132494</v>
      </c>
      <c r="AO847" s="122">
        <v>49072</v>
      </c>
      <c r="AP847" s="122">
        <v>28040</v>
      </c>
      <c r="AQ847" s="122">
        <v>10385</v>
      </c>
      <c r="AR847" s="122">
        <v>325430</v>
      </c>
      <c r="AS847" s="122">
        <v>295846</v>
      </c>
      <c r="AT847">
        <v>0</v>
      </c>
      <c r="AU847">
        <v>0</v>
      </c>
      <c r="AV847" s="122">
        <v>1391819</v>
      </c>
    </row>
    <row r="848" spans="2:48" hidden="1">
      <c r="B848" t="s">
        <v>368</v>
      </c>
      <c r="C848" t="s">
        <v>58</v>
      </c>
      <c r="D848" t="s">
        <v>137</v>
      </c>
      <c r="E848" t="s">
        <v>556</v>
      </c>
      <c r="F848">
        <v>2</v>
      </c>
      <c r="G848">
        <v>173</v>
      </c>
      <c r="H848">
        <v>536</v>
      </c>
      <c r="I848" s="122">
        <v>17613</v>
      </c>
      <c r="J848" s="122">
        <v>6523</v>
      </c>
      <c r="K848">
        <v>100</v>
      </c>
      <c r="L848" s="122">
        <v>4664</v>
      </c>
      <c r="M848" s="122">
        <v>3887</v>
      </c>
      <c r="N848" s="122">
        <v>2875</v>
      </c>
      <c r="O848" s="122">
        <v>1065</v>
      </c>
      <c r="P848">
        <v>0</v>
      </c>
      <c r="Q848">
        <v>0</v>
      </c>
      <c r="R848" s="122">
        <v>15054</v>
      </c>
      <c r="S848" s="122">
        <v>12545</v>
      </c>
      <c r="T848" s="122">
        <v>6017</v>
      </c>
      <c r="U848" s="122">
        <v>2228</v>
      </c>
      <c r="V848" s="122">
        <v>26248</v>
      </c>
      <c r="W848" s="122">
        <f t="shared" si="26"/>
        <v>26248</v>
      </c>
      <c r="X848" s="122">
        <f t="shared" si="27"/>
        <v>46223</v>
      </c>
      <c r="Y848" s="122"/>
      <c r="AA848" t="s">
        <v>58</v>
      </c>
      <c r="AB848" t="s">
        <v>405</v>
      </c>
      <c r="AC848" t="s">
        <v>426</v>
      </c>
      <c r="AD848" t="s">
        <v>137</v>
      </c>
      <c r="AE848" t="s">
        <v>566</v>
      </c>
      <c r="AF848">
        <v>1</v>
      </c>
      <c r="AG848">
        <v>97</v>
      </c>
      <c r="AH848">
        <v>269</v>
      </c>
      <c r="AI848" s="122">
        <v>13559</v>
      </c>
      <c r="AJ848" s="122">
        <v>12326</v>
      </c>
      <c r="AK848">
        <v>80</v>
      </c>
      <c r="AL848" s="122">
        <v>1916</v>
      </c>
      <c r="AM848" s="122">
        <v>1742</v>
      </c>
      <c r="AN848" s="122">
        <v>1545</v>
      </c>
      <c r="AO848">
        <v>572</v>
      </c>
      <c r="AP848">
        <v>473</v>
      </c>
      <c r="AQ848">
        <v>175</v>
      </c>
      <c r="AR848" s="122">
        <v>8598</v>
      </c>
      <c r="AS848" s="122">
        <v>3184</v>
      </c>
      <c r="AT848">
        <v>0</v>
      </c>
      <c r="AU848">
        <v>0</v>
      </c>
      <c r="AV848" s="122">
        <v>18000</v>
      </c>
    </row>
    <row r="849" spans="2:48" hidden="1">
      <c r="B849" t="s">
        <v>368</v>
      </c>
      <c r="C849" t="s">
        <v>58</v>
      </c>
      <c r="D849" t="s">
        <v>137</v>
      </c>
      <c r="E849" t="s">
        <v>431</v>
      </c>
      <c r="F849">
        <v>1</v>
      </c>
      <c r="G849" s="122">
        <v>99</v>
      </c>
      <c r="H849" s="122">
        <v>276</v>
      </c>
      <c r="I849" s="122">
        <v>13753</v>
      </c>
      <c r="J849" s="122">
        <v>5094</v>
      </c>
      <c r="K849">
        <v>100</v>
      </c>
      <c r="L849" s="122">
        <v>1384</v>
      </c>
      <c r="M849" s="122">
        <v>1258</v>
      </c>
      <c r="N849" s="122">
        <v>2304</v>
      </c>
      <c r="O849" s="122">
        <v>853</v>
      </c>
      <c r="P849" s="122">
        <v>0</v>
      </c>
      <c r="Q849" s="122">
        <v>0</v>
      </c>
      <c r="R849" s="122">
        <v>7092</v>
      </c>
      <c r="S849" s="122">
        <v>6447</v>
      </c>
      <c r="T849" s="122">
        <v>2771</v>
      </c>
      <c r="U849" s="122">
        <v>1026</v>
      </c>
      <c r="V849" s="122">
        <v>14678</v>
      </c>
      <c r="W849" s="122">
        <f t="shared" si="26"/>
        <v>14678</v>
      </c>
      <c r="X849" s="122">
        <f t="shared" si="27"/>
        <v>27304</v>
      </c>
      <c r="Y849" s="122"/>
      <c r="AA849" t="s">
        <v>58</v>
      </c>
      <c r="AB849" t="s">
        <v>405</v>
      </c>
      <c r="AC849" t="s">
        <v>426</v>
      </c>
      <c r="AD849" t="s">
        <v>407</v>
      </c>
      <c r="AE849" t="s">
        <v>137</v>
      </c>
      <c r="AF849">
        <v>2</v>
      </c>
      <c r="AG849">
        <v>134</v>
      </c>
      <c r="AH849">
        <v>471</v>
      </c>
      <c r="AI849" s="122">
        <v>20411</v>
      </c>
      <c r="AJ849" s="122">
        <v>18555</v>
      </c>
      <c r="AK849">
        <v>79</v>
      </c>
      <c r="AL849" s="122">
        <v>5669</v>
      </c>
      <c r="AM849" s="122">
        <v>5154</v>
      </c>
      <c r="AN849" s="122">
        <v>4537</v>
      </c>
      <c r="AO849" s="122">
        <v>1680</v>
      </c>
      <c r="AP849">
        <v>945</v>
      </c>
      <c r="AQ849">
        <v>350</v>
      </c>
      <c r="AR849" s="122">
        <v>8311</v>
      </c>
      <c r="AS849" s="122">
        <v>7555</v>
      </c>
      <c r="AT849" s="122">
        <v>5359</v>
      </c>
      <c r="AU849" s="122">
        <v>1985</v>
      </c>
      <c r="AV849" s="122">
        <v>35279</v>
      </c>
    </row>
    <row r="850" spans="2:48" hidden="1">
      <c r="B850" t="s">
        <v>368</v>
      </c>
      <c r="C850" t="s">
        <v>58</v>
      </c>
      <c r="D850" t="s">
        <v>137</v>
      </c>
      <c r="E850" t="s">
        <v>426</v>
      </c>
      <c r="F850">
        <v>7</v>
      </c>
      <c r="G850" s="122">
        <v>595</v>
      </c>
      <c r="H850" s="122">
        <v>1943</v>
      </c>
      <c r="I850" s="122">
        <v>90832</v>
      </c>
      <c r="J850" s="122">
        <v>33642</v>
      </c>
      <c r="K850">
        <v>100</v>
      </c>
      <c r="L850" s="122">
        <v>13420</v>
      </c>
      <c r="M850" s="122">
        <v>12200</v>
      </c>
      <c r="N850" s="122">
        <v>13023</v>
      </c>
      <c r="O850" s="122">
        <v>4823</v>
      </c>
      <c r="P850" s="122">
        <v>1404</v>
      </c>
      <c r="Q850" s="122">
        <v>520</v>
      </c>
      <c r="R850" s="122">
        <v>44290</v>
      </c>
      <c r="S850" s="122">
        <v>40263</v>
      </c>
      <c r="T850" s="122">
        <v>13755</v>
      </c>
      <c r="U850" s="122">
        <v>5094</v>
      </c>
      <c r="V850" s="122">
        <v>96543</v>
      </c>
      <c r="W850" s="122">
        <f t="shared" si="26"/>
        <v>96542</v>
      </c>
      <c r="X850" s="122">
        <f t="shared" si="27"/>
        <v>176724</v>
      </c>
      <c r="Y850" s="122"/>
      <c r="AA850" t="s">
        <v>58</v>
      </c>
      <c r="AB850" t="s">
        <v>405</v>
      </c>
      <c r="AC850" t="s">
        <v>566</v>
      </c>
      <c r="AD850" t="s">
        <v>405</v>
      </c>
      <c r="AE850" t="s">
        <v>137</v>
      </c>
      <c r="AF850">
        <v>6</v>
      </c>
      <c r="AG850">
        <v>382</v>
      </c>
      <c r="AH850" s="122">
        <v>1556</v>
      </c>
      <c r="AI850" s="122">
        <v>73981</v>
      </c>
      <c r="AJ850" s="122">
        <v>67255</v>
      </c>
      <c r="AK850">
        <v>83</v>
      </c>
      <c r="AL850">
        <v>0</v>
      </c>
      <c r="AM850">
        <v>0</v>
      </c>
      <c r="AN850" s="122">
        <v>9666</v>
      </c>
      <c r="AO850" s="122">
        <v>3580</v>
      </c>
      <c r="AP850" s="122">
        <v>2835</v>
      </c>
      <c r="AQ850" s="122">
        <v>1050</v>
      </c>
      <c r="AR850" s="122">
        <v>16569</v>
      </c>
      <c r="AS850" s="122">
        <v>15062</v>
      </c>
      <c r="AT850" s="122">
        <v>12418</v>
      </c>
      <c r="AU850" s="122">
        <v>4599</v>
      </c>
      <c r="AV850" s="122">
        <v>91547</v>
      </c>
    </row>
    <row r="851" spans="2:48" hidden="1">
      <c r="B851" t="s">
        <v>368</v>
      </c>
      <c r="C851" t="s">
        <v>58</v>
      </c>
      <c r="D851" t="s">
        <v>406</v>
      </c>
      <c r="E851" t="s">
        <v>425</v>
      </c>
      <c r="F851">
        <v>3</v>
      </c>
      <c r="G851">
        <v>294</v>
      </c>
      <c r="H851">
        <v>814</v>
      </c>
      <c r="I851" s="122">
        <v>39967</v>
      </c>
      <c r="J851" s="122">
        <v>36333</v>
      </c>
      <c r="K851">
        <v>79</v>
      </c>
      <c r="L851" s="122">
        <v>6274</v>
      </c>
      <c r="M851" s="122">
        <v>5703</v>
      </c>
      <c r="N851" s="122">
        <v>5978</v>
      </c>
      <c r="O851" s="122">
        <v>2214</v>
      </c>
      <c r="P851" s="122">
        <v>1863</v>
      </c>
      <c r="Q851">
        <v>690</v>
      </c>
      <c r="R851" s="122">
        <v>17052</v>
      </c>
      <c r="S851" s="122">
        <v>15501</v>
      </c>
      <c r="T851" s="122">
        <v>9115</v>
      </c>
      <c r="U851" s="122">
        <v>3376</v>
      </c>
      <c r="V851" s="122">
        <v>63818</v>
      </c>
      <c r="W851" s="122">
        <f t="shared" si="26"/>
        <v>63817</v>
      </c>
      <c r="X851" s="122">
        <f t="shared" si="27"/>
        <v>80249</v>
      </c>
      <c r="Y851" s="122"/>
      <c r="AA851" t="s">
        <v>58</v>
      </c>
      <c r="AB851" t="s">
        <v>405</v>
      </c>
      <c r="AC851" t="s">
        <v>566</v>
      </c>
      <c r="AD851" t="s">
        <v>405</v>
      </c>
      <c r="AE851" t="s">
        <v>566</v>
      </c>
      <c r="AF851">
        <v>16</v>
      </c>
      <c r="AG851" s="122">
        <v>1274</v>
      </c>
      <c r="AH851" s="122">
        <v>4202</v>
      </c>
      <c r="AI851" s="122">
        <v>251152</v>
      </c>
      <c r="AJ851" s="122">
        <v>228320</v>
      </c>
      <c r="AK851">
        <v>84</v>
      </c>
      <c r="AL851">
        <v>0</v>
      </c>
      <c r="AM851" s="122">
        <v>4749</v>
      </c>
      <c r="AN851" s="122">
        <v>26848</v>
      </c>
      <c r="AO851" s="122">
        <v>9944</v>
      </c>
      <c r="AP851" s="122">
        <v>7668</v>
      </c>
      <c r="AQ851" s="122">
        <v>2840</v>
      </c>
      <c r="AR851" s="122">
        <v>48642</v>
      </c>
      <c r="AS851" s="122">
        <v>44220</v>
      </c>
      <c r="AT851">
        <v>0</v>
      </c>
      <c r="AU851">
        <v>0</v>
      </c>
      <c r="AV851" s="122">
        <v>290072</v>
      </c>
    </row>
    <row r="852" spans="2:48" hidden="1">
      <c r="B852" t="s">
        <v>368</v>
      </c>
      <c r="C852" t="s">
        <v>58</v>
      </c>
      <c r="D852" t="s">
        <v>406</v>
      </c>
      <c r="E852" t="s">
        <v>137</v>
      </c>
      <c r="F852">
        <v>14</v>
      </c>
      <c r="G852" s="122">
        <v>1444</v>
      </c>
      <c r="H852" s="122">
        <v>3611</v>
      </c>
      <c r="I852" s="122">
        <v>172846</v>
      </c>
      <c r="J852" s="122">
        <v>157133</v>
      </c>
      <c r="K852">
        <v>81</v>
      </c>
      <c r="L852" s="122">
        <v>43573</v>
      </c>
      <c r="M852" s="122">
        <v>37886</v>
      </c>
      <c r="N852" s="122">
        <v>29125</v>
      </c>
      <c r="O852" s="122">
        <v>10787</v>
      </c>
      <c r="P852" s="122">
        <v>8661</v>
      </c>
      <c r="Q852" s="122">
        <v>3208</v>
      </c>
      <c r="R852" s="122">
        <v>117863</v>
      </c>
      <c r="S852" s="122">
        <v>43653</v>
      </c>
      <c r="T852">
        <v>0</v>
      </c>
      <c r="U852">
        <v>0</v>
      </c>
      <c r="V852" s="122">
        <v>252666</v>
      </c>
      <c r="W852" s="122">
        <f t="shared" si="26"/>
        <v>252667</v>
      </c>
      <c r="X852" s="122">
        <f t="shared" si="27"/>
        <v>372068</v>
      </c>
      <c r="Y852" s="122"/>
      <c r="AA852" t="s">
        <v>58</v>
      </c>
      <c r="AB852" t="s">
        <v>405</v>
      </c>
      <c r="AC852" t="s">
        <v>566</v>
      </c>
      <c r="AD852" t="s">
        <v>137</v>
      </c>
      <c r="AE852" t="s">
        <v>566</v>
      </c>
      <c r="AF852">
        <v>1</v>
      </c>
      <c r="AG852">
        <v>64</v>
      </c>
      <c r="AH852">
        <v>246</v>
      </c>
      <c r="AI852" s="122">
        <v>8546</v>
      </c>
      <c r="AJ852" s="122">
        <v>7769</v>
      </c>
      <c r="AK852">
        <v>92</v>
      </c>
      <c r="AL852">
        <v>0</v>
      </c>
      <c r="AM852">
        <v>0</v>
      </c>
      <c r="AN852" s="122">
        <v>1552</v>
      </c>
      <c r="AO852">
        <v>575</v>
      </c>
      <c r="AP852">
        <v>473</v>
      </c>
      <c r="AQ852">
        <v>175</v>
      </c>
      <c r="AR852" s="122">
        <v>5075</v>
      </c>
      <c r="AS852" s="122">
        <v>1880</v>
      </c>
      <c r="AT852">
        <v>0</v>
      </c>
      <c r="AU852">
        <v>0</v>
      </c>
      <c r="AV852" s="122">
        <v>10399</v>
      </c>
    </row>
    <row r="853" spans="2:48" hidden="1">
      <c r="B853" t="s">
        <v>368</v>
      </c>
      <c r="C853" t="s">
        <v>58</v>
      </c>
      <c r="D853" t="s">
        <v>406</v>
      </c>
      <c r="E853" t="s">
        <v>406</v>
      </c>
      <c r="F853" s="122">
        <v>3056</v>
      </c>
      <c r="G853" s="122">
        <v>298297</v>
      </c>
      <c r="H853" s="122">
        <v>779319</v>
      </c>
      <c r="I853" s="122">
        <v>39639716</v>
      </c>
      <c r="J853" s="122">
        <v>36036105</v>
      </c>
      <c r="K853">
        <v>79</v>
      </c>
      <c r="L853" s="122">
        <v>9154824</v>
      </c>
      <c r="M853" s="122">
        <v>7888045</v>
      </c>
      <c r="N853" s="122">
        <v>6062814</v>
      </c>
      <c r="O853" s="122">
        <v>2245487</v>
      </c>
      <c r="P853" s="122">
        <v>1985087</v>
      </c>
      <c r="Q853" s="122">
        <v>735218</v>
      </c>
      <c r="R853" s="122">
        <v>14545314</v>
      </c>
      <c r="S853" s="122">
        <v>13223013</v>
      </c>
      <c r="T853" s="122">
        <v>5264163</v>
      </c>
      <c r="U853" s="122">
        <v>1949690</v>
      </c>
      <c r="V853" s="122">
        <v>62077557</v>
      </c>
      <c r="W853" s="122">
        <f t="shared" si="26"/>
        <v>62077558</v>
      </c>
      <c r="X853" s="122">
        <f t="shared" si="27"/>
        <v>76651918</v>
      </c>
      <c r="Y853" s="122"/>
      <c r="AA853" t="s">
        <v>58</v>
      </c>
      <c r="AB853" t="s">
        <v>405</v>
      </c>
      <c r="AC853" t="s">
        <v>433</v>
      </c>
      <c r="AD853" t="s">
        <v>405</v>
      </c>
      <c r="AE853" t="s">
        <v>137</v>
      </c>
      <c r="AF853">
        <v>2</v>
      </c>
      <c r="AG853">
        <v>269</v>
      </c>
      <c r="AH853">
        <v>563</v>
      </c>
      <c r="AI853" s="122">
        <v>49159</v>
      </c>
      <c r="AJ853" s="122">
        <v>44690</v>
      </c>
      <c r="AK853">
        <v>79</v>
      </c>
      <c r="AL853" s="122">
        <v>7863</v>
      </c>
      <c r="AM853" s="122">
        <v>7149</v>
      </c>
      <c r="AN853" s="122">
        <v>5403</v>
      </c>
      <c r="AO853" s="122">
        <v>2001</v>
      </c>
      <c r="AP853">
        <v>945</v>
      </c>
      <c r="AQ853">
        <v>350</v>
      </c>
      <c r="AR853" s="122">
        <v>9751</v>
      </c>
      <c r="AS853" s="122">
        <v>8865</v>
      </c>
      <c r="AT853" s="122">
        <v>4003</v>
      </c>
      <c r="AU853" s="122">
        <v>1482</v>
      </c>
      <c r="AV853" s="122">
        <v>64537</v>
      </c>
    </row>
    <row r="854" spans="2:48" hidden="1">
      <c r="B854" t="s">
        <v>368</v>
      </c>
      <c r="C854" t="s">
        <v>58</v>
      </c>
      <c r="D854" t="s">
        <v>406</v>
      </c>
      <c r="E854" t="s">
        <v>427</v>
      </c>
      <c r="F854">
        <v>1</v>
      </c>
      <c r="G854">
        <v>80</v>
      </c>
      <c r="H854" s="122">
        <v>295</v>
      </c>
      <c r="I854" s="122">
        <v>11061</v>
      </c>
      <c r="J854" s="122">
        <v>10056</v>
      </c>
      <c r="K854">
        <v>79</v>
      </c>
      <c r="L854" s="122">
        <v>3073</v>
      </c>
      <c r="M854" s="122">
        <v>2793</v>
      </c>
      <c r="N854" s="122">
        <v>1713</v>
      </c>
      <c r="O854" s="122">
        <v>634</v>
      </c>
      <c r="P854" s="122">
        <v>621</v>
      </c>
      <c r="Q854" s="122">
        <v>230</v>
      </c>
      <c r="R854" s="122">
        <v>4376</v>
      </c>
      <c r="S854" s="122">
        <v>3978</v>
      </c>
      <c r="T854" s="122">
        <v>2883</v>
      </c>
      <c r="U854" s="122">
        <v>1068</v>
      </c>
      <c r="V854" s="122">
        <v>18759</v>
      </c>
      <c r="W854" s="122">
        <f t="shared" si="26"/>
        <v>18759</v>
      </c>
      <c r="X854" s="122">
        <f t="shared" si="27"/>
        <v>23727</v>
      </c>
      <c r="Y854" s="122"/>
      <c r="AA854" t="s">
        <v>58</v>
      </c>
      <c r="AB854" t="s">
        <v>405</v>
      </c>
      <c r="AC854" t="s">
        <v>433</v>
      </c>
      <c r="AD854" t="s">
        <v>405</v>
      </c>
      <c r="AE854" t="s">
        <v>566</v>
      </c>
      <c r="AF854">
        <v>1</v>
      </c>
      <c r="AG854">
        <v>111</v>
      </c>
      <c r="AH854">
        <v>227</v>
      </c>
      <c r="AI854" s="122">
        <v>14085</v>
      </c>
      <c r="AJ854" s="122">
        <v>12805</v>
      </c>
      <c r="AK854">
        <v>68</v>
      </c>
      <c r="AL854" s="122">
        <v>3370</v>
      </c>
      <c r="AM854" s="122">
        <v>3064</v>
      </c>
      <c r="AN854" s="122">
        <v>1352</v>
      </c>
      <c r="AO854">
        <v>501</v>
      </c>
      <c r="AP854">
        <v>473</v>
      </c>
      <c r="AQ854">
        <v>175</v>
      </c>
      <c r="AR854" s="122">
        <v>5890</v>
      </c>
      <c r="AS854" s="122">
        <v>5355</v>
      </c>
      <c r="AT854">
        <v>0</v>
      </c>
      <c r="AU854">
        <v>0</v>
      </c>
      <c r="AV854" s="122">
        <v>21899</v>
      </c>
    </row>
    <row r="855" spans="2:48" hidden="1">
      <c r="B855" t="s">
        <v>368</v>
      </c>
      <c r="C855" t="s">
        <v>58</v>
      </c>
      <c r="D855" t="s">
        <v>406</v>
      </c>
      <c r="E855" t="s">
        <v>407</v>
      </c>
      <c r="F855">
        <v>1</v>
      </c>
      <c r="G855">
        <v>104</v>
      </c>
      <c r="H855" s="122">
        <v>248</v>
      </c>
      <c r="I855" s="122">
        <v>15956</v>
      </c>
      <c r="J855" s="122">
        <v>14506</v>
      </c>
      <c r="K855">
        <v>79</v>
      </c>
      <c r="L855" s="122">
        <v>2111</v>
      </c>
      <c r="M855" s="122">
        <v>1919</v>
      </c>
      <c r="N855" s="122">
        <v>1897</v>
      </c>
      <c r="O855" s="122">
        <v>703</v>
      </c>
      <c r="P855" s="122">
        <v>621</v>
      </c>
      <c r="Q855" s="122">
        <v>230</v>
      </c>
      <c r="R855" s="122">
        <v>5128</v>
      </c>
      <c r="S855" s="122">
        <v>4662</v>
      </c>
      <c r="T855" s="122">
        <v>0</v>
      </c>
      <c r="U855" s="122">
        <v>0</v>
      </c>
      <c r="V855" s="122">
        <v>22019</v>
      </c>
      <c r="W855" s="122">
        <f t="shared" si="26"/>
        <v>22020</v>
      </c>
      <c r="X855" s="122">
        <f t="shared" si="27"/>
        <v>25713</v>
      </c>
      <c r="Y855" s="122"/>
      <c r="AA855" t="s">
        <v>58</v>
      </c>
      <c r="AB855" t="s">
        <v>405</v>
      </c>
      <c r="AC855" t="s">
        <v>429</v>
      </c>
      <c r="AD855" t="s">
        <v>405</v>
      </c>
      <c r="AE855" t="s">
        <v>137</v>
      </c>
      <c r="AF855">
        <v>1</v>
      </c>
      <c r="AG855">
        <v>117</v>
      </c>
      <c r="AH855">
        <v>228</v>
      </c>
      <c r="AI855" s="122">
        <v>11941</v>
      </c>
      <c r="AJ855" s="122">
        <v>10855</v>
      </c>
      <c r="AK855">
        <v>72</v>
      </c>
      <c r="AL855" s="122">
        <v>2585</v>
      </c>
      <c r="AM855" s="122">
        <v>2350</v>
      </c>
      <c r="AN855" s="122">
        <v>2845</v>
      </c>
      <c r="AO855" s="122">
        <v>1054</v>
      </c>
      <c r="AP855">
        <v>473</v>
      </c>
      <c r="AQ855">
        <v>175</v>
      </c>
      <c r="AR855" s="122">
        <v>5379</v>
      </c>
      <c r="AS855" s="122">
        <v>4890</v>
      </c>
      <c r="AT855" s="122">
        <v>3349</v>
      </c>
      <c r="AU855" s="122">
        <v>1240</v>
      </c>
      <c r="AV855" s="122">
        <v>20565</v>
      </c>
    </row>
    <row r="856" spans="2:48">
      <c r="B856" t="s">
        <v>368</v>
      </c>
      <c r="C856" t="s">
        <v>58</v>
      </c>
      <c r="D856" t="s">
        <v>406</v>
      </c>
      <c r="E856" t="s">
        <v>556</v>
      </c>
      <c r="F856">
        <v>1</v>
      </c>
      <c r="G856">
        <v>134</v>
      </c>
      <c r="H856" s="122">
        <v>240</v>
      </c>
      <c r="I856" s="122">
        <v>16444</v>
      </c>
      <c r="J856" s="122">
        <v>14949</v>
      </c>
      <c r="K856">
        <v>70</v>
      </c>
      <c r="L856" s="122">
        <v>4050</v>
      </c>
      <c r="M856" s="122">
        <v>3682</v>
      </c>
      <c r="N856" s="122">
        <v>2929</v>
      </c>
      <c r="O856" s="122">
        <v>1085</v>
      </c>
      <c r="P856" s="122">
        <v>621</v>
      </c>
      <c r="Q856">
        <v>230</v>
      </c>
      <c r="R856" s="122">
        <v>5334</v>
      </c>
      <c r="S856" s="122">
        <v>4445</v>
      </c>
      <c r="T856" s="122">
        <v>2844</v>
      </c>
      <c r="U856" s="122">
        <v>1053</v>
      </c>
      <c r="V856" s="122">
        <v>25444</v>
      </c>
      <c r="W856" s="122">
        <f t="shared" si="26"/>
        <v>25444</v>
      </c>
      <c r="X856" s="122">
        <f t="shared" si="27"/>
        <v>32222</v>
      </c>
      <c r="Y856" s="122"/>
      <c r="AA856" t="s">
        <v>58</v>
      </c>
      <c r="AB856" t="s">
        <v>137</v>
      </c>
      <c r="AC856" t="s">
        <v>578</v>
      </c>
      <c r="AD856" t="s">
        <v>137</v>
      </c>
      <c r="AE856" t="s">
        <v>566</v>
      </c>
      <c r="AF856">
        <v>5</v>
      </c>
      <c r="AG856">
        <v>433</v>
      </c>
      <c r="AH856" s="122">
        <v>1291</v>
      </c>
      <c r="AI856" s="122">
        <v>56648</v>
      </c>
      <c r="AJ856" s="122">
        <v>20981</v>
      </c>
      <c r="AK856">
        <v>100</v>
      </c>
      <c r="AL856" s="122">
        <v>4989</v>
      </c>
      <c r="AM856" s="122">
        <v>4536</v>
      </c>
      <c r="AN856" s="122">
        <v>8938</v>
      </c>
      <c r="AO856" s="122">
        <v>3311</v>
      </c>
      <c r="AP856">
        <v>351</v>
      </c>
      <c r="AQ856">
        <v>130</v>
      </c>
      <c r="AR856" s="122">
        <v>39840</v>
      </c>
      <c r="AS856" s="122">
        <v>14755</v>
      </c>
      <c r="AT856">
        <v>0</v>
      </c>
      <c r="AU856">
        <v>0</v>
      </c>
      <c r="AV856" s="122">
        <v>43713</v>
      </c>
    </row>
    <row r="857" spans="2:48" hidden="1">
      <c r="B857" t="s">
        <v>368</v>
      </c>
      <c r="C857" t="s">
        <v>58</v>
      </c>
      <c r="D857" t="s">
        <v>406</v>
      </c>
      <c r="E857" t="s">
        <v>426</v>
      </c>
      <c r="F857">
        <v>1</v>
      </c>
      <c r="G857" s="122">
        <v>78</v>
      </c>
      <c r="H857" s="122">
        <v>287</v>
      </c>
      <c r="I857" s="122">
        <v>9523</v>
      </c>
      <c r="J857" s="122">
        <v>8657</v>
      </c>
      <c r="K857">
        <v>85</v>
      </c>
      <c r="L857" s="122">
        <v>1905</v>
      </c>
      <c r="M857" s="122">
        <v>1731</v>
      </c>
      <c r="N857" s="122">
        <v>1800</v>
      </c>
      <c r="O857" s="122">
        <v>667</v>
      </c>
      <c r="P857" s="122">
        <v>621</v>
      </c>
      <c r="Q857" s="122">
        <v>230</v>
      </c>
      <c r="R857" s="122">
        <v>6169</v>
      </c>
      <c r="S857" s="122">
        <v>5608</v>
      </c>
      <c r="T857" s="122">
        <v>2269</v>
      </c>
      <c r="U857" s="122">
        <v>840</v>
      </c>
      <c r="V857" s="122">
        <v>17734</v>
      </c>
      <c r="W857" s="122">
        <f t="shared" si="26"/>
        <v>17733</v>
      </c>
      <c r="X857" s="122">
        <f t="shared" si="27"/>
        <v>22287</v>
      </c>
      <c r="Y857" s="122"/>
      <c r="AA857" t="s">
        <v>58</v>
      </c>
      <c r="AB857" t="s">
        <v>137</v>
      </c>
      <c r="AC857" t="s">
        <v>425</v>
      </c>
      <c r="AD857" t="s">
        <v>137</v>
      </c>
      <c r="AE857" t="s">
        <v>137</v>
      </c>
      <c r="AF857">
        <v>5</v>
      </c>
      <c r="AG857">
        <v>443</v>
      </c>
      <c r="AH857" s="122">
        <v>1454</v>
      </c>
      <c r="AI857" s="122">
        <v>68152</v>
      </c>
      <c r="AJ857" s="122">
        <v>25242</v>
      </c>
      <c r="AK857">
        <v>100</v>
      </c>
      <c r="AL857" s="122">
        <v>13888</v>
      </c>
      <c r="AM857" s="122">
        <v>12625</v>
      </c>
      <c r="AN857" s="122">
        <v>10467</v>
      </c>
      <c r="AO857" s="122">
        <v>3877</v>
      </c>
      <c r="AP857" s="122">
        <v>1755</v>
      </c>
      <c r="AQ857">
        <v>650</v>
      </c>
      <c r="AR857" s="122">
        <v>34542</v>
      </c>
      <c r="AS857" s="122">
        <v>12793</v>
      </c>
      <c r="AT857">
        <v>0</v>
      </c>
      <c r="AU857">
        <v>0</v>
      </c>
      <c r="AV857" s="122">
        <v>55187</v>
      </c>
    </row>
    <row r="858" spans="2:48" hidden="1">
      <c r="B858" t="s">
        <v>368</v>
      </c>
      <c r="C858" t="s">
        <v>58</v>
      </c>
      <c r="D858" t="s">
        <v>427</v>
      </c>
      <c r="E858" t="s">
        <v>137</v>
      </c>
      <c r="F858">
        <v>1</v>
      </c>
      <c r="G858" s="122">
        <v>83</v>
      </c>
      <c r="H858" s="122">
        <v>297</v>
      </c>
      <c r="I858" s="122">
        <v>14838</v>
      </c>
      <c r="J858" s="122">
        <v>13489</v>
      </c>
      <c r="K858">
        <v>55</v>
      </c>
      <c r="L858" s="122">
        <v>0</v>
      </c>
      <c r="M858" s="122">
        <v>0</v>
      </c>
      <c r="N858" s="122">
        <v>1713</v>
      </c>
      <c r="O858" s="122">
        <v>634</v>
      </c>
      <c r="P858" s="122">
        <v>351</v>
      </c>
      <c r="Q858" s="122">
        <v>130</v>
      </c>
      <c r="R858" s="122">
        <v>7772</v>
      </c>
      <c r="S858" s="122">
        <v>2879</v>
      </c>
      <c r="T858" s="122">
        <v>0</v>
      </c>
      <c r="U858">
        <v>0</v>
      </c>
      <c r="V858" s="122">
        <v>17132</v>
      </c>
      <c r="W858" s="122">
        <f t="shared" si="26"/>
        <v>17132</v>
      </c>
      <c r="X858" s="122">
        <f t="shared" si="27"/>
        <v>24674</v>
      </c>
      <c r="Y858" s="122"/>
      <c r="AA858" t="s">
        <v>58</v>
      </c>
      <c r="AB858" t="s">
        <v>137</v>
      </c>
      <c r="AC858" t="s">
        <v>425</v>
      </c>
      <c r="AD858" t="s">
        <v>137</v>
      </c>
      <c r="AE858" t="s">
        <v>566</v>
      </c>
      <c r="AF858">
        <v>28</v>
      </c>
      <c r="AG858" s="122">
        <v>2568</v>
      </c>
      <c r="AH858" s="122">
        <v>7677</v>
      </c>
      <c r="AI858" s="122">
        <v>385279</v>
      </c>
      <c r="AJ858" s="122">
        <v>142696</v>
      </c>
      <c r="AK858">
        <v>100</v>
      </c>
      <c r="AL858" s="122">
        <v>79271</v>
      </c>
      <c r="AM858" s="122">
        <v>72064</v>
      </c>
      <c r="AN858" s="122">
        <v>51174</v>
      </c>
      <c r="AO858" s="122">
        <v>18953</v>
      </c>
      <c r="AP858">
        <v>0</v>
      </c>
      <c r="AQ858">
        <v>0</v>
      </c>
      <c r="AR858" s="122">
        <v>203886</v>
      </c>
      <c r="AS858" s="122">
        <v>75513</v>
      </c>
      <c r="AT858">
        <v>0</v>
      </c>
      <c r="AU858">
        <v>0</v>
      </c>
      <c r="AV858" s="122">
        <v>309227</v>
      </c>
    </row>
    <row r="859" spans="2:48" hidden="1">
      <c r="B859" t="s">
        <v>368</v>
      </c>
      <c r="C859" t="s">
        <v>58</v>
      </c>
      <c r="D859" t="s">
        <v>427</v>
      </c>
      <c r="E859" t="s">
        <v>427</v>
      </c>
      <c r="F859">
        <v>6</v>
      </c>
      <c r="G859" s="122">
        <v>548</v>
      </c>
      <c r="H859" s="122">
        <v>1519</v>
      </c>
      <c r="I859" s="122">
        <v>80009</v>
      </c>
      <c r="J859" s="122">
        <v>72736</v>
      </c>
      <c r="K859">
        <v>60</v>
      </c>
      <c r="L859" s="122">
        <v>9598</v>
      </c>
      <c r="M859" s="122">
        <v>8725</v>
      </c>
      <c r="N859" s="122">
        <v>9261</v>
      </c>
      <c r="O859" s="122">
        <v>3430</v>
      </c>
      <c r="P859" s="122">
        <v>2697</v>
      </c>
      <c r="Q859" s="122">
        <v>999</v>
      </c>
      <c r="R859" s="122">
        <v>33195</v>
      </c>
      <c r="S859" s="122">
        <v>30177</v>
      </c>
      <c r="T859" s="122">
        <v>4363</v>
      </c>
      <c r="U859" s="122">
        <v>1616</v>
      </c>
      <c r="V859" s="122">
        <v>117682</v>
      </c>
      <c r="W859" s="122">
        <f t="shared" si="26"/>
        <v>117683</v>
      </c>
      <c r="X859" s="122">
        <f t="shared" si="27"/>
        <v>139123</v>
      </c>
      <c r="Y859" s="122"/>
      <c r="AA859" t="s">
        <v>58</v>
      </c>
      <c r="AB859" t="s">
        <v>137</v>
      </c>
      <c r="AC859" t="s">
        <v>405</v>
      </c>
      <c r="AD859" t="s">
        <v>137</v>
      </c>
      <c r="AE859" t="s">
        <v>566</v>
      </c>
      <c r="AF859">
        <v>16</v>
      </c>
      <c r="AG859" s="122">
        <v>1849</v>
      </c>
      <c r="AH859" s="122">
        <v>4200</v>
      </c>
      <c r="AI859" s="122">
        <v>306518</v>
      </c>
      <c r="AJ859" s="122">
        <v>113525</v>
      </c>
      <c r="AK859">
        <v>100</v>
      </c>
      <c r="AL859" s="122">
        <v>29389</v>
      </c>
      <c r="AM859" s="122">
        <v>26717</v>
      </c>
      <c r="AN859" s="122">
        <v>28228</v>
      </c>
      <c r="AO859" s="122">
        <v>10455</v>
      </c>
      <c r="AP859">
        <v>0</v>
      </c>
      <c r="AQ859">
        <v>0</v>
      </c>
      <c r="AR859" s="122">
        <v>121021</v>
      </c>
      <c r="AS859" s="122">
        <v>44822</v>
      </c>
      <c r="AT859">
        <v>0</v>
      </c>
      <c r="AU859">
        <v>0</v>
      </c>
      <c r="AV859" s="122">
        <v>195519</v>
      </c>
    </row>
    <row r="860" spans="2:48" hidden="1">
      <c r="B860" t="s">
        <v>368</v>
      </c>
      <c r="C860" t="s">
        <v>58</v>
      </c>
      <c r="D860" t="s">
        <v>407</v>
      </c>
      <c r="E860" t="s">
        <v>407</v>
      </c>
      <c r="F860">
        <v>256</v>
      </c>
      <c r="G860" s="122">
        <v>22533</v>
      </c>
      <c r="H860" s="122">
        <v>63212</v>
      </c>
      <c r="I860" s="122">
        <v>2879458</v>
      </c>
      <c r="J860" s="122">
        <v>2617689</v>
      </c>
      <c r="K860">
        <v>81</v>
      </c>
      <c r="L860" s="122">
        <v>823059</v>
      </c>
      <c r="M860" s="122">
        <v>718638</v>
      </c>
      <c r="N860" s="122">
        <v>461296</v>
      </c>
      <c r="O860" s="122">
        <v>170850</v>
      </c>
      <c r="P860" s="122">
        <v>124367</v>
      </c>
      <c r="Q860" s="122">
        <v>46062</v>
      </c>
      <c r="R860" s="122">
        <v>1213362</v>
      </c>
      <c r="S860" s="122">
        <v>1103056</v>
      </c>
      <c r="T860" s="122">
        <v>103376</v>
      </c>
      <c r="U860" s="122">
        <v>38287</v>
      </c>
      <c r="V860" s="122">
        <v>4694583</v>
      </c>
      <c r="W860" s="122">
        <f t="shared" si="26"/>
        <v>4694582</v>
      </c>
      <c r="X860" s="122">
        <f t="shared" si="27"/>
        <v>5604918</v>
      </c>
      <c r="Y860" s="122"/>
      <c r="AA860" t="s">
        <v>58</v>
      </c>
      <c r="AB860" t="s">
        <v>137</v>
      </c>
      <c r="AC860" t="s">
        <v>137</v>
      </c>
      <c r="AD860" t="s">
        <v>405</v>
      </c>
      <c r="AE860" t="s">
        <v>566</v>
      </c>
      <c r="AF860">
        <v>1</v>
      </c>
      <c r="AG860">
        <v>152</v>
      </c>
      <c r="AH860">
        <v>298</v>
      </c>
      <c r="AI860" s="122">
        <v>31270</v>
      </c>
      <c r="AJ860" s="122">
        <v>11581</v>
      </c>
      <c r="AK860">
        <v>100</v>
      </c>
      <c r="AL860" s="122">
        <v>5518</v>
      </c>
      <c r="AM860" s="122">
        <v>2044</v>
      </c>
      <c r="AN860" s="122">
        <v>2724</v>
      </c>
      <c r="AO860" s="122">
        <v>1009</v>
      </c>
      <c r="AP860">
        <v>0</v>
      </c>
      <c r="AQ860">
        <v>0</v>
      </c>
      <c r="AR860" s="122">
        <v>5779</v>
      </c>
      <c r="AS860" s="122">
        <v>5253</v>
      </c>
      <c r="AT860">
        <v>0</v>
      </c>
      <c r="AU860">
        <v>0</v>
      </c>
      <c r="AV860" s="122">
        <v>19887</v>
      </c>
    </row>
    <row r="861" spans="2:48" hidden="1">
      <c r="B861" t="s">
        <v>368</v>
      </c>
      <c r="C861" t="s">
        <v>58</v>
      </c>
      <c r="D861" t="s">
        <v>556</v>
      </c>
      <c r="E861" t="s">
        <v>556</v>
      </c>
      <c r="F861">
        <v>26</v>
      </c>
      <c r="G861" s="122">
        <v>2251</v>
      </c>
      <c r="H861" s="122">
        <v>7229</v>
      </c>
      <c r="I861" s="122">
        <v>327210</v>
      </c>
      <c r="J861" s="122">
        <v>272675</v>
      </c>
      <c r="K861">
        <v>62</v>
      </c>
      <c r="L861" s="122">
        <v>46726</v>
      </c>
      <c r="M861" s="122">
        <v>38659</v>
      </c>
      <c r="N861" s="122">
        <v>43950</v>
      </c>
      <c r="O861" s="122">
        <v>16278</v>
      </c>
      <c r="P861" s="122">
        <v>12420</v>
      </c>
      <c r="Q861" s="122">
        <v>4600</v>
      </c>
      <c r="R861" s="122">
        <v>134514</v>
      </c>
      <c r="S861" s="122">
        <v>112095</v>
      </c>
      <c r="T861" s="122">
        <v>60276</v>
      </c>
      <c r="U861" s="122">
        <v>22325</v>
      </c>
      <c r="V861" s="122">
        <v>466632</v>
      </c>
      <c r="W861" s="122">
        <f t="shared" si="26"/>
        <v>466632</v>
      </c>
      <c r="X861" s="122">
        <f t="shared" si="27"/>
        <v>625096</v>
      </c>
      <c r="Y861" s="122"/>
      <c r="AA861" t="s">
        <v>58</v>
      </c>
      <c r="AB861" t="s">
        <v>137</v>
      </c>
      <c r="AC861" t="s">
        <v>137</v>
      </c>
      <c r="AD861" t="s">
        <v>137</v>
      </c>
      <c r="AE861" t="s">
        <v>137</v>
      </c>
      <c r="AF861">
        <v>129</v>
      </c>
      <c r="AG861" s="122">
        <v>10861</v>
      </c>
      <c r="AH861" s="122">
        <v>34625</v>
      </c>
      <c r="AI861" s="122">
        <v>1582252</v>
      </c>
      <c r="AJ861" s="122">
        <v>586019</v>
      </c>
      <c r="AK861">
        <v>100</v>
      </c>
      <c r="AL861" s="122">
        <v>232604</v>
      </c>
      <c r="AM861" s="122">
        <v>86150</v>
      </c>
      <c r="AN861" s="122">
        <v>232503</v>
      </c>
      <c r="AO861" s="122">
        <v>86112</v>
      </c>
      <c r="AP861" s="122">
        <v>2360</v>
      </c>
      <c r="AQ861">
        <v>874</v>
      </c>
      <c r="AR861" s="122">
        <v>849567</v>
      </c>
      <c r="AS861" s="122">
        <v>314654</v>
      </c>
      <c r="AT861" s="122">
        <v>47400</v>
      </c>
      <c r="AU861" s="122">
        <v>17556</v>
      </c>
      <c r="AV861" s="122">
        <v>1091365</v>
      </c>
    </row>
    <row r="862" spans="2:48" hidden="1">
      <c r="B862" t="s">
        <v>368</v>
      </c>
      <c r="C862" t="s">
        <v>58</v>
      </c>
      <c r="D862" t="s">
        <v>428</v>
      </c>
      <c r="E862" t="s">
        <v>137</v>
      </c>
      <c r="F862">
        <v>1</v>
      </c>
      <c r="G862" s="122">
        <v>83</v>
      </c>
      <c r="H862" s="122">
        <v>298</v>
      </c>
      <c r="I862" s="122">
        <v>10859</v>
      </c>
      <c r="J862" s="122">
        <v>9872</v>
      </c>
      <c r="K862">
        <v>65</v>
      </c>
      <c r="L862" s="122">
        <v>2614</v>
      </c>
      <c r="M862" s="122">
        <v>2377</v>
      </c>
      <c r="N862" s="122">
        <v>1013</v>
      </c>
      <c r="O862" s="122">
        <v>375</v>
      </c>
      <c r="P862" s="122">
        <v>0</v>
      </c>
      <c r="Q862" s="122">
        <v>0</v>
      </c>
      <c r="R862" s="122">
        <v>10294</v>
      </c>
      <c r="S862" s="122">
        <v>3813</v>
      </c>
      <c r="T862" s="122">
        <v>0</v>
      </c>
      <c r="U862" s="122">
        <v>0</v>
      </c>
      <c r="V862" s="122">
        <v>16437</v>
      </c>
      <c r="W862" s="122">
        <f t="shared" si="26"/>
        <v>16437</v>
      </c>
      <c r="X862" s="122">
        <f t="shared" si="27"/>
        <v>24780</v>
      </c>
      <c r="Y862" s="122"/>
      <c r="AA862" t="s">
        <v>58</v>
      </c>
      <c r="AB862" t="s">
        <v>137</v>
      </c>
      <c r="AC862" t="s">
        <v>137</v>
      </c>
      <c r="AD862" t="s">
        <v>137</v>
      </c>
      <c r="AE862" t="s">
        <v>566</v>
      </c>
      <c r="AF862" s="122">
        <v>2687</v>
      </c>
      <c r="AG862" s="122">
        <v>239789</v>
      </c>
      <c r="AH862" s="122">
        <v>707099</v>
      </c>
      <c r="AI862" s="122">
        <v>33560061</v>
      </c>
      <c r="AJ862" s="122">
        <v>12429652</v>
      </c>
      <c r="AK862">
        <v>101</v>
      </c>
      <c r="AL862" s="122">
        <v>6061437</v>
      </c>
      <c r="AM862" s="122">
        <v>2244977</v>
      </c>
      <c r="AN862" s="122">
        <v>4992749</v>
      </c>
      <c r="AO862" s="122">
        <v>1849166</v>
      </c>
      <c r="AP862" s="122">
        <v>24937</v>
      </c>
      <c r="AQ862" s="122">
        <v>9236</v>
      </c>
      <c r="AR862" s="122">
        <v>19088464</v>
      </c>
      <c r="AS862" s="122">
        <v>7069802</v>
      </c>
      <c r="AT862">
        <v>0</v>
      </c>
      <c r="AU862">
        <v>0</v>
      </c>
      <c r="AV862" s="122">
        <v>23602832</v>
      </c>
    </row>
    <row r="863" spans="2:48" hidden="1">
      <c r="B863" t="s">
        <v>368</v>
      </c>
      <c r="C863" t="s">
        <v>58</v>
      </c>
      <c r="D863" t="s">
        <v>428</v>
      </c>
      <c r="E863" t="s">
        <v>428</v>
      </c>
      <c r="F863">
        <v>1</v>
      </c>
      <c r="G863" s="122">
        <v>104</v>
      </c>
      <c r="H863" s="122">
        <v>243</v>
      </c>
      <c r="I863" s="122">
        <v>13996</v>
      </c>
      <c r="J863" s="122">
        <v>12723</v>
      </c>
      <c r="K863">
        <v>65</v>
      </c>
      <c r="L863" s="122">
        <v>2481</v>
      </c>
      <c r="M863" s="122">
        <v>919</v>
      </c>
      <c r="N863" s="122">
        <v>2018</v>
      </c>
      <c r="O863" s="122">
        <v>748</v>
      </c>
      <c r="P863" s="122">
        <v>351</v>
      </c>
      <c r="Q863" s="122">
        <v>130</v>
      </c>
      <c r="R863" s="122">
        <v>3838</v>
      </c>
      <c r="S863" s="122">
        <v>3489</v>
      </c>
      <c r="T863" s="122">
        <v>2472</v>
      </c>
      <c r="U863">
        <v>916</v>
      </c>
      <c r="V863" s="122">
        <v>18925</v>
      </c>
      <c r="W863" s="122">
        <f t="shared" si="26"/>
        <v>18925</v>
      </c>
      <c r="X863" s="122">
        <f t="shared" si="27"/>
        <v>25156</v>
      </c>
      <c r="Y863" s="122"/>
      <c r="AA863" t="s">
        <v>58</v>
      </c>
      <c r="AB863" t="s">
        <v>137</v>
      </c>
      <c r="AC863" t="s">
        <v>137</v>
      </c>
      <c r="AD863" t="s">
        <v>406</v>
      </c>
      <c r="AE863" t="s">
        <v>137</v>
      </c>
      <c r="AF863">
        <v>2</v>
      </c>
      <c r="AG863">
        <v>207</v>
      </c>
      <c r="AH863">
        <v>508</v>
      </c>
      <c r="AI863" s="122">
        <v>25250</v>
      </c>
      <c r="AJ863" s="122">
        <v>9352</v>
      </c>
      <c r="AK863">
        <v>100</v>
      </c>
      <c r="AL863" s="122">
        <v>6173</v>
      </c>
      <c r="AM863" s="122">
        <v>2286</v>
      </c>
      <c r="AN863" s="122">
        <v>4643</v>
      </c>
      <c r="AO863" s="122">
        <v>1720</v>
      </c>
      <c r="AP863">
        <v>891</v>
      </c>
      <c r="AQ863">
        <v>330</v>
      </c>
      <c r="AR863" s="122">
        <v>9793</v>
      </c>
      <c r="AS863" s="122">
        <v>8903</v>
      </c>
      <c r="AT863" s="122">
        <v>5385</v>
      </c>
      <c r="AU863" s="122">
        <v>1994</v>
      </c>
      <c r="AV863" s="122">
        <v>24585</v>
      </c>
    </row>
    <row r="864" spans="2:48" hidden="1">
      <c r="B864" t="s">
        <v>368</v>
      </c>
      <c r="C864" t="s">
        <v>58</v>
      </c>
      <c r="D864" t="s">
        <v>431</v>
      </c>
      <c r="E864" t="s">
        <v>431</v>
      </c>
      <c r="F864">
        <v>3</v>
      </c>
      <c r="G864" s="122">
        <v>234</v>
      </c>
      <c r="H864" s="122">
        <v>743</v>
      </c>
      <c r="I864" s="122">
        <v>28585</v>
      </c>
      <c r="J864" s="122">
        <v>25987</v>
      </c>
      <c r="K864">
        <v>62</v>
      </c>
      <c r="L864" s="122">
        <v>5595</v>
      </c>
      <c r="M864" s="122">
        <v>5087</v>
      </c>
      <c r="N864" s="122">
        <v>3824</v>
      </c>
      <c r="O864" s="122">
        <v>1416</v>
      </c>
      <c r="P864" s="122">
        <v>1053</v>
      </c>
      <c r="Q864" s="122">
        <v>390</v>
      </c>
      <c r="R864" s="122">
        <v>14080</v>
      </c>
      <c r="S864" s="122">
        <v>12800</v>
      </c>
      <c r="T864" s="122">
        <v>4855</v>
      </c>
      <c r="U864" s="122">
        <v>1798</v>
      </c>
      <c r="V864" s="122">
        <v>47477</v>
      </c>
      <c r="W864" s="122">
        <f t="shared" si="26"/>
        <v>47478</v>
      </c>
      <c r="X864" s="122">
        <f t="shared" si="27"/>
        <v>57992</v>
      </c>
      <c r="Y864" s="122"/>
      <c r="AA864" t="s">
        <v>58</v>
      </c>
      <c r="AB864" t="s">
        <v>137</v>
      </c>
      <c r="AC864" t="s">
        <v>137</v>
      </c>
      <c r="AD864" t="s">
        <v>579</v>
      </c>
      <c r="AE864" t="s">
        <v>137</v>
      </c>
      <c r="AF864">
        <v>1</v>
      </c>
      <c r="AG864">
        <v>74</v>
      </c>
      <c r="AH864">
        <v>289</v>
      </c>
      <c r="AI864" s="122">
        <v>7762</v>
      </c>
      <c r="AJ864" s="122">
        <v>2875</v>
      </c>
      <c r="AK864">
        <v>100</v>
      </c>
      <c r="AL864" s="122">
        <v>1941</v>
      </c>
      <c r="AM864">
        <v>719</v>
      </c>
      <c r="AN864" s="122">
        <v>1175</v>
      </c>
      <c r="AO864">
        <v>435</v>
      </c>
      <c r="AP864">
        <v>0</v>
      </c>
      <c r="AQ864">
        <v>0</v>
      </c>
      <c r="AR864" s="122">
        <v>7794</v>
      </c>
      <c r="AS864" s="122">
        <v>6495</v>
      </c>
      <c r="AT864" s="122">
        <v>2800</v>
      </c>
      <c r="AU864" s="122">
        <v>1037</v>
      </c>
      <c r="AV864" s="122">
        <v>11561</v>
      </c>
    </row>
    <row r="865" spans="2:48" hidden="1">
      <c r="B865" t="s">
        <v>368</v>
      </c>
      <c r="C865" t="s">
        <v>58</v>
      </c>
      <c r="D865" t="s">
        <v>426</v>
      </c>
      <c r="E865" t="s">
        <v>137</v>
      </c>
      <c r="F865">
        <v>1</v>
      </c>
      <c r="G865" s="122">
        <v>464</v>
      </c>
      <c r="H865" s="122">
        <v>288</v>
      </c>
      <c r="I865" s="122">
        <v>109170</v>
      </c>
      <c r="J865" s="122">
        <v>99246</v>
      </c>
      <c r="K865">
        <v>60</v>
      </c>
      <c r="L865" s="122">
        <v>0</v>
      </c>
      <c r="M865" s="122">
        <v>0</v>
      </c>
      <c r="N865" s="122">
        <v>11305</v>
      </c>
      <c r="O865" s="122">
        <v>4187</v>
      </c>
      <c r="P865" s="122">
        <v>0</v>
      </c>
      <c r="Q865" s="122">
        <v>0</v>
      </c>
      <c r="R865" s="122">
        <v>13157</v>
      </c>
      <c r="S865" s="122">
        <v>4873</v>
      </c>
      <c r="T865" s="122">
        <v>0</v>
      </c>
      <c r="U865">
        <v>0</v>
      </c>
      <c r="V865" s="122">
        <v>108306</v>
      </c>
      <c r="W865" s="122">
        <f t="shared" si="26"/>
        <v>108306</v>
      </c>
      <c r="X865" s="122">
        <f t="shared" si="27"/>
        <v>133632</v>
      </c>
      <c r="Y865" s="122"/>
      <c r="AA865" t="s">
        <v>58</v>
      </c>
      <c r="AB865" t="s">
        <v>137</v>
      </c>
      <c r="AC865" t="s">
        <v>137</v>
      </c>
      <c r="AD865" t="s">
        <v>579</v>
      </c>
      <c r="AE865" t="s">
        <v>566</v>
      </c>
      <c r="AF865">
        <v>2</v>
      </c>
      <c r="AG865">
        <v>163</v>
      </c>
      <c r="AH865">
        <v>493</v>
      </c>
      <c r="AI865" s="122">
        <v>20142</v>
      </c>
      <c r="AJ865" s="122">
        <v>7460</v>
      </c>
      <c r="AK865">
        <v>100</v>
      </c>
      <c r="AL865" s="122">
        <v>9577</v>
      </c>
      <c r="AM865" s="122">
        <v>3547</v>
      </c>
      <c r="AN865" s="122">
        <v>3077</v>
      </c>
      <c r="AO865" s="122">
        <v>1140</v>
      </c>
      <c r="AP865">
        <v>0</v>
      </c>
      <c r="AQ865">
        <v>0</v>
      </c>
      <c r="AR865" s="122">
        <v>7416</v>
      </c>
      <c r="AS865" s="122">
        <v>6180</v>
      </c>
      <c r="AT865">
        <v>0</v>
      </c>
      <c r="AU865">
        <v>0</v>
      </c>
      <c r="AV865" s="122">
        <v>18327</v>
      </c>
    </row>
    <row r="866" spans="2:48" hidden="1">
      <c r="B866" t="s">
        <v>368</v>
      </c>
      <c r="C866" t="s">
        <v>58</v>
      </c>
      <c r="D866" t="s">
        <v>426</v>
      </c>
      <c r="E866" t="s">
        <v>556</v>
      </c>
      <c r="F866">
        <v>1</v>
      </c>
      <c r="G866">
        <v>81</v>
      </c>
      <c r="H866">
        <v>277</v>
      </c>
      <c r="I866" s="122">
        <v>11457</v>
      </c>
      <c r="J866" s="122">
        <v>10416</v>
      </c>
      <c r="K866">
        <v>55</v>
      </c>
      <c r="L866" s="122">
        <v>1719</v>
      </c>
      <c r="M866">
        <v>637</v>
      </c>
      <c r="N866" s="122">
        <v>1482</v>
      </c>
      <c r="O866" s="122">
        <v>549</v>
      </c>
      <c r="P866" s="122">
        <v>351</v>
      </c>
      <c r="Q866" s="122">
        <v>130</v>
      </c>
      <c r="R866" s="122">
        <v>5288</v>
      </c>
      <c r="S866" s="122">
        <v>4407</v>
      </c>
      <c r="T866" s="122">
        <v>2136</v>
      </c>
      <c r="U866">
        <v>791</v>
      </c>
      <c r="V866" s="122">
        <v>16930</v>
      </c>
      <c r="W866" s="122">
        <f t="shared" si="26"/>
        <v>16930</v>
      </c>
      <c r="X866" s="122">
        <f t="shared" si="27"/>
        <v>22433</v>
      </c>
      <c r="Y866" s="122"/>
      <c r="AA866" t="s">
        <v>58</v>
      </c>
      <c r="AB866" t="s">
        <v>137</v>
      </c>
      <c r="AC866" t="s">
        <v>137</v>
      </c>
      <c r="AD866" t="s">
        <v>426</v>
      </c>
      <c r="AE866" t="s">
        <v>137</v>
      </c>
      <c r="AF866">
        <v>2</v>
      </c>
      <c r="AG866">
        <v>162</v>
      </c>
      <c r="AH866">
        <v>548</v>
      </c>
      <c r="AI866" s="122">
        <v>20305</v>
      </c>
      <c r="AJ866" s="122">
        <v>7521</v>
      </c>
      <c r="AK866">
        <v>100</v>
      </c>
      <c r="AL866" s="122">
        <v>2793</v>
      </c>
      <c r="AM866" s="122">
        <v>1035</v>
      </c>
      <c r="AN866" s="122">
        <v>3954</v>
      </c>
      <c r="AO866" s="122">
        <v>1465</v>
      </c>
      <c r="AP866">
        <v>0</v>
      </c>
      <c r="AQ866">
        <v>0</v>
      </c>
      <c r="AR866" s="122">
        <v>12481</v>
      </c>
      <c r="AS866" s="122">
        <v>11346</v>
      </c>
      <c r="AT866" s="122">
        <v>4986</v>
      </c>
      <c r="AU866" s="122">
        <v>1847</v>
      </c>
      <c r="AV866" s="122">
        <v>23212</v>
      </c>
    </row>
    <row r="867" spans="2:48" hidden="1">
      <c r="B867" t="s">
        <v>368</v>
      </c>
      <c r="C867" t="s">
        <v>58</v>
      </c>
      <c r="D867" t="s">
        <v>426</v>
      </c>
      <c r="E867" t="s">
        <v>426</v>
      </c>
      <c r="F867">
        <v>89</v>
      </c>
      <c r="G867" s="122">
        <v>7935</v>
      </c>
      <c r="H867" s="122">
        <v>23621</v>
      </c>
      <c r="I867" s="122">
        <v>1129772</v>
      </c>
      <c r="J867" s="122">
        <v>1027065</v>
      </c>
      <c r="K867">
        <v>62</v>
      </c>
      <c r="L867" s="122">
        <v>153508</v>
      </c>
      <c r="M867" s="122">
        <v>123771</v>
      </c>
      <c r="N867" s="122">
        <v>152304</v>
      </c>
      <c r="O867" s="122">
        <v>56409</v>
      </c>
      <c r="P867" s="122">
        <v>38556</v>
      </c>
      <c r="Q867" s="122">
        <v>14280</v>
      </c>
      <c r="R867" s="122">
        <v>465140</v>
      </c>
      <c r="S867" s="122">
        <v>422854</v>
      </c>
      <c r="T867" s="122">
        <v>160740</v>
      </c>
      <c r="U867" s="122">
        <v>59533</v>
      </c>
      <c r="V867" s="122">
        <v>1703913</v>
      </c>
      <c r="W867" s="122">
        <f t="shared" si="26"/>
        <v>1703912</v>
      </c>
      <c r="X867" s="122">
        <f t="shared" si="27"/>
        <v>2100020</v>
      </c>
      <c r="Y867" s="122"/>
      <c r="AA867" t="s">
        <v>58</v>
      </c>
      <c r="AB867" t="s">
        <v>137</v>
      </c>
      <c r="AC867" t="s">
        <v>580</v>
      </c>
      <c r="AD867" t="s">
        <v>137</v>
      </c>
      <c r="AE867" t="s">
        <v>566</v>
      </c>
      <c r="AF867">
        <v>10</v>
      </c>
      <c r="AG867" s="122">
        <v>1175</v>
      </c>
      <c r="AH867" s="122">
        <v>2605</v>
      </c>
      <c r="AI867" s="122">
        <v>194763</v>
      </c>
      <c r="AJ867" s="122">
        <v>72134</v>
      </c>
      <c r="AK867">
        <v>139</v>
      </c>
      <c r="AL867" s="122">
        <v>19015</v>
      </c>
      <c r="AM867" s="122">
        <v>17286</v>
      </c>
      <c r="AN867" s="122">
        <v>22612</v>
      </c>
      <c r="AO867" s="122">
        <v>8375</v>
      </c>
      <c r="AP867" s="122">
        <v>2565</v>
      </c>
      <c r="AQ867">
        <v>950</v>
      </c>
      <c r="AR867" s="122">
        <v>71206</v>
      </c>
      <c r="AS867" s="122">
        <v>26373</v>
      </c>
      <c r="AT867">
        <v>0</v>
      </c>
      <c r="AU867">
        <v>0</v>
      </c>
      <c r="AV867" s="122">
        <v>125118</v>
      </c>
    </row>
    <row r="868" spans="2:48" hidden="1">
      <c r="B868" t="s">
        <v>368</v>
      </c>
      <c r="C868" t="s">
        <v>58</v>
      </c>
      <c r="D868" t="s">
        <v>433</v>
      </c>
      <c r="E868" t="s">
        <v>433</v>
      </c>
      <c r="F868">
        <v>3</v>
      </c>
      <c r="G868" s="122">
        <v>274</v>
      </c>
      <c r="H868" s="122">
        <v>762</v>
      </c>
      <c r="I868" s="122">
        <v>41371</v>
      </c>
      <c r="J868" s="122">
        <v>37610</v>
      </c>
      <c r="K868">
        <v>57</v>
      </c>
      <c r="L868" s="122">
        <v>3557</v>
      </c>
      <c r="M868" s="122">
        <v>2036</v>
      </c>
      <c r="N868" s="122">
        <v>5820</v>
      </c>
      <c r="O868" s="122">
        <v>2156</v>
      </c>
      <c r="P868" s="122">
        <v>1053</v>
      </c>
      <c r="Q868" s="122">
        <v>390</v>
      </c>
      <c r="R868" s="122">
        <v>14566</v>
      </c>
      <c r="S868" s="122">
        <v>13242</v>
      </c>
      <c r="T868" s="122">
        <v>7844</v>
      </c>
      <c r="U868" s="122">
        <v>2905</v>
      </c>
      <c r="V868" s="122">
        <v>58338</v>
      </c>
      <c r="W868" s="122">
        <f t="shared" si="26"/>
        <v>58339</v>
      </c>
      <c r="X868" s="122">
        <f t="shared" si="27"/>
        <v>74211</v>
      </c>
      <c r="Y868" s="122"/>
      <c r="AA868" t="s">
        <v>58</v>
      </c>
      <c r="AB868" t="s">
        <v>137</v>
      </c>
      <c r="AC868" t="s">
        <v>580</v>
      </c>
      <c r="AD868" t="s">
        <v>406</v>
      </c>
      <c r="AE868" t="s">
        <v>137</v>
      </c>
      <c r="AF868">
        <v>3</v>
      </c>
      <c r="AG868">
        <v>224</v>
      </c>
      <c r="AH868">
        <v>857</v>
      </c>
      <c r="AI868" s="122">
        <v>40877</v>
      </c>
      <c r="AJ868" s="122">
        <v>15139</v>
      </c>
      <c r="AK868">
        <v>100</v>
      </c>
      <c r="AL868" s="122">
        <v>3946</v>
      </c>
      <c r="AM868" s="122">
        <v>3587</v>
      </c>
      <c r="AN868" s="122">
        <v>4432</v>
      </c>
      <c r="AO868" s="122">
        <v>1641</v>
      </c>
      <c r="AP868">
        <v>621</v>
      </c>
      <c r="AQ868">
        <v>230</v>
      </c>
      <c r="AR868" s="122">
        <v>12189</v>
      </c>
      <c r="AS868" s="122">
        <v>11081</v>
      </c>
      <c r="AT868" s="122">
        <v>6521</v>
      </c>
      <c r="AU868" s="122">
        <v>2415</v>
      </c>
      <c r="AV868" s="122">
        <v>34094</v>
      </c>
    </row>
    <row r="869" spans="2:48" hidden="1">
      <c r="B869" t="s">
        <v>368</v>
      </c>
      <c r="C869" t="s">
        <v>60</v>
      </c>
      <c r="F869">
        <v>3</v>
      </c>
      <c r="G869">
        <v>370</v>
      </c>
      <c r="H869" s="122">
        <v>1009</v>
      </c>
      <c r="I869" s="122"/>
      <c r="J869" s="122">
        <v>0</v>
      </c>
      <c r="L869" s="122"/>
      <c r="M869" s="122">
        <v>0</v>
      </c>
      <c r="N869" s="122">
        <v>6796</v>
      </c>
      <c r="O869" s="122">
        <v>2517</v>
      </c>
      <c r="P869" s="122">
        <v>1863</v>
      </c>
      <c r="Q869">
        <v>690</v>
      </c>
      <c r="R869" s="122"/>
      <c r="S869" s="122">
        <v>0</v>
      </c>
      <c r="T869">
        <v>0</v>
      </c>
      <c r="U869">
        <v>0</v>
      </c>
      <c r="V869" s="122">
        <v>3207</v>
      </c>
      <c r="W869" s="122">
        <f t="shared" si="26"/>
        <v>3207</v>
      </c>
      <c r="X869" s="122">
        <f t="shared" si="27"/>
        <v>8659</v>
      </c>
      <c r="Y869" s="122"/>
      <c r="AA869" t="s">
        <v>58</v>
      </c>
      <c r="AB869" t="s">
        <v>137</v>
      </c>
      <c r="AC869" t="s">
        <v>580</v>
      </c>
      <c r="AD869" t="s">
        <v>406</v>
      </c>
      <c r="AE869" t="s">
        <v>566</v>
      </c>
      <c r="AF869">
        <v>1</v>
      </c>
      <c r="AG869">
        <v>105</v>
      </c>
      <c r="AH869">
        <v>244</v>
      </c>
      <c r="AI869" s="122">
        <v>17331</v>
      </c>
      <c r="AJ869" s="122">
        <v>6419</v>
      </c>
      <c r="AK869">
        <v>100</v>
      </c>
      <c r="AL869">
        <v>918</v>
      </c>
      <c r="AM869">
        <v>834</v>
      </c>
      <c r="AN869" s="122">
        <v>1893</v>
      </c>
      <c r="AO869">
        <v>701</v>
      </c>
      <c r="AP869">
        <v>621</v>
      </c>
      <c r="AQ869">
        <v>230</v>
      </c>
      <c r="AR869" s="122">
        <v>4814</v>
      </c>
      <c r="AS869" s="122">
        <v>4377</v>
      </c>
      <c r="AT869">
        <v>0</v>
      </c>
      <c r="AU869">
        <v>0</v>
      </c>
      <c r="AV869" s="122">
        <v>12561</v>
      </c>
    </row>
    <row r="870" spans="2:48" hidden="1">
      <c r="B870" t="s">
        <v>368</v>
      </c>
      <c r="C870" t="s">
        <v>60</v>
      </c>
      <c r="D870" t="s">
        <v>555</v>
      </c>
      <c r="E870" t="s">
        <v>555</v>
      </c>
      <c r="F870">
        <v>2</v>
      </c>
      <c r="G870" s="122">
        <v>167</v>
      </c>
      <c r="H870" s="122">
        <v>614</v>
      </c>
      <c r="I870" s="122">
        <v>28594</v>
      </c>
      <c r="J870" s="122">
        <v>25995</v>
      </c>
      <c r="K870">
        <v>55</v>
      </c>
      <c r="L870" s="122">
        <v>1602</v>
      </c>
      <c r="M870" s="122">
        <v>2769</v>
      </c>
      <c r="N870" s="122">
        <v>3367</v>
      </c>
      <c r="O870" s="122">
        <v>1247</v>
      </c>
      <c r="P870">
        <v>702</v>
      </c>
      <c r="Q870">
        <v>260</v>
      </c>
      <c r="R870" s="122">
        <v>11111</v>
      </c>
      <c r="S870" s="122">
        <v>10101</v>
      </c>
      <c r="T870" s="122">
        <v>5757</v>
      </c>
      <c r="U870" s="122">
        <v>2132</v>
      </c>
      <c r="V870" s="122">
        <v>42504</v>
      </c>
      <c r="W870" s="122">
        <f t="shared" si="26"/>
        <v>42504</v>
      </c>
      <c r="X870" s="122">
        <f t="shared" si="27"/>
        <v>51133</v>
      </c>
      <c r="Y870" s="122"/>
      <c r="AA870" t="s">
        <v>58</v>
      </c>
      <c r="AB870" t="s">
        <v>137</v>
      </c>
      <c r="AC870" t="s">
        <v>427</v>
      </c>
      <c r="AD870" t="s">
        <v>137</v>
      </c>
      <c r="AE870" t="s">
        <v>137</v>
      </c>
      <c r="AF870">
        <v>28</v>
      </c>
      <c r="AG870" s="122">
        <v>2820</v>
      </c>
      <c r="AH870" s="122">
        <v>7567</v>
      </c>
      <c r="AI870" s="122">
        <v>434550</v>
      </c>
      <c r="AJ870" s="122">
        <v>160945</v>
      </c>
      <c r="AK870">
        <v>100</v>
      </c>
      <c r="AL870" s="122">
        <v>61923</v>
      </c>
      <c r="AM870" s="122">
        <v>56293</v>
      </c>
      <c r="AN870" s="122">
        <v>53817</v>
      </c>
      <c r="AO870" s="122">
        <v>19932</v>
      </c>
      <c r="AP870">
        <v>0</v>
      </c>
      <c r="AQ870">
        <v>0</v>
      </c>
      <c r="AR870" s="122">
        <v>193220</v>
      </c>
      <c r="AS870" s="122">
        <v>71563</v>
      </c>
      <c r="AT870" s="122">
        <v>16041</v>
      </c>
      <c r="AU870" s="122">
        <v>5941</v>
      </c>
      <c r="AV870" s="122">
        <v>314674</v>
      </c>
    </row>
    <row r="871" spans="2:48" hidden="1">
      <c r="B871" t="s">
        <v>368</v>
      </c>
      <c r="C871" t="s">
        <v>60</v>
      </c>
      <c r="D871" t="s">
        <v>425</v>
      </c>
      <c r="E871" t="s">
        <v>425</v>
      </c>
      <c r="F871">
        <v>7</v>
      </c>
      <c r="G871" s="122">
        <v>723</v>
      </c>
      <c r="H871" s="122">
        <v>2355</v>
      </c>
      <c r="I871" s="122">
        <v>146610</v>
      </c>
      <c r="J871" s="122">
        <v>133282</v>
      </c>
      <c r="K871">
        <v>75</v>
      </c>
      <c r="L871" s="122">
        <v>33140</v>
      </c>
      <c r="M871" s="122">
        <v>25803</v>
      </c>
      <c r="N871" s="122">
        <v>14310</v>
      </c>
      <c r="O871" s="122">
        <v>5300</v>
      </c>
      <c r="P871" s="122">
        <v>3308</v>
      </c>
      <c r="Q871" s="122">
        <v>1225</v>
      </c>
      <c r="R871" s="122">
        <v>37301</v>
      </c>
      <c r="S871" s="122">
        <v>33910</v>
      </c>
      <c r="T871" s="122">
        <v>10010</v>
      </c>
      <c r="U871" s="122">
        <v>3707</v>
      </c>
      <c r="V871" s="122">
        <v>203228</v>
      </c>
      <c r="W871" s="122">
        <f t="shared" si="26"/>
        <v>203227</v>
      </c>
      <c r="X871" s="122">
        <f t="shared" si="27"/>
        <v>244679</v>
      </c>
      <c r="Y871" s="122"/>
      <c r="AA871" t="s">
        <v>58</v>
      </c>
      <c r="AB871" t="s">
        <v>137</v>
      </c>
      <c r="AC871" t="s">
        <v>427</v>
      </c>
      <c r="AD871" t="s">
        <v>137</v>
      </c>
      <c r="AE871" t="s">
        <v>566</v>
      </c>
      <c r="AF871">
        <v>232</v>
      </c>
      <c r="AG871" s="122">
        <v>22943</v>
      </c>
      <c r="AH871" s="122">
        <v>62422</v>
      </c>
      <c r="AI871" s="122">
        <v>3459244</v>
      </c>
      <c r="AJ871" s="122">
        <v>1281202</v>
      </c>
      <c r="AK871">
        <v>100</v>
      </c>
      <c r="AL871" s="122">
        <v>560668</v>
      </c>
      <c r="AM871" s="122">
        <v>509698</v>
      </c>
      <c r="AN871" s="122">
        <v>474779</v>
      </c>
      <c r="AO871" s="122">
        <v>175844</v>
      </c>
      <c r="AP871" s="122">
        <v>8034</v>
      </c>
      <c r="AQ871" s="122">
        <v>2976</v>
      </c>
      <c r="AR871" s="122">
        <v>1670101</v>
      </c>
      <c r="AS871" s="122">
        <v>618556</v>
      </c>
      <c r="AT871">
        <v>0</v>
      </c>
      <c r="AU871">
        <v>0</v>
      </c>
      <c r="AV871" s="122">
        <v>2588276</v>
      </c>
    </row>
    <row r="872" spans="2:48" hidden="1">
      <c r="B872" t="s">
        <v>368</v>
      </c>
      <c r="C872" t="s">
        <v>60</v>
      </c>
      <c r="D872" t="s">
        <v>405</v>
      </c>
      <c r="E872" t="s">
        <v>425</v>
      </c>
      <c r="F872" s="122">
        <v>1</v>
      </c>
      <c r="G872" s="122">
        <v>90</v>
      </c>
      <c r="H872" s="122">
        <v>305</v>
      </c>
      <c r="I872" s="122">
        <v>14350</v>
      </c>
      <c r="J872" s="122">
        <v>13045</v>
      </c>
      <c r="K872">
        <v>65</v>
      </c>
      <c r="L872" s="122">
        <v>3285</v>
      </c>
      <c r="M872" s="122">
        <v>2986</v>
      </c>
      <c r="N872" s="122">
        <v>2096</v>
      </c>
      <c r="O872" s="122">
        <v>776</v>
      </c>
      <c r="P872" s="122">
        <v>473</v>
      </c>
      <c r="Q872" s="122">
        <v>175</v>
      </c>
      <c r="R872" s="122">
        <v>4707</v>
      </c>
      <c r="S872" s="122">
        <v>4279</v>
      </c>
      <c r="T872" s="122">
        <v>2427</v>
      </c>
      <c r="U872" s="122">
        <v>899</v>
      </c>
      <c r="V872" s="122">
        <v>22161</v>
      </c>
      <c r="W872" s="122">
        <f t="shared" si="26"/>
        <v>22160</v>
      </c>
      <c r="X872" s="122">
        <f t="shared" si="27"/>
        <v>27338</v>
      </c>
      <c r="Y872" s="122"/>
      <c r="AA872" t="s">
        <v>58</v>
      </c>
      <c r="AB872" t="s">
        <v>137</v>
      </c>
      <c r="AC872" t="s">
        <v>427</v>
      </c>
      <c r="AD872" t="s">
        <v>427</v>
      </c>
      <c r="AE872" t="s">
        <v>137</v>
      </c>
      <c r="AF872">
        <v>9</v>
      </c>
      <c r="AG872">
        <v>713</v>
      </c>
      <c r="AH872" s="122">
        <v>2513</v>
      </c>
      <c r="AI872" s="122">
        <v>100664</v>
      </c>
      <c r="AJ872" s="122">
        <v>37283</v>
      </c>
      <c r="AK872">
        <v>100</v>
      </c>
      <c r="AL872" s="122">
        <v>16716</v>
      </c>
      <c r="AM872" s="122">
        <v>15196</v>
      </c>
      <c r="AN872" s="122">
        <v>12566</v>
      </c>
      <c r="AO872" s="122">
        <v>4654</v>
      </c>
      <c r="AP872" s="122">
        <v>1053</v>
      </c>
      <c r="AQ872">
        <v>390</v>
      </c>
      <c r="AR872" s="122">
        <v>46646</v>
      </c>
      <c r="AS872" s="122">
        <v>42405</v>
      </c>
      <c r="AT872" s="122">
        <v>21161</v>
      </c>
      <c r="AU872" s="122">
        <v>7837</v>
      </c>
      <c r="AV872" s="122">
        <v>107766</v>
      </c>
    </row>
    <row r="873" spans="2:48" hidden="1">
      <c r="B873" t="s">
        <v>368</v>
      </c>
      <c r="C873" t="s">
        <v>60</v>
      </c>
      <c r="D873" t="s">
        <v>405</v>
      </c>
      <c r="E873" t="s">
        <v>405</v>
      </c>
      <c r="F873">
        <v>7</v>
      </c>
      <c r="G873" s="122">
        <v>875</v>
      </c>
      <c r="H873" s="122">
        <v>2326</v>
      </c>
      <c r="I873" s="122">
        <v>180116</v>
      </c>
      <c r="J873" s="122">
        <v>163742</v>
      </c>
      <c r="K873">
        <v>76</v>
      </c>
      <c r="L873" s="122">
        <v>36615</v>
      </c>
      <c r="M873" s="122">
        <v>33000</v>
      </c>
      <c r="N873" s="122">
        <v>18708</v>
      </c>
      <c r="O873" s="122">
        <v>6929</v>
      </c>
      <c r="P873" s="122">
        <v>3213</v>
      </c>
      <c r="Q873" s="122">
        <v>1190</v>
      </c>
      <c r="R873" s="122">
        <v>41883</v>
      </c>
      <c r="S873" s="122">
        <v>38075</v>
      </c>
      <c r="T873" s="122">
        <v>10080</v>
      </c>
      <c r="U873" s="122">
        <v>3733</v>
      </c>
      <c r="V873" s="122">
        <v>246670</v>
      </c>
      <c r="W873" s="122">
        <f t="shared" si="26"/>
        <v>246669</v>
      </c>
      <c r="X873" s="122">
        <f t="shared" si="27"/>
        <v>290615</v>
      </c>
      <c r="Y873" s="122"/>
      <c r="AA873" t="s">
        <v>58</v>
      </c>
      <c r="AB873" t="s">
        <v>137</v>
      </c>
      <c r="AC873" t="s">
        <v>427</v>
      </c>
      <c r="AD873" t="s">
        <v>427</v>
      </c>
      <c r="AE873" t="s">
        <v>566</v>
      </c>
      <c r="AF873">
        <v>3</v>
      </c>
      <c r="AG873">
        <v>254</v>
      </c>
      <c r="AH873">
        <v>778</v>
      </c>
      <c r="AI873" s="122">
        <v>38243</v>
      </c>
      <c r="AJ873" s="122">
        <v>14164</v>
      </c>
      <c r="AK873">
        <v>100</v>
      </c>
      <c r="AL873" s="122">
        <v>3172</v>
      </c>
      <c r="AM873" s="122">
        <v>2884</v>
      </c>
      <c r="AN873" s="122">
        <v>5244</v>
      </c>
      <c r="AO873" s="122">
        <v>1942</v>
      </c>
      <c r="AP873">
        <v>351</v>
      </c>
      <c r="AQ873">
        <v>130</v>
      </c>
      <c r="AR873" s="122">
        <v>20780</v>
      </c>
      <c r="AS873" s="122">
        <v>18891</v>
      </c>
      <c r="AT873">
        <v>0</v>
      </c>
      <c r="AU873">
        <v>0</v>
      </c>
      <c r="AV873" s="122">
        <v>38011</v>
      </c>
    </row>
    <row r="874" spans="2:48" hidden="1">
      <c r="B874" t="s">
        <v>368</v>
      </c>
      <c r="C874" t="s">
        <v>60</v>
      </c>
      <c r="D874" t="s">
        <v>137</v>
      </c>
      <c r="E874" t="s">
        <v>137</v>
      </c>
      <c r="F874">
        <v>399</v>
      </c>
      <c r="G874" s="122">
        <v>33541</v>
      </c>
      <c r="H874" s="122">
        <v>134822</v>
      </c>
      <c r="I874" s="122">
        <v>6973089</v>
      </c>
      <c r="J874" s="122">
        <v>2582625</v>
      </c>
      <c r="K874">
        <v>100</v>
      </c>
      <c r="L874" s="122">
        <v>1046752</v>
      </c>
      <c r="M874" s="122">
        <v>668989</v>
      </c>
      <c r="N874" s="122">
        <v>686055</v>
      </c>
      <c r="O874" s="122">
        <v>254094</v>
      </c>
      <c r="P874" s="122">
        <v>6270</v>
      </c>
      <c r="Q874" s="122">
        <v>2322</v>
      </c>
      <c r="R874" s="122">
        <v>2786415</v>
      </c>
      <c r="S874" s="122">
        <v>1032006</v>
      </c>
      <c r="T874" s="122">
        <v>5509</v>
      </c>
      <c r="U874" s="122">
        <v>2040</v>
      </c>
      <c r="V874" s="122">
        <v>4542076</v>
      </c>
      <c r="W874" s="122">
        <f t="shared" si="26"/>
        <v>4542076</v>
      </c>
      <c r="X874" s="122">
        <f t="shared" si="27"/>
        <v>11504090</v>
      </c>
      <c r="Y874" s="122"/>
      <c r="AA874" t="s">
        <v>58</v>
      </c>
      <c r="AB874" t="s">
        <v>137</v>
      </c>
      <c r="AC874" t="s">
        <v>407</v>
      </c>
      <c r="AD874" t="s">
        <v>137</v>
      </c>
      <c r="AE874" t="s">
        <v>137</v>
      </c>
      <c r="AF874">
        <v>3</v>
      </c>
      <c r="AG874">
        <v>313</v>
      </c>
      <c r="AH874">
        <v>788</v>
      </c>
      <c r="AI874" s="122">
        <v>44996</v>
      </c>
      <c r="AJ874" s="122">
        <v>16665</v>
      </c>
      <c r="AK874">
        <v>100</v>
      </c>
      <c r="AL874" s="122">
        <v>4428</v>
      </c>
      <c r="AM874" s="122">
        <v>4026</v>
      </c>
      <c r="AN874" s="122">
        <v>7139</v>
      </c>
      <c r="AO874" s="122">
        <v>2644</v>
      </c>
      <c r="AP874">
        <v>0</v>
      </c>
      <c r="AQ874">
        <v>0</v>
      </c>
      <c r="AR874" s="122">
        <v>25404</v>
      </c>
      <c r="AS874" s="122">
        <v>9409</v>
      </c>
      <c r="AT874">
        <v>0</v>
      </c>
      <c r="AU874">
        <v>0</v>
      </c>
      <c r="AV874" s="122">
        <v>32743</v>
      </c>
    </row>
    <row r="875" spans="2:48" hidden="1">
      <c r="B875" t="s">
        <v>368</v>
      </c>
      <c r="C875" t="s">
        <v>60</v>
      </c>
      <c r="D875" t="s">
        <v>137</v>
      </c>
      <c r="E875" t="s">
        <v>407</v>
      </c>
      <c r="F875">
        <v>1</v>
      </c>
      <c r="G875">
        <v>156</v>
      </c>
      <c r="H875">
        <v>364</v>
      </c>
      <c r="I875" s="122">
        <v>35835</v>
      </c>
      <c r="J875" s="122">
        <v>13272</v>
      </c>
      <c r="K875">
        <v>100</v>
      </c>
      <c r="L875" s="122">
        <v>8959</v>
      </c>
      <c r="M875" s="122">
        <v>3318</v>
      </c>
      <c r="N875" s="122">
        <v>2399</v>
      </c>
      <c r="O875" s="122">
        <v>889</v>
      </c>
      <c r="P875" s="122">
        <v>122</v>
      </c>
      <c r="Q875" s="122">
        <v>45</v>
      </c>
      <c r="R875" s="122">
        <v>9622</v>
      </c>
      <c r="S875" s="122">
        <v>8747</v>
      </c>
      <c r="T875" s="122">
        <v>0</v>
      </c>
      <c r="U875" s="122">
        <v>0</v>
      </c>
      <c r="V875" s="122">
        <v>26271</v>
      </c>
      <c r="W875" s="122">
        <f t="shared" si="26"/>
        <v>26271</v>
      </c>
      <c r="X875" s="122">
        <f t="shared" si="27"/>
        <v>56937</v>
      </c>
      <c r="Y875" s="122"/>
      <c r="AA875" t="s">
        <v>58</v>
      </c>
      <c r="AB875" t="s">
        <v>137</v>
      </c>
      <c r="AC875" t="s">
        <v>407</v>
      </c>
      <c r="AD875" t="s">
        <v>137</v>
      </c>
      <c r="AE875" t="s">
        <v>566</v>
      </c>
      <c r="AF875">
        <v>38</v>
      </c>
      <c r="AG875" s="122">
        <v>4080</v>
      </c>
      <c r="AH875" s="122">
        <v>10412</v>
      </c>
      <c r="AI875" s="122">
        <v>606682</v>
      </c>
      <c r="AJ875" s="122">
        <v>224697</v>
      </c>
      <c r="AK875">
        <v>115</v>
      </c>
      <c r="AL875" s="122">
        <v>154653</v>
      </c>
      <c r="AM875" s="122">
        <v>140594</v>
      </c>
      <c r="AN875" s="122">
        <v>88915</v>
      </c>
      <c r="AO875" s="122">
        <v>32931</v>
      </c>
      <c r="AP875" s="122">
        <v>1422</v>
      </c>
      <c r="AQ875">
        <v>527</v>
      </c>
      <c r="AR875" s="122">
        <v>274648</v>
      </c>
      <c r="AS875" s="122">
        <v>101722</v>
      </c>
      <c r="AT875">
        <v>0</v>
      </c>
      <c r="AU875">
        <v>0</v>
      </c>
      <c r="AV875" s="122">
        <v>500470</v>
      </c>
    </row>
    <row r="876" spans="2:48" hidden="1">
      <c r="B876" t="s">
        <v>368</v>
      </c>
      <c r="C876" t="s">
        <v>60</v>
      </c>
      <c r="D876" t="s">
        <v>137</v>
      </c>
      <c r="E876" t="s">
        <v>556</v>
      </c>
      <c r="F876">
        <v>2</v>
      </c>
      <c r="G876" s="122">
        <v>153</v>
      </c>
      <c r="H876" s="122">
        <v>669</v>
      </c>
      <c r="I876" s="122">
        <v>28327</v>
      </c>
      <c r="J876" s="122">
        <v>10492</v>
      </c>
      <c r="K876">
        <v>100</v>
      </c>
      <c r="L876" s="122">
        <v>4146</v>
      </c>
      <c r="M876" s="122">
        <v>3455</v>
      </c>
      <c r="N876" s="122">
        <v>3125</v>
      </c>
      <c r="O876" s="122">
        <v>1157</v>
      </c>
      <c r="P876" s="122">
        <v>351</v>
      </c>
      <c r="Q876" s="122">
        <v>130</v>
      </c>
      <c r="R876" s="122">
        <v>10594</v>
      </c>
      <c r="S876" s="122">
        <v>8828</v>
      </c>
      <c r="T876" s="122">
        <v>4494</v>
      </c>
      <c r="U876" s="122">
        <v>1664</v>
      </c>
      <c r="V876" s="122">
        <v>25727</v>
      </c>
      <c r="W876" s="122">
        <f t="shared" si="26"/>
        <v>25726</v>
      </c>
      <c r="X876" s="122">
        <f t="shared" si="27"/>
        <v>51037</v>
      </c>
      <c r="Y876" s="122"/>
      <c r="AA876" t="s">
        <v>58</v>
      </c>
      <c r="AB876" t="s">
        <v>137</v>
      </c>
      <c r="AC876" t="s">
        <v>407</v>
      </c>
      <c r="AD876" t="s">
        <v>407</v>
      </c>
      <c r="AE876" t="s">
        <v>137</v>
      </c>
      <c r="AF876">
        <v>1</v>
      </c>
      <c r="AG876">
        <v>111</v>
      </c>
      <c r="AH876">
        <v>296</v>
      </c>
      <c r="AI876" s="122">
        <v>21951</v>
      </c>
      <c r="AJ876" s="122">
        <v>8130</v>
      </c>
      <c r="AK876">
        <v>100</v>
      </c>
      <c r="AL876" s="122">
        <v>2841</v>
      </c>
      <c r="AM876" s="122">
        <v>2583</v>
      </c>
      <c r="AN876" s="122">
        <v>2035</v>
      </c>
      <c r="AO876">
        <v>754</v>
      </c>
      <c r="AP876">
        <v>473</v>
      </c>
      <c r="AQ876">
        <v>175</v>
      </c>
      <c r="AR876" s="122">
        <v>3553</v>
      </c>
      <c r="AS876" s="122">
        <v>3230</v>
      </c>
      <c r="AT876" s="122">
        <v>2125</v>
      </c>
      <c r="AU876">
        <v>787</v>
      </c>
      <c r="AV876" s="122">
        <v>15659</v>
      </c>
    </row>
    <row r="877" spans="2:48" hidden="1">
      <c r="B877" t="s">
        <v>368</v>
      </c>
      <c r="C877" t="s">
        <v>60</v>
      </c>
      <c r="D877" t="s">
        <v>137</v>
      </c>
      <c r="E877" t="s">
        <v>431</v>
      </c>
      <c r="F877">
        <v>1</v>
      </c>
      <c r="G877">
        <v>75</v>
      </c>
      <c r="H877" s="122">
        <v>347</v>
      </c>
      <c r="I877" s="122">
        <v>14602</v>
      </c>
      <c r="J877" s="122">
        <v>5408</v>
      </c>
      <c r="K877">
        <v>100</v>
      </c>
      <c r="L877" s="122">
        <v>1469</v>
      </c>
      <c r="M877" s="122">
        <v>1335</v>
      </c>
      <c r="N877" s="122">
        <v>911</v>
      </c>
      <c r="O877" s="122">
        <v>337</v>
      </c>
      <c r="P877" s="122">
        <v>0</v>
      </c>
      <c r="Q877" s="122">
        <v>0</v>
      </c>
      <c r="R877" s="122">
        <v>6504</v>
      </c>
      <c r="S877" s="122">
        <v>5913</v>
      </c>
      <c r="T877" s="122">
        <v>2451</v>
      </c>
      <c r="U877">
        <v>908</v>
      </c>
      <c r="V877" s="122">
        <v>13902</v>
      </c>
      <c r="W877" s="122">
        <f t="shared" si="26"/>
        <v>13901</v>
      </c>
      <c r="X877" s="122">
        <f t="shared" si="27"/>
        <v>25937</v>
      </c>
      <c r="Y877" s="122"/>
      <c r="AA877" t="s">
        <v>58</v>
      </c>
      <c r="AB877" t="s">
        <v>137</v>
      </c>
      <c r="AC877" t="s">
        <v>579</v>
      </c>
      <c r="AD877" t="s">
        <v>137</v>
      </c>
      <c r="AE877" t="s">
        <v>137</v>
      </c>
      <c r="AF877">
        <v>27</v>
      </c>
      <c r="AG877" s="122">
        <v>2452</v>
      </c>
      <c r="AH877" s="122">
        <v>7386</v>
      </c>
      <c r="AI877" s="122">
        <v>359056</v>
      </c>
      <c r="AJ877" s="122">
        <v>132984</v>
      </c>
      <c r="AK877">
        <v>100</v>
      </c>
      <c r="AL877" s="122">
        <v>59628</v>
      </c>
      <c r="AM877" s="122">
        <v>49690</v>
      </c>
      <c r="AN877" s="122">
        <v>50488</v>
      </c>
      <c r="AO877" s="122">
        <v>18699</v>
      </c>
      <c r="AP877">
        <v>702</v>
      </c>
      <c r="AQ877">
        <v>260</v>
      </c>
      <c r="AR877" s="122">
        <v>193213</v>
      </c>
      <c r="AS877" s="122">
        <v>71560</v>
      </c>
      <c r="AT877" s="122">
        <v>11855</v>
      </c>
      <c r="AU877" s="122">
        <v>4391</v>
      </c>
      <c r="AV877" s="122">
        <v>277584</v>
      </c>
    </row>
    <row r="878" spans="2:48" hidden="1">
      <c r="B878" t="s">
        <v>368</v>
      </c>
      <c r="C878" t="s">
        <v>60</v>
      </c>
      <c r="D878" t="s">
        <v>137</v>
      </c>
      <c r="E878" t="s">
        <v>426</v>
      </c>
      <c r="F878">
        <v>10</v>
      </c>
      <c r="G878">
        <v>720</v>
      </c>
      <c r="H878" s="122">
        <v>3453</v>
      </c>
      <c r="I878" s="122">
        <v>140904</v>
      </c>
      <c r="J878" s="122">
        <v>52187</v>
      </c>
      <c r="K878">
        <v>100</v>
      </c>
      <c r="L878" s="122">
        <v>18772</v>
      </c>
      <c r="M878" s="122">
        <v>13584</v>
      </c>
      <c r="N878" s="122">
        <v>13325</v>
      </c>
      <c r="O878" s="122">
        <v>4935</v>
      </c>
      <c r="P878">
        <v>351</v>
      </c>
      <c r="Q878">
        <v>130</v>
      </c>
      <c r="R878" s="122">
        <v>54571</v>
      </c>
      <c r="S878" s="122">
        <v>49610</v>
      </c>
      <c r="T878" s="122">
        <v>18682</v>
      </c>
      <c r="U878" s="122">
        <v>6919</v>
      </c>
      <c r="V878" s="122">
        <v>127364</v>
      </c>
      <c r="W878" s="122">
        <f t="shared" si="26"/>
        <v>127365</v>
      </c>
      <c r="X878" s="122">
        <f t="shared" si="27"/>
        <v>246605</v>
      </c>
      <c r="Y878" s="122"/>
      <c r="AA878" t="s">
        <v>58</v>
      </c>
      <c r="AB878" t="s">
        <v>137</v>
      </c>
      <c r="AC878" t="s">
        <v>579</v>
      </c>
      <c r="AD878" t="s">
        <v>137</v>
      </c>
      <c r="AE878" t="s">
        <v>566</v>
      </c>
      <c r="AF878">
        <v>629</v>
      </c>
      <c r="AG878" s="122">
        <v>55823</v>
      </c>
      <c r="AH878" s="122">
        <v>167813</v>
      </c>
      <c r="AI878" s="122">
        <v>7822999</v>
      </c>
      <c r="AJ878" s="122">
        <v>2897407</v>
      </c>
      <c r="AK878">
        <v>104</v>
      </c>
      <c r="AL878" s="122">
        <v>1513982</v>
      </c>
      <c r="AM878" s="122">
        <v>1261651</v>
      </c>
      <c r="AN878" s="122">
        <v>1102576</v>
      </c>
      <c r="AO878" s="122">
        <v>408361</v>
      </c>
      <c r="AP878" s="122">
        <v>11944</v>
      </c>
      <c r="AQ878" s="122">
        <v>4424</v>
      </c>
      <c r="AR878" s="122">
        <v>4564773</v>
      </c>
      <c r="AS878" s="122">
        <v>1690657</v>
      </c>
      <c r="AT878">
        <v>0</v>
      </c>
      <c r="AU878">
        <v>0</v>
      </c>
      <c r="AV878" s="122">
        <v>6262500</v>
      </c>
    </row>
    <row r="879" spans="2:48" hidden="1">
      <c r="B879" t="s">
        <v>368</v>
      </c>
      <c r="C879" t="s">
        <v>60</v>
      </c>
      <c r="D879" t="s">
        <v>406</v>
      </c>
      <c r="E879" t="s">
        <v>425</v>
      </c>
      <c r="F879" s="122">
        <v>1</v>
      </c>
      <c r="G879" s="122">
        <v>43</v>
      </c>
      <c r="H879" s="122">
        <v>324</v>
      </c>
      <c r="I879" s="122">
        <v>5101</v>
      </c>
      <c r="J879" s="122">
        <v>4638</v>
      </c>
      <c r="K879">
        <v>83</v>
      </c>
      <c r="L879" s="122">
        <v>993</v>
      </c>
      <c r="M879" s="122">
        <v>902</v>
      </c>
      <c r="N879" s="122">
        <v>945</v>
      </c>
      <c r="O879" s="122">
        <v>350</v>
      </c>
      <c r="P879" s="122">
        <v>972</v>
      </c>
      <c r="Q879" s="122">
        <v>360</v>
      </c>
      <c r="R879" s="122">
        <v>3614</v>
      </c>
      <c r="S879" s="122">
        <v>3286</v>
      </c>
      <c r="T879" s="122">
        <v>2358</v>
      </c>
      <c r="U879" s="122">
        <v>873</v>
      </c>
      <c r="V879" s="122">
        <v>10409</v>
      </c>
      <c r="W879" s="122">
        <f t="shared" si="26"/>
        <v>10409</v>
      </c>
      <c r="X879" s="122">
        <f t="shared" si="27"/>
        <v>13983</v>
      </c>
      <c r="Y879" s="122"/>
      <c r="AA879" t="s">
        <v>58</v>
      </c>
      <c r="AB879" t="s">
        <v>137</v>
      </c>
      <c r="AC879" t="s">
        <v>579</v>
      </c>
      <c r="AD879" t="s">
        <v>579</v>
      </c>
      <c r="AE879" t="s">
        <v>137</v>
      </c>
      <c r="AF879">
        <v>29</v>
      </c>
      <c r="AG879" s="122">
        <v>1803</v>
      </c>
      <c r="AH879" s="122">
        <v>7767</v>
      </c>
      <c r="AI879" s="122">
        <v>212894</v>
      </c>
      <c r="AJ879" s="122">
        <v>78850</v>
      </c>
      <c r="AK879">
        <v>205</v>
      </c>
      <c r="AL879" s="122">
        <v>34875</v>
      </c>
      <c r="AM879" s="122">
        <v>29062</v>
      </c>
      <c r="AN879" s="122">
        <v>33930</v>
      </c>
      <c r="AO879" s="122">
        <v>12567</v>
      </c>
      <c r="AP879" s="122">
        <v>4204</v>
      </c>
      <c r="AQ879" s="122">
        <v>1557</v>
      </c>
      <c r="AR879" s="122">
        <v>144870</v>
      </c>
      <c r="AS879" s="122">
        <v>120725</v>
      </c>
      <c r="AT879" s="122">
        <v>59179</v>
      </c>
      <c r="AU879" s="122">
        <v>21918</v>
      </c>
      <c r="AV879" s="122">
        <v>264678</v>
      </c>
    </row>
    <row r="880" spans="2:48" hidden="1">
      <c r="B880" t="s">
        <v>368</v>
      </c>
      <c r="C880" t="s">
        <v>60</v>
      </c>
      <c r="D880" t="s">
        <v>406</v>
      </c>
      <c r="E880" t="s">
        <v>137</v>
      </c>
      <c r="F880">
        <v>9</v>
      </c>
      <c r="G880">
        <v>666</v>
      </c>
      <c r="H880" s="122">
        <v>3030</v>
      </c>
      <c r="I880" s="122">
        <v>112231</v>
      </c>
      <c r="J880" s="122">
        <v>102028</v>
      </c>
      <c r="K880">
        <v>85</v>
      </c>
      <c r="L880" s="122">
        <v>32327</v>
      </c>
      <c r="M880" s="122">
        <v>22435</v>
      </c>
      <c r="N880" s="122">
        <v>13587</v>
      </c>
      <c r="O880" s="122">
        <v>5032</v>
      </c>
      <c r="P880" s="122">
        <v>5589</v>
      </c>
      <c r="Q880" s="122">
        <v>2070</v>
      </c>
      <c r="R880" s="122">
        <v>61611</v>
      </c>
      <c r="S880" s="122">
        <v>22819</v>
      </c>
      <c r="T880">
        <v>0</v>
      </c>
      <c r="U880">
        <v>0</v>
      </c>
      <c r="V880" s="122">
        <v>154384</v>
      </c>
      <c r="W880" s="122">
        <f t="shared" si="26"/>
        <v>154384</v>
      </c>
      <c r="X880" s="122">
        <f t="shared" si="27"/>
        <v>225345</v>
      </c>
      <c r="Y880" s="122"/>
      <c r="AA880" t="s">
        <v>58</v>
      </c>
      <c r="AB880" t="s">
        <v>137</v>
      </c>
      <c r="AC880" t="s">
        <v>579</v>
      </c>
      <c r="AD880" t="s">
        <v>579</v>
      </c>
      <c r="AE880" t="s">
        <v>566</v>
      </c>
      <c r="AF880">
        <v>1</v>
      </c>
      <c r="AG880">
        <v>84</v>
      </c>
      <c r="AH880">
        <v>256</v>
      </c>
      <c r="AI880" s="122">
        <v>10647</v>
      </c>
      <c r="AJ880" s="122">
        <v>3943</v>
      </c>
      <c r="AK880">
        <v>100</v>
      </c>
      <c r="AL880" s="122">
        <v>2366</v>
      </c>
      <c r="AM880" s="122">
        <v>1972</v>
      </c>
      <c r="AN880" s="122">
        <v>1833</v>
      </c>
      <c r="AO880">
        <v>679</v>
      </c>
      <c r="AP880">
        <v>0</v>
      </c>
      <c r="AQ880">
        <v>0</v>
      </c>
      <c r="AR880" s="122">
        <v>6511</v>
      </c>
      <c r="AS880" s="122">
        <v>5426</v>
      </c>
      <c r="AT880">
        <v>0</v>
      </c>
      <c r="AU880">
        <v>0</v>
      </c>
      <c r="AV880" s="122">
        <v>12019</v>
      </c>
    </row>
    <row r="881" spans="2:48" hidden="1">
      <c r="B881" t="s">
        <v>368</v>
      </c>
      <c r="C881" t="s">
        <v>60</v>
      </c>
      <c r="D881" t="s">
        <v>406</v>
      </c>
      <c r="E881" t="s">
        <v>406</v>
      </c>
      <c r="F881">
        <v>773</v>
      </c>
      <c r="G881" s="122">
        <v>72277</v>
      </c>
      <c r="H881" s="122">
        <v>258567</v>
      </c>
      <c r="I881" s="122">
        <v>14226203</v>
      </c>
      <c r="J881" s="122">
        <v>12932911</v>
      </c>
      <c r="K881">
        <v>76</v>
      </c>
      <c r="L881" s="122">
        <v>3029454</v>
      </c>
      <c r="M881" s="122">
        <v>2576832</v>
      </c>
      <c r="N881" s="122">
        <v>1511831</v>
      </c>
      <c r="O881" s="122">
        <v>559937</v>
      </c>
      <c r="P881" s="122">
        <v>501126</v>
      </c>
      <c r="Q881" s="122">
        <v>185602</v>
      </c>
      <c r="R881" s="122">
        <v>3730743</v>
      </c>
      <c r="S881" s="122">
        <v>3391585</v>
      </c>
      <c r="T881" s="122">
        <v>1340421</v>
      </c>
      <c r="U881" s="122">
        <v>496452</v>
      </c>
      <c r="V881" s="122">
        <v>20143320</v>
      </c>
      <c r="W881" s="122">
        <f t="shared" si="26"/>
        <v>20143319</v>
      </c>
      <c r="X881" s="122">
        <f t="shared" si="27"/>
        <v>24339778</v>
      </c>
      <c r="Y881" s="122"/>
      <c r="AA881" t="s">
        <v>58</v>
      </c>
      <c r="AB881" t="s">
        <v>137</v>
      </c>
      <c r="AC881" t="s">
        <v>428</v>
      </c>
      <c r="AD881" t="s">
        <v>137</v>
      </c>
      <c r="AE881" t="s">
        <v>137</v>
      </c>
      <c r="AF881">
        <v>1</v>
      </c>
      <c r="AG881">
        <v>87</v>
      </c>
      <c r="AH881">
        <v>299</v>
      </c>
      <c r="AI881" s="122">
        <v>15071</v>
      </c>
      <c r="AJ881" s="122">
        <v>5582</v>
      </c>
      <c r="AK881">
        <v>100</v>
      </c>
      <c r="AL881" s="122">
        <v>2274</v>
      </c>
      <c r="AM881" s="122">
        <v>2067</v>
      </c>
      <c r="AN881" s="122">
        <v>2033</v>
      </c>
      <c r="AO881">
        <v>753</v>
      </c>
      <c r="AP881">
        <v>0</v>
      </c>
      <c r="AQ881">
        <v>0</v>
      </c>
      <c r="AR881" s="122">
        <v>6725</v>
      </c>
      <c r="AS881" s="122">
        <v>2491</v>
      </c>
      <c r="AT881">
        <v>0</v>
      </c>
      <c r="AU881">
        <v>0</v>
      </c>
      <c r="AV881" s="122">
        <v>10893</v>
      </c>
    </row>
    <row r="882" spans="2:48" hidden="1">
      <c r="B882" t="s">
        <v>368</v>
      </c>
      <c r="C882" t="s">
        <v>60</v>
      </c>
      <c r="D882" t="s">
        <v>406</v>
      </c>
      <c r="E882" t="s">
        <v>426</v>
      </c>
      <c r="F882">
        <v>1</v>
      </c>
      <c r="G882" s="122">
        <v>83</v>
      </c>
      <c r="H882" s="122">
        <v>352</v>
      </c>
      <c r="I882" s="122">
        <v>17231</v>
      </c>
      <c r="J882" s="122">
        <v>15665</v>
      </c>
      <c r="K882">
        <v>86</v>
      </c>
      <c r="L882" s="122">
        <v>2834</v>
      </c>
      <c r="M882" s="122">
        <v>2576</v>
      </c>
      <c r="N882" s="122">
        <v>1992</v>
      </c>
      <c r="O882" s="122">
        <v>738</v>
      </c>
      <c r="P882" s="122">
        <v>621</v>
      </c>
      <c r="Q882" s="122">
        <v>230</v>
      </c>
      <c r="R882" s="122">
        <v>4353</v>
      </c>
      <c r="S882" s="122">
        <v>3957</v>
      </c>
      <c r="T882" s="122">
        <v>2206</v>
      </c>
      <c r="U882" s="122">
        <v>817</v>
      </c>
      <c r="V882" s="122">
        <v>23982</v>
      </c>
      <c r="W882" s="122">
        <f t="shared" si="26"/>
        <v>23983</v>
      </c>
      <c r="X882" s="122">
        <f t="shared" si="27"/>
        <v>29237</v>
      </c>
      <c r="Y882" s="122"/>
      <c r="AA882" t="s">
        <v>58</v>
      </c>
      <c r="AB882" t="s">
        <v>137</v>
      </c>
      <c r="AC882" t="s">
        <v>428</v>
      </c>
      <c r="AD882" t="s">
        <v>137</v>
      </c>
      <c r="AE882" t="s">
        <v>566</v>
      </c>
      <c r="AF882">
        <v>74</v>
      </c>
      <c r="AG882" s="122">
        <v>6707</v>
      </c>
      <c r="AH882" s="122">
        <v>19102</v>
      </c>
      <c r="AI882" s="122">
        <v>984072</v>
      </c>
      <c r="AJ882" s="122">
        <v>364471</v>
      </c>
      <c r="AK882">
        <v>100</v>
      </c>
      <c r="AL882" s="122">
        <v>141387</v>
      </c>
      <c r="AM882" s="122">
        <v>128534</v>
      </c>
      <c r="AN882" s="122">
        <v>96718</v>
      </c>
      <c r="AO882" s="122">
        <v>35822</v>
      </c>
      <c r="AP882">
        <v>0</v>
      </c>
      <c r="AQ882">
        <v>0</v>
      </c>
      <c r="AR882" s="122">
        <v>511986</v>
      </c>
      <c r="AS882" s="122">
        <v>189624</v>
      </c>
      <c r="AT882">
        <v>0</v>
      </c>
      <c r="AU882">
        <v>0</v>
      </c>
      <c r="AV882" s="122">
        <v>718451</v>
      </c>
    </row>
    <row r="883" spans="2:48" hidden="1">
      <c r="B883" t="s">
        <v>368</v>
      </c>
      <c r="C883" t="s">
        <v>60</v>
      </c>
      <c r="D883" t="s">
        <v>427</v>
      </c>
      <c r="E883" t="s">
        <v>137</v>
      </c>
      <c r="F883">
        <v>1</v>
      </c>
      <c r="G883">
        <v>42</v>
      </c>
      <c r="H883" s="122">
        <v>349</v>
      </c>
      <c r="I883" s="122">
        <v>6485</v>
      </c>
      <c r="J883" s="122">
        <v>5896</v>
      </c>
      <c r="K883">
        <v>60</v>
      </c>
      <c r="L883" s="122">
        <v>2388</v>
      </c>
      <c r="M883" s="122">
        <v>884</v>
      </c>
      <c r="N883" s="122">
        <v>709</v>
      </c>
      <c r="O883" s="122">
        <v>262</v>
      </c>
      <c r="P883" s="122">
        <v>0</v>
      </c>
      <c r="Q883" s="122">
        <v>0</v>
      </c>
      <c r="R883" s="122">
        <v>4918</v>
      </c>
      <c r="S883" s="122">
        <v>1821</v>
      </c>
      <c r="T883" s="122">
        <v>0</v>
      </c>
      <c r="U883" s="122">
        <v>0</v>
      </c>
      <c r="V883" s="122">
        <v>8864</v>
      </c>
      <c r="W883" s="122">
        <f t="shared" si="26"/>
        <v>8863</v>
      </c>
      <c r="X883" s="122">
        <f t="shared" si="27"/>
        <v>14500</v>
      </c>
      <c r="Y883" s="122"/>
      <c r="AA883" t="s">
        <v>58</v>
      </c>
      <c r="AB883" t="s">
        <v>137</v>
      </c>
      <c r="AC883" t="s">
        <v>428</v>
      </c>
      <c r="AD883" t="s">
        <v>428</v>
      </c>
      <c r="AE883" t="s">
        <v>137</v>
      </c>
      <c r="AF883">
        <v>1</v>
      </c>
      <c r="AG883">
        <v>79</v>
      </c>
      <c r="AH883">
        <v>292</v>
      </c>
      <c r="AI883" s="122">
        <v>12438</v>
      </c>
      <c r="AJ883" s="122">
        <v>4607</v>
      </c>
      <c r="AK883">
        <v>100</v>
      </c>
      <c r="AL883" s="122">
        <v>1126</v>
      </c>
      <c r="AM883" s="122">
        <v>1024</v>
      </c>
      <c r="AN883" s="122">
        <v>1922</v>
      </c>
      <c r="AO883">
        <v>712</v>
      </c>
      <c r="AP883">
        <v>0</v>
      </c>
      <c r="AQ883">
        <v>0</v>
      </c>
      <c r="AR883" s="122">
        <v>5356</v>
      </c>
      <c r="AS883" s="122">
        <v>4869</v>
      </c>
      <c r="AT883" s="122">
        <v>2151</v>
      </c>
      <c r="AU883">
        <v>797</v>
      </c>
      <c r="AV883" s="122">
        <v>12008</v>
      </c>
    </row>
    <row r="884" spans="2:48" hidden="1">
      <c r="B884" t="s">
        <v>368</v>
      </c>
      <c r="C884" t="s">
        <v>60</v>
      </c>
      <c r="D884" t="s">
        <v>427</v>
      </c>
      <c r="E884" t="s">
        <v>427</v>
      </c>
      <c r="F884">
        <v>6</v>
      </c>
      <c r="G884" s="122">
        <v>457</v>
      </c>
      <c r="H884" s="122">
        <v>2076</v>
      </c>
      <c r="I884" s="122">
        <v>86351</v>
      </c>
      <c r="J884" s="122">
        <v>78501</v>
      </c>
      <c r="K884">
        <v>54</v>
      </c>
      <c r="L884" s="122">
        <v>11616</v>
      </c>
      <c r="M884" s="122">
        <v>9462</v>
      </c>
      <c r="N884" s="122">
        <v>9020</v>
      </c>
      <c r="O884" s="122">
        <v>3341</v>
      </c>
      <c r="P884" s="122">
        <v>2106</v>
      </c>
      <c r="Q884" s="122">
        <v>780</v>
      </c>
      <c r="R884" s="122">
        <v>40053</v>
      </c>
      <c r="S884" s="122">
        <v>36412</v>
      </c>
      <c r="T884" s="122">
        <v>9571</v>
      </c>
      <c r="U884" s="122">
        <v>3545</v>
      </c>
      <c r="V884" s="122">
        <v>132041</v>
      </c>
      <c r="W884" s="122">
        <f t="shared" si="26"/>
        <v>132041</v>
      </c>
      <c r="X884" s="122">
        <f t="shared" si="27"/>
        <v>158717</v>
      </c>
      <c r="Y884" s="122"/>
      <c r="AA884" t="s">
        <v>58</v>
      </c>
      <c r="AB884" t="s">
        <v>137</v>
      </c>
      <c r="AC884" t="s">
        <v>428</v>
      </c>
      <c r="AD884" t="s">
        <v>426</v>
      </c>
      <c r="AE884" t="s">
        <v>137</v>
      </c>
      <c r="AF884">
        <v>1</v>
      </c>
      <c r="AG884">
        <v>69</v>
      </c>
      <c r="AH884">
        <v>292</v>
      </c>
      <c r="AI884" s="122">
        <v>13322</v>
      </c>
      <c r="AJ884" s="122">
        <v>4934</v>
      </c>
      <c r="AK884">
        <v>100</v>
      </c>
      <c r="AL884">
        <v>603</v>
      </c>
      <c r="AM884">
        <v>548</v>
      </c>
      <c r="AN884" s="122">
        <v>1431</v>
      </c>
      <c r="AO884">
        <v>530</v>
      </c>
      <c r="AP884">
        <v>0</v>
      </c>
      <c r="AQ884">
        <v>0</v>
      </c>
      <c r="AR884" s="122">
        <v>2900</v>
      </c>
      <c r="AS884" s="122">
        <v>2636</v>
      </c>
      <c r="AT884" s="122">
        <v>1928</v>
      </c>
      <c r="AU884">
        <v>714</v>
      </c>
      <c r="AV884" s="122">
        <v>9362</v>
      </c>
    </row>
    <row r="885" spans="2:48" hidden="1">
      <c r="B885" t="s">
        <v>368</v>
      </c>
      <c r="C885" t="s">
        <v>60</v>
      </c>
      <c r="D885" t="s">
        <v>407</v>
      </c>
      <c r="E885" t="s">
        <v>137</v>
      </c>
      <c r="F885">
        <v>2</v>
      </c>
      <c r="G885" s="122">
        <v>288</v>
      </c>
      <c r="H885" s="122">
        <v>662</v>
      </c>
      <c r="I885" s="122">
        <v>68121</v>
      </c>
      <c r="J885" s="122">
        <v>61928</v>
      </c>
      <c r="K885">
        <v>79</v>
      </c>
      <c r="L885" s="122">
        <v>3702</v>
      </c>
      <c r="M885" s="122">
        <v>3366</v>
      </c>
      <c r="N885" s="122">
        <v>7024</v>
      </c>
      <c r="O885" s="122">
        <v>2602</v>
      </c>
      <c r="P885" s="122">
        <v>945</v>
      </c>
      <c r="Q885" s="122">
        <v>350</v>
      </c>
      <c r="R885" s="122">
        <v>15119</v>
      </c>
      <c r="S885" s="122">
        <v>5600</v>
      </c>
      <c r="T885" s="122">
        <v>0</v>
      </c>
      <c r="U885" s="122">
        <v>0</v>
      </c>
      <c r="V885" s="122">
        <v>73845</v>
      </c>
      <c r="W885" s="122">
        <f t="shared" si="26"/>
        <v>73846</v>
      </c>
      <c r="X885" s="122">
        <f t="shared" si="27"/>
        <v>94911</v>
      </c>
      <c r="Y885" s="122"/>
      <c r="AA885" t="s">
        <v>58</v>
      </c>
      <c r="AB885" t="s">
        <v>137</v>
      </c>
      <c r="AC885" t="s">
        <v>431</v>
      </c>
      <c r="AD885" t="s">
        <v>137</v>
      </c>
      <c r="AE885" t="s">
        <v>566</v>
      </c>
      <c r="AF885">
        <v>3</v>
      </c>
      <c r="AG885">
        <v>351</v>
      </c>
      <c r="AH885">
        <v>857</v>
      </c>
      <c r="AI885" s="122">
        <v>59958</v>
      </c>
      <c r="AJ885" s="122">
        <v>22207</v>
      </c>
      <c r="AK885">
        <v>100</v>
      </c>
      <c r="AL885" s="122">
        <v>9047</v>
      </c>
      <c r="AM885" s="122">
        <v>8225</v>
      </c>
      <c r="AN885" s="122">
        <v>7642</v>
      </c>
      <c r="AO885" s="122">
        <v>2830</v>
      </c>
      <c r="AP885">
        <v>351</v>
      </c>
      <c r="AQ885">
        <v>130</v>
      </c>
      <c r="AR885" s="122">
        <v>23459</v>
      </c>
      <c r="AS885" s="122">
        <v>8689</v>
      </c>
      <c r="AT885">
        <v>0</v>
      </c>
      <c r="AU885">
        <v>0</v>
      </c>
      <c r="AV885" s="122">
        <v>42080</v>
      </c>
    </row>
    <row r="886" spans="2:48" hidden="1">
      <c r="B886" t="s">
        <v>368</v>
      </c>
      <c r="C886" t="s">
        <v>60</v>
      </c>
      <c r="D886" t="s">
        <v>407</v>
      </c>
      <c r="E886" t="s">
        <v>407</v>
      </c>
      <c r="F886">
        <v>33</v>
      </c>
      <c r="G886" s="122">
        <v>3209</v>
      </c>
      <c r="H886" s="122">
        <v>11232</v>
      </c>
      <c r="I886" s="122">
        <v>716261</v>
      </c>
      <c r="J886" s="122">
        <v>651147</v>
      </c>
      <c r="K886">
        <v>76</v>
      </c>
      <c r="L886" s="122">
        <v>136169</v>
      </c>
      <c r="M886" s="122">
        <v>118296</v>
      </c>
      <c r="N886" s="122">
        <v>71607</v>
      </c>
      <c r="O886" s="122">
        <v>26521</v>
      </c>
      <c r="P886" s="122">
        <v>15350</v>
      </c>
      <c r="Q886" s="122">
        <v>5685</v>
      </c>
      <c r="R886" s="122">
        <v>145782</v>
      </c>
      <c r="S886" s="122">
        <v>132529</v>
      </c>
      <c r="T886" s="122">
        <v>44960</v>
      </c>
      <c r="U886" s="122">
        <v>16652</v>
      </c>
      <c r="V886" s="122">
        <v>950829</v>
      </c>
      <c r="W886" s="122">
        <f t="shared" si="26"/>
        <v>950830</v>
      </c>
      <c r="X886" s="122">
        <f t="shared" si="27"/>
        <v>1130129</v>
      </c>
      <c r="Y886" s="122"/>
      <c r="AA886" t="s">
        <v>58</v>
      </c>
      <c r="AB886" t="s">
        <v>137</v>
      </c>
      <c r="AC886" t="s">
        <v>431</v>
      </c>
      <c r="AD886" t="s">
        <v>431</v>
      </c>
      <c r="AE886" t="s">
        <v>137</v>
      </c>
      <c r="AF886">
        <v>2</v>
      </c>
      <c r="AG886">
        <v>180</v>
      </c>
      <c r="AH886">
        <v>529</v>
      </c>
      <c r="AI886" s="122">
        <v>24825</v>
      </c>
      <c r="AJ886" s="122">
        <v>9195</v>
      </c>
      <c r="AK886">
        <v>100</v>
      </c>
      <c r="AL886" s="122">
        <v>2295</v>
      </c>
      <c r="AM886" s="122">
        <v>2086</v>
      </c>
      <c r="AN886" s="122">
        <v>3721</v>
      </c>
      <c r="AO886" s="122">
        <v>1378</v>
      </c>
      <c r="AP886">
        <v>0</v>
      </c>
      <c r="AQ886">
        <v>0</v>
      </c>
      <c r="AR886" s="122">
        <v>11999</v>
      </c>
      <c r="AS886" s="122">
        <v>10908</v>
      </c>
      <c r="AT886" s="122">
        <v>4947</v>
      </c>
      <c r="AU886" s="122">
        <v>1832</v>
      </c>
      <c r="AV886" s="122">
        <v>25399</v>
      </c>
    </row>
    <row r="887" spans="2:48" hidden="1">
      <c r="B887" t="s">
        <v>368</v>
      </c>
      <c r="C887" t="s">
        <v>60</v>
      </c>
      <c r="D887" t="s">
        <v>556</v>
      </c>
      <c r="E887" t="s">
        <v>556</v>
      </c>
      <c r="F887">
        <v>221</v>
      </c>
      <c r="G887" s="122">
        <v>18459</v>
      </c>
      <c r="H887" s="122">
        <v>78321</v>
      </c>
      <c r="I887" s="122">
        <v>3596055</v>
      </c>
      <c r="J887" s="122">
        <v>2996713</v>
      </c>
      <c r="K887">
        <v>48</v>
      </c>
      <c r="L887" s="122">
        <v>519214</v>
      </c>
      <c r="M887" s="122">
        <v>423429</v>
      </c>
      <c r="N887" s="122">
        <v>329972</v>
      </c>
      <c r="O887" s="122">
        <v>122212</v>
      </c>
      <c r="P887" s="122">
        <v>80703</v>
      </c>
      <c r="Q887" s="122">
        <v>29890</v>
      </c>
      <c r="R887" s="122">
        <v>1493368</v>
      </c>
      <c r="S887" s="122">
        <v>1244473</v>
      </c>
      <c r="T887" s="122">
        <v>519365</v>
      </c>
      <c r="U887" s="122">
        <v>192357</v>
      </c>
      <c r="V887" s="122">
        <v>5009074</v>
      </c>
      <c r="W887" s="122">
        <f t="shared" si="26"/>
        <v>5009074</v>
      </c>
      <c r="X887" s="122">
        <f t="shared" si="27"/>
        <v>6538677</v>
      </c>
      <c r="Y887" s="122"/>
      <c r="AA887" t="s">
        <v>58</v>
      </c>
      <c r="AB887" t="s">
        <v>137</v>
      </c>
      <c r="AC887" t="s">
        <v>426</v>
      </c>
      <c r="AD887" t="s">
        <v>425</v>
      </c>
      <c r="AE887" t="s">
        <v>137</v>
      </c>
      <c r="AF887">
        <v>1</v>
      </c>
      <c r="AG887">
        <v>112</v>
      </c>
      <c r="AH887">
        <v>252</v>
      </c>
      <c r="AI887" s="122">
        <v>14562</v>
      </c>
      <c r="AJ887" s="122">
        <v>5393</v>
      </c>
      <c r="AK887">
        <v>100</v>
      </c>
      <c r="AL887" s="122">
        <v>4944</v>
      </c>
      <c r="AM887" s="122">
        <v>4494</v>
      </c>
      <c r="AN887" s="122">
        <v>2425</v>
      </c>
      <c r="AO887">
        <v>898</v>
      </c>
      <c r="AP887">
        <v>0</v>
      </c>
      <c r="AQ887">
        <v>0</v>
      </c>
      <c r="AR887" s="122">
        <v>4094</v>
      </c>
      <c r="AS887" s="122">
        <v>3722</v>
      </c>
      <c r="AT887" s="122">
        <v>2130</v>
      </c>
      <c r="AU887">
        <v>789</v>
      </c>
      <c r="AV887" s="122">
        <v>15297</v>
      </c>
    </row>
    <row r="888" spans="2:48" hidden="1">
      <c r="B888" t="s">
        <v>368</v>
      </c>
      <c r="C888" t="s">
        <v>60</v>
      </c>
      <c r="D888" t="s">
        <v>428</v>
      </c>
      <c r="E888" t="s">
        <v>555</v>
      </c>
      <c r="F888">
        <v>1</v>
      </c>
      <c r="G888">
        <v>79</v>
      </c>
      <c r="H888">
        <v>346</v>
      </c>
      <c r="I888" s="122">
        <v>15142</v>
      </c>
      <c r="J888" s="122">
        <v>13765</v>
      </c>
      <c r="K888">
        <v>45</v>
      </c>
      <c r="L888" s="122">
        <v>1858</v>
      </c>
      <c r="M888" s="122">
        <v>688</v>
      </c>
      <c r="N888" s="122">
        <v>1533</v>
      </c>
      <c r="O888" s="122">
        <v>568</v>
      </c>
      <c r="P888">
        <v>351</v>
      </c>
      <c r="Q888">
        <v>130</v>
      </c>
      <c r="R888" s="122">
        <v>5765</v>
      </c>
      <c r="S888" s="122">
        <v>5241</v>
      </c>
      <c r="T888" s="122">
        <v>2593</v>
      </c>
      <c r="U888">
        <v>960</v>
      </c>
      <c r="V888" s="122">
        <v>21352</v>
      </c>
      <c r="W888" s="122">
        <f t="shared" si="26"/>
        <v>21352</v>
      </c>
      <c r="X888" s="122">
        <f t="shared" si="27"/>
        <v>27242</v>
      </c>
      <c r="Y888" s="122"/>
      <c r="AA888" t="s">
        <v>58</v>
      </c>
      <c r="AB888" t="s">
        <v>137</v>
      </c>
      <c r="AC888" t="s">
        <v>426</v>
      </c>
      <c r="AD888" t="s">
        <v>137</v>
      </c>
      <c r="AE888" t="s">
        <v>137</v>
      </c>
      <c r="AF888">
        <v>100</v>
      </c>
      <c r="AG888" s="122">
        <v>9724</v>
      </c>
      <c r="AH888" s="122">
        <v>26880</v>
      </c>
      <c r="AI888" s="122">
        <v>1440499</v>
      </c>
      <c r="AJ888" s="122">
        <v>533518</v>
      </c>
      <c r="AK888">
        <v>100</v>
      </c>
      <c r="AL888" s="122">
        <v>233126</v>
      </c>
      <c r="AM888" s="122">
        <v>211933</v>
      </c>
      <c r="AN888" s="122">
        <v>198710</v>
      </c>
      <c r="AO888" s="122">
        <v>73596</v>
      </c>
      <c r="AP888" s="122">
        <v>4900</v>
      </c>
      <c r="AQ888" s="122">
        <v>1815</v>
      </c>
      <c r="AR888" s="122">
        <v>724701</v>
      </c>
      <c r="AS888" s="122">
        <v>268408</v>
      </c>
      <c r="AT888" s="122">
        <v>29937</v>
      </c>
      <c r="AU888" s="122">
        <v>11088</v>
      </c>
      <c r="AV888" s="122">
        <v>1100357</v>
      </c>
    </row>
    <row r="889" spans="2:48" hidden="1">
      <c r="B889" t="s">
        <v>368</v>
      </c>
      <c r="C889" t="s">
        <v>60</v>
      </c>
      <c r="D889" t="s">
        <v>428</v>
      </c>
      <c r="E889" t="s">
        <v>428</v>
      </c>
      <c r="F889">
        <v>4</v>
      </c>
      <c r="G889" s="122">
        <v>319</v>
      </c>
      <c r="H889" s="122">
        <v>1353</v>
      </c>
      <c r="I889" s="122">
        <v>64865</v>
      </c>
      <c r="J889" s="122">
        <v>58969</v>
      </c>
      <c r="K889">
        <v>53</v>
      </c>
      <c r="L889" s="122">
        <v>6666</v>
      </c>
      <c r="M889" s="122">
        <v>6060</v>
      </c>
      <c r="N889" s="122">
        <v>5991</v>
      </c>
      <c r="O889" s="122">
        <v>2219</v>
      </c>
      <c r="P889" s="122">
        <v>1404</v>
      </c>
      <c r="Q889" s="122">
        <v>520</v>
      </c>
      <c r="R889" s="122">
        <v>22626</v>
      </c>
      <c r="S889" s="122">
        <v>20569</v>
      </c>
      <c r="T889" s="122">
        <v>6248</v>
      </c>
      <c r="U889" s="122">
        <v>2314</v>
      </c>
      <c r="V889" s="122">
        <v>90651</v>
      </c>
      <c r="W889" s="122">
        <f t="shared" si="26"/>
        <v>90651</v>
      </c>
      <c r="X889" s="122">
        <f t="shared" si="27"/>
        <v>107800</v>
      </c>
      <c r="Y889" s="122"/>
      <c r="AA889" t="s">
        <v>58</v>
      </c>
      <c r="AB889" t="s">
        <v>137</v>
      </c>
      <c r="AC889" t="s">
        <v>426</v>
      </c>
      <c r="AD889" t="s">
        <v>137</v>
      </c>
      <c r="AE889" t="s">
        <v>566</v>
      </c>
      <c r="AF889" s="122">
        <v>1700</v>
      </c>
      <c r="AG889" s="122">
        <v>163941</v>
      </c>
      <c r="AH889" s="122">
        <v>455402</v>
      </c>
      <c r="AI889" s="122">
        <v>24218498</v>
      </c>
      <c r="AJ889" s="122">
        <v>8969814</v>
      </c>
      <c r="AK889">
        <v>102</v>
      </c>
      <c r="AL889" s="122">
        <v>4258514</v>
      </c>
      <c r="AM889" s="122">
        <v>3871376</v>
      </c>
      <c r="AN889" s="122">
        <v>3453627</v>
      </c>
      <c r="AO889" s="122">
        <v>1279121</v>
      </c>
      <c r="AP889" s="122">
        <v>37858</v>
      </c>
      <c r="AQ889" s="122">
        <v>14021</v>
      </c>
      <c r="AR889" s="122">
        <v>12539209</v>
      </c>
      <c r="AS889" s="122">
        <v>4644151</v>
      </c>
      <c r="AT889">
        <v>0</v>
      </c>
      <c r="AU889">
        <v>0</v>
      </c>
      <c r="AV889" s="122">
        <v>18778484</v>
      </c>
    </row>
    <row r="890" spans="2:48" hidden="1">
      <c r="B890" t="s">
        <v>368</v>
      </c>
      <c r="C890" t="s">
        <v>60</v>
      </c>
      <c r="D890" t="s">
        <v>428</v>
      </c>
      <c r="E890" t="s">
        <v>426</v>
      </c>
      <c r="F890">
        <v>1</v>
      </c>
      <c r="G890">
        <v>81</v>
      </c>
      <c r="H890" s="122">
        <v>303</v>
      </c>
      <c r="I890" s="122">
        <v>14006</v>
      </c>
      <c r="J890" s="122">
        <v>12732</v>
      </c>
      <c r="K890">
        <v>45</v>
      </c>
      <c r="L890" s="122">
        <v>1000</v>
      </c>
      <c r="M890" s="122">
        <v>909</v>
      </c>
      <c r="N890" s="122">
        <v>1756</v>
      </c>
      <c r="O890" s="122">
        <v>650</v>
      </c>
      <c r="P890" s="122">
        <v>621</v>
      </c>
      <c r="Q890">
        <v>230</v>
      </c>
      <c r="R890" s="122">
        <v>5003</v>
      </c>
      <c r="S890" s="122">
        <v>4548</v>
      </c>
      <c r="T890" s="122">
        <v>2178</v>
      </c>
      <c r="U890" s="122">
        <v>807</v>
      </c>
      <c r="V890" s="122">
        <v>19877</v>
      </c>
      <c r="W890" s="122">
        <f t="shared" si="26"/>
        <v>19876</v>
      </c>
      <c r="X890" s="122">
        <f t="shared" si="27"/>
        <v>24564</v>
      </c>
      <c r="Y890" s="122"/>
      <c r="AA890" t="s">
        <v>58</v>
      </c>
      <c r="AB890" t="s">
        <v>137</v>
      </c>
      <c r="AC890" t="s">
        <v>426</v>
      </c>
      <c r="AD890" t="s">
        <v>406</v>
      </c>
      <c r="AE890" t="s">
        <v>566</v>
      </c>
      <c r="AF890">
        <v>4</v>
      </c>
      <c r="AG890">
        <v>464</v>
      </c>
      <c r="AH890" s="122">
        <v>1032</v>
      </c>
      <c r="AI890" s="122">
        <v>68635</v>
      </c>
      <c r="AJ890" s="122">
        <v>25420</v>
      </c>
      <c r="AK890">
        <v>100</v>
      </c>
      <c r="AL890" s="122">
        <v>16920</v>
      </c>
      <c r="AM890" s="122">
        <v>15382</v>
      </c>
      <c r="AN890" s="122">
        <v>8901</v>
      </c>
      <c r="AO890" s="122">
        <v>3297</v>
      </c>
      <c r="AP890" s="122">
        <v>1242</v>
      </c>
      <c r="AQ890">
        <v>460</v>
      </c>
      <c r="AR890" s="122">
        <v>20015</v>
      </c>
      <c r="AS890" s="122">
        <v>18196</v>
      </c>
      <c r="AT890">
        <v>0</v>
      </c>
      <c r="AU890">
        <v>0</v>
      </c>
      <c r="AV890" s="122">
        <v>62754</v>
      </c>
    </row>
    <row r="891" spans="2:48" hidden="1">
      <c r="B891" t="s">
        <v>368</v>
      </c>
      <c r="C891" t="s">
        <v>60</v>
      </c>
      <c r="D891" t="s">
        <v>431</v>
      </c>
      <c r="E891" t="s">
        <v>137</v>
      </c>
      <c r="F891">
        <v>1</v>
      </c>
      <c r="G891" s="122">
        <v>85</v>
      </c>
      <c r="H891" s="122">
        <v>327</v>
      </c>
      <c r="I891" s="122">
        <v>14424</v>
      </c>
      <c r="J891" s="122">
        <v>13112</v>
      </c>
      <c r="K891">
        <v>45</v>
      </c>
      <c r="L891" s="122">
        <v>1770</v>
      </c>
      <c r="M891" s="122">
        <v>656</v>
      </c>
      <c r="N891" s="122">
        <v>1663</v>
      </c>
      <c r="O891" s="122">
        <v>616</v>
      </c>
      <c r="P891" s="122">
        <v>0</v>
      </c>
      <c r="Q891" s="122">
        <v>0</v>
      </c>
      <c r="R891" s="122">
        <v>10072</v>
      </c>
      <c r="S891" s="122">
        <v>3730</v>
      </c>
      <c r="T891" s="122">
        <v>0</v>
      </c>
      <c r="U891" s="122">
        <v>0</v>
      </c>
      <c r="V891" s="122">
        <v>18114</v>
      </c>
      <c r="W891" s="122">
        <f t="shared" si="26"/>
        <v>18114</v>
      </c>
      <c r="X891" s="122">
        <f t="shared" si="27"/>
        <v>27929</v>
      </c>
      <c r="Y891" s="122"/>
      <c r="AA891" t="s">
        <v>58</v>
      </c>
      <c r="AB891" t="s">
        <v>137</v>
      </c>
      <c r="AC891" t="s">
        <v>426</v>
      </c>
      <c r="AD891" t="s">
        <v>426</v>
      </c>
      <c r="AE891" t="s">
        <v>137</v>
      </c>
      <c r="AF891">
        <v>108</v>
      </c>
      <c r="AG891" s="122">
        <v>9259</v>
      </c>
      <c r="AH891" s="122">
        <v>28298</v>
      </c>
      <c r="AI891" s="122">
        <v>1260755</v>
      </c>
      <c r="AJ891" s="122">
        <v>466946</v>
      </c>
      <c r="AK891">
        <v>130</v>
      </c>
      <c r="AL891" s="122">
        <v>181676</v>
      </c>
      <c r="AM891" s="122">
        <v>165160</v>
      </c>
      <c r="AN891" s="122">
        <v>192805</v>
      </c>
      <c r="AO891" s="122">
        <v>71409</v>
      </c>
      <c r="AP891" s="122">
        <v>11687</v>
      </c>
      <c r="AQ891" s="122">
        <v>4329</v>
      </c>
      <c r="AR891" s="122">
        <v>516313</v>
      </c>
      <c r="AS891" s="122">
        <v>469376</v>
      </c>
      <c r="AT891" s="122">
        <v>248309</v>
      </c>
      <c r="AU891" s="122">
        <v>91966</v>
      </c>
      <c r="AV891" s="122">
        <v>1269186</v>
      </c>
    </row>
    <row r="892" spans="2:48" hidden="1">
      <c r="B892" t="s">
        <v>368</v>
      </c>
      <c r="C892" t="s">
        <v>60</v>
      </c>
      <c r="D892" t="s">
        <v>431</v>
      </c>
      <c r="E892" t="s">
        <v>431</v>
      </c>
      <c r="F892">
        <v>11</v>
      </c>
      <c r="G892" s="122">
        <v>998</v>
      </c>
      <c r="H892" s="122">
        <v>3703</v>
      </c>
      <c r="I892" s="122">
        <v>189996</v>
      </c>
      <c r="J892" s="122">
        <v>172724</v>
      </c>
      <c r="K892">
        <v>47</v>
      </c>
      <c r="L892" s="122">
        <v>26138</v>
      </c>
      <c r="M892" s="122">
        <v>23762</v>
      </c>
      <c r="N892" s="122">
        <v>20908</v>
      </c>
      <c r="O892" s="122">
        <v>7744</v>
      </c>
      <c r="P892" s="122">
        <v>3861</v>
      </c>
      <c r="Q892" s="122">
        <v>1430</v>
      </c>
      <c r="R892" s="122">
        <v>69327</v>
      </c>
      <c r="S892" s="122">
        <v>63024</v>
      </c>
      <c r="T892" s="122">
        <v>26945</v>
      </c>
      <c r="U892" s="122">
        <v>9980</v>
      </c>
      <c r="V892" s="122">
        <v>278664</v>
      </c>
      <c r="W892" s="122">
        <f t="shared" si="26"/>
        <v>278664</v>
      </c>
      <c r="X892" s="122">
        <f t="shared" si="27"/>
        <v>337175</v>
      </c>
      <c r="Y892" s="122"/>
      <c r="AA892" t="s">
        <v>58</v>
      </c>
      <c r="AB892" t="s">
        <v>137</v>
      </c>
      <c r="AC892" t="s">
        <v>426</v>
      </c>
      <c r="AD892" t="s">
        <v>426</v>
      </c>
      <c r="AE892" t="s">
        <v>566</v>
      </c>
      <c r="AF892">
        <v>3</v>
      </c>
      <c r="AG892">
        <v>220</v>
      </c>
      <c r="AH892">
        <v>837</v>
      </c>
      <c r="AI892" s="122">
        <v>38115</v>
      </c>
      <c r="AJ892" s="122">
        <v>14117</v>
      </c>
      <c r="AK892">
        <v>100</v>
      </c>
      <c r="AL892" s="122">
        <v>3755</v>
      </c>
      <c r="AM892" s="122">
        <v>3414</v>
      </c>
      <c r="AN892" s="122">
        <v>4375</v>
      </c>
      <c r="AO892" s="122">
        <v>1620</v>
      </c>
      <c r="AP892">
        <v>351</v>
      </c>
      <c r="AQ892">
        <v>130</v>
      </c>
      <c r="AR892" s="122">
        <v>14759</v>
      </c>
      <c r="AS892" s="122">
        <v>13418</v>
      </c>
      <c r="AT892">
        <v>0</v>
      </c>
      <c r="AU892">
        <v>0</v>
      </c>
      <c r="AV892" s="122">
        <v>32699</v>
      </c>
    </row>
    <row r="893" spans="2:48" hidden="1">
      <c r="B893" t="s">
        <v>368</v>
      </c>
      <c r="C893" t="s">
        <v>60</v>
      </c>
      <c r="D893" t="s">
        <v>426</v>
      </c>
      <c r="E893" t="s">
        <v>426</v>
      </c>
      <c r="F893">
        <v>308</v>
      </c>
      <c r="G893" s="122">
        <v>24923</v>
      </c>
      <c r="H893" s="122">
        <v>105508</v>
      </c>
      <c r="I893" s="122">
        <v>4756990</v>
      </c>
      <c r="J893" s="122">
        <v>4324537</v>
      </c>
      <c r="K893">
        <v>49</v>
      </c>
      <c r="L893" s="122">
        <v>749351</v>
      </c>
      <c r="M893" s="122">
        <v>641958</v>
      </c>
      <c r="N893" s="122">
        <v>437267</v>
      </c>
      <c r="O893" s="122">
        <v>161951</v>
      </c>
      <c r="P893" s="122">
        <v>100987</v>
      </c>
      <c r="Q893" s="122">
        <v>37403</v>
      </c>
      <c r="R893" s="122">
        <v>1805199</v>
      </c>
      <c r="S893" s="122">
        <v>1641090</v>
      </c>
      <c r="T893" s="122">
        <v>707935</v>
      </c>
      <c r="U893" s="122">
        <v>262198</v>
      </c>
      <c r="V893" s="122">
        <v>7069136</v>
      </c>
      <c r="W893" s="122">
        <f t="shared" si="26"/>
        <v>7069137</v>
      </c>
      <c r="X893" s="122">
        <f t="shared" si="27"/>
        <v>8557729</v>
      </c>
      <c r="Y893" s="122"/>
      <c r="AA893" t="s">
        <v>58</v>
      </c>
      <c r="AB893" t="s">
        <v>137</v>
      </c>
      <c r="AC893" t="s">
        <v>566</v>
      </c>
      <c r="AD893" t="s">
        <v>405</v>
      </c>
      <c r="AE893" t="s">
        <v>566</v>
      </c>
      <c r="AF893">
        <v>1</v>
      </c>
      <c r="AG893">
        <v>35</v>
      </c>
      <c r="AH893">
        <v>258</v>
      </c>
      <c r="AI893" s="122">
        <v>6205</v>
      </c>
      <c r="AJ893" s="122">
        <v>2298</v>
      </c>
      <c r="AK893">
        <v>100</v>
      </c>
      <c r="AL893">
        <v>0</v>
      </c>
      <c r="AM893">
        <v>0</v>
      </c>
      <c r="AN893">
        <v>423</v>
      </c>
      <c r="AO893">
        <v>157</v>
      </c>
      <c r="AP893">
        <v>122</v>
      </c>
      <c r="AQ893">
        <v>45</v>
      </c>
      <c r="AR893" s="122">
        <v>2194</v>
      </c>
      <c r="AS893" s="122">
        <v>1995</v>
      </c>
      <c r="AT893">
        <v>0</v>
      </c>
      <c r="AU893">
        <v>0</v>
      </c>
      <c r="AV893" s="122">
        <v>4495</v>
      </c>
    </row>
    <row r="894" spans="2:48" hidden="1">
      <c r="B894" t="s">
        <v>368</v>
      </c>
      <c r="C894" t="s">
        <v>60</v>
      </c>
      <c r="D894" t="s">
        <v>433</v>
      </c>
      <c r="E894" t="s">
        <v>433</v>
      </c>
      <c r="F894">
        <v>1</v>
      </c>
      <c r="G894" s="122">
        <v>104</v>
      </c>
      <c r="H894" s="122">
        <v>344</v>
      </c>
      <c r="I894" s="122">
        <v>20878</v>
      </c>
      <c r="J894" s="122">
        <v>18980</v>
      </c>
      <c r="K894">
        <v>78</v>
      </c>
      <c r="L894" s="122">
        <v>6031</v>
      </c>
      <c r="M894" s="122">
        <v>5483</v>
      </c>
      <c r="N894" s="122">
        <v>2522</v>
      </c>
      <c r="O894" s="122">
        <v>934</v>
      </c>
      <c r="P894" s="122">
        <v>351</v>
      </c>
      <c r="Q894" s="122">
        <v>130</v>
      </c>
      <c r="R894" s="122">
        <v>5845</v>
      </c>
      <c r="S894" s="122">
        <v>5313</v>
      </c>
      <c r="T894" s="122">
        <v>0</v>
      </c>
      <c r="U894" s="122">
        <v>0</v>
      </c>
      <c r="V894" s="122">
        <v>30841</v>
      </c>
      <c r="W894" s="122">
        <f t="shared" si="26"/>
        <v>30840</v>
      </c>
      <c r="X894" s="122">
        <f t="shared" si="27"/>
        <v>35627</v>
      </c>
      <c r="Y894" s="122"/>
      <c r="AA894" t="s">
        <v>58</v>
      </c>
      <c r="AB894" t="s">
        <v>137</v>
      </c>
      <c r="AC894" t="s">
        <v>566</v>
      </c>
      <c r="AD894" t="s">
        <v>137</v>
      </c>
      <c r="AE894" t="s">
        <v>137</v>
      </c>
      <c r="AF894">
        <v>34</v>
      </c>
      <c r="AG894" s="122">
        <v>2690</v>
      </c>
      <c r="AH894" s="122">
        <v>9122</v>
      </c>
      <c r="AI894" s="122">
        <v>457924</v>
      </c>
      <c r="AJ894" s="122">
        <v>169602</v>
      </c>
      <c r="AK894">
        <v>100</v>
      </c>
      <c r="AL894">
        <v>0</v>
      </c>
      <c r="AM894" s="122">
        <v>2025</v>
      </c>
      <c r="AN894" s="122">
        <v>53988</v>
      </c>
      <c r="AO894" s="122">
        <v>19995</v>
      </c>
      <c r="AP894" s="122">
        <v>1110</v>
      </c>
      <c r="AQ894">
        <v>411</v>
      </c>
      <c r="AR894" s="122">
        <v>220406</v>
      </c>
      <c r="AS894" s="122">
        <v>81632</v>
      </c>
      <c r="AT894" s="122">
        <v>8707</v>
      </c>
      <c r="AU894" s="122">
        <v>3225</v>
      </c>
      <c r="AV894" s="122">
        <v>276889</v>
      </c>
    </row>
    <row r="895" spans="2:48" hidden="1">
      <c r="B895" t="s">
        <v>368</v>
      </c>
      <c r="C895" t="s">
        <v>62</v>
      </c>
      <c r="F895">
        <v>4</v>
      </c>
      <c r="G895">
        <v>573</v>
      </c>
      <c r="H895" s="122">
        <v>1704</v>
      </c>
      <c r="I895" s="122"/>
      <c r="J895" s="122">
        <v>0</v>
      </c>
      <c r="L895" s="122"/>
      <c r="M895" s="122">
        <v>0</v>
      </c>
      <c r="N895" s="122">
        <v>11064</v>
      </c>
      <c r="O895" s="122">
        <v>4098</v>
      </c>
      <c r="P895" s="122">
        <v>1242</v>
      </c>
      <c r="Q895" s="122">
        <v>460</v>
      </c>
      <c r="R895" s="122"/>
      <c r="S895" s="122">
        <v>0</v>
      </c>
      <c r="T895" s="122">
        <v>1753</v>
      </c>
      <c r="U895" s="122">
        <v>649</v>
      </c>
      <c r="V895" s="122">
        <v>5207</v>
      </c>
      <c r="W895" s="122">
        <f t="shared" si="26"/>
        <v>5207</v>
      </c>
      <c r="X895" s="122">
        <f t="shared" si="27"/>
        <v>14059</v>
      </c>
      <c r="Y895" s="122"/>
      <c r="AA895" t="s">
        <v>58</v>
      </c>
      <c r="AB895" t="s">
        <v>137</v>
      </c>
      <c r="AC895" t="s">
        <v>566</v>
      </c>
      <c r="AD895" t="s">
        <v>137</v>
      </c>
      <c r="AE895" t="s">
        <v>566</v>
      </c>
      <c r="AF895">
        <v>548</v>
      </c>
      <c r="AG895" s="122">
        <v>47519</v>
      </c>
      <c r="AH895" s="122">
        <v>145551</v>
      </c>
      <c r="AI895" s="122">
        <v>8004291</v>
      </c>
      <c r="AJ895" s="122">
        <v>2964552</v>
      </c>
      <c r="AK895">
        <v>101</v>
      </c>
      <c r="AL895" s="122">
        <v>2243</v>
      </c>
      <c r="AM895" s="122">
        <v>63191</v>
      </c>
      <c r="AN895" s="122">
        <v>978272</v>
      </c>
      <c r="AO895" s="122">
        <v>362323</v>
      </c>
      <c r="AP895" s="122">
        <v>11235</v>
      </c>
      <c r="AQ895" s="122">
        <v>4161</v>
      </c>
      <c r="AR895" s="122">
        <v>3829228</v>
      </c>
      <c r="AS895" s="122">
        <v>1418233</v>
      </c>
      <c r="AT895">
        <v>0</v>
      </c>
      <c r="AU895">
        <v>0</v>
      </c>
      <c r="AV895" s="122">
        <v>4812461</v>
      </c>
    </row>
    <row r="896" spans="2:48" hidden="1">
      <c r="B896" t="s">
        <v>368</v>
      </c>
      <c r="C896" t="s">
        <v>62</v>
      </c>
      <c r="D896" t="s">
        <v>403</v>
      </c>
      <c r="E896" t="s">
        <v>137</v>
      </c>
      <c r="F896">
        <v>1</v>
      </c>
      <c r="G896">
        <v>68</v>
      </c>
      <c r="H896">
        <v>414</v>
      </c>
      <c r="I896" s="122">
        <v>16672</v>
      </c>
      <c r="J896" s="122">
        <v>6175</v>
      </c>
      <c r="K896">
        <v>100</v>
      </c>
      <c r="L896" s="122">
        <v>5660</v>
      </c>
      <c r="M896" s="122">
        <v>5146</v>
      </c>
      <c r="N896" s="122">
        <v>1645</v>
      </c>
      <c r="O896" s="122">
        <v>609</v>
      </c>
      <c r="P896">
        <v>0</v>
      </c>
      <c r="Q896">
        <v>0</v>
      </c>
      <c r="R896" s="122">
        <v>3991</v>
      </c>
      <c r="S896" s="122">
        <v>1478</v>
      </c>
      <c r="T896" s="122">
        <v>0</v>
      </c>
      <c r="U896" s="122">
        <v>0</v>
      </c>
      <c r="V896" s="122">
        <v>13407</v>
      </c>
      <c r="W896" s="122">
        <f t="shared" si="26"/>
        <v>13408</v>
      </c>
      <c r="X896" s="122">
        <f t="shared" si="27"/>
        <v>27968</v>
      </c>
      <c r="Y896" s="122"/>
      <c r="AA896" t="s">
        <v>58</v>
      </c>
      <c r="AB896" t="s">
        <v>137</v>
      </c>
      <c r="AC896" t="s">
        <v>566</v>
      </c>
      <c r="AD896" t="s">
        <v>426</v>
      </c>
      <c r="AE896" t="s">
        <v>566</v>
      </c>
      <c r="AF896">
        <v>1</v>
      </c>
      <c r="AG896">
        <v>66</v>
      </c>
      <c r="AH896">
        <v>263</v>
      </c>
      <c r="AI896" s="122">
        <v>13935</v>
      </c>
      <c r="AJ896" s="122">
        <v>5161</v>
      </c>
      <c r="AK896">
        <v>100</v>
      </c>
      <c r="AL896">
        <v>0</v>
      </c>
      <c r="AM896">
        <v>0</v>
      </c>
      <c r="AN896" s="122">
        <v>1614</v>
      </c>
      <c r="AO896">
        <v>598</v>
      </c>
      <c r="AP896">
        <v>0</v>
      </c>
      <c r="AQ896">
        <v>0</v>
      </c>
      <c r="AR896" s="122">
        <v>1891</v>
      </c>
      <c r="AS896" s="122">
        <v>1719</v>
      </c>
      <c r="AT896">
        <v>0</v>
      </c>
      <c r="AU896">
        <v>0</v>
      </c>
      <c r="AV896" s="122">
        <v>7478</v>
      </c>
    </row>
    <row r="897" spans="2:48" hidden="1">
      <c r="B897" t="s">
        <v>368</v>
      </c>
      <c r="C897" t="s">
        <v>62</v>
      </c>
      <c r="D897" t="s">
        <v>425</v>
      </c>
      <c r="E897" t="s">
        <v>425</v>
      </c>
      <c r="F897">
        <v>1</v>
      </c>
      <c r="G897" s="122">
        <v>102</v>
      </c>
      <c r="H897" s="122">
        <v>399</v>
      </c>
      <c r="I897" s="122">
        <v>34736</v>
      </c>
      <c r="J897" s="122">
        <v>31578</v>
      </c>
      <c r="K897">
        <v>79</v>
      </c>
      <c r="L897" s="122">
        <v>10484</v>
      </c>
      <c r="M897" s="122">
        <v>8737</v>
      </c>
      <c r="N897" s="122">
        <v>2935</v>
      </c>
      <c r="O897" s="122">
        <v>1087</v>
      </c>
      <c r="P897" s="122">
        <v>473</v>
      </c>
      <c r="Q897" s="122">
        <v>175</v>
      </c>
      <c r="R897" s="122">
        <v>3913</v>
      </c>
      <c r="S897" s="122">
        <v>3558</v>
      </c>
      <c r="T897" s="122">
        <v>0</v>
      </c>
      <c r="U897" s="122">
        <v>0</v>
      </c>
      <c r="V897" s="122">
        <v>45134</v>
      </c>
      <c r="W897" s="122">
        <f t="shared" si="26"/>
        <v>45135</v>
      </c>
      <c r="X897" s="122">
        <f t="shared" si="27"/>
        <v>52541</v>
      </c>
      <c r="Y897" s="122"/>
      <c r="AA897" t="s">
        <v>58</v>
      </c>
      <c r="AB897" t="s">
        <v>137</v>
      </c>
      <c r="AC897" t="s">
        <v>481</v>
      </c>
      <c r="AD897" t="s">
        <v>137</v>
      </c>
      <c r="AE897" t="s">
        <v>566</v>
      </c>
      <c r="AF897">
        <v>1</v>
      </c>
      <c r="AG897">
        <v>86</v>
      </c>
      <c r="AH897">
        <v>286</v>
      </c>
      <c r="AI897" s="122">
        <v>11742</v>
      </c>
      <c r="AJ897" s="122">
        <v>4349</v>
      </c>
      <c r="AK897">
        <v>100</v>
      </c>
      <c r="AL897" s="122">
        <v>1772</v>
      </c>
      <c r="AM897" s="122">
        <v>1611</v>
      </c>
      <c r="AN897" s="122">
        <v>1052</v>
      </c>
      <c r="AO897">
        <v>390</v>
      </c>
      <c r="AP897">
        <v>0</v>
      </c>
      <c r="AQ897">
        <v>0</v>
      </c>
      <c r="AR897" s="122">
        <v>10115</v>
      </c>
      <c r="AS897" s="122">
        <v>3746</v>
      </c>
      <c r="AT897">
        <v>0</v>
      </c>
      <c r="AU897">
        <v>0</v>
      </c>
      <c r="AV897" s="122">
        <v>10096</v>
      </c>
    </row>
    <row r="898" spans="2:48" hidden="1">
      <c r="B898" t="s">
        <v>368</v>
      </c>
      <c r="C898" t="s">
        <v>62</v>
      </c>
      <c r="D898" t="s">
        <v>405</v>
      </c>
      <c r="E898" t="s">
        <v>405</v>
      </c>
      <c r="F898">
        <v>2</v>
      </c>
      <c r="G898" s="122">
        <v>194</v>
      </c>
      <c r="H898" s="122">
        <v>793</v>
      </c>
      <c r="I898" s="122">
        <v>49041</v>
      </c>
      <c r="J898" s="122">
        <v>44583</v>
      </c>
      <c r="K898">
        <v>65</v>
      </c>
      <c r="L898" s="122">
        <v>6709</v>
      </c>
      <c r="M898" s="122">
        <v>5864</v>
      </c>
      <c r="N898" s="122">
        <v>4058</v>
      </c>
      <c r="O898" s="122">
        <v>1503</v>
      </c>
      <c r="P898" s="122">
        <v>945</v>
      </c>
      <c r="Q898" s="122">
        <v>350</v>
      </c>
      <c r="R898" s="122">
        <v>10501</v>
      </c>
      <c r="S898" s="122">
        <v>9546</v>
      </c>
      <c r="T898" s="122">
        <v>5665</v>
      </c>
      <c r="U898" s="122">
        <v>2098</v>
      </c>
      <c r="V898" s="122">
        <v>63945</v>
      </c>
      <c r="W898" s="122">
        <f t="shared" si="26"/>
        <v>63944</v>
      </c>
      <c r="X898" s="122">
        <f t="shared" si="27"/>
        <v>76919</v>
      </c>
      <c r="Y898" s="122"/>
      <c r="AA898" t="s">
        <v>58</v>
      </c>
      <c r="AB898" t="s">
        <v>137</v>
      </c>
      <c r="AC898" t="s">
        <v>433</v>
      </c>
      <c r="AD898" t="s">
        <v>137</v>
      </c>
      <c r="AE898" t="s">
        <v>137</v>
      </c>
      <c r="AF898">
        <v>5</v>
      </c>
      <c r="AG898">
        <v>515</v>
      </c>
      <c r="AH898" s="122">
        <v>1215</v>
      </c>
      <c r="AI898" s="122">
        <v>70557</v>
      </c>
      <c r="AJ898" s="122">
        <v>26132</v>
      </c>
      <c r="AK898">
        <v>100</v>
      </c>
      <c r="AL898" s="122">
        <v>9059</v>
      </c>
      <c r="AM898" s="122">
        <v>8236</v>
      </c>
      <c r="AN898" s="122">
        <v>9656</v>
      </c>
      <c r="AO898" s="122">
        <v>3576</v>
      </c>
      <c r="AP898">
        <v>0</v>
      </c>
      <c r="AQ898">
        <v>0</v>
      </c>
      <c r="AR898" s="122">
        <v>33175</v>
      </c>
      <c r="AS898" s="122">
        <v>12287</v>
      </c>
      <c r="AT898" s="122">
        <v>2212</v>
      </c>
      <c r="AU898">
        <v>819</v>
      </c>
      <c r="AV898" s="122">
        <v>51051</v>
      </c>
    </row>
    <row r="899" spans="2:48" hidden="1">
      <c r="B899" t="s">
        <v>368</v>
      </c>
      <c r="C899" t="s">
        <v>62</v>
      </c>
      <c r="D899" t="s">
        <v>137</v>
      </c>
      <c r="E899" t="s">
        <v>137</v>
      </c>
      <c r="F899">
        <v>142</v>
      </c>
      <c r="G899" s="122">
        <v>11073</v>
      </c>
      <c r="H899" s="122">
        <v>58928</v>
      </c>
      <c r="I899" s="122">
        <v>3055696</v>
      </c>
      <c r="J899" s="122">
        <v>1131739</v>
      </c>
      <c r="K899">
        <v>100</v>
      </c>
      <c r="L899" s="122">
        <v>420221</v>
      </c>
      <c r="M899" s="122">
        <v>305771</v>
      </c>
      <c r="N899" s="122">
        <v>234249</v>
      </c>
      <c r="O899" s="122">
        <v>86759</v>
      </c>
      <c r="P899" s="122">
        <v>5077</v>
      </c>
      <c r="Q899" s="122">
        <v>1880</v>
      </c>
      <c r="R899" s="122">
        <v>984630</v>
      </c>
      <c r="S899" s="122">
        <v>364678</v>
      </c>
      <c r="T899">
        <v>0</v>
      </c>
      <c r="U899">
        <v>0</v>
      </c>
      <c r="V899" s="122">
        <v>1890827</v>
      </c>
      <c r="W899" s="122">
        <f t="shared" si="26"/>
        <v>1890827</v>
      </c>
      <c r="X899" s="122">
        <f t="shared" si="27"/>
        <v>4699873</v>
      </c>
      <c r="Y899" s="122"/>
      <c r="AA899" t="s">
        <v>58</v>
      </c>
      <c r="AB899" t="s">
        <v>137</v>
      </c>
      <c r="AC899" t="s">
        <v>433</v>
      </c>
      <c r="AD899" t="s">
        <v>137</v>
      </c>
      <c r="AE899" t="s">
        <v>566</v>
      </c>
      <c r="AF899">
        <v>57</v>
      </c>
      <c r="AG899" s="122">
        <v>5632</v>
      </c>
      <c r="AH899" s="122">
        <v>14994</v>
      </c>
      <c r="AI899" s="122">
        <v>824460</v>
      </c>
      <c r="AJ899" s="122">
        <v>305356</v>
      </c>
      <c r="AK899">
        <v>103</v>
      </c>
      <c r="AL899" s="122">
        <v>141224</v>
      </c>
      <c r="AM899" s="122">
        <v>128385</v>
      </c>
      <c r="AN899" s="122">
        <v>116514</v>
      </c>
      <c r="AO899" s="122">
        <v>43153</v>
      </c>
      <c r="AP899" s="122">
        <v>3356</v>
      </c>
      <c r="AQ899" s="122">
        <v>1243</v>
      </c>
      <c r="AR899" s="122">
        <v>410958</v>
      </c>
      <c r="AS899" s="122">
        <v>152207</v>
      </c>
      <c r="AT899">
        <v>0</v>
      </c>
      <c r="AU899">
        <v>0</v>
      </c>
      <c r="AV899" s="122">
        <v>630344</v>
      </c>
    </row>
    <row r="900" spans="2:48" hidden="1">
      <c r="B900" t="s">
        <v>368</v>
      </c>
      <c r="C900" t="s">
        <v>62</v>
      </c>
      <c r="D900" t="s">
        <v>137</v>
      </c>
      <c r="E900" t="s">
        <v>406</v>
      </c>
      <c r="F900">
        <v>2</v>
      </c>
      <c r="G900" s="122">
        <v>151</v>
      </c>
      <c r="H900" s="122">
        <v>842</v>
      </c>
      <c r="I900" s="122">
        <v>48214</v>
      </c>
      <c r="J900" s="122">
        <v>17857</v>
      </c>
      <c r="K900">
        <v>100</v>
      </c>
      <c r="L900" s="122">
        <v>2424</v>
      </c>
      <c r="M900" s="122">
        <v>2203</v>
      </c>
      <c r="N900" s="122">
        <v>3013</v>
      </c>
      <c r="O900" s="122">
        <v>1116</v>
      </c>
      <c r="P900" s="122">
        <v>270</v>
      </c>
      <c r="Q900" s="122">
        <v>100</v>
      </c>
      <c r="R900" s="122">
        <v>7078</v>
      </c>
      <c r="S900" s="122">
        <v>6435</v>
      </c>
      <c r="T900" s="122">
        <v>2349</v>
      </c>
      <c r="U900" s="122">
        <v>870</v>
      </c>
      <c r="V900" s="122">
        <v>28581</v>
      </c>
      <c r="W900" s="122">
        <f t="shared" si="26"/>
        <v>28581</v>
      </c>
      <c r="X900" s="122">
        <f t="shared" si="27"/>
        <v>63348</v>
      </c>
      <c r="Y900" s="122"/>
      <c r="AA900" t="s">
        <v>58</v>
      </c>
      <c r="AB900" t="s">
        <v>137</v>
      </c>
      <c r="AC900" t="s">
        <v>429</v>
      </c>
      <c r="AD900" t="s">
        <v>137</v>
      </c>
      <c r="AE900" t="s">
        <v>566</v>
      </c>
      <c r="AF900">
        <v>7</v>
      </c>
      <c r="AG900">
        <v>669</v>
      </c>
      <c r="AH900" s="122">
        <v>1870</v>
      </c>
      <c r="AI900" s="122">
        <v>100926</v>
      </c>
      <c r="AJ900" s="122">
        <v>37380</v>
      </c>
      <c r="AK900">
        <v>100</v>
      </c>
      <c r="AL900" s="122">
        <v>11322</v>
      </c>
      <c r="AM900" s="122">
        <v>10292</v>
      </c>
      <c r="AN900" s="122">
        <v>11493</v>
      </c>
      <c r="AO900" s="122">
        <v>4256</v>
      </c>
      <c r="AP900">
        <v>0</v>
      </c>
      <c r="AQ900">
        <v>0</v>
      </c>
      <c r="AR900" s="122">
        <v>53108</v>
      </c>
      <c r="AS900" s="122">
        <v>19670</v>
      </c>
      <c r="AT900">
        <v>0</v>
      </c>
      <c r="AU900">
        <v>0</v>
      </c>
      <c r="AV900" s="122">
        <v>71598</v>
      </c>
    </row>
    <row r="901" spans="2:48" hidden="1">
      <c r="B901" t="s">
        <v>368</v>
      </c>
      <c r="C901" t="s">
        <v>62</v>
      </c>
      <c r="D901" t="s">
        <v>137</v>
      </c>
      <c r="E901" t="s">
        <v>427</v>
      </c>
      <c r="F901">
        <v>1</v>
      </c>
      <c r="G901">
        <v>81</v>
      </c>
      <c r="H901" s="122">
        <v>392</v>
      </c>
      <c r="I901" s="122">
        <v>14084</v>
      </c>
      <c r="J901" s="122">
        <v>5216</v>
      </c>
      <c r="K901">
        <v>100</v>
      </c>
      <c r="L901" s="122">
        <v>2025</v>
      </c>
      <c r="M901" s="122">
        <v>1841</v>
      </c>
      <c r="N901" s="122">
        <v>1381</v>
      </c>
      <c r="O901" s="122">
        <v>511</v>
      </c>
      <c r="P901">
        <v>351</v>
      </c>
      <c r="Q901">
        <v>130</v>
      </c>
      <c r="R901" s="122">
        <v>10969</v>
      </c>
      <c r="S901" s="122">
        <v>9972</v>
      </c>
      <c r="T901" s="122">
        <v>2891</v>
      </c>
      <c r="U901" s="122">
        <v>1071</v>
      </c>
      <c r="V901" s="122">
        <v>18741</v>
      </c>
      <c r="W901" s="122">
        <f t="shared" si="26"/>
        <v>18741</v>
      </c>
      <c r="X901" s="122">
        <f t="shared" si="27"/>
        <v>31701</v>
      </c>
      <c r="Y901" s="122"/>
      <c r="AA901" t="s">
        <v>58</v>
      </c>
      <c r="AB901" t="s">
        <v>430</v>
      </c>
      <c r="AC901" t="s">
        <v>426</v>
      </c>
      <c r="AD901" t="s">
        <v>430</v>
      </c>
      <c r="AE901" t="s">
        <v>566</v>
      </c>
      <c r="AF901">
        <v>2</v>
      </c>
      <c r="AG901">
        <v>187</v>
      </c>
      <c r="AH901">
        <v>492</v>
      </c>
      <c r="AI901" s="122">
        <v>23662</v>
      </c>
      <c r="AJ901" s="122">
        <v>8764</v>
      </c>
      <c r="AK901">
        <v>100</v>
      </c>
      <c r="AL901" s="122">
        <v>3570</v>
      </c>
      <c r="AM901" s="122">
        <v>3246</v>
      </c>
      <c r="AN901" s="122">
        <v>4549</v>
      </c>
      <c r="AO901" s="122">
        <v>1685</v>
      </c>
      <c r="AP901">
        <v>0</v>
      </c>
      <c r="AQ901">
        <v>0</v>
      </c>
      <c r="AR901" s="122">
        <v>14194</v>
      </c>
      <c r="AS901" s="122">
        <v>5257</v>
      </c>
      <c r="AT901">
        <v>0</v>
      </c>
      <c r="AU901">
        <v>0</v>
      </c>
      <c r="AV901" s="122">
        <v>18952</v>
      </c>
    </row>
    <row r="902" spans="2:48">
      <c r="B902" t="s">
        <v>368</v>
      </c>
      <c r="C902" t="s">
        <v>62</v>
      </c>
      <c r="D902" t="s">
        <v>137</v>
      </c>
      <c r="E902" t="s">
        <v>556</v>
      </c>
      <c r="F902">
        <v>1</v>
      </c>
      <c r="G902" s="122">
        <v>83</v>
      </c>
      <c r="H902" s="122">
        <v>426</v>
      </c>
      <c r="I902" s="122">
        <v>18140</v>
      </c>
      <c r="J902" s="122">
        <v>6718</v>
      </c>
      <c r="K902">
        <v>100</v>
      </c>
      <c r="L902" s="122">
        <v>4479</v>
      </c>
      <c r="M902" s="122">
        <v>3732</v>
      </c>
      <c r="N902" s="122">
        <v>1821</v>
      </c>
      <c r="O902" s="122">
        <v>674</v>
      </c>
      <c r="P902" s="122">
        <v>0</v>
      </c>
      <c r="Q902" s="122">
        <v>0</v>
      </c>
      <c r="R902" s="122">
        <v>8034</v>
      </c>
      <c r="S902" s="122">
        <v>6695</v>
      </c>
      <c r="T902" s="122">
        <v>2919</v>
      </c>
      <c r="U902" s="122">
        <v>1081</v>
      </c>
      <c r="V902" s="122">
        <v>18901</v>
      </c>
      <c r="W902" s="122">
        <f t="shared" si="26"/>
        <v>18900</v>
      </c>
      <c r="X902" s="122">
        <f t="shared" si="27"/>
        <v>35393</v>
      </c>
      <c r="Y902" s="122"/>
      <c r="AA902" t="s">
        <v>58</v>
      </c>
      <c r="AB902" t="s">
        <v>406</v>
      </c>
      <c r="AC902" t="s">
        <v>578</v>
      </c>
      <c r="AD902" t="s">
        <v>406</v>
      </c>
      <c r="AE902" t="s">
        <v>137</v>
      </c>
      <c r="AF902">
        <v>42</v>
      </c>
      <c r="AG902" s="122">
        <v>4027</v>
      </c>
      <c r="AH902" s="122">
        <v>10928</v>
      </c>
      <c r="AI902" s="122">
        <v>548733</v>
      </c>
      <c r="AJ902" s="122">
        <v>498848</v>
      </c>
      <c r="AK902">
        <v>78</v>
      </c>
      <c r="AL902" s="122">
        <v>109478</v>
      </c>
      <c r="AM902" s="122">
        <v>99525</v>
      </c>
      <c r="AN902" s="122">
        <v>85695</v>
      </c>
      <c r="AO902" s="122">
        <v>31739</v>
      </c>
      <c r="AP902" s="122">
        <v>26204</v>
      </c>
      <c r="AQ902" s="122">
        <v>9705</v>
      </c>
      <c r="AR902" s="122">
        <v>179425</v>
      </c>
      <c r="AS902" s="122">
        <v>163113</v>
      </c>
      <c r="AT902" s="122">
        <v>104918</v>
      </c>
      <c r="AU902" s="122">
        <v>38859</v>
      </c>
      <c r="AV902" s="122">
        <v>841790</v>
      </c>
    </row>
    <row r="903" spans="2:48">
      <c r="B903" t="s">
        <v>368</v>
      </c>
      <c r="C903" t="s">
        <v>62</v>
      </c>
      <c r="D903" t="s">
        <v>137</v>
      </c>
      <c r="E903" t="s">
        <v>431</v>
      </c>
      <c r="F903">
        <v>2</v>
      </c>
      <c r="G903" s="122">
        <v>158</v>
      </c>
      <c r="H903" s="122">
        <v>837</v>
      </c>
      <c r="I903" s="122">
        <v>42605</v>
      </c>
      <c r="J903" s="122">
        <v>15779</v>
      </c>
      <c r="K903">
        <v>100</v>
      </c>
      <c r="L903" s="122">
        <v>6429</v>
      </c>
      <c r="M903" s="122">
        <v>5844</v>
      </c>
      <c r="N903" s="122">
        <v>3397</v>
      </c>
      <c r="O903" s="122">
        <v>1258</v>
      </c>
      <c r="P903" s="122">
        <v>0</v>
      </c>
      <c r="Q903" s="122">
        <v>0</v>
      </c>
      <c r="R903" s="122">
        <v>10280</v>
      </c>
      <c r="S903" s="122">
        <v>9345</v>
      </c>
      <c r="T903" s="122">
        <v>3418</v>
      </c>
      <c r="U903" s="122">
        <v>1266</v>
      </c>
      <c r="V903" s="122">
        <v>33493</v>
      </c>
      <c r="W903" s="122">
        <f t="shared" ref="W903:W938" si="28">SUM(ABS(J903),ABS(M903),ABS(O903),ABS(Q903),ABS(S903),ABS(U903))</f>
        <v>33492</v>
      </c>
      <c r="X903" s="122">
        <f t="shared" ref="X903:X938" si="29">SUM(ABS(I903),ABS(N903),ABS(P903),ABS(R903),ABS(T903),ABS(L903))</f>
        <v>66129</v>
      </c>
      <c r="Y903" s="122"/>
      <c r="AA903" t="s">
        <v>58</v>
      </c>
      <c r="AB903" t="s">
        <v>406</v>
      </c>
      <c r="AC903" t="s">
        <v>578</v>
      </c>
      <c r="AD903" t="s">
        <v>406</v>
      </c>
      <c r="AE903" t="s">
        <v>566</v>
      </c>
      <c r="AF903">
        <v>11</v>
      </c>
      <c r="AG903" s="122">
        <v>1100</v>
      </c>
      <c r="AH903" s="122">
        <v>2938</v>
      </c>
      <c r="AI903" s="122">
        <v>178694</v>
      </c>
      <c r="AJ903" s="122">
        <v>162449</v>
      </c>
      <c r="AK903">
        <v>83</v>
      </c>
      <c r="AL903" s="122">
        <v>32157</v>
      </c>
      <c r="AM903" s="122">
        <v>29234</v>
      </c>
      <c r="AN903" s="122">
        <v>22206</v>
      </c>
      <c r="AO903" s="122">
        <v>8225</v>
      </c>
      <c r="AP903" s="122">
        <v>6561</v>
      </c>
      <c r="AQ903" s="122">
        <v>2430</v>
      </c>
      <c r="AR903" s="122">
        <v>56713</v>
      </c>
      <c r="AS903" s="122">
        <v>51557</v>
      </c>
      <c r="AT903">
        <v>0</v>
      </c>
      <c r="AU903">
        <v>0</v>
      </c>
      <c r="AV903" s="122">
        <v>253894</v>
      </c>
    </row>
    <row r="904" spans="2:48" hidden="1">
      <c r="B904" t="s">
        <v>368</v>
      </c>
      <c r="C904" t="s">
        <v>62</v>
      </c>
      <c r="D904" t="s">
        <v>137</v>
      </c>
      <c r="E904" t="s">
        <v>426</v>
      </c>
      <c r="F904">
        <v>12</v>
      </c>
      <c r="G904">
        <v>769</v>
      </c>
      <c r="H904" s="122">
        <v>4931</v>
      </c>
      <c r="I904" s="122">
        <v>188809</v>
      </c>
      <c r="J904" s="122">
        <v>69929</v>
      </c>
      <c r="K904">
        <v>100</v>
      </c>
      <c r="L904" s="122">
        <v>25349</v>
      </c>
      <c r="M904" s="122">
        <v>23044</v>
      </c>
      <c r="N904" s="122">
        <v>14339</v>
      </c>
      <c r="O904" s="122">
        <v>5311</v>
      </c>
      <c r="P904" s="122">
        <v>1404</v>
      </c>
      <c r="Q904" s="122">
        <v>520</v>
      </c>
      <c r="R904" s="122">
        <v>64000</v>
      </c>
      <c r="S904" s="122">
        <v>58182</v>
      </c>
      <c r="T904" s="122">
        <v>23851</v>
      </c>
      <c r="U904" s="122">
        <v>8834</v>
      </c>
      <c r="V904" s="122">
        <v>165820</v>
      </c>
      <c r="W904" s="122">
        <f t="shared" si="28"/>
        <v>165820</v>
      </c>
      <c r="X904" s="122">
        <f t="shared" si="29"/>
        <v>317752</v>
      </c>
      <c r="Y904" s="122"/>
      <c r="AA904" t="s">
        <v>58</v>
      </c>
      <c r="AB904" t="s">
        <v>406</v>
      </c>
      <c r="AC904" t="s">
        <v>425</v>
      </c>
      <c r="AD904" t="s">
        <v>137</v>
      </c>
      <c r="AE904" t="s">
        <v>566</v>
      </c>
      <c r="AF904">
        <v>1</v>
      </c>
      <c r="AG904">
        <v>112</v>
      </c>
      <c r="AH904">
        <v>228</v>
      </c>
      <c r="AI904" s="122">
        <v>11560</v>
      </c>
      <c r="AJ904" s="122">
        <v>10509</v>
      </c>
      <c r="AK904">
        <v>86</v>
      </c>
      <c r="AL904" s="122">
        <v>1660</v>
      </c>
      <c r="AM904" s="122">
        <v>1509</v>
      </c>
      <c r="AN904" s="122">
        <v>2361</v>
      </c>
      <c r="AO904">
        <v>874</v>
      </c>
      <c r="AP904">
        <v>621</v>
      </c>
      <c r="AQ904">
        <v>230</v>
      </c>
      <c r="AR904" s="122">
        <v>9359</v>
      </c>
      <c r="AS904" s="122">
        <v>3466</v>
      </c>
      <c r="AT904">
        <v>0</v>
      </c>
      <c r="AU904">
        <v>0</v>
      </c>
      <c r="AV904" s="122">
        <v>16588</v>
      </c>
    </row>
    <row r="905" spans="2:48" hidden="1">
      <c r="B905" t="s">
        <v>368</v>
      </c>
      <c r="C905" t="s">
        <v>62</v>
      </c>
      <c r="D905" t="s">
        <v>406</v>
      </c>
      <c r="E905" t="s">
        <v>137</v>
      </c>
      <c r="F905">
        <v>3</v>
      </c>
      <c r="G905" s="122">
        <v>356</v>
      </c>
      <c r="H905" s="122">
        <v>1210</v>
      </c>
      <c r="I905" s="122">
        <v>90845</v>
      </c>
      <c r="J905" s="122">
        <v>82586</v>
      </c>
      <c r="K905">
        <v>65</v>
      </c>
      <c r="L905" s="122">
        <v>24521</v>
      </c>
      <c r="M905" s="122">
        <v>18153</v>
      </c>
      <c r="N905" s="122">
        <v>7840</v>
      </c>
      <c r="O905" s="122">
        <v>2904</v>
      </c>
      <c r="P905" s="122">
        <v>1512</v>
      </c>
      <c r="Q905" s="122">
        <v>560</v>
      </c>
      <c r="R905" s="122">
        <v>20229</v>
      </c>
      <c r="S905" s="122">
        <v>7492</v>
      </c>
      <c r="T905" s="122">
        <v>0</v>
      </c>
      <c r="U905" s="122">
        <v>0</v>
      </c>
      <c r="V905" s="122">
        <v>111696</v>
      </c>
      <c r="W905" s="122">
        <f t="shared" si="28"/>
        <v>111695</v>
      </c>
      <c r="X905" s="122">
        <f t="shared" si="29"/>
        <v>144947</v>
      </c>
      <c r="Y905" s="122"/>
      <c r="AA905" t="s">
        <v>58</v>
      </c>
      <c r="AB905" t="s">
        <v>406</v>
      </c>
      <c r="AC905" t="s">
        <v>425</v>
      </c>
      <c r="AD905" t="s">
        <v>406</v>
      </c>
      <c r="AE905" t="s">
        <v>137</v>
      </c>
      <c r="AF905">
        <v>249</v>
      </c>
      <c r="AG905" s="122">
        <v>27388</v>
      </c>
      <c r="AH905" s="122">
        <v>64254</v>
      </c>
      <c r="AI905" s="122">
        <v>3575369</v>
      </c>
      <c r="AJ905" s="122">
        <v>3250335</v>
      </c>
      <c r="AK905">
        <v>79</v>
      </c>
      <c r="AL905" s="122">
        <v>1038329</v>
      </c>
      <c r="AM905" s="122">
        <v>943936</v>
      </c>
      <c r="AN905" s="122">
        <v>583973</v>
      </c>
      <c r="AO905" s="122">
        <v>216286</v>
      </c>
      <c r="AP905" s="122">
        <v>155542</v>
      </c>
      <c r="AQ905" s="122">
        <v>57608</v>
      </c>
      <c r="AR905" s="122">
        <v>1127239</v>
      </c>
      <c r="AS905" s="122">
        <v>1024763</v>
      </c>
      <c r="AT905" s="122">
        <v>645195</v>
      </c>
      <c r="AU905" s="122">
        <v>238961</v>
      </c>
      <c r="AV905" s="122">
        <v>5731889</v>
      </c>
    </row>
    <row r="906" spans="2:48" hidden="1">
      <c r="B906" t="s">
        <v>368</v>
      </c>
      <c r="C906" t="s">
        <v>62</v>
      </c>
      <c r="D906" t="s">
        <v>406</v>
      </c>
      <c r="E906" t="s">
        <v>406</v>
      </c>
      <c r="F906">
        <v>271</v>
      </c>
      <c r="G906" s="122">
        <v>27641</v>
      </c>
      <c r="H906" s="122">
        <v>111051</v>
      </c>
      <c r="I906" s="122">
        <v>7217383</v>
      </c>
      <c r="J906" s="122">
        <v>6561258</v>
      </c>
      <c r="K906">
        <v>74</v>
      </c>
      <c r="L906" s="122">
        <v>1576846</v>
      </c>
      <c r="M906" s="122">
        <v>1334310</v>
      </c>
      <c r="N906" s="122">
        <v>595266</v>
      </c>
      <c r="O906" s="122">
        <v>220469</v>
      </c>
      <c r="P906" s="122">
        <v>173988</v>
      </c>
      <c r="Q906" s="122">
        <v>64440</v>
      </c>
      <c r="R906" s="122">
        <v>1347160</v>
      </c>
      <c r="S906" s="122">
        <v>1224691</v>
      </c>
      <c r="T906" s="122">
        <v>506604</v>
      </c>
      <c r="U906" s="122">
        <v>187631</v>
      </c>
      <c r="V906" s="122">
        <v>9592798</v>
      </c>
      <c r="W906" s="122">
        <f t="shared" si="28"/>
        <v>9592799</v>
      </c>
      <c r="X906" s="122">
        <f t="shared" si="29"/>
        <v>11417247</v>
      </c>
      <c r="Y906" s="122"/>
      <c r="AA906" t="s">
        <v>58</v>
      </c>
      <c r="AB906" t="s">
        <v>406</v>
      </c>
      <c r="AC906" t="s">
        <v>425</v>
      </c>
      <c r="AD906" t="s">
        <v>406</v>
      </c>
      <c r="AE906" t="s">
        <v>566</v>
      </c>
      <c r="AF906">
        <v>111</v>
      </c>
      <c r="AG906" s="122">
        <v>12170</v>
      </c>
      <c r="AH906" s="122">
        <v>28516</v>
      </c>
      <c r="AI906" s="122">
        <v>1626319</v>
      </c>
      <c r="AJ906" s="122">
        <v>1478472</v>
      </c>
      <c r="AK906">
        <v>81</v>
      </c>
      <c r="AL906" s="122">
        <v>543719</v>
      </c>
      <c r="AM906" s="122">
        <v>494290</v>
      </c>
      <c r="AN906" s="122">
        <v>250368</v>
      </c>
      <c r="AO906" s="122">
        <v>92729</v>
      </c>
      <c r="AP906" s="122">
        <v>68820</v>
      </c>
      <c r="AQ906" s="122">
        <v>25489</v>
      </c>
      <c r="AR906" s="122">
        <v>666243</v>
      </c>
      <c r="AS906" s="122">
        <v>605675</v>
      </c>
      <c r="AT906">
        <v>0</v>
      </c>
      <c r="AU906">
        <v>0</v>
      </c>
      <c r="AV906" s="122">
        <v>2696655</v>
      </c>
    </row>
    <row r="907" spans="2:48" hidden="1">
      <c r="B907" t="s">
        <v>368</v>
      </c>
      <c r="C907" t="s">
        <v>62</v>
      </c>
      <c r="D907" t="s">
        <v>406</v>
      </c>
      <c r="E907" t="s">
        <v>407</v>
      </c>
      <c r="F907">
        <v>1</v>
      </c>
      <c r="G907" s="122">
        <v>82</v>
      </c>
      <c r="H907" s="122">
        <v>403</v>
      </c>
      <c r="I907" s="122">
        <v>17840</v>
      </c>
      <c r="J907" s="122">
        <v>16218</v>
      </c>
      <c r="K907">
        <v>65</v>
      </c>
      <c r="L907" s="122">
        <v>4454</v>
      </c>
      <c r="M907" s="122">
        <v>3712</v>
      </c>
      <c r="N907" s="122">
        <v>2008</v>
      </c>
      <c r="O907" s="122">
        <v>744</v>
      </c>
      <c r="P907" s="122">
        <v>621</v>
      </c>
      <c r="Q907" s="122">
        <v>230</v>
      </c>
      <c r="R907" s="122">
        <v>5355</v>
      </c>
      <c r="S907" s="122">
        <v>4869</v>
      </c>
      <c r="T907" s="122">
        <v>2911</v>
      </c>
      <c r="U907" s="122">
        <v>1078</v>
      </c>
      <c r="V907" s="122">
        <v>26850</v>
      </c>
      <c r="W907" s="122">
        <f t="shared" si="28"/>
        <v>26851</v>
      </c>
      <c r="X907" s="122">
        <f t="shared" si="29"/>
        <v>33189</v>
      </c>
      <c r="Y907" s="122"/>
      <c r="AA907" t="s">
        <v>58</v>
      </c>
      <c r="AB907" t="s">
        <v>406</v>
      </c>
      <c r="AC907" t="s">
        <v>425</v>
      </c>
      <c r="AD907" t="s">
        <v>407</v>
      </c>
      <c r="AE907" t="s">
        <v>137</v>
      </c>
      <c r="AF907">
        <v>1</v>
      </c>
      <c r="AG907">
        <v>126</v>
      </c>
      <c r="AH907">
        <v>274</v>
      </c>
      <c r="AI907" s="122">
        <v>22360</v>
      </c>
      <c r="AJ907" s="122">
        <v>20328</v>
      </c>
      <c r="AK907">
        <v>65</v>
      </c>
      <c r="AL907" s="122">
        <v>2437</v>
      </c>
      <c r="AM907" s="122">
        <v>2216</v>
      </c>
      <c r="AN907" s="122">
        <v>1918</v>
      </c>
      <c r="AO907">
        <v>710</v>
      </c>
      <c r="AP907">
        <v>621</v>
      </c>
      <c r="AQ907">
        <v>230</v>
      </c>
      <c r="AR907" s="122">
        <v>4406</v>
      </c>
      <c r="AS907" s="122">
        <v>4006</v>
      </c>
      <c r="AT907" s="122">
        <v>2746</v>
      </c>
      <c r="AU907" s="122">
        <v>1017</v>
      </c>
      <c r="AV907" s="122">
        <v>28506</v>
      </c>
    </row>
    <row r="908" spans="2:48" hidden="1">
      <c r="B908" t="s">
        <v>368</v>
      </c>
      <c r="C908" t="s">
        <v>62</v>
      </c>
      <c r="D908" t="s">
        <v>406</v>
      </c>
      <c r="E908" t="s">
        <v>426</v>
      </c>
      <c r="F908">
        <v>1</v>
      </c>
      <c r="G908">
        <v>81</v>
      </c>
      <c r="H908">
        <v>402</v>
      </c>
      <c r="I908" s="122">
        <v>20927</v>
      </c>
      <c r="J908" s="122">
        <v>19025</v>
      </c>
      <c r="K908">
        <v>65</v>
      </c>
      <c r="L908" s="122">
        <v>2395</v>
      </c>
      <c r="M908" s="122">
        <v>2177</v>
      </c>
      <c r="N908" s="122">
        <v>1831</v>
      </c>
      <c r="O908">
        <v>678</v>
      </c>
      <c r="P908">
        <v>621</v>
      </c>
      <c r="Q908">
        <v>230</v>
      </c>
      <c r="R908" s="122">
        <v>4558</v>
      </c>
      <c r="S908" s="122">
        <v>4144</v>
      </c>
      <c r="T908" s="122">
        <v>2316</v>
      </c>
      <c r="U908">
        <v>858</v>
      </c>
      <c r="V908" s="122">
        <v>27112</v>
      </c>
      <c r="W908" s="122">
        <f t="shared" si="28"/>
        <v>27112</v>
      </c>
      <c r="X908" s="122">
        <f t="shared" si="29"/>
        <v>32648</v>
      </c>
      <c r="Y908" s="122"/>
      <c r="AA908" t="s">
        <v>58</v>
      </c>
      <c r="AB908" t="s">
        <v>406</v>
      </c>
      <c r="AC908" t="s">
        <v>405</v>
      </c>
      <c r="AD908" t="s">
        <v>406</v>
      </c>
      <c r="AE908" t="s">
        <v>137</v>
      </c>
      <c r="AF908">
        <v>16</v>
      </c>
      <c r="AG908" s="122">
        <v>1650</v>
      </c>
      <c r="AH908" s="122">
        <v>4164</v>
      </c>
      <c r="AI908" s="122">
        <v>206605</v>
      </c>
      <c r="AJ908" s="122">
        <v>187823</v>
      </c>
      <c r="AK908">
        <v>80</v>
      </c>
      <c r="AL908" s="122">
        <v>72744</v>
      </c>
      <c r="AM908" s="122">
        <v>66131</v>
      </c>
      <c r="AN908" s="122">
        <v>36944</v>
      </c>
      <c r="AO908" s="122">
        <v>13683</v>
      </c>
      <c r="AP908" s="122">
        <v>10058</v>
      </c>
      <c r="AQ908" s="122">
        <v>3725</v>
      </c>
      <c r="AR908" s="122">
        <v>72402</v>
      </c>
      <c r="AS908" s="122">
        <v>65820</v>
      </c>
      <c r="AT908" s="122">
        <v>36079</v>
      </c>
      <c r="AU908" s="122">
        <v>13362</v>
      </c>
      <c r="AV908" s="122">
        <v>350545</v>
      </c>
    </row>
    <row r="909" spans="2:48" hidden="1">
      <c r="B909" t="s">
        <v>368</v>
      </c>
      <c r="C909" t="s">
        <v>62</v>
      </c>
      <c r="D909" t="s">
        <v>427</v>
      </c>
      <c r="E909" t="s">
        <v>427</v>
      </c>
      <c r="F909">
        <v>5</v>
      </c>
      <c r="G909">
        <v>354</v>
      </c>
      <c r="H909" s="122">
        <v>2038</v>
      </c>
      <c r="I909" s="122">
        <v>86797</v>
      </c>
      <c r="J909" s="122">
        <v>78906</v>
      </c>
      <c r="K909">
        <v>55</v>
      </c>
      <c r="L909" s="122">
        <v>14106</v>
      </c>
      <c r="M909" s="122">
        <v>12008</v>
      </c>
      <c r="N909" s="122">
        <v>7692</v>
      </c>
      <c r="O909" s="122">
        <v>2849</v>
      </c>
      <c r="P909" s="122">
        <v>1755</v>
      </c>
      <c r="Q909">
        <v>650</v>
      </c>
      <c r="R909" s="122">
        <v>28034</v>
      </c>
      <c r="S909" s="122">
        <v>25485</v>
      </c>
      <c r="T909" s="122">
        <v>6664</v>
      </c>
      <c r="U909" s="122">
        <v>2468</v>
      </c>
      <c r="V909" s="122">
        <v>122367</v>
      </c>
      <c r="W909" s="122">
        <f t="shared" si="28"/>
        <v>122366</v>
      </c>
      <c r="X909" s="122">
        <f t="shared" si="29"/>
        <v>145048</v>
      </c>
      <c r="Y909" s="122"/>
      <c r="AA909" t="s">
        <v>58</v>
      </c>
      <c r="AB909" t="s">
        <v>406</v>
      </c>
      <c r="AC909" t="s">
        <v>405</v>
      </c>
      <c r="AD909" t="s">
        <v>406</v>
      </c>
      <c r="AE909" t="s">
        <v>566</v>
      </c>
      <c r="AF909">
        <v>9</v>
      </c>
      <c r="AG909" s="122">
        <v>1182</v>
      </c>
      <c r="AH909" s="122">
        <v>2295</v>
      </c>
      <c r="AI909" s="122">
        <v>170401</v>
      </c>
      <c r="AJ909" s="122">
        <v>154910</v>
      </c>
      <c r="AK909">
        <v>79</v>
      </c>
      <c r="AL909" s="122">
        <v>52989</v>
      </c>
      <c r="AM909" s="122">
        <v>48172</v>
      </c>
      <c r="AN909" s="122">
        <v>25148</v>
      </c>
      <c r="AO909" s="122">
        <v>9314</v>
      </c>
      <c r="AP909" s="122">
        <v>5589</v>
      </c>
      <c r="AQ909" s="122">
        <v>2070</v>
      </c>
      <c r="AR909" s="122">
        <v>55054</v>
      </c>
      <c r="AS909" s="122">
        <v>50049</v>
      </c>
      <c r="AT909">
        <v>0</v>
      </c>
      <c r="AU909">
        <v>0</v>
      </c>
      <c r="AV909" s="122">
        <v>264515</v>
      </c>
    </row>
    <row r="910" spans="2:48" hidden="1">
      <c r="B910" t="s">
        <v>368</v>
      </c>
      <c r="C910" t="s">
        <v>62</v>
      </c>
      <c r="D910" t="s">
        <v>407</v>
      </c>
      <c r="E910" t="s">
        <v>407</v>
      </c>
      <c r="F910">
        <v>3</v>
      </c>
      <c r="G910" s="122">
        <v>228</v>
      </c>
      <c r="H910" s="122">
        <v>1167</v>
      </c>
      <c r="I910" s="122">
        <v>53955</v>
      </c>
      <c r="J910" s="122">
        <v>49050</v>
      </c>
      <c r="K910">
        <v>75</v>
      </c>
      <c r="L910" s="122">
        <v>12831</v>
      </c>
      <c r="M910" s="122">
        <v>7936</v>
      </c>
      <c r="N910" s="122">
        <v>5298</v>
      </c>
      <c r="O910" s="122">
        <v>1962</v>
      </c>
      <c r="P910" s="122">
        <v>1418</v>
      </c>
      <c r="Q910" s="122">
        <v>525</v>
      </c>
      <c r="R910" s="122">
        <v>10025</v>
      </c>
      <c r="S910" s="122">
        <v>9113</v>
      </c>
      <c r="T910" s="122">
        <v>5343</v>
      </c>
      <c r="U910" s="122">
        <v>1979</v>
      </c>
      <c r="V910" s="122">
        <v>70565</v>
      </c>
      <c r="W910" s="122">
        <f t="shared" si="28"/>
        <v>70565</v>
      </c>
      <c r="X910" s="122">
        <f t="shared" si="29"/>
        <v>88870</v>
      </c>
      <c r="Y910" s="122"/>
      <c r="AA910" t="s">
        <v>58</v>
      </c>
      <c r="AB910" t="s">
        <v>406</v>
      </c>
      <c r="AC910" t="s">
        <v>137</v>
      </c>
      <c r="AD910" t="s">
        <v>425</v>
      </c>
      <c r="AE910" t="s">
        <v>137</v>
      </c>
      <c r="AF910">
        <v>2</v>
      </c>
      <c r="AG910">
        <v>147</v>
      </c>
      <c r="AH910">
        <v>543</v>
      </c>
      <c r="AI910" s="122">
        <v>19091</v>
      </c>
      <c r="AJ910" s="122">
        <v>17356</v>
      </c>
      <c r="AK910">
        <v>72</v>
      </c>
      <c r="AL910" s="122">
        <v>3577</v>
      </c>
      <c r="AM910" s="122">
        <v>1325</v>
      </c>
      <c r="AN910" s="122">
        <v>3476</v>
      </c>
      <c r="AO910" s="122">
        <v>1287</v>
      </c>
      <c r="AP910" s="122">
        <v>1242</v>
      </c>
      <c r="AQ910">
        <v>460</v>
      </c>
      <c r="AR910" s="122">
        <v>10199</v>
      </c>
      <c r="AS910" s="122">
        <v>9272</v>
      </c>
      <c r="AT910" s="122">
        <v>1973</v>
      </c>
      <c r="AU910">
        <v>731</v>
      </c>
      <c r="AV910" s="122">
        <v>30430</v>
      </c>
    </row>
    <row r="911" spans="2:48" hidden="1">
      <c r="B911" t="s">
        <v>368</v>
      </c>
      <c r="C911" t="s">
        <v>62</v>
      </c>
      <c r="D911" t="s">
        <v>556</v>
      </c>
      <c r="E911" t="s">
        <v>137</v>
      </c>
      <c r="F911">
        <v>1</v>
      </c>
      <c r="G911" s="122">
        <v>80</v>
      </c>
      <c r="H911" s="122">
        <v>406</v>
      </c>
      <c r="I911" s="122">
        <v>24641</v>
      </c>
      <c r="J911" s="122">
        <v>20535</v>
      </c>
      <c r="K911">
        <v>30</v>
      </c>
      <c r="L911" s="122">
        <v>0</v>
      </c>
      <c r="M911" s="122">
        <v>0</v>
      </c>
      <c r="N911" s="122">
        <v>1185</v>
      </c>
      <c r="O911" s="122">
        <v>439</v>
      </c>
      <c r="P911" s="122">
        <v>0</v>
      </c>
      <c r="Q911" s="122">
        <v>0</v>
      </c>
      <c r="R911" s="122">
        <v>6550</v>
      </c>
      <c r="S911" s="122">
        <v>2426</v>
      </c>
      <c r="T911" s="122">
        <v>0</v>
      </c>
      <c r="U911" s="122">
        <v>0</v>
      </c>
      <c r="V911" s="122">
        <v>23399</v>
      </c>
      <c r="W911" s="122">
        <f t="shared" si="28"/>
        <v>23400</v>
      </c>
      <c r="X911" s="122">
        <f t="shared" si="29"/>
        <v>32376</v>
      </c>
      <c r="Y911" s="122"/>
      <c r="AA911" t="s">
        <v>58</v>
      </c>
      <c r="AB911" t="s">
        <v>406</v>
      </c>
      <c r="AC911" t="s">
        <v>137</v>
      </c>
      <c r="AD911" t="s">
        <v>137</v>
      </c>
      <c r="AE911" t="s">
        <v>137</v>
      </c>
      <c r="AF911">
        <v>2</v>
      </c>
      <c r="AG911">
        <v>155</v>
      </c>
      <c r="AH911">
        <v>545</v>
      </c>
      <c r="AI911" s="122">
        <v>20585</v>
      </c>
      <c r="AJ911" s="122">
        <v>18714</v>
      </c>
      <c r="AK911">
        <v>90</v>
      </c>
      <c r="AL911" s="122">
        <v>6241</v>
      </c>
      <c r="AM911" s="122">
        <v>2312</v>
      </c>
      <c r="AN911" s="122">
        <v>2024</v>
      </c>
      <c r="AO911">
        <v>750</v>
      </c>
      <c r="AP911" s="122">
        <v>1242</v>
      </c>
      <c r="AQ911">
        <v>460</v>
      </c>
      <c r="AR911" s="122">
        <v>12631</v>
      </c>
      <c r="AS911" s="122">
        <v>4678</v>
      </c>
      <c r="AT911">
        <v>161</v>
      </c>
      <c r="AU911">
        <v>60</v>
      </c>
      <c r="AV911" s="122">
        <v>26973</v>
      </c>
    </row>
    <row r="912" spans="2:48" hidden="1">
      <c r="B912" t="s">
        <v>368</v>
      </c>
      <c r="C912" t="s">
        <v>62</v>
      </c>
      <c r="D912" t="s">
        <v>556</v>
      </c>
      <c r="E912" t="s">
        <v>556</v>
      </c>
      <c r="F912">
        <v>226</v>
      </c>
      <c r="G912" s="122">
        <v>18457</v>
      </c>
      <c r="H912" s="122">
        <v>91321</v>
      </c>
      <c r="I912" s="122">
        <v>4306945</v>
      </c>
      <c r="J912" s="122">
        <v>3589121</v>
      </c>
      <c r="K912">
        <v>46</v>
      </c>
      <c r="L912" s="122">
        <v>653684</v>
      </c>
      <c r="M912" s="122">
        <v>538168</v>
      </c>
      <c r="N912" s="122">
        <v>354966</v>
      </c>
      <c r="O912" s="122">
        <v>131469</v>
      </c>
      <c r="P912" s="122">
        <v>83943</v>
      </c>
      <c r="Q912" s="122">
        <v>31090</v>
      </c>
      <c r="R912" s="122">
        <v>1531671</v>
      </c>
      <c r="S912" s="122">
        <v>1276392</v>
      </c>
      <c r="T912" s="122">
        <v>519891</v>
      </c>
      <c r="U912" s="122">
        <v>192552</v>
      </c>
      <c r="V912" s="122">
        <v>5758793</v>
      </c>
      <c r="W912" s="122">
        <f t="shared" si="28"/>
        <v>5758792</v>
      </c>
      <c r="X912" s="122">
        <f t="shared" si="29"/>
        <v>7451100</v>
      </c>
      <c r="Y912" s="122"/>
      <c r="AA912" t="s">
        <v>58</v>
      </c>
      <c r="AB912" t="s">
        <v>406</v>
      </c>
      <c r="AC912" t="s">
        <v>137</v>
      </c>
      <c r="AD912" t="s">
        <v>137</v>
      </c>
      <c r="AE912" t="s">
        <v>566</v>
      </c>
      <c r="AF912">
        <v>15</v>
      </c>
      <c r="AG912" s="122">
        <v>1443</v>
      </c>
      <c r="AH912" s="122">
        <v>3971</v>
      </c>
      <c r="AI912" s="122">
        <v>192302</v>
      </c>
      <c r="AJ912" s="122">
        <v>174820</v>
      </c>
      <c r="AK912">
        <v>81</v>
      </c>
      <c r="AL912" s="122">
        <v>51206</v>
      </c>
      <c r="AM912" s="122">
        <v>18965</v>
      </c>
      <c r="AN912" s="122">
        <v>30269</v>
      </c>
      <c r="AO912" s="122">
        <v>11211</v>
      </c>
      <c r="AP912" s="122">
        <v>8073</v>
      </c>
      <c r="AQ912" s="122">
        <v>2990</v>
      </c>
      <c r="AR912" s="122">
        <v>102297</v>
      </c>
      <c r="AS912" s="122">
        <v>37888</v>
      </c>
      <c r="AT912">
        <v>0</v>
      </c>
      <c r="AU912">
        <v>0</v>
      </c>
      <c r="AV912" s="122">
        <v>245874</v>
      </c>
    </row>
    <row r="913" spans="2:48" hidden="1">
      <c r="B913" t="s">
        <v>368</v>
      </c>
      <c r="C913" t="s">
        <v>62</v>
      </c>
      <c r="D913" t="s">
        <v>556</v>
      </c>
      <c r="E913" t="s">
        <v>428</v>
      </c>
      <c r="F913">
        <v>1</v>
      </c>
      <c r="G913">
        <v>104</v>
      </c>
      <c r="H913">
        <v>403</v>
      </c>
      <c r="I913" s="122">
        <v>24702</v>
      </c>
      <c r="J913" s="122">
        <v>20585</v>
      </c>
      <c r="K913">
        <v>45</v>
      </c>
      <c r="L913" s="122">
        <v>4117</v>
      </c>
      <c r="M913" s="122">
        <v>3431</v>
      </c>
      <c r="N913" s="122">
        <v>1723</v>
      </c>
      <c r="O913" s="122">
        <v>638</v>
      </c>
      <c r="P913">
        <v>351</v>
      </c>
      <c r="Q913">
        <v>130</v>
      </c>
      <c r="R913" s="122">
        <v>7864</v>
      </c>
      <c r="S913" s="122">
        <v>7149</v>
      </c>
      <c r="T913" s="122">
        <v>3191</v>
      </c>
      <c r="U913" s="122">
        <v>1182</v>
      </c>
      <c r="V913" s="122">
        <v>33115</v>
      </c>
      <c r="W913" s="122">
        <f t="shared" si="28"/>
        <v>33115</v>
      </c>
      <c r="X913" s="122">
        <f t="shared" si="29"/>
        <v>41948</v>
      </c>
      <c r="Y913" s="122"/>
      <c r="AA913" t="s">
        <v>58</v>
      </c>
      <c r="AB913" t="s">
        <v>406</v>
      </c>
      <c r="AC913" t="s">
        <v>137</v>
      </c>
      <c r="AD913" t="s">
        <v>406</v>
      </c>
      <c r="AE913" t="s">
        <v>137</v>
      </c>
      <c r="AF913" s="122">
        <v>1308</v>
      </c>
      <c r="AG913" s="122">
        <v>122176</v>
      </c>
      <c r="AH913" s="122">
        <v>340116</v>
      </c>
      <c r="AI913" s="122">
        <v>16051711</v>
      </c>
      <c r="AJ913" s="122">
        <v>14592464</v>
      </c>
      <c r="AK913">
        <v>79</v>
      </c>
      <c r="AL913" s="122">
        <v>4025199</v>
      </c>
      <c r="AM913" s="122">
        <v>1490815</v>
      </c>
      <c r="AN913" s="122">
        <v>2543981</v>
      </c>
      <c r="AO913" s="122">
        <v>942215</v>
      </c>
      <c r="AP913" s="122">
        <v>811428</v>
      </c>
      <c r="AQ913" s="122">
        <v>300529</v>
      </c>
      <c r="AR913" s="122">
        <v>5576449</v>
      </c>
      <c r="AS913" s="122">
        <v>5069499</v>
      </c>
      <c r="AT913" s="122">
        <v>3047066</v>
      </c>
      <c r="AU913" s="122">
        <v>1128543</v>
      </c>
      <c r="AV913" s="122">
        <v>23524065</v>
      </c>
    </row>
    <row r="914" spans="2:48" hidden="1">
      <c r="B914" t="s">
        <v>368</v>
      </c>
      <c r="C914" t="s">
        <v>62</v>
      </c>
      <c r="D914" t="s">
        <v>431</v>
      </c>
      <c r="E914" t="s">
        <v>431</v>
      </c>
      <c r="F914">
        <v>6</v>
      </c>
      <c r="G914">
        <v>592</v>
      </c>
      <c r="H914" s="122">
        <v>2444</v>
      </c>
      <c r="I914" s="122">
        <v>154639</v>
      </c>
      <c r="J914" s="122">
        <v>140581</v>
      </c>
      <c r="K914">
        <v>53</v>
      </c>
      <c r="L914" s="122">
        <v>18562</v>
      </c>
      <c r="M914" s="122">
        <v>16875</v>
      </c>
      <c r="N914" s="122">
        <v>10822</v>
      </c>
      <c r="O914" s="122">
        <v>4008</v>
      </c>
      <c r="P914" s="122">
        <v>2106</v>
      </c>
      <c r="Q914">
        <v>780</v>
      </c>
      <c r="R914" s="122">
        <v>41275</v>
      </c>
      <c r="S914" s="122">
        <v>37523</v>
      </c>
      <c r="T914" s="122">
        <v>14046</v>
      </c>
      <c r="U914" s="122">
        <v>5202</v>
      </c>
      <c r="V914" s="122">
        <v>204969</v>
      </c>
      <c r="W914" s="122">
        <f t="shared" si="28"/>
        <v>204969</v>
      </c>
      <c r="X914" s="122">
        <f t="shared" si="29"/>
        <v>241450</v>
      </c>
      <c r="Y914" s="122"/>
      <c r="AA914" t="s">
        <v>58</v>
      </c>
      <c r="AB914" t="s">
        <v>406</v>
      </c>
      <c r="AC914" t="s">
        <v>137</v>
      </c>
      <c r="AD914" t="s">
        <v>406</v>
      </c>
      <c r="AE914" t="s">
        <v>566</v>
      </c>
      <c r="AF914">
        <v>549</v>
      </c>
      <c r="AG914" s="122">
        <v>51828</v>
      </c>
      <c r="AH914" s="122">
        <v>141749</v>
      </c>
      <c r="AI914" s="122">
        <v>7168713</v>
      </c>
      <c r="AJ914" s="122">
        <v>6517012</v>
      </c>
      <c r="AK914">
        <v>81</v>
      </c>
      <c r="AL914" s="122">
        <v>1843721</v>
      </c>
      <c r="AM914" s="122">
        <v>682860</v>
      </c>
      <c r="AN914" s="122">
        <v>1071325</v>
      </c>
      <c r="AO914" s="122">
        <v>396787</v>
      </c>
      <c r="AP914" s="122">
        <v>342974</v>
      </c>
      <c r="AQ914" s="122">
        <v>127027</v>
      </c>
      <c r="AR914" s="122">
        <v>3152428</v>
      </c>
      <c r="AS914" s="122">
        <v>2865844</v>
      </c>
      <c r="AT914">
        <v>0</v>
      </c>
      <c r="AU914">
        <v>0</v>
      </c>
      <c r="AV914" s="122">
        <v>10589529</v>
      </c>
    </row>
    <row r="915" spans="2:48" hidden="1">
      <c r="B915" t="s">
        <v>368</v>
      </c>
      <c r="C915" t="s">
        <v>62</v>
      </c>
      <c r="D915" t="s">
        <v>426</v>
      </c>
      <c r="E915" t="s">
        <v>137</v>
      </c>
      <c r="F915">
        <v>1</v>
      </c>
      <c r="G915" s="122">
        <v>109</v>
      </c>
      <c r="H915" s="122">
        <v>423</v>
      </c>
      <c r="I915" s="122">
        <v>30844</v>
      </c>
      <c r="J915" s="122">
        <v>28040</v>
      </c>
      <c r="K915">
        <v>60</v>
      </c>
      <c r="L915" s="122">
        <v>6854</v>
      </c>
      <c r="M915" s="122">
        <v>6231</v>
      </c>
      <c r="N915" s="122">
        <v>2087</v>
      </c>
      <c r="O915" s="122">
        <v>773</v>
      </c>
      <c r="P915" s="122">
        <v>0</v>
      </c>
      <c r="Q915" s="122">
        <v>0</v>
      </c>
      <c r="R915" s="122">
        <v>4257</v>
      </c>
      <c r="S915" s="122">
        <v>1577</v>
      </c>
      <c r="T915" s="122">
        <v>2097</v>
      </c>
      <c r="U915" s="122">
        <v>777</v>
      </c>
      <c r="V915" s="122">
        <v>37397</v>
      </c>
      <c r="W915" s="122">
        <f t="shared" si="28"/>
        <v>37398</v>
      </c>
      <c r="X915" s="122">
        <f t="shared" si="29"/>
        <v>46139</v>
      </c>
      <c r="Y915" s="122"/>
      <c r="AA915" t="s">
        <v>58</v>
      </c>
      <c r="AB915" t="s">
        <v>406</v>
      </c>
      <c r="AC915" t="s">
        <v>137</v>
      </c>
      <c r="AD915" t="s">
        <v>407</v>
      </c>
      <c r="AE915" t="s">
        <v>137</v>
      </c>
      <c r="AF915">
        <v>3</v>
      </c>
      <c r="AG915">
        <v>238</v>
      </c>
      <c r="AH915">
        <v>799</v>
      </c>
      <c r="AI915" s="122">
        <v>28844</v>
      </c>
      <c r="AJ915" s="122">
        <v>26222</v>
      </c>
      <c r="AK915">
        <v>68</v>
      </c>
      <c r="AL915" s="122">
        <v>8564</v>
      </c>
      <c r="AM915" s="122">
        <v>3172</v>
      </c>
      <c r="AN915" s="122">
        <v>5222</v>
      </c>
      <c r="AO915" s="122">
        <v>1934</v>
      </c>
      <c r="AP915" s="122">
        <v>1863</v>
      </c>
      <c r="AQ915">
        <v>690</v>
      </c>
      <c r="AR915" s="122">
        <v>11648</v>
      </c>
      <c r="AS915" s="122">
        <v>10589</v>
      </c>
      <c r="AT915" s="122">
        <v>6999</v>
      </c>
      <c r="AU915" s="122">
        <v>2592</v>
      </c>
      <c r="AV915" s="122">
        <v>45199</v>
      </c>
    </row>
    <row r="916" spans="2:48" hidden="1">
      <c r="B916" t="s">
        <v>368</v>
      </c>
      <c r="C916" t="s">
        <v>62</v>
      </c>
      <c r="D916" t="s">
        <v>426</v>
      </c>
      <c r="E916" t="s">
        <v>426</v>
      </c>
      <c r="F916">
        <v>128</v>
      </c>
      <c r="G916" s="122">
        <v>9614</v>
      </c>
      <c r="H916" s="122">
        <v>52821</v>
      </c>
      <c r="I916" s="122">
        <v>2428424</v>
      </c>
      <c r="J916" s="122">
        <v>2207658</v>
      </c>
      <c r="K916">
        <v>48</v>
      </c>
      <c r="L916" s="122">
        <v>301984</v>
      </c>
      <c r="M916" s="122">
        <v>249356</v>
      </c>
      <c r="N916" s="122">
        <v>188617</v>
      </c>
      <c r="O916" s="122">
        <v>69858</v>
      </c>
      <c r="P916" s="122">
        <v>48222</v>
      </c>
      <c r="Q916" s="122">
        <v>17860</v>
      </c>
      <c r="R916" s="122">
        <v>743585</v>
      </c>
      <c r="S916" s="122">
        <v>675986</v>
      </c>
      <c r="T916" s="122">
        <v>274419</v>
      </c>
      <c r="U916" s="122">
        <v>101637</v>
      </c>
      <c r="V916" s="122">
        <v>3322355</v>
      </c>
      <c r="W916" s="122">
        <f t="shared" si="28"/>
        <v>3322355</v>
      </c>
      <c r="X916" s="122">
        <f t="shared" si="29"/>
        <v>3985251</v>
      </c>
      <c r="Y916" s="122"/>
      <c r="AA916" t="s">
        <v>58</v>
      </c>
      <c r="AB916" t="s">
        <v>406</v>
      </c>
      <c r="AC916" t="s">
        <v>137</v>
      </c>
      <c r="AD916" t="s">
        <v>407</v>
      </c>
      <c r="AE916" t="s">
        <v>566</v>
      </c>
      <c r="AF916">
        <v>1</v>
      </c>
      <c r="AG916">
        <v>103</v>
      </c>
      <c r="AH916">
        <v>293</v>
      </c>
      <c r="AI916" s="122">
        <v>13761</v>
      </c>
      <c r="AJ916" s="122">
        <v>12510</v>
      </c>
      <c r="AK916">
        <v>86</v>
      </c>
      <c r="AL916" s="122">
        <v>6874</v>
      </c>
      <c r="AM916" s="122">
        <v>2546</v>
      </c>
      <c r="AN916" s="122">
        <v>2519</v>
      </c>
      <c r="AO916">
        <v>933</v>
      </c>
      <c r="AP916">
        <v>621</v>
      </c>
      <c r="AQ916">
        <v>230</v>
      </c>
      <c r="AR916" s="122">
        <v>6476</v>
      </c>
      <c r="AS916" s="122">
        <v>5887</v>
      </c>
      <c r="AT916">
        <v>0</v>
      </c>
      <c r="AU916">
        <v>0</v>
      </c>
      <c r="AV916" s="122">
        <v>22106</v>
      </c>
    </row>
    <row r="917" spans="2:48" hidden="1">
      <c r="B917" t="s">
        <v>368</v>
      </c>
      <c r="C917" t="s">
        <v>62</v>
      </c>
      <c r="D917" t="s">
        <v>426</v>
      </c>
      <c r="E917" t="s">
        <v>481</v>
      </c>
      <c r="F917">
        <v>1</v>
      </c>
      <c r="G917" s="122">
        <v>61</v>
      </c>
      <c r="H917" s="122">
        <v>448</v>
      </c>
      <c r="I917" s="122">
        <v>16701</v>
      </c>
      <c r="J917" s="122">
        <v>15183</v>
      </c>
      <c r="K917">
        <v>45</v>
      </c>
      <c r="L917" s="122">
        <v>2641</v>
      </c>
      <c r="M917" s="122">
        <v>2401</v>
      </c>
      <c r="N917" s="122">
        <v>1122</v>
      </c>
      <c r="O917" s="122">
        <v>416</v>
      </c>
      <c r="P917" s="122">
        <v>351</v>
      </c>
      <c r="Q917" s="122">
        <v>130</v>
      </c>
      <c r="R917" s="122">
        <v>4746</v>
      </c>
      <c r="S917" s="122">
        <v>4315</v>
      </c>
      <c r="T917" s="122">
        <v>1909</v>
      </c>
      <c r="U917" s="122">
        <v>707</v>
      </c>
      <c r="V917" s="122">
        <v>23151</v>
      </c>
      <c r="W917" s="122">
        <f t="shared" si="28"/>
        <v>23152</v>
      </c>
      <c r="X917" s="122">
        <f t="shared" si="29"/>
        <v>27470</v>
      </c>
      <c r="Y917" s="122"/>
      <c r="AA917" t="s">
        <v>58</v>
      </c>
      <c r="AB917" t="s">
        <v>406</v>
      </c>
      <c r="AC917" t="s">
        <v>580</v>
      </c>
      <c r="AD917" t="s">
        <v>137</v>
      </c>
      <c r="AE917" t="s">
        <v>137</v>
      </c>
      <c r="AF917">
        <v>1</v>
      </c>
      <c r="AG917">
        <v>107</v>
      </c>
      <c r="AH917">
        <v>241</v>
      </c>
      <c r="AI917" s="122">
        <v>9094</v>
      </c>
      <c r="AJ917" s="122">
        <v>8267</v>
      </c>
      <c r="AK917">
        <v>86</v>
      </c>
      <c r="AL917" s="122">
        <v>2883</v>
      </c>
      <c r="AM917" s="122">
        <v>2621</v>
      </c>
      <c r="AN917" s="122">
        <v>2601</v>
      </c>
      <c r="AO917">
        <v>963</v>
      </c>
      <c r="AP917">
        <v>621</v>
      </c>
      <c r="AQ917">
        <v>230</v>
      </c>
      <c r="AR917" s="122">
        <v>10503</v>
      </c>
      <c r="AS917" s="122">
        <v>3890</v>
      </c>
      <c r="AT917">
        <v>0</v>
      </c>
      <c r="AU917">
        <v>0</v>
      </c>
      <c r="AV917" s="122">
        <v>15972</v>
      </c>
    </row>
    <row r="918" spans="2:48" hidden="1">
      <c r="B918" t="s">
        <v>368</v>
      </c>
      <c r="C918" t="s">
        <v>62</v>
      </c>
      <c r="D918" t="s">
        <v>433</v>
      </c>
      <c r="E918" t="s">
        <v>433</v>
      </c>
      <c r="F918">
        <v>1</v>
      </c>
      <c r="G918">
        <v>59</v>
      </c>
      <c r="H918">
        <v>384</v>
      </c>
      <c r="I918" s="122">
        <v>12997</v>
      </c>
      <c r="J918" s="122">
        <v>11815</v>
      </c>
      <c r="K918">
        <v>45</v>
      </c>
      <c r="L918" s="122">
        <v>0</v>
      </c>
      <c r="M918" s="122">
        <v>0</v>
      </c>
      <c r="N918" s="122">
        <v>1370</v>
      </c>
      <c r="O918" s="122">
        <v>507</v>
      </c>
      <c r="P918" s="122">
        <v>351</v>
      </c>
      <c r="Q918">
        <v>130</v>
      </c>
      <c r="R918" s="122">
        <v>8013</v>
      </c>
      <c r="S918" s="122">
        <v>7285</v>
      </c>
      <c r="T918">
        <v>0</v>
      </c>
      <c r="U918">
        <v>0</v>
      </c>
      <c r="V918" s="122">
        <v>19738</v>
      </c>
      <c r="W918" s="122">
        <f t="shared" si="28"/>
        <v>19737</v>
      </c>
      <c r="X918" s="122">
        <f t="shared" si="29"/>
        <v>22731</v>
      </c>
      <c r="Y918" s="122"/>
      <c r="AA918" t="s">
        <v>58</v>
      </c>
      <c r="AB918" t="s">
        <v>406</v>
      </c>
      <c r="AC918" t="s">
        <v>580</v>
      </c>
      <c r="AD918" t="s">
        <v>137</v>
      </c>
      <c r="AE918" t="s">
        <v>566</v>
      </c>
      <c r="AF918">
        <v>1</v>
      </c>
      <c r="AG918">
        <v>86</v>
      </c>
      <c r="AH918">
        <v>283</v>
      </c>
      <c r="AI918" s="122">
        <v>10169</v>
      </c>
      <c r="AJ918" s="122">
        <v>9245</v>
      </c>
      <c r="AK918">
        <v>79</v>
      </c>
      <c r="AL918" s="122">
        <v>1541</v>
      </c>
      <c r="AM918" s="122">
        <v>1401</v>
      </c>
      <c r="AN918" s="122">
        <v>2100</v>
      </c>
      <c r="AO918">
        <v>778</v>
      </c>
      <c r="AP918">
        <v>621</v>
      </c>
      <c r="AQ918">
        <v>230</v>
      </c>
      <c r="AR918" s="122">
        <v>9976</v>
      </c>
      <c r="AS918" s="122">
        <v>3695</v>
      </c>
      <c r="AT918">
        <v>0</v>
      </c>
      <c r="AU918">
        <v>0</v>
      </c>
      <c r="AV918" s="122">
        <v>15348</v>
      </c>
    </row>
    <row r="919" spans="2:48" hidden="1">
      <c r="B919" t="s">
        <v>368</v>
      </c>
      <c r="C919" t="s">
        <v>64</v>
      </c>
      <c r="F919">
        <v>13</v>
      </c>
      <c r="G919" s="122">
        <v>1240</v>
      </c>
      <c r="H919" s="122">
        <v>7032</v>
      </c>
      <c r="I919" s="122"/>
      <c r="J919" s="122">
        <v>0</v>
      </c>
      <c r="L919" s="122"/>
      <c r="M919" s="122">
        <v>0</v>
      </c>
      <c r="N919" s="122">
        <v>27535</v>
      </c>
      <c r="O919" s="122">
        <v>10198</v>
      </c>
      <c r="P919" s="122">
        <v>5589</v>
      </c>
      <c r="Q919" s="122">
        <v>2070</v>
      </c>
      <c r="R919" s="122"/>
      <c r="S919" s="122">
        <v>0</v>
      </c>
      <c r="T919" s="122">
        <v>8137</v>
      </c>
      <c r="U919" s="122">
        <v>3014</v>
      </c>
      <c r="V919" s="122">
        <v>15282</v>
      </c>
      <c r="W919" s="122">
        <f t="shared" si="28"/>
        <v>15282</v>
      </c>
      <c r="X919" s="122">
        <f t="shared" si="29"/>
        <v>41261</v>
      </c>
      <c r="Y919" s="122"/>
      <c r="AA919" t="s">
        <v>58</v>
      </c>
      <c r="AB919" t="s">
        <v>406</v>
      </c>
      <c r="AC919" t="s">
        <v>580</v>
      </c>
      <c r="AD919" t="s">
        <v>406</v>
      </c>
      <c r="AE919" t="s">
        <v>137</v>
      </c>
      <c r="AF919">
        <v>166</v>
      </c>
      <c r="AG919" s="122">
        <v>18591</v>
      </c>
      <c r="AH919" s="122">
        <v>43324</v>
      </c>
      <c r="AI919" s="122">
        <v>2823880</v>
      </c>
      <c r="AJ919" s="122">
        <v>2567164</v>
      </c>
      <c r="AK919">
        <v>80</v>
      </c>
      <c r="AL919" s="122">
        <v>414477</v>
      </c>
      <c r="AM919" s="122">
        <v>376797</v>
      </c>
      <c r="AN919" s="122">
        <v>386158</v>
      </c>
      <c r="AO919" s="122">
        <v>143022</v>
      </c>
      <c r="AP919" s="122">
        <v>110522</v>
      </c>
      <c r="AQ919" s="122">
        <v>40934</v>
      </c>
      <c r="AR919" s="122">
        <v>748816</v>
      </c>
      <c r="AS919" s="122">
        <v>680742</v>
      </c>
      <c r="AT919" s="122">
        <v>395018</v>
      </c>
      <c r="AU919" s="122">
        <v>146303</v>
      </c>
      <c r="AV919" s="122">
        <v>3954961</v>
      </c>
    </row>
    <row r="920" spans="2:48" hidden="1">
      <c r="B920" t="s">
        <v>368</v>
      </c>
      <c r="C920" t="s">
        <v>64</v>
      </c>
      <c r="D920" t="s">
        <v>425</v>
      </c>
      <c r="E920" t="s">
        <v>425</v>
      </c>
      <c r="F920">
        <v>2</v>
      </c>
      <c r="G920">
        <v>154</v>
      </c>
      <c r="H920" s="122">
        <v>1088</v>
      </c>
      <c r="I920" s="122">
        <v>57742</v>
      </c>
      <c r="J920" s="122">
        <v>52492</v>
      </c>
      <c r="K920">
        <v>76</v>
      </c>
      <c r="L920" s="122">
        <v>19584</v>
      </c>
      <c r="M920" s="122">
        <v>17171</v>
      </c>
      <c r="N920" s="122">
        <v>3423</v>
      </c>
      <c r="O920" s="122">
        <v>1268</v>
      </c>
      <c r="P920" s="122">
        <v>702</v>
      </c>
      <c r="Q920">
        <v>260</v>
      </c>
      <c r="R920" s="122">
        <v>8377</v>
      </c>
      <c r="S920" s="122">
        <v>7615</v>
      </c>
      <c r="T920" s="122">
        <v>2799</v>
      </c>
      <c r="U920" s="122">
        <v>1037</v>
      </c>
      <c r="V920" s="122">
        <v>79844</v>
      </c>
      <c r="W920" s="122">
        <f t="shared" si="28"/>
        <v>79843</v>
      </c>
      <c r="X920" s="122">
        <f t="shared" si="29"/>
        <v>92627</v>
      </c>
      <c r="Y920" s="122"/>
      <c r="AA920" t="s">
        <v>58</v>
      </c>
      <c r="AB920" t="s">
        <v>406</v>
      </c>
      <c r="AC920" t="s">
        <v>580</v>
      </c>
      <c r="AD920" t="s">
        <v>406</v>
      </c>
      <c r="AE920" t="s">
        <v>566</v>
      </c>
      <c r="AF920">
        <v>103</v>
      </c>
      <c r="AG920" s="122">
        <v>11052</v>
      </c>
      <c r="AH920" s="122">
        <v>26670</v>
      </c>
      <c r="AI920" s="122">
        <v>1763097</v>
      </c>
      <c r="AJ920" s="122">
        <v>1602815</v>
      </c>
      <c r="AK920">
        <v>82</v>
      </c>
      <c r="AL920" s="122">
        <v>272337</v>
      </c>
      <c r="AM920" s="122">
        <v>247579</v>
      </c>
      <c r="AN920" s="122">
        <v>220110</v>
      </c>
      <c r="AO920" s="122">
        <v>81522</v>
      </c>
      <c r="AP920" s="122">
        <v>69775</v>
      </c>
      <c r="AQ920" s="122">
        <v>25843</v>
      </c>
      <c r="AR920" s="122">
        <v>593653</v>
      </c>
      <c r="AS920" s="122">
        <v>539685</v>
      </c>
      <c r="AT920">
        <v>0</v>
      </c>
      <c r="AU920">
        <v>0</v>
      </c>
      <c r="AV920" s="122">
        <v>2497444</v>
      </c>
    </row>
    <row r="921" spans="2:48" hidden="1">
      <c r="B921" t="s">
        <v>368</v>
      </c>
      <c r="C921" t="s">
        <v>64</v>
      </c>
      <c r="D921" t="s">
        <v>425</v>
      </c>
      <c r="E921" t="s">
        <v>406</v>
      </c>
      <c r="F921">
        <v>1</v>
      </c>
      <c r="G921" s="122">
        <v>221</v>
      </c>
      <c r="H921" s="122">
        <v>547</v>
      </c>
      <c r="I921" s="122">
        <v>84329</v>
      </c>
      <c r="J921" s="122">
        <v>76663</v>
      </c>
      <c r="K921">
        <v>70</v>
      </c>
      <c r="L921" s="122">
        <v>20770</v>
      </c>
      <c r="M921" s="122">
        <v>18882</v>
      </c>
      <c r="N921" s="122">
        <v>5387</v>
      </c>
      <c r="O921" s="122">
        <v>1995</v>
      </c>
      <c r="P921" s="122">
        <v>621</v>
      </c>
      <c r="Q921" s="122">
        <v>230</v>
      </c>
      <c r="R921" s="122">
        <v>9730</v>
      </c>
      <c r="S921" s="122">
        <v>8845</v>
      </c>
      <c r="T921" s="122">
        <v>0</v>
      </c>
      <c r="U921" s="122">
        <v>0</v>
      </c>
      <c r="V921" s="122">
        <v>106615</v>
      </c>
      <c r="W921" s="122">
        <f t="shared" si="28"/>
        <v>106615</v>
      </c>
      <c r="X921" s="122">
        <f t="shared" si="29"/>
        <v>120837</v>
      </c>
      <c r="Y921" s="122"/>
      <c r="AA921" t="s">
        <v>58</v>
      </c>
      <c r="AB921" t="s">
        <v>406</v>
      </c>
      <c r="AC921" t="s">
        <v>580</v>
      </c>
      <c r="AD921" t="s">
        <v>427</v>
      </c>
      <c r="AE921" t="s">
        <v>137</v>
      </c>
      <c r="AF921">
        <v>1</v>
      </c>
      <c r="AG921">
        <v>110</v>
      </c>
      <c r="AH921">
        <v>274</v>
      </c>
      <c r="AI921" s="122">
        <v>15962</v>
      </c>
      <c r="AJ921" s="122">
        <v>14511</v>
      </c>
      <c r="AK921">
        <v>86</v>
      </c>
      <c r="AL921" s="122">
        <v>4800</v>
      </c>
      <c r="AM921" s="122">
        <v>4364</v>
      </c>
      <c r="AN921" s="122">
        <v>1842</v>
      </c>
      <c r="AO921">
        <v>682</v>
      </c>
      <c r="AP921">
        <v>621</v>
      </c>
      <c r="AQ921">
        <v>230</v>
      </c>
      <c r="AR921" s="122">
        <v>3974</v>
      </c>
      <c r="AS921" s="122">
        <v>3613</v>
      </c>
      <c r="AT921" s="122">
        <v>2815</v>
      </c>
      <c r="AU921" s="122">
        <v>1043</v>
      </c>
      <c r="AV921" s="122">
        <v>24442</v>
      </c>
    </row>
    <row r="922" spans="2:48" hidden="1">
      <c r="B922" t="s">
        <v>368</v>
      </c>
      <c r="C922" t="s">
        <v>64</v>
      </c>
      <c r="D922" t="s">
        <v>405</v>
      </c>
      <c r="E922" t="s">
        <v>405</v>
      </c>
      <c r="F922">
        <v>1</v>
      </c>
      <c r="G922" s="122">
        <v>130</v>
      </c>
      <c r="H922" s="122">
        <v>575</v>
      </c>
      <c r="I922" s="122">
        <v>50504</v>
      </c>
      <c r="J922" s="122">
        <v>45912</v>
      </c>
      <c r="K922">
        <v>65</v>
      </c>
      <c r="L922" s="122">
        <v>11560</v>
      </c>
      <c r="M922" s="122">
        <v>10509</v>
      </c>
      <c r="N922" s="122">
        <v>3171</v>
      </c>
      <c r="O922" s="122">
        <v>1174</v>
      </c>
      <c r="P922" s="122">
        <v>351</v>
      </c>
      <c r="Q922" s="122">
        <v>130</v>
      </c>
      <c r="R922" s="122">
        <v>5498</v>
      </c>
      <c r="S922" s="122">
        <v>4998</v>
      </c>
      <c r="T922" s="122">
        <v>3686</v>
      </c>
      <c r="U922" s="122">
        <v>1365</v>
      </c>
      <c r="V922" s="122">
        <v>64089</v>
      </c>
      <c r="W922" s="122">
        <f t="shared" si="28"/>
        <v>64088</v>
      </c>
      <c r="X922" s="122">
        <f t="shared" si="29"/>
        <v>74770</v>
      </c>
      <c r="Y922" s="122"/>
      <c r="AA922" t="s">
        <v>58</v>
      </c>
      <c r="AB922" t="s">
        <v>406</v>
      </c>
      <c r="AC922" t="s">
        <v>580</v>
      </c>
      <c r="AD922" t="s">
        <v>407</v>
      </c>
      <c r="AE922" t="s">
        <v>137</v>
      </c>
      <c r="AF922">
        <v>1</v>
      </c>
      <c r="AG922">
        <v>153</v>
      </c>
      <c r="AH922">
        <v>280</v>
      </c>
      <c r="AI922" s="122">
        <v>34208</v>
      </c>
      <c r="AJ922" s="122">
        <v>31098</v>
      </c>
      <c r="AK922">
        <v>85</v>
      </c>
      <c r="AL922" s="122">
        <v>10224</v>
      </c>
      <c r="AM922" s="122">
        <v>9295</v>
      </c>
      <c r="AN922" s="122">
        <v>5044</v>
      </c>
      <c r="AO922" s="122">
        <v>1868</v>
      </c>
      <c r="AP922">
        <v>621</v>
      </c>
      <c r="AQ922">
        <v>230</v>
      </c>
      <c r="AR922" s="122">
        <v>3947</v>
      </c>
      <c r="AS922" s="122">
        <v>3588</v>
      </c>
      <c r="AT922" s="122">
        <v>3853</v>
      </c>
      <c r="AU922" s="122">
        <v>1427</v>
      </c>
      <c r="AV922" s="122">
        <v>47507</v>
      </c>
    </row>
    <row r="923" spans="2:48" hidden="1">
      <c r="B923" t="s">
        <v>368</v>
      </c>
      <c r="C923" t="s">
        <v>64</v>
      </c>
      <c r="D923" t="s">
        <v>405</v>
      </c>
      <c r="E923" t="s">
        <v>556</v>
      </c>
      <c r="F923">
        <v>1</v>
      </c>
      <c r="G923" s="122">
        <v>100</v>
      </c>
      <c r="H923" s="122">
        <v>612</v>
      </c>
      <c r="I923" s="122">
        <v>51779</v>
      </c>
      <c r="J923" s="122">
        <v>47072</v>
      </c>
      <c r="K923">
        <v>65</v>
      </c>
      <c r="L923" s="122">
        <v>0</v>
      </c>
      <c r="M923" s="122">
        <v>10774</v>
      </c>
      <c r="N923" s="122">
        <v>2430</v>
      </c>
      <c r="O923" s="122">
        <v>900</v>
      </c>
      <c r="P923" s="122">
        <v>351</v>
      </c>
      <c r="Q923" s="122">
        <v>130</v>
      </c>
      <c r="R923" s="122">
        <v>4480</v>
      </c>
      <c r="S923" s="122">
        <v>3733</v>
      </c>
      <c r="T923" s="122">
        <v>1979</v>
      </c>
      <c r="U923" s="122">
        <v>733</v>
      </c>
      <c r="V923" s="122">
        <v>63342</v>
      </c>
      <c r="W923" s="122">
        <f t="shared" si="28"/>
        <v>63342</v>
      </c>
      <c r="X923" s="122">
        <f t="shared" si="29"/>
        <v>61019</v>
      </c>
      <c r="Y923" s="122"/>
      <c r="AA923" t="s">
        <v>58</v>
      </c>
      <c r="AB923" t="s">
        <v>406</v>
      </c>
      <c r="AC923" t="s">
        <v>580</v>
      </c>
      <c r="AD923" t="s">
        <v>579</v>
      </c>
      <c r="AE923" t="s">
        <v>137</v>
      </c>
      <c r="AF923">
        <v>3</v>
      </c>
      <c r="AG923">
        <v>250</v>
      </c>
      <c r="AH923">
        <v>704</v>
      </c>
      <c r="AI923" s="122">
        <v>30533</v>
      </c>
      <c r="AJ923" s="122">
        <v>27757</v>
      </c>
      <c r="AK923">
        <v>78</v>
      </c>
      <c r="AL923" s="122">
        <v>7239</v>
      </c>
      <c r="AM923" s="122">
        <v>6581</v>
      </c>
      <c r="AN923" s="122">
        <v>5864</v>
      </c>
      <c r="AO923" s="122">
        <v>2172</v>
      </c>
      <c r="AP923" s="122">
        <v>1863</v>
      </c>
      <c r="AQ923">
        <v>690</v>
      </c>
      <c r="AR923" s="122">
        <v>12506</v>
      </c>
      <c r="AS923" s="122">
        <v>10422</v>
      </c>
      <c r="AT923" s="122">
        <v>6862</v>
      </c>
      <c r="AU923" s="122">
        <v>2541</v>
      </c>
      <c r="AV923" s="122">
        <v>50163</v>
      </c>
    </row>
    <row r="924" spans="2:48" hidden="1">
      <c r="B924" t="s">
        <v>368</v>
      </c>
      <c r="C924" t="s">
        <v>64</v>
      </c>
      <c r="D924" t="s">
        <v>137</v>
      </c>
      <c r="E924" t="s">
        <v>137</v>
      </c>
      <c r="F924">
        <v>204</v>
      </c>
      <c r="G924" s="122">
        <v>17482</v>
      </c>
      <c r="H924" s="122">
        <v>125316</v>
      </c>
      <c r="I924" s="122">
        <v>7572542</v>
      </c>
      <c r="J924" s="122">
        <v>2804645</v>
      </c>
      <c r="K924">
        <v>100</v>
      </c>
      <c r="L924" s="122">
        <v>1258920</v>
      </c>
      <c r="M924" s="122">
        <v>920878</v>
      </c>
      <c r="N924" s="122">
        <v>390656</v>
      </c>
      <c r="O924" s="122">
        <v>144687</v>
      </c>
      <c r="P924" s="122">
        <v>2803</v>
      </c>
      <c r="Q924" s="122">
        <v>1038</v>
      </c>
      <c r="R924" s="122">
        <v>1407652</v>
      </c>
      <c r="S924" s="122">
        <v>521353</v>
      </c>
      <c r="T924" s="122">
        <v>5594</v>
      </c>
      <c r="U924" s="122">
        <v>2072</v>
      </c>
      <c r="V924" s="122">
        <v>4394673</v>
      </c>
      <c r="W924" s="122">
        <f t="shared" si="28"/>
        <v>4394673</v>
      </c>
      <c r="X924" s="122">
        <f t="shared" si="29"/>
        <v>10638167</v>
      </c>
      <c r="Y924" s="122"/>
      <c r="AA924" t="s">
        <v>58</v>
      </c>
      <c r="AB924" t="s">
        <v>406</v>
      </c>
      <c r="AC924" t="s">
        <v>580</v>
      </c>
      <c r="AD924" t="s">
        <v>426</v>
      </c>
      <c r="AE924" t="s">
        <v>566</v>
      </c>
      <c r="AF924">
        <v>1</v>
      </c>
      <c r="AG924">
        <v>72</v>
      </c>
      <c r="AH924">
        <v>291</v>
      </c>
      <c r="AI924" s="122">
        <v>9455</v>
      </c>
      <c r="AJ924" s="122">
        <v>8596</v>
      </c>
      <c r="AK924">
        <v>70</v>
      </c>
      <c r="AL924" s="122">
        <v>2329</v>
      </c>
      <c r="AM924" s="122">
        <v>2117</v>
      </c>
      <c r="AN924" s="122">
        <v>1404</v>
      </c>
      <c r="AO924">
        <v>520</v>
      </c>
      <c r="AP924">
        <v>621</v>
      </c>
      <c r="AQ924">
        <v>230</v>
      </c>
      <c r="AR924" s="122">
        <v>7160</v>
      </c>
      <c r="AS924" s="122">
        <v>6509</v>
      </c>
      <c r="AT924">
        <v>0</v>
      </c>
      <c r="AU924">
        <v>0</v>
      </c>
      <c r="AV924" s="122">
        <v>17972</v>
      </c>
    </row>
    <row r="925" spans="2:48" hidden="1">
      <c r="B925" t="s">
        <v>368</v>
      </c>
      <c r="C925" t="s">
        <v>64</v>
      </c>
      <c r="D925" t="s">
        <v>137</v>
      </c>
      <c r="E925" t="s">
        <v>406</v>
      </c>
      <c r="F925">
        <v>5</v>
      </c>
      <c r="G925" s="122">
        <v>348</v>
      </c>
      <c r="H925" s="122">
        <v>2780</v>
      </c>
      <c r="I925" s="122">
        <v>139670</v>
      </c>
      <c r="J925" s="122">
        <v>51730</v>
      </c>
      <c r="K925">
        <v>100</v>
      </c>
      <c r="L925" s="122">
        <v>21483</v>
      </c>
      <c r="M925" s="122">
        <v>18591</v>
      </c>
      <c r="N925" s="122">
        <v>6539</v>
      </c>
      <c r="O925" s="122">
        <v>2422</v>
      </c>
      <c r="P925" s="122">
        <v>270</v>
      </c>
      <c r="Q925" s="122">
        <v>100</v>
      </c>
      <c r="R925" s="122">
        <v>24509</v>
      </c>
      <c r="S925" s="122">
        <v>22281</v>
      </c>
      <c r="T925" s="122">
        <v>3298</v>
      </c>
      <c r="U925" s="122">
        <v>1222</v>
      </c>
      <c r="V925" s="122">
        <v>96345</v>
      </c>
      <c r="W925" s="122">
        <f t="shared" si="28"/>
        <v>96346</v>
      </c>
      <c r="X925" s="122">
        <f t="shared" si="29"/>
        <v>195769</v>
      </c>
      <c r="Y925" s="122"/>
      <c r="AA925" t="s">
        <v>58</v>
      </c>
      <c r="AB925" t="s">
        <v>406</v>
      </c>
      <c r="AC925" t="s">
        <v>427</v>
      </c>
      <c r="AD925" t="s">
        <v>578</v>
      </c>
      <c r="AE925" t="s">
        <v>137</v>
      </c>
      <c r="AF925">
        <v>1</v>
      </c>
      <c r="AG925">
        <v>135</v>
      </c>
      <c r="AH925">
        <v>247</v>
      </c>
      <c r="AI925" s="122">
        <v>17547</v>
      </c>
      <c r="AJ925" s="122">
        <v>15952</v>
      </c>
      <c r="AK925">
        <v>86</v>
      </c>
      <c r="AL925" s="122">
        <v>5277</v>
      </c>
      <c r="AM925" s="122">
        <v>4797</v>
      </c>
      <c r="AN925" s="122">
        <v>2671</v>
      </c>
      <c r="AO925">
        <v>989</v>
      </c>
      <c r="AP925">
        <v>621</v>
      </c>
      <c r="AQ925">
        <v>230</v>
      </c>
      <c r="AR925" s="122">
        <v>4141</v>
      </c>
      <c r="AS925" s="122">
        <v>3764</v>
      </c>
      <c r="AT925" s="122">
        <v>2979</v>
      </c>
      <c r="AU925" s="122">
        <v>1103</v>
      </c>
      <c r="AV925" s="122">
        <v>26836</v>
      </c>
    </row>
    <row r="926" spans="2:48" hidden="1">
      <c r="B926" t="s">
        <v>368</v>
      </c>
      <c r="C926" t="s">
        <v>64</v>
      </c>
      <c r="D926" t="s">
        <v>137</v>
      </c>
      <c r="E926" t="s">
        <v>427</v>
      </c>
      <c r="F926">
        <v>1</v>
      </c>
      <c r="G926">
        <v>145</v>
      </c>
      <c r="H926">
        <v>553</v>
      </c>
      <c r="I926" s="122">
        <v>65008</v>
      </c>
      <c r="J926" s="122">
        <v>24077</v>
      </c>
      <c r="K926">
        <v>100</v>
      </c>
      <c r="L926" s="122">
        <v>4527</v>
      </c>
      <c r="M926" s="122">
        <v>4116</v>
      </c>
      <c r="N926" s="122">
        <v>1979</v>
      </c>
      <c r="O926">
        <v>733</v>
      </c>
      <c r="P926">
        <v>0</v>
      </c>
      <c r="Q926">
        <v>0</v>
      </c>
      <c r="R926" s="122">
        <v>5496</v>
      </c>
      <c r="S926" s="122">
        <v>4996</v>
      </c>
      <c r="T926" s="122">
        <v>3232</v>
      </c>
      <c r="U926" s="122">
        <v>1197</v>
      </c>
      <c r="V926" s="122">
        <v>35119</v>
      </c>
      <c r="W926" s="122">
        <f t="shared" si="28"/>
        <v>35119</v>
      </c>
      <c r="X926" s="122">
        <f t="shared" si="29"/>
        <v>80242</v>
      </c>
      <c r="Y926" s="122"/>
      <c r="AA926" t="s">
        <v>58</v>
      </c>
      <c r="AB926" t="s">
        <v>406</v>
      </c>
      <c r="AC926" t="s">
        <v>427</v>
      </c>
      <c r="AD926" t="s">
        <v>425</v>
      </c>
      <c r="AE926" t="s">
        <v>137</v>
      </c>
      <c r="AF926">
        <v>1</v>
      </c>
      <c r="AG926">
        <v>118</v>
      </c>
      <c r="AH926">
        <v>226</v>
      </c>
      <c r="AI926" s="122">
        <v>13993</v>
      </c>
      <c r="AJ926" s="122">
        <v>12721</v>
      </c>
      <c r="AK926">
        <v>95</v>
      </c>
      <c r="AL926" s="122">
        <v>4670</v>
      </c>
      <c r="AM926" s="122">
        <v>4245</v>
      </c>
      <c r="AN926" s="122">
        <v>2160</v>
      </c>
      <c r="AO926">
        <v>800</v>
      </c>
      <c r="AP926">
        <v>621</v>
      </c>
      <c r="AQ926">
        <v>230</v>
      </c>
      <c r="AR926" s="122">
        <v>3026</v>
      </c>
      <c r="AS926" s="122">
        <v>2751</v>
      </c>
      <c r="AT926" s="122">
        <v>2208</v>
      </c>
      <c r="AU926">
        <v>818</v>
      </c>
      <c r="AV926" s="122">
        <v>21566</v>
      </c>
    </row>
    <row r="927" spans="2:48" hidden="1">
      <c r="B927" t="s">
        <v>368</v>
      </c>
      <c r="C927" t="s">
        <v>64</v>
      </c>
      <c r="D927" t="s">
        <v>137</v>
      </c>
      <c r="E927" t="s">
        <v>556</v>
      </c>
      <c r="F927">
        <v>5</v>
      </c>
      <c r="G927">
        <v>424</v>
      </c>
      <c r="H927" s="122">
        <v>3105</v>
      </c>
      <c r="I927" s="122">
        <v>183248</v>
      </c>
      <c r="J927" s="122">
        <v>67869</v>
      </c>
      <c r="K927">
        <v>100</v>
      </c>
      <c r="L927" s="122">
        <v>29468</v>
      </c>
      <c r="M927" s="122">
        <v>24557</v>
      </c>
      <c r="N927" s="122">
        <v>9261</v>
      </c>
      <c r="O927" s="122">
        <v>3430</v>
      </c>
      <c r="P927" s="122">
        <v>0</v>
      </c>
      <c r="Q927">
        <v>0</v>
      </c>
      <c r="R927" s="122">
        <v>33555</v>
      </c>
      <c r="S927" s="122">
        <v>27963</v>
      </c>
      <c r="T927" s="122">
        <v>10275</v>
      </c>
      <c r="U927" s="122">
        <v>3806</v>
      </c>
      <c r="V927" s="122">
        <v>127625</v>
      </c>
      <c r="W927" s="122">
        <f t="shared" si="28"/>
        <v>127625</v>
      </c>
      <c r="X927" s="122">
        <f t="shared" si="29"/>
        <v>265807</v>
      </c>
      <c r="Y927" s="122"/>
      <c r="AA927" t="s">
        <v>58</v>
      </c>
      <c r="AB927" t="s">
        <v>406</v>
      </c>
      <c r="AC927" t="s">
        <v>427</v>
      </c>
      <c r="AD927" t="s">
        <v>425</v>
      </c>
      <c r="AE927" t="s">
        <v>566</v>
      </c>
      <c r="AF927">
        <v>2</v>
      </c>
      <c r="AG927">
        <v>189</v>
      </c>
      <c r="AH927">
        <v>487</v>
      </c>
      <c r="AI927" s="122">
        <v>31467</v>
      </c>
      <c r="AJ927" s="122">
        <v>28607</v>
      </c>
      <c r="AK927">
        <v>87</v>
      </c>
      <c r="AL927" s="122">
        <v>9140</v>
      </c>
      <c r="AM927" s="122">
        <v>8309</v>
      </c>
      <c r="AN927" s="122">
        <v>5168</v>
      </c>
      <c r="AO927" s="122">
        <v>1914</v>
      </c>
      <c r="AP927" s="122">
        <v>1242</v>
      </c>
      <c r="AQ927">
        <v>460</v>
      </c>
      <c r="AR927" s="122">
        <v>11045</v>
      </c>
      <c r="AS927" s="122">
        <v>10041</v>
      </c>
      <c r="AT927">
        <v>0</v>
      </c>
      <c r="AU927">
        <v>0</v>
      </c>
      <c r="AV927" s="122">
        <v>49331</v>
      </c>
    </row>
    <row r="928" spans="2:48" hidden="1">
      <c r="B928" t="s">
        <v>368</v>
      </c>
      <c r="C928" t="s">
        <v>64</v>
      </c>
      <c r="D928" t="s">
        <v>137</v>
      </c>
      <c r="E928" t="s">
        <v>426</v>
      </c>
      <c r="F928">
        <v>23</v>
      </c>
      <c r="G928" s="122">
        <v>1947</v>
      </c>
      <c r="H928" s="122">
        <v>13981</v>
      </c>
      <c r="I928" s="122">
        <v>889064</v>
      </c>
      <c r="J928" s="122">
        <v>329283</v>
      </c>
      <c r="K928">
        <v>100</v>
      </c>
      <c r="L928" s="122">
        <v>118108</v>
      </c>
      <c r="M928" s="122">
        <v>107371</v>
      </c>
      <c r="N928" s="122">
        <v>40442</v>
      </c>
      <c r="O928" s="122">
        <v>14978</v>
      </c>
      <c r="P928" s="122">
        <v>693</v>
      </c>
      <c r="Q928" s="122">
        <v>257</v>
      </c>
      <c r="R928" s="122">
        <v>148143</v>
      </c>
      <c r="S928" s="122">
        <v>134675</v>
      </c>
      <c r="T928" s="122">
        <v>39177</v>
      </c>
      <c r="U928" s="122">
        <v>14510</v>
      </c>
      <c r="V928" s="122">
        <v>601074</v>
      </c>
      <c r="W928" s="122">
        <f t="shared" si="28"/>
        <v>601074</v>
      </c>
      <c r="X928" s="122">
        <f t="shared" si="29"/>
        <v>1235627</v>
      </c>
      <c r="Y928" s="122"/>
      <c r="AA928" t="s">
        <v>58</v>
      </c>
      <c r="AB928" t="s">
        <v>406</v>
      </c>
      <c r="AC928" t="s">
        <v>427</v>
      </c>
      <c r="AD928" t="s">
        <v>405</v>
      </c>
      <c r="AE928" t="s">
        <v>566</v>
      </c>
      <c r="AF928">
        <v>1</v>
      </c>
      <c r="AG928">
        <v>72</v>
      </c>
      <c r="AH928">
        <v>270</v>
      </c>
      <c r="AI928" s="122">
        <v>8706</v>
      </c>
      <c r="AJ928" s="122">
        <v>7914</v>
      </c>
      <c r="AK928">
        <v>70</v>
      </c>
      <c r="AL928" s="122">
        <v>2144</v>
      </c>
      <c r="AM928" s="122">
        <v>1949</v>
      </c>
      <c r="AN928" s="122">
        <v>1168</v>
      </c>
      <c r="AO928">
        <v>432</v>
      </c>
      <c r="AP928">
        <v>621</v>
      </c>
      <c r="AQ928">
        <v>230</v>
      </c>
      <c r="AR928" s="122">
        <v>6652</v>
      </c>
      <c r="AS928" s="122">
        <v>6047</v>
      </c>
      <c r="AT928">
        <v>0</v>
      </c>
      <c r="AU928">
        <v>0</v>
      </c>
      <c r="AV928" s="122">
        <v>16573</v>
      </c>
    </row>
    <row r="929" spans="2:48" hidden="1">
      <c r="B929" t="s">
        <v>368</v>
      </c>
      <c r="C929" t="s">
        <v>64</v>
      </c>
      <c r="D929" t="s">
        <v>406</v>
      </c>
      <c r="E929" t="s">
        <v>137</v>
      </c>
      <c r="F929">
        <v>3</v>
      </c>
      <c r="G929">
        <v>231</v>
      </c>
      <c r="H929" s="122">
        <v>1619</v>
      </c>
      <c r="I929" s="122">
        <v>79317</v>
      </c>
      <c r="J929" s="122">
        <v>72106</v>
      </c>
      <c r="K929">
        <v>70</v>
      </c>
      <c r="L929" s="122">
        <v>11093</v>
      </c>
      <c r="M929" s="122">
        <v>8356</v>
      </c>
      <c r="N929" s="122">
        <v>5539</v>
      </c>
      <c r="O929" s="122">
        <v>2052</v>
      </c>
      <c r="P929">
        <v>972</v>
      </c>
      <c r="Q929">
        <v>360</v>
      </c>
      <c r="R929" s="122">
        <v>27535</v>
      </c>
      <c r="S929" s="122">
        <v>10198</v>
      </c>
      <c r="T929" s="122">
        <v>0</v>
      </c>
      <c r="U929">
        <v>0</v>
      </c>
      <c r="V929" s="122">
        <v>93072</v>
      </c>
      <c r="W929" s="122">
        <f t="shared" si="28"/>
        <v>93072</v>
      </c>
      <c r="X929" s="122">
        <f t="shared" si="29"/>
        <v>124456</v>
      </c>
      <c r="Y929" s="122"/>
      <c r="AA929" t="s">
        <v>58</v>
      </c>
      <c r="AB929" t="s">
        <v>406</v>
      </c>
      <c r="AC929" t="s">
        <v>427</v>
      </c>
      <c r="AD929" t="s">
        <v>137</v>
      </c>
      <c r="AE929" t="s">
        <v>137</v>
      </c>
      <c r="AF929">
        <v>1</v>
      </c>
      <c r="AG929">
        <v>62</v>
      </c>
      <c r="AH929">
        <v>264</v>
      </c>
      <c r="AI929" s="122">
        <v>7922</v>
      </c>
      <c r="AJ929" s="122">
        <v>7202</v>
      </c>
      <c r="AK929">
        <v>86</v>
      </c>
      <c r="AL929" s="122">
        <v>2382</v>
      </c>
      <c r="AM929" s="122">
        <v>2166</v>
      </c>
      <c r="AN929">
        <v>751</v>
      </c>
      <c r="AO929">
        <v>278</v>
      </c>
      <c r="AP929">
        <v>621</v>
      </c>
      <c r="AQ929">
        <v>230</v>
      </c>
      <c r="AR929" s="122">
        <v>3135</v>
      </c>
      <c r="AS929" s="122">
        <v>1161</v>
      </c>
      <c r="AT929" s="122">
        <v>1467</v>
      </c>
      <c r="AU929">
        <v>543</v>
      </c>
      <c r="AV929" s="122">
        <v>11580</v>
      </c>
    </row>
    <row r="930" spans="2:48" hidden="1">
      <c r="B930" t="s">
        <v>368</v>
      </c>
      <c r="C930" t="s">
        <v>64</v>
      </c>
      <c r="D930" t="s">
        <v>406</v>
      </c>
      <c r="E930" t="s">
        <v>406</v>
      </c>
      <c r="F930">
        <v>181</v>
      </c>
      <c r="G930" s="122">
        <v>18083</v>
      </c>
      <c r="H930" s="122">
        <v>95103</v>
      </c>
      <c r="I930" s="122">
        <v>6371261</v>
      </c>
      <c r="J930" s="122">
        <v>5792055</v>
      </c>
      <c r="K930">
        <v>69</v>
      </c>
      <c r="L930" s="122">
        <v>1347013</v>
      </c>
      <c r="M930" s="122">
        <v>1151475</v>
      </c>
      <c r="N930" s="122">
        <v>391893</v>
      </c>
      <c r="O930" s="122">
        <v>145145</v>
      </c>
      <c r="P930" s="122">
        <v>113387</v>
      </c>
      <c r="Q930" s="122">
        <v>41995</v>
      </c>
      <c r="R930" s="122">
        <v>951228</v>
      </c>
      <c r="S930" s="122">
        <v>864753</v>
      </c>
      <c r="T930" s="122">
        <v>329526</v>
      </c>
      <c r="U930" s="122">
        <v>122047</v>
      </c>
      <c r="V930" s="122">
        <v>8117470</v>
      </c>
      <c r="W930" s="122">
        <f t="shared" si="28"/>
        <v>8117470</v>
      </c>
      <c r="X930" s="122">
        <f t="shared" si="29"/>
        <v>9504308</v>
      </c>
      <c r="Y930" s="122"/>
      <c r="AA930" t="s">
        <v>58</v>
      </c>
      <c r="AB930" t="s">
        <v>406</v>
      </c>
      <c r="AC930" t="s">
        <v>427</v>
      </c>
      <c r="AD930" t="s">
        <v>137</v>
      </c>
      <c r="AE930" t="s">
        <v>566</v>
      </c>
      <c r="AF930">
        <v>11</v>
      </c>
      <c r="AG930">
        <v>960</v>
      </c>
      <c r="AH930" s="122">
        <v>2828</v>
      </c>
      <c r="AI930" s="122">
        <v>115670</v>
      </c>
      <c r="AJ930" s="122">
        <v>105155</v>
      </c>
      <c r="AK930">
        <v>79</v>
      </c>
      <c r="AL930" s="122">
        <v>23956</v>
      </c>
      <c r="AM930" s="122">
        <v>21778</v>
      </c>
      <c r="AN930" s="122">
        <v>17619</v>
      </c>
      <c r="AO930" s="122">
        <v>6525</v>
      </c>
      <c r="AP930" s="122">
        <v>6831</v>
      </c>
      <c r="AQ930" s="122">
        <v>2530</v>
      </c>
      <c r="AR930" s="122">
        <v>80392</v>
      </c>
      <c r="AS930" s="122">
        <v>29775</v>
      </c>
      <c r="AT930">
        <v>0</v>
      </c>
      <c r="AU930">
        <v>0</v>
      </c>
      <c r="AV930" s="122">
        <v>165763</v>
      </c>
    </row>
    <row r="931" spans="2:48" hidden="1">
      <c r="B931" t="s">
        <v>368</v>
      </c>
      <c r="C931" t="s">
        <v>64</v>
      </c>
      <c r="D931" t="s">
        <v>406</v>
      </c>
      <c r="E931" t="s">
        <v>431</v>
      </c>
      <c r="F931">
        <v>1</v>
      </c>
      <c r="G931">
        <v>59</v>
      </c>
      <c r="H931" s="122">
        <v>600</v>
      </c>
      <c r="I931" s="122">
        <v>20576</v>
      </c>
      <c r="J931" s="122">
        <v>18706</v>
      </c>
      <c r="K931">
        <v>70</v>
      </c>
      <c r="L931" s="122">
        <v>5068</v>
      </c>
      <c r="M931" s="122">
        <v>4607</v>
      </c>
      <c r="N931" s="122">
        <v>1433</v>
      </c>
      <c r="O931" s="122">
        <v>531</v>
      </c>
      <c r="P931" s="122">
        <v>621</v>
      </c>
      <c r="Q931" s="122">
        <v>230</v>
      </c>
      <c r="R931" s="122">
        <v>5727</v>
      </c>
      <c r="S931" s="122">
        <v>5207</v>
      </c>
      <c r="T931" s="122">
        <v>1873</v>
      </c>
      <c r="U931" s="122">
        <v>694</v>
      </c>
      <c r="V931" s="122">
        <v>29974</v>
      </c>
      <c r="W931" s="122">
        <f t="shared" si="28"/>
        <v>29975</v>
      </c>
      <c r="X931" s="122">
        <f t="shared" si="29"/>
        <v>35298</v>
      </c>
      <c r="Y931" s="122"/>
      <c r="AA931" t="s">
        <v>58</v>
      </c>
      <c r="AB931" t="s">
        <v>406</v>
      </c>
      <c r="AC931" t="s">
        <v>427</v>
      </c>
      <c r="AD931" t="s">
        <v>406</v>
      </c>
      <c r="AE931" t="s">
        <v>137</v>
      </c>
      <c r="AF931" s="122">
        <v>2218</v>
      </c>
      <c r="AG931" s="122">
        <v>207711</v>
      </c>
      <c r="AH931" s="122">
        <v>572890</v>
      </c>
      <c r="AI931" s="122">
        <v>27281204</v>
      </c>
      <c r="AJ931" s="122">
        <v>24801094</v>
      </c>
      <c r="AK931">
        <v>81</v>
      </c>
      <c r="AL931" s="122">
        <v>6572972</v>
      </c>
      <c r="AM931" s="122">
        <v>5975429</v>
      </c>
      <c r="AN931" s="122">
        <v>4322582</v>
      </c>
      <c r="AO931" s="122">
        <v>1600956</v>
      </c>
      <c r="AP931" s="122">
        <v>1401084</v>
      </c>
      <c r="AQ931" s="122">
        <v>518920</v>
      </c>
      <c r="AR931" s="122">
        <v>9409756</v>
      </c>
      <c r="AS931" s="122">
        <v>8554323</v>
      </c>
      <c r="AT931" s="122">
        <v>5130220</v>
      </c>
      <c r="AU931" s="122">
        <v>1900082</v>
      </c>
      <c r="AV931" s="122">
        <v>43350804</v>
      </c>
    </row>
    <row r="932" spans="2:48" hidden="1">
      <c r="B932" t="s">
        <v>368</v>
      </c>
      <c r="C932" t="s">
        <v>64</v>
      </c>
      <c r="D932" t="s">
        <v>427</v>
      </c>
      <c r="E932" t="s">
        <v>137</v>
      </c>
      <c r="F932">
        <v>1</v>
      </c>
      <c r="G932" s="122">
        <v>75</v>
      </c>
      <c r="H932" s="122">
        <v>632</v>
      </c>
      <c r="I932" s="122">
        <v>26892</v>
      </c>
      <c r="J932" s="122">
        <v>24447</v>
      </c>
      <c r="K932">
        <v>60</v>
      </c>
      <c r="L932" s="122">
        <v>7334</v>
      </c>
      <c r="M932" s="122">
        <v>2716</v>
      </c>
      <c r="N932" s="122">
        <v>1240</v>
      </c>
      <c r="O932" s="122">
        <v>459</v>
      </c>
      <c r="P932" s="122">
        <v>0</v>
      </c>
      <c r="Q932" s="122">
        <v>0</v>
      </c>
      <c r="R932" s="122">
        <v>11806</v>
      </c>
      <c r="S932" s="122">
        <v>4372</v>
      </c>
      <c r="T932" s="122">
        <v>0</v>
      </c>
      <c r="U932" s="122">
        <v>0</v>
      </c>
      <c r="V932" s="122">
        <v>31995</v>
      </c>
      <c r="W932" s="122">
        <f t="shared" si="28"/>
        <v>31994</v>
      </c>
      <c r="X932" s="122">
        <f t="shared" si="29"/>
        <v>47272</v>
      </c>
      <c r="Y932" s="122"/>
      <c r="AA932" t="s">
        <v>58</v>
      </c>
      <c r="AB932" t="s">
        <v>406</v>
      </c>
      <c r="AC932" t="s">
        <v>427</v>
      </c>
      <c r="AD932" t="s">
        <v>406</v>
      </c>
      <c r="AE932" t="s">
        <v>566</v>
      </c>
      <c r="AF932" s="122">
        <v>1249</v>
      </c>
      <c r="AG932" s="122">
        <v>114303</v>
      </c>
      <c r="AH932" s="122">
        <v>320388</v>
      </c>
      <c r="AI932" s="122">
        <v>15649425</v>
      </c>
      <c r="AJ932" s="122">
        <v>14226750</v>
      </c>
      <c r="AK932">
        <v>82</v>
      </c>
      <c r="AL932" s="122">
        <v>3868247</v>
      </c>
      <c r="AM932" s="122">
        <v>3516588</v>
      </c>
      <c r="AN932" s="122">
        <v>2308814</v>
      </c>
      <c r="AO932" s="122">
        <v>855116</v>
      </c>
      <c r="AP932" s="122">
        <v>795447</v>
      </c>
      <c r="AQ932" s="122">
        <v>294610</v>
      </c>
      <c r="AR932" s="122">
        <v>7062957</v>
      </c>
      <c r="AS932" s="122">
        <v>6420870</v>
      </c>
      <c r="AT932">
        <v>0</v>
      </c>
      <c r="AU932">
        <v>0</v>
      </c>
      <c r="AV932" s="122">
        <v>25313935</v>
      </c>
    </row>
    <row r="933" spans="2:48" hidden="1">
      <c r="B933" t="s">
        <v>368</v>
      </c>
      <c r="C933" t="s">
        <v>64</v>
      </c>
      <c r="D933" t="s">
        <v>427</v>
      </c>
      <c r="E933" t="s">
        <v>427</v>
      </c>
      <c r="F933">
        <v>7</v>
      </c>
      <c r="G933">
        <v>618</v>
      </c>
      <c r="H933" s="122">
        <v>4060</v>
      </c>
      <c r="I933" s="122">
        <v>237987</v>
      </c>
      <c r="J933" s="122">
        <v>216352</v>
      </c>
      <c r="K933">
        <v>53</v>
      </c>
      <c r="L933" s="122">
        <v>39016</v>
      </c>
      <c r="M933" s="122">
        <v>29711</v>
      </c>
      <c r="N933" s="122">
        <v>13404</v>
      </c>
      <c r="O933" s="122">
        <v>4965</v>
      </c>
      <c r="P933" s="122">
        <v>2106</v>
      </c>
      <c r="Q933">
        <v>780</v>
      </c>
      <c r="R933" s="122">
        <v>55913</v>
      </c>
      <c r="S933" s="122">
        <v>50830</v>
      </c>
      <c r="T933" s="122">
        <v>6352</v>
      </c>
      <c r="U933" s="122">
        <v>2353</v>
      </c>
      <c r="V933" s="122">
        <v>304990</v>
      </c>
      <c r="W933" s="122">
        <f t="shared" si="28"/>
        <v>304991</v>
      </c>
      <c r="X933" s="122">
        <f t="shared" si="29"/>
        <v>354778</v>
      </c>
      <c r="Y933" s="122"/>
      <c r="AA933" t="s">
        <v>58</v>
      </c>
      <c r="AB933" t="s">
        <v>406</v>
      </c>
      <c r="AC933" t="s">
        <v>427</v>
      </c>
      <c r="AD933" t="s">
        <v>427</v>
      </c>
      <c r="AE933" t="s">
        <v>137</v>
      </c>
      <c r="AF933">
        <v>3</v>
      </c>
      <c r="AG933">
        <v>237</v>
      </c>
      <c r="AH933">
        <v>804</v>
      </c>
      <c r="AI933" s="122">
        <v>31133</v>
      </c>
      <c r="AJ933" s="122">
        <v>28303</v>
      </c>
      <c r="AK933">
        <v>81</v>
      </c>
      <c r="AL933" s="122">
        <v>7999</v>
      </c>
      <c r="AM933" s="122">
        <v>7271</v>
      </c>
      <c r="AN933" s="122">
        <v>5014</v>
      </c>
      <c r="AO933" s="122">
        <v>1857</v>
      </c>
      <c r="AP933" s="122">
        <v>1863</v>
      </c>
      <c r="AQ933">
        <v>690</v>
      </c>
      <c r="AR933" s="122">
        <v>11699</v>
      </c>
      <c r="AS933" s="122">
        <v>10635</v>
      </c>
      <c r="AT933" s="122">
        <v>6148</v>
      </c>
      <c r="AU933" s="122">
        <v>2277</v>
      </c>
      <c r="AV933" s="122">
        <v>51033</v>
      </c>
    </row>
    <row r="934" spans="2:48" hidden="1">
      <c r="B934" t="s">
        <v>368</v>
      </c>
      <c r="C934" t="s">
        <v>64</v>
      </c>
      <c r="D934" t="s">
        <v>407</v>
      </c>
      <c r="E934" t="s">
        <v>407</v>
      </c>
      <c r="F934">
        <v>5</v>
      </c>
      <c r="G934" s="122">
        <v>364</v>
      </c>
      <c r="H934" s="122">
        <v>2656</v>
      </c>
      <c r="I934" s="122">
        <v>119381</v>
      </c>
      <c r="J934" s="122">
        <v>108528</v>
      </c>
      <c r="K934">
        <v>79</v>
      </c>
      <c r="L934" s="122">
        <v>39153</v>
      </c>
      <c r="M934" s="122">
        <v>35594</v>
      </c>
      <c r="N934" s="122">
        <v>8181</v>
      </c>
      <c r="O934" s="122">
        <v>3030</v>
      </c>
      <c r="P934" s="122">
        <v>2363</v>
      </c>
      <c r="Q934" s="122">
        <v>875</v>
      </c>
      <c r="R934" s="122">
        <v>22048</v>
      </c>
      <c r="S934" s="122">
        <v>20043</v>
      </c>
      <c r="T934" s="122">
        <v>0</v>
      </c>
      <c r="U934" s="122">
        <v>0</v>
      </c>
      <c r="V934" s="122">
        <v>168071</v>
      </c>
      <c r="W934" s="122">
        <f t="shared" si="28"/>
        <v>168070</v>
      </c>
      <c r="X934" s="122">
        <f t="shared" si="29"/>
        <v>191126</v>
      </c>
      <c r="Y934" s="122"/>
      <c r="AA934" t="s">
        <v>58</v>
      </c>
      <c r="AB934" t="s">
        <v>406</v>
      </c>
      <c r="AC934" t="s">
        <v>427</v>
      </c>
      <c r="AD934" t="s">
        <v>427</v>
      </c>
      <c r="AE934" t="s">
        <v>566</v>
      </c>
      <c r="AF934">
        <v>1</v>
      </c>
      <c r="AG934">
        <v>88</v>
      </c>
      <c r="AH934">
        <v>237</v>
      </c>
      <c r="AI934" s="122">
        <v>11394</v>
      </c>
      <c r="AJ934" s="122">
        <v>10358</v>
      </c>
      <c r="AK934">
        <v>79</v>
      </c>
      <c r="AL934" s="122">
        <v>3165</v>
      </c>
      <c r="AM934" s="122">
        <v>2877</v>
      </c>
      <c r="AN934" s="122">
        <v>1076</v>
      </c>
      <c r="AO934">
        <v>399</v>
      </c>
      <c r="AP934">
        <v>621</v>
      </c>
      <c r="AQ934">
        <v>230</v>
      </c>
      <c r="AR934" s="122">
        <v>4645</v>
      </c>
      <c r="AS934" s="122">
        <v>4223</v>
      </c>
      <c r="AT934">
        <v>0</v>
      </c>
      <c r="AU934">
        <v>0</v>
      </c>
      <c r="AV934" s="122">
        <v>18086</v>
      </c>
    </row>
    <row r="935" spans="2:48" hidden="1">
      <c r="B935" t="s">
        <v>368</v>
      </c>
      <c r="C935" t="s">
        <v>64</v>
      </c>
      <c r="D935" t="s">
        <v>556</v>
      </c>
      <c r="E935" t="s">
        <v>137</v>
      </c>
      <c r="F935">
        <v>12</v>
      </c>
      <c r="G935" s="122">
        <v>1023</v>
      </c>
      <c r="H935" s="122">
        <v>13528</v>
      </c>
      <c r="I935" s="122">
        <v>933386</v>
      </c>
      <c r="J935" s="122">
        <v>777821</v>
      </c>
      <c r="K935">
        <v>35</v>
      </c>
      <c r="L935" s="122">
        <v>45470</v>
      </c>
      <c r="M935" s="122">
        <v>25104</v>
      </c>
      <c r="N935" s="122">
        <v>23166</v>
      </c>
      <c r="O935" s="122">
        <v>8580</v>
      </c>
      <c r="P935" s="122">
        <v>351</v>
      </c>
      <c r="Q935" s="122">
        <v>130</v>
      </c>
      <c r="R935" s="122">
        <v>96170</v>
      </c>
      <c r="S935" s="122">
        <v>35618</v>
      </c>
      <c r="T935" s="122">
        <v>0</v>
      </c>
      <c r="U935" s="122">
        <v>0</v>
      </c>
      <c r="V935" s="122">
        <v>847253</v>
      </c>
      <c r="W935" s="122">
        <f t="shared" si="28"/>
        <v>847253</v>
      </c>
      <c r="X935" s="122">
        <f t="shared" si="29"/>
        <v>1098543</v>
      </c>
      <c r="Y935" s="122"/>
      <c r="AA935" t="s">
        <v>58</v>
      </c>
      <c r="AB935" t="s">
        <v>406</v>
      </c>
      <c r="AC935" t="s">
        <v>427</v>
      </c>
      <c r="AD935" t="s">
        <v>433</v>
      </c>
      <c r="AE935" t="s">
        <v>137</v>
      </c>
      <c r="AF935">
        <v>1</v>
      </c>
      <c r="AG935">
        <v>80</v>
      </c>
      <c r="AH935">
        <v>260</v>
      </c>
      <c r="AI935" s="122">
        <v>9944</v>
      </c>
      <c r="AJ935" s="122">
        <v>9040</v>
      </c>
      <c r="AK935">
        <v>86</v>
      </c>
      <c r="AL935" s="122">
        <v>1794</v>
      </c>
      <c r="AM935" s="122">
        <v>1631</v>
      </c>
      <c r="AN935" s="122">
        <v>1458</v>
      </c>
      <c r="AO935">
        <v>540</v>
      </c>
      <c r="AP935">
        <v>621</v>
      </c>
      <c r="AQ935">
        <v>230</v>
      </c>
      <c r="AR935" s="122">
        <v>4035</v>
      </c>
      <c r="AS935" s="122">
        <v>3668</v>
      </c>
      <c r="AT935" s="122">
        <v>2875</v>
      </c>
      <c r="AU935" s="122">
        <v>1065</v>
      </c>
      <c r="AV935" s="122">
        <v>16175</v>
      </c>
    </row>
    <row r="936" spans="2:48" hidden="1">
      <c r="B936" t="s">
        <v>368</v>
      </c>
      <c r="C936" t="s">
        <v>64</v>
      </c>
      <c r="D936" t="s">
        <v>556</v>
      </c>
      <c r="E936" t="s">
        <v>406</v>
      </c>
      <c r="F936">
        <v>1</v>
      </c>
      <c r="G936">
        <v>117</v>
      </c>
      <c r="H936" s="122">
        <v>791</v>
      </c>
      <c r="I936" s="122">
        <v>76293</v>
      </c>
      <c r="J936" s="122">
        <v>63577</v>
      </c>
      <c r="K936">
        <v>30</v>
      </c>
      <c r="L936" s="122">
        <v>5722</v>
      </c>
      <c r="M936" s="122">
        <v>2119</v>
      </c>
      <c r="N936" s="122">
        <v>2854</v>
      </c>
      <c r="O936" s="122">
        <v>1057</v>
      </c>
      <c r="P936">
        <v>0</v>
      </c>
      <c r="Q936">
        <v>0</v>
      </c>
      <c r="R936" s="122">
        <v>5138</v>
      </c>
      <c r="S936" s="122">
        <v>4671</v>
      </c>
      <c r="T936" s="122">
        <v>2640</v>
      </c>
      <c r="U936">
        <v>978</v>
      </c>
      <c r="V936" s="122">
        <v>72403</v>
      </c>
      <c r="W936" s="122">
        <f t="shared" si="28"/>
        <v>72402</v>
      </c>
      <c r="X936" s="122">
        <f t="shared" si="29"/>
        <v>92647</v>
      </c>
      <c r="Y936" s="122"/>
      <c r="AA936" t="s">
        <v>58</v>
      </c>
      <c r="AB936" t="s">
        <v>406</v>
      </c>
      <c r="AC936" t="s">
        <v>427</v>
      </c>
      <c r="AD936" t="s">
        <v>433</v>
      </c>
      <c r="AE936" t="s">
        <v>566</v>
      </c>
      <c r="AF936">
        <v>1</v>
      </c>
      <c r="AG936">
        <v>126</v>
      </c>
      <c r="AH936">
        <v>241</v>
      </c>
      <c r="AI936" s="122">
        <v>15704</v>
      </c>
      <c r="AJ936" s="122">
        <v>14276</v>
      </c>
      <c r="AK936">
        <v>79</v>
      </c>
      <c r="AL936" s="122">
        <v>4362</v>
      </c>
      <c r="AM936" s="122">
        <v>3966</v>
      </c>
      <c r="AN936" s="122">
        <v>2934</v>
      </c>
      <c r="AO936" s="122">
        <v>1087</v>
      </c>
      <c r="AP936">
        <v>621</v>
      </c>
      <c r="AQ936">
        <v>230</v>
      </c>
      <c r="AR936" s="122">
        <v>6748</v>
      </c>
      <c r="AS936" s="122">
        <v>6135</v>
      </c>
      <c r="AT936">
        <v>0</v>
      </c>
      <c r="AU936">
        <v>0</v>
      </c>
      <c r="AV936" s="122">
        <v>25693</v>
      </c>
    </row>
    <row r="937" spans="2:48" hidden="1">
      <c r="B937" t="s">
        <v>368</v>
      </c>
      <c r="C937" t="s">
        <v>64</v>
      </c>
      <c r="D937" t="s">
        <v>556</v>
      </c>
      <c r="E937" t="s">
        <v>556</v>
      </c>
      <c r="F937">
        <v>87</v>
      </c>
      <c r="G937" s="122">
        <v>6613</v>
      </c>
      <c r="H937" s="122">
        <v>48419</v>
      </c>
      <c r="I937" s="122">
        <v>2551252</v>
      </c>
      <c r="J937" s="122">
        <v>2126043</v>
      </c>
      <c r="K937">
        <v>48</v>
      </c>
      <c r="L937" s="122">
        <v>323521</v>
      </c>
      <c r="M937" s="122">
        <v>266928</v>
      </c>
      <c r="N937" s="122">
        <v>142528</v>
      </c>
      <c r="O937" s="122">
        <v>52788</v>
      </c>
      <c r="P937" s="122">
        <v>28971</v>
      </c>
      <c r="Q937" s="122">
        <v>10730</v>
      </c>
      <c r="R937" s="122">
        <v>560000</v>
      </c>
      <c r="S937" s="122">
        <v>466667</v>
      </c>
      <c r="T937" s="122">
        <v>186183</v>
      </c>
      <c r="U937" s="122">
        <v>68957</v>
      </c>
      <c r="V937" s="122">
        <v>2992113</v>
      </c>
      <c r="W937" s="122">
        <f t="shared" si="28"/>
        <v>2992113</v>
      </c>
      <c r="X937" s="122">
        <f t="shared" si="29"/>
        <v>3792455</v>
      </c>
      <c r="Y937" s="122"/>
      <c r="AA937" t="s">
        <v>58</v>
      </c>
      <c r="AB937" t="s">
        <v>406</v>
      </c>
      <c r="AC937" t="s">
        <v>407</v>
      </c>
      <c r="AD937" t="s">
        <v>137</v>
      </c>
      <c r="AE937" t="s">
        <v>566</v>
      </c>
      <c r="AF937">
        <v>1</v>
      </c>
      <c r="AG937">
        <v>118</v>
      </c>
      <c r="AH937">
        <v>251</v>
      </c>
      <c r="AI937" s="122">
        <v>13447</v>
      </c>
      <c r="AJ937" s="122">
        <v>12224</v>
      </c>
      <c r="AK937">
        <v>83</v>
      </c>
      <c r="AL937" s="122">
        <v>5902</v>
      </c>
      <c r="AM937" s="122">
        <v>5365</v>
      </c>
      <c r="AN937" s="122">
        <v>2573</v>
      </c>
      <c r="AO937">
        <v>953</v>
      </c>
      <c r="AP937">
        <v>621</v>
      </c>
      <c r="AQ937">
        <v>230</v>
      </c>
      <c r="AR937" s="122">
        <v>7031</v>
      </c>
      <c r="AS937" s="122">
        <v>2604</v>
      </c>
      <c r="AT937">
        <v>0</v>
      </c>
      <c r="AU937">
        <v>0</v>
      </c>
      <c r="AV937" s="122">
        <v>21376</v>
      </c>
    </row>
    <row r="938" spans="2:48" hidden="1">
      <c r="B938" t="s">
        <v>368</v>
      </c>
      <c r="C938" t="s">
        <v>64</v>
      </c>
      <c r="D938" t="s">
        <v>428</v>
      </c>
      <c r="E938" t="s">
        <v>428</v>
      </c>
      <c r="F938">
        <v>3</v>
      </c>
      <c r="G938" s="122">
        <v>239</v>
      </c>
      <c r="H938" s="122">
        <v>1645</v>
      </c>
      <c r="I938" s="122">
        <v>85910</v>
      </c>
      <c r="J938" s="122">
        <v>78100</v>
      </c>
      <c r="K938">
        <v>65</v>
      </c>
      <c r="L938" s="122">
        <v>16469</v>
      </c>
      <c r="M938" s="122">
        <v>14972</v>
      </c>
      <c r="N938" s="122">
        <v>5750</v>
      </c>
      <c r="O938" s="122">
        <v>2129</v>
      </c>
      <c r="P938" s="122">
        <v>1053</v>
      </c>
      <c r="Q938">
        <v>390</v>
      </c>
      <c r="R938" s="122">
        <v>16869</v>
      </c>
      <c r="S938" s="122">
        <v>15335</v>
      </c>
      <c r="T938" s="122">
        <v>4349</v>
      </c>
      <c r="U938" s="122">
        <v>1611</v>
      </c>
      <c r="V938" s="122">
        <v>112537</v>
      </c>
      <c r="W938" s="122">
        <f t="shared" si="28"/>
        <v>112537</v>
      </c>
      <c r="X938" s="122">
        <f t="shared" si="29"/>
        <v>130400</v>
      </c>
      <c r="Y938" s="122"/>
      <c r="AA938" t="s">
        <v>58</v>
      </c>
      <c r="AB938" t="s">
        <v>406</v>
      </c>
      <c r="AC938" t="s">
        <v>407</v>
      </c>
      <c r="AD938" t="s">
        <v>406</v>
      </c>
      <c r="AE938" t="s">
        <v>137</v>
      </c>
      <c r="AF938">
        <v>93</v>
      </c>
      <c r="AG938" s="122">
        <v>10668</v>
      </c>
      <c r="AH938" s="122">
        <v>24508</v>
      </c>
      <c r="AI938" s="122">
        <v>1496743</v>
      </c>
      <c r="AJ938" s="122">
        <v>1360675</v>
      </c>
      <c r="AK938">
        <v>79</v>
      </c>
      <c r="AL938" s="122">
        <v>405385</v>
      </c>
      <c r="AM938" s="122">
        <v>368532</v>
      </c>
      <c r="AN938" s="122">
        <v>223123</v>
      </c>
      <c r="AO938" s="122">
        <v>82638</v>
      </c>
      <c r="AP938" s="122">
        <v>57875</v>
      </c>
      <c r="AQ938" s="122">
        <v>21435</v>
      </c>
      <c r="AR938" s="122">
        <v>424505</v>
      </c>
      <c r="AS938" s="122">
        <v>385913</v>
      </c>
      <c r="AT938" s="122">
        <v>231118</v>
      </c>
      <c r="AU938" s="122">
        <v>85599</v>
      </c>
      <c r="AV938" s="122">
        <v>2304793</v>
      </c>
    </row>
    <row r="939" spans="2:48" hidden="1">
      <c r="B939" t="s">
        <v>368</v>
      </c>
      <c r="C939" t="s">
        <v>64</v>
      </c>
      <c r="D939" t="s">
        <v>431</v>
      </c>
      <c r="E939" t="s">
        <v>137</v>
      </c>
      <c r="F939" s="122">
        <v>1</v>
      </c>
      <c r="G939" s="122">
        <v>85</v>
      </c>
      <c r="H939" s="122">
        <v>525</v>
      </c>
      <c r="I939" s="122">
        <v>26707</v>
      </c>
      <c r="J939" s="122">
        <v>24279</v>
      </c>
      <c r="K939" s="122">
        <v>60</v>
      </c>
      <c r="L939" s="122">
        <v>5935</v>
      </c>
      <c r="M939" s="122">
        <v>5395</v>
      </c>
      <c r="N939" s="122">
        <v>2081</v>
      </c>
      <c r="O939" s="122">
        <v>771</v>
      </c>
      <c r="P939" s="122">
        <v>0</v>
      </c>
      <c r="Q939" s="122">
        <v>0</v>
      </c>
      <c r="R939" s="122">
        <v>10076</v>
      </c>
      <c r="S939" s="122">
        <v>3732</v>
      </c>
      <c r="T939" s="122">
        <v>0</v>
      </c>
      <c r="U939" s="122">
        <v>0</v>
      </c>
      <c r="V939" s="122">
        <v>34177</v>
      </c>
      <c r="W939" s="122">
        <f t="shared" ref="W939:W1002" si="30">SUM(ABS(J939),ABS(M939),ABS(O939),ABS(Q939),ABS(S939),ABS(U939))</f>
        <v>34177</v>
      </c>
      <c r="X939" s="122">
        <f t="shared" ref="X939:X1002" si="31">SUM(ABS(I939),ABS(N939),ABS(P939),ABS(R939),ABS(T939),ABS(L939))</f>
        <v>44799</v>
      </c>
      <c r="AA939" t="s">
        <v>58</v>
      </c>
      <c r="AB939" t="s">
        <v>406</v>
      </c>
      <c r="AC939" t="s">
        <v>407</v>
      </c>
      <c r="AD939" t="s">
        <v>406</v>
      </c>
      <c r="AE939" t="s">
        <v>566</v>
      </c>
      <c r="AF939">
        <v>43</v>
      </c>
      <c r="AG939" s="122">
        <v>5264</v>
      </c>
      <c r="AH939" s="122">
        <v>11208</v>
      </c>
      <c r="AI939" s="122">
        <v>778935</v>
      </c>
      <c r="AJ939" s="122">
        <v>708122</v>
      </c>
      <c r="AK939">
        <v>82</v>
      </c>
      <c r="AL939" s="122">
        <v>220786</v>
      </c>
      <c r="AM939" s="122">
        <v>200715</v>
      </c>
      <c r="AN939" s="122">
        <v>111999</v>
      </c>
      <c r="AO939" s="122">
        <v>41481</v>
      </c>
      <c r="AP939" s="122">
        <v>28515</v>
      </c>
      <c r="AQ939" s="122">
        <v>10561</v>
      </c>
      <c r="AR939" s="122">
        <v>269813</v>
      </c>
      <c r="AS939" s="122">
        <v>245284</v>
      </c>
      <c r="AT939">
        <v>0</v>
      </c>
      <c r="AU939">
        <v>0</v>
      </c>
      <c r="AV939" s="122">
        <v>1206163</v>
      </c>
    </row>
    <row r="940" spans="2:48" hidden="1">
      <c r="B940" t="s">
        <v>368</v>
      </c>
      <c r="C940" t="s">
        <v>64</v>
      </c>
      <c r="D940" t="s">
        <v>431</v>
      </c>
      <c r="E940" t="s">
        <v>431</v>
      </c>
      <c r="F940" s="122">
        <v>11</v>
      </c>
      <c r="G940" s="122">
        <v>907</v>
      </c>
      <c r="H940" s="122">
        <v>6304</v>
      </c>
      <c r="I940" s="122">
        <v>347541</v>
      </c>
      <c r="J940" s="122">
        <v>315947</v>
      </c>
      <c r="K940" s="122">
        <v>50</v>
      </c>
      <c r="L940" s="122">
        <v>56738</v>
      </c>
      <c r="M940" s="122">
        <v>40188</v>
      </c>
      <c r="N940" s="122">
        <v>19599</v>
      </c>
      <c r="O940" s="122">
        <v>7259</v>
      </c>
      <c r="P940" s="122">
        <v>4131</v>
      </c>
      <c r="Q940" s="122">
        <v>1530</v>
      </c>
      <c r="R940" s="122">
        <v>67692</v>
      </c>
      <c r="S940" s="122">
        <v>61538</v>
      </c>
      <c r="T940" s="122">
        <v>19381</v>
      </c>
      <c r="U940" s="122">
        <v>7178</v>
      </c>
      <c r="V940" s="122">
        <v>433640</v>
      </c>
      <c r="W940" s="122">
        <f t="shared" si="30"/>
        <v>433640</v>
      </c>
      <c r="X940" s="122">
        <f t="shared" si="31"/>
        <v>515082</v>
      </c>
      <c r="AA940" t="s">
        <v>58</v>
      </c>
      <c r="AB940" t="s">
        <v>406</v>
      </c>
      <c r="AC940" t="s">
        <v>407</v>
      </c>
      <c r="AD940" t="s">
        <v>407</v>
      </c>
      <c r="AE940" t="s">
        <v>566</v>
      </c>
      <c r="AF940">
        <v>2</v>
      </c>
      <c r="AG940">
        <v>252</v>
      </c>
      <c r="AH940">
        <v>510</v>
      </c>
      <c r="AI940" s="122">
        <v>41968</v>
      </c>
      <c r="AJ940" s="122">
        <v>38153</v>
      </c>
      <c r="AK940">
        <v>87</v>
      </c>
      <c r="AL940" s="122">
        <v>6469</v>
      </c>
      <c r="AM940" s="122">
        <v>5881</v>
      </c>
      <c r="AN940" s="122">
        <v>4797</v>
      </c>
      <c r="AO940" s="122">
        <v>1777</v>
      </c>
      <c r="AP940" s="122">
        <v>1094</v>
      </c>
      <c r="AQ940">
        <v>405</v>
      </c>
      <c r="AR940" s="122">
        <v>10075</v>
      </c>
      <c r="AS940" s="122">
        <v>9159</v>
      </c>
      <c r="AT940">
        <v>0</v>
      </c>
      <c r="AU940">
        <v>0</v>
      </c>
      <c r="AV940" s="122">
        <v>55374</v>
      </c>
    </row>
    <row r="941" spans="2:48" hidden="1">
      <c r="B941" t="s">
        <v>368</v>
      </c>
      <c r="C941" t="s">
        <v>64</v>
      </c>
      <c r="D941" t="s">
        <v>426</v>
      </c>
      <c r="E941" t="s">
        <v>137</v>
      </c>
      <c r="F941" s="122">
        <v>40</v>
      </c>
      <c r="G941" s="122">
        <v>3856</v>
      </c>
      <c r="H941" s="122">
        <v>33137</v>
      </c>
      <c r="I941" s="122">
        <v>2633639</v>
      </c>
      <c r="J941" s="122">
        <v>2394217</v>
      </c>
      <c r="K941" s="122">
        <v>33</v>
      </c>
      <c r="L941" s="122">
        <v>210789</v>
      </c>
      <c r="M941" s="122">
        <v>103275</v>
      </c>
      <c r="N941" s="122">
        <v>90941</v>
      </c>
      <c r="O941" s="122">
        <v>33682</v>
      </c>
      <c r="P941" s="122">
        <v>2997</v>
      </c>
      <c r="Q941" s="122">
        <v>1110</v>
      </c>
      <c r="R941" s="122">
        <v>299509</v>
      </c>
      <c r="S941" s="122">
        <v>110929</v>
      </c>
      <c r="T941" s="122">
        <v>4714</v>
      </c>
      <c r="U941" s="122">
        <v>1746</v>
      </c>
      <c r="V941" s="122">
        <v>2644959</v>
      </c>
      <c r="W941" s="122">
        <f t="shared" si="30"/>
        <v>2644959</v>
      </c>
      <c r="X941" s="122">
        <f t="shared" si="31"/>
        <v>3242589</v>
      </c>
      <c r="AA941" t="s">
        <v>58</v>
      </c>
      <c r="AB941" t="s">
        <v>406</v>
      </c>
      <c r="AC941" t="s">
        <v>579</v>
      </c>
      <c r="AD941" t="s">
        <v>425</v>
      </c>
      <c r="AE941" t="s">
        <v>137</v>
      </c>
      <c r="AF941">
        <v>4</v>
      </c>
      <c r="AG941">
        <v>372</v>
      </c>
      <c r="AH941" s="122">
        <v>1030</v>
      </c>
      <c r="AI941" s="122">
        <v>45778</v>
      </c>
      <c r="AJ941" s="122">
        <v>41616</v>
      </c>
      <c r="AK941">
        <v>72</v>
      </c>
      <c r="AL941" s="122">
        <v>9664</v>
      </c>
      <c r="AM941" s="122">
        <v>8053</v>
      </c>
      <c r="AN941" s="122">
        <v>7399</v>
      </c>
      <c r="AO941" s="122">
        <v>2740</v>
      </c>
      <c r="AP941" s="122">
        <v>2484</v>
      </c>
      <c r="AQ941">
        <v>920</v>
      </c>
      <c r="AR941" s="122">
        <v>18800</v>
      </c>
      <c r="AS941" s="122">
        <v>17091</v>
      </c>
      <c r="AT941" s="122">
        <v>11214</v>
      </c>
      <c r="AU941" s="122">
        <v>4153</v>
      </c>
      <c r="AV941" s="122">
        <v>74574</v>
      </c>
    </row>
    <row r="942" spans="2:48" hidden="1">
      <c r="B942" t="s">
        <v>368</v>
      </c>
      <c r="C942" t="s">
        <v>64</v>
      </c>
      <c r="D942" t="s">
        <v>426</v>
      </c>
      <c r="E942" t="s">
        <v>426</v>
      </c>
      <c r="F942" s="122">
        <v>179</v>
      </c>
      <c r="G942" s="122">
        <v>13975</v>
      </c>
      <c r="H942" s="122">
        <v>110923</v>
      </c>
      <c r="I942" s="122">
        <v>6387922</v>
      </c>
      <c r="J942" s="122">
        <v>5807202</v>
      </c>
      <c r="K942" s="122">
        <v>48</v>
      </c>
      <c r="L942" s="122">
        <v>779073</v>
      </c>
      <c r="M942" s="122">
        <v>624264</v>
      </c>
      <c r="N942" s="122">
        <v>292396</v>
      </c>
      <c r="O942" s="122">
        <v>108295</v>
      </c>
      <c r="P942" s="122">
        <v>55134</v>
      </c>
      <c r="Q942" s="122">
        <v>20420</v>
      </c>
      <c r="R942" s="122">
        <v>1068933</v>
      </c>
      <c r="S942" s="122">
        <v>971757</v>
      </c>
      <c r="T942" s="122">
        <v>321309</v>
      </c>
      <c r="U942" s="122">
        <v>119003</v>
      </c>
      <c r="V942" s="122">
        <v>7650941</v>
      </c>
      <c r="W942" s="122">
        <f t="shared" si="30"/>
        <v>7650941</v>
      </c>
      <c r="X942" s="122">
        <f t="shared" si="31"/>
        <v>8904767</v>
      </c>
      <c r="AA942" t="s">
        <v>58</v>
      </c>
      <c r="AB942" t="s">
        <v>406</v>
      </c>
      <c r="AC942" t="s">
        <v>579</v>
      </c>
      <c r="AD942" t="s">
        <v>425</v>
      </c>
      <c r="AE942" t="s">
        <v>566</v>
      </c>
      <c r="AF942">
        <v>3</v>
      </c>
      <c r="AG942">
        <v>298</v>
      </c>
      <c r="AH942">
        <v>818</v>
      </c>
      <c r="AI942" s="122">
        <v>46020</v>
      </c>
      <c r="AJ942" s="122">
        <v>41836</v>
      </c>
      <c r="AK942">
        <v>82</v>
      </c>
      <c r="AL942" s="122">
        <v>12822</v>
      </c>
      <c r="AM942" s="122">
        <v>10685</v>
      </c>
      <c r="AN942" s="122">
        <v>6084</v>
      </c>
      <c r="AO942" s="122">
        <v>2253</v>
      </c>
      <c r="AP942" s="122">
        <v>1593</v>
      </c>
      <c r="AQ942">
        <v>590</v>
      </c>
      <c r="AR942" s="122">
        <v>14739</v>
      </c>
      <c r="AS942" s="122">
        <v>13399</v>
      </c>
      <c r="AT942">
        <v>0</v>
      </c>
      <c r="AU942">
        <v>0</v>
      </c>
      <c r="AV942" s="122">
        <v>68763</v>
      </c>
    </row>
    <row r="943" spans="2:48" hidden="1">
      <c r="B943" t="s">
        <v>369</v>
      </c>
      <c r="C943" t="s">
        <v>48</v>
      </c>
      <c r="F943" s="122">
        <v>12</v>
      </c>
      <c r="G943" s="122">
        <v>902</v>
      </c>
      <c r="H943" s="122">
        <v>608</v>
      </c>
      <c r="I943" s="122"/>
      <c r="J943" s="122">
        <v>0</v>
      </c>
      <c r="K943" s="122"/>
      <c r="L943" s="122"/>
      <c r="M943" s="122">
        <v>0</v>
      </c>
      <c r="N943" s="122">
        <v>10995</v>
      </c>
      <c r="O943" s="122">
        <v>4072</v>
      </c>
      <c r="P943" s="122">
        <v>10367</v>
      </c>
      <c r="Q943" s="122">
        <v>3840</v>
      </c>
      <c r="R943" s="122"/>
      <c r="S943" s="122">
        <v>0</v>
      </c>
      <c r="T943" s="122">
        <v>0</v>
      </c>
      <c r="U943" s="122">
        <v>0</v>
      </c>
      <c r="V943" s="122">
        <v>7912</v>
      </c>
      <c r="W943" s="122">
        <f t="shared" si="30"/>
        <v>7912</v>
      </c>
      <c r="X943" s="122">
        <f t="shared" si="31"/>
        <v>21362</v>
      </c>
      <c r="AA943" t="s">
        <v>58</v>
      </c>
      <c r="AB943" t="s">
        <v>406</v>
      </c>
      <c r="AC943" t="s">
        <v>579</v>
      </c>
      <c r="AD943" t="s">
        <v>137</v>
      </c>
      <c r="AE943" t="s">
        <v>566</v>
      </c>
      <c r="AF943">
        <v>21</v>
      </c>
      <c r="AG943" s="122">
        <v>2238</v>
      </c>
      <c r="AH943" s="122">
        <v>5748</v>
      </c>
      <c r="AI943" s="122">
        <v>329684</v>
      </c>
      <c r="AJ943" s="122">
        <v>299713</v>
      </c>
      <c r="AK943">
        <v>80</v>
      </c>
      <c r="AL943" s="122">
        <v>88057</v>
      </c>
      <c r="AM943" s="122">
        <v>73381</v>
      </c>
      <c r="AN943" s="122">
        <v>45715</v>
      </c>
      <c r="AO943" s="122">
        <v>16931</v>
      </c>
      <c r="AP943" s="122">
        <v>13710</v>
      </c>
      <c r="AQ943" s="122">
        <v>5078</v>
      </c>
      <c r="AR943" s="122">
        <v>133806</v>
      </c>
      <c r="AS943" s="122">
        <v>49558</v>
      </c>
      <c r="AT943">
        <v>0</v>
      </c>
      <c r="AU943">
        <v>0</v>
      </c>
      <c r="AV943" s="122">
        <v>444660</v>
      </c>
    </row>
    <row r="944" spans="2:48" hidden="1">
      <c r="B944" t="s">
        <v>369</v>
      </c>
      <c r="C944" t="s">
        <v>48</v>
      </c>
      <c r="D944" t="s">
        <v>405</v>
      </c>
      <c r="E944" t="s">
        <v>405</v>
      </c>
      <c r="F944" s="122">
        <v>3</v>
      </c>
      <c r="G944" s="122">
        <v>367</v>
      </c>
      <c r="H944" s="122">
        <v>198</v>
      </c>
      <c r="I944" s="122">
        <v>8160</v>
      </c>
      <c r="J944" s="122">
        <v>7418</v>
      </c>
      <c r="K944" s="122">
        <v>90</v>
      </c>
      <c r="L944" s="122">
        <v>984</v>
      </c>
      <c r="M944" s="122">
        <v>895</v>
      </c>
      <c r="N944" s="122">
        <v>4472</v>
      </c>
      <c r="O944" s="122">
        <v>1656</v>
      </c>
      <c r="P944" s="122">
        <v>1418</v>
      </c>
      <c r="Q944" s="122">
        <v>525</v>
      </c>
      <c r="R944" s="122">
        <v>9244</v>
      </c>
      <c r="S944" s="122">
        <v>8404</v>
      </c>
      <c r="T944" s="122">
        <v>0</v>
      </c>
      <c r="U944" s="122">
        <v>0</v>
      </c>
      <c r="V944" s="122">
        <v>18898</v>
      </c>
      <c r="W944" s="122">
        <f t="shared" si="30"/>
        <v>18898</v>
      </c>
      <c r="X944" s="122">
        <f t="shared" si="31"/>
        <v>24278</v>
      </c>
      <c r="AA944" t="s">
        <v>58</v>
      </c>
      <c r="AB944" t="s">
        <v>406</v>
      </c>
      <c r="AC944" t="s">
        <v>579</v>
      </c>
      <c r="AD944" t="s">
        <v>406</v>
      </c>
      <c r="AE944" t="s">
        <v>137</v>
      </c>
      <c r="AF944" s="122">
        <v>6067</v>
      </c>
      <c r="AG944" s="122">
        <v>601314</v>
      </c>
      <c r="AH944" s="122">
        <v>1575507</v>
      </c>
      <c r="AI944" s="122">
        <v>81218537</v>
      </c>
      <c r="AJ944" s="122">
        <v>73835034</v>
      </c>
      <c r="AK944">
        <v>79</v>
      </c>
      <c r="AL944" s="122">
        <v>19816750</v>
      </c>
      <c r="AM944" s="122">
        <v>16513958</v>
      </c>
      <c r="AN944" s="122">
        <v>12216005</v>
      </c>
      <c r="AO944" s="122">
        <v>4524446</v>
      </c>
      <c r="AP944" s="122">
        <v>3905619</v>
      </c>
      <c r="AQ944" s="122">
        <v>1446526</v>
      </c>
      <c r="AR944" s="122">
        <v>26010284</v>
      </c>
      <c r="AS944" s="122">
        <v>23645712</v>
      </c>
      <c r="AT944" s="122">
        <v>14294832</v>
      </c>
      <c r="AU944" s="122">
        <v>5294382</v>
      </c>
      <c r="AV944" s="122">
        <v>125260058</v>
      </c>
    </row>
    <row r="945" spans="2:48" hidden="1">
      <c r="B945" t="s">
        <v>369</v>
      </c>
      <c r="C945" t="s">
        <v>48</v>
      </c>
      <c r="D945" t="s">
        <v>137</v>
      </c>
      <c r="E945" t="s">
        <v>405</v>
      </c>
      <c r="F945" s="122">
        <v>10</v>
      </c>
      <c r="G945" s="122">
        <v>1331</v>
      </c>
      <c r="H945" s="122">
        <v>721</v>
      </c>
      <c r="I945" s="122">
        <v>24684</v>
      </c>
      <c r="J945" s="122">
        <v>9142</v>
      </c>
      <c r="K945" s="122">
        <v>364</v>
      </c>
      <c r="L945" s="122">
        <v>5161</v>
      </c>
      <c r="M945" s="122">
        <v>4692</v>
      </c>
      <c r="N945" s="122">
        <v>18432</v>
      </c>
      <c r="O945" s="122">
        <v>6827</v>
      </c>
      <c r="P945" s="122">
        <v>4725</v>
      </c>
      <c r="Q945" s="122">
        <v>1750</v>
      </c>
      <c r="R945" s="122">
        <v>42973</v>
      </c>
      <c r="S945" s="122">
        <v>39067</v>
      </c>
      <c r="T945" s="122">
        <v>0</v>
      </c>
      <c r="U945" s="122">
        <v>0</v>
      </c>
      <c r="V945" s="122">
        <v>61478</v>
      </c>
      <c r="W945" s="122">
        <f t="shared" si="30"/>
        <v>61478</v>
      </c>
      <c r="X945" s="122">
        <f t="shared" si="31"/>
        <v>95975</v>
      </c>
      <c r="AA945" t="s">
        <v>58</v>
      </c>
      <c r="AB945" t="s">
        <v>406</v>
      </c>
      <c r="AC945" t="s">
        <v>579</v>
      </c>
      <c r="AD945" t="s">
        <v>406</v>
      </c>
      <c r="AE945" t="s">
        <v>566</v>
      </c>
      <c r="AF945" s="122">
        <v>2471</v>
      </c>
      <c r="AG945" s="122">
        <v>253278</v>
      </c>
      <c r="AH945" s="122">
        <v>637981</v>
      </c>
      <c r="AI945" s="122">
        <v>35816091</v>
      </c>
      <c r="AJ945" s="122">
        <v>32560083</v>
      </c>
      <c r="AK945">
        <v>81</v>
      </c>
      <c r="AL945" s="122">
        <v>9536011</v>
      </c>
      <c r="AM945" s="122">
        <v>7946675</v>
      </c>
      <c r="AN945" s="122">
        <v>5053271</v>
      </c>
      <c r="AO945" s="122">
        <v>1871582</v>
      </c>
      <c r="AP945" s="122">
        <v>1594770</v>
      </c>
      <c r="AQ945" s="122">
        <v>590656</v>
      </c>
      <c r="AR945" s="122">
        <v>14018770</v>
      </c>
      <c r="AS945" s="122">
        <v>12744336</v>
      </c>
      <c r="AT945">
        <v>0</v>
      </c>
      <c r="AU945">
        <v>0</v>
      </c>
      <c r="AV945" s="122">
        <v>55713332</v>
      </c>
    </row>
    <row r="946" spans="2:48" hidden="1">
      <c r="B946" t="s">
        <v>369</v>
      </c>
      <c r="C946" t="s">
        <v>48</v>
      </c>
      <c r="D946" t="s">
        <v>137</v>
      </c>
      <c r="E946" t="s">
        <v>137</v>
      </c>
      <c r="F946" s="122">
        <v>169</v>
      </c>
      <c r="G946" s="122">
        <v>18405</v>
      </c>
      <c r="H946" s="122">
        <v>9376</v>
      </c>
      <c r="I946" s="122">
        <v>93541</v>
      </c>
      <c r="J946" s="122">
        <v>34645</v>
      </c>
      <c r="K946" s="122">
        <v>490</v>
      </c>
      <c r="L946" s="122">
        <v>19576</v>
      </c>
      <c r="M946" s="122">
        <v>15994</v>
      </c>
      <c r="N946" s="122">
        <v>241076</v>
      </c>
      <c r="O946" s="122">
        <v>89288</v>
      </c>
      <c r="P946" s="122">
        <v>90148</v>
      </c>
      <c r="Q946" s="122">
        <v>33388</v>
      </c>
      <c r="R946" s="122">
        <v>565117</v>
      </c>
      <c r="S946" s="122">
        <v>209302</v>
      </c>
      <c r="T946" s="122">
        <v>2897</v>
      </c>
      <c r="U946" s="122">
        <v>1073</v>
      </c>
      <c r="V946" s="122">
        <v>383690</v>
      </c>
      <c r="W946" s="122">
        <f t="shared" si="30"/>
        <v>383690</v>
      </c>
      <c r="X946" s="122">
        <f t="shared" si="31"/>
        <v>1012355</v>
      </c>
      <c r="AA946" t="s">
        <v>58</v>
      </c>
      <c r="AB946" t="s">
        <v>406</v>
      </c>
      <c r="AC946" t="s">
        <v>579</v>
      </c>
      <c r="AD946" t="s">
        <v>427</v>
      </c>
      <c r="AE946" t="s">
        <v>137</v>
      </c>
      <c r="AF946">
        <v>4</v>
      </c>
      <c r="AG946">
        <v>422</v>
      </c>
      <c r="AH946" s="122">
        <v>1105</v>
      </c>
      <c r="AI946" s="122">
        <v>62202</v>
      </c>
      <c r="AJ946" s="122">
        <v>56548</v>
      </c>
      <c r="AK946">
        <v>76</v>
      </c>
      <c r="AL946" s="122">
        <v>15909</v>
      </c>
      <c r="AM946" s="122">
        <v>13258</v>
      </c>
      <c r="AN946" s="122">
        <v>9675</v>
      </c>
      <c r="AO946" s="122">
        <v>3583</v>
      </c>
      <c r="AP946" s="122">
        <v>2835</v>
      </c>
      <c r="AQ946" s="122">
        <v>1050</v>
      </c>
      <c r="AR946" s="122">
        <v>16654</v>
      </c>
      <c r="AS946" s="122">
        <v>15140</v>
      </c>
      <c r="AT946" s="122">
        <v>10102</v>
      </c>
      <c r="AU946" s="122">
        <v>3741</v>
      </c>
      <c r="AV946" s="122">
        <v>93320</v>
      </c>
    </row>
    <row r="947" spans="2:48" hidden="1">
      <c r="B947" t="s">
        <v>369</v>
      </c>
      <c r="C947" t="s">
        <v>48</v>
      </c>
      <c r="D947" t="s">
        <v>406</v>
      </c>
      <c r="E947" t="s">
        <v>406</v>
      </c>
      <c r="F947" s="122">
        <v>42</v>
      </c>
      <c r="G947" s="122">
        <v>5118</v>
      </c>
      <c r="H947" s="122">
        <v>2658</v>
      </c>
      <c r="I947" s="122">
        <v>89980</v>
      </c>
      <c r="J947" s="122">
        <v>81800</v>
      </c>
      <c r="K947" s="122">
        <v>96</v>
      </c>
      <c r="L947" s="122">
        <v>7730</v>
      </c>
      <c r="M947" s="122">
        <v>6709</v>
      </c>
      <c r="N947" s="122">
        <v>69086</v>
      </c>
      <c r="O947" s="122">
        <v>25587</v>
      </c>
      <c r="P947" s="122">
        <v>27876</v>
      </c>
      <c r="Q947" s="122">
        <v>10324</v>
      </c>
      <c r="R947" s="122">
        <v>126122</v>
      </c>
      <c r="S947" s="122">
        <v>114657</v>
      </c>
      <c r="T947" s="122">
        <v>0</v>
      </c>
      <c r="U947" s="122">
        <v>0</v>
      </c>
      <c r="V947" s="122">
        <v>239077</v>
      </c>
      <c r="W947" s="122">
        <f t="shared" si="30"/>
        <v>239077</v>
      </c>
      <c r="X947" s="122">
        <f t="shared" si="31"/>
        <v>320794</v>
      </c>
      <c r="AA947" t="s">
        <v>58</v>
      </c>
      <c r="AB947" t="s">
        <v>406</v>
      </c>
      <c r="AC947" t="s">
        <v>579</v>
      </c>
      <c r="AD947" t="s">
        <v>427</v>
      </c>
      <c r="AE947" t="s">
        <v>566</v>
      </c>
      <c r="AF947">
        <v>1</v>
      </c>
      <c r="AG947">
        <v>113</v>
      </c>
      <c r="AH947">
        <v>287</v>
      </c>
      <c r="AI947" s="122">
        <v>17598</v>
      </c>
      <c r="AJ947" s="122">
        <v>15998</v>
      </c>
      <c r="AK947">
        <v>79</v>
      </c>
      <c r="AL947" s="122">
        <v>5617</v>
      </c>
      <c r="AM947" s="122">
        <v>4681</v>
      </c>
      <c r="AN947" s="122">
        <v>2745</v>
      </c>
      <c r="AO947" s="122">
        <v>1017</v>
      </c>
      <c r="AP947">
        <v>621</v>
      </c>
      <c r="AQ947">
        <v>230</v>
      </c>
      <c r="AR947" s="122">
        <v>5740</v>
      </c>
      <c r="AS947" s="122">
        <v>5218</v>
      </c>
      <c r="AT947">
        <v>0</v>
      </c>
      <c r="AU947">
        <v>0</v>
      </c>
      <c r="AV947" s="122">
        <v>27143</v>
      </c>
    </row>
    <row r="948" spans="2:48" hidden="1">
      <c r="B948" t="s">
        <v>369</v>
      </c>
      <c r="C948" t="s">
        <v>50</v>
      </c>
      <c r="F948" s="122">
        <v>6</v>
      </c>
      <c r="G948" s="122">
        <v>688</v>
      </c>
      <c r="H948" s="122">
        <v>528</v>
      </c>
      <c r="I948" s="122"/>
      <c r="J948" s="122">
        <v>0</v>
      </c>
      <c r="K948" s="122"/>
      <c r="L948" s="122"/>
      <c r="M948" s="122">
        <v>0</v>
      </c>
      <c r="N948" s="122">
        <v>8376</v>
      </c>
      <c r="O948" s="122">
        <v>3102</v>
      </c>
      <c r="P948" s="122">
        <v>10041</v>
      </c>
      <c r="Q948" s="122">
        <v>3719</v>
      </c>
      <c r="R948" s="122"/>
      <c r="S948" s="122">
        <v>0</v>
      </c>
      <c r="T948" s="122">
        <v>0</v>
      </c>
      <c r="U948" s="122">
        <v>0</v>
      </c>
      <c r="V948" s="122">
        <v>6821</v>
      </c>
      <c r="W948" s="122">
        <f t="shared" si="30"/>
        <v>6821</v>
      </c>
      <c r="X948" s="122">
        <f t="shared" si="31"/>
        <v>18417</v>
      </c>
      <c r="AA948" t="s">
        <v>58</v>
      </c>
      <c r="AB948" t="s">
        <v>406</v>
      </c>
      <c r="AC948" t="s">
        <v>579</v>
      </c>
      <c r="AD948" t="s">
        <v>407</v>
      </c>
      <c r="AE948" t="s">
        <v>137</v>
      </c>
      <c r="AF948">
        <v>5</v>
      </c>
      <c r="AG948">
        <v>510</v>
      </c>
      <c r="AH948" s="122">
        <v>1353</v>
      </c>
      <c r="AI948" s="122">
        <v>74826</v>
      </c>
      <c r="AJ948" s="122">
        <v>68024</v>
      </c>
      <c r="AK948">
        <v>76</v>
      </c>
      <c r="AL948" s="122">
        <v>13856</v>
      </c>
      <c r="AM948" s="122">
        <v>11546</v>
      </c>
      <c r="AN948" s="122">
        <v>10533</v>
      </c>
      <c r="AO948" s="122">
        <v>3901</v>
      </c>
      <c r="AP948" s="122">
        <v>3105</v>
      </c>
      <c r="AQ948" s="122">
        <v>1150</v>
      </c>
      <c r="AR948" s="122">
        <v>22043</v>
      </c>
      <c r="AS948" s="122">
        <v>20039</v>
      </c>
      <c r="AT948" s="122">
        <v>13756</v>
      </c>
      <c r="AU948" s="122">
        <v>5095</v>
      </c>
      <c r="AV948" s="122">
        <v>109755</v>
      </c>
    </row>
    <row r="949" spans="2:48" hidden="1">
      <c r="B949" t="s">
        <v>369</v>
      </c>
      <c r="C949" t="s">
        <v>50</v>
      </c>
      <c r="D949" t="s">
        <v>405</v>
      </c>
      <c r="E949" t="s">
        <v>405</v>
      </c>
      <c r="F949" s="122">
        <v>3</v>
      </c>
      <c r="G949" s="122">
        <v>379</v>
      </c>
      <c r="H949" s="122">
        <v>274</v>
      </c>
      <c r="I949" s="122">
        <v>16679</v>
      </c>
      <c r="J949" s="122">
        <v>15162</v>
      </c>
      <c r="K949" s="122">
        <v>91</v>
      </c>
      <c r="L949" s="122">
        <v>1642</v>
      </c>
      <c r="M949" s="122">
        <v>1493</v>
      </c>
      <c r="N949" s="122">
        <v>4624</v>
      </c>
      <c r="O949" s="122">
        <v>1712</v>
      </c>
      <c r="P949" s="122">
        <v>2333</v>
      </c>
      <c r="Q949" s="122">
        <v>864</v>
      </c>
      <c r="R949" s="122">
        <v>8647</v>
      </c>
      <c r="S949" s="122">
        <v>7861</v>
      </c>
      <c r="T949" s="122">
        <v>0</v>
      </c>
      <c r="U949" s="122">
        <v>0</v>
      </c>
      <c r="V949" s="122">
        <v>27093</v>
      </c>
      <c r="W949" s="122">
        <f t="shared" si="30"/>
        <v>27092</v>
      </c>
      <c r="X949" s="122">
        <f t="shared" si="31"/>
        <v>33925</v>
      </c>
      <c r="AA949" t="s">
        <v>58</v>
      </c>
      <c r="AB949" t="s">
        <v>406</v>
      </c>
      <c r="AC949" t="s">
        <v>579</v>
      </c>
      <c r="AD949" t="s">
        <v>579</v>
      </c>
      <c r="AE949" t="s">
        <v>137</v>
      </c>
      <c r="AF949">
        <v>3</v>
      </c>
      <c r="AG949">
        <v>293</v>
      </c>
      <c r="AH949">
        <v>799</v>
      </c>
      <c r="AI949" s="122">
        <v>40772</v>
      </c>
      <c r="AJ949" s="122">
        <v>37065</v>
      </c>
      <c r="AK949">
        <v>79</v>
      </c>
      <c r="AL949" s="122">
        <v>7600</v>
      </c>
      <c r="AM949" s="122">
        <v>6333</v>
      </c>
      <c r="AN949" s="122">
        <v>6041</v>
      </c>
      <c r="AO949" s="122">
        <v>2237</v>
      </c>
      <c r="AP949" s="122">
        <v>2214</v>
      </c>
      <c r="AQ949">
        <v>820</v>
      </c>
      <c r="AR949" s="122">
        <v>13380</v>
      </c>
      <c r="AS949" s="122">
        <v>11150</v>
      </c>
      <c r="AT949" s="122">
        <v>7893</v>
      </c>
      <c r="AU949" s="122">
        <v>2923</v>
      </c>
      <c r="AV949" s="122">
        <v>60530</v>
      </c>
    </row>
    <row r="950" spans="2:48" hidden="1">
      <c r="B950" t="s">
        <v>369</v>
      </c>
      <c r="C950" t="s">
        <v>50</v>
      </c>
      <c r="D950" t="s">
        <v>137</v>
      </c>
      <c r="E950" t="s">
        <v>405</v>
      </c>
      <c r="F950" s="122">
        <v>1</v>
      </c>
      <c r="G950" s="122">
        <v>131</v>
      </c>
      <c r="H950" s="122">
        <v>86</v>
      </c>
      <c r="I950" s="122">
        <v>2796</v>
      </c>
      <c r="J950" s="122">
        <v>1036</v>
      </c>
      <c r="K950" s="122">
        <v>364</v>
      </c>
      <c r="L950" s="122">
        <v>1304</v>
      </c>
      <c r="M950" s="122">
        <v>1186</v>
      </c>
      <c r="N950" s="122">
        <v>2417</v>
      </c>
      <c r="O950" s="122">
        <v>895</v>
      </c>
      <c r="P950" s="122">
        <v>473</v>
      </c>
      <c r="Q950" s="122">
        <v>175</v>
      </c>
      <c r="R950" s="122">
        <v>4258</v>
      </c>
      <c r="S950" s="122">
        <v>3871</v>
      </c>
      <c r="T950" s="122">
        <v>0</v>
      </c>
      <c r="U950" s="122">
        <v>0</v>
      </c>
      <c r="V950" s="122">
        <v>7162</v>
      </c>
      <c r="W950" s="122">
        <f t="shared" si="30"/>
        <v>7163</v>
      </c>
      <c r="X950" s="122">
        <f t="shared" si="31"/>
        <v>11248</v>
      </c>
      <c r="AA950" t="s">
        <v>58</v>
      </c>
      <c r="AB950" t="s">
        <v>406</v>
      </c>
      <c r="AC950" t="s">
        <v>579</v>
      </c>
      <c r="AD950" t="s">
        <v>426</v>
      </c>
      <c r="AE950" t="s">
        <v>137</v>
      </c>
      <c r="AF950">
        <v>1</v>
      </c>
      <c r="AG950">
        <v>80</v>
      </c>
      <c r="AH950">
        <v>268</v>
      </c>
      <c r="AI950" s="122">
        <v>9008</v>
      </c>
      <c r="AJ950" s="122">
        <v>8189</v>
      </c>
      <c r="AK950">
        <v>85</v>
      </c>
      <c r="AL950" s="122">
        <v>2937</v>
      </c>
      <c r="AM950" s="122">
        <v>2448</v>
      </c>
      <c r="AN950" s="122">
        <v>1824</v>
      </c>
      <c r="AO950">
        <v>676</v>
      </c>
      <c r="AP950">
        <v>621</v>
      </c>
      <c r="AQ950">
        <v>230</v>
      </c>
      <c r="AR950" s="122">
        <v>4057</v>
      </c>
      <c r="AS950" s="122">
        <v>3689</v>
      </c>
      <c r="AT950" s="122">
        <v>2874</v>
      </c>
      <c r="AU950" s="122">
        <v>1064</v>
      </c>
      <c r="AV950" s="122">
        <v>16295</v>
      </c>
    </row>
    <row r="951" spans="2:48" hidden="1">
      <c r="B951" t="s">
        <v>369</v>
      </c>
      <c r="C951" t="s">
        <v>50</v>
      </c>
      <c r="D951" t="s">
        <v>137</v>
      </c>
      <c r="E951" t="s">
        <v>137</v>
      </c>
      <c r="F951" s="122">
        <v>56</v>
      </c>
      <c r="G951" s="122">
        <v>4206</v>
      </c>
      <c r="H951" s="122">
        <v>4838</v>
      </c>
      <c r="I951" s="122">
        <v>71220</v>
      </c>
      <c r="J951" s="122">
        <v>26378</v>
      </c>
      <c r="K951" s="122">
        <v>405</v>
      </c>
      <c r="L951" s="122">
        <v>15599</v>
      </c>
      <c r="M951" s="122">
        <v>13597</v>
      </c>
      <c r="N951" s="122">
        <v>64754</v>
      </c>
      <c r="O951" s="122">
        <v>23983</v>
      </c>
      <c r="P951" s="122">
        <v>22560</v>
      </c>
      <c r="Q951" s="122">
        <v>8356</v>
      </c>
      <c r="R951" s="122">
        <v>184757</v>
      </c>
      <c r="S951" s="122">
        <v>68429</v>
      </c>
      <c r="T951" s="122">
        <v>0</v>
      </c>
      <c r="U951" s="122">
        <v>0</v>
      </c>
      <c r="V951" s="122">
        <v>140742</v>
      </c>
      <c r="W951" s="122">
        <f t="shared" si="30"/>
        <v>140743</v>
      </c>
      <c r="X951" s="122">
        <f t="shared" si="31"/>
        <v>358890</v>
      </c>
      <c r="AA951" t="s">
        <v>58</v>
      </c>
      <c r="AB951" t="s">
        <v>406</v>
      </c>
      <c r="AC951" t="s">
        <v>428</v>
      </c>
      <c r="AD951" t="s">
        <v>137</v>
      </c>
      <c r="AE951" t="s">
        <v>566</v>
      </c>
      <c r="AF951">
        <v>1</v>
      </c>
      <c r="AG951">
        <v>152</v>
      </c>
      <c r="AH951">
        <v>260</v>
      </c>
      <c r="AI951" s="122">
        <v>26743</v>
      </c>
      <c r="AJ951" s="122">
        <v>24312</v>
      </c>
      <c r="AK951">
        <v>85</v>
      </c>
      <c r="AL951" s="122">
        <v>5040</v>
      </c>
      <c r="AM951" s="122">
        <v>4581</v>
      </c>
      <c r="AN951" s="122">
        <v>2154</v>
      </c>
      <c r="AO951">
        <v>798</v>
      </c>
      <c r="AP951">
        <v>621</v>
      </c>
      <c r="AQ951">
        <v>230</v>
      </c>
      <c r="AR951" s="122">
        <v>11351</v>
      </c>
      <c r="AS951" s="122">
        <v>4204</v>
      </c>
      <c r="AT951">
        <v>0</v>
      </c>
      <c r="AU951">
        <v>0</v>
      </c>
      <c r="AV951" s="122">
        <v>34126</v>
      </c>
    </row>
    <row r="952" spans="2:48" hidden="1">
      <c r="B952" t="s">
        <v>369</v>
      </c>
      <c r="C952" t="s">
        <v>50</v>
      </c>
      <c r="D952" t="s">
        <v>406</v>
      </c>
      <c r="E952" t="s">
        <v>406</v>
      </c>
      <c r="F952" s="122">
        <v>50</v>
      </c>
      <c r="G952" s="122">
        <v>5902</v>
      </c>
      <c r="H952" s="122">
        <v>4645</v>
      </c>
      <c r="I952" s="122">
        <v>235346</v>
      </c>
      <c r="J952" s="122">
        <v>213951</v>
      </c>
      <c r="K952" s="122">
        <v>94</v>
      </c>
      <c r="L952" s="122">
        <v>30710</v>
      </c>
      <c r="M952" s="122">
        <v>26466</v>
      </c>
      <c r="N952" s="122">
        <v>79190</v>
      </c>
      <c r="O952" s="122">
        <v>29330</v>
      </c>
      <c r="P952" s="122">
        <v>39556</v>
      </c>
      <c r="Q952" s="122">
        <v>14650</v>
      </c>
      <c r="R952" s="122">
        <v>161681</v>
      </c>
      <c r="S952" s="122">
        <v>146983</v>
      </c>
      <c r="T952" s="122">
        <v>604</v>
      </c>
      <c r="U952" s="122">
        <v>224</v>
      </c>
      <c r="V952" s="122">
        <v>431603</v>
      </c>
      <c r="W952" s="122">
        <f t="shared" si="30"/>
        <v>431604</v>
      </c>
      <c r="X952" s="122">
        <f t="shared" si="31"/>
        <v>547087</v>
      </c>
      <c r="AA952" t="s">
        <v>58</v>
      </c>
      <c r="AB952" t="s">
        <v>406</v>
      </c>
      <c r="AC952" t="s">
        <v>428</v>
      </c>
      <c r="AD952" t="s">
        <v>406</v>
      </c>
      <c r="AE952" t="s">
        <v>137</v>
      </c>
      <c r="AF952">
        <v>184</v>
      </c>
      <c r="AG952" s="122">
        <v>17661</v>
      </c>
      <c r="AH952" s="122">
        <v>47307</v>
      </c>
      <c r="AI952" s="122">
        <v>2299158</v>
      </c>
      <c r="AJ952" s="122">
        <v>2090143</v>
      </c>
      <c r="AK952">
        <v>79</v>
      </c>
      <c r="AL952" s="122">
        <v>539578</v>
      </c>
      <c r="AM952" s="122">
        <v>490525</v>
      </c>
      <c r="AN952" s="122">
        <v>351788</v>
      </c>
      <c r="AO952" s="122">
        <v>130292</v>
      </c>
      <c r="AP952" s="122">
        <v>110336</v>
      </c>
      <c r="AQ952" s="122">
        <v>40865</v>
      </c>
      <c r="AR952" s="122">
        <v>805363</v>
      </c>
      <c r="AS952" s="122">
        <v>732149</v>
      </c>
      <c r="AT952" s="122">
        <v>451539</v>
      </c>
      <c r="AU952" s="122">
        <v>167237</v>
      </c>
      <c r="AV952" s="122">
        <v>3651211</v>
      </c>
    </row>
    <row r="953" spans="2:48" hidden="1">
      <c r="B953" t="s">
        <v>369</v>
      </c>
      <c r="C953" t="s">
        <v>52</v>
      </c>
      <c r="F953" s="122">
        <v>9</v>
      </c>
      <c r="G953" s="122">
        <v>821</v>
      </c>
      <c r="H953" s="122">
        <v>1110</v>
      </c>
      <c r="I953" s="122"/>
      <c r="J953" s="122">
        <v>0</v>
      </c>
      <c r="K953" s="122"/>
      <c r="L953" s="122"/>
      <c r="M953" s="122">
        <v>0</v>
      </c>
      <c r="N953" s="122">
        <v>19294</v>
      </c>
      <c r="O953" s="122">
        <v>7146</v>
      </c>
      <c r="P953" s="122">
        <v>0</v>
      </c>
      <c r="Q953" s="122">
        <v>0</v>
      </c>
      <c r="R953" s="122"/>
      <c r="S953" s="122">
        <v>0</v>
      </c>
      <c r="T953" s="122">
        <v>0</v>
      </c>
      <c r="U953" s="122">
        <v>0</v>
      </c>
      <c r="V953" s="122">
        <v>7146</v>
      </c>
      <c r="W953" s="122">
        <f t="shared" si="30"/>
        <v>7146</v>
      </c>
      <c r="X953" s="122">
        <f t="shared" si="31"/>
        <v>19294</v>
      </c>
      <c r="AA953" t="s">
        <v>58</v>
      </c>
      <c r="AB953" t="s">
        <v>406</v>
      </c>
      <c r="AC953" t="s">
        <v>428</v>
      </c>
      <c r="AD953" t="s">
        <v>406</v>
      </c>
      <c r="AE953" t="s">
        <v>566</v>
      </c>
      <c r="AF953">
        <v>107</v>
      </c>
      <c r="AG953" s="122">
        <v>10378</v>
      </c>
      <c r="AH953" s="122">
        <v>27238</v>
      </c>
      <c r="AI953" s="122">
        <v>1400663</v>
      </c>
      <c r="AJ953" s="122">
        <v>1273330</v>
      </c>
      <c r="AK953">
        <v>79</v>
      </c>
      <c r="AL953" s="122">
        <v>355457</v>
      </c>
      <c r="AM953" s="122">
        <v>323142</v>
      </c>
      <c r="AN953" s="122">
        <v>207584</v>
      </c>
      <c r="AO953" s="122">
        <v>76883</v>
      </c>
      <c r="AP953" s="122">
        <v>65205</v>
      </c>
      <c r="AQ953" s="122">
        <v>24150</v>
      </c>
      <c r="AR953" s="122">
        <v>622529</v>
      </c>
      <c r="AS953" s="122">
        <v>565935</v>
      </c>
      <c r="AT953">
        <v>0</v>
      </c>
      <c r="AU953">
        <v>0</v>
      </c>
      <c r="AV953" s="122">
        <v>2263441</v>
      </c>
    </row>
    <row r="954" spans="2:48" hidden="1">
      <c r="B954" t="s">
        <v>369</v>
      </c>
      <c r="C954" t="s">
        <v>52</v>
      </c>
      <c r="D954" t="s">
        <v>425</v>
      </c>
      <c r="E954" t="s">
        <v>425</v>
      </c>
      <c r="F954" s="122">
        <v>1</v>
      </c>
      <c r="G954" s="122">
        <v>108</v>
      </c>
      <c r="H954" s="122">
        <v>124</v>
      </c>
      <c r="I954" s="122">
        <v>5973</v>
      </c>
      <c r="J954" s="122">
        <v>5430</v>
      </c>
      <c r="K954" s="122">
        <v>92</v>
      </c>
      <c r="L954" s="122">
        <v>1497</v>
      </c>
      <c r="M954" s="122">
        <v>554</v>
      </c>
      <c r="N954" s="122">
        <v>1321</v>
      </c>
      <c r="O954" s="122">
        <v>489</v>
      </c>
      <c r="P954" s="122">
        <v>1272</v>
      </c>
      <c r="Q954" s="122">
        <v>471</v>
      </c>
      <c r="R954" s="122">
        <v>3415</v>
      </c>
      <c r="S954" s="122">
        <v>3105</v>
      </c>
      <c r="T954" s="122">
        <v>0</v>
      </c>
      <c r="U954" s="122">
        <v>0</v>
      </c>
      <c r="V954" s="122">
        <v>10049</v>
      </c>
      <c r="W954" s="122">
        <f t="shared" si="30"/>
        <v>10049</v>
      </c>
      <c r="X954" s="122">
        <f t="shared" si="31"/>
        <v>13478</v>
      </c>
      <c r="AA954" t="s">
        <v>58</v>
      </c>
      <c r="AB954" t="s">
        <v>406</v>
      </c>
      <c r="AC954" t="s">
        <v>428</v>
      </c>
      <c r="AD954" t="s">
        <v>427</v>
      </c>
      <c r="AE954" t="s">
        <v>137</v>
      </c>
      <c r="AF954">
        <v>1</v>
      </c>
      <c r="AG954">
        <v>102</v>
      </c>
      <c r="AH954">
        <v>294</v>
      </c>
      <c r="AI954" s="122">
        <v>15675</v>
      </c>
      <c r="AJ954" s="122">
        <v>14250</v>
      </c>
      <c r="AK954">
        <v>70</v>
      </c>
      <c r="AL954" s="122">
        <v>3861</v>
      </c>
      <c r="AM954" s="122">
        <v>3510</v>
      </c>
      <c r="AN954" s="122">
        <v>1510</v>
      </c>
      <c r="AO954">
        <v>559</v>
      </c>
      <c r="AP954">
        <v>621</v>
      </c>
      <c r="AQ954">
        <v>230</v>
      </c>
      <c r="AR954" s="122">
        <v>5296</v>
      </c>
      <c r="AS954" s="122">
        <v>4815</v>
      </c>
      <c r="AT954" s="122">
        <v>3171</v>
      </c>
      <c r="AU954" s="122">
        <v>1174</v>
      </c>
      <c r="AV954" s="122">
        <v>24538</v>
      </c>
    </row>
    <row r="955" spans="2:48" hidden="1">
      <c r="B955" t="s">
        <v>369</v>
      </c>
      <c r="C955" t="s">
        <v>52</v>
      </c>
      <c r="D955" t="s">
        <v>405</v>
      </c>
      <c r="E955" t="s">
        <v>405</v>
      </c>
      <c r="F955" s="122">
        <v>27</v>
      </c>
      <c r="G955" s="122">
        <v>3166</v>
      </c>
      <c r="H955" s="122">
        <v>3185</v>
      </c>
      <c r="I955" s="122">
        <v>153795</v>
      </c>
      <c r="J955" s="122">
        <v>139814</v>
      </c>
      <c r="K955" s="122">
        <v>90</v>
      </c>
      <c r="L955" s="122">
        <v>44719</v>
      </c>
      <c r="M955" s="122">
        <v>39916</v>
      </c>
      <c r="N955" s="122">
        <v>54919</v>
      </c>
      <c r="O955" s="122">
        <v>20340</v>
      </c>
      <c r="P955" s="122">
        <v>19211</v>
      </c>
      <c r="Q955" s="122">
        <v>7115</v>
      </c>
      <c r="R955" s="122">
        <v>97415</v>
      </c>
      <c r="S955" s="122">
        <v>88559</v>
      </c>
      <c r="T955" s="122">
        <v>2508</v>
      </c>
      <c r="U955" s="122">
        <v>929</v>
      </c>
      <c r="V955" s="122">
        <v>296673</v>
      </c>
      <c r="W955" s="122">
        <f t="shared" si="30"/>
        <v>296673</v>
      </c>
      <c r="X955" s="122">
        <f t="shared" si="31"/>
        <v>372567</v>
      </c>
      <c r="AA955" t="s">
        <v>58</v>
      </c>
      <c r="AB955" t="s">
        <v>406</v>
      </c>
      <c r="AC955" t="s">
        <v>428</v>
      </c>
      <c r="AD955" t="s">
        <v>428</v>
      </c>
      <c r="AE955" t="s">
        <v>137</v>
      </c>
      <c r="AF955">
        <v>2</v>
      </c>
      <c r="AG955">
        <v>188</v>
      </c>
      <c r="AH955">
        <v>541</v>
      </c>
      <c r="AI955" s="122">
        <v>26620</v>
      </c>
      <c r="AJ955" s="122">
        <v>24200</v>
      </c>
      <c r="AK955">
        <v>78</v>
      </c>
      <c r="AL955" s="122">
        <v>5006</v>
      </c>
      <c r="AM955" s="122">
        <v>4551</v>
      </c>
      <c r="AN955" s="122">
        <v>2777</v>
      </c>
      <c r="AO955" s="122">
        <v>1029</v>
      </c>
      <c r="AP955" s="122">
        <v>1242</v>
      </c>
      <c r="AQ955">
        <v>460</v>
      </c>
      <c r="AR955" s="122">
        <v>10373</v>
      </c>
      <c r="AS955" s="122">
        <v>9430</v>
      </c>
      <c r="AT955" s="122">
        <v>5146</v>
      </c>
      <c r="AU955" s="122">
        <v>1906</v>
      </c>
      <c r="AV955" s="122">
        <v>41576</v>
      </c>
    </row>
    <row r="956" spans="2:48" hidden="1">
      <c r="B956" t="s">
        <v>369</v>
      </c>
      <c r="C956" t="s">
        <v>52</v>
      </c>
      <c r="D956" t="s">
        <v>137</v>
      </c>
      <c r="E956" t="s">
        <v>137</v>
      </c>
      <c r="F956" s="122">
        <v>7</v>
      </c>
      <c r="G956" s="122">
        <v>713</v>
      </c>
      <c r="H956" s="122">
        <v>767</v>
      </c>
      <c r="I956" s="122">
        <v>17941</v>
      </c>
      <c r="J956" s="122">
        <v>6645</v>
      </c>
      <c r="K956" s="122">
        <v>360</v>
      </c>
      <c r="L956" s="122">
        <v>5571</v>
      </c>
      <c r="M956" s="122">
        <v>5037</v>
      </c>
      <c r="N956" s="122">
        <v>11409</v>
      </c>
      <c r="O956" s="122">
        <v>4225</v>
      </c>
      <c r="P956" s="122">
        <v>5797</v>
      </c>
      <c r="Q956" s="122">
        <v>2147</v>
      </c>
      <c r="R956" s="122">
        <v>38761</v>
      </c>
      <c r="S956" s="122">
        <v>14356</v>
      </c>
      <c r="T956" s="122">
        <v>0</v>
      </c>
      <c r="U956" s="122">
        <v>0</v>
      </c>
      <c r="V956" s="122">
        <v>32411</v>
      </c>
      <c r="W956" s="122">
        <f t="shared" si="30"/>
        <v>32410</v>
      </c>
      <c r="X956" s="122">
        <f t="shared" si="31"/>
        <v>79479</v>
      </c>
      <c r="AA956" t="s">
        <v>58</v>
      </c>
      <c r="AB956" t="s">
        <v>406</v>
      </c>
      <c r="AC956" t="s">
        <v>431</v>
      </c>
      <c r="AD956" t="s">
        <v>406</v>
      </c>
      <c r="AE956" t="s">
        <v>137</v>
      </c>
      <c r="AF956">
        <v>120</v>
      </c>
      <c r="AG956" s="122">
        <v>11434</v>
      </c>
      <c r="AH956" s="122">
        <v>30649</v>
      </c>
      <c r="AI956" s="122">
        <v>1541766</v>
      </c>
      <c r="AJ956" s="122">
        <v>1401606</v>
      </c>
      <c r="AK956">
        <v>80</v>
      </c>
      <c r="AL956" s="122">
        <v>319026</v>
      </c>
      <c r="AM956" s="122">
        <v>290023</v>
      </c>
      <c r="AN956" s="122">
        <v>234662</v>
      </c>
      <c r="AO956" s="122">
        <v>86912</v>
      </c>
      <c r="AP956" s="122">
        <v>76572</v>
      </c>
      <c r="AQ956" s="122">
        <v>28360</v>
      </c>
      <c r="AR956" s="122">
        <v>530909</v>
      </c>
      <c r="AS956" s="122">
        <v>482645</v>
      </c>
      <c r="AT956" s="122">
        <v>239704</v>
      </c>
      <c r="AU956" s="122">
        <v>88779</v>
      </c>
      <c r="AV956" s="122">
        <v>2378325</v>
      </c>
    </row>
    <row r="957" spans="2:48" hidden="1">
      <c r="B957" t="s">
        <v>369</v>
      </c>
      <c r="C957" t="s">
        <v>52</v>
      </c>
      <c r="D957" t="s">
        <v>406</v>
      </c>
      <c r="E957" t="s">
        <v>406</v>
      </c>
      <c r="F957" s="122">
        <v>116</v>
      </c>
      <c r="G957" s="122">
        <v>14045</v>
      </c>
      <c r="H957" s="122">
        <v>13593</v>
      </c>
      <c r="I957" s="122">
        <v>745265</v>
      </c>
      <c r="J957" s="122">
        <v>677514</v>
      </c>
      <c r="K957" s="122">
        <v>92</v>
      </c>
      <c r="L957" s="122">
        <v>147472</v>
      </c>
      <c r="M957" s="122">
        <v>133361</v>
      </c>
      <c r="N957" s="122">
        <v>218741</v>
      </c>
      <c r="O957" s="122">
        <v>81015</v>
      </c>
      <c r="P957" s="122">
        <v>85321</v>
      </c>
      <c r="Q957" s="122">
        <v>31600</v>
      </c>
      <c r="R957" s="122">
        <v>456868</v>
      </c>
      <c r="S957" s="122">
        <v>415334</v>
      </c>
      <c r="T957" s="122">
        <v>5722</v>
      </c>
      <c r="U957" s="122">
        <v>2119</v>
      </c>
      <c r="V957" s="122">
        <v>1340943</v>
      </c>
      <c r="W957" s="122">
        <f t="shared" si="30"/>
        <v>1340943</v>
      </c>
      <c r="X957" s="122">
        <f t="shared" si="31"/>
        <v>1659389</v>
      </c>
      <c r="AA957" t="s">
        <v>58</v>
      </c>
      <c r="AB957" t="s">
        <v>406</v>
      </c>
      <c r="AC957" t="s">
        <v>431</v>
      </c>
      <c r="AD957" t="s">
        <v>406</v>
      </c>
      <c r="AE957" t="s">
        <v>566</v>
      </c>
      <c r="AF957">
        <v>57</v>
      </c>
      <c r="AG957" s="122">
        <v>5020</v>
      </c>
      <c r="AH957" s="122">
        <v>14729</v>
      </c>
      <c r="AI957" s="122">
        <v>708957</v>
      </c>
      <c r="AJ957" s="122">
        <v>644507</v>
      </c>
      <c r="AK957">
        <v>81</v>
      </c>
      <c r="AL957" s="122">
        <v>154751</v>
      </c>
      <c r="AM957" s="122">
        <v>140683</v>
      </c>
      <c r="AN957" s="122">
        <v>96102</v>
      </c>
      <c r="AO957" s="122">
        <v>35593</v>
      </c>
      <c r="AP957" s="122">
        <v>36261</v>
      </c>
      <c r="AQ957" s="122">
        <v>13430</v>
      </c>
      <c r="AR957" s="122">
        <v>303413</v>
      </c>
      <c r="AS957" s="122">
        <v>275830</v>
      </c>
      <c r="AT957">
        <v>0</v>
      </c>
      <c r="AU957">
        <v>0</v>
      </c>
      <c r="AV957" s="122">
        <v>1110043</v>
      </c>
    </row>
    <row r="958" spans="2:48" hidden="1">
      <c r="B958" t="s">
        <v>369</v>
      </c>
      <c r="C958" t="s">
        <v>52</v>
      </c>
      <c r="D958" t="s">
        <v>407</v>
      </c>
      <c r="E958" t="s">
        <v>407</v>
      </c>
      <c r="F958" s="122">
        <v>10</v>
      </c>
      <c r="G958" s="122">
        <v>1229</v>
      </c>
      <c r="H958" s="122">
        <v>1159</v>
      </c>
      <c r="I958" s="122">
        <v>63663</v>
      </c>
      <c r="J958" s="122">
        <v>57876</v>
      </c>
      <c r="K958" s="122">
        <v>91</v>
      </c>
      <c r="L958" s="122">
        <v>19527</v>
      </c>
      <c r="M958" s="122">
        <v>17752</v>
      </c>
      <c r="N958" s="122">
        <v>23995</v>
      </c>
      <c r="O958" s="122">
        <v>8887</v>
      </c>
      <c r="P958" s="122">
        <v>4725</v>
      </c>
      <c r="Q958" s="122">
        <v>1750</v>
      </c>
      <c r="R958" s="122">
        <v>30657</v>
      </c>
      <c r="S958" s="122">
        <v>27870</v>
      </c>
      <c r="T958" s="122">
        <v>0</v>
      </c>
      <c r="U958" s="122">
        <v>0</v>
      </c>
      <c r="V958" s="122">
        <v>114135</v>
      </c>
      <c r="W958" s="122">
        <f t="shared" si="30"/>
        <v>114135</v>
      </c>
      <c r="X958" s="122">
        <f t="shared" si="31"/>
        <v>142567</v>
      </c>
      <c r="AA958" t="s">
        <v>58</v>
      </c>
      <c r="AB958" t="s">
        <v>406</v>
      </c>
      <c r="AC958" t="s">
        <v>431</v>
      </c>
      <c r="AD958" t="s">
        <v>427</v>
      </c>
      <c r="AE958" t="s">
        <v>137</v>
      </c>
      <c r="AF958">
        <v>1</v>
      </c>
      <c r="AG958">
        <v>79</v>
      </c>
      <c r="AH958">
        <v>272</v>
      </c>
      <c r="AI958" s="122">
        <v>9774</v>
      </c>
      <c r="AJ958" s="122">
        <v>8886</v>
      </c>
      <c r="AK958">
        <v>70</v>
      </c>
      <c r="AL958" s="122">
        <v>2534</v>
      </c>
      <c r="AM958" s="122">
        <v>2304</v>
      </c>
      <c r="AN958" s="122">
        <v>1920</v>
      </c>
      <c r="AO958">
        <v>711</v>
      </c>
      <c r="AP958">
        <v>621</v>
      </c>
      <c r="AQ958">
        <v>230</v>
      </c>
      <c r="AR958" s="122">
        <v>4141</v>
      </c>
      <c r="AS958" s="122">
        <v>3764</v>
      </c>
      <c r="AT958" s="122">
        <v>2417</v>
      </c>
      <c r="AU958">
        <v>895</v>
      </c>
      <c r="AV958" s="122">
        <v>16790</v>
      </c>
    </row>
    <row r="959" spans="2:48" hidden="1">
      <c r="B959" t="s">
        <v>369</v>
      </c>
      <c r="C959" t="s">
        <v>54</v>
      </c>
      <c r="F959" s="122">
        <v>15</v>
      </c>
      <c r="G959" s="122">
        <v>1427</v>
      </c>
      <c r="H959" s="122">
        <v>2015</v>
      </c>
      <c r="I959" s="122"/>
      <c r="J959" s="122">
        <v>0</v>
      </c>
      <c r="K959" s="122"/>
      <c r="L959" s="122"/>
      <c r="M959" s="122">
        <v>0</v>
      </c>
      <c r="N959" s="122">
        <v>32871</v>
      </c>
      <c r="O959" s="122">
        <v>12175</v>
      </c>
      <c r="P959" s="122">
        <v>2348</v>
      </c>
      <c r="Q959" s="122">
        <v>870</v>
      </c>
      <c r="R959" s="122"/>
      <c r="S959" s="122">
        <v>0</v>
      </c>
      <c r="T959" s="122">
        <v>0</v>
      </c>
      <c r="U959" s="122">
        <v>0</v>
      </c>
      <c r="V959" s="122">
        <v>13044</v>
      </c>
      <c r="W959" s="122">
        <f t="shared" si="30"/>
        <v>13045</v>
      </c>
      <c r="X959" s="122">
        <f t="shared" si="31"/>
        <v>35219</v>
      </c>
      <c r="AA959" t="s">
        <v>58</v>
      </c>
      <c r="AB959" t="s">
        <v>406</v>
      </c>
      <c r="AC959" t="s">
        <v>431</v>
      </c>
      <c r="AD959" t="s">
        <v>431</v>
      </c>
      <c r="AE959" t="s">
        <v>137</v>
      </c>
      <c r="AF959">
        <v>1</v>
      </c>
      <c r="AG959">
        <v>80</v>
      </c>
      <c r="AH959">
        <v>240</v>
      </c>
      <c r="AI959" s="122">
        <v>9833</v>
      </c>
      <c r="AJ959" s="122">
        <v>8939</v>
      </c>
      <c r="AK959">
        <v>84</v>
      </c>
      <c r="AL959" s="122">
        <v>1928</v>
      </c>
      <c r="AM959" s="122">
        <v>1752</v>
      </c>
      <c r="AN959">
        <v>975</v>
      </c>
      <c r="AO959">
        <v>361</v>
      </c>
      <c r="AP959">
        <v>621</v>
      </c>
      <c r="AQ959">
        <v>230</v>
      </c>
      <c r="AR959" s="122">
        <v>3527</v>
      </c>
      <c r="AS959" s="122">
        <v>3207</v>
      </c>
      <c r="AT959" s="122">
        <v>2300</v>
      </c>
      <c r="AU959">
        <v>852</v>
      </c>
      <c r="AV959" s="122">
        <v>15341</v>
      </c>
    </row>
    <row r="960" spans="2:48" hidden="1">
      <c r="B960" t="s">
        <v>369</v>
      </c>
      <c r="C960" t="s">
        <v>54</v>
      </c>
      <c r="D960" t="s">
        <v>425</v>
      </c>
      <c r="E960" t="s">
        <v>425</v>
      </c>
      <c r="F960" s="122">
        <v>5</v>
      </c>
      <c r="G960" s="122">
        <v>591</v>
      </c>
      <c r="H960" s="122">
        <v>691</v>
      </c>
      <c r="I960" s="122">
        <v>42196</v>
      </c>
      <c r="J960" s="122">
        <v>38360</v>
      </c>
      <c r="K960" s="122">
        <v>89</v>
      </c>
      <c r="L960" s="122">
        <v>9958</v>
      </c>
      <c r="M960" s="122">
        <v>9053</v>
      </c>
      <c r="N960" s="122">
        <v>10320</v>
      </c>
      <c r="O960" s="122">
        <v>3822</v>
      </c>
      <c r="P960" s="122">
        <v>2120</v>
      </c>
      <c r="Q960" s="122">
        <v>785</v>
      </c>
      <c r="R960" s="122">
        <v>17166</v>
      </c>
      <c r="S960" s="122">
        <v>15605</v>
      </c>
      <c r="T960" s="122">
        <v>0</v>
      </c>
      <c r="U960" s="122">
        <v>0</v>
      </c>
      <c r="V960" s="122">
        <v>67626</v>
      </c>
      <c r="W960" s="122">
        <f t="shared" si="30"/>
        <v>67625</v>
      </c>
      <c r="X960" s="122">
        <f t="shared" si="31"/>
        <v>81760</v>
      </c>
      <c r="AA960" t="s">
        <v>58</v>
      </c>
      <c r="AB960" t="s">
        <v>406</v>
      </c>
      <c r="AC960" t="s">
        <v>426</v>
      </c>
      <c r="AD960" t="s">
        <v>425</v>
      </c>
      <c r="AE960" t="s">
        <v>137</v>
      </c>
      <c r="AF960">
        <v>10</v>
      </c>
      <c r="AG960">
        <v>977</v>
      </c>
      <c r="AH960" s="122">
        <v>2619</v>
      </c>
      <c r="AI960" s="122">
        <v>128991</v>
      </c>
      <c r="AJ960" s="122">
        <v>117265</v>
      </c>
      <c r="AK960">
        <v>76</v>
      </c>
      <c r="AL960" s="122">
        <v>26947</v>
      </c>
      <c r="AM960" s="122">
        <v>24497</v>
      </c>
      <c r="AN960" s="122">
        <v>21796</v>
      </c>
      <c r="AO960" s="122">
        <v>8072</v>
      </c>
      <c r="AP960" s="122">
        <v>6210</v>
      </c>
      <c r="AQ960" s="122">
        <v>2300</v>
      </c>
      <c r="AR960" s="122">
        <v>47343</v>
      </c>
      <c r="AS960" s="122">
        <v>43039</v>
      </c>
      <c r="AT960" s="122">
        <v>23517</v>
      </c>
      <c r="AU960" s="122">
        <v>8710</v>
      </c>
      <c r="AV960" s="122">
        <v>203884</v>
      </c>
    </row>
    <row r="961" spans="2:48" hidden="1">
      <c r="B961" t="s">
        <v>369</v>
      </c>
      <c r="C961" t="s">
        <v>54</v>
      </c>
      <c r="D961" t="s">
        <v>405</v>
      </c>
      <c r="E961" t="s">
        <v>405</v>
      </c>
      <c r="F961" s="122">
        <v>118</v>
      </c>
      <c r="G961" s="122">
        <v>13508</v>
      </c>
      <c r="H961" s="122">
        <v>16461</v>
      </c>
      <c r="I961" s="122">
        <v>900752</v>
      </c>
      <c r="J961" s="122">
        <v>818865</v>
      </c>
      <c r="K961" s="122">
        <v>90</v>
      </c>
      <c r="L961" s="122">
        <v>236387</v>
      </c>
      <c r="M961" s="122">
        <v>214315</v>
      </c>
      <c r="N961" s="122">
        <v>251733</v>
      </c>
      <c r="O961" s="122">
        <v>93234</v>
      </c>
      <c r="P961" s="122">
        <v>80275</v>
      </c>
      <c r="Q961" s="122">
        <v>29732</v>
      </c>
      <c r="R961" s="122">
        <v>426729</v>
      </c>
      <c r="S961" s="122">
        <v>387935</v>
      </c>
      <c r="T961" s="122">
        <v>4950</v>
      </c>
      <c r="U961" s="122">
        <v>1833</v>
      </c>
      <c r="V961" s="122">
        <v>1545915</v>
      </c>
      <c r="W961" s="122">
        <f t="shared" si="30"/>
        <v>1545914</v>
      </c>
      <c r="X961" s="122">
        <f t="shared" si="31"/>
        <v>1900826</v>
      </c>
      <c r="AA961" t="s">
        <v>58</v>
      </c>
      <c r="AB961" t="s">
        <v>406</v>
      </c>
      <c r="AC961" t="s">
        <v>426</v>
      </c>
      <c r="AD961" t="s">
        <v>137</v>
      </c>
      <c r="AE961" t="s">
        <v>137</v>
      </c>
      <c r="AF961">
        <v>3</v>
      </c>
      <c r="AG961">
        <v>314</v>
      </c>
      <c r="AH961">
        <v>761</v>
      </c>
      <c r="AI961" s="122">
        <v>34608</v>
      </c>
      <c r="AJ961" s="122">
        <v>31462</v>
      </c>
      <c r="AK961">
        <v>78</v>
      </c>
      <c r="AL961" s="122">
        <v>9501</v>
      </c>
      <c r="AM961" s="122">
        <v>8637</v>
      </c>
      <c r="AN961" s="122">
        <v>7661</v>
      </c>
      <c r="AO961" s="122">
        <v>2838</v>
      </c>
      <c r="AP961" s="122">
        <v>1242</v>
      </c>
      <c r="AQ961">
        <v>460</v>
      </c>
      <c r="AR961" s="122">
        <v>27059</v>
      </c>
      <c r="AS961" s="122">
        <v>10022</v>
      </c>
      <c r="AT961">
        <v>0</v>
      </c>
      <c r="AU961">
        <v>0</v>
      </c>
      <c r="AV961" s="122">
        <v>53419</v>
      </c>
    </row>
    <row r="962" spans="2:48" hidden="1">
      <c r="B962" t="s">
        <v>369</v>
      </c>
      <c r="C962" t="s">
        <v>54</v>
      </c>
      <c r="D962" t="s">
        <v>137</v>
      </c>
      <c r="E962" t="s">
        <v>137</v>
      </c>
      <c r="F962" s="122">
        <v>10</v>
      </c>
      <c r="G962" s="122">
        <v>938</v>
      </c>
      <c r="H962" s="122">
        <v>1428</v>
      </c>
      <c r="I962" s="122">
        <v>44757</v>
      </c>
      <c r="J962" s="122">
        <v>16577</v>
      </c>
      <c r="K962" s="122">
        <v>201</v>
      </c>
      <c r="L962" s="122">
        <v>9136</v>
      </c>
      <c r="M962" s="122">
        <v>6207</v>
      </c>
      <c r="N962" s="122">
        <v>17208</v>
      </c>
      <c r="O962" s="122">
        <v>6373</v>
      </c>
      <c r="P962" s="122">
        <v>2823</v>
      </c>
      <c r="Q962" s="122">
        <v>1046</v>
      </c>
      <c r="R962" s="122">
        <v>60615</v>
      </c>
      <c r="S962" s="122">
        <v>22450</v>
      </c>
      <c r="T962" s="122">
        <v>0</v>
      </c>
      <c r="U962" s="122">
        <v>0</v>
      </c>
      <c r="V962" s="122">
        <v>52652</v>
      </c>
      <c r="W962" s="122">
        <f t="shared" si="30"/>
        <v>52653</v>
      </c>
      <c r="X962" s="122">
        <f t="shared" si="31"/>
        <v>134539</v>
      </c>
      <c r="AA962" t="s">
        <v>58</v>
      </c>
      <c r="AB962" t="s">
        <v>406</v>
      </c>
      <c r="AC962" t="s">
        <v>426</v>
      </c>
      <c r="AD962" t="s">
        <v>137</v>
      </c>
      <c r="AE962" t="s">
        <v>566</v>
      </c>
      <c r="AF962">
        <v>61</v>
      </c>
      <c r="AG962" s="122">
        <v>6261</v>
      </c>
      <c r="AH962" s="122">
        <v>16009</v>
      </c>
      <c r="AI962" s="122">
        <v>816545</v>
      </c>
      <c r="AJ962" s="122">
        <v>742313</v>
      </c>
      <c r="AK962">
        <v>83</v>
      </c>
      <c r="AL962" s="122">
        <v>199283</v>
      </c>
      <c r="AM962" s="122">
        <v>181166</v>
      </c>
      <c r="AN962" s="122">
        <v>130604</v>
      </c>
      <c r="AO962" s="122">
        <v>48372</v>
      </c>
      <c r="AP962" s="122">
        <v>38691</v>
      </c>
      <c r="AQ962" s="122">
        <v>14330</v>
      </c>
      <c r="AR962" s="122">
        <v>460475</v>
      </c>
      <c r="AS962" s="122">
        <v>170546</v>
      </c>
      <c r="AT962">
        <v>0</v>
      </c>
      <c r="AU962">
        <v>0</v>
      </c>
      <c r="AV962" s="122">
        <v>1156728</v>
      </c>
    </row>
    <row r="963" spans="2:48" hidden="1">
      <c r="B963" t="s">
        <v>369</v>
      </c>
      <c r="C963" t="s">
        <v>54</v>
      </c>
      <c r="D963" t="s">
        <v>406</v>
      </c>
      <c r="E963" t="s">
        <v>425</v>
      </c>
      <c r="F963" s="122">
        <v>1</v>
      </c>
      <c r="G963" s="122">
        <v>175</v>
      </c>
      <c r="H963" s="122">
        <v>139</v>
      </c>
      <c r="I963" s="122">
        <v>12821</v>
      </c>
      <c r="J963" s="122">
        <v>11655</v>
      </c>
      <c r="K963" s="122">
        <v>95</v>
      </c>
      <c r="L963" s="122">
        <v>1975</v>
      </c>
      <c r="M963" s="122">
        <v>1795</v>
      </c>
      <c r="N963" s="122">
        <v>2449</v>
      </c>
      <c r="O963" s="122">
        <v>907</v>
      </c>
      <c r="P963" s="122">
        <v>621</v>
      </c>
      <c r="Q963" s="122">
        <v>230</v>
      </c>
      <c r="R963" s="122">
        <v>6353</v>
      </c>
      <c r="S963" s="122">
        <v>5776</v>
      </c>
      <c r="T963" s="122">
        <v>0</v>
      </c>
      <c r="U963" s="122">
        <v>0</v>
      </c>
      <c r="V963" s="122">
        <v>20363</v>
      </c>
      <c r="W963" s="122">
        <f t="shared" si="30"/>
        <v>20363</v>
      </c>
      <c r="X963" s="122">
        <f t="shared" si="31"/>
        <v>24219</v>
      </c>
      <c r="AA963" t="s">
        <v>58</v>
      </c>
      <c r="AB963" t="s">
        <v>406</v>
      </c>
      <c r="AC963" t="s">
        <v>426</v>
      </c>
      <c r="AD963" t="s">
        <v>406</v>
      </c>
      <c r="AE963" t="s">
        <v>137</v>
      </c>
      <c r="AF963" s="122">
        <v>11991</v>
      </c>
      <c r="AG963" s="122">
        <v>1112870</v>
      </c>
      <c r="AH963" s="122">
        <v>3092494</v>
      </c>
      <c r="AI963" s="122">
        <v>148327138</v>
      </c>
      <c r="AJ963" s="122">
        <v>134842852</v>
      </c>
      <c r="AK963">
        <v>80</v>
      </c>
      <c r="AL963" s="122">
        <v>33804568</v>
      </c>
      <c r="AM963" s="122">
        <v>30731425</v>
      </c>
      <c r="AN963" s="122">
        <v>22851175</v>
      </c>
      <c r="AO963" s="122">
        <v>8463398</v>
      </c>
      <c r="AP963" s="122">
        <v>7698899</v>
      </c>
      <c r="AQ963" s="122">
        <v>2851444</v>
      </c>
      <c r="AR963" s="122">
        <v>49145854</v>
      </c>
      <c r="AS963" s="122">
        <v>44678048</v>
      </c>
      <c r="AT963" s="122">
        <v>27433223</v>
      </c>
      <c r="AU963" s="122">
        <v>10160453</v>
      </c>
      <c r="AV963" s="122">
        <v>231727620</v>
      </c>
    </row>
    <row r="964" spans="2:48" hidden="1">
      <c r="B964" t="s">
        <v>369</v>
      </c>
      <c r="C964" t="s">
        <v>54</v>
      </c>
      <c r="D964" t="s">
        <v>406</v>
      </c>
      <c r="E964" t="s">
        <v>406</v>
      </c>
      <c r="F964" s="122">
        <v>512</v>
      </c>
      <c r="G964" s="122">
        <v>57558</v>
      </c>
      <c r="H964" s="122">
        <v>71827</v>
      </c>
      <c r="I964" s="122">
        <v>3643198</v>
      </c>
      <c r="J964" s="122">
        <v>3311998</v>
      </c>
      <c r="K964" s="122">
        <v>90</v>
      </c>
      <c r="L964" s="122">
        <v>913014</v>
      </c>
      <c r="M964" s="122">
        <v>816191</v>
      </c>
      <c r="N964" s="122">
        <v>972961</v>
      </c>
      <c r="O964" s="122">
        <v>360356</v>
      </c>
      <c r="P964" s="122">
        <v>338973</v>
      </c>
      <c r="Q964" s="122">
        <v>125546</v>
      </c>
      <c r="R964" s="122">
        <v>2271003</v>
      </c>
      <c r="S964" s="122">
        <v>2064548</v>
      </c>
      <c r="T964" s="122">
        <v>38118</v>
      </c>
      <c r="U964" s="122">
        <v>14118</v>
      </c>
      <c r="V964" s="122">
        <v>6692757</v>
      </c>
      <c r="W964" s="122">
        <f t="shared" si="30"/>
        <v>6692757</v>
      </c>
      <c r="X964" s="122">
        <f t="shared" si="31"/>
        <v>8177267</v>
      </c>
      <c r="AA964" t="s">
        <v>58</v>
      </c>
      <c r="AB964" t="s">
        <v>406</v>
      </c>
      <c r="AC964" t="s">
        <v>426</v>
      </c>
      <c r="AD964" t="s">
        <v>406</v>
      </c>
      <c r="AE964" t="s">
        <v>566</v>
      </c>
      <c r="AF964" s="122">
        <v>4775</v>
      </c>
      <c r="AG964" s="122">
        <v>434629</v>
      </c>
      <c r="AH964" s="122">
        <v>1220972</v>
      </c>
      <c r="AI964" s="122">
        <v>60320359</v>
      </c>
      <c r="AJ964" s="122">
        <v>54836690</v>
      </c>
      <c r="AK964">
        <v>82</v>
      </c>
      <c r="AL964" s="122">
        <v>14082572</v>
      </c>
      <c r="AM964" s="122">
        <v>12802338</v>
      </c>
      <c r="AN964" s="122">
        <v>8754377</v>
      </c>
      <c r="AO964" s="122">
        <v>3242362</v>
      </c>
      <c r="AP964" s="122">
        <v>3068041</v>
      </c>
      <c r="AQ964" s="122">
        <v>1136312</v>
      </c>
      <c r="AR964" s="122">
        <v>25914809</v>
      </c>
      <c r="AS964" s="122">
        <v>23558917</v>
      </c>
      <c r="AT964">
        <v>0</v>
      </c>
      <c r="AU964">
        <v>0</v>
      </c>
      <c r="AV964" s="122">
        <v>95576619</v>
      </c>
    </row>
    <row r="965" spans="2:48" hidden="1">
      <c r="B965" t="s">
        <v>369</v>
      </c>
      <c r="C965" t="s">
        <v>54</v>
      </c>
      <c r="D965" t="s">
        <v>407</v>
      </c>
      <c r="E965" t="s">
        <v>407</v>
      </c>
      <c r="F965" s="122">
        <v>47</v>
      </c>
      <c r="G965" s="122">
        <v>5729</v>
      </c>
      <c r="H965" s="122">
        <v>6582</v>
      </c>
      <c r="I965" s="122">
        <v>386528</v>
      </c>
      <c r="J965" s="122">
        <v>351389</v>
      </c>
      <c r="K965" s="122">
        <v>88</v>
      </c>
      <c r="L965" s="122">
        <v>116280</v>
      </c>
      <c r="M965" s="122">
        <v>105280</v>
      </c>
      <c r="N965" s="122">
        <v>94055</v>
      </c>
      <c r="O965" s="122">
        <v>34835</v>
      </c>
      <c r="P965" s="122">
        <v>22302</v>
      </c>
      <c r="Q965" s="122">
        <v>8260</v>
      </c>
      <c r="R965" s="122">
        <v>185399</v>
      </c>
      <c r="S965" s="122">
        <v>168545</v>
      </c>
      <c r="T965" s="122">
        <v>0</v>
      </c>
      <c r="U965" s="122">
        <v>0</v>
      </c>
      <c r="V965" s="122">
        <v>668309</v>
      </c>
      <c r="W965" s="122">
        <f t="shared" si="30"/>
        <v>668309</v>
      </c>
      <c r="X965" s="122">
        <f t="shared" si="31"/>
        <v>804564</v>
      </c>
      <c r="AA965" t="s">
        <v>58</v>
      </c>
      <c r="AB965" t="s">
        <v>406</v>
      </c>
      <c r="AC965" t="s">
        <v>426</v>
      </c>
      <c r="AD965" t="s">
        <v>427</v>
      </c>
      <c r="AE965" t="s">
        <v>137</v>
      </c>
      <c r="AF965">
        <v>7</v>
      </c>
      <c r="AG965">
        <v>675</v>
      </c>
      <c r="AH965" s="122">
        <v>1801</v>
      </c>
      <c r="AI965" s="122">
        <v>92063</v>
      </c>
      <c r="AJ965" s="122">
        <v>83693</v>
      </c>
      <c r="AK965">
        <v>72</v>
      </c>
      <c r="AL965" s="122">
        <v>18664</v>
      </c>
      <c r="AM965" s="122">
        <v>16967</v>
      </c>
      <c r="AN965" s="122">
        <v>14342</v>
      </c>
      <c r="AO965" s="122">
        <v>5312</v>
      </c>
      <c r="AP965" s="122">
        <v>4347</v>
      </c>
      <c r="AQ965" s="122">
        <v>1610</v>
      </c>
      <c r="AR965" s="122">
        <v>33369</v>
      </c>
      <c r="AS965" s="122">
        <v>30336</v>
      </c>
      <c r="AT965" s="122">
        <v>9969</v>
      </c>
      <c r="AU965" s="122">
        <v>3692</v>
      </c>
      <c r="AV965" s="122">
        <v>141611</v>
      </c>
    </row>
    <row r="966" spans="2:48" hidden="1">
      <c r="B966" t="s">
        <v>369</v>
      </c>
      <c r="C966" t="s">
        <v>56</v>
      </c>
      <c r="F966" s="122">
        <v>17</v>
      </c>
      <c r="G966" s="122">
        <v>1758</v>
      </c>
      <c r="H966" s="122">
        <v>3319</v>
      </c>
      <c r="I966" s="122"/>
      <c r="J966" s="122">
        <v>0</v>
      </c>
      <c r="K966" s="122"/>
      <c r="L966" s="122"/>
      <c r="M966" s="122">
        <v>0</v>
      </c>
      <c r="N966" s="122">
        <v>31749</v>
      </c>
      <c r="O966" s="122">
        <v>11759</v>
      </c>
      <c r="P966" s="122">
        <v>16701</v>
      </c>
      <c r="Q966" s="122">
        <v>6186</v>
      </c>
      <c r="R966" s="122"/>
      <c r="S966" s="122">
        <v>0</v>
      </c>
      <c r="T966" s="122">
        <v>0</v>
      </c>
      <c r="U966" s="122">
        <v>0</v>
      </c>
      <c r="V966" s="122">
        <v>17944</v>
      </c>
      <c r="W966" s="122">
        <f t="shared" si="30"/>
        <v>17945</v>
      </c>
      <c r="X966" s="122">
        <f t="shared" si="31"/>
        <v>48450</v>
      </c>
      <c r="AA966" t="s">
        <v>58</v>
      </c>
      <c r="AB966" t="s">
        <v>406</v>
      </c>
      <c r="AC966" t="s">
        <v>426</v>
      </c>
      <c r="AD966" t="s">
        <v>427</v>
      </c>
      <c r="AE966" t="s">
        <v>566</v>
      </c>
      <c r="AF966">
        <v>3</v>
      </c>
      <c r="AG966">
        <v>290</v>
      </c>
      <c r="AH966">
        <v>791</v>
      </c>
      <c r="AI966" s="122">
        <v>38526</v>
      </c>
      <c r="AJ966" s="122">
        <v>35024</v>
      </c>
      <c r="AK966">
        <v>75</v>
      </c>
      <c r="AL966" s="122">
        <v>10209</v>
      </c>
      <c r="AM966" s="122">
        <v>9281</v>
      </c>
      <c r="AN966" s="122">
        <v>6855</v>
      </c>
      <c r="AO966" s="122">
        <v>2539</v>
      </c>
      <c r="AP966" s="122">
        <v>1863</v>
      </c>
      <c r="AQ966">
        <v>690</v>
      </c>
      <c r="AR966" s="122">
        <v>18635</v>
      </c>
      <c r="AS966" s="122">
        <v>16941</v>
      </c>
      <c r="AT966">
        <v>0</v>
      </c>
      <c r="AU966">
        <v>0</v>
      </c>
      <c r="AV966" s="122">
        <v>64475</v>
      </c>
    </row>
    <row r="967" spans="2:48" hidden="1">
      <c r="B967" t="s">
        <v>369</v>
      </c>
      <c r="C967" t="s">
        <v>56</v>
      </c>
      <c r="D967" t="s">
        <v>425</v>
      </c>
      <c r="E967" t="s">
        <v>425</v>
      </c>
      <c r="F967" s="122">
        <v>16</v>
      </c>
      <c r="G967" s="122">
        <v>1748</v>
      </c>
      <c r="H967" s="122">
        <v>2904</v>
      </c>
      <c r="I967" s="122">
        <v>176110</v>
      </c>
      <c r="J967" s="122">
        <v>160100</v>
      </c>
      <c r="K967" s="122">
        <v>83</v>
      </c>
      <c r="L967" s="122">
        <v>25119</v>
      </c>
      <c r="M967" s="122">
        <v>22240</v>
      </c>
      <c r="N967" s="122">
        <v>33517</v>
      </c>
      <c r="O967" s="122">
        <v>12414</v>
      </c>
      <c r="P967" s="122">
        <v>7725</v>
      </c>
      <c r="Q967" s="122">
        <v>2861</v>
      </c>
      <c r="R967" s="122">
        <v>71919</v>
      </c>
      <c r="S967" s="122">
        <v>65381</v>
      </c>
      <c r="T967" s="122">
        <v>2160</v>
      </c>
      <c r="U967" s="122">
        <v>800</v>
      </c>
      <c r="V967" s="122">
        <v>263796</v>
      </c>
      <c r="W967" s="122">
        <f t="shared" si="30"/>
        <v>263796</v>
      </c>
      <c r="X967" s="122">
        <f t="shared" si="31"/>
        <v>316550</v>
      </c>
      <c r="AA967" t="s">
        <v>58</v>
      </c>
      <c r="AB967" t="s">
        <v>406</v>
      </c>
      <c r="AC967" t="s">
        <v>426</v>
      </c>
      <c r="AD967" t="s">
        <v>407</v>
      </c>
      <c r="AE967" t="s">
        <v>137</v>
      </c>
      <c r="AF967">
        <v>5</v>
      </c>
      <c r="AG967">
        <v>452</v>
      </c>
      <c r="AH967" s="122">
        <v>1301</v>
      </c>
      <c r="AI967" s="122">
        <v>59967</v>
      </c>
      <c r="AJ967" s="122">
        <v>54515</v>
      </c>
      <c r="AK967">
        <v>82</v>
      </c>
      <c r="AL967" s="122">
        <v>14077</v>
      </c>
      <c r="AM967" s="122">
        <v>12797</v>
      </c>
      <c r="AN967" s="122">
        <v>8325</v>
      </c>
      <c r="AO967" s="122">
        <v>3083</v>
      </c>
      <c r="AP967" s="122">
        <v>3456</v>
      </c>
      <c r="AQ967" s="122">
        <v>1280</v>
      </c>
      <c r="AR967" s="122">
        <v>21307</v>
      </c>
      <c r="AS967" s="122">
        <v>19370</v>
      </c>
      <c r="AT967" s="122">
        <v>10684</v>
      </c>
      <c r="AU967" s="122">
        <v>3957</v>
      </c>
      <c r="AV967" s="122">
        <v>95003</v>
      </c>
    </row>
    <row r="968" spans="2:48" hidden="1">
      <c r="B968" t="s">
        <v>369</v>
      </c>
      <c r="C968" t="s">
        <v>56</v>
      </c>
      <c r="D968" t="s">
        <v>405</v>
      </c>
      <c r="E968" t="s">
        <v>425</v>
      </c>
      <c r="F968" s="122">
        <v>3</v>
      </c>
      <c r="G968" s="122">
        <v>326</v>
      </c>
      <c r="H968" s="122">
        <v>513</v>
      </c>
      <c r="I968" s="122">
        <v>31675</v>
      </c>
      <c r="J968" s="122">
        <v>28795</v>
      </c>
      <c r="K968" s="122">
        <v>87</v>
      </c>
      <c r="L968" s="122">
        <v>5273</v>
      </c>
      <c r="M968" s="122">
        <v>4085</v>
      </c>
      <c r="N968" s="122">
        <v>5340</v>
      </c>
      <c r="O968" s="122">
        <v>1978</v>
      </c>
      <c r="P968" s="122">
        <v>1418</v>
      </c>
      <c r="Q968" s="122">
        <v>525</v>
      </c>
      <c r="R968" s="122">
        <v>13098</v>
      </c>
      <c r="S968" s="122">
        <v>11908</v>
      </c>
      <c r="T968" s="122">
        <v>0</v>
      </c>
      <c r="U968" s="122">
        <v>0</v>
      </c>
      <c r="V968" s="122">
        <v>47291</v>
      </c>
      <c r="W968" s="122">
        <f t="shared" si="30"/>
        <v>47291</v>
      </c>
      <c r="X968" s="122">
        <f t="shared" si="31"/>
        <v>56804</v>
      </c>
      <c r="AA968" t="s">
        <v>58</v>
      </c>
      <c r="AB968" t="s">
        <v>406</v>
      </c>
      <c r="AC968" t="s">
        <v>426</v>
      </c>
      <c r="AD968" t="s">
        <v>407</v>
      </c>
      <c r="AE968" t="s">
        <v>566</v>
      </c>
      <c r="AF968">
        <v>1</v>
      </c>
      <c r="AG968">
        <v>80</v>
      </c>
      <c r="AH968">
        <v>281</v>
      </c>
      <c r="AI968" s="122">
        <v>10507</v>
      </c>
      <c r="AJ968" s="122">
        <v>9552</v>
      </c>
      <c r="AK968">
        <v>79</v>
      </c>
      <c r="AL968" s="122">
        <v>2919</v>
      </c>
      <c r="AM968" s="122">
        <v>2653</v>
      </c>
      <c r="AN968" s="122">
        <v>1956</v>
      </c>
      <c r="AO968">
        <v>724</v>
      </c>
      <c r="AP968">
        <v>621</v>
      </c>
      <c r="AQ968">
        <v>230</v>
      </c>
      <c r="AR968" s="122">
        <v>6530</v>
      </c>
      <c r="AS968" s="122">
        <v>5936</v>
      </c>
      <c r="AT968">
        <v>0</v>
      </c>
      <c r="AU968">
        <v>0</v>
      </c>
      <c r="AV968" s="122">
        <v>19096</v>
      </c>
    </row>
    <row r="969" spans="2:48" hidden="1">
      <c r="B969" t="s">
        <v>369</v>
      </c>
      <c r="C969" t="s">
        <v>56</v>
      </c>
      <c r="D969" t="s">
        <v>405</v>
      </c>
      <c r="E969" t="s">
        <v>405</v>
      </c>
      <c r="F969" s="122">
        <v>213</v>
      </c>
      <c r="G969" s="122">
        <v>22429</v>
      </c>
      <c r="H969" s="122">
        <v>37188</v>
      </c>
      <c r="I969" s="122">
        <v>1931105</v>
      </c>
      <c r="J969" s="122">
        <v>1755550</v>
      </c>
      <c r="K969" s="122">
        <v>86</v>
      </c>
      <c r="L969" s="122">
        <v>482715</v>
      </c>
      <c r="M969" s="122">
        <v>429740</v>
      </c>
      <c r="N969" s="122">
        <v>457085</v>
      </c>
      <c r="O969" s="122">
        <v>169291</v>
      </c>
      <c r="P969" s="122">
        <v>110811</v>
      </c>
      <c r="Q969" s="122">
        <v>41041</v>
      </c>
      <c r="R969" s="122">
        <v>933410</v>
      </c>
      <c r="S969" s="122">
        <v>848554</v>
      </c>
      <c r="T969" s="122">
        <v>23130</v>
      </c>
      <c r="U969" s="122">
        <v>8567</v>
      </c>
      <c r="V969" s="122">
        <v>3252743</v>
      </c>
      <c r="W969" s="122">
        <f t="shared" si="30"/>
        <v>3252743</v>
      </c>
      <c r="X969" s="122">
        <f t="shared" si="31"/>
        <v>3938256</v>
      </c>
      <c r="AA969" t="s">
        <v>58</v>
      </c>
      <c r="AB969" t="s">
        <v>406</v>
      </c>
      <c r="AC969" t="s">
        <v>426</v>
      </c>
      <c r="AD969" t="s">
        <v>579</v>
      </c>
      <c r="AE969" t="s">
        <v>566</v>
      </c>
      <c r="AF969">
        <v>1</v>
      </c>
      <c r="AG969">
        <v>107</v>
      </c>
      <c r="AH969">
        <v>240</v>
      </c>
      <c r="AI969" s="122">
        <v>13308</v>
      </c>
      <c r="AJ969" s="122">
        <v>12098</v>
      </c>
      <c r="AK969">
        <v>79</v>
      </c>
      <c r="AL969" s="122">
        <v>3697</v>
      </c>
      <c r="AM969" s="122">
        <v>3360</v>
      </c>
      <c r="AN969" s="122">
        <v>2601</v>
      </c>
      <c r="AO969">
        <v>963</v>
      </c>
      <c r="AP969">
        <v>621</v>
      </c>
      <c r="AQ969">
        <v>230</v>
      </c>
      <c r="AR969" s="122">
        <v>5407</v>
      </c>
      <c r="AS969" s="122">
        <v>4506</v>
      </c>
      <c r="AT969">
        <v>0</v>
      </c>
      <c r="AU969">
        <v>0</v>
      </c>
      <c r="AV969" s="122">
        <v>21158</v>
      </c>
    </row>
    <row r="970" spans="2:48" hidden="1">
      <c r="B970" t="s">
        <v>369</v>
      </c>
      <c r="C970" t="s">
        <v>56</v>
      </c>
      <c r="D970" t="s">
        <v>405</v>
      </c>
      <c r="E970" t="s">
        <v>407</v>
      </c>
      <c r="F970" s="122">
        <v>1</v>
      </c>
      <c r="G970" s="122">
        <v>120</v>
      </c>
      <c r="H970" s="122">
        <v>168</v>
      </c>
      <c r="I970" s="122">
        <v>9750</v>
      </c>
      <c r="J970" s="122">
        <v>8864</v>
      </c>
      <c r="K970" s="122">
        <v>91</v>
      </c>
      <c r="L970" s="122">
        <v>3113</v>
      </c>
      <c r="M970" s="122">
        <v>2830</v>
      </c>
      <c r="N970" s="122">
        <v>2926</v>
      </c>
      <c r="O970" s="122">
        <v>1084</v>
      </c>
      <c r="P970" s="122">
        <v>1175</v>
      </c>
      <c r="Q970" s="122">
        <v>435</v>
      </c>
      <c r="R970" s="122">
        <v>3208</v>
      </c>
      <c r="S970" s="122">
        <v>2917</v>
      </c>
      <c r="T970" s="122">
        <v>0</v>
      </c>
      <c r="U970" s="122">
        <v>0</v>
      </c>
      <c r="V970" s="122">
        <v>16129</v>
      </c>
      <c r="W970" s="122">
        <f t="shared" si="30"/>
        <v>16130</v>
      </c>
      <c r="X970" s="122">
        <f t="shared" si="31"/>
        <v>20172</v>
      </c>
      <c r="AA970" t="s">
        <v>58</v>
      </c>
      <c r="AB970" t="s">
        <v>406</v>
      </c>
      <c r="AC970" t="s">
        <v>426</v>
      </c>
      <c r="AD970" t="s">
        <v>426</v>
      </c>
      <c r="AE970" t="s">
        <v>137</v>
      </c>
      <c r="AF970">
        <v>14</v>
      </c>
      <c r="AG970" s="122">
        <v>1201</v>
      </c>
      <c r="AH970" s="122">
        <v>3596</v>
      </c>
      <c r="AI970" s="122">
        <v>157179</v>
      </c>
      <c r="AJ970" s="122">
        <v>142890</v>
      </c>
      <c r="AK970">
        <v>81</v>
      </c>
      <c r="AL970" s="122">
        <v>29857</v>
      </c>
      <c r="AM970" s="122">
        <v>27143</v>
      </c>
      <c r="AN970" s="122">
        <v>23350</v>
      </c>
      <c r="AO970" s="122">
        <v>8648</v>
      </c>
      <c r="AP970" s="122">
        <v>9045</v>
      </c>
      <c r="AQ970" s="122">
        <v>3350</v>
      </c>
      <c r="AR970" s="122">
        <v>64849</v>
      </c>
      <c r="AS970" s="122">
        <v>58953</v>
      </c>
      <c r="AT970" s="122">
        <v>26034</v>
      </c>
      <c r="AU970" s="122">
        <v>9642</v>
      </c>
      <c r="AV970" s="122">
        <v>250626</v>
      </c>
    </row>
    <row r="971" spans="2:48" hidden="1">
      <c r="B971" t="s">
        <v>369</v>
      </c>
      <c r="C971" t="s">
        <v>56</v>
      </c>
      <c r="D971" t="s">
        <v>137</v>
      </c>
      <c r="E971" t="s">
        <v>137</v>
      </c>
      <c r="F971" s="122">
        <v>192</v>
      </c>
      <c r="G971" s="122">
        <v>20962</v>
      </c>
      <c r="H971" s="122">
        <v>39185</v>
      </c>
      <c r="I971" s="122">
        <v>2058705</v>
      </c>
      <c r="J971" s="122">
        <v>762483</v>
      </c>
      <c r="K971" s="122">
        <v>121</v>
      </c>
      <c r="L971" s="122">
        <v>408162</v>
      </c>
      <c r="M971" s="122">
        <v>232610</v>
      </c>
      <c r="N971" s="122">
        <v>393019</v>
      </c>
      <c r="O971" s="122">
        <v>145563</v>
      </c>
      <c r="P971" s="122">
        <v>11292</v>
      </c>
      <c r="Q971" s="122">
        <v>4182</v>
      </c>
      <c r="R971" s="122">
        <v>1456250</v>
      </c>
      <c r="S971" s="122">
        <v>539352</v>
      </c>
      <c r="T971" s="122">
        <v>0</v>
      </c>
      <c r="U971" s="122">
        <v>0</v>
      </c>
      <c r="V971" s="122">
        <v>1684190</v>
      </c>
      <c r="W971" s="122">
        <f t="shared" si="30"/>
        <v>1684190</v>
      </c>
      <c r="X971" s="122">
        <f t="shared" si="31"/>
        <v>4327428</v>
      </c>
      <c r="AA971" t="s">
        <v>58</v>
      </c>
      <c r="AB971" t="s">
        <v>406</v>
      </c>
      <c r="AC971" t="s">
        <v>426</v>
      </c>
      <c r="AD971" t="s">
        <v>426</v>
      </c>
      <c r="AE971" t="s">
        <v>566</v>
      </c>
      <c r="AF971">
        <v>4</v>
      </c>
      <c r="AG971">
        <v>388</v>
      </c>
      <c r="AH971" s="122">
        <v>1042</v>
      </c>
      <c r="AI971" s="122">
        <v>52196</v>
      </c>
      <c r="AJ971" s="122">
        <v>47451</v>
      </c>
      <c r="AK971">
        <v>77</v>
      </c>
      <c r="AL971" s="122">
        <v>11065</v>
      </c>
      <c r="AM971" s="122">
        <v>10059</v>
      </c>
      <c r="AN971" s="122">
        <v>7069</v>
      </c>
      <c r="AO971" s="122">
        <v>2618</v>
      </c>
      <c r="AP971" s="122">
        <v>2484</v>
      </c>
      <c r="AQ971">
        <v>920</v>
      </c>
      <c r="AR971" s="122">
        <v>27642</v>
      </c>
      <c r="AS971" s="122">
        <v>25129</v>
      </c>
      <c r="AT971">
        <v>0</v>
      </c>
      <c r="AU971">
        <v>0</v>
      </c>
      <c r="AV971" s="122">
        <v>86178</v>
      </c>
    </row>
    <row r="972" spans="2:48" hidden="1">
      <c r="B972" t="s">
        <v>369</v>
      </c>
      <c r="C972" t="s">
        <v>56</v>
      </c>
      <c r="D972" t="s">
        <v>137</v>
      </c>
      <c r="E972" t="s">
        <v>427</v>
      </c>
      <c r="F972" s="122">
        <v>1</v>
      </c>
      <c r="G972" s="122">
        <v>37</v>
      </c>
      <c r="H972" s="122">
        <v>225</v>
      </c>
      <c r="I972" s="122">
        <v>2687</v>
      </c>
      <c r="J972" s="122">
        <v>995</v>
      </c>
      <c r="K972" s="122">
        <v>250</v>
      </c>
      <c r="L972" s="122">
        <v>507</v>
      </c>
      <c r="M972" s="122">
        <v>461</v>
      </c>
      <c r="N972" s="122">
        <v>445</v>
      </c>
      <c r="O972" s="122">
        <v>165</v>
      </c>
      <c r="P972" s="122">
        <v>351</v>
      </c>
      <c r="Q972" s="122">
        <v>130</v>
      </c>
      <c r="R972" s="122">
        <v>2760</v>
      </c>
      <c r="S972" s="122">
        <v>2509</v>
      </c>
      <c r="T972" s="122">
        <v>1459</v>
      </c>
      <c r="U972" s="122">
        <v>540</v>
      </c>
      <c r="V972" s="122">
        <v>4800</v>
      </c>
      <c r="W972" s="122">
        <f t="shared" si="30"/>
        <v>4800</v>
      </c>
      <c r="X972" s="122">
        <f t="shared" si="31"/>
        <v>8209</v>
      </c>
      <c r="AA972" t="s">
        <v>58</v>
      </c>
      <c r="AB972" t="s">
        <v>406</v>
      </c>
      <c r="AC972" t="s">
        <v>566</v>
      </c>
      <c r="AD972" t="s">
        <v>137</v>
      </c>
      <c r="AE972" t="s">
        <v>566</v>
      </c>
      <c r="AF972">
        <v>22</v>
      </c>
      <c r="AG972" s="122">
        <v>1736</v>
      </c>
      <c r="AH972" s="122">
        <v>5704</v>
      </c>
      <c r="AI972" s="122">
        <v>283169</v>
      </c>
      <c r="AJ972" s="122">
        <v>257426</v>
      </c>
      <c r="AK972">
        <v>83</v>
      </c>
      <c r="AL972">
        <v>0</v>
      </c>
      <c r="AM972" s="122">
        <v>7863</v>
      </c>
      <c r="AN972" s="122">
        <v>33734</v>
      </c>
      <c r="AO972" s="122">
        <v>12494</v>
      </c>
      <c r="AP972" s="122">
        <v>14283</v>
      </c>
      <c r="AQ972" s="122">
        <v>5290</v>
      </c>
      <c r="AR972" s="122">
        <v>122031</v>
      </c>
      <c r="AS972" s="122">
        <v>45197</v>
      </c>
      <c r="AT972">
        <v>0</v>
      </c>
      <c r="AU972">
        <v>0</v>
      </c>
      <c r="AV972" s="122">
        <v>328270</v>
      </c>
    </row>
    <row r="973" spans="2:48" hidden="1">
      <c r="B973" t="s">
        <v>369</v>
      </c>
      <c r="C973" t="s">
        <v>56</v>
      </c>
      <c r="D973" t="s">
        <v>137</v>
      </c>
      <c r="E973" t="s">
        <v>556</v>
      </c>
      <c r="F973" s="122">
        <v>2</v>
      </c>
      <c r="G973" s="122">
        <v>90</v>
      </c>
      <c r="H973" s="122">
        <v>430</v>
      </c>
      <c r="I973" s="122">
        <v>5798</v>
      </c>
      <c r="J973" s="122">
        <v>2147</v>
      </c>
      <c r="K973" s="122">
        <v>356</v>
      </c>
      <c r="L973" s="122">
        <v>1568</v>
      </c>
      <c r="M973" s="122">
        <v>1307</v>
      </c>
      <c r="N973" s="122">
        <v>1095</v>
      </c>
      <c r="O973" s="122">
        <v>406</v>
      </c>
      <c r="P973" s="122">
        <v>701</v>
      </c>
      <c r="Q973" s="122">
        <v>259</v>
      </c>
      <c r="R973" s="122">
        <v>6525</v>
      </c>
      <c r="S973" s="122">
        <v>5437</v>
      </c>
      <c r="T973" s="122">
        <v>3613</v>
      </c>
      <c r="U973" s="122">
        <v>1338</v>
      </c>
      <c r="V973" s="122">
        <v>10895</v>
      </c>
      <c r="W973" s="122">
        <f t="shared" si="30"/>
        <v>10894</v>
      </c>
      <c r="X973" s="122">
        <f t="shared" si="31"/>
        <v>19300</v>
      </c>
      <c r="AA973" t="s">
        <v>58</v>
      </c>
      <c r="AB973" t="s">
        <v>406</v>
      </c>
      <c r="AC973" t="s">
        <v>566</v>
      </c>
      <c r="AD973" t="s">
        <v>406</v>
      </c>
      <c r="AE973" t="s">
        <v>137</v>
      </c>
      <c r="AF973">
        <v>701</v>
      </c>
      <c r="AG973" s="122">
        <v>56775</v>
      </c>
      <c r="AH973" s="122">
        <v>184307</v>
      </c>
      <c r="AI973" s="122">
        <v>9199268</v>
      </c>
      <c r="AJ973" s="122">
        <v>8362971</v>
      </c>
      <c r="AK973">
        <v>80</v>
      </c>
      <c r="AL973">
        <v>0</v>
      </c>
      <c r="AM973" s="122">
        <v>155223</v>
      </c>
      <c r="AN973" s="122">
        <v>1166710</v>
      </c>
      <c r="AO973" s="122">
        <v>432115</v>
      </c>
      <c r="AP973" s="122">
        <v>434903</v>
      </c>
      <c r="AQ973" s="122">
        <v>161075</v>
      </c>
      <c r="AR973" s="122">
        <v>2777604</v>
      </c>
      <c r="AS973" s="122">
        <v>2525095</v>
      </c>
      <c r="AT973" s="122">
        <v>1516513</v>
      </c>
      <c r="AU973" s="122">
        <v>561671</v>
      </c>
      <c r="AV973" s="122">
        <v>12198150</v>
      </c>
    </row>
    <row r="974" spans="2:48" hidden="1">
      <c r="B974" t="s">
        <v>369</v>
      </c>
      <c r="C974" t="s">
        <v>56</v>
      </c>
      <c r="D974" t="s">
        <v>137</v>
      </c>
      <c r="E974" t="s">
        <v>426</v>
      </c>
      <c r="F974" s="122">
        <v>1</v>
      </c>
      <c r="G974" s="122">
        <v>31</v>
      </c>
      <c r="H974" s="122">
        <v>224</v>
      </c>
      <c r="I974" s="122">
        <v>2484</v>
      </c>
      <c r="J974" s="122">
        <v>920</v>
      </c>
      <c r="K974" s="122">
        <v>356</v>
      </c>
      <c r="L974" s="122">
        <v>616</v>
      </c>
      <c r="M974" s="122">
        <v>560</v>
      </c>
      <c r="N974" s="122">
        <v>382</v>
      </c>
      <c r="O974" s="122">
        <v>141</v>
      </c>
      <c r="P974" s="122">
        <v>0</v>
      </c>
      <c r="Q974" s="122">
        <v>0</v>
      </c>
      <c r="R974" s="122">
        <v>2165</v>
      </c>
      <c r="S974" s="122">
        <v>1968</v>
      </c>
      <c r="T974" s="122">
        <v>1381</v>
      </c>
      <c r="U974" s="122">
        <v>511</v>
      </c>
      <c r="V974" s="122">
        <v>4101</v>
      </c>
      <c r="W974" s="122">
        <f t="shared" si="30"/>
        <v>4100</v>
      </c>
      <c r="X974" s="122">
        <f t="shared" si="31"/>
        <v>7028</v>
      </c>
      <c r="AA974" t="s">
        <v>58</v>
      </c>
      <c r="AB974" t="s">
        <v>406</v>
      </c>
      <c r="AC974" t="s">
        <v>566</v>
      </c>
      <c r="AD974" t="s">
        <v>406</v>
      </c>
      <c r="AE974" t="s">
        <v>566</v>
      </c>
      <c r="AF974">
        <v>322</v>
      </c>
      <c r="AG974" s="122">
        <v>27410</v>
      </c>
      <c r="AH974" s="122">
        <v>83004</v>
      </c>
      <c r="AI974" s="122">
        <v>4715142</v>
      </c>
      <c r="AJ974" s="122">
        <v>4286493</v>
      </c>
      <c r="AK974">
        <v>82</v>
      </c>
      <c r="AL974">
        <v>0</v>
      </c>
      <c r="AM974" s="122">
        <v>488699</v>
      </c>
      <c r="AN974" s="122">
        <v>552477</v>
      </c>
      <c r="AO974" s="122">
        <v>204621</v>
      </c>
      <c r="AP974" s="122">
        <v>200259</v>
      </c>
      <c r="AQ974" s="122">
        <v>74170</v>
      </c>
      <c r="AR974" s="122">
        <v>1728279</v>
      </c>
      <c r="AS974" s="122">
        <v>1571162</v>
      </c>
      <c r="AT974">
        <v>0</v>
      </c>
      <c r="AU974">
        <v>0</v>
      </c>
      <c r="AV974" s="122">
        <v>6625146</v>
      </c>
    </row>
    <row r="975" spans="2:48" hidden="1">
      <c r="B975" t="s">
        <v>369</v>
      </c>
      <c r="C975" t="s">
        <v>56</v>
      </c>
      <c r="D975" t="s">
        <v>406</v>
      </c>
      <c r="E975" t="s">
        <v>425</v>
      </c>
      <c r="F975" s="122">
        <v>2</v>
      </c>
      <c r="G975" s="122">
        <v>165</v>
      </c>
      <c r="H975" s="122">
        <v>443</v>
      </c>
      <c r="I975" s="122">
        <v>17887</v>
      </c>
      <c r="J975" s="122">
        <v>16261</v>
      </c>
      <c r="K975" s="122">
        <v>82</v>
      </c>
      <c r="L975" s="122">
        <v>4121</v>
      </c>
      <c r="M975" s="122">
        <v>3531</v>
      </c>
      <c r="N975" s="122">
        <v>3321</v>
      </c>
      <c r="O975" s="122">
        <v>1230</v>
      </c>
      <c r="P975" s="122">
        <v>1242</v>
      </c>
      <c r="Q975" s="122">
        <v>460</v>
      </c>
      <c r="R975" s="122">
        <v>9919</v>
      </c>
      <c r="S975" s="122">
        <v>9017</v>
      </c>
      <c r="T975" s="122">
        <v>0</v>
      </c>
      <c r="U975" s="122">
        <v>0</v>
      </c>
      <c r="V975" s="122">
        <v>30499</v>
      </c>
      <c r="W975" s="122">
        <f t="shared" si="30"/>
        <v>30499</v>
      </c>
      <c r="X975" s="122">
        <f t="shared" si="31"/>
        <v>36490</v>
      </c>
      <c r="AA975" t="s">
        <v>58</v>
      </c>
      <c r="AB975" t="s">
        <v>406</v>
      </c>
      <c r="AC975" t="s">
        <v>566</v>
      </c>
      <c r="AD975" t="s">
        <v>426</v>
      </c>
      <c r="AE975" t="s">
        <v>137</v>
      </c>
      <c r="AF975">
        <v>1</v>
      </c>
      <c r="AG975">
        <v>57</v>
      </c>
      <c r="AH975">
        <v>229</v>
      </c>
      <c r="AI975" s="122">
        <v>6969</v>
      </c>
      <c r="AJ975" s="122">
        <v>6335</v>
      </c>
      <c r="AK975">
        <v>86</v>
      </c>
      <c r="AL975">
        <v>0</v>
      </c>
      <c r="AM975">
        <v>0</v>
      </c>
      <c r="AN975">
        <v>700</v>
      </c>
      <c r="AO975">
        <v>259</v>
      </c>
      <c r="AP975">
        <v>621</v>
      </c>
      <c r="AQ975">
        <v>230</v>
      </c>
      <c r="AR975" s="122">
        <v>2987</v>
      </c>
      <c r="AS975" s="122">
        <v>2716</v>
      </c>
      <c r="AT975" s="122">
        <v>1853</v>
      </c>
      <c r="AU975">
        <v>686</v>
      </c>
      <c r="AV975" s="122">
        <v>10226</v>
      </c>
    </row>
    <row r="976" spans="2:48" hidden="1">
      <c r="B976" t="s">
        <v>369</v>
      </c>
      <c r="C976" t="s">
        <v>56</v>
      </c>
      <c r="D976" t="s">
        <v>406</v>
      </c>
      <c r="E976" t="s">
        <v>137</v>
      </c>
      <c r="F976" s="122">
        <v>4</v>
      </c>
      <c r="G976" s="122">
        <v>363</v>
      </c>
      <c r="H976" s="122">
        <v>810</v>
      </c>
      <c r="I976" s="122">
        <v>26447</v>
      </c>
      <c r="J976" s="122">
        <v>24042</v>
      </c>
      <c r="K976" s="122">
        <v>88</v>
      </c>
      <c r="L976" s="122">
        <v>7247</v>
      </c>
      <c r="M976" s="122">
        <v>6415</v>
      </c>
      <c r="N976" s="122">
        <v>6341</v>
      </c>
      <c r="O976" s="122">
        <v>2348</v>
      </c>
      <c r="P976" s="122">
        <v>2484</v>
      </c>
      <c r="Q976" s="122">
        <v>920</v>
      </c>
      <c r="R976" s="122">
        <v>30449</v>
      </c>
      <c r="S976" s="122">
        <v>11278</v>
      </c>
      <c r="T976" s="122">
        <v>0</v>
      </c>
      <c r="U976" s="122">
        <v>0</v>
      </c>
      <c r="V976" s="122">
        <v>45003</v>
      </c>
      <c r="W976" s="122">
        <f t="shared" si="30"/>
        <v>45003</v>
      </c>
      <c r="X976" s="122">
        <f t="shared" si="31"/>
        <v>72968</v>
      </c>
      <c r="AA976" t="s">
        <v>58</v>
      </c>
      <c r="AB976" t="s">
        <v>406</v>
      </c>
      <c r="AC976" t="s">
        <v>481</v>
      </c>
      <c r="AD976" t="s">
        <v>406</v>
      </c>
      <c r="AE976" t="s">
        <v>137</v>
      </c>
      <c r="AF976">
        <v>18</v>
      </c>
      <c r="AG976" s="122">
        <v>1646</v>
      </c>
      <c r="AH976" s="122">
        <v>4722</v>
      </c>
      <c r="AI976" s="122">
        <v>226678</v>
      </c>
      <c r="AJ976" s="122">
        <v>206071</v>
      </c>
      <c r="AK976">
        <v>77</v>
      </c>
      <c r="AL976" s="122">
        <v>45115</v>
      </c>
      <c r="AM976" s="122">
        <v>41014</v>
      </c>
      <c r="AN976" s="122">
        <v>30088</v>
      </c>
      <c r="AO976" s="122">
        <v>11144</v>
      </c>
      <c r="AP976" s="122">
        <v>12353</v>
      </c>
      <c r="AQ976" s="122">
        <v>4575</v>
      </c>
      <c r="AR976" s="122">
        <v>72671</v>
      </c>
      <c r="AS976" s="122">
        <v>66065</v>
      </c>
      <c r="AT976" s="122">
        <v>44560</v>
      </c>
      <c r="AU976" s="122">
        <v>16504</v>
      </c>
      <c r="AV976" s="122">
        <v>345371</v>
      </c>
    </row>
    <row r="977" spans="2:48" hidden="1">
      <c r="B977" t="s">
        <v>369</v>
      </c>
      <c r="C977" t="s">
        <v>56</v>
      </c>
      <c r="D977" t="s">
        <v>406</v>
      </c>
      <c r="E977" t="s">
        <v>406</v>
      </c>
      <c r="F977" s="122">
        <v>3164</v>
      </c>
      <c r="G977" s="122">
        <v>330521</v>
      </c>
      <c r="H977" s="122">
        <v>598005</v>
      </c>
      <c r="I977" s="122">
        <v>29877470</v>
      </c>
      <c r="J977" s="122">
        <v>27161337</v>
      </c>
      <c r="K977" s="122">
        <v>85</v>
      </c>
      <c r="L977" s="122">
        <v>7575136</v>
      </c>
      <c r="M977" s="122">
        <v>7643676</v>
      </c>
      <c r="N977" s="122">
        <v>6167402</v>
      </c>
      <c r="O977" s="122">
        <v>2284223</v>
      </c>
      <c r="P977" s="122">
        <v>2106733</v>
      </c>
      <c r="Q977" s="122">
        <v>780272</v>
      </c>
      <c r="R977" s="122">
        <v>15429459</v>
      </c>
      <c r="S977" s="122">
        <v>14026781</v>
      </c>
      <c r="T977" s="122">
        <v>1850038</v>
      </c>
      <c r="U977" s="122">
        <v>685199</v>
      </c>
      <c r="V977" s="122">
        <v>52581487</v>
      </c>
      <c r="W977" s="122">
        <f t="shared" si="30"/>
        <v>52581488</v>
      </c>
      <c r="X977" s="122">
        <f t="shared" si="31"/>
        <v>63006238</v>
      </c>
      <c r="AA977" t="s">
        <v>58</v>
      </c>
      <c r="AB977" t="s">
        <v>406</v>
      </c>
      <c r="AC977" t="s">
        <v>481</v>
      </c>
      <c r="AD977" t="s">
        <v>406</v>
      </c>
      <c r="AE977" t="s">
        <v>566</v>
      </c>
      <c r="AF977">
        <v>9</v>
      </c>
      <c r="AG977">
        <v>724</v>
      </c>
      <c r="AH977" s="122">
        <v>2316</v>
      </c>
      <c r="AI977" s="122">
        <v>92675</v>
      </c>
      <c r="AJ977" s="122">
        <v>84250</v>
      </c>
      <c r="AK977">
        <v>82</v>
      </c>
      <c r="AL977" s="122">
        <v>23803</v>
      </c>
      <c r="AM977" s="122">
        <v>21639</v>
      </c>
      <c r="AN977" s="122">
        <v>13171</v>
      </c>
      <c r="AO977" s="122">
        <v>4878</v>
      </c>
      <c r="AP977" s="122">
        <v>5589</v>
      </c>
      <c r="AQ977" s="122">
        <v>2070</v>
      </c>
      <c r="AR977" s="122">
        <v>50381</v>
      </c>
      <c r="AS977" s="122">
        <v>45801</v>
      </c>
      <c r="AT977">
        <v>0</v>
      </c>
      <c r="AU977">
        <v>0</v>
      </c>
      <c r="AV977" s="122">
        <v>158638</v>
      </c>
    </row>
    <row r="978" spans="2:48" hidden="1">
      <c r="B978" t="s">
        <v>369</v>
      </c>
      <c r="C978" t="s">
        <v>56</v>
      </c>
      <c r="D978" t="s">
        <v>427</v>
      </c>
      <c r="E978" t="s">
        <v>406</v>
      </c>
      <c r="F978" s="122">
        <v>1</v>
      </c>
      <c r="G978" s="122">
        <v>90</v>
      </c>
      <c r="H978" s="122">
        <v>179</v>
      </c>
      <c r="I978" s="122">
        <v>7511</v>
      </c>
      <c r="J978" s="122">
        <v>6828</v>
      </c>
      <c r="K978" s="122">
        <v>85</v>
      </c>
      <c r="L978" s="122">
        <v>2579</v>
      </c>
      <c r="M978" s="122">
        <v>2149</v>
      </c>
      <c r="N978" s="122">
        <v>1367</v>
      </c>
      <c r="O978" s="122">
        <v>506</v>
      </c>
      <c r="P978" s="122">
        <v>621</v>
      </c>
      <c r="Q978" s="122">
        <v>230</v>
      </c>
      <c r="R978" s="122">
        <v>4137</v>
      </c>
      <c r="S978" s="122">
        <v>3761</v>
      </c>
      <c r="T978" s="122">
        <v>0</v>
      </c>
      <c r="U978" s="122">
        <v>0</v>
      </c>
      <c r="V978" s="122">
        <v>13474</v>
      </c>
      <c r="W978" s="122">
        <f t="shared" si="30"/>
        <v>13474</v>
      </c>
      <c r="X978" s="122">
        <f t="shared" si="31"/>
        <v>16215</v>
      </c>
      <c r="AA978" t="s">
        <v>58</v>
      </c>
      <c r="AB978" t="s">
        <v>406</v>
      </c>
      <c r="AC978" t="s">
        <v>433</v>
      </c>
      <c r="AD978" t="s">
        <v>405</v>
      </c>
      <c r="AE978" t="s">
        <v>137</v>
      </c>
      <c r="AF978">
        <v>1</v>
      </c>
      <c r="AG978">
        <v>216</v>
      </c>
      <c r="AH978">
        <v>242</v>
      </c>
      <c r="AI978" s="122">
        <v>39680</v>
      </c>
      <c r="AJ978" s="122">
        <v>36073</v>
      </c>
      <c r="AK978">
        <v>79</v>
      </c>
      <c r="AL978">
        <v>859</v>
      </c>
      <c r="AM978">
        <v>781</v>
      </c>
      <c r="AN978" s="122">
        <v>4076</v>
      </c>
      <c r="AO978" s="122">
        <v>1509</v>
      </c>
      <c r="AP978">
        <v>621</v>
      </c>
      <c r="AQ978">
        <v>230</v>
      </c>
      <c r="AR978" s="122">
        <v>6903</v>
      </c>
      <c r="AS978" s="122">
        <v>6276</v>
      </c>
      <c r="AT978">
        <v>0</v>
      </c>
      <c r="AU978">
        <v>0</v>
      </c>
      <c r="AV978" s="122">
        <v>44868</v>
      </c>
    </row>
    <row r="979" spans="2:48" hidden="1">
      <c r="B979" t="s">
        <v>369</v>
      </c>
      <c r="C979" t="s">
        <v>56</v>
      </c>
      <c r="D979" t="s">
        <v>407</v>
      </c>
      <c r="E979" t="s">
        <v>407</v>
      </c>
      <c r="F979" s="122">
        <v>76</v>
      </c>
      <c r="G979" s="122">
        <v>8161</v>
      </c>
      <c r="H979" s="122">
        <v>13217</v>
      </c>
      <c r="I979" s="122">
        <v>661454</v>
      </c>
      <c r="J979" s="122">
        <v>601322</v>
      </c>
      <c r="K979" s="122">
        <v>84</v>
      </c>
      <c r="L979" s="122">
        <v>188306</v>
      </c>
      <c r="M979" s="122">
        <v>167555</v>
      </c>
      <c r="N979" s="122">
        <v>185661</v>
      </c>
      <c r="O979" s="122">
        <v>68763</v>
      </c>
      <c r="P979" s="122">
        <v>36491</v>
      </c>
      <c r="Q979" s="122">
        <v>13515</v>
      </c>
      <c r="R979" s="122">
        <v>346641</v>
      </c>
      <c r="S979" s="122">
        <v>315128</v>
      </c>
      <c r="T979" s="122">
        <v>8592</v>
      </c>
      <c r="U979" s="122">
        <v>3182</v>
      </c>
      <c r="V979" s="122">
        <v>1169465</v>
      </c>
      <c r="W979" s="122">
        <f t="shared" si="30"/>
        <v>1169465</v>
      </c>
      <c r="X979" s="122">
        <f t="shared" si="31"/>
        <v>1427145</v>
      </c>
      <c r="AA979" t="s">
        <v>58</v>
      </c>
      <c r="AB979" t="s">
        <v>406</v>
      </c>
      <c r="AC979" t="s">
        <v>433</v>
      </c>
      <c r="AD979" t="s">
        <v>137</v>
      </c>
      <c r="AE979" t="s">
        <v>566</v>
      </c>
      <c r="AF979">
        <v>4</v>
      </c>
      <c r="AG979">
        <v>356</v>
      </c>
      <c r="AH979" s="122">
        <v>1030</v>
      </c>
      <c r="AI979" s="122">
        <v>40199</v>
      </c>
      <c r="AJ979" s="122">
        <v>36544</v>
      </c>
      <c r="AK979">
        <v>86</v>
      </c>
      <c r="AL979" s="122">
        <v>7801</v>
      </c>
      <c r="AM979" s="122">
        <v>7091</v>
      </c>
      <c r="AN979" s="122">
        <v>8193</v>
      </c>
      <c r="AO979" s="122">
        <v>3035</v>
      </c>
      <c r="AP979" s="122">
        <v>2484</v>
      </c>
      <c r="AQ979">
        <v>920</v>
      </c>
      <c r="AR979" s="122">
        <v>33846</v>
      </c>
      <c r="AS979" s="122">
        <v>12535</v>
      </c>
      <c r="AT979">
        <v>0</v>
      </c>
      <c r="AU979">
        <v>0</v>
      </c>
      <c r="AV979" s="122">
        <v>60126</v>
      </c>
    </row>
    <row r="980" spans="2:48" hidden="1">
      <c r="B980" t="s">
        <v>369</v>
      </c>
      <c r="C980" t="s">
        <v>56</v>
      </c>
      <c r="D980" t="s">
        <v>556</v>
      </c>
      <c r="E980" t="s">
        <v>556</v>
      </c>
      <c r="F980" s="122">
        <v>2</v>
      </c>
      <c r="G980" s="122">
        <v>198</v>
      </c>
      <c r="H980" s="122">
        <v>415</v>
      </c>
      <c r="I980" s="122">
        <v>21291</v>
      </c>
      <c r="J980" s="122">
        <v>17742</v>
      </c>
      <c r="K980" s="122">
        <v>68</v>
      </c>
      <c r="L980" s="122">
        <v>2971</v>
      </c>
      <c r="M980" s="122">
        <v>2476</v>
      </c>
      <c r="N980" s="122">
        <v>3629</v>
      </c>
      <c r="O980" s="122">
        <v>1344</v>
      </c>
      <c r="P980" s="122">
        <v>1053</v>
      </c>
      <c r="Q980" s="122">
        <v>390</v>
      </c>
      <c r="R980" s="122">
        <v>9633</v>
      </c>
      <c r="S980" s="122">
        <v>8028</v>
      </c>
      <c r="T980" s="122">
        <v>2430</v>
      </c>
      <c r="U980" s="122">
        <v>900</v>
      </c>
      <c r="V980" s="122">
        <v>30880</v>
      </c>
      <c r="W980" s="122">
        <f t="shared" si="30"/>
        <v>30880</v>
      </c>
      <c r="X980" s="122">
        <f t="shared" si="31"/>
        <v>41007</v>
      </c>
      <c r="AA980" t="s">
        <v>58</v>
      </c>
      <c r="AB980" t="s">
        <v>406</v>
      </c>
      <c r="AC980" t="s">
        <v>433</v>
      </c>
      <c r="AD980" t="s">
        <v>406</v>
      </c>
      <c r="AE980" t="s">
        <v>137</v>
      </c>
      <c r="AF980">
        <v>266</v>
      </c>
      <c r="AG980" s="122">
        <v>24761</v>
      </c>
      <c r="AH980" s="122">
        <v>68128</v>
      </c>
      <c r="AI980" s="122">
        <v>3408702</v>
      </c>
      <c r="AJ980" s="122">
        <v>3098820</v>
      </c>
      <c r="AK980">
        <v>82</v>
      </c>
      <c r="AL980" s="122">
        <v>748632</v>
      </c>
      <c r="AM980" s="122">
        <v>680574</v>
      </c>
      <c r="AN980" s="122">
        <v>487462</v>
      </c>
      <c r="AO980" s="122">
        <v>180541</v>
      </c>
      <c r="AP980" s="122">
        <v>169996</v>
      </c>
      <c r="AQ980" s="122">
        <v>62961</v>
      </c>
      <c r="AR980" s="122">
        <v>1033160</v>
      </c>
      <c r="AS980" s="122">
        <v>939236</v>
      </c>
      <c r="AT980" s="122">
        <v>582346</v>
      </c>
      <c r="AU980" s="122">
        <v>215684</v>
      </c>
      <c r="AV980" s="122">
        <v>5177818</v>
      </c>
    </row>
    <row r="981" spans="2:48" hidden="1">
      <c r="B981" t="s">
        <v>369</v>
      </c>
      <c r="C981" t="s">
        <v>56</v>
      </c>
      <c r="D981" t="s">
        <v>426</v>
      </c>
      <c r="E981" t="s">
        <v>137</v>
      </c>
      <c r="F981" s="122">
        <v>3</v>
      </c>
      <c r="G981" s="122">
        <v>248</v>
      </c>
      <c r="H981" s="122">
        <v>614</v>
      </c>
      <c r="I981" s="122">
        <v>19995</v>
      </c>
      <c r="J981" s="122">
        <v>18177</v>
      </c>
      <c r="K981" s="122">
        <v>77</v>
      </c>
      <c r="L981" s="122">
        <v>4997</v>
      </c>
      <c r="M981" s="122">
        <v>3363</v>
      </c>
      <c r="N981" s="122">
        <v>4192</v>
      </c>
      <c r="O981" s="122">
        <v>1553</v>
      </c>
      <c r="P981" s="122">
        <v>351</v>
      </c>
      <c r="Q981" s="122">
        <v>130</v>
      </c>
      <c r="R981" s="122">
        <v>20162</v>
      </c>
      <c r="S981" s="122">
        <v>7468</v>
      </c>
      <c r="T981" s="122">
        <v>0</v>
      </c>
      <c r="U981" s="122">
        <v>0</v>
      </c>
      <c r="V981" s="122">
        <v>30690</v>
      </c>
      <c r="W981" s="122">
        <f t="shared" si="30"/>
        <v>30691</v>
      </c>
      <c r="X981" s="122">
        <f t="shared" si="31"/>
        <v>49697</v>
      </c>
      <c r="AA981" t="s">
        <v>58</v>
      </c>
      <c r="AB981" t="s">
        <v>406</v>
      </c>
      <c r="AC981" t="s">
        <v>433</v>
      </c>
      <c r="AD981" t="s">
        <v>406</v>
      </c>
      <c r="AE981" t="s">
        <v>566</v>
      </c>
      <c r="AF981">
        <v>163</v>
      </c>
      <c r="AG981" s="122">
        <v>15786</v>
      </c>
      <c r="AH981" s="122">
        <v>41911</v>
      </c>
      <c r="AI981" s="122">
        <v>2311971</v>
      </c>
      <c r="AJ981" s="122">
        <v>2101791</v>
      </c>
      <c r="AK981">
        <v>83</v>
      </c>
      <c r="AL981" s="122">
        <v>509439</v>
      </c>
      <c r="AM981" s="122">
        <v>463126</v>
      </c>
      <c r="AN981" s="122">
        <v>323643</v>
      </c>
      <c r="AO981" s="122">
        <v>119868</v>
      </c>
      <c r="AP981" s="122">
        <v>101898</v>
      </c>
      <c r="AQ981" s="122">
        <v>37740</v>
      </c>
      <c r="AR981" s="122">
        <v>905164</v>
      </c>
      <c r="AS981" s="122">
        <v>822876</v>
      </c>
      <c r="AT981">
        <v>0</v>
      </c>
      <c r="AU981">
        <v>0</v>
      </c>
      <c r="AV981" s="122">
        <v>3545402</v>
      </c>
    </row>
    <row r="982" spans="2:48" hidden="1">
      <c r="B982" t="s">
        <v>369</v>
      </c>
      <c r="C982" t="s">
        <v>56</v>
      </c>
      <c r="D982" t="s">
        <v>426</v>
      </c>
      <c r="E982" t="s">
        <v>426</v>
      </c>
      <c r="F982" s="122">
        <v>104</v>
      </c>
      <c r="G982" s="122">
        <v>9331</v>
      </c>
      <c r="H982" s="122">
        <v>22250</v>
      </c>
      <c r="I982" s="122">
        <v>995261</v>
      </c>
      <c r="J982" s="122">
        <v>904782</v>
      </c>
      <c r="K982" s="122">
        <v>67</v>
      </c>
      <c r="L982" s="122">
        <v>138690</v>
      </c>
      <c r="M982" s="122">
        <v>102420</v>
      </c>
      <c r="N982" s="122">
        <v>147920</v>
      </c>
      <c r="O982" s="122">
        <v>54785</v>
      </c>
      <c r="P982" s="122">
        <v>38228</v>
      </c>
      <c r="Q982" s="122">
        <v>14158</v>
      </c>
      <c r="R982" s="122">
        <v>442227</v>
      </c>
      <c r="S982" s="122">
        <v>402024</v>
      </c>
      <c r="T982" s="122">
        <v>231857</v>
      </c>
      <c r="U982" s="122">
        <v>85873</v>
      </c>
      <c r="V982" s="122">
        <v>1564043</v>
      </c>
      <c r="W982" s="122">
        <f t="shared" si="30"/>
        <v>1564042</v>
      </c>
      <c r="X982" s="122">
        <f t="shared" si="31"/>
        <v>1994183</v>
      </c>
      <c r="AA982" t="s">
        <v>58</v>
      </c>
      <c r="AB982" t="s">
        <v>406</v>
      </c>
      <c r="AC982" t="s">
        <v>433</v>
      </c>
      <c r="AD982" t="s">
        <v>427</v>
      </c>
      <c r="AE982" t="s">
        <v>137</v>
      </c>
      <c r="AF982">
        <v>1</v>
      </c>
      <c r="AG982">
        <v>73</v>
      </c>
      <c r="AH982">
        <v>283</v>
      </c>
      <c r="AI982" s="122">
        <v>11084</v>
      </c>
      <c r="AJ982" s="122">
        <v>10076</v>
      </c>
      <c r="AK982">
        <v>85</v>
      </c>
      <c r="AL982" s="122">
        <v>1988</v>
      </c>
      <c r="AM982" s="122">
        <v>1807</v>
      </c>
      <c r="AN982" s="122">
        <v>1539</v>
      </c>
      <c r="AO982">
        <v>570</v>
      </c>
      <c r="AP982">
        <v>621</v>
      </c>
      <c r="AQ982">
        <v>230</v>
      </c>
      <c r="AR982" s="122">
        <v>3229</v>
      </c>
      <c r="AS982" s="122">
        <v>2936</v>
      </c>
      <c r="AT982" s="122">
        <v>2065</v>
      </c>
      <c r="AU982">
        <v>765</v>
      </c>
      <c r="AV982" s="122">
        <v>16384</v>
      </c>
    </row>
    <row r="983" spans="2:48" hidden="1">
      <c r="B983" t="s">
        <v>369</v>
      </c>
      <c r="C983" t="s">
        <v>56</v>
      </c>
      <c r="D983" t="s">
        <v>426</v>
      </c>
      <c r="E983" t="s">
        <v>481</v>
      </c>
      <c r="F983" s="122">
        <v>1</v>
      </c>
      <c r="G983" s="122">
        <v>89</v>
      </c>
      <c r="H983" s="122">
        <v>209</v>
      </c>
      <c r="I983" s="122">
        <v>7531</v>
      </c>
      <c r="J983" s="122">
        <v>6846</v>
      </c>
      <c r="K983" s="122">
        <v>65</v>
      </c>
      <c r="L983" s="122">
        <v>3004</v>
      </c>
      <c r="M983" s="122">
        <v>1112</v>
      </c>
      <c r="N983" s="122">
        <v>1081</v>
      </c>
      <c r="O983" s="122">
        <v>400</v>
      </c>
      <c r="P983" s="122">
        <v>351</v>
      </c>
      <c r="Q983" s="122">
        <v>130</v>
      </c>
      <c r="R983" s="122">
        <v>4287</v>
      </c>
      <c r="S983" s="122">
        <v>3897</v>
      </c>
      <c r="T983" s="122">
        <v>2282</v>
      </c>
      <c r="U983" s="122">
        <v>845</v>
      </c>
      <c r="V983" s="122">
        <v>13231</v>
      </c>
      <c r="W983" s="122">
        <f t="shared" si="30"/>
        <v>13230</v>
      </c>
      <c r="X983" s="122">
        <f t="shared" si="31"/>
        <v>18536</v>
      </c>
      <c r="AA983" t="s">
        <v>58</v>
      </c>
      <c r="AB983" t="s">
        <v>406</v>
      </c>
      <c r="AC983" t="s">
        <v>433</v>
      </c>
      <c r="AD983" t="s">
        <v>407</v>
      </c>
      <c r="AE983" t="s">
        <v>566</v>
      </c>
      <c r="AF983">
        <v>1</v>
      </c>
      <c r="AG983">
        <v>122</v>
      </c>
      <c r="AH983">
        <v>274</v>
      </c>
      <c r="AI983" s="122">
        <v>24679</v>
      </c>
      <c r="AJ983" s="122">
        <v>22436</v>
      </c>
      <c r="AK983">
        <v>92</v>
      </c>
      <c r="AL983" s="122">
        <v>8025</v>
      </c>
      <c r="AM983" s="122">
        <v>7296</v>
      </c>
      <c r="AN983" s="122">
        <v>2934</v>
      </c>
      <c r="AO983" s="122">
        <v>1087</v>
      </c>
      <c r="AP983">
        <v>621</v>
      </c>
      <c r="AQ983">
        <v>230</v>
      </c>
      <c r="AR983" s="122">
        <v>5019</v>
      </c>
      <c r="AS983" s="122">
        <v>4563</v>
      </c>
      <c r="AT983">
        <v>0</v>
      </c>
      <c r="AU983">
        <v>0</v>
      </c>
      <c r="AV983" s="122">
        <v>35611</v>
      </c>
    </row>
    <row r="984" spans="2:48" hidden="1">
      <c r="B984" t="s">
        <v>369</v>
      </c>
      <c r="C984" t="s">
        <v>56</v>
      </c>
      <c r="D984" t="s">
        <v>433</v>
      </c>
      <c r="E984" t="s">
        <v>433</v>
      </c>
      <c r="F984" s="122">
        <v>4</v>
      </c>
      <c r="G984" s="122">
        <v>354</v>
      </c>
      <c r="H984" s="122">
        <v>861</v>
      </c>
      <c r="I984" s="122">
        <v>40152</v>
      </c>
      <c r="J984" s="122">
        <v>36502</v>
      </c>
      <c r="K984" s="122">
        <v>70</v>
      </c>
      <c r="L984" s="122">
        <v>4301</v>
      </c>
      <c r="M984" s="122">
        <v>3910</v>
      </c>
      <c r="N984" s="122">
        <v>4394</v>
      </c>
      <c r="O984" s="122">
        <v>1627</v>
      </c>
      <c r="P984" s="122">
        <v>1404</v>
      </c>
      <c r="Q984" s="122">
        <v>520</v>
      </c>
      <c r="R984" s="122">
        <v>16402</v>
      </c>
      <c r="S984" s="122">
        <v>14911</v>
      </c>
      <c r="T984" s="122">
        <v>9511</v>
      </c>
      <c r="U984" s="122">
        <v>3523</v>
      </c>
      <c r="V984" s="122">
        <v>60993</v>
      </c>
      <c r="W984" s="122">
        <f t="shared" si="30"/>
        <v>60993</v>
      </c>
      <c r="X984" s="122">
        <f t="shared" si="31"/>
        <v>76164</v>
      </c>
      <c r="AA984" t="s">
        <v>58</v>
      </c>
      <c r="AB984" t="s">
        <v>406</v>
      </c>
      <c r="AC984" t="s">
        <v>408</v>
      </c>
      <c r="AD984" t="s">
        <v>406</v>
      </c>
      <c r="AE984" t="s">
        <v>137</v>
      </c>
      <c r="AF984">
        <v>1</v>
      </c>
      <c r="AG984">
        <v>95</v>
      </c>
      <c r="AH984">
        <v>270</v>
      </c>
      <c r="AI984" s="122">
        <v>12296</v>
      </c>
      <c r="AJ984" s="122">
        <v>11178</v>
      </c>
      <c r="AK984">
        <v>79</v>
      </c>
      <c r="AL984" s="122">
        <v>3416</v>
      </c>
      <c r="AM984" s="122">
        <v>3105</v>
      </c>
      <c r="AN984" s="122">
        <v>2323</v>
      </c>
      <c r="AO984">
        <v>860</v>
      </c>
      <c r="AP984">
        <v>621</v>
      </c>
      <c r="AQ984">
        <v>230</v>
      </c>
      <c r="AR984" s="122">
        <v>4298</v>
      </c>
      <c r="AS984" s="122">
        <v>3908</v>
      </c>
      <c r="AT984" s="122">
        <v>2813</v>
      </c>
      <c r="AU984" s="122">
        <v>1042</v>
      </c>
      <c r="AV984" s="122">
        <v>20323</v>
      </c>
    </row>
    <row r="985" spans="2:48" hidden="1">
      <c r="B985" t="s">
        <v>369</v>
      </c>
      <c r="C985" t="s">
        <v>56</v>
      </c>
      <c r="D985" t="s">
        <v>408</v>
      </c>
      <c r="E985" t="s">
        <v>408</v>
      </c>
      <c r="F985" s="122">
        <v>2</v>
      </c>
      <c r="G985" s="122">
        <v>249</v>
      </c>
      <c r="H985" s="122">
        <v>354</v>
      </c>
      <c r="I985" s="122">
        <v>25022</v>
      </c>
      <c r="J985" s="122">
        <v>22747</v>
      </c>
      <c r="K985" s="122">
        <v>89</v>
      </c>
      <c r="L985" s="122">
        <v>5648</v>
      </c>
      <c r="M985" s="122">
        <v>5134</v>
      </c>
      <c r="N985" s="122">
        <v>5941</v>
      </c>
      <c r="O985" s="122">
        <v>2201</v>
      </c>
      <c r="P985" s="122">
        <v>702</v>
      </c>
      <c r="Q985" s="122">
        <v>260</v>
      </c>
      <c r="R985" s="122">
        <v>7829</v>
      </c>
      <c r="S985" s="122">
        <v>7117</v>
      </c>
      <c r="T985" s="122">
        <v>2740</v>
      </c>
      <c r="U985" s="122">
        <v>1015</v>
      </c>
      <c r="V985" s="122">
        <v>38474</v>
      </c>
      <c r="W985" s="122">
        <f t="shared" si="30"/>
        <v>38474</v>
      </c>
      <c r="X985" s="122">
        <f t="shared" si="31"/>
        <v>47882</v>
      </c>
      <c r="AA985" t="s">
        <v>58</v>
      </c>
      <c r="AB985" t="s">
        <v>406</v>
      </c>
      <c r="AC985" t="s">
        <v>429</v>
      </c>
      <c r="AD985" t="s">
        <v>406</v>
      </c>
      <c r="AE985" t="s">
        <v>137</v>
      </c>
      <c r="AF985">
        <v>19</v>
      </c>
      <c r="AG985" s="122">
        <v>1965</v>
      </c>
      <c r="AH985" s="122">
        <v>4949</v>
      </c>
      <c r="AI985" s="122">
        <v>310992</v>
      </c>
      <c r="AJ985" s="122">
        <v>282720</v>
      </c>
      <c r="AK985">
        <v>79</v>
      </c>
      <c r="AL985" s="122">
        <v>44174</v>
      </c>
      <c r="AM985" s="122">
        <v>40158</v>
      </c>
      <c r="AN985" s="122">
        <v>36487</v>
      </c>
      <c r="AO985" s="122">
        <v>13514</v>
      </c>
      <c r="AP985" s="122">
        <v>11448</v>
      </c>
      <c r="AQ985" s="122">
        <v>4240</v>
      </c>
      <c r="AR985" s="122">
        <v>80568</v>
      </c>
      <c r="AS985" s="122">
        <v>73244</v>
      </c>
      <c r="AT985" s="122">
        <v>43187</v>
      </c>
      <c r="AU985" s="122">
        <v>15995</v>
      </c>
      <c r="AV985" s="122">
        <v>429871</v>
      </c>
    </row>
    <row r="986" spans="2:48" hidden="1">
      <c r="B986" t="s">
        <v>369</v>
      </c>
      <c r="C986" t="s">
        <v>56</v>
      </c>
      <c r="D986" t="s">
        <v>429</v>
      </c>
      <c r="E986" t="s">
        <v>137</v>
      </c>
      <c r="F986" s="122">
        <v>1</v>
      </c>
      <c r="G986" s="122">
        <v>87</v>
      </c>
      <c r="H986" s="122">
        <v>194</v>
      </c>
      <c r="I986" s="122">
        <v>6740</v>
      </c>
      <c r="J986" s="122">
        <v>6127</v>
      </c>
      <c r="K986" s="122">
        <v>83</v>
      </c>
      <c r="L986" s="122">
        <v>1528</v>
      </c>
      <c r="M986" s="122">
        <v>566</v>
      </c>
      <c r="N986" s="122">
        <v>1891</v>
      </c>
      <c r="O986" s="122">
        <v>700</v>
      </c>
      <c r="P986" s="122">
        <v>0</v>
      </c>
      <c r="Q986" s="122">
        <v>0</v>
      </c>
      <c r="R986" s="122">
        <v>6719</v>
      </c>
      <c r="S986" s="122">
        <v>2488</v>
      </c>
      <c r="T986" s="122">
        <v>0</v>
      </c>
      <c r="U986" s="122">
        <v>0</v>
      </c>
      <c r="V986" s="122">
        <v>9882</v>
      </c>
      <c r="W986" s="122">
        <f t="shared" si="30"/>
        <v>9881</v>
      </c>
      <c r="X986" s="122">
        <f t="shared" si="31"/>
        <v>16878</v>
      </c>
      <c r="AA986" t="s">
        <v>58</v>
      </c>
      <c r="AB986" t="s">
        <v>406</v>
      </c>
      <c r="AC986" t="s">
        <v>429</v>
      </c>
      <c r="AD986" t="s">
        <v>406</v>
      </c>
      <c r="AE986" t="s">
        <v>566</v>
      </c>
      <c r="AF986">
        <v>2</v>
      </c>
      <c r="AG986">
        <v>258</v>
      </c>
      <c r="AH986">
        <v>530</v>
      </c>
      <c r="AI986" s="122">
        <v>42272</v>
      </c>
      <c r="AJ986" s="122">
        <v>38429</v>
      </c>
      <c r="AK986">
        <v>70</v>
      </c>
      <c r="AL986" s="122">
        <v>4981</v>
      </c>
      <c r="AM986" s="122">
        <v>4528</v>
      </c>
      <c r="AN986" s="122">
        <v>5067</v>
      </c>
      <c r="AO986" s="122">
        <v>1877</v>
      </c>
      <c r="AP986" s="122">
        <v>1593</v>
      </c>
      <c r="AQ986">
        <v>590</v>
      </c>
      <c r="AR986" s="122">
        <v>13841</v>
      </c>
      <c r="AS986" s="122">
        <v>12583</v>
      </c>
      <c r="AT986">
        <v>0</v>
      </c>
      <c r="AU986">
        <v>0</v>
      </c>
      <c r="AV986" s="122">
        <v>58007</v>
      </c>
    </row>
    <row r="987" spans="2:48" hidden="1">
      <c r="B987" t="s">
        <v>369</v>
      </c>
      <c r="C987" t="s">
        <v>56</v>
      </c>
      <c r="D987" t="s">
        <v>429</v>
      </c>
      <c r="E987" t="s">
        <v>429</v>
      </c>
      <c r="F987" s="122">
        <v>1</v>
      </c>
      <c r="G987" s="122">
        <v>138</v>
      </c>
      <c r="H987" s="122">
        <v>152</v>
      </c>
      <c r="I987" s="122">
        <v>10638</v>
      </c>
      <c r="J987" s="122">
        <v>9671</v>
      </c>
      <c r="K987" s="122">
        <v>93</v>
      </c>
      <c r="L987" s="122">
        <v>3664</v>
      </c>
      <c r="M987" s="122">
        <v>3331</v>
      </c>
      <c r="N987" s="122">
        <v>1686</v>
      </c>
      <c r="O987" s="122">
        <v>625</v>
      </c>
      <c r="P987" s="122">
        <v>621</v>
      </c>
      <c r="Q987" s="122">
        <v>230</v>
      </c>
      <c r="R987" s="122">
        <v>4440</v>
      </c>
      <c r="S987" s="122">
        <v>4037</v>
      </c>
      <c r="T987" s="122">
        <v>0</v>
      </c>
      <c r="U987" s="122">
        <v>0</v>
      </c>
      <c r="V987" s="122">
        <v>17893</v>
      </c>
      <c r="W987" s="122">
        <f t="shared" si="30"/>
        <v>17894</v>
      </c>
      <c r="X987" s="122">
        <f t="shared" si="31"/>
        <v>21049</v>
      </c>
      <c r="AA987" t="s">
        <v>58</v>
      </c>
      <c r="AB987" t="s">
        <v>427</v>
      </c>
      <c r="AC987" t="s">
        <v>425</v>
      </c>
      <c r="AD987" t="s">
        <v>427</v>
      </c>
      <c r="AE987" t="s">
        <v>137</v>
      </c>
      <c r="AF987">
        <v>1</v>
      </c>
      <c r="AG987">
        <v>100</v>
      </c>
      <c r="AH987">
        <v>258</v>
      </c>
      <c r="AI987" s="122">
        <v>14456</v>
      </c>
      <c r="AJ987" s="122">
        <v>13142</v>
      </c>
      <c r="AK987">
        <v>55</v>
      </c>
      <c r="AL987" s="122">
        <v>1359</v>
      </c>
      <c r="AM987" s="122">
        <v>1236</v>
      </c>
      <c r="AN987" s="122">
        <v>1214</v>
      </c>
      <c r="AO987">
        <v>450</v>
      </c>
      <c r="AP987">
        <v>351</v>
      </c>
      <c r="AQ987">
        <v>130</v>
      </c>
      <c r="AR987" s="122">
        <v>5682</v>
      </c>
      <c r="AS987" s="122">
        <v>5165</v>
      </c>
      <c r="AT987" s="122">
        <v>2691</v>
      </c>
      <c r="AU987">
        <v>997</v>
      </c>
      <c r="AV987" s="122">
        <v>21119</v>
      </c>
    </row>
    <row r="988" spans="2:48" hidden="1">
      <c r="B988" t="s">
        <v>369</v>
      </c>
      <c r="C988" t="s">
        <v>58</v>
      </c>
      <c r="F988" s="122">
        <v>20</v>
      </c>
      <c r="G988" s="122">
        <v>1199</v>
      </c>
      <c r="H988" s="122">
        <v>5058</v>
      </c>
      <c r="I988" s="122"/>
      <c r="J988" s="122">
        <v>0</v>
      </c>
      <c r="K988" s="122"/>
      <c r="L988" s="122"/>
      <c r="M988" s="122">
        <v>0</v>
      </c>
      <c r="N988" s="122">
        <v>23706</v>
      </c>
      <c r="O988" s="122">
        <v>8780</v>
      </c>
      <c r="P988" s="122">
        <v>6768</v>
      </c>
      <c r="Q988" s="122">
        <v>2507</v>
      </c>
      <c r="R988" s="122"/>
      <c r="S988" s="122">
        <v>0</v>
      </c>
      <c r="T988" s="122">
        <v>3062</v>
      </c>
      <c r="U988" s="122">
        <v>1134</v>
      </c>
      <c r="V988" s="122">
        <v>12421</v>
      </c>
      <c r="W988" s="122">
        <f t="shared" si="30"/>
        <v>12421</v>
      </c>
      <c r="X988" s="122">
        <f t="shared" si="31"/>
        <v>33536</v>
      </c>
      <c r="AA988" t="s">
        <v>58</v>
      </c>
      <c r="AB988" t="s">
        <v>427</v>
      </c>
      <c r="AC988" t="s">
        <v>137</v>
      </c>
      <c r="AD988" t="s">
        <v>137</v>
      </c>
      <c r="AE988" t="s">
        <v>566</v>
      </c>
      <c r="AF988">
        <v>5</v>
      </c>
      <c r="AG988">
        <v>380</v>
      </c>
      <c r="AH988" s="122">
        <v>1411</v>
      </c>
      <c r="AI988" s="122">
        <v>48098</v>
      </c>
      <c r="AJ988" s="122">
        <v>43726</v>
      </c>
      <c r="AK988">
        <v>70</v>
      </c>
      <c r="AL988" s="122">
        <v>12976</v>
      </c>
      <c r="AM988" s="122">
        <v>4806</v>
      </c>
      <c r="AN988" s="122">
        <v>7733</v>
      </c>
      <c r="AO988" s="122">
        <v>2864</v>
      </c>
      <c r="AP988" s="122">
        <v>1053</v>
      </c>
      <c r="AQ988">
        <v>390</v>
      </c>
      <c r="AR988" s="122">
        <v>37015</v>
      </c>
      <c r="AS988" s="122">
        <v>13709</v>
      </c>
      <c r="AT988">
        <v>0</v>
      </c>
      <c r="AU988">
        <v>0</v>
      </c>
      <c r="AV988" s="122">
        <v>65495</v>
      </c>
    </row>
    <row r="989" spans="2:48" hidden="1">
      <c r="B989" t="s">
        <v>369</v>
      </c>
      <c r="C989" t="s">
        <v>58</v>
      </c>
      <c r="D989" t="s">
        <v>425</v>
      </c>
      <c r="E989" t="s">
        <v>425</v>
      </c>
      <c r="F989" s="122">
        <v>7</v>
      </c>
      <c r="G989" s="122">
        <v>841</v>
      </c>
      <c r="H989" s="122">
        <v>1726</v>
      </c>
      <c r="I989" s="122">
        <v>118523</v>
      </c>
      <c r="J989" s="122">
        <v>107748</v>
      </c>
      <c r="K989" s="122">
        <v>72</v>
      </c>
      <c r="L989" s="122">
        <v>21946</v>
      </c>
      <c r="M989" s="122">
        <v>16346</v>
      </c>
      <c r="N989" s="122">
        <v>18173</v>
      </c>
      <c r="O989" s="122">
        <v>6731</v>
      </c>
      <c r="P989" s="122">
        <v>3686</v>
      </c>
      <c r="Q989" s="122">
        <v>1365</v>
      </c>
      <c r="R989" s="122">
        <v>38066</v>
      </c>
      <c r="S989" s="122">
        <v>34606</v>
      </c>
      <c r="T989" s="122">
        <v>6761</v>
      </c>
      <c r="U989" s="122">
        <v>2504</v>
      </c>
      <c r="V989" s="122">
        <v>169299</v>
      </c>
      <c r="W989" s="122">
        <f t="shared" si="30"/>
        <v>169300</v>
      </c>
      <c r="X989" s="122">
        <f t="shared" si="31"/>
        <v>207155</v>
      </c>
      <c r="AA989" t="s">
        <v>58</v>
      </c>
      <c r="AB989" t="s">
        <v>427</v>
      </c>
      <c r="AC989" t="s">
        <v>137</v>
      </c>
      <c r="AD989" t="s">
        <v>427</v>
      </c>
      <c r="AE989" t="s">
        <v>137</v>
      </c>
      <c r="AF989">
        <v>73</v>
      </c>
      <c r="AG989" s="122">
        <v>6221</v>
      </c>
      <c r="AH989" s="122">
        <v>19958</v>
      </c>
      <c r="AI989" s="122">
        <v>873027</v>
      </c>
      <c r="AJ989" s="122">
        <v>793661</v>
      </c>
      <c r="AK989">
        <v>57</v>
      </c>
      <c r="AL989" s="122">
        <v>154579</v>
      </c>
      <c r="AM989" s="122">
        <v>57252</v>
      </c>
      <c r="AN989" s="122">
        <v>121392</v>
      </c>
      <c r="AO989" s="122">
        <v>44960</v>
      </c>
      <c r="AP989" s="122">
        <v>24212</v>
      </c>
      <c r="AQ989" s="122">
        <v>8967</v>
      </c>
      <c r="AR989" s="122">
        <v>355037</v>
      </c>
      <c r="AS989" s="122">
        <v>322761</v>
      </c>
      <c r="AT989" s="122">
        <v>165354</v>
      </c>
      <c r="AU989" s="122">
        <v>61242</v>
      </c>
      <c r="AV989" s="122">
        <v>1288843</v>
      </c>
    </row>
    <row r="990" spans="2:48" hidden="1">
      <c r="B990" t="s">
        <v>369</v>
      </c>
      <c r="C990" t="s">
        <v>58</v>
      </c>
      <c r="D990" t="s">
        <v>405</v>
      </c>
      <c r="E990" t="s">
        <v>405</v>
      </c>
      <c r="F990" s="122">
        <v>24</v>
      </c>
      <c r="G990" s="122">
        <v>2430</v>
      </c>
      <c r="H990" s="122">
        <v>6245</v>
      </c>
      <c r="I990" s="122">
        <v>357777</v>
      </c>
      <c r="J990" s="122">
        <v>325252</v>
      </c>
      <c r="K990" s="122">
        <v>76</v>
      </c>
      <c r="L990" s="122">
        <v>70015</v>
      </c>
      <c r="M990" s="122">
        <v>62676</v>
      </c>
      <c r="N990" s="122">
        <v>50940</v>
      </c>
      <c r="O990" s="122">
        <v>18867</v>
      </c>
      <c r="P990" s="122">
        <v>11475</v>
      </c>
      <c r="Q990" s="122">
        <v>4250</v>
      </c>
      <c r="R990" s="122">
        <v>121681</v>
      </c>
      <c r="S990" s="122">
        <v>110619</v>
      </c>
      <c r="T990" s="122">
        <v>29390</v>
      </c>
      <c r="U990" s="122">
        <v>10885</v>
      </c>
      <c r="V990" s="122">
        <v>532549</v>
      </c>
      <c r="W990" s="122">
        <f t="shared" si="30"/>
        <v>532549</v>
      </c>
      <c r="X990" s="122">
        <f t="shared" si="31"/>
        <v>641278</v>
      </c>
      <c r="AA990" t="s">
        <v>58</v>
      </c>
      <c r="AB990" t="s">
        <v>427</v>
      </c>
      <c r="AC990" t="s">
        <v>137</v>
      </c>
      <c r="AD990" t="s">
        <v>427</v>
      </c>
      <c r="AE990" t="s">
        <v>566</v>
      </c>
      <c r="AF990">
        <v>9</v>
      </c>
      <c r="AG990">
        <v>787</v>
      </c>
      <c r="AH990" s="122">
        <v>2514</v>
      </c>
      <c r="AI990" s="122">
        <v>110709</v>
      </c>
      <c r="AJ990" s="122">
        <v>100645</v>
      </c>
      <c r="AK990">
        <v>55</v>
      </c>
      <c r="AL990" s="122">
        <v>18478</v>
      </c>
      <c r="AM990" s="122">
        <v>6844</v>
      </c>
      <c r="AN990" s="122">
        <v>14615</v>
      </c>
      <c r="AO990" s="122">
        <v>5413</v>
      </c>
      <c r="AP990" s="122">
        <v>1755</v>
      </c>
      <c r="AQ990">
        <v>650</v>
      </c>
      <c r="AR990" s="122">
        <v>73159</v>
      </c>
      <c r="AS990" s="122">
        <v>66508</v>
      </c>
      <c r="AT990">
        <v>0</v>
      </c>
      <c r="AU990">
        <v>0</v>
      </c>
      <c r="AV990" s="122">
        <v>180059</v>
      </c>
    </row>
    <row r="991" spans="2:48" hidden="1">
      <c r="B991" t="s">
        <v>369</v>
      </c>
      <c r="C991" t="s">
        <v>58</v>
      </c>
      <c r="D991" t="s">
        <v>137</v>
      </c>
      <c r="E991" t="s">
        <v>137</v>
      </c>
      <c r="F991" s="122">
        <v>629</v>
      </c>
      <c r="G991" s="122">
        <v>64769</v>
      </c>
      <c r="H991" s="122">
        <v>165480</v>
      </c>
      <c r="I991" s="122">
        <v>9519639</v>
      </c>
      <c r="J991" s="122">
        <v>3525792</v>
      </c>
      <c r="K991" s="122">
        <v>104</v>
      </c>
      <c r="L991" s="122">
        <v>1634382</v>
      </c>
      <c r="M991" s="122">
        <v>1065037</v>
      </c>
      <c r="N991" s="122">
        <v>1293589</v>
      </c>
      <c r="O991" s="122">
        <v>479107</v>
      </c>
      <c r="P991" s="122">
        <v>23976</v>
      </c>
      <c r="Q991" s="122">
        <v>8880</v>
      </c>
      <c r="R991" s="122">
        <v>4807658</v>
      </c>
      <c r="S991" s="122">
        <v>1780614</v>
      </c>
      <c r="T991" s="122">
        <v>18939</v>
      </c>
      <c r="U991" s="122">
        <v>7015</v>
      </c>
      <c r="V991" s="122">
        <v>6866445</v>
      </c>
      <c r="W991" s="122">
        <f t="shared" si="30"/>
        <v>6866445</v>
      </c>
      <c r="X991" s="122">
        <f t="shared" si="31"/>
        <v>17298183</v>
      </c>
      <c r="AA991" t="s">
        <v>58</v>
      </c>
      <c r="AB991" t="s">
        <v>427</v>
      </c>
      <c r="AC991" t="s">
        <v>580</v>
      </c>
      <c r="AD991" t="s">
        <v>427</v>
      </c>
      <c r="AE991" t="s">
        <v>137</v>
      </c>
      <c r="AF991">
        <v>7</v>
      </c>
      <c r="AG991">
        <v>644</v>
      </c>
      <c r="AH991" s="122">
        <v>1879</v>
      </c>
      <c r="AI991" s="122">
        <v>96807</v>
      </c>
      <c r="AJ991" s="122">
        <v>88007</v>
      </c>
      <c r="AK991">
        <v>60</v>
      </c>
      <c r="AL991" s="122">
        <v>10157</v>
      </c>
      <c r="AM991" s="122">
        <v>9234</v>
      </c>
      <c r="AN991" s="122">
        <v>11927</v>
      </c>
      <c r="AO991" s="122">
        <v>4418</v>
      </c>
      <c r="AP991" s="122">
        <v>3969</v>
      </c>
      <c r="AQ991" s="122">
        <v>1470</v>
      </c>
      <c r="AR991" s="122">
        <v>33020</v>
      </c>
      <c r="AS991" s="122">
        <v>30018</v>
      </c>
      <c r="AT991" s="122">
        <v>16789</v>
      </c>
      <c r="AU991" s="122">
        <v>6218</v>
      </c>
      <c r="AV991" s="122">
        <v>139364</v>
      </c>
    </row>
    <row r="992" spans="2:48" hidden="1">
      <c r="B992" t="s">
        <v>369</v>
      </c>
      <c r="C992" t="s">
        <v>58</v>
      </c>
      <c r="D992" t="s">
        <v>137</v>
      </c>
      <c r="E992" t="s">
        <v>427</v>
      </c>
      <c r="F992" s="122">
        <v>1</v>
      </c>
      <c r="G992" s="122">
        <v>103</v>
      </c>
      <c r="H992" s="122">
        <v>273</v>
      </c>
      <c r="I992" s="122">
        <v>14422</v>
      </c>
      <c r="J992" s="122">
        <v>5342</v>
      </c>
      <c r="K992" s="122">
        <v>100</v>
      </c>
      <c r="L992" s="122">
        <v>2938</v>
      </c>
      <c r="M992" s="122">
        <v>2671</v>
      </c>
      <c r="N992" s="122">
        <v>1966</v>
      </c>
      <c r="O992" s="122">
        <v>728</v>
      </c>
      <c r="P992" s="122">
        <v>351</v>
      </c>
      <c r="Q992" s="122">
        <v>130</v>
      </c>
      <c r="R992" s="122">
        <v>5873</v>
      </c>
      <c r="S992" s="122">
        <v>5339</v>
      </c>
      <c r="T992" s="122">
        <v>2463</v>
      </c>
      <c r="U992" s="122">
        <v>912</v>
      </c>
      <c r="V992" s="122">
        <v>15122</v>
      </c>
      <c r="W992" s="122">
        <f t="shared" si="30"/>
        <v>15122</v>
      </c>
      <c r="X992" s="122">
        <f t="shared" si="31"/>
        <v>28013</v>
      </c>
      <c r="AA992" t="s">
        <v>58</v>
      </c>
      <c r="AB992" t="s">
        <v>427</v>
      </c>
      <c r="AC992" t="s">
        <v>580</v>
      </c>
      <c r="AD992" t="s">
        <v>427</v>
      </c>
      <c r="AE992" t="s">
        <v>566</v>
      </c>
      <c r="AF992">
        <v>1</v>
      </c>
      <c r="AG992">
        <v>108</v>
      </c>
      <c r="AH992">
        <v>256</v>
      </c>
      <c r="AI992" s="122">
        <v>15450</v>
      </c>
      <c r="AJ992" s="122">
        <v>14045</v>
      </c>
      <c r="AK992">
        <v>65</v>
      </c>
      <c r="AL992" s="122">
        <v>1632</v>
      </c>
      <c r="AM992" s="122">
        <v>1484</v>
      </c>
      <c r="AN992" s="122">
        <v>2474</v>
      </c>
      <c r="AO992">
        <v>916</v>
      </c>
      <c r="AP992">
        <v>621</v>
      </c>
      <c r="AQ992">
        <v>230</v>
      </c>
      <c r="AR992" s="122">
        <v>7496</v>
      </c>
      <c r="AS992" s="122">
        <v>6815</v>
      </c>
      <c r="AT992">
        <v>0</v>
      </c>
      <c r="AU992">
        <v>0</v>
      </c>
      <c r="AV992" s="122">
        <v>23490</v>
      </c>
    </row>
    <row r="993" spans="2:48" hidden="1">
      <c r="B993" t="s">
        <v>369</v>
      </c>
      <c r="C993" t="s">
        <v>58</v>
      </c>
      <c r="D993" t="s">
        <v>137</v>
      </c>
      <c r="E993" t="s">
        <v>556</v>
      </c>
      <c r="F993" s="122">
        <v>15</v>
      </c>
      <c r="G993" s="122">
        <v>668</v>
      </c>
      <c r="H993" s="122">
        <v>3893</v>
      </c>
      <c r="I993" s="122">
        <v>65004</v>
      </c>
      <c r="J993" s="122">
        <v>24076</v>
      </c>
      <c r="K993" s="122">
        <v>303</v>
      </c>
      <c r="L993" s="122">
        <v>11964</v>
      </c>
      <c r="M993" s="122">
        <v>9970</v>
      </c>
      <c r="N993" s="122">
        <v>10623</v>
      </c>
      <c r="O993" s="122">
        <v>3934</v>
      </c>
      <c r="P993" s="122">
        <v>3151</v>
      </c>
      <c r="Q993" s="122">
        <v>1167</v>
      </c>
      <c r="R993" s="122">
        <v>59318</v>
      </c>
      <c r="S993" s="122">
        <v>49431</v>
      </c>
      <c r="T993" s="122">
        <v>26177</v>
      </c>
      <c r="U993" s="122">
        <v>9695</v>
      </c>
      <c r="V993" s="122">
        <v>98273</v>
      </c>
      <c r="W993" s="122">
        <f t="shared" si="30"/>
        <v>98273</v>
      </c>
      <c r="X993" s="122">
        <f t="shared" si="31"/>
        <v>176237</v>
      </c>
      <c r="AA993" t="s">
        <v>58</v>
      </c>
      <c r="AB993" t="s">
        <v>427</v>
      </c>
      <c r="AC993" t="s">
        <v>580</v>
      </c>
      <c r="AD993" t="s">
        <v>431</v>
      </c>
      <c r="AE993" t="s">
        <v>137</v>
      </c>
      <c r="AF993">
        <v>1</v>
      </c>
      <c r="AG993">
        <v>95</v>
      </c>
      <c r="AH993">
        <v>258</v>
      </c>
      <c r="AI993" s="122">
        <v>13821</v>
      </c>
      <c r="AJ993" s="122">
        <v>12565</v>
      </c>
      <c r="AK993">
        <v>65</v>
      </c>
      <c r="AL993" s="122">
        <v>1664</v>
      </c>
      <c r="AM993" s="122">
        <v>1512</v>
      </c>
      <c r="AN993" s="122">
        <v>2029</v>
      </c>
      <c r="AO993">
        <v>751</v>
      </c>
      <c r="AP993">
        <v>351</v>
      </c>
      <c r="AQ993">
        <v>130</v>
      </c>
      <c r="AR993" s="122">
        <v>6544</v>
      </c>
      <c r="AS993" s="122">
        <v>5949</v>
      </c>
      <c r="AT993">
        <v>0</v>
      </c>
      <c r="AU993">
        <v>0</v>
      </c>
      <c r="AV993" s="122">
        <v>20908</v>
      </c>
    </row>
    <row r="994" spans="2:48" hidden="1">
      <c r="B994" t="s">
        <v>369</v>
      </c>
      <c r="C994" t="s">
        <v>58</v>
      </c>
      <c r="D994" t="s">
        <v>137</v>
      </c>
      <c r="E994" t="s">
        <v>426</v>
      </c>
      <c r="F994" s="122">
        <v>4</v>
      </c>
      <c r="G994" s="122">
        <v>265</v>
      </c>
      <c r="H994" s="122">
        <v>1069</v>
      </c>
      <c r="I994" s="122">
        <v>39752</v>
      </c>
      <c r="J994" s="122">
        <v>14723</v>
      </c>
      <c r="K994" s="122">
        <v>138</v>
      </c>
      <c r="L994" s="122">
        <v>4596</v>
      </c>
      <c r="M994" s="122">
        <v>4178</v>
      </c>
      <c r="N994" s="122">
        <v>4040</v>
      </c>
      <c r="O994" s="122">
        <v>1496</v>
      </c>
      <c r="P994" s="122">
        <v>483</v>
      </c>
      <c r="Q994" s="122">
        <v>179</v>
      </c>
      <c r="R994" s="122">
        <v>16378</v>
      </c>
      <c r="S994" s="122">
        <v>14889</v>
      </c>
      <c r="T994" s="122">
        <v>5315</v>
      </c>
      <c r="U994" s="122">
        <v>1969</v>
      </c>
      <c r="V994" s="122">
        <v>37434</v>
      </c>
      <c r="W994" s="122">
        <f t="shared" si="30"/>
        <v>37434</v>
      </c>
      <c r="X994" s="122">
        <f t="shared" si="31"/>
        <v>70564</v>
      </c>
      <c r="AA994" t="s">
        <v>58</v>
      </c>
      <c r="AB994" t="s">
        <v>427</v>
      </c>
      <c r="AC994" t="s">
        <v>427</v>
      </c>
      <c r="AD994" t="s">
        <v>137</v>
      </c>
      <c r="AE994" t="s">
        <v>137</v>
      </c>
      <c r="AF994">
        <v>1</v>
      </c>
      <c r="AG994">
        <v>135</v>
      </c>
      <c r="AH994">
        <v>255</v>
      </c>
      <c r="AI994" s="122">
        <v>22510</v>
      </c>
      <c r="AJ994" s="122">
        <v>20463</v>
      </c>
      <c r="AK994">
        <v>55</v>
      </c>
      <c r="AL994" s="122">
        <v>2501</v>
      </c>
      <c r="AM994" s="122">
        <v>2274</v>
      </c>
      <c r="AN994" s="122">
        <v>3300</v>
      </c>
      <c r="AO994" s="122">
        <v>1222</v>
      </c>
      <c r="AP994">
        <v>0</v>
      </c>
      <c r="AQ994">
        <v>0</v>
      </c>
      <c r="AR994" s="122">
        <v>6210</v>
      </c>
      <c r="AS994" s="122">
        <v>2300</v>
      </c>
      <c r="AT994">
        <v>0</v>
      </c>
      <c r="AU994">
        <v>0</v>
      </c>
      <c r="AV994" s="122">
        <v>26259</v>
      </c>
    </row>
    <row r="995" spans="2:48" hidden="1">
      <c r="B995" t="s">
        <v>369</v>
      </c>
      <c r="C995" t="s">
        <v>58</v>
      </c>
      <c r="D995" t="s">
        <v>406</v>
      </c>
      <c r="E995" t="s">
        <v>137</v>
      </c>
      <c r="F995" s="122">
        <v>9</v>
      </c>
      <c r="G995" s="122">
        <v>828</v>
      </c>
      <c r="H995" s="122">
        <v>2486</v>
      </c>
      <c r="I995" s="122">
        <v>101149</v>
      </c>
      <c r="J995" s="122">
        <v>91953</v>
      </c>
      <c r="K995" s="122">
        <v>84</v>
      </c>
      <c r="L995" s="122">
        <v>21982</v>
      </c>
      <c r="M995" s="122">
        <v>16501</v>
      </c>
      <c r="N995" s="122">
        <v>18900</v>
      </c>
      <c r="O995" s="122">
        <v>7000</v>
      </c>
      <c r="P995" s="122">
        <v>5171</v>
      </c>
      <c r="Q995" s="122">
        <v>1915</v>
      </c>
      <c r="R995" s="122">
        <v>79408</v>
      </c>
      <c r="S995" s="122">
        <v>29410</v>
      </c>
      <c r="T995" s="122">
        <v>0</v>
      </c>
      <c r="U995" s="122">
        <v>0</v>
      </c>
      <c r="V995" s="122">
        <v>146779</v>
      </c>
      <c r="W995" s="122">
        <f t="shared" si="30"/>
        <v>146779</v>
      </c>
      <c r="X995" s="122">
        <f t="shared" si="31"/>
        <v>226610</v>
      </c>
      <c r="AA995" t="s">
        <v>58</v>
      </c>
      <c r="AB995" t="s">
        <v>427</v>
      </c>
      <c r="AC995" t="s">
        <v>427</v>
      </c>
      <c r="AD995" t="s">
        <v>406</v>
      </c>
      <c r="AE995" t="s">
        <v>137</v>
      </c>
      <c r="AF995">
        <v>2</v>
      </c>
      <c r="AG995">
        <v>164</v>
      </c>
      <c r="AH995">
        <v>563</v>
      </c>
      <c r="AI995" s="122">
        <v>24582</v>
      </c>
      <c r="AJ995" s="122">
        <v>22347</v>
      </c>
      <c r="AK995">
        <v>65</v>
      </c>
      <c r="AL995" s="122">
        <v>5495</v>
      </c>
      <c r="AM995" s="122">
        <v>4995</v>
      </c>
      <c r="AN995" s="122">
        <v>2555</v>
      </c>
      <c r="AO995">
        <v>946</v>
      </c>
      <c r="AP995">
        <v>702</v>
      </c>
      <c r="AQ995">
        <v>260</v>
      </c>
      <c r="AR995" s="122">
        <v>8339</v>
      </c>
      <c r="AS995" s="122">
        <v>7580</v>
      </c>
      <c r="AT995" s="122">
        <v>4379</v>
      </c>
      <c r="AU995" s="122">
        <v>1622</v>
      </c>
      <c r="AV995" s="122">
        <v>37751</v>
      </c>
    </row>
    <row r="996" spans="2:48" hidden="1">
      <c r="B996" t="s">
        <v>369</v>
      </c>
      <c r="C996" t="s">
        <v>58</v>
      </c>
      <c r="D996" t="s">
        <v>406</v>
      </c>
      <c r="E996" t="s">
        <v>406</v>
      </c>
      <c r="F996" s="122">
        <v>1338</v>
      </c>
      <c r="G996" s="122">
        <v>125337</v>
      </c>
      <c r="H996" s="122">
        <v>342520</v>
      </c>
      <c r="I996" s="122">
        <v>16695096</v>
      </c>
      <c r="J996" s="122">
        <v>15177360</v>
      </c>
      <c r="K996" s="122">
        <v>79</v>
      </c>
      <c r="L996" s="122">
        <v>3895405</v>
      </c>
      <c r="M996" s="122">
        <v>3689618</v>
      </c>
      <c r="N996" s="122">
        <v>2462711</v>
      </c>
      <c r="O996" s="122">
        <v>912115</v>
      </c>
      <c r="P996" s="122">
        <v>877445</v>
      </c>
      <c r="Q996" s="122">
        <v>324980</v>
      </c>
      <c r="R996" s="122">
        <v>6862420</v>
      </c>
      <c r="S996" s="122">
        <v>6238564</v>
      </c>
      <c r="T996" s="122">
        <v>1408185</v>
      </c>
      <c r="U996" s="122">
        <v>521550</v>
      </c>
      <c r="V996" s="122">
        <v>26864187</v>
      </c>
      <c r="W996" s="122">
        <f t="shared" si="30"/>
        <v>26864187</v>
      </c>
      <c r="X996" s="122">
        <f t="shared" si="31"/>
        <v>32201262</v>
      </c>
      <c r="AA996" t="s">
        <v>58</v>
      </c>
      <c r="AB996" t="s">
        <v>427</v>
      </c>
      <c r="AC996" t="s">
        <v>427</v>
      </c>
      <c r="AD996" t="s">
        <v>427</v>
      </c>
      <c r="AE996" t="s">
        <v>137</v>
      </c>
      <c r="AF996">
        <v>126</v>
      </c>
      <c r="AG996" s="122">
        <v>10686</v>
      </c>
      <c r="AH996" s="122">
        <v>34748</v>
      </c>
      <c r="AI996" s="122">
        <v>1503482</v>
      </c>
      <c r="AJ996" s="122">
        <v>1366801</v>
      </c>
      <c r="AK996">
        <v>59</v>
      </c>
      <c r="AL996" s="122">
        <v>298615</v>
      </c>
      <c r="AM996" s="122">
        <v>271468</v>
      </c>
      <c r="AN996" s="122">
        <v>213793</v>
      </c>
      <c r="AO996" s="122">
        <v>79183</v>
      </c>
      <c r="AP996" s="122">
        <v>44196</v>
      </c>
      <c r="AQ996" s="122">
        <v>16369</v>
      </c>
      <c r="AR996" s="122">
        <v>609356</v>
      </c>
      <c r="AS996" s="122">
        <v>553960</v>
      </c>
      <c r="AT996" s="122">
        <v>284548</v>
      </c>
      <c r="AU996" s="122">
        <v>105388</v>
      </c>
      <c r="AV996" s="122">
        <v>2393170</v>
      </c>
    </row>
    <row r="997" spans="2:48" hidden="1">
      <c r="B997" t="s">
        <v>369</v>
      </c>
      <c r="C997" t="s">
        <v>58</v>
      </c>
      <c r="D997" t="s">
        <v>406</v>
      </c>
      <c r="E997" t="s">
        <v>427</v>
      </c>
      <c r="F997" s="122">
        <v>1</v>
      </c>
      <c r="G997" s="122">
        <v>85</v>
      </c>
      <c r="H997" s="122">
        <v>280</v>
      </c>
      <c r="I997" s="122">
        <v>11014</v>
      </c>
      <c r="J997" s="122">
        <v>10013</v>
      </c>
      <c r="K997" s="122">
        <v>70</v>
      </c>
      <c r="L997" s="122">
        <v>2713</v>
      </c>
      <c r="M997" s="122">
        <v>2466</v>
      </c>
      <c r="N997" s="122">
        <v>2081</v>
      </c>
      <c r="O997" s="122">
        <v>771</v>
      </c>
      <c r="P997" s="122">
        <v>621</v>
      </c>
      <c r="Q997" s="122">
        <v>230</v>
      </c>
      <c r="R997" s="122">
        <v>7496</v>
      </c>
      <c r="S997" s="122">
        <v>6815</v>
      </c>
      <c r="T997" s="122">
        <v>0</v>
      </c>
      <c r="U997" s="122">
        <v>0</v>
      </c>
      <c r="V997" s="122">
        <v>20295</v>
      </c>
      <c r="W997" s="122">
        <f t="shared" si="30"/>
        <v>20295</v>
      </c>
      <c r="X997" s="122">
        <f t="shared" si="31"/>
        <v>23925</v>
      </c>
      <c r="AA997" t="s">
        <v>58</v>
      </c>
      <c r="AB997" t="s">
        <v>427</v>
      </c>
      <c r="AC997" t="s">
        <v>427</v>
      </c>
      <c r="AD997" t="s">
        <v>427</v>
      </c>
      <c r="AE997" t="s">
        <v>566</v>
      </c>
      <c r="AF997">
        <v>19</v>
      </c>
      <c r="AG997" s="122">
        <v>1676</v>
      </c>
      <c r="AH997" s="122">
        <v>4990</v>
      </c>
      <c r="AI997" s="122">
        <v>227867</v>
      </c>
      <c r="AJ997" s="122">
        <v>207152</v>
      </c>
      <c r="AK997">
        <v>59</v>
      </c>
      <c r="AL997" s="122">
        <v>41667</v>
      </c>
      <c r="AM997" s="122">
        <v>37879</v>
      </c>
      <c r="AN997" s="122">
        <v>30683</v>
      </c>
      <c r="AO997" s="122">
        <v>11364</v>
      </c>
      <c r="AP997" s="122">
        <v>6588</v>
      </c>
      <c r="AQ997" s="122">
        <v>2440</v>
      </c>
      <c r="AR997" s="122">
        <v>135346</v>
      </c>
      <c r="AS997" s="122">
        <v>123042</v>
      </c>
      <c r="AT997">
        <v>0</v>
      </c>
      <c r="AU997">
        <v>0</v>
      </c>
      <c r="AV997" s="122">
        <v>381877</v>
      </c>
    </row>
    <row r="998" spans="2:48" hidden="1">
      <c r="B998" t="s">
        <v>369</v>
      </c>
      <c r="C998" t="s">
        <v>58</v>
      </c>
      <c r="D998" t="s">
        <v>406</v>
      </c>
      <c r="E998" t="s">
        <v>556</v>
      </c>
      <c r="F998" s="122">
        <v>1</v>
      </c>
      <c r="G998" s="122">
        <v>107</v>
      </c>
      <c r="H998" s="122">
        <v>240</v>
      </c>
      <c r="I998" s="122">
        <v>13308</v>
      </c>
      <c r="J998" s="122">
        <v>12098</v>
      </c>
      <c r="K998" s="122">
        <v>79</v>
      </c>
      <c r="L998" s="122">
        <v>3697</v>
      </c>
      <c r="M998" s="122">
        <v>3360</v>
      </c>
      <c r="N998" s="122">
        <v>2601</v>
      </c>
      <c r="O998" s="122">
        <v>963</v>
      </c>
      <c r="P998" s="122">
        <v>621</v>
      </c>
      <c r="Q998" s="122">
        <v>230</v>
      </c>
      <c r="R998" s="122">
        <v>5407</v>
      </c>
      <c r="S998" s="122">
        <v>4506</v>
      </c>
      <c r="T998" s="122">
        <v>0</v>
      </c>
      <c r="U998" s="122">
        <v>0</v>
      </c>
      <c r="V998" s="122">
        <v>21158</v>
      </c>
      <c r="W998" s="122">
        <f t="shared" si="30"/>
        <v>21157</v>
      </c>
      <c r="X998" s="122">
        <f t="shared" si="31"/>
        <v>25634</v>
      </c>
      <c r="AA998" t="s">
        <v>58</v>
      </c>
      <c r="AB998" t="s">
        <v>427</v>
      </c>
      <c r="AC998" t="s">
        <v>579</v>
      </c>
      <c r="AD998" t="s">
        <v>406</v>
      </c>
      <c r="AE998" t="s">
        <v>137</v>
      </c>
      <c r="AF998">
        <v>2</v>
      </c>
      <c r="AG998">
        <v>154</v>
      </c>
      <c r="AH998">
        <v>508</v>
      </c>
      <c r="AI998" s="122">
        <v>17333</v>
      </c>
      <c r="AJ998" s="122">
        <v>15757</v>
      </c>
      <c r="AK998">
        <v>78</v>
      </c>
      <c r="AL998" s="122">
        <v>3949</v>
      </c>
      <c r="AM998" s="122">
        <v>3291</v>
      </c>
      <c r="AN998" s="122">
        <v>3363</v>
      </c>
      <c r="AO998" s="122">
        <v>1246</v>
      </c>
      <c r="AP998" s="122">
        <v>1242</v>
      </c>
      <c r="AQ998">
        <v>460</v>
      </c>
      <c r="AR998" s="122">
        <v>8175</v>
      </c>
      <c r="AS998" s="122">
        <v>7432</v>
      </c>
      <c r="AT998" s="122">
        <v>4965</v>
      </c>
      <c r="AU998" s="122">
        <v>1839</v>
      </c>
      <c r="AV998" s="122">
        <v>30025</v>
      </c>
    </row>
    <row r="999" spans="2:48" hidden="1">
      <c r="B999" t="s">
        <v>369</v>
      </c>
      <c r="C999" t="s">
        <v>58</v>
      </c>
      <c r="D999" t="s">
        <v>406</v>
      </c>
      <c r="E999" t="s">
        <v>426</v>
      </c>
      <c r="F999" s="122">
        <v>2</v>
      </c>
      <c r="G999" s="122">
        <v>115</v>
      </c>
      <c r="H999" s="122">
        <v>503</v>
      </c>
      <c r="I999" s="122">
        <v>14351</v>
      </c>
      <c r="J999" s="122">
        <v>13046</v>
      </c>
      <c r="K999" s="122">
        <v>86</v>
      </c>
      <c r="L999" s="122">
        <v>2226</v>
      </c>
      <c r="M999" s="122">
        <v>2023</v>
      </c>
      <c r="N999" s="122">
        <v>1399</v>
      </c>
      <c r="O999" s="122">
        <v>518</v>
      </c>
      <c r="P999" s="122">
        <v>1242</v>
      </c>
      <c r="Q999" s="122">
        <v>460</v>
      </c>
      <c r="R999" s="122">
        <v>5974</v>
      </c>
      <c r="S999" s="122">
        <v>5431</v>
      </c>
      <c r="T999" s="122">
        <v>3706</v>
      </c>
      <c r="U999" s="122">
        <v>1373</v>
      </c>
      <c r="V999" s="122">
        <v>22852</v>
      </c>
      <c r="W999" s="122">
        <f t="shared" si="30"/>
        <v>22851</v>
      </c>
      <c r="X999" s="122">
        <f t="shared" si="31"/>
        <v>28898</v>
      </c>
      <c r="AA999" t="s">
        <v>58</v>
      </c>
      <c r="AB999" t="s">
        <v>427</v>
      </c>
      <c r="AC999" t="s">
        <v>579</v>
      </c>
      <c r="AD999" t="s">
        <v>406</v>
      </c>
      <c r="AE999" t="s">
        <v>566</v>
      </c>
      <c r="AF999">
        <v>2</v>
      </c>
      <c r="AG999">
        <v>236</v>
      </c>
      <c r="AH999">
        <v>526</v>
      </c>
      <c r="AI999" s="122">
        <v>34580</v>
      </c>
      <c r="AJ999" s="122">
        <v>31436</v>
      </c>
      <c r="AK999">
        <v>82</v>
      </c>
      <c r="AL999" s="122">
        <v>11131</v>
      </c>
      <c r="AM999" s="122">
        <v>9276</v>
      </c>
      <c r="AN999" s="122">
        <v>5372</v>
      </c>
      <c r="AO999" s="122">
        <v>1990</v>
      </c>
      <c r="AP999" s="122">
        <v>1242</v>
      </c>
      <c r="AQ999">
        <v>460</v>
      </c>
      <c r="AR999" s="122">
        <v>10235</v>
      </c>
      <c r="AS999" s="122">
        <v>9305</v>
      </c>
      <c r="AT999">
        <v>0</v>
      </c>
      <c r="AU999">
        <v>0</v>
      </c>
      <c r="AV999" s="122">
        <v>52467</v>
      </c>
    </row>
    <row r="1000" spans="2:48" hidden="1">
      <c r="B1000" t="s">
        <v>369</v>
      </c>
      <c r="C1000" t="s">
        <v>58</v>
      </c>
      <c r="D1000" t="s">
        <v>406</v>
      </c>
      <c r="E1000" t="s">
        <v>433</v>
      </c>
      <c r="F1000" s="122">
        <v>1</v>
      </c>
      <c r="G1000" s="122">
        <v>126</v>
      </c>
      <c r="H1000" s="122">
        <v>241</v>
      </c>
      <c r="I1000" s="122">
        <v>15704</v>
      </c>
      <c r="J1000" s="122">
        <v>14276</v>
      </c>
      <c r="K1000" s="122">
        <v>79</v>
      </c>
      <c r="L1000" s="122">
        <v>4362</v>
      </c>
      <c r="M1000" s="122">
        <v>3966</v>
      </c>
      <c r="N1000" s="122">
        <v>2934</v>
      </c>
      <c r="O1000" s="122">
        <v>1087</v>
      </c>
      <c r="P1000" s="122">
        <v>621</v>
      </c>
      <c r="Q1000" s="122">
        <v>230</v>
      </c>
      <c r="R1000" s="122">
        <v>6748</v>
      </c>
      <c r="S1000" s="122">
        <v>6135</v>
      </c>
      <c r="T1000" s="122">
        <v>0</v>
      </c>
      <c r="U1000" s="122">
        <v>0</v>
      </c>
      <c r="V1000" s="122">
        <v>25693</v>
      </c>
      <c r="W1000" s="122">
        <f t="shared" si="30"/>
        <v>25694</v>
      </c>
      <c r="X1000" s="122">
        <f t="shared" si="31"/>
        <v>30369</v>
      </c>
      <c r="AA1000" t="s">
        <v>58</v>
      </c>
      <c r="AB1000" t="s">
        <v>427</v>
      </c>
      <c r="AC1000" t="s">
        <v>428</v>
      </c>
      <c r="AD1000" t="s">
        <v>427</v>
      </c>
      <c r="AE1000" t="s">
        <v>137</v>
      </c>
      <c r="AF1000">
        <v>1</v>
      </c>
      <c r="AG1000">
        <v>83</v>
      </c>
      <c r="AH1000">
        <v>290</v>
      </c>
      <c r="AI1000" s="122">
        <v>13041</v>
      </c>
      <c r="AJ1000" s="122">
        <v>11855</v>
      </c>
      <c r="AK1000">
        <v>65</v>
      </c>
      <c r="AL1000" s="122">
        <v>2691</v>
      </c>
      <c r="AM1000" s="122">
        <v>2446</v>
      </c>
      <c r="AN1000" s="122">
        <v>1617</v>
      </c>
      <c r="AO1000">
        <v>599</v>
      </c>
      <c r="AP1000">
        <v>351</v>
      </c>
      <c r="AQ1000">
        <v>130</v>
      </c>
      <c r="AR1000" s="122">
        <v>4190</v>
      </c>
      <c r="AS1000" s="122">
        <v>3809</v>
      </c>
      <c r="AT1000" s="122">
        <v>2206</v>
      </c>
      <c r="AU1000">
        <v>817</v>
      </c>
      <c r="AV1000" s="122">
        <v>19657</v>
      </c>
    </row>
    <row r="1001" spans="2:48" hidden="1">
      <c r="B1001" t="s">
        <v>369</v>
      </c>
      <c r="C1001" t="s">
        <v>58</v>
      </c>
      <c r="D1001" t="s">
        <v>427</v>
      </c>
      <c r="E1001" t="s">
        <v>137</v>
      </c>
      <c r="F1001" s="122">
        <v>1</v>
      </c>
      <c r="G1001" s="122">
        <v>69</v>
      </c>
      <c r="H1001" s="122">
        <v>298</v>
      </c>
      <c r="I1001" s="122">
        <v>7305</v>
      </c>
      <c r="J1001" s="122">
        <v>6641</v>
      </c>
      <c r="K1001" s="122">
        <v>65</v>
      </c>
      <c r="L1001" s="122">
        <v>1295</v>
      </c>
      <c r="M1001" s="122">
        <v>480</v>
      </c>
      <c r="N1001" s="122">
        <v>1154</v>
      </c>
      <c r="O1001" s="122">
        <v>427</v>
      </c>
      <c r="P1001" s="122">
        <v>351</v>
      </c>
      <c r="Q1001" s="122">
        <v>130</v>
      </c>
      <c r="R1001" s="122">
        <v>10488</v>
      </c>
      <c r="S1001" s="122">
        <v>3884</v>
      </c>
      <c r="T1001" s="122">
        <v>0</v>
      </c>
      <c r="U1001" s="122">
        <v>0</v>
      </c>
      <c r="V1001" s="122">
        <v>11562</v>
      </c>
      <c r="W1001" s="122">
        <f t="shared" si="30"/>
        <v>11562</v>
      </c>
      <c r="X1001" s="122">
        <f t="shared" si="31"/>
        <v>20593</v>
      </c>
      <c r="AA1001" t="s">
        <v>58</v>
      </c>
      <c r="AB1001" t="s">
        <v>427</v>
      </c>
      <c r="AC1001" t="s">
        <v>428</v>
      </c>
      <c r="AD1001" t="s">
        <v>427</v>
      </c>
      <c r="AE1001" t="s">
        <v>566</v>
      </c>
      <c r="AF1001">
        <v>2</v>
      </c>
      <c r="AG1001">
        <v>150</v>
      </c>
      <c r="AH1001">
        <v>496</v>
      </c>
      <c r="AI1001" s="122">
        <v>17115</v>
      </c>
      <c r="AJ1001" s="122">
        <v>15559</v>
      </c>
      <c r="AK1001">
        <v>70</v>
      </c>
      <c r="AL1001" s="122">
        <v>4437</v>
      </c>
      <c r="AM1001" s="122">
        <v>4034</v>
      </c>
      <c r="AN1001" s="122">
        <v>2445</v>
      </c>
      <c r="AO1001">
        <v>906</v>
      </c>
      <c r="AP1001">
        <v>702</v>
      </c>
      <c r="AQ1001">
        <v>260</v>
      </c>
      <c r="AR1001" s="122">
        <v>12455</v>
      </c>
      <c r="AS1001" s="122">
        <v>11323</v>
      </c>
      <c r="AT1001">
        <v>0</v>
      </c>
      <c r="AU1001">
        <v>0</v>
      </c>
      <c r="AV1001" s="122">
        <v>32081</v>
      </c>
    </row>
    <row r="1002" spans="2:48" hidden="1">
      <c r="B1002" t="s">
        <v>369</v>
      </c>
      <c r="C1002" t="s">
        <v>58</v>
      </c>
      <c r="D1002" t="s">
        <v>427</v>
      </c>
      <c r="E1002" t="s">
        <v>427</v>
      </c>
      <c r="F1002" s="122">
        <v>14</v>
      </c>
      <c r="G1002" s="122">
        <v>1186</v>
      </c>
      <c r="H1002" s="122">
        <v>4002</v>
      </c>
      <c r="I1002" s="122">
        <v>181413</v>
      </c>
      <c r="J1002" s="122">
        <v>164921</v>
      </c>
      <c r="K1002" s="122">
        <v>55</v>
      </c>
      <c r="L1002" s="122">
        <v>24243</v>
      </c>
      <c r="M1002" s="122">
        <v>22039</v>
      </c>
      <c r="N1002" s="122">
        <v>25254</v>
      </c>
      <c r="O1002" s="122">
        <v>9353</v>
      </c>
      <c r="P1002" s="122">
        <v>4914</v>
      </c>
      <c r="Q1002" s="122">
        <v>1820</v>
      </c>
      <c r="R1002" s="122">
        <v>73634</v>
      </c>
      <c r="S1002" s="122">
        <v>66940</v>
      </c>
      <c r="T1002" s="122">
        <v>29545</v>
      </c>
      <c r="U1002" s="122">
        <v>10943</v>
      </c>
      <c r="V1002" s="122">
        <v>276016</v>
      </c>
      <c r="W1002" s="122">
        <f t="shared" si="30"/>
        <v>276016</v>
      </c>
      <c r="X1002" s="122">
        <f t="shared" si="31"/>
        <v>339003</v>
      </c>
      <c r="AA1002" t="s">
        <v>58</v>
      </c>
      <c r="AB1002" t="s">
        <v>427</v>
      </c>
      <c r="AC1002" t="s">
        <v>431</v>
      </c>
      <c r="AD1002" t="s">
        <v>427</v>
      </c>
      <c r="AE1002" t="s">
        <v>137</v>
      </c>
      <c r="AF1002">
        <v>1</v>
      </c>
      <c r="AG1002">
        <v>83</v>
      </c>
      <c r="AH1002">
        <v>249</v>
      </c>
      <c r="AI1002" s="122">
        <v>10750</v>
      </c>
      <c r="AJ1002" s="122">
        <v>9772</v>
      </c>
      <c r="AK1002">
        <v>55</v>
      </c>
      <c r="AL1002" s="122">
        <v>2190</v>
      </c>
      <c r="AM1002" s="122">
        <v>1991</v>
      </c>
      <c r="AN1002" s="122">
        <v>1271</v>
      </c>
      <c r="AO1002">
        <v>471</v>
      </c>
      <c r="AP1002">
        <v>351</v>
      </c>
      <c r="AQ1002">
        <v>130</v>
      </c>
      <c r="AR1002" s="122">
        <v>6185</v>
      </c>
      <c r="AS1002" s="122">
        <v>5623</v>
      </c>
      <c r="AT1002">
        <v>0</v>
      </c>
      <c r="AU1002">
        <v>0</v>
      </c>
      <c r="AV1002" s="122">
        <v>17987</v>
      </c>
    </row>
    <row r="1003" spans="2:48" hidden="1">
      <c r="B1003" t="s">
        <v>369</v>
      </c>
      <c r="C1003" t="s">
        <v>58</v>
      </c>
      <c r="D1003" t="s">
        <v>407</v>
      </c>
      <c r="E1003" t="s">
        <v>407</v>
      </c>
      <c r="F1003" s="122">
        <v>6</v>
      </c>
      <c r="G1003" s="122">
        <v>470</v>
      </c>
      <c r="H1003" s="122">
        <v>1500</v>
      </c>
      <c r="I1003" s="122">
        <v>69629</v>
      </c>
      <c r="J1003" s="122">
        <v>63299</v>
      </c>
      <c r="K1003" s="122">
        <v>83</v>
      </c>
      <c r="L1003" s="122">
        <v>17206</v>
      </c>
      <c r="M1003" s="122">
        <v>14300</v>
      </c>
      <c r="N1003" s="122">
        <v>11038</v>
      </c>
      <c r="O1003" s="122">
        <v>4088</v>
      </c>
      <c r="P1003" s="122">
        <v>2714</v>
      </c>
      <c r="Q1003" s="122">
        <v>1005</v>
      </c>
      <c r="R1003" s="122">
        <v>16642</v>
      </c>
      <c r="S1003" s="122">
        <v>15129</v>
      </c>
      <c r="T1003" s="122">
        <v>1018</v>
      </c>
      <c r="U1003" s="122">
        <v>377</v>
      </c>
      <c r="V1003" s="122">
        <v>98198</v>
      </c>
      <c r="W1003" s="122">
        <f t="shared" ref="W1003:W1066" si="32">SUM(ABS(J1003),ABS(M1003),ABS(O1003),ABS(Q1003),ABS(S1003),ABS(U1003))</f>
        <v>98198</v>
      </c>
      <c r="X1003" s="122">
        <f t="shared" ref="X1003:X1066" si="33">SUM(ABS(I1003),ABS(N1003),ABS(P1003),ABS(R1003),ABS(T1003),ABS(L1003))</f>
        <v>118247</v>
      </c>
      <c r="AA1003" t="s">
        <v>58</v>
      </c>
      <c r="AB1003" t="s">
        <v>427</v>
      </c>
      <c r="AC1003" t="s">
        <v>426</v>
      </c>
      <c r="AD1003" t="s">
        <v>406</v>
      </c>
      <c r="AE1003" t="s">
        <v>137</v>
      </c>
      <c r="AF1003">
        <v>2</v>
      </c>
      <c r="AG1003">
        <v>208</v>
      </c>
      <c r="AH1003">
        <v>481</v>
      </c>
      <c r="AI1003" s="122">
        <v>24662</v>
      </c>
      <c r="AJ1003" s="122">
        <v>22420</v>
      </c>
      <c r="AK1003">
        <v>79</v>
      </c>
      <c r="AL1003" s="122">
        <v>5554</v>
      </c>
      <c r="AM1003" s="122">
        <v>5049</v>
      </c>
      <c r="AN1003" s="122">
        <v>4873</v>
      </c>
      <c r="AO1003" s="122">
        <v>1805</v>
      </c>
      <c r="AP1003" s="122">
        <v>1242</v>
      </c>
      <c r="AQ1003">
        <v>460</v>
      </c>
      <c r="AR1003" s="122">
        <v>8042</v>
      </c>
      <c r="AS1003" s="122">
        <v>7311</v>
      </c>
      <c r="AT1003" s="122">
        <v>5123</v>
      </c>
      <c r="AU1003" s="122">
        <v>1897</v>
      </c>
      <c r="AV1003" s="122">
        <v>38942</v>
      </c>
    </row>
    <row r="1004" spans="2:48" hidden="1">
      <c r="B1004" t="s">
        <v>369</v>
      </c>
      <c r="C1004" t="s">
        <v>58</v>
      </c>
      <c r="D1004" t="s">
        <v>556</v>
      </c>
      <c r="E1004" t="s">
        <v>137</v>
      </c>
      <c r="F1004" s="122">
        <v>1</v>
      </c>
      <c r="G1004" s="122">
        <v>71</v>
      </c>
      <c r="H1004" s="122">
        <v>292</v>
      </c>
      <c r="I1004" s="122">
        <v>9748</v>
      </c>
      <c r="J1004" s="122">
        <v>8123</v>
      </c>
      <c r="K1004" s="122">
        <v>55</v>
      </c>
      <c r="L1004" s="122">
        <v>0</v>
      </c>
      <c r="M1004" s="122">
        <v>0</v>
      </c>
      <c r="N1004" s="122">
        <v>861</v>
      </c>
      <c r="O1004" s="122">
        <v>319</v>
      </c>
      <c r="P1004" s="122">
        <v>351</v>
      </c>
      <c r="Q1004" s="122">
        <v>130</v>
      </c>
      <c r="R1004" s="122">
        <v>9690</v>
      </c>
      <c r="S1004" s="122">
        <v>3589</v>
      </c>
      <c r="T1004" s="122">
        <v>0</v>
      </c>
      <c r="U1004" s="122">
        <v>0</v>
      </c>
      <c r="V1004" s="122">
        <v>12161</v>
      </c>
      <c r="W1004" s="122">
        <f t="shared" si="32"/>
        <v>12161</v>
      </c>
      <c r="X1004" s="122">
        <f t="shared" si="33"/>
        <v>20650</v>
      </c>
      <c r="AA1004" t="s">
        <v>58</v>
      </c>
      <c r="AB1004" t="s">
        <v>427</v>
      </c>
      <c r="AC1004" t="s">
        <v>426</v>
      </c>
      <c r="AD1004" t="s">
        <v>406</v>
      </c>
      <c r="AE1004" t="s">
        <v>566</v>
      </c>
      <c r="AF1004">
        <v>1</v>
      </c>
      <c r="AG1004">
        <v>115</v>
      </c>
      <c r="AH1004">
        <v>233</v>
      </c>
      <c r="AI1004" s="122">
        <v>13868</v>
      </c>
      <c r="AJ1004" s="122">
        <v>12607</v>
      </c>
      <c r="AK1004">
        <v>65</v>
      </c>
      <c r="AL1004" s="122">
        <v>3174</v>
      </c>
      <c r="AM1004" s="122">
        <v>2886</v>
      </c>
      <c r="AN1004" s="122">
        <v>1402</v>
      </c>
      <c r="AO1004">
        <v>519</v>
      </c>
      <c r="AP1004">
        <v>621</v>
      </c>
      <c r="AQ1004">
        <v>230</v>
      </c>
      <c r="AR1004" s="122">
        <v>7741</v>
      </c>
      <c r="AS1004" s="122">
        <v>7037</v>
      </c>
      <c r="AT1004">
        <v>0</v>
      </c>
      <c r="AU1004">
        <v>0</v>
      </c>
      <c r="AV1004" s="122">
        <v>23280</v>
      </c>
    </row>
    <row r="1005" spans="2:48" hidden="1">
      <c r="B1005" t="s">
        <v>369</v>
      </c>
      <c r="C1005" t="s">
        <v>58</v>
      </c>
      <c r="D1005" t="s">
        <v>556</v>
      </c>
      <c r="E1005" t="s">
        <v>556</v>
      </c>
      <c r="F1005" s="122">
        <v>66</v>
      </c>
      <c r="G1005" s="122">
        <v>5352</v>
      </c>
      <c r="H1005" s="122">
        <v>18340</v>
      </c>
      <c r="I1005" s="122">
        <v>758665</v>
      </c>
      <c r="J1005" s="122">
        <v>632221</v>
      </c>
      <c r="K1005" s="122">
        <v>64</v>
      </c>
      <c r="L1005" s="122">
        <v>148123</v>
      </c>
      <c r="M1005" s="122">
        <v>117895</v>
      </c>
      <c r="N1005" s="122">
        <v>101401</v>
      </c>
      <c r="O1005" s="122">
        <v>37556</v>
      </c>
      <c r="P1005" s="122">
        <v>24488</v>
      </c>
      <c r="Q1005" s="122">
        <v>9070</v>
      </c>
      <c r="R1005" s="122">
        <v>302158</v>
      </c>
      <c r="S1005" s="122">
        <v>251798</v>
      </c>
      <c r="T1005" s="122">
        <v>149061</v>
      </c>
      <c r="U1005" s="122">
        <v>55208</v>
      </c>
      <c r="V1005" s="122">
        <v>1103748</v>
      </c>
      <c r="W1005" s="122">
        <f t="shared" si="32"/>
        <v>1103748</v>
      </c>
      <c r="X1005" s="122">
        <f t="shared" si="33"/>
        <v>1483896</v>
      </c>
      <c r="AA1005" t="s">
        <v>58</v>
      </c>
      <c r="AB1005" t="s">
        <v>427</v>
      </c>
      <c r="AC1005" t="s">
        <v>426</v>
      </c>
      <c r="AD1005" t="s">
        <v>427</v>
      </c>
      <c r="AE1005" t="s">
        <v>137</v>
      </c>
      <c r="AF1005">
        <v>5</v>
      </c>
      <c r="AG1005">
        <v>389</v>
      </c>
      <c r="AH1005" s="122">
        <v>1328</v>
      </c>
      <c r="AI1005" s="122">
        <v>56180</v>
      </c>
      <c r="AJ1005" s="122">
        <v>51072</v>
      </c>
      <c r="AK1005">
        <v>61</v>
      </c>
      <c r="AL1005" s="122">
        <v>4726</v>
      </c>
      <c r="AM1005" s="122">
        <v>4296</v>
      </c>
      <c r="AN1005" s="122">
        <v>7672</v>
      </c>
      <c r="AO1005" s="122">
        <v>2841</v>
      </c>
      <c r="AP1005" s="122">
        <v>1755</v>
      </c>
      <c r="AQ1005">
        <v>650</v>
      </c>
      <c r="AR1005" s="122">
        <v>21935</v>
      </c>
      <c r="AS1005" s="122">
        <v>19940</v>
      </c>
      <c r="AT1005" s="122">
        <v>10947</v>
      </c>
      <c r="AU1005" s="122">
        <v>4055</v>
      </c>
      <c r="AV1005" s="122">
        <v>82855</v>
      </c>
    </row>
    <row r="1006" spans="2:48" hidden="1">
      <c r="B1006" t="s">
        <v>369</v>
      </c>
      <c r="C1006" t="s">
        <v>58</v>
      </c>
      <c r="D1006" t="s">
        <v>431</v>
      </c>
      <c r="E1006" t="s">
        <v>431</v>
      </c>
      <c r="F1006" s="122">
        <v>1</v>
      </c>
      <c r="G1006" s="122">
        <v>114</v>
      </c>
      <c r="H1006" s="122">
        <v>239</v>
      </c>
      <c r="I1006" s="122">
        <v>13995</v>
      </c>
      <c r="J1006" s="122">
        <v>12723</v>
      </c>
      <c r="K1006" s="122">
        <v>65</v>
      </c>
      <c r="L1006" s="122">
        <v>3369</v>
      </c>
      <c r="M1006" s="122">
        <v>3063</v>
      </c>
      <c r="N1006" s="122">
        <v>2644</v>
      </c>
      <c r="O1006" s="122">
        <v>979</v>
      </c>
      <c r="P1006" s="122">
        <v>351</v>
      </c>
      <c r="Q1006" s="122">
        <v>130</v>
      </c>
      <c r="R1006" s="122">
        <v>4177</v>
      </c>
      <c r="S1006" s="122">
        <v>3797</v>
      </c>
      <c r="T1006" s="122">
        <v>2739</v>
      </c>
      <c r="U1006" s="122">
        <v>1014</v>
      </c>
      <c r="V1006" s="122">
        <v>21707</v>
      </c>
      <c r="W1006" s="122">
        <f t="shared" si="32"/>
        <v>21706</v>
      </c>
      <c r="X1006" s="122">
        <f t="shared" si="33"/>
        <v>27275</v>
      </c>
      <c r="AA1006" t="s">
        <v>58</v>
      </c>
      <c r="AB1006" t="s">
        <v>427</v>
      </c>
      <c r="AC1006" t="s">
        <v>566</v>
      </c>
      <c r="AD1006" t="s">
        <v>137</v>
      </c>
      <c r="AE1006" t="s">
        <v>566</v>
      </c>
      <c r="AF1006">
        <v>1</v>
      </c>
      <c r="AG1006">
        <v>83</v>
      </c>
      <c r="AH1006">
        <v>297</v>
      </c>
      <c r="AI1006" s="122">
        <v>14838</v>
      </c>
      <c r="AJ1006" s="122">
        <v>13489</v>
      </c>
      <c r="AK1006">
        <v>55</v>
      </c>
      <c r="AL1006">
        <v>0</v>
      </c>
      <c r="AM1006">
        <v>0</v>
      </c>
      <c r="AN1006" s="122">
        <v>1713</v>
      </c>
      <c r="AO1006">
        <v>634</v>
      </c>
      <c r="AP1006">
        <v>351</v>
      </c>
      <c r="AQ1006">
        <v>130</v>
      </c>
      <c r="AR1006" s="122">
        <v>7772</v>
      </c>
      <c r="AS1006" s="122">
        <v>2879</v>
      </c>
      <c r="AT1006">
        <v>0</v>
      </c>
      <c r="AU1006">
        <v>0</v>
      </c>
      <c r="AV1006" s="122">
        <v>17132</v>
      </c>
    </row>
    <row r="1007" spans="2:48" hidden="1">
      <c r="B1007" t="s">
        <v>369</v>
      </c>
      <c r="C1007" t="s">
        <v>58</v>
      </c>
      <c r="D1007" t="s">
        <v>426</v>
      </c>
      <c r="E1007" t="s">
        <v>137</v>
      </c>
      <c r="F1007" s="122">
        <v>5</v>
      </c>
      <c r="G1007" s="122">
        <v>342</v>
      </c>
      <c r="H1007" s="122">
        <v>1218</v>
      </c>
      <c r="I1007" s="122">
        <v>41384</v>
      </c>
      <c r="J1007" s="122">
        <v>37622</v>
      </c>
      <c r="K1007" s="122">
        <v>70</v>
      </c>
      <c r="L1007" s="122">
        <v>9047</v>
      </c>
      <c r="M1007" s="122">
        <v>5940</v>
      </c>
      <c r="N1007" s="122">
        <v>6269</v>
      </c>
      <c r="O1007" s="122">
        <v>2322</v>
      </c>
      <c r="P1007" s="122">
        <v>1755</v>
      </c>
      <c r="Q1007" s="122">
        <v>650</v>
      </c>
      <c r="R1007" s="122">
        <v>33920</v>
      </c>
      <c r="S1007" s="122">
        <v>12563</v>
      </c>
      <c r="T1007" s="122">
        <v>0</v>
      </c>
      <c r="U1007" s="122">
        <v>0</v>
      </c>
      <c r="V1007" s="122">
        <v>59097</v>
      </c>
      <c r="W1007" s="122">
        <f t="shared" si="32"/>
        <v>59097</v>
      </c>
      <c r="X1007" s="122">
        <f t="shared" si="33"/>
        <v>92375</v>
      </c>
      <c r="AA1007" t="s">
        <v>58</v>
      </c>
      <c r="AB1007" t="s">
        <v>427</v>
      </c>
      <c r="AC1007" t="s">
        <v>566</v>
      </c>
      <c r="AD1007" t="s">
        <v>427</v>
      </c>
      <c r="AE1007" t="s">
        <v>137</v>
      </c>
      <c r="AF1007">
        <v>137</v>
      </c>
      <c r="AG1007" s="122">
        <v>11256</v>
      </c>
      <c r="AH1007" s="122">
        <v>36991</v>
      </c>
      <c r="AI1007" s="122">
        <v>1821957</v>
      </c>
      <c r="AJ1007" s="122">
        <v>1656324</v>
      </c>
      <c r="AK1007">
        <v>56</v>
      </c>
      <c r="AL1007">
        <v>0</v>
      </c>
      <c r="AM1007" s="122">
        <v>3189</v>
      </c>
      <c r="AN1007" s="122">
        <v>219998</v>
      </c>
      <c r="AO1007" s="122">
        <v>81481</v>
      </c>
      <c r="AP1007" s="122">
        <v>47858</v>
      </c>
      <c r="AQ1007" s="122">
        <v>17725</v>
      </c>
      <c r="AR1007" s="122">
        <v>682544</v>
      </c>
      <c r="AS1007" s="122">
        <v>620495</v>
      </c>
      <c r="AT1007" s="122">
        <v>276469</v>
      </c>
      <c r="AU1007" s="122">
        <v>102396</v>
      </c>
      <c r="AV1007" s="122">
        <v>2481610</v>
      </c>
    </row>
    <row r="1008" spans="2:48" hidden="1">
      <c r="B1008" t="s">
        <v>369</v>
      </c>
      <c r="C1008" t="s">
        <v>58</v>
      </c>
      <c r="D1008" t="s">
        <v>426</v>
      </c>
      <c r="E1008" t="s">
        <v>426</v>
      </c>
      <c r="F1008" s="122">
        <v>474</v>
      </c>
      <c r="G1008" s="122">
        <v>38606</v>
      </c>
      <c r="H1008" s="122">
        <v>127056</v>
      </c>
      <c r="I1008" s="122">
        <v>5394879</v>
      </c>
      <c r="J1008" s="122">
        <v>4904436</v>
      </c>
      <c r="K1008" s="122">
        <v>61</v>
      </c>
      <c r="L1008" s="122">
        <v>861339</v>
      </c>
      <c r="M1008" s="122">
        <v>757756</v>
      </c>
      <c r="N1008" s="122">
        <v>610386</v>
      </c>
      <c r="O1008" s="122">
        <v>226069</v>
      </c>
      <c r="P1008" s="122">
        <v>171329</v>
      </c>
      <c r="Q1008" s="122">
        <v>63455</v>
      </c>
      <c r="R1008" s="122">
        <v>2287142</v>
      </c>
      <c r="S1008" s="122">
        <v>2079220</v>
      </c>
      <c r="T1008" s="122">
        <v>991763</v>
      </c>
      <c r="U1008" s="122">
        <v>367319</v>
      </c>
      <c r="V1008" s="122">
        <v>8398255</v>
      </c>
      <c r="W1008" s="122">
        <f t="shared" si="32"/>
        <v>8398255</v>
      </c>
      <c r="X1008" s="122">
        <f t="shared" si="33"/>
        <v>10316838</v>
      </c>
      <c r="AA1008" t="s">
        <v>58</v>
      </c>
      <c r="AB1008" t="s">
        <v>427</v>
      </c>
      <c r="AC1008" t="s">
        <v>566</v>
      </c>
      <c r="AD1008" t="s">
        <v>427</v>
      </c>
      <c r="AE1008" t="s">
        <v>566</v>
      </c>
      <c r="AF1008">
        <v>10</v>
      </c>
      <c r="AG1008">
        <v>807</v>
      </c>
      <c r="AH1008" s="122">
        <v>2773</v>
      </c>
      <c r="AI1008" s="122">
        <v>133796</v>
      </c>
      <c r="AJ1008" s="122">
        <v>121632</v>
      </c>
      <c r="AK1008">
        <v>59</v>
      </c>
      <c r="AL1008">
        <v>0</v>
      </c>
      <c r="AM1008" s="122">
        <v>2184</v>
      </c>
      <c r="AN1008" s="122">
        <v>15459</v>
      </c>
      <c r="AO1008" s="122">
        <v>5726</v>
      </c>
      <c r="AP1008" s="122">
        <v>2808</v>
      </c>
      <c r="AQ1008" s="122">
        <v>1040</v>
      </c>
      <c r="AR1008" s="122">
        <v>70570</v>
      </c>
      <c r="AS1008" s="122">
        <v>64154</v>
      </c>
      <c r="AT1008">
        <v>0</v>
      </c>
      <c r="AU1008">
        <v>0</v>
      </c>
      <c r="AV1008" s="122">
        <v>194736</v>
      </c>
    </row>
    <row r="1009" spans="2:48" hidden="1">
      <c r="B1009" t="s">
        <v>369</v>
      </c>
      <c r="C1009" t="s">
        <v>58</v>
      </c>
      <c r="D1009" t="s">
        <v>433</v>
      </c>
      <c r="E1009" t="s">
        <v>433</v>
      </c>
      <c r="F1009" s="122">
        <v>15</v>
      </c>
      <c r="G1009" s="122">
        <v>1118</v>
      </c>
      <c r="H1009" s="122">
        <v>4032</v>
      </c>
      <c r="I1009" s="122">
        <v>156605</v>
      </c>
      <c r="J1009" s="122">
        <v>142368</v>
      </c>
      <c r="K1009" s="122">
        <v>69</v>
      </c>
      <c r="L1009" s="122">
        <v>29223</v>
      </c>
      <c r="M1009" s="122">
        <v>26566</v>
      </c>
      <c r="N1009" s="122">
        <v>16320</v>
      </c>
      <c r="O1009" s="122">
        <v>6044</v>
      </c>
      <c r="P1009" s="122">
        <v>5265</v>
      </c>
      <c r="Q1009" s="122">
        <v>1950</v>
      </c>
      <c r="R1009" s="122">
        <v>58645</v>
      </c>
      <c r="S1009" s="122">
        <v>53314</v>
      </c>
      <c r="T1009" s="122">
        <v>33267</v>
      </c>
      <c r="U1009" s="122">
        <v>12321</v>
      </c>
      <c r="V1009" s="122">
        <v>242564</v>
      </c>
      <c r="W1009" s="122">
        <f t="shared" si="32"/>
        <v>242563</v>
      </c>
      <c r="X1009" s="122">
        <f t="shared" si="33"/>
        <v>299325</v>
      </c>
      <c r="AA1009" t="s">
        <v>58</v>
      </c>
      <c r="AB1009" t="s">
        <v>427</v>
      </c>
      <c r="AC1009" t="s">
        <v>433</v>
      </c>
      <c r="AD1009" t="s">
        <v>427</v>
      </c>
      <c r="AE1009" t="s">
        <v>137</v>
      </c>
      <c r="AF1009">
        <v>4</v>
      </c>
      <c r="AG1009">
        <v>355</v>
      </c>
      <c r="AH1009" s="122">
        <v>1168</v>
      </c>
      <c r="AI1009" s="122">
        <v>58768</v>
      </c>
      <c r="AJ1009" s="122">
        <v>53425</v>
      </c>
      <c r="AK1009">
        <v>50</v>
      </c>
      <c r="AL1009" s="122">
        <v>7473</v>
      </c>
      <c r="AM1009" s="122">
        <v>6794</v>
      </c>
      <c r="AN1009" s="122">
        <v>6516</v>
      </c>
      <c r="AO1009" s="122">
        <v>2413</v>
      </c>
      <c r="AP1009" s="122">
        <v>1404</v>
      </c>
      <c r="AQ1009">
        <v>520</v>
      </c>
      <c r="AR1009" s="122">
        <v>20007</v>
      </c>
      <c r="AS1009" s="122">
        <v>18188</v>
      </c>
      <c r="AT1009" s="122">
        <v>9433</v>
      </c>
      <c r="AU1009" s="122">
        <v>3494</v>
      </c>
      <c r="AV1009" s="122">
        <v>84834</v>
      </c>
    </row>
    <row r="1010" spans="2:48">
      <c r="B1010" t="s">
        <v>369</v>
      </c>
      <c r="C1010" t="s">
        <v>58</v>
      </c>
      <c r="D1010" t="s">
        <v>408</v>
      </c>
      <c r="E1010" t="s">
        <v>408</v>
      </c>
      <c r="F1010" s="122">
        <v>2</v>
      </c>
      <c r="G1010" s="122">
        <v>164</v>
      </c>
      <c r="H1010" s="122">
        <v>537</v>
      </c>
      <c r="I1010" s="122">
        <v>18063</v>
      </c>
      <c r="J1010" s="122">
        <v>16421</v>
      </c>
      <c r="K1010" s="122">
        <v>74</v>
      </c>
      <c r="L1010" s="122">
        <v>5052</v>
      </c>
      <c r="M1010" s="122">
        <v>4593</v>
      </c>
      <c r="N1010" s="122">
        <v>3888</v>
      </c>
      <c r="O1010" s="122">
        <v>1440</v>
      </c>
      <c r="P1010" s="122">
        <v>702</v>
      </c>
      <c r="Q1010" s="122">
        <v>260</v>
      </c>
      <c r="R1010" s="122">
        <v>9540</v>
      </c>
      <c r="S1010" s="122">
        <v>8672</v>
      </c>
      <c r="T1010" s="122">
        <v>6614</v>
      </c>
      <c r="U1010" s="122">
        <v>2450</v>
      </c>
      <c r="V1010" s="122">
        <v>33836</v>
      </c>
      <c r="W1010" s="122">
        <f t="shared" si="32"/>
        <v>33836</v>
      </c>
      <c r="X1010" s="122">
        <f t="shared" si="33"/>
        <v>43859</v>
      </c>
      <c r="AA1010" t="s">
        <v>58</v>
      </c>
      <c r="AB1010" t="s">
        <v>407</v>
      </c>
      <c r="AC1010" t="s">
        <v>578</v>
      </c>
      <c r="AD1010" t="s">
        <v>407</v>
      </c>
      <c r="AE1010" t="s">
        <v>137</v>
      </c>
      <c r="AF1010">
        <v>27</v>
      </c>
      <c r="AG1010" s="122">
        <v>2762</v>
      </c>
      <c r="AH1010" s="122">
        <v>6919</v>
      </c>
      <c r="AI1010" s="122">
        <v>384104</v>
      </c>
      <c r="AJ1010" s="122">
        <v>349186</v>
      </c>
      <c r="AK1010">
        <v>79</v>
      </c>
      <c r="AL1010" s="122">
        <v>88067</v>
      </c>
      <c r="AM1010" s="122">
        <v>80061</v>
      </c>
      <c r="AN1010" s="122">
        <v>60550</v>
      </c>
      <c r="AO1010" s="122">
        <v>22426</v>
      </c>
      <c r="AP1010" s="122">
        <v>12758</v>
      </c>
      <c r="AQ1010" s="122">
        <v>4725</v>
      </c>
      <c r="AR1010" s="122">
        <v>118557</v>
      </c>
      <c r="AS1010" s="122">
        <v>107779</v>
      </c>
      <c r="AT1010" s="122">
        <v>58465</v>
      </c>
      <c r="AU1010" s="122">
        <v>21654</v>
      </c>
      <c r="AV1010" s="122">
        <v>585830</v>
      </c>
    </row>
    <row r="1011" spans="2:48">
      <c r="B1011" t="s">
        <v>369</v>
      </c>
      <c r="C1011" t="s">
        <v>58</v>
      </c>
      <c r="D1011" t="s">
        <v>429</v>
      </c>
      <c r="E1011" t="s">
        <v>429</v>
      </c>
      <c r="F1011" s="122">
        <v>1</v>
      </c>
      <c r="G1011" s="122">
        <v>101</v>
      </c>
      <c r="H1011" s="122">
        <v>295</v>
      </c>
      <c r="I1011" s="122">
        <v>18626</v>
      </c>
      <c r="J1011" s="122">
        <v>16933</v>
      </c>
      <c r="K1011" s="122">
        <v>65</v>
      </c>
      <c r="L1011" s="122">
        <v>2070</v>
      </c>
      <c r="M1011" s="122">
        <v>1881</v>
      </c>
      <c r="N1011" s="122">
        <v>2289</v>
      </c>
      <c r="O1011" s="122">
        <v>848</v>
      </c>
      <c r="P1011" s="122">
        <v>351</v>
      </c>
      <c r="Q1011" s="122">
        <v>130</v>
      </c>
      <c r="R1011" s="122">
        <v>6514</v>
      </c>
      <c r="S1011" s="122">
        <v>5921</v>
      </c>
      <c r="T1011" s="122">
        <v>0</v>
      </c>
      <c r="U1011" s="122">
        <v>0</v>
      </c>
      <c r="V1011" s="122">
        <v>25713</v>
      </c>
      <c r="W1011" s="122">
        <f t="shared" si="32"/>
        <v>25713</v>
      </c>
      <c r="X1011" s="122">
        <f t="shared" si="33"/>
        <v>29850</v>
      </c>
      <c r="AA1011" t="s">
        <v>58</v>
      </c>
      <c r="AB1011" t="s">
        <v>407</v>
      </c>
      <c r="AC1011" t="s">
        <v>578</v>
      </c>
      <c r="AD1011" t="s">
        <v>407</v>
      </c>
      <c r="AE1011" t="s">
        <v>566</v>
      </c>
      <c r="AF1011">
        <v>31</v>
      </c>
      <c r="AG1011" s="122">
        <v>3082</v>
      </c>
      <c r="AH1011" s="122">
        <v>8049</v>
      </c>
      <c r="AI1011" s="122">
        <v>452486</v>
      </c>
      <c r="AJ1011" s="122">
        <v>411351</v>
      </c>
      <c r="AK1011">
        <v>82</v>
      </c>
      <c r="AL1011" s="122">
        <v>122331</v>
      </c>
      <c r="AM1011" s="122">
        <v>111210</v>
      </c>
      <c r="AN1011" s="122">
        <v>60361</v>
      </c>
      <c r="AO1011" s="122">
        <v>22356</v>
      </c>
      <c r="AP1011" s="122">
        <v>14648</v>
      </c>
      <c r="AQ1011" s="122">
        <v>5425</v>
      </c>
      <c r="AR1011" s="122">
        <v>153822</v>
      </c>
      <c r="AS1011" s="122">
        <v>139838</v>
      </c>
      <c r="AT1011">
        <v>0</v>
      </c>
      <c r="AU1011">
        <v>0</v>
      </c>
      <c r="AV1011" s="122">
        <v>690180</v>
      </c>
    </row>
    <row r="1012" spans="2:48" hidden="1">
      <c r="B1012" t="s">
        <v>369</v>
      </c>
      <c r="C1012" t="s">
        <v>60</v>
      </c>
      <c r="F1012" s="122">
        <v>2</v>
      </c>
      <c r="G1012" s="122">
        <v>150</v>
      </c>
      <c r="H1012" s="122">
        <v>671</v>
      </c>
      <c r="I1012" s="122"/>
      <c r="J1012" s="122">
        <v>0</v>
      </c>
      <c r="K1012" s="122"/>
      <c r="L1012" s="122"/>
      <c r="M1012" s="122">
        <v>0</v>
      </c>
      <c r="N1012" s="122">
        <v>3357</v>
      </c>
      <c r="O1012" s="122">
        <v>1243</v>
      </c>
      <c r="P1012" s="122">
        <v>351</v>
      </c>
      <c r="Q1012" s="122">
        <v>130</v>
      </c>
      <c r="R1012" s="122"/>
      <c r="S1012" s="122">
        <v>0</v>
      </c>
      <c r="T1012" s="122">
        <v>0</v>
      </c>
      <c r="U1012" s="122">
        <v>0</v>
      </c>
      <c r="V1012" s="122">
        <v>1373</v>
      </c>
      <c r="W1012" s="122">
        <f t="shared" si="32"/>
        <v>1373</v>
      </c>
      <c r="X1012" s="122">
        <f t="shared" si="33"/>
        <v>3708</v>
      </c>
      <c r="AA1012" t="s">
        <v>58</v>
      </c>
      <c r="AB1012" t="s">
        <v>407</v>
      </c>
      <c r="AC1012" t="s">
        <v>425</v>
      </c>
      <c r="AD1012" t="s">
        <v>137</v>
      </c>
      <c r="AE1012" t="s">
        <v>137</v>
      </c>
      <c r="AF1012">
        <v>1</v>
      </c>
      <c r="AG1012">
        <v>113</v>
      </c>
      <c r="AH1012">
        <v>236</v>
      </c>
      <c r="AI1012" s="122">
        <v>11384</v>
      </c>
      <c r="AJ1012" s="122">
        <v>10349</v>
      </c>
      <c r="AK1012">
        <v>73</v>
      </c>
      <c r="AL1012" s="122">
        <v>2308</v>
      </c>
      <c r="AM1012" s="122">
        <v>2098</v>
      </c>
      <c r="AN1012" s="122">
        <v>2754</v>
      </c>
      <c r="AO1012" s="122">
        <v>1020</v>
      </c>
      <c r="AP1012">
        <v>473</v>
      </c>
      <c r="AQ1012">
        <v>175</v>
      </c>
      <c r="AR1012" s="122">
        <v>7284</v>
      </c>
      <c r="AS1012" s="122">
        <v>2698</v>
      </c>
      <c r="AT1012" s="122">
        <v>2501</v>
      </c>
      <c r="AU1012">
        <v>926</v>
      </c>
      <c r="AV1012" s="122">
        <v>17266</v>
      </c>
    </row>
    <row r="1013" spans="2:48" hidden="1">
      <c r="B1013" t="s">
        <v>369</v>
      </c>
      <c r="C1013" t="s">
        <v>60</v>
      </c>
      <c r="D1013" t="s">
        <v>425</v>
      </c>
      <c r="E1013" t="s">
        <v>425</v>
      </c>
      <c r="F1013" s="122">
        <v>2</v>
      </c>
      <c r="G1013" s="122">
        <v>230</v>
      </c>
      <c r="H1013" s="122">
        <v>694</v>
      </c>
      <c r="I1013" s="122">
        <v>49730</v>
      </c>
      <c r="J1013" s="122">
        <v>45209</v>
      </c>
      <c r="K1013" s="122">
        <v>78</v>
      </c>
      <c r="L1013" s="122">
        <v>11471</v>
      </c>
      <c r="M1013" s="122">
        <v>10428</v>
      </c>
      <c r="N1013" s="122">
        <v>4075</v>
      </c>
      <c r="O1013" s="122">
        <v>1509</v>
      </c>
      <c r="P1013" s="122">
        <v>945</v>
      </c>
      <c r="Q1013" s="122">
        <v>350</v>
      </c>
      <c r="R1013" s="122">
        <v>10691</v>
      </c>
      <c r="S1013" s="122">
        <v>9719</v>
      </c>
      <c r="T1013" s="122">
        <v>3256</v>
      </c>
      <c r="U1013" s="122">
        <v>1206</v>
      </c>
      <c r="V1013" s="122">
        <v>68421</v>
      </c>
      <c r="W1013" s="122">
        <f t="shared" si="32"/>
        <v>68421</v>
      </c>
      <c r="X1013" s="122">
        <f t="shared" si="33"/>
        <v>80168</v>
      </c>
      <c r="AA1013" t="s">
        <v>58</v>
      </c>
      <c r="AB1013" t="s">
        <v>407</v>
      </c>
      <c r="AC1013" t="s">
        <v>425</v>
      </c>
      <c r="AD1013" t="s">
        <v>407</v>
      </c>
      <c r="AE1013" t="s">
        <v>137</v>
      </c>
      <c r="AF1013">
        <v>10</v>
      </c>
      <c r="AG1013" s="122">
        <v>1096</v>
      </c>
      <c r="AH1013" s="122">
        <v>2569</v>
      </c>
      <c r="AI1013" s="122">
        <v>144151</v>
      </c>
      <c r="AJ1013" s="122">
        <v>131047</v>
      </c>
      <c r="AK1013">
        <v>78</v>
      </c>
      <c r="AL1013" s="122">
        <v>40832</v>
      </c>
      <c r="AM1013" s="122">
        <v>37120</v>
      </c>
      <c r="AN1013" s="122">
        <v>23308</v>
      </c>
      <c r="AO1013" s="122">
        <v>8633</v>
      </c>
      <c r="AP1013" s="122">
        <v>4604</v>
      </c>
      <c r="AQ1013" s="122">
        <v>1705</v>
      </c>
      <c r="AR1013" s="122">
        <v>44283</v>
      </c>
      <c r="AS1013" s="122">
        <v>40257</v>
      </c>
      <c r="AT1013" s="122">
        <v>25363</v>
      </c>
      <c r="AU1013" s="122">
        <v>9394</v>
      </c>
      <c r="AV1013" s="122">
        <v>228156</v>
      </c>
    </row>
    <row r="1014" spans="2:48" hidden="1">
      <c r="B1014" t="s">
        <v>369</v>
      </c>
      <c r="C1014" t="s">
        <v>60</v>
      </c>
      <c r="D1014" t="s">
        <v>405</v>
      </c>
      <c r="E1014" t="s">
        <v>405</v>
      </c>
      <c r="F1014" s="122">
        <v>6</v>
      </c>
      <c r="G1014" s="122">
        <v>682</v>
      </c>
      <c r="H1014" s="122">
        <v>1967</v>
      </c>
      <c r="I1014" s="122">
        <v>153736</v>
      </c>
      <c r="J1014" s="122">
        <v>139760</v>
      </c>
      <c r="K1014" s="122">
        <v>76</v>
      </c>
      <c r="L1014" s="122">
        <v>33055</v>
      </c>
      <c r="M1014" s="122">
        <v>30050</v>
      </c>
      <c r="N1014" s="122">
        <v>12483</v>
      </c>
      <c r="O1014" s="122">
        <v>4623</v>
      </c>
      <c r="P1014" s="122">
        <v>2592</v>
      </c>
      <c r="Q1014" s="122">
        <v>960</v>
      </c>
      <c r="R1014" s="122">
        <v>28972</v>
      </c>
      <c r="S1014" s="122">
        <v>26338</v>
      </c>
      <c r="T1014" s="122">
        <v>5061</v>
      </c>
      <c r="U1014" s="122">
        <v>1874</v>
      </c>
      <c r="V1014" s="122">
        <v>203606</v>
      </c>
      <c r="W1014" s="122">
        <f t="shared" si="32"/>
        <v>203605</v>
      </c>
      <c r="X1014" s="122">
        <f t="shared" si="33"/>
        <v>235899</v>
      </c>
      <c r="AA1014" t="s">
        <v>58</v>
      </c>
      <c r="AB1014" t="s">
        <v>407</v>
      </c>
      <c r="AC1014" t="s">
        <v>425</v>
      </c>
      <c r="AD1014" t="s">
        <v>407</v>
      </c>
      <c r="AE1014" t="s">
        <v>566</v>
      </c>
      <c r="AF1014">
        <v>6</v>
      </c>
      <c r="AG1014">
        <v>733</v>
      </c>
      <c r="AH1014" s="122">
        <v>1562</v>
      </c>
      <c r="AI1014" s="122">
        <v>121585</v>
      </c>
      <c r="AJ1014" s="122">
        <v>110531</v>
      </c>
      <c r="AK1014">
        <v>82</v>
      </c>
      <c r="AL1014" s="122">
        <v>24026</v>
      </c>
      <c r="AM1014" s="122">
        <v>21842</v>
      </c>
      <c r="AN1014" s="122">
        <v>14065</v>
      </c>
      <c r="AO1014" s="122">
        <v>5209</v>
      </c>
      <c r="AP1014" s="122">
        <v>2835</v>
      </c>
      <c r="AQ1014" s="122">
        <v>1050</v>
      </c>
      <c r="AR1014" s="122">
        <v>32133</v>
      </c>
      <c r="AS1014" s="122">
        <v>29212</v>
      </c>
      <c r="AT1014">
        <v>0</v>
      </c>
      <c r="AU1014">
        <v>0</v>
      </c>
      <c r="AV1014" s="122">
        <v>167845</v>
      </c>
    </row>
    <row r="1015" spans="2:48" hidden="1">
      <c r="B1015" t="s">
        <v>369</v>
      </c>
      <c r="C1015" t="s">
        <v>60</v>
      </c>
      <c r="D1015" t="s">
        <v>137</v>
      </c>
      <c r="E1015" t="s">
        <v>137</v>
      </c>
      <c r="F1015" s="122">
        <v>381</v>
      </c>
      <c r="G1015" s="122">
        <v>32797</v>
      </c>
      <c r="H1015" s="122">
        <v>127999</v>
      </c>
      <c r="I1015" s="122">
        <v>6691054</v>
      </c>
      <c r="J1015" s="122">
        <v>2478168</v>
      </c>
      <c r="K1015" s="122">
        <v>100</v>
      </c>
      <c r="L1015" s="122">
        <v>1029146</v>
      </c>
      <c r="M1015" s="122">
        <v>813234</v>
      </c>
      <c r="N1015" s="122">
        <v>663846</v>
      </c>
      <c r="O1015" s="122">
        <v>245869</v>
      </c>
      <c r="P1015" s="122">
        <v>13999</v>
      </c>
      <c r="Q1015" s="122">
        <v>5185</v>
      </c>
      <c r="R1015" s="122">
        <v>2830571</v>
      </c>
      <c r="S1015" s="122">
        <v>1048359</v>
      </c>
      <c r="T1015" s="122">
        <v>2351</v>
      </c>
      <c r="U1015" s="122">
        <v>871</v>
      </c>
      <c r="V1015" s="122">
        <v>4591686</v>
      </c>
      <c r="W1015" s="122">
        <f t="shared" si="32"/>
        <v>4591686</v>
      </c>
      <c r="X1015" s="122">
        <f t="shared" si="33"/>
        <v>11230967</v>
      </c>
      <c r="AA1015" t="s">
        <v>58</v>
      </c>
      <c r="AB1015" t="s">
        <v>407</v>
      </c>
      <c r="AC1015" t="s">
        <v>405</v>
      </c>
      <c r="AD1015" t="s">
        <v>407</v>
      </c>
      <c r="AE1015" t="s">
        <v>137</v>
      </c>
      <c r="AF1015">
        <v>3</v>
      </c>
      <c r="AG1015">
        <v>305</v>
      </c>
      <c r="AH1015">
        <v>842</v>
      </c>
      <c r="AI1015" s="122">
        <v>42541</v>
      </c>
      <c r="AJ1015" s="122">
        <v>38674</v>
      </c>
      <c r="AK1015">
        <v>77</v>
      </c>
      <c r="AL1015" s="122">
        <v>13674</v>
      </c>
      <c r="AM1015" s="122">
        <v>12431</v>
      </c>
      <c r="AN1015" s="122">
        <v>6085</v>
      </c>
      <c r="AO1015" s="122">
        <v>2254</v>
      </c>
      <c r="AP1015" s="122">
        <v>1418</v>
      </c>
      <c r="AQ1015">
        <v>525</v>
      </c>
      <c r="AR1015" s="122">
        <v>15169</v>
      </c>
      <c r="AS1015" s="122">
        <v>13790</v>
      </c>
      <c r="AT1015" s="122">
        <v>6117</v>
      </c>
      <c r="AU1015" s="122">
        <v>2265</v>
      </c>
      <c r="AV1015" s="122">
        <v>69939</v>
      </c>
    </row>
    <row r="1016" spans="2:48" hidden="1">
      <c r="B1016" t="s">
        <v>369</v>
      </c>
      <c r="C1016" t="s">
        <v>60</v>
      </c>
      <c r="D1016" t="s">
        <v>137</v>
      </c>
      <c r="E1016" t="s">
        <v>406</v>
      </c>
      <c r="F1016" s="122">
        <v>1</v>
      </c>
      <c r="G1016" s="122">
        <v>429</v>
      </c>
      <c r="H1016" s="122">
        <v>321</v>
      </c>
      <c r="I1016" s="122">
        <v>101847</v>
      </c>
      <c r="J1016" s="122">
        <v>37721</v>
      </c>
      <c r="K1016" s="122">
        <v>100</v>
      </c>
      <c r="L1016" s="122">
        <v>15368</v>
      </c>
      <c r="M1016" s="122">
        <v>13971</v>
      </c>
      <c r="N1016" s="122">
        <v>8878</v>
      </c>
      <c r="O1016" s="122">
        <v>3288</v>
      </c>
      <c r="P1016" s="122">
        <v>0</v>
      </c>
      <c r="Q1016" s="122">
        <v>0</v>
      </c>
      <c r="R1016" s="122">
        <v>11644</v>
      </c>
      <c r="S1016" s="122">
        <v>10586</v>
      </c>
      <c r="T1016" s="122">
        <v>0</v>
      </c>
      <c r="U1016" s="122">
        <v>0</v>
      </c>
      <c r="V1016" s="122">
        <v>65566</v>
      </c>
      <c r="W1016" s="122">
        <f t="shared" si="32"/>
        <v>65566</v>
      </c>
      <c r="X1016" s="122">
        <f t="shared" si="33"/>
        <v>137737</v>
      </c>
      <c r="AA1016" t="s">
        <v>58</v>
      </c>
      <c r="AB1016" t="s">
        <v>407</v>
      </c>
      <c r="AC1016" t="s">
        <v>405</v>
      </c>
      <c r="AD1016" t="s">
        <v>407</v>
      </c>
      <c r="AE1016" t="s">
        <v>566</v>
      </c>
      <c r="AF1016">
        <v>3</v>
      </c>
      <c r="AG1016">
        <v>313</v>
      </c>
      <c r="AH1016">
        <v>796</v>
      </c>
      <c r="AI1016" s="122">
        <v>50019</v>
      </c>
      <c r="AJ1016" s="122">
        <v>45472</v>
      </c>
      <c r="AK1016">
        <v>87</v>
      </c>
      <c r="AL1016" s="122">
        <v>17163</v>
      </c>
      <c r="AM1016" s="122">
        <v>15603</v>
      </c>
      <c r="AN1016" s="122">
        <v>7505</v>
      </c>
      <c r="AO1016" s="122">
        <v>2779</v>
      </c>
      <c r="AP1016" s="122">
        <v>1418</v>
      </c>
      <c r="AQ1016">
        <v>525</v>
      </c>
      <c r="AR1016" s="122">
        <v>14525</v>
      </c>
      <c r="AS1016" s="122">
        <v>13205</v>
      </c>
      <c r="AT1016">
        <v>0</v>
      </c>
      <c r="AU1016">
        <v>0</v>
      </c>
      <c r="AV1016" s="122">
        <v>77584</v>
      </c>
    </row>
    <row r="1017" spans="2:48" hidden="1">
      <c r="B1017" t="s">
        <v>369</v>
      </c>
      <c r="C1017" t="s">
        <v>60</v>
      </c>
      <c r="D1017" t="s">
        <v>137</v>
      </c>
      <c r="E1017" t="s">
        <v>427</v>
      </c>
      <c r="F1017" s="122">
        <v>2</v>
      </c>
      <c r="G1017" s="122">
        <v>175</v>
      </c>
      <c r="H1017" s="122">
        <v>665</v>
      </c>
      <c r="I1017" s="122">
        <v>34268</v>
      </c>
      <c r="J1017" s="122">
        <v>12692</v>
      </c>
      <c r="K1017" s="122">
        <v>100</v>
      </c>
      <c r="L1017" s="122">
        <v>4599</v>
      </c>
      <c r="M1017" s="122">
        <v>4181</v>
      </c>
      <c r="N1017" s="122">
        <v>3568</v>
      </c>
      <c r="O1017" s="122">
        <v>1321</v>
      </c>
      <c r="P1017" s="122">
        <v>351</v>
      </c>
      <c r="Q1017" s="122">
        <v>130</v>
      </c>
      <c r="R1017" s="122">
        <v>10566</v>
      </c>
      <c r="S1017" s="122">
        <v>9606</v>
      </c>
      <c r="T1017" s="122">
        <v>4654</v>
      </c>
      <c r="U1017" s="122">
        <v>1724</v>
      </c>
      <c r="V1017" s="122">
        <v>29653</v>
      </c>
      <c r="W1017" s="122">
        <f t="shared" si="32"/>
        <v>29654</v>
      </c>
      <c r="X1017" s="122">
        <f t="shared" si="33"/>
        <v>58006</v>
      </c>
      <c r="AA1017" t="s">
        <v>58</v>
      </c>
      <c r="AB1017" t="s">
        <v>407</v>
      </c>
      <c r="AC1017" t="s">
        <v>137</v>
      </c>
      <c r="AD1017" t="s">
        <v>405</v>
      </c>
      <c r="AE1017" t="s">
        <v>137</v>
      </c>
      <c r="AF1017">
        <v>1</v>
      </c>
      <c r="AG1017">
        <v>77</v>
      </c>
      <c r="AH1017">
        <v>237</v>
      </c>
      <c r="AI1017" s="122">
        <v>5516</v>
      </c>
      <c r="AJ1017" s="122">
        <v>5014</v>
      </c>
      <c r="AK1017">
        <v>90</v>
      </c>
      <c r="AL1017" s="122">
        <v>1291</v>
      </c>
      <c r="AM1017">
        <v>478</v>
      </c>
      <c r="AN1017" s="122">
        <v>1346</v>
      </c>
      <c r="AO1017">
        <v>498</v>
      </c>
      <c r="AP1017">
        <v>473</v>
      </c>
      <c r="AQ1017">
        <v>175</v>
      </c>
      <c r="AR1017" s="122">
        <v>5241</v>
      </c>
      <c r="AS1017" s="122">
        <v>4765</v>
      </c>
      <c r="AT1017" s="122">
        <v>4349</v>
      </c>
      <c r="AU1017" s="122">
        <v>1611</v>
      </c>
      <c r="AV1017" s="122">
        <v>12541</v>
      </c>
    </row>
    <row r="1018" spans="2:48" hidden="1">
      <c r="B1018" t="s">
        <v>369</v>
      </c>
      <c r="C1018" t="s">
        <v>60</v>
      </c>
      <c r="D1018" t="s">
        <v>137</v>
      </c>
      <c r="E1018" t="s">
        <v>556</v>
      </c>
      <c r="F1018" s="122">
        <v>11</v>
      </c>
      <c r="G1018" s="122">
        <v>696</v>
      </c>
      <c r="H1018" s="122">
        <v>3677</v>
      </c>
      <c r="I1018" s="122">
        <v>116074</v>
      </c>
      <c r="J1018" s="122">
        <v>42990</v>
      </c>
      <c r="K1018" s="122">
        <v>183</v>
      </c>
      <c r="L1018" s="122">
        <v>22615</v>
      </c>
      <c r="M1018" s="122">
        <v>18846</v>
      </c>
      <c r="N1018" s="122">
        <v>13366</v>
      </c>
      <c r="O1018" s="122">
        <v>4950</v>
      </c>
      <c r="P1018" s="122">
        <v>956</v>
      </c>
      <c r="Q1018" s="122">
        <v>354</v>
      </c>
      <c r="R1018" s="122">
        <v>59570</v>
      </c>
      <c r="S1018" s="122">
        <v>49642</v>
      </c>
      <c r="T1018" s="122">
        <v>24542</v>
      </c>
      <c r="U1018" s="122">
        <v>9090</v>
      </c>
      <c r="V1018" s="122">
        <v>125872</v>
      </c>
      <c r="W1018" s="122">
        <f t="shared" si="32"/>
        <v>125872</v>
      </c>
      <c r="X1018" s="122">
        <f t="shared" si="33"/>
        <v>237123</v>
      </c>
      <c r="AA1018" t="s">
        <v>58</v>
      </c>
      <c r="AB1018" t="s">
        <v>407</v>
      </c>
      <c r="AC1018" t="s">
        <v>137</v>
      </c>
      <c r="AD1018" t="s">
        <v>405</v>
      </c>
      <c r="AE1018" t="s">
        <v>566</v>
      </c>
      <c r="AF1018">
        <v>1</v>
      </c>
      <c r="AG1018">
        <v>80</v>
      </c>
      <c r="AH1018">
        <v>235</v>
      </c>
      <c r="AI1018" s="122">
        <v>7905</v>
      </c>
      <c r="AJ1018" s="122">
        <v>7187</v>
      </c>
      <c r="AK1018">
        <v>68</v>
      </c>
      <c r="AL1018" s="122">
        <v>3134</v>
      </c>
      <c r="AM1018" s="122">
        <v>1161</v>
      </c>
      <c r="AN1018" s="122">
        <v>1111</v>
      </c>
      <c r="AO1018">
        <v>412</v>
      </c>
      <c r="AP1018">
        <v>473</v>
      </c>
      <c r="AQ1018">
        <v>175</v>
      </c>
      <c r="AR1018" s="122">
        <v>6217</v>
      </c>
      <c r="AS1018" s="122">
        <v>5652</v>
      </c>
      <c r="AT1018">
        <v>0</v>
      </c>
      <c r="AU1018">
        <v>0</v>
      </c>
      <c r="AV1018" s="122">
        <v>14586</v>
      </c>
    </row>
    <row r="1019" spans="2:48" hidden="1">
      <c r="B1019" t="s">
        <v>369</v>
      </c>
      <c r="C1019" t="s">
        <v>60</v>
      </c>
      <c r="D1019" t="s">
        <v>137</v>
      </c>
      <c r="E1019" t="s">
        <v>428</v>
      </c>
      <c r="F1019" s="122">
        <v>1</v>
      </c>
      <c r="G1019" s="122">
        <v>82</v>
      </c>
      <c r="H1019" s="122">
        <v>315</v>
      </c>
      <c r="I1019" s="122">
        <v>13563</v>
      </c>
      <c r="J1019" s="122">
        <v>5024</v>
      </c>
      <c r="K1019" s="122">
        <v>100</v>
      </c>
      <c r="L1019" s="122">
        <v>2763</v>
      </c>
      <c r="M1019" s="122">
        <v>2512</v>
      </c>
      <c r="N1019" s="122">
        <v>1625</v>
      </c>
      <c r="O1019" s="122">
        <v>602</v>
      </c>
      <c r="P1019" s="122">
        <v>351</v>
      </c>
      <c r="Q1019" s="122">
        <v>130</v>
      </c>
      <c r="R1019" s="122">
        <v>5432</v>
      </c>
      <c r="S1019" s="122">
        <v>4938</v>
      </c>
      <c r="T1019" s="122">
        <v>2197</v>
      </c>
      <c r="U1019" s="122">
        <v>814</v>
      </c>
      <c r="V1019" s="122">
        <v>14019</v>
      </c>
      <c r="W1019" s="122">
        <f t="shared" si="32"/>
        <v>14020</v>
      </c>
      <c r="X1019" s="122">
        <f t="shared" si="33"/>
        <v>25931</v>
      </c>
      <c r="AA1019" t="s">
        <v>58</v>
      </c>
      <c r="AB1019" t="s">
        <v>407</v>
      </c>
      <c r="AC1019" t="s">
        <v>137</v>
      </c>
      <c r="AD1019" t="s">
        <v>137</v>
      </c>
      <c r="AE1019" t="s">
        <v>566</v>
      </c>
      <c r="AF1019">
        <v>9</v>
      </c>
      <c r="AG1019">
        <v>917</v>
      </c>
      <c r="AH1019" s="122">
        <v>2217</v>
      </c>
      <c r="AI1019" s="122">
        <v>117692</v>
      </c>
      <c r="AJ1019" s="122">
        <v>106993</v>
      </c>
      <c r="AK1019">
        <v>78</v>
      </c>
      <c r="AL1019" s="122">
        <v>27031</v>
      </c>
      <c r="AM1019" s="122">
        <v>10012</v>
      </c>
      <c r="AN1019" s="122">
        <v>18778</v>
      </c>
      <c r="AO1019" s="122">
        <v>6955</v>
      </c>
      <c r="AP1019" s="122">
        <v>3308</v>
      </c>
      <c r="AQ1019" s="122">
        <v>1225</v>
      </c>
      <c r="AR1019" s="122">
        <v>68589</v>
      </c>
      <c r="AS1019" s="122">
        <v>25403</v>
      </c>
      <c r="AT1019">
        <v>0</v>
      </c>
      <c r="AU1019">
        <v>0</v>
      </c>
      <c r="AV1019" s="122">
        <v>150588</v>
      </c>
    </row>
    <row r="1020" spans="2:48" hidden="1">
      <c r="B1020" t="s">
        <v>369</v>
      </c>
      <c r="C1020" t="s">
        <v>60</v>
      </c>
      <c r="D1020" t="s">
        <v>137</v>
      </c>
      <c r="E1020" t="s">
        <v>426</v>
      </c>
      <c r="F1020" s="122">
        <v>4</v>
      </c>
      <c r="G1020" s="122">
        <v>338</v>
      </c>
      <c r="H1020" s="122">
        <v>1451</v>
      </c>
      <c r="I1020" s="122">
        <v>74422</v>
      </c>
      <c r="J1020" s="122">
        <v>27564</v>
      </c>
      <c r="K1020" s="122">
        <v>100</v>
      </c>
      <c r="L1020" s="122">
        <v>9186</v>
      </c>
      <c r="M1020" s="122">
        <v>8226</v>
      </c>
      <c r="N1020" s="122">
        <v>7124</v>
      </c>
      <c r="O1020" s="122">
        <v>2638</v>
      </c>
      <c r="P1020" s="122">
        <v>0</v>
      </c>
      <c r="Q1020" s="122">
        <v>0</v>
      </c>
      <c r="R1020" s="122">
        <v>21950</v>
      </c>
      <c r="S1020" s="122">
        <v>19955</v>
      </c>
      <c r="T1020" s="122">
        <v>9748</v>
      </c>
      <c r="U1020" s="122">
        <v>3610</v>
      </c>
      <c r="V1020" s="122">
        <v>61993</v>
      </c>
      <c r="W1020" s="122">
        <f t="shared" si="32"/>
        <v>61993</v>
      </c>
      <c r="X1020" s="122">
        <f t="shared" si="33"/>
        <v>122430</v>
      </c>
      <c r="AA1020" t="s">
        <v>58</v>
      </c>
      <c r="AB1020" t="s">
        <v>407</v>
      </c>
      <c r="AC1020" t="s">
        <v>137</v>
      </c>
      <c r="AD1020" t="s">
        <v>406</v>
      </c>
      <c r="AE1020" t="s">
        <v>137</v>
      </c>
      <c r="AF1020">
        <v>3</v>
      </c>
      <c r="AG1020">
        <v>296</v>
      </c>
      <c r="AH1020">
        <v>742</v>
      </c>
      <c r="AI1020" s="122">
        <v>29112</v>
      </c>
      <c r="AJ1020" s="122">
        <v>26466</v>
      </c>
      <c r="AK1020">
        <v>83</v>
      </c>
      <c r="AL1020" s="122">
        <v>14228</v>
      </c>
      <c r="AM1020" s="122">
        <v>5269</v>
      </c>
      <c r="AN1020" s="122">
        <v>6183</v>
      </c>
      <c r="AO1020" s="122">
        <v>2290</v>
      </c>
      <c r="AP1020" s="122">
        <v>1418</v>
      </c>
      <c r="AQ1020">
        <v>525</v>
      </c>
      <c r="AR1020" s="122">
        <v>16740</v>
      </c>
      <c r="AS1020" s="122">
        <v>15218</v>
      </c>
      <c r="AT1020" s="122">
        <v>5088</v>
      </c>
      <c r="AU1020" s="122">
        <v>1884</v>
      </c>
      <c r="AV1020" s="122">
        <v>51652</v>
      </c>
    </row>
    <row r="1021" spans="2:48" hidden="1">
      <c r="B1021" t="s">
        <v>369</v>
      </c>
      <c r="C1021" t="s">
        <v>60</v>
      </c>
      <c r="D1021" t="s">
        <v>406</v>
      </c>
      <c r="E1021" t="s">
        <v>137</v>
      </c>
      <c r="F1021" s="122">
        <v>7</v>
      </c>
      <c r="G1021" s="122">
        <v>546</v>
      </c>
      <c r="H1021" s="122">
        <v>2330</v>
      </c>
      <c r="I1021" s="122">
        <v>87115</v>
      </c>
      <c r="J1021" s="122">
        <v>79196</v>
      </c>
      <c r="K1021" s="122">
        <v>76</v>
      </c>
      <c r="L1021" s="122">
        <v>19599</v>
      </c>
      <c r="M1021" s="122">
        <v>16434</v>
      </c>
      <c r="N1021" s="122">
        <v>10557</v>
      </c>
      <c r="O1021" s="122">
        <v>3910</v>
      </c>
      <c r="P1021" s="122">
        <v>3645</v>
      </c>
      <c r="Q1021" s="122">
        <v>1350</v>
      </c>
      <c r="R1021" s="122">
        <v>61217</v>
      </c>
      <c r="S1021" s="122">
        <v>22673</v>
      </c>
      <c r="T1021" s="122">
        <v>0</v>
      </c>
      <c r="U1021" s="122">
        <v>0</v>
      </c>
      <c r="V1021" s="122">
        <v>123562</v>
      </c>
      <c r="W1021" s="122">
        <f t="shared" si="32"/>
        <v>123563</v>
      </c>
      <c r="X1021" s="122">
        <f t="shared" si="33"/>
        <v>182133</v>
      </c>
      <c r="AA1021" t="s">
        <v>58</v>
      </c>
      <c r="AB1021" t="s">
        <v>407</v>
      </c>
      <c r="AC1021" t="s">
        <v>137</v>
      </c>
      <c r="AD1021" t="s">
        <v>427</v>
      </c>
      <c r="AE1021" t="s">
        <v>137</v>
      </c>
      <c r="AF1021">
        <v>1</v>
      </c>
      <c r="AG1021">
        <v>88</v>
      </c>
      <c r="AH1021">
        <v>283</v>
      </c>
      <c r="AI1021" s="122">
        <v>8061</v>
      </c>
      <c r="AJ1021" s="122">
        <v>7328</v>
      </c>
      <c r="AK1021">
        <v>79</v>
      </c>
      <c r="AL1021" s="122">
        <v>3705</v>
      </c>
      <c r="AM1021" s="122">
        <v>1372</v>
      </c>
      <c r="AN1021" s="122">
        <v>2156</v>
      </c>
      <c r="AO1021">
        <v>798</v>
      </c>
      <c r="AP1021">
        <v>473</v>
      </c>
      <c r="AQ1021">
        <v>175</v>
      </c>
      <c r="AR1021" s="122">
        <v>6180</v>
      </c>
      <c r="AS1021" s="122">
        <v>5618</v>
      </c>
      <c r="AT1021" s="122">
        <v>4506</v>
      </c>
      <c r="AU1021" s="122">
        <v>1669</v>
      </c>
      <c r="AV1021" s="122">
        <v>16960</v>
      </c>
    </row>
    <row r="1022" spans="2:48" hidden="1">
      <c r="B1022" t="s">
        <v>369</v>
      </c>
      <c r="C1022" t="s">
        <v>60</v>
      </c>
      <c r="D1022" t="s">
        <v>406</v>
      </c>
      <c r="E1022" t="s">
        <v>406</v>
      </c>
      <c r="F1022" s="122">
        <v>385</v>
      </c>
      <c r="G1022" s="122">
        <v>37956</v>
      </c>
      <c r="H1022" s="122">
        <v>130010</v>
      </c>
      <c r="I1022" s="122">
        <v>7706563</v>
      </c>
      <c r="J1022" s="122">
        <v>7005967</v>
      </c>
      <c r="K1022" s="122">
        <v>77</v>
      </c>
      <c r="L1022" s="122">
        <v>1650539</v>
      </c>
      <c r="M1022" s="122">
        <v>1397804</v>
      </c>
      <c r="N1022" s="122">
        <v>767946</v>
      </c>
      <c r="O1022" s="122">
        <v>284425</v>
      </c>
      <c r="P1022" s="122">
        <v>249265</v>
      </c>
      <c r="Q1022" s="122">
        <v>92320</v>
      </c>
      <c r="R1022" s="122">
        <v>2018430</v>
      </c>
      <c r="S1022" s="122">
        <v>1834936</v>
      </c>
      <c r="T1022" s="122">
        <v>515017</v>
      </c>
      <c r="U1022" s="122">
        <v>190747</v>
      </c>
      <c r="V1022" s="122">
        <v>10806198</v>
      </c>
      <c r="W1022" s="122">
        <f t="shared" si="32"/>
        <v>10806199</v>
      </c>
      <c r="X1022" s="122">
        <f t="shared" si="33"/>
        <v>12907760</v>
      </c>
      <c r="AA1022" t="s">
        <v>58</v>
      </c>
      <c r="AB1022" t="s">
        <v>407</v>
      </c>
      <c r="AC1022" t="s">
        <v>137</v>
      </c>
      <c r="AD1022" t="s">
        <v>407</v>
      </c>
      <c r="AE1022" t="s">
        <v>137</v>
      </c>
      <c r="AF1022" s="122">
        <v>1294</v>
      </c>
      <c r="AG1022" s="122">
        <v>115265</v>
      </c>
      <c r="AH1022" s="122">
        <v>335707</v>
      </c>
      <c r="AI1022" s="122">
        <v>15241163</v>
      </c>
      <c r="AJ1022" s="122">
        <v>13855603</v>
      </c>
      <c r="AK1022">
        <v>79</v>
      </c>
      <c r="AL1022" s="122">
        <v>3870733</v>
      </c>
      <c r="AM1022" s="122">
        <v>1433605</v>
      </c>
      <c r="AN1022" s="122">
        <v>2403152</v>
      </c>
      <c r="AO1022" s="122">
        <v>890056</v>
      </c>
      <c r="AP1022" s="122">
        <v>614525</v>
      </c>
      <c r="AQ1022" s="122">
        <v>227602</v>
      </c>
      <c r="AR1022" s="122">
        <v>5452888</v>
      </c>
      <c r="AS1022" s="122">
        <v>4957170</v>
      </c>
      <c r="AT1022" s="122">
        <v>2607906</v>
      </c>
      <c r="AU1022" s="122">
        <v>965891</v>
      </c>
      <c r="AV1022" s="122">
        <v>22329927</v>
      </c>
    </row>
    <row r="1023" spans="2:48" hidden="1">
      <c r="B1023" t="s">
        <v>369</v>
      </c>
      <c r="C1023" t="s">
        <v>60</v>
      </c>
      <c r="D1023" t="s">
        <v>406</v>
      </c>
      <c r="E1023" t="s">
        <v>427</v>
      </c>
      <c r="F1023" s="122">
        <v>1</v>
      </c>
      <c r="G1023" s="122">
        <v>74</v>
      </c>
      <c r="H1023" s="122">
        <v>347</v>
      </c>
      <c r="I1023" s="122">
        <v>12729</v>
      </c>
      <c r="J1023" s="122">
        <v>11572</v>
      </c>
      <c r="K1023" s="122">
        <v>70</v>
      </c>
      <c r="L1023" s="122">
        <v>3135</v>
      </c>
      <c r="M1023" s="122">
        <v>2850</v>
      </c>
      <c r="N1023" s="122">
        <v>1684</v>
      </c>
      <c r="O1023" s="122">
        <v>624</v>
      </c>
      <c r="P1023" s="122">
        <v>621</v>
      </c>
      <c r="Q1023" s="122">
        <v>230</v>
      </c>
      <c r="R1023" s="122">
        <v>4837</v>
      </c>
      <c r="S1023" s="122">
        <v>4397</v>
      </c>
      <c r="T1023" s="122">
        <v>2801</v>
      </c>
      <c r="U1023" s="122">
        <v>1038</v>
      </c>
      <c r="V1023" s="122">
        <v>20710</v>
      </c>
      <c r="W1023" s="122">
        <f t="shared" si="32"/>
        <v>20711</v>
      </c>
      <c r="X1023" s="122">
        <f t="shared" si="33"/>
        <v>25807</v>
      </c>
      <c r="AA1023" t="s">
        <v>58</v>
      </c>
      <c r="AB1023" t="s">
        <v>407</v>
      </c>
      <c r="AC1023" t="s">
        <v>137</v>
      </c>
      <c r="AD1023" t="s">
        <v>407</v>
      </c>
      <c r="AE1023" t="s">
        <v>566</v>
      </c>
      <c r="AF1023" s="122">
        <v>1237</v>
      </c>
      <c r="AG1023" s="122">
        <v>113902</v>
      </c>
      <c r="AH1023" s="122">
        <v>319374</v>
      </c>
      <c r="AI1023" s="122">
        <v>16508223</v>
      </c>
      <c r="AJ1023" s="122">
        <v>15007475</v>
      </c>
      <c r="AK1023">
        <v>83</v>
      </c>
      <c r="AL1023" s="122">
        <v>4232555</v>
      </c>
      <c r="AM1023" s="122">
        <v>1567613</v>
      </c>
      <c r="AN1023" s="122">
        <v>2365303</v>
      </c>
      <c r="AO1023" s="122">
        <v>876038</v>
      </c>
      <c r="AP1023" s="122">
        <v>585502</v>
      </c>
      <c r="AQ1023" s="122">
        <v>216853</v>
      </c>
      <c r="AR1023" s="122">
        <v>6104777</v>
      </c>
      <c r="AS1023" s="122">
        <v>5549798</v>
      </c>
      <c r="AT1023">
        <v>0</v>
      </c>
      <c r="AU1023">
        <v>0</v>
      </c>
      <c r="AV1023" s="122">
        <v>23217777</v>
      </c>
    </row>
    <row r="1024" spans="2:48" hidden="1">
      <c r="B1024" t="s">
        <v>369</v>
      </c>
      <c r="C1024" t="s">
        <v>60</v>
      </c>
      <c r="D1024" t="s">
        <v>427</v>
      </c>
      <c r="E1024" t="s">
        <v>137</v>
      </c>
      <c r="F1024" s="122">
        <v>1</v>
      </c>
      <c r="G1024" s="122">
        <v>80</v>
      </c>
      <c r="H1024" s="122">
        <v>316</v>
      </c>
      <c r="I1024" s="122">
        <v>11796</v>
      </c>
      <c r="J1024" s="122">
        <v>10724</v>
      </c>
      <c r="K1024" s="122">
        <v>65</v>
      </c>
      <c r="L1024" s="122">
        <v>2840</v>
      </c>
      <c r="M1024" s="122">
        <v>2582</v>
      </c>
      <c r="N1024" s="122">
        <v>1937</v>
      </c>
      <c r="O1024" s="122">
        <v>717</v>
      </c>
      <c r="P1024" s="122">
        <v>351</v>
      </c>
      <c r="Q1024" s="122">
        <v>130</v>
      </c>
      <c r="R1024" s="122">
        <v>8190</v>
      </c>
      <c r="S1024" s="122">
        <v>3033</v>
      </c>
      <c r="T1024" s="122">
        <v>0</v>
      </c>
      <c r="U1024" s="122">
        <v>0</v>
      </c>
      <c r="V1024" s="122">
        <v>17187</v>
      </c>
      <c r="W1024" s="122">
        <f t="shared" si="32"/>
        <v>17186</v>
      </c>
      <c r="X1024" s="122">
        <f t="shared" si="33"/>
        <v>25114</v>
      </c>
      <c r="AA1024" t="s">
        <v>58</v>
      </c>
      <c r="AB1024" t="s">
        <v>407</v>
      </c>
      <c r="AC1024" t="s">
        <v>137</v>
      </c>
      <c r="AD1024" t="s">
        <v>426</v>
      </c>
      <c r="AE1024" t="s">
        <v>566</v>
      </c>
      <c r="AF1024">
        <v>1</v>
      </c>
      <c r="AG1024">
        <v>82</v>
      </c>
      <c r="AH1024">
        <v>248</v>
      </c>
      <c r="AI1024" s="122">
        <v>9613</v>
      </c>
      <c r="AJ1024" s="122">
        <v>8739</v>
      </c>
      <c r="AK1024">
        <v>80</v>
      </c>
      <c r="AL1024" s="122">
        <v>6651</v>
      </c>
      <c r="AM1024" s="122">
        <v>2463</v>
      </c>
      <c r="AN1024" s="122">
        <v>1726</v>
      </c>
      <c r="AO1024">
        <v>639</v>
      </c>
      <c r="AP1024">
        <v>473</v>
      </c>
      <c r="AQ1024">
        <v>175</v>
      </c>
      <c r="AR1024" s="122">
        <v>1832</v>
      </c>
      <c r="AS1024" s="122">
        <v>1665</v>
      </c>
      <c r="AT1024">
        <v>0</v>
      </c>
      <c r="AU1024">
        <v>0</v>
      </c>
      <c r="AV1024" s="122">
        <v>13682</v>
      </c>
    </row>
    <row r="1025" spans="2:48" hidden="1">
      <c r="B1025" t="s">
        <v>369</v>
      </c>
      <c r="C1025" t="s">
        <v>60</v>
      </c>
      <c r="D1025" t="s">
        <v>427</v>
      </c>
      <c r="E1025" t="s">
        <v>427</v>
      </c>
      <c r="F1025" s="122">
        <v>27</v>
      </c>
      <c r="G1025" s="122">
        <v>1803</v>
      </c>
      <c r="H1025" s="122">
        <v>9139</v>
      </c>
      <c r="I1025" s="122">
        <v>347966</v>
      </c>
      <c r="J1025" s="122">
        <v>316333</v>
      </c>
      <c r="K1025" s="122">
        <v>56</v>
      </c>
      <c r="L1025" s="122">
        <v>33267</v>
      </c>
      <c r="M1025" s="122">
        <v>29582</v>
      </c>
      <c r="N1025" s="122">
        <v>38213</v>
      </c>
      <c r="O1025" s="122">
        <v>14153</v>
      </c>
      <c r="P1025" s="122">
        <v>9477</v>
      </c>
      <c r="Q1025" s="122">
        <v>3510</v>
      </c>
      <c r="R1025" s="122">
        <v>130113</v>
      </c>
      <c r="S1025" s="122">
        <v>118285</v>
      </c>
      <c r="T1025" s="122">
        <v>52350</v>
      </c>
      <c r="U1025" s="122">
        <v>19389</v>
      </c>
      <c r="V1025" s="122">
        <v>501251</v>
      </c>
      <c r="W1025" s="122">
        <f t="shared" si="32"/>
        <v>501252</v>
      </c>
      <c r="X1025" s="122">
        <f t="shared" si="33"/>
        <v>611386</v>
      </c>
      <c r="AA1025" t="s">
        <v>58</v>
      </c>
      <c r="AB1025" t="s">
        <v>407</v>
      </c>
      <c r="AC1025" t="s">
        <v>580</v>
      </c>
      <c r="AD1025" t="s">
        <v>407</v>
      </c>
      <c r="AE1025" t="s">
        <v>137</v>
      </c>
      <c r="AF1025">
        <v>7</v>
      </c>
      <c r="AG1025">
        <v>883</v>
      </c>
      <c r="AH1025" s="122">
        <v>1839</v>
      </c>
      <c r="AI1025" s="122">
        <v>128127</v>
      </c>
      <c r="AJ1025" s="122">
        <v>116479</v>
      </c>
      <c r="AK1025">
        <v>81</v>
      </c>
      <c r="AL1025" s="122">
        <v>30450</v>
      </c>
      <c r="AM1025" s="122">
        <v>27682</v>
      </c>
      <c r="AN1025" s="122">
        <v>16695</v>
      </c>
      <c r="AO1025" s="122">
        <v>6183</v>
      </c>
      <c r="AP1025" s="122">
        <v>3929</v>
      </c>
      <c r="AQ1025" s="122">
        <v>1455</v>
      </c>
      <c r="AR1025" s="122">
        <v>33236</v>
      </c>
      <c r="AS1025" s="122">
        <v>30215</v>
      </c>
      <c r="AT1025" s="122">
        <v>14949</v>
      </c>
      <c r="AU1025" s="122">
        <v>5537</v>
      </c>
      <c r="AV1025" s="122">
        <v>187552</v>
      </c>
    </row>
    <row r="1026" spans="2:48" hidden="1">
      <c r="B1026" t="s">
        <v>369</v>
      </c>
      <c r="C1026" t="s">
        <v>60</v>
      </c>
      <c r="D1026" t="s">
        <v>407</v>
      </c>
      <c r="E1026" t="s">
        <v>407</v>
      </c>
      <c r="F1026" s="122">
        <v>2</v>
      </c>
      <c r="G1026" s="122">
        <v>224</v>
      </c>
      <c r="H1026" s="122">
        <v>642</v>
      </c>
      <c r="I1026" s="122">
        <v>39475</v>
      </c>
      <c r="J1026" s="122">
        <v>35886</v>
      </c>
      <c r="K1026" s="122">
        <v>65</v>
      </c>
      <c r="L1026" s="122">
        <v>7899</v>
      </c>
      <c r="M1026" s="122">
        <v>5472</v>
      </c>
      <c r="N1026" s="122">
        <v>5449</v>
      </c>
      <c r="O1026" s="122">
        <v>2018</v>
      </c>
      <c r="P1026" s="122">
        <v>945</v>
      </c>
      <c r="Q1026" s="122">
        <v>350</v>
      </c>
      <c r="R1026" s="122">
        <v>11357</v>
      </c>
      <c r="S1026" s="122">
        <v>10325</v>
      </c>
      <c r="T1026" s="122">
        <v>6305</v>
      </c>
      <c r="U1026" s="122">
        <v>2335</v>
      </c>
      <c r="V1026" s="122">
        <v>56386</v>
      </c>
      <c r="W1026" s="122">
        <f t="shared" si="32"/>
        <v>56386</v>
      </c>
      <c r="X1026" s="122">
        <f t="shared" si="33"/>
        <v>71430</v>
      </c>
      <c r="AA1026" t="s">
        <v>58</v>
      </c>
      <c r="AB1026" t="s">
        <v>407</v>
      </c>
      <c r="AC1026" t="s">
        <v>580</v>
      </c>
      <c r="AD1026" t="s">
        <v>407</v>
      </c>
      <c r="AE1026" t="s">
        <v>566</v>
      </c>
      <c r="AF1026">
        <v>11</v>
      </c>
      <c r="AG1026" s="122">
        <v>1237</v>
      </c>
      <c r="AH1026" s="122">
        <v>2993</v>
      </c>
      <c r="AI1026" s="122">
        <v>200265</v>
      </c>
      <c r="AJ1026" s="122">
        <v>182059</v>
      </c>
      <c r="AK1026">
        <v>82</v>
      </c>
      <c r="AL1026" s="122">
        <v>46543</v>
      </c>
      <c r="AM1026" s="122">
        <v>42312</v>
      </c>
      <c r="AN1026" s="122">
        <v>25248</v>
      </c>
      <c r="AO1026" s="122">
        <v>9351</v>
      </c>
      <c r="AP1026" s="122">
        <v>6170</v>
      </c>
      <c r="AQ1026" s="122">
        <v>2285</v>
      </c>
      <c r="AR1026" s="122">
        <v>65315</v>
      </c>
      <c r="AS1026" s="122">
        <v>59377</v>
      </c>
      <c r="AT1026">
        <v>0</v>
      </c>
      <c r="AU1026">
        <v>0</v>
      </c>
      <c r="AV1026" s="122">
        <v>295384</v>
      </c>
    </row>
    <row r="1027" spans="2:48" hidden="1">
      <c r="B1027" t="s">
        <v>369</v>
      </c>
      <c r="C1027" t="s">
        <v>60</v>
      </c>
      <c r="D1027" t="s">
        <v>556</v>
      </c>
      <c r="E1027" t="s">
        <v>137</v>
      </c>
      <c r="F1027" s="122">
        <v>1</v>
      </c>
      <c r="G1027" s="122">
        <v>85</v>
      </c>
      <c r="H1027" s="122">
        <v>342</v>
      </c>
      <c r="I1027" s="122">
        <v>17640</v>
      </c>
      <c r="J1027" s="122">
        <v>14700</v>
      </c>
      <c r="K1027" s="122">
        <v>30</v>
      </c>
      <c r="L1027" s="122">
        <v>0</v>
      </c>
      <c r="M1027" s="122">
        <v>0</v>
      </c>
      <c r="N1027" s="122">
        <v>1030</v>
      </c>
      <c r="O1027" s="122">
        <v>382</v>
      </c>
      <c r="P1027" s="122">
        <v>0</v>
      </c>
      <c r="Q1027" s="122">
        <v>0</v>
      </c>
      <c r="R1027" s="122">
        <v>10258</v>
      </c>
      <c r="S1027" s="122">
        <v>3799</v>
      </c>
      <c r="T1027" s="122">
        <v>0</v>
      </c>
      <c r="U1027" s="122">
        <v>0</v>
      </c>
      <c r="V1027" s="122">
        <v>18881</v>
      </c>
      <c r="W1027" s="122">
        <f t="shared" si="32"/>
        <v>18881</v>
      </c>
      <c r="X1027" s="122">
        <f t="shared" si="33"/>
        <v>28928</v>
      </c>
      <c r="AA1027" t="s">
        <v>58</v>
      </c>
      <c r="AB1027" t="s">
        <v>407</v>
      </c>
      <c r="AC1027" t="s">
        <v>427</v>
      </c>
      <c r="AD1027" t="s">
        <v>405</v>
      </c>
      <c r="AE1027" t="s">
        <v>566</v>
      </c>
      <c r="AF1027">
        <v>1</v>
      </c>
      <c r="AG1027">
        <v>70</v>
      </c>
      <c r="AH1027">
        <v>253</v>
      </c>
      <c r="AI1027" s="122">
        <v>11799</v>
      </c>
      <c r="AJ1027" s="122">
        <v>10726</v>
      </c>
      <c r="AK1027">
        <v>90</v>
      </c>
      <c r="AL1027" s="122">
        <v>3937</v>
      </c>
      <c r="AM1027" s="122">
        <v>3579</v>
      </c>
      <c r="AN1027" s="122">
        <v>1979</v>
      </c>
      <c r="AO1027">
        <v>733</v>
      </c>
      <c r="AP1027">
        <v>473</v>
      </c>
      <c r="AQ1027">
        <v>175</v>
      </c>
      <c r="AR1027" s="122">
        <v>2380</v>
      </c>
      <c r="AS1027" s="122">
        <v>2164</v>
      </c>
      <c r="AT1027">
        <v>0</v>
      </c>
      <c r="AU1027">
        <v>0</v>
      </c>
      <c r="AV1027" s="122">
        <v>17377</v>
      </c>
    </row>
    <row r="1028" spans="2:48" hidden="1">
      <c r="B1028" t="s">
        <v>369</v>
      </c>
      <c r="C1028" t="s">
        <v>60</v>
      </c>
      <c r="D1028" t="s">
        <v>556</v>
      </c>
      <c r="E1028" t="s">
        <v>556</v>
      </c>
      <c r="F1028" s="122">
        <v>70</v>
      </c>
      <c r="G1028" s="122">
        <v>5397</v>
      </c>
      <c r="H1028" s="122">
        <v>23736</v>
      </c>
      <c r="I1028" s="122">
        <v>1025867</v>
      </c>
      <c r="J1028" s="122">
        <v>854889</v>
      </c>
      <c r="K1028" s="122">
        <v>56</v>
      </c>
      <c r="L1028" s="122">
        <v>144464</v>
      </c>
      <c r="M1028" s="122">
        <v>115319</v>
      </c>
      <c r="N1028" s="122">
        <v>100230</v>
      </c>
      <c r="O1028" s="122">
        <v>37122</v>
      </c>
      <c r="P1028" s="122">
        <v>24531</v>
      </c>
      <c r="Q1028" s="122">
        <v>9086</v>
      </c>
      <c r="R1028" s="122">
        <v>383436</v>
      </c>
      <c r="S1028" s="122">
        <v>319530</v>
      </c>
      <c r="T1028" s="122">
        <v>155500</v>
      </c>
      <c r="U1028" s="122">
        <v>57593</v>
      </c>
      <c r="V1028" s="122">
        <v>1393538</v>
      </c>
      <c r="W1028" s="122">
        <f t="shared" si="32"/>
        <v>1393539</v>
      </c>
      <c r="X1028" s="122">
        <f t="shared" si="33"/>
        <v>1834028</v>
      </c>
      <c r="AA1028" t="s">
        <v>58</v>
      </c>
      <c r="AB1028" t="s">
        <v>407</v>
      </c>
      <c r="AC1028" t="s">
        <v>427</v>
      </c>
      <c r="AD1028" t="s">
        <v>137</v>
      </c>
      <c r="AE1028" t="s">
        <v>566</v>
      </c>
      <c r="AF1028">
        <v>7</v>
      </c>
      <c r="AG1028">
        <v>725</v>
      </c>
      <c r="AH1028" s="122">
        <v>2001</v>
      </c>
      <c r="AI1028" s="122">
        <v>105064</v>
      </c>
      <c r="AJ1028" s="122">
        <v>95512</v>
      </c>
      <c r="AK1028">
        <v>82</v>
      </c>
      <c r="AL1028" s="122">
        <v>26998</v>
      </c>
      <c r="AM1028" s="122">
        <v>24544</v>
      </c>
      <c r="AN1028" s="122">
        <v>13992</v>
      </c>
      <c r="AO1028" s="122">
        <v>5182</v>
      </c>
      <c r="AP1028" s="122">
        <v>3578</v>
      </c>
      <c r="AQ1028" s="122">
        <v>1325</v>
      </c>
      <c r="AR1028" s="122">
        <v>61475</v>
      </c>
      <c r="AS1028" s="122">
        <v>22769</v>
      </c>
      <c r="AT1028">
        <v>0</v>
      </c>
      <c r="AU1028">
        <v>0</v>
      </c>
      <c r="AV1028" s="122">
        <v>149332</v>
      </c>
    </row>
    <row r="1029" spans="2:48" hidden="1">
      <c r="B1029" t="s">
        <v>369</v>
      </c>
      <c r="C1029" t="s">
        <v>60</v>
      </c>
      <c r="D1029" t="s">
        <v>431</v>
      </c>
      <c r="E1029" t="s">
        <v>137</v>
      </c>
      <c r="F1029" s="122">
        <v>1</v>
      </c>
      <c r="G1029" s="122">
        <v>79</v>
      </c>
      <c r="H1029" s="122">
        <v>331</v>
      </c>
      <c r="I1029" s="122">
        <v>17253</v>
      </c>
      <c r="J1029" s="122">
        <v>15684</v>
      </c>
      <c r="K1029" s="122">
        <v>55</v>
      </c>
      <c r="L1029" s="122">
        <v>0</v>
      </c>
      <c r="M1029" s="122">
        <v>0</v>
      </c>
      <c r="N1029" s="122">
        <v>1152</v>
      </c>
      <c r="O1029" s="122">
        <v>427</v>
      </c>
      <c r="P1029" s="122">
        <v>351</v>
      </c>
      <c r="Q1029" s="122">
        <v>130</v>
      </c>
      <c r="R1029" s="122">
        <v>7323</v>
      </c>
      <c r="S1029" s="122">
        <v>2712</v>
      </c>
      <c r="T1029" s="122">
        <v>0</v>
      </c>
      <c r="U1029" s="122">
        <v>0</v>
      </c>
      <c r="V1029" s="122">
        <v>18953</v>
      </c>
      <c r="W1029" s="122">
        <f t="shared" si="32"/>
        <v>18953</v>
      </c>
      <c r="X1029" s="122">
        <f t="shared" si="33"/>
        <v>26079</v>
      </c>
      <c r="AA1029" t="s">
        <v>58</v>
      </c>
      <c r="AB1029" t="s">
        <v>407</v>
      </c>
      <c r="AC1029" t="s">
        <v>427</v>
      </c>
      <c r="AD1029" t="s">
        <v>406</v>
      </c>
      <c r="AE1029" t="s">
        <v>137</v>
      </c>
      <c r="AF1029">
        <v>4</v>
      </c>
      <c r="AG1029">
        <v>410</v>
      </c>
      <c r="AH1029" s="122">
        <v>1013</v>
      </c>
      <c r="AI1029" s="122">
        <v>55351</v>
      </c>
      <c r="AJ1029" s="122">
        <v>50319</v>
      </c>
      <c r="AK1029">
        <v>82</v>
      </c>
      <c r="AL1029" s="122">
        <v>15932</v>
      </c>
      <c r="AM1029" s="122">
        <v>14484</v>
      </c>
      <c r="AN1029" s="122">
        <v>9605</v>
      </c>
      <c r="AO1029" s="122">
        <v>3557</v>
      </c>
      <c r="AP1029" s="122">
        <v>1890</v>
      </c>
      <c r="AQ1029">
        <v>700</v>
      </c>
      <c r="AR1029" s="122">
        <v>14488</v>
      </c>
      <c r="AS1029" s="122">
        <v>13171</v>
      </c>
      <c r="AT1029" s="122">
        <v>7462</v>
      </c>
      <c r="AU1029" s="122">
        <v>2764</v>
      </c>
      <c r="AV1029" s="122">
        <v>84995</v>
      </c>
    </row>
    <row r="1030" spans="2:48" hidden="1">
      <c r="B1030" t="s">
        <v>369</v>
      </c>
      <c r="C1030" t="s">
        <v>60</v>
      </c>
      <c r="D1030" t="s">
        <v>431</v>
      </c>
      <c r="E1030" t="s">
        <v>431</v>
      </c>
      <c r="F1030" s="122">
        <v>2</v>
      </c>
      <c r="G1030" s="122">
        <v>101</v>
      </c>
      <c r="H1030" s="122">
        <v>683</v>
      </c>
      <c r="I1030" s="122">
        <v>22631</v>
      </c>
      <c r="J1030" s="122">
        <v>20574</v>
      </c>
      <c r="K1030" s="122">
        <v>65</v>
      </c>
      <c r="L1030" s="122">
        <v>2506</v>
      </c>
      <c r="M1030" s="122">
        <v>2278</v>
      </c>
      <c r="N1030" s="122">
        <v>1232</v>
      </c>
      <c r="O1030" s="122">
        <v>456</v>
      </c>
      <c r="P1030" s="122">
        <v>702</v>
      </c>
      <c r="Q1030" s="122">
        <v>260</v>
      </c>
      <c r="R1030" s="122">
        <v>4694</v>
      </c>
      <c r="S1030" s="122">
        <v>4267</v>
      </c>
      <c r="T1030" s="122">
        <v>1924</v>
      </c>
      <c r="U1030" s="122">
        <v>713</v>
      </c>
      <c r="V1030" s="122">
        <v>28548</v>
      </c>
      <c r="W1030" s="122">
        <f t="shared" si="32"/>
        <v>28548</v>
      </c>
      <c r="X1030" s="122">
        <f t="shared" si="33"/>
        <v>33689</v>
      </c>
      <c r="AA1030" t="s">
        <v>58</v>
      </c>
      <c r="AB1030" t="s">
        <v>407</v>
      </c>
      <c r="AC1030" t="s">
        <v>427</v>
      </c>
      <c r="AD1030" t="s">
        <v>406</v>
      </c>
      <c r="AE1030" t="s">
        <v>566</v>
      </c>
      <c r="AF1030">
        <v>2</v>
      </c>
      <c r="AG1030">
        <v>224</v>
      </c>
      <c r="AH1030">
        <v>481</v>
      </c>
      <c r="AI1030" s="122">
        <v>30779</v>
      </c>
      <c r="AJ1030" s="122">
        <v>27981</v>
      </c>
      <c r="AK1030">
        <v>89</v>
      </c>
      <c r="AL1030" s="122">
        <v>9959</v>
      </c>
      <c r="AM1030" s="122">
        <v>9054</v>
      </c>
      <c r="AN1030" s="122">
        <v>4421</v>
      </c>
      <c r="AO1030" s="122">
        <v>1637</v>
      </c>
      <c r="AP1030">
        <v>945</v>
      </c>
      <c r="AQ1030">
        <v>350</v>
      </c>
      <c r="AR1030" s="122">
        <v>8180</v>
      </c>
      <c r="AS1030" s="122">
        <v>7436</v>
      </c>
      <c r="AT1030">
        <v>0</v>
      </c>
      <c r="AU1030">
        <v>0</v>
      </c>
      <c r="AV1030" s="122">
        <v>46458</v>
      </c>
    </row>
    <row r="1031" spans="2:48" hidden="1">
      <c r="B1031" t="s">
        <v>369</v>
      </c>
      <c r="C1031" t="s">
        <v>60</v>
      </c>
      <c r="D1031" t="s">
        <v>426</v>
      </c>
      <c r="E1031" t="s">
        <v>137</v>
      </c>
      <c r="F1031" s="122">
        <v>18</v>
      </c>
      <c r="G1031" s="122">
        <v>1409</v>
      </c>
      <c r="H1031" s="122">
        <v>6304</v>
      </c>
      <c r="I1031" s="122">
        <v>272717</v>
      </c>
      <c r="J1031" s="122">
        <v>247925</v>
      </c>
      <c r="K1031" s="122">
        <v>52</v>
      </c>
      <c r="L1031" s="122">
        <v>50874</v>
      </c>
      <c r="M1031" s="122">
        <v>36989</v>
      </c>
      <c r="N1031" s="122">
        <v>28622</v>
      </c>
      <c r="O1031" s="122">
        <v>10601</v>
      </c>
      <c r="P1031" s="122">
        <v>4212</v>
      </c>
      <c r="Q1031" s="122">
        <v>1560</v>
      </c>
      <c r="R1031" s="122">
        <v>128160</v>
      </c>
      <c r="S1031" s="122">
        <v>47467</v>
      </c>
      <c r="T1031" s="122">
        <v>7266</v>
      </c>
      <c r="U1031" s="122">
        <v>2691</v>
      </c>
      <c r="V1031" s="122">
        <v>347232</v>
      </c>
      <c r="W1031" s="122">
        <f t="shared" si="32"/>
        <v>347233</v>
      </c>
      <c r="X1031" s="122">
        <f t="shared" si="33"/>
        <v>491851</v>
      </c>
      <c r="AA1031" t="s">
        <v>58</v>
      </c>
      <c r="AB1031" t="s">
        <v>407</v>
      </c>
      <c r="AC1031" t="s">
        <v>427</v>
      </c>
      <c r="AD1031" t="s">
        <v>427</v>
      </c>
      <c r="AE1031" t="s">
        <v>137</v>
      </c>
      <c r="AF1031">
        <v>1</v>
      </c>
      <c r="AG1031">
        <v>130</v>
      </c>
      <c r="AH1031">
        <v>230</v>
      </c>
      <c r="AI1031" s="122">
        <v>20557</v>
      </c>
      <c r="AJ1031" s="122">
        <v>18688</v>
      </c>
      <c r="AK1031">
        <v>68</v>
      </c>
      <c r="AL1031" s="122">
        <v>4918</v>
      </c>
      <c r="AM1031" s="122">
        <v>4471</v>
      </c>
      <c r="AN1031" s="122">
        <v>1925</v>
      </c>
      <c r="AO1031">
        <v>713</v>
      </c>
      <c r="AP1031">
        <v>473</v>
      </c>
      <c r="AQ1031">
        <v>175</v>
      </c>
      <c r="AR1031" s="122">
        <v>8524</v>
      </c>
      <c r="AS1031" s="122">
        <v>7749</v>
      </c>
      <c r="AT1031">
        <v>0</v>
      </c>
      <c r="AU1031">
        <v>0</v>
      </c>
      <c r="AV1031" s="122">
        <v>31796</v>
      </c>
    </row>
    <row r="1032" spans="2:48" hidden="1">
      <c r="B1032" t="s">
        <v>369</v>
      </c>
      <c r="C1032" t="s">
        <v>60</v>
      </c>
      <c r="D1032" t="s">
        <v>426</v>
      </c>
      <c r="E1032" t="s">
        <v>426</v>
      </c>
      <c r="F1032" s="122">
        <v>409</v>
      </c>
      <c r="G1032" s="122">
        <v>29166</v>
      </c>
      <c r="H1032" s="122">
        <v>135689</v>
      </c>
      <c r="I1032" s="122">
        <v>5221566</v>
      </c>
      <c r="J1032" s="122">
        <v>4746878</v>
      </c>
      <c r="K1032" s="122">
        <v>55</v>
      </c>
      <c r="L1032" s="122">
        <v>793454</v>
      </c>
      <c r="M1032" s="122">
        <v>643763</v>
      </c>
      <c r="N1032" s="122">
        <v>480562</v>
      </c>
      <c r="O1032" s="122">
        <v>177986</v>
      </c>
      <c r="P1032" s="122">
        <v>149087</v>
      </c>
      <c r="Q1032" s="122">
        <v>55217</v>
      </c>
      <c r="R1032" s="122">
        <v>2181660</v>
      </c>
      <c r="S1032" s="122">
        <v>1983327</v>
      </c>
      <c r="T1032" s="122">
        <v>834426</v>
      </c>
      <c r="U1032" s="122">
        <v>309047</v>
      </c>
      <c r="V1032" s="122">
        <v>7916219</v>
      </c>
      <c r="W1032" s="122">
        <f t="shared" si="32"/>
        <v>7916218</v>
      </c>
      <c r="X1032" s="122">
        <f t="shared" si="33"/>
        <v>9660755</v>
      </c>
      <c r="AA1032" t="s">
        <v>58</v>
      </c>
      <c r="AB1032" t="s">
        <v>407</v>
      </c>
      <c r="AC1032" t="s">
        <v>427</v>
      </c>
      <c r="AD1032" t="s">
        <v>427</v>
      </c>
      <c r="AE1032" t="s">
        <v>566</v>
      </c>
      <c r="AF1032">
        <v>2</v>
      </c>
      <c r="AG1032">
        <v>214</v>
      </c>
      <c r="AH1032">
        <v>478</v>
      </c>
      <c r="AI1032" s="122">
        <v>22902</v>
      </c>
      <c r="AJ1032" s="122">
        <v>20820</v>
      </c>
      <c r="AK1032">
        <v>85</v>
      </c>
      <c r="AL1032" s="122">
        <v>6887</v>
      </c>
      <c r="AM1032" s="122">
        <v>6261</v>
      </c>
      <c r="AN1032" s="122">
        <v>4869</v>
      </c>
      <c r="AO1032" s="122">
        <v>1803</v>
      </c>
      <c r="AP1032">
        <v>945</v>
      </c>
      <c r="AQ1032">
        <v>350</v>
      </c>
      <c r="AR1032" s="122">
        <v>15126</v>
      </c>
      <c r="AS1032" s="122">
        <v>13751</v>
      </c>
      <c r="AT1032">
        <v>0</v>
      </c>
      <c r="AU1032">
        <v>0</v>
      </c>
      <c r="AV1032" s="122">
        <v>42985</v>
      </c>
    </row>
    <row r="1033" spans="2:48" hidden="1">
      <c r="B1033" t="s">
        <v>369</v>
      </c>
      <c r="C1033" t="s">
        <v>60</v>
      </c>
      <c r="D1033" t="s">
        <v>433</v>
      </c>
      <c r="E1033" t="s">
        <v>433</v>
      </c>
      <c r="F1033" s="122">
        <v>10</v>
      </c>
      <c r="G1033" s="122">
        <v>623</v>
      </c>
      <c r="H1033" s="122">
        <v>3339</v>
      </c>
      <c r="I1033" s="122">
        <v>118398</v>
      </c>
      <c r="J1033" s="122">
        <v>107634</v>
      </c>
      <c r="K1033" s="122">
        <v>67</v>
      </c>
      <c r="L1033" s="122">
        <v>17826</v>
      </c>
      <c r="M1033" s="122">
        <v>9766</v>
      </c>
      <c r="N1033" s="122">
        <v>10576</v>
      </c>
      <c r="O1033" s="122">
        <v>3917</v>
      </c>
      <c r="P1033" s="122">
        <v>3510</v>
      </c>
      <c r="Q1033" s="122">
        <v>1300</v>
      </c>
      <c r="R1033" s="122">
        <v>37193</v>
      </c>
      <c r="S1033" s="122">
        <v>33812</v>
      </c>
      <c r="T1033" s="122">
        <v>19531</v>
      </c>
      <c r="U1033" s="122">
        <v>7234</v>
      </c>
      <c r="V1033" s="122">
        <v>163663</v>
      </c>
      <c r="W1033" s="122">
        <f t="shared" si="32"/>
        <v>163663</v>
      </c>
      <c r="X1033" s="122">
        <f t="shared" si="33"/>
        <v>207034</v>
      </c>
      <c r="AA1033" t="s">
        <v>58</v>
      </c>
      <c r="AB1033" t="s">
        <v>407</v>
      </c>
      <c r="AC1033" t="s">
        <v>427</v>
      </c>
      <c r="AD1033" t="s">
        <v>407</v>
      </c>
      <c r="AE1033" t="s">
        <v>137</v>
      </c>
      <c r="AF1033" s="122">
        <v>1231</v>
      </c>
      <c r="AG1033" s="122">
        <v>118099</v>
      </c>
      <c r="AH1033" s="122">
        <v>319060</v>
      </c>
      <c r="AI1033" s="122">
        <v>15881871</v>
      </c>
      <c r="AJ1033" s="122">
        <v>14438064</v>
      </c>
      <c r="AK1033">
        <v>79</v>
      </c>
      <c r="AL1033" s="122">
        <v>4264847</v>
      </c>
      <c r="AM1033" s="122">
        <v>3877133</v>
      </c>
      <c r="AN1033" s="122">
        <v>2454952</v>
      </c>
      <c r="AO1033" s="122">
        <v>909242</v>
      </c>
      <c r="AP1033" s="122">
        <v>586850</v>
      </c>
      <c r="AQ1033" s="122">
        <v>217352</v>
      </c>
      <c r="AR1033" s="122">
        <v>5429103</v>
      </c>
      <c r="AS1033" s="122">
        <v>4935548</v>
      </c>
      <c r="AT1033" s="122">
        <v>2458172</v>
      </c>
      <c r="AU1033" s="122">
        <v>910434</v>
      </c>
      <c r="AV1033" s="122">
        <v>25287773</v>
      </c>
    </row>
    <row r="1034" spans="2:48" hidden="1">
      <c r="B1034" t="s">
        <v>369</v>
      </c>
      <c r="C1034" t="s">
        <v>60</v>
      </c>
      <c r="D1034" t="s">
        <v>408</v>
      </c>
      <c r="E1034" t="s">
        <v>408</v>
      </c>
      <c r="F1034" s="122">
        <v>1</v>
      </c>
      <c r="G1034" s="122">
        <v>80</v>
      </c>
      <c r="H1034" s="122">
        <v>373</v>
      </c>
      <c r="I1034" s="122">
        <v>19329</v>
      </c>
      <c r="J1034" s="122">
        <v>17572</v>
      </c>
      <c r="K1034" s="122">
        <v>65</v>
      </c>
      <c r="L1034" s="122">
        <v>2538</v>
      </c>
      <c r="M1034" s="122">
        <v>2115</v>
      </c>
      <c r="N1034" s="122">
        <v>974</v>
      </c>
      <c r="O1034" s="122">
        <v>361</v>
      </c>
      <c r="P1034" s="122">
        <v>702</v>
      </c>
      <c r="Q1034" s="122">
        <v>260</v>
      </c>
      <c r="R1034" s="122">
        <v>4139</v>
      </c>
      <c r="S1034" s="122">
        <v>3763</v>
      </c>
      <c r="T1034" s="122">
        <v>2166</v>
      </c>
      <c r="U1034" s="122">
        <v>802</v>
      </c>
      <c r="V1034" s="122">
        <v>24873</v>
      </c>
      <c r="W1034" s="122">
        <f t="shared" si="32"/>
        <v>24873</v>
      </c>
      <c r="X1034" s="122">
        <f t="shared" si="33"/>
        <v>29848</v>
      </c>
      <c r="AA1034" t="s">
        <v>58</v>
      </c>
      <c r="AB1034" t="s">
        <v>407</v>
      </c>
      <c r="AC1034" t="s">
        <v>427</v>
      </c>
      <c r="AD1034" t="s">
        <v>407</v>
      </c>
      <c r="AE1034" t="s">
        <v>566</v>
      </c>
      <c r="AF1034" s="122">
        <v>1177</v>
      </c>
      <c r="AG1034" s="122">
        <v>111987</v>
      </c>
      <c r="AH1034" s="122">
        <v>304843</v>
      </c>
      <c r="AI1034" s="122">
        <v>15793146</v>
      </c>
      <c r="AJ1034" s="122">
        <v>14357406</v>
      </c>
      <c r="AK1034">
        <v>81</v>
      </c>
      <c r="AL1034" s="122">
        <v>4436789</v>
      </c>
      <c r="AM1034" s="122">
        <v>4033444</v>
      </c>
      <c r="AN1034" s="122">
        <v>2320817</v>
      </c>
      <c r="AO1034" s="122">
        <v>859562</v>
      </c>
      <c r="AP1034" s="122">
        <v>558765</v>
      </c>
      <c r="AQ1034" s="122">
        <v>206950</v>
      </c>
      <c r="AR1034" s="122">
        <v>6313738</v>
      </c>
      <c r="AS1034" s="122">
        <v>5739762</v>
      </c>
      <c r="AT1034">
        <v>0</v>
      </c>
      <c r="AU1034">
        <v>0</v>
      </c>
      <c r="AV1034" s="122">
        <v>25197123</v>
      </c>
    </row>
    <row r="1035" spans="2:48" hidden="1">
      <c r="B1035" t="s">
        <v>369</v>
      </c>
      <c r="C1035" t="s">
        <v>60</v>
      </c>
      <c r="D1035" t="s">
        <v>429</v>
      </c>
      <c r="E1035" t="s">
        <v>137</v>
      </c>
      <c r="F1035" s="122">
        <v>1</v>
      </c>
      <c r="G1035" s="122">
        <v>122</v>
      </c>
      <c r="H1035" s="122">
        <v>342</v>
      </c>
      <c r="I1035" s="122">
        <v>32932</v>
      </c>
      <c r="J1035" s="122">
        <v>29938</v>
      </c>
      <c r="K1035" s="122">
        <v>65</v>
      </c>
      <c r="L1035" s="122">
        <v>0</v>
      </c>
      <c r="M1035" s="122">
        <v>0</v>
      </c>
      <c r="N1035" s="122">
        <v>2632</v>
      </c>
      <c r="O1035" s="122">
        <v>975</v>
      </c>
      <c r="P1035" s="122">
        <v>351</v>
      </c>
      <c r="Q1035" s="122">
        <v>130</v>
      </c>
      <c r="R1035" s="122">
        <v>3890</v>
      </c>
      <c r="S1035" s="122">
        <v>1441</v>
      </c>
      <c r="T1035" s="122">
        <v>1916</v>
      </c>
      <c r="U1035" s="122">
        <v>710</v>
      </c>
      <c r="V1035" s="122">
        <v>33193</v>
      </c>
      <c r="W1035" s="122">
        <f t="shared" si="32"/>
        <v>33194</v>
      </c>
      <c r="X1035" s="122">
        <f t="shared" si="33"/>
        <v>41721</v>
      </c>
      <c r="AA1035" t="s">
        <v>58</v>
      </c>
      <c r="AB1035" t="s">
        <v>407</v>
      </c>
      <c r="AC1035" t="s">
        <v>407</v>
      </c>
      <c r="AD1035" t="s">
        <v>405</v>
      </c>
      <c r="AE1035" t="s">
        <v>137</v>
      </c>
      <c r="AF1035">
        <v>1</v>
      </c>
      <c r="AG1035">
        <v>113</v>
      </c>
      <c r="AH1035">
        <v>268</v>
      </c>
      <c r="AI1035" s="122">
        <v>11271</v>
      </c>
      <c r="AJ1035" s="122">
        <v>10246</v>
      </c>
      <c r="AK1035">
        <v>77</v>
      </c>
      <c r="AL1035" s="122">
        <v>4577</v>
      </c>
      <c r="AM1035" s="122">
        <v>4161</v>
      </c>
      <c r="AN1035" s="122">
        <v>2408</v>
      </c>
      <c r="AO1035">
        <v>892</v>
      </c>
      <c r="AP1035">
        <v>473</v>
      </c>
      <c r="AQ1035">
        <v>175</v>
      </c>
      <c r="AR1035" s="122">
        <v>6685</v>
      </c>
      <c r="AS1035" s="122">
        <v>6077</v>
      </c>
      <c r="AT1035" s="122">
        <v>4817</v>
      </c>
      <c r="AU1035" s="122">
        <v>1784</v>
      </c>
      <c r="AV1035" s="122">
        <v>23335</v>
      </c>
    </row>
    <row r="1036" spans="2:48" hidden="1">
      <c r="B1036" t="s">
        <v>369</v>
      </c>
      <c r="C1036" t="s">
        <v>62</v>
      </c>
      <c r="F1036" s="122">
        <v>3</v>
      </c>
      <c r="G1036" s="122">
        <v>239</v>
      </c>
      <c r="H1036" s="122">
        <v>1220</v>
      </c>
      <c r="I1036" s="122"/>
      <c r="J1036" s="122">
        <v>0</v>
      </c>
      <c r="K1036" s="122"/>
      <c r="L1036" s="122"/>
      <c r="M1036" s="122">
        <v>0</v>
      </c>
      <c r="N1036" s="122">
        <v>4774</v>
      </c>
      <c r="O1036" s="122">
        <v>1768</v>
      </c>
      <c r="P1036" s="122">
        <v>1242</v>
      </c>
      <c r="Q1036" s="122">
        <v>460</v>
      </c>
      <c r="R1036" s="122"/>
      <c r="S1036" s="122">
        <v>0</v>
      </c>
      <c r="T1036" s="122">
        <v>0</v>
      </c>
      <c r="U1036" s="122">
        <v>0</v>
      </c>
      <c r="V1036" s="122">
        <v>2228</v>
      </c>
      <c r="W1036" s="122">
        <f t="shared" si="32"/>
        <v>2228</v>
      </c>
      <c r="X1036" s="122">
        <f t="shared" si="33"/>
        <v>6016</v>
      </c>
      <c r="AA1036" t="s">
        <v>58</v>
      </c>
      <c r="AB1036" t="s">
        <v>407</v>
      </c>
      <c r="AC1036" t="s">
        <v>407</v>
      </c>
      <c r="AD1036" t="s">
        <v>405</v>
      </c>
      <c r="AE1036" t="s">
        <v>566</v>
      </c>
      <c r="AF1036">
        <v>2</v>
      </c>
      <c r="AG1036">
        <v>195</v>
      </c>
      <c r="AH1036">
        <v>531</v>
      </c>
      <c r="AI1036" s="122">
        <v>22748</v>
      </c>
      <c r="AJ1036" s="122">
        <v>20680</v>
      </c>
      <c r="AK1036">
        <v>69</v>
      </c>
      <c r="AL1036" s="122">
        <v>8327</v>
      </c>
      <c r="AM1036" s="122">
        <v>7570</v>
      </c>
      <c r="AN1036" s="122">
        <v>3954</v>
      </c>
      <c r="AO1036" s="122">
        <v>1464</v>
      </c>
      <c r="AP1036">
        <v>945</v>
      </c>
      <c r="AQ1036">
        <v>350</v>
      </c>
      <c r="AR1036" s="122">
        <v>14880</v>
      </c>
      <c r="AS1036" s="122">
        <v>13527</v>
      </c>
      <c r="AT1036">
        <v>0</v>
      </c>
      <c r="AU1036">
        <v>0</v>
      </c>
      <c r="AV1036" s="122">
        <v>43592</v>
      </c>
    </row>
    <row r="1037" spans="2:48" hidden="1">
      <c r="B1037" t="s">
        <v>369</v>
      </c>
      <c r="C1037" t="s">
        <v>62</v>
      </c>
      <c r="D1037" t="s">
        <v>425</v>
      </c>
      <c r="E1037" t="s">
        <v>425</v>
      </c>
      <c r="F1037" s="122">
        <v>2</v>
      </c>
      <c r="G1037" s="122">
        <v>213</v>
      </c>
      <c r="H1037" s="122">
        <v>835</v>
      </c>
      <c r="I1037" s="122">
        <v>58701</v>
      </c>
      <c r="J1037" s="122">
        <v>53364</v>
      </c>
      <c r="K1037" s="122">
        <v>88</v>
      </c>
      <c r="L1037" s="122">
        <v>18584</v>
      </c>
      <c r="M1037" s="122">
        <v>16895</v>
      </c>
      <c r="N1037" s="122">
        <v>4612</v>
      </c>
      <c r="O1037" s="122">
        <v>1708</v>
      </c>
      <c r="P1037" s="122">
        <v>945</v>
      </c>
      <c r="Q1037" s="122">
        <v>350</v>
      </c>
      <c r="R1037" s="122">
        <v>7451</v>
      </c>
      <c r="S1037" s="122">
        <v>6773</v>
      </c>
      <c r="T1037" s="122">
        <v>0</v>
      </c>
      <c r="U1037" s="122">
        <v>0</v>
      </c>
      <c r="V1037" s="122">
        <v>79091</v>
      </c>
      <c r="W1037" s="122">
        <f t="shared" si="32"/>
        <v>79090</v>
      </c>
      <c r="X1037" s="122">
        <f t="shared" si="33"/>
        <v>90293</v>
      </c>
      <c r="AA1037" t="s">
        <v>58</v>
      </c>
      <c r="AB1037" t="s">
        <v>407</v>
      </c>
      <c r="AC1037" t="s">
        <v>407</v>
      </c>
      <c r="AD1037" t="s">
        <v>137</v>
      </c>
      <c r="AE1037" t="s">
        <v>137</v>
      </c>
      <c r="AF1037">
        <v>2</v>
      </c>
      <c r="AG1037">
        <v>169</v>
      </c>
      <c r="AH1037">
        <v>524</v>
      </c>
      <c r="AI1037" s="122">
        <v>16746</v>
      </c>
      <c r="AJ1037" s="122">
        <v>15224</v>
      </c>
      <c r="AK1037">
        <v>77</v>
      </c>
      <c r="AL1037" s="122">
        <v>6827</v>
      </c>
      <c r="AM1037" s="122">
        <v>6206</v>
      </c>
      <c r="AN1037" s="122">
        <v>3503</v>
      </c>
      <c r="AO1037" s="122">
        <v>1297</v>
      </c>
      <c r="AP1037">
        <v>945</v>
      </c>
      <c r="AQ1037">
        <v>350</v>
      </c>
      <c r="AR1037" s="122">
        <v>14457</v>
      </c>
      <c r="AS1037" s="122">
        <v>5354</v>
      </c>
      <c r="AT1037" s="122">
        <v>2293</v>
      </c>
      <c r="AU1037">
        <v>849</v>
      </c>
      <c r="AV1037" s="122">
        <v>29280</v>
      </c>
    </row>
    <row r="1038" spans="2:48" hidden="1">
      <c r="B1038" t="s">
        <v>369</v>
      </c>
      <c r="C1038" t="s">
        <v>62</v>
      </c>
      <c r="D1038" t="s">
        <v>405</v>
      </c>
      <c r="E1038" t="s">
        <v>405</v>
      </c>
      <c r="F1038" s="122">
        <v>1</v>
      </c>
      <c r="G1038" s="122">
        <v>89</v>
      </c>
      <c r="H1038" s="122">
        <v>445</v>
      </c>
      <c r="I1038" s="122">
        <v>23947</v>
      </c>
      <c r="J1038" s="122">
        <v>21770</v>
      </c>
      <c r="K1038" s="122">
        <v>75</v>
      </c>
      <c r="L1038" s="122">
        <v>6350</v>
      </c>
      <c r="M1038" s="122">
        <v>5773</v>
      </c>
      <c r="N1038" s="122">
        <v>1686</v>
      </c>
      <c r="O1038" s="122">
        <v>625</v>
      </c>
      <c r="P1038" s="122">
        <v>473</v>
      </c>
      <c r="Q1038" s="122">
        <v>175</v>
      </c>
      <c r="R1038" s="122">
        <v>7035</v>
      </c>
      <c r="S1038" s="122">
        <v>6396</v>
      </c>
      <c r="T1038" s="122">
        <v>0</v>
      </c>
      <c r="U1038" s="122">
        <v>0</v>
      </c>
      <c r="V1038" s="122">
        <v>34738</v>
      </c>
      <c r="W1038" s="122">
        <f t="shared" si="32"/>
        <v>34739</v>
      </c>
      <c r="X1038" s="122">
        <f t="shared" si="33"/>
        <v>39491</v>
      </c>
      <c r="AA1038" t="s">
        <v>58</v>
      </c>
      <c r="AB1038" t="s">
        <v>407</v>
      </c>
      <c r="AC1038" t="s">
        <v>407</v>
      </c>
      <c r="AD1038" t="s">
        <v>137</v>
      </c>
      <c r="AE1038" t="s">
        <v>566</v>
      </c>
      <c r="AF1038">
        <v>18</v>
      </c>
      <c r="AG1038" s="122">
        <v>1486</v>
      </c>
      <c r="AH1038" s="122">
        <v>4709</v>
      </c>
      <c r="AI1038" s="122">
        <v>188170</v>
      </c>
      <c r="AJ1038" s="122">
        <v>171063</v>
      </c>
      <c r="AK1038">
        <v>79</v>
      </c>
      <c r="AL1038" s="122">
        <v>42627</v>
      </c>
      <c r="AM1038" s="122">
        <v>38751</v>
      </c>
      <c r="AN1038" s="122">
        <v>30235</v>
      </c>
      <c r="AO1038" s="122">
        <v>11198</v>
      </c>
      <c r="AP1038" s="122">
        <v>8505</v>
      </c>
      <c r="AQ1038" s="122">
        <v>3150</v>
      </c>
      <c r="AR1038" s="122">
        <v>121032</v>
      </c>
      <c r="AS1038" s="122">
        <v>44827</v>
      </c>
      <c r="AT1038">
        <v>0</v>
      </c>
      <c r="AU1038">
        <v>0</v>
      </c>
      <c r="AV1038" s="122">
        <v>268990</v>
      </c>
    </row>
    <row r="1039" spans="2:48" hidden="1">
      <c r="B1039" t="s">
        <v>369</v>
      </c>
      <c r="C1039" t="s">
        <v>62</v>
      </c>
      <c r="D1039" t="s">
        <v>137</v>
      </c>
      <c r="E1039" t="s">
        <v>137</v>
      </c>
      <c r="F1039" s="122">
        <v>122</v>
      </c>
      <c r="G1039" s="122">
        <v>9191</v>
      </c>
      <c r="H1039" s="122">
        <v>50524</v>
      </c>
      <c r="I1039" s="122">
        <v>2498132</v>
      </c>
      <c r="J1039" s="122">
        <v>925234</v>
      </c>
      <c r="K1039" s="122">
        <v>100</v>
      </c>
      <c r="L1039" s="122">
        <v>344233</v>
      </c>
      <c r="M1039" s="122">
        <v>260222</v>
      </c>
      <c r="N1039" s="122">
        <v>199611</v>
      </c>
      <c r="O1039" s="122">
        <v>73930</v>
      </c>
      <c r="P1039" s="122">
        <v>5184</v>
      </c>
      <c r="Q1039" s="122">
        <v>1920</v>
      </c>
      <c r="R1039" s="122">
        <v>830966</v>
      </c>
      <c r="S1039" s="122">
        <v>307765</v>
      </c>
      <c r="T1039" s="122">
        <v>0</v>
      </c>
      <c r="U1039" s="122">
        <v>0</v>
      </c>
      <c r="V1039" s="122">
        <v>1569071</v>
      </c>
      <c r="W1039" s="122">
        <f t="shared" si="32"/>
        <v>1569071</v>
      </c>
      <c r="X1039" s="122">
        <f t="shared" si="33"/>
        <v>3878126</v>
      </c>
      <c r="AA1039" t="s">
        <v>58</v>
      </c>
      <c r="AB1039" t="s">
        <v>407</v>
      </c>
      <c r="AC1039" t="s">
        <v>407</v>
      </c>
      <c r="AD1039" t="s">
        <v>406</v>
      </c>
      <c r="AE1039" t="s">
        <v>137</v>
      </c>
      <c r="AF1039">
        <v>1</v>
      </c>
      <c r="AG1039">
        <v>84</v>
      </c>
      <c r="AH1039">
        <v>261</v>
      </c>
      <c r="AI1039" s="122">
        <v>12280</v>
      </c>
      <c r="AJ1039" s="122">
        <v>11164</v>
      </c>
      <c r="AK1039">
        <v>79</v>
      </c>
      <c r="AL1039" s="122">
        <v>1760</v>
      </c>
      <c r="AM1039" s="122">
        <v>1600</v>
      </c>
      <c r="AN1039" s="122">
        <v>1852</v>
      </c>
      <c r="AO1039">
        <v>686</v>
      </c>
      <c r="AP1039">
        <v>473</v>
      </c>
      <c r="AQ1039">
        <v>175</v>
      </c>
      <c r="AR1039" s="122">
        <v>5449</v>
      </c>
      <c r="AS1039" s="122">
        <v>4954</v>
      </c>
      <c r="AT1039">
        <v>0</v>
      </c>
      <c r="AU1039">
        <v>0</v>
      </c>
      <c r="AV1039" s="122">
        <v>18578</v>
      </c>
    </row>
    <row r="1040" spans="2:48" hidden="1">
      <c r="B1040" t="s">
        <v>369</v>
      </c>
      <c r="C1040" t="s">
        <v>62</v>
      </c>
      <c r="D1040" t="s">
        <v>137</v>
      </c>
      <c r="E1040" t="s">
        <v>406</v>
      </c>
      <c r="F1040" s="122">
        <v>1</v>
      </c>
      <c r="G1040" s="122">
        <v>168</v>
      </c>
      <c r="H1040" s="122">
        <v>400</v>
      </c>
      <c r="I1040" s="122">
        <v>48649</v>
      </c>
      <c r="J1040" s="122">
        <v>18018</v>
      </c>
      <c r="K1040" s="122">
        <v>100</v>
      </c>
      <c r="L1040" s="122">
        <v>7623</v>
      </c>
      <c r="M1040" s="122">
        <v>6930</v>
      </c>
      <c r="N1040" s="122">
        <v>2709</v>
      </c>
      <c r="O1040" s="122">
        <v>1003</v>
      </c>
      <c r="P1040" s="122">
        <v>0</v>
      </c>
      <c r="Q1040" s="122">
        <v>0</v>
      </c>
      <c r="R1040" s="122">
        <v>8426</v>
      </c>
      <c r="S1040" s="122">
        <v>7660</v>
      </c>
      <c r="T1040" s="122">
        <v>0</v>
      </c>
      <c r="U1040" s="122">
        <v>0</v>
      </c>
      <c r="V1040" s="122">
        <v>33612</v>
      </c>
      <c r="W1040" s="122">
        <f t="shared" si="32"/>
        <v>33611</v>
      </c>
      <c r="X1040" s="122">
        <f t="shared" si="33"/>
        <v>67407</v>
      </c>
      <c r="AA1040" t="s">
        <v>58</v>
      </c>
      <c r="AB1040" t="s">
        <v>407</v>
      </c>
      <c r="AC1040" t="s">
        <v>407</v>
      </c>
      <c r="AD1040" t="s">
        <v>427</v>
      </c>
      <c r="AE1040" t="s">
        <v>137</v>
      </c>
      <c r="AF1040">
        <v>1</v>
      </c>
      <c r="AG1040">
        <v>80</v>
      </c>
      <c r="AH1040">
        <v>246</v>
      </c>
      <c r="AI1040" s="122">
        <v>9629</v>
      </c>
      <c r="AJ1040" s="122">
        <v>8754</v>
      </c>
      <c r="AK1040">
        <v>77</v>
      </c>
      <c r="AL1040" s="122">
        <v>2600</v>
      </c>
      <c r="AM1040" s="122">
        <v>2364</v>
      </c>
      <c r="AN1040" s="122">
        <v>1365</v>
      </c>
      <c r="AO1040">
        <v>505</v>
      </c>
      <c r="AP1040">
        <v>473</v>
      </c>
      <c r="AQ1040">
        <v>175</v>
      </c>
      <c r="AR1040" s="122">
        <v>3278</v>
      </c>
      <c r="AS1040" s="122">
        <v>2980</v>
      </c>
      <c r="AT1040" s="122">
        <v>2344</v>
      </c>
      <c r="AU1040">
        <v>868</v>
      </c>
      <c r="AV1040" s="122">
        <v>15647</v>
      </c>
    </row>
    <row r="1041" spans="2:48" hidden="1">
      <c r="B1041" t="s">
        <v>369</v>
      </c>
      <c r="C1041" t="s">
        <v>62</v>
      </c>
      <c r="D1041" t="s">
        <v>137</v>
      </c>
      <c r="E1041" t="s">
        <v>427</v>
      </c>
      <c r="F1041" s="122">
        <v>1</v>
      </c>
      <c r="G1041" s="122">
        <v>85</v>
      </c>
      <c r="H1041" s="122">
        <v>389</v>
      </c>
      <c r="I1041" s="122">
        <v>20492</v>
      </c>
      <c r="J1041" s="122">
        <v>7590</v>
      </c>
      <c r="K1041" s="122">
        <v>100</v>
      </c>
      <c r="L1041" s="122">
        <v>2061</v>
      </c>
      <c r="M1041" s="122">
        <v>1874</v>
      </c>
      <c r="N1041" s="122">
        <v>1848</v>
      </c>
      <c r="O1041" s="122">
        <v>684</v>
      </c>
      <c r="P1041" s="122">
        <v>0</v>
      </c>
      <c r="Q1041" s="122">
        <v>0</v>
      </c>
      <c r="R1041" s="122">
        <v>6352</v>
      </c>
      <c r="S1041" s="122">
        <v>5775</v>
      </c>
      <c r="T1041" s="122">
        <v>2369</v>
      </c>
      <c r="U1041" s="122">
        <v>877</v>
      </c>
      <c r="V1041" s="122">
        <v>16800</v>
      </c>
      <c r="W1041" s="122">
        <f t="shared" si="32"/>
        <v>16800</v>
      </c>
      <c r="X1041" s="122">
        <f t="shared" si="33"/>
        <v>33122</v>
      </c>
      <c r="AA1041" t="s">
        <v>58</v>
      </c>
      <c r="AB1041" t="s">
        <v>407</v>
      </c>
      <c r="AC1041" t="s">
        <v>407</v>
      </c>
      <c r="AD1041" t="s">
        <v>427</v>
      </c>
      <c r="AE1041" t="s">
        <v>566</v>
      </c>
      <c r="AF1041">
        <v>2</v>
      </c>
      <c r="AG1041">
        <v>148</v>
      </c>
      <c r="AH1041">
        <v>502</v>
      </c>
      <c r="AI1041" s="122">
        <v>18174</v>
      </c>
      <c r="AJ1041" s="122">
        <v>16522</v>
      </c>
      <c r="AK1041">
        <v>77</v>
      </c>
      <c r="AL1041" s="122">
        <v>3624</v>
      </c>
      <c r="AM1041" s="122">
        <v>3295</v>
      </c>
      <c r="AN1041" s="122">
        <v>3053</v>
      </c>
      <c r="AO1041" s="122">
        <v>1131</v>
      </c>
      <c r="AP1041">
        <v>945</v>
      </c>
      <c r="AQ1041">
        <v>350</v>
      </c>
      <c r="AR1041" s="122">
        <v>11108</v>
      </c>
      <c r="AS1041" s="122">
        <v>10098</v>
      </c>
      <c r="AT1041">
        <v>0</v>
      </c>
      <c r="AU1041">
        <v>0</v>
      </c>
      <c r="AV1041" s="122">
        <v>31396</v>
      </c>
    </row>
    <row r="1042" spans="2:48" hidden="1">
      <c r="B1042" t="s">
        <v>369</v>
      </c>
      <c r="C1042" t="s">
        <v>62</v>
      </c>
      <c r="D1042" t="s">
        <v>137</v>
      </c>
      <c r="E1042" t="s">
        <v>556</v>
      </c>
      <c r="F1042" s="122">
        <v>3</v>
      </c>
      <c r="G1042" s="122">
        <v>241</v>
      </c>
      <c r="H1042" s="122">
        <v>1230</v>
      </c>
      <c r="I1042" s="122">
        <v>59412</v>
      </c>
      <c r="J1042" s="122">
        <v>22004</v>
      </c>
      <c r="K1042" s="122">
        <v>100</v>
      </c>
      <c r="L1042" s="122">
        <v>6968</v>
      </c>
      <c r="M1042" s="122">
        <v>5807</v>
      </c>
      <c r="N1042" s="122">
        <v>5280</v>
      </c>
      <c r="O1042" s="122">
        <v>1956</v>
      </c>
      <c r="P1042" s="122">
        <v>702</v>
      </c>
      <c r="Q1042" s="122">
        <v>260</v>
      </c>
      <c r="R1042" s="122">
        <v>18920</v>
      </c>
      <c r="S1042" s="122">
        <v>15766</v>
      </c>
      <c r="T1042" s="122">
        <v>7222</v>
      </c>
      <c r="U1042" s="122">
        <v>2675</v>
      </c>
      <c r="V1042" s="122">
        <v>48468</v>
      </c>
      <c r="W1042" s="122">
        <f t="shared" si="32"/>
        <v>48468</v>
      </c>
      <c r="X1042" s="122">
        <f t="shared" si="33"/>
        <v>98504</v>
      </c>
      <c r="AA1042" t="s">
        <v>58</v>
      </c>
      <c r="AB1042" t="s">
        <v>407</v>
      </c>
      <c r="AC1042" t="s">
        <v>407</v>
      </c>
      <c r="AD1042" t="s">
        <v>407</v>
      </c>
      <c r="AE1042" t="s">
        <v>137</v>
      </c>
      <c r="AF1042" s="122">
        <v>8741</v>
      </c>
      <c r="AG1042" s="122">
        <v>858145</v>
      </c>
      <c r="AH1042" s="122">
        <v>2274711</v>
      </c>
      <c r="AI1042" s="122">
        <v>112062850</v>
      </c>
      <c r="AJ1042" s="122">
        <v>101875318</v>
      </c>
      <c r="AK1042">
        <v>77</v>
      </c>
      <c r="AL1042" s="122">
        <v>32353914</v>
      </c>
      <c r="AM1042" s="122">
        <v>29412649</v>
      </c>
      <c r="AN1042" s="122">
        <v>18083648</v>
      </c>
      <c r="AO1042" s="122">
        <v>6697647</v>
      </c>
      <c r="AP1042" s="122">
        <v>4097809</v>
      </c>
      <c r="AQ1042" s="122">
        <v>1517707</v>
      </c>
      <c r="AR1042" s="122">
        <v>38993201</v>
      </c>
      <c r="AS1042" s="122">
        <v>35448364</v>
      </c>
      <c r="AT1042" s="122">
        <v>20396609</v>
      </c>
      <c r="AU1042" s="122">
        <v>7554299</v>
      </c>
      <c r="AV1042" s="122">
        <v>182505985</v>
      </c>
    </row>
    <row r="1043" spans="2:48" hidden="1">
      <c r="B1043" t="s">
        <v>369</v>
      </c>
      <c r="C1043" t="s">
        <v>62</v>
      </c>
      <c r="D1043" t="s">
        <v>137</v>
      </c>
      <c r="E1043" t="s">
        <v>426</v>
      </c>
      <c r="F1043" s="122">
        <v>4</v>
      </c>
      <c r="G1043" s="122">
        <v>306</v>
      </c>
      <c r="H1043" s="122">
        <v>1587</v>
      </c>
      <c r="I1043" s="122">
        <v>68064</v>
      </c>
      <c r="J1043" s="122">
        <v>25209</v>
      </c>
      <c r="K1043" s="122">
        <v>100</v>
      </c>
      <c r="L1043" s="122">
        <v>13061</v>
      </c>
      <c r="M1043" s="122">
        <v>11873</v>
      </c>
      <c r="N1043" s="122">
        <v>5766</v>
      </c>
      <c r="O1043" s="122">
        <v>2135</v>
      </c>
      <c r="P1043" s="122">
        <v>0</v>
      </c>
      <c r="Q1043" s="122">
        <v>0</v>
      </c>
      <c r="R1043" s="122">
        <v>23254</v>
      </c>
      <c r="S1043" s="122">
        <v>21140</v>
      </c>
      <c r="T1043" s="122">
        <v>11502</v>
      </c>
      <c r="U1043" s="122">
        <v>4260</v>
      </c>
      <c r="V1043" s="122">
        <v>64618</v>
      </c>
      <c r="W1043" s="122">
        <f t="shared" si="32"/>
        <v>64617</v>
      </c>
      <c r="X1043" s="122">
        <f t="shared" si="33"/>
        <v>121647</v>
      </c>
      <c r="AA1043" t="s">
        <v>58</v>
      </c>
      <c r="AB1043" t="s">
        <v>407</v>
      </c>
      <c r="AC1043" t="s">
        <v>407</v>
      </c>
      <c r="AD1043" t="s">
        <v>407</v>
      </c>
      <c r="AE1043" t="s">
        <v>566</v>
      </c>
      <c r="AF1043" s="122">
        <v>7095</v>
      </c>
      <c r="AG1043" s="122">
        <v>717447</v>
      </c>
      <c r="AH1043" s="122">
        <v>1828771</v>
      </c>
      <c r="AI1043" s="122">
        <v>98106816</v>
      </c>
      <c r="AJ1043" s="122">
        <v>89188014</v>
      </c>
      <c r="AK1043">
        <v>80</v>
      </c>
      <c r="AL1043" s="122">
        <v>30986561</v>
      </c>
      <c r="AM1043" s="122">
        <v>28169601</v>
      </c>
      <c r="AN1043" s="122">
        <v>15010443</v>
      </c>
      <c r="AO1043" s="122">
        <v>5559423</v>
      </c>
      <c r="AP1043" s="122">
        <v>3347610</v>
      </c>
      <c r="AQ1043" s="122">
        <v>1239856</v>
      </c>
      <c r="AR1043" s="122">
        <v>39729367</v>
      </c>
      <c r="AS1043" s="122">
        <v>36117606</v>
      </c>
      <c r="AT1043">
        <v>0</v>
      </c>
      <c r="AU1043">
        <v>0</v>
      </c>
      <c r="AV1043" s="122">
        <v>160274500</v>
      </c>
    </row>
    <row r="1044" spans="2:48" hidden="1">
      <c r="B1044" t="s">
        <v>369</v>
      </c>
      <c r="C1044" t="s">
        <v>62</v>
      </c>
      <c r="D1044" t="s">
        <v>406</v>
      </c>
      <c r="E1044" t="s">
        <v>137</v>
      </c>
      <c r="F1044" s="122">
        <v>2</v>
      </c>
      <c r="G1044" s="122">
        <v>158</v>
      </c>
      <c r="H1044" s="122">
        <v>824</v>
      </c>
      <c r="I1044" s="122">
        <v>32502</v>
      </c>
      <c r="J1044" s="122">
        <v>29547</v>
      </c>
      <c r="K1044" s="122">
        <v>70</v>
      </c>
      <c r="L1044" s="122">
        <v>10087</v>
      </c>
      <c r="M1044" s="122">
        <v>3736</v>
      </c>
      <c r="N1044" s="122">
        <v>3728</v>
      </c>
      <c r="O1044" s="122">
        <v>1381</v>
      </c>
      <c r="P1044" s="122">
        <v>891</v>
      </c>
      <c r="Q1044" s="122">
        <v>330</v>
      </c>
      <c r="R1044" s="122">
        <v>18204</v>
      </c>
      <c r="S1044" s="122">
        <v>6742</v>
      </c>
      <c r="T1044" s="122">
        <v>0</v>
      </c>
      <c r="U1044" s="122">
        <v>0</v>
      </c>
      <c r="V1044" s="122">
        <v>41737</v>
      </c>
      <c r="W1044" s="122">
        <f t="shared" si="32"/>
        <v>41736</v>
      </c>
      <c r="X1044" s="122">
        <f t="shared" si="33"/>
        <v>65412</v>
      </c>
      <c r="AA1044" t="s">
        <v>58</v>
      </c>
      <c r="AB1044" t="s">
        <v>407</v>
      </c>
      <c r="AC1044" t="s">
        <v>407</v>
      </c>
      <c r="AD1044" t="s">
        <v>579</v>
      </c>
      <c r="AE1044" t="s">
        <v>137</v>
      </c>
      <c r="AF1044">
        <v>6</v>
      </c>
      <c r="AG1044">
        <v>629</v>
      </c>
      <c r="AH1044" s="122">
        <v>1592</v>
      </c>
      <c r="AI1044" s="122">
        <v>91516</v>
      </c>
      <c r="AJ1044" s="122">
        <v>83196</v>
      </c>
      <c r="AK1044">
        <v>72</v>
      </c>
      <c r="AL1044" s="122">
        <v>24644</v>
      </c>
      <c r="AM1044" s="122">
        <v>22404</v>
      </c>
      <c r="AN1044" s="122">
        <v>13603</v>
      </c>
      <c r="AO1044" s="122">
        <v>5038</v>
      </c>
      <c r="AP1044" s="122">
        <v>2714</v>
      </c>
      <c r="AQ1044" s="122">
        <v>1005</v>
      </c>
      <c r="AR1044" s="122">
        <v>29514</v>
      </c>
      <c r="AS1044" s="122">
        <v>24595</v>
      </c>
      <c r="AT1044" s="122">
        <v>16344</v>
      </c>
      <c r="AU1044" s="122">
        <v>6053</v>
      </c>
      <c r="AV1044" s="122">
        <v>142291</v>
      </c>
    </row>
    <row r="1045" spans="2:48" hidden="1">
      <c r="B1045" t="s">
        <v>369</v>
      </c>
      <c r="C1045" t="s">
        <v>62</v>
      </c>
      <c r="D1045" t="s">
        <v>406</v>
      </c>
      <c r="E1045" t="s">
        <v>406</v>
      </c>
      <c r="F1045" s="122">
        <v>158</v>
      </c>
      <c r="G1045" s="122">
        <v>15409</v>
      </c>
      <c r="H1045" s="122">
        <v>65344</v>
      </c>
      <c r="I1045" s="122">
        <v>4098321</v>
      </c>
      <c r="J1045" s="122">
        <v>3725746</v>
      </c>
      <c r="K1045" s="122">
        <v>75</v>
      </c>
      <c r="L1045" s="122">
        <v>884664</v>
      </c>
      <c r="M1045" s="122">
        <v>773245</v>
      </c>
      <c r="N1045" s="122">
        <v>330992</v>
      </c>
      <c r="O1045" s="122">
        <v>122590</v>
      </c>
      <c r="P1045" s="122">
        <v>101979</v>
      </c>
      <c r="Q1045" s="122">
        <v>37770</v>
      </c>
      <c r="R1045" s="122">
        <v>849049</v>
      </c>
      <c r="S1045" s="122">
        <v>771863</v>
      </c>
      <c r="T1045" s="122">
        <v>195819</v>
      </c>
      <c r="U1045" s="122">
        <v>72526</v>
      </c>
      <c r="V1045" s="122">
        <v>5503740</v>
      </c>
      <c r="W1045" s="122">
        <f t="shared" si="32"/>
        <v>5503740</v>
      </c>
      <c r="X1045" s="122">
        <f t="shared" si="33"/>
        <v>6460824</v>
      </c>
      <c r="AA1045" t="s">
        <v>58</v>
      </c>
      <c r="AB1045" t="s">
        <v>407</v>
      </c>
      <c r="AC1045" t="s">
        <v>407</v>
      </c>
      <c r="AD1045" t="s">
        <v>579</v>
      </c>
      <c r="AE1045" t="s">
        <v>566</v>
      </c>
      <c r="AF1045">
        <v>6</v>
      </c>
      <c r="AG1045">
        <v>625</v>
      </c>
      <c r="AH1045" s="122">
        <v>1588</v>
      </c>
      <c r="AI1045" s="122">
        <v>86521</v>
      </c>
      <c r="AJ1045" s="122">
        <v>78655</v>
      </c>
      <c r="AK1045">
        <v>80</v>
      </c>
      <c r="AL1045" s="122">
        <v>24375</v>
      </c>
      <c r="AM1045" s="122">
        <v>22159</v>
      </c>
      <c r="AN1045" s="122">
        <v>14005</v>
      </c>
      <c r="AO1045" s="122">
        <v>5187</v>
      </c>
      <c r="AP1045" s="122">
        <v>2835</v>
      </c>
      <c r="AQ1045" s="122">
        <v>1050</v>
      </c>
      <c r="AR1045" s="122">
        <v>36796</v>
      </c>
      <c r="AS1045" s="122">
        <v>30664</v>
      </c>
      <c r="AT1045">
        <v>0</v>
      </c>
      <c r="AU1045">
        <v>0</v>
      </c>
      <c r="AV1045" s="122">
        <v>137715</v>
      </c>
    </row>
    <row r="1046" spans="2:48" hidden="1">
      <c r="B1046" t="s">
        <v>369</v>
      </c>
      <c r="C1046" t="s">
        <v>62</v>
      </c>
      <c r="D1046" t="s">
        <v>406</v>
      </c>
      <c r="E1046" t="s">
        <v>426</v>
      </c>
      <c r="F1046" s="122">
        <v>1</v>
      </c>
      <c r="G1046" s="122">
        <v>87</v>
      </c>
      <c r="H1046" s="122">
        <v>448</v>
      </c>
      <c r="I1046" s="122">
        <v>19876</v>
      </c>
      <c r="J1046" s="122">
        <v>18069</v>
      </c>
      <c r="K1046" s="122">
        <v>55</v>
      </c>
      <c r="L1046" s="122">
        <v>4049</v>
      </c>
      <c r="M1046" s="122">
        <v>3681</v>
      </c>
      <c r="N1046" s="122">
        <v>2118</v>
      </c>
      <c r="O1046" s="122">
        <v>784</v>
      </c>
      <c r="P1046" s="122">
        <v>0</v>
      </c>
      <c r="Q1046" s="122">
        <v>0</v>
      </c>
      <c r="R1046" s="122">
        <v>8380</v>
      </c>
      <c r="S1046" s="122">
        <v>7619</v>
      </c>
      <c r="T1046" s="122">
        <v>4485</v>
      </c>
      <c r="U1046" s="122">
        <v>1661</v>
      </c>
      <c r="V1046" s="122">
        <v>31814</v>
      </c>
      <c r="W1046" s="122">
        <f t="shared" si="32"/>
        <v>31814</v>
      </c>
      <c r="X1046" s="122">
        <f t="shared" si="33"/>
        <v>38908</v>
      </c>
      <c r="AA1046" t="s">
        <v>58</v>
      </c>
      <c r="AB1046" t="s">
        <v>407</v>
      </c>
      <c r="AC1046" t="s">
        <v>407</v>
      </c>
      <c r="AD1046" t="s">
        <v>426</v>
      </c>
      <c r="AE1046" t="s">
        <v>137</v>
      </c>
      <c r="AF1046">
        <v>2</v>
      </c>
      <c r="AG1046">
        <v>257</v>
      </c>
      <c r="AH1046">
        <v>470</v>
      </c>
      <c r="AI1046" s="122">
        <v>31424</v>
      </c>
      <c r="AJ1046" s="122">
        <v>28567</v>
      </c>
      <c r="AK1046">
        <v>79</v>
      </c>
      <c r="AL1046" s="122">
        <v>8687</v>
      </c>
      <c r="AM1046" s="122">
        <v>7898</v>
      </c>
      <c r="AN1046" s="122">
        <v>6122</v>
      </c>
      <c r="AO1046" s="122">
        <v>2268</v>
      </c>
      <c r="AP1046">
        <v>945</v>
      </c>
      <c r="AQ1046">
        <v>350</v>
      </c>
      <c r="AR1046" s="122">
        <v>10632</v>
      </c>
      <c r="AS1046" s="122">
        <v>9665</v>
      </c>
      <c r="AT1046" s="122">
        <v>2964</v>
      </c>
      <c r="AU1046" s="122">
        <v>1098</v>
      </c>
      <c r="AV1046" s="122">
        <v>49845</v>
      </c>
    </row>
    <row r="1047" spans="2:48" hidden="1">
      <c r="B1047" t="s">
        <v>369</v>
      </c>
      <c r="C1047" t="s">
        <v>62</v>
      </c>
      <c r="D1047" t="s">
        <v>427</v>
      </c>
      <c r="E1047" t="s">
        <v>137</v>
      </c>
      <c r="F1047" s="122">
        <v>1</v>
      </c>
      <c r="G1047" s="122">
        <v>99</v>
      </c>
      <c r="H1047" s="122">
        <v>447</v>
      </c>
      <c r="I1047" s="122">
        <v>26804</v>
      </c>
      <c r="J1047" s="122">
        <v>24367</v>
      </c>
      <c r="K1047" s="122">
        <v>60</v>
      </c>
      <c r="L1047" s="122">
        <v>9869</v>
      </c>
      <c r="M1047" s="122">
        <v>3655</v>
      </c>
      <c r="N1047" s="122">
        <v>2405</v>
      </c>
      <c r="O1047" s="122">
        <v>891</v>
      </c>
      <c r="P1047" s="122">
        <v>0</v>
      </c>
      <c r="Q1047" s="122">
        <v>0</v>
      </c>
      <c r="R1047" s="122">
        <v>5062</v>
      </c>
      <c r="S1047" s="122">
        <v>1875</v>
      </c>
      <c r="T1047" s="122">
        <v>0</v>
      </c>
      <c r="U1047" s="122">
        <v>0</v>
      </c>
      <c r="V1047" s="122">
        <v>30788</v>
      </c>
      <c r="W1047" s="122">
        <f t="shared" si="32"/>
        <v>30788</v>
      </c>
      <c r="X1047" s="122">
        <f t="shared" si="33"/>
        <v>44140</v>
      </c>
      <c r="AA1047" t="s">
        <v>58</v>
      </c>
      <c r="AB1047" t="s">
        <v>407</v>
      </c>
      <c r="AC1047" t="s">
        <v>407</v>
      </c>
      <c r="AD1047" t="s">
        <v>426</v>
      </c>
      <c r="AE1047" t="s">
        <v>566</v>
      </c>
      <c r="AF1047">
        <v>3</v>
      </c>
      <c r="AG1047">
        <v>222</v>
      </c>
      <c r="AH1047">
        <v>721</v>
      </c>
      <c r="AI1047" s="122">
        <v>25645</v>
      </c>
      <c r="AJ1047" s="122">
        <v>23314</v>
      </c>
      <c r="AK1047">
        <v>78</v>
      </c>
      <c r="AL1047" s="122">
        <v>4976</v>
      </c>
      <c r="AM1047" s="122">
        <v>4524</v>
      </c>
      <c r="AN1047" s="122">
        <v>5332</v>
      </c>
      <c r="AO1047" s="122">
        <v>1975</v>
      </c>
      <c r="AP1047" s="122">
        <v>1296</v>
      </c>
      <c r="AQ1047">
        <v>480</v>
      </c>
      <c r="AR1047" s="122">
        <v>15888</v>
      </c>
      <c r="AS1047" s="122">
        <v>14443</v>
      </c>
      <c r="AT1047">
        <v>0</v>
      </c>
      <c r="AU1047">
        <v>0</v>
      </c>
      <c r="AV1047" s="122">
        <v>44736</v>
      </c>
    </row>
    <row r="1048" spans="2:48" hidden="1">
      <c r="B1048" t="s">
        <v>369</v>
      </c>
      <c r="C1048" t="s">
        <v>62</v>
      </c>
      <c r="D1048" t="s">
        <v>427</v>
      </c>
      <c r="E1048" t="s">
        <v>427</v>
      </c>
      <c r="F1048" s="122">
        <v>27</v>
      </c>
      <c r="G1048" s="122">
        <v>1918</v>
      </c>
      <c r="H1048" s="122">
        <v>10940</v>
      </c>
      <c r="I1048" s="122">
        <v>434736</v>
      </c>
      <c r="J1048" s="122">
        <v>395214</v>
      </c>
      <c r="K1048" s="122">
        <v>47</v>
      </c>
      <c r="L1048" s="122">
        <v>66118</v>
      </c>
      <c r="M1048" s="122">
        <v>60107</v>
      </c>
      <c r="N1048" s="122">
        <v>40327</v>
      </c>
      <c r="O1048" s="122">
        <v>14936</v>
      </c>
      <c r="P1048" s="122">
        <v>9477</v>
      </c>
      <c r="Q1048" s="122">
        <v>3510</v>
      </c>
      <c r="R1048" s="122">
        <v>167840</v>
      </c>
      <c r="S1048" s="122">
        <v>152581</v>
      </c>
      <c r="T1048" s="122">
        <v>56372</v>
      </c>
      <c r="U1048" s="122">
        <v>20878</v>
      </c>
      <c r="V1048" s="122">
        <v>647227</v>
      </c>
      <c r="W1048" s="122">
        <f t="shared" si="32"/>
        <v>647226</v>
      </c>
      <c r="X1048" s="122">
        <f t="shared" si="33"/>
        <v>774870</v>
      </c>
      <c r="AA1048" t="s">
        <v>58</v>
      </c>
      <c r="AB1048" t="s">
        <v>407</v>
      </c>
      <c r="AC1048" t="s">
        <v>407</v>
      </c>
      <c r="AD1048" t="s">
        <v>433</v>
      </c>
      <c r="AE1048" t="s">
        <v>566</v>
      </c>
      <c r="AF1048">
        <v>1</v>
      </c>
      <c r="AG1048">
        <v>93</v>
      </c>
      <c r="AH1048">
        <v>250</v>
      </c>
      <c r="AI1048" s="122">
        <v>14211</v>
      </c>
      <c r="AJ1048" s="122">
        <v>12919</v>
      </c>
      <c r="AK1048">
        <v>91</v>
      </c>
      <c r="AL1048" s="122">
        <v>4763</v>
      </c>
      <c r="AM1048" s="122">
        <v>4330</v>
      </c>
      <c r="AN1048" s="122">
        <v>1131</v>
      </c>
      <c r="AO1048">
        <v>419</v>
      </c>
      <c r="AP1048">
        <v>473</v>
      </c>
      <c r="AQ1048">
        <v>175</v>
      </c>
      <c r="AR1048" s="122">
        <v>2577</v>
      </c>
      <c r="AS1048" s="122">
        <v>2343</v>
      </c>
      <c r="AT1048">
        <v>0</v>
      </c>
      <c r="AU1048">
        <v>0</v>
      </c>
      <c r="AV1048" s="122">
        <v>20186</v>
      </c>
    </row>
    <row r="1049" spans="2:48" hidden="1">
      <c r="B1049" t="s">
        <v>369</v>
      </c>
      <c r="C1049" t="s">
        <v>62</v>
      </c>
      <c r="D1049" t="s">
        <v>556</v>
      </c>
      <c r="E1049" t="s">
        <v>137</v>
      </c>
      <c r="F1049" s="122">
        <v>3</v>
      </c>
      <c r="G1049" s="122">
        <v>221</v>
      </c>
      <c r="H1049" s="122">
        <v>1300</v>
      </c>
      <c r="I1049" s="122">
        <v>66202</v>
      </c>
      <c r="J1049" s="122">
        <v>55168</v>
      </c>
      <c r="K1049" s="122">
        <v>35</v>
      </c>
      <c r="L1049" s="122">
        <v>2030</v>
      </c>
      <c r="M1049" s="122">
        <v>752</v>
      </c>
      <c r="N1049" s="122">
        <v>3937</v>
      </c>
      <c r="O1049" s="122">
        <v>1458</v>
      </c>
      <c r="P1049" s="122">
        <v>351</v>
      </c>
      <c r="Q1049" s="122">
        <v>130</v>
      </c>
      <c r="R1049" s="122">
        <v>23324</v>
      </c>
      <c r="S1049" s="122">
        <v>8639</v>
      </c>
      <c r="T1049" s="122">
        <v>0</v>
      </c>
      <c r="U1049" s="122">
        <v>0</v>
      </c>
      <c r="V1049" s="122">
        <v>66146</v>
      </c>
      <c r="W1049" s="122">
        <f t="shared" si="32"/>
        <v>66147</v>
      </c>
      <c r="X1049" s="122">
        <f t="shared" si="33"/>
        <v>95844</v>
      </c>
      <c r="AA1049" t="s">
        <v>58</v>
      </c>
      <c r="AB1049" t="s">
        <v>407</v>
      </c>
      <c r="AC1049" t="s">
        <v>579</v>
      </c>
      <c r="AD1049" t="s">
        <v>405</v>
      </c>
      <c r="AE1049" t="s">
        <v>566</v>
      </c>
      <c r="AF1049">
        <v>5</v>
      </c>
      <c r="AG1049">
        <v>469</v>
      </c>
      <c r="AH1049" s="122">
        <v>1340</v>
      </c>
      <c r="AI1049" s="122">
        <v>68841</v>
      </c>
      <c r="AJ1049" s="122">
        <v>62582</v>
      </c>
      <c r="AK1049">
        <v>82</v>
      </c>
      <c r="AL1049" s="122">
        <v>22231</v>
      </c>
      <c r="AM1049" s="122">
        <v>18526</v>
      </c>
      <c r="AN1049" s="122">
        <v>8742</v>
      </c>
      <c r="AO1049" s="122">
        <v>3238</v>
      </c>
      <c r="AP1049" s="122">
        <v>2363</v>
      </c>
      <c r="AQ1049">
        <v>875</v>
      </c>
      <c r="AR1049" s="122">
        <v>25174</v>
      </c>
      <c r="AS1049" s="122">
        <v>22886</v>
      </c>
      <c r="AT1049">
        <v>0</v>
      </c>
      <c r="AU1049">
        <v>0</v>
      </c>
      <c r="AV1049" s="122">
        <v>108106</v>
      </c>
    </row>
    <row r="1050" spans="2:48" hidden="1">
      <c r="B1050" t="s">
        <v>369</v>
      </c>
      <c r="C1050" t="s">
        <v>62</v>
      </c>
      <c r="D1050" t="s">
        <v>556</v>
      </c>
      <c r="E1050" t="s">
        <v>556</v>
      </c>
      <c r="F1050" s="122">
        <v>45</v>
      </c>
      <c r="G1050" s="122">
        <v>3048</v>
      </c>
      <c r="H1050" s="122">
        <v>18161</v>
      </c>
      <c r="I1050" s="122">
        <v>701899</v>
      </c>
      <c r="J1050" s="122">
        <v>584916</v>
      </c>
      <c r="K1050" s="122">
        <v>52</v>
      </c>
      <c r="L1050" s="122">
        <v>91384</v>
      </c>
      <c r="M1050" s="122">
        <v>68334</v>
      </c>
      <c r="N1050" s="122">
        <v>62212</v>
      </c>
      <c r="O1050" s="122">
        <v>23041</v>
      </c>
      <c r="P1050" s="122">
        <v>16210</v>
      </c>
      <c r="Q1050" s="122">
        <v>6004</v>
      </c>
      <c r="R1050" s="122">
        <v>262168</v>
      </c>
      <c r="S1050" s="122">
        <v>218473</v>
      </c>
      <c r="T1050" s="122">
        <v>88685</v>
      </c>
      <c r="U1050" s="122">
        <v>32846</v>
      </c>
      <c r="V1050" s="122">
        <v>933614</v>
      </c>
      <c r="W1050" s="122">
        <f t="shared" si="32"/>
        <v>933614</v>
      </c>
      <c r="X1050" s="122">
        <f t="shared" si="33"/>
        <v>1222558</v>
      </c>
      <c r="AA1050" t="s">
        <v>58</v>
      </c>
      <c r="AB1050" t="s">
        <v>407</v>
      </c>
      <c r="AC1050" t="s">
        <v>579</v>
      </c>
      <c r="AD1050" t="s">
        <v>137</v>
      </c>
      <c r="AE1050" t="s">
        <v>137</v>
      </c>
      <c r="AF1050">
        <v>1</v>
      </c>
      <c r="AG1050">
        <v>92</v>
      </c>
      <c r="AH1050">
        <v>244</v>
      </c>
      <c r="AI1050" s="122">
        <v>6440</v>
      </c>
      <c r="AJ1050" s="122">
        <v>5854</v>
      </c>
      <c r="AK1050">
        <v>79</v>
      </c>
      <c r="AL1050" s="122">
        <v>1949</v>
      </c>
      <c r="AM1050" s="122">
        <v>1624</v>
      </c>
      <c r="AN1050" s="122">
        <v>2008</v>
      </c>
      <c r="AO1050">
        <v>744</v>
      </c>
      <c r="AP1050">
        <v>473</v>
      </c>
      <c r="AQ1050">
        <v>175</v>
      </c>
      <c r="AR1050" s="122">
        <v>9255</v>
      </c>
      <c r="AS1050" s="122">
        <v>3428</v>
      </c>
      <c r="AT1050" s="122">
        <v>2325</v>
      </c>
      <c r="AU1050">
        <v>861</v>
      </c>
      <c r="AV1050" s="122">
        <v>12686</v>
      </c>
    </row>
    <row r="1051" spans="2:48" hidden="1">
      <c r="B1051" t="s">
        <v>369</v>
      </c>
      <c r="C1051" t="s">
        <v>62</v>
      </c>
      <c r="D1051" t="s">
        <v>431</v>
      </c>
      <c r="E1051" t="s">
        <v>431</v>
      </c>
      <c r="F1051" s="122">
        <v>2</v>
      </c>
      <c r="G1051" s="122">
        <v>114</v>
      </c>
      <c r="H1051" s="122">
        <v>837</v>
      </c>
      <c r="I1051" s="122">
        <v>26552</v>
      </c>
      <c r="J1051" s="122">
        <v>24138</v>
      </c>
      <c r="K1051" s="122">
        <v>45</v>
      </c>
      <c r="L1051" s="122">
        <v>2213</v>
      </c>
      <c r="M1051" s="122">
        <v>2011</v>
      </c>
      <c r="N1051" s="122">
        <v>1389</v>
      </c>
      <c r="O1051" s="122">
        <v>514</v>
      </c>
      <c r="P1051" s="122">
        <v>702</v>
      </c>
      <c r="Q1051" s="122">
        <v>260</v>
      </c>
      <c r="R1051" s="122">
        <v>16834</v>
      </c>
      <c r="S1051" s="122">
        <v>15304</v>
      </c>
      <c r="T1051" s="122">
        <v>0</v>
      </c>
      <c r="U1051" s="122">
        <v>0</v>
      </c>
      <c r="V1051" s="122">
        <v>42227</v>
      </c>
      <c r="W1051" s="122">
        <f t="shared" si="32"/>
        <v>42227</v>
      </c>
      <c r="X1051" s="122">
        <f t="shared" si="33"/>
        <v>47690</v>
      </c>
      <c r="AA1051" t="s">
        <v>58</v>
      </c>
      <c r="AB1051" t="s">
        <v>407</v>
      </c>
      <c r="AC1051" t="s">
        <v>579</v>
      </c>
      <c r="AD1051" t="s">
        <v>137</v>
      </c>
      <c r="AE1051" t="s">
        <v>566</v>
      </c>
      <c r="AF1051">
        <v>28</v>
      </c>
      <c r="AG1051" s="122">
        <v>2677</v>
      </c>
      <c r="AH1051" s="122">
        <v>7423</v>
      </c>
      <c r="AI1051" s="122">
        <v>389446</v>
      </c>
      <c r="AJ1051" s="122">
        <v>354041</v>
      </c>
      <c r="AK1051">
        <v>82</v>
      </c>
      <c r="AL1051" s="122">
        <v>122351</v>
      </c>
      <c r="AM1051" s="122">
        <v>101959</v>
      </c>
      <c r="AN1051" s="122">
        <v>57995</v>
      </c>
      <c r="AO1051" s="122">
        <v>21480</v>
      </c>
      <c r="AP1051" s="122">
        <v>15167</v>
      </c>
      <c r="AQ1051" s="122">
        <v>5617</v>
      </c>
      <c r="AR1051" s="122">
        <v>165563</v>
      </c>
      <c r="AS1051" s="122">
        <v>61320</v>
      </c>
      <c r="AT1051">
        <v>0</v>
      </c>
      <c r="AU1051">
        <v>0</v>
      </c>
      <c r="AV1051" s="122">
        <v>544418</v>
      </c>
    </row>
    <row r="1052" spans="2:48" hidden="1">
      <c r="B1052" t="s">
        <v>369</v>
      </c>
      <c r="C1052" t="s">
        <v>62</v>
      </c>
      <c r="D1052" t="s">
        <v>426</v>
      </c>
      <c r="E1052" t="s">
        <v>137</v>
      </c>
      <c r="F1052" s="122">
        <v>7</v>
      </c>
      <c r="G1052" s="122">
        <v>566</v>
      </c>
      <c r="H1052" s="122">
        <v>2903</v>
      </c>
      <c r="I1052" s="122">
        <v>178818</v>
      </c>
      <c r="J1052" s="122">
        <v>162562</v>
      </c>
      <c r="K1052" s="122">
        <v>54</v>
      </c>
      <c r="L1052" s="122">
        <v>28551</v>
      </c>
      <c r="M1052" s="122">
        <v>19346</v>
      </c>
      <c r="N1052" s="122">
        <v>12935</v>
      </c>
      <c r="O1052" s="122">
        <v>4791</v>
      </c>
      <c r="P1052" s="122">
        <v>1404</v>
      </c>
      <c r="Q1052" s="122">
        <v>520</v>
      </c>
      <c r="R1052" s="122">
        <v>52066</v>
      </c>
      <c r="S1052" s="122">
        <v>19284</v>
      </c>
      <c r="T1052" s="122">
        <v>0</v>
      </c>
      <c r="U1052" s="122">
        <v>0</v>
      </c>
      <c r="V1052" s="122">
        <v>206503</v>
      </c>
      <c r="W1052" s="122">
        <f t="shared" si="32"/>
        <v>206503</v>
      </c>
      <c r="X1052" s="122">
        <f t="shared" si="33"/>
        <v>273774</v>
      </c>
      <c r="AA1052" t="s">
        <v>58</v>
      </c>
      <c r="AB1052" t="s">
        <v>407</v>
      </c>
      <c r="AC1052" t="s">
        <v>579</v>
      </c>
      <c r="AD1052" t="s">
        <v>406</v>
      </c>
      <c r="AE1052" t="s">
        <v>137</v>
      </c>
      <c r="AF1052">
        <v>4</v>
      </c>
      <c r="AG1052">
        <v>343</v>
      </c>
      <c r="AH1052" s="122">
        <v>1013</v>
      </c>
      <c r="AI1052" s="122">
        <v>40948</v>
      </c>
      <c r="AJ1052" s="122">
        <v>37226</v>
      </c>
      <c r="AK1052">
        <v>74</v>
      </c>
      <c r="AL1052" s="122">
        <v>9665</v>
      </c>
      <c r="AM1052" s="122">
        <v>8054</v>
      </c>
      <c r="AN1052" s="122">
        <v>6914</v>
      </c>
      <c r="AO1052" s="122">
        <v>2561</v>
      </c>
      <c r="AP1052" s="122">
        <v>1890</v>
      </c>
      <c r="AQ1052">
        <v>700</v>
      </c>
      <c r="AR1052" s="122">
        <v>17114</v>
      </c>
      <c r="AS1052" s="122">
        <v>15559</v>
      </c>
      <c r="AT1052" s="122">
        <v>10118</v>
      </c>
      <c r="AU1052" s="122">
        <v>3747</v>
      </c>
      <c r="AV1052" s="122">
        <v>67846</v>
      </c>
    </row>
    <row r="1053" spans="2:48" hidden="1">
      <c r="B1053" t="s">
        <v>369</v>
      </c>
      <c r="C1053" t="s">
        <v>62</v>
      </c>
      <c r="D1053" t="s">
        <v>426</v>
      </c>
      <c r="E1053" t="s">
        <v>426</v>
      </c>
      <c r="F1053" s="122">
        <v>126</v>
      </c>
      <c r="G1053" s="122">
        <v>7205</v>
      </c>
      <c r="H1053" s="122">
        <v>51315</v>
      </c>
      <c r="I1053" s="122">
        <v>1677968</v>
      </c>
      <c r="J1053" s="122">
        <v>1525425</v>
      </c>
      <c r="K1053" s="122">
        <v>54</v>
      </c>
      <c r="L1053" s="122">
        <v>189567</v>
      </c>
      <c r="M1053" s="122">
        <v>135443</v>
      </c>
      <c r="N1053" s="122">
        <v>130813</v>
      </c>
      <c r="O1053" s="122">
        <v>48449</v>
      </c>
      <c r="P1053" s="122">
        <v>42039</v>
      </c>
      <c r="Q1053" s="122">
        <v>15570</v>
      </c>
      <c r="R1053" s="122">
        <v>649993</v>
      </c>
      <c r="S1053" s="122">
        <v>590903</v>
      </c>
      <c r="T1053" s="122">
        <v>243758</v>
      </c>
      <c r="U1053" s="122">
        <v>90281</v>
      </c>
      <c r="V1053" s="122">
        <v>2406072</v>
      </c>
      <c r="W1053" s="122">
        <f t="shared" si="32"/>
        <v>2406071</v>
      </c>
      <c r="X1053" s="122">
        <f t="shared" si="33"/>
        <v>2934138</v>
      </c>
      <c r="AA1053" t="s">
        <v>58</v>
      </c>
      <c r="AB1053" t="s">
        <v>407</v>
      </c>
      <c r="AC1053" t="s">
        <v>579</v>
      </c>
      <c r="AD1053" t="s">
        <v>406</v>
      </c>
      <c r="AE1053" t="s">
        <v>566</v>
      </c>
      <c r="AF1053">
        <v>2</v>
      </c>
      <c r="AG1053">
        <v>194</v>
      </c>
      <c r="AH1053">
        <v>499</v>
      </c>
      <c r="AI1053" s="122">
        <v>25332</v>
      </c>
      <c r="AJ1053" s="122">
        <v>23030</v>
      </c>
      <c r="AK1053">
        <v>84</v>
      </c>
      <c r="AL1053" s="122">
        <v>8816</v>
      </c>
      <c r="AM1053" s="122">
        <v>7347</v>
      </c>
      <c r="AN1053" s="122">
        <v>3699</v>
      </c>
      <c r="AO1053" s="122">
        <v>1370</v>
      </c>
      <c r="AP1053">
        <v>945</v>
      </c>
      <c r="AQ1053">
        <v>350</v>
      </c>
      <c r="AR1053" s="122">
        <v>10866</v>
      </c>
      <c r="AS1053" s="122">
        <v>9878</v>
      </c>
      <c r="AT1053">
        <v>0</v>
      </c>
      <c r="AU1053">
        <v>0</v>
      </c>
      <c r="AV1053" s="122">
        <v>41974</v>
      </c>
    </row>
    <row r="1054" spans="2:48" hidden="1">
      <c r="B1054" t="s">
        <v>369</v>
      </c>
      <c r="C1054" t="s">
        <v>62</v>
      </c>
      <c r="D1054" t="s">
        <v>433</v>
      </c>
      <c r="E1054" t="s">
        <v>433</v>
      </c>
      <c r="F1054" s="122">
        <v>5</v>
      </c>
      <c r="G1054" s="122">
        <v>176</v>
      </c>
      <c r="H1054" s="122">
        <v>2005</v>
      </c>
      <c r="I1054" s="122">
        <v>38511</v>
      </c>
      <c r="J1054" s="122">
        <v>35010</v>
      </c>
      <c r="K1054" s="122">
        <v>70</v>
      </c>
      <c r="L1054" s="122">
        <v>2480</v>
      </c>
      <c r="M1054" s="122">
        <v>918</v>
      </c>
      <c r="N1054" s="122">
        <v>2593</v>
      </c>
      <c r="O1054" s="122">
        <v>960</v>
      </c>
      <c r="P1054" s="122">
        <v>1755</v>
      </c>
      <c r="Q1054" s="122">
        <v>650</v>
      </c>
      <c r="R1054" s="122">
        <v>18126</v>
      </c>
      <c r="S1054" s="122">
        <v>16479</v>
      </c>
      <c r="T1054" s="122">
        <v>6976</v>
      </c>
      <c r="U1054" s="122">
        <v>2584</v>
      </c>
      <c r="V1054" s="122">
        <v>56601</v>
      </c>
      <c r="W1054" s="122">
        <f t="shared" si="32"/>
        <v>56601</v>
      </c>
      <c r="X1054" s="122">
        <f t="shared" si="33"/>
        <v>70441</v>
      </c>
      <c r="AA1054" t="s">
        <v>58</v>
      </c>
      <c r="AB1054" t="s">
        <v>407</v>
      </c>
      <c r="AC1054" t="s">
        <v>579</v>
      </c>
      <c r="AD1054" t="s">
        <v>407</v>
      </c>
      <c r="AE1054" t="s">
        <v>137</v>
      </c>
      <c r="AF1054" s="122">
        <v>8022</v>
      </c>
      <c r="AG1054" s="122">
        <v>762704</v>
      </c>
      <c r="AH1054" s="122">
        <v>2080821</v>
      </c>
      <c r="AI1054" s="122">
        <v>100932654</v>
      </c>
      <c r="AJ1054" s="122">
        <v>91756957</v>
      </c>
      <c r="AK1054">
        <v>79</v>
      </c>
      <c r="AL1054" s="122">
        <v>28359470</v>
      </c>
      <c r="AM1054" s="122">
        <v>23632891</v>
      </c>
      <c r="AN1054" s="122">
        <v>15511547</v>
      </c>
      <c r="AO1054" s="122">
        <v>5745017</v>
      </c>
      <c r="AP1054" s="122">
        <v>3812122</v>
      </c>
      <c r="AQ1054" s="122">
        <v>1411897</v>
      </c>
      <c r="AR1054" s="122">
        <v>33837738</v>
      </c>
      <c r="AS1054" s="122">
        <v>30761580</v>
      </c>
      <c r="AT1054" s="122">
        <v>17572950</v>
      </c>
      <c r="AU1054" s="122">
        <v>6508500</v>
      </c>
      <c r="AV1054" s="122">
        <v>159816843</v>
      </c>
    </row>
    <row r="1055" spans="2:48" hidden="1">
      <c r="B1055" t="s">
        <v>369</v>
      </c>
      <c r="C1055" t="s">
        <v>62</v>
      </c>
      <c r="D1055" t="s">
        <v>408</v>
      </c>
      <c r="E1055" t="s">
        <v>408</v>
      </c>
      <c r="F1055" s="122">
        <v>1</v>
      </c>
      <c r="G1055" s="122">
        <v>77</v>
      </c>
      <c r="H1055" s="122">
        <v>415</v>
      </c>
      <c r="I1055" s="122">
        <v>26121</v>
      </c>
      <c r="J1055" s="122">
        <v>23746</v>
      </c>
      <c r="K1055" s="122">
        <v>91</v>
      </c>
      <c r="L1055" s="122">
        <v>0</v>
      </c>
      <c r="M1055" s="122">
        <v>0</v>
      </c>
      <c r="N1055" s="122">
        <v>1469</v>
      </c>
      <c r="O1055" s="122">
        <v>544</v>
      </c>
      <c r="P1055" s="122">
        <v>351</v>
      </c>
      <c r="Q1055" s="122">
        <v>130</v>
      </c>
      <c r="R1055" s="122">
        <v>4100</v>
      </c>
      <c r="S1055" s="122">
        <v>3728</v>
      </c>
      <c r="T1055" s="122">
        <v>0</v>
      </c>
      <c r="U1055" s="122">
        <v>0</v>
      </c>
      <c r="V1055" s="122">
        <v>28148</v>
      </c>
      <c r="W1055" s="122">
        <f t="shared" si="32"/>
        <v>28148</v>
      </c>
      <c r="X1055" s="122">
        <f t="shared" si="33"/>
        <v>32041</v>
      </c>
      <c r="AA1055" t="s">
        <v>58</v>
      </c>
      <c r="AB1055" t="s">
        <v>407</v>
      </c>
      <c r="AC1055" t="s">
        <v>579</v>
      </c>
      <c r="AD1055" t="s">
        <v>407</v>
      </c>
      <c r="AE1055" t="s">
        <v>566</v>
      </c>
      <c r="AF1055" s="122">
        <v>9214</v>
      </c>
      <c r="AG1055" s="122">
        <v>898136</v>
      </c>
      <c r="AH1055" s="122">
        <v>2378228</v>
      </c>
      <c r="AI1055" s="122">
        <v>128043151</v>
      </c>
      <c r="AJ1055" s="122">
        <v>116402864</v>
      </c>
      <c r="AK1055">
        <v>84</v>
      </c>
      <c r="AL1055" s="122">
        <v>39028643</v>
      </c>
      <c r="AM1055" s="122">
        <v>32523870</v>
      </c>
      <c r="AN1055" s="122">
        <v>18005514</v>
      </c>
      <c r="AO1055" s="122">
        <v>6668709</v>
      </c>
      <c r="AP1055" s="122">
        <v>4391635</v>
      </c>
      <c r="AQ1055" s="122">
        <v>1626531</v>
      </c>
      <c r="AR1055" s="122">
        <v>45412424</v>
      </c>
      <c r="AS1055" s="122">
        <v>41284021</v>
      </c>
      <c r="AT1055">
        <v>0</v>
      </c>
      <c r="AU1055">
        <v>0</v>
      </c>
      <c r="AV1055" s="122">
        <v>198505995</v>
      </c>
    </row>
    <row r="1056" spans="2:48" hidden="1">
      <c r="B1056" t="s">
        <v>369</v>
      </c>
      <c r="C1056" t="s">
        <v>62</v>
      </c>
      <c r="D1056" t="s">
        <v>429</v>
      </c>
      <c r="E1056" t="s">
        <v>429</v>
      </c>
      <c r="F1056" s="122">
        <v>1</v>
      </c>
      <c r="G1056" s="122">
        <v>85</v>
      </c>
      <c r="H1056" s="122">
        <v>416</v>
      </c>
      <c r="I1056" s="122">
        <v>27473</v>
      </c>
      <c r="J1056" s="122">
        <v>24976</v>
      </c>
      <c r="K1056" s="122">
        <v>65</v>
      </c>
      <c r="L1056" s="122">
        <v>0</v>
      </c>
      <c r="M1056" s="122">
        <v>0</v>
      </c>
      <c r="N1056" s="122">
        <v>1905</v>
      </c>
      <c r="O1056" s="122">
        <v>706</v>
      </c>
      <c r="P1056" s="122">
        <v>351</v>
      </c>
      <c r="Q1056" s="122">
        <v>130</v>
      </c>
      <c r="R1056" s="122">
        <v>3649</v>
      </c>
      <c r="S1056" s="122">
        <v>3318</v>
      </c>
      <c r="T1056" s="122">
        <v>1781</v>
      </c>
      <c r="U1056" s="122">
        <v>660</v>
      </c>
      <c r="V1056" s="122">
        <v>29789</v>
      </c>
      <c r="W1056" s="122">
        <f t="shared" si="32"/>
        <v>29790</v>
      </c>
      <c r="X1056" s="122">
        <f t="shared" si="33"/>
        <v>35159</v>
      </c>
      <c r="AA1056" t="s">
        <v>58</v>
      </c>
      <c r="AB1056" t="s">
        <v>407</v>
      </c>
      <c r="AC1056" t="s">
        <v>579</v>
      </c>
      <c r="AD1056" t="s">
        <v>579</v>
      </c>
      <c r="AE1056" t="s">
        <v>137</v>
      </c>
      <c r="AF1056">
        <v>2</v>
      </c>
      <c r="AG1056">
        <v>163</v>
      </c>
      <c r="AH1056">
        <v>567</v>
      </c>
      <c r="AI1056" s="122">
        <v>22405</v>
      </c>
      <c r="AJ1056" s="122">
        <v>20368</v>
      </c>
      <c r="AK1056">
        <v>76</v>
      </c>
      <c r="AL1056" s="122">
        <v>6535</v>
      </c>
      <c r="AM1056" s="122">
        <v>5446</v>
      </c>
      <c r="AN1056" s="122">
        <v>3464</v>
      </c>
      <c r="AO1056" s="122">
        <v>1283</v>
      </c>
      <c r="AP1056">
        <v>945</v>
      </c>
      <c r="AQ1056">
        <v>350</v>
      </c>
      <c r="AR1056" s="122">
        <v>8390</v>
      </c>
      <c r="AS1056" s="122">
        <v>6992</v>
      </c>
      <c r="AT1056" s="122">
        <v>4506</v>
      </c>
      <c r="AU1056" s="122">
        <v>1669</v>
      </c>
      <c r="AV1056" s="122">
        <v>36108</v>
      </c>
    </row>
    <row r="1057" spans="2:48" hidden="1">
      <c r="B1057" t="s">
        <v>369</v>
      </c>
      <c r="C1057" t="s">
        <v>64</v>
      </c>
      <c r="F1057" s="122">
        <v>4</v>
      </c>
      <c r="G1057" s="122">
        <v>290</v>
      </c>
      <c r="H1057" s="122">
        <v>2541</v>
      </c>
      <c r="I1057" s="122"/>
      <c r="J1057" s="122">
        <v>0</v>
      </c>
      <c r="K1057" s="122"/>
      <c r="L1057" s="122"/>
      <c r="M1057" s="122">
        <v>0</v>
      </c>
      <c r="N1057" s="122">
        <v>6219</v>
      </c>
      <c r="O1057" s="122">
        <v>2303</v>
      </c>
      <c r="P1057" s="122">
        <v>1094</v>
      </c>
      <c r="Q1057" s="122">
        <v>405</v>
      </c>
      <c r="R1057" s="122"/>
      <c r="S1057" s="122">
        <v>0</v>
      </c>
      <c r="T1057" s="122">
        <v>0</v>
      </c>
      <c r="U1057" s="122">
        <v>0</v>
      </c>
      <c r="V1057" s="122">
        <v>2708</v>
      </c>
      <c r="W1057" s="122">
        <f t="shared" si="32"/>
        <v>2708</v>
      </c>
      <c r="X1057" s="122">
        <f t="shared" si="33"/>
        <v>7313</v>
      </c>
      <c r="AA1057" t="s">
        <v>58</v>
      </c>
      <c r="AB1057" t="s">
        <v>407</v>
      </c>
      <c r="AC1057" t="s">
        <v>579</v>
      </c>
      <c r="AD1057" t="s">
        <v>433</v>
      </c>
      <c r="AE1057" t="s">
        <v>566</v>
      </c>
      <c r="AF1057">
        <v>1</v>
      </c>
      <c r="AG1057">
        <v>132</v>
      </c>
      <c r="AH1057">
        <v>246</v>
      </c>
      <c r="AI1057" s="122">
        <v>17796</v>
      </c>
      <c r="AJ1057" s="122">
        <v>16178</v>
      </c>
      <c r="AK1057">
        <v>75</v>
      </c>
      <c r="AL1057" s="122">
        <v>5127</v>
      </c>
      <c r="AM1057" s="122">
        <v>4272</v>
      </c>
      <c r="AN1057" s="122">
        <v>1614</v>
      </c>
      <c r="AO1057">
        <v>598</v>
      </c>
      <c r="AP1057">
        <v>473</v>
      </c>
      <c r="AQ1057">
        <v>175</v>
      </c>
      <c r="AR1057" s="122">
        <v>7545</v>
      </c>
      <c r="AS1057" s="122">
        <v>6859</v>
      </c>
      <c r="AT1057">
        <v>0</v>
      </c>
      <c r="AU1057">
        <v>0</v>
      </c>
      <c r="AV1057" s="122">
        <v>28082</v>
      </c>
    </row>
    <row r="1058" spans="2:48" hidden="1">
      <c r="B1058" t="s">
        <v>369</v>
      </c>
      <c r="C1058" t="s">
        <v>64</v>
      </c>
      <c r="D1058" t="s">
        <v>425</v>
      </c>
      <c r="E1058" t="s">
        <v>425</v>
      </c>
      <c r="F1058" s="122">
        <v>3</v>
      </c>
      <c r="G1058" s="122">
        <v>269</v>
      </c>
      <c r="H1058" s="122">
        <v>1682</v>
      </c>
      <c r="I1058" s="122">
        <v>99083</v>
      </c>
      <c r="J1058" s="122">
        <v>90076</v>
      </c>
      <c r="K1058" s="122">
        <v>72</v>
      </c>
      <c r="L1058" s="122">
        <v>23123</v>
      </c>
      <c r="M1058" s="122">
        <v>21021</v>
      </c>
      <c r="N1058" s="122">
        <v>6549</v>
      </c>
      <c r="O1058" s="122">
        <v>2426</v>
      </c>
      <c r="P1058" s="122">
        <v>1418</v>
      </c>
      <c r="Q1058" s="122">
        <v>525</v>
      </c>
      <c r="R1058" s="122">
        <v>15048</v>
      </c>
      <c r="S1058" s="122">
        <v>13680</v>
      </c>
      <c r="T1058" s="122">
        <v>2463</v>
      </c>
      <c r="U1058" s="122">
        <v>912</v>
      </c>
      <c r="V1058" s="122">
        <v>128640</v>
      </c>
      <c r="W1058" s="122">
        <f t="shared" si="32"/>
        <v>128640</v>
      </c>
      <c r="X1058" s="122">
        <f t="shared" si="33"/>
        <v>147684</v>
      </c>
      <c r="AA1058" t="s">
        <v>58</v>
      </c>
      <c r="AB1058" t="s">
        <v>407</v>
      </c>
      <c r="AC1058" t="s">
        <v>428</v>
      </c>
      <c r="AD1058" t="s">
        <v>407</v>
      </c>
      <c r="AE1058" t="s">
        <v>137</v>
      </c>
      <c r="AF1058">
        <v>60</v>
      </c>
      <c r="AG1058" s="122">
        <v>5900</v>
      </c>
      <c r="AH1058" s="122">
        <v>15399</v>
      </c>
      <c r="AI1058" s="122">
        <v>807318</v>
      </c>
      <c r="AJ1058" s="122">
        <v>733926</v>
      </c>
      <c r="AK1058">
        <v>78</v>
      </c>
      <c r="AL1058" s="122">
        <v>201827</v>
      </c>
      <c r="AM1058" s="122">
        <v>183479</v>
      </c>
      <c r="AN1058" s="122">
        <v>112858</v>
      </c>
      <c r="AO1058" s="122">
        <v>41799</v>
      </c>
      <c r="AP1058" s="122">
        <v>27648</v>
      </c>
      <c r="AQ1058" s="122">
        <v>10240</v>
      </c>
      <c r="AR1058" s="122">
        <v>248791</v>
      </c>
      <c r="AS1058" s="122">
        <v>226174</v>
      </c>
      <c r="AT1058" s="122">
        <v>135433</v>
      </c>
      <c r="AU1058" s="122">
        <v>50160</v>
      </c>
      <c r="AV1058" s="122">
        <v>1245778</v>
      </c>
    </row>
    <row r="1059" spans="2:48" hidden="1">
      <c r="B1059" t="s">
        <v>369</v>
      </c>
      <c r="C1059" t="s">
        <v>64</v>
      </c>
      <c r="D1059" t="s">
        <v>137</v>
      </c>
      <c r="E1059" t="s">
        <v>137</v>
      </c>
      <c r="F1059" s="122">
        <v>245</v>
      </c>
      <c r="G1059" s="122">
        <v>17917</v>
      </c>
      <c r="H1059" s="122">
        <v>145999</v>
      </c>
      <c r="I1059" s="122">
        <v>7415137</v>
      </c>
      <c r="J1059" s="122">
        <v>2746347</v>
      </c>
      <c r="K1059" s="122">
        <v>100</v>
      </c>
      <c r="L1059" s="122">
        <v>1236685</v>
      </c>
      <c r="M1059" s="122">
        <v>978135</v>
      </c>
      <c r="N1059" s="122">
        <v>367896</v>
      </c>
      <c r="O1059" s="122">
        <v>136258</v>
      </c>
      <c r="P1059" s="122">
        <v>12737</v>
      </c>
      <c r="Q1059" s="122">
        <v>4717</v>
      </c>
      <c r="R1059" s="122">
        <v>1743145</v>
      </c>
      <c r="S1059" s="122">
        <v>645609</v>
      </c>
      <c r="T1059" s="122">
        <v>10302</v>
      </c>
      <c r="U1059" s="122">
        <v>3816</v>
      </c>
      <c r="V1059" s="122">
        <v>4514882</v>
      </c>
      <c r="W1059" s="122">
        <f t="shared" si="32"/>
        <v>4514882</v>
      </c>
      <c r="X1059" s="122">
        <f t="shared" si="33"/>
        <v>10785902</v>
      </c>
      <c r="AA1059" t="s">
        <v>58</v>
      </c>
      <c r="AB1059" t="s">
        <v>407</v>
      </c>
      <c r="AC1059" t="s">
        <v>428</v>
      </c>
      <c r="AD1059" t="s">
        <v>407</v>
      </c>
      <c r="AE1059" t="s">
        <v>566</v>
      </c>
      <c r="AF1059">
        <v>149</v>
      </c>
      <c r="AG1059" s="122">
        <v>15312</v>
      </c>
      <c r="AH1059" s="122">
        <v>38388</v>
      </c>
      <c r="AI1059" s="122">
        <v>2201858</v>
      </c>
      <c r="AJ1059" s="122">
        <v>2001689</v>
      </c>
      <c r="AK1059">
        <v>84</v>
      </c>
      <c r="AL1059" s="122">
        <v>638808</v>
      </c>
      <c r="AM1059" s="122">
        <v>580735</v>
      </c>
      <c r="AN1059" s="122">
        <v>316535</v>
      </c>
      <c r="AO1059" s="122">
        <v>117235</v>
      </c>
      <c r="AP1059" s="122">
        <v>70160</v>
      </c>
      <c r="AQ1059" s="122">
        <v>25985</v>
      </c>
      <c r="AR1059" s="122">
        <v>747060</v>
      </c>
      <c r="AS1059" s="122">
        <v>679146</v>
      </c>
      <c r="AT1059">
        <v>0</v>
      </c>
      <c r="AU1059">
        <v>0</v>
      </c>
      <c r="AV1059" s="122">
        <v>3404789</v>
      </c>
    </row>
    <row r="1060" spans="2:48" hidden="1">
      <c r="B1060" t="s">
        <v>369</v>
      </c>
      <c r="C1060" t="s">
        <v>64</v>
      </c>
      <c r="D1060" t="s">
        <v>137</v>
      </c>
      <c r="E1060" t="s">
        <v>406</v>
      </c>
      <c r="F1060" s="122">
        <v>6</v>
      </c>
      <c r="G1060" s="122">
        <v>676</v>
      </c>
      <c r="H1060" s="122">
        <v>3315</v>
      </c>
      <c r="I1060" s="122">
        <v>289592</v>
      </c>
      <c r="J1060" s="122">
        <v>107256</v>
      </c>
      <c r="K1060" s="122">
        <v>100</v>
      </c>
      <c r="L1060" s="122">
        <v>33714</v>
      </c>
      <c r="M1060" s="122">
        <v>24866</v>
      </c>
      <c r="N1060" s="122">
        <v>15710</v>
      </c>
      <c r="O1060" s="122">
        <v>5819</v>
      </c>
      <c r="P1060" s="122">
        <v>1161</v>
      </c>
      <c r="Q1060" s="122">
        <v>430</v>
      </c>
      <c r="R1060" s="122">
        <v>27080</v>
      </c>
      <c r="S1060" s="122">
        <v>24618</v>
      </c>
      <c r="T1060" s="122">
        <v>12482</v>
      </c>
      <c r="U1060" s="122">
        <v>4623</v>
      </c>
      <c r="V1060" s="122">
        <v>167612</v>
      </c>
      <c r="W1060" s="122">
        <f t="shared" si="32"/>
        <v>167612</v>
      </c>
      <c r="X1060" s="122">
        <f t="shared" si="33"/>
        <v>379739</v>
      </c>
      <c r="AA1060" t="s">
        <v>58</v>
      </c>
      <c r="AB1060" t="s">
        <v>407</v>
      </c>
      <c r="AC1060" t="s">
        <v>431</v>
      </c>
      <c r="AD1060" t="s">
        <v>407</v>
      </c>
      <c r="AE1060" t="s">
        <v>137</v>
      </c>
      <c r="AF1060">
        <v>7</v>
      </c>
      <c r="AG1060">
        <v>595</v>
      </c>
      <c r="AH1060" s="122">
        <v>1701</v>
      </c>
      <c r="AI1060" s="122">
        <v>74018</v>
      </c>
      <c r="AJ1060" s="122">
        <v>67289</v>
      </c>
      <c r="AK1060">
        <v>78</v>
      </c>
      <c r="AL1060" s="122">
        <v>18097</v>
      </c>
      <c r="AM1060" s="122">
        <v>16452</v>
      </c>
      <c r="AN1060" s="122">
        <v>12228</v>
      </c>
      <c r="AO1060" s="122">
        <v>4529</v>
      </c>
      <c r="AP1060" s="122">
        <v>3659</v>
      </c>
      <c r="AQ1060" s="122">
        <v>1355</v>
      </c>
      <c r="AR1060" s="122">
        <v>29122</v>
      </c>
      <c r="AS1060" s="122">
        <v>26474</v>
      </c>
      <c r="AT1060" s="122">
        <v>15318</v>
      </c>
      <c r="AU1060" s="122">
        <v>5673</v>
      </c>
      <c r="AV1060" s="122">
        <v>121772</v>
      </c>
    </row>
    <row r="1061" spans="2:48" hidden="1">
      <c r="B1061" t="s">
        <v>369</v>
      </c>
      <c r="C1061" t="s">
        <v>64</v>
      </c>
      <c r="D1061" t="s">
        <v>137</v>
      </c>
      <c r="E1061" t="s">
        <v>556</v>
      </c>
      <c r="F1061" s="122">
        <v>21</v>
      </c>
      <c r="G1061" s="122">
        <v>890</v>
      </c>
      <c r="H1061" s="122">
        <v>13420</v>
      </c>
      <c r="I1061" s="122">
        <v>356606</v>
      </c>
      <c r="J1061" s="122">
        <v>132076</v>
      </c>
      <c r="K1061" s="122">
        <v>100</v>
      </c>
      <c r="L1061" s="122">
        <v>40653</v>
      </c>
      <c r="M1061" s="122">
        <v>33877</v>
      </c>
      <c r="N1061" s="122">
        <v>17509</v>
      </c>
      <c r="O1061" s="122">
        <v>6485</v>
      </c>
      <c r="P1061" s="122">
        <v>1053</v>
      </c>
      <c r="Q1061" s="122">
        <v>390</v>
      </c>
      <c r="R1061" s="122">
        <v>101458</v>
      </c>
      <c r="S1061" s="122">
        <v>84548</v>
      </c>
      <c r="T1061" s="122">
        <v>34592</v>
      </c>
      <c r="U1061" s="122">
        <v>12812</v>
      </c>
      <c r="V1061" s="122">
        <v>270188</v>
      </c>
      <c r="W1061" s="122">
        <f t="shared" si="32"/>
        <v>270188</v>
      </c>
      <c r="X1061" s="122">
        <f t="shared" si="33"/>
        <v>551871</v>
      </c>
      <c r="AA1061" t="s">
        <v>58</v>
      </c>
      <c r="AB1061" t="s">
        <v>407</v>
      </c>
      <c r="AC1061" t="s">
        <v>431</v>
      </c>
      <c r="AD1061" t="s">
        <v>407</v>
      </c>
      <c r="AE1061" t="s">
        <v>566</v>
      </c>
      <c r="AF1061">
        <v>9</v>
      </c>
      <c r="AG1061">
        <v>772</v>
      </c>
      <c r="AH1061" s="122">
        <v>2244</v>
      </c>
      <c r="AI1061" s="122">
        <v>99850</v>
      </c>
      <c r="AJ1061" s="122">
        <v>90773</v>
      </c>
      <c r="AK1061">
        <v>83</v>
      </c>
      <c r="AL1061" s="122">
        <v>30276</v>
      </c>
      <c r="AM1061" s="122">
        <v>27523</v>
      </c>
      <c r="AN1061" s="122">
        <v>14069</v>
      </c>
      <c r="AO1061" s="122">
        <v>5211</v>
      </c>
      <c r="AP1061" s="122">
        <v>4253</v>
      </c>
      <c r="AQ1061" s="122">
        <v>1575</v>
      </c>
      <c r="AR1061" s="122">
        <v>40784</v>
      </c>
      <c r="AS1061" s="122">
        <v>37076</v>
      </c>
      <c r="AT1061">
        <v>0</v>
      </c>
      <c r="AU1061">
        <v>0</v>
      </c>
      <c r="AV1061" s="122">
        <v>162158</v>
      </c>
    </row>
    <row r="1062" spans="2:48" hidden="1">
      <c r="B1062" t="s">
        <v>369</v>
      </c>
      <c r="C1062" t="s">
        <v>64</v>
      </c>
      <c r="D1062" t="s">
        <v>137</v>
      </c>
      <c r="E1062" t="s">
        <v>426</v>
      </c>
      <c r="F1062" s="122">
        <v>6</v>
      </c>
      <c r="G1062" s="122">
        <v>447</v>
      </c>
      <c r="H1062" s="122">
        <v>3377</v>
      </c>
      <c r="I1062" s="122">
        <v>172278</v>
      </c>
      <c r="J1062" s="122">
        <v>63807</v>
      </c>
      <c r="K1062" s="122">
        <v>100</v>
      </c>
      <c r="L1062" s="122">
        <v>28836</v>
      </c>
      <c r="M1062" s="122">
        <v>19261</v>
      </c>
      <c r="N1062" s="122">
        <v>10374</v>
      </c>
      <c r="O1062" s="122">
        <v>3842</v>
      </c>
      <c r="P1062" s="122">
        <v>0</v>
      </c>
      <c r="Q1062" s="122">
        <v>0</v>
      </c>
      <c r="R1062" s="122">
        <v>28676</v>
      </c>
      <c r="S1062" s="122">
        <v>26069</v>
      </c>
      <c r="T1062" s="122">
        <v>9558</v>
      </c>
      <c r="U1062" s="122">
        <v>3540</v>
      </c>
      <c r="V1062" s="122">
        <v>116519</v>
      </c>
      <c r="W1062" s="122">
        <f t="shared" si="32"/>
        <v>116519</v>
      </c>
      <c r="X1062" s="122">
        <f t="shared" si="33"/>
        <v>249722</v>
      </c>
      <c r="AA1062" t="s">
        <v>58</v>
      </c>
      <c r="AB1062" t="s">
        <v>407</v>
      </c>
      <c r="AC1062" t="s">
        <v>426</v>
      </c>
      <c r="AD1062" t="s">
        <v>405</v>
      </c>
      <c r="AE1062" t="s">
        <v>566</v>
      </c>
      <c r="AF1062">
        <v>2</v>
      </c>
      <c r="AG1062">
        <v>185</v>
      </c>
      <c r="AH1062">
        <v>563</v>
      </c>
      <c r="AI1062" s="122">
        <v>26079</v>
      </c>
      <c r="AJ1062" s="122">
        <v>23708</v>
      </c>
      <c r="AK1062">
        <v>71</v>
      </c>
      <c r="AL1062" s="122">
        <v>6437</v>
      </c>
      <c r="AM1062" s="122">
        <v>5852</v>
      </c>
      <c r="AN1062" s="122">
        <v>4009</v>
      </c>
      <c r="AO1062" s="122">
        <v>1485</v>
      </c>
      <c r="AP1062">
        <v>945</v>
      </c>
      <c r="AQ1062">
        <v>350</v>
      </c>
      <c r="AR1062" s="122">
        <v>14749</v>
      </c>
      <c r="AS1062" s="122">
        <v>13408</v>
      </c>
      <c r="AT1062">
        <v>0</v>
      </c>
      <c r="AU1062">
        <v>0</v>
      </c>
      <c r="AV1062" s="122">
        <v>44803</v>
      </c>
    </row>
    <row r="1063" spans="2:48" hidden="1">
      <c r="B1063" t="s">
        <v>369</v>
      </c>
      <c r="C1063" t="s">
        <v>64</v>
      </c>
      <c r="D1063" t="s">
        <v>406</v>
      </c>
      <c r="E1063" t="s">
        <v>137</v>
      </c>
      <c r="F1063" s="122">
        <v>3</v>
      </c>
      <c r="G1063" s="122">
        <v>293</v>
      </c>
      <c r="H1063" s="122">
        <v>1673</v>
      </c>
      <c r="I1063" s="122">
        <v>103126</v>
      </c>
      <c r="J1063" s="122">
        <v>93751</v>
      </c>
      <c r="K1063" s="122">
        <v>78</v>
      </c>
      <c r="L1063" s="122">
        <v>24358</v>
      </c>
      <c r="M1063" s="122">
        <v>22144</v>
      </c>
      <c r="N1063" s="122">
        <v>6507</v>
      </c>
      <c r="O1063" s="122">
        <v>2410</v>
      </c>
      <c r="P1063" s="122">
        <v>2214</v>
      </c>
      <c r="Q1063" s="122">
        <v>820</v>
      </c>
      <c r="R1063" s="122">
        <v>25412</v>
      </c>
      <c r="S1063" s="122">
        <v>9412</v>
      </c>
      <c r="T1063" s="122">
        <v>0</v>
      </c>
      <c r="U1063" s="122">
        <v>0</v>
      </c>
      <c r="V1063" s="122">
        <v>128536</v>
      </c>
      <c r="W1063" s="122">
        <f t="shared" si="32"/>
        <v>128537</v>
      </c>
      <c r="X1063" s="122">
        <f t="shared" si="33"/>
        <v>161617</v>
      </c>
      <c r="AA1063" t="s">
        <v>58</v>
      </c>
      <c r="AB1063" t="s">
        <v>407</v>
      </c>
      <c r="AC1063" t="s">
        <v>426</v>
      </c>
      <c r="AD1063" t="s">
        <v>137</v>
      </c>
      <c r="AE1063" t="s">
        <v>566</v>
      </c>
      <c r="AF1063">
        <v>10</v>
      </c>
      <c r="AG1063" s="122">
        <v>1074</v>
      </c>
      <c r="AH1063" s="122">
        <v>2617</v>
      </c>
      <c r="AI1063" s="122">
        <v>135523</v>
      </c>
      <c r="AJ1063" s="122">
        <v>123203</v>
      </c>
      <c r="AK1063">
        <v>80</v>
      </c>
      <c r="AL1063" s="122">
        <v>38403</v>
      </c>
      <c r="AM1063" s="122">
        <v>34912</v>
      </c>
      <c r="AN1063" s="122">
        <v>21464</v>
      </c>
      <c r="AO1063" s="122">
        <v>7950</v>
      </c>
      <c r="AP1063" s="122">
        <v>5625</v>
      </c>
      <c r="AQ1063" s="122">
        <v>2083</v>
      </c>
      <c r="AR1063" s="122">
        <v>80796</v>
      </c>
      <c r="AS1063" s="122">
        <v>29925</v>
      </c>
      <c r="AT1063">
        <v>0</v>
      </c>
      <c r="AU1063">
        <v>0</v>
      </c>
      <c r="AV1063" s="122">
        <v>198072</v>
      </c>
    </row>
    <row r="1064" spans="2:48" hidden="1">
      <c r="B1064" t="s">
        <v>369</v>
      </c>
      <c r="C1064" t="s">
        <v>64</v>
      </c>
      <c r="D1064" t="s">
        <v>406</v>
      </c>
      <c r="E1064" t="s">
        <v>406</v>
      </c>
      <c r="F1064" s="122">
        <v>110</v>
      </c>
      <c r="G1064" s="122">
        <v>10566</v>
      </c>
      <c r="H1064" s="122">
        <v>58032</v>
      </c>
      <c r="I1064" s="122">
        <v>3800779</v>
      </c>
      <c r="J1064" s="122">
        <v>3455254</v>
      </c>
      <c r="K1064" s="122">
        <v>71</v>
      </c>
      <c r="L1064" s="122">
        <v>753492</v>
      </c>
      <c r="M1064" s="122">
        <v>642930</v>
      </c>
      <c r="N1064" s="122">
        <v>236725</v>
      </c>
      <c r="O1064" s="122">
        <v>87676</v>
      </c>
      <c r="P1064" s="122">
        <v>70268</v>
      </c>
      <c r="Q1064" s="122">
        <v>26025</v>
      </c>
      <c r="R1064" s="122">
        <v>617206</v>
      </c>
      <c r="S1064" s="122">
        <v>561097</v>
      </c>
      <c r="T1064" s="122">
        <v>135541</v>
      </c>
      <c r="U1064" s="122">
        <v>50200</v>
      </c>
      <c r="V1064" s="122">
        <v>4823182</v>
      </c>
      <c r="W1064" s="122">
        <f t="shared" si="32"/>
        <v>4823182</v>
      </c>
      <c r="X1064" s="122">
        <f t="shared" si="33"/>
        <v>5614011</v>
      </c>
      <c r="AA1064" t="s">
        <v>58</v>
      </c>
      <c r="AB1064" t="s">
        <v>407</v>
      </c>
      <c r="AC1064" t="s">
        <v>426</v>
      </c>
      <c r="AD1064" t="s">
        <v>406</v>
      </c>
      <c r="AE1064" t="s">
        <v>137</v>
      </c>
      <c r="AF1064">
        <v>8</v>
      </c>
      <c r="AG1064">
        <v>662</v>
      </c>
      <c r="AH1064" s="122">
        <v>2036</v>
      </c>
      <c r="AI1064" s="122">
        <v>90831</v>
      </c>
      <c r="AJ1064" s="122">
        <v>82574</v>
      </c>
      <c r="AK1064">
        <v>75</v>
      </c>
      <c r="AL1064" s="122">
        <v>24531</v>
      </c>
      <c r="AM1064" s="122">
        <v>22301</v>
      </c>
      <c r="AN1064" s="122">
        <v>13281</v>
      </c>
      <c r="AO1064" s="122">
        <v>4919</v>
      </c>
      <c r="AP1064" s="122">
        <v>3659</v>
      </c>
      <c r="AQ1064" s="122">
        <v>1355</v>
      </c>
      <c r="AR1064" s="122">
        <v>36211</v>
      </c>
      <c r="AS1064" s="122">
        <v>32920</v>
      </c>
      <c r="AT1064" s="122">
        <v>12707</v>
      </c>
      <c r="AU1064" s="122">
        <v>4706</v>
      </c>
      <c r="AV1064" s="122">
        <v>148774</v>
      </c>
    </row>
    <row r="1065" spans="2:48" hidden="1">
      <c r="B1065" t="s">
        <v>369</v>
      </c>
      <c r="C1065" t="s">
        <v>64</v>
      </c>
      <c r="D1065" t="s">
        <v>427</v>
      </c>
      <c r="E1065" t="s">
        <v>137</v>
      </c>
      <c r="F1065" s="122">
        <v>1</v>
      </c>
      <c r="G1065" s="122">
        <v>52</v>
      </c>
      <c r="H1065" s="122">
        <v>1581</v>
      </c>
      <c r="I1065" s="122">
        <v>71521</v>
      </c>
      <c r="J1065" s="122">
        <v>65019</v>
      </c>
      <c r="K1065" s="122">
        <v>30</v>
      </c>
      <c r="L1065" s="122">
        <v>5852</v>
      </c>
      <c r="M1065" s="122">
        <v>2167</v>
      </c>
      <c r="N1065" s="122">
        <v>1274</v>
      </c>
      <c r="O1065" s="122">
        <v>472</v>
      </c>
      <c r="P1065" s="122">
        <v>0</v>
      </c>
      <c r="Q1065" s="122">
        <v>0</v>
      </c>
      <c r="R1065" s="122">
        <v>4043</v>
      </c>
      <c r="S1065" s="122">
        <v>1497</v>
      </c>
      <c r="T1065" s="122">
        <v>0</v>
      </c>
      <c r="U1065" s="122">
        <v>0</v>
      </c>
      <c r="V1065" s="122">
        <v>69156</v>
      </c>
      <c r="W1065" s="122">
        <f t="shared" si="32"/>
        <v>69155</v>
      </c>
      <c r="X1065" s="122">
        <f t="shared" si="33"/>
        <v>82690</v>
      </c>
      <c r="AA1065" t="s">
        <v>58</v>
      </c>
      <c r="AB1065" t="s">
        <v>407</v>
      </c>
      <c r="AC1065" t="s">
        <v>426</v>
      </c>
      <c r="AD1065" t="s">
        <v>406</v>
      </c>
      <c r="AE1065" t="s">
        <v>566</v>
      </c>
      <c r="AF1065">
        <v>3</v>
      </c>
      <c r="AG1065">
        <v>393</v>
      </c>
      <c r="AH1065">
        <v>759</v>
      </c>
      <c r="AI1065" s="122">
        <v>52238</v>
      </c>
      <c r="AJ1065" s="122">
        <v>47489</v>
      </c>
      <c r="AK1065">
        <v>74</v>
      </c>
      <c r="AL1065" s="122">
        <v>12473</v>
      </c>
      <c r="AM1065" s="122">
        <v>11339</v>
      </c>
      <c r="AN1065" s="122">
        <v>8253</v>
      </c>
      <c r="AO1065" s="122">
        <v>3057</v>
      </c>
      <c r="AP1065" s="122">
        <v>1418</v>
      </c>
      <c r="AQ1065">
        <v>525</v>
      </c>
      <c r="AR1065" s="122">
        <v>24774</v>
      </c>
      <c r="AS1065" s="122">
        <v>22522</v>
      </c>
      <c r="AT1065">
        <v>0</v>
      </c>
      <c r="AU1065">
        <v>0</v>
      </c>
      <c r="AV1065" s="122">
        <v>84932</v>
      </c>
    </row>
    <row r="1066" spans="2:48" hidden="1">
      <c r="B1066" t="s">
        <v>369</v>
      </c>
      <c r="C1066" t="s">
        <v>64</v>
      </c>
      <c r="D1066" t="s">
        <v>427</v>
      </c>
      <c r="E1066" t="s">
        <v>427</v>
      </c>
      <c r="F1066" s="122">
        <v>21</v>
      </c>
      <c r="G1066" s="122">
        <v>1603</v>
      </c>
      <c r="H1066" s="122">
        <v>12326</v>
      </c>
      <c r="I1066" s="122">
        <v>671050</v>
      </c>
      <c r="J1066" s="122">
        <v>610045</v>
      </c>
      <c r="K1066" s="122">
        <v>48</v>
      </c>
      <c r="L1066" s="122">
        <v>65863</v>
      </c>
      <c r="M1066" s="122">
        <v>55040</v>
      </c>
      <c r="N1066" s="122">
        <v>36310</v>
      </c>
      <c r="O1066" s="122">
        <v>13448</v>
      </c>
      <c r="P1066" s="122">
        <v>7020</v>
      </c>
      <c r="Q1066" s="122">
        <v>2600</v>
      </c>
      <c r="R1066" s="122">
        <v>140999</v>
      </c>
      <c r="S1066" s="122">
        <v>128180</v>
      </c>
      <c r="T1066" s="122">
        <v>36808</v>
      </c>
      <c r="U1066" s="122">
        <v>13632</v>
      </c>
      <c r="V1066" s="122">
        <v>822947</v>
      </c>
      <c r="W1066" s="122">
        <f t="shared" si="32"/>
        <v>822945</v>
      </c>
      <c r="X1066" s="122">
        <f t="shared" si="33"/>
        <v>958050</v>
      </c>
      <c r="AA1066" t="s">
        <v>58</v>
      </c>
      <c r="AB1066" t="s">
        <v>407</v>
      </c>
      <c r="AC1066" t="s">
        <v>426</v>
      </c>
      <c r="AD1066" t="s">
        <v>407</v>
      </c>
      <c r="AE1066" t="s">
        <v>137</v>
      </c>
      <c r="AF1066" s="122">
        <v>3688</v>
      </c>
      <c r="AG1066" s="122">
        <v>348769</v>
      </c>
      <c r="AH1066" s="122">
        <v>948292</v>
      </c>
      <c r="AI1066" s="122">
        <v>45905588</v>
      </c>
      <c r="AJ1066" s="122">
        <v>41732352</v>
      </c>
      <c r="AK1066">
        <v>78</v>
      </c>
      <c r="AL1066" s="122">
        <v>11899348</v>
      </c>
      <c r="AM1066" s="122">
        <v>10817589</v>
      </c>
      <c r="AN1066" s="122">
        <v>7260953</v>
      </c>
      <c r="AO1066" s="122">
        <v>2689242</v>
      </c>
      <c r="AP1066" s="122">
        <v>1750099</v>
      </c>
      <c r="AQ1066" s="122">
        <v>648185</v>
      </c>
      <c r="AR1066" s="122">
        <v>15984882</v>
      </c>
      <c r="AS1066" s="122">
        <v>14531711</v>
      </c>
      <c r="AT1066" s="122">
        <v>8038943</v>
      </c>
      <c r="AU1066" s="122">
        <v>2977386</v>
      </c>
      <c r="AV1066" s="122">
        <v>73396465</v>
      </c>
    </row>
    <row r="1067" spans="2:48" hidden="1">
      <c r="B1067" t="s">
        <v>369</v>
      </c>
      <c r="C1067" t="s">
        <v>64</v>
      </c>
      <c r="D1067" t="s">
        <v>556</v>
      </c>
      <c r="E1067" t="s">
        <v>137</v>
      </c>
      <c r="F1067" s="122">
        <v>12</v>
      </c>
      <c r="G1067" s="122">
        <v>763</v>
      </c>
      <c r="H1067" s="122">
        <v>12218</v>
      </c>
      <c r="I1067" s="122">
        <v>632706</v>
      </c>
      <c r="J1067" s="122">
        <v>527255</v>
      </c>
      <c r="K1067" s="122">
        <v>40</v>
      </c>
      <c r="L1067" s="122">
        <v>35983</v>
      </c>
      <c r="M1067" s="122">
        <v>19072</v>
      </c>
      <c r="N1067" s="122">
        <v>16123</v>
      </c>
      <c r="O1067" s="122">
        <v>5971</v>
      </c>
      <c r="P1067" s="122">
        <v>0</v>
      </c>
      <c r="Q1067" s="122">
        <v>0</v>
      </c>
      <c r="R1067" s="122">
        <v>81406</v>
      </c>
      <c r="S1067" s="122">
        <v>30150</v>
      </c>
      <c r="T1067" s="122">
        <v>0</v>
      </c>
      <c r="U1067" s="122">
        <v>0</v>
      </c>
      <c r="V1067" s="122">
        <v>582449</v>
      </c>
      <c r="W1067" s="122">
        <f t="shared" ref="W1067:W1130" si="34">SUM(ABS(J1067),ABS(M1067),ABS(O1067),ABS(Q1067),ABS(S1067),ABS(U1067))</f>
        <v>582448</v>
      </c>
      <c r="X1067" s="122">
        <f t="shared" ref="X1067:X1130" si="35">SUM(ABS(I1067),ABS(N1067),ABS(P1067),ABS(R1067),ABS(T1067),ABS(L1067))</f>
        <v>766218</v>
      </c>
      <c r="AA1067" t="s">
        <v>58</v>
      </c>
      <c r="AB1067" t="s">
        <v>407</v>
      </c>
      <c r="AC1067" t="s">
        <v>426</v>
      </c>
      <c r="AD1067" t="s">
        <v>407</v>
      </c>
      <c r="AE1067" t="s">
        <v>566</v>
      </c>
      <c r="AF1067" s="122">
        <v>3096</v>
      </c>
      <c r="AG1067" s="122">
        <v>293297</v>
      </c>
      <c r="AH1067" s="122">
        <v>795688</v>
      </c>
      <c r="AI1067" s="122">
        <v>41295079</v>
      </c>
      <c r="AJ1067" s="122">
        <v>37540981</v>
      </c>
      <c r="AK1067">
        <v>82</v>
      </c>
      <c r="AL1067" s="122">
        <v>11219118</v>
      </c>
      <c r="AM1067" s="122">
        <v>10199198</v>
      </c>
      <c r="AN1067" s="122">
        <v>6085081</v>
      </c>
      <c r="AO1067" s="122">
        <v>2253734</v>
      </c>
      <c r="AP1067" s="122">
        <v>1480448</v>
      </c>
      <c r="AQ1067" s="122">
        <v>548314</v>
      </c>
      <c r="AR1067" s="122">
        <v>16220387</v>
      </c>
      <c r="AS1067" s="122">
        <v>14745806</v>
      </c>
      <c r="AT1067">
        <v>0</v>
      </c>
      <c r="AU1067">
        <v>0</v>
      </c>
      <c r="AV1067" s="122">
        <v>65288032</v>
      </c>
    </row>
    <row r="1068" spans="2:48" hidden="1">
      <c r="B1068" t="s">
        <v>369</v>
      </c>
      <c r="C1068" t="s">
        <v>64</v>
      </c>
      <c r="D1068" t="s">
        <v>556</v>
      </c>
      <c r="E1068" t="s">
        <v>556</v>
      </c>
      <c r="F1068" s="122">
        <v>25</v>
      </c>
      <c r="G1068" s="122">
        <v>1659</v>
      </c>
      <c r="H1068" s="122">
        <v>16294</v>
      </c>
      <c r="I1068" s="122">
        <v>786078</v>
      </c>
      <c r="J1068" s="122">
        <v>655065</v>
      </c>
      <c r="K1068" s="122">
        <v>50</v>
      </c>
      <c r="L1068" s="122">
        <v>78228</v>
      </c>
      <c r="M1068" s="122">
        <v>55538</v>
      </c>
      <c r="N1068" s="122">
        <v>35687</v>
      </c>
      <c r="O1068" s="122">
        <v>13218</v>
      </c>
      <c r="P1068" s="122">
        <v>8343</v>
      </c>
      <c r="Q1068" s="122">
        <v>3090</v>
      </c>
      <c r="R1068" s="122">
        <v>163519</v>
      </c>
      <c r="S1068" s="122">
        <v>136266</v>
      </c>
      <c r="T1068" s="122">
        <v>45784</v>
      </c>
      <c r="U1068" s="122">
        <v>16957</v>
      </c>
      <c r="V1068" s="122">
        <v>880133</v>
      </c>
      <c r="W1068" s="122">
        <f t="shared" si="34"/>
        <v>880134</v>
      </c>
      <c r="X1068" s="122">
        <f t="shared" si="35"/>
        <v>1117639</v>
      </c>
      <c r="AA1068" t="s">
        <v>58</v>
      </c>
      <c r="AB1068" t="s">
        <v>407</v>
      </c>
      <c r="AC1068" t="s">
        <v>426</v>
      </c>
      <c r="AD1068" t="s">
        <v>426</v>
      </c>
      <c r="AE1068" t="s">
        <v>137</v>
      </c>
      <c r="AF1068">
        <v>2</v>
      </c>
      <c r="AG1068">
        <v>193</v>
      </c>
      <c r="AH1068">
        <v>478</v>
      </c>
      <c r="AI1068" s="122">
        <v>21765</v>
      </c>
      <c r="AJ1068" s="122">
        <v>19786</v>
      </c>
      <c r="AK1068">
        <v>78</v>
      </c>
      <c r="AL1068" s="122">
        <v>4801</v>
      </c>
      <c r="AM1068" s="122">
        <v>4364</v>
      </c>
      <c r="AN1068" s="122">
        <v>3839</v>
      </c>
      <c r="AO1068" s="122">
        <v>1422</v>
      </c>
      <c r="AP1068">
        <v>945</v>
      </c>
      <c r="AQ1068">
        <v>350</v>
      </c>
      <c r="AR1068" s="122">
        <v>12765</v>
      </c>
      <c r="AS1068" s="122">
        <v>11605</v>
      </c>
      <c r="AT1068" s="122">
        <v>2053</v>
      </c>
      <c r="AU1068">
        <v>761</v>
      </c>
      <c r="AV1068" s="122">
        <v>38288</v>
      </c>
    </row>
    <row r="1069" spans="2:48" hidden="1">
      <c r="B1069" t="s">
        <v>369</v>
      </c>
      <c r="C1069" t="s">
        <v>64</v>
      </c>
      <c r="D1069" t="s">
        <v>556</v>
      </c>
      <c r="E1069" t="s">
        <v>426</v>
      </c>
      <c r="F1069" s="122">
        <v>1</v>
      </c>
      <c r="G1069" s="122">
        <v>63</v>
      </c>
      <c r="H1069" s="122">
        <v>504</v>
      </c>
      <c r="I1069" s="122">
        <v>28323</v>
      </c>
      <c r="J1069" s="122">
        <v>23603</v>
      </c>
      <c r="K1069" s="122">
        <v>30</v>
      </c>
      <c r="L1069" s="122">
        <v>0</v>
      </c>
      <c r="M1069" s="122">
        <v>0</v>
      </c>
      <c r="N1069" s="122">
        <v>1533</v>
      </c>
      <c r="O1069" s="122">
        <v>568</v>
      </c>
      <c r="P1069" s="122">
        <v>0</v>
      </c>
      <c r="Q1069" s="122">
        <v>0</v>
      </c>
      <c r="R1069" s="122">
        <v>1834</v>
      </c>
      <c r="S1069" s="122">
        <v>1667</v>
      </c>
      <c r="T1069" s="122">
        <v>0</v>
      </c>
      <c r="U1069" s="122">
        <v>0</v>
      </c>
      <c r="V1069" s="122">
        <v>25838</v>
      </c>
      <c r="W1069" s="122">
        <f t="shared" si="34"/>
        <v>25838</v>
      </c>
      <c r="X1069" s="122">
        <f t="shared" si="35"/>
        <v>31690</v>
      </c>
      <c r="AA1069" t="s">
        <v>58</v>
      </c>
      <c r="AB1069" t="s">
        <v>407</v>
      </c>
      <c r="AC1069" t="s">
        <v>426</v>
      </c>
      <c r="AD1069" t="s">
        <v>426</v>
      </c>
      <c r="AE1069" t="s">
        <v>566</v>
      </c>
      <c r="AF1069">
        <v>1</v>
      </c>
      <c r="AG1069">
        <v>96</v>
      </c>
      <c r="AH1069">
        <v>297</v>
      </c>
      <c r="AI1069" s="122">
        <v>15203</v>
      </c>
      <c r="AJ1069" s="122">
        <v>13821</v>
      </c>
      <c r="AK1069">
        <v>73</v>
      </c>
      <c r="AL1069" s="122">
        <v>3908</v>
      </c>
      <c r="AM1069" s="122">
        <v>3552</v>
      </c>
      <c r="AN1069" s="122">
        <v>1532</v>
      </c>
      <c r="AO1069">
        <v>567</v>
      </c>
      <c r="AP1069">
        <v>473</v>
      </c>
      <c r="AQ1069">
        <v>175</v>
      </c>
      <c r="AR1069" s="122">
        <v>7434</v>
      </c>
      <c r="AS1069" s="122">
        <v>6758</v>
      </c>
      <c r="AT1069">
        <v>0</v>
      </c>
      <c r="AU1069">
        <v>0</v>
      </c>
      <c r="AV1069" s="122">
        <v>24874</v>
      </c>
    </row>
    <row r="1070" spans="2:48" hidden="1">
      <c r="B1070" t="s">
        <v>369</v>
      </c>
      <c r="C1070" t="s">
        <v>64</v>
      </c>
      <c r="D1070" t="s">
        <v>428</v>
      </c>
      <c r="E1070" t="s">
        <v>428</v>
      </c>
      <c r="F1070" s="122">
        <v>1</v>
      </c>
      <c r="G1070" s="122">
        <v>64</v>
      </c>
      <c r="H1070" s="122">
        <v>589</v>
      </c>
      <c r="I1070" s="122">
        <v>29360</v>
      </c>
      <c r="J1070" s="122">
        <v>26690</v>
      </c>
      <c r="K1070" s="122">
        <v>55</v>
      </c>
      <c r="L1070" s="122">
        <v>1794</v>
      </c>
      <c r="M1070" s="122">
        <v>1631</v>
      </c>
      <c r="N1070" s="122">
        <v>782</v>
      </c>
      <c r="O1070" s="122">
        <v>290</v>
      </c>
      <c r="P1070" s="122">
        <v>351</v>
      </c>
      <c r="Q1070" s="122">
        <v>130</v>
      </c>
      <c r="R1070" s="122">
        <v>3333</v>
      </c>
      <c r="S1070" s="122">
        <v>3030</v>
      </c>
      <c r="T1070" s="122">
        <v>2216</v>
      </c>
      <c r="U1070" s="122">
        <v>821</v>
      </c>
      <c r="V1070" s="122">
        <v>32592</v>
      </c>
      <c r="W1070" s="122">
        <f t="shared" si="34"/>
        <v>32592</v>
      </c>
      <c r="X1070" s="122">
        <f t="shared" si="35"/>
        <v>37836</v>
      </c>
      <c r="AA1070" t="s">
        <v>58</v>
      </c>
      <c r="AB1070" t="s">
        <v>407</v>
      </c>
      <c r="AC1070" t="s">
        <v>566</v>
      </c>
      <c r="AD1070" t="s">
        <v>425</v>
      </c>
      <c r="AE1070" t="s">
        <v>566</v>
      </c>
      <c r="AF1070">
        <v>1</v>
      </c>
      <c r="AG1070">
        <v>84</v>
      </c>
      <c r="AH1070">
        <v>268</v>
      </c>
      <c r="AI1070" s="122">
        <v>13407</v>
      </c>
      <c r="AJ1070" s="122">
        <v>12189</v>
      </c>
      <c r="AK1070">
        <v>79</v>
      </c>
      <c r="AL1070">
        <v>0</v>
      </c>
      <c r="AM1070">
        <v>0</v>
      </c>
      <c r="AN1070" s="122">
        <v>2047</v>
      </c>
      <c r="AO1070">
        <v>758</v>
      </c>
      <c r="AP1070">
        <v>473</v>
      </c>
      <c r="AQ1070">
        <v>175</v>
      </c>
      <c r="AR1070" s="122">
        <v>6620</v>
      </c>
      <c r="AS1070" s="122">
        <v>6018</v>
      </c>
      <c r="AT1070">
        <v>0</v>
      </c>
      <c r="AU1070">
        <v>0</v>
      </c>
      <c r="AV1070" s="122">
        <v>19140</v>
      </c>
    </row>
    <row r="1071" spans="2:48" hidden="1">
      <c r="B1071" t="s">
        <v>369</v>
      </c>
      <c r="C1071" t="s">
        <v>64</v>
      </c>
      <c r="D1071" t="s">
        <v>431</v>
      </c>
      <c r="E1071" t="s">
        <v>431</v>
      </c>
      <c r="F1071" s="122">
        <v>1</v>
      </c>
      <c r="G1071" s="122">
        <v>58</v>
      </c>
      <c r="H1071" s="122">
        <v>518</v>
      </c>
      <c r="I1071" s="122">
        <v>18186</v>
      </c>
      <c r="J1071" s="122">
        <v>16532</v>
      </c>
      <c r="K1071" s="122">
        <v>45</v>
      </c>
      <c r="L1071" s="122">
        <v>3031</v>
      </c>
      <c r="M1071" s="122">
        <v>2755</v>
      </c>
      <c r="N1071" s="122">
        <v>1210</v>
      </c>
      <c r="O1071" s="122">
        <v>448</v>
      </c>
      <c r="P1071" s="122">
        <v>351</v>
      </c>
      <c r="Q1071" s="122">
        <v>130</v>
      </c>
      <c r="R1071" s="122">
        <v>5423</v>
      </c>
      <c r="S1071" s="122">
        <v>4930</v>
      </c>
      <c r="T1071" s="122">
        <v>1863</v>
      </c>
      <c r="U1071" s="122">
        <v>690</v>
      </c>
      <c r="V1071" s="122">
        <v>25486</v>
      </c>
      <c r="W1071" s="122">
        <f t="shared" si="34"/>
        <v>25485</v>
      </c>
      <c r="X1071" s="122">
        <f t="shared" si="35"/>
        <v>30064</v>
      </c>
      <c r="AA1071" t="s">
        <v>58</v>
      </c>
      <c r="AB1071" t="s">
        <v>407</v>
      </c>
      <c r="AC1071" t="s">
        <v>566</v>
      </c>
      <c r="AD1071" t="s">
        <v>405</v>
      </c>
      <c r="AE1071" t="s">
        <v>137</v>
      </c>
      <c r="AF1071">
        <v>1</v>
      </c>
      <c r="AG1071">
        <v>71</v>
      </c>
      <c r="AH1071">
        <v>228</v>
      </c>
      <c r="AI1071" s="122">
        <v>8282</v>
      </c>
      <c r="AJ1071" s="122">
        <v>7529</v>
      </c>
      <c r="AK1071">
        <v>73</v>
      </c>
      <c r="AL1071">
        <v>0</v>
      </c>
      <c r="AM1071">
        <v>0</v>
      </c>
      <c r="AN1071" s="122">
        <v>1678</v>
      </c>
      <c r="AO1071">
        <v>622</v>
      </c>
      <c r="AP1071">
        <v>473</v>
      </c>
      <c r="AQ1071">
        <v>175</v>
      </c>
      <c r="AR1071" s="122">
        <v>3734</v>
      </c>
      <c r="AS1071" s="122">
        <v>3395</v>
      </c>
      <c r="AT1071" s="122">
        <v>2044</v>
      </c>
      <c r="AU1071">
        <v>757</v>
      </c>
      <c r="AV1071" s="122">
        <v>12477</v>
      </c>
    </row>
    <row r="1072" spans="2:48" hidden="1">
      <c r="B1072" t="s">
        <v>369</v>
      </c>
      <c r="C1072" t="s">
        <v>64</v>
      </c>
      <c r="D1072" t="s">
        <v>426</v>
      </c>
      <c r="E1072" t="s">
        <v>137</v>
      </c>
      <c r="F1072" s="122">
        <v>30</v>
      </c>
      <c r="G1072" s="122">
        <v>2924</v>
      </c>
      <c r="H1072" s="122">
        <v>22974</v>
      </c>
      <c r="I1072" s="122">
        <v>1764459</v>
      </c>
      <c r="J1072" s="122">
        <v>1604053</v>
      </c>
      <c r="K1072" s="122">
        <v>43</v>
      </c>
      <c r="L1072" s="122">
        <v>159353</v>
      </c>
      <c r="M1072" s="122">
        <v>90763</v>
      </c>
      <c r="N1072" s="122">
        <v>67924</v>
      </c>
      <c r="O1072" s="122">
        <v>25157</v>
      </c>
      <c r="P1072" s="122">
        <v>2808</v>
      </c>
      <c r="Q1072" s="122">
        <v>1040</v>
      </c>
      <c r="R1072" s="122">
        <v>240351</v>
      </c>
      <c r="S1072" s="122">
        <v>89019</v>
      </c>
      <c r="T1072" s="122">
        <v>1969</v>
      </c>
      <c r="U1072" s="122">
        <v>729</v>
      </c>
      <c r="V1072" s="122">
        <v>1810762</v>
      </c>
      <c r="W1072" s="122">
        <f t="shared" si="34"/>
        <v>1810761</v>
      </c>
      <c r="X1072" s="122">
        <f t="shared" si="35"/>
        <v>2236864</v>
      </c>
      <c r="AA1072" t="s">
        <v>58</v>
      </c>
      <c r="AB1072" t="s">
        <v>407</v>
      </c>
      <c r="AC1072" t="s">
        <v>566</v>
      </c>
      <c r="AD1072" t="s">
        <v>405</v>
      </c>
      <c r="AE1072" t="s">
        <v>566</v>
      </c>
      <c r="AF1072">
        <v>1</v>
      </c>
      <c r="AG1072">
        <v>48</v>
      </c>
      <c r="AH1072">
        <v>250</v>
      </c>
      <c r="AI1072" s="122">
        <v>6452</v>
      </c>
      <c r="AJ1072" s="122">
        <v>5866</v>
      </c>
      <c r="AK1072">
        <v>90</v>
      </c>
      <c r="AL1072">
        <v>0</v>
      </c>
      <c r="AM1072">
        <v>0</v>
      </c>
      <c r="AN1072">
        <v>973</v>
      </c>
      <c r="AO1072">
        <v>361</v>
      </c>
      <c r="AP1072">
        <v>473</v>
      </c>
      <c r="AQ1072">
        <v>175</v>
      </c>
      <c r="AR1072" s="122">
        <v>4037</v>
      </c>
      <c r="AS1072" s="122">
        <v>3670</v>
      </c>
      <c r="AT1072">
        <v>0</v>
      </c>
      <c r="AU1072">
        <v>0</v>
      </c>
      <c r="AV1072" s="122">
        <v>10071</v>
      </c>
    </row>
    <row r="1073" spans="2:48" hidden="1">
      <c r="B1073" t="s">
        <v>369</v>
      </c>
      <c r="C1073" t="s">
        <v>64</v>
      </c>
      <c r="D1073" t="s">
        <v>426</v>
      </c>
      <c r="E1073" t="s">
        <v>426</v>
      </c>
      <c r="F1073" s="122">
        <v>85</v>
      </c>
      <c r="G1073" s="122">
        <v>5737</v>
      </c>
      <c r="H1073" s="122">
        <v>50033</v>
      </c>
      <c r="I1073" s="122">
        <v>2368947</v>
      </c>
      <c r="J1073" s="122">
        <v>2153588</v>
      </c>
      <c r="K1073" s="122">
        <v>51</v>
      </c>
      <c r="L1073" s="122">
        <v>314693</v>
      </c>
      <c r="M1073" s="122">
        <v>199458</v>
      </c>
      <c r="N1073" s="122">
        <v>124400</v>
      </c>
      <c r="O1073" s="122">
        <v>46074</v>
      </c>
      <c r="P1073" s="122">
        <v>25700</v>
      </c>
      <c r="Q1073" s="122">
        <v>9519</v>
      </c>
      <c r="R1073" s="122">
        <v>513267</v>
      </c>
      <c r="S1073" s="122">
        <v>466607</v>
      </c>
      <c r="T1073" s="122">
        <v>169506</v>
      </c>
      <c r="U1073" s="122">
        <v>62780</v>
      </c>
      <c r="V1073" s="122">
        <v>2938026</v>
      </c>
      <c r="W1073" s="122">
        <f t="shared" si="34"/>
        <v>2938026</v>
      </c>
      <c r="X1073" s="122">
        <f t="shared" si="35"/>
        <v>3516513</v>
      </c>
      <c r="AA1073" t="s">
        <v>58</v>
      </c>
      <c r="AB1073" t="s">
        <v>407</v>
      </c>
      <c r="AC1073" t="s">
        <v>566</v>
      </c>
      <c r="AD1073" t="s">
        <v>137</v>
      </c>
      <c r="AE1073" t="s">
        <v>566</v>
      </c>
      <c r="AF1073">
        <v>31</v>
      </c>
      <c r="AG1073" s="122">
        <v>2809</v>
      </c>
      <c r="AH1073" s="122">
        <v>8341</v>
      </c>
      <c r="AI1073" s="122">
        <v>477648</v>
      </c>
      <c r="AJ1073" s="122">
        <v>434225</v>
      </c>
      <c r="AK1073">
        <v>80</v>
      </c>
      <c r="AL1073">
        <v>0</v>
      </c>
      <c r="AM1073" s="122">
        <v>3005</v>
      </c>
      <c r="AN1073" s="122">
        <v>53042</v>
      </c>
      <c r="AO1073" s="122">
        <v>19645</v>
      </c>
      <c r="AP1073" s="122">
        <v>18158</v>
      </c>
      <c r="AQ1073" s="122">
        <v>6725</v>
      </c>
      <c r="AR1073" s="122">
        <v>194503</v>
      </c>
      <c r="AS1073" s="122">
        <v>72038</v>
      </c>
      <c r="AT1073">
        <v>0</v>
      </c>
      <c r="AU1073">
        <v>0</v>
      </c>
      <c r="AV1073" s="122">
        <v>535638</v>
      </c>
    </row>
    <row r="1074" spans="2:48" hidden="1">
      <c r="B1074" t="s">
        <v>369</v>
      </c>
      <c r="C1074" t="s">
        <v>64</v>
      </c>
      <c r="D1074" t="s">
        <v>433</v>
      </c>
      <c r="E1074" t="s">
        <v>137</v>
      </c>
      <c r="F1074" s="122">
        <v>2</v>
      </c>
      <c r="G1074" s="122">
        <v>222</v>
      </c>
      <c r="H1074" s="122">
        <v>1886</v>
      </c>
      <c r="I1074" s="122">
        <v>161999</v>
      </c>
      <c r="J1074" s="122">
        <v>147272</v>
      </c>
      <c r="K1074" s="122">
        <v>30</v>
      </c>
      <c r="L1074" s="122">
        <v>16617</v>
      </c>
      <c r="M1074" s="122">
        <v>13025</v>
      </c>
      <c r="N1074" s="122">
        <v>5413</v>
      </c>
      <c r="O1074" s="122">
        <v>2005</v>
      </c>
      <c r="P1074" s="122">
        <v>0</v>
      </c>
      <c r="Q1074" s="122">
        <v>0</v>
      </c>
      <c r="R1074" s="122">
        <v>12497</v>
      </c>
      <c r="S1074" s="122">
        <v>4629</v>
      </c>
      <c r="T1074" s="122">
        <v>0</v>
      </c>
      <c r="U1074" s="122">
        <v>0</v>
      </c>
      <c r="V1074" s="122">
        <v>166931</v>
      </c>
      <c r="W1074" s="122">
        <f t="shared" si="34"/>
        <v>166931</v>
      </c>
      <c r="X1074" s="122">
        <f t="shared" si="35"/>
        <v>196526</v>
      </c>
      <c r="AA1074" t="s">
        <v>58</v>
      </c>
      <c r="AB1074" t="s">
        <v>407</v>
      </c>
      <c r="AC1074" t="s">
        <v>566</v>
      </c>
      <c r="AD1074" t="s">
        <v>407</v>
      </c>
      <c r="AE1074" t="s">
        <v>137</v>
      </c>
      <c r="AF1074" s="122">
        <v>1339</v>
      </c>
      <c r="AG1074" s="122">
        <v>114338</v>
      </c>
      <c r="AH1074" s="122">
        <v>347216</v>
      </c>
      <c r="AI1074" s="122">
        <v>18741616</v>
      </c>
      <c r="AJ1074" s="122">
        <v>17037832</v>
      </c>
      <c r="AK1074">
        <v>78</v>
      </c>
      <c r="AL1074">
        <v>0</v>
      </c>
      <c r="AM1074" s="122">
        <v>153696</v>
      </c>
      <c r="AN1074" s="122">
        <v>2357032</v>
      </c>
      <c r="AO1074" s="122">
        <v>872975</v>
      </c>
      <c r="AP1074" s="122">
        <v>635954</v>
      </c>
      <c r="AQ1074" s="122">
        <v>235538</v>
      </c>
      <c r="AR1074" s="122">
        <v>5495586</v>
      </c>
      <c r="AS1074" s="122">
        <v>4995988</v>
      </c>
      <c r="AT1074" s="122">
        <v>2790239</v>
      </c>
      <c r="AU1074" s="122">
        <v>1033422</v>
      </c>
      <c r="AV1074" s="122">
        <v>24329451</v>
      </c>
    </row>
    <row r="1075" spans="2:48" hidden="1">
      <c r="B1075" t="s">
        <v>369</v>
      </c>
      <c r="C1075" t="s">
        <v>64</v>
      </c>
      <c r="D1075" t="s">
        <v>433</v>
      </c>
      <c r="E1075" t="s">
        <v>433</v>
      </c>
      <c r="F1075" s="122">
        <v>1</v>
      </c>
      <c r="G1075" s="122">
        <v>61</v>
      </c>
      <c r="H1075" s="122">
        <v>1114</v>
      </c>
      <c r="I1075" s="122">
        <v>50754</v>
      </c>
      <c r="J1075" s="122">
        <v>46140</v>
      </c>
      <c r="K1075" s="122">
        <v>45</v>
      </c>
      <c r="L1075" s="122">
        <v>8459</v>
      </c>
      <c r="M1075" s="122">
        <v>7690</v>
      </c>
      <c r="N1075" s="122">
        <v>1481</v>
      </c>
      <c r="O1075" s="122">
        <v>548</v>
      </c>
      <c r="P1075" s="122">
        <v>0</v>
      </c>
      <c r="Q1075" s="122">
        <v>0</v>
      </c>
      <c r="R1075" s="122">
        <v>6974</v>
      </c>
      <c r="S1075" s="122">
        <v>6340</v>
      </c>
      <c r="T1075" s="122">
        <v>0</v>
      </c>
      <c r="U1075" s="122">
        <v>0</v>
      </c>
      <c r="V1075" s="122">
        <v>60718</v>
      </c>
      <c r="W1075" s="122">
        <f t="shared" si="34"/>
        <v>60718</v>
      </c>
      <c r="X1075" s="122">
        <f t="shared" si="35"/>
        <v>67668</v>
      </c>
      <c r="AA1075" t="s">
        <v>58</v>
      </c>
      <c r="AB1075" t="s">
        <v>407</v>
      </c>
      <c r="AC1075" t="s">
        <v>566</v>
      </c>
      <c r="AD1075" t="s">
        <v>407</v>
      </c>
      <c r="AE1075" t="s">
        <v>566</v>
      </c>
      <c r="AF1075" s="122">
        <v>1601</v>
      </c>
      <c r="AG1075" s="122">
        <v>134028</v>
      </c>
      <c r="AH1075" s="122">
        <v>413185</v>
      </c>
      <c r="AI1075" s="122">
        <v>24056789</v>
      </c>
      <c r="AJ1075" s="122">
        <v>21869809</v>
      </c>
      <c r="AK1075">
        <v>82</v>
      </c>
      <c r="AL1075">
        <v>0</v>
      </c>
      <c r="AM1075" s="122">
        <v>689981</v>
      </c>
      <c r="AN1075" s="122">
        <v>2635244</v>
      </c>
      <c r="AO1075" s="122">
        <v>976016</v>
      </c>
      <c r="AP1075" s="122">
        <v>758480</v>
      </c>
      <c r="AQ1075" s="122">
        <v>280918</v>
      </c>
      <c r="AR1075" s="122">
        <v>7532971</v>
      </c>
      <c r="AS1075" s="122">
        <v>6848155</v>
      </c>
      <c r="AT1075">
        <v>0</v>
      </c>
      <c r="AU1075">
        <v>0</v>
      </c>
      <c r="AV1075" s="122">
        <v>30664879</v>
      </c>
    </row>
    <row r="1076" spans="2:48" hidden="1">
      <c r="B1076" t="s">
        <v>370</v>
      </c>
      <c r="C1076" t="s">
        <v>48</v>
      </c>
      <c r="D1076" t="s">
        <v>405</v>
      </c>
      <c r="E1076" t="s">
        <v>405</v>
      </c>
      <c r="F1076" s="122">
        <v>10</v>
      </c>
      <c r="G1076" s="122">
        <v>1397</v>
      </c>
      <c r="H1076" s="122">
        <v>560</v>
      </c>
      <c r="I1076" s="122">
        <v>11442</v>
      </c>
      <c r="J1076" s="122">
        <v>10402</v>
      </c>
      <c r="K1076" s="122">
        <v>92</v>
      </c>
      <c r="L1076" s="122">
        <v>1568</v>
      </c>
      <c r="M1076" s="122">
        <v>1425</v>
      </c>
      <c r="N1076" s="122">
        <v>17017</v>
      </c>
      <c r="O1076" s="122">
        <v>6303</v>
      </c>
      <c r="P1076" s="122">
        <v>4725</v>
      </c>
      <c r="Q1076" s="122">
        <v>1750</v>
      </c>
      <c r="R1076" s="122">
        <v>43518</v>
      </c>
      <c r="S1076" s="122">
        <v>39562</v>
      </c>
      <c r="T1076" s="122">
        <v>0</v>
      </c>
      <c r="U1076" s="122">
        <v>0</v>
      </c>
      <c r="V1076" s="122">
        <v>59442</v>
      </c>
      <c r="W1076" s="122">
        <f t="shared" si="34"/>
        <v>59442</v>
      </c>
      <c r="X1076" s="122">
        <f t="shared" si="35"/>
        <v>78270</v>
      </c>
      <c r="AA1076" t="s">
        <v>58</v>
      </c>
      <c r="AB1076" t="s">
        <v>407</v>
      </c>
      <c r="AC1076" t="s">
        <v>566</v>
      </c>
      <c r="AD1076" t="s">
        <v>579</v>
      </c>
      <c r="AE1076" t="s">
        <v>137</v>
      </c>
      <c r="AF1076">
        <v>3</v>
      </c>
      <c r="AG1076">
        <v>253</v>
      </c>
      <c r="AH1076">
        <v>715</v>
      </c>
      <c r="AI1076" s="122">
        <v>33660</v>
      </c>
      <c r="AJ1076" s="122">
        <v>30600</v>
      </c>
      <c r="AK1076">
        <v>70</v>
      </c>
      <c r="AL1076">
        <v>0</v>
      </c>
      <c r="AM1076" s="122">
        <v>5263</v>
      </c>
      <c r="AN1076" s="122">
        <v>4662</v>
      </c>
      <c r="AO1076" s="122">
        <v>1727</v>
      </c>
      <c r="AP1076" s="122">
        <v>1418</v>
      </c>
      <c r="AQ1076">
        <v>525</v>
      </c>
      <c r="AR1076" s="122">
        <v>15982</v>
      </c>
      <c r="AS1076" s="122">
        <v>13318</v>
      </c>
      <c r="AT1076" s="122">
        <v>4386</v>
      </c>
      <c r="AU1076" s="122">
        <v>1625</v>
      </c>
      <c r="AV1076" s="122">
        <v>53057</v>
      </c>
    </row>
    <row r="1077" spans="2:48" hidden="1">
      <c r="B1077" t="s">
        <v>370</v>
      </c>
      <c r="C1077" t="s">
        <v>48</v>
      </c>
      <c r="D1077" t="s">
        <v>137</v>
      </c>
      <c r="E1077" t="s">
        <v>137</v>
      </c>
      <c r="F1077" s="122">
        <v>1402</v>
      </c>
      <c r="G1077" s="122">
        <v>174630</v>
      </c>
      <c r="H1077" s="122">
        <v>70963</v>
      </c>
      <c r="I1077" s="122">
        <v>176422</v>
      </c>
      <c r="J1077" s="122">
        <v>65342</v>
      </c>
      <c r="K1077" s="122">
        <v>464</v>
      </c>
      <c r="L1077" s="122">
        <v>5381</v>
      </c>
      <c r="M1077" s="122">
        <v>-3773</v>
      </c>
      <c r="N1077" s="122">
        <v>2243156</v>
      </c>
      <c r="O1077" s="122">
        <v>830798</v>
      </c>
      <c r="P1077" s="122">
        <v>1019184</v>
      </c>
      <c r="Q1077" s="122">
        <v>377476</v>
      </c>
      <c r="R1077" s="122">
        <v>5328501</v>
      </c>
      <c r="S1077" s="122">
        <v>1973519</v>
      </c>
      <c r="T1077" s="122">
        <v>0</v>
      </c>
      <c r="U1077" s="122">
        <v>0</v>
      </c>
      <c r="V1077" s="122">
        <v>3243361</v>
      </c>
      <c r="W1077" s="122">
        <f t="shared" si="34"/>
        <v>3250908</v>
      </c>
      <c r="X1077" s="122">
        <f t="shared" si="35"/>
        <v>8772644</v>
      </c>
      <c r="AA1077" t="s">
        <v>58</v>
      </c>
      <c r="AB1077" t="s">
        <v>407</v>
      </c>
      <c r="AC1077" t="s">
        <v>566</v>
      </c>
      <c r="AD1077" t="s">
        <v>426</v>
      </c>
      <c r="AE1077" t="s">
        <v>566</v>
      </c>
      <c r="AF1077">
        <v>1</v>
      </c>
      <c r="AG1077">
        <v>83</v>
      </c>
      <c r="AH1077">
        <v>258</v>
      </c>
      <c r="AI1077" s="122">
        <v>12009</v>
      </c>
      <c r="AJ1077" s="122">
        <v>10918</v>
      </c>
      <c r="AK1077">
        <v>80</v>
      </c>
      <c r="AL1077">
        <v>0</v>
      </c>
      <c r="AM1077">
        <v>0</v>
      </c>
      <c r="AN1077" s="122">
        <v>2013</v>
      </c>
      <c r="AO1077">
        <v>746</v>
      </c>
      <c r="AP1077">
        <v>473</v>
      </c>
      <c r="AQ1077">
        <v>175</v>
      </c>
      <c r="AR1077" s="122">
        <v>6823</v>
      </c>
      <c r="AS1077" s="122">
        <v>6203</v>
      </c>
      <c r="AT1077">
        <v>0</v>
      </c>
      <c r="AU1077">
        <v>0</v>
      </c>
      <c r="AV1077" s="122">
        <v>18041</v>
      </c>
    </row>
    <row r="1078" spans="2:48" hidden="1">
      <c r="B1078" t="s">
        <v>370</v>
      </c>
      <c r="C1078" t="s">
        <v>48</v>
      </c>
      <c r="D1078" t="s">
        <v>406</v>
      </c>
      <c r="E1078" t="s">
        <v>406</v>
      </c>
      <c r="F1078" s="122">
        <v>31</v>
      </c>
      <c r="G1078" s="122">
        <v>3571</v>
      </c>
      <c r="H1078" s="122">
        <v>1757</v>
      </c>
      <c r="I1078" s="122">
        <v>34077</v>
      </c>
      <c r="J1078" s="122">
        <v>30979</v>
      </c>
      <c r="K1078" s="122">
        <v>95</v>
      </c>
      <c r="L1078" s="122">
        <v>3346</v>
      </c>
      <c r="M1078" s="122">
        <v>2471</v>
      </c>
      <c r="N1078" s="122">
        <v>43508</v>
      </c>
      <c r="O1078" s="122">
        <v>16114</v>
      </c>
      <c r="P1078" s="122">
        <v>19602</v>
      </c>
      <c r="Q1078" s="122">
        <v>7260</v>
      </c>
      <c r="R1078" s="122">
        <v>100939</v>
      </c>
      <c r="S1078" s="122">
        <v>91762</v>
      </c>
      <c r="T1078" s="122">
        <v>0</v>
      </c>
      <c r="U1078" s="122">
        <v>0</v>
      </c>
      <c r="V1078" s="122">
        <v>148586</v>
      </c>
      <c r="W1078" s="122">
        <f t="shared" si="34"/>
        <v>148586</v>
      </c>
      <c r="X1078" s="122">
        <f t="shared" si="35"/>
        <v>201472</v>
      </c>
      <c r="AA1078" t="s">
        <v>58</v>
      </c>
      <c r="AB1078" t="s">
        <v>407</v>
      </c>
      <c r="AC1078" t="s">
        <v>481</v>
      </c>
      <c r="AD1078" t="s">
        <v>407</v>
      </c>
      <c r="AE1078" t="s">
        <v>137</v>
      </c>
      <c r="AF1078">
        <v>5</v>
      </c>
      <c r="AG1078">
        <v>487</v>
      </c>
      <c r="AH1078" s="122">
        <v>1333</v>
      </c>
      <c r="AI1078" s="122">
        <v>64941</v>
      </c>
      <c r="AJ1078" s="122">
        <v>59037</v>
      </c>
      <c r="AK1078">
        <v>77</v>
      </c>
      <c r="AL1078" s="122">
        <v>18829</v>
      </c>
      <c r="AM1078" s="122">
        <v>17117</v>
      </c>
      <c r="AN1078" s="122">
        <v>8371</v>
      </c>
      <c r="AO1078" s="122">
        <v>3100</v>
      </c>
      <c r="AP1078" s="122">
        <v>2714</v>
      </c>
      <c r="AQ1078" s="122">
        <v>1005</v>
      </c>
      <c r="AR1078" s="122">
        <v>20711</v>
      </c>
      <c r="AS1078" s="122">
        <v>18828</v>
      </c>
      <c r="AT1078" s="122">
        <v>13192</v>
      </c>
      <c r="AU1078" s="122">
        <v>4886</v>
      </c>
      <c r="AV1078" s="122">
        <v>103974</v>
      </c>
    </row>
    <row r="1079" spans="2:48" hidden="1">
      <c r="B1079" t="s">
        <v>370</v>
      </c>
      <c r="C1079" t="s">
        <v>48</v>
      </c>
      <c r="D1079" t="s">
        <v>407</v>
      </c>
      <c r="E1079" t="s">
        <v>405</v>
      </c>
      <c r="F1079" s="122">
        <v>2</v>
      </c>
      <c r="G1079" s="122">
        <v>264</v>
      </c>
      <c r="H1079" s="122">
        <v>103</v>
      </c>
      <c r="I1079" s="122">
        <v>-1353</v>
      </c>
      <c r="J1079" s="122">
        <v>-1230</v>
      </c>
      <c r="K1079" s="122">
        <v>90</v>
      </c>
      <c r="L1079" s="122">
        <v>-176</v>
      </c>
      <c r="M1079" s="122">
        <v>-160</v>
      </c>
      <c r="N1079" s="122">
        <v>3213</v>
      </c>
      <c r="O1079" s="122">
        <v>1190</v>
      </c>
      <c r="P1079" s="122">
        <v>945</v>
      </c>
      <c r="Q1079" s="122">
        <v>350</v>
      </c>
      <c r="R1079" s="122">
        <v>11004</v>
      </c>
      <c r="S1079" s="122">
        <v>10004</v>
      </c>
      <c r="T1079" s="122">
        <v>0</v>
      </c>
      <c r="U1079" s="122">
        <v>0</v>
      </c>
      <c r="V1079" s="122">
        <v>10154</v>
      </c>
      <c r="W1079" s="122">
        <f t="shared" si="34"/>
        <v>12934</v>
      </c>
      <c r="X1079" s="122">
        <f t="shared" si="35"/>
        <v>16691</v>
      </c>
      <c r="AA1079" t="s">
        <v>58</v>
      </c>
      <c r="AB1079" t="s">
        <v>407</v>
      </c>
      <c r="AC1079" t="s">
        <v>481</v>
      </c>
      <c r="AD1079" t="s">
        <v>407</v>
      </c>
      <c r="AE1079" t="s">
        <v>566</v>
      </c>
      <c r="AF1079">
        <v>5</v>
      </c>
      <c r="AG1079">
        <v>533</v>
      </c>
      <c r="AH1079" s="122">
        <v>1246</v>
      </c>
      <c r="AI1079" s="122">
        <v>82425</v>
      </c>
      <c r="AJ1079" s="122">
        <v>74931</v>
      </c>
      <c r="AK1079">
        <v>84</v>
      </c>
      <c r="AL1079" s="122">
        <v>18601</v>
      </c>
      <c r="AM1079" s="122">
        <v>16910</v>
      </c>
      <c r="AN1079" s="122">
        <v>9382</v>
      </c>
      <c r="AO1079" s="122">
        <v>3475</v>
      </c>
      <c r="AP1079" s="122">
        <v>2363</v>
      </c>
      <c r="AQ1079">
        <v>875</v>
      </c>
      <c r="AR1079" s="122">
        <v>21149</v>
      </c>
      <c r="AS1079" s="122">
        <v>19226</v>
      </c>
      <c r="AT1079">
        <v>0</v>
      </c>
      <c r="AU1079">
        <v>0</v>
      </c>
      <c r="AV1079" s="122">
        <v>115418</v>
      </c>
    </row>
    <row r="1080" spans="2:48" hidden="1">
      <c r="B1080" t="s">
        <v>370</v>
      </c>
      <c r="C1080" t="s">
        <v>48</v>
      </c>
      <c r="D1080" t="s">
        <v>407</v>
      </c>
      <c r="E1080" t="s">
        <v>407</v>
      </c>
      <c r="F1080" s="122">
        <v>2050</v>
      </c>
      <c r="G1080" s="122">
        <v>251987</v>
      </c>
      <c r="H1080" s="122">
        <v>115088</v>
      </c>
      <c r="I1080" s="122">
        <v>1157272</v>
      </c>
      <c r="J1080" s="122">
        <v>1052065</v>
      </c>
      <c r="K1080" s="122">
        <v>91</v>
      </c>
      <c r="L1080" s="122">
        <v>149308</v>
      </c>
      <c r="M1080" s="122">
        <v>129813</v>
      </c>
      <c r="N1080" s="122">
        <v>3098318</v>
      </c>
      <c r="O1080" s="122">
        <v>1147525</v>
      </c>
      <c r="P1080" s="122">
        <v>2024544</v>
      </c>
      <c r="Q1080" s="122">
        <v>749831</v>
      </c>
      <c r="R1080" s="122">
        <v>7708339</v>
      </c>
      <c r="S1080" s="122">
        <v>7007581</v>
      </c>
      <c r="T1080" s="122">
        <v>0</v>
      </c>
      <c r="U1080" s="122">
        <v>0</v>
      </c>
      <c r="V1080" s="122">
        <v>10086815</v>
      </c>
      <c r="W1080" s="122">
        <f t="shared" si="34"/>
        <v>10086815</v>
      </c>
      <c r="X1080" s="122">
        <f t="shared" si="35"/>
        <v>14137781</v>
      </c>
      <c r="AA1080" t="s">
        <v>58</v>
      </c>
      <c r="AB1080" t="s">
        <v>407</v>
      </c>
      <c r="AC1080" t="s">
        <v>433</v>
      </c>
      <c r="AD1080" t="s">
        <v>137</v>
      </c>
      <c r="AE1080" t="s">
        <v>566</v>
      </c>
      <c r="AF1080">
        <v>1</v>
      </c>
      <c r="AG1080">
        <v>59</v>
      </c>
      <c r="AH1080">
        <v>295</v>
      </c>
      <c r="AI1080" s="122">
        <v>8501</v>
      </c>
      <c r="AJ1080" s="122">
        <v>7728</v>
      </c>
      <c r="AK1080">
        <v>90</v>
      </c>
      <c r="AL1080" s="122">
        <v>2837</v>
      </c>
      <c r="AM1080" s="122">
        <v>2579</v>
      </c>
      <c r="AN1080" s="122">
        <v>1006</v>
      </c>
      <c r="AO1080">
        <v>373</v>
      </c>
      <c r="AP1080">
        <v>473</v>
      </c>
      <c r="AQ1080">
        <v>175</v>
      </c>
      <c r="AR1080" s="122">
        <v>4563</v>
      </c>
      <c r="AS1080" s="122">
        <v>1690</v>
      </c>
      <c r="AT1080">
        <v>0</v>
      </c>
      <c r="AU1080">
        <v>0</v>
      </c>
      <c r="AV1080" s="122">
        <v>12544</v>
      </c>
    </row>
    <row r="1081" spans="2:48" hidden="1">
      <c r="B1081" t="s">
        <v>370</v>
      </c>
      <c r="C1081" t="s">
        <v>50</v>
      </c>
      <c r="D1081" t="s">
        <v>405</v>
      </c>
      <c r="E1081" t="s">
        <v>405</v>
      </c>
      <c r="F1081" s="122">
        <v>8</v>
      </c>
      <c r="G1081" s="122">
        <v>413</v>
      </c>
      <c r="H1081" s="122">
        <v>623</v>
      </c>
      <c r="I1081" s="122">
        <v>2745</v>
      </c>
      <c r="J1081" s="122">
        <v>2496</v>
      </c>
      <c r="K1081" s="122">
        <v>92</v>
      </c>
      <c r="L1081" s="122">
        <v>0</v>
      </c>
      <c r="M1081" s="122">
        <v>0</v>
      </c>
      <c r="N1081" s="122">
        <v>5028</v>
      </c>
      <c r="O1081" s="122">
        <v>1862</v>
      </c>
      <c r="P1081" s="122">
        <v>3780</v>
      </c>
      <c r="Q1081" s="122">
        <v>1400</v>
      </c>
      <c r="R1081" s="122">
        <v>20520</v>
      </c>
      <c r="S1081" s="122">
        <v>18654</v>
      </c>
      <c r="T1081" s="122">
        <v>0</v>
      </c>
      <c r="U1081" s="122">
        <v>0</v>
      </c>
      <c r="V1081" s="122">
        <v>24412</v>
      </c>
      <c r="W1081" s="122">
        <f t="shared" si="34"/>
        <v>24412</v>
      </c>
      <c r="X1081" s="122">
        <f t="shared" si="35"/>
        <v>32073</v>
      </c>
      <c r="AA1081" t="s">
        <v>58</v>
      </c>
      <c r="AB1081" t="s">
        <v>407</v>
      </c>
      <c r="AC1081" t="s">
        <v>433</v>
      </c>
      <c r="AD1081" t="s">
        <v>407</v>
      </c>
      <c r="AE1081" t="s">
        <v>137</v>
      </c>
      <c r="AF1081">
        <v>128</v>
      </c>
      <c r="AG1081" s="122">
        <v>13269</v>
      </c>
      <c r="AH1081" s="122">
        <v>33001</v>
      </c>
      <c r="AI1081" s="122">
        <v>1923465</v>
      </c>
      <c r="AJ1081" s="122">
        <v>1748605</v>
      </c>
      <c r="AK1081">
        <v>81</v>
      </c>
      <c r="AL1081" s="122">
        <v>412193</v>
      </c>
      <c r="AM1081" s="122">
        <v>374720</v>
      </c>
      <c r="AN1081" s="122">
        <v>266702</v>
      </c>
      <c r="AO1081" s="122">
        <v>98778</v>
      </c>
      <c r="AP1081" s="122">
        <v>61250</v>
      </c>
      <c r="AQ1081" s="122">
        <v>22685</v>
      </c>
      <c r="AR1081" s="122">
        <v>551810</v>
      </c>
      <c r="AS1081" s="122">
        <v>501645</v>
      </c>
      <c r="AT1081" s="122">
        <v>280504</v>
      </c>
      <c r="AU1081" s="122">
        <v>103890</v>
      </c>
      <c r="AV1081" s="122">
        <v>2850324</v>
      </c>
    </row>
    <row r="1082" spans="2:48" hidden="1">
      <c r="B1082" t="s">
        <v>370</v>
      </c>
      <c r="C1082" t="s">
        <v>50</v>
      </c>
      <c r="D1082" t="s">
        <v>137</v>
      </c>
      <c r="E1082" t="s">
        <v>137</v>
      </c>
      <c r="F1082" s="122">
        <v>2</v>
      </c>
      <c r="G1082" s="122">
        <v>378</v>
      </c>
      <c r="H1082" s="122">
        <v>189</v>
      </c>
      <c r="I1082" s="122">
        <v>9697</v>
      </c>
      <c r="J1082" s="122">
        <v>3591</v>
      </c>
      <c r="K1082" s="122">
        <v>440</v>
      </c>
      <c r="L1082" s="122">
        <v>3999</v>
      </c>
      <c r="M1082" s="122">
        <v>3576</v>
      </c>
      <c r="N1082" s="122">
        <v>5214</v>
      </c>
      <c r="O1082" s="122">
        <v>1931</v>
      </c>
      <c r="P1082" s="122">
        <v>3671</v>
      </c>
      <c r="Q1082" s="122">
        <v>1360</v>
      </c>
      <c r="R1082" s="122">
        <v>13587</v>
      </c>
      <c r="S1082" s="122">
        <v>5032</v>
      </c>
      <c r="T1082" s="122">
        <v>0</v>
      </c>
      <c r="U1082" s="122">
        <v>0</v>
      </c>
      <c r="V1082" s="122">
        <v>15491</v>
      </c>
      <c r="W1082" s="122">
        <f t="shared" si="34"/>
        <v>15490</v>
      </c>
      <c r="X1082" s="122">
        <f t="shared" si="35"/>
        <v>36168</v>
      </c>
      <c r="AA1082" t="s">
        <v>58</v>
      </c>
      <c r="AB1082" t="s">
        <v>407</v>
      </c>
      <c r="AC1082" t="s">
        <v>433</v>
      </c>
      <c r="AD1082" t="s">
        <v>407</v>
      </c>
      <c r="AE1082" t="s">
        <v>566</v>
      </c>
      <c r="AF1082">
        <v>221</v>
      </c>
      <c r="AG1082" s="122">
        <v>22950</v>
      </c>
      <c r="AH1082" s="122">
        <v>57795</v>
      </c>
      <c r="AI1082" s="122">
        <v>3505620</v>
      </c>
      <c r="AJ1082" s="122">
        <v>3186928</v>
      </c>
      <c r="AK1082">
        <v>84</v>
      </c>
      <c r="AL1082" s="122">
        <v>827525</v>
      </c>
      <c r="AM1082" s="122">
        <v>752296</v>
      </c>
      <c r="AN1082" s="122">
        <v>465597</v>
      </c>
      <c r="AO1082" s="122">
        <v>172443</v>
      </c>
      <c r="AP1082" s="122">
        <v>104342</v>
      </c>
      <c r="AQ1082" s="122">
        <v>38645</v>
      </c>
      <c r="AR1082" s="122">
        <v>1138460</v>
      </c>
      <c r="AS1082" s="122">
        <v>1034964</v>
      </c>
      <c r="AT1082">
        <v>0</v>
      </c>
      <c r="AU1082">
        <v>0</v>
      </c>
      <c r="AV1082" s="122">
        <v>5185275</v>
      </c>
    </row>
    <row r="1083" spans="2:48" hidden="1">
      <c r="B1083" t="s">
        <v>370</v>
      </c>
      <c r="C1083" t="s">
        <v>50</v>
      </c>
      <c r="D1083" t="s">
        <v>406</v>
      </c>
      <c r="E1083" t="s">
        <v>406</v>
      </c>
      <c r="F1083" s="122">
        <v>26</v>
      </c>
      <c r="G1083" s="122">
        <v>3366</v>
      </c>
      <c r="H1083" s="122">
        <v>2341</v>
      </c>
      <c r="I1083" s="122">
        <v>126638</v>
      </c>
      <c r="J1083" s="122">
        <v>115126</v>
      </c>
      <c r="K1083" s="122">
        <v>93</v>
      </c>
      <c r="L1083" s="122">
        <v>12717</v>
      </c>
      <c r="M1083" s="122">
        <v>11474</v>
      </c>
      <c r="N1083" s="122">
        <v>44111</v>
      </c>
      <c r="O1083" s="122">
        <v>16337</v>
      </c>
      <c r="P1083" s="122">
        <v>17013</v>
      </c>
      <c r="Q1083" s="122">
        <v>6301</v>
      </c>
      <c r="R1083" s="122">
        <v>86390</v>
      </c>
      <c r="S1083" s="122">
        <v>78536</v>
      </c>
      <c r="T1083" s="122">
        <v>14930</v>
      </c>
      <c r="U1083" s="122">
        <v>5530</v>
      </c>
      <c r="V1083" s="122">
        <v>233305</v>
      </c>
      <c r="W1083" s="122">
        <f t="shared" si="34"/>
        <v>233304</v>
      </c>
      <c r="X1083" s="122">
        <f t="shared" si="35"/>
        <v>301799</v>
      </c>
      <c r="AA1083" t="s">
        <v>58</v>
      </c>
      <c r="AB1083" t="s">
        <v>407</v>
      </c>
      <c r="AC1083" t="s">
        <v>429</v>
      </c>
      <c r="AD1083" t="s">
        <v>407</v>
      </c>
      <c r="AE1083" t="s">
        <v>137</v>
      </c>
      <c r="AF1083">
        <v>7</v>
      </c>
      <c r="AG1083">
        <v>833</v>
      </c>
      <c r="AH1083" s="122">
        <v>1747</v>
      </c>
      <c r="AI1083" s="122">
        <v>124258</v>
      </c>
      <c r="AJ1083" s="122">
        <v>112962</v>
      </c>
      <c r="AK1083">
        <v>78</v>
      </c>
      <c r="AL1083" s="122">
        <v>17553</v>
      </c>
      <c r="AM1083" s="122">
        <v>15957</v>
      </c>
      <c r="AN1083" s="122">
        <v>18160</v>
      </c>
      <c r="AO1083" s="122">
        <v>6726</v>
      </c>
      <c r="AP1083" s="122">
        <v>3659</v>
      </c>
      <c r="AQ1083" s="122">
        <v>1355</v>
      </c>
      <c r="AR1083" s="122">
        <v>31083</v>
      </c>
      <c r="AS1083" s="122">
        <v>28257</v>
      </c>
      <c r="AT1083" s="122">
        <v>17685</v>
      </c>
      <c r="AU1083" s="122">
        <v>6550</v>
      </c>
      <c r="AV1083" s="122">
        <v>171807</v>
      </c>
    </row>
    <row r="1084" spans="2:48" hidden="1">
      <c r="B1084" t="s">
        <v>370</v>
      </c>
      <c r="C1084" t="s">
        <v>50</v>
      </c>
      <c r="D1084" t="s">
        <v>407</v>
      </c>
      <c r="E1084" t="s">
        <v>407</v>
      </c>
      <c r="F1084" s="122">
        <v>177</v>
      </c>
      <c r="G1084" s="122">
        <v>21514</v>
      </c>
      <c r="H1084" s="122">
        <v>15254</v>
      </c>
      <c r="I1084" s="122">
        <v>901907</v>
      </c>
      <c r="J1084" s="122">
        <v>819916</v>
      </c>
      <c r="K1084" s="122">
        <v>91</v>
      </c>
      <c r="L1084" s="122">
        <v>93803</v>
      </c>
      <c r="M1084" s="122">
        <v>84086</v>
      </c>
      <c r="N1084" s="122">
        <v>270341</v>
      </c>
      <c r="O1084" s="122">
        <v>100126</v>
      </c>
      <c r="P1084" s="122">
        <v>84677</v>
      </c>
      <c r="Q1084" s="122">
        <v>31362</v>
      </c>
      <c r="R1084" s="122">
        <v>476906</v>
      </c>
      <c r="S1084" s="122">
        <v>433551</v>
      </c>
      <c r="T1084" s="122">
        <v>28572</v>
      </c>
      <c r="U1084" s="122">
        <v>10582</v>
      </c>
      <c r="V1084" s="122">
        <v>1479623</v>
      </c>
      <c r="W1084" s="122">
        <f t="shared" si="34"/>
        <v>1479623</v>
      </c>
      <c r="X1084" s="122">
        <f t="shared" si="35"/>
        <v>1856206</v>
      </c>
      <c r="AA1084" t="s">
        <v>58</v>
      </c>
      <c r="AB1084" t="s">
        <v>407</v>
      </c>
      <c r="AC1084" t="s">
        <v>429</v>
      </c>
      <c r="AD1084" t="s">
        <v>407</v>
      </c>
      <c r="AE1084" t="s">
        <v>566</v>
      </c>
      <c r="AF1084">
        <v>14</v>
      </c>
      <c r="AG1084" s="122">
        <v>1928</v>
      </c>
      <c r="AH1084" s="122">
        <v>3614</v>
      </c>
      <c r="AI1084" s="122">
        <v>346703</v>
      </c>
      <c r="AJ1084" s="122">
        <v>315184</v>
      </c>
      <c r="AK1084">
        <v>81</v>
      </c>
      <c r="AL1084" s="122">
        <v>45426</v>
      </c>
      <c r="AM1084" s="122">
        <v>41296</v>
      </c>
      <c r="AN1084" s="122">
        <v>45618</v>
      </c>
      <c r="AO1084" s="122">
        <v>16896</v>
      </c>
      <c r="AP1084" s="122">
        <v>7317</v>
      </c>
      <c r="AQ1084" s="122">
        <v>2710</v>
      </c>
      <c r="AR1084" s="122">
        <v>84725</v>
      </c>
      <c r="AS1084" s="122">
        <v>77023</v>
      </c>
      <c r="AT1084">
        <v>0</v>
      </c>
      <c r="AU1084">
        <v>0</v>
      </c>
      <c r="AV1084" s="122">
        <v>453109</v>
      </c>
    </row>
    <row r="1085" spans="2:48" hidden="1">
      <c r="B1085" t="s">
        <v>370</v>
      </c>
      <c r="C1085" t="s">
        <v>52</v>
      </c>
      <c r="D1085" t="s">
        <v>405</v>
      </c>
      <c r="E1085" t="s">
        <v>405</v>
      </c>
      <c r="F1085" s="122">
        <v>19</v>
      </c>
      <c r="G1085" s="122">
        <v>1892</v>
      </c>
      <c r="H1085" s="122">
        <v>2242</v>
      </c>
      <c r="I1085" s="122">
        <v>101371</v>
      </c>
      <c r="J1085" s="122">
        <v>92155</v>
      </c>
      <c r="K1085" s="122">
        <v>85</v>
      </c>
      <c r="L1085" s="122">
        <v>1885</v>
      </c>
      <c r="M1085" s="122">
        <v>1713</v>
      </c>
      <c r="N1085" s="122">
        <v>25483</v>
      </c>
      <c r="O1085" s="122">
        <v>9438</v>
      </c>
      <c r="P1085" s="122">
        <v>8613</v>
      </c>
      <c r="Q1085" s="122">
        <v>3190</v>
      </c>
      <c r="R1085" s="122">
        <v>86387</v>
      </c>
      <c r="S1085" s="122">
        <v>78533</v>
      </c>
      <c r="T1085" s="122">
        <v>0</v>
      </c>
      <c r="U1085" s="122">
        <v>0</v>
      </c>
      <c r="V1085" s="122">
        <v>185030</v>
      </c>
      <c r="W1085" s="122">
        <f t="shared" si="34"/>
        <v>185029</v>
      </c>
      <c r="X1085" s="122">
        <f t="shared" si="35"/>
        <v>223739</v>
      </c>
      <c r="AA1085" t="s">
        <v>58</v>
      </c>
      <c r="AB1085" t="s">
        <v>579</v>
      </c>
      <c r="AC1085" t="s">
        <v>405</v>
      </c>
      <c r="AD1085" t="s">
        <v>579</v>
      </c>
      <c r="AE1085" t="s">
        <v>137</v>
      </c>
      <c r="AF1085">
        <v>1</v>
      </c>
      <c r="AG1085">
        <v>113</v>
      </c>
      <c r="AH1085">
        <v>246</v>
      </c>
      <c r="AI1085" s="122">
        <v>15501</v>
      </c>
      <c r="AJ1085" s="122">
        <v>12917</v>
      </c>
      <c r="AK1085">
        <v>70</v>
      </c>
      <c r="AL1085" s="122">
        <v>1603</v>
      </c>
      <c r="AM1085" s="122">
        <v>1457</v>
      </c>
      <c r="AN1085" s="122">
        <v>2468</v>
      </c>
      <c r="AO1085">
        <v>914</v>
      </c>
      <c r="AP1085">
        <v>473</v>
      </c>
      <c r="AQ1085">
        <v>175</v>
      </c>
      <c r="AR1085" s="122">
        <v>5018</v>
      </c>
      <c r="AS1085" s="122">
        <v>4182</v>
      </c>
      <c r="AT1085" s="122">
        <v>2585</v>
      </c>
      <c r="AU1085">
        <v>957</v>
      </c>
      <c r="AV1085" s="122">
        <v>20602</v>
      </c>
    </row>
    <row r="1086" spans="2:48" hidden="1">
      <c r="B1086" t="s">
        <v>370</v>
      </c>
      <c r="C1086" t="s">
        <v>52</v>
      </c>
      <c r="D1086" t="s">
        <v>137</v>
      </c>
      <c r="E1086" t="s">
        <v>137</v>
      </c>
      <c r="F1086" s="122">
        <v>4</v>
      </c>
      <c r="G1086" s="122">
        <v>432</v>
      </c>
      <c r="H1086" s="122">
        <v>430</v>
      </c>
      <c r="I1086" s="122">
        <v>13194</v>
      </c>
      <c r="J1086" s="122">
        <v>4887</v>
      </c>
      <c r="K1086" s="122">
        <v>297</v>
      </c>
      <c r="L1086" s="122">
        <v>2430</v>
      </c>
      <c r="M1086" s="122">
        <v>2209</v>
      </c>
      <c r="N1086" s="122">
        <v>6642</v>
      </c>
      <c r="O1086" s="122">
        <v>2460</v>
      </c>
      <c r="P1086" s="122">
        <v>3981</v>
      </c>
      <c r="Q1086" s="122">
        <v>1474</v>
      </c>
      <c r="R1086" s="122">
        <v>20494</v>
      </c>
      <c r="S1086" s="122">
        <v>7590</v>
      </c>
      <c r="T1086" s="122">
        <v>0</v>
      </c>
      <c r="U1086" s="122">
        <v>0</v>
      </c>
      <c r="V1086" s="122">
        <v>18621</v>
      </c>
      <c r="W1086" s="122">
        <f t="shared" si="34"/>
        <v>18620</v>
      </c>
      <c r="X1086" s="122">
        <f t="shared" si="35"/>
        <v>46741</v>
      </c>
      <c r="AA1086" t="s">
        <v>58</v>
      </c>
      <c r="AB1086" t="s">
        <v>579</v>
      </c>
      <c r="AC1086" t="s">
        <v>137</v>
      </c>
      <c r="AD1086" t="s">
        <v>137</v>
      </c>
      <c r="AE1086" t="s">
        <v>566</v>
      </c>
      <c r="AF1086">
        <v>17</v>
      </c>
      <c r="AG1086" s="122">
        <v>1388</v>
      </c>
      <c r="AH1086" s="122">
        <v>4657</v>
      </c>
      <c r="AI1086" s="122">
        <v>202825</v>
      </c>
      <c r="AJ1086" s="122">
        <v>169021</v>
      </c>
      <c r="AK1086">
        <v>60</v>
      </c>
      <c r="AL1086" s="122">
        <v>29941</v>
      </c>
      <c r="AM1086" s="122">
        <v>11089</v>
      </c>
      <c r="AN1086" s="122">
        <v>27820</v>
      </c>
      <c r="AO1086" s="122">
        <v>10304</v>
      </c>
      <c r="AP1086" s="122">
        <v>4212</v>
      </c>
      <c r="AQ1086" s="122">
        <v>1560</v>
      </c>
      <c r="AR1086" s="122">
        <v>114422</v>
      </c>
      <c r="AS1086" s="122">
        <v>42378</v>
      </c>
      <c r="AT1086">
        <v>0</v>
      </c>
      <c r="AU1086">
        <v>0</v>
      </c>
      <c r="AV1086" s="122">
        <v>234352</v>
      </c>
    </row>
    <row r="1087" spans="2:48" hidden="1">
      <c r="B1087" t="s">
        <v>370</v>
      </c>
      <c r="C1087" t="s">
        <v>52</v>
      </c>
      <c r="D1087" t="s">
        <v>406</v>
      </c>
      <c r="E1087" t="s">
        <v>406</v>
      </c>
      <c r="F1087" s="122">
        <v>44</v>
      </c>
      <c r="G1087" s="122">
        <v>6169</v>
      </c>
      <c r="H1087" s="122">
        <v>5168</v>
      </c>
      <c r="I1087" s="122">
        <v>351313</v>
      </c>
      <c r="J1087" s="122">
        <v>319376</v>
      </c>
      <c r="K1087" s="122">
        <v>93</v>
      </c>
      <c r="L1087" s="122">
        <v>68852</v>
      </c>
      <c r="M1087" s="122">
        <v>59867</v>
      </c>
      <c r="N1087" s="122">
        <v>90014</v>
      </c>
      <c r="O1087" s="122">
        <v>33339</v>
      </c>
      <c r="P1087" s="122">
        <v>29430</v>
      </c>
      <c r="Q1087" s="122">
        <v>10900</v>
      </c>
      <c r="R1087" s="122">
        <v>182727</v>
      </c>
      <c r="S1087" s="122">
        <v>166115</v>
      </c>
      <c r="T1087" s="122">
        <v>3806</v>
      </c>
      <c r="U1087" s="122">
        <v>1409</v>
      </c>
      <c r="V1087" s="122">
        <v>591006</v>
      </c>
      <c r="W1087" s="122">
        <f t="shared" si="34"/>
        <v>591006</v>
      </c>
      <c r="X1087" s="122">
        <f t="shared" si="35"/>
        <v>726142</v>
      </c>
      <c r="AA1087" t="s">
        <v>58</v>
      </c>
      <c r="AB1087" t="s">
        <v>579</v>
      </c>
      <c r="AC1087" t="s">
        <v>137</v>
      </c>
      <c r="AD1087" t="s">
        <v>407</v>
      </c>
      <c r="AE1087" t="s">
        <v>137</v>
      </c>
      <c r="AF1087">
        <v>1</v>
      </c>
      <c r="AG1087">
        <v>83</v>
      </c>
      <c r="AH1087">
        <v>299</v>
      </c>
      <c r="AI1087" s="122">
        <v>13702</v>
      </c>
      <c r="AJ1087" s="122">
        <v>11418</v>
      </c>
      <c r="AK1087">
        <v>55</v>
      </c>
      <c r="AL1087" s="122">
        <v>1884</v>
      </c>
      <c r="AM1087">
        <v>698</v>
      </c>
      <c r="AN1087" s="122">
        <v>1008</v>
      </c>
      <c r="AO1087">
        <v>373</v>
      </c>
      <c r="AP1087">
        <v>351</v>
      </c>
      <c r="AQ1087">
        <v>130</v>
      </c>
      <c r="AR1087" s="122">
        <v>5349</v>
      </c>
      <c r="AS1087" s="122">
        <v>4863</v>
      </c>
      <c r="AT1087" s="122">
        <v>2470</v>
      </c>
      <c r="AU1087">
        <v>915</v>
      </c>
      <c r="AV1087" s="122">
        <v>18397</v>
      </c>
    </row>
    <row r="1088" spans="2:48" hidden="1">
      <c r="B1088" t="s">
        <v>370</v>
      </c>
      <c r="C1088" t="s">
        <v>52</v>
      </c>
      <c r="D1088" t="s">
        <v>407</v>
      </c>
      <c r="E1088" t="s">
        <v>407</v>
      </c>
      <c r="F1088" s="122">
        <v>235</v>
      </c>
      <c r="G1088" s="122">
        <v>28440</v>
      </c>
      <c r="H1088" s="122">
        <v>27403</v>
      </c>
      <c r="I1088" s="122">
        <v>1595713</v>
      </c>
      <c r="J1088" s="122">
        <v>1450649</v>
      </c>
      <c r="K1088" s="122">
        <v>88</v>
      </c>
      <c r="L1088" s="122">
        <v>217852</v>
      </c>
      <c r="M1088" s="122">
        <v>189537</v>
      </c>
      <c r="N1088" s="122">
        <v>448734</v>
      </c>
      <c r="O1088" s="122">
        <v>166198</v>
      </c>
      <c r="P1088" s="122">
        <v>115007</v>
      </c>
      <c r="Q1088" s="122">
        <v>42595</v>
      </c>
      <c r="R1088" s="122">
        <v>1005042</v>
      </c>
      <c r="S1088" s="122">
        <v>913674</v>
      </c>
      <c r="T1088" s="122">
        <v>9590</v>
      </c>
      <c r="U1088" s="122">
        <v>3552</v>
      </c>
      <c r="V1088" s="122">
        <v>2766205</v>
      </c>
      <c r="W1088" s="122">
        <f t="shared" si="34"/>
        <v>2766205</v>
      </c>
      <c r="X1088" s="122">
        <f t="shared" si="35"/>
        <v>3391938</v>
      </c>
      <c r="AA1088" t="s">
        <v>58</v>
      </c>
      <c r="AB1088" t="s">
        <v>579</v>
      </c>
      <c r="AC1088" t="s">
        <v>137</v>
      </c>
      <c r="AD1088" t="s">
        <v>579</v>
      </c>
      <c r="AE1088" t="s">
        <v>137</v>
      </c>
      <c r="AF1088">
        <v>105</v>
      </c>
      <c r="AG1088" s="122">
        <v>8656</v>
      </c>
      <c r="AH1088" s="122">
        <v>29269</v>
      </c>
      <c r="AI1088" s="122">
        <v>1203268</v>
      </c>
      <c r="AJ1088" s="122">
        <v>1002723</v>
      </c>
      <c r="AK1088">
        <v>58</v>
      </c>
      <c r="AL1088" s="122">
        <v>211477</v>
      </c>
      <c r="AM1088" s="122">
        <v>78325</v>
      </c>
      <c r="AN1088" s="122">
        <v>163099</v>
      </c>
      <c r="AO1088" s="122">
        <v>60407</v>
      </c>
      <c r="AP1088" s="122">
        <v>34762</v>
      </c>
      <c r="AQ1088" s="122">
        <v>12875</v>
      </c>
      <c r="AR1088" s="122">
        <v>567497</v>
      </c>
      <c r="AS1088" s="122">
        <v>472914</v>
      </c>
      <c r="AT1088" s="122">
        <v>246014</v>
      </c>
      <c r="AU1088" s="122">
        <v>91116</v>
      </c>
      <c r="AV1088" s="122">
        <v>1718361</v>
      </c>
    </row>
    <row r="1089" spans="2:48" hidden="1">
      <c r="B1089" t="s">
        <v>370</v>
      </c>
      <c r="C1089" t="s">
        <v>54</v>
      </c>
      <c r="D1089" t="s">
        <v>425</v>
      </c>
      <c r="E1089" t="s">
        <v>425</v>
      </c>
      <c r="F1089" s="122">
        <v>1</v>
      </c>
      <c r="G1089" s="122">
        <v>145</v>
      </c>
      <c r="H1089" s="122">
        <v>142</v>
      </c>
      <c r="I1089" s="122">
        <v>9318</v>
      </c>
      <c r="J1089" s="122">
        <v>8471</v>
      </c>
      <c r="K1089" s="122">
        <v>92</v>
      </c>
      <c r="L1089" s="122">
        <v>3178</v>
      </c>
      <c r="M1089" s="122">
        <v>2889</v>
      </c>
      <c r="N1089" s="122">
        <v>2862</v>
      </c>
      <c r="O1089" s="122">
        <v>1060</v>
      </c>
      <c r="P1089" s="122">
        <v>473</v>
      </c>
      <c r="Q1089" s="122">
        <v>175</v>
      </c>
      <c r="R1089" s="122">
        <v>4702</v>
      </c>
      <c r="S1089" s="122">
        <v>4275</v>
      </c>
      <c r="T1089" s="122">
        <v>0</v>
      </c>
      <c r="U1089" s="122">
        <v>0</v>
      </c>
      <c r="V1089" s="122">
        <v>16870</v>
      </c>
      <c r="W1089" s="122">
        <f t="shared" si="34"/>
        <v>16870</v>
      </c>
      <c r="X1089" s="122">
        <f t="shared" si="35"/>
        <v>20533</v>
      </c>
      <c r="AA1089" t="s">
        <v>58</v>
      </c>
      <c r="AB1089" t="s">
        <v>579</v>
      </c>
      <c r="AC1089" t="s">
        <v>137</v>
      </c>
      <c r="AD1089" t="s">
        <v>579</v>
      </c>
      <c r="AE1089" t="s">
        <v>566</v>
      </c>
      <c r="AF1089">
        <v>6</v>
      </c>
      <c r="AG1089">
        <v>527</v>
      </c>
      <c r="AH1089" s="122">
        <v>1644</v>
      </c>
      <c r="AI1089" s="122">
        <v>86833</v>
      </c>
      <c r="AJ1089" s="122">
        <v>72360</v>
      </c>
      <c r="AK1089">
        <v>60</v>
      </c>
      <c r="AL1089" s="122">
        <v>13109</v>
      </c>
      <c r="AM1089" s="122">
        <v>4855</v>
      </c>
      <c r="AN1089" s="122">
        <v>11485</v>
      </c>
      <c r="AO1089" s="122">
        <v>4254</v>
      </c>
      <c r="AP1089" s="122">
        <v>2106</v>
      </c>
      <c r="AQ1089">
        <v>780</v>
      </c>
      <c r="AR1089" s="122">
        <v>39352</v>
      </c>
      <c r="AS1089" s="122">
        <v>32794</v>
      </c>
      <c r="AT1089">
        <v>0</v>
      </c>
      <c r="AU1089">
        <v>0</v>
      </c>
      <c r="AV1089" s="122">
        <v>115043</v>
      </c>
    </row>
    <row r="1090" spans="2:48" hidden="1">
      <c r="B1090" t="s">
        <v>370</v>
      </c>
      <c r="C1090" t="s">
        <v>54</v>
      </c>
      <c r="D1090" t="s">
        <v>405</v>
      </c>
      <c r="E1090" t="s">
        <v>405</v>
      </c>
      <c r="F1090" s="122">
        <v>39</v>
      </c>
      <c r="G1090" s="122">
        <v>4179</v>
      </c>
      <c r="H1090" s="122">
        <v>5293</v>
      </c>
      <c r="I1090" s="122">
        <v>272148</v>
      </c>
      <c r="J1090" s="122">
        <v>247407</v>
      </c>
      <c r="K1090" s="122">
        <v>89</v>
      </c>
      <c r="L1090" s="122">
        <v>35808</v>
      </c>
      <c r="M1090" s="122">
        <v>34582</v>
      </c>
      <c r="N1090" s="122">
        <v>68563</v>
      </c>
      <c r="O1090" s="122">
        <v>25394</v>
      </c>
      <c r="P1090" s="122">
        <v>17942</v>
      </c>
      <c r="Q1090" s="122">
        <v>6645</v>
      </c>
      <c r="R1090" s="122">
        <v>130031</v>
      </c>
      <c r="S1090" s="122">
        <v>118210</v>
      </c>
      <c r="T1090" s="122">
        <v>49902</v>
      </c>
      <c r="U1090" s="122">
        <v>18482</v>
      </c>
      <c r="V1090" s="122">
        <v>450721</v>
      </c>
      <c r="W1090" s="122">
        <f t="shared" si="34"/>
        <v>450720</v>
      </c>
      <c r="X1090" s="122">
        <f t="shared" si="35"/>
        <v>574394</v>
      </c>
      <c r="AA1090" t="s">
        <v>58</v>
      </c>
      <c r="AB1090" t="s">
        <v>579</v>
      </c>
      <c r="AC1090" t="s">
        <v>580</v>
      </c>
      <c r="AD1090" t="s">
        <v>406</v>
      </c>
      <c r="AE1090" t="s">
        <v>137</v>
      </c>
      <c r="AF1090">
        <v>1</v>
      </c>
      <c r="AG1090">
        <v>93</v>
      </c>
      <c r="AH1090">
        <v>266</v>
      </c>
      <c r="AI1090" s="122">
        <v>15063</v>
      </c>
      <c r="AJ1090" s="122">
        <v>12552</v>
      </c>
      <c r="AK1090">
        <v>55</v>
      </c>
      <c r="AL1090">
        <v>987</v>
      </c>
      <c r="AM1090">
        <v>897</v>
      </c>
      <c r="AN1090" s="122">
        <v>2255</v>
      </c>
      <c r="AO1090">
        <v>835</v>
      </c>
      <c r="AP1090">
        <v>621</v>
      </c>
      <c r="AQ1090">
        <v>230</v>
      </c>
      <c r="AR1090" s="122">
        <v>3308</v>
      </c>
      <c r="AS1090" s="122">
        <v>3007</v>
      </c>
      <c r="AT1090" s="122">
        <v>2332</v>
      </c>
      <c r="AU1090">
        <v>864</v>
      </c>
      <c r="AV1090" s="122">
        <v>18385</v>
      </c>
    </row>
    <row r="1091" spans="2:48" hidden="1">
      <c r="B1091" t="s">
        <v>370</v>
      </c>
      <c r="C1091" t="s">
        <v>54</v>
      </c>
      <c r="D1091" t="s">
        <v>406</v>
      </c>
      <c r="E1091" t="s">
        <v>406</v>
      </c>
      <c r="F1091" s="122">
        <v>242</v>
      </c>
      <c r="G1091" s="122">
        <v>27816</v>
      </c>
      <c r="H1091" s="122">
        <v>34105</v>
      </c>
      <c r="I1091" s="122">
        <v>1833914</v>
      </c>
      <c r="J1091" s="122">
        <v>1667195</v>
      </c>
      <c r="K1091" s="122">
        <v>91</v>
      </c>
      <c r="L1091" s="122">
        <v>413472</v>
      </c>
      <c r="M1091" s="122">
        <v>357057</v>
      </c>
      <c r="N1091" s="122">
        <v>491482</v>
      </c>
      <c r="O1091" s="122">
        <v>182030</v>
      </c>
      <c r="P1091" s="122">
        <v>156663</v>
      </c>
      <c r="Q1091" s="122">
        <v>58023</v>
      </c>
      <c r="R1091" s="122">
        <v>1052799</v>
      </c>
      <c r="S1091" s="122">
        <v>957090</v>
      </c>
      <c r="T1091" s="122">
        <v>43547</v>
      </c>
      <c r="U1091" s="122">
        <v>16128</v>
      </c>
      <c r="V1091" s="122">
        <v>3237523</v>
      </c>
      <c r="W1091" s="122">
        <f t="shared" si="34"/>
        <v>3237523</v>
      </c>
      <c r="X1091" s="122">
        <f t="shared" si="35"/>
        <v>3991877</v>
      </c>
      <c r="AA1091" t="s">
        <v>58</v>
      </c>
      <c r="AB1091" t="s">
        <v>579</v>
      </c>
      <c r="AC1091" t="s">
        <v>580</v>
      </c>
      <c r="AD1091" t="s">
        <v>579</v>
      </c>
      <c r="AE1091" t="s">
        <v>137</v>
      </c>
      <c r="AF1091">
        <v>50</v>
      </c>
      <c r="AG1091" s="122">
        <v>4975</v>
      </c>
      <c r="AH1091" s="122">
        <v>13750</v>
      </c>
      <c r="AI1091" s="122">
        <v>769054</v>
      </c>
      <c r="AJ1091" s="122">
        <v>640878</v>
      </c>
      <c r="AK1091">
        <v>61</v>
      </c>
      <c r="AL1091" s="122">
        <v>66770</v>
      </c>
      <c r="AM1091" s="122">
        <v>60700</v>
      </c>
      <c r="AN1091" s="122">
        <v>101017</v>
      </c>
      <c r="AO1091" s="122">
        <v>37414</v>
      </c>
      <c r="AP1091" s="122">
        <v>31874</v>
      </c>
      <c r="AQ1091" s="122">
        <v>11805</v>
      </c>
      <c r="AR1091" s="122">
        <v>272869</v>
      </c>
      <c r="AS1091" s="122">
        <v>227391</v>
      </c>
      <c r="AT1091" s="122">
        <v>128373</v>
      </c>
      <c r="AU1091" s="122">
        <v>47545</v>
      </c>
      <c r="AV1091" s="122">
        <v>1025733</v>
      </c>
    </row>
    <row r="1092" spans="2:48" hidden="1">
      <c r="B1092" t="s">
        <v>370</v>
      </c>
      <c r="C1092" t="s">
        <v>54</v>
      </c>
      <c r="D1092" t="s">
        <v>406</v>
      </c>
      <c r="E1092" t="s">
        <v>407</v>
      </c>
      <c r="F1092" s="122">
        <v>1</v>
      </c>
      <c r="G1092" s="122">
        <v>160</v>
      </c>
      <c r="H1092" s="122">
        <v>146</v>
      </c>
      <c r="I1092" s="122">
        <v>12259</v>
      </c>
      <c r="J1092" s="122">
        <v>11144</v>
      </c>
      <c r="K1092" s="122">
        <v>93</v>
      </c>
      <c r="L1092" s="122">
        <v>2107</v>
      </c>
      <c r="M1092" s="122">
        <v>1915</v>
      </c>
      <c r="N1092" s="122">
        <v>3127</v>
      </c>
      <c r="O1092" s="122">
        <v>1158</v>
      </c>
      <c r="P1092" s="122">
        <v>2727</v>
      </c>
      <c r="Q1092" s="122">
        <v>1010</v>
      </c>
      <c r="R1092" s="122">
        <v>3139</v>
      </c>
      <c r="S1092" s="122">
        <v>2853</v>
      </c>
      <c r="T1092" s="122">
        <v>0</v>
      </c>
      <c r="U1092" s="122">
        <v>0</v>
      </c>
      <c r="V1092" s="122">
        <v>18081</v>
      </c>
      <c r="W1092" s="122">
        <f t="shared" si="34"/>
        <v>18080</v>
      </c>
      <c r="X1092" s="122">
        <f t="shared" si="35"/>
        <v>23359</v>
      </c>
      <c r="AA1092" t="s">
        <v>58</v>
      </c>
      <c r="AB1092" t="s">
        <v>579</v>
      </c>
      <c r="AC1092" t="s">
        <v>580</v>
      </c>
      <c r="AD1092" t="s">
        <v>579</v>
      </c>
      <c r="AE1092" t="s">
        <v>566</v>
      </c>
      <c r="AF1092">
        <v>4</v>
      </c>
      <c r="AG1092">
        <v>500</v>
      </c>
      <c r="AH1092" s="122">
        <v>1086</v>
      </c>
      <c r="AI1092" s="122">
        <v>82350</v>
      </c>
      <c r="AJ1092" s="122">
        <v>68625</v>
      </c>
      <c r="AK1092">
        <v>65</v>
      </c>
      <c r="AL1092" s="122">
        <v>8467</v>
      </c>
      <c r="AM1092" s="122">
        <v>7698</v>
      </c>
      <c r="AN1092" s="122">
        <v>9651</v>
      </c>
      <c r="AO1092" s="122">
        <v>3574</v>
      </c>
      <c r="AP1092" s="122">
        <v>2835</v>
      </c>
      <c r="AQ1092" s="122">
        <v>1050</v>
      </c>
      <c r="AR1092" s="122">
        <v>33862</v>
      </c>
      <c r="AS1092" s="122">
        <v>28218</v>
      </c>
      <c r="AT1092">
        <v>0</v>
      </c>
      <c r="AU1092">
        <v>0</v>
      </c>
      <c r="AV1092" s="122">
        <v>109165</v>
      </c>
    </row>
    <row r="1093" spans="2:48" hidden="1">
      <c r="B1093" t="s">
        <v>370</v>
      </c>
      <c r="C1093" t="s">
        <v>54</v>
      </c>
      <c r="D1093" t="s">
        <v>407</v>
      </c>
      <c r="E1093" t="s">
        <v>407</v>
      </c>
      <c r="F1093" s="122">
        <v>841</v>
      </c>
      <c r="G1093" s="122">
        <v>94306</v>
      </c>
      <c r="H1093" s="122">
        <v>118694</v>
      </c>
      <c r="I1093" s="122">
        <v>6322163</v>
      </c>
      <c r="J1093" s="122">
        <v>5747421</v>
      </c>
      <c r="K1093" s="122">
        <v>86</v>
      </c>
      <c r="L1093" s="122">
        <v>1351972</v>
      </c>
      <c r="M1093" s="122">
        <v>1141790</v>
      </c>
      <c r="N1093" s="122">
        <v>1696647</v>
      </c>
      <c r="O1093" s="122">
        <v>628388</v>
      </c>
      <c r="P1093" s="122">
        <v>402218</v>
      </c>
      <c r="Q1093" s="122">
        <v>148970</v>
      </c>
      <c r="R1093" s="122">
        <v>3734768</v>
      </c>
      <c r="S1093" s="122">
        <v>3395244</v>
      </c>
      <c r="T1093" s="122">
        <v>151954</v>
      </c>
      <c r="U1093" s="122">
        <v>56279</v>
      </c>
      <c r="V1093" s="122">
        <v>11118092</v>
      </c>
      <c r="W1093" s="122">
        <f t="shared" si="34"/>
        <v>11118092</v>
      </c>
      <c r="X1093" s="122">
        <f t="shared" si="35"/>
        <v>13659722</v>
      </c>
      <c r="AA1093" t="s">
        <v>58</v>
      </c>
      <c r="AB1093" t="s">
        <v>579</v>
      </c>
      <c r="AC1093" t="s">
        <v>427</v>
      </c>
      <c r="AD1093" t="s">
        <v>579</v>
      </c>
      <c r="AE1093" t="s">
        <v>137</v>
      </c>
      <c r="AF1093">
        <v>8</v>
      </c>
      <c r="AG1093">
        <v>782</v>
      </c>
      <c r="AH1093" s="122">
        <v>2174</v>
      </c>
      <c r="AI1093" s="122">
        <v>109496</v>
      </c>
      <c r="AJ1093" s="122">
        <v>91247</v>
      </c>
      <c r="AK1093">
        <v>66</v>
      </c>
      <c r="AL1093" s="122">
        <v>24429</v>
      </c>
      <c r="AM1093" s="122">
        <v>22209</v>
      </c>
      <c r="AN1093" s="122">
        <v>17518</v>
      </c>
      <c r="AO1093" s="122">
        <v>6488</v>
      </c>
      <c r="AP1093" s="122">
        <v>2808</v>
      </c>
      <c r="AQ1093" s="122">
        <v>1040</v>
      </c>
      <c r="AR1093" s="122">
        <v>36854</v>
      </c>
      <c r="AS1093" s="122">
        <v>30712</v>
      </c>
      <c r="AT1093" s="122">
        <v>22036</v>
      </c>
      <c r="AU1093" s="122">
        <v>8161</v>
      </c>
      <c r="AV1093" s="122">
        <v>159857</v>
      </c>
    </row>
    <row r="1094" spans="2:48" hidden="1">
      <c r="B1094" t="s">
        <v>370</v>
      </c>
      <c r="C1094" t="s">
        <v>54</v>
      </c>
      <c r="D1094" t="s">
        <v>407</v>
      </c>
      <c r="E1094" t="s">
        <v>426</v>
      </c>
      <c r="F1094" s="122">
        <v>2</v>
      </c>
      <c r="G1094" s="122">
        <v>247</v>
      </c>
      <c r="H1094" s="122">
        <v>270</v>
      </c>
      <c r="I1094" s="122">
        <v>13083</v>
      </c>
      <c r="J1094" s="122">
        <v>11894</v>
      </c>
      <c r="K1094" s="122">
        <v>91</v>
      </c>
      <c r="L1094" s="122">
        <v>4196</v>
      </c>
      <c r="M1094" s="122">
        <v>3815</v>
      </c>
      <c r="N1094" s="122">
        <v>6018</v>
      </c>
      <c r="O1094" s="122">
        <v>2229</v>
      </c>
      <c r="P1094" s="122">
        <v>945</v>
      </c>
      <c r="Q1094" s="122">
        <v>350</v>
      </c>
      <c r="R1094" s="122">
        <v>9161</v>
      </c>
      <c r="S1094" s="122">
        <v>8328</v>
      </c>
      <c r="T1094" s="122">
        <v>0</v>
      </c>
      <c r="U1094" s="122">
        <v>0</v>
      </c>
      <c r="V1094" s="122">
        <v>26616</v>
      </c>
      <c r="W1094" s="122">
        <f t="shared" si="34"/>
        <v>26616</v>
      </c>
      <c r="X1094" s="122">
        <f t="shared" si="35"/>
        <v>33403</v>
      </c>
      <c r="AA1094" t="s">
        <v>58</v>
      </c>
      <c r="AB1094" t="s">
        <v>579</v>
      </c>
      <c r="AC1094" t="s">
        <v>407</v>
      </c>
      <c r="AD1094" t="s">
        <v>579</v>
      </c>
      <c r="AE1094" t="s">
        <v>137</v>
      </c>
      <c r="AF1094">
        <v>2</v>
      </c>
      <c r="AG1094">
        <v>168</v>
      </c>
      <c r="AH1094">
        <v>586</v>
      </c>
      <c r="AI1094" s="122">
        <v>26877</v>
      </c>
      <c r="AJ1094" s="122">
        <v>22397</v>
      </c>
      <c r="AK1094">
        <v>60</v>
      </c>
      <c r="AL1094" s="122">
        <v>2709</v>
      </c>
      <c r="AM1094" s="122">
        <v>2463</v>
      </c>
      <c r="AN1094" s="122">
        <v>3336</v>
      </c>
      <c r="AO1094" s="122">
        <v>1236</v>
      </c>
      <c r="AP1094">
        <v>702</v>
      </c>
      <c r="AQ1094">
        <v>260</v>
      </c>
      <c r="AR1094" s="122">
        <v>10756</v>
      </c>
      <c r="AS1094" s="122">
        <v>8963</v>
      </c>
      <c r="AT1094" s="122">
        <v>4887</v>
      </c>
      <c r="AU1094" s="122">
        <v>1810</v>
      </c>
      <c r="AV1094" s="122">
        <v>37129</v>
      </c>
    </row>
    <row r="1095" spans="2:48" hidden="1">
      <c r="B1095" t="s">
        <v>370</v>
      </c>
      <c r="C1095" t="s">
        <v>56</v>
      </c>
      <c r="F1095" s="122">
        <v>9</v>
      </c>
      <c r="G1095" s="122">
        <v>665</v>
      </c>
      <c r="H1095" s="122">
        <v>1631</v>
      </c>
      <c r="I1095" s="122"/>
      <c r="J1095" s="122">
        <v>0</v>
      </c>
      <c r="K1095" s="122"/>
      <c r="L1095" s="122"/>
      <c r="M1095" s="122">
        <v>0</v>
      </c>
      <c r="N1095" s="122">
        <v>9224</v>
      </c>
      <c r="O1095" s="122">
        <v>3416</v>
      </c>
      <c r="P1095" s="122">
        <v>0</v>
      </c>
      <c r="Q1095" s="122">
        <v>0</v>
      </c>
      <c r="R1095" s="122"/>
      <c r="S1095" s="122">
        <v>0</v>
      </c>
      <c r="T1095" s="122">
        <v>0</v>
      </c>
      <c r="U1095" s="122">
        <v>0</v>
      </c>
      <c r="V1095" s="122">
        <v>3416</v>
      </c>
      <c r="W1095" s="122">
        <f t="shared" si="34"/>
        <v>3416</v>
      </c>
      <c r="X1095" s="122">
        <f t="shared" si="35"/>
        <v>9224</v>
      </c>
      <c r="AA1095" t="s">
        <v>58</v>
      </c>
      <c r="AB1095" t="s">
        <v>579</v>
      </c>
      <c r="AC1095" t="s">
        <v>579</v>
      </c>
      <c r="AD1095" t="s">
        <v>137</v>
      </c>
      <c r="AE1095" t="s">
        <v>137</v>
      </c>
      <c r="AF1095">
        <v>1</v>
      </c>
      <c r="AG1095">
        <v>86</v>
      </c>
      <c r="AH1095">
        <v>254</v>
      </c>
      <c r="AI1095" s="122">
        <v>13267</v>
      </c>
      <c r="AJ1095" s="122">
        <v>11056</v>
      </c>
      <c r="AK1095">
        <v>55</v>
      </c>
      <c r="AL1095" s="122">
        <v>1474</v>
      </c>
      <c r="AM1095" s="122">
        <v>1228</v>
      </c>
      <c r="AN1095" s="122">
        <v>2090</v>
      </c>
      <c r="AO1095">
        <v>774</v>
      </c>
      <c r="AP1095">
        <v>351</v>
      </c>
      <c r="AQ1095">
        <v>130</v>
      </c>
      <c r="AR1095" s="122">
        <v>4629</v>
      </c>
      <c r="AS1095" s="122">
        <v>1714</v>
      </c>
      <c r="AT1095">
        <v>0</v>
      </c>
      <c r="AU1095">
        <v>0</v>
      </c>
      <c r="AV1095" s="122">
        <v>14903</v>
      </c>
    </row>
    <row r="1096" spans="2:48" hidden="1">
      <c r="B1096" t="s">
        <v>370</v>
      </c>
      <c r="C1096" t="s">
        <v>56</v>
      </c>
      <c r="D1096" t="s">
        <v>425</v>
      </c>
      <c r="E1096" t="s">
        <v>425</v>
      </c>
      <c r="F1096" s="122">
        <v>7</v>
      </c>
      <c r="G1096" s="122">
        <v>626</v>
      </c>
      <c r="H1096" s="122">
        <v>1316</v>
      </c>
      <c r="I1096" s="122">
        <v>62469</v>
      </c>
      <c r="J1096" s="122">
        <v>56790</v>
      </c>
      <c r="K1096" s="122">
        <v>90</v>
      </c>
      <c r="L1096" s="122">
        <v>11381</v>
      </c>
      <c r="M1096" s="122">
        <v>11036</v>
      </c>
      <c r="N1096" s="122">
        <v>11242</v>
      </c>
      <c r="O1096" s="122">
        <v>4164</v>
      </c>
      <c r="P1096" s="122">
        <v>3335</v>
      </c>
      <c r="Q1096" s="122">
        <v>1235</v>
      </c>
      <c r="R1096" s="122">
        <v>23117</v>
      </c>
      <c r="S1096" s="122">
        <v>21015</v>
      </c>
      <c r="T1096" s="122">
        <v>4933</v>
      </c>
      <c r="U1096" s="122">
        <v>1827</v>
      </c>
      <c r="V1096" s="122">
        <v>96066</v>
      </c>
      <c r="W1096" s="122">
        <f t="shared" si="34"/>
        <v>96067</v>
      </c>
      <c r="X1096" s="122">
        <f t="shared" si="35"/>
        <v>116477</v>
      </c>
      <c r="AA1096" t="s">
        <v>58</v>
      </c>
      <c r="AB1096" t="s">
        <v>579</v>
      </c>
      <c r="AC1096" t="s">
        <v>579</v>
      </c>
      <c r="AD1096" t="s">
        <v>137</v>
      </c>
      <c r="AE1096" t="s">
        <v>566</v>
      </c>
      <c r="AF1096">
        <v>11</v>
      </c>
      <c r="AG1096">
        <v>992</v>
      </c>
      <c r="AH1096" s="122">
        <v>3044</v>
      </c>
      <c r="AI1096" s="122">
        <v>140615</v>
      </c>
      <c r="AJ1096" s="122">
        <v>117179</v>
      </c>
      <c r="AK1096">
        <v>58</v>
      </c>
      <c r="AL1096" s="122">
        <v>25793</v>
      </c>
      <c r="AM1096" s="122">
        <v>21494</v>
      </c>
      <c r="AN1096" s="122">
        <v>19830</v>
      </c>
      <c r="AO1096" s="122">
        <v>7344</v>
      </c>
      <c r="AP1096" s="122">
        <v>3510</v>
      </c>
      <c r="AQ1096" s="122">
        <v>1300</v>
      </c>
      <c r="AR1096" s="122">
        <v>83078</v>
      </c>
      <c r="AS1096" s="122">
        <v>30770</v>
      </c>
      <c r="AT1096">
        <v>0</v>
      </c>
      <c r="AU1096">
        <v>0</v>
      </c>
      <c r="AV1096" s="122">
        <v>178087</v>
      </c>
    </row>
    <row r="1097" spans="2:48" hidden="1">
      <c r="B1097" t="s">
        <v>370</v>
      </c>
      <c r="C1097" t="s">
        <v>56</v>
      </c>
      <c r="D1097" t="s">
        <v>425</v>
      </c>
      <c r="E1097" t="s">
        <v>405</v>
      </c>
      <c r="F1097" s="122">
        <v>1</v>
      </c>
      <c r="G1097" s="122">
        <v>97</v>
      </c>
      <c r="H1097" s="122">
        <v>179</v>
      </c>
      <c r="I1097" s="122">
        <v>7576</v>
      </c>
      <c r="J1097" s="122">
        <v>6887</v>
      </c>
      <c r="K1097" s="122">
        <v>92</v>
      </c>
      <c r="L1097" s="122">
        <v>2819</v>
      </c>
      <c r="M1097" s="122">
        <v>2349</v>
      </c>
      <c r="N1097" s="122">
        <v>2363</v>
      </c>
      <c r="O1097" s="122">
        <v>875</v>
      </c>
      <c r="P1097" s="122">
        <v>473</v>
      </c>
      <c r="Q1097" s="122">
        <v>175</v>
      </c>
      <c r="R1097" s="122">
        <v>4110</v>
      </c>
      <c r="S1097" s="122">
        <v>3737</v>
      </c>
      <c r="T1097" s="122">
        <v>0</v>
      </c>
      <c r="U1097" s="122">
        <v>0</v>
      </c>
      <c r="V1097" s="122">
        <v>14024</v>
      </c>
      <c r="W1097" s="122">
        <f t="shared" si="34"/>
        <v>14023</v>
      </c>
      <c r="X1097" s="122">
        <f t="shared" si="35"/>
        <v>17341</v>
      </c>
      <c r="AA1097" t="s">
        <v>58</v>
      </c>
      <c r="AB1097" t="s">
        <v>579</v>
      </c>
      <c r="AC1097" t="s">
        <v>579</v>
      </c>
      <c r="AD1097" t="s">
        <v>579</v>
      </c>
      <c r="AE1097" t="s">
        <v>137</v>
      </c>
      <c r="AF1097">
        <v>261</v>
      </c>
      <c r="AG1097" s="122">
        <v>22451</v>
      </c>
      <c r="AH1097" s="122">
        <v>72330</v>
      </c>
      <c r="AI1097" s="122">
        <v>3148441</v>
      </c>
      <c r="AJ1097" s="122">
        <v>2623701</v>
      </c>
      <c r="AK1097">
        <v>62</v>
      </c>
      <c r="AL1097" s="122">
        <v>631448</v>
      </c>
      <c r="AM1097" s="122">
        <v>526207</v>
      </c>
      <c r="AN1097" s="122">
        <v>429168</v>
      </c>
      <c r="AO1097" s="122">
        <v>158951</v>
      </c>
      <c r="AP1097" s="122">
        <v>91935</v>
      </c>
      <c r="AQ1097" s="122">
        <v>34050</v>
      </c>
      <c r="AR1097" s="122">
        <v>1310617</v>
      </c>
      <c r="AS1097" s="122">
        <v>1092181</v>
      </c>
      <c r="AT1097" s="122">
        <v>600788</v>
      </c>
      <c r="AU1097" s="122">
        <v>222514</v>
      </c>
      <c r="AV1097" s="122">
        <v>4657604</v>
      </c>
    </row>
    <row r="1098" spans="2:48" hidden="1">
      <c r="B1098" t="s">
        <v>370</v>
      </c>
      <c r="C1098" t="s">
        <v>56</v>
      </c>
      <c r="D1098" t="s">
        <v>425</v>
      </c>
      <c r="E1098" t="s">
        <v>406</v>
      </c>
      <c r="F1098" s="122">
        <v>1</v>
      </c>
      <c r="G1098" s="122">
        <v>107</v>
      </c>
      <c r="H1098" s="122">
        <v>197</v>
      </c>
      <c r="I1098" s="122">
        <v>9937</v>
      </c>
      <c r="J1098" s="122">
        <v>9034</v>
      </c>
      <c r="K1098" s="122">
        <v>86</v>
      </c>
      <c r="L1098" s="122">
        <v>2996</v>
      </c>
      <c r="M1098" s="122">
        <v>2724</v>
      </c>
      <c r="N1098" s="122">
        <v>1686</v>
      </c>
      <c r="O1098" s="122">
        <v>624</v>
      </c>
      <c r="P1098" s="122">
        <v>621</v>
      </c>
      <c r="Q1098" s="122">
        <v>230</v>
      </c>
      <c r="R1098" s="122">
        <v>5873</v>
      </c>
      <c r="S1098" s="122">
        <v>5339</v>
      </c>
      <c r="T1098" s="122">
        <v>0</v>
      </c>
      <c r="U1098" s="122">
        <v>0</v>
      </c>
      <c r="V1098" s="122">
        <v>17951</v>
      </c>
      <c r="W1098" s="122">
        <f t="shared" si="34"/>
        <v>17951</v>
      </c>
      <c r="X1098" s="122">
        <f t="shared" si="35"/>
        <v>21113</v>
      </c>
      <c r="AA1098" t="s">
        <v>58</v>
      </c>
      <c r="AB1098" t="s">
        <v>579</v>
      </c>
      <c r="AC1098" t="s">
        <v>579</v>
      </c>
      <c r="AD1098" t="s">
        <v>579</v>
      </c>
      <c r="AE1098" t="s">
        <v>566</v>
      </c>
      <c r="AF1098">
        <v>33</v>
      </c>
      <c r="AG1098" s="122">
        <v>2920</v>
      </c>
      <c r="AH1098" s="122">
        <v>8971</v>
      </c>
      <c r="AI1098" s="122">
        <v>412355</v>
      </c>
      <c r="AJ1098" s="122">
        <v>343629</v>
      </c>
      <c r="AK1098">
        <v>65</v>
      </c>
      <c r="AL1098" s="122">
        <v>87578</v>
      </c>
      <c r="AM1098" s="122">
        <v>72982</v>
      </c>
      <c r="AN1098" s="122">
        <v>50537</v>
      </c>
      <c r="AO1098" s="122">
        <v>18717</v>
      </c>
      <c r="AP1098" s="122">
        <v>11354</v>
      </c>
      <c r="AQ1098" s="122">
        <v>4205</v>
      </c>
      <c r="AR1098" s="122">
        <v>231123</v>
      </c>
      <c r="AS1098" s="122">
        <v>192603</v>
      </c>
      <c r="AT1098">
        <v>0</v>
      </c>
      <c r="AU1098">
        <v>0</v>
      </c>
      <c r="AV1098" s="122">
        <v>632136</v>
      </c>
    </row>
    <row r="1099" spans="2:48" hidden="1">
      <c r="B1099" t="s">
        <v>370</v>
      </c>
      <c r="C1099" t="s">
        <v>56</v>
      </c>
      <c r="D1099" t="s">
        <v>405</v>
      </c>
      <c r="E1099" t="s">
        <v>425</v>
      </c>
      <c r="F1099" s="122">
        <v>2</v>
      </c>
      <c r="G1099" s="122">
        <v>204</v>
      </c>
      <c r="H1099" s="122">
        <v>395</v>
      </c>
      <c r="I1099" s="122">
        <v>27949</v>
      </c>
      <c r="J1099" s="122">
        <v>25408</v>
      </c>
      <c r="K1099" s="122">
        <v>83</v>
      </c>
      <c r="L1099" s="122">
        <v>5519</v>
      </c>
      <c r="M1099" s="122">
        <v>5017</v>
      </c>
      <c r="N1099" s="122">
        <v>6277</v>
      </c>
      <c r="O1099" s="122">
        <v>2325</v>
      </c>
      <c r="P1099" s="122">
        <v>945</v>
      </c>
      <c r="Q1099" s="122">
        <v>350</v>
      </c>
      <c r="R1099" s="122">
        <v>11305</v>
      </c>
      <c r="S1099" s="122">
        <v>10277</v>
      </c>
      <c r="T1099" s="122">
        <v>2807</v>
      </c>
      <c r="U1099" s="122">
        <v>1040</v>
      </c>
      <c r="V1099" s="122">
        <v>44417</v>
      </c>
      <c r="W1099" s="122">
        <f t="shared" si="34"/>
        <v>44417</v>
      </c>
      <c r="X1099" s="122">
        <f t="shared" si="35"/>
        <v>54802</v>
      </c>
      <c r="AA1099" t="s">
        <v>58</v>
      </c>
      <c r="AB1099" t="s">
        <v>579</v>
      </c>
      <c r="AC1099" t="s">
        <v>579</v>
      </c>
      <c r="AD1099" t="s">
        <v>433</v>
      </c>
      <c r="AE1099" t="s">
        <v>137</v>
      </c>
      <c r="AF1099">
        <v>1</v>
      </c>
      <c r="AG1099">
        <v>80</v>
      </c>
      <c r="AH1099">
        <v>234</v>
      </c>
      <c r="AI1099" s="122">
        <v>8374</v>
      </c>
      <c r="AJ1099" s="122">
        <v>6979</v>
      </c>
      <c r="AK1099">
        <v>65</v>
      </c>
      <c r="AL1099" s="122">
        <v>2016</v>
      </c>
      <c r="AM1099" s="122">
        <v>1680</v>
      </c>
      <c r="AN1099" s="122">
        <v>1470</v>
      </c>
      <c r="AO1099">
        <v>544</v>
      </c>
      <c r="AP1099">
        <v>351</v>
      </c>
      <c r="AQ1099">
        <v>130</v>
      </c>
      <c r="AR1099" s="122">
        <v>4317</v>
      </c>
      <c r="AS1099" s="122">
        <v>3924</v>
      </c>
      <c r="AT1099" s="122">
        <v>2305</v>
      </c>
      <c r="AU1099">
        <v>854</v>
      </c>
      <c r="AV1099" s="122">
        <v>14111</v>
      </c>
    </row>
    <row r="1100" spans="2:48" hidden="1">
      <c r="B1100" t="s">
        <v>370</v>
      </c>
      <c r="C1100" t="s">
        <v>56</v>
      </c>
      <c r="D1100" t="s">
        <v>405</v>
      </c>
      <c r="E1100" t="s">
        <v>405</v>
      </c>
      <c r="F1100" s="122">
        <v>55</v>
      </c>
      <c r="G1100" s="122">
        <v>6188</v>
      </c>
      <c r="H1100" s="122">
        <v>9978</v>
      </c>
      <c r="I1100" s="122">
        <v>539858</v>
      </c>
      <c r="J1100" s="122">
        <v>490780</v>
      </c>
      <c r="K1100" s="122">
        <v>85</v>
      </c>
      <c r="L1100" s="122">
        <v>145945</v>
      </c>
      <c r="M1100" s="122">
        <v>125462</v>
      </c>
      <c r="N1100" s="122">
        <v>138674</v>
      </c>
      <c r="O1100" s="122">
        <v>51361</v>
      </c>
      <c r="P1100" s="122">
        <v>24408</v>
      </c>
      <c r="Q1100" s="122">
        <v>9040</v>
      </c>
      <c r="R1100" s="122">
        <v>226223</v>
      </c>
      <c r="S1100" s="122">
        <v>205657</v>
      </c>
      <c r="T1100" s="122">
        <v>62233</v>
      </c>
      <c r="U1100" s="122">
        <v>23049</v>
      </c>
      <c r="V1100" s="122">
        <v>905349</v>
      </c>
      <c r="W1100" s="122">
        <f t="shared" si="34"/>
        <v>905349</v>
      </c>
      <c r="X1100" s="122">
        <f t="shared" si="35"/>
        <v>1137341</v>
      </c>
      <c r="AA1100" t="s">
        <v>58</v>
      </c>
      <c r="AB1100" t="s">
        <v>579</v>
      </c>
      <c r="AC1100" t="s">
        <v>428</v>
      </c>
      <c r="AD1100" t="s">
        <v>137</v>
      </c>
      <c r="AE1100" t="s">
        <v>566</v>
      </c>
      <c r="AF1100">
        <v>1</v>
      </c>
      <c r="AG1100">
        <v>80</v>
      </c>
      <c r="AH1100">
        <v>277</v>
      </c>
      <c r="AI1100" s="122">
        <v>10320</v>
      </c>
      <c r="AJ1100" s="122">
        <v>8600</v>
      </c>
      <c r="AK1100">
        <v>55</v>
      </c>
      <c r="AL1100" s="122">
        <v>1927</v>
      </c>
      <c r="AM1100" s="122">
        <v>1752</v>
      </c>
      <c r="AN1100" s="122">
        <v>1754</v>
      </c>
      <c r="AO1100">
        <v>649</v>
      </c>
      <c r="AP1100">
        <v>351</v>
      </c>
      <c r="AQ1100">
        <v>130</v>
      </c>
      <c r="AR1100" s="122">
        <v>7760</v>
      </c>
      <c r="AS1100" s="122">
        <v>2874</v>
      </c>
      <c r="AT1100">
        <v>0</v>
      </c>
      <c r="AU1100">
        <v>0</v>
      </c>
      <c r="AV1100" s="122">
        <v>14006</v>
      </c>
    </row>
    <row r="1101" spans="2:48" hidden="1">
      <c r="B1101" t="s">
        <v>370</v>
      </c>
      <c r="C1101" t="s">
        <v>56</v>
      </c>
      <c r="D1101" t="s">
        <v>405</v>
      </c>
      <c r="E1101" t="s">
        <v>407</v>
      </c>
      <c r="F1101" s="122">
        <v>1</v>
      </c>
      <c r="G1101" s="122">
        <v>81</v>
      </c>
      <c r="H1101" s="122">
        <v>163</v>
      </c>
      <c r="I1101" s="122">
        <v>7760</v>
      </c>
      <c r="J1101" s="122">
        <v>7055</v>
      </c>
      <c r="K1101" s="122">
        <v>90</v>
      </c>
      <c r="L1101" s="122">
        <v>1344</v>
      </c>
      <c r="M1101" s="122">
        <v>1120</v>
      </c>
      <c r="N1101" s="122">
        <v>1090</v>
      </c>
      <c r="O1101" s="122">
        <v>404</v>
      </c>
      <c r="P1101" s="122">
        <v>473</v>
      </c>
      <c r="Q1101" s="122">
        <v>175</v>
      </c>
      <c r="R1101" s="122">
        <v>2490</v>
      </c>
      <c r="S1101" s="122">
        <v>2264</v>
      </c>
      <c r="T1101" s="122">
        <v>0</v>
      </c>
      <c r="U1101" s="122">
        <v>0</v>
      </c>
      <c r="V1101" s="122">
        <v>11017</v>
      </c>
      <c r="W1101" s="122">
        <f t="shared" si="34"/>
        <v>11018</v>
      </c>
      <c r="X1101" s="122">
        <f t="shared" si="35"/>
        <v>13157</v>
      </c>
      <c r="AA1101" t="s">
        <v>58</v>
      </c>
      <c r="AB1101" t="s">
        <v>579</v>
      </c>
      <c r="AC1101" t="s">
        <v>426</v>
      </c>
      <c r="AD1101" t="s">
        <v>579</v>
      </c>
      <c r="AE1101" t="s">
        <v>137</v>
      </c>
      <c r="AF1101">
        <v>3</v>
      </c>
      <c r="AG1101">
        <v>253</v>
      </c>
      <c r="AH1101">
        <v>846</v>
      </c>
      <c r="AI1101" s="122">
        <v>37284</v>
      </c>
      <c r="AJ1101" s="122">
        <v>31070</v>
      </c>
      <c r="AK1101">
        <v>66</v>
      </c>
      <c r="AL1101" s="122">
        <v>6613</v>
      </c>
      <c r="AM1101" s="122">
        <v>6012</v>
      </c>
      <c r="AN1101" s="122">
        <v>4629</v>
      </c>
      <c r="AO1101" s="122">
        <v>1714</v>
      </c>
      <c r="AP1101" s="122">
        <v>1053</v>
      </c>
      <c r="AQ1101">
        <v>390</v>
      </c>
      <c r="AR1101" s="122">
        <v>14369</v>
      </c>
      <c r="AS1101" s="122">
        <v>11974</v>
      </c>
      <c r="AT1101" s="122">
        <v>7159</v>
      </c>
      <c r="AU1101" s="122">
        <v>2651</v>
      </c>
      <c r="AV1101" s="122">
        <v>53812</v>
      </c>
    </row>
    <row r="1102" spans="2:48" hidden="1">
      <c r="B1102" t="s">
        <v>370</v>
      </c>
      <c r="C1102" t="s">
        <v>56</v>
      </c>
      <c r="D1102" t="s">
        <v>137</v>
      </c>
      <c r="E1102" t="s">
        <v>137</v>
      </c>
      <c r="F1102" s="122">
        <v>61</v>
      </c>
      <c r="G1102" s="122">
        <v>4818</v>
      </c>
      <c r="H1102" s="122">
        <v>12337</v>
      </c>
      <c r="I1102" s="122">
        <v>443687</v>
      </c>
      <c r="J1102" s="122">
        <v>164329</v>
      </c>
      <c r="K1102" s="122">
        <v>102</v>
      </c>
      <c r="L1102" s="122">
        <v>70915</v>
      </c>
      <c r="M1102" s="122">
        <v>29701</v>
      </c>
      <c r="N1102" s="122">
        <v>96144</v>
      </c>
      <c r="O1102" s="122">
        <v>35609</v>
      </c>
      <c r="P1102" s="122">
        <v>351</v>
      </c>
      <c r="Q1102" s="122">
        <v>130</v>
      </c>
      <c r="R1102" s="122">
        <v>396324</v>
      </c>
      <c r="S1102" s="122">
        <v>146787</v>
      </c>
      <c r="T1102" s="122">
        <v>0</v>
      </c>
      <c r="U1102" s="122">
        <v>0</v>
      </c>
      <c r="V1102" s="122">
        <v>376555</v>
      </c>
      <c r="W1102" s="122">
        <f t="shared" si="34"/>
        <v>376556</v>
      </c>
      <c r="X1102" s="122">
        <f t="shared" si="35"/>
        <v>1007421</v>
      </c>
      <c r="AA1102" t="s">
        <v>58</v>
      </c>
      <c r="AB1102" t="s">
        <v>579</v>
      </c>
      <c r="AC1102" t="s">
        <v>566</v>
      </c>
      <c r="AD1102" t="s">
        <v>137</v>
      </c>
      <c r="AE1102" t="s">
        <v>566</v>
      </c>
      <c r="AF1102">
        <v>2</v>
      </c>
      <c r="AG1102">
        <v>165</v>
      </c>
      <c r="AH1102">
        <v>544</v>
      </c>
      <c r="AI1102" s="122">
        <v>23685</v>
      </c>
      <c r="AJ1102" s="122">
        <v>19737</v>
      </c>
      <c r="AK1102">
        <v>60</v>
      </c>
      <c r="AL1102">
        <v>0</v>
      </c>
      <c r="AM1102">
        <v>0</v>
      </c>
      <c r="AN1102" s="122">
        <v>2721</v>
      </c>
      <c r="AO1102" s="122">
        <v>1008</v>
      </c>
      <c r="AP1102">
        <v>702</v>
      </c>
      <c r="AQ1102">
        <v>260</v>
      </c>
      <c r="AR1102" s="122">
        <v>17225</v>
      </c>
      <c r="AS1102" s="122">
        <v>6380</v>
      </c>
      <c r="AT1102">
        <v>0</v>
      </c>
      <c r="AU1102">
        <v>0</v>
      </c>
      <c r="AV1102" s="122">
        <v>27385</v>
      </c>
    </row>
    <row r="1103" spans="2:48" hidden="1">
      <c r="B1103" t="s">
        <v>370</v>
      </c>
      <c r="C1103" t="s">
        <v>56</v>
      </c>
      <c r="D1103" t="s">
        <v>137</v>
      </c>
      <c r="E1103" t="s">
        <v>407</v>
      </c>
      <c r="F1103" s="122">
        <v>1</v>
      </c>
      <c r="G1103" s="122">
        <v>61</v>
      </c>
      <c r="H1103" s="122">
        <v>190</v>
      </c>
      <c r="I1103" s="122">
        <v>5832</v>
      </c>
      <c r="J1103" s="122">
        <v>2160</v>
      </c>
      <c r="K1103" s="122">
        <v>100</v>
      </c>
      <c r="L1103" s="122">
        <v>0</v>
      </c>
      <c r="M1103" s="122">
        <v>0</v>
      </c>
      <c r="N1103" s="122">
        <v>1497</v>
      </c>
      <c r="O1103" s="122">
        <v>554</v>
      </c>
      <c r="P1103" s="122">
        <v>0</v>
      </c>
      <c r="Q1103" s="122">
        <v>0</v>
      </c>
      <c r="R1103" s="122">
        <v>4368</v>
      </c>
      <c r="S1103" s="122">
        <v>3971</v>
      </c>
      <c r="T1103" s="122">
        <v>0</v>
      </c>
      <c r="U1103" s="122">
        <v>0</v>
      </c>
      <c r="V1103" s="122">
        <v>6685</v>
      </c>
      <c r="W1103" s="122">
        <f t="shared" si="34"/>
        <v>6685</v>
      </c>
      <c r="X1103" s="122">
        <f t="shared" si="35"/>
        <v>11697</v>
      </c>
      <c r="AA1103" t="s">
        <v>58</v>
      </c>
      <c r="AB1103" t="s">
        <v>579</v>
      </c>
      <c r="AC1103" t="s">
        <v>566</v>
      </c>
      <c r="AD1103" t="s">
        <v>407</v>
      </c>
      <c r="AE1103" t="s">
        <v>137</v>
      </c>
      <c r="AF1103">
        <v>1</v>
      </c>
      <c r="AG1103">
        <v>81</v>
      </c>
      <c r="AH1103">
        <v>272</v>
      </c>
      <c r="AI1103" s="122">
        <v>14746</v>
      </c>
      <c r="AJ1103" s="122">
        <v>12289</v>
      </c>
      <c r="AK1103">
        <v>75</v>
      </c>
      <c r="AL1103">
        <v>0</v>
      </c>
      <c r="AM1103">
        <v>0</v>
      </c>
      <c r="AN1103" s="122">
        <v>1146</v>
      </c>
      <c r="AO1103">
        <v>424</v>
      </c>
      <c r="AP1103">
        <v>351</v>
      </c>
      <c r="AQ1103">
        <v>130</v>
      </c>
      <c r="AR1103" s="122">
        <v>3604</v>
      </c>
      <c r="AS1103" s="122">
        <v>3276</v>
      </c>
      <c r="AT1103" s="122">
        <v>2180</v>
      </c>
      <c r="AU1103">
        <v>808</v>
      </c>
      <c r="AV1103" s="122">
        <v>16927</v>
      </c>
    </row>
    <row r="1104" spans="2:48" hidden="1">
      <c r="B1104" t="s">
        <v>370</v>
      </c>
      <c r="C1104" t="s">
        <v>56</v>
      </c>
      <c r="D1104" t="s">
        <v>406</v>
      </c>
      <c r="E1104" t="s">
        <v>425</v>
      </c>
      <c r="F1104" s="122">
        <v>1</v>
      </c>
      <c r="G1104" s="122">
        <v>88</v>
      </c>
      <c r="H1104" s="122">
        <v>207</v>
      </c>
      <c r="I1104" s="122">
        <v>7835</v>
      </c>
      <c r="J1104" s="122">
        <v>7122</v>
      </c>
      <c r="K1104" s="122">
        <v>86</v>
      </c>
      <c r="L1104" s="122">
        <v>2487</v>
      </c>
      <c r="M1104" s="122">
        <v>2261</v>
      </c>
      <c r="N1104" s="122">
        <v>2134</v>
      </c>
      <c r="O1104" s="122">
        <v>790</v>
      </c>
      <c r="P1104" s="122">
        <v>621</v>
      </c>
      <c r="Q1104" s="122">
        <v>230</v>
      </c>
      <c r="R1104" s="122">
        <v>5075</v>
      </c>
      <c r="S1104" s="122">
        <v>4614</v>
      </c>
      <c r="T1104" s="122">
        <v>0</v>
      </c>
      <c r="U1104" s="122">
        <v>0</v>
      </c>
      <c r="V1104" s="122">
        <v>15017</v>
      </c>
      <c r="W1104" s="122">
        <f t="shared" si="34"/>
        <v>15017</v>
      </c>
      <c r="X1104" s="122">
        <f t="shared" si="35"/>
        <v>18152</v>
      </c>
      <c r="AA1104" t="s">
        <v>58</v>
      </c>
      <c r="AB1104" t="s">
        <v>579</v>
      </c>
      <c r="AC1104" t="s">
        <v>566</v>
      </c>
      <c r="AD1104" t="s">
        <v>579</v>
      </c>
      <c r="AE1104" t="s">
        <v>137</v>
      </c>
      <c r="AF1104">
        <v>289</v>
      </c>
      <c r="AG1104" s="122">
        <v>24683</v>
      </c>
      <c r="AH1104" s="122">
        <v>78559</v>
      </c>
      <c r="AI1104" s="122">
        <v>3896566</v>
      </c>
      <c r="AJ1104" s="122">
        <v>3247138</v>
      </c>
      <c r="AK1104">
        <v>59</v>
      </c>
      <c r="AL1104">
        <v>0</v>
      </c>
      <c r="AM1104" s="122">
        <v>4970</v>
      </c>
      <c r="AN1104" s="122">
        <v>482988</v>
      </c>
      <c r="AO1104" s="122">
        <v>178885</v>
      </c>
      <c r="AP1104" s="122">
        <v>102599</v>
      </c>
      <c r="AQ1104" s="122">
        <v>38000</v>
      </c>
      <c r="AR1104" s="122">
        <v>1561551</v>
      </c>
      <c r="AS1104" s="122">
        <v>1301292</v>
      </c>
      <c r="AT1104" s="122">
        <v>686999</v>
      </c>
      <c r="AU1104" s="122">
        <v>254444</v>
      </c>
      <c r="AV1104" s="122">
        <v>5024729</v>
      </c>
    </row>
    <row r="1105" spans="2:48" hidden="1">
      <c r="B1105" t="s">
        <v>370</v>
      </c>
      <c r="C1105" t="s">
        <v>56</v>
      </c>
      <c r="D1105" t="s">
        <v>406</v>
      </c>
      <c r="E1105" t="s">
        <v>137</v>
      </c>
      <c r="F1105" s="122">
        <v>1</v>
      </c>
      <c r="G1105" s="122">
        <v>261</v>
      </c>
      <c r="H1105" s="122">
        <v>169</v>
      </c>
      <c r="I1105" s="122">
        <v>41731</v>
      </c>
      <c r="J1105" s="122">
        <v>37937</v>
      </c>
      <c r="K1105" s="122">
        <v>79</v>
      </c>
      <c r="L1105" s="122">
        <v>6660</v>
      </c>
      <c r="M1105" s="122">
        <v>6055</v>
      </c>
      <c r="N1105" s="122">
        <v>9055</v>
      </c>
      <c r="O1105" s="122">
        <v>3354</v>
      </c>
      <c r="P1105" s="122">
        <v>621</v>
      </c>
      <c r="Q1105" s="122">
        <v>230</v>
      </c>
      <c r="R1105" s="122">
        <v>4766</v>
      </c>
      <c r="S1105" s="122">
        <v>1765</v>
      </c>
      <c r="T1105" s="122">
        <v>0</v>
      </c>
      <c r="U1105" s="122">
        <v>0</v>
      </c>
      <c r="V1105" s="122">
        <v>49341</v>
      </c>
      <c r="W1105" s="122">
        <f t="shared" si="34"/>
        <v>49341</v>
      </c>
      <c r="X1105" s="122">
        <f t="shared" si="35"/>
        <v>62833</v>
      </c>
      <c r="AA1105" t="s">
        <v>58</v>
      </c>
      <c r="AB1105" t="s">
        <v>579</v>
      </c>
      <c r="AC1105" t="s">
        <v>566</v>
      </c>
      <c r="AD1105" t="s">
        <v>579</v>
      </c>
      <c r="AE1105" t="s">
        <v>566</v>
      </c>
      <c r="AF1105">
        <v>10</v>
      </c>
      <c r="AG1105">
        <v>888</v>
      </c>
      <c r="AH1105" s="122">
        <v>2776</v>
      </c>
      <c r="AI1105" s="122">
        <v>157137</v>
      </c>
      <c r="AJ1105" s="122">
        <v>130947</v>
      </c>
      <c r="AK1105">
        <v>64</v>
      </c>
      <c r="AL1105">
        <v>0</v>
      </c>
      <c r="AM1105" s="122">
        <v>2364</v>
      </c>
      <c r="AN1105" s="122">
        <v>15744</v>
      </c>
      <c r="AO1105" s="122">
        <v>5831</v>
      </c>
      <c r="AP1105" s="122">
        <v>3510</v>
      </c>
      <c r="AQ1105" s="122">
        <v>1300</v>
      </c>
      <c r="AR1105" s="122">
        <v>71253</v>
      </c>
      <c r="AS1105" s="122">
        <v>59378</v>
      </c>
      <c r="AT1105">
        <v>0</v>
      </c>
      <c r="AU1105">
        <v>0</v>
      </c>
      <c r="AV1105" s="122">
        <v>199820</v>
      </c>
    </row>
    <row r="1106" spans="2:48" hidden="1">
      <c r="B1106" t="s">
        <v>370</v>
      </c>
      <c r="C1106" t="s">
        <v>56</v>
      </c>
      <c r="D1106" t="s">
        <v>406</v>
      </c>
      <c r="E1106" t="s">
        <v>406</v>
      </c>
      <c r="F1106" s="122">
        <v>2313</v>
      </c>
      <c r="G1106" s="122">
        <v>233217</v>
      </c>
      <c r="H1106" s="122">
        <v>447133</v>
      </c>
      <c r="I1106" s="122">
        <v>21925107</v>
      </c>
      <c r="J1106" s="122">
        <v>19931915</v>
      </c>
      <c r="K1106" s="122">
        <v>87</v>
      </c>
      <c r="L1106" s="122">
        <v>5272729</v>
      </c>
      <c r="M1106" s="122">
        <v>4575175</v>
      </c>
      <c r="N1106" s="122">
        <v>4533331</v>
      </c>
      <c r="O1106" s="122">
        <v>1679011</v>
      </c>
      <c r="P1106" s="122">
        <v>1495134</v>
      </c>
      <c r="Q1106" s="122">
        <v>553753</v>
      </c>
      <c r="R1106" s="122">
        <v>10201307</v>
      </c>
      <c r="S1106" s="122">
        <v>9273915</v>
      </c>
      <c r="T1106" s="122">
        <v>2219699</v>
      </c>
      <c r="U1106" s="122">
        <v>822111</v>
      </c>
      <c r="V1106" s="122">
        <v>36835881</v>
      </c>
      <c r="W1106" s="122">
        <f t="shared" si="34"/>
        <v>36835880</v>
      </c>
      <c r="X1106" s="122">
        <f t="shared" si="35"/>
        <v>45647307</v>
      </c>
      <c r="AA1106" t="s">
        <v>58</v>
      </c>
      <c r="AB1106" t="s">
        <v>579</v>
      </c>
      <c r="AC1106" t="s">
        <v>566</v>
      </c>
      <c r="AD1106" t="s">
        <v>431</v>
      </c>
      <c r="AE1106" t="s">
        <v>137</v>
      </c>
      <c r="AF1106">
        <v>1</v>
      </c>
      <c r="AG1106">
        <v>75</v>
      </c>
      <c r="AH1106">
        <v>259</v>
      </c>
      <c r="AI1106" s="122">
        <v>12107</v>
      </c>
      <c r="AJ1106" s="122">
        <v>10089</v>
      </c>
      <c r="AK1106">
        <v>65</v>
      </c>
      <c r="AL1106">
        <v>0</v>
      </c>
      <c r="AM1106" s="122">
        <v>1121</v>
      </c>
      <c r="AN1106" s="122">
        <v>1722</v>
      </c>
      <c r="AO1106">
        <v>638</v>
      </c>
      <c r="AP1106">
        <v>351</v>
      </c>
      <c r="AQ1106">
        <v>130</v>
      </c>
      <c r="AR1106" s="122">
        <v>3100</v>
      </c>
      <c r="AS1106" s="122">
        <v>2818</v>
      </c>
      <c r="AT1106" s="122">
        <v>2115</v>
      </c>
      <c r="AU1106">
        <v>783</v>
      </c>
      <c r="AV1106" s="122">
        <v>15580</v>
      </c>
    </row>
    <row r="1107" spans="2:48" hidden="1">
      <c r="B1107" t="s">
        <v>370</v>
      </c>
      <c r="C1107" t="s">
        <v>56</v>
      </c>
      <c r="D1107" t="s">
        <v>406</v>
      </c>
      <c r="E1107" t="s">
        <v>427</v>
      </c>
      <c r="F1107" s="122">
        <v>3</v>
      </c>
      <c r="G1107" s="122">
        <v>250</v>
      </c>
      <c r="H1107" s="122">
        <v>596</v>
      </c>
      <c r="I1107" s="122">
        <v>22752</v>
      </c>
      <c r="J1107" s="122">
        <v>20684</v>
      </c>
      <c r="K1107" s="122">
        <v>89</v>
      </c>
      <c r="L1107" s="122">
        <v>5240</v>
      </c>
      <c r="M1107" s="122">
        <v>4764</v>
      </c>
      <c r="N1107" s="122">
        <v>5682</v>
      </c>
      <c r="O1107" s="122">
        <v>2104</v>
      </c>
      <c r="P1107" s="122">
        <v>1593</v>
      </c>
      <c r="Q1107" s="122">
        <v>590</v>
      </c>
      <c r="R1107" s="122">
        <v>14648</v>
      </c>
      <c r="S1107" s="122">
        <v>13317</v>
      </c>
      <c r="T1107" s="122">
        <v>0</v>
      </c>
      <c r="U1107" s="122">
        <v>0</v>
      </c>
      <c r="V1107" s="122">
        <v>41459</v>
      </c>
      <c r="W1107" s="122">
        <f t="shared" si="34"/>
        <v>41459</v>
      </c>
      <c r="X1107" s="122">
        <f t="shared" si="35"/>
        <v>49915</v>
      </c>
      <c r="AA1107" t="s">
        <v>58</v>
      </c>
      <c r="AB1107" t="s">
        <v>428</v>
      </c>
      <c r="AC1107" t="s">
        <v>137</v>
      </c>
      <c r="AD1107" t="s">
        <v>428</v>
      </c>
      <c r="AE1107" t="s">
        <v>137</v>
      </c>
      <c r="AF1107">
        <v>4</v>
      </c>
      <c r="AG1107">
        <v>375</v>
      </c>
      <c r="AH1107" s="122">
        <v>1081</v>
      </c>
      <c r="AI1107" s="122">
        <v>54073</v>
      </c>
      <c r="AJ1107" s="122">
        <v>49158</v>
      </c>
      <c r="AK1107">
        <v>59</v>
      </c>
      <c r="AL1107" s="122">
        <v>11224</v>
      </c>
      <c r="AM1107" s="122">
        <v>4157</v>
      </c>
      <c r="AN1107" s="122">
        <v>5770</v>
      </c>
      <c r="AO1107" s="122">
        <v>2137</v>
      </c>
      <c r="AP1107" s="122">
        <v>1053</v>
      </c>
      <c r="AQ1107">
        <v>390</v>
      </c>
      <c r="AR1107" s="122">
        <v>18716</v>
      </c>
      <c r="AS1107" s="122">
        <v>17014</v>
      </c>
      <c r="AT1107" s="122">
        <v>9648</v>
      </c>
      <c r="AU1107" s="122">
        <v>3573</v>
      </c>
      <c r="AV1107" s="122">
        <v>76429</v>
      </c>
    </row>
    <row r="1108" spans="2:48" hidden="1">
      <c r="B1108" t="s">
        <v>370</v>
      </c>
      <c r="C1108" t="s">
        <v>56</v>
      </c>
      <c r="D1108" t="s">
        <v>406</v>
      </c>
      <c r="E1108" t="s">
        <v>407</v>
      </c>
      <c r="F1108" s="122">
        <v>3</v>
      </c>
      <c r="G1108" s="122">
        <v>323</v>
      </c>
      <c r="H1108" s="122">
        <v>639</v>
      </c>
      <c r="I1108" s="122">
        <v>37134</v>
      </c>
      <c r="J1108" s="122">
        <v>33758</v>
      </c>
      <c r="K1108" s="122">
        <v>89</v>
      </c>
      <c r="L1108" s="122">
        <v>6244</v>
      </c>
      <c r="M1108" s="122">
        <v>5397</v>
      </c>
      <c r="N1108" s="122">
        <v>6309</v>
      </c>
      <c r="O1108" s="122">
        <v>2337</v>
      </c>
      <c r="P1108" s="122">
        <v>1863</v>
      </c>
      <c r="Q1108" s="122">
        <v>690</v>
      </c>
      <c r="R1108" s="122">
        <v>12281</v>
      </c>
      <c r="S1108" s="122">
        <v>11165</v>
      </c>
      <c r="T1108" s="122">
        <v>5046</v>
      </c>
      <c r="U1108" s="122">
        <v>1869</v>
      </c>
      <c r="V1108" s="122">
        <v>55216</v>
      </c>
      <c r="W1108" s="122">
        <f t="shared" si="34"/>
        <v>55216</v>
      </c>
      <c r="X1108" s="122">
        <f t="shared" si="35"/>
        <v>68877</v>
      </c>
      <c r="AA1108" t="s">
        <v>58</v>
      </c>
      <c r="AB1108" t="s">
        <v>428</v>
      </c>
      <c r="AC1108" t="s">
        <v>137</v>
      </c>
      <c r="AD1108" t="s">
        <v>428</v>
      </c>
      <c r="AE1108" t="s">
        <v>566</v>
      </c>
      <c r="AF1108">
        <v>1</v>
      </c>
      <c r="AG1108">
        <v>116</v>
      </c>
      <c r="AH1108">
        <v>270</v>
      </c>
      <c r="AI1108" s="122">
        <v>14312</v>
      </c>
      <c r="AJ1108" s="122">
        <v>13011</v>
      </c>
      <c r="AK1108">
        <v>50</v>
      </c>
      <c r="AL1108" s="122">
        <v>6506</v>
      </c>
      <c r="AM1108" s="122">
        <v>2409</v>
      </c>
      <c r="AN1108" s="122">
        <v>2820</v>
      </c>
      <c r="AO1108" s="122">
        <v>1044</v>
      </c>
      <c r="AP1108">
        <v>0</v>
      </c>
      <c r="AQ1108">
        <v>0</v>
      </c>
      <c r="AR1108" s="122">
        <v>7578</v>
      </c>
      <c r="AS1108" s="122">
        <v>6889</v>
      </c>
      <c r="AT1108">
        <v>0</v>
      </c>
      <c r="AU1108">
        <v>0</v>
      </c>
      <c r="AV1108" s="122">
        <v>23354</v>
      </c>
    </row>
    <row r="1109" spans="2:48" hidden="1">
      <c r="B1109" t="s">
        <v>370</v>
      </c>
      <c r="C1109" t="s">
        <v>56</v>
      </c>
      <c r="D1109" t="s">
        <v>407</v>
      </c>
      <c r="E1109" t="s">
        <v>405</v>
      </c>
      <c r="F1109" s="122">
        <v>1</v>
      </c>
      <c r="G1109" s="122">
        <v>106</v>
      </c>
      <c r="H1109" s="122">
        <v>201</v>
      </c>
      <c r="I1109" s="122">
        <v>10684</v>
      </c>
      <c r="J1109" s="122">
        <v>9712</v>
      </c>
      <c r="K1109" s="122">
        <v>90</v>
      </c>
      <c r="L1109" s="122">
        <v>5348</v>
      </c>
      <c r="M1109" s="122">
        <v>4862</v>
      </c>
      <c r="N1109" s="122">
        <v>1892</v>
      </c>
      <c r="O1109" s="122">
        <v>701</v>
      </c>
      <c r="P1109" s="122">
        <v>473</v>
      </c>
      <c r="Q1109" s="122">
        <v>175</v>
      </c>
      <c r="R1109" s="122">
        <v>2814</v>
      </c>
      <c r="S1109" s="122">
        <v>2558</v>
      </c>
      <c r="T1109" s="122">
        <v>0</v>
      </c>
      <c r="U1109" s="122">
        <v>0</v>
      </c>
      <c r="V1109" s="122">
        <v>18008</v>
      </c>
      <c r="W1109" s="122">
        <f t="shared" si="34"/>
        <v>18008</v>
      </c>
      <c r="X1109" s="122">
        <f t="shared" si="35"/>
        <v>21211</v>
      </c>
      <c r="AA1109" t="s">
        <v>58</v>
      </c>
      <c r="AB1109" t="s">
        <v>428</v>
      </c>
      <c r="AC1109" t="s">
        <v>427</v>
      </c>
      <c r="AD1109" t="s">
        <v>428</v>
      </c>
      <c r="AE1109" t="s">
        <v>566</v>
      </c>
      <c r="AF1109">
        <v>2</v>
      </c>
      <c r="AG1109">
        <v>156</v>
      </c>
      <c r="AH1109">
        <v>586</v>
      </c>
      <c r="AI1109" s="122">
        <v>24743</v>
      </c>
      <c r="AJ1109" s="122">
        <v>22494</v>
      </c>
      <c r="AK1109">
        <v>53</v>
      </c>
      <c r="AL1109" s="122">
        <v>3751</v>
      </c>
      <c r="AM1109" s="122">
        <v>3410</v>
      </c>
      <c r="AN1109" s="122">
        <v>3069</v>
      </c>
      <c r="AO1109" s="122">
        <v>1137</v>
      </c>
      <c r="AP1109">
        <v>702</v>
      </c>
      <c r="AQ1109">
        <v>260</v>
      </c>
      <c r="AR1109" s="122">
        <v>13210</v>
      </c>
      <c r="AS1109" s="122">
        <v>12009</v>
      </c>
      <c r="AT1109">
        <v>0</v>
      </c>
      <c r="AU1109">
        <v>0</v>
      </c>
      <c r="AV1109" s="122">
        <v>39310</v>
      </c>
    </row>
    <row r="1110" spans="2:48" hidden="1">
      <c r="B1110" t="s">
        <v>370</v>
      </c>
      <c r="C1110" t="s">
        <v>56</v>
      </c>
      <c r="D1110" t="s">
        <v>407</v>
      </c>
      <c r="E1110" t="s">
        <v>137</v>
      </c>
      <c r="F1110" s="122">
        <v>14</v>
      </c>
      <c r="G1110" s="122">
        <v>1432</v>
      </c>
      <c r="H1110" s="122">
        <v>2823</v>
      </c>
      <c r="I1110" s="122">
        <v>123645</v>
      </c>
      <c r="J1110" s="122">
        <v>112405</v>
      </c>
      <c r="K1110" s="122">
        <v>80</v>
      </c>
      <c r="L1110" s="122">
        <v>44611</v>
      </c>
      <c r="M1110" s="122">
        <v>40158</v>
      </c>
      <c r="N1110" s="122">
        <v>32267</v>
      </c>
      <c r="O1110" s="122">
        <v>11951</v>
      </c>
      <c r="P1110" s="122">
        <v>6615</v>
      </c>
      <c r="Q1110" s="122">
        <v>2450</v>
      </c>
      <c r="R1110" s="122">
        <v>78630</v>
      </c>
      <c r="S1110" s="122">
        <v>29122</v>
      </c>
      <c r="T1110" s="122">
        <v>0</v>
      </c>
      <c r="U1110" s="122">
        <v>0</v>
      </c>
      <c r="V1110" s="122">
        <v>196085</v>
      </c>
      <c r="W1110" s="122">
        <f t="shared" si="34"/>
        <v>196086</v>
      </c>
      <c r="X1110" s="122">
        <f t="shared" si="35"/>
        <v>285768</v>
      </c>
      <c r="AA1110" t="s">
        <v>58</v>
      </c>
      <c r="AB1110" t="s">
        <v>428</v>
      </c>
      <c r="AC1110" t="s">
        <v>428</v>
      </c>
      <c r="AD1110" t="s">
        <v>137</v>
      </c>
      <c r="AE1110" t="s">
        <v>566</v>
      </c>
      <c r="AF1110">
        <v>1</v>
      </c>
      <c r="AG1110">
        <v>83</v>
      </c>
      <c r="AH1110">
        <v>298</v>
      </c>
      <c r="AI1110" s="122">
        <v>10859</v>
      </c>
      <c r="AJ1110" s="122">
        <v>9872</v>
      </c>
      <c r="AK1110">
        <v>65</v>
      </c>
      <c r="AL1110" s="122">
        <v>2614</v>
      </c>
      <c r="AM1110" s="122">
        <v>2377</v>
      </c>
      <c r="AN1110" s="122">
        <v>1013</v>
      </c>
      <c r="AO1110">
        <v>375</v>
      </c>
      <c r="AP1110">
        <v>0</v>
      </c>
      <c r="AQ1110">
        <v>0</v>
      </c>
      <c r="AR1110" s="122">
        <v>10294</v>
      </c>
      <c r="AS1110" s="122">
        <v>3813</v>
      </c>
      <c r="AT1110">
        <v>0</v>
      </c>
      <c r="AU1110">
        <v>0</v>
      </c>
      <c r="AV1110" s="122">
        <v>16437</v>
      </c>
    </row>
    <row r="1111" spans="2:48" hidden="1">
      <c r="B1111" t="s">
        <v>370</v>
      </c>
      <c r="C1111" t="s">
        <v>56</v>
      </c>
      <c r="D1111" t="s">
        <v>407</v>
      </c>
      <c r="E1111" t="s">
        <v>406</v>
      </c>
      <c r="F1111" s="122">
        <v>1</v>
      </c>
      <c r="G1111" s="122">
        <v>80</v>
      </c>
      <c r="H1111" s="122">
        <v>158</v>
      </c>
      <c r="I1111" s="122">
        <v>6387</v>
      </c>
      <c r="J1111" s="122">
        <v>5806</v>
      </c>
      <c r="K1111" s="122">
        <v>91</v>
      </c>
      <c r="L1111" s="122">
        <v>1174</v>
      </c>
      <c r="M1111" s="122">
        <v>978</v>
      </c>
      <c r="N1111" s="122">
        <v>979</v>
      </c>
      <c r="O1111" s="122">
        <v>362</v>
      </c>
      <c r="P1111" s="122">
        <v>473</v>
      </c>
      <c r="Q1111" s="122">
        <v>175</v>
      </c>
      <c r="R1111" s="122">
        <v>3681</v>
      </c>
      <c r="S1111" s="122">
        <v>3347</v>
      </c>
      <c r="T1111" s="122">
        <v>0</v>
      </c>
      <c r="U1111" s="122">
        <v>0</v>
      </c>
      <c r="V1111" s="122">
        <v>10669</v>
      </c>
      <c r="W1111" s="122">
        <f t="shared" si="34"/>
        <v>10668</v>
      </c>
      <c r="X1111" s="122">
        <f t="shared" si="35"/>
        <v>12694</v>
      </c>
      <c r="AA1111" t="s">
        <v>58</v>
      </c>
      <c r="AB1111" t="s">
        <v>428</v>
      </c>
      <c r="AC1111" t="s">
        <v>428</v>
      </c>
      <c r="AD1111" t="s">
        <v>406</v>
      </c>
      <c r="AE1111" t="s">
        <v>137</v>
      </c>
      <c r="AF1111">
        <v>1</v>
      </c>
      <c r="AG1111">
        <v>147</v>
      </c>
      <c r="AH1111">
        <v>234</v>
      </c>
      <c r="AI1111" s="122">
        <v>19376</v>
      </c>
      <c r="AJ1111" s="122">
        <v>17615</v>
      </c>
      <c r="AK1111">
        <v>79</v>
      </c>
      <c r="AL1111" s="122">
        <v>5382</v>
      </c>
      <c r="AM1111" s="122">
        <v>4893</v>
      </c>
      <c r="AN1111" s="122">
        <v>3446</v>
      </c>
      <c r="AO1111" s="122">
        <v>1276</v>
      </c>
      <c r="AP1111">
        <v>621</v>
      </c>
      <c r="AQ1111">
        <v>230</v>
      </c>
      <c r="AR1111" s="122">
        <v>5666</v>
      </c>
      <c r="AS1111" s="122">
        <v>5151</v>
      </c>
      <c r="AT1111">
        <v>0</v>
      </c>
      <c r="AU1111">
        <v>0</v>
      </c>
      <c r="AV1111" s="122">
        <v>29165</v>
      </c>
    </row>
    <row r="1112" spans="2:48" hidden="1">
      <c r="B1112" t="s">
        <v>370</v>
      </c>
      <c r="C1112" t="s">
        <v>56</v>
      </c>
      <c r="D1112" t="s">
        <v>407</v>
      </c>
      <c r="E1112" t="s">
        <v>427</v>
      </c>
      <c r="F1112" s="122">
        <v>1</v>
      </c>
      <c r="G1112" s="122">
        <v>134</v>
      </c>
      <c r="H1112" s="122">
        <v>212</v>
      </c>
      <c r="I1112" s="122">
        <v>14427</v>
      </c>
      <c r="J1112" s="122">
        <v>13115</v>
      </c>
      <c r="K1112" s="122">
        <v>78</v>
      </c>
      <c r="L1112" s="122">
        <v>3959</v>
      </c>
      <c r="M1112" s="122">
        <v>3599</v>
      </c>
      <c r="N1112" s="122">
        <v>2893</v>
      </c>
      <c r="O1112" s="122">
        <v>1071</v>
      </c>
      <c r="P1112" s="122">
        <v>473</v>
      </c>
      <c r="Q1112" s="122">
        <v>175</v>
      </c>
      <c r="R1112" s="122">
        <v>3779</v>
      </c>
      <c r="S1112" s="122">
        <v>3435</v>
      </c>
      <c r="T1112" s="122">
        <v>2842</v>
      </c>
      <c r="U1112" s="122">
        <v>1052</v>
      </c>
      <c r="V1112" s="122">
        <v>22448</v>
      </c>
      <c r="W1112" s="122">
        <f t="shared" si="34"/>
        <v>22447</v>
      </c>
      <c r="X1112" s="122">
        <f t="shared" si="35"/>
        <v>28373</v>
      </c>
      <c r="AA1112" t="s">
        <v>58</v>
      </c>
      <c r="AB1112" t="s">
        <v>428</v>
      </c>
      <c r="AC1112" t="s">
        <v>428</v>
      </c>
      <c r="AD1112" t="s">
        <v>428</v>
      </c>
      <c r="AE1112" t="s">
        <v>137</v>
      </c>
      <c r="AF1112">
        <v>14</v>
      </c>
      <c r="AG1112" s="122">
        <v>1179</v>
      </c>
      <c r="AH1112" s="122">
        <v>3901</v>
      </c>
      <c r="AI1112" s="122">
        <v>167174</v>
      </c>
      <c r="AJ1112" s="122">
        <v>151976</v>
      </c>
      <c r="AK1112">
        <v>59</v>
      </c>
      <c r="AL1112" s="122">
        <v>29953</v>
      </c>
      <c r="AM1112" s="122">
        <v>27230</v>
      </c>
      <c r="AN1112" s="122">
        <v>23508</v>
      </c>
      <c r="AO1112" s="122">
        <v>8707</v>
      </c>
      <c r="AP1112" s="122">
        <v>4563</v>
      </c>
      <c r="AQ1112" s="122">
        <v>1690</v>
      </c>
      <c r="AR1112" s="122">
        <v>73402</v>
      </c>
      <c r="AS1112" s="122">
        <v>66729</v>
      </c>
      <c r="AT1112" s="122">
        <v>29842</v>
      </c>
      <c r="AU1112" s="122">
        <v>11053</v>
      </c>
      <c r="AV1112" s="122">
        <v>267385</v>
      </c>
    </row>
    <row r="1113" spans="2:48" hidden="1">
      <c r="B1113" t="s">
        <v>370</v>
      </c>
      <c r="C1113" t="s">
        <v>56</v>
      </c>
      <c r="D1113" t="s">
        <v>407</v>
      </c>
      <c r="E1113" t="s">
        <v>407</v>
      </c>
      <c r="F1113" s="122">
        <v>5328</v>
      </c>
      <c r="G1113" s="122">
        <v>548530</v>
      </c>
      <c r="H1113" s="122">
        <v>1008271</v>
      </c>
      <c r="I1113" s="122">
        <v>49537140</v>
      </c>
      <c r="J1113" s="122">
        <v>45033764</v>
      </c>
      <c r="K1113" s="122">
        <v>83</v>
      </c>
      <c r="L1113" s="122">
        <v>13771220</v>
      </c>
      <c r="M1113" s="122">
        <v>12558517</v>
      </c>
      <c r="N1113" s="122">
        <v>10654117</v>
      </c>
      <c r="O1113" s="122">
        <v>3945969</v>
      </c>
      <c r="P1113" s="122">
        <v>2569800</v>
      </c>
      <c r="Q1113" s="122">
        <v>951778</v>
      </c>
      <c r="R1113" s="122">
        <v>25211894</v>
      </c>
      <c r="S1113" s="122">
        <v>22919904</v>
      </c>
      <c r="T1113" s="122">
        <v>3031356</v>
      </c>
      <c r="U1113" s="122">
        <v>1122724</v>
      </c>
      <c r="V1113" s="122">
        <v>86532656</v>
      </c>
      <c r="W1113" s="122">
        <f t="shared" si="34"/>
        <v>86532656</v>
      </c>
      <c r="X1113" s="122">
        <f t="shared" si="35"/>
        <v>104775527</v>
      </c>
      <c r="AA1113" t="s">
        <v>58</v>
      </c>
      <c r="AB1113" t="s">
        <v>428</v>
      </c>
      <c r="AC1113" t="s">
        <v>428</v>
      </c>
      <c r="AD1113" t="s">
        <v>428</v>
      </c>
      <c r="AE1113" t="s">
        <v>566</v>
      </c>
      <c r="AF1113">
        <v>10</v>
      </c>
      <c r="AG1113">
        <v>785</v>
      </c>
      <c r="AH1113" s="122">
        <v>2724</v>
      </c>
      <c r="AI1113" s="122">
        <v>115173</v>
      </c>
      <c r="AJ1113" s="122">
        <v>104703</v>
      </c>
      <c r="AK1113">
        <v>64</v>
      </c>
      <c r="AL1113" s="122">
        <v>21142</v>
      </c>
      <c r="AM1113" s="122">
        <v>19220</v>
      </c>
      <c r="AN1113" s="122">
        <v>13122</v>
      </c>
      <c r="AO1113" s="122">
        <v>4860</v>
      </c>
      <c r="AP1113" s="122">
        <v>3510</v>
      </c>
      <c r="AQ1113" s="122">
        <v>1300</v>
      </c>
      <c r="AR1113" s="122">
        <v>58993</v>
      </c>
      <c r="AS1113" s="122">
        <v>53630</v>
      </c>
      <c r="AT1113">
        <v>0</v>
      </c>
      <c r="AU1113">
        <v>0</v>
      </c>
      <c r="AV1113" s="122">
        <v>183713</v>
      </c>
    </row>
    <row r="1114" spans="2:48" hidden="1">
      <c r="B1114" t="s">
        <v>370</v>
      </c>
      <c r="C1114" t="s">
        <v>56</v>
      </c>
      <c r="D1114" t="s">
        <v>407</v>
      </c>
      <c r="E1114" t="s">
        <v>556</v>
      </c>
      <c r="F1114" s="122">
        <v>1</v>
      </c>
      <c r="G1114" s="122">
        <v>102</v>
      </c>
      <c r="H1114" s="122">
        <v>207</v>
      </c>
      <c r="I1114" s="122">
        <v>9753</v>
      </c>
      <c r="J1114" s="122">
        <v>8866</v>
      </c>
      <c r="K1114" s="122">
        <v>80</v>
      </c>
      <c r="L1114" s="122">
        <v>2875</v>
      </c>
      <c r="M1114" s="122">
        <v>2614</v>
      </c>
      <c r="N1114" s="122">
        <v>1661</v>
      </c>
      <c r="O1114" s="122">
        <v>615</v>
      </c>
      <c r="P1114" s="122">
        <v>473</v>
      </c>
      <c r="Q1114" s="122">
        <v>175</v>
      </c>
      <c r="R1114" s="122">
        <v>6452</v>
      </c>
      <c r="S1114" s="122">
        <v>5377</v>
      </c>
      <c r="T1114" s="122">
        <v>0</v>
      </c>
      <c r="U1114" s="122">
        <v>0</v>
      </c>
      <c r="V1114" s="122">
        <v>17647</v>
      </c>
      <c r="W1114" s="122">
        <f t="shared" si="34"/>
        <v>17647</v>
      </c>
      <c r="X1114" s="122">
        <f t="shared" si="35"/>
        <v>21214</v>
      </c>
      <c r="AA1114" t="s">
        <v>58</v>
      </c>
      <c r="AB1114" t="s">
        <v>428</v>
      </c>
      <c r="AC1114" t="s">
        <v>566</v>
      </c>
      <c r="AD1114" t="s">
        <v>428</v>
      </c>
      <c r="AE1114" t="s">
        <v>137</v>
      </c>
      <c r="AF1114">
        <v>4</v>
      </c>
      <c r="AG1114">
        <v>317</v>
      </c>
      <c r="AH1114" s="122">
        <v>1107</v>
      </c>
      <c r="AI1114" s="122">
        <v>53688</v>
      </c>
      <c r="AJ1114" s="122">
        <v>48808</v>
      </c>
      <c r="AK1114">
        <v>58</v>
      </c>
      <c r="AL1114">
        <v>0</v>
      </c>
      <c r="AM1114">
        <v>0</v>
      </c>
      <c r="AN1114" s="122">
        <v>5779</v>
      </c>
      <c r="AO1114" s="122">
        <v>2140</v>
      </c>
      <c r="AP1114">
        <v>702</v>
      </c>
      <c r="AQ1114">
        <v>260</v>
      </c>
      <c r="AR1114" s="122">
        <v>18781</v>
      </c>
      <c r="AS1114" s="122">
        <v>17074</v>
      </c>
      <c r="AT1114" s="122">
        <v>8611</v>
      </c>
      <c r="AU1114" s="122">
        <v>3189</v>
      </c>
      <c r="AV1114" s="122">
        <v>71471</v>
      </c>
    </row>
    <row r="1115" spans="2:48" hidden="1">
      <c r="B1115" t="s">
        <v>370</v>
      </c>
      <c r="C1115" t="s">
        <v>56</v>
      </c>
      <c r="D1115" t="s">
        <v>407</v>
      </c>
      <c r="E1115" t="s">
        <v>428</v>
      </c>
      <c r="F1115" s="122">
        <v>1</v>
      </c>
      <c r="G1115" s="122">
        <v>105</v>
      </c>
      <c r="H1115" s="122">
        <v>180</v>
      </c>
      <c r="I1115" s="122">
        <v>8726</v>
      </c>
      <c r="J1115" s="122">
        <v>7933</v>
      </c>
      <c r="K1115" s="122">
        <v>79</v>
      </c>
      <c r="L1115" s="122">
        <v>2417</v>
      </c>
      <c r="M1115" s="122">
        <v>2198</v>
      </c>
      <c r="N1115" s="122">
        <v>2337</v>
      </c>
      <c r="O1115" s="122">
        <v>866</v>
      </c>
      <c r="P1115" s="122">
        <v>473</v>
      </c>
      <c r="Q1115" s="122">
        <v>175</v>
      </c>
      <c r="R1115" s="122">
        <v>4934</v>
      </c>
      <c r="S1115" s="122">
        <v>4485</v>
      </c>
      <c r="T1115" s="122">
        <v>0</v>
      </c>
      <c r="U1115" s="122">
        <v>0</v>
      </c>
      <c r="V1115" s="122">
        <v>15656</v>
      </c>
      <c r="W1115" s="122">
        <f t="shared" si="34"/>
        <v>15657</v>
      </c>
      <c r="X1115" s="122">
        <f t="shared" si="35"/>
        <v>18887</v>
      </c>
      <c r="AA1115" t="s">
        <v>58</v>
      </c>
      <c r="AB1115" t="s">
        <v>428</v>
      </c>
      <c r="AC1115" t="s">
        <v>566</v>
      </c>
      <c r="AD1115" t="s">
        <v>428</v>
      </c>
      <c r="AE1115" t="s">
        <v>566</v>
      </c>
      <c r="AF1115">
        <v>1</v>
      </c>
      <c r="AG1115">
        <v>65</v>
      </c>
      <c r="AH1115">
        <v>278</v>
      </c>
      <c r="AI1115" s="122">
        <v>7582</v>
      </c>
      <c r="AJ1115" s="122">
        <v>6893</v>
      </c>
      <c r="AK1115">
        <v>65</v>
      </c>
      <c r="AL1115">
        <v>0</v>
      </c>
      <c r="AM1115" s="122">
        <v>1659</v>
      </c>
      <c r="AN1115" s="122">
        <v>1080</v>
      </c>
      <c r="AO1115">
        <v>400</v>
      </c>
      <c r="AP1115">
        <v>351</v>
      </c>
      <c r="AQ1115">
        <v>130</v>
      </c>
      <c r="AR1115" s="122">
        <v>8979</v>
      </c>
      <c r="AS1115" s="122">
        <v>8163</v>
      </c>
      <c r="AT1115">
        <v>0</v>
      </c>
      <c r="AU1115">
        <v>0</v>
      </c>
      <c r="AV1115" s="122">
        <v>17245</v>
      </c>
    </row>
    <row r="1116" spans="2:48" hidden="1">
      <c r="B1116" t="s">
        <v>370</v>
      </c>
      <c r="C1116" t="s">
        <v>56</v>
      </c>
      <c r="D1116" t="s">
        <v>407</v>
      </c>
      <c r="E1116" t="s">
        <v>426</v>
      </c>
      <c r="F1116" s="122">
        <v>1</v>
      </c>
      <c r="G1116" s="122">
        <v>115</v>
      </c>
      <c r="H1116" s="122">
        <v>174</v>
      </c>
      <c r="I1116" s="122">
        <v>10164</v>
      </c>
      <c r="J1116" s="122">
        <v>9240</v>
      </c>
      <c r="K1116" s="122">
        <v>78</v>
      </c>
      <c r="L1116" s="122">
        <v>2940</v>
      </c>
      <c r="M1116" s="122">
        <v>2673</v>
      </c>
      <c r="N1116" s="122">
        <v>1400</v>
      </c>
      <c r="O1116" s="122">
        <v>518</v>
      </c>
      <c r="P1116" s="122">
        <v>473</v>
      </c>
      <c r="Q1116" s="122">
        <v>175</v>
      </c>
      <c r="R1116" s="122">
        <v>4990</v>
      </c>
      <c r="S1116" s="122">
        <v>4536</v>
      </c>
      <c r="T1116" s="122">
        <v>0</v>
      </c>
      <c r="U1116" s="122">
        <v>0</v>
      </c>
      <c r="V1116" s="122">
        <v>17142</v>
      </c>
      <c r="W1116" s="122">
        <f t="shared" si="34"/>
        <v>17142</v>
      </c>
      <c r="X1116" s="122">
        <f t="shared" si="35"/>
        <v>19967</v>
      </c>
      <c r="AA1116" t="s">
        <v>58</v>
      </c>
      <c r="AB1116" t="s">
        <v>431</v>
      </c>
      <c r="AC1116" t="s">
        <v>137</v>
      </c>
      <c r="AD1116" t="s">
        <v>431</v>
      </c>
      <c r="AE1116" t="s">
        <v>137</v>
      </c>
      <c r="AF1116">
        <v>5</v>
      </c>
      <c r="AG1116">
        <v>471</v>
      </c>
      <c r="AH1116" s="122">
        <v>1366</v>
      </c>
      <c r="AI1116" s="122">
        <v>67769</v>
      </c>
      <c r="AJ1116" s="122">
        <v>61609</v>
      </c>
      <c r="AK1116">
        <v>57</v>
      </c>
      <c r="AL1116" s="122">
        <v>12272</v>
      </c>
      <c r="AM1116" s="122">
        <v>4545</v>
      </c>
      <c r="AN1116" s="122">
        <v>9173</v>
      </c>
      <c r="AO1116" s="122">
        <v>3397</v>
      </c>
      <c r="AP1116" s="122">
        <v>1053</v>
      </c>
      <c r="AQ1116">
        <v>390</v>
      </c>
      <c r="AR1116" s="122">
        <v>29166</v>
      </c>
      <c r="AS1116" s="122">
        <v>26514</v>
      </c>
      <c r="AT1116" s="122">
        <v>9137</v>
      </c>
      <c r="AU1116" s="122">
        <v>3384</v>
      </c>
      <c r="AV1116" s="122">
        <v>99840</v>
      </c>
    </row>
    <row r="1117" spans="2:48" hidden="1">
      <c r="B1117" t="s">
        <v>370</v>
      </c>
      <c r="C1117" t="s">
        <v>56</v>
      </c>
      <c r="D1117" t="s">
        <v>426</v>
      </c>
      <c r="E1117" t="s">
        <v>426</v>
      </c>
      <c r="F1117" s="122">
        <v>7</v>
      </c>
      <c r="G1117" s="122">
        <v>697</v>
      </c>
      <c r="H1117" s="122">
        <v>1475</v>
      </c>
      <c r="I1117" s="122">
        <v>96153</v>
      </c>
      <c r="J1117" s="122">
        <v>87412</v>
      </c>
      <c r="K1117" s="122">
        <v>62</v>
      </c>
      <c r="L1117" s="122">
        <v>7984</v>
      </c>
      <c r="M1117" s="122">
        <v>6403</v>
      </c>
      <c r="N1117" s="122">
        <v>12483</v>
      </c>
      <c r="O1117" s="122">
        <v>4623</v>
      </c>
      <c r="P1117" s="122">
        <v>2457</v>
      </c>
      <c r="Q1117" s="122">
        <v>910</v>
      </c>
      <c r="R1117" s="122">
        <v>14440</v>
      </c>
      <c r="S1117" s="122">
        <v>13127</v>
      </c>
      <c r="T1117" s="122">
        <v>12050</v>
      </c>
      <c r="U1117" s="122">
        <v>4463</v>
      </c>
      <c r="V1117" s="122">
        <v>116937</v>
      </c>
      <c r="W1117" s="122">
        <f t="shared" si="34"/>
        <v>116938</v>
      </c>
      <c r="X1117" s="122">
        <f t="shared" si="35"/>
        <v>145567</v>
      </c>
      <c r="AA1117" t="s">
        <v>58</v>
      </c>
      <c r="AB1117" t="s">
        <v>431</v>
      </c>
      <c r="AC1117" t="s">
        <v>427</v>
      </c>
      <c r="AD1117" t="s">
        <v>431</v>
      </c>
      <c r="AE1117" t="s">
        <v>137</v>
      </c>
      <c r="AF1117">
        <v>1</v>
      </c>
      <c r="AG1117">
        <v>108</v>
      </c>
      <c r="AH1117">
        <v>247</v>
      </c>
      <c r="AI1117" s="122">
        <v>14086</v>
      </c>
      <c r="AJ1117" s="122">
        <v>12806</v>
      </c>
      <c r="AK1117">
        <v>65</v>
      </c>
      <c r="AL1117" s="122">
        <v>3224</v>
      </c>
      <c r="AM1117" s="122">
        <v>2931</v>
      </c>
      <c r="AN1117" s="122">
        <v>2363</v>
      </c>
      <c r="AO1117">
        <v>875</v>
      </c>
      <c r="AP1117">
        <v>351</v>
      </c>
      <c r="AQ1117">
        <v>130</v>
      </c>
      <c r="AR1117" s="122">
        <v>4111</v>
      </c>
      <c r="AS1117" s="122">
        <v>3737</v>
      </c>
      <c r="AT1117" s="122">
        <v>2525</v>
      </c>
      <c r="AU1117">
        <v>935</v>
      </c>
      <c r="AV1117" s="122">
        <v>21415</v>
      </c>
    </row>
    <row r="1118" spans="2:48" hidden="1">
      <c r="B1118" t="s">
        <v>370</v>
      </c>
      <c r="C1118" t="s">
        <v>56</v>
      </c>
      <c r="D1118" t="s">
        <v>408</v>
      </c>
      <c r="E1118" t="s">
        <v>408</v>
      </c>
      <c r="F1118" s="122">
        <v>2</v>
      </c>
      <c r="G1118" s="122">
        <v>200</v>
      </c>
      <c r="H1118" s="122">
        <v>393</v>
      </c>
      <c r="I1118" s="122">
        <v>23177</v>
      </c>
      <c r="J1118" s="122">
        <v>21070</v>
      </c>
      <c r="K1118" s="122">
        <v>82</v>
      </c>
      <c r="L1118" s="122">
        <v>1726</v>
      </c>
      <c r="M1118" s="122">
        <v>4473</v>
      </c>
      <c r="N1118" s="122">
        <v>2431</v>
      </c>
      <c r="O1118" s="122">
        <v>900</v>
      </c>
      <c r="P1118" s="122">
        <v>702</v>
      </c>
      <c r="Q1118" s="122">
        <v>260</v>
      </c>
      <c r="R1118" s="122">
        <v>8679</v>
      </c>
      <c r="S1118" s="122">
        <v>7890</v>
      </c>
      <c r="T1118" s="122">
        <v>2459</v>
      </c>
      <c r="U1118" s="122">
        <v>911</v>
      </c>
      <c r="V1118" s="122">
        <v>35504</v>
      </c>
      <c r="W1118" s="122">
        <f t="shared" si="34"/>
        <v>35504</v>
      </c>
      <c r="X1118" s="122">
        <f t="shared" si="35"/>
        <v>39174</v>
      </c>
      <c r="AA1118" t="s">
        <v>58</v>
      </c>
      <c r="AB1118" t="s">
        <v>431</v>
      </c>
      <c r="AC1118" t="s">
        <v>428</v>
      </c>
      <c r="AD1118" t="s">
        <v>431</v>
      </c>
      <c r="AE1118" t="s">
        <v>137</v>
      </c>
      <c r="AF1118">
        <v>1</v>
      </c>
      <c r="AG1118">
        <v>74</v>
      </c>
      <c r="AH1118">
        <v>252</v>
      </c>
      <c r="AI1118" s="122">
        <v>9565</v>
      </c>
      <c r="AJ1118" s="122">
        <v>8696</v>
      </c>
      <c r="AK1118">
        <v>65</v>
      </c>
      <c r="AL1118" s="122">
        <v>1256</v>
      </c>
      <c r="AM1118" s="122">
        <v>1142</v>
      </c>
      <c r="AN1118" s="122">
        <v>1814</v>
      </c>
      <c r="AO1118">
        <v>672</v>
      </c>
      <c r="AP1118">
        <v>0</v>
      </c>
      <c r="AQ1118">
        <v>0</v>
      </c>
      <c r="AR1118" s="122">
        <v>4044</v>
      </c>
      <c r="AS1118" s="122">
        <v>3677</v>
      </c>
      <c r="AT1118" s="122">
        <v>2091</v>
      </c>
      <c r="AU1118">
        <v>774</v>
      </c>
      <c r="AV1118" s="122">
        <v>14961</v>
      </c>
    </row>
    <row r="1119" spans="2:48" hidden="1">
      <c r="B1119" t="s">
        <v>370</v>
      </c>
      <c r="C1119" t="s">
        <v>56</v>
      </c>
      <c r="D1119" t="s">
        <v>429</v>
      </c>
      <c r="E1119" t="s">
        <v>429</v>
      </c>
      <c r="F1119" s="122">
        <v>1</v>
      </c>
      <c r="G1119" s="122">
        <v>145</v>
      </c>
      <c r="H1119" s="122">
        <v>194</v>
      </c>
      <c r="I1119" s="122">
        <v>13241</v>
      </c>
      <c r="J1119" s="122">
        <v>12038</v>
      </c>
      <c r="K1119" s="122">
        <v>65</v>
      </c>
      <c r="L1119" s="122">
        <v>3478</v>
      </c>
      <c r="M1119" s="122">
        <v>2898</v>
      </c>
      <c r="N1119" s="122">
        <v>2651</v>
      </c>
      <c r="O1119" s="122">
        <v>982</v>
      </c>
      <c r="P1119" s="122">
        <v>351</v>
      </c>
      <c r="Q1119" s="122">
        <v>130</v>
      </c>
      <c r="R1119" s="122">
        <v>5327</v>
      </c>
      <c r="S1119" s="122">
        <v>4843</v>
      </c>
      <c r="T1119" s="122">
        <v>3099</v>
      </c>
      <c r="U1119" s="122">
        <v>1148</v>
      </c>
      <c r="V1119" s="122">
        <v>22038</v>
      </c>
      <c r="W1119" s="122">
        <f t="shared" si="34"/>
        <v>22039</v>
      </c>
      <c r="X1119" s="122">
        <f t="shared" si="35"/>
        <v>28147</v>
      </c>
      <c r="AA1119" t="s">
        <v>58</v>
      </c>
      <c r="AB1119" t="s">
        <v>431</v>
      </c>
      <c r="AC1119" t="s">
        <v>428</v>
      </c>
      <c r="AD1119" t="s">
        <v>431</v>
      </c>
      <c r="AE1119" t="s">
        <v>566</v>
      </c>
      <c r="AF1119">
        <v>1</v>
      </c>
      <c r="AG1119">
        <v>80</v>
      </c>
      <c r="AH1119">
        <v>286</v>
      </c>
      <c r="AI1119" s="122">
        <v>12586</v>
      </c>
      <c r="AJ1119" s="122">
        <v>11441</v>
      </c>
      <c r="AK1119">
        <v>65</v>
      </c>
      <c r="AL1119" s="122">
        <v>3030</v>
      </c>
      <c r="AM1119" s="122">
        <v>2754</v>
      </c>
      <c r="AN1119" s="122">
        <v>1817</v>
      </c>
      <c r="AO1119">
        <v>673</v>
      </c>
      <c r="AP1119">
        <v>351</v>
      </c>
      <c r="AQ1119">
        <v>130</v>
      </c>
      <c r="AR1119" s="122">
        <v>5151</v>
      </c>
      <c r="AS1119" s="122">
        <v>4683</v>
      </c>
      <c r="AT1119">
        <v>0</v>
      </c>
      <c r="AU1119">
        <v>0</v>
      </c>
      <c r="AV1119" s="122">
        <v>19682</v>
      </c>
    </row>
    <row r="1120" spans="2:48" hidden="1">
      <c r="B1120" t="s">
        <v>370</v>
      </c>
      <c r="C1120" t="s">
        <v>58</v>
      </c>
      <c r="F1120" s="122">
        <v>3</v>
      </c>
      <c r="G1120" s="122">
        <v>316</v>
      </c>
      <c r="H1120" s="122">
        <v>714</v>
      </c>
      <c r="I1120" s="122"/>
      <c r="J1120" s="122">
        <v>0</v>
      </c>
      <c r="K1120" s="122"/>
      <c r="L1120" s="122"/>
      <c r="M1120" s="122">
        <v>0</v>
      </c>
      <c r="N1120" s="122">
        <v>5468</v>
      </c>
      <c r="O1120" s="122">
        <v>2025</v>
      </c>
      <c r="P1120" s="122">
        <v>621</v>
      </c>
      <c r="Q1120" s="122">
        <v>230</v>
      </c>
      <c r="R1120" s="122"/>
      <c r="S1120" s="122">
        <v>0</v>
      </c>
      <c r="T1120" s="122">
        <v>3325</v>
      </c>
      <c r="U1120" s="122">
        <v>1231</v>
      </c>
      <c r="V1120" s="122">
        <v>3486</v>
      </c>
      <c r="W1120" s="122">
        <f t="shared" si="34"/>
        <v>3486</v>
      </c>
      <c r="X1120" s="122">
        <f t="shared" si="35"/>
        <v>9414</v>
      </c>
      <c r="AA1120" t="s">
        <v>58</v>
      </c>
      <c r="AB1120" t="s">
        <v>431</v>
      </c>
      <c r="AC1120" t="s">
        <v>431</v>
      </c>
      <c r="AD1120" t="s">
        <v>431</v>
      </c>
      <c r="AE1120" t="s">
        <v>137</v>
      </c>
      <c r="AF1120">
        <v>46</v>
      </c>
      <c r="AG1120" s="122">
        <v>3971</v>
      </c>
      <c r="AH1120" s="122">
        <v>12878</v>
      </c>
      <c r="AI1120" s="122">
        <v>601715</v>
      </c>
      <c r="AJ1120" s="122">
        <v>547013</v>
      </c>
      <c r="AK1120">
        <v>56</v>
      </c>
      <c r="AL1120" s="122">
        <v>98689</v>
      </c>
      <c r="AM1120" s="122">
        <v>89717</v>
      </c>
      <c r="AN1120" s="122">
        <v>74827</v>
      </c>
      <c r="AO1120" s="122">
        <v>27714</v>
      </c>
      <c r="AP1120" s="122">
        <v>15714</v>
      </c>
      <c r="AQ1120" s="122">
        <v>5820</v>
      </c>
      <c r="AR1120" s="122">
        <v>221466</v>
      </c>
      <c r="AS1120" s="122">
        <v>201333</v>
      </c>
      <c r="AT1120" s="122">
        <v>96081</v>
      </c>
      <c r="AU1120" s="122">
        <v>35586</v>
      </c>
      <c r="AV1120" s="122">
        <v>907183</v>
      </c>
    </row>
    <row r="1121" spans="2:48" hidden="1">
      <c r="B1121" t="s">
        <v>370</v>
      </c>
      <c r="C1121" t="s">
        <v>58</v>
      </c>
      <c r="D1121" t="s">
        <v>425</v>
      </c>
      <c r="E1121" t="s">
        <v>425</v>
      </c>
      <c r="F1121" s="122">
        <v>6</v>
      </c>
      <c r="G1121" s="122">
        <v>612</v>
      </c>
      <c r="H1121" s="122">
        <v>1531</v>
      </c>
      <c r="I1121" s="122">
        <v>82979</v>
      </c>
      <c r="J1121" s="122">
        <v>75435</v>
      </c>
      <c r="K1121" s="122">
        <v>74</v>
      </c>
      <c r="L1121" s="122">
        <v>17182</v>
      </c>
      <c r="M1121" s="122">
        <v>15052</v>
      </c>
      <c r="N1121" s="122">
        <v>11229</v>
      </c>
      <c r="O1121" s="122">
        <v>4159</v>
      </c>
      <c r="P1121" s="122">
        <v>2835</v>
      </c>
      <c r="Q1121" s="122">
        <v>1050</v>
      </c>
      <c r="R1121" s="122">
        <v>29896</v>
      </c>
      <c r="S1121" s="122">
        <v>27178</v>
      </c>
      <c r="T1121" s="122">
        <v>10275</v>
      </c>
      <c r="U1121" s="122">
        <v>3805</v>
      </c>
      <c r="V1121" s="122">
        <v>126679</v>
      </c>
      <c r="W1121" s="122">
        <f t="shared" si="34"/>
        <v>126679</v>
      </c>
      <c r="X1121" s="122">
        <f t="shared" si="35"/>
        <v>154396</v>
      </c>
      <c r="AA1121" t="s">
        <v>58</v>
      </c>
      <c r="AB1121" t="s">
        <v>431</v>
      </c>
      <c r="AC1121" t="s">
        <v>431</v>
      </c>
      <c r="AD1121" t="s">
        <v>431</v>
      </c>
      <c r="AE1121" t="s">
        <v>566</v>
      </c>
      <c r="AF1121">
        <v>35</v>
      </c>
      <c r="AG1121" s="122">
        <v>2621</v>
      </c>
      <c r="AH1121" s="122">
        <v>9549</v>
      </c>
      <c r="AI1121" s="122">
        <v>360111</v>
      </c>
      <c r="AJ1121" s="122">
        <v>327374</v>
      </c>
      <c r="AK1121">
        <v>59</v>
      </c>
      <c r="AL1121" s="122">
        <v>75852</v>
      </c>
      <c r="AM1121" s="122">
        <v>68956</v>
      </c>
      <c r="AN1121" s="122">
        <v>34419</v>
      </c>
      <c r="AO1121" s="122">
        <v>12748</v>
      </c>
      <c r="AP1121" s="122">
        <v>11934</v>
      </c>
      <c r="AQ1121" s="122">
        <v>4420</v>
      </c>
      <c r="AR1121" s="122">
        <v>233131</v>
      </c>
      <c r="AS1121" s="122">
        <v>211937</v>
      </c>
      <c r="AT1121">
        <v>0</v>
      </c>
      <c r="AU1121">
        <v>0</v>
      </c>
      <c r="AV1121" s="122">
        <v>625435</v>
      </c>
    </row>
    <row r="1122" spans="2:48" hidden="1">
      <c r="B1122" t="s">
        <v>370</v>
      </c>
      <c r="C1122" t="s">
        <v>58</v>
      </c>
      <c r="D1122" t="s">
        <v>405</v>
      </c>
      <c r="E1122" t="s">
        <v>405</v>
      </c>
      <c r="F1122" s="122">
        <v>28</v>
      </c>
      <c r="G1122" s="122">
        <v>2758</v>
      </c>
      <c r="H1122" s="122">
        <v>7277</v>
      </c>
      <c r="I1122" s="122">
        <v>377967</v>
      </c>
      <c r="J1122" s="122">
        <v>343606</v>
      </c>
      <c r="K1122" s="122">
        <v>82</v>
      </c>
      <c r="L1122" s="122">
        <v>93839</v>
      </c>
      <c r="M1122" s="122">
        <v>80988</v>
      </c>
      <c r="N1122" s="122">
        <v>59843</v>
      </c>
      <c r="O1122" s="122">
        <v>22164</v>
      </c>
      <c r="P1122" s="122">
        <v>13257</v>
      </c>
      <c r="Q1122" s="122">
        <v>4910</v>
      </c>
      <c r="R1122" s="122">
        <v>137786</v>
      </c>
      <c r="S1122" s="122">
        <v>125260</v>
      </c>
      <c r="T1122" s="122">
        <v>28103</v>
      </c>
      <c r="U1122" s="122">
        <v>10409</v>
      </c>
      <c r="V1122" s="122">
        <v>587337</v>
      </c>
      <c r="W1122" s="122">
        <f t="shared" si="34"/>
        <v>587337</v>
      </c>
      <c r="X1122" s="122">
        <f t="shared" si="35"/>
        <v>710795</v>
      </c>
      <c r="AA1122" t="s">
        <v>58</v>
      </c>
      <c r="AB1122" t="s">
        <v>431</v>
      </c>
      <c r="AC1122" t="s">
        <v>426</v>
      </c>
      <c r="AD1122" t="s">
        <v>431</v>
      </c>
      <c r="AE1122" t="s">
        <v>137</v>
      </c>
      <c r="AF1122">
        <v>1</v>
      </c>
      <c r="AG1122">
        <v>80</v>
      </c>
      <c r="AH1122">
        <v>284</v>
      </c>
      <c r="AI1122" s="122">
        <v>12591</v>
      </c>
      <c r="AJ1122" s="122">
        <v>11446</v>
      </c>
      <c r="AK1122">
        <v>71</v>
      </c>
      <c r="AL1122" s="122">
        <v>3292</v>
      </c>
      <c r="AM1122" s="122">
        <v>2993</v>
      </c>
      <c r="AN1122">
        <v>981</v>
      </c>
      <c r="AO1122">
        <v>363</v>
      </c>
      <c r="AP1122">
        <v>351</v>
      </c>
      <c r="AQ1122">
        <v>130</v>
      </c>
      <c r="AR1122" s="122">
        <v>3339</v>
      </c>
      <c r="AS1122" s="122">
        <v>3035</v>
      </c>
      <c r="AT1122" s="122">
        <v>2306</v>
      </c>
      <c r="AU1122">
        <v>854</v>
      </c>
      <c r="AV1122" s="122">
        <v>18822</v>
      </c>
    </row>
    <row r="1123" spans="2:48" hidden="1">
      <c r="B1123" t="s">
        <v>370</v>
      </c>
      <c r="C1123" t="s">
        <v>58</v>
      </c>
      <c r="D1123" t="s">
        <v>137</v>
      </c>
      <c r="E1123" t="s">
        <v>137</v>
      </c>
      <c r="F1123" s="122">
        <v>218</v>
      </c>
      <c r="G1123" s="122">
        <v>17985</v>
      </c>
      <c r="H1123" s="122">
        <v>58094</v>
      </c>
      <c r="I1123" s="122">
        <v>2611087</v>
      </c>
      <c r="J1123" s="122">
        <v>967069</v>
      </c>
      <c r="K1123" s="122">
        <v>100</v>
      </c>
      <c r="L1123" s="122">
        <v>342170</v>
      </c>
      <c r="M1123" s="122">
        <v>189050</v>
      </c>
      <c r="N1123" s="122">
        <v>376319</v>
      </c>
      <c r="O1123" s="122">
        <v>139377</v>
      </c>
      <c r="P1123" s="122">
        <v>2890</v>
      </c>
      <c r="Q1123" s="122">
        <v>1070</v>
      </c>
      <c r="R1123" s="122">
        <v>1510455</v>
      </c>
      <c r="S1123" s="122">
        <v>559428</v>
      </c>
      <c r="T1123" s="122">
        <v>6464</v>
      </c>
      <c r="U1123" s="122">
        <v>2394</v>
      </c>
      <c r="V1123" s="122">
        <v>1858388</v>
      </c>
      <c r="W1123" s="122">
        <f t="shared" si="34"/>
        <v>1858388</v>
      </c>
      <c r="X1123" s="122">
        <f t="shared" si="35"/>
        <v>4849385</v>
      </c>
      <c r="AA1123" t="s">
        <v>58</v>
      </c>
      <c r="AB1123" t="s">
        <v>431</v>
      </c>
      <c r="AC1123" t="s">
        <v>566</v>
      </c>
      <c r="AD1123" t="s">
        <v>431</v>
      </c>
      <c r="AE1123" t="s">
        <v>137</v>
      </c>
      <c r="AF1123">
        <v>9</v>
      </c>
      <c r="AG1123">
        <v>810</v>
      </c>
      <c r="AH1123" s="122">
        <v>2447</v>
      </c>
      <c r="AI1123" s="122">
        <v>136991</v>
      </c>
      <c r="AJ1123" s="122">
        <v>124537</v>
      </c>
      <c r="AK1123">
        <v>58</v>
      </c>
      <c r="AL1123">
        <v>0</v>
      </c>
      <c r="AM1123">
        <v>0</v>
      </c>
      <c r="AN1123" s="122">
        <v>15447</v>
      </c>
      <c r="AO1123" s="122">
        <v>5721</v>
      </c>
      <c r="AP1123" s="122">
        <v>3159</v>
      </c>
      <c r="AQ1123" s="122">
        <v>1170</v>
      </c>
      <c r="AR1123" s="122">
        <v>46562</v>
      </c>
      <c r="AS1123" s="122">
        <v>42329</v>
      </c>
      <c r="AT1123" s="122">
        <v>18076</v>
      </c>
      <c r="AU1123" s="122">
        <v>6695</v>
      </c>
      <c r="AV1123" s="122">
        <v>180452</v>
      </c>
    </row>
    <row r="1124" spans="2:48" hidden="1">
      <c r="B1124" t="s">
        <v>370</v>
      </c>
      <c r="C1124" t="s">
        <v>58</v>
      </c>
      <c r="D1124" t="s">
        <v>137</v>
      </c>
      <c r="E1124" t="s">
        <v>426</v>
      </c>
      <c r="F1124" s="122">
        <v>1</v>
      </c>
      <c r="G1124" s="122">
        <v>68</v>
      </c>
      <c r="H1124" s="122">
        <v>299</v>
      </c>
      <c r="I1124" s="122">
        <v>8921</v>
      </c>
      <c r="J1124" s="122">
        <v>3304</v>
      </c>
      <c r="K1124" s="122">
        <v>100</v>
      </c>
      <c r="L1124" s="122">
        <v>897</v>
      </c>
      <c r="M1124" s="122">
        <v>816</v>
      </c>
      <c r="N1124" s="122">
        <v>1442</v>
      </c>
      <c r="O1124" s="122">
        <v>534</v>
      </c>
      <c r="P1124" s="122">
        <v>0</v>
      </c>
      <c r="Q1124" s="122">
        <v>0</v>
      </c>
      <c r="R1124" s="122">
        <v>6487</v>
      </c>
      <c r="S1124" s="122">
        <v>5898</v>
      </c>
      <c r="T1124" s="122">
        <v>2442</v>
      </c>
      <c r="U1124" s="122">
        <v>905</v>
      </c>
      <c r="V1124" s="122">
        <v>11456</v>
      </c>
      <c r="W1124" s="122">
        <f t="shared" si="34"/>
        <v>11457</v>
      </c>
      <c r="X1124" s="122">
        <f t="shared" si="35"/>
        <v>20189</v>
      </c>
      <c r="AA1124" t="s">
        <v>58</v>
      </c>
      <c r="AB1124" t="s">
        <v>431</v>
      </c>
      <c r="AC1124" t="s">
        <v>566</v>
      </c>
      <c r="AD1124" t="s">
        <v>431</v>
      </c>
      <c r="AE1124" t="s">
        <v>566</v>
      </c>
      <c r="AF1124">
        <v>2</v>
      </c>
      <c r="AG1124">
        <v>146</v>
      </c>
      <c r="AH1124">
        <v>517</v>
      </c>
      <c r="AI1124" s="122">
        <v>21150</v>
      </c>
      <c r="AJ1124" s="122">
        <v>19227</v>
      </c>
      <c r="AK1124">
        <v>55</v>
      </c>
      <c r="AL1124">
        <v>0</v>
      </c>
      <c r="AM1124">
        <v>0</v>
      </c>
      <c r="AN1124" s="122">
        <v>1783</v>
      </c>
      <c r="AO1124">
        <v>660</v>
      </c>
      <c r="AP1124">
        <v>702</v>
      </c>
      <c r="AQ1124">
        <v>260</v>
      </c>
      <c r="AR1124" s="122">
        <v>14188</v>
      </c>
      <c r="AS1124" s="122">
        <v>12898</v>
      </c>
      <c r="AT1124">
        <v>0</v>
      </c>
      <c r="AU1124">
        <v>0</v>
      </c>
      <c r="AV1124" s="122">
        <v>33045</v>
      </c>
    </row>
    <row r="1125" spans="2:48" hidden="1">
      <c r="B1125" t="s">
        <v>370</v>
      </c>
      <c r="C1125" t="s">
        <v>58</v>
      </c>
      <c r="D1125" t="s">
        <v>406</v>
      </c>
      <c r="E1125" t="s">
        <v>425</v>
      </c>
      <c r="F1125" s="122">
        <v>2</v>
      </c>
      <c r="G1125" s="122">
        <v>178</v>
      </c>
      <c r="H1125" s="122">
        <v>503</v>
      </c>
      <c r="I1125" s="122">
        <v>22584</v>
      </c>
      <c r="J1125" s="122">
        <v>20531</v>
      </c>
      <c r="K1125" s="122">
        <v>79</v>
      </c>
      <c r="L1125" s="122">
        <v>4124</v>
      </c>
      <c r="M1125" s="122">
        <v>2493</v>
      </c>
      <c r="N1125" s="122">
        <v>3551</v>
      </c>
      <c r="O1125" s="122">
        <v>1315</v>
      </c>
      <c r="P1125" s="122">
        <v>1242</v>
      </c>
      <c r="Q1125" s="122">
        <v>460</v>
      </c>
      <c r="R1125" s="122">
        <v>10433</v>
      </c>
      <c r="S1125" s="122">
        <v>9485</v>
      </c>
      <c r="T1125" s="122">
        <v>2845</v>
      </c>
      <c r="U1125" s="122">
        <v>1054</v>
      </c>
      <c r="V1125" s="122">
        <v>35338</v>
      </c>
      <c r="W1125" s="122">
        <f t="shared" si="34"/>
        <v>35338</v>
      </c>
      <c r="X1125" s="122">
        <f t="shared" si="35"/>
        <v>44779</v>
      </c>
      <c r="AA1125" t="s">
        <v>58</v>
      </c>
      <c r="AB1125" t="s">
        <v>426</v>
      </c>
      <c r="AC1125" t="s">
        <v>425</v>
      </c>
      <c r="AD1125" t="s">
        <v>426</v>
      </c>
      <c r="AE1125" t="s">
        <v>137</v>
      </c>
      <c r="AF1125">
        <v>2</v>
      </c>
      <c r="AG1125">
        <v>202</v>
      </c>
      <c r="AH1125">
        <v>541</v>
      </c>
      <c r="AI1125" s="122">
        <v>31558</v>
      </c>
      <c r="AJ1125" s="122">
        <v>28689</v>
      </c>
      <c r="AK1125">
        <v>63</v>
      </c>
      <c r="AL1125" s="122">
        <v>4665</v>
      </c>
      <c r="AM1125" s="122">
        <v>4241</v>
      </c>
      <c r="AN1125" s="122">
        <v>3798</v>
      </c>
      <c r="AO1125" s="122">
        <v>1407</v>
      </c>
      <c r="AP1125">
        <v>702</v>
      </c>
      <c r="AQ1125">
        <v>260</v>
      </c>
      <c r="AR1125" s="122">
        <v>8850</v>
      </c>
      <c r="AS1125" s="122">
        <v>8045</v>
      </c>
      <c r="AT1125" s="122">
        <v>4882</v>
      </c>
      <c r="AU1125" s="122">
        <v>1808</v>
      </c>
      <c r="AV1125" s="122">
        <v>44451</v>
      </c>
    </row>
    <row r="1126" spans="2:48" hidden="1">
      <c r="B1126" t="s">
        <v>370</v>
      </c>
      <c r="C1126" t="s">
        <v>58</v>
      </c>
      <c r="D1126" t="s">
        <v>406</v>
      </c>
      <c r="E1126" t="s">
        <v>137</v>
      </c>
      <c r="F1126" s="122">
        <v>3</v>
      </c>
      <c r="G1126" s="122">
        <v>321</v>
      </c>
      <c r="H1126" s="122">
        <v>784</v>
      </c>
      <c r="I1126" s="122">
        <v>42871</v>
      </c>
      <c r="J1126" s="122">
        <v>38973</v>
      </c>
      <c r="K1126" s="122">
        <v>78</v>
      </c>
      <c r="L1126" s="122">
        <v>11003</v>
      </c>
      <c r="M1126" s="122">
        <v>9541</v>
      </c>
      <c r="N1126" s="122">
        <v>5479</v>
      </c>
      <c r="O1126" s="122">
        <v>2029</v>
      </c>
      <c r="P1126" s="122">
        <v>1863</v>
      </c>
      <c r="Q1126" s="122">
        <v>690</v>
      </c>
      <c r="R1126" s="122">
        <v>23050</v>
      </c>
      <c r="S1126" s="122">
        <v>8537</v>
      </c>
      <c r="T1126" s="122">
        <v>0</v>
      </c>
      <c r="U1126" s="122">
        <v>0</v>
      </c>
      <c r="V1126" s="122">
        <v>59771</v>
      </c>
      <c r="W1126" s="122">
        <f t="shared" si="34"/>
        <v>59770</v>
      </c>
      <c r="X1126" s="122">
        <f t="shared" si="35"/>
        <v>84266</v>
      </c>
      <c r="AA1126" t="s">
        <v>58</v>
      </c>
      <c r="AB1126" t="s">
        <v>426</v>
      </c>
      <c r="AC1126" t="s">
        <v>425</v>
      </c>
      <c r="AD1126" t="s">
        <v>426</v>
      </c>
      <c r="AE1126" t="s">
        <v>566</v>
      </c>
      <c r="AF1126">
        <v>2</v>
      </c>
      <c r="AG1126">
        <v>184</v>
      </c>
      <c r="AH1126">
        <v>539</v>
      </c>
      <c r="AI1126" s="122">
        <v>29880</v>
      </c>
      <c r="AJ1126" s="122">
        <v>27164</v>
      </c>
      <c r="AK1126">
        <v>55</v>
      </c>
      <c r="AL1126" s="122">
        <v>2274</v>
      </c>
      <c r="AM1126" s="122">
        <v>2068</v>
      </c>
      <c r="AN1126" s="122">
        <v>2856</v>
      </c>
      <c r="AO1126" s="122">
        <v>1058</v>
      </c>
      <c r="AP1126">
        <v>702</v>
      </c>
      <c r="AQ1126">
        <v>260</v>
      </c>
      <c r="AR1126" s="122">
        <v>13172</v>
      </c>
      <c r="AS1126" s="122">
        <v>11975</v>
      </c>
      <c r="AT1126">
        <v>0</v>
      </c>
      <c r="AU1126">
        <v>0</v>
      </c>
      <c r="AV1126" s="122">
        <v>42524</v>
      </c>
    </row>
    <row r="1127" spans="2:48" hidden="1">
      <c r="B1127" t="s">
        <v>370</v>
      </c>
      <c r="C1127" t="s">
        <v>58</v>
      </c>
      <c r="D1127" t="s">
        <v>406</v>
      </c>
      <c r="E1127" t="s">
        <v>406</v>
      </c>
      <c r="F1127" s="122">
        <v>1965</v>
      </c>
      <c r="G1127" s="122">
        <v>184611</v>
      </c>
      <c r="H1127" s="122">
        <v>508341</v>
      </c>
      <c r="I1127" s="122">
        <v>25092041</v>
      </c>
      <c r="J1127" s="122">
        <v>22810946</v>
      </c>
      <c r="K1127" s="122">
        <v>80</v>
      </c>
      <c r="L1127" s="122">
        <v>5733256</v>
      </c>
      <c r="M1127" s="122">
        <v>4894176</v>
      </c>
      <c r="N1127" s="122">
        <v>3705152</v>
      </c>
      <c r="O1127" s="122">
        <v>1372278</v>
      </c>
      <c r="P1127" s="122">
        <v>1253085</v>
      </c>
      <c r="Q1127" s="122">
        <v>464106</v>
      </c>
      <c r="R1127" s="122">
        <v>9133468</v>
      </c>
      <c r="S1127" s="122">
        <v>8303153</v>
      </c>
      <c r="T1127" s="122">
        <v>3226444</v>
      </c>
      <c r="U1127" s="122">
        <v>1194979</v>
      </c>
      <c r="V1127" s="122">
        <v>39039638</v>
      </c>
      <c r="W1127" s="122">
        <f t="shared" si="34"/>
        <v>39039638</v>
      </c>
      <c r="X1127" s="122">
        <f t="shared" si="35"/>
        <v>48143446</v>
      </c>
      <c r="AA1127" t="s">
        <v>58</v>
      </c>
      <c r="AB1127" t="s">
        <v>426</v>
      </c>
      <c r="AC1127" t="s">
        <v>137</v>
      </c>
      <c r="AD1127" t="s">
        <v>137</v>
      </c>
      <c r="AE1127" t="s">
        <v>137</v>
      </c>
      <c r="AF1127">
        <v>3</v>
      </c>
      <c r="AG1127">
        <v>198</v>
      </c>
      <c r="AH1127">
        <v>732</v>
      </c>
      <c r="AI1127" s="122">
        <v>21418</v>
      </c>
      <c r="AJ1127" s="122">
        <v>19471</v>
      </c>
      <c r="AK1127">
        <v>73</v>
      </c>
      <c r="AL1127" s="122">
        <v>4241</v>
      </c>
      <c r="AM1127" s="122">
        <v>1571</v>
      </c>
      <c r="AN1127" s="122">
        <v>2411</v>
      </c>
      <c r="AO1127">
        <v>893</v>
      </c>
      <c r="AP1127" s="122">
        <v>1053</v>
      </c>
      <c r="AQ1127">
        <v>390</v>
      </c>
      <c r="AR1127" s="122">
        <v>19159</v>
      </c>
      <c r="AS1127" s="122">
        <v>7096</v>
      </c>
      <c r="AT1127">
        <v>0</v>
      </c>
      <c r="AU1127">
        <v>0</v>
      </c>
      <c r="AV1127" s="122">
        <v>29421</v>
      </c>
    </row>
    <row r="1128" spans="2:48" hidden="1">
      <c r="B1128" t="s">
        <v>370</v>
      </c>
      <c r="C1128" t="s">
        <v>58</v>
      </c>
      <c r="D1128" t="s">
        <v>406</v>
      </c>
      <c r="E1128" t="s">
        <v>407</v>
      </c>
      <c r="F1128" s="122">
        <v>3</v>
      </c>
      <c r="G1128" s="122">
        <v>288</v>
      </c>
      <c r="H1128" s="122">
        <v>833</v>
      </c>
      <c r="I1128" s="122">
        <v>42018</v>
      </c>
      <c r="J1128" s="122">
        <v>38198</v>
      </c>
      <c r="K1128" s="122">
        <v>78</v>
      </c>
      <c r="L1128" s="122">
        <v>9252</v>
      </c>
      <c r="M1128" s="122">
        <v>7710</v>
      </c>
      <c r="N1128" s="122">
        <v>5923</v>
      </c>
      <c r="O1128" s="122">
        <v>2194</v>
      </c>
      <c r="P1128" s="122">
        <v>1863</v>
      </c>
      <c r="Q1128" s="122">
        <v>690</v>
      </c>
      <c r="R1128" s="122">
        <v>12892</v>
      </c>
      <c r="S1128" s="122">
        <v>11720</v>
      </c>
      <c r="T1128" s="122">
        <v>8315</v>
      </c>
      <c r="U1128" s="122">
        <v>3080</v>
      </c>
      <c r="V1128" s="122">
        <v>63592</v>
      </c>
      <c r="W1128" s="122">
        <f t="shared" si="34"/>
        <v>63592</v>
      </c>
      <c r="X1128" s="122">
        <f t="shared" si="35"/>
        <v>80263</v>
      </c>
      <c r="AA1128" t="s">
        <v>58</v>
      </c>
      <c r="AB1128" t="s">
        <v>426</v>
      </c>
      <c r="AC1128" t="s">
        <v>137</v>
      </c>
      <c r="AD1128" t="s">
        <v>137</v>
      </c>
      <c r="AE1128" t="s">
        <v>566</v>
      </c>
      <c r="AF1128">
        <v>40</v>
      </c>
      <c r="AG1128" s="122">
        <v>2957</v>
      </c>
      <c r="AH1128" s="122">
        <v>10935</v>
      </c>
      <c r="AI1128" s="122">
        <v>357802</v>
      </c>
      <c r="AJ1128" s="122">
        <v>325274</v>
      </c>
      <c r="AK1128">
        <v>67</v>
      </c>
      <c r="AL1128" s="122">
        <v>92778</v>
      </c>
      <c r="AM1128" s="122">
        <v>34362</v>
      </c>
      <c r="AN1128" s="122">
        <v>57208</v>
      </c>
      <c r="AO1128" s="122">
        <v>21188</v>
      </c>
      <c r="AP1128" s="122">
        <v>10179</v>
      </c>
      <c r="AQ1128" s="122">
        <v>3770</v>
      </c>
      <c r="AR1128" s="122">
        <v>302876</v>
      </c>
      <c r="AS1128" s="122">
        <v>112176</v>
      </c>
      <c r="AT1128">
        <v>0</v>
      </c>
      <c r="AU1128">
        <v>0</v>
      </c>
      <c r="AV1128" s="122">
        <v>496771</v>
      </c>
    </row>
    <row r="1129" spans="2:48" hidden="1">
      <c r="B1129" t="s">
        <v>370</v>
      </c>
      <c r="C1129" t="s">
        <v>58</v>
      </c>
      <c r="D1129" t="s">
        <v>427</v>
      </c>
      <c r="E1129" t="s">
        <v>137</v>
      </c>
      <c r="F1129" s="122">
        <v>1</v>
      </c>
      <c r="G1129" s="122">
        <v>90</v>
      </c>
      <c r="H1129" s="122">
        <v>284</v>
      </c>
      <c r="I1129" s="122">
        <v>16313</v>
      </c>
      <c r="J1129" s="122">
        <v>14830</v>
      </c>
      <c r="K1129" s="122">
        <v>60</v>
      </c>
      <c r="L1129" s="122">
        <v>2669</v>
      </c>
      <c r="M1129" s="122">
        <v>989</v>
      </c>
      <c r="N1129" s="122">
        <v>1872</v>
      </c>
      <c r="O1129" s="122">
        <v>693</v>
      </c>
      <c r="P1129" s="122">
        <v>0</v>
      </c>
      <c r="Q1129" s="122">
        <v>0</v>
      </c>
      <c r="R1129" s="122">
        <v>4785</v>
      </c>
      <c r="S1129" s="122">
        <v>1772</v>
      </c>
      <c r="T1129" s="122">
        <v>0</v>
      </c>
      <c r="U1129" s="122">
        <v>0</v>
      </c>
      <c r="V1129" s="122">
        <v>18285</v>
      </c>
      <c r="W1129" s="122">
        <f t="shared" si="34"/>
        <v>18284</v>
      </c>
      <c r="X1129" s="122">
        <f t="shared" si="35"/>
        <v>25639</v>
      </c>
      <c r="AA1129" t="s">
        <v>58</v>
      </c>
      <c r="AB1129" t="s">
        <v>426</v>
      </c>
      <c r="AC1129" t="s">
        <v>137</v>
      </c>
      <c r="AD1129" t="s">
        <v>406</v>
      </c>
      <c r="AE1129" t="s">
        <v>137</v>
      </c>
      <c r="AF1129">
        <v>2</v>
      </c>
      <c r="AG1129">
        <v>157</v>
      </c>
      <c r="AH1129">
        <v>531</v>
      </c>
      <c r="AI1129" s="122">
        <v>20457</v>
      </c>
      <c r="AJ1129" s="122">
        <v>18597</v>
      </c>
      <c r="AK1129">
        <v>68</v>
      </c>
      <c r="AL1129" s="122">
        <v>5888</v>
      </c>
      <c r="AM1129" s="122">
        <v>2181</v>
      </c>
      <c r="AN1129" s="122">
        <v>1912</v>
      </c>
      <c r="AO1129">
        <v>708</v>
      </c>
      <c r="AP1129">
        <v>972</v>
      </c>
      <c r="AQ1129">
        <v>360</v>
      </c>
      <c r="AR1129" s="122">
        <v>8134</v>
      </c>
      <c r="AS1129" s="122">
        <v>7395</v>
      </c>
      <c r="AT1129" s="122">
        <v>4291</v>
      </c>
      <c r="AU1129" s="122">
        <v>1589</v>
      </c>
      <c r="AV1129" s="122">
        <v>30830</v>
      </c>
    </row>
    <row r="1130" spans="2:48" hidden="1">
      <c r="B1130" t="s">
        <v>370</v>
      </c>
      <c r="C1130" t="s">
        <v>58</v>
      </c>
      <c r="D1130" t="s">
        <v>427</v>
      </c>
      <c r="E1130" t="s">
        <v>427</v>
      </c>
      <c r="F1130" s="122">
        <v>1</v>
      </c>
      <c r="G1130" s="122">
        <v>77</v>
      </c>
      <c r="H1130" s="122">
        <v>239</v>
      </c>
      <c r="I1130" s="122">
        <v>9109</v>
      </c>
      <c r="J1130" s="122">
        <v>8281</v>
      </c>
      <c r="K1130" s="122">
        <v>65</v>
      </c>
      <c r="L1130" s="122">
        <v>2193</v>
      </c>
      <c r="M1130" s="122">
        <v>1994</v>
      </c>
      <c r="N1130" s="122">
        <v>1251</v>
      </c>
      <c r="O1130" s="122">
        <v>463</v>
      </c>
      <c r="P1130" s="122">
        <v>351</v>
      </c>
      <c r="Q1130" s="122">
        <v>130</v>
      </c>
      <c r="R1130" s="122">
        <v>3400</v>
      </c>
      <c r="S1130" s="122">
        <v>3091</v>
      </c>
      <c r="T1130" s="122">
        <v>2128</v>
      </c>
      <c r="U1130" s="122">
        <v>788</v>
      </c>
      <c r="V1130" s="122">
        <v>14746</v>
      </c>
      <c r="W1130" s="122">
        <f t="shared" si="34"/>
        <v>14747</v>
      </c>
      <c r="X1130" s="122">
        <f t="shared" si="35"/>
        <v>18432</v>
      </c>
      <c r="AA1130" t="s">
        <v>58</v>
      </c>
      <c r="AB1130" t="s">
        <v>426</v>
      </c>
      <c r="AC1130" t="s">
        <v>137</v>
      </c>
      <c r="AD1130" t="s">
        <v>579</v>
      </c>
      <c r="AE1130" t="s">
        <v>137</v>
      </c>
      <c r="AF1130">
        <v>2</v>
      </c>
      <c r="AG1130">
        <v>176</v>
      </c>
      <c r="AH1130">
        <v>549</v>
      </c>
      <c r="AI1130" s="122">
        <v>24884</v>
      </c>
      <c r="AJ1130" s="122">
        <v>22622</v>
      </c>
      <c r="AK1130">
        <v>55</v>
      </c>
      <c r="AL1130" s="122">
        <v>3733</v>
      </c>
      <c r="AM1130" s="122">
        <v>1382</v>
      </c>
      <c r="AN1130" s="122">
        <v>3546</v>
      </c>
      <c r="AO1130" s="122">
        <v>1313</v>
      </c>
      <c r="AP1130">
        <v>702</v>
      </c>
      <c r="AQ1130">
        <v>260</v>
      </c>
      <c r="AR1130" s="122">
        <v>10953</v>
      </c>
      <c r="AS1130" s="122">
        <v>9127</v>
      </c>
      <c r="AT1130" s="122">
        <v>4502</v>
      </c>
      <c r="AU1130" s="122">
        <v>1667</v>
      </c>
      <c r="AV1130" s="122">
        <v>36372</v>
      </c>
    </row>
    <row r="1131" spans="2:48" hidden="1">
      <c r="B1131" t="s">
        <v>370</v>
      </c>
      <c r="C1131" t="s">
        <v>58</v>
      </c>
      <c r="D1131" t="s">
        <v>407</v>
      </c>
      <c r="E1131" t="s">
        <v>137</v>
      </c>
      <c r="F1131" s="122">
        <v>2</v>
      </c>
      <c r="G1131" s="122">
        <v>159</v>
      </c>
      <c r="H1131" s="122">
        <v>497</v>
      </c>
      <c r="I1131" s="122">
        <v>18860</v>
      </c>
      <c r="J1131" s="122">
        <v>17145</v>
      </c>
      <c r="K1131" s="122">
        <v>76</v>
      </c>
      <c r="L1131" s="122">
        <v>6671</v>
      </c>
      <c r="M1131" s="122">
        <v>5879</v>
      </c>
      <c r="N1131" s="122">
        <v>3862</v>
      </c>
      <c r="O1131" s="122">
        <v>1431</v>
      </c>
      <c r="P1131" s="122">
        <v>945</v>
      </c>
      <c r="Q1131" s="122">
        <v>350</v>
      </c>
      <c r="R1131" s="122">
        <v>9022</v>
      </c>
      <c r="S1131" s="122">
        <v>3341</v>
      </c>
      <c r="T1131" s="122">
        <v>0</v>
      </c>
      <c r="U1131" s="122">
        <v>0</v>
      </c>
      <c r="V1131" s="122">
        <v>28146</v>
      </c>
      <c r="W1131" s="122">
        <f t="shared" ref="W1131:W1194" si="36">SUM(ABS(J1131),ABS(M1131),ABS(O1131),ABS(Q1131),ABS(S1131),ABS(U1131))</f>
        <v>28146</v>
      </c>
      <c r="X1131" s="122">
        <f t="shared" ref="X1131:X1194" si="37">SUM(ABS(I1131),ABS(N1131),ABS(P1131),ABS(R1131),ABS(T1131),ABS(L1131))</f>
        <v>39360</v>
      </c>
      <c r="AA1131" t="s">
        <v>58</v>
      </c>
      <c r="AB1131" t="s">
        <v>426</v>
      </c>
      <c r="AC1131" t="s">
        <v>137</v>
      </c>
      <c r="AD1131" t="s">
        <v>426</v>
      </c>
      <c r="AE1131" t="s">
        <v>137</v>
      </c>
      <c r="AF1131">
        <v>470</v>
      </c>
      <c r="AG1131" s="122">
        <v>38507</v>
      </c>
      <c r="AH1131" s="122">
        <v>127491</v>
      </c>
      <c r="AI1131" s="122">
        <v>5166270</v>
      </c>
      <c r="AJ1131" s="122">
        <v>4696609</v>
      </c>
      <c r="AK1131">
        <v>59</v>
      </c>
      <c r="AL1131" s="122">
        <v>1122306</v>
      </c>
      <c r="AM1131" s="122">
        <v>415669</v>
      </c>
      <c r="AN1131" s="122">
        <v>695949</v>
      </c>
      <c r="AO1131" s="122">
        <v>257759</v>
      </c>
      <c r="AP1131" s="122">
        <v>161050</v>
      </c>
      <c r="AQ1131" s="122">
        <v>59648</v>
      </c>
      <c r="AR1131" s="122">
        <v>2260375</v>
      </c>
      <c r="AS1131" s="122">
        <v>2054886</v>
      </c>
      <c r="AT1131" s="122">
        <v>1042393</v>
      </c>
      <c r="AU1131" s="122">
        <v>386071</v>
      </c>
      <c r="AV1131" s="122">
        <v>7870642</v>
      </c>
    </row>
    <row r="1132" spans="2:48" hidden="1">
      <c r="B1132" t="s">
        <v>370</v>
      </c>
      <c r="C1132" t="s">
        <v>58</v>
      </c>
      <c r="D1132" t="s">
        <v>407</v>
      </c>
      <c r="E1132" t="s">
        <v>406</v>
      </c>
      <c r="F1132" s="122">
        <v>2</v>
      </c>
      <c r="G1132" s="122">
        <v>176</v>
      </c>
      <c r="H1132" s="122">
        <v>462</v>
      </c>
      <c r="I1132" s="122">
        <v>20922</v>
      </c>
      <c r="J1132" s="122">
        <v>19020</v>
      </c>
      <c r="K1132" s="122">
        <v>82</v>
      </c>
      <c r="L1132" s="122">
        <v>6100</v>
      </c>
      <c r="M1132" s="122">
        <v>5545</v>
      </c>
      <c r="N1132" s="122">
        <v>3266</v>
      </c>
      <c r="O1132" s="122">
        <v>1210</v>
      </c>
      <c r="P1132" s="122">
        <v>945</v>
      </c>
      <c r="Q1132" s="122">
        <v>350</v>
      </c>
      <c r="R1132" s="122">
        <v>7165</v>
      </c>
      <c r="S1132" s="122">
        <v>6514</v>
      </c>
      <c r="T1132" s="122">
        <v>2219</v>
      </c>
      <c r="U1132" s="122">
        <v>822</v>
      </c>
      <c r="V1132" s="122">
        <v>33461</v>
      </c>
      <c r="W1132" s="122">
        <f t="shared" si="36"/>
        <v>33461</v>
      </c>
      <c r="X1132" s="122">
        <f t="shared" si="37"/>
        <v>40617</v>
      </c>
      <c r="AA1132" t="s">
        <v>58</v>
      </c>
      <c r="AB1132" t="s">
        <v>426</v>
      </c>
      <c r="AC1132" t="s">
        <v>137</v>
      </c>
      <c r="AD1132" t="s">
        <v>426</v>
      </c>
      <c r="AE1132" t="s">
        <v>566</v>
      </c>
      <c r="AF1132">
        <v>31</v>
      </c>
      <c r="AG1132" s="122">
        <v>2570</v>
      </c>
      <c r="AH1132" s="122">
        <v>8357</v>
      </c>
      <c r="AI1132" s="122">
        <v>341875</v>
      </c>
      <c r="AJ1132" s="122">
        <v>310795</v>
      </c>
      <c r="AK1132">
        <v>60</v>
      </c>
      <c r="AL1132" s="122">
        <v>69657</v>
      </c>
      <c r="AM1132" s="122">
        <v>25799</v>
      </c>
      <c r="AN1132" s="122">
        <v>48856</v>
      </c>
      <c r="AO1132" s="122">
        <v>18095</v>
      </c>
      <c r="AP1132" s="122">
        <v>9325</v>
      </c>
      <c r="AQ1132" s="122">
        <v>3454</v>
      </c>
      <c r="AR1132" s="122">
        <v>219369</v>
      </c>
      <c r="AS1132" s="122">
        <v>199426</v>
      </c>
      <c r="AT1132">
        <v>0</v>
      </c>
      <c r="AU1132">
        <v>0</v>
      </c>
      <c r="AV1132" s="122">
        <v>557569</v>
      </c>
    </row>
    <row r="1133" spans="2:48" hidden="1">
      <c r="B1133" t="s">
        <v>370</v>
      </c>
      <c r="C1133" t="s">
        <v>58</v>
      </c>
      <c r="D1133" t="s">
        <v>407</v>
      </c>
      <c r="E1133" t="s">
        <v>407</v>
      </c>
      <c r="F1133" s="122">
        <v>2048</v>
      </c>
      <c r="G1133" s="122">
        <v>194698</v>
      </c>
      <c r="H1133" s="122">
        <v>520466</v>
      </c>
      <c r="I1133" s="122">
        <v>25052554</v>
      </c>
      <c r="J1133" s="122">
        <v>22775049</v>
      </c>
      <c r="K1133" s="122">
        <v>78</v>
      </c>
      <c r="L1133" s="122">
        <v>7063631</v>
      </c>
      <c r="M1133" s="122">
        <v>6165951</v>
      </c>
      <c r="N1133" s="122">
        <v>3960424</v>
      </c>
      <c r="O1133" s="122">
        <v>1466824</v>
      </c>
      <c r="P1133" s="122">
        <v>975183</v>
      </c>
      <c r="Q1133" s="122">
        <v>361179</v>
      </c>
      <c r="R1133" s="122">
        <v>9916569</v>
      </c>
      <c r="S1133" s="122">
        <v>9015062</v>
      </c>
      <c r="T1133" s="122">
        <v>2756441</v>
      </c>
      <c r="U1133" s="122">
        <v>1020904</v>
      </c>
      <c r="V1133" s="122">
        <v>40804969</v>
      </c>
      <c r="W1133" s="122">
        <f t="shared" si="36"/>
        <v>40804969</v>
      </c>
      <c r="X1133" s="122">
        <f t="shared" si="37"/>
        <v>49724802</v>
      </c>
      <c r="AA1133" t="s">
        <v>58</v>
      </c>
      <c r="AB1133" t="s">
        <v>426</v>
      </c>
      <c r="AC1133" t="s">
        <v>580</v>
      </c>
      <c r="AD1133" t="s">
        <v>406</v>
      </c>
      <c r="AE1133" t="s">
        <v>566</v>
      </c>
      <c r="AF1133">
        <v>1</v>
      </c>
      <c r="AG1133">
        <v>74</v>
      </c>
      <c r="AH1133">
        <v>248</v>
      </c>
      <c r="AI1133" s="122">
        <v>8586</v>
      </c>
      <c r="AJ1133" s="122">
        <v>7805</v>
      </c>
      <c r="AK1133">
        <v>55</v>
      </c>
      <c r="AL1133">
        <v>954</v>
      </c>
      <c r="AM1133">
        <v>867</v>
      </c>
      <c r="AN1133" s="122">
        <v>1234</v>
      </c>
      <c r="AO1133">
        <v>457</v>
      </c>
      <c r="AP1133">
        <v>351</v>
      </c>
      <c r="AQ1133">
        <v>130</v>
      </c>
      <c r="AR1133" s="122">
        <v>7326</v>
      </c>
      <c r="AS1133" s="122">
        <v>6660</v>
      </c>
      <c r="AT1133">
        <v>0</v>
      </c>
      <c r="AU1133">
        <v>0</v>
      </c>
      <c r="AV1133" s="122">
        <v>15919</v>
      </c>
    </row>
    <row r="1134" spans="2:48" hidden="1">
      <c r="B1134" t="s">
        <v>370</v>
      </c>
      <c r="C1134" t="s">
        <v>58</v>
      </c>
      <c r="D1134" t="s">
        <v>407</v>
      </c>
      <c r="E1134" t="s">
        <v>426</v>
      </c>
      <c r="F1134" s="122">
        <v>2</v>
      </c>
      <c r="G1134" s="122">
        <v>186</v>
      </c>
      <c r="H1134" s="122">
        <v>462</v>
      </c>
      <c r="I1134" s="122">
        <v>19897</v>
      </c>
      <c r="J1134" s="122">
        <v>18088</v>
      </c>
      <c r="K1134" s="122">
        <v>78</v>
      </c>
      <c r="L1134" s="122">
        <v>5486</v>
      </c>
      <c r="M1134" s="122">
        <v>4987</v>
      </c>
      <c r="N1134" s="122">
        <v>4392</v>
      </c>
      <c r="O1134" s="122">
        <v>1627</v>
      </c>
      <c r="P1134" s="122">
        <v>945</v>
      </c>
      <c r="Q1134" s="122">
        <v>350</v>
      </c>
      <c r="R1134" s="122">
        <v>12121</v>
      </c>
      <c r="S1134" s="122">
        <v>11019</v>
      </c>
      <c r="T1134" s="122">
        <v>0</v>
      </c>
      <c r="U1134" s="122">
        <v>0</v>
      </c>
      <c r="V1134" s="122">
        <v>36071</v>
      </c>
      <c r="W1134" s="122">
        <f t="shared" si="36"/>
        <v>36071</v>
      </c>
      <c r="X1134" s="122">
        <f t="shared" si="37"/>
        <v>42841</v>
      </c>
      <c r="AA1134" t="s">
        <v>58</v>
      </c>
      <c r="AB1134" t="s">
        <v>426</v>
      </c>
      <c r="AC1134" t="s">
        <v>580</v>
      </c>
      <c r="AD1134" t="s">
        <v>426</v>
      </c>
      <c r="AE1134" t="s">
        <v>137</v>
      </c>
      <c r="AF1134">
        <v>231</v>
      </c>
      <c r="AG1134" s="122">
        <v>21433</v>
      </c>
      <c r="AH1134" s="122">
        <v>61059</v>
      </c>
      <c r="AI1134" s="122">
        <v>3112098</v>
      </c>
      <c r="AJ1134" s="122">
        <v>2829180</v>
      </c>
      <c r="AK1134">
        <v>59</v>
      </c>
      <c r="AL1134" s="122">
        <v>266094</v>
      </c>
      <c r="AM1134" s="122">
        <v>241903</v>
      </c>
      <c r="AN1134" s="122">
        <v>442954</v>
      </c>
      <c r="AO1134" s="122">
        <v>164057</v>
      </c>
      <c r="AP1134" s="122">
        <v>137322</v>
      </c>
      <c r="AQ1134" s="122">
        <v>50860</v>
      </c>
      <c r="AR1134" s="122">
        <v>1148577</v>
      </c>
      <c r="AS1134" s="122">
        <v>1044161</v>
      </c>
      <c r="AT1134" s="122">
        <v>558445</v>
      </c>
      <c r="AU1134" s="122">
        <v>206831</v>
      </c>
      <c r="AV1134" s="122">
        <v>4536993</v>
      </c>
    </row>
    <row r="1135" spans="2:48" hidden="1">
      <c r="B1135" t="s">
        <v>370</v>
      </c>
      <c r="C1135" t="s">
        <v>58</v>
      </c>
      <c r="D1135" t="s">
        <v>556</v>
      </c>
      <c r="E1135" t="s">
        <v>556</v>
      </c>
      <c r="F1135" s="122">
        <v>15</v>
      </c>
      <c r="G1135" s="122">
        <v>1453</v>
      </c>
      <c r="H1135" s="122">
        <v>4095</v>
      </c>
      <c r="I1135" s="122">
        <v>216724</v>
      </c>
      <c r="J1135" s="122">
        <v>180603</v>
      </c>
      <c r="K1135" s="122">
        <v>63</v>
      </c>
      <c r="L1135" s="122">
        <v>31932</v>
      </c>
      <c r="M1135" s="122">
        <v>25860</v>
      </c>
      <c r="N1135" s="122">
        <v>27363</v>
      </c>
      <c r="O1135" s="122">
        <v>10135</v>
      </c>
      <c r="P1135" s="122">
        <v>5535</v>
      </c>
      <c r="Q1135" s="122">
        <v>2050</v>
      </c>
      <c r="R1135" s="122">
        <v>90221</v>
      </c>
      <c r="S1135" s="122">
        <v>75184</v>
      </c>
      <c r="T1135" s="122">
        <v>26060</v>
      </c>
      <c r="U1135" s="122">
        <v>9652</v>
      </c>
      <c r="V1135" s="122">
        <v>303484</v>
      </c>
      <c r="W1135" s="122">
        <f t="shared" si="36"/>
        <v>303484</v>
      </c>
      <c r="X1135" s="122">
        <f t="shared" si="37"/>
        <v>397835</v>
      </c>
      <c r="AA1135" t="s">
        <v>58</v>
      </c>
      <c r="AB1135" t="s">
        <v>426</v>
      </c>
      <c r="AC1135" t="s">
        <v>580</v>
      </c>
      <c r="AD1135" t="s">
        <v>426</v>
      </c>
      <c r="AE1135" t="s">
        <v>566</v>
      </c>
      <c r="AF1135">
        <v>10</v>
      </c>
      <c r="AG1135">
        <v>898</v>
      </c>
      <c r="AH1135" s="122">
        <v>2606</v>
      </c>
      <c r="AI1135" s="122">
        <v>143722</v>
      </c>
      <c r="AJ1135" s="122">
        <v>130656</v>
      </c>
      <c r="AK1135">
        <v>64</v>
      </c>
      <c r="AL1135" s="122">
        <v>14440</v>
      </c>
      <c r="AM1135" s="122">
        <v>13127</v>
      </c>
      <c r="AN1135" s="122">
        <v>18474</v>
      </c>
      <c r="AO1135" s="122">
        <v>6842</v>
      </c>
      <c r="AP1135" s="122">
        <v>7988</v>
      </c>
      <c r="AQ1135" s="122">
        <v>2958</v>
      </c>
      <c r="AR1135" s="122">
        <v>66041</v>
      </c>
      <c r="AS1135" s="122">
        <v>60037</v>
      </c>
      <c r="AT1135">
        <v>0</v>
      </c>
      <c r="AU1135">
        <v>0</v>
      </c>
      <c r="AV1135" s="122">
        <v>213621</v>
      </c>
    </row>
    <row r="1136" spans="2:48" hidden="1">
      <c r="B1136" t="s">
        <v>370</v>
      </c>
      <c r="C1136" t="s">
        <v>58</v>
      </c>
      <c r="D1136" t="s">
        <v>431</v>
      </c>
      <c r="E1136" t="s">
        <v>431</v>
      </c>
      <c r="F1136" s="122">
        <v>5</v>
      </c>
      <c r="G1136" s="122">
        <v>429</v>
      </c>
      <c r="H1136" s="122">
        <v>1295</v>
      </c>
      <c r="I1136" s="122">
        <v>52891</v>
      </c>
      <c r="J1136" s="122">
        <v>48083</v>
      </c>
      <c r="K1136" s="122">
        <v>62</v>
      </c>
      <c r="L1136" s="122">
        <v>11526</v>
      </c>
      <c r="M1136" s="122">
        <v>9485</v>
      </c>
      <c r="N1136" s="122">
        <v>8700</v>
      </c>
      <c r="O1136" s="122">
        <v>3222</v>
      </c>
      <c r="P1136" s="122">
        <v>1053</v>
      </c>
      <c r="Q1136" s="122">
        <v>390</v>
      </c>
      <c r="R1136" s="122">
        <v>23352</v>
      </c>
      <c r="S1136" s="122">
        <v>21229</v>
      </c>
      <c r="T1136" s="122">
        <v>12415</v>
      </c>
      <c r="U1136" s="122">
        <v>4598</v>
      </c>
      <c r="V1136" s="122">
        <v>87007</v>
      </c>
      <c r="W1136" s="122">
        <f t="shared" si="36"/>
        <v>87007</v>
      </c>
      <c r="X1136" s="122">
        <f t="shared" si="37"/>
        <v>109937</v>
      </c>
      <c r="AA1136" t="s">
        <v>58</v>
      </c>
      <c r="AB1136" t="s">
        <v>426</v>
      </c>
      <c r="AC1136" t="s">
        <v>427</v>
      </c>
      <c r="AD1136" t="s">
        <v>426</v>
      </c>
      <c r="AE1136" t="s">
        <v>137</v>
      </c>
      <c r="AF1136">
        <v>52</v>
      </c>
      <c r="AG1136" s="122">
        <v>4483</v>
      </c>
      <c r="AH1136" s="122">
        <v>13390</v>
      </c>
      <c r="AI1136" s="122">
        <v>537261</v>
      </c>
      <c r="AJ1136" s="122">
        <v>488419</v>
      </c>
      <c r="AK1136">
        <v>63</v>
      </c>
      <c r="AL1136" s="122">
        <v>123103</v>
      </c>
      <c r="AM1136" s="122">
        <v>111912</v>
      </c>
      <c r="AN1136" s="122">
        <v>85284</v>
      </c>
      <c r="AO1136" s="122">
        <v>31587</v>
      </c>
      <c r="AP1136" s="122">
        <v>18252</v>
      </c>
      <c r="AQ1136" s="122">
        <v>6760</v>
      </c>
      <c r="AR1136" s="122">
        <v>254257</v>
      </c>
      <c r="AS1136" s="122">
        <v>231142</v>
      </c>
      <c r="AT1136" s="122">
        <v>132865</v>
      </c>
      <c r="AU1136" s="122">
        <v>49209</v>
      </c>
      <c r="AV1136" s="122">
        <v>919030</v>
      </c>
    </row>
    <row r="1137" spans="2:48" hidden="1">
      <c r="B1137" t="s">
        <v>370</v>
      </c>
      <c r="C1137" t="s">
        <v>58</v>
      </c>
      <c r="D1137" t="s">
        <v>426</v>
      </c>
      <c r="E1137" t="s">
        <v>137</v>
      </c>
      <c r="F1137" s="122">
        <v>1</v>
      </c>
      <c r="G1137" s="122">
        <v>36</v>
      </c>
      <c r="H1137" s="122">
        <v>245</v>
      </c>
      <c r="I1137" s="122">
        <v>3006</v>
      </c>
      <c r="J1137" s="122">
        <v>2733</v>
      </c>
      <c r="K1137" s="122">
        <v>77</v>
      </c>
      <c r="L1137" s="122">
        <v>1003</v>
      </c>
      <c r="M1137" s="122">
        <v>371</v>
      </c>
      <c r="N1137" s="122">
        <v>694</v>
      </c>
      <c r="O1137" s="122">
        <v>257</v>
      </c>
      <c r="P1137" s="122">
        <v>0</v>
      </c>
      <c r="Q1137" s="122">
        <v>0</v>
      </c>
      <c r="R1137" s="122">
        <v>4019</v>
      </c>
      <c r="S1137" s="122">
        <v>1488</v>
      </c>
      <c r="T1137" s="122">
        <v>0</v>
      </c>
      <c r="U1137" s="122">
        <v>0</v>
      </c>
      <c r="V1137" s="122">
        <v>4850</v>
      </c>
      <c r="W1137" s="122">
        <f t="shared" si="36"/>
        <v>4849</v>
      </c>
      <c r="X1137" s="122">
        <f t="shared" si="37"/>
        <v>8722</v>
      </c>
      <c r="AA1137" t="s">
        <v>58</v>
      </c>
      <c r="AB1137" t="s">
        <v>426</v>
      </c>
      <c r="AC1137" t="s">
        <v>427</v>
      </c>
      <c r="AD1137" t="s">
        <v>426</v>
      </c>
      <c r="AE1137" t="s">
        <v>566</v>
      </c>
      <c r="AF1137">
        <v>22</v>
      </c>
      <c r="AG1137" s="122">
        <v>1992</v>
      </c>
      <c r="AH1137" s="122">
        <v>5589</v>
      </c>
      <c r="AI1137" s="122">
        <v>242595</v>
      </c>
      <c r="AJ1137" s="122">
        <v>220541</v>
      </c>
      <c r="AK1137">
        <v>55</v>
      </c>
      <c r="AL1137" s="122">
        <v>47480</v>
      </c>
      <c r="AM1137" s="122">
        <v>43164</v>
      </c>
      <c r="AN1137" s="122">
        <v>38248</v>
      </c>
      <c r="AO1137" s="122">
        <v>14166</v>
      </c>
      <c r="AP1137" s="122">
        <v>7722</v>
      </c>
      <c r="AQ1137" s="122">
        <v>2860</v>
      </c>
      <c r="AR1137" s="122">
        <v>169367</v>
      </c>
      <c r="AS1137" s="122">
        <v>153970</v>
      </c>
      <c r="AT1137">
        <v>0</v>
      </c>
      <c r="AU1137">
        <v>0</v>
      </c>
      <c r="AV1137" s="122">
        <v>434701</v>
      </c>
    </row>
    <row r="1138" spans="2:48" hidden="1">
      <c r="B1138" t="s">
        <v>370</v>
      </c>
      <c r="C1138" t="s">
        <v>58</v>
      </c>
      <c r="D1138" t="s">
        <v>426</v>
      </c>
      <c r="E1138" t="s">
        <v>426</v>
      </c>
      <c r="F1138" s="122">
        <v>82</v>
      </c>
      <c r="G1138" s="122">
        <v>7261</v>
      </c>
      <c r="H1138" s="122">
        <v>22076</v>
      </c>
      <c r="I1138" s="122">
        <v>1049237</v>
      </c>
      <c r="J1138" s="122">
        <v>953852</v>
      </c>
      <c r="K1138" s="122">
        <v>62</v>
      </c>
      <c r="L1138" s="122">
        <v>185131</v>
      </c>
      <c r="M1138" s="122">
        <v>157489</v>
      </c>
      <c r="N1138" s="122">
        <v>133628</v>
      </c>
      <c r="O1138" s="122">
        <v>49492</v>
      </c>
      <c r="P1138" s="122">
        <v>27999</v>
      </c>
      <c r="Q1138" s="122">
        <v>10370</v>
      </c>
      <c r="R1138" s="122">
        <v>390735</v>
      </c>
      <c r="S1138" s="122">
        <v>355214</v>
      </c>
      <c r="T1138" s="122">
        <v>191262</v>
      </c>
      <c r="U1138" s="122">
        <v>70838</v>
      </c>
      <c r="V1138" s="122">
        <v>1597254</v>
      </c>
      <c r="W1138" s="122">
        <f t="shared" si="36"/>
        <v>1597255</v>
      </c>
      <c r="X1138" s="122">
        <f t="shared" si="37"/>
        <v>1977992</v>
      </c>
      <c r="AA1138" t="s">
        <v>58</v>
      </c>
      <c r="AB1138" t="s">
        <v>426</v>
      </c>
      <c r="AC1138" t="s">
        <v>407</v>
      </c>
      <c r="AD1138" t="s">
        <v>407</v>
      </c>
      <c r="AE1138" t="s">
        <v>137</v>
      </c>
      <c r="AF1138">
        <v>1</v>
      </c>
      <c r="AG1138">
        <v>127</v>
      </c>
      <c r="AH1138">
        <v>291</v>
      </c>
      <c r="AI1138" s="122">
        <v>20380</v>
      </c>
      <c r="AJ1138" s="122">
        <v>18527</v>
      </c>
      <c r="AK1138">
        <v>79</v>
      </c>
      <c r="AL1138" s="122">
        <v>5963</v>
      </c>
      <c r="AM1138" s="122">
        <v>5421</v>
      </c>
      <c r="AN1138" s="122">
        <v>3087</v>
      </c>
      <c r="AO1138" s="122">
        <v>1143</v>
      </c>
      <c r="AP1138">
        <v>351</v>
      </c>
      <c r="AQ1138">
        <v>130</v>
      </c>
      <c r="AR1138" s="122">
        <v>3920</v>
      </c>
      <c r="AS1138" s="122">
        <v>3564</v>
      </c>
      <c r="AT1138" s="122">
        <v>3200</v>
      </c>
      <c r="AU1138" s="122">
        <v>1185</v>
      </c>
      <c r="AV1138" s="122">
        <v>29970</v>
      </c>
    </row>
    <row r="1139" spans="2:48" hidden="1">
      <c r="B1139" t="s">
        <v>370</v>
      </c>
      <c r="C1139" t="s">
        <v>58</v>
      </c>
      <c r="D1139" t="s">
        <v>433</v>
      </c>
      <c r="E1139" t="s">
        <v>433</v>
      </c>
      <c r="F1139" s="122">
        <v>5</v>
      </c>
      <c r="G1139" s="122">
        <v>389</v>
      </c>
      <c r="H1139" s="122">
        <v>1322</v>
      </c>
      <c r="I1139" s="122">
        <v>53839</v>
      </c>
      <c r="J1139" s="122">
        <v>48945</v>
      </c>
      <c r="K1139" s="122">
        <v>67</v>
      </c>
      <c r="L1139" s="122">
        <v>13357</v>
      </c>
      <c r="M1139" s="122">
        <v>12142</v>
      </c>
      <c r="N1139" s="122">
        <v>4742</v>
      </c>
      <c r="O1139" s="122">
        <v>1756</v>
      </c>
      <c r="P1139" s="122">
        <v>1877</v>
      </c>
      <c r="Q1139" s="122">
        <v>695</v>
      </c>
      <c r="R1139" s="122">
        <v>20643</v>
      </c>
      <c r="S1139" s="122">
        <v>18766</v>
      </c>
      <c r="T1139" s="122">
        <v>8431</v>
      </c>
      <c r="U1139" s="122">
        <v>3123</v>
      </c>
      <c r="V1139" s="122">
        <v>85427</v>
      </c>
      <c r="W1139" s="122">
        <f t="shared" si="36"/>
        <v>85427</v>
      </c>
      <c r="X1139" s="122">
        <f t="shared" si="37"/>
        <v>102889</v>
      </c>
      <c r="AA1139" t="s">
        <v>58</v>
      </c>
      <c r="AB1139" t="s">
        <v>426</v>
      </c>
      <c r="AC1139" t="s">
        <v>407</v>
      </c>
      <c r="AD1139" t="s">
        <v>426</v>
      </c>
      <c r="AE1139" t="s">
        <v>137</v>
      </c>
      <c r="AF1139">
        <v>4</v>
      </c>
      <c r="AG1139">
        <v>346</v>
      </c>
      <c r="AH1139" s="122">
        <v>1098</v>
      </c>
      <c r="AI1139" s="122">
        <v>53968</v>
      </c>
      <c r="AJ1139" s="122">
        <v>49062</v>
      </c>
      <c r="AK1139">
        <v>60</v>
      </c>
      <c r="AL1139" s="122">
        <v>5398</v>
      </c>
      <c r="AM1139" s="122">
        <v>4907</v>
      </c>
      <c r="AN1139" s="122">
        <v>7003</v>
      </c>
      <c r="AO1139" s="122">
        <v>2594</v>
      </c>
      <c r="AP1139" s="122">
        <v>1404</v>
      </c>
      <c r="AQ1139">
        <v>520</v>
      </c>
      <c r="AR1139" s="122">
        <v>18322</v>
      </c>
      <c r="AS1139" s="122">
        <v>16656</v>
      </c>
      <c r="AT1139" s="122">
        <v>8909</v>
      </c>
      <c r="AU1139" s="122">
        <v>3300</v>
      </c>
      <c r="AV1139" s="122">
        <v>77038</v>
      </c>
    </row>
    <row r="1140" spans="2:48" hidden="1">
      <c r="B1140" t="s">
        <v>370</v>
      </c>
      <c r="C1140" t="s">
        <v>60</v>
      </c>
      <c r="F1140" s="122">
        <v>3</v>
      </c>
      <c r="G1140" s="122">
        <v>363</v>
      </c>
      <c r="H1140" s="122">
        <v>1056</v>
      </c>
      <c r="I1140" s="122"/>
      <c r="J1140" s="122">
        <v>0</v>
      </c>
      <c r="K1140" s="122"/>
      <c r="L1140" s="122"/>
      <c r="M1140" s="122">
        <v>0</v>
      </c>
      <c r="N1140" s="122">
        <v>7095</v>
      </c>
      <c r="O1140" s="122">
        <v>2628</v>
      </c>
      <c r="P1140" s="122">
        <v>0</v>
      </c>
      <c r="Q1140" s="122">
        <v>0</v>
      </c>
      <c r="R1140" s="122"/>
      <c r="S1140" s="122">
        <v>0</v>
      </c>
      <c r="T1140" s="122">
        <v>0</v>
      </c>
      <c r="U1140" s="122">
        <v>0</v>
      </c>
      <c r="V1140" s="122">
        <v>2628</v>
      </c>
      <c r="W1140" s="122">
        <f t="shared" si="36"/>
        <v>2628</v>
      </c>
      <c r="X1140" s="122">
        <f t="shared" si="37"/>
        <v>7095</v>
      </c>
      <c r="AA1140" t="s">
        <v>58</v>
      </c>
      <c r="AB1140" t="s">
        <v>426</v>
      </c>
      <c r="AC1140" t="s">
        <v>407</v>
      </c>
      <c r="AD1140" t="s">
        <v>426</v>
      </c>
      <c r="AE1140" t="s">
        <v>566</v>
      </c>
      <c r="AF1140">
        <v>1</v>
      </c>
      <c r="AG1140">
        <v>80</v>
      </c>
      <c r="AH1140">
        <v>268</v>
      </c>
      <c r="AI1140" s="122">
        <v>11173</v>
      </c>
      <c r="AJ1140" s="122">
        <v>10157</v>
      </c>
      <c r="AK1140">
        <v>55</v>
      </c>
      <c r="AL1140" s="122">
        <v>1707</v>
      </c>
      <c r="AM1140" s="122">
        <v>1552</v>
      </c>
      <c r="AN1140" s="122">
        <v>1365</v>
      </c>
      <c r="AO1140">
        <v>505</v>
      </c>
      <c r="AP1140">
        <v>351</v>
      </c>
      <c r="AQ1140">
        <v>130</v>
      </c>
      <c r="AR1140" s="122">
        <v>6882</v>
      </c>
      <c r="AS1140" s="122">
        <v>6256</v>
      </c>
      <c r="AT1140">
        <v>0</v>
      </c>
      <c r="AU1140">
        <v>0</v>
      </c>
      <c r="AV1140" s="122">
        <v>18601</v>
      </c>
    </row>
    <row r="1141" spans="2:48" hidden="1">
      <c r="B1141" t="s">
        <v>370</v>
      </c>
      <c r="C1141" t="s">
        <v>60</v>
      </c>
      <c r="D1141" t="s">
        <v>425</v>
      </c>
      <c r="E1141" t="s">
        <v>425</v>
      </c>
      <c r="F1141" s="122">
        <v>1</v>
      </c>
      <c r="G1141" s="122">
        <v>134</v>
      </c>
      <c r="H1141" s="122">
        <v>322</v>
      </c>
      <c r="I1141" s="122">
        <v>26310</v>
      </c>
      <c r="J1141" s="122">
        <v>23918</v>
      </c>
      <c r="K1141" s="122">
        <v>65</v>
      </c>
      <c r="L1141" s="122">
        <v>6334</v>
      </c>
      <c r="M1141" s="122">
        <v>5758</v>
      </c>
      <c r="N1141" s="122">
        <v>2833</v>
      </c>
      <c r="O1141" s="122">
        <v>1049</v>
      </c>
      <c r="P1141" s="122">
        <v>473</v>
      </c>
      <c r="Q1141" s="122">
        <v>175</v>
      </c>
      <c r="R1141" s="122">
        <v>7281</v>
      </c>
      <c r="S1141" s="122">
        <v>6619</v>
      </c>
      <c r="T1141" s="122">
        <v>0</v>
      </c>
      <c r="U1141" s="122">
        <v>0</v>
      </c>
      <c r="V1141" s="122">
        <v>37519</v>
      </c>
      <c r="W1141" s="122">
        <f t="shared" si="36"/>
        <v>37519</v>
      </c>
      <c r="X1141" s="122">
        <f t="shared" si="37"/>
        <v>43231</v>
      </c>
      <c r="AA1141" t="s">
        <v>58</v>
      </c>
      <c r="AB1141" t="s">
        <v>426</v>
      </c>
      <c r="AC1141" t="s">
        <v>579</v>
      </c>
      <c r="AD1141" t="s">
        <v>426</v>
      </c>
      <c r="AE1141" t="s">
        <v>137</v>
      </c>
      <c r="AF1141">
        <v>3</v>
      </c>
      <c r="AG1141">
        <v>219</v>
      </c>
      <c r="AH1141">
        <v>875</v>
      </c>
      <c r="AI1141" s="122">
        <v>33187</v>
      </c>
      <c r="AJ1141" s="122">
        <v>30170</v>
      </c>
      <c r="AK1141">
        <v>65</v>
      </c>
      <c r="AL1141" s="122">
        <v>6820</v>
      </c>
      <c r="AM1141" s="122">
        <v>5683</v>
      </c>
      <c r="AN1141" s="122">
        <v>3756</v>
      </c>
      <c r="AO1141" s="122">
        <v>1391</v>
      </c>
      <c r="AP1141" s="122">
        <v>1053</v>
      </c>
      <c r="AQ1141">
        <v>390</v>
      </c>
      <c r="AR1141" s="122">
        <v>12572</v>
      </c>
      <c r="AS1141" s="122">
        <v>11429</v>
      </c>
      <c r="AT1141" s="122">
        <v>6618</v>
      </c>
      <c r="AU1141" s="122">
        <v>2451</v>
      </c>
      <c r="AV1141" s="122">
        <v>51515</v>
      </c>
    </row>
    <row r="1142" spans="2:48" hidden="1">
      <c r="B1142" t="s">
        <v>370</v>
      </c>
      <c r="C1142" t="s">
        <v>60</v>
      </c>
      <c r="D1142" t="s">
        <v>405</v>
      </c>
      <c r="E1142" t="s">
        <v>405</v>
      </c>
      <c r="F1142" s="122">
        <v>3</v>
      </c>
      <c r="G1142" s="122">
        <v>312</v>
      </c>
      <c r="H1142" s="122">
        <v>953</v>
      </c>
      <c r="I1142" s="122">
        <v>53365</v>
      </c>
      <c r="J1142" s="122">
        <v>48513</v>
      </c>
      <c r="K1142" s="122">
        <v>79</v>
      </c>
      <c r="L1142" s="122">
        <v>15725</v>
      </c>
      <c r="M1142" s="122">
        <v>13804</v>
      </c>
      <c r="N1142" s="122">
        <v>7375</v>
      </c>
      <c r="O1142" s="122">
        <v>2731</v>
      </c>
      <c r="P1142" s="122">
        <v>1067</v>
      </c>
      <c r="Q1142" s="122">
        <v>395</v>
      </c>
      <c r="R1142" s="122">
        <v>16985</v>
      </c>
      <c r="S1142" s="122">
        <v>15441</v>
      </c>
      <c r="T1142" s="122">
        <v>4734</v>
      </c>
      <c r="U1142" s="122">
        <v>1753</v>
      </c>
      <c r="V1142" s="122">
        <v>82638</v>
      </c>
      <c r="W1142" s="122">
        <f t="shared" si="36"/>
        <v>82637</v>
      </c>
      <c r="X1142" s="122">
        <f t="shared" si="37"/>
        <v>99251</v>
      </c>
      <c r="AA1142" t="s">
        <v>58</v>
      </c>
      <c r="AB1142" t="s">
        <v>426</v>
      </c>
      <c r="AC1142" t="s">
        <v>579</v>
      </c>
      <c r="AD1142" t="s">
        <v>426</v>
      </c>
      <c r="AE1142" t="s">
        <v>566</v>
      </c>
      <c r="AF1142">
        <v>1</v>
      </c>
      <c r="AG1142">
        <v>81</v>
      </c>
      <c r="AH1142">
        <v>254</v>
      </c>
      <c r="AI1142" s="122">
        <v>10672</v>
      </c>
      <c r="AJ1142" s="122">
        <v>9702</v>
      </c>
      <c r="AK1142">
        <v>55</v>
      </c>
      <c r="AL1142">
        <v>940</v>
      </c>
      <c r="AM1142">
        <v>783</v>
      </c>
      <c r="AN1142" s="122">
        <v>1283</v>
      </c>
      <c r="AO1142">
        <v>475</v>
      </c>
      <c r="AP1142">
        <v>351</v>
      </c>
      <c r="AQ1142">
        <v>130</v>
      </c>
      <c r="AR1142" s="122">
        <v>7332</v>
      </c>
      <c r="AS1142" s="122">
        <v>6665</v>
      </c>
      <c r="AT1142">
        <v>0</v>
      </c>
      <c r="AU1142">
        <v>0</v>
      </c>
      <c r="AV1142" s="122">
        <v>17756</v>
      </c>
    </row>
    <row r="1143" spans="2:48" hidden="1">
      <c r="B1143" t="s">
        <v>370</v>
      </c>
      <c r="C1143" t="s">
        <v>60</v>
      </c>
      <c r="D1143" t="s">
        <v>137</v>
      </c>
      <c r="E1143" t="s">
        <v>137</v>
      </c>
      <c r="F1143" s="122">
        <v>140</v>
      </c>
      <c r="G1143" s="122">
        <v>9956</v>
      </c>
      <c r="H1143" s="122">
        <v>46487</v>
      </c>
      <c r="I1143" s="122">
        <v>1905148</v>
      </c>
      <c r="J1143" s="122">
        <v>705610</v>
      </c>
      <c r="K1143" s="122">
        <v>100</v>
      </c>
      <c r="L1143" s="122">
        <v>289265</v>
      </c>
      <c r="M1143" s="122">
        <v>156501</v>
      </c>
      <c r="N1143" s="122">
        <v>202430</v>
      </c>
      <c r="O1143" s="122">
        <v>74974</v>
      </c>
      <c r="P1143" s="122">
        <v>1053</v>
      </c>
      <c r="Q1143" s="122">
        <v>390</v>
      </c>
      <c r="R1143" s="122">
        <v>914732</v>
      </c>
      <c r="S1143" s="122">
        <v>338790</v>
      </c>
      <c r="T1143" s="122">
        <v>2326</v>
      </c>
      <c r="U1143" s="122">
        <v>861</v>
      </c>
      <c r="V1143" s="122">
        <v>1277126</v>
      </c>
      <c r="W1143" s="122">
        <f t="shared" si="36"/>
        <v>1277126</v>
      </c>
      <c r="X1143" s="122">
        <f t="shared" si="37"/>
        <v>3314954</v>
      </c>
      <c r="AA1143" t="s">
        <v>58</v>
      </c>
      <c r="AB1143" t="s">
        <v>426</v>
      </c>
      <c r="AC1143" t="s">
        <v>426</v>
      </c>
      <c r="AD1143" t="s">
        <v>137</v>
      </c>
      <c r="AE1143" t="s">
        <v>137</v>
      </c>
      <c r="AF1143">
        <v>3</v>
      </c>
      <c r="AG1143">
        <v>268</v>
      </c>
      <c r="AH1143">
        <v>806</v>
      </c>
      <c r="AI1143" s="122">
        <v>32446</v>
      </c>
      <c r="AJ1143" s="122">
        <v>29496</v>
      </c>
      <c r="AK1143">
        <v>62</v>
      </c>
      <c r="AL1143" s="122">
        <v>5486</v>
      </c>
      <c r="AM1143" s="122">
        <v>4987</v>
      </c>
      <c r="AN1143" s="122">
        <v>4888</v>
      </c>
      <c r="AO1143" s="122">
        <v>1810</v>
      </c>
      <c r="AP1143">
        <v>702</v>
      </c>
      <c r="AQ1143">
        <v>260</v>
      </c>
      <c r="AR1143" s="122">
        <v>24932</v>
      </c>
      <c r="AS1143" s="122">
        <v>9234</v>
      </c>
      <c r="AT1143" s="122">
        <v>3236</v>
      </c>
      <c r="AU1143" s="122">
        <v>1198</v>
      </c>
      <c r="AV1143" s="122">
        <v>46986</v>
      </c>
    </row>
    <row r="1144" spans="2:48" hidden="1">
      <c r="B1144" t="s">
        <v>370</v>
      </c>
      <c r="C1144" t="s">
        <v>60</v>
      </c>
      <c r="D1144" t="s">
        <v>137</v>
      </c>
      <c r="E1144" t="s">
        <v>556</v>
      </c>
      <c r="F1144" s="122">
        <v>2</v>
      </c>
      <c r="G1144" s="122">
        <v>167</v>
      </c>
      <c r="H1144" s="122">
        <v>650</v>
      </c>
      <c r="I1144" s="122">
        <v>26442</v>
      </c>
      <c r="J1144" s="122">
        <v>9793</v>
      </c>
      <c r="K1144" s="122">
        <v>100</v>
      </c>
      <c r="L1144" s="122">
        <v>3986</v>
      </c>
      <c r="M1144" s="122">
        <v>3321</v>
      </c>
      <c r="N1144" s="122">
        <v>3637</v>
      </c>
      <c r="O1144" s="122">
        <v>1347</v>
      </c>
      <c r="P1144" s="122">
        <v>702</v>
      </c>
      <c r="Q1144" s="122">
        <v>260</v>
      </c>
      <c r="R1144" s="122">
        <v>14299</v>
      </c>
      <c r="S1144" s="122">
        <v>11915</v>
      </c>
      <c r="T1144" s="122">
        <v>4957</v>
      </c>
      <c r="U1144" s="122">
        <v>1836</v>
      </c>
      <c r="V1144" s="122">
        <v>28473</v>
      </c>
      <c r="W1144" s="122">
        <f t="shared" si="36"/>
        <v>28472</v>
      </c>
      <c r="X1144" s="122">
        <f t="shared" si="37"/>
        <v>54023</v>
      </c>
      <c r="AA1144" t="s">
        <v>58</v>
      </c>
      <c r="AB1144" t="s">
        <v>426</v>
      </c>
      <c r="AC1144" t="s">
        <v>426</v>
      </c>
      <c r="AD1144" t="s">
        <v>137</v>
      </c>
      <c r="AE1144" t="s">
        <v>566</v>
      </c>
      <c r="AF1144">
        <v>9</v>
      </c>
      <c r="AG1144">
        <v>725</v>
      </c>
      <c r="AH1144" s="122">
        <v>2457</v>
      </c>
      <c r="AI1144" s="122">
        <v>90379</v>
      </c>
      <c r="AJ1144" s="122">
        <v>82163</v>
      </c>
      <c r="AK1144">
        <v>64</v>
      </c>
      <c r="AL1144" s="122">
        <v>18844</v>
      </c>
      <c r="AM1144" s="122">
        <v>17131</v>
      </c>
      <c r="AN1144" s="122">
        <v>14976</v>
      </c>
      <c r="AO1144" s="122">
        <v>5547</v>
      </c>
      <c r="AP1144" s="122">
        <v>2808</v>
      </c>
      <c r="AQ1144" s="122">
        <v>1040</v>
      </c>
      <c r="AR1144" s="122">
        <v>79593</v>
      </c>
      <c r="AS1144" s="122">
        <v>29479</v>
      </c>
      <c r="AT1144">
        <v>0</v>
      </c>
      <c r="AU1144">
        <v>0</v>
      </c>
      <c r="AV1144" s="122">
        <v>135360</v>
      </c>
    </row>
    <row r="1145" spans="2:48" hidden="1">
      <c r="B1145" t="s">
        <v>370</v>
      </c>
      <c r="C1145" t="s">
        <v>60</v>
      </c>
      <c r="D1145" t="s">
        <v>137</v>
      </c>
      <c r="E1145" t="s">
        <v>426</v>
      </c>
      <c r="F1145" s="122">
        <v>4</v>
      </c>
      <c r="G1145" s="122">
        <v>305</v>
      </c>
      <c r="H1145" s="122">
        <v>1462</v>
      </c>
      <c r="I1145" s="122">
        <v>64157</v>
      </c>
      <c r="J1145" s="122">
        <v>23762</v>
      </c>
      <c r="K1145" s="122">
        <v>100</v>
      </c>
      <c r="L1145" s="122">
        <v>9474</v>
      </c>
      <c r="M1145" s="122">
        <v>8613</v>
      </c>
      <c r="N1145" s="122">
        <v>6452</v>
      </c>
      <c r="O1145" s="122">
        <v>2390</v>
      </c>
      <c r="P1145" s="122">
        <v>0</v>
      </c>
      <c r="Q1145" s="122">
        <v>0</v>
      </c>
      <c r="R1145" s="122">
        <v>27516</v>
      </c>
      <c r="S1145" s="122">
        <v>25014</v>
      </c>
      <c r="T1145" s="122">
        <v>4133</v>
      </c>
      <c r="U1145" s="122">
        <v>1531</v>
      </c>
      <c r="V1145" s="122">
        <v>61310</v>
      </c>
      <c r="W1145" s="122">
        <f t="shared" si="36"/>
        <v>61310</v>
      </c>
      <c r="X1145" s="122">
        <f t="shared" si="37"/>
        <v>111732</v>
      </c>
      <c r="AA1145" t="s">
        <v>58</v>
      </c>
      <c r="AB1145" t="s">
        <v>426</v>
      </c>
      <c r="AC1145" t="s">
        <v>426</v>
      </c>
      <c r="AD1145" t="s">
        <v>426</v>
      </c>
      <c r="AE1145" t="s">
        <v>137</v>
      </c>
      <c r="AF1145" s="122">
        <v>1979</v>
      </c>
      <c r="AG1145" s="122">
        <v>170118</v>
      </c>
      <c r="AH1145" s="122">
        <v>532708</v>
      </c>
      <c r="AI1145" s="122">
        <v>23332936</v>
      </c>
      <c r="AJ1145" s="122">
        <v>21211760</v>
      </c>
      <c r="AK1145">
        <v>60</v>
      </c>
      <c r="AL1145" s="122">
        <v>4637586</v>
      </c>
      <c r="AM1145" s="122">
        <v>4215988</v>
      </c>
      <c r="AN1145" s="122">
        <v>3208235</v>
      </c>
      <c r="AO1145" s="122">
        <v>1188235</v>
      </c>
      <c r="AP1145" s="122">
        <v>713894</v>
      </c>
      <c r="AQ1145" s="122">
        <v>264405</v>
      </c>
      <c r="AR1145" s="122">
        <v>9568184</v>
      </c>
      <c r="AS1145" s="122">
        <v>8698349</v>
      </c>
      <c r="AT1145" s="122">
        <v>4532873</v>
      </c>
      <c r="AU1145" s="122">
        <v>1678842</v>
      </c>
      <c r="AV1145" s="122">
        <v>37257578</v>
      </c>
    </row>
    <row r="1146" spans="2:48" hidden="1">
      <c r="B1146" t="s">
        <v>370</v>
      </c>
      <c r="C1146" t="s">
        <v>60</v>
      </c>
      <c r="D1146" t="s">
        <v>406</v>
      </c>
      <c r="E1146" t="s">
        <v>555</v>
      </c>
      <c r="F1146" s="122">
        <v>1</v>
      </c>
      <c r="G1146" s="122">
        <v>100</v>
      </c>
      <c r="H1146" s="122">
        <v>373</v>
      </c>
      <c r="I1146" s="122">
        <v>22500</v>
      </c>
      <c r="J1146" s="122">
        <v>20455</v>
      </c>
      <c r="K1146" s="122">
        <v>70</v>
      </c>
      <c r="L1146" s="122">
        <v>5542</v>
      </c>
      <c r="M1146" s="122">
        <v>5038</v>
      </c>
      <c r="N1146" s="122">
        <v>2448</v>
      </c>
      <c r="O1146" s="122">
        <v>907</v>
      </c>
      <c r="P1146" s="122">
        <v>621</v>
      </c>
      <c r="Q1146" s="122">
        <v>230</v>
      </c>
      <c r="R1146" s="122">
        <v>6370</v>
      </c>
      <c r="S1146" s="122">
        <v>5791</v>
      </c>
      <c r="T1146" s="122">
        <v>0</v>
      </c>
      <c r="U1146" s="122">
        <v>0</v>
      </c>
      <c r="V1146" s="122">
        <v>32421</v>
      </c>
      <c r="W1146" s="122">
        <f t="shared" si="36"/>
        <v>32421</v>
      </c>
      <c r="X1146" s="122">
        <f t="shared" si="37"/>
        <v>37481</v>
      </c>
      <c r="AA1146" t="s">
        <v>58</v>
      </c>
      <c r="AB1146" t="s">
        <v>426</v>
      </c>
      <c r="AC1146" t="s">
        <v>426</v>
      </c>
      <c r="AD1146" t="s">
        <v>426</v>
      </c>
      <c r="AE1146" t="s">
        <v>566</v>
      </c>
      <c r="AF1146">
        <v>115</v>
      </c>
      <c r="AG1146" s="122">
        <v>9868</v>
      </c>
      <c r="AH1146" s="122">
        <v>31100</v>
      </c>
      <c r="AI1146" s="122">
        <v>1396395</v>
      </c>
      <c r="AJ1146" s="122">
        <v>1269450</v>
      </c>
      <c r="AK1146">
        <v>60</v>
      </c>
      <c r="AL1146" s="122">
        <v>264701</v>
      </c>
      <c r="AM1146" s="122">
        <v>240638</v>
      </c>
      <c r="AN1146" s="122">
        <v>168738</v>
      </c>
      <c r="AO1146" s="122">
        <v>62496</v>
      </c>
      <c r="AP1146" s="122">
        <v>43880</v>
      </c>
      <c r="AQ1146" s="122">
        <v>16252</v>
      </c>
      <c r="AR1146" s="122">
        <v>802565</v>
      </c>
      <c r="AS1146" s="122">
        <v>729605</v>
      </c>
      <c r="AT1146">
        <v>0</v>
      </c>
      <c r="AU1146">
        <v>0</v>
      </c>
      <c r="AV1146" s="122">
        <v>2318439</v>
      </c>
    </row>
    <row r="1147" spans="2:48" hidden="1">
      <c r="B1147" t="s">
        <v>370</v>
      </c>
      <c r="C1147" t="s">
        <v>60</v>
      </c>
      <c r="D1147" t="s">
        <v>406</v>
      </c>
      <c r="E1147" t="s">
        <v>425</v>
      </c>
      <c r="F1147" s="122">
        <v>1</v>
      </c>
      <c r="G1147" s="122">
        <v>74</v>
      </c>
      <c r="H1147" s="122">
        <v>312</v>
      </c>
      <c r="I1147" s="122">
        <v>11856</v>
      </c>
      <c r="J1147" s="122">
        <v>10778</v>
      </c>
      <c r="K1147" s="122">
        <v>65</v>
      </c>
      <c r="L1147" s="122">
        <v>1776</v>
      </c>
      <c r="M1147" s="122">
        <v>1480</v>
      </c>
      <c r="N1147" s="122">
        <v>1200</v>
      </c>
      <c r="O1147" s="122">
        <v>445</v>
      </c>
      <c r="P1147" s="122">
        <v>972</v>
      </c>
      <c r="Q1147" s="122">
        <v>360</v>
      </c>
      <c r="R1147" s="122">
        <v>4717</v>
      </c>
      <c r="S1147" s="122">
        <v>4289</v>
      </c>
      <c r="T1147" s="122">
        <v>2435</v>
      </c>
      <c r="U1147" s="122">
        <v>902</v>
      </c>
      <c r="V1147" s="122">
        <v>18253</v>
      </c>
      <c r="W1147" s="122">
        <f t="shared" si="36"/>
        <v>18254</v>
      </c>
      <c r="X1147" s="122">
        <f t="shared" si="37"/>
        <v>22956</v>
      </c>
      <c r="AA1147" t="s">
        <v>58</v>
      </c>
      <c r="AB1147" t="s">
        <v>426</v>
      </c>
      <c r="AC1147" t="s">
        <v>426</v>
      </c>
      <c r="AD1147" t="s">
        <v>481</v>
      </c>
      <c r="AE1147" t="s">
        <v>137</v>
      </c>
      <c r="AF1147">
        <v>1</v>
      </c>
      <c r="AG1147">
        <v>83</v>
      </c>
      <c r="AH1147">
        <v>231</v>
      </c>
      <c r="AI1147" s="122">
        <v>10022</v>
      </c>
      <c r="AJ1147" s="122">
        <v>9110</v>
      </c>
      <c r="AK1147">
        <v>73</v>
      </c>
      <c r="AL1147" s="122">
        <v>2724</v>
      </c>
      <c r="AM1147" s="122">
        <v>2477</v>
      </c>
      <c r="AN1147" s="122">
        <v>1017</v>
      </c>
      <c r="AO1147">
        <v>377</v>
      </c>
      <c r="AP1147">
        <v>351</v>
      </c>
      <c r="AQ1147">
        <v>130</v>
      </c>
      <c r="AR1147" s="122">
        <v>3005</v>
      </c>
      <c r="AS1147" s="122">
        <v>2732</v>
      </c>
      <c r="AT1147" s="122">
        <v>2123</v>
      </c>
      <c r="AU1147">
        <v>786</v>
      </c>
      <c r="AV1147" s="122">
        <v>15612</v>
      </c>
    </row>
    <row r="1148" spans="2:48" hidden="1">
      <c r="B1148" t="s">
        <v>370</v>
      </c>
      <c r="C1148" t="s">
        <v>60</v>
      </c>
      <c r="D1148" t="s">
        <v>406</v>
      </c>
      <c r="E1148" t="s">
        <v>137</v>
      </c>
      <c r="F1148" s="122">
        <v>1</v>
      </c>
      <c r="G1148" s="122">
        <v>90</v>
      </c>
      <c r="H1148" s="122">
        <v>347</v>
      </c>
      <c r="I1148" s="122">
        <v>17615</v>
      </c>
      <c r="J1148" s="122">
        <v>16013</v>
      </c>
      <c r="K1148" s="122">
        <v>85</v>
      </c>
      <c r="L1148" s="122">
        <v>5743</v>
      </c>
      <c r="M1148" s="122">
        <v>4786</v>
      </c>
      <c r="N1148" s="122">
        <v>1377</v>
      </c>
      <c r="O1148" s="122">
        <v>510</v>
      </c>
      <c r="P1148" s="122">
        <v>621</v>
      </c>
      <c r="Q1148" s="122">
        <v>230</v>
      </c>
      <c r="R1148" s="122">
        <v>6001</v>
      </c>
      <c r="S1148" s="122">
        <v>2223</v>
      </c>
      <c r="T1148" s="122">
        <v>0</v>
      </c>
      <c r="U1148" s="122">
        <v>0</v>
      </c>
      <c r="V1148" s="122">
        <v>23762</v>
      </c>
      <c r="W1148" s="122">
        <f t="shared" si="36"/>
        <v>23762</v>
      </c>
      <c r="X1148" s="122">
        <f t="shared" si="37"/>
        <v>31357</v>
      </c>
      <c r="AA1148" t="s">
        <v>58</v>
      </c>
      <c r="AB1148" t="s">
        <v>426</v>
      </c>
      <c r="AC1148" t="s">
        <v>566</v>
      </c>
      <c r="AD1148" t="s">
        <v>137</v>
      </c>
      <c r="AE1148" t="s">
        <v>137</v>
      </c>
      <c r="AF1148">
        <v>1</v>
      </c>
      <c r="AG1148">
        <v>87</v>
      </c>
      <c r="AH1148">
        <v>283</v>
      </c>
      <c r="AI1148" s="122">
        <v>9680</v>
      </c>
      <c r="AJ1148" s="122">
        <v>8800</v>
      </c>
      <c r="AK1148">
        <v>55</v>
      </c>
      <c r="AL1148">
        <v>0</v>
      </c>
      <c r="AM1148">
        <v>0</v>
      </c>
      <c r="AN1148" s="122">
        <v>1990</v>
      </c>
      <c r="AO1148">
        <v>737</v>
      </c>
      <c r="AP1148">
        <v>351</v>
      </c>
      <c r="AQ1148">
        <v>130</v>
      </c>
      <c r="AR1148" s="122">
        <v>10339</v>
      </c>
      <c r="AS1148" s="122">
        <v>3829</v>
      </c>
      <c r="AT1148" s="122">
        <v>2257</v>
      </c>
      <c r="AU1148">
        <v>836</v>
      </c>
      <c r="AV1148" s="122">
        <v>14332</v>
      </c>
    </row>
    <row r="1149" spans="2:48" hidden="1">
      <c r="B1149" t="s">
        <v>370</v>
      </c>
      <c r="C1149" t="s">
        <v>60</v>
      </c>
      <c r="D1149" t="s">
        <v>406</v>
      </c>
      <c r="E1149" t="s">
        <v>406</v>
      </c>
      <c r="F1149" s="122">
        <v>685</v>
      </c>
      <c r="G1149" s="122">
        <v>64802</v>
      </c>
      <c r="H1149" s="122">
        <v>231420</v>
      </c>
      <c r="I1149" s="122">
        <v>13036923</v>
      </c>
      <c r="J1149" s="122">
        <v>11851749</v>
      </c>
      <c r="K1149" s="122">
        <v>77</v>
      </c>
      <c r="L1149" s="122">
        <v>2830223</v>
      </c>
      <c r="M1149" s="122">
        <v>2426885</v>
      </c>
      <c r="N1149" s="122">
        <v>1332467</v>
      </c>
      <c r="O1149" s="122">
        <v>493506</v>
      </c>
      <c r="P1149" s="122">
        <v>434309</v>
      </c>
      <c r="Q1149" s="122">
        <v>160855</v>
      </c>
      <c r="R1149" s="122">
        <v>3255257</v>
      </c>
      <c r="S1149" s="122">
        <v>2959324</v>
      </c>
      <c r="T1149" s="122">
        <v>1201624</v>
      </c>
      <c r="U1149" s="122">
        <v>445046</v>
      </c>
      <c r="V1149" s="122">
        <v>18337365</v>
      </c>
      <c r="W1149" s="122">
        <f t="shared" si="36"/>
        <v>18337365</v>
      </c>
      <c r="X1149" s="122">
        <f t="shared" si="37"/>
        <v>22090803</v>
      </c>
      <c r="AA1149" t="s">
        <v>58</v>
      </c>
      <c r="AB1149" t="s">
        <v>426</v>
      </c>
      <c r="AC1149" t="s">
        <v>566</v>
      </c>
      <c r="AD1149" t="s">
        <v>137</v>
      </c>
      <c r="AE1149" t="s">
        <v>566</v>
      </c>
      <c r="AF1149">
        <v>25</v>
      </c>
      <c r="AG1149" s="122">
        <v>2247</v>
      </c>
      <c r="AH1149" s="122">
        <v>7089</v>
      </c>
      <c r="AI1149" s="122">
        <v>421116</v>
      </c>
      <c r="AJ1149" s="122">
        <v>382833</v>
      </c>
      <c r="AK1149">
        <v>57</v>
      </c>
      <c r="AL1149">
        <v>0</v>
      </c>
      <c r="AM1149" s="122">
        <v>4456</v>
      </c>
      <c r="AN1149" s="122">
        <v>45904</v>
      </c>
      <c r="AO1149" s="122">
        <v>17002</v>
      </c>
      <c r="AP1149" s="122">
        <v>8073</v>
      </c>
      <c r="AQ1149" s="122">
        <v>2990</v>
      </c>
      <c r="AR1149" s="122">
        <v>163737</v>
      </c>
      <c r="AS1149" s="122">
        <v>60643</v>
      </c>
      <c r="AT1149">
        <v>0</v>
      </c>
      <c r="AU1149">
        <v>0</v>
      </c>
      <c r="AV1149" s="122">
        <v>467923</v>
      </c>
    </row>
    <row r="1150" spans="2:48" hidden="1">
      <c r="B1150" t="s">
        <v>370</v>
      </c>
      <c r="C1150" t="s">
        <v>60</v>
      </c>
      <c r="D1150" t="s">
        <v>406</v>
      </c>
      <c r="E1150" t="s">
        <v>427</v>
      </c>
      <c r="F1150" s="122">
        <v>1</v>
      </c>
      <c r="G1150" s="122">
        <v>91</v>
      </c>
      <c r="H1150" s="122">
        <v>347</v>
      </c>
      <c r="I1150" s="122">
        <v>15874</v>
      </c>
      <c r="J1150" s="122">
        <v>14431</v>
      </c>
      <c r="K1150" s="122">
        <v>79</v>
      </c>
      <c r="L1150" s="122">
        <v>2533</v>
      </c>
      <c r="M1150" s="122">
        <v>2303</v>
      </c>
      <c r="N1150" s="122">
        <v>2229</v>
      </c>
      <c r="O1150" s="122">
        <v>825</v>
      </c>
      <c r="P1150" s="122">
        <v>621</v>
      </c>
      <c r="Q1150" s="122">
        <v>230</v>
      </c>
      <c r="R1150" s="122">
        <v>5897</v>
      </c>
      <c r="S1150" s="122">
        <v>5361</v>
      </c>
      <c r="T1150" s="122">
        <v>4545</v>
      </c>
      <c r="U1150" s="122">
        <v>1683</v>
      </c>
      <c r="V1150" s="122">
        <v>24834</v>
      </c>
      <c r="W1150" s="122">
        <f t="shared" si="36"/>
        <v>24833</v>
      </c>
      <c r="X1150" s="122">
        <f t="shared" si="37"/>
        <v>31699</v>
      </c>
      <c r="AA1150" t="s">
        <v>58</v>
      </c>
      <c r="AB1150" t="s">
        <v>426</v>
      </c>
      <c r="AC1150" t="s">
        <v>566</v>
      </c>
      <c r="AD1150" t="s">
        <v>406</v>
      </c>
      <c r="AE1150" t="s">
        <v>137</v>
      </c>
      <c r="AF1150">
        <v>2</v>
      </c>
      <c r="AG1150">
        <v>185</v>
      </c>
      <c r="AH1150">
        <v>560</v>
      </c>
      <c r="AI1150" s="122">
        <v>34568</v>
      </c>
      <c r="AJ1150" s="122">
        <v>31425</v>
      </c>
      <c r="AK1150">
        <v>68</v>
      </c>
      <c r="AL1150">
        <v>0</v>
      </c>
      <c r="AM1150" s="122">
        <v>2020</v>
      </c>
      <c r="AN1150" s="122">
        <v>3447</v>
      </c>
      <c r="AO1150" s="122">
        <v>1277</v>
      </c>
      <c r="AP1150">
        <v>972</v>
      </c>
      <c r="AQ1150">
        <v>360</v>
      </c>
      <c r="AR1150" s="122">
        <v>8474</v>
      </c>
      <c r="AS1150" s="122">
        <v>7703</v>
      </c>
      <c r="AT1150" s="122">
        <v>4573</v>
      </c>
      <c r="AU1150" s="122">
        <v>1694</v>
      </c>
      <c r="AV1150" s="122">
        <v>44479</v>
      </c>
    </row>
    <row r="1151" spans="2:48" hidden="1">
      <c r="B1151" t="s">
        <v>370</v>
      </c>
      <c r="C1151" t="s">
        <v>60</v>
      </c>
      <c r="D1151" t="s">
        <v>406</v>
      </c>
      <c r="E1151" t="s">
        <v>407</v>
      </c>
      <c r="F1151" s="122">
        <v>2</v>
      </c>
      <c r="G1151" s="122">
        <v>218</v>
      </c>
      <c r="H1151" s="122">
        <v>679</v>
      </c>
      <c r="I1151" s="122">
        <v>45596</v>
      </c>
      <c r="J1151" s="122">
        <v>41451</v>
      </c>
      <c r="K1151" s="122">
        <v>70</v>
      </c>
      <c r="L1151" s="122">
        <v>9566</v>
      </c>
      <c r="M1151" s="122">
        <v>8419</v>
      </c>
      <c r="N1151" s="122">
        <v>4337</v>
      </c>
      <c r="O1151" s="122">
        <v>1606</v>
      </c>
      <c r="P1151" s="122">
        <v>1242</v>
      </c>
      <c r="Q1151" s="122">
        <v>460</v>
      </c>
      <c r="R1151" s="122">
        <v>11537</v>
      </c>
      <c r="S1151" s="122">
        <v>10488</v>
      </c>
      <c r="T1151" s="122">
        <v>2685</v>
      </c>
      <c r="U1151" s="122">
        <v>994</v>
      </c>
      <c r="V1151" s="122">
        <v>63420</v>
      </c>
      <c r="W1151" s="122">
        <f t="shared" si="36"/>
        <v>63418</v>
      </c>
      <c r="X1151" s="122">
        <f t="shared" si="37"/>
        <v>74963</v>
      </c>
      <c r="AA1151" t="s">
        <v>58</v>
      </c>
      <c r="AB1151" t="s">
        <v>426</v>
      </c>
      <c r="AC1151" t="s">
        <v>566</v>
      </c>
      <c r="AD1151" t="s">
        <v>426</v>
      </c>
      <c r="AE1151" t="s">
        <v>137</v>
      </c>
      <c r="AF1151" s="122">
        <v>1327</v>
      </c>
      <c r="AG1151" s="122">
        <v>105354</v>
      </c>
      <c r="AH1151" s="122">
        <v>353813</v>
      </c>
      <c r="AI1151" s="122">
        <v>16378441</v>
      </c>
      <c r="AJ1151" s="122">
        <v>14889491</v>
      </c>
      <c r="AK1151">
        <v>59</v>
      </c>
      <c r="AL1151">
        <v>0</v>
      </c>
      <c r="AM1151" s="122">
        <v>80018</v>
      </c>
      <c r="AN1151" s="122">
        <v>2078756</v>
      </c>
      <c r="AO1151" s="122">
        <v>769910</v>
      </c>
      <c r="AP1151" s="122">
        <v>467262</v>
      </c>
      <c r="AQ1151" s="122">
        <v>173060</v>
      </c>
      <c r="AR1151" s="122">
        <v>6220147</v>
      </c>
      <c r="AS1151" s="122">
        <v>5654679</v>
      </c>
      <c r="AT1151" s="122">
        <v>2930895</v>
      </c>
      <c r="AU1151" s="122">
        <v>1085517</v>
      </c>
      <c r="AV1151" s="122">
        <v>22652674</v>
      </c>
    </row>
    <row r="1152" spans="2:48" hidden="1">
      <c r="B1152" t="s">
        <v>370</v>
      </c>
      <c r="C1152" t="s">
        <v>60</v>
      </c>
      <c r="D1152" t="s">
        <v>406</v>
      </c>
      <c r="E1152" t="s">
        <v>426</v>
      </c>
      <c r="F1152" s="122">
        <v>2</v>
      </c>
      <c r="G1152" s="122">
        <v>173</v>
      </c>
      <c r="H1152" s="122">
        <v>644</v>
      </c>
      <c r="I1152" s="122">
        <v>33111</v>
      </c>
      <c r="J1152" s="122">
        <v>30101</v>
      </c>
      <c r="K1152" s="122">
        <v>70</v>
      </c>
      <c r="L1152" s="122">
        <v>4386</v>
      </c>
      <c r="M1152" s="122">
        <v>3987</v>
      </c>
      <c r="N1152" s="122">
        <v>3405</v>
      </c>
      <c r="O1152" s="122">
        <v>1261</v>
      </c>
      <c r="P1152" s="122">
        <v>1242</v>
      </c>
      <c r="Q1152" s="122">
        <v>460</v>
      </c>
      <c r="R1152" s="122">
        <v>7951</v>
      </c>
      <c r="S1152" s="122">
        <v>7228</v>
      </c>
      <c r="T1152" s="122">
        <v>5305</v>
      </c>
      <c r="U1152" s="122">
        <v>1965</v>
      </c>
      <c r="V1152" s="122">
        <v>45002</v>
      </c>
      <c r="W1152" s="122">
        <f t="shared" si="36"/>
        <v>45002</v>
      </c>
      <c r="X1152" s="122">
        <f t="shared" si="37"/>
        <v>55400</v>
      </c>
      <c r="AA1152" t="s">
        <v>58</v>
      </c>
      <c r="AB1152" t="s">
        <v>426</v>
      </c>
      <c r="AC1152" t="s">
        <v>566</v>
      </c>
      <c r="AD1152" t="s">
        <v>426</v>
      </c>
      <c r="AE1152" t="s">
        <v>566</v>
      </c>
      <c r="AF1152">
        <v>35</v>
      </c>
      <c r="AG1152" s="122">
        <v>2934</v>
      </c>
      <c r="AH1152" s="122">
        <v>9567</v>
      </c>
      <c r="AI1152" s="122">
        <v>466257</v>
      </c>
      <c r="AJ1152" s="122">
        <v>423870</v>
      </c>
      <c r="AK1152">
        <v>60</v>
      </c>
      <c r="AL1152">
        <v>0</v>
      </c>
      <c r="AM1152" s="122">
        <v>12507</v>
      </c>
      <c r="AN1152" s="122">
        <v>57928</v>
      </c>
      <c r="AO1152" s="122">
        <v>21455</v>
      </c>
      <c r="AP1152" s="122">
        <v>12710</v>
      </c>
      <c r="AQ1152" s="122">
        <v>4707</v>
      </c>
      <c r="AR1152" s="122">
        <v>256266</v>
      </c>
      <c r="AS1152" s="122">
        <v>232970</v>
      </c>
      <c r="AT1152">
        <v>0</v>
      </c>
      <c r="AU1152">
        <v>0</v>
      </c>
      <c r="AV1152" s="122">
        <v>695508</v>
      </c>
    </row>
    <row r="1153" spans="2:48" hidden="1">
      <c r="B1153" t="s">
        <v>370</v>
      </c>
      <c r="C1153" t="s">
        <v>60</v>
      </c>
      <c r="D1153" t="s">
        <v>407</v>
      </c>
      <c r="E1153" t="s">
        <v>407</v>
      </c>
      <c r="F1153" s="122">
        <v>382</v>
      </c>
      <c r="G1153" s="122">
        <v>32482</v>
      </c>
      <c r="H1153" s="122">
        <v>127563</v>
      </c>
      <c r="I1153" s="122">
        <v>6189821</v>
      </c>
      <c r="J1153" s="122">
        <v>5627110</v>
      </c>
      <c r="K1153" s="122">
        <v>78</v>
      </c>
      <c r="L1153" s="122">
        <v>1603305</v>
      </c>
      <c r="M1153" s="122">
        <v>1392727</v>
      </c>
      <c r="N1153" s="122">
        <v>667849</v>
      </c>
      <c r="O1153" s="122">
        <v>247351</v>
      </c>
      <c r="P1153" s="122">
        <v>181062</v>
      </c>
      <c r="Q1153" s="122">
        <v>67060</v>
      </c>
      <c r="R1153" s="122">
        <v>1784068</v>
      </c>
      <c r="S1153" s="122">
        <v>1621880</v>
      </c>
      <c r="T1153" s="122">
        <v>555093</v>
      </c>
      <c r="U1153" s="122">
        <v>205590</v>
      </c>
      <c r="V1153" s="122">
        <v>9161719</v>
      </c>
      <c r="W1153" s="122">
        <f t="shared" si="36"/>
        <v>9161718</v>
      </c>
      <c r="X1153" s="122">
        <f t="shared" si="37"/>
        <v>10981198</v>
      </c>
      <c r="AA1153" t="s">
        <v>58</v>
      </c>
      <c r="AB1153" t="s">
        <v>426</v>
      </c>
      <c r="AC1153" t="s">
        <v>566</v>
      </c>
      <c r="AD1153" t="s">
        <v>481</v>
      </c>
      <c r="AE1153" t="s">
        <v>137</v>
      </c>
      <c r="AF1153">
        <v>2</v>
      </c>
      <c r="AG1153">
        <v>189</v>
      </c>
      <c r="AH1153">
        <v>542</v>
      </c>
      <c r="AI1153" s="122">
        <v>32110</v>
      </c>
      <c r="AJ1153" s="122">
        <v>29191</v>
      </c>
      <c r="AK1153">
        <v>55</v>
      </c>
      <c r="AL1153">
        <v>0</v>
      </c>
      <c r="AM1153">
        <v>0</v>
      </c>
      <c r="AN1153" s="122">
        <v>3658</v>
      </c>
      <c r="AO1153" s="122">
        <v>1355</v>
      </c>
      <c r="AP1153">
        <v>702</v>
      </c>
      <c r="AQ1153">
        <v>260</v>
      </c>
      <c r="AR1153" s="122">
        <v>9739</v>
      </c>
      <c r="AS1153" s="122">
        <v>8854</v>
      </c>
      <c r="AT1153" s="122">
        <v>4845</v>
      </c>
      <c r="AU1153" s="122">
        <v>1795</v>
      </c>
      <c r="AV1153" s="122">
        <v>41454</v>
      </c>
    </row>
    <row r="1154" spans="2:48" hidden="1">
      <c r="B1154" t="s">
        <v>370</v>
      </c>
      <c r="C1154" t="s">
        <v>60</v>
      </c>
      <c r="D1154" t="s">
        <v>556</v>
      </c>
      <c r="E1154" t="s">
        <v>137</v>
      </c>
      <c r="F1154" s="122">
        <v>1</v>
      </c>
      <c r="G1154" s="122">
        <v>61</v>
      </c>
      <c r="H1154" s="122">
        <v>361</v>
      </c>
      <c r="I1154" s="122">
        <v>13198</v>
      </c>
      <c r="J1154" s="122">
        <v>10999</v>
      </c>
      <c r="K1154" s="122">
        <v>65</v>
      </c>
      <c r="L1154" s="122">
        <v>2145</v>
      </c>
      <c r="M1154" s="122">
        <v>794</v>
      </c>
      <c r="N1154" s="122">
        <v>741</v>
      </c>
      <c r="O1154" s="122">
        <v>274</v>
      </c>
      <c r="P1154" s="122">
        <v>351</v>
      </c>
      <c r="Q1154" s="122">
        <v>130</v>
      </c>
      <c r="R1154" s="122">
        <v>5492</v>
      </c>
      <c r="S1154" s="122">
        <v>2034</v>
      </c>
      <c r="T1154" s="122">
        <v>0</v>
      </c>
      <c r="U1154" s="122">
        <v>0</v>
      </c>
      <c r="V1154" s="122">
        <v>14232</v>
      </c>
      <c r="W1154" s="122">
        <f t="shared" si="36"/>
        <v>14231</v>
      </c>
      <c r="X1154" s="122">
        <f t="shared" si="37"/>
        <v>21927</v>
      </c>
      <c r="AA1154" t="s">
        <v>58</v>
      </c>
      <c r="AB1154" t="s">
        <v>426</v>
      </c>
      <c r="AC1154" t="s">
        <v>481</v>
      </c>
      <c r="AD1154" t="s">
        <v>426</v>
      </c>
      <c r="AE1154" t="s">
        <v>137</v>
      </c>
      <c r="AF1154">
        <v>2</v>
      </c>
      <c r="AG1154">
        <v>180</v>
      </c>
      <c r="AH1154">
        <v>530</v>
      </c>
      <c r="AI1154" s="122">
        <v>24485</v>
      </c>
      <c r="AJ1154" s="122">
        <v>22259</v>
      </c>
      <c r="AK1154">
        <v>65</v>
      </c>
      <c r="AL1154" s="122">
        <v>5895</v>
      </c>
      <c r="AM1154" s="122">
        <v>5359</v>
      </c>
      <c r="AN1154" s="122">
        <v>2666</v>
      </c>
      <c r="AO1154">
        <v>987</v>
      </c>
      <c r="AP1154">
        <v>702</v>
      </c>
      <c r="AQ1154">
        <v>260</v>
      </c>
      <c r="AR1154" s="122">
        <v>8954</v>
      </c>
      <c r="AS1154" s="122">
        <v>8140</v>
      </c>
      <c r="AT1154" s="122">
        <v>4862</v>
      </c>
      <c r="AU1154" s="122">
        <v>1801</v>
      </c>
      <c r="AV1154" s="122">
        <v>38805</v>
      </c>
    </row>
    <row r="1155" spans="2:48" hidden="1">
      <c r="B1155" t="s">
        <v>370</v>
      </c>
      <c r="C1155" t="s">
        <v>60</v>
      </c>
      <c r="D1155" t="s">
        <v>556</v>
      </c>
      <c r="E1155" t="s">
        <v>556</v>
      </c>
      <c r="F1155" s="122">
        <v>28</v>
      </c>
      <c r="G1155" s="122">
        <v>2492</v>
      </c>
      <c r="H1155" s="122">
        <v>9465</v>
      </c>
      <c r="I1155" s="122">
        <v>487943</v>
      </c>
      <c r="J1155" s="122">
        <v>406619</v>
      </c>
      <c r="K1155" s="122">
        <v>56</v>
      </c>
      <c r="L1155" s="122">
        <v>71191</v>
      </c>
      <c r="M1155" s="122">
        <v>55994</v>
      </c>
      <c r="N1155" s="122">
        <v>52136</v>
      </c>
      <c r="O1155" s="122">
        <v>19310</v>
      </c>
      <c r="P1155" s="122">
        <v>10989</v>
      </c>
      <c r="Q1155" s="122">
        <v>4070</v>
      </c>
      <c r="R1155" s="122">
        <v>159382</v>
      </c>
      <c r="S1155" s="122">
        <v>132818</v>
      </c>
      <c r="T1155" s="122">
        <v>63886</v>
      </c>
      <c r="U1155" s="122">
        <v>23662</v>
      </c>
      <c r="V1155" s="122">
        <v>642473</v>
      </c>
      <c r="W1155" s="122">
        <f t="shared" si="36"/>
        <v>642473</v>
      </c>
      <c r="X1155" s="122">
        <f t="shared" si="37"/>
        <v>845527</v>
      </c>
      <c r="AA1155" t="s">
        <v>58</v>
      </c>
      <c r="AB1155" t="s">
        <v>426</v>
      </c>
      <c r="AC1155" t="s">
        <v>433</v>
      </c>
      <c r="AD1155" t="s">
        <v>426</v>
      </c>
      <c r="AE1155" t="s">
        <v>137</v>
      </c>
      <c r="AF1155">
        <v>5</v>
      </c>
      <c r="AG1155">
        <v>400</v>
      </c>
      <c r="AH1155" s="122">
        <v>1313</v>
      </c>
      <c r="AI1155" s="122">
        <v>58119</v>
      </c>
      <c r="AJ1155" s="122">
        <v>52835</v>
      </c>
      <c r="AK1155">
        <v>61</v>
      </c>
      <c r="AL1155" s="122">
        <v>6677</v>
      </c>
      <c r="AM1155" s="122">
        <v>6070</v>
      </c>
      <c r="AN1155" s="122">
        <v>6157</v>
      </c>
      <c r="AO1155" s="122">
        <v>2281</v>
      </c>
      <c r="AP1155" s="122">
        <v>1526</v>
      </c>
      <c r="AQ1155">
        <v>565</v>
      </c>
      <c r="AR1155" s="122">
        <v>24081</v>
      </c>
      <c r="AS1155" s="122">
        <v>21892</v>
      </c>
      <c r="AT1155" s="122">
        <v>11813</v>
      </c>
      <c r="AU1155" s="122">
        <v>4375</v>
      </c>
      <c r="AV1155" s="122">
        <v>88018</v>
      </c>
    </row>
    <row r="1156" spans="2:48" hidden="1">
      <c r="B1156" t="s">
        <v>370</v>
      </c>
      <c r="C1156" t="s">
        <v>60</v>
      </c>
      <c r="D1156" t="s">
        <v>428</v>
      </c>
      <c r="E1156" t="s">
        <v>428</v>
      </c>
      <c r="F1156" s="122">
        <v>1</v>
      </c>
      <c r="G1156" s="122">
        <v>85</v>
      </c>
      <c r="H1156" s="122">
        <v>306</v>
      </c>
      <c r="I1156" s="122">
        <v>15261</v>
      </c>
      <c r="J1156" s="122">
        <v>13874</v>
      </c>
      <c r="K1156" s="122">
        <v>65</v>
      </c>
      <c r="L1156" s="122">
        <v>1837</v>
      </c>
      <c r="M1156" s="122">
        <v>1670</v>
      </c>
      <c r="N1156" s="122">
        <v>2064</v>
      </c>
      <c r="O1156" s="122">
        <v>765</v>
      </c>
      <c r="P1156" s="122">
        <v>351</v>
      </c>
      <c r="Q1156" s="122">
        <v>130</v>
      </c>
      <c r="R1156" s="122">
        <v>4219</v>
      </c>
      <c r="S1156" s="122">
        <v>3836</v>
      </c>
      <c r="T1156" s="122">
        <v>2229</v>
      </c>
      <c r="U1156" s="122">
        <v>825</v>
      </c>
      <c r="V1156" s="122">
        <v>21099</v>
      </c>
      <c r="W1156" s="122">
        <f t="shared" si="36"/>
        <v>21100</v>
      </c>
      <c r="X1156" s="122">
        <f t="shared" si="37"/>
        <v>25961</v>
      </c>
      <c r="AA1156" t="s">
        <v>58</v>
      </c>
      <c r="AB1156" t="s">
        <v>426</v>
      </c>
      <c r="AC1156" t="s">
        <v>429</v>
      </c>
      <c r="AD1156" t="s">
        <v>426</v>
      </c>
      <c r="AE1156" t="s">
        <v>566</v>
      </c>
      <c r="AF1156">
        <v>1</v>
      </c>
      <c r="AG1156">
        <v>100</v>
      </c>
      <c r="AH1156">
        <v>283</v>
      </c>
      <c r="AI1156" s="122">
        <v>17082</v>
      </c>
      <c r="AJ1156" s="122">
        <v>15529</v>
      </c>
      <c r="AK1156">
        <v>70</v>
      </c>
      <c r="AL1156" s="122">
        <v>2044</v>
      </c>
      <c r="AM1156" s="122">
        <v>1858</v>
      </c>
      <c r="AN1156" s="122">
        <v>1896</v>
      </c>
      <c r="AO1156">
        <v>702</v>
      </c>
      <c r="AP1156">
        <v>351</v>
      </c>
      <c r="AQ1156">
        <v>130</v>
      </c>
      <c r="AR1156" s="122">
        <v>6821</v>
      </c>
      <c r="AS1156" s="122">
        <v>6201</v>
      </c>
      <c r="AT1156">
        <v>0</v>
      </c>
      <c r="AU1156">
        <v>0</v>
      </c>
      <c r="AV1156" s="122">
        <v>24420</v>
      </c>
    </row>
    <row r="1157" spans="2:48" hidden="1">
      <c r="B1157" t="s">
        <v>370</v>
      </c>
      <c r="C1157" t="s">
        <v>60</v>
      </c>
      <c r="D1157" t="s">
        <v>431</v>
      </c>
      <c r="E1157" t="s">
        <v>431</v>
      </c>
      <c r="F1157" s="122">
        <v>5</v>
      </c>
      <c r="G1157" s="122">
        <v>408</v>
      </c>
      <c r="H1157" s="122">
        <v>1722</v>
      </c>
      <c r="I1157" s="122">
        <v>79713</v>
      </c>
      <c r="J1157" s="122">
        <v>72466</v>
      </c>
      <c r="K1157" s="122">
        <v>52</v>
      </c>
      <c r="L1157" s="122">
        <v>11680</v>
      </c>
      <c r="M1157" s="122">
        <v>10618</v>
      </c>
      <c r="N1157" s="122">
        <v>7785</v>
      </c>
      <c r="O1157" s="122">
        <v>2884</v>
      </c>
      <c r="P1157" s="122">
        <v>2025</v>
      </c>
      <c r="Q1157" s="122">
        <v>750</v>
      </c>
      <c r="R1157" s="122">
        <v>30239</v>
      </c>
      <c r="S1157" s="122">
        <v>27490</v>
      </c>
      <c r="T1157" s="122">
        <v>9236</v>
      </c>
      <c r="U1157" s="122">
        <v>3421</v>
      </c>
      <c r="V1157" s="122">
        <v>117629</v>
      </c>
      <c r="W1157" s="122">
        <f t="shared" si="36"/>
        <v>117629</v>
      </c>
      <c r="X1157" s="122">
        <f t="shared" si="37"/>
        <v>140678</v>
      </c>
      <c r="AA1157" t="s">
        <v>58</v>
      </c>
      <c r="AB1157" t="s">
        <v>481</v>
      </c>
      <c r="AC1157" t="s">
        <v>426</v>
      </c>
      <c r="AD1157" t="s">
        <v>481</v>
      </c>
      <c r="AE1157" t="s">
        <v>137</v>
      </c>
      <c r="AF1157">
        <v>1</v>
      </c>
      <c r="AG1157">
        <v>83</v>
      </c>
      <c r="AH1157">
        <v>279</v>
      </c>
      <c r="AI1157" s="122">
        <v>11376</v>
      </c>
      <c r="AJ1157" s="122">
        <v>10342</v>
      </c>
      <c r="AK1157">
        <v>65</v>
      </c>
      <c r="AL1157" s="122">
        <v>2739</v>
      </c>
      <c r="AM1157" s="122">
        <v>2490</v>
      </c>
      <c r="AN1157" s="122">
        <v>1260</v>
      </c>
      <c r="AO1157">
        <v>467</v>
      </c>
      <c r="AP1157">
        <v>351</v>
      </c>
      <c r="AQ1157">
        <v>130</v>
      </c>
      <c r="AR1157" s="122">
        <v>4754</v>
      </c>
      <c r="AS1157" s="122">
        <v>4322</v>
      </c>
      <c r="AT1157" s="122">
        <v>2649</v>
      </c>
      <c r="AU1157">
        <v>981</v>
      </c>
      <c r="AV1157" s="122">
        <v>18731</v>
      </c>
    </row>
    <row r="1158" spans="2:48" hidden="1">
      <c r="B1158" t="s">
        <v>370</v>
      </c>
      <c r="C1158" t="s">
        <v>60</v>
      </c>
      <c r="D1158" t="s">
        <v>426</v>
      </c>
      <c r="E1158" t="s">
        <v>137</v>
      </c>
      <c r="F1158" s="122">
        <v>1</v>
      </c>
      <c r="G1158" s="122">
        <v>70</v>
      </c>
      <c r="H1158" s="122">
        <v>326</v>
      </c>
      <c r="I1158" s="122">
        <v>9160</v>
      </c>
      <c r="J1158" s="122">
        <v>8327</v>
      </c>
      <c r="K1158" s="122">
        <v>60</v>
      </c>
      <c r="L1158" s="122">
        <v>2036</v>
      </c>
      <c r="M1158" s="122">
        <v>1850</v>
      </c>
      <c r="N1158" s="122">
        <v>1382</v>
      </c>
      <c r="O1158" s="122">
        <v>512</v>
      </c>
      <c r="P1158" s="122">
        <v>0</v>
      </c>
      <c r="Q1158" s="122">
        <v>0</v>
      </c>
      <c r="R1158" s="122">
        <v>10255</v>
      </c>
      <c r="S1158" s="122">
        <v>3798</v>
      </c>
      <c r="T1158" s="122">
        <v>0</v>
      </c>
      <c r="U1158" s="122">
        <v>0</v>
      </c>
      <c r="V1158" s="122">
        <v>14488</v>
      </c>
      <c r="W1158" s="122">
        <f t="shared" si="36"/>
        <v>14487</v>
      </c>
      <c r="X1158" s="122">
        <f t="shared" si="37"/>
        <v>22833</v>
      </c>
      <c r="AA1158" t="s">
        <v>58</v>
      </c>
      <c r="AB1158" t="s">
        <v>433</v>
      </c>
      <c r="AC1158" t="s">
        <v>137</v>
      </c>
      <c r="AD1158" t="s">
        <v>137</v>
      </c>
      <c r="AE1158" t="s">
        <v>137</v>
      </c>
      <c r="AF1158">
        <v>1</v>
      </c>
      <c r="AG1158">
        <v>67</v>
      </c>
      <c r="AH1158">
        <v>292</v>
      </c>
      <c r="AI1158" s="122">
        <v>8553</v>
      </c>
      <c r="AJ1158" s="122">
        <v>7775</v>
      </c>
      <c r="AK1158">
        <v>78</v>
      </c>
      <c r="AL1158" s="122">
        <v>4088</v>
      </c>
      <c r="AM1158" s="122">
        <v>1514</v>
      </c>
      <c r="AN1158">
        <v>814</v>
      </c>
      <c r="AO1158">
        <v>301</v>
      </c>
      <c r="AP1158">
        <v>0</v>
      </c>
      <c r="AQ1158">
        <v>0</v>
      </c>
      <c r="AR1158" s="122">
        <v>6017</v>
      </c>
      <c r="AS1158" s="122">
        <v>2228</v>
      </c>
      <c r="AT1158">
        <v>0</v>
      </c>
      <c r="AU1158">
        <v>0</v>
      </c>
      <c r="AV1158" s="122">
        <v>11819</v>
      </c>
    </row>
    <row r="1159" spans="2:48" hidden="1">
      <c r="B1159" t="s">
        <v>370</v>
      </c>
      <c r="C1159" t="s">
        <v>60</v>
      </c>
      <c r="D1159" t="s">
        <v>426</v>
      </c>
      <c r="E1159" t="s">
        <v>426</v>
      </c>
      <c r="F1159" s="122">
        <v>104</v>
      </c>
      <c r="G1159" s="122">
        <v>8849</v>
      </c>
      <c r="H1159" s="122">
        <v>35143</v>
      </c>
      <c r="I1159" s="122">
        <v>1692028</v>
      </c>
      <c r="J1159" s="122">
        <v>1538207</v>
      </c>
      <c r="K1159" s="122">
        <v>53</v>
      </c>
      <c r="L1159" s="122">
        <v>257018</v>
      </c>
      <c r="M1159" s="122">
        <v>222245</v>
      </c>
      <c r="N1159" s="122">
        <v>173073</v>
      </c>
      <c r="O1159" s="122">
        <v>64101</v>
      </c>
      <c r="P1159" s="122">
        <v>36692</v>
      </c>
      <c r="Q1159" s="122">
        <v>13590</v>
      </c>
      <c r="R1159" s="122">
        <v>602222</v>
      </c>
      <c r="S1159" s="122">
        <v>547475</v>
      </c>
      <c r="T1159" s="122">
        <v>230756</v>
      </c>
      <c r="U1159" s="122">
        <v>85465</v>
      </c>
      <c r="V1159" s="122">
        <v>2471082</v>
      </c>
      <c r="W1159" s="122">
        <f t="shared" si="36"/>
        <v>2471083</v>
      </c>
      <c r="X1159" s="122">
        <f t="shared" si="37"/>
        <v>2991789</v>
      </c>
      <c r="AA1159" t="s">
        <v>58</v>
      </c>
      <c r="AB1159" t="s">
        <v>433</v>
      </c>
      <c r="AC1159" t="s">
        <v>137</v>
      </c>
      <c r="AD1159" t="s">
        <v>433</v>
      </c>
      <c r="AE1159" t="s">
        <v>137</v>
      </c>
      <c r="AF1159">
        <v>3</v>
      </c>
      <c r="AG1159">
        <v>265</v>
      </c>
      <c r="AH1159">
        <v>842</v>
      </c>
      <c r="AI1159" s="122">
        <v>39975</v>
      </c>
      <c r="AJ1159" s="122">
        <v>36341</v>
      </c>
      <c r="AK1159">
        <v>60</v>
      </c>
      <c r="AL1159" s="122">
        <v>6415</v>
      </c>
      <c r="AM1159" s="122">
        <v>2376</v>
      </c>
      <c r="AN1159" s="122">
        <v>6047</v>
      </c>
      <c r="AO1159" s="122">
        <v>2240</v>
      </c>
      <c r="AP1159">
        <v>702</v>
      </c>
      <c r="AQ1159">
        <v>260</v>
      </c>
      <c r="AR1159" s="122">
        <v>15753</v>
      </c>
      <c r="AS1159" s="122">
        <v>14321</v>
      </c>
      <c r="AT1159" s="122">
        <v>5365</v>
      </c>
      <c r="AU1159" s="122">
        <v>1987</v>
      </c>
      <c r="AV1159" s="122">
        <v>57525</v>
      </c>
    </row>
    <row r="1160" spans="2:48" hidden="1">
      <c r="B1160" t="s">
        <v>370</v>
      </c>
      <c r="C1160" t="s">
        <v>60</v>
      </c>
      <c r="D1160" t="s">
        <v>433</v>
      </c>
      <c r="E1160" t="s">
        <v>433</v>
      </c>
      <c r="F1160" s="122">
        <v>1</v>
      </c>
      <c r="G1160" s="122">
        <v>77</v>
      </c>
      <c r="H1160" s="122">
        <v>353</v>
      </c>
      <c r="I1160" s="122">
        <v>20997</v>
      </c>
      <c r="J1160" s="122">
        <v>19088</v>
      </c>
      <c r="K1160" s="122">
        <v>65</v>
      </c>
      <c r="L1160" s="122">
        <v>2333</v>
      </c>
      <c r="M1160" s="122">
        <v>2121</v>
      </c>
      <c r="N1160" s="122">
        <v>940</v>
      </c>
      <c r="O1160" s="122">
        <v>348</v>
      </c>
      <c r="P1160" s="122">
        <v>351</v>
      </c>
      <c r="Q1160" s="122">
        <v>130</v>
      </c>
      <c r="R1160" s="122">
        <v>2578</v>
      </c>
      <c r="S1160" s="122">
        <v>2344</v>
      </c>
      <c r="T1160" s="122">
        <v>0</v>
      </c>
      <c r="U1160" s="122">
        <v>0</v>
      </c>
      <c r="V1160" s="122">
        <v>24030</v>
      </c>
      <c r="W1160" s="122">
        <f t="shared" si="36"/>
        <v>24031</v>
      </c>
      <c r="X1160" s="122">
        <f t="shared" si="37"/>
        <v>27199</v>
      </c>
      <c r="AA1160" t="s">
        <v>58</v>
      </c>
      <c r="AB1160" t="s">
        <v>433</v>
      </c>
      <c r="AC1160" t="s">
        <v>427</v>
      </c>
      <c r="AD1160" t="s">
        <v>433</v>
      </c>
      <c r="AE1160" t="s">
        <v>137</v>
      </c>
      <c r="AF1160">
        <v>2</v>
      </c>
      <c r="AG1160">
        <v>163</v>
      </c>
      <c r="AH1160">
        <v>545</v>
      </c>
      <c r="AI1160" s="122">
        <v>21311</v>
      </c>
      <c r="AJ1160" s="122">
        <v>19374</v>
      </c>
      <c r="AK1160">
        <v>65</v>
      </c>
      <c r="AL1160" s="122">
        <v>5130</v>
      </c>
      <c r="AM1160" s="122">
        <v>4664</v>
      </c>
      <c r="AN1160" s="122">
        <v>2839</v>
      </c>
      <c r="AO1160" s="122">
        <v>1051</v>
      </c>
      <c r="AP1160">
        <v>702</v>
      </c>
      <c r="AQ1160">
        <v>260</v>
      </c>
      <c r="AR1160" s="122">
        <v>9228</v>
      </c>
      <c r="AS1160" s="122">
        <v>8389</v>
      </c>
      <c r="AT1160" s="122">
        <v>5078</v>
      </c>
      <c r="AU1160" s="122">
        <v>1881</v>
      </c>
      <c r="AV1160" s="122">
        <v>35619</v>
      </c>
    </row>
    <row r="1161" spans="2:48" hidden="1">
      <c r="B1161" t="s">
        <v>370</v>
      </c>
      <c r="C1161" t="s">
        <v>60</v>
      </c>
      <c r="D1161" t="s">
        <v>429</v>
      </c>
      <c r="E1161" t="s">
        <v>137</v>
      </c>
      <c r="F1161" s="122">
        <v>1</v>
      </c>
      <c r="G1161" s="122">
        <v>132</v>
      </c>
      <c r="H1161" s="122">
        <v>319</v>
      </c>
      <c r="I1161" s="122">
        <v>32796</v>
      </c>
      <c r="J1161" s="122">
        <v>29814</v>
      </c>
      <c r="K1161" s="122">
        <v>65</v>
      </c>
      <c r="L1161" s="122">
        <v>3356</v>
      </c>
      <c r="M1161" s="122">
        <v>2796</v>
      </c>
      <c r="N1161" s="122">
        <v>2682</v>
      </c>
      <c r="O1161" s="122">
        <v>993</v>
      </c>
      <c r="P1161" s="122">
        <v>351</v>
      </c>
      <c r="Q1161" s="122">
        <v>130</v>
      </c>
      <c r="R1161" s="122">
        <v>9650</v>
      </c>
      <c r="S1161" s="122">
        <v>3574</v>
      </c>
      <c r="T1161" s="122">
        <v>0</v>
      </c>
      <c r="U1161" s="122">
        <v>0</v>
      </c>
      <c r="V1161" s="122">
        <v>37308</v>
      </c>
      <c r="W1161" s="122">
        <f t="shared" si="36"/>
        <v>37307</v>
      </c>
      <c r="X1161" s="122">
        <f t="shared" si="37"/>
        <v>48835</v>
      </c>
      <c r="AA1161" t="s">
        <v>58</v>
      </c>
      <c r="AB1161" t="s">
        <v>433</v>
      </c>
      <c r="AC1161" t="s">
        <v>428</v>
      </c>
      <c r="AD1161" t="s">
        <v>433</v>
      </c>
      <c r="AE1161" t="s">
        <v>566</v>
      </c>
      <c r="AF1161">
        <v>1</v>
      </c>
      <c r="AG1161">
        <v>99</v>
      </c>
      <c r="AH1161">
        <v>235</v>
      </c>
      <c r="AI1161" s="122">
        <v>10531</v>
      </c>
      <c r="AJ1161" s="122">
        <v>9574</v>
      </c>
      <c r="AK1161">
        <v>60</v>
      </c>
      <c r="AL1161" s="122">
        <v>2340</v>
      </c>
      <c r="AM1161" s="122">
        <v>2127</v>
      </c>
      <c r="AN1161" s="122">
        <v>1931</v>
      </c>
      <c r="AO1161">
        <v>715</v>
      </c>
      <c r="AP1161">
        <v>351</v>
      </c>
      <c r="AQ1161">
        <v>130</v>
      </c>
      <c r="AR1161" s="122">
        <v>8124</v>
      </c>
      <c r="AS1161" s="122">
        <v>7385</v>
      </c>
      <c r="AT1161">
        <v>0</v>
      </c>
      <c r="AU1161">
        <v>0</v>
      </c>
      <c r="AV1161" s="122">
        <v>19932</v>
      </c>
    </row>
    <row r="1162" spans="2:48" hidden="1">
      <c r="B1162" t="s">
        <v>370</v>
      </c>
      <c r="C1162" t="s">
        <v>62</v>
      </c>
      <c r="D1162" t="s">
        <v>137</v>
      </c>
      <c r="E1162" t="s">
        <v>137</v>
      </c>
      <c r="F1162" s="122">
        <v>44</v>
      </c>
      <c r="G1162" s="122">
        <v>3264</v>
      </c>
      <c r="H1162" s="122">
        <v>18295</v>
      </c>
      <c r="I1162" s="122">
        <v>866991</v>
      </c>
      <c r="J1162" s="122">
        <v>321108</v>
      </c>
      <c r="K1162" s="122">
        <v>100</v>
      </c>
      <c r="L1162" s="122">
        <v>136180</v>
      </c>
      <c r="M1162" s="122">
        <v>96606</v>
      </c>
      <c r="N1162" s="122">
        <v>65901</v>
      </c>
      <c r="O1162" s="122">
        <v>24408</v>
      </c>
      <c r="P1162" s="122">
        <v>839</v>
      </c>
      <c r="Q1162" s="122">
        <v>311</v>
      </c>
      <c r="R1162" s="122">
        <v>292540</v>
      </c>
      <c r="S1162" s="122">
        <v>108348</v>
      </c>
      <c r="T1162" s="122">
        <v>2489</v>
      </c>
      <c r="U1162" s="122">
        <v>922</v>
      </c>
      <c r="V1162" s="122">
        <v>551702</v>
      </c>
      <c r="W1162" s="122">
        <f t="shared" si="36"/>
        <v>551703</v>
      </c>
      <c r="X1162" s="122">
        <f t="shared" si="37"/>
        <v>1364940</v>
      </c>
      <c r="AA1162" t="s">
        <v>58</v>
      </c>
      <c r="AB1162" t="s">
        <v>433</v>
      </c>
      <c r="AC1162" t="s">
        <v>426</v>
      </c>
      <c r="AD1162" t="s">
        <v>433</v>
      </c>
      <c r="AE1162" t="s">
        <v>137</v>
      </c>
      <c r="AF1162">
        <v>7</v>
      </c>
      <c r="AG1162">
        <v>543</v>
      </c>
      <c r="AH1162" s="122">
        <v>1878</v>
      </c>
      <c r="AI1162" s="122">
        <v>73188</v>
      </c>
      <c r="AJ1162" s="122">
        <v>66534</v>
      </c>
      <c r="AK1162">
        <v>70</v>
      </c>
      <c r="AL1162" s="122">
        <v>17517</v>
      </c>
      <c r="AM1162" s="122">
        <v>15925</v>
      </c>
      <c r="AN1162" s="122">
        <v>8473</v>
      </c>
      <c r="AO1162" s="122">
        <v>3138</v>
      </c>
      <c r="AP1162" s="122">
        <v>2457</v>
      </c>
      <c r="AQ1162">
        <v>910</v>
      </c>
      <c r="AR1162" s="122">
        <v>28016</v>
      </c>
      <c r="AS1162" s="122">
        <v>25469</v>
      </c>
      <c r="AT1162" s="122">
        <v>15942</v>
      </c>
      <c r="AU1162" s="122">
        <v>5905</v>
      </c>
      <c r="AV1162" s="122">
        <v>117880</v>
      </c>
    </row>
    <row r="1163" spans="2:48" hidden="1">
      <c r="B1163" t="s">
        <v>370</v>
      </c>
      <c r="C1163" t="s">
        <v>62</v>
      </c>
      <c r="D1163" t="s">
        <v>137</v>
      </c>
      <c r="E1163" t="s">
        <v>556</v>
      </c>
      <c r="F1163" s="122">
        <v>1</v>
      </c>
      <c r="G1163" s="122">
        <v>74</v>
      </c>
      <c r="H1163" s="122">
        <v>381</v>
      </c>
      <c r="I1163" s="122">
        <v>14917</v>
      </c>
      <c r="J1163" s="122">
        <v>5525</v>
      </c>
      <c r="K1163" s="122">
        <v>100</v>
      </c>
      <c r="L1163" s="122">
        <v>2600</v>
      </c>
      <c r="M1163" s="122">
        <v>2167</v>
      </c>
      <c r="N1163" s="122">
        <v>1798</v>
      </c>
      <c r="O1163" s="122">
        <v>666</v>
      </c>
      <c r="P1163" s="122">
        <v>351</v>
      </c>
      <c r="Q1163" s="122">
        <v>130</v>
      </c>
      <c r="R1163" s="122">
        <v>6354</v>
      </c>
      <c r="S1163" s="122">
        <v>5295</v>
      </c>
      <c r="T1163" s="122">
        <v>2082</v>
      </c>
      <c r="U1163" s="122">
        <v>771</v>
      </c>
      <c r="V1163" s="122">
        <v>14553</v>
      </c>
      <c r="W1163" s="122">
        <f t="shared" si="36"/>
        <v>14554</v>
      </c>
      <c r="X1163" s="122">
        <f t="shared" si="37"/>
        <v>28102</v>
      </c>
      <c r="AA1163" t="s">
        <v>58</v>
      </c>
      <c r="AB1163" t="s">
        <v>433</v>
      </c>
      <c r="AC1163" t="s">
        <v>566</v>
      </c>
      <c r="AD1163" t="s">
        <v>433</v>
      </c>
      <c r="AE1163" t="s">
        <v>137</v>
      </c>
      <c r="AF1163">
        <v>15</v>
      </c>
      <c r="AG1163" s="122">
        <v>1130</v>
      </c>
      <c r="AH1163" s="122">
        <v>3891</v>
      </c>
      <c r="AI1163" s="122">
        <v>193357</v>
      </c>
      <c r="AJ1163" s="122">
        <v>175779</v>
      </c>
      <c r="AK1163">
        <v>65</v>
      </c>
      <c r="AL1163">
        <v>0</v>
      </c>
      <c r="AM1163">
        <v>0</v>
      </c>
      <c r="AN1163" s="122">
        <v>21135</v>
      </c>
      <c r="AO1163" s="122">
        <v>7828</v>
      </c>
      <c r="AP1163" s="122">
        <v>5535</v>
      </c>
      <c r="AQ1163" s="122">
        <v>2050</v>
      </c>
      <c r="AR1163" s="122">
        <v>60429</v>
      </c>
      <c r="AS1163" s="122">
        <v>54935</v>
      </c>
      <c r="AT1163" s="122">
        <v>32585</v>
      </c>
      <c r="AU1163" s="122">
        <v>12069</v>
      </c>
      <c r="AV1163" s="122">
        <v>252660</v>
      </c>
    </row>
    <row r="1164" spans="2:48" hidden="1">
      <c r="B1164" t="s">
        <v>370</v>
      </c>
      <c r="C1164" t="s">
        <v>62</v>
      </c>
      <c r="D1164" t="s">
        <v>137</v>
      </c>
      <c r="E1164" t="s">
        <v>426</v>
      </c>
      <c r="F1164" s="122">
        <v>3</v>
      </c>
      <c r="G1164" s="122">
        <v>230</v>
      </c>
      <c r="H1164" s="122">
        <v>1253</v>
      </c>
      <c r="I1164" s="122">
        <v>59989</v>
      </c>
      <c r="J1164" s="122">
        <v>22218</v>
      </c>
      <c r="K1164" s="122">
        <v>100</v>
      </c>
      <c r="L1164" s="122">
        <v>6515</v>
      </c>
      <c r="M1164" s="122">
        <v>5923</v>
      </c>
      <c r="N1164" s="122">
        <v>5501</v>
      </c>
      <c r="O1164" s="122">
        <v>2037</v>
      </c>
      <c r="P1164" s="122">
        <v>0</v>
      </c>
      <c r="Q1164" s="122">
        <v>0</v>
      </c>
      <c r="R1164" s="122">
        <v>17686</v>
      </c>
      <c r="S1164" s="122">
        <v>16078</v>
      </c>
      <c r="T1164" s="122">
        <v>6361</v>
      </c>
      <c r="U1164" s="122">
        <v>2356</v>
      </c>
      <c r="V1164" s="122">
        <v>48612</v>
      </c>
      <c r="W1164" s="122">
        <f t="shared" si="36"/>
        <v>48612</v>
      </c>
      <c r="X1164" s="122">
        <f t="shared" si="37"/>
        <v>96052</v>
      </c>
      <c r="AA1164" t="s">
        <v>58</v>
      </c>
      <c r="AB1164" t="s">
        <v>433</v>
      </c>
      <c r="AC1164" t="s">
        <v>566</v>
      </c>
      <c r="AD1164" t="s">
        <v>433</v>
      </c>
      <c r="AE1164" t="s">
        <v>566</v>
      </c>
      <c r="AF1164">
        <v>1</v>
      </c>
      <c r="AG1164">
        <v>65</v>
      </c>
      <c r="AH1164">
        <v>241</v>
      </c>
      <c r="AI1164" s="122">
        <v>8290</v>
      </c>
      <c r="AJ1164" s="122">
        <v>7536</v>
      </c>
      <c r="AK1164">
        <v>65</v>
      </c>
      <c r="AL1164">
        <v>0</v>
      </c>
      <c r="AM1164">
        <v>0</v>
      </c>
      <c r="AN1164" s="122">
        <v>1185</v>
      </c>
      <c r="AO1164">
        <v>439</v>
      </c>
      <c r="AP1164">
        <v>351</v>
      </c>
      <c r="AQ1164">
        <v>130</v>
      </c>
      <c r="AR1164" s="122">
        <v>5784</v>
      </c>
      <c r="AS1164" s="122">
        <v>5258</v>
      </c>
      <c r="AT1164">
        <v>0</v>
      </c>
      <c r="AU1164">
        <v>0</v>
      </c>
      <c r="AV1164" s="122">
        <v>13363</v>
      </c>
    </row>
    <row r="1165" spans="2:48" hidden="1">
      <c r="B1165" t="s">
        <v>370</v>
      </c>
      <c r="C1165" t="s">
        <v>62</v>
      </c>
      <c r="D1165" t="s">
        <v>406</v>
      </c>
      <c r="E1165" t="s">
        <v>137</v>
      </c>
      <c r="F1165" s="122">
        <v>2</v>
      </c>
      <c r="G1165" s="122">
        <v>158</v>
      </c>
      <c r="H1165" s="122">
        <v>852</v>
      </c>
      <c r="I1165" s="122">
        <v>44369</v>
      </c>
      <c r="J1165" s="122">
        <v>40336</v>
      </c>
      <c r="K1165" s="122">
        <v>86</v>
      </c>
      <c r="L1165" s="122">
        <v>6491</v>
      </c>
      <c r="M1165" s="122">
        <v>5901</v>
      </c>
      <c r="N1165" s="122">
        <v>3090</v>
      </c>
      <c r="O1165" s="122">
        <v>1145</v>
      </c>
      <c r="P1165" s="122">
        <v>1625</v>
      </c>
      <c r="Q1165" s="122">
        <v>602</v>
      </c>
      <c r="R1165" s="122">
        <v>11359</v>
      </c>
      <c r="S1165" s="122">
        <v>4207</v>
      </c>
      <c r="T1165" s="122">
        <v>0</v>
      </c>
      <c r="U1165" s="122">
        <v>0</v>
      </c>
      <c r="V1165" s="122">
        <v>52190</v>
      </c>
      <c r="W1165" s="122">
        <f t="shared" si="36"/>
        <v>52191</v>
      </c>
      <c r="X1165" s="122">
        <f t="shared" si="37"/>
        <v>66934</v>
      </c>
      <c r="AA1165" t="s">
        <v>58</v>
      </c>
      <c r="AB1165" t="s">
        <v>433</v>
      </c>
      <c r="AC1165" t="s">
        <v>433</v>
      </c>
      <c r="AD1165" t="s">
        <v>433</v>
      </c>
      <c r="AE1165" t="s">
        <v>137</v>
      </c>
      <c r="AF1165">
        <v>18</v>
      </c>
      <c r="AG1165" s="122">
        <v>1413</v>
      </c>
      <c r="AH1165" s="122">
        <v>4828</v>
      </c>
      <c r="AI1165" s="122">
        <v>195159</v>
      </c>
      <c r="AJ1165" s="122">
        <v>177418</v>
      </c>
      <c r="AK1165">
        <v>66</v>
      </c>
      <c r="AL1165" s="122">
        <v>32535</v>
      </c>
      <c r="AM1165" s="122">
        <v>29577</v>
      </c>
      <c r="AN1165" s="122">
        <v>22266</v>
      </c>
      <c r="AO1165" s="122">
        <v>8247</v>
      </c>
      <c r="AP1165" s="122">
        <v>6318</v>
      </c>
      <c r="AQ1165" s="122">
        <v>2340</v>
      </c>
      <c r="AR1165" s="122">
        <v>80879</v>
      </c>
      <c r="AS1165" s="122">
        <v>73527</v>
      </c>
      <c r="AT1165" s="122">
        <v>40053</v>
      </c>
      <c r="AU1165" s="122">
        <v>14834</v>
      </c>
      <c r="AV1165" s="122">
        <v>305943</v>
      </c>
    </row>
    <row r="1166" spans="2:48" hidden="1">
      <c r="B1166" t="s">
        <v>370</v>
      </c>
      <c r="C1166" t="s">
        <v>62</v>
      </c>
      <c r="D1166" t="s">
        <v>406</v>
      </c>
      <c r="E1166" t="s">
        <v>406</v>
      </c>
      <c r="F1166" s="122">
        <v>246</v>
      </c>
      <c r="G1166" s="122">
        <v>22766</v>
      </c>
      <c r="H1166" s="122">
        <v>101856</v>
      </c>
      <c r="I1166" s="122">
        <v>5887570</v>
      </c>
      <c r="J1166" s="122">
        <v>5352336</v>
      </c>
      <c r="K1166" s="122">
        <v>74</v>
      </c>
      <c r="L1166" s="122">
        <v>1297776</v>
      </c>
      <c r="M1166" s="122">
        <v>1130183</v>
      </c>
      <c r="N1166" s="122">
        <v>477916</v>
      </c>
      <c r="O1166" s="122">
        <v>177006</v>
      </c>
      <c r="P1166" s="122">
        <v>158798</v>
      </c>
      <c r="Q1166" s="122">
        <v>58814</v>
      </c>
      <c r="R1166" s="122">
        <v>1151662</v>
      </c>
      <c r="S1166" s="122">
        <v>1046966</v>
      </c>
      <c r="T1166" s="122">
        <v>494581</v>
      </c>
      <c r="U1166" s="122">
        <v>183178</v>
      </c>
      <c r="V1166" s="122">
        <v>7948483</v>
      </c>
      <c r="W1166" s="122">
        <f t="shared" si="36"/>
        <v>7948483</v>
      </c>
      <c r="X1166" s="122">
        <f t="shared" si="37"/>
        <v>9468303</v>
      </c>
      <c r="AA1166" t="s">
        <v>58</v>
      </c>
      <c r="AB1166" t="s">
        <v>433</v>
      </c>
      <c r="AC1166" t="s">
        <v>433</v>
      </c>
      <c r="AD1166" t="s">
        <v>433</v>
      </c>
      <c r="AE1166" t="s">
        <v>566</v>
      </c>
      <c r="AF1166">
        <v>2</v>
      </c>
      <c r="AG1166">
        <v>152</v>
      </c>
      <c r="AH1166">
        <v>525</v>
      </c>
      <c r="AI1166" s="122">
        <v>20491</v>
      </c>
      <c r="AJ1166" s="122">
        <v>18628</v>
      </c>
      <c r="AK1166">
        <v>70</v>
      </c>
      <c r="AL1166" s="122">
        <v>5328</v>
      </c>
      <c r="AM1166" s="122">
        <v>4844</v>
      </c>
      <c r="AN1166" s="122">
        <v>2663</v>
      </c>
      <c r="AO1166">
        <v>986</v>
      </c>
      <c r="AP1166">
        <v>824</v>
      </c>
      <c r="AQ1166">
        <v>305</v>
      </c>
      <c r="AR1166" s="122">
        <v>10523</v>
      </c>
      <c r="AS1166" s="122">
        <v>9566</v>
      </c>
      <c r="AT1166">
        <v>0</v>
      </c>
      <c r="AU1166">
        <v>0</v>
      </c>
      <c r="AV1166" s="122">
        <v>34330</v>
      </c>
    </row>
    <row r="1167" spans="2:48" hidden="1">
      <c r="B1167" t="s">
        <v>370</v>
      </c>
      <c r="C1167" t="s">
        <v>62</v>
      </c>
      <c r="D1167" t="s">
        <v>427</v>
      </c>
      <c r="E1167" t="s">
        <v>427</v>
      </c>
      <c r="F1167" s="122">
        <v>1</v>
      </c>
      <c r="G1167" s="122">
        <v>86</v>
      </c>
      <c r="H1167" s="122">
        <v>435</v>
      </c>
      <c r="I1167" s="122">
        <v>22628</v>
      </c>
      <c r="J1167" s="122">
        <v>20571</v>
      </c>
      <c r="K1167" s="122">
        <v>55</v>
      </c>
      <c r="L1167" s="122">
        <v>0</v>
      </c>
      <c r="M1167" s="122">
        <v>0</v>
      </c>
      <c r="N1167" s="122">
        <v>2107</v>
      </c>
      <c r="O1167" s="122">
        <v>780</v>
      </c>
      <c r="P1167" s="122">
        <v>351</v>
      </c>
      <c r="Q1167" s="122">
        <v>130</v>
      </c>
      <c r="R1167" s="122">
        <v>12495</v>
      </c>
      <c r="S1167" s="122">
        <v>11359</v>
      </c>
      <c r="T1167" s="122">
        <v>0</v>
      </c>
      <c r="U1167" s="122">
        <v>0</v>
      </c>
      <c r="V1167" s="122">
        <v>32840</v>
      </c>
      <c r="W1167" s="122">
        <f t="shared" si="36"/>
        <v>32840</v>
      </c>
      <c r="X1167" s="122">
        <f t="shared" si="37"/>
        <v>37581</v>
      </c>
      <c r="AA1167" t="s">
        <v>58</v>
      </c>
      <c r="AB1167" t="s">
        <v>433</v>
      </c>
      <c r="AC1167" t="s">
        <v>429</v>
      </c>
      <c r="AD1167" t="s">
        <v>433</v>
      </c>
      <c r="AE1167" t="s">
        <v>137</v>
      </c>
      <c r="AF1167">
        <v>1</v>
      </c>
      <c r="AG1167">
        <v>82</v>
      </c>
      <c r="AH1167">
        <v>234</v>
      </c>
      <c r="AI1167" s="122">
        <v>11072</v>
      </c>
      <c r="AJ1167" s="122">
        <v>10065</v>
      </c>
      <c r="AK1167">
        <v>65</v>
      </c>
      <c r="AL1167" s="122">
        <v>1230</v>
      </c>
      <c r="AM1167" s="122">
        <v>1118</v>
      </c>
      <c r="AN1167" s="122">
        <v>1104</v>
      </c>
      <c r="AO1167">
        <v>409</v>
      </c>
      <c r="AP1167">
        <v>351</v>
      </c>
      <c r="AQ1167">
        <v>130</v>
      </c>
      <c r="AR1167" s="122">
        <v>3375</v>
      </c>
      <c r="AS1167" s="122">
        <v>3068</v>
      </c>
      <c r="AT1167" s="122">
        <v>2109</v>
      </c>
      <c r="AU1167">
        <v>781</v>
      </c>
      <c r="AV1167" s="122">
        <v>15572</v>
      </c>
    </row>
    <row r="1168" spans="2:48" hidden="1">
      <c r="B1168" t="s">
        <v>370</v>
      </c>
      <c r="C1168" t="s">
        <v>62</v>
      </c>
      <c r="D1168" t="s">
        <v>407</v>
      </c>
      <c r="E1168" t="s">
        <v>407</v>
      </c>
      <c r="F1168" s="122">
        <v>88</v>
      </c>
      <c r="G1168" s="122">
        <v>8089</v>
      </c>
      <c r="H1168" s="122">
        <v>36026</v>
      </c>
      <c r="I1168" s="122">
        <v>2004223</v>
      </c>
      <c r="J1168" s="122">
        <v>1822021</v>
      </c>
      <c r="K1168" s="122">
        <v>77</v>
      </c>
      <c r="L1168" s="122">
        <v>560578</v>
      </c>
      <c r="M1168" s="122">
        <v>481738</v>
      </c>
      <c r="N1168" s="122">
        <v>166440</v>
      </c>
      <c r="O1168" s="122">
        <v>61645</v>
      </c>
      <c r="P1168" s="122">
        <v>41459</v>
      </c>
      <c r="Q1168" s="122">
        <v>15355</v>
      </c>
      <c r="R1168" s="122">
        <v>408835</v>
      </c>
      <c r="S1168" s="122">
        <v>371668</v>
      </c>
      <c r="T1168" s="122">
        <v>136520</v>
      </c>
      <c r="U1168" s="122">
        <v>50563</v>
      </c>
      <c r="V1168" s="122">
        <v>2802990</v>
      </c>
      <c r="W1168" s="122">
        <f t="shared" si="36"/>
        <v>2802990</v>
      </c>
      <c r="X1168" s="122">
        <f t="shared" si="37"/>
        <v>3318055</v>
      </c>
      <c r="AA1168" t="s">
        <v>58</v>
      </c>
      <c r="AB1168" t="s">
        <v>408</v>
      </c>
      <c r="AC1168" t="s">
        <v>425</v>
      </c>
      <c r="AD1168" t="s">
        <v>408</v>
      </c>
      <c r="AE1168" t="s">
        <v>566</v>
      </c>
      <c r="AF1168">
        <v>1</v>
      </c>
      <c r="AG1168">
        <v>68</v>
      </c>
      <c r="AH1168">
        <v>289</v>
      </c>
      <c r="AI1168" s="122">
        <v>15788</v>
      </c>
      <c r="AJ1168" s="122">
        <v>14353</v>
      </c>
      <c r="AK1168">
        <v>65</v>
      </c>
      <c r="AL1168" s="122">
        <v>5701</v>
      </c>
      <c r="AM1168" s="122">
        <v>5183</v>
      </c>
      <c r="AN1168" s="122">
        <v>2542</v>
      </c>
      <c r="AO1168">
        <v>941</v>
      </c>
      <c r="AP1168">
        <v>351</v>
      </c>
      <c r="AQ1168">
        <v>130</v>
      </c>
      <c r="AR1168" s="122">
        <v>5746</v>
      </c>
      <c r="AS1168" s="122">
        <v>5224</v>
      </c>
      <c r="AT1168">
        <v>0</v>
      </c>
      <c r="AU1168">
        <v>0</v>
      </c>
      <c r="AV1168" s="122">
        <v>25831</v>
      </c>
    </row>
    <row r="1169" spans="2:48" hidden="1">
      <c r="B1169" t="s">
        <v>370</v>
      </c>
      <c r="C1169" t="s">
        <v>62</v>
      </c>
      <c r="D1169" t="s">
        <v>407</v>
      </c>
      <c r="E1169" t="s">
        <v>426</v>
      </c>
      <c r="F1169" s="122">
        <v>1</v>
      </c>
      <c r="G1169" s="122">
        <v>83</v>
      </c>
      <c r="H1169" s="122">
        <v>405</v>
      </c>
      <c r="I1169" s="122">
        <v>19261</v>
      </c>
      <c r="J1169" s="122">
        <v>17510</v>
      </c>
      <c r="K1169" s="122">
        <v>91</v>
      </c>
      <c r="L1169" s="122">
        <v>6185</v>
      </c>
      <c r="M1169" s="122">
        <v>5623</v>
      </c>
      <c r="N1169" s="122">
        <v>1414</v>
      </c>
      <c r="O1169" s="122">
        <v>524</v>
      </c>
      <c r="P1169" s="122">
        <v>473</v>
      </c>
      <c r="Q1169" s="122">
        <v>175</v>
      </c>
      <c r="R1169" s="122">
        <v>3564</v>
      </c>
      <c r="S1169" s="122">
        <v>3240</v>
      </c>
      <c r="T1169" s="122">
        <v>2651</v>
      </c>
      <c r="U1169" s="122">
        <v>982</v>
      </c>
      <c r="V1169" s="122">
        <v>28054</v>
      </c>
      <c r="W1169" s="122">
        <f t="shared" si="36"/>
        <v>28054</v>
      </c>
      <c r="X1169" s="122">
        <f t="shared" si="37"/>
        <v>33548</v>
      </c>
      <c r="AA1169" t="s">
        <v>58</v>
      </c>
      <c r="AB1169" t="s">
        <v>408</v>
      </c>
      <c r="AC1169" t="s">
        <v>137</v>
      </c>
      <c r="AD1169" t="s">
        <v>408</v>
      </c>
      <c r="AE1169" t="s">
        <v>137</v>
      </c>
      <c r="AF1169">
        <v>1</v>
      </c>
      <c r="AG1169">
        <v>88</v>
      </c>
      <c r="AH1169">
        <v>230</v>
      </c>
      <c r="AI1169" s="122">
        <v>10957</v>
      </c>
      <c r="AJ1169" s="122">
        <v>9961</v>
      </c>
      <c r="AK1169">
        <v>84</v>
      </c>
      <c r="AL1169" s="122">
        <v>2504</v>
      </c>
      <c r="AM1169">
        <v>927</v>
      </c>
      <c r="AN1169" s="122">
        <v>1317</v>
      </c>
      <c r="AO1169">
        <v>488</v>
      </c>
      <c r="AP1169">
        <v>351</v>
      </c>
      <c r="AQ1169">
        <v>130</v>
      </c>
      <c r="AR1169" s="122">
        <v>2778</v>
      </c>
      <c r="AS1169" s="122">
        <v>2525</v>
      </c>
      <c r="AT1169" s="122">
        <v>2271</v>
      </c>
      <c r="AU1169">
        <v>841</v>
      </c>
      <c r="AV1169" s="122">
        <v>14873</v>
      </c>
    </row>
    <row r="1170" spans="2:48" hidden="1">
      <c r="B1170" t="s">
        <v>370</v>
      </c>
      <c r="C1170" t="s">
        <v>62</v>
      </c>
      <c r="D1170" t="s">
        <v>556</v>
      </c>
      <c r="E1170" t="s">
        <v>556</v>
      </c>
      <c r="F1170" s="122">
        <v>14</v>
      </c>
      <c r="G1170" s="122">
        <v>1150</v>
      </c>
      <c r="H1170" s="122">
        <v>5872</v>
      </c>
      <c r="I1170" s="122">
        <v>300825</v>
      </c>
      <c r="J1170" s="122">
        <v>250687</v>
      </c>
      <c r="K1170" s="122">
        <v>52</v>
      </c>
      <c r="L1170" s="122">
        <v>43662</v>
      </c>
      <c r="M1170" s="122">
        <v>34240</v>
      </c>
      <c r="N1170" s="122">
        <v>22642</v>
      </c>
      <c r="O1170" s="122">
        <v>8386</v>
      </c>
      <c r="P1170" s="122">
        <v>4914</v>
      </c>
      <c r="Q1170" s="122">
        <v>1820</v>
      </c>
      <c r="R1170" s="122">
        <v>79319</v>
      </c>
      <c r="S1170" s="122">
        <v>66099</v>
      </c>
      <c r="T1170" s="122">
        <v>30439</v>
      </c>
      <c r="U1170" s="122">
        <v>11274</v>
      </c>
      <c r="V1170" s="122">
        <v>372506</v>
      </c>
      <c r="W1170" s="122">
        <f t="shared" si="36"/>
        <v>372506</v>
      </c>
      <c r="X1170" s="122">
        <f t="shared" si="37"/>
        <v>481801</v>
      </c>
      <c r="AA1170" t="s">
        <v>58</v>
      </c>
      <c r="AB1170" t="s">
        <v>408</v>
      </c>
      <c r="AC1170" t="s">
        <v>580</v>
      </c>
      <c r="AD1170" t="s">
        <v>406</v>
      </c>
      <c r="AE1170" t="s">
        <v>137</v>
      </c>
      <c r="AF1170">
        <v>1</v>
      </c>
      <c r="AG1170">
        <v>153</v>
      </c>
      <c r="AH1170">
        <v>261</v>
      </c>
      <c r="AI1170" s="122">
        <v>26677</v>
      </c>
      <c r="AJ1170" s="122">
        <v>24252</v>
      </c>
      <c r="AK1170">
        <v>82</v>
      </c>
      <c r="AL1170" s="122">
        <v>2843</v>
      </c>
      <c r="AM1170" s="122">
        <v>2584</v>
      </c>
      <c r="AN1170" s="122">
        <v>1862</v>
      </c>
      <c r="AO1170">
        <v>690</v>
      </c>
      <c r="AP1170">
        <v>621</v>
      </c>
      <c r="AQ1170">
        <v>230</v>
      </c>
      <c r="AR1170" s="122">
        <v>4434</v>
      </c>
      <c r="AS1170" s="122">
        <v>4031</v>
      </c>
      <c r="AT1170" s="122">
        <v>3496</v>
      </c>
      <c r="AU1170" s="122">
        <v>1295</v>
      </c>
      <c r="AV1170" s="122">
        <v>33081</v>
      </c>
    </row>
    <row r="1171" spans="2:48" hidden="1">
      <c r="B1171" t="s">
        <v>370</v>
      </c>
      <c r="C1171" t="s">
        <v>62</v>
      </c>
      <c r="D1171" t="s">
        <v>428</v>
      </c>
      <c r="E1171" t="s">
        <v>137</v>
      </c>
      <c r="F1171" s="122">
        <v>1</v>
      </c>
      <c r="G1171" s="122">
        <v>92</v>
      </c>
      <c r="H1171" s="122">
        <v>447</v>
      </c>
      <c r="I1171" s="122">
        <v>25694</v>
      </c>
      <c r="J1171" s="122">
        <v>23358</v>
      </c>
      <c r="K1171" s="122">
        <v>55</v>
      </c>
      <c r="L1171" s="122">
        <v>5234</v>
      </c>
      <c r="M1171" s="122">
        <v>4758</v>
      </c>
      <c r="N1171" s="122">
        <v>1597</v>
      </c>
      <c r="O1171" s="122">
        <v>591</v>
      </c>
      <c r="P1171" s="122">
        <v>351</v>
      </c>
      <c r="Q1171" s="122">
        <v>130</v>
      </c>
      <c r="R1171" s="122">
        <v>8406</v>
      </c>
      <c r="S1171" s="122">
        <v>3113</v>
      </c>
      <c r="T1171" s="122">
        <v>0</v>
      </c>
      <c r="U1171" s="122">
        <v>0</v>
      </c>
      <c r="V1171" s="122">
        <v>31951</v>
      </c>
      <c r="W1171" s="122">
        <f t="shared" si="36"/>
        <v>31950</v>
      </c>
      <c r="X1171" s="122">
        <f t="shared" si="37"/>
        <v>41282</v>
      </c>
      <c r="AA1171" t="s">
        <v>58</v>
      </c>
      <c r="AB1171" t="s">
        <v>408</v>
      </c>
      <c r="AC1171" t="s">
        <v>580</v>
      </c>
      <c r="AD1171" t="s">
        <v>408</v>
      </c>
      <c r="AE1171" t="s">
        <v>137</v>
      </c>
      <c r="AF1171">
        <v>2</v>
      </c>
      <c r="AG1171">
        <v>430</v>
      </c>
      <c r="AH1171">
        <v>530</v>
      </c>
      <c r="AI1171" s="122">
        <v>82920</v>
      </c>
      <c r="AJ1171" s="122">
        <v>75382</v>
      </c>
      <c r="AK1171">
        <v>63</v>
      </c>
      <c r="AL1171" s="122">
        <v>11033</v>
      </c>
      <c r="AM1171" s="122">
        <v>10030</v>
      </c>
      <c r="AN1171" s="122">
        <v>6775</v>
      </c>
      <c r="AO1171" s="122">
        <v>2509</v>
      </c>
      <c r="AP1171">
        <v>972</v>
      </c>
      <c r="AQ1171">
        <v>360</v>
      </c>
      <c r="AR1171" s="122">
        <v>13127</v>
      </c>
      <c r="AS1171" s="122">
        <v>11933</v>
      </c>
      <c r="AT1171" s="122">
        <v>3805</v>
      </c>
      <c r="AU1171" s="122">
        <v>1409</v>
      </c>
      <c r="AV1171" s="122">
        <v>101624</v>
      </c>
    </row>
    <row r="1172" spans="2:48" hidden="1">
      <c r="B1172" t="s">
        <v>370</v>
      </c>
      <c r="C1172" t="s">
        <v>62</v>
      </c>
      <c r="D1172" t="s">
        <v>428</v>
      </c>
      <c r="E1172" t="s">
        <v>428</v>
      </c>
      <c r="F1172" s="122">
        <v>1</v>
      </c>
      <c r="G1172" s="122">
        <v>85</v>
      </c>
      <c r="H1172" s="122">
        <v>412</v>
      </c>
      <c r="I1172" s="122">
        <v>23709</v>
      </c>
      <c r="J1172" s="122">
        <v>21554</v>
      </c>
      <c r="K1172" s="122">
        <v>65</v>
      </c>
      <c r="L1172" s="122">
        <v>3805</v>
      </c>
      <c r="M1172" s="122">
        <v>3459</v>
      </c>
      <c r="N1172" s="122">
        <v>1561</v>
      </c>
      <c r="O1172" s="122">
        <v>578</v>
      </c>
      <c r="P1172" s="122">
        <v>702</v>
      </c>
      <c r="Q1172" s="122">
        <v>260</v>
      </c>
      <c r="R1172" s="122">
        <v>3664</v>
      </c>
      <c r="S1172" s="122">
        <v>3331</v>
      </c>
      <c r="T1172" s="122">
        <v>1793</v>
      </c>
      <c r="U1172" s="122">
        <v>664</v>
      </c>
      <c r="V1172" s="122">
        <v>29847</v>
      </c>
      <c r="W1172" s="122">
        <f t="shared" si="36"/>
        <v>29846</v>
      </c>
      <c r="X1172" s="122">
        <f t="shared" si="37"/>
        <v>35234</v>
      </c>
      <c r="AA1172" t="s">
        <v>58</v>
      </c>
      <c r="AB1172" t="s">
        <v>408</v>
      </c>
      <c r="AC1172" t="s">
        <v>407</v>
      </c>
      <c r="AD1172" t="s">
        <v>408</v>
      </c>
      <c r="AE1172" t="s">
        <v>566</v>
      </c>
      <c r="AF1172">
        <v>1</v>
      </c>
      <c r="AG1172">
        <v>254</v>
      </c>
      <c r="AH1172">
        <v>235</v>
      </c>
      <c r="AI1172" s="122">
        <v>42031</v>
      </c>
      <c r="AJ1172" s="122">
        <v>38210</v>
      </c>
      <c r="AK1172">
        <v>65</v>
      </c>
      <c r="AL1172" s="122">
        <v>4216</v>
      </c>
      <c r="AM1172" s="122">
        <v>3833</v>
      </c>
      <c r="AN1172" s="122">
        <v>5505</v>
      </c>
      <c r="AO1172" s="122">
        <v>2039</v>
      </c>
      <c r="AP1172">
        <v>351</v>
      </c>
      <c r="AQ1172">
        <v>130</v>
      </c>
      <c r="AR1172" s="122">
        <v>7464</v>
      </c>
      <c r="AS1172" s="122">
        <v>6786</v>
      </c>
      <c r="AT1172">
        <v>0</v>
      </c>
      <c r="AU1172">
        <v>0</v>
      </c>
      <c r="AV1172" s="122">
        <v>50997</v>
      </c>
    </row>
    <row r="1173" spans="2:48" hidden="1">
      <c r="B1173" t="s">
        <v>370</v>
      </c>
      <c r="C1173" t="s">
        <v>62</v>
      </c>
      <c r="D1173" t="s">
        <v>431</v>
      </c>
      <c r="E1173" t="s">
        <v>431</v>
      </c>
      <c r="F1173" s="122">
        <v>15</v>
      </c>
      <c r="G1173" s="122">
        <v>1136</v>
      </c>
      <c r="H1173" s="122">
        <v>6020</v>
      </c>
      <c r="I1173" s="122">
        <v>283337</v>
      </c>
      <c r="J1173" s="122">
        <v>257579</v>
      </c>
      <c r="K1173" s="122">
        <v>50</v>
      </c>
      <c r="L1173" s="122">
        <v>43216</v>
      </c>
      <c r="M1173" s="122">
        <v>39287</v>
      </c>
      <c r="N1173" s="122">
        <v>23985</v>
      </c>
      <c r="O1173" s="122">
        <v>8883</v>
      </c>
      <c r="P1173" s="122">
        <v>5265</v>
      </c>
      <c r="Q1173" s="122">
        <v>1950</v>
      </c>
      <c r="R1173" s="122">
        <v>90346</v>
      </c>
      <c r="S1173" s="122">
        <v>82133</v>
      </c>
      <c r="T1173" s="122">
        <v>25324</v>
      </c>
      <c r="U1173" s="122">
        <v>9379</v>
      </c>
      <c r="V1173" s="122">
        <v>399212</v>
      </c>
      <c r="W1173" s="122">
        <f t="shared" si="36"/>
        <v>399211</v>
      </c>
      <c r="X1173" s="122">
        <f t="shared" si="37"/>
        <v>471473</v>
      </c>
      <c r="AA1173" t="s">
        <v>58</v>
      </c>
      <c r="AB1173" t="s">
        <v>408</v>
      </c>
      <c r="AC1173" t="s">
        <v>579</v>
      </c>
      <c r="AD1173" t="s">
        <v>408</v>
      </c>
      <c r="AE1173" t="s">
        <v>137</v>
      </c>
      <c r="AF1173">
        <v>4</v>
      </c>
      <c r="AG1173">
        <v>556</v>
      </c>
      <c r="AH1173" s="122">
        <v>1121</v>
      </c>
      <c r="AI1173" s="122">
        <v>97615</v>
      </c>
      <c r="AJ1173" s="122">
        <v>88741</v>
      </c>
      <c r="AK1173">
        <v>64</v>
      </c>
      <c r="AL1173" s="122">
        <v>18497</v>
      </c>
      <c r="AM1173" s="122">
        <v>15414</v>
      </c>
      <c r="AN1173" s="122">
        <v>8060</v>
      </c>
      <c r="AO1173" s="122">
        <v>2985</v>
      </c>
      <c r="AP1173" s="122">
        <v>1404</v>
      </c>
      <c r="AQ1173">
        <v>520</v>
      </c>
      <c r="AR1173" s="122">
        <v>19422</v>
      </c>
      <c r="AS1173" s="122">
        <v>17656</v>
      </c>
      <c r="AT1173" s="122">
        <v>9464</v>
      </c>
      <c r="AU1173" s="122">
        <v>3505</v>
      </c>
      <c r="AV1173" s="122">
        <v>128822</v>
      </c>
    </row>
    <row r="1174" spans="2:48" hidden="1">
      <c r="B1174" t="s">
        <v>370</v>
      </c>
      <c r="C1174" t="s">
        <v>62</v>
      </c>
      <c r="D1174" t="s">
        <v>426</v>
      </c>
      <c r="E1174" t="s">
        <v>137</v>
      </c>
      <c r="F1174" s="122">
        <v>2</v>
      </c>
      <c r="G1174" s="122">
        <v>138</v>
      </c>
      <c r="H1174" s="122">
        <v>820</v>
      </c>
      <c r="I1174" s="122">
        <v>34956</v>
      </c>
      <c r="J1174" s="122">
        <v>31778</v>
      </c>
      <c r="K1174" s="122">
        <v>58</v>
      </c>
      <c r="L1174" s="122">
        <v>6409</v>
      </c>
      <c r="M1174" s="122">
        <v>4260</v>
      </c>
      <c r="N1174" s="122">
        <v>3065</v>
      </c>
      <c r="O1174" s="122">
        <v>1135</v>
      </c>
      <c r="P1174" s="122">
        <v>351</v>
      </c>
      <c r="Q1174" s="122">
        <v>130</v>
      </c>
      <c r="R1174" s="122">
        <v>11251</v>
      </c>
      <c r="S1174" s="122">
        <v>4167</v>
      </c>
      <c r="T1174" s="122">
        <v>0</v>
      </c>
      <c r="U1174" s="122">
        <v>0</v>
      </c>
      <c r="V1174" s="122">
        <v>41470</v>
      </c>
      <c r="W1174" s="122">
        <f t="shared" si="36"/>
        <v>41470</v>
      </c>
      <c r="X1174" s="122">
        <f t="shared" si="37"/>
        <v>56032</v>
      </c>
      <c r="AA1174" t="s">
        <v>58</v>
      </c>
      <c r="AB1174" t="s">
        <v>408</v>
      </c>
      <c r="AC1174" t="s">
        <v>579</v>
      </c>
      <c r="AD1174" t="s">
        <v>408</v>
      </c>
      <c r="AE1174" t="s">
        <v>566</v>
      </c>
      <c r="AF1174">
        <v>2</v>
      </c>
      <c r="AG1174">
        <v>173</v>
      </c>
      <c r="AH1174">
        <v>486</v>
      </c>
      <c r="AI1174" s="122">
        <v>24184</v>
      </c>
      <c r="AJ1174" s="122">
        <v>21986</v>
      </c>
      <c r="AK1174">
        <v>65</v>
      </c>
      <c r="AL1174" s="122">
        <v>3487</v>
      </c>
      <c r="AM1174" s="122">
        <v>2906</v>
      </c>
      <c r="AN1174" s="122">
        <v>2861</v>
      </c>
      <c r="AO1174" s="122">
        <v>1060</v>
      </c>
      <c r="AP1174">
        <v>702</v>
      </c>
      <c r="AQ1174">
        <v>260</v>
      </c>
      <c r="AR1174" s="122">
        <v>10726</v>
      </c>
      <c r="AS1174" s="122">
        <v>9751</v>
      </c>
      <c r="AT1174">
        <v>0</v>
      </c>
      <c r="AU1174">
        <v>0</v>
      </c>
      <c r="AV1174" s="122">
        <v>35962</v>
      </c>
    </row>
    <row r="1175" spans="2:48" hidden="1">
      <c r="B1175" t="s">
        <v>370</v>
      </c>
      <c r="C1175" t="s">
        <v>62</v>
      </c>
      <c r="D1175" t="s">
        <v>426</v>
      </c>
      <c r="E1175" t="s">
        <v>426</v>
      </c>
      <c r="F1175" s="122">
        <v>65</v>
      </c>
      <c r="G1175" s="122">
        <v>5090</v>
      </c>
      <c r="H1175" s="122">
        <v>26507</v>
      </c>
      <c r="I1175" s="122">
        <v>1264022</v>
      </c>
      <c r="J1175" s="122">
        <v>1149111</v>
      </c>
      <c r="K1175" s="122">
        <v>51</v>
      </c>
      <c r="L1175" s="122">
        <v>204180</v>
      </c>
      <c r="M1175" s="122">
        <v>171153</v>
      </c>
      <c r="N1175" s="122">
        <v>103661</v>
      </c>
      <c r="O1175" s="122">
        <v>38393</v>
      </c>
      <c r="P1175" s="122">
        <v>23706</v>
      </c>
      <c r="Q1175" s="122">
        <v>8780</v>
      </c>
      <c r="R1175" s="122">
        <v>352499</v>
      </c>
      <c r="S1175" s="122">
        <v>320454</v>
      </c>
      <c r="T1175" s="122">
        <v>131506</v>
      </c>
      <c r="U1175" s="122">
        <v>48706</v>
      </c>
      <c r="V1175" s="122">
        <v>1736597</v>
      </c>
      <c r="W1175" s="122">
        <f t="shared" si="36"/>
        <v>1736597</v>
      </c>
      <c r="X1175" s="122">
        <f t="shared" si="37"/>
        <v>2079574</v>
      </c>
      <c r="AA1175" t="s">
        <v>58</v>
      </c>
      <c r="AB1175" t="s">
        <v>408</v>
      </c>
      <c r="AC1175" t="s">
        <v>426</v>
      </c>
      <c r="AD1175" t="s">
        <v>408</v>
      </c>
      <c r="AE1175" t="s">
        <v>137</v>
      </c>
      <c r="AF1175">
        <v>6</v>
      </c>
      <c r="AG1175">
        <v>509</v>
      </c>
      <c r="AH1175" s="122">
        <v>1520</v>
      </c>
      <c r="AI1175" s="122">
        <v>63606</v>
      </c>
      <c r="AJ1175" s="122">
        <v>57823</v>
      </c>
      <c r="AK1175">
        <v>68</v>
      </c>
      <c r="AL1175" s="122">
        <v>15377</v>
      </c>
      <c r="AM1175" s="122">
        <v>13979</v>
      </c>
      <c r="AN1175" s="122">
        <v>9222</v>
      </c>
      <c r="AO1175" s="122">
        <v>3416</v>
      </c>
      <c r="AP1175" s="122">
        <v>2457</v>
      </c>
      <c r="AQ1175">
        <v>910</v>
      </c>
      <c r="AR1175" s="122">
        <v>24728</v>
      </c>
      <c r="AS1175" s="122">
        <v>22480</v>
      </c>
      <c r="AT1175" s="122">
        <v>13534</v>
      </c>
      <c r="AU1175" s="122">
        <v>5013</v>
      </c>
      <c r="AV1175" s="122">
        <v>103621</v>
      </c>
    </row>
    <row r="1176" spans="2:48" hidden="1">
      <c r="B1176" t="s">
        <v>370</v>
      </c>
      <c r="C1176" t="s">
        <v>64</v>
      </c>
      <c r="F1176" s="122">
        <v>3</v>
      </c>
      <c r="G1176" s="122">
        <v>457</v>
      </c>
      <c r="H1176" s="122">
        <v>1490</v>
      </c>
      <c r="I1176" s="122"/>
      <c r="J1176" s="122">
        <v>0</v>
      </c>
      <c r="K1176" s="122"/>
      <c r="L1176" s="122"/>
      <c r="M1176" s="122">
        <v>0</v>
      </c>
      <c r="N1176" s="122">
        <v>10341</v>
      </c>
      <c r="O1176" s="122">
        <v>3830</v>
      </c>
      <c r="P1176" s="122">
        <v>1242</v>
      </c>
      <c r="Q1176" s="122">
        <v>460</v>
      </c>
      <c r="R1176" s="122"/>
      <c r="S1176" s="122">
        <v>0</v>
      </c>
      <c r="T1176" s="122">
        <v>3567</v>
      </c>
      <c r="U1176" s="122">
        <v>1321</v>
      </c>
      <c r="V1176" s="122">
        <v>5611</v>
      </c>
      <c r="W1176" s="122">
        <f t="shared" si="36"/>
        <v>5611</v>
      </c>
      <c r="X1176" s="122">
        <f t="shared" si="37"/>
        <v>15150</v>
      </c>
      <c r="AA1176" t="s">
        <v>58</v>
      </c>
      <c r="AB1176" t="s">
        <v>408</v>
      </c>
      <c r="AC1176" t="s">
        <v>426</v>
      </c>
      <c r="AD1176" t="s">
        <v>408</v>
      </c>
      <c r="AE1176" t="s">
        <v>566</v>
      </c>
      <c r="AF1176">
        <v>4</v>
      </c>
      <c r="AG1176">
        <v>563</v>
      </c>
      <c r="AH1176" s="122">
        <v>1020</v>
      </c>
      <c r="AI1176" s="122">
        <v>93119</v>
      </c>
      <c r="AJ1176" s="122">
        <v>84654</v>
      </c>
      <c r="AK1176">
        <v>71</v>
      </c>
      <c r="AL1176" s="122">
        <v>17917</v>
      </c>
      <c r="AM1176" s="122">
        <v>16288</v>
      </c>
      <c r="AN1176" s="122">
        <v>10165</v>
      </c>
      <c r="AO1176" s="122">
        <v>3765</v>
      </c>
      <c r="AP1176" s="122">
        <v>1404</v>
      </c>
      <c r="AQ1176">
        <v>520</v>
      </c>
      <c r="AR1176" s="122">
        <v>25492</v>
      </c>
      <c r="AS1176" s="122">
        <v>23174</v>
      </c>
      <c r="AT1176">
        <v>0</v>
      </c>
      <c r="AU1176">
        <v>0</v>
      </c>
      <c r="AV1176" s="122">
        <v>128401</v>
      </c>
    </row>
    <row r="1177" spans="2:48" hidden="1">
      <c r="B1177" t="s">
        <v>370</v>
      </c>
      <c r="C1177" t="s">
        <v>64</v>
      </c>
      <c r="D1177" t="s">
        <v>555</v>
      </c>
      <c r="E1177" t="s">
        <v>555</v>
      </c>
      <c r="F1177" s="122">
        <v>1</v>
      </c>
      <c r="G1177" s="122">
        <v>82</v>
      </c>
      <c r="H1177" s="122">
        <v>675</v>
      </c>
      <c r="I1177" s="122">
        <v>40025</v>
      </c>
      <c r="J1177" s="122">
        <v>36387</v>
      </c>
      <c r="K1177" s="122">
        <v>45</v>
      </c>
      <c r="L1177" s="122">
        <v>6671</v>
      </c>
      <c r="M1177" s="122">
        <v>6064</v>
      </c>
      <c r="N1177" s="122">
        <v>1834</v>
      </c>
      <c r="O1177" s="122">
        <v>679</v>
      </c>
      <c r="P1177" s="122">
        <v>0</v>
      </c>
      <c r="Q1177" s="122">
        <v>0</v>
      </c>
      <c r="R1177" s="122">
        <v>5215</v>
      </c>
      <c r="S1177" s="122">
        <v>4741</v>
      </c>
      <c r="T1177" s="122">
        <v>1750</v>
      </c>
      <c r="U1177" s="122">
        <v>648</v>
      </c>
      <c r="V1177" s="122">
        <v>48520</v>
      </c>
      <c r="W1177" s="122">
        <f t="shared" si="36"/>
        <v>48519</v>
      </c>
      <c r="X1177" s="122">
        <f t="shared" si="37"/>
        <v>55495</v>
      </c>
      <c r="AA1177" t="s">
        <v>58</v>
      </c>
      <c r="AB1177" t="s">
        <v>408</v>
      </c>
      <c r="AC1177" t="s">
        <v>426</v>
      </c>
      <c r="AD1177" t="s">
        <v>429</v>
      </c>
      <c r="AE1177" t="s">
        <v>566</v>
      </c>
      <c r="AF1177">
        <v>1</v>
      </c>
      <c r="AG1177">
        <v>60</v>
      </c>
      <c r="AH1177">
        <v>269</v>
      </c>
      <c r="AI1177" s="122">
        <v>13756</v>
      </c>
      <c r="AJ1177" s="122">
        <v>12506</v>
      </c>
      <c r="AK1177">
        <v>65</v>
      </c>
      <c r="AL1177" s="122">
        <v>3312</v>
      </c>
      <c r="AM1177" s="122">
        <v>3011</v>
      </c>
      <c r="AN1177" s="122">
        <v>2425</v>
      </c>
      <c r="AO1177">
        <v>898</v>
      </c>
      <c r="AP1177">
        <v>621</v>
      </c>
      <c r="AQ1177">
        <v>230</v>
      </c>
      <c r="AR1177" s="122">
        <v>6663</v>
      </c>
      <c r="AS1177" s="122">
        <v>6057</v>
      </c>
      <c r="AT1177">
        <v>0</v>
      </c>
      <c r="AU1177">
        <v>0</v>
      </c>
      <c r="AV1177" s="122">
        <v>22702</v>
      </c>
    </row>
    <row r="1178" spans="2:48" hidden="1">
      <c r="B1178" t="s">
        <v>370</v>
      </c>
      <c r="C1178" t="s">
        <v>64</v>
      </c>
      <c r="D1178" t="s">
        <v>137</v>
      </c>
      <c r="E1178" t="s">
        <v>137</v>
      </c>
      <c r="F1178" s="122">
        <v>101</v>
      </c>
      <c r="G1178" s="122">
        <v>7654</v>
      </c>
      <c r="H1178" s="122">
        <v>63697</v>
      </c>
      <c r="I1178" s="122">
        <v>3432961</v>
      </c>
      <c r="J1178" s="122">
        <v>1271467</v>
      </c>
      <c r="K1178" s="122">
        <v>100</v>
      </c>
      <c r="L1178" s="122">
        <v>547869</v>
      </c>
      <c r="M1178" s="122">
        <v>433218</v>
      </c>
      <c r="N1178" s="122">
        <v>167665</v>
      </c>
      <c r="O1178" s="122">
        <v>62098</v>
      </c>
      <c r="P1178" s="122">
        <v>1990</v>
      </c>
      <c r="Q1178" s="122">
        <v>737</v>
      </c>
      <c r="R1178" s="122">
        <v>656930</v>
      </c>
      <c r="S1178" s="122">
        <v>243307</v>
      </c>
      <c r="T1178" s="122">
        <v>0</v>
      </c>
      <c r="U1178" s="122">
        <v>0</v>
      </c>
      <c r="V1178" s="122">
        <v>2010828</v>
      </c>
      <c r="W1178" s="122">
        <f t="shared" si="36"/>
        <v>2010827</v>
      </c>
      <c r="X1178" s="122">
        <f t="shared" si="37"/>
        <v>4807415</v>
      </c>
      <c r="AA1178" t="s">
        <v>58</v>
      </c>
      <c r="AB1178" t="s">
        <v>408</v>
      </c>
      <c r="AC1178" t="s">
        <v>566</v>
      </c>
      <c r="AD1178" t="s">
        <v>408</v>
      </c>
      <c r="AE1178" t="s">
        <v>137</v>
      </c>
      <c r="AF1178">
        <v>6</v>
      </c>
      <c r="AG1178">
        <v>411</v>
      </c>
      <c r="AH1178" s="122">
        <v>1569</v>
      </c>
      <c r="AI1178" s="122">
        <v>64408</v>
      </c>
      <c r="AJ1178" s="122">
        <v>58552</v>
      </c>
      <c r="AK1178">
        <v>80</v>
      </c>
      <c r="AL1178">
        <v>0</v>
      </c>
      <c r="AM1178">
        <v>0</v>
      </c>
      <c r="AN1178" s="122">
        <v>7278</v>
      </c>
      <c r="AO1178" s="122">
        <v>2695</v>
      </c>
      <c r="AP1178" s="122">
        <v>2106</v>
      </c>
      <c r="AQ1178">
        <v>780</v>
      </c>
      <c r="AR1178" s="122">
        <v>19680</v>
      </c>
      <c r="AS1178" s="122">
        <v>17891</v>
      </c>
      <c r="AT1178" s="122">
        <v>12426</v>
      </c>
      <c r="AU1178" s="122">
        <v>4602</v>
      </c>
      <c r="AV1178" s="122">
        <v>84521</v>
      </c>
    </row>
    <row r="1179" spans="2:48" hidden="1">
      <c r="B1179" t="s">
        <v>370</v>
      </c>
      <c r="C1179" t="s">
        <v>64</v>
      </c>
      <c r="D1179" t="s">
        <v>137</v>
      </c>
      <c r="E1179" t="s">
        <v>556</v>
      </c>
      <c r="F1179" s="122">
        <v>1</v>
      </c>
      <c r="G1179" s="122">
        <v>60</v>
      </c>
      <c r="H1179" s="122">
        <v>515</v>
      </c>
      <c r="I1179" s="122">
        <v>19976</v>
      </c>
      <c r="J1179" s="122">
        <v>7398</v>
      </c>
      <c r="K1179" s="122">
        <v>100</v>
      </c>
      <c r="L1179" s="122">
        <v>4439</v>
      </c>
      <c r="M1179" s="122">
        <v>3699</v>
      </c>
      <c r="N1179" s="122">
        <v>1058</v>
      </c>
      <c r="O1179" s="122">
        <v>392</v>
      </c>
      <c r="P1179" s="122">
        <v>0</v>
      </c>
      <c r="Q1179" s="122">
        <v>0</v>
      </c>
      <c r="R1179" s="122">
        <v>4160</v>
      </c>
      <c r="S1179" s="122">
        <v>3467</v>
      </c>
      <c r="T1179" s="122">
        <v>1449</v>
      </c>
      <c r="U1179" s="122">
        <v>537</v>
      </c>
      <c r="V1179" s="122">
        <v>15493</v>
      </c>
      <c r="W1179" s="122">
        <f t="shared" si="36"/>
        <v>15493</v>
      </c>
      <c r="X1179" s="122">
        <f t="shared" si="37"/>
        <v>31082</v>
      </c>
      <c r="AA1179" t="s">
        <v>58</v>
      </c>
      <c r="AB1179" t="s">
        <v>408</v>
      </c>
      <c r="AC1179" t="s">
        <v>433</v>
      </c>
      <c r="AD1179" t="s">
        <v>408</v>
      </c>
      <c r="AE1179" t="s">
        <v>137</v>
      </c>
      <c r="AF1179">
        <v>1</v>
      </c>
      <c r="AG1179">
        <v>74</v>
      </c>
      <c r="AH1179">
        <v>257</v>
      </c>
      <c r="AI1179" s="122">
        <v>10073</v>
      </c>
      <c r="AJ1179" s="122">
        <v>9157</v>
      </c>
      <c r="AK1179">
        <v>65</v>
      </c>
      <c r="AL1179" s="122">
        <v>1617</v>
      </c>
      <c r="AM1179" s="122">
        <v>1470</v>
      </c>
      <c r="AN1179" s="122">
        <v>1014</v>
      </c>
      <c r="AO1179">
        <v>376</v>
      </c>
      <c r="AP1179">
        <v>351</v>
      </c>
      <c r="AQ1179">
        <v>130</v>
      </c>
      <c r="AR1179" s="122">
        <v>6033</v>
      </c>
      <c r="AS1179" s="122">
        <v>5484</v>
      </c>
      <c r="AT1179">
        <v>0</v>
      </c>
      <c r="AU1179">
        <v>0</v>
      </c>
      <c r="AV1179" s="122">
        <v>16617</v>
      </c>
    </row>
    <row r="1180" spans="2:48" hidden="1">
      <c r="B1180" t="s">
        <v>370</v>
      </c>
      <c r="C1180" t="s">
        <v>64</v>
      </c>
      <c r="D1180" t="s">
        <v>137</v>
      </c>
      <c r="E1180" t="s">
        <v>426</v>
      </c>
      <c r="F1180" s="122">
        <v>4</v>
      </c>
      <c r="G1180" s="122">
        <v>279</v>
      </c>
      <c r="H1180" s="122">
        <v>2306</v>
      </c>
      <c r="I1180" s="122">
        <v>100720</v>
      </c>
      <c r="J1180" s="122">
        <v>37304</v>
      </c>
      <c r="K1180" s="122">
        <v>100</v>
      </c>
      <c r="L1180" s="122">
        <v>14869</v>
      </c>
      <c r="M1180" s="122">
        <v>13517</v>
      </c>
      <c r="N1180" s="122">
        <v>6537</v>
      </c>
      <c r="O1180" s="122">
        <v>2421</v>
      </c>
      <c r="P1180" s="122">
        <v>0</v>
      </c>
      <c r="Q1180" s="122">
        <v>0</v>
      </c>
      <c r="R1180" s="122">
        <v>30514</v>
      </c>
      <c r="S1180" s="122">
        <v>27740</v>
      </c>
      <c r="T1180" s="122">
        <v>5899</v>
      </c>
      <c r="U1180" s="122">
        <v>2185</v>
      </c>
      <c r="V1180" s="122">
        <v>83167</v>
      </c>
      <c r="W1180" s="122">
        <f t="shared" si="36"/>
        <v>83167</v>
      </c>
      <c r="X1180" s="122">
        <f t="shared" si="37"/>
        <v>158539</v>
      </c>
      <c r="AA1180" t="s">
        <v>58</v>
      </c>
      <c r="AB1180" t="s">
        <v>408</v>
      </c>
      <c r="AC1180" t="s">
        <v>408</v>
      </c>
      <c r="AD1180" t="s">
        <v>408</v>
      </c>
      <c r="AE1180" t="s">
        <v>566</v>
      </c>
      <c r="AF1180">
        <v>1</v>
      </c>
      <c r="AG1180">
        <v>71</v>
      </c>
      <c r="AH1180">
        <v>240</v>
      </c>
      <c r="AI1180" s="122">
        <v>9574</v>
      </c>
      <c r="AJ1180" s="122">
        <v>8704</v>
      </c>
      <c r="AK1180">
        <v>65</v>
      </c>
      <c r="AL1180" s="122">
        <v>1064</v>
      </c>
      <c r="AM1180">
        <v>967</v>
      </c>
      <c r="AN1180" s="122">
        <v>1174</v>
      </c>
      <c r="AO1180">
        <v>435</v>
      </c>
      <c r="AP1180" s="122">
        <v>1238</v>
      </c>
      <c r="AQ1180">
        <v>459</v>
      </c>
      <c r="AR1180" s="122">
        <v>3979</v>
      </c>
      <c r="AS1180" s="122">
        <v>3617</v>
      </c>
      <c r="AT1180">
        <v>0</v>
      </c>
      <c r="AU1180">
        <v>0</v>
      </c>
      <c r="AV1180" s="122">
        <v>14181</v>
      </c>
    </row>
    <row r="1181" spans="2:48" hidden="1">
      <c r="B1181" t="s">
        <v>370</v>
      </c>
      <c r="C1181" t="s">
        <v>64</v>
      </c>
      <c r="D1181" t="s">
        <v>406</v>
      </c>
      <c r="E1181" t="s">
        <v>137</v>
      </c>
      <c r="F1181" s="122">
        <v>4</v>
      </c>
      <c r="G1181" s="122">
        <v>334</v>
      </c>
      <c r="H1181" s="122">
        <v>2313</v>
      </c>
      <c r="I1181" s="122">
        <v>136557</v>
      </c>
      <c r="J1181" s="122">
        <v>124143</v>
      </c>
      <c r="K1181" s="122">
        <v>68</v>
      </c>
      <c r="L1181" s="122">
        <v>19928</v>
      </c>
      <c r="M1181" s="122">
        <v>16607</v>
      </c>
      <c r="N1181" s="122">
        <v>7785</v>
      </c>
      <c r="O1181" s="122">
        <v>2883</v>
      </c>
      <c r="P1181" s="122">
        <v>2484</v>
      </c>
      <c r="Q1181" s="122">
        <v>920</v>
      </c>
      <c r="R1181" s="122">
        <v>24651</v>
      </c>
      <c r="S1181" s="122">
        <v>9130</v>
      </c>
      <c r="T1181" s="122">
        <v>0</v>
      </c>
      <c r="U1181" s="122">
        <v>0</v>
      </c>
      <c r="V1181" s="122">
        <v>153683</v>
      </c>
      <c r="W1181" s="122">
        <f t="shared" si="36"/>
        <v>153683</v>
      </c>
      <c r="X1181" s="122">
        <f t="shared" si="37"/>
        <v>191405</v>
      </c>
      <c r="AA1181" t="s">
        <v>58</v>
      </c>
      <c r="AB1181" t="s">
        <v>429</v>
      </c>
      <c r="AC1181" t="s">
        <v>137</v>
      </c>
      <c r="AD1181" t="s">
        <v>137</v>
      </c>
      <c r="AE1181" t="s">
        <v>566</v>
      </c>
      <c r="AF1181">
        <v>1</v>
      </c>
      <c r="AG1181">
        <v>46</v>
      </c>
      <c r="AH1181">
        <v>279</v>
      </c>
      <c r="AI1181" s="122">
        <v>5615</v>
      </c>
      <c r="AJ1181" s="122">
        <v>5104</v>
      </c>
      <c r="AK1181">
        <v>60</v>
      </c>
      <c r="AL1181">
        <v>919</v>
      </c>
      <c r="AM1181">
        <v>340</v>
      </c>
      <c r="AN1181" s="122">
        <v>1114</v>
      </c>
      <c r="AO1181">
        <v>412</v>
      </c>
      <c r="AP1181">
        <v>0</v>
      </c>
      <c r="AQ1181">
        <v>0</v>
      </c>
      <c r="AR1181" s="122">
        <v>5103</v>
      </c>
      <c r="AS1181" s="122">
        <v>1890</v>
      </c>
      <c r="AT1181">
        <v>0</v>
      </c>
      <c r="AU1181">
        <v>0</v>
      </c>
      <c r="AV1181" s="122">
        <v>7747</v>
      </c>
    </row>
    <row r="1182" spans="2:48" hidden="1">
      <c r="B1182" t="s">
        <v>370</v>
      </c>
      <c r="C1182" t="s">
        <v>64</v>
      </c>
      <c r="D1182" t="s">
        <v>406</v>
      </c>
      <c r="E1182" t="s">
        <v>406</v>
      </c>
      <c r="F1182" s="122">
        <v>173</v>
      </c>
      <c r="G1182" s="122">
        <v>15327</v>
      </c>
      <c r="H1182" s="122">
        <v>94206</v>
      </c>
      <c r="I1182" s="122">
        <v>5453996</v>
      </c>
      <c r="J1182" s="122">
        <v>4958179</v>
      </c>
      <c r="K1182" s="122">
        <v>71</v>
      </c>
      <c r="L1182" s="122">
        <v>1190732</v>
      </c>
      <c r="M1182" s="122">
        <v>1028402</v>
      </c>
      <c r="N1182" s="122">
        <v>325513</v>
      </c>
      <c r="O1182" s="122">
        <v>120560</v>
      </c>
      <c r="P1182" s="122">
        <v>110943</v>
      </c>
      <c r="Q1182" s="122">
        <v>41090</v>
      </c>
      <c r="R1182" s="122">
        <v>861983</v>
      </c>
      <c r="S1182" s="122">
        <v>783621</v>
      </c>
      <c r="T1182" s="122">
        <v>323995</v>
      </c>
      <c r="U1182" s="122">
        <v>119998</v>
      </c>
      <c r="V1182" s="122">
        <v>7051850</v>
      </c>
      <c r="W1182" s="122">
        <f t="shared" si="36"/>
        <v>7051850</v>
      </c>
      <c r="X1182" s="122">
        <f t="shared" si="37"/>
        <v>8267162</v>
      </c>
      <c r="AA1182" t="s">
        <v>58</v>
      </c>
      <c r="AB1182" t="s">
        <v>429</v>
      </c>
      <c r="AC1182" t="s">
        <v>579</v>
      </c>
      <c r="AD1182" t="s">
        <v>429</v>
      </c>
      <c r="AE1182" t="s">
        <v>566</v>
      </c>
      <c r="AF1182">
        <v>2</v>
      </c>
      <c r="AG1182">
        <v>190</v>
      </c>
      <c r="AH1182">
        <v>503</v>
      </c>
      <c r="AI1182" s="122">
        <v>29849</v>
      </c>
      <c r="AJ1182" s="122">
        <v>27135</v>
      </c>
      <c r="AK1182">
        <v>72</v>
      </c>
      <c r="AL1182" s="122">
        <v>4272</v>
      </c>
      <c r="AM1182" s="122">
        <v>3560</v>
      </c>
      <c r="AN1182" s="122">
        <v>2470</v>
      </c>
      <c r="AO1182">
        <v>915</v>
      </c>
      <c r="AP1182">
        <v>702</v>
      </c>
      <c r="AQ1182">
        <v>260</v>
      </c>
      <c r="AR1182" s="122">
        <v>10699</v>
      </c>
      <c r="AS1182" s="122">
        <v>9727</v>
      </c>
      <c r="AT1182">
        <v>0</v>
      </c>
      <c r="AU1182">
        <v>0</v>
      </c>
      <c r="AV1182" s="122">
        <v>41596</v>
      </c>
    </row>
    <row r="1183" spans="2:48" hidden="1">
      <c r="B1183" t="s">
        <v>370</v>
      </c>
      <c r="C1183" t="s">
        <v>64</v>
      </c>
      <c r="D1183" t="s">
        <v>427</v>
      </c>
      <c r="E1183" t="s">
        <v>137</v>
      </c>
      <c r="F1183" s="122">
        <v>1</v>
      </c>
      <c r="G1183" s="122">
        <v>62</v>
      </c>
      <c r="H1183" s="122">
        <v>806</v>
      </c>
      <c r="I1183" s="122">
        <v>37672</v>
      </c>
      <c r="J1183" s="122">
        <v>34247</v>
      </c>
      <c r="K1183" s="122">
        <v>60</v>
      </c>
      <c r="L1183" s="122">
        <v>6164</v>
      </c>
      <c r="M1183" s="122">
        <v>2283</v>
      </c>
      <c r="N1183" s="122">
        <v>1506</v>
      </c>
      <c r="O1183" s="122">
        <v>558</v>
      </c>
      <c r="P1183" s="122">
        <v>0</v>
      </c>
      <c r="Q1183" s="122">
        <v>0</v>
      </c>
      <c r="R1183" s="122">
        <v>4454</v>
      </c>
      <c r="S1183" s="122">
        <v>1650</v>
      </c>
      <c r="T1183" s="122">
        <v>0</v>
      </c>
      <c r="U1183" s="122">
        <v>0</v>
      </c>
      <c r="V1183" s="122">
        <v>38738</v>
      </c>
      <c r="W1183" s="122">
        <f t="shared" si="36"/>
        <v>38738</v>
      </c>
      <c r="X1183" s="122">
        <f t="shared" si="37"/>
        <v>49796</v>
      </c>
      <c r="AA1183" t="s">
        <v>58</v>
      </c>
      <c r="AB1183" t="s">
        <v>429</v>
      </c>
      <c r="AC1183" t="s">
        <v>426</v>
      </c>
      <c r="AD1183" t="s">
        <v>429</v>
      </c>
      <c r="AE1183" t="s">
        <v>137</v>
      </c>
      <c r="AF1183">
        <v>4</v>
      </c>
      <c r="AG1183">
        <v>372</v>
      </c>
      <c r="AH1183" s="122">
        <v>1075</v>
      </c>
      <c r="AI1183" s="122">
        <v>55055</v>
      </c>
      <c r="AJ1183" s="122">
        <v>50050</v>
      </c>
      <c r="AK1183">
        <v>80</v>
      </c>
      <c r="AL1183" s="122">
        <v>16766</v>
      </c>
      <c r="AM1183" s="122">
        <v>15241</v>
      </c>
      <c r="AN1183" s="122">
        <v>6878</v>
      </c>
      <c r="AO1183" s="122">
        <v>2547</v>
      </c>
      <c r="AP1183" s="122">
        <v>1404</v>
      </c>
      <c r="AQ1183">
        <v>520</v>
      </c>
      <c r="AR1183" s="122">
        <v>12262</v>
      </c>
      <c r="AS1183" s="122">
        <v>11147</v>
      </c>
      <c r="AT1183" s="122">
        <v>7657</v>
      </c>
      <c r="AU1183" s="122">
        <v>2836</v>
      </c>
      <c r="AV1183" s="122">
        <v>82342</v>
      </c>
    </row>
    <row r="1184" spans="2:48" hidden="1">
      <c r="B1184" t="s">
        <v>370</v>
      </c>
      <c r="C1184" t="s">
        <v>64</v>
      </c>
      <c r="D1184" t="s">
        <v>427</v>
      </c>
      <c r="E1184" t="s">
        <v>427</v>
      </c>
      <c r="F1184" s="122">
        <v>10</v>
      </c>
      <c r="G1184" s="122">
        <v>757</v>
      </c>
      <c r="H1184" s="122">
        <v>7242</v>
      </c>
      <c r="I1184" s="122">
        <v>387852</v>
      </c>
      <c r="J1184" s="122">
        <v>352593</v>
      </c>
      <c r="K1184" s="122">
        <v>50</v>
      </c>
      <c r="L1184" s="122">
        <v>54060</v>
      </c>
      <c r="M1184" s="122">
        <v>38491</v>
      </c>
      <c r="N1184" s="122">
        <v>16989</v>
      </c>
      <c r="O1184" s="122">
        <v>6292</v>
      </c>
      <c r="P1184" s="122">
        <v>2808</v>
      </c>
      <c r="Q1184" s="122">
        <v>1040</v>
      </c>
      <c r="R1184" s="122">
        <v>50001</v>
      </c>
      <c r="S1184" s="122">
        <v>45455</v>
      </c>
      <c r="T1184" s="122">
        <v>12509</v>
      </c>
      <c r="U1184" s="122">
        <v>4633</v>
      </c>
      <c r="V1184" s="122">
        <v>448504</v>
      </c>
      <c r="W1184" s="122">
        <f t="shared" si="36"/>
        <v>448504</v>
      </c>
      <c r="X1184" s="122">
        <f t="shared" si="37"/>
        <v>524219</v>
      </c>
      <c r="AA1184" t="s">
        <v>58</v>
      </c>
      <c r="AB1184" t="s">
        <v>429</v>
      </c>
      <c r="AC1184" t="s">
        <v>566</v>
      </c>
      <c r="AD1184" t="s">
        <v>429</v>
      </c>
      <c r="AE1184" t="s">
        <v>137</v>
      </c>
      <c r="AF1184">
        <v>1</v>
      </c>
      <c r="AG1184">
        <v>55</v>
      </c>
      <c r="AH1184">
        <v>244</v>
      </c>
      <c r="AI1184" s="122">
        <v>7623</v>
      </c>
      <c r="AJ1184" s="122">
        <v>6930</v>
      </c>
      <c r="AK1184">
        <v>65</v>
      </c>
      <c r="AL1184">
        <v>0</v>
      </c>
      <c r="AM1184">
        <v>0</v>
      </c>
      <c r="AN1184">
        <v>672</v>
      </c>
      <c r="AO1184">
        <v>249</v>
      </c>
      <c r="AP1184">
        <v>351</v>
      </c>
      <c r="AQ1184">
        <v>130</v>
      </c>
      <c r="AR1184" s="122">
        <v>3009</v>
      </c>
      <c r="AS1184" s="122">
        <v>2736</v>
      </c>
      <c r="AT1184" s="122">
        <v>1821</v>
      </c>
      <c r="AU1184">
        <v>675</v>
      </c>
      <c r="AV1184" s="122">
        <v>10719</v>
      </c>
    </row>
    <row r="1185" spans="2:48" hidden="1">
      <c r="B1185" t="s">
        <v>370</v>
      </c>
      <c r="C1185" t="s">
        <v>64</v>
      </c>
      <c r="D1185" t="s">
        <v>407</v>
      </c>
      <c r="E1185" t="s">
        <v>137</v>
      </c>
      <c r="F1185" s="122">
        <v>1</v>
      </c>
      <c r="G1185" s="122">
        <v>97</v>
      </c>
      <c r="H1185" s="122">
        <v>486</v>
      </c>
      <c r="I1185" s="122">
        <v>30981</v>
      </c>
      <c r="J1185" s="122">
        <v>28165</v>
      </c>
      <c r="K1185" s="122">
        <v>76</v>
      </c>
      <c r="L1185" s="122">
        <v>8239</v>
      </c>
      <c r="M1185" s="122">
        <v>7490</v>
      </c>
      <c r="N1185" s="122">
        <v>2358</v>
      </c>
      <c r="O1185" s="122">
        <v>873</v>
      </c>
      <c r="P1185" s="122">
        <v>473</v>
      </c>
      <c r="Q1185" s="122">
        <v>175</v>
      </c>
      <c r="R1185" s="122">
        <v>4999</v>
      </c>
      <c r="S1185" s="122">
        <v>1851</v>
      </c>
      <c r="T1185" s="122">
        <v>0</v>
      </c>
      <c r="U1185" s="122">
        <v>0</v>
      </c>
      <c r="V1185" s="122">
        <v>38554</v>
      </c>
      <c r="W1185" s="122">
        <f t="shared" si="36"/>
        <v>38554</v>
      </c>
      <c r="X1185" s="122">
        <f t="shared" si="37"/>
        <v>47050</v>
      </c>
      <c r="AA1185" t="s">
        <v>58</v>
      </c>
      <c r="AB1185" t="s">
        <v>429</v>
      </c>
      <c r="AC1185" t="s">
        <v>429</v>
      </c>
      <c r="AD1185" t="s">
        <v>429</v>
      </c>
      <c r="AE1185" t="s">
        <v>566</v>
      </c>
      <c r="AF1185">
        <v>1</v>
      </c>
      <c r="AG1185">
        <v>101</v>
      </c>
      <c r="AH1185">
        <v>295</v>
      </c>
      <c r="AI1185" s="122">
        <v>18626</v>
      </c>
      <c r="AJ1185" s="122">
        <v>16933</v>
      </c>
      <c r="AK1185">
        <v>65</v>
      </c>
      <c r="AL1185" s="122">
        <v>2070</v>
      </c>
      <c r="AM1185" s="122">
        <v>1881</v>
      </c>
      <c r="AN1185" s="122">
        <v>2289</v>
      </c>
      <c r="AO1185">
        <v>848</v>
      </c>
      <c r="AP1185">
        <v>351</v>
      </c>
      <c r="AQ1185">
        <v>130</v>
      </c>
      <c r="AR1185" s="122">
        <v>6514</v>
      </c>
      <c r="AS1185" s="122">
        <v>5921</v>
      </c>
      <c r="AT1185">
        <v>0</v>
      </c>
      <c r="AU1185">
        <v>0</v>
      </c>
      <c r="AV1185" s="122">
        <v>25713</v>
      </c>
    </row>
    <row r="1186" spans="2:48" hidden="1">
      <c r="B1186" t="s">
        <v>370</v>
      </c>
      <c r="C1186" t="s">
        <v>64</v>
      </c>
      <c r="D1186" t="s">
        <v>407</v>
      </c>
      <c r="E1186" t="s">
        <v>406</v>
      </c>
      <c r="F1186" s="122">
        <v>1</v>
      </c>
      <c r="G1186" s="122">
        <v>71</v>
      </c>
      <c r="H1186" s="122">
        <v>530</v>
      </c>
      <c r="I1186" s="122">
        <v>24454</v>
      </c>
      <c r="J1186" s="122">
        <v>22231</v>
      </c>
      <c r="K1186" s="122">
        <v>68</v>
      </c>
      <c r="L1186" s="122">
        <v>5851</v>
      </c>
      <c r="M1186" s="122">
        <v>5319</v>
      </c>
      <c r="N1186" s="122">
        <v>1627</v>
      </c>
      <c r="O1186" s="122">
        <v>603</v>
      </c>
      <c r="P1186" s="122">
        <v>473</v>
      </c>
      <c r="Q1186" s="122">
        <v>175</v>
      </c>
      <c r="R1186" s="122">
        <v>3432</v>
      </c>
      <c r="S1186" s="122">
        <v>3120</v>
      </c>
      <c r="T1186" s="122">
        <v>1593</v>
      </c>
      <c r="U1186" s="122">
        <v>590</v>
      </c>
      <c r="V1186" s="122">
        <v>32038</v>
      </c>
      <c r="W1186" s="122">
        <f t="shared" si="36"/>
        <v>32038</v>
      </c>
      <c r="X1186" s="122">
        <f t="shared" si="37"/>
        <v>37430</v>
      </c>
      <c r="AA1186" t="s">
        <v>60</v>
      </c>
      <c r="AC1186" t="s">
        <v>566</v>
      </c>
      <c r="AE1186" t="s">
        <v>566</v>
      </c>
      <c r="AF1186">
        <v>78</v>
      </c>
      <c r="AG1186" s="122">
        <v>5349</v>
      </c>
      <c r="AH1186" s="122">
        <v>26874</v>
      </c>
      <c r="AJ1186">
        <v>0</v>
      </c>
      <c r="AM1186">
        <v>0</v>
      </c>
      <c r="AN1186" s="122">
        <v>106660</v>
      </c>
      <c r="AO1186" s="122">
        <v>39504</v>
      </c>
      <c r="AP1186" s="122">
        <v>23517</v>
      </c>
      <c r="AQ1186" s="122">
        <v>8710</v>
      </c>
      <c r="AS1186">
        <v>0</v>
      </c>
      <c r="AT1186" s="122">
        <v>42260</v>
      </c>
      <c r="AU1186" s="122">
        <v>15652</v>
      </c>
      <c r="AV1186" s="122">
        <v>63866</v>
      </c>
    </row>
    <row r="1187" spans="2:48">
      <c r="B1187" t="s">
        <v>370</v>
      </c>
      <c r="C1187" t="s">
        <v>64</v>
      </c>
      <c r="D1187" t="s">
        <v>407</v>
      </c>
      <c r="E1187" t="s">
        <v>407</v>
      </c>
      <c r="F1187" s="122">
        <v>51</v>
      </c>
      <c r="G1187" s="122">
        <v>4551</v>
      </c>
      <c r="H1187" s="122">
        <v>26769</v>
      </c>
      <c r="I1187" s="122">
        <v>1501185</v>
      </c>
      <c r="J1187" s="122">
        <v>1364714</v>
      </c>
      <c r="K1187" s="122">
        <v>74</v>
      </c>
      <c r="L1187" s="122">
        <v>385061</v>
      </c>
      <c r="M1187" s="122">
        <v>324088</v>
      </c>
      <c r="N1187" s="122">
        <v>98518</v>
      </c>
      <c r="O1187" s="122">
        <v>36488</v>
      </c>
      <c r="P1187" s="122">
        <v>24314</v>
      </c>
      <c r="Q1187" s="122">
        <v>9005</v>
      </c>
      <c r="R1187" s="122">
        <v>243671</v>
      </c>
      <c r="S1187" s="122">
        <v>221519</v>
      </c>
      <c r="T1187" s="122">
        <v>103391</v>
      </c>
      <c r="U1187" s="122">
        <v>38293</v>
      </c>
      <c r="V1187" s="122">
        <v>1994107</v>
      </c>
      <c r="W1187" s="122">
        <f t="shared" si="36"/>
        <v>1994107</v>
      </c>
      <c r="X1187" s="122">
        <f t="shared" si="37"/>
        <v>2356140</v>
      </c>
      <c r="AA1187" t="s">
        <v>60</v>
      </c>
      <c r="AB1187" t="s">
        <v>578</v>
      </c>
      <c r="AC1187" t="s">
        <v>578</v>
      </c>
      <c r="AD1187" t="s">
        <v>578</v>
      </c>
      <c r="AE1187" t="s">
        <v>137</v>
      </c>
      <c r="AF1187">
        <v>3</v>
      </c>
      <c r="AG1187">
        <v>238</v>
      </c>
      <c r="AH1187" s="122">
        <v>1048</v>
      </c>
      <c r="AI1187" s="122">
        <v>49853</v>
      </c>
      <c r="AJ1187" s="122">
        <v>45321</v>
      </c>
      <c r="AK1187">
        <v>62</v>
      </c>
      <c r="AL1187" s="122">
        <v>5712</v>
      </c>
      <c r="AM1187" s="122">
        <v>5192</v>
      </c>
      <c r="AN1187" s="122">
        <v>4954</v>
      </c>
      <c r="AO1187" s="122">
        <v>1835</v>
      </c>
      <c r="AP1187" s="122">
        <v>1053</v>
      </c>
      <c r="AQ1187">
        <v>390</v>
      </c>
      <c r="AR1187" s="122">
        <v>13781</v>
      </c>
      <c r="AS1187" s="122">
        <v>12528</v>
      </c>
      <c r="AT1187" s="122">
        <v>7534</v>
      </c>
      <c r="AU1187" s="122">
        <v>2791</v>
      </c>
      <c r="AV1187" s="122">
        <v>68057</v>
      </c>
    </row>
    <row r="1188" spans="2:48" hidden="1">
      <c r="B1188" t="s">
        <v>370</v>
      </c>
      <c r="C1188" t="s">
        <v>64</v>
      </c>
      <c r="D1188" t="s">
        <v>556</v>
      </c>
      <c r="E1188" t="s">
        <v>137</v>
      </c>
      <c r="F1188" s="122">
        <v>14</v>
      </c>
      <c r="G1188" s="122">
        <v>1056</v>
      </c>
      <c r="H1188" s="122">
        <v>15851</v>
      </c>
      <c r="I1188" s="122">
        <v>1012175</v>
      </c>
      <c r="J1188" s="122">
        <v>843479</v>
      </c>
      <c r="K1188" s="122">
        <v>34</v>
      </c>
      <c r="L1188" s="122">
        <v>78149</v>
      </c>
      <c r="M1188" s="122">
        <v>38565</v>
      </c>
      <c r="N1188" s="122">
        <v>23244</v>
      </c>
      <c r="O1188" s="122">
        <v>8609</v>
      </c>
      <c r="P1188" s="122">
        <v>351</v>
      </c>
      <c r="Q1188" s="122">
        <v>130</v>
      </c>
      <c r="R1188" s="122">
        <v>81284</v>
      </c>
      <c r="S1188" s="122">
        <v>30105</v>
      </c>
      <c r="T1188" s="122">
        <v>3571</v>
      </c>
      <c r="U1188" s="122">
        <v>1323</v>
      </c>
      <c r="V1188" s="122">
        <v>922210</v>
      </c>
      <c r="W1188" s="122">
        <f t="shared" si="36"/>
        <v>922211</v>
      </c>
      <c r="X1188" s="122">
        <f t="shared" si="37"/>
        <v>1198774</v>
      </c>
      <c r="AA1188" t="s">
        <v>60</v>
      </c>
      <c r="AB1188" t="s">
        <v>578</v>
      </c>
      <c r="AC1188" t="s">
        <v>137</v>
      </c>
      <c r="AD1188" t="s">
        <v>578</v>
      </c>
      <c r="AE1188" t="s">
        <v>566</v>
      </c>
      <c r="AF1188">
        <v>1</v>
      </c>
      <c r="AG1188">
        <v>97</v>
      </c>
      <c r="AH1188">
        <v>379</v>
      </c>
      <c r="AI1188" s="122">
        <v>20718</v>
      </c>
      <c r="AJ1188" s="122">
        <v>18834</v>
      </c>
      <c r="AK1188">
        <v>50</v>
      </c>
      <c r="AL1188" s="122">
        <v>2684</v>
      </c>
      <c r="AM1188">
        <v>994</v>
      </c>
      <c r="AN1188" s="122">
        <v>2252</v>
      </c>
      <c r="AO1188">
        <v>834</v>
      </c>
      <c r="AP1188">
        <v>351</v>
      </c>
      <c r="AQ1188">
        <v>130</v>
      </c>
      <c r="AR1188" s="122">
        <v>10898</v>
      </c>
      <c r="AS1188" s="122">
        <v>9907</v>
      </c>
      <c r="AT1188">
        <v>0</v>
      </c>
      <c r="AU1188">
        <v>0</v>
      </c>
      <c r="AV1188" s="122">
        <v>30699</v>
      </c>
    </row>
    <row r="1189" spans="2:48" hidden="1">
      <c r="B1189" t="s">
        <v>370</v>
      </c>
      <c r="C1189" t="s">
        <v>64</v>
      </c>
      <c r="D1189" t="s">
        <v>556</v>
      </c>
      <c r="E1189" t="s">
        <v>556</v>
      </c>
      <c r="F1189" s="122">
        <v>32</v>
      </c>
      <c r="G1189" s="122">
        <v>2420</v>
      </c>
      <c r="H1189" s="122">
        <v>21796</v>
      </c>
      <c r="I1189" s="122">
        <v>1163017</v>
      </c>
      <c r="J1189" s="122">
        <v>969181</v>
      </c>
      <c r="K1189" s="122">
        <v>49</v>
      </c>
      <c r="L1189" s="122">
        <v>145123</v>
      </c>
      <c r="M1189" s="122">
        <v>112117</v>
      </c>
      <c r="N1189" s="122">
        <v>49983</v>
      </c>
      <c r="O1189" s="122">
        <v>18512</v>
      </c>
      <c r="P1189" s="122">
        <v>9477</v>
      </c>
      <c r="Q1189" s="122">
        <v>3510</v>
      </c>
      <c r="R1189" s="122">
        <v>184486</v>
      </c>
      <c r="S1189" s="122">
        <v>153738</v>
      </c>
      <c r="T1189" s="122">
        <v>62855</v>
      </c>
      <c r="U1189" s="122">
        <v>23280</v>
      </c>
      <c r="V1189" s="122">
        <v>1280338</v>
      </c>
      <c r="W1189" s="122">
        <f t="shared" si="36"/>
        <v>1280338</v>
      </c>
      <c r="X1189" s="122">
        <f t="shared" si="37"/>
        <v>1614941</v>
      </c>
      <c r="AA1189" t="s">
        <v>60</v>
      </c>
      <c r="AB1189" t="s">
        <v>578</v>
      </c>
      <c r="AC1189" t="s">
        <v>579</v>
      </c>
      <c r="AD1189" t="s">
        <v>578</v>
      </c>
      <c r="AE1189" t="s">
        <v>137</v>
      </c>
      <c r="AF1189">
        <v>1</v>
      </c>
      <c r="AG1189">
        <v>89</v>
      </c>
      <c r="AH1189">
        <v>363</v>
      </c>
      <c r="AI1189" s="122">
        <v>18478</v>
      </c>
      <c r="AJ1189" s="122">
        <v>16798</v>
      </c>
      <c r="AK1189">
        <v>60</v>
      </c>
      <c r="AL1189" s="122">
        <v>4479</v>
      </c>
      <c r="AM1189" s="122">
        <v>3733</v>
      </c>
      <c r="AN1189" s="122">
        <v>1981</v>
      </c>
      <c r="AO1189">
        <v>734</v>
      </c>
      <c r="AP1189">
        <v>351</v>
      </c>
      <c r="AQ1189">
        <v>130</v>
      </c>
      <c r="AR1189" s="122">
        <v>4647</v>
      </c>
      <c r="AS1189" s="122">
        <v>4224</v>
      </c>
      <c r="AT1189" s="122">
        <v>2284</v>
      </c>
      <c r="AU1189">
        <v>846</v>
      </c>
      <c r="AV1189" s="122">
        <v>26465</v>
      </c>
    </row>
    <row r="1190" spans="2:48" hidden="1">
      <c r="B1190" t="s">
        <v>370</v>
      </c>
      <c r="C1190" t="s">
        <v>64</v>
      </c>
      <c r="D1190" t="s">
        <v>428</v>
      </c>
      <c r="E1190" t="s">
        <v>428</v>
      </c>
      <c r="F1190" s="122">
        <v>2</v>
      </c>
      <c r="G1190" s="122">
        <v>156</v>
      </c>
      <c r="H1190" s="122">
        <v>1278</v>
      </c>
      <c r="I1190" s="122">
        <v>69017</v>
      </c>
      <c r="J1190" s="122">
        <v>62742</v>
      </c>
      <c r="K1190" s="122">
        <v>45</v>
      </c>
      <c r="L1190" s="122">
        <v>11117</v>
      </c>
      <c r="M1190" s="122">
        <v>10106</v>
      </c>
      <c r="N1190" s="122">
        <v>2931</v>
      </c>
      <c r="O1190" s="122">
        <v>1085</v>
      </c>
      <c r="P1190" s="122">
        <v>702</v>
      </c>
      <c r="Q1190" s="122">
        <v>260</v>
      </c>
      <c r="R1190" s="122">
        <v>12830</v>
      </c>
      <c r="S1190" s="122">
        <v>11664</v>
      </c>
      <c r="T1190" s="122">
        <v>4628</v>
      </c>
      <c r="U1190" s="122">
        <v>1714</v>
      </c>
      <c r="V1190" s="122">
        <v>87572</v>
      </c>
      <c r="W1190" s="122">
        <f t="shared" si="36"/>
        <v>87571</v>
      </c>
      <c r="X1190" s="122">
        <f t="shared" si="37"/>
        <v>101225</v>
      </c>
      <c r="AA1190" t="s">
        <v>60</v>
      </c>
      <c r="AB1190" t="s">
        <v>578</v>
      </c>
      <c r="AC1190" t="s">
        <v>579</v>
      </c>
      <c r="AD1190" t="s">
        <v>579</v>
      </c>
      <c r="AE1190" t="s">
        <v>137</v>
      </c>
      <c r="AF1190">
        <v>1</v>
      </c>
      <c r="AG1190">
        <v>89</v>
      </c>
      <c r="AH1190">
        <v>334</v>
      </c>
      <c r="AI1190" s="122">
        <v>15777</v>
      </c>
      <c r="AJ1190" s="122">
        <v>14342</v>
      </c>
      <c r="AK1190">
        <v>55</v>
      </c>
      <c r="AL1190" s="122">
        <v>3506</v>
      </c>
      <c r="AM1190" s="122">
        <v>2922</v>
      </c>
      <c r="AN1190" s="122">
        <v>1085</v>
      </c>
      <c r="AO1190">
        <v>402</v>
      </c>
      <c r="AP1190">
        <v>351</v>
      </c>
      <c r="AQ1190">
        <v>130</v>
      </c>
      <c r="AR1190" s="122">
        <v>6265</v>
      </c>
      <c r="AS1190" s="122">
        <v>5221</v>
      </c>
      <c r="AT1190" s="122">
        <v>2731</v>
      </c>
      <c r="AU1190" s="122">
        <v>1012</v>
      </c>
      <c r="AV1190" s="122">
        <v>24028</v>
      </c>
    </row>
    <row r="1191" spans="2:48" hidden="1">
      <c r="B1191" t="s">
        <v>370</v>
      </c>
      <c r="C1191" t="s">
        <v>64</v>
      </c>
      <c r="D1191" t="s">
        <v>431</v>
      </c>
      <c r="E1191" t="s">
        <v>431</v>
      </c>
      <c r="F1191" s="122">
        <v>5</v>
      </c>
      <c r="G1191" s="122">
        <v>455</v>
      </c>
      <c r="H1191" s="122">
        <v>2949</v>
      </c>
      <c r="I1191" s="122">
        <v>178801</v>
      </c>
      <c r="J1191" s="122">
        <v>162546</v>
      </c>
      <c r="K1191" s="122">
        <v>45</v>
      </c>
      <c r="L1191" s="122">
        <v>25616</v>
      </c>
      <c r="M1191" s="122">
        <v>23287</v>
      </c>
      <c r="N1191" s="122">
        <v>9421</v>
      </c>
      <c r="O1191" s="122">
        <v>3489</v>
      </c>
      <c r="P1191" s="122">
        <v>1755</v>
      </c>
      <c r="Q1191" s="122">
        <v>650</v>
      </c>
      <c r="R1191" s="122">
        <v>38763</v>
      </c>
      <c r="S1191" s="122">
        <v>35239</v>
      </c>
      <c r="T1191" s="122">
        <v>8396</v>
      </c>
      <c r="U1191" s="122">
        <v>3109</v>
      </c>
      <c r="V1191" s="122">
        <v>228321</v>
      </c>
      <c r="W1191" s="122">
        <f t="shared" si="36"/>
        <v>228320</v>
      </c>
      <c r="X1191" s="122">
        <f t="shared" si="37"/>
        <v>262752</v>
      </c>
      <c r="AA1191" t="s">
        <v>60</v>
      </c>
      <c r="AB1191" t="s">
        <v>578</v>
      </c>
      <c r="AC1191" t="s">
        <v>566</v>
      </c>
      <c r="AD1191" t="s">
        <v>578</v>
      </c>
      <c r="AE1191" t="s">
        <v>137</v>
      </c>
      <c r="AF1191">
        <v>4</v>
      </c>
      <c r="AG1191">
        <v>279</v>
      </c>
      <c r="AH1191" s="122">
        <v>1331</v>
      </c>
      <c r="AI1191" s="122">
        <v>56851</v>
      </c>
      <c r="AJ1191" s="122">
        <v>51682</v>
      </c>
      <c r="AK1191">
        <v>63</v>
      </c>
      <c r="AL1191">
        <v>0</v>
      </c>
      <c r="AM1191" s="122">
        <v>2500</v>
      </c>
      <c r="AN1191" s="122">
        <v>6639</v>
      </c>
      <c r="AO1191" s="122">
        <v>2459</v>
      </c>
      <c r="AP1191" s="122">
        <v>1404</v>
      </c>
      <c r="AQ1191">
        <v>520</v>
      </c>
      <c r="AR1191" s="122">
        <v>20322</v>
      </c>
      <c r="AS1191" s="122">
        <v>18474</v>
      </c>
      <c r="AT1191" s="122">
        <v>7043</v>
      </c>
      <c r="AU1191" s="122">
        <v>2608</v>
      </c>
      <c r="AV1191" s="122">
        <v>78244</v>
      </c>
    </row>
    <row r="1192" spans="2:48" hidden="1">
      <c r="B1192" t="s">
        <v>370</v>
      </c>
      <c r="C1192" t="s">
        <v>64</v>
      </c>
      <c r="D1192" t="s">
        <v>426</v>
      </c>
      <c r="E1192" t="s">
        <v>137</v>
      </c>
      <c r="F1192" s="122">
        <v>19</v>
      </c>
      <c r="G1192" s="122">
        <v>1400</v>
      </c>
      <c r="H1192" s="122">
        <v>20802</v>
      </c>
      <c r="I1192" s="122">
        <v>1226271</v>
      </c>
      <c r="J1192" s="122">
        <v>1114792</v>
      </c>
      <c r="K1192" s="122">
        <v>32</v>
      </c>
      <c r="L1192" s="122">
        <v>102211</v>
      </c>
      <c r="M1192" s="122">
        <v>50829</v>
      </c>
      <c r="N1192" s="122">
        <v>32452</v>
      </c>
      <c r="O1192" s="122">
        <v>12019</v>
      </c>
      <c r="P1192" s="122">
        <v>702</v>
      </c>
      <c r="Q1192" s="122">
        <v>260</v>
      </c>
      <c r="R1192" s="122">
        <v>115326</v>
      </c>
      <c r="S1192" s="122">
        <v>42713</v>
      </c>
      <c r="T1192" s="122">
        <v>4731</v>
      </c>
      <c r="U1192" s="122">
        <v>1752</v>
      </c>
      <c r="V1192" s="122">
        <v>1222366</v>
      </c>
      <c r="W1192" s="122">
        <f t="shared" si="36"/>
        <v>1222365</v>
      </c>
      <c r="X1192" s="122">
        <f t="shared" si="37"/>
        <v>1481693</v>
      </c>
      <c r="AA1192" t="s">
        <v>60</v>
      </c>
      <c r="AB1192" t="s">
        <v>425</v>
      </c>
      <c r="AC1192" t="s">
        <v>425</v>
      </c>
      <c r="AD1192" t="s">
        <v>425</v>
      </c>
      <c r="AE1192" t="s">
        <v>137</v>
      </c>
      <c r="AF1192">
        <v>2</v>
      </c>
      <c r="AG1192">
        <v>205</v>
      </c>
      <c r="AH1192">
        <v>687</v>
      </c>
      <c r="AI1192" s="122">
        <v>40801</v>
      </c>
      <c r="AJ1192" s="122">
        <v>37092</v>
      </c>
      <c r="AK1192">
        <v>65</v>
      </c>
      <c r="AL1192" s="122">
        <v>8881</v>
      </c>
      <c r="AM1192" s="122">
        <v>8074</v>
      </c>
      <c r="AN1192" s="122">
        <v>3744</v>
      </c>
      <c r="AO1192" s="122">
        <v>1387</v>
      </c>
      <c r="AP1192">
        <v>824</v>
      </c>
      <c r="AQ1192">
        <v>305</v>
      </c>
      <c r="AR1192" s="122">
        <v>10082</v>
      </c>
      <c r="AS1192" s="122">
        <v>9165</v>
      </c>
      <c r="AT1192" s="122">
        <v>5896</v>
      </c>
      <c r="AU1192" s="122">
        <v>2184</v>
      </c>
      <c r="AV1192" s="122">
        <v>58206</v>
      </c>
    </row>
    <row r="1193" spans="2:48" hidden="1">
      <c r="B1193" t="s">
        <v>370</v>
      </c>
      <c r="C1193" t="s">
        <v>64</v>
      </c>
      <c r="D1193" t="s">
        <v>426</v>
      </c>
      <c r="E1193" t="s">
        <v>426</v>
      </c>
      <c r="F1193" s="122">
        <v>97</v>
      </c>
      <c r="G1193" s="122">
        <v>7580</v>
      </c>
      <c r="H1193" s="122">
        <v>59899</v>
      </c>
      <c r="I1193" s="122">
        <v>3210069</v>
      </c>
      <c r="J1193" s="122">
        <v>2918244</v>
      </c>
      <c r="K1193" s="122">
        <v>50</v>
      </c>
      <c r="L1193" s="122">
        <v>494326</v>
      </c>
      <c r="M1193" s="122">
        <v>423127</v>
      </c>
      <c r="N1193" s="122">
        <v>160146</v>
      </c>
      <c r="O1193" s="122">
        <v>59313</v>
      </c>
      <c r="P1193" s="122">
        <v>33291</v>
      </c>
      <c r="Q1193" s="122">
        <v>12330</v>
      </c>
      <c r="R1193" s="122">
        <v>594525</v>
      </c>
      <c r="S1193" s="122">
        <v>540477</v>
      </c>
      <c r="T1193" s="122">
        <v>200447</v>
      </c>
      <c r="U1193" s="122">
        <v>74240</v>
      </c>
      <c r="V1193" s="122">
        <v>4027731</v>
      </c>
      <c r="W1193" s="122">
        <f t="shared" si="36"/>
        <v>4027731</v>
      </c>
      <c r="X1193" s="122">
        <f t="shared" si="37"/>
        <v>4692804</v>
      </c>
      <c r="AA1193" t="s">
        <v>60</v>
      </c>
      <c r="AB1193" t="s">
        <v>425</v>
      </c>
      <c r="AC1193" t="s">
        <v>425</v>
      </c>
      <c r="AD1193" t="s">
        <v>425</v>
      </c>
      <c r="AE1193" t="s">
        <v>566</v>
      </c>
      <c r="AF1193">
        <v>1</v>
      </c>
      <c r="AG1193">
        <v>66</v>
      </c>
      <c r="AH1193">
        <v>371</v>
      </c>
      <c r="AI1193" s="122">
        <v>16137</v>
      </c>
      <c r="AJ1193" s="122">
        <v>14670</v>
      </c>
      <c r="AK1193">
        <v>81</v>
      </c>
      <c r="AL1193" s="122">
        <v>2186</v>
      </c>
      <c r="AM1193" s="122">
        <v>1987</v>
      </c>
      <c r="AN1193">
        <v>806</v>
      </c>
      <c r="AO1193">
        <v>298</v>
      </c>
      <c r="AP1193">
        <v>473</v>
      </c>
      <c r="AQ1193">
        <v>175</v>
      </c>
      <c r="AR1193" s="122">
        <v>4927</v>
      </c>
      <c r="AS1193" s="122">
        <v>4479</v>
      </c>
      <c r="AT1193">
        <v>0</v>
      </c>
      <c r="AU1193">
        <v>0</v>
      </c>
      <c r="AV1193" s="122">
        <v>21609</v>
      </c>
    </row>
    <row r="1194" spans="2:48" hidden="1">
      <c r="B1194" t="s">
        <v>370</v>
      </c>
      <c r="C1194" t="s">
        <v>64</v>
      </c>
      <c r="D1194" t="s">
        <v>481</v>
      </c>
      <c r="E1194" t="s">
        <v>426</v>
      </c>
      <c r="F1194" s="122">
        <v>1</v>
      </c>
      <c r="G1194" s="122">
        <v>65</v>
      </c>
      <c r="H1194" s="122">
        <v>574</v>
      </c>
      <c r="I1194" s="122">
        <v>23623</v>
      </c>
      <c r="J1194" s="122">
        <v>21476</v>
      </c>
      <c r="K1194" s="122">
        <v>65</v>
      </c>
      <c r="L1194" s="122">
        <v>5687</v>
      </c>
      <c r="M1194" s="122">
        <v>5170</v>
      </c>
      <c r="N1194" s="122">
        <v>1162</v>
      </c>
      <c r="O1194" s="122">
        <v>430</v>
      </c>
      <c r="P1194" s="122">
        <v>351</v>
      </c>
      <c r="Q1194" s="122">
        <v>130</v>
      </c>
      <c r="R1194" s="122">
        <v>4336</v>
      </c>
      <c r="S1194" s="122">
        <v>3942</v>
      </c>
      <c r="T1194" s="122">
        <v>2321</v>
      </c>
      <c r="U1194" s="122">
        <v>860</v>
      </c>
      <c r="V1194" s="122">
        <v>32008</v>
      </c>
      <c r="W1194" s="122">
        <f t="shared" si="36"/>
        <v>32008</v>
      </c>
      <c r="X1194" s="122">
        <f t="shared" si="37"/>
        <v>37480</v>
      </c>
      <c r="AA1194" t="s">
        <v>60</v>
      </c>
      <c r="AB1194" t="s">
        <v>425</v>
      </c>
      <c r="AC1194" t="s">
        <v>137</v>
      </c>
      <c r="AD1194" t="s">
        <v>425</v>
      </c>
      <c r="AE1194" t="s">
        <v>137</v>
      </c>
      <c r="AF1194">
        <v>2</v>
      </c>
      <c r="AG1194">
        <v>140</v>
      </c>
      <c r="AH1194">
        <v>697</v>
      </c>
      <c r="AI1194" s="122">
        <v>22398</v>
      </c>
      <c r="AJ1194" s="122">
        <v>20362</v>
      </c>
      <c r="AK1194">
        <v>72</v>
      </c>
      <c r="AL1194" s="122">
        <v>7370</v>
      </c>
      <c r="AM1194" s="122">
        <v>2729</v>
      </c>
      <c r="AN1194" s="122">
        <v>2603</v>
      </c>
      <c r="AO1194">
        <v>964</v>
      </c>
      <c r="AP1194">
        <v>945</v>
      </c>
      <c r="AQ1194">
        <v>350</v>
      </c>
      <c r="AR1194" s="122">
        <v>12712</v>
      </c>
      <c r="AS1194" s="122">
        <v>11556</v>
      </c>
      <c r="AT1194" s="122">
        <v>2797</v>
      </c>
      <c r="AU1194" s="122">
        <v>1036</v>
      </c>
      <c r="AV1194" s="122">
        <v>36998</v>
      </c>
    </row>
    <row r="1195" spans="2:48" hidden="1">
      <c r="B1195" t="s">
        <v>370</v>
      </c>
      <c r="C1195" t="s">
        <v>64</v>
      </c>
      <c r="D1195" t="s">
        <v>433</v>
      </c>
      <c r="E1195" t="s">
        <v>433</v>
      </c>
      <c r="F1195" s="122">
        <v>1</v>
      </c>
      <c r="G1195" s="122">
        <v>76</v>
      </c>
      <c r="H1195" s="122">
        <v>870</v>
      </c>
      <c r="I1195" s="122">
        <v>47289</v>
      </c>
      <c r="J1195" s="122">
        <v>42990</v>
      </c>
      <c r="K1195" s="122">
        <v>45</v>
      </c>
      <c r="L1195" s="122">
        <v>8598</v>
      </c>
      <c r="M1195" s="122">
        <v>7165</v>
      </c>
      <c r="N1195" s="122">
        <v>1852</v>
      </c>
      <c r="O1195" s="122">
        <v>686</v>
      </c>
      <c r="P1195" s="122">
        <v>351</v>
      </c>
      <c r="Q1195" s="122">
        <v>130</v>
      </c>
      <c r="R1195" s="122">
        <v>5880</v>
      </c>
      <c r="S1195" s="122">
        <v>5345</v>
      </c>
      <c r="T1195" s="122">
        <v>2112</v>
      </c>
      <c r="U1195" s="122">
        <v>782</v>
      </c>
      <c r="V1195" s="122">
        <v>57099</v>
      </c>
      <c r="W1195" s="122">
        <f t="shared" ref="W1195:W1258" si="38">SUM(ABS(J1195),ABS(M1195),ABS(O1195),ABS(Q1195),ABS(S1195),ABS(U1195))</f>
        <v>57098</v>
      </c>
      <c r="X1195" s="122">
        <f t="shared" ref="X1195:X1258" si="39">SUM(ABS(I1195),ABS(N1195),ABS(P1195),ABS(R1195),ABS(T1195),ABS(L1195))</f>
        <v>66082</v>
      </c>
      <c r="AA1195" t="s">
        <v>60</v>
      </c>
      <c r="AB1195" t="s">
        <v>425</v>
      </c>
      <c r="AC1195" t="s">
        <v>137</v>
      </c>
      <c r="AD1195" t="s">
        <v>425</v>
      </c>
      <c r="AE1195" t="s">
        <v>566</v>
      </c>
      <c r="AF1195">
        <v>1</v>
      </c>
      <c r="AG1195">
        <v>86</v>
      </c>
      <c r="AH1195">
        <v>320</v>
      </c>
      <c r="AI1195" s="122">
        <v>13495</v>
      </c>
      <c r="AJ1195" s="122">
        <v>12268</v>
      </c>
      <c r="AK1195">
        <v>90</v>
      </c>
      <c r="AL1195" s="122">
        <v>7105</v>
      </c>
      <c r="AM1195" s="122">
        <v>2632</v>
      </c>
      <c r="AN1195" s="122">
        <v>1647</v>
      </c>
      <c r="AO1195">
        <v>610</v>
      </c>
      <c r="AP1195">
        <v>473</v>
      </c>
      <c r="AQ1195">
        <v>175</v>
      </c>
      <c r="AR1195" s="122">
        <v>4647</v>
      </c>
      <c r="AS1195" s="122">
        <v>4225</v>
      </c>
      <c r="AT1195">
        <v>0</v>
      </c>
      <c r="AU1195">
        <v>0</v>
      </c>
      <c r="AV1195" s="122">
        <v>19909</v>
      </c>
    </row>
    <row r="1196" spans="2:48" hidden="1">
      <c r="B1196" t="s">
        <v>371</v>
      </c>
      <c r="C1196" t="s">
        <v>48</v>
      </c>
      <c r="D1196" t="s">
        <v>137</v>
      </c>
      <c r="E1196" t="s">
        <v>137</v>
      </c>
      <c r="F1196" s="122">
        <v>136</v>
      </c>
      <c r="G1196" s="122">
        <v>13389</v>
      </c>
      <c r="H1196" s="122">
        <v>7791</v>
      </c>
      <c r="I1196" s="122">
        <v>115246</v>
      </c>
      <c r="J1196" s="122">
        <v>42684</v>
      </c>
      <c r="K1196" s="122">
        <v>474</v>
      </c>
      <c r="L1196" s="122">
        <v>10391</v>
      </c>
      <c r="M1196" s="122">
        <v>8365</v>
      </c>
      <c r="N1196" s="122">
        <v>163539</v>
      </c>
      <c r="O1196" s="122">
        <v>60570</v>
      </c>
      <c r="P1196" s="122">
        <v>49498</v>
      </c>
      <c r="Q1196" s="122">
        <v>18333</v>
      </c>
      <c r="R1196" s="122">
        <v>425335</v>
      </c>
      <c r="S1196" s="122">
        <v>157532</v>
      </c>
      <c r="T1196" s="122">
        <v>0</v>
      </c>
      <c r="U1196" s="122">
        <v>0</v>
      </c>
      <c r="V1196" s="122">
        <v>287483</v>
      </c>
      <c r="W1196" s="122">
        <f t="shared" si="38"/>
        <v>287484</v>
      </c>
      <c r="X1196" s="122">
        <f t="shared" si="39"/>
        <v>764009</v>
      </c>
      <c r="AA1196" t="s">
        <v>60</v>
      </c>
      <c r="AB1196" t="s">
        <v>425</v>
      </c>
      <c r="AC1196" t="s">
        <v>427</v>
      </c>
      <c r="AD1196" t="s">
        <v>137</v>
      </c>
      <c r="AE1196" t="s">
        <v>566</v>
      </c>
      <c r="AF1196">
        <v>2</v>
      </c>
      <c r="AG1196">
        <v>154</v>
      </c>
      <c r="AH1196">
        <v>650</v>
      </c>
      <c r="AI1196" s="122">
        <v>17871</v>
      </c>
      <c r="AJ1196" s="122">
        <v>16247</v>
      </c>
      <c r="AK1196">
        <v>63</v>
      </c>
      <c r="AL1196" s="122">
        <v>4170</v>
      </c>
      <c r="AM1196" s="122">
        <v>3791</v>
      </c>
      <c r="AN1196" s="122">
        <v>3414</v>
      </c>
      <c r="AO1196" s="122">
        <v>1265</v>
      </c>
      <c r="AP1196">
        <v>702</v>
      </c>
      <c r="AQ1196">
        <v>260</v>
      </c>
      <c r="AR1196" s="122">
        <v>23773</v>
      </c>
      <c r="AS1196" s="122">
        <v>8805</v>
      </c>
      <c r="AT1196">
        <v>0</v>
      </c>
      <c r="AU1196">
        <v>0</v>
      </c>
      <c r="AV1196" s="122">
        <v>30367</v>
      </c>
    </row>
    <row r="1197" spans="2:48" hidden="1">
      <c r="B1197" t="s">
        <v>371</v>
      </c>
      <c r="C1197" t="s">
        <v>48</v>
      </c>
      <c r="D1197" t="s">
        <v>406</v>
      </c>
      <c r="E1197" t="s">
        <v>406</v>
      </c>
      <c r="F1197" s="122">
        <v>8</v>
      </c>
      <c r="G1197" s="122">
        <v>527</v>
      </c>
      <c r="H1197" s="122">
        <v>501</v>
      </c>
      <c r="I1197" s="122">
        <v>-1846</v>
      </c>
      <c r="J1197" s="122">
        <v>-1678</v>
      </c>
      <c r="K1197" s="122">
        <v>94</v>
      </c>
      <c r="L1197" s="122">
        <v>0</v>
      </c>
      <c r="M1197" s="122">
        <v>0</v>
      </c>
      <c r="N1197" s="122">
        <v>6417</v>
      </c>
      <c r="O1197" s="122">
        <v>2377</v>
      </c>
      <c r="P1197" s="122">
        <v>4968</v>
      </c>
      <c r="Q1197" s="122">
        <v>1840</v>
      </c>
      <c r="R1197" s="122">
        <v>23220</v>
      </c>
      <c r="S1197" s="122">
        <v>21109</v>
      </c>
      <c r="T1197" s="122">
        <v>0</v>
      </c>
      <c r="U1197" s="122">
        <v>0</v>
      </c>
      <c r="V1197" s="122">
        <v>23648</v>
      </c>
      <c r="W1197" s="122">
        <f t="shared" si="38"/>
        <v>27004</v>
      </c>
      <c r="X1197" s="122">
        <f t="shared" si="39"/>
        <v>36451</v>
      </c>
      <c r="AA1197" t="s">
        <v>60</v>
      </c>
      <c r="AB1197" t="s">
        <v>425</v>
      </c>
      <c r="AC1197" t="s">
        <v>579</v>
      </c>
      <c r="AD1197" t="s">
        <v>425</v>
      </c>
      <c r="AE1197" t="s">
        <v>137</v>
      </c>
      <c r="AF1197">
        <v>5</v>
      </c>
      <c r="AG1197">
        <v>485</v>
      </c>
      <c r="AH1197" s="122">
        <v>1708</v>
      </c>
      <c r="AI1197" s="122">
        <v>96375</v>
      </c>
      <c r="AJ1197" s="122">
        <v>87613</v>
      </c>
      <c r="AK1197">
        <v>77</v>
      </c>
      <c r="AL1197" s="122">
        <v>22906</v>
      </c>
      <c r="AM1197" s="122">
        <v>19088</v>
      </c>
      <c r="AN1197" s="122">
        <v>10937</v>
      </c>
      <c r="AO1197" s="122">
        <v>4051</v>
      </c>
      <c r="AP1197" s="122">
        <v>2363</v>
      </c>
      <c r="AQ1197">
        <v>875</v>
      </c>
      <c r="AR1197" s="122">
        <v>24567</v>
      </c>
      <c r="AS1197" s="122">
        <v>22334</v>
      </c>
      <c r="AT1197" s="122">
        <v>7840</v>
      </c>
      <c r="AU1197" s="122">
        <v>2904</v>
      </c>
      <c r="AV1197" s="122">
        <v>136865</v>
      </c>
    </row>
    <row r="1198" spans="2:48" hidden="1">
      <c r="B1198" t="s">
        <v>371</v>
      </c>
      <c r="C1198" t="s">
        <v>48</v>
      </c>
      <c r="D1198" t="s">
        <v>407</v>
      </c>
      <c r="E1198" t="s">
        <v>407</v>
      </c>
      <c r="F1198" s="122">
        <v>19</v>
      </c>
      <c r="G1198" s="122">
        <v>1969</v>
      </c>
      <c r="H1198" s="122">
        <v>1167</v>
      </c>
      <c r="I1198" s="122">
        <v>30800</v>
      </c>
      <c r="J1198" s="122">
        <v>28000</v>
      </c>
      <c r="K1198" s="122">
        <v>91</v>
      </c>
      <c r="L1198" s="122">
        <v>5321</v>
      </c>
      <c r="M1198" s="122">
        <v>4622</v>
      </c>
      <c r="N1198" s="122">
        <v>23989</v>
      </c>
      <c r="O1198" s="122">
        <v>8885</v>
      </c>
      <c r="P1198" s="122">
        <v>8978</v>
      </c>
      <c r="Q1198" s="122">
        <v>3325</v>
      </c>
      <c r="R1198" s="122">
        <v>53100</v>
      </c>
      <c r="S1198" s="122">
        <v>48273</v>
      </c>
      <c r="T1198" s="122">
        <v>0</v>
      </c>
      <c r="U1198" s="122">
        <v>0</v>
      </c>
      <c r="V1198" s="122">
        <v>93104</v>
      </c>
      <c r="W1198" s="122">
        <f t="shared" si="38"/>
        <v>93105</v>
      </c>
      <c r="X1198" s="122">
        <f t="shared" si="39"/>
        <v>122188</v>
      </c>
      <c r="AA1198" t="s">
        <v>60</v>
      </c>
      <c r="AB1198" t="s">
        <v>425</v>
      </c>
      <c r="AC1198" t="s">
        <v>579</v>
      </c>
      <c r="AD1198" t="s">
        <v>425</v>
      </c>
      <c r="AE1198" t="s">
        <v>566</v>
      </c>
      <c r="AF1198">
        <v>3</v>
      </c>
      <c r="AG1198">
        <v>206</v>
      </c>
      <c r="AH1198" s="122">
        <v>1034</v>
      </c>
      <c r="AI1198" s="122">
        <v>44711</v>
      </c>
      <c r="AJ1198" s="122">
        <v>40646</v>
      </c>
      <c r="AK1198">
        <v>92</v>
      </c>
      <c r="AL1198" s="122">
        <v>13330</v>
      </c>
      <c r="AM1198" s="122">
        <v>11109</v>
      </c>
      <c r="AN1198" s="122">
        <v>3435</v>
      </c>
      <c r="AO1198" s="122">
        <v>1272</v>
      </c>
      <c r="AP1198" s="122">
        <v>1418</v>
      </c>
      <c r="AQ1198">
        <v>525</v>
      </c>
      <c r="AR1198" s="122">
        <v>7787</v>
      </c>
      <c r="AS1198" s="122">
        <v>7079</v>
      </c>
      <c r="AT1198">
        <v>0</v>
      </c>
      <c r="AU1198">
        <v>0</v>
      </c>
      <c r="AV1198" s="122">
        <v>60630</v>
      </c>
    </row>
    <row r="1199" spans="2:48" hidden="1">
      <c r="B1199" t="s">
        <v>371</v>
      </c>
      <c r="C1199" t="s">
        <v>50</v>
      </c>
      <c r="D1199" t="s">
        <v>405</v>
      </c>
      <c r="E1199" t="s">
        <v>405</v>
      </c>
      <c r="F1199" s="122">
        <v>15</v>
      </c>
      <c r="G1199" s="122">
        <v>1642</v>
      </c>
      <c r="H1199" s="122">
        <v>1366</v>
      </c>
      <c r="I1199" s="122">
        <v>74447</v>
      </c>
      <c r="J1199" s="122">
        <v>67679</v>
      </c>
      <c r="K1199" s="122">
        <v>90</v>
      </c>
      <c r="L1199" s="122">
        <v>5767</v>
      </c>
      <c r="M1199" s="122">
        <v>5243</v>
      </c>
      <c r="N1199" s="122">
        <v>22229</v>
      </c>
      <c r="O1199" s="122">
        <v>8233</v>
      </c>
      <c r="P1199" s="122">
        <v>12026</v>
      </c>
      <c r="Q1199" s="122">
        <v>4454</v>
      </c>
      <c r="R1199" s="122">
        <v>45361</v>
      </c>
      <c r="S1199" s="122">
        <v>41237</v>
      </c>
      <c r="T1199" s="122">
        <v>0</v>
      </c>
      <c r="U1199" s="122">
        <v>0</v>
      </c>
      <c r="V1199" s="122">
        <v>126846</v>
      </c>
      <c r="W1199" s="122">
        <f t="shared" si="38"/>
        <v>126846</v>
      </c>
      <c r="X1199" s="122">
        <f t="shared" si="39"/>
        <v>159830</v>
      </c>
      <c r="AA1199" t="s">
        <v>60</v>
      </c>
      <c r="AB1199" t="s">
        <v>425</v>
      </c>
      <c r="AC1199" t="s">
        <v>579</v>
      </c>
      <c r="AD1199" t="s">
        <v>406</v>
      </c>
      <c r="AE1199" t="s">
        <v>137</v>
      </c>
      <c r="AF1199">
        <v>1</v>
      </c>
      <c r="AG1199">
        <v>65</v>
      </c>
      <c r="AH1199">
        <v>376</v>
      </c>
      <c r="AI1199" s="122">
        <v>12662</v>
      </c>
      <c r="AJ1199" s="122">
        <v>11511</v>
      </c>
      <c r="AK1199">
        <v>70</v>
      </c>
      <c r="AL1199" s="122">
        <v>3402</v>
      </c>
      <c r="AM1199" s="122">
        <v>2835</v>
      </c>
      <c r="AN1199" s="122">
        <v>1113</v>
      </c>
      <c r="AO1199">
        <v>412</v>
      </c>
      <c r="AP1199">
        <v>621</v>
      </c>
      <c r="AQ1199">
        <v>230</v>
      </c>
      <c r="AR1199" s="122">
        <v>4348</v>
      </c>
      <c r="AS1199" s="122">
        <v>3953</v>
      </c>
      <c r="AT1199" s="122">
        <v>2409</v>
      </c>
      <c r="AU1199">
        <v>892</v>
      </c>
      <c r="AV1199" s="122">
        <v>19833</v>
      </c>
    </row>
    <row r="1200" spans="2:48" hidden="1">
      <c r="B1200" t="s">
        <v>371</v>
      </c>
      <c r="C1200" t="s">
        <v>50</v>
      </c>
      <c r="D1200" t="s">
        <v>137</v>
      </c>
      <c r="E1200" t="s">
        <v>137</v>
      </c>
      <c r="F1200" s="122">
        <v>5</v>
      </c>
      <c r="G1200" s="122">
        <v>1272</v>
      </c>
      <c r="H1200" s="122">
        <v>430</v>
      </c>
      <c r="I1200" s="122">
        <v>30603</v>
      </c>
      <c r="J1200" s="122">
        <v>11335</v>
      </c>
      <c r="K1200" s="122">
        <v>343</v>
      </c>
      <c r="L1200" s="122">
        <v>13656</v>
      </c>
      <c r="M1200" s="122">
        <v>12351</v>
      </c>
      <c r="N1200" s="122">
        <v>29251</v>
      </c>
      <c r="O1200" s="122">
        <v>10834</v>
      </c>
      <c r="P1200" s="122">
        <v>3159</v>
      </c>
      <c r="Q1200" s="122">
        <v>1170</v>
      </c>
      <c r="R1200" s="122">
        <v>33426</v>
      </c>
      <c r="S1200" s="122">
        <v>12380</v>
      </c>
      <c r="T1200" s="122">
        <v>0</v>
      </c>
      <c r="U1200" s="122">
        <v>0</v>
      </c>
      <c r="V1200" s="122">
        <v>48070</v>
      </c>
      <c r="W1200" s="122">
        <f t="shared" si="38"/>
        <v>48070</v>
      </c>
      <c r="X1200" s="122">
        <f t="shared" si="39"/>
        <v>110095</v>
      </c>
      <c r="AA1200" t="s">
        <v>60</v>
      </c>
      <c r="AB1200" t="s">
        <v>425</v>
      </c>
      <c r="AC1200" t="s">
        <v>428</v>
      </c>
      <c r="AD1200" t="s">
        <v>425</v>
      </c>
      <c r="AE1200" t="s">
        <v>566</v>
      </c>
      <c r="AF1200">
        <v>1</v>
      </c>
      <c r="AG1200">
        <v>73</v>
      </c>
      <c r="AH1200">
        <v>344</v>
      </c>
      <c r="AI1200" s="122">
        <v>14902</v>
      </c>
      <c r="AJ1200" s="122">
        <v>13547</v>
      </c>
      <c r="AK1200">
        <v>80</v>
      </c>
      <c r="AL1200" s="122">
        <v>4393</v>
      </c>
      <c r="AM1200" s="122">
        <v>3994</v>
      </c>
      <c r="AN1200" s="122">
        <v>1067</v>
      </c>
      <c r="AO1200">
        <v>395</v>
      </c>
      <c r="AP1200">
        <v>473</v>
      </c>
      <c r="AQ1200">
        <v>175</v>
      </c>
      <c r="AR1200" s="122">
        <v>4262</v>
      </c>
      <c r="AS1200" s="122">
        <v>3875</v>
      </c>
      <c r="AT1200">
        <v>0</v>
      </c>
      <c r="AU1200">
        <v>0</v>
      </c>
      <c r="AV1200" s="122">
        <v>21986</v>
      </c>
    </row>
    <row r="1201" spans="2:48" hidden="1">
      <c r="B1201" t="s">
        <v>371</v>
      </c>
      <c r="C1201" t="s">
        <v>50</v>
      </c>
      <c r="D1201" t="s">
        <v>406</v>
      </c>
      <c r="E1201" t="s">
        <v>406</v>
      </c>
      <c r="F1201" s="122">
        <v>7</v>
      </c>
      <c r="G1201" s="122">
        <v>773</v>
      </c>
      <c r="H1201" s="122">
        <v>596</v>
      </c>
      <c r="I1201" s="122">
        <v>29529</v>
      </c>
      <c r="J1201" s="122">
        <v>26845</v>
      </c>
      <c r="K1201" s="122">
        <v>94</v>
      </c>
      <c r="L1201" s="122">
        <v>1720</v>
      </c>
      <c r="M1201" s="122">
        <v>2024</v>
      </c>
      <c r="N1201" s="122">
        <v>9416</v>
      </c>
      <c r="O1201" s="122">
        <v>3487</v>
      </c>
      <c r="P1201" s="122">
        <v>4347</v>
      </c>
      <c r="Q1201" s="122">
        <v>1610</v>
      </c>
      <c r="R1201" s="122">
        <v>20919</v>
      </c>
      <c r="S1201" s="122">
        <v>19017</v>
      </c>
      <c r="T1201" s="122">
        <v>0</v>
      </c>
      <c r="U1201" s="122">
        <v>0</v>
      </c>
      <c r="V1201" s="122">
        <v>52983</v>
      </c>
      <c r="W1201" s="122">
        <f t="shared" si="38"/>
        <v>52983</v>
      </c>
      <c r="X1201" s="122">
        <f t="shared" si="39"/>
        <v>65931</v>
      </c>
      <c r="AA1201" t="s">
        <v>60</v>
      </c>
      <c r="AB1201" t="s">
        <v>425</v>
      </c>
      <c r="AC1201" t="s">
        <v>426</v>
      </c>
      <c r="AD1201" t="s">
        <v>425</v>
      </c>
      <c r="AE1201" t="s">
        <v>137</v>
      </c>
      <c r="AF1201">
        <v>8</v>
      </c>
      <c r="AG1201">
        <v>919</v>
      </c>
      <c r="AH1201" s="122">
        <v>2642</v>
      </c>
      <c r="AI1201" s="122">
        <v>203439</v>
      </c>
      <c r="AJ1201" s="122">
        <v>184945</v>
      </c>
      <c r="AK1201">
        <v>79</v>
      </c>
      <c r="AL1201" s="122">
        <v>42021</v>
      </c>
      <c r="AM1201" s="122">
        <v>38201</v>
      </c>
      <c r="AN1201" s="122">
        <v>20880</v>
      </c>
      <c r="AO1201" s="122">
        <v>7733</v>
      </c>
      <c r="AP1201" s="122">
        <v>3929</v>
      </c>
      <c r="AQ1201" s="122">
        <v>1455</v>
      </c>
      <c r="AR1201" s="122">
        <v>33631</v>
      </c>
      <c r="AS1201" s="122">
        <v>30574</v>
      </c>
      <c r="AT1201" s="122">
        <v>21339</v>
      </c>
      <c r="AU1201" s="122">
        <v>7903</v>
      </c>
      <c r="AV1201" s="122">
        <v>270811</v>
      </c>
    </row>
    <row r="1202" spans="2:48" hidden="1">
      <c r="B1202" t="s">
        <v>371</v>
      </c>
      <c r="C1202" t="s">
        <v>50</v>
      </c>
      <c r="D1202" t="s">
        <v>407</v>
      </c>
      <c r="E1202" t="s">
        <v>407</v>
      </c>
      <c r="F1202" s="122">
        <v>38</v>
      </c>
      <c r="G1202" s="122">
        <v>3606</v>
      </c>
      <c r="H1202" s="122">
        <v>3377</v>
      </c>
      <c r="I1202" s="122">
        <v>131505</v>
      </c>
      <c r="J1202" s="122">
        <v>119550</v>
      </c>
      <c r="K1202" s="122">
        <v>91</v>
      </c>
      <c r="L1202" s="122">
        <v>32896</v>
      </c>
      <c r="M1202" s="122">
        <v>29679</v>
      </c>
      <c r="N1202" s="122">
        <v>44764</v>
      </c>
      <c r="O1202" s="122">
        <v>16579</v>
      </c>
      <c r="P1202" s="122">
        <v>20304</v>
      </c>
      <c r="Q1202" s="122">
        <v>7520</v>
      </c>
      <c r="R1202" s="122">
        <v>93659</v>
      </c>
      <c r="S1202" s="122">
        <v>85145</v>
      </c>
      <c r="T1202" s="122">
        <v>0</v>
      </c>
      <c r="U1202" s="122">
        <v>0</v>
      </c>
      <c r="V1202" s="122">
        <v>258473</v>
      </c>
      <c r="W1202" s="122">
        <f t="shared" si="38"/>
        <v>258473</v>
      </c>
      <c r="X1202" s="122">
        <f t="shared" si="39"/>
        <v>323128</v>
      </c>
      <c r="AA1202" t="s">
        <v>60</v>
      </c>
      <c r="AB1202" t="s">
        <v>425</v>
      </c>
      <c r="AC1202" t="s">
        <v>426</v>
      </c>
      <c r="AD1202" t="s">
        <v>425</v>
      </c>
      <c r="AE1202" t="s">
        <v>566</v>
      </c>
      <c r="AF1202">
        <v>3</v>
      </c>
      <c r="AG1202">
        <v>319</v>
      </c>
      <c r="AH1202" s="122">
        <v>1043</v>
      </c>
      <c r="AI1202" s="122">
        <v>69744</v>
      </c>
      <c r="AJ1202" s="122">
        <v>63404</v>
      </c>
      <c r="AK1202">
        <v>78</v>
      </c>
      <c r="AL1202" s="122">
        <v>14800</v>
      </c>
      <c r="AM1202" s="122">
        <v>13455</v>
      </c>
      <c r="AN1202" s="122">
        <v>6527</v>
      </c>
      <c r="AO1202" s="122">
        <v>2418</v>
      </c>
      <c r="AP1202" s="122">
        <v>1769</v>
      </c>
      <c r="AQ1202">
        <v>655</v>
      </c>
      <c r="AR1202" s="122">
        <v>16951</v>
      </c>
      <c r="AS1202" s="122">
        <v>15410</v>
      </c>
      <c r="AT1202">
        <v>0</v>
      </c>
      <c r="AU1202">
        <v>0</v>
      </c>
      <c r="AV1202" s="122">
        <v>95342</v>
      </c>
    </row>
    <row r="1203" spans="2:48" hidden="1">
      <c r="B1203" t="s">
        <v>371</v>
      </c>
      <c r="C1203" t="s">
        <v>52</v>
      </c>
      <c r="D1203" t="s">
        <v>405</v>
      </c>
      <c r="E1203" t="s">
        <v>405</v>
      </c>
      <c r="F1203" s="122">
        <v>4</v>
      </c>
      <c r="G1203" s="122">
        <v>556</v>
      </c>
      <c r="H1203" s="122">
        <v>474</v>
      </c>
      <c r="I1203" s="122">
        <v>29119</v>
      </c>
      <c r="J1203" s="122">
        <v>26472</v>
      </c>
      <c r="K1203" s="122">
        <v>91</v>
      </c>
      <c r="L1203" s="122">
        <v>4971</v>
      </c>
      <c r="M1203" s="122">
        <v>4519</v>
      </c>
      <c r="N1203" s="122">
        <v>11291</v>
      </c>
      <c r="O1203" s="122">
        <v>4182</v>
      </c>
      <c r="P1203" s="122">
        <v>2548</v>
      </c>
      <c r="Q1203" s="122">
        <v>944</v>
      </c>
      <c r="R1203" s="122">
        <v>18685</v>
      </c>
      <c r="S1203" s="122">
        <v>16987</v>
      </c>
      <c r="T1203" s="122">
        <v>0</v>
      </c>
      <c r="U1203" s="122">
        <v>0</v>
      </c>
      <c r="V1203" s="122">
        <v>53103</v>
      </c>
      <c r="W1203" s="122">
        <f t="shared" si="38"/>
        <v>53104</v>
      </c>
      <c r="X1203" s="122">
        <f t="shared" si="39"/>
        <v>66614</v>
      </c>
      <c r="AA1203" t="s">
        <v>60</v>
      </c>
      <c r="AB1203" t="s">
        <v>425</v>
      </c>
      <c r="AC1203" t="s">
        <v>426</v>
      </c>
      <c r="AD1203" t="s">
        <v>137</v>
      </c>
      <c r="AE1203" t="s">
        <v>566</v>
      </c>
      <c r="AF1203">
        <v>1</v>
      </c>
      <c r="AG1203">
        <v>64</v>
      </c>
      <c r="AH1203">
        <v>315</v>
      </c>
      <c r="AI1203" s="122">
        <v>10226</v>
      </c>
      <c r="AJ1203" s="122">
        <v>9296</v>
      </c>
      <c r="AK1203">
        <v>90</v>
      </c>
      <c r="AL1203" s="122">
        <v>3409</v>
      </c>
      <c r="AM1203" s="122">
        <v>3099</v>
      </c>
      <c r="AN1203" s="122">
        <v>1447</v>
      </c>
      <c r="AO1203">
        <v>536</v>
      </c>
      <c r="AP1203">
        <v>0</v>
      </c>
      <c r="AQ1203">
        <v>0</v>
      </c>
      <c r="AR1203" s="122">
        <v>4928</v>
      </c>
      <c r="AS1203" s="122">
        <v>1825</v>
      </c>
      <c r="AT1203">
        <v>0</v>
      </c>
      <c r="AU1203">
        <v>0</v>
      </c>
      <c r="AV1203" s="122">
        <v>14756</v>
      </c>
    </row>
    <row r="1204" spans="2:48" hidden="1">
      <c r="B1204" t="s">
        <v>371</v>
      </c>
      <c r="C1204" t="s">
        <v>52</v>
      </c>
      <c r="D1204" t="s">
        <v>405</v>
      </c>
      <c r="E1204" t="s">
        <v>407</v>
      </c>
      <c r="F1204" s="122">
        <v>1</v>
      </c>
      <c r="G1204" s="122">
        <v>139</v>
      </c>
      <c r="H1204" s="122">
        <v>115</v>
      </c>
      <c r="I1204" s="122">
        <v>8429</v>
      </c>
      <c r="J1204" s="122">
        <v>7663</v>
      </c>
      <c r="K1204" s="122">
        <v>90</v>
      </c>
      <c r="L1204" s="122">
        <v>985</v>
      </c>
      <c r="M1204" s="122">
        <v>895</v>
      </c>
      <c r="N1204" s="122">
        <v>3277</v>
      </c>
      <c r="O1204" s="122">
        <v>1214</v>
      </c>
      <c r="P1204" s="122">
        <v>473</v>
      </c>
      <c r="Q1204" s="122">
        <v>175</v>
      </c>
      <c r="R1204" s="122">
        <v>2871</v>
      </c>
      <c r="S1204" s="122">
        <v>2610</v>
      </c>
      <c r="T1204" s="122">
        <v>0</v>
      </c>
      <c r="U1204" s="122">
        <v>0</v>
      </c>
      <c r="V1204" s="122">
        <v>12557</v>
      </c>
      <c r="W1204" s="122">
        <f t="shared" si="38"/>
        <v>12557</v>
      </c>
      <c r="X1204" s="122">
        <f t="shared" si="39"/>
        <v>16035</v>
      </c>
      <c r="AA1204" t="s">
        <v>60</v>
      </c>
      <c r="AB1204" t="s">
        <v>425</v>
      </c>
      <c r="AC1204" t="s">
        <v>426</v>
      </c>
      <c r="AD1204" t="s">
        <v>406</v>
      </c>
      <c r="AE1204" t="s">
        <v>137</v>
      </c>
      <c r="AF1204">
        <v>1</v>
      </c>
      <c r="AG1204">
        <v>86</v>
      </c>
      <c r="AH1204">
        <v>326</v>
      </c>
      <c r="AI1204" s="122">
        <v>15854</v>
      </c>
      <c r="AJ1204" s="122">
        <v>14413</v>
      </c>
      <c r="AK1204">
        <v>65</v>
      </c>
      <c r="AL1204" s="122">
        <v>1814</v>
      </c>
      <c r="AM1204" s="122">
        <v>1649</v>
      </c>
      <c r="AN1204" s="122">
        <v>1563</v>
      </c>
      <c r="AO1204">
        <v>579</v>
      </c>
      <c r="AP1204">
        <v>621</v>
      </c>
      <c r="AQ1204">
        <v>230</v>
      </c>
      <c r="AR1204" s="122">
        <v>8076</v>
      </c>
      <c r="AS1204" s="122">
        <v>7342</v>
      </c>
      <c r="AT1204">
        <v>0</v>
      </c>
      <c r="AU1204">
        <v>0</v>
      </c>
      <c r="AV1204" s="122">
        <v>24213</v>
      </c>
    </row>
    <row r="1205" spans="2:48" hidden="1">
      <c r="B1205" t="s">
        <v>371</v>
      </c>
      <c r="C1205" t="s">
        <v>52</v>
      </c>
      <c r="D1205" t="s">
        <v>137</v>
      </c>
      <c r="E1205" t="s">
        <v>137</v>
      </c>
      <c r="F1205" s="122">
        <v>11</v>
      </c>
      <c r="G1205" s="122">
        <v>1168</v>
      </c>
      <c r="H1205" s="122">
        <v>1247</v>
      </c>
      <c r="I1205" s="122">
        <v>29312</v>
      </c>
      <c r="J1205" s="122">
        <v>10856</v>
      </c>
      <c r="K1205" s="122">
        <v>396</v>
      </c>
      <c r="L1205" s="122">
        <v>7457</v>
      </c>
      <c r="M1205" s="122">
        <v>8682</v>
      </c>
      <c r="N1205" s="122">
        <v>24845</v>
      </c>
      <c r="O1205" s="122">
        <v>9202</v>
      </c>
      <c r="P1205" s="122">
        <v>5748</v>
      </c>
      <c r="Q1205" s="122">
        <v>2129</v>
      </c>
      <c r="R1205" s="122">
        <v>64144</v>
      </c>
      <c r="S1205" s="122">
        <v>23757</v>
      </c>
      <c r="T1205" s="122">
        <v>0</v>
      </c>
      <c r="U1205" s="122">
        <v>0</v>
      </c>
      <c r="V1205" s="122">
        <v>54626</v>
      </c>
      <c r="W1205" s="122">
        <f t="shared" si="38"/>
        <v>54626</v>
      </c>
      <c r="X1205" s="122">
        <f t="shared" si="39"/>
        <v>131506</v>
      </c>
      <c r="AA1205" t="s">
        <v>60</v>
      </c>
      <c r="AB1205" t="s">
        <v>425</v>
      </c>
      <c r="AC1205" t="s">
        <v>426</v>
      </c>
      <c r="AD1205" t="s">
        <v>406</v>
      </c>
      <c r="AE1205" t="s">
        <v>566</v>
      </c>
      <c r="AF1205">
        <v>2</v>
      </c>
      <c r="AG1205">
        <v>309</v>
      </c>
      <c r="AH1205">
        <v>629</v>
      </c>
      <c r="AI1205" s="122">
        <v>60452</v>
      </c>
      <c r="AJ1205" s="122">
        <v>54956</v>
      </c>
      <c r="AK1205">
        <v>85</v>
      </c>
      <c r="AL1205" s="122">
        <v>15069</v>
      </c>
      <c r="AM1205" s="122">
        <v>13699</v>
      </c>
      <c r="AN1205" s="122">
        <v>7089</v>
      </c>
      <c r="AO1205" s="122">
        <v>2626</v>
      </c>
      <c r="AP1205" s="122">
        <v>1242</v>
      </c>
      <c r="AQ1205">
        <v>460</v>
      </c>
      <c r="AR1205" s="122">
        <v>13618</v>
      </c>
      <c r="AS1205" s="122">
        <v>12380</v>
      </c>
      <c r="AT1205">
        <v>0</v>
      </c>
      <c r="AU1205">
        <v>0</v>
      </c>
      <c r="AV1205" s="122">
        <v>84121</v>
      </c>
    </row>
    <row r="1206" spans="2:48" hidden="1">
      <c r="B1206" t="s">
        <v>371</v>
      </c>
      <c r="C1206" t="s">
        <v>52</v>
      </c>
      <c r="D1206" t="s">
        <v>406</v>
      </c>
      <c r="E1206" t="s">
        <v>406</v>
      </c>
      <c r="F1206" s="122">
        <v>38</v>
      </c>
      <c r="G1206" s="122">
        <v>4044</v>
      </c>
      <c r="H1206" s="122">
        <v>4560</v>
      </c>
      <c r="I1206" s="122">
        <v>230627</v>
      </c>
      <c r="J1206" s="122">
        <v>209661</v>
      </c>
      <c r="K1206" s="122">
        <v>94</v>
      </c>
      <c r="L1206" s="122">
        <v>25531</v>
      </c>
      <c r="M1206" s="122">
        <v>23022</v>
      </c>
      <c r="N1206" s="122">
        <v>59252</v>
      </c>
      <c r="O1206" s="122">
        <v>21945</v>
      </c>
      <c r="P1206" s="122">
        <v>23720</v>
      </c>
      <c r="Q1206" s="122">
        <v>8785</v>
      </c>
      <c r="R1206" s="122">
        <v>145937</v>
      </c>
      <c r="S1206" s="122">
        <v>132670</v>
      </c>
      <c r="T1206" s="122">
        <v>3116</v>
      </c>
      <c r="U1206" s="122">
        <v>1154</v>
      </c>
      <c r="V1206" s="122">
        <v>397238</v>
      </c>
      <c r="W1206" s="122">
        <f t="shared" si="38"/>
        <v>397237</v>
      </c>
      <c r="X1206" s="122">
        <f t="shared" si="39"/>
        <v>488183</v>
      </c>
      <c r="AA1206" t="s">
        <v>60</v>
      </c>
      <c r="AB1206" t="s">
        <v>425</v>
      </c>
      <c r="AC1206" t="s">
        <v>566</v>
      </c>
      <c r="AD1206" t="s">
        <v>425</v>
      </c>
      <c r="AE1206" t="s">
        <v>137</v>
      </c>
      <c r="AF1206">
        <v>2</v>
      </c>
      <c r="AG1206">
        <v>139</v>
      </c>
      <c r="AH1206">
        <v>667</v>
      </c>
      <c r="AI1206" s="122">
        <v>26750</v>
      </c>
      <c r="AJ1206" s="122">
        <v>24318</v>
      </c>
      <c r="AK1206">
        <v>77</v>
      </c>
      <c r="AL1206">
        <v>0</v>
      </c>
      <c r="AM1206">
        <v>0</v>
      </c>
      <c r="AN1206" s="122">
        <v>2520</v>
      </c>
      <c r="AO1206">
        <v>933</v>
      </c>
      <c r="AP1206">
        <v>945</v>
      </c>
      <c r="AQ1206">
        <v>350</v>
      </c>
      <c r="AR1206" s="122">
        <v>9854</v>
      </c>
      <c r="AS1206" s="122">
        <v>8958</v>
      </c>
      <c r="AT1206" s="122">
        <v>6401</v>
      </c>
      <c r="AU1206" s="122">
        <v>2371</v>
      </c>
      <c r="AV1206" s="122">
        <v>36931</v>
      </c>
    </row>
    <row r="1207" spans="2:48" hidden="1">
      <c r="B1207" t="s">
        <v>371</v>
      </c>
      <c r="C1207" t="s">
        <v>52</v>
      </c>
      <c r="D1207" t="s">
        <v>407</v>
      </c>
      <c r="E1207" t="s">
        <v>407</v>
      </c>
      <c r="F1207" s="122">
        <v>83</v>
      </c>
      <c r="G1207" s="122">
        <v>9478</v>
      </c>
      <c r="H1207" s="122">
        <v>9714</v>
      </c>
      <c r="I1207" s="122">
        <v>514148</v>
      </c>
      <c r="J1207" s="122">
        <v>467407</v>
      </c>
      <c r="K1207" s="122">
        <v>89</v>
      </c>
      <c r="L1207" s="122">
        <v>51074</v>
      </c>
      <c r="M1207" s="122">
        <v>54587</v>
      </c>
      <c r="N1207" s="122">
        <v>150209</v>
      </c>
      <c r="O1207" s="122">
        <v>55633</v>
      </c>
      <c r="P1207" s="122">
        <v>40271</v>
      </c>
      <c r="Q1207" s="122">
        <v>14915</v>
      </c>
      <c r="R1207" s="122">
        <v>356910</v>
      </c>
      <c r="S1207" s="122">
        <v>324464</v>
      </c>
      <c r="T1207" s="122">
        <v>5832</v>
      </c>
      <c r="U1207" s="122">
        <v>2160</v>
      </c>
      <c r="V1207" s="122">
        <v>919166</v>
      </c>
      <c r="W1207" s="122">
        <f t="shared" si="38"/>
        <v>919166</v>
      </c>
      <c r="X1207" s="122">
        <f t="shared" si="39"/>
        <v>1118444</v>
      </c>
      <c r="AA1207" t="s">
        <v>60</v>
      </c>
      <c r="AB1207" t="s">
        <v>405</v>
      </c>
      <c r="AC1207" t="s">
        <v>405</v>
      </c>
      <c r="AD1207" t="s">
        <v>405</v>
      </c>
      <c r="AE1207" t="s">
        <v>137</v>
      </c>
      <c r="AF1207">
        <v>8</v>
      </c>
      <c r="AG1207">
        <v>903</v>
      </c>
      <c r="AH1207" s="122">
        <v>2752</v>
      </c>
      <c r="AI1207" s="122">
        <v>188225</v>
      </c>
      <c r="AJ1207" s="122">
        <v>171114</v>
      </c>
      <c r="AK1207">
        <v>72</v>
      </c>
      <c r="AL1207" s="122">
        <v>41381</v>
      </c>
      <c r="AM1207" s="122">
        <v>37619</v>
      </c>
      <c r="AN1207" s="122">
        <v>21027</v>
      </c>
      <c r="AO1207" s="122">
        <v>7788</v>
      </c>
      <c r="AP1207" s="122">
        <v>3294</v>
      </c>
      <c r="AQ1207" s="122">
        <v>1220</v>
      </c>
      <c r="AR1207" s="122">
        <v>37700</v>
      </c>
      <c r="AS1207" s="122">
        <v>34273</v>
      </c>
      <c r="AT1207" s="122">
        <v>18417</v>
      </c>
      <c r="AU1207" s="122">
        <v>6821</v>
      </c>
      <c r="AV1207" s="122">
        <v>258835</v>
      </c>
    </row>
    <row r="1208" spans="2:48" hidden="1">
      <c r="B1208" t="s">
        <v>371</v>
      </c>
      <c r="C1208" t="s">
        <v>54</v>
      </c>
      <c r="D1208" t="s">
        <v>425</v>
      </c>
      <c r="E1208" t="s">
        <v>425</v>
      </c>
      <c r="F1208" s="122">
        <v>1</v>
      </c>
      <c r="G1208" s="122">
        <v>167</v>
      </c>
      <c r="H1208" s="122">
        <v>137</v>
      </c>
      <c r="I1208" s="122">
        <v>13075</v>
      </c>
      <c r="J1208" s="122">
        <v>11887</v>
      </c>
      <c r="K1208" s="122">
        <v>92</v>
      </c>
      <c r="L1208" s="122">
        <v>2235</v>
      </c>
      <c r="M1208" s="122">
        <v>2032</v>
      </c>
      <c r="N1208" s="122">
        <v>2036</v>
      </c>
      <c r="O1208" s="122">
        <v>754</v>
      </c>
      <c r="P1208" s="122">
        <v>473</v>
      </c>
      <c r="Q1208" s="122">
        <v>175</v>
      </c>
      <c r="R1208" s="122">
        <v>5010</v>
      </c>
      <c r="S1208" s="122">
        <v>4554</v>
      </c>
      <c r="T1208" s="122">
        <v>0</v>
      </c>
      <c r="U1208" s="122">
        <v>0</v>
      </c>
      <c r="V1208" s="122">
        <v>19402</v>
      </c>
      <c r="W1208" s="122">
        <f t="shared" si="38"/>
        <v>19402</v>
      </c>
      <c r="X1208" s="122">
        <f t="shared" si="39"/>
        <v>22829</v>
      </c>
      <c r="AA1208" t="s">
        <v>60</v>
      </c>
      <c r="AB1208" t="s">
        <v>405</v>
      </c>
      <c r="AC1208" t="s">
        <v>405</v>
      </c>
      <c r="AD1208" t="s">
        <v>405</v>
      </c>
      <c r="AE1208" t="s">
        <v>566</v>
      </c>
      <c r="AF1208">
        <v>7</v>
      </c>
      <c r="AG1208">
        <v>635</v>
      </c>
      <c r="AH1208" s="122">
        <v>2363</v>
      </c>
      <c r="AI1208" s="122">
        <v>132603</v>
      </c>
      <c r="AJ1208" s="122">
        <v>120548</v>
      </c>
      <c r="AK1208">
        <v>70</v>
      </c>
      <c r="AL1208" s="122">
        <v>23074</v>
      </c>
      <c r="AM1208" s="122">
        <v>20976</v>
      </c>
      <c r="AN1208" s="122">
        <v>11747</v>
      </c>
      <c r="AO1208" s="122">
        <v>4351</v>
      </c>
      <c r="AP1208" s="122">
        <v>3213</v>
      </c>
      <c r="AQ1208" s="122">
        <v>1190</v>
      </c>
      <c r="AR1208" s="122">
        <v>44448</v>
      </c>
      <c r="AS1208" s="122">
        <v>40407</v>
      </c>
      <c r="AT1208">
        <v>0</v>
      </c>
      <c r="AU1208">
        <v>0</v>
      </c>
      <c r="AV1208" s="122">
        <v>187472</v>
      </c>
    </row>
    <row r="1209" spans="2:48" hidden="1">
      <c r="B1209" t="s">
        <v>371</v>
      </c>
      <c r="C1209" t="s">
        <v>54</v>
      </c>
      <c r="D1209" t="s">
        <v>405</v>
      </c>
      <c r="E1209" t="s">
        <v>405</v>
      </c>
      <c r="F1209" s="122">
        <v>37</v>
      </c>
      <c r="G1209" s="122">
        <v>5006</v>
      </c>
      <c r="H1209" s="122">
        <v>5110</v>
      </c>
      <c r="I1209" s="122">
        <v>335619</v>
      </c>
      <c r="J1209" s="122">
        <v>305108</v>
      </c>
      <c r="K1209" s="122">
        <v>89</v>
      </c>
      <c r="L1209" s="122">
        <v>68776</v>
      </c>
      <c r="M1209" s="122">
        <v>60869</v>
      </c>
      <c r="N1209" s="122">
        <v>109457</v>
      </c>
      <c r="O1209" s="122">
        <v>40540</v>
      </c>
      <c r="P1209" s="122">
        <v>18536</v>
      </c>
      <c r="Q1209" s="122">
        <v>6865</v>
      </c>
      <c r="R1209" s="122">
        <v>184229</v>
      </c>
      <c r="S1209" s="122">
        <v>167481</v>
      </c>
      <c r="T1209" s="122">
        <v>0</v>
      </c>
      <c r="U1209" s="122">
        <v>0</v>
      </c>
      <c r="V1209" s="122">
        <v>580862</v>
      </c>
      <c r="W1209" s="122">
        <f t="shared" si="38"/>
        <v>580863</v>
      </c>
      <c r="X1209" s="122">
        <f t="shared" si="39"/>
        <v>716617</v>
      </c>
      <c r="AA1209" t="s">
        <v>60</v>
      </c>
      <c r="AB1209" t="s">
        <v>405</v>
      </c>
      <c r="AC1209" t="s">
        <v>137</v>
      </c>
      <c r="AD1209" t="s">
        <v>405</v>
      </c>
      <c r="AE1209" t="s">
        <v>137</v>
      </c>
      <c r="AF1209">
        <v>5</v>
      </c>
      <c r="AG1209">
        <v>689</v>
      </c>
      <c r="AH1209" s="122">
        <v>1682</v>
      </c>
      <c r="AI1209" s="122">
        <v>141246</v>
      </c>
      <c r="AJ1209" s="122">
        <v>128405</v>
      </c>
      <c r="AK1209">
        <v>76</v>
      </c>
      <c r="AL1209" s="122">
        <v>31869</v>
      </c>
      <c r="AM1209" s="122">
        <v>11803</v>
      </c>
      <c r="AN1209" s="122">
        <v>15877</v>
      </c>
      <c r="AO1209" s="122">
        <v>5880</v>
      </c>
      <c r="AP1209" s="122">
        <v>2511</v>
      </c>
      <c r="AQ1209">
        <v>930</v>
      </c>
      <c r="AR1209" s="122">
        <v>26844</v>
      </c>
      <c r="AS1209" s="122">
        <v>24404</v>
      </c>
      <c r="AT1209" s="122">
        <v>12593</v>
      </c>
      <c r="AU1209" s="122">
        <v>4664</v>
      </c>
      <c r="AV1209" s="122">
        <v>176087</v>
      </c>
    </row>
    <row r="1210" spans="2:48" hidden="1">
      <c r="B1210" t="s">
        <v>371</v>
      </c>
      <c r="C1210" t="s">
        <v>54</v>
      </c>
      <c r="D1210" t="s">
        <v>137</v>
      </c>
      <c r="E1210" t="s">
        <v>137</v>
      </c>
      <c r="F1210" s="122">
        <v>21</v>
      </c>
      <c r="G1210" s="122">
        <v>1831</v>
      </c>
      <c r="H1210" s="122">
        <v>2960</v>
      </c>
      <c r="I1210" s="122">
        <v>45222</v>
      </c>
      <c r="J1210" s="122">
        <v>16749</v>
      </c>
      <c r="K1210" s="122">
        <v>387</v>
      </c>
      <c r="L1210" s="122">
        <v>10238</v>
      </c>
      <c r="M1210" s="122">
        <v>8683</v>
      </c>
      <c r="N1210" s="122">
        <v>23824</v>
      </c>
      <c r="O1210" s="122">
        <v>8824</v>
      </c>
      <c r="P1210" s="122">
        <v>7412</v>
      </c>
      <c r="Q1210" s="122">
        <v>2745</v>
      </c>
      <c r="R1210" s="122">
        <v>171362</v>
      </c>
      <c r="S1210" s="122">
        <v>63467</v>
      </c>
      <c r="T1210" s="122">
        <v>0</v>
      </c>
      <c r="U1210" s="122">
        <v>0</v>
      </c>
      <c r="V1210" s="122">
        <v>100468</v>
      </c>
      <c r="W1210" s="122">
        <f t="shared" si="38"/>
        <v>100468</v>
      </c>
      <c r="X1210" s="122">
        <f t="shared" si="39"/>
        <v>258058</v>
      </c>
      <c r="AA1210" t="s">
        <v>60</v>
      </c>
      <c r="AB1210" t="s">
        <v>405</v>
      </c>
      <c r="AC1210" t="s">
        <v>137</v>
      </c>
      <c r="AD1210" t="s">
        <v>405</v>
      </c>
      <c r="AE1210" t="s">
        <v>566</v>
      </c>
      <c r="AF1210">
        <v>1</v>
      </c>
      <c r="AG1210">
        <v>70</v>
      </c>
      <c r="AH1210">
        <v>300</v>
      </c>
      <c r="AI1210" s="122">
        <v>13797</v>
      </c>
      <c r="AJ1210" s="122">
        <v>12542</v>
      </c>
      <c r="AK1210">
        <v>79</v>
      </c>
      <c r="AL1210">
        <v>0</v>
      </c>
      <c r="AM1210">
        <v>0</v>
      </c>
      <c r="AN1210" s="122">
        <v>1716</v>
      </c>
      <c r="AO1210">
        <v>636</v>
      </c>
      <c r="AP1210">
        <v>473</v>
      </c>
      <c r="AQ1210">
        <v>175</v>
      </c>
      <c r="AR1210" s="122">
        <v>5157</v>
      </c>
      <c r="AS1210" s="122">
        <v>4688</v>
      </c>
      <c r="AT1210">
        <v>0</v>
      </c>
      <c r="AU1210">
        <v>0</v>
      </c>
      <c r="AV1210" s="122">
        <v>18041</v>
      </c>
    </row>
    <row r="1211" spans="2:48" hidden="1">
      <c r="B1211" t="s">
        <v>371</v>
      </c>
      <c r="C1211" t="s">
        <v>54</v>
      </c>
      <c r="D1211" t="s">
        <v>406</v>
      </c>
      <c r="E1211" t="s">
        <v>406</v>
      </c>
      <c r="F1211" s="122">
        <v>138</v>
      </c>
      <c r="G1211" s="122">
        <v>13511</v>
      </c>
      <c r="H1211" s="122">
        <v>19479</v>
      </c>
      <c r="I1211" s="122">
        <v>889506</v>
      </c>
      <c r="J1211" s="122">
        <v>808642</v>
      </c>
      <c r="K1211" s="122">
        <v>92</v>
      </c>
      <c r="L1211" s="122">
        <v>172979</v>
      </c>
      <c r="M1211" s="122">
        <v>155855</v>
      </c>
      <c r="N1211" s="122">
        <v>228507</v>
      </c>
      <c r="O1211" s="122">
        <v>84632</v>
      </c>
      <c r="P1211" s="122">
        <v>86832</v>
      </c>
      <c r="Q1211" s="122">
        <v>32160</v>
      </c>
      <c r="R1211" s="122">
        <v>536834</v>
      </c>
      <c r="S1211" s="122">
        <v>488031</v>
      </c>
      <c r="T1211" s="122">
        <v>17946</v>
      </c>
      <c r="U1211" s="122">
        <v>6647</v>
      </c>
      <c r="V1211" s="122">
        <v>1575966</v>
      </c>
      <c r="W1211" s="122">
        <f t="shared" si="38"/>
        <v>1575967</v>
      </c>
      <c r="X1211" s="122">
        <f t="shared" si="39"/>
        <v>1932604</v>
      </c>
      <c r="AA1211" t="s">
        <v>60</v>
      </c>
      <c r="AB1211" t="s">
        <v>405</v>
      </c>
      <c r="AC1211" t="s">
        <v>137</v>
      </c>
      <c r="AD1211" t="s">
        <v>407</v>
      </c>
      <c r="AE1211" t="s">
        <v>137</v>
      </c>
      <c r="AF1211">
        <v>1</v>
      </c>
      <c r="AG1211">
        <v>52</v>
      </c>
      <c r="AH1211">
        <v>372</v>
      </c>
      <c r="AI1211" s="122">
        <v>31196</v>
      </c>
      <c r="AJ1211" s="122">
        <v>28360</v>
      </c>
      <c r="AK1211">
        <v>73</v>
      </c>
      <c r="AL1211">
        <v>0</v>
      </c>
      <c r="AM1211">
        <v>0</v>
      </c>
      <c r="AN1211" s="122">
        <v>2053</v>
      </c>
      <c r="AO1211">
        <v>760</v>
      </c>
      <c r="AP1211">
        <v>473</v>
      </c>
      <c r="AQ1211">
        <v>175</v>
      </c>
      <c r="AR1211" s="122">
        <v>5235</v>
      </c>
      <c r="AS1211" s="122">
        <v>4759</v>
      </c>
      <c r="AT1211">
        <v>0</v>
      </c>
      <c r="AU1211">
        <v>0</v>
      </c>
      <c r="AV1211" s="122">
        <v>34055</v>
      </c>
    </row>
    <row r="1212" spans="2:48" hidden="1">
      <c r="B1212" t="s">
        <v>371</v>
      </c>
      <c r="C1212" t="s">
        <v>54</v>
      </c>
      <c r="D1212" t="s">
        <v>407</v>
      </c>
      <c r="E1212" t="s">
        <v>407</v>
      </c>
      <c r="F1212" s="122">
        <v>305</v>
      </c>
      <c r="G1212" s="122">
        <v>31285</v>
      </c>
      <c r="H1212" s="122">
        <v>42242</v>
      </c>
      <c r="I1212" s="122">
        <v>2045042</v>
      </c>
      <c r="J1212" s="122">
        <v>1859129</v>
      </c>
      <c r="K1212" s="122">
        <v>86</v>
      </c>
      <c r="L1212" s="122">
        <v>322089</v>
      </c>
      <c r="M1212" s="122">
        <v>302551</v>
      </c>
      <c r="N1212" s="122">
        <v>547609</v>
      </c>
      <c r="O1212" s="122">
        <v>202818</v>
      </c>
      <c r="P1212" s="122">
        <v>148352</v>
      </c>
      <c r="Q1212" s="122">
        <v>54945</v>
      </c>
      <c r="R1212" s="122">
        <v>1386005</v>
      </c>
      <c r="S1212" s="122">
        <v>1260004</v>
      </c>
      <c r="T1212" s="122">
        <v>41709</v>
      </c>
      <c r="U1212" s="122">
        <v>15448</v>
      </c>
      <c r="V1212" s="122">
        <v>3694895</v>
      </c>
      <c r="W1212" s="122">
        <f t="shared" si="38"/>
        <v>3694895</v>
      </c>
      <c r="X1212" s="122">
        <f t="shared" si="39"/>
        <v>4490806</v>
      </c>
      <c r="AA1212" t="s">
        <v>60</v>
      </c>
      <c r="AB1212" t="s">
        <v>405</v>
      </c>
      <c r="AC1212" t="s">
        <v>427</v>
      </c>
      <c r="AD1212" t="s">
        <v>405</v>
      </c>
      <c r="AE1212" t="s">
        <v>137</v>
      </c>
      <c r="AF1212">
        <v>5</v>
      </c>
      <c r="AG1212">
        <v>521</v>
      </c>
      <c r="AH1212" s="122">
        <v>1653</v>
      </c>
      <c r="AI1212" s="122">
        <v>89825</v>
      </c>
      <c r="AJ1212" s="122">
        <v>81659</v>
      </c>
      <c r="AK1212">
        <v>68</v>
      </c>
      <c r="AL1212" s="122">
        <v>19836</v>
      </c>
      <c r="AM1212" s="122">
        <v>18032</v>
      </c>
      <c r="AN1212" s="122">
        <v>12176</v>
      </c>
      <c r="AO1212" s="122">
        <v>4509</v>
      </c>
      <c r="AP1212" s="122">
        <v>2390</v>
      </c>
      <c r="AQ1212">
        <v>885</v>
      </c>
      <c r="AR1212" s="122">
        <v>30996</v>
      </c>
      <c r="AS1212" s="122">
        <v>28178</v>
      </c>
      <c r="AT1212" s="122">
        <v>19023</v>
      </c>
      <c r="AU1212" s="122">
        <v>7046</v>
      </c>
      <c r="AV1212" s="122">
        <v>140309</v>
      </c>
    </row>
    <row r="1213" spans="2:48" hidden="1">
      <c r="B1213" t="s">
        <v>371</v>
      </c>
      <c r="C1213" t="s">
        <v>54</v>
      </c>
      <c r="D1213" t="s">
        <v>433</v>
      </c>
      <c r="E1213" t="s">
        <v>433</v>
      </c>
      <c r="F1213" s="122">
        <v>1</v>
      </c>
      <c r="G1213" s="122">
        <v>159</v>
      </c>
      <c r="H1213" s="122">
        <v>131</v>
      </c>
      <c r="I1213" s="122">
        <v>11440</v>
      </c>
      <c r="J1213" s="122">
        <v>10400</v>
      </c>
      <c r="K1213" s="122">
        <v>81</v>
      </c>
      <c r="L1213" s="122">
        <v>0</v>
      </c>
      <c r="M1213" s="122">
        <v>0</v>
      </c>
      <c r="N1213" s="122">
        <v>2089</v>
      </c>
      <c r="O1213" s="122">
        <v>774</v>
      </c>
      <c r="P1213" s="122">
        <v>351</v>
      </c>
      <c r="Q1213" s="122">
        <v>130</v>
      </c>
      <c r="R1213" s="122">
        <v>3754</v>
      </c>
      <c r="S1213" s="122">
        <v>3413</v>
      </c>
      <c r="T1213" s="122">
        <v>3114</v>
      </c>
      <c r="U1213" s="122">
        <v>1154</v>
      </c>
      <c r="V1213" s="122">
        <v>15870</v>
      </c>
      <c r="W1213" s="122">
        <f t="shared" si="38"/>
        <v>15871</v>
      </c>
      <c r="X1213" s="122">
        <f t="shared" si="39"/>
        <v>20748</v>
      </c>
      <c r="AA1213" t="s">
        <v>60</v>
      </c>
      <c r="AB1213" t="s">
        <v>405</v>
      </c>
      <c r="AC1213" t="s">
        <v>427</v>
      </c>
      <c r="AD1213" t="s">
        <v>405</v>
      </c>
      <c r="AE1213" t="s">
        <v>566</v>
      </c>
      <c r="AF1213">
        <v>1</v>
      </c>
      <c r="AG1213">
        <v>82</v>
      </c>
      <c r="AH1213">
        <v>350</v>
      </c>
      <c r="AI1213" s="122">
        <v>18499</v>
      </c>
      <c r="AJ1213" s="122">
        <v>16817</v>
      </c>
      <c r="AK1213">
        <v>90</v>
      </c>
      <c r="AL1213" s="122">
        <v>6166</v>
      </c>
      <c r="AM1213" s="122">
        <v>5606</v>
      </c>
      <c r="AN1213" s="122">
        <v>1220</v>
      </c>
      <c r="AO1213">
        <v>452</v>
      </c>
      <c r="AP1213">
        <v>473</v>
      </c>
      <c r="AQ1213">
        <v>175</v>
      </c>
      <c r="AR1213" s="122">
        <v>2398</v>
      </c>
      <c r="AS1213" s="122">
        <v>2180</v>
      </c>
      <c r="AT1213">
        <v>0</v>
      </c>
      <c r="AU1213">
        <v>0</v>
      </c>
      <c r="AV1213" s="122">
        <v>25230</v>
      </c>
    </row>
    <row r="1214" spans="2:48" hidden="1">
      <c r="B1214" t="s">
        <v>371</v>
      </c>
      <c r="C1214" t="s">
        <v>54</v>
      </c>
      <c r="D1214" t="s">
        <v>408</v>
      </c>
      <c r="E1214" t="s">
        <v>408</v>
      </c>
      <c r="F1214" s="122">
        <v>1</v>
      </c>
      <c r="G1214" s="122">
        <v>79</v>
      </c>
      <c r="H1214" s="122">
        <v>149</v>
      </c>
      <c r="I1214" s="122">
        <v>4677</v>
      </c>
      <c r="J1214" s="122">
        <v>4252</v>
      </c>
      <c r="K1214" s="122">
        <v>90</v>
      </c>
      <c r="L1214" s="122">
        <v>1149</v>
      </c>
      <c r="M1214" s="122">
        <v>426</v>
      </c>
      <c r="N1214" s="122">
        <v>1928</v>
      </c>
      <c r="O1214" s="122">
        <v>714</v>
      </c>
      <c r="P1214" s="122">
        <v>351</v>
      </c>
      <c r="Q1214" s="122">
        <v>130</v>
      </c>
      <c r="R1214" s="122">
        <v>3646</v>
      </c>
      <c r="S1214" s="122">
        <v>3315</v>
      </c>
      <c r="T1214" s="122">
        <v>0</v>
      </c>
      <c r="U1214" s="122">
        <v>0</v>
      </c>
      <c r="V1214" s="122">
        <v>8836</v>
      </c>
      <c r="W1214" s="122">
        <f t="shared" si="38"/>
        <v>8837</v>
      </c>
      <c r="X1214" s="122">
        <f t="shared" si="39"/>
        <v>11751</v>
      </c>
      <c r="AA1214" t="s">
        <v>60</v>
      </c>
      <c r="AB1214" t="s">
        <v>405</v>
      </c>
      <c r="AC1214" t="s">
        <v>579</v>
      </c>
      <c r="AD1214" t="s">
        <v>405</v>
      </c>
      <c r="AE1214" t="s">
        <v>137</v>
      </c>
      <c r="AF1214">
        <v>4</v>
      </c>
      <c r="AG1214">
        <v>397</v>
      </c>
      <c r="AH1214" s="122">
        <v>1295</v>
      </c>
      <c r="AI1214" s="122">
        <v>75928</v>
      </c>
      <c r="AJ1214" s="122">
        <v>69026</v>
      </c>
      <c r="AK1214">
        <v>70</v>
      </c>
      <c r="AL1214" s="122">
        <v>14685</v>
      </c>
      <c r="AM1214" s="122">
        <v>12238</v>
      </c>
      <c r="AN1214" s="122">
        <v>8221</v>
      </c>
      <c r="AO1214" s="122">
        <v>3045</v>
      </c>
      <c r="AP1214" s="122">
        <v>2120</v>
      </c>
      <c r="AQ1214">
        <v>785</v>
      </c>
      <c r="AR1214" s="122">
        <v>17984</v>
      </c>
      <c r="AS1214" s="122">
        <v>16349</v>
      </c>
      <c r="AT1214" s="122">
        <v>9905</v>
      </c>
      <c r="AU1214" s="122">
        <v>3669</v>
      </c>
      <c r="AV1214" s="122">
        <v>105111</v>
      </c>
    </row>
    <row r="1215" spans="2:48" hidden="1">
      <c r="B1215" t="s">
        <v>371</v>
      </c>
      <c r="C1215" t="s">
        <v>54</v>
      </c>
      <c r="D1215" t="s">
        <v>429</v>
      </c>
      <c r="E1215" t="s">
        <v>429</v>
      </c>
      <c r="F1215" s="122">
        <v>1</v>
      </c>
      <c r="G1215" s="122">
        <v>94</v>
      </c>
      <c r="H1215" s="122">
        <v>137</v>
      </c>
      <c r="I1215" s="122">
        <v>6565</v>
      </c>
      <c r="J1215" s="122">
        <v>5969</v>
      </c>
      <c r="K1215" s="122">
        <v>89</v>
      </c>
      <c r="L1215" s="122">
        <v>949</v>
      </c>
      <c r="M1215" s="122">
        <v>863</v>
      </c>
      <c r="N1215" s="122">
        <v>2289</v>
      </c>
      <c r="O1215" s="122">
        <v>848</v>
      </c>
      <c r="P1215" s="122">
        <v>351</v>
      </c>
      <c r="Q1215" s="122">
        <v>130</v>
      </c>
      <c r="R1215" s="122">
        <v>2728</v>
      </c>
      <c r="S1215" s="122">
        <v>2480</v>
      </c>
      <c r="T1215" s="122">
        <v>0</v>
      </c>
      <c r="U1215" s="122">
        <v>0</v>
      </c>
      <c r="V1215" s="122">
        <v>10290</v>
      </c>
      <c r="W1215" s="122">
        <f t="shared" si="38"/>
        <v>10290</v>
      </c>
      <c r="X1215" s="122">
        <f t="shared" si="39"/>
        <v>12882</v>
      </c>
      <c r="AA1215" t="s">
        <v>60</v>
      </c>
      <c r="AB1215" t="s">
        <v>405</v>
      </c>
      <c r="AC1215" t="s">
        <v>579</v>
      </c>
      <c r="AD1215" t="s">
        <v>405</v>
      </c>
      <c r="AE1215" t="s">
        <v>566</v>
      </c>
      <c r="AF1215">
        <v>2</v>
      </c>
      <c r="AG1215">
        <v>213</v>
      </c>
      <c r="AH1215">
        <v>626</v>
      </c>
      <c r="AI1215" s="122">
        <v>39308</v>
      </c>
      <c r="AJ1215" s="122">
        <v>35734</v>
      </c>
      <c r="AK1215">
        <v>86</v>
      </c>
      <c r="AL1215" s="122">
        <v>12985</v>
      </c>
      <c r="AM1215" s="122">
        <v>10821</v>
      </c>
      <c r="AN1215" s="122">
        <v>4509</v>
      </c>
      <c r="AO1215" s="122">
        <v>1670</v>
      </c>
      <c r="AP1215">
        <v>945</v>
      </c>
      <c r="AQ1215">
        <v>350</v>
      </c>
      <c r="AR1215" s="122">
        <v>8713</v>
      </c>
      <c r="AS1215" s="122">
        <v>7921</v>
      </c>
      <c r="AT1215">
        <v>0</v>
      </c>
      <c r="AU1215">
        <v>0</v>
      </c>
      <c r="AV1215" s="122">
        <v>56496</v>
      </c>
    </row>
    <row r="1216" spans="2:48" hidden="1">
      <c r="B1216" t="s">
        <v>371</v>
      </c>
      <c r="C1216" t="s">
        <v>56</v>
      </c>
      <c r="F1216" s="122">
        <v>9</v>
      </c>
      <c r="G1216" s="122">
        <v>623</v>
      </c>
      <c r="H1216" s="122">
        <v>1691</v>
      </c>
      <c r="I1216" s="122"/>
      <c r="J1216" s="122">
        <v>0</v>
      </c>
      <c r="K1216" s="122"/>
      <c r="L1216" s="122"/>
      <c r="M1216" s="122">
        <v>0</v>
      </c>
      <c r="N1216" s="122">
        <v>9937</v>
      </c>
      <c r="O1216" s="122">
        <v>3680</v>
      </c>
      <c r="P1216" s="122">
        <v>4428</v>
      </c>
      <c r="Q1216" s="122">
        <v>1640</v>
      </c>
      <c r="R1216" s="122"/>
      <c r="S1216" s="122">
        <v>0</v>
      </c>
      <c r="T1216" s="122">
        <v>0</v>
      </c>
      <c r="U1216" s="122">
        <v>0</v>
      </c>
      <c r="V1216" s="122">
        <v>5320</v>
      </c>
      <c r="W1216" s="122">
        <f t="shared" si="38"/>
        <v>5320</v>
      </c>
      <c r="X1216" s="122">
        <f t="shared" si="39"/>
        <v>14365</v>
      </c>
      <c r="AA1216" t="s">
        <v>60</v>
      </c>
      <c r="AB1216" t="s">
        <v>405</v>
      </c>
      <c r="AC1216" t="s">
        <v>426</v>
      </c>
      <c r="AD1216" t="s">
        <v>425</v>
      </c>
      <c r="AE1216" t="s">
        <v>137</v>
      </c>
      <c r="AF1216">
        <v>1</v>
      </c>
      <c r="AG1216">
        <v>90</v>
      </c>
      <c r="AH1216">
        <v>305</v>
      </c>
      <c r="AI1216" s="122">
        <v>14350</v>
      </c>
      <c r="AJ1216" s="122">
        <v>13045</v>
      </c>
      <c r="AK1216">
        <v>65</v>
      </c>
      <c r="AL1216" s="122">
        <v>3285</v>
      </c>
      <c r="AM1216" s="122">
        <v>2986</v>
      </c>
      <c r="AN1216" s="122">
        <v>2096</v>
      </c>
      <c r="AO1216">
        <v>776</v>
      </c>
      <c r="AP1216">
        <v>473</v>
      </c>
      <c r="AQ1216">
        <v>175</v>
      </c>
      <c r="AR1216" s="122">
        <v>4707</v>
      </c>
      <c r="AS1216" s="122">
        <v>4279</v>
      </c>
      <c r="AT1216" s="122">
        <v>2427</v>
      </c>
      <c r="AU1216">
        <v>899</v>
      </c>
      <c r="AV1216" s="122">
        <v>22161</v>
      </c>
    </row>
    <row r="1217" spans="2:48" hidden="1">
      <c r="B1217" t="s">
        <v>371</v>
      </c>
      <c r="C1217" t="s">
        <v>56</v>
      </c>
      <c r="D1217" t="s">
        <v>405</v>
      </c>
      <c r="E1217" t="s">
        <v>425</v>
      </c>
      <c r="F1217" s="122">
        <v>1</v>
      </c>
      <c r="G1217" s="122">
        <v>137</v>
      </c>
      <c r="H1217" s="122">
        <v>174</v>
      </c>
      <c r="I1217" s="122">
        <v>12302</v>
      </c>
      <c r="J1217" s="122">
        <v>11183</v>
      </c>
      <c r="K1217" s="122">
        <v>90</v>
      </c>
      <c r="L1217" s="122">
        <v>3905</v>
      </c>
      <c r="M1217" s="122">
        <v>3550</v>
      </c>
      <c r="N1217" s="122">
        <v>3129</v>
      </c>
      <c r="O1217" s="122">
        <v>1159</v>
      </c>
      <c r="P1217" s="122">
        <v>473</v>
      </c>
      <c r="Q1217" s="122">
        <v>175</v>
      </c>
      <c r="R1217" s="122">
        <v>4082</v>
      </c>
      <c r="S1217" s="122">
        <v>3711</v>
      </c>
      <c r="T1217" s="122">
        <v>0</v>
      </c>
      <c r="U1217" s="122">
        <v>0</v>
      </c>
      <c r="V1217" s="122">
        <v>19778</v>
      </c>
      <c r="W1217" s="122">
        <f t="shared" si="38"/>
        <v>19778</v>
      </c>
      <c r="X1217" s="122">
        <f t="shared" si="39"/>
        <v>23891</v>
      </c>
      <c r="AA1217" t="s">
        <v>60</v>
      </c>
      <c r="AB1217" t="s">
        <v>405</v>
      </c>
      <c r="AC1217" t="s">
        <v>426</v>
      </c>
      <c r="AD1217" t="s">
        <v>405</v>
      </c>
      <c r="AE1217" t="s">
        <v>137</v>
      </c>
      <c r="AF1217">
        <v>19</v>
      </c>
      <c r="AG1217" s="122">
        <v>2136</v>
      </c>
      <c r="AH1217" s="122">
        <v>6408</v>
      </c>
      <c r="AI1217" s="122">
        <v>449672</v>
      </c>
      <c r="AJ1217" s="122">
        <v>408793</v>
      </c>
      <c r="AK1217">
        <v>77</v>
      </c>
      <c r="AL1217" s="122">
        <v>105554</v>
      </c>
      <c r="AM1217" s="122">
        <v>95958</v>
      </c>
      <c r="AN1217" s="122">
        <v>45715</v>
      </c>
      <c r="AO1217" s="122">
        <v>16931</v>
      </c>
      <c r="AP1217" s="122">
        <v>8370</v>
      </c>
      <c r="AQ1217" s="122">
        <v>3100</v>
      </c>
      <c r="AR1217" s="122">
        <v>95129</v>
      </c>
      <c r="AS1217" s="122">
        <v>86481</v>
      </c>
      <c r="AT1217" s="122">
        <v>28521</v>
      </c>
      <c r="AU1217" s="122">
        <v>10563</v>
      </c>
      <c r="AV1217" s="122">
        <v>621827</v>
      </c>
    </row>
    <row r="1218" spans="2:48" hidden="1">
      <c r="B1218" t="s">
        <v>371</v>
      </c>
      <c r="C1218" t="s">
        <v>56</v>
      </c>
      <c r="D1218" t="s">
        <v>405</v>
      </c>
      <c r="E1218" t="s">
        <v>405</v>
      </c>
      <c r="F1218" s="122">
        <v>71</v>
      </c>
      <c r="G1218" s="122">
        <v>9003</v>
      </c>
      <c r="H1218" s="122">
        <v>13369</v>
      </c>
      <c r="I1218" s="122">
        <v>932034</v>
      </c>
      <c r="J1218" s="122">
        <v>847304</v>
      </c>
      <c r="K1218" s="122">
        <v>80</v>
      </c>
      <c r="L1218" s="122">
        <v>219290</v>
      </c>
      <c r="M1218" s="122">
        <v>199221</v>
      </c>
      <c r="N1218" s="122">
        <v>203914</v>
      </c>
      <c r="O1218" s="122">
        <v>75524</v>
      </c>
      <c r="P1218" s="122">
        <v>35654</v>
      </c>
      <c r="Q1218" s="122">
        <v>13205</v>
      </c>
      <c r="R1218" s="122">
        <v>406156</v>
      </c>
      <c r="S1218" s="122">
        <v>369232</v>
      </c>
      <c r="T1218" s="122">
        <v>34573</v>
      </c>
      <c r="U1218" s="122">
        <v>12805</v>
      </c>
      <c r="V1218" s="122">
        <v>1517290</v>
      </c>
      <c r="W1218" s="122">
        <f t="shared" si="38"/>
        <v>1517291</v>
      </c>
      <c r="X1218" s="122">
        <f t="shared" si="39"/>
        <v>1831621</v>
      </c>
      <c r="AA1218" t="s">
        <v>60</v>
      </c>
      <c r="AB1218" t="s">
        <v>405</v>
      </c>
      <c r="AC1218" t="s">
        <v>426</v>
      </c>
      <c r="AD1218" t="s">
        <v>405</v>
      </c>
      <c r="AE1218" t="s">
        <v>566</v>
      </c>
      <c r="AF1218">
        <v>19</v>
      </c>
      <c r="AG1218" s="122">
        <v>2099</v>
      </c>
      <c r="AH1218" s="122">
        <v>6298</v>
      </c>
      <c r="AI1218" s="122">
        <v>455990</v>
      </c>
      <c r="AJ1218" s="122">
        <v>414537</v>
      </c>
      <c r="AK1218">
        <v>81</v>
      </c>
      <c r="AL1218" s="122">
        <v>116780</v>
      </c>
      <c r="AM1218" s="122">
        <v>106163</v>
      </c>
      <c r="AN1218" s="122">
        <v>42382</v>
      </c>
      <c r="AO1218" s="122">
        <v>15697</v>
      </c>
      <c r="AP1218" s="122">
        <v>10287</v>
      </c>
      <c r="AQ1218" s="122">
        <v>3810</v>
      </c>
      <c r="AR1218" s="122">
        <v>85828</v>
      </c>
      <c r="AS1218" s="122">
        <v>78025</v>
      </c>
      <c r="AT1218">
        <v>0</v>
      </c>
      <c r="AU1218">
        <v>0</v>
      </c>
      <c r="AV1218" s="122">
        <v>618232</v>
      </c>
    </row>
    <row r="1219" spans="2:48" hidden="1">
      <c r="B1219" t="s">
        <v>371</v>
      </c>
      <c r="C1219" t="s">
        <v>56</v>
      </c>
      <c r="D1219" t="s">
        <v>405</v>
      </c>
      <c r="E1219" t="s">
        <v>407</v>
      </c>
      <c r="F1219" s="122">
        <v>1</v>
      </c>
      <c r="G1219" s="122">
        <v>119</v>
      </c>
      <c r="H1219" s="122">
        <v>158</v>
      </c>
      <c r="I1219" s="122">
        <v>8817</v>
      </c>
      <c r="J1219" s="122">
        <v>8015</v>
      </c>
      <c r="K1219" s="122">
        <v>80</v>
      </c>
      <c r="L1219" s="122">
        <v>1238</v>
      </c>
      <c r="M1219" s="122">
        <v>1125</v>
      </c>
      <c r="N1219" s="122">
        <v>2050</v>
      </c>
      <c r="O1219" s="122">
        <v>759</v>
      </c>
      <c r="P1219" s="122">
        <v>473</v>
      </c>
      <c r="Q1219" s="122">
        <v>175</v>
      </c>
      <c r="R1219" s="122">
        <v>3475</v>
      </c>
      <c r="S1219" s="122">
        <v>3159</v>
      </c>
      <c r="T1219" s="122">
        <v>2801</v>
      </c>
      <c r="U1219" s="122">
        <v>1037</v>
      </c>
      <c r="V1219" s="122">
        <v>14271</v>
      </c>
      <c r="W1219" s="122">
        <f t="shared" si="38"/>
        <v>14270</v>
      </c>
      <c r="X1219" s="122">
        <f t="shared" si="39"/>
        <v>18854</v>
      </c>
      <c r="AA1219" t="s">
        <v>60</v>
      </c>
      <c r="AB1219" t="s">
        <v>405</v>
      </c>
      <c r="AC1219" t="s">
        <v>426</v>
      </c>
      <c r="AD1219" t="s">
        <v>407</v>
      </c>
      <c r="AE1219" t="s">
        <v>566</v>
      </c>
      <c r="AF1219">
        <v>1</v>
      </c>
      <c r="AG1219">
        <v>90</v>
      </c>
      <c r="AH1219">
        <v>317</v>
      </c>
      <c r="AI1219" s="122">
        <v>15607</v>
      </c>
      <c r="AJ1219" s="122">
        <v>14188</v>
      </c>
      <c r="AK1219">
        <v>75</v>
      </c>
      <c r="AL1219" s="122">
        <v>4139</v>
      </c>
      <c r="AM1219" s="122">
        <v>3762</v>
      </c>
      <c r="AN1219" s="122">
        <v>1709</v>
      </c>
      <c r="AO1219">
        <v>633</v>
      </c>
      <c r="AP1219">
        <v>473</v>
      </c>
      <c r="AQ1219">
        <v>175</v>
      </c>
      <c r="AR1219" s="122">
        <v>6602</v>
      </c>
      <c r="AS1219" s="122">
        <v>6002</v>
      </c>
      <c r="AT1219">
        <v>0</v>
      </c>
      <c r="AU1219">
        <v>0</v>
      </c>
      <c r="AV1219" s="122">
        <v>24760</v>
      </c>
    </row>
    <row r="1220" spans="2:48" hidden="1">
      <c r="B1220" t="s">
        <v>371</v>
      </c>
      <c r="C1220" t="s">
        <v>56</v>
      </c>
      <c r="D1220" t="s">
        <v>137</v>
      </c>
      <c r="E1220" t="s">
        <v>137</v>
      </c>
      <c r="F1220" s="122">
        <v>41</v>
      </c>
      <c r="G1220" s="122">
        <v>4130</v>
      </c>
      <c r="H1220" s="122">
        <v>7603</v>
      </c>
      <c r="I1220" s="122">
        <v>416314</v>
      </c>
      <c r="J1220" s="122">
        <v>154190</v>
      </c>
      <c r="K1220" s="122">
        <v>120</v>
      </c>
      <c r="L1220" s="122">
        <v>44854</v>
      </c>
      <c r="M1220" s="122">
        <v>21124</v>
      </c>
      <c r="N1220" s="122">
        <v>63699</v>
      </c>
      <c r="O1220" s="122">
        <v>23592</v>
      </c>
      <c r="P1220" s="122">
        <v>1404</v>
      </c>
      <c r="Q1220" s="122">
        <v>520</v>
      </c>
      <c r="R1220" s="122">
        <v>324590</v>
      </c>
      <c r="S1220" s="122">
        <v>120218</v>
      </c>
      <c r="T1220" s="122">
        <v>0</v>
      </c>
      <c r="U1220" s="122">
        <v>0</v>
      </c>
      <c r="V1220" s="122">
        <v>319645</v>
      </c>
      <c r="W1220" s="122">
        <f t="shared" si="38"/>
        <v>319644</v>
      </c>
      <c r="X1220" s="122">
        <f t="shared" si="39"/>
        <v>850861</v>
      </c>
      <c r="AA1220" t="s">
        <v>60</v>
      </c>
      <c r="AB1220" t="s">
        <v>405</v>
      </c>
      <c r="AC1220" t="s">
        <v>566</v>
      </c>
      <c r="AD1220" t="s">
        <v>405</v>
      </c>
      <c r="AE1220" t="s">
        <v>566</v>
      </c>
      <c r="AF1220">
        <v>6</v>
      </c>
      <c r="AG1220">
        <v>372</v>
      </c>
      <c r="AH1220" s="122">
        <v>1991</v>
      </c>
      <c r="AI1220" s="122">
        <v>94173</v>
      </c>
      <c r="AJ1220" s="122">
        <v>85611</v>
      </c>
      <c r="AK1220">
        <v>77</v>
      </c>
      <c r="AL1220">
        <v>0</v>
      </c>
      <c r="AM1220">
        <v>0</v>
      </c>
      <c r="AN1220" s="122">
        <v>7223</v>
      </c>
      <c r="AO1220" s="122">
        <v>2675</v>
      </c>
      <c r="AP1220" s="122">
        <v>2835</v>
      </c>
      <c r="AQ1220" s="122">
        <v>1050</v>
      </c>
      <c r="AR1220" s="122">
        <v>19587</v>
      </c>
      <c r="AS1220" s="122">
        <v>17806</v>
      </c>
      <c r="AT1220">
        <v>0</v>
      </c>
      <c r="AU1220">
        <v>0</v>
      </c>
      <c r="AV1220" s="122">
        <v>107143</v>
      </c>
    </row>
    <row r="1221" spans="2:48" hidden="1">
      <c r="B1221" t="s">
        <v>371</v>
      </c>
      <c r="C1221" t="s">
        <v>56</v>
      </c>
      <c r="D1221" t="s">
        <v>406</v>
      </c>
      <c r="E1221" t="s">
        <v>425</v>
      </c>
      <c r="F1221" s="122">
        <v>1</v>
      </c>
      <c r="G1221" s="122">
        <v>146</v>
      </c>
      <c r="H1221" s="122">
        <v>223</v>
      </c>
      <c r="I1221" s="122">
        <v>22371</v>
      </c>
      <c r="J1221" s="122">
        <v>20337</v>
      </c>
      <c r="K1221" s="122">
        <v>79</v>
      </c>
      <c r="L1221" s="122">
        <v>2868</v>
      </c>
      <c r="M1221" s="122">
        <v>2607</v>
      </c>
      <c r="N1221" s="122">
        <v>1969</v>
      </c>
      <c r="O1221" s="122">
        <v>729</v>
      </c>
      <c r="P1221" s="122">
        <v>621</v>
      </c>
      <c r="Q1221" s="122">
        <v>230</v>
      </c>
      <c r="R1221" s="122">
        <v>4689</v>
      </c>
      <c r="S1221" s="122">
        <v>4263</v>
      </c>
      <c r="T1221" s="122">
        <v>0</v>
      </c>
      <c r="U1221" s="122">
        <v>0</v>
      </c>
      <c r="V1221" s="122">
        <v>28166</v>
      </c>
      <c r="W1221" s="122">
        <f t="shared" si="38"/>
        <v>28166</v>
      </c>
      <c r="X1221" s="122">
        <f t="shared" si="39"/>
        <v>32518</v>
      </c>
      <c r="AA1221" t="s">
        <v>60</v>
      </c>
      <c r="AB1221" t="s">
        <v>405</v>
      </c>
      <c r="AC1221" t="s">
        <v>433</v>
      </c>
      <c r="AD1221" t="s">
        <v>405</v>
      </c>
      <c r="AE1221" t="s">
        <v>566</v>
      </c>
      <c r="AF1221">
        <v>1</v>
      </c>
      <c r="AG1221">
        <v>115</v>
      </c>
      <c r="AH1221">
        <v>378</v>
      </c>
      <c r="AI1221" s="122">
        <v>27599</v>
      </c>
      <c r="AJ1221" s="122">
        <v>25090</v>
      </c>
      <c r="AK1221">
        <v>87</v>
      </c>
      <c r="AL1221" s="122">
        <v>8474</v>
      </c>
      <c r="AM1221" s="122">
        <v>7703</v>
      </c>
      <c r="AN1221" s="122">
        <v>2102</v>
      </c>
      <c r="AO1221">
        <v>778</v>
      </c>
      <c r="AP1221">
        <v>473</v>
      </c>
      <c r="AQ1221">
        <v>175</v>
      </c>
      <c r="AR1221" s="122">
        <v>4847</v>
      </c>
      <c r="AS1221" s="122">
        <v>4406</v>
      </c>
      <c r="AT1221">
        <v>0</v>
      </c>
      <c r="AU1221">
        <v>0</v>
      </c>
      <c r="AV1221" s="122">
        <v>38153</v>
      </c>
    </row>
    <row r="1222" spans="2:48">
      <c r="B1222" t="s">
        <v>371</v>
      </c>
      <c r="C1222" t="s">
        <v>56</v>
      </c>
      <c r="D1222" t="s">
        <v>406</v>
      </c>
      <c r="E1222" t="s">
        <v>137</v>
      </c>
      <c r="F1222" s="122">
        <v>1</v>
      </c>
      <c r="G1222" s="122">
        <v>115</v>
      </c>
      <c r="H1222" s="122">
        <v>158</v>
      </c>
      <c r="I1222" s="122">
        <v>10171</v>
      </c>
      <c r="J1222" s="122">
        <v>9246</v>
      </c>
      <c r="K1222" s="122">
        <v>95</v>
      </c>
      <c r="L1222" s="122">
        <v>1534</v>
      </c>
      <c r="M1222" s="122">
        <v>1279</v>
      </c>
      <c r="N1222" s="122">
        <v>1919</v>
      </c>
      <c r="O1222" s="122">
        <v>711</v>
      </c>
      <c r="P1222" s="122">
        <v>621</v>
      </c>
      <c r="Q1222" s="122">
        <v>230</v>
      </c>
      <c r="R1222" s="122">
        <v>3903</v>
      </c>
      <c r="S1222" s="122">
        <v>1446</v>
      </c>
      <c r="T1222" s="122">
        <v>0</v>
      </c>
      <c r="U1222" s="122">
        <v>0</v>
      </c>
      <c r="V1222" s="122">
        <v>12911</v>
      </c>
      <c r="W1222" s="122">
        <f t="shared" si="38"/>
        <v>12912</v>
      </c>
      <c r="X1222" s="122">
        <f t="shared" si="39"/>
        <v>18148</v>
      </c>
      <c r="AA1222" t="s">
        <v>60</v>
      </c>
      <c r="AB1222" t="s">
        <v>137</v>
      </c>
      <c r="AC1222" t="s">
        <v>578</v>
      </c>
      <c r="AD1222" t="s">
        <v>137</v>
      </c>
      <c r="AE1222" t="s">
        <v>566</v>
      </c>
      <c r="AF1222">
        <v>3</v>
      </c>
      <c r="AG1222">
        <v>306</v>
      </c>
      <c r="AH1222" s="122">
        <v>1053</v>
      </c>
      <c r="AI1222" s="122">
        <v>65264</v>
      </c>
      <c r="AJ1222" s="122">
        <v>24172</v>
      </c>
      <c r="AK1222">
        <v>100</v>
      </c>
      <c r="AL1222" s="122">
        <v>9848</v>
      </c>
      <c r="AM1222" s="122">
        <v>8953</v>
      </c>
      <c r="AN1222" s="122">
        <v>6210</v>
      </c>
      <c r="AO1222" s="122">
        <v>2300</v>
      </c>
      <c r="AP1222">
        <v>0</v>
      </c>
      <c r="AQ1222">
        <v>0</v>
      </c>
      <c r="AR1222" s="122">
        <v>26359</v>
      </c>
      <c r="AS1222" s="122">
        <v>9762</v>
      </c>
      <c r="AT1222">
        <v>0</v>
      </c>
      <c r="AU1222">
        <v>0</v>
      </c>
      <c r="AV1222" s="122">
        <v>45187</v>
      </c>
    </row>
    <row r="1223" spans="2:48" hidden="1">
      <c r="B1223" t="s">
        <v>371</v>
      </c>
      <c r="C1223" t="s">
        <v>56</v>
      </c>
      <c r="D1223" t="s">
        <v>406</v>
      </c>
      <c r="E1223" t="s">
        <v>406</v>
      </c>
      <c r="F1223" s="122">
        <v>1058</v>
      </c>
      <c r="G1223" s="122">
        <v>105700</v>
      </c>
      <c r="H1223" s="122">
        <v>201216</v>
      </c>
      <c r="I1223" s="122">
        <v>9567350</v>
      </c>
      <c r="J1223" s="122">
        <v>8697591</v>
      </c>
      <c r="K1223" s="122">
        <v>86</v>
      </c>
      <c r="L1223" s="122">
        <v>2279471</v>
      </c>
      <c r="M1223" s="122">
        <v>1998996</v>
      </c>
      <c r="N1223" s="122">
        <v>2091941</v>
      </c>
      <c r="O1223" s="122">
        <v>774793</v>
      </c>
      <c r="P1223" s="122">
        <v>662680</v>
      </c>
      <c r="Q1223" s="122">
        <v>245437</v>
      </c>
      <c r="R1223" s="122">
        <v>4482958</v>
      </c>
      <c r="S1223" s="122">
        <v>4075416</v>
      </c>
      <c r="T1223" s="122">
        <v>1376037</v>
      </c>
      <c r="U1223" s="122">
        <v>509643</v>
      </c>
      <c r="V1223" s="122">
        <v>16301876</v>
      </c>
      <c r="W1223" s="122">
        <f t="shared" si="38"/>
        <v>16301876</v>
      </c>
      <c r="X1223" s="122">
        <f t="shared" si="39"/>
        <v>20460437</v>
      </c>
      <c r="AA1223" t="s">
        <v>60</v>
      </c>
      <c r="AB1223" t="s">
        <v>137</v>
      </c>
      <c r="AC1223" t="s">
        <v>425</v>
      </c>
      <c r="AD1223" t="s">
        <v>137</v>
      </c>
      <c r="AE1223" t="s">
        <v>137</v>
      </c>
      <c r="AF1223">
        <v>3</v>
      </c>
      <c r="AG1223">
        <v>253</v>
      </c>
      <c r="AH1223">
        <v>958</v>
      </c>
      <c r="AI1223" s="122">
        <v>44923</v>
      </c>
      <c r="AJ1223" s="122">
        <v>16638</v>
      </c>
      <c r="AK1223">
        <v>100</v>
      </c>
      <c r="AL1223" s="122">
        <v>6841</v>
      </c>
      <c r="AM1223" s="122">
        <v>6219</v>
      </c>
      <c r="AN1223" s="122">
        <v>5606</v>
      </c>
      <c r="AO1223" s="122">
        <v>2076</v>
      </c>
      <c r="AP1223">
        <v>0</v>
      </c>
      <c r="AQ1223">
        <v>0</v>
      </c>
      <c r="AR1223" s="122">
        <v>23595</v>
      </c>
      <c r="AS1223" s="122">
        <v>8739</v>
      </c>
      <c r="AT1223">
        <v>0</v>
      </c>
      <c r="AU1223">
        <v>0</v>
      </c>
      <c r="AV1223" s="122">
        <v>33672</v>
      </c>
    </row>
    <row r="1224" spans="2:48" hidden="1">
      <c r="B1224" t="s">
        <v>371</v>
      </c>
      <c r="C1224" t="s">
        <v>56</v>
      </c>
      <c r="D1224" t="s">
        <v>406</v>
      </c>
      <c r="E1224" t="s">
        <v>427</v>
      </c>
      <c r="F1224" s="122">
        <v>1</v>
      </c>
      <c r="G1224" s="122">
        <v>80</v>
      </c>
      <c r="H1224" s="122">
        <v>217</v>
      </c>
      <c r="I1224" s="122">
        <v>9999</v>
      </c>
      <c r="J1224" s="122">
        <v>9090</v>
      </c>
      <c r="K1224" s="122">
        <v>79</v>
      </c>
      <c r="L1224" s="122">
        <v>1463</v>
      </c>
      <c r="M1224" s="122">
        <v>1330</v>
      </c>
      <c r="N1224" s="122">
        <v>1076</v>
      </c>
      <c r="O1224" s="122">
        <v>399</v>
      </c>
      <c r="P1224" s="122">
        <v>621</v>
      </c>
      <c r="Q1224" s="122">
        <v>230</v>
      </c>
      <c r="R1224" s="122">
        <v>4241</v>
      </c>
      <c r="S1224" s="122">
        <v>3855</v>
      </c>
      <c r="T1224" s="122">
        <v>0</v>
      </c>
      <c r="U1224" s="122">
        <v>0</v>
      </c>
      <c r="V1224" s="122">
        <v>14903</v>
      </c>
      <c r="W1224" s="122">
        <f t="shared" si="38"/>
        <v>14904</v>
      </c>
      <c r="X1224" s="122">
        <f t="shared" si="39"/>
        <v>17400</v>
      </c>
      <c r="AA1224" t="s">
        <v>60</v>
      </c>
      <c r="AB1224" t="s">
        <v>137</v>
      </c>
      <c r="AC1224" t="s">
        <v>425</v>
      </c>
      <c r="AD1224" t="s">
        <v>137</v>
      </c>
      <c r="AE1224" t="s">
        <v>566</v>
      </c>
      <c r="AF1224">
        <v>36</v>
      </c>
      <c r="AG1224" s="122">
        <v>2897</v>
      </c>
      <c r="AH1224" s="122">
        <v>12206</v>
      </c>
      <c r="AI1224" s="122">
        <v>571943</v>
      </c>
      <c r="AJ1224" s="122">
        <v>211831</v>
      </c>
      <c r="AK1224">
        <v>100</v>
      </c>
      <c r="AL1224" s="122">
        <v>113205</v>
      </c>
      <c r="AM1224" s="122">
        <v>102914</v>
      </c>
      <c r="AN1224" s="122">
        <v>63169</v>
      </c>
      <c r="AO1224" s="122">
        <v>23396</v>
      </c>
      <c r="AP1224">
        <v>972</v>
      </c>
      <c r="AQ1224">
        <v>360</v>
      </c>
      <c r="AR1224" s="122">
        <v>247372</v>
      </c>
      <c r="AS1224" s="122">
        <v>91619</v>
      </c>
      <c r="AT1224">
        <v>0</v>
      </c>
      <c r="AU1224">
        <v>0</v>
      </c>
      <c r="AV1224" s="122">
        <v>430119</v>
      </c>
    </row>
    <row r="1225" spans="2:48" hidden="1">
      <c r="B1225" t="s">
        <v>371</v>
      </c>
      <c r="C1225" t="s">
        <v>56</v>
      </c>
      <c r="D1225" t="s">
        <v>406</v>
      </c>
      <c r="E1225" t="s">
        <v>426</v>
      </c>
      <c r="F1225" s="122">
        <v>2</v>
      </c>
      <c r="G1225" s="122">
        <v>180</v>
      </c>
      <c r="H1225" s="122">
        <v>363</v>
      </c>
      <c r="I1225" s="122">
        <v>16611</v>
      </c>
      <c r="J1225" s="122">
        <v>15101</v>
      </c>
      <c r="K1225" s="122">
        <v>82</v>
      </c>
      <c r="L1225" s="122">
        <v>4773</v>
      </c>
      <c r="M1225" s="122">
        <v>4339</v>
      </c>
      <c r="N1225" s="122">
        <v>3565</v>
      </c>
      <c r="O1225" s="122">
        <v>1320</v>
      </c>
      <c r="P1225" s="122">
        <v>1242</v>
      </c>
      <c r="Q1225" s="122">
        <v>460</v>
      </c>
      <c r="R1225" s="122">
        <v>10470</v>
      </c>
      <c r="S1225" s="122">
        <v>9518</v>
      </c>
      <c r="T1225" s="122">
        <v>0</v>
      </c>
      <c r="U1225" s="122">
        <v>0</v>
      </c>
      <c r="V1225" s="122">
        <v>30739</v>
      </c>
      <c r="W1225" s="122">
        <f t="shared" si="38"/>
        <v>30738</v>
      </c>
      <c r="X1225" s="122">
        <f t="shared" si="39"/>
        <v>36661</v>
      </c>
      <c r="AA1225" t="s">
        <v>60</v>
      </c>
      <c r="AB1225" t="s">
        <v>137</v>
      </c>
      <c r="AC1225" t="s">
        <v>405</v>
      </c>
      <c r="AD1225" t="s">
        <v>137</v>
      </c>
      <c r="AE1225" t="s">
        <v>566</v>
      </c>
      <c r="AF1225">
        <v>4</v>
      </c>
      <c r="AG1225">
        <v>386</v>
      </c>
      <c r="AH1225" s="122">
        <v>1419</v>
      </c>
      <c r="AI1225" s="122">
        <v>77132</v>
      </c>
      <c r="AJ1225" s="122">
        <v>28568</v>
      </c>
      <c r="AK1225">
        <v>100</v>
      </c>
      <c r="AL1225" s="122">
        <v>15889</v>
      </c>
      <c r="AM1225" s="122">
        <v>14444</v>
      </c>
      <c r="AN1225" s="122">
        <v>8159</v>
      </c>
      <c r="AO1225" s="122">
        <v>3022</v>
      </c>
      <c r="AP1225">
        <v>0</v>
      </c>
      <c r="AQ1225">
        <v>0</v>
      </c>
      <c r="AR1225" s="122">
        <v>34520</v>
      </c>
      <c r="AS1225" s="122">
        <v>12785</v>
      </c>
      <c r="AT1225">
        <v>0</v>
      </c>
      <c r="AU1225">
        <v>0</v>
      </c>
      <c r="AV1225" s="122">
        <v>58819</v>
      </c>
    </row>
    <row r="1226" spans="2:48" hidden="1">
      <c r="B1226" t="s">
        <v>371</v>
      </c>
      <c r="C1226" t="s">
        <v>56</v>
      </c>
      <c r="D1226" t="s">
        <v>407</v>
      </c>
      <c r="E1226" t="s">
        <v>137</v>
      </c>
      <c r="F1226" s="122">
        <v>1</v>
      </c>
      <c r="G1226" s="122">
        <v>135</v>
      </c>
      <c r="H1226" s="122">
        <v>211</v>
      </c>
      <c r="I1226" s="122">
        <v>19498</v>
      </c>
      <c r="J1226" s="122">
        <v>17726</v>
      </c>
      <c r="K1226" s="122">
        <v>79</v>
      </c>
      <c r="L1226" s="122">
        <v>2950</v>
      </c>
      <c r="M1226" s="122">
        <v>2459</v>
      </c>
      <c r="N1226" s="122">
        <v>2376</v>
      </c>
      <c r="O1226" s="122">
        <v>880</v>
      </c>
      <c r="P1226" s="122">
        <v>824</v>
      </c>
      <c r="Q1226" s="122">
        <v>305</v>
      </c>
      <c r="R1226" s="122">
        <v>2911</v>
      </c>
      <c r="S1226" s="122">
        <v>1078</v>
      </c>
      <c r="T1226" s="122">
        <v>0</v>
      </c>
      <c r="U1226" s="122">
        <v>0</v>
      </c>
      <c r="V1226" s="122">
        <v>22447</v>
      </c>
      <c r="W1226" s="122">
        <f t="shared" si="38"/>
        <v>22448</v>
      </c>
      <c r="X1226" s="122">
        <f t="shared" si="39"/>
        <v>28559</v>
      </c>
      <c r="AA1226" t="s">
        <v>60</v>
      </c>
      <c r="AB1226" t="s">
        <v>137</v>
      </c>
      <c r="AC1226" t="s">
        <v>137</v>
      </c>
      <c r="AD1226" t="s">
        <v>137</v>
      </c>
      <c r="AE1226" t="s">
        <v>137</v>
      </c>
      <c r="AF1226">
        <v>54</v>
      </c>
      <c r="AG1226" s="122">
        <v>4808</v>
      </c>
      <c r="AH1226" s="122">
        <v>17947</v>
      </c>
      <c r="AI1226" s="122">
        <v>962774</v>
      </c>
      <c r="AJ1226" s="122">
        <v>356583</v>
      </c>
      <c r="AK1226">
        <v>100</v>
      </c>
      <c r="AL1226" s="122">
        <v>170158</v>
      </c>
      <c r="AM1226" s="122">
        <v>63021</v>
      </c>
      <c r="AN1226" s="122">
        <v>102182</v>
      </c>
      <c r="AO1226" s="122">
        <v>37845</v>
      </c>
      <c r="AP1226" s="122">
        <v>1210</v>
      </c>
      <c r="AQ1226">
        <v>448</v>
      </c>
      <c r="AR1226" s="122">
        <v>353912</v>
      </c>
      <c r="AS1226" s="122">
        <v>131079</v>
      </c>
      <c r="AT1226" s="122">
        <v>15821</v>
      </c>
      <c r="AU1226" s="122">
        <v>5859</v>
      </c>
      <c r="AV1226" s="122">
        <v>594836</v>
      </c>
    </row>
    <row r="1227" spans="2:48" hidden="1">
      <c r="B1227" t="s">
        <v>371</v>
      </c>
      <c r="C1227" t="s">
        <v>56</v>
      </c>
      <c r="D1227" t="s">
        <v>407</v>
      </c>
      <c r="E1227" t="s">
        <v>407</v>
      </c>
      <c r="F1227" s="122">
        <v>1352</v>
      </c>
      <c r="G1227" s="122">
        <v>130092</v>
      </c>
      <c r="H1227" s="122">
        <v>252401</v>
      </c>
      <c r="I1227" s="122">
        <v>11759923</v>
      </c>
      <c r="J1227" s="122">
        <v>10690839</v>
      </c>
      <c r="K1227" s="122">
        <v>81</v>
      </c>
      <c r="L1227" s="122">
        <v>2535339</v>
      </c>
      <c r="M1227" s="122">
        <v>2393249</v>
      </c>
      <c r="N1227" s="122">
        <v>2584385</v>
      </c>
      <c r="O1227" s="122">
        <v>957179</v>
      </c>
      <c r="P1227" s="122">
        <v>641086</v>
      </c>
      <c r="Q1227" s="122">
        <v>237439</v>
      </c>
      <c r="R1227" s="122">
        <v>6594996</v>
      </c>
      <c r="S1227" s="122">
        <v>5995451</v>
      </c>
      <c r="T1227" s="122">
        <v>894475</v>
      </c>
      <c r="U1227" s="122">
        <v>331287</v>
      </c>
      <c r="V1227" s="122">
        <v>20605444</v>
      </c>
      <c r="W1227" s="122">
        <f t="shared" si="38"/>
        <v>20605444</v>
      </c>
      <c r="X1227" s="122">
        <f t="shared" si="39"/>
        <v>25010204</v>
      </c>
      <c r="AA1227" t="s">
        <v>60</v>
      </c>
      <c r="AB1227" t="s">
        <v>137</v>
      </c>
      <c r="AC1227" t="s">
        <v>137</v>
      </c>
      <c r="AD1227" t="s">
        <v>137</v>
      </c>
      <c r="AE1227" t="s">
        <v>566</v>
      </c>
      <c r="AF1227" s="122">
        <v>1498</v>
      </c>
      <c r="AG1227" s="122">
        <v>113875</v>
      </c>
      <c r="AH1227" s="122">
        <v>504950</v>
      </c>
      <c r="AI1227" s="122">
        <v>22335945</v>
      </c>
      <c r="AJ1227" s="122">
        <v>8272572</v>
      </c>
      <c r="AK1227">
        <v>100</v>
      </c>
      <c r="AL1227" s="122">
        <v>3823726</v>
      </c>
      <c r="AM1227" s="122">
        <v>1416195</v>
      </c>
      <c r="AN1227" s="122">
        <v>2391065</v>
      </c>
      <c r="AO1227" s="122">
        <v>885580</v>
      </c>
      <c r="AP1227" s="122">
        <v>17580</v>
      </c>
      <c r="AQ1227" s="122">
        <v>6511</v>
      </c>
      <c r="AR1227" s="122">
        <v>9994006</v>
      </c>
      <c r="AS1227" s="122">
        <v>3701484</v>
      </c>
      <c r="AT1227">
        <v>0</v>
      </c>
      <c r="AU1227">
        <v>0</v>
      </c>
      <c r="AV1227" s="122">
        <v>14282341</v>
      </c>
    </row>
    <row r="1228" spans="2:48" hidden="1">
      <c r="B1228" t="s">
        <v>371</v>
      </c>
      <c r="C1228" t="s">
        <v>56</v>
      </c>
      <c r="D1228" t="s">
        <v>556</v>
      </c>
      <c r="E1228" t="s">
        <v>556</v>
      </c>
      <c r="F1228" s="122">
        <v>6</v>
      </c>
      <c r="G1228" s="122">
        <v>505</v>
      </c>
      <c r="H1228" s="122">
        <v>1276</v>
      </c>
      <c r="I1228" s="122">
        <v>57251</v>
      </c>
      <c r="J1228" s="122">
        <v>47709</v>
      </c>
      <c r="K1228" s="122">
        <v>71</v>
      </c>
      <c r="L1228" s="122">
        <v>1740</v>
      </c>
      <c r="M1228" s="122">
        <v>2263</v>
      </c>
      <c r="N1228" s="122">
        <v>7355</v>
      </c>
      <c r="O1228" s="122">
        <v>2724</v>
      </c>
      <c r="P1228" s="122">
        <v>2106</v>
      </c>
      <c r="Q1228" s="122">
        <v>780</v>
      </c>
      <c r="R1228" s="122">
        <v>25436</v>
      </c>
      <c r="S1228" s="122">
        <v>21197</v>
      </c>
      <c r="T1228" s="122">
        <v>13589</v>
      </c>
      <c r="U1228" s="122">
        <v>5033</v>
      </c>
      <c r="V1228" s="122">
        <v>79705</v>
      </c>
      <c r="W1228" s="122">
        <f t="shared" si="38"/>
        <v>79706</v>
      </c>
      <c r="X1228" s="122">
        <f t="shared" si="39"/>
        <v>107477</v>
      </c>
      <c r="AA1228" t="s">
        <v>60</v>
      </c>
      <c r="AB1228" t="s">
        <v>137</v>
      </c>
      <c r="AC1228" t="s">
        <v>137</v>
      </c>
      <c r="AD1228" t="s">
        <v>407</v>
      </c>
      <c r="AE1228" t="s">
        <v>566</v>
      </c>
      <c r="AF1228">
        <v>2</v>
      </c>
      <c r="AG1228">
        <v>236</v>
      </c>
      <c r="AH1228">
        <v>700</v>
      </c>
      <c r="AI1228" s="122">
        <v>52264</v>
      </c>
      <c r="AJ1228" s="122">
        <v>19357</v>
      </c>
      <c r="AK1228">
        <v>100</v>
      </c>
      <c r="AL1228" s="122">
        <v>13066</v>
      </c>
      <c r="AM1228" s="122">
        <v>4839</v>
      </c>
      <c r="AN1228" s="122">
        <v>3920</v>
      </c>
      <c r="AO1228" s="122">
        <v>1452</v>
      </c>
      <c r="AP1228">
        <v>122</v>
      </c>
      <c r="AQ1228">
        <v>45</v>
      </c>
      <c r="AR1228" s="122">
        <v>14464</v>
      </c>
      <c r="AS1228" s="122">
        <v>13149</v>
      </c>
      <c r="AT1228">
        <v>0</v>
      </c>
      <c r="AU1228">
        <v>0</v>
      </c>
      <c r="AV1228" s="122">
        <v>38843</v>
      </c>
    </row>
    <row r="1229" spans="2:48" hidden="1">
      <c r="B1229" t="s">
        <v>371</v>
      </c>
      <c r="C1229" t="s">
        <v>56</v>
      </c>
      <c r="D1229" t="s">
        <v>426</v>
      </c>
      <c r="E1229" t="s">
        <v>426</v>
      </c>
      <c r="F1229" s="122">
        <v>64</v>
      </c>
      <c r="G1229" s="122">
        <v>6020</v>
      </c>
      <c r="H1229" s="122">
        <v>13588</v>
      </c>
      <c r="I1229" s="122">
        <v>707829</v>
      </c>
      <c r="J1229" s="122">
        <v>643481</v>
      </c>
      <c r="K1229" s="122">
        <v>68</v>
      </c>
      <c r="L1229" s="122">
        <v>5773</v>
      </c>
      <c r="M1229" s="122">
        <v>4497</v>
      </c>
      <c r="N1229" s="122">
        <v>129860</v>
      </c>
      <c r="O1229" s="122">
        <v>48096</v>
      </c>
      <c r="P1229" s="122">
        <v>22464</v>
      </c>
      <c r="Q1229" s="122">
        <v>8320</v>
      </c>
      <c r="R1229" s="122">
        <v>267315</v>
      </c>
      <c r="S1229" s="122">
        <v>243013</v>
      </c>
      <c r="T1229" s="122">
        <v>145904</v>
      </c>
      <c r="U1229" s="122">
        <v>54038</v>
      </c>
      <c r="V1229" s="122">
        <v>1001446</v>
      </c>
      <c r="W1229" s="122">
        <f t="shared" si="38"/>
        <v>1001445</v>
      </c>
      <c r="X1229" s="122">
        <f t="shared" si="39"/>
        <v>1279145</v>
      </c>
      <c r="AA1229" t="s">
        <v>60</v>
      </c>
      <c r="AB1229" t="s">
        <v>137</v>
      </c>
      <c r="AC1229" t="s">
        <v>137</v>
      </c>
      <c r="AD1229" t="s">
        <v>426</v>
      </c>
      <c r="AE1229" t="s">
        <v>137</v>
      </c>
      <c r="AF1229">
        <v>1</v>
      </c>
      <c r="AG1229">
        <v>82</v>
      </c>
      <c r="AH1229">
        <v>340</v>
      </c>
      <c r="AI1229" s="122">
        <v>17449</v>
      </c>
      <c r="AJ1229" s="122">
        <v>6463</v>
      </c>
      <c r="AK1229">
        <v>100</v>
      </c>
      <c r="AL1229" s="122">
        <v>6463</v>
      </c>
      <c r="AM1229" s="122">
        <v>2394</v>
      </c>
      <c r="AN1229" s="122">
        <v>1245</v>
      </c>
      <c r="AO1229">
        <v>461</v>
      </c>
      <c r="AP1229">
        <v>0</v>
      </c>
      <c r="AQ1229">
        <v>0</v>
      </c>
      <c r="AR1229" s="122">
        <v>2879</v>
      </c>
      <c r="AS1229" s="122">
        <v>2618</v>
      </c>
      <c r="AT1229">
        <v>0</v>
      </c>
      <c r="AU1229">
        <v>0</v>
      </c>
      <c r="AV1229" s="122">
        <v>11935</v>
      </c>
    </row>
    <row r="1230" spans="2:48" hidden="1">
      <c r="B1230" t="s">
        <v>371</v>
      </c>
      <c r="C1230" t="s">
        <v>56</v>
      </c>
      <c r="D1230" t="s">
        <v>433</v>
      </c>
      <c r="E1230" t="s">
        <v>433</v>
      </c>
      <c r="F1230" s="122">
        <v>1</v>
      </c>
      <c r="G1230" s="122">
        <v>394</v>
      </c>
      <c r="H1230" s="122">
        <v>186</v>
      </c>
      <c r="I1230" s="122">
        <v>51925</v>
      </c>
      <c r="J1230" s="122">
        <v>47204</v>
      </c>
      <c r="K1230" s="122">
        <v>84</v>
      </c>
      <c r="L1230" s="122">
        <v>6684</v>
      </c>
      <c r="M1230" s="122">
        <v>6076</v>
      </c>
      <c r="N1230" s="122">
        <v>6479</v>
      </c>
      <c r="O1230" s="122">
        <v>2400</v>
      </c>
      <c r="P1230" s="122">
        <v>1175</v>
      </c>
      <c r="Q1230" s="122">
        <v>435</v>
      </c>
      <c r="R1230" s="122">
        <v>7057</v>
      </c>
      <c r="S1230" s="122">
        <v>6416</v>
      </c>
      <c r="T1230" s="122">
        <v>0</v>
      </c>
      <c r="U1230" s="122">
        <v>0</v>
      </c>
      <c r="V1230" s="122">
        <v>62531</v>
      </c>
      <c r="W1230" s="122">
        <f t="shared" si="38"/>
        <v>62531</v>
      </c>
      <c r="X1230" s="122">
        <f t="shared" si="39"/>
        <v>73320</v>
      </c>
      <c r="AA1230" t="s">
        <v>60</v>
      </c>
      <c r="AB1230" t="s">
        <v>137</v>
      </c>
      <c r="AC1230" t="s">
        <v>580</v>
      </c>
      <c r="AD1230" t="s">
        <v>137</v>
      </c>
      <c r="AE1230" t="s">
        <v>137</v>
      </c>
      <c r="AF1230">
        <v>1</v>
      </c>
      <c r="AG1230">
        <v>105</v>
      </c>
      <c r="AH1230">
        <v>356</v>
      </c>
      <c r="AI1230" s="122">
        <v>24437</v>
      </c>
      <c r="AJ1230" s="122">
        <v>9051</v>
      </c>
      <c r="AK1230">
        <v>100</v>
      </c>
      <c r="AL1230" s="122">
        <v>2011</v>
      </c>
      <c r="AM1230" s="122">
        <v>1828</v>
      </c>
      <c r="AN1230" s="122">
        <v>1981</v>
      </c>
      <c r="AO1230">
        <v>734</v>
      </c>
      <c r="AP1230">
        <v>0</v>
      </c>
      <c r="AQ1230">
        <v>0</v>
      </c>
      <c r="AR1230" s="122">
        <v>8922</v>
      </c>
      <c r="AS1230" s="122">
        <v>3304</v>
      </c>
      <c r="AT1230">
        <v>0</v>
      </c>
      <c r="AU1230">
        <v>0</v>
      </c>
      <c r="AV1230" s="122">
        <v>14917</v>
      </c>
    </row>
    <row r="1231" spans="2:48" hidden="1">
      <c r="B1231" t="s">
        <v>371</v>
      </c>
      <c r="C1231" t="s">
        <v>56</v>
      </c>
      <c r="D1231" t="s">
        <v>408</v>
      </c>
      <c r="E1231" t="s">
        <v>408</v>
      </c>
      <c r="F1231" s="122">
        <v>1</v>
      </c>
      <c r="G1231" s="122">
        <v>61</v>
      </c>
      <c r="H1231" s="122">
        <v>194</v>
      </c>
      <c r="I1231" s="122">
        <v>6285</v>
      </c>
      <c r="J1231" s="122">
        <v>5714</v>
      </c>
      <c r="K1231" s="122">
        <v>83</v>
      </c>
      <c r="L1231" s="122">
        <v>0</v>
      </c>
      <c r="M1231" s="122">
        <v>0</v>
      </c>
      <c r="N1231" s="122">
        <v>1486</v>
      </c>
      <c r="O1231" s="122">
        <v>551</v>
      </c>
      <c r="P1231" s="122">
        <v>351</v>
      </c>
      <c r="Q1231" s="122">
        <v>130</v>
      </c>
      <c r="R1231" s="122">
        <v>3686</v>
      </c>
      <c r="S1231" s="122">
        <v>3351</v>
      </c>
      <c r="T1231" s="122">
        <v>0</v>
      </c>
      <c r="U1231" s="122">
        <v>0</v>
      </c>
      <c r="V1231" s="122">
        <v>9745</v>
      </c>
      <c r="W1231" s="122">
        <f t="shared" si="38"/>
        <v>9746</v>
      </c>
      <c r="X1231" s="122">
        <f t="shared" si="39"/>
        <v>11808</v>
      </c>
      <c r="AA1231" t="s">
        <v>60</v>
      </c>
      <c r="AB1231" t="s">
        <v>137</v>
      </c>
      <c r="AC1231" t="s">
        <v>580</v>
      </c>
      <c r="AD1231" t="s">
        <v>137</v>
      </c>
      <c r="AE1231" t="s">
        <v>566</v>
      </c>
      <c r="AF1231">
        <v>4</v>
      </c>
      <c r="AG1231">
        <v>459</v>
      </c>
      <c r="AH1231" s="122">
        <v>1301</v>
      </c>
      <c r="AI1231" s="122">
        <v>96911</v>
      </c>
      <c r="AJ1231" s="122">
        <v>35893</v>
      </c>
      <c r="AK1231">
        <v>100</v>
      </c>
      <c r="AL1231" s="122">
        <v>8821</v>
      </c>
      <c r="AM1231" s="122">
        <v>8019</v>
      </c>
      <c r="AN1231" s="122">
        <v>9667</v>
      </c>
      <c r="AO1231" s="122">
        <v>3581</v>
      </c>
      <c r="AP1231">
        <v>270</v>
      </c>
      <c r="AQ1231">
        <v>100</v>
      </c>
      <c r="AR1231" s="122">
        <v>34484</v>
      </c>
      <c r="AS1231" s="122">
        <v>12772</v>
      </c>
      <c r="AT1231">
        <v>0</v>
      </c>
      <c r="AU1231">
        <v>0</v>
      </c>
      <c r="AV1231" s="122">
        <v>60365</v>
      </c>
    </row>
    <row r="1232" spans="2:48" hidden="1">
      <c r="B1232" t="s">
        <v>371</v>
      </c>
      <c r="C1232" t="s">
        <v>56</v>
      </c>
      <c r="D1232" t="s">
        <v>429</v>
      </c>
      <c r="E1232" t="s">
        <v>429</v>
      </c>
      <c r="F1232" s="122">
        <v>1</v>
      </c>
      <c r="G1232" s="122">
        <v>78</v>
      </c>
      <c r="H1232" s="122">
        <v>153</v>
      </c>
      <c r="I1232" s="122">
        <v>5955</v>
      </c>
      <c r="J1232" s="122">
        <v>5414</v>
      </c>
      <c r="K1232" s="122">
        <v>89</v>
      </c>
      <c r="L1232" s="122">
        <v>861</v>
      </c>
      <c r="M1232" s="122">
        <v>783</v>
      </c>
      <c r="N1232" s="122">
        <v>1903</v>
      </c>
      <c r="O1232" s="122">
        <v>705</v>
      </c>
      <c r="P1232" s="122">
        <v>351</v>
      </c>
      <c r="Q1232" s="122">
        <v>130</v>
      </c>
      <c r="R1232" s="122">
        <v>2877</v>
      </c>
      <c r="S1232" s="122">
        <v>2616</v>
      </c>
      <c r="T1232" s="122">
        <v>0</v>
      </c>
      <c r="U1232" s="122">
        <v>0</v>
      </c>
      <c r="V1232" s="122">
        <v>9647</v>
      </c>
      <c r="W1232" s="122">
        <f t="shared" si="38"/>
        <v>9648</v>
      </c>
      <c r="X1232" s="122">
        <f t="shared" si="39"/>
        <v>11947</v>
      </c>
      <c r="AA1232" t="s">
        <v>60</v>
      </c>
      <c r="AB1232" t="s">
        <v>137</v>
      </c>
      <c r="AC1232" t="s">
        <v>580</v>
      </c>
      <c r="AD1232" t="s">
        <v>406</v>
      </c>
      <c r="AE1232" t="s">
        <v>137</v>
      </c>
      <c r="AF1232">
        <v>3</v>
      </c>
      <c r="AG1232">
        <v>338</v>
      </c>
      <c r="AH1232" s="122">
        <v>1101</v>
      </c>
      <c r="AI1232" s="122">
        <v>83471</v>
      </c>
      <c r="AJ1232" s="122">
        <v>30915</v>
      </c>
      <c r="AK1232">
        <v>100</v>
      </c>
      <c r="AL1232" s="122">
        <v>8391</v>
      </c>
      <c r="AM1232" s="122">
        <v>7628</v>
      </c>
      <c r="AN1232" s="122">
        <v>7943</v>
      </c>
      <c r="AO1232" s="122">
        <v>2942</v>
      </c>
      <c r="AP1232">
        <v>0</v>
      </c>
      <c r="AQ1232">
        <v>0</v>
      </c>
      <c r="AR1232" s="122">
        <v>14747</v>
      </c>
      <c r="AS1232" s="122">
        <v>13406</v>
      </c>
      <c r="AT1232" s="122">
        <v>9035</v>
      </c>
      <c r="AU1232" s="122">
        <v>3346</v>
      </c>
      <c r="AV1232" s="122">
        <v>58238</v>
      </c>
    </row>
    <row r="1233" spans="2:48" hidden="1">
      <c r="B1233" t="s">
        <v>371</v>
      </c>
      <c r="C1233" t="s">
        <v>58</v>
      </c>
      <c r="F1233" s="122">
        <v>1</v>
      </c>
      <c r="G1233" s="122">
        <v>113</v>
      </c>
      <c r="H1233" s="122">
        <v>245</v>
      </c>
      <c r="I1233" s="122"/>
      <c r="J1233" s="122">
        <v>0</v>
      </c>
      <c r="K1233" s="122"/>
      <c r="L1233" s="122"/>
      <c r="M1233" s="122">
        <v>0</v>
      </c>
      <c r="N1233" s="122">
        <v>2366</v>
      </c>
      <c r="O1233" s="122">
        <v>876</v>
      </c>
      <c r="P1233" s="122">
        <v>621</v>
      </c>
      <c r="Q1233" s="122">
        <v>230</v>
      </c>
      <c r="R1233" s="122"/>
      <c r="S1233" s="122">
        <v>0</v>
      </c>
      <c r="T1233" s="122">
        <v>0</v>
      </c>
      <c r="U1233" s="122">
        <v>0</v>
      </c>
      <c r="V1233" s="122">
        <v>1106</v>
      </c>
      <c r="W1233" s="122">
        <f t="shared" si="38"/>
        <v>1106</v>
      </c>
      <c r="X1233" s="122">
        <f t="shared" si="39"/>
        <v>2987</v>
      </c>
      <c r="AA1233" t="s">
        <v>60</v>
      </c>
      <c r="AB1233" t="s">
        <v>137</v>
      </c>
      <c r="AC1233" t="s">
        <v>427</v>
      </c>
      <c r="AD1233" t="s">
        <v>137</v>
      </c>
      <c r="AE1233" t="s">
        <v>137</v>
      </c>
      <c r="AF1233">
        <v>27</v>
      </c>
      <c r="AG1233" s="122">
        <v>2191</v>
      </c>
      <c r="AH1233" s="122">
        <v>9241</v>
      </c>
      <c r="AI1233" s="122">
        <v>414430</v>
      </c>
      <c r="AJ1233" s="122">
        <v>153492</v>
      </c>
      <c r="AK1233">
        <v>100</v>
      </c>
      <c r="AL1233" s="122">
        <v>66386</v>
      </c>
      <c r="AM1233" s="122">
        <v>60351</v>
      </c>
      <c r="AN1233" s="122">
        <v>48671</v>
      </c>
      <c r="AO1233" s="122">
        <v>18026</v>
      </c>
      <c r="AP1233">
        <v>702</v>
      </c>
      <c r="AQ1233">
        <v>260</v>
      </c>
      <c r="AR1233" s="122">
        <v>208575</v>
      </c>
      <c r="AS1233" s="122">
        <v>77250</v>
      </c>
      <c r="AT1233" s="122">
        <v>10728</v>
      </c>
      <c r="AU1233" s="122">
        <v>3973</v>
      </c>
      <c r="AV1233" s="122">
        <v>313353</v>
      </c>
    </row>
    <row r="1234" spans="2:48" hidden="1">
      <c r="B1234" t="s">
        <v>371</v>
      </c>
      <c r="C1234" t="s">
        <v>58</v>
      </c>
      <c r="D1234" t="s">
        <v>425</v>
      </c>
      <c r="E1234" t="s">
        <v>425</v>
      </c>
      <c r="F1234" s="122">
        <v>3</v>
      </c>
      <c r="G1234" s="122">
        <v>279</v>
      </c>
      <c r="H1234" s="122">
        <v>781</v>
      </c>
      <c r="I1234" s="122">
        <v>43223</v>
      </c>
      <c r="J1234" s="122">
        <v>39293</v>
      </c>
      <c r="K1234" s="122">
        <v>77</v>
      </c>
      <c r="L1234" s="122">
        <v>5314</v>
      </c>
      <c r="M1234" s="122">
        <v>4831</v>
      </c>
      <c r="N1234" s="122">
        <v>5414</v>
      </c>
      <c r="O1234" s="122">
        <v>2005</v>
      </c>
      <c r="P1234" s="122">
        <v>1566</v>
      </c>
      <c r="Q1234" s="122">
        <v>580</v>
      </c>
      <c r="R1234" s="122">
        <v>11332</v>
      </c>
      <c r="S1234" s="122">
        <v>10302</v>
      </c>
      <c r="T1234" s="122">
        <v>4894</v>
      </c>
      <c r="U1234" s="122">
        <v>1812</v>
      </c>
      <c r="V1234" s="122">
        <v>58824</v>
      </c>
      <c r="W1234" s="122">
        <f t="shared" si="38"/>
        <v>58823</v>
      </c>
      <c r="X1234" s="122">
        <f t="shared" si="39"/>
        <v>71743</v>
      </c>
      <c r="AA1234" t="s">
        <v>60</v>
      </c>
      <c r="AB1234" t="s">
        <v>137</v>
      </c>
      <c r="AC1234" t="s">
        <v>427</v>
      </c>
      <c r="AD1234" t="s">
        <v>137</v>
      </c>
      <c r="AE1234" t="s">
        <v>566</v>
      </c>
      <c r="AF1234">
        <v>229</v>
      </c>
      <c r="AG1234" s="122">
        <v>18961</v>
      </c>
      <c r="AH1234" s="122">
        <v>77856</v>
      </c>
      <c r="AI1234" s="122">
        <v>3912475</v>
      </c>
      <c r="AJ1234" s="122">
        <v>1449065</v>
      </c>
      <c r="AK1234">
        <v>100</v>
      </c>
      <c r="AL1234" s="122">
        <v>599978</v>
      </c>
      <c r="AM1234" s="122">
        <v>545435</v>
      </c>
      <c r="AN1234" s="122">
        <v>403577</v>
      </c>
      <c r="AO1234" s="122">
        <v>149473</v>
      </c>
      <c r="AP1234" s="122">
        <v>5976</v>
      </c>
      <c r="AQ1234" s="122">
        <v>2213</v>
      </c>
      <c r="AR1234" s="122">
        <v>1619219</v>
      </c>
      <c r="AS1234" s="122">
        <v>599711</v>
      </c>
      <c r="AT1234">
        <v>0</v>
      </c>
      <c r="AU1234">
        <v>0</v>
      </c>
      <c r="AV1234" s="122">
        <v>2745896</v>
      </c>
    </row>
    <row r="1235" spans="2:48" hidden="1">
      <c r="B1235" t="s">
        <v>371</v>
      </c>
      <c r="C1235" t="s">
        <v>58</v>
      </c>
      <c r="D1235" t="s">
        <v>425</v>
      </c>
      <c r="E1235" t="s">
        <v>406</v>
      </c>
      <c r="F1235" s="122">
        <v>1</v>
      </c>
      <c r="G1235" s="122">
        <v>81</v>
      </c>
      <c r="H1235" s="122">
        <v>232</v>
      </c>
      <c r="I1235" s="122">
        <v>10019</v>
      </c>
      <c r="J1235" s="122">
        <v>9108</v>
      </c>
      <c r="K1235" s="122">
        <v>79</v>
      </c>
      <c r="L1235" s="122">
        <v>2049</v>
      </c>
      <c r="M1235" s="122">
        <v>759</v>
      </c>
      <c r="N1235" s="122">
        <v>991</v>
      </c>
      <c r="O1235" s="122">
        <v>367</v>
      </c>
      <c r="P1235" s="122">
        <v>621</v>
      </c>
      <c r="Q1235" s="122">
        <v>230</v>
      </c>
      <c r="R1235" s="122">
        <v>5219</v>
      </c>
      <c r="S1235" s="122">
        <v>4744</v>
      </c>
      <c r="T1235" s="122">
        <v>0</v>
      </c>
      <c r="U1235" s="122">
        <v>0</v>
      </c>
      <c r="V1235" s="122">
        <v>15208</v>
      </c>
      <c r="W1235" s="122">
        <f t="shared" si="38"/>
        <v>15208</v>
      </c>
      <c r="X1235" s="122">
        <f t="shared" si="39"/>
        <v>18899</v>
      </c>
      <c r="AA1235" t="s">
        <v>60</v>
      </c>
      <c r="AB1235" t="s">
        <v>137</v>
      </c>
      <c r="AC1235" t="s">
        <v>427</v>
      </c>
      <c r="AD1235" t="s">
        <v>427</v>
      </c>
      <c r="AE1235" t="s">
        <v>137</v>
      </c>
      <c r="AF1235">
        <v>19</v>
      </c>
      <c r="AG1235" s="122">
        <v>1420</v>
      </c>
      <c r="AH1235" s="122">
        <v>6681</v>
      </c>
      <c r="AI1235" s="122">
        <v>295371</v>
      </c>
      <c r="AJ1235" s="122">
        <v>109397</v>
      </c>
      <c r="AK1235">
        <v>100</v>
      </c>
      <c r="AL1235" s="122">
        <v>40042</v>
      </c>
      <c r="AM1235" s="122">
        <v>36402</v>
      </c>
      <c r="AN1235" s="122">
        <v>26488</v>
      </c>
      <c r="AO1235" s="122">
        <v>9810</v>
      </c>
      <c r="AP1235" s="122">
        <v>1053</v>
      </c>
      <c r="AQ1235">
        <v>390</v>
      </c>
      <c r="AR1235" s="122">
        <v>102200</v>
      </c>
      <c r="AS1235" s="122">
        <v>92909</v>
      </c>
      <c r="AT1235" s="122">
        <v>33737</v>
      </c>
      <c r="AU1235" s="122">
        <v>12495</v>
      </c>
      <c r="AV1235" s="122">
        <v>261403</v>
      </c>
    </row>
    <row r="1236" spans="2:48" hidden="1">
      <c r="B1236" t="s">
        <v>371</v>
      </c>
      <c r="C1236" t="s">
        <v>58</v>
      </c>
      <c r="D1236" t="s">
        <v>405</v>
      </c>
      <c r="E1236" t="s">
        <v>405</v>
      </c>
      <c r="F1236" s="122">
        <v>8</v>
      </c>
      <c r="G1236" s="122">
        <v>977</v>
      </c>
      <c r="H1236" s="122">
        <v>2111</v>
      </c>
      <c r="I1236" s="122">
        <v>153677</v>
      </c>
      <c r="J1236" s="122">
        <v>139706</v>
      </c>
      <c r="K1236" s="122">
        <v>77</v>
      </c>
      <c r="L1236" s="122">
        <v>42048</v>
      </c>
      <c r="M1236" s="122">
        <v>38225</v>
      </c>
      <c r="N1236" s="122">
        <v>22327</v>
      </c>
      <c r="O1236" s="122">
        <v>8269</v>
      </c>
      <c r="P1236" s="122">
        <v>3780</v>
      </c>
      <c r="Q1236" s="122">
        <v>1400</v>
      </c>
      <c r="R1236" s="122">
        <v>46892</v>
      </c>
      <c r="S1236" s="122">
        <v>42629</v>
      </c>
      <c r="T1236" s="122">
        <v>3925</v>
      </c>
      <c r="U1236" s="122">
        <v>1454</v>
      </c>
      <c r="V1236" s="122">
        <v>231684</v>
      </c>
      <c r="W1236" s="122">
        <f t="shared" si="38"/>
        <v>231683</v>
      </c>
      <c r="X1236" s="122">
        <f t="shared" si="39"/>
        <v>272649</v>
      </c>
      <c r="AA1236" t="s">
        <v>60</v>
      </c>
      <c r="AB1236" t="s">
        <v>137</v>
      </c>
      <c r="AC1236" t="s">
        <v>427</v>
      </c>
      <c r="AD1236" t="s">
        <v>427</v>
      </c>
      <c r="AE1236" t="s">
        <v>566</v>
      </c>
      <c r="AF1236">
        <v>2</v>
      </c>
      <c r="AG1236">
        <v>147</v>
      </c>
      <c r="AH1236">
        <v>685</v>
      </c>
      <c r="AI1236" s="122">
        <v>26128</v>
      </c>
      <c r="AJ1236" s="122">
        <v>9677</v>
      </c>
      <c r="AK1236">
        <v>100</v>
      </c>
      <c r="AL1236" s="122">
        <v>3208</v>
      </c>
      <c r="AM1236" s="122">
        <v>2916</v>
      </c>
      <c r="AN1236" s="122">
        <v>2670</v>
      </c>
      <c r="AO1236">
        <v>989</v>
      </c>
      <c r="AP1236">
        <v>0</v>
      </c>
      <c r="AQ1236">
        <v>0</v>
      </c>
      <c r="AR1236" s="122">
        <v>18289</v>
      </c>
      <c r="AS1236" s="122">
        <v>16627</v>
      </c>
      <c r="AT1236">
        <v>0</v>
      </c>
      <c r="AU1236">
        <v>0</v>
      </c>
      <c r="AV1236" s="122">
        <v>30209</v>
      </c>
    </row>
    <row r="1237" spans="2:48" hidden="1">
      <c r="B1237" t="s">
        <v>371</v>
      </c>
      <c r="C1237" t="s">
        <v>58</v>
      </c>
      <c r="D1237" t="s">
        <v>137</v>
      </c>
      <c r="E1237" t="s">
        <v>137</v>
      </c>
      <c r="F1237" s="122">
        <v>59</v>
      </c>
      <c r="G1237" s="122">
        <v>5496</v>
      </c>
      <c r="H1237" s="122">
        <v>15811</v>
      </c>
      <c r="I1237" s="122">
        <v>838996</v>
      </c>
      <c r="J1237" s="122">
        <v>310739</v>
      </c>
      <c r="K1237" s="122">
        <v>100</v>
      </c>
      <c r="L1237" s="122">
        <v>134369</v>
      </c>
      <c r="M1237" s="122">
        <v>90815</v>
      </c>
      <c r="N1237" s="122">
        <v>109779</v>
      </c>
      <c r="O1237" s="122">
        <v>40659</v>
      </c>
      <c r="P1237" s="122">
        <v>281</v>
      </c>
      <c r="Q1237" s="122">
        <v>104</v>
      </c>
      <c r="R1237" s="122">
        <v>422447</v>
      </c>
      <c r="S1237" s="122">
        <v>156462</v>
      </c>
      <c r="T1237" s="122">
        <v>2469</v>
      </c>
      <c r="U1237" s="122">
        <v>915</v>
      </c>
      <c r="V1237" s="122">
        <v>599694</v>
      </c>
      <c r="W1237" s="122">
        <f t="shared" si="38"/>
        <v>599694</v>
      </c>
      <c r="X1237" s="122">
        <f t="shared" si="39"/>
        <v>1508341</v>
      </c>
      <c r="AA1237" t="s">
        <v>60</v>
      </c>
      <c r="AB1237" t="s">
        <v>137</v>
      </c>
      <c r="AC1237" t="s">
        <v>427</v>
      </c>
      <c r="AD1237" t="s">
        <v>426</v>
      </c>
      <c r="AE1237" t="s">
        <v>137</v>
      </c>
      <c r="AF1237">
        <v>1</v>
      </c>
      <c r="AG1237">
        <v>45</v>
      </c>
      <c r="AH1237">
        <v>380</v>
      </c>
      <c r="AI1237" s="122">
        <v>8855</v>
      </c>
      <c r="AJ1237" s="122">
        <v>3280</v>
      </c>
      <c r="AK1237">
        <v>100</v>
      </c>
      <c r="AL1237">
        <v>891</v>
      </c>
      <c r="AM1237">
        <v>810</v>
      </c>
      <c r="AN1237">
        <v>626</v>
      </c>
      <c r="AO1237">
        <v>232</v>
      </c>
      <c r="AP1237">
        <v>0</v>
      </c>
      <c r="AQ1237">
        <v>0</v>
      </c>
      <c r="AR1237" s="122">
        <v>5077</v>
      </c>
      <c r="AS1237" s="122">
        <v>4616</v>
      </c>
      <c r="AT1237" s="122">
        <v>1675</v>
      </c>
      <c r="AU1237">
        <v>620</v>
      </c>
      <c r="AV1237" s="122">
        <v>9558</v>
      </c>
    </row>
    <row r="1238" spans="2:48" hidden="1">
      <c r="B1238" t="s">
        <v>371</v>
      </c>
      <c r="C1238" t="s">
        <v>58</v>
      </c>
      <c r="D1238" t="s">
        <v>137</v>
      </c>
      <c r="E1238" t="s">
        <v>556</v>
      </c>
      <c r="F1238" s="122">
        <v>1</v>
      </c>
      <c r="G1238" s="122">
        <v>81</v>
      </c>
      <c r="H1238" s="122">
        <v>291</v>
      </c>
      <c r="I1238" s="122">
        <v>12550</v>
      </c>
      <c r="J1238" s="122">
        <v>4648</v>
      </c>
      <c r="K1238" s="122">
        <v>100</v>
      </c>
      <c r="L1238" s="122">
        <v>2789</v>
      </c>
      <c r="M1238" s="122">
        <v>2324</v>
      </c>
      <c r="N1238" s="122">
        <v>1308</v>
      </c>
      <c r="O1238" s="122">
        <v>484</v>
      </c>
      <c r="P1238" s="122">
        <v>0</v>
      </c>
      <c r="Q1238" s="122">
        <v>0</v>
      </c>
      <c r="R1238" s="122">
        <v>5084</v>
      </c>
      <c r="S1238" s="122">
        <v>4237</v>
      </c>
      <c r="T1238" s="122">
        <v>1730</v>
      </c>
      <c r="U1238" s="122">
        <v>641</v>
      </c>
      <c r="V1238" s="122">
        <v>12334</v>
      </c>
      <c r="W1238" s="122">
        <f t="shared" si="38"/>
        <v>12334</v>
      </c>
      <c r="X1238" s="122">
        <f t="shared" si="39"/>
        <v>23461</v>
      </c>
      <c r="AA1238" t="s">
        <v>60</v>
      </c>
      <c r="AB1238" t="s">
        <v>137</v>
      </c>
      <c r="AC1238" t="s">
        <v>407</v>
      </c>
      <c r="AD1238" t="s">
        <v>137</v>
      </c>
      <c r="AE1238" t="s">
        <v>137</v>
      </c>
      <c r="AF1238">
        <v>2</v>
      </c>
      <c r="AG1238">
        <v>143</v>
      </c>
      <c r="AH1238">
        <v>697</v>
      </c>
      <c r="AI1238" s="122">
        <v>27747</v>
      </c>
      <c r="AJ1238" s="122">
        <v>10277</v>
      </c>
      <c r="AK1238">
        <v>100</v>
      </c>
      <c r="AL1238" s="122">
        <v>5247</v>
      </c>
      <c r="AM1238" s="122">
        <v>4770</v>
      </c>
      <c r="AN1238" s="122">
        <v>3479</v>
      </c>
      <c r="AO1238" s="122">
        <v>1288</v>
      </c>
      <c r="AP1238">
        <v>0</v>
      </c>
      <c r="AQ1238">
        <v>0</v>
      </c>
      <c r="AR1238" s="122">
        <v>13226</v>
      </c>
      <c r="AS1238" s="122">
        <v>4899</v>
      </c>
      <c r="AT1238">
        <v>0</v>
      </c>
      <c r="AU1238">
        <v>0</v>
      </c>
      <c r="AV1238" s="122">
        <v>21233</v>
      </c>
    </row>
    <row r="1239" spans="2:48" hidden="1">
      <c r="B1239" t="s">
        <v>371</v>
      </c>
      <c r="C1239" t="s">
        <v>58</v>
      </c>
      <c r="D1239" t="s">
        <v>137</v>
      </c>
      <c r="E1239" t="s">
        <v>426</v>
      </c>
      <c r="F1239" s="122">
        <v>1</v>
      </c>
      <c r="G1239" s="122">
        <v>80</v>
      </c>
      <c r="H1239" s="122">
        <v>291</v>
      </c>
      <c r="I1239" s="122">
        <v>11355</v>
      </c>
      <c r="J1239" s="122">
        <v>4206</v>
      </c>
      <c r="K1239" s="122">
        <v>100</v>
      </c>
      <c r="L1239" s="122">
        <v>1713</v>
      </c>
      <c r="M1239" s="122">
        <v>1558</v>
      </c>
      <c r="N1239" s="122">
        <v>1582</v>
      </c>
      <c r="O1239" s="122">
        <v>586</v>
      </c>
      <c r="P1239" s="122">
        <v>351</v>
      </c>
      <c r="Q1239" s="122">
        <v>130</v>
      </c>
      <c r="R1239" s="122">
        <v>5555</v>
      </c>
      <c r="S1239" s="122">
        <v>5050</v>
      </c>
      <c r="T1239" s="122">
        <v>2607</v>
      </c>
      <c r="U1239" s="122">
        <v>965</v>
      </c>
      <c r="V1239" s="122">
        <v>12495</v>
      </c>
      <c r="W1239" s="122">
        <f t="shared" si="38"/>
        <v>12495</v>
      </c>
      <c r="X1239" s="122">
        <f t="shared" si="39"/>
        <v>23163</v>
      </c>
      <c r="AA1239" t="s">
        <v>60</v>
      </c>
      <c r="AB1239" t="s">
        <v>137</v>
      </c>
      <c r="AC1239" t="s">
        <v>407</v>
      </c>
      <c r="AD1239" t="s">
        <v>137</v>
      </c>
      <c r="AE1239" t="s">
        <v>566</v>
      </c>
      <c r="AF1239">
        <v>40</v>
      </c>
      <c r="AG1239" s="122">
        <v>3507</v>
      </c>
      <c r="AH1239" s="122">
        <v>13666</v>
      </c>
      <c r="AI1239" s="122">
        <v>727092</v>
      </c>
      <c r="AJ1239" s="122">
        <v>269293</v>
      </c>
      <c r="AK1239">
        <v>100</v>
      </c>
      <c r="AL1239" s="122">
        <v>148719</v>
      </c>
      <c r="AM1239" s="122">
        <v>135200</v>
      </c>
      <c r="AN1239" s="122">
        <v>77901</v>
      </c>
      <c r="AO1239" s="122">
        <v>28852</v>
      </c>
      <c r="AP1239">
        <v>702</v>
      </c>
      <c r="AQ1239">
        <v>260</v>
      </c>
      <c r="AR1239" s="122">
        <v>297139</v>
      </c>
      <c r="AS1239" s="122">
        <v>110051</v>
      </c>
      <c r="AT1239">
        <v>0</v>
      </c>
      <c r="AU1239">
        <v>0</v>
      </c>
      <c r="AV1239" s="122">
        <v>543656</v>
      </c>
    </row>
    <row r="1240" spans="2:48" hidden="1">
      <c r="B1240" t="s">
        <v>371</v>
      </c>
      <c r="C1240" t="s">
        <v>58</v>
      </c>
      <c r="D1240" t="s">
        <v>406</v>
      </c>
      <c r="E1240" t="s">
        <v>137</v>
      </c>
      <c r="F1240" s="122">
        <v>3</v>
      </c>
      <c r="G1240" s="122">
        <v>203</v>
      </c>
      <c r="H1240" s="122">
        <v>784</v>
      </c>
      <c r="I1240" s="122">
        <v>24430</v>
      </c>
      <c r="J1240" s="122">
        <v>22209</v>
      </c>
      <c r="K1240" s="122">
        <v>92</v>
      </c>
      <c r="L1240" s="122">
        <v>5114</v>
      </c>
      <c r="M1240" s="122">
        <v>4401</v>
      </c>
      <c r="N1240" s="122">
        <v>2915</v>
      </c>
      <c r="O1240" s="122">
        <v>1080</v>
      </c>
      <c r="P1240" s="122">
        <v>1863</v>
      </c>
      <c r="Q1240" s="122">
        <v>690</v>
      </c>
      <c r="R1240" s="122">
        <v>18574</v>
      </c>
      <c r="S1240" s="122">
        <v>6879</v>
      </c>
      <c r="T1240" s="122">
        <v>0</v>
      </c>
      <c r="U1240" s="122">
        <v>0</v>
      </c>
      <c r="V1240" s="122">
        <v>35260</v>
      </c>
      <c r="W1240" s="122">
        <f t="shared" si="38"/>
        <v>35259</v>
      </c>
      <c r="X1240" s="122">
        <f t="shared" si="39"/>
        <v>52896</v>
      </c>
      <c r="AA1240" t="s">
        <v>60</v>
      </c>
      <c r="AB1240" t="s">
        <v>137</v>
      </c>
      <c r="AC1240" t="s">
        <v>407</v>
      </c>
      <c r="AD1240" t="s">
        <v>407</v>
      </c>
      <c r="AE1240" t="s">
        <v>566</v>
      </c>
      <c r="AF1240">
        <v>3</v>
      </c>
      <c r="AG1240">
        <v>325</v>
      </c>
      <c r="AH1240" s="122">
        <v>1046</v>
      </c>
      <c r="AI1240" s="122">
        <v>82416</v>
      </c>
      <c r="AJ1240" s="122">
        <v>30525</v>
      </c>
      <c r="AK1240">
        <v>100</v>
      </c>
      <c r="AL1240" s="122">
        <v>9229</v>
      </c>
      <c r="AM1240" s="122">
        <v>8390</v>
      </c>
      <c r="AN1240" s="122">
        <v>6589</v>
      </c>
      <c r="AO1240" s="122">
        <v>2440</v>
      </c>
      <c r="AP1240">
        <v>945</v>
      </c>
      <c r="AQ1240">
        <v>350</v>
      </c>
      <c r="AR1240" s="122">
        <v>14151</v>
      </c>
      <c r="AS1240" s="122">
        <v>12865</v>
      </c>
      <c r="AT1240">
        <v>0</v>
      </c>
      <c r="AU1240">
        <v>0</v>
      </c>
      <c r="AV1240" s="122">
        <v>54570</v>
      </c>
    </row>
    <row r="1241" spans="2:48" hidden="1">
      <c r="B1241" t="s">
        <v>371</v>
      </c>
      <c r="C1241" t="s">
        <v>58</v>
      </c>
      <c r="D1241" t="s">
        <v>406</v>
      </c>
      <c r="E1241" t="s">
        <v>406</v>
      </c>
      <c r="F1241" s="122">
        <v>599</v>
      </c>
      <c r="G1241" s="122">
        <v>57096</v>
      </c>
      <c r="H1241" s="122">
        <v>155957</v>
      </c>
      <c r="I1241" s="122">
        <v>8067710</v>
      </c>
      <c r="J1241" s="122">
        <v>7334282</v>
      </c>
      <c r="K1241" s="122">
        <v>80</v>
      </c>
      <c r="L1241" s="122">
        <v>1705285</v>
      </c>
      <c r="M1241" s="122">
        <v>1469535</v>
      </c>
      <c r="N1241" s="122">
        <v>1137820</v>
      </c>
      <c r="O1241" s="122">
        <v>421415</v>
      </c>
      <c r="P1241" s="122">
        <v>377028</v>
      </c>
      <c r="Q1241" s="122">
        <v>139640</v>
      </c>
      <c r="R1241" s="122">
        <v>2796795</v>
      </c>
      <c r="S1241" s="122">
        <v>2542541</v>
      </c>
      <c r="T1241" s="122">
        <v>949724</v>
      </c>
      <c r="U1241" s="122">
        <v>351750</v>
      </c>
      <c r="V1241" s="122">
        <v>12259163</v>
      </c>
      <c r="W1241" s="122">
        <f t="shared" si="38"/>
        <v>12259163</v>
      </c>
      <c r="X1241" s="122">
        <f t="shared" si="39"/>
        <v>15034362</v>
      </c>
      <c r="AA1241" t="s">
        <v>60</v>
      </c>
      <c r="AB1241" t="s">
        <v>137</v>
      </c>
      <c r="AC1241" t="s">
        <v>407</v>
      </c>
      <c r="AD1241" t="s">
        <v>426</v>
      </c>
      <c r="AE1241" t="s">
        <v>137</v>
      </c>
      <c r="AF1241">
        <v>1</v>
      </c>
      <c r="AG1241">
        <v>63</v>
      </c>
      <c r="AH1241">
        <v>372</v>
      </c>
      <c r="AI1241" s="122">
        <v>9396</v>
      </c>
      <c r="AJ1241" s="122">
        <v>3480</v>
      </c>
      <c r="AK1241">
        <v>100</v>
      </c>
      <c r="AL1241">
        <v>709</v>
      </c>
      <c r="AM1241">
        <v>644</v>
      </c>
      <c r="AN1241" s="122">
        <v>1544</v>
      </c>
      <c r="AO1241">
        <v>572</v>
      </c>
      <c r="AP1241">
        <v>0</v>
      </c>
      <c r="AQ1241">
        <v>0</v>
      </c>
      <c r="AR1241" s="122">
        <v>9566</v>
      </c>
      <c r="AS1241" s="122">
        <v>8697</v>
      </c>
      <c r="AT1241" s="122">
        <v>2383</v>
      </c>
      <c r="AU1241">
        <v>882</v>
      </c>
      <c r="AV1241" s="122">
        <v>14276</v>
      </c>
    </row>
    <row r="1242" spans="2:48" hidden="1">
      <c r="B1242" t="s">
        <v>371</v>
      </c>
      <c r="C1242" t="s">
        <v>58</v>
      </c>
      <c r="D1242" t="s">
        <v>427</v>
      </c>
      <c r="E1242" t="s">
        <v>427</v>
      </c>
      <c r="F1242" s="122">
        <v>10</v>
      </c>
      <c r="G1242" s="122">
        <v>718</v>
      </c>
      <c r="H1242" s="122">
        <v>2726</v>
      </c>
      <c r="I1242" s="122">
        <v>104542</v>
      </c>
      <c r="J1242" s="122">
        <v>95039</v>
      </c>
      <c r="K1242" s="122">
        <v>56</v>
      </c>
      <c r="L1242" s="122">
        <v>4885</v>
      </c>
      <c r="M1242" s="122">
        <v>4441</v>
      </c>
      <c r="N1242" s="122">
        <v>14528</v>
      </c>
      <c r="O1242" s="122">
        <v>5381</v>
      </c>
      <c r="P1242" s="122">
        <v>3510</v>
      </c>
      <c r="Q1242" s="122">
        <v>1300</v>
      </c>
      <c r="R1242" s="122">
        <v>51266</v>
      </c>
      <c r="S1242" s="122">
        <v>46606</v>
      </c>
      <c r="T1242" s="122">
        <v>17009</v>
      </c>
      <c r="U1242" s="122">
        <v>6300</v>
      </c>
      <c r="V1242" s="122">
        <v>159065</v>
      </c>
      <c r="W1242" s="122">
        <f t="shared" si="38"/>
        <v>159067</v>
      </c>
      <c r="X1242" s="122">
        <f t="shared" si="39"/>
        <v>195740</v>
      </c>
      <c r="AA1242" t="s">
        <v>60</v>
      </c>
      <c r="AB1242" t="s">
        <v>137</v>
      </c>
      <c r="AC1242" t="s">
        <v>579</v>
      </c>
      <c r="AD1242" t="s">
        <v>425</v>
      </c>
      <c r="AE1242" t="s">
        <v>137</v>
      </c>
      <c r="AF1242">
        <v>1</v>
      </c>
      <c r="AG1242">
        <v>88</v>
      </c>
      <c r="AH1242">
        <v>321</v>
      </c>
      <c r="AI1242" s="122">
        <v>22063</v>
      </c>
      <c r="AJ1242" s="122">
        <v>8171</v>
      </c>
      <c r="AK1242">
        <v>100</v>
      </c>
      <c r="AL1242" s="122">
        <v>1816</v>
      </c>
      <c r="AM1242" s="122">
        <v>1513</v>
      </c>
      <c r="AN1242" s="122">
        <v>1677</v>
      </c>
      <c r="AO1242">
        <v>621</v>
      </c>
      <c r="AP1242">
        <v>0</v>
      </c>
      <c r="AQ1242">
        <v>0</v>
      </c>
      <c r="AR1242" s="122">
        <v>2743</v>
      </c>
      <c r="AS1242" s="122">
        <v>2493</v>
      </c>
      <c r="AT1242">
        <v>0</v>
      </c>
      <c r="AU1242">
        <v>0</v>
      </c>
      <c r="AV1242" s="122">
        <v>12799</v>
      </c>
    </row>
    <row r="1243" spans="2:48" hidden="1">
      <c r="B1243" t="s">
        <v>371</v>
      </c>
      <c r="C1243" t="s">
        <v>58</v>
      </c>
      <c r="D1243" t="s">
        <v>407</v>
      </c>
      <c r="E1243" t="s">
        <v>405</v>
      </c>
      <c r="F1243" s="122">
        <v>1</v>
      </c>
      <c r="G1243" s="122">
        <v>90</v>
      </c>
      <c r="H1243" s="122">
        <v>264</v>
      </c>
      <c r="I1243" s="122">
        <v>11129</v>
      </c>
      <c r="J1243" s="122">
        <v>10117</v>
      </c>
      <c r="K1243" s="122">
        <v>73</v>
      </c>
      <c r="L1243" s="122">
        <v>2860</v>
      </c>
      <c r="M1243" s="122">
        <v>2600</v>
      </c>
      <c r="N1243" s="122">
        <v>1911</v>
      </c>
      <c r="O1243" s="122">
        <v>708</v>
      </c>
      <c r="P1243" s="122">
        <v>473</v>
      </c>
      <c r="Q1243" s="122">
        <v>175</v>
      </c>
      <c r="R1243" s="122">
        <v>7288</v>
      </c>
      <c r="S1243" s="122">
        <v>6625</v>
      </c>
      <c r="T1243" s="122">
        <v>0</v>
      </c>
      <c r="U1243" s="122">
        <v>0</v>
      </c>
      <c r="V1243" s="122">
        <v>20225</v>
      </c>
      <c r="W1243" s="122">
        <f t="shared" si="38"/>
        <v>20225</v>
      </c>
      <c r="X1243" s="122">
        <f t="shared" si="39"/>
        <v>23661</v>
      </c>
      <c r="AA1243" t="s">
        <v>60</v>
      </c>
      <c r="AB1243" t="s">
        <v>137</v>
      </c>
      <c r="AC1243" t="s">
        <v>579</v>
      </c>
      <c r="AD1243" t="s">
        <v>137</v>
      </c>
      <c r="AE1243" t="s">
        <v>137</v>
      </c>
      <c r="AF1243">
        <v>38</v>
      </c>
      <c r="AG1243" s="122">
        <v>2756</v>
      </c>
      <c r="AH1243" s="122">
        <v>12919</v>
      </c>
      <c r="AI1243" s="122">
        <v>510524</v>
      </c>
      <c r="AJ1243" s="122">
        <v>189083</v>
      </c>
      <c r="AK1243">
        <v>100</v>
      </c>
      <c r="AL1243" s="122">
        <v>88261</v>
      </c>
      <c r="AM1243" s="122">
        <v>73551</v>
      </c>
      <c r="AN1243" s="122">
        <v>53940</v>
      </c>
      <c r="AO1243" s="122">
        <v>19978</v>
      </c>
      <c r="AP1243" s="122">
        <v>4563</v>
      </c>
      <c r="AQ1243" s="122">
        <v>1690</v>
      </c>
      <c r="AR1243" s="122">
        <v>262240</v>
      </c>
      <c r="AS1243" s="122">
        <v>97126</v>
      </c>
      <c r="AT1243" s="122">
        <v>24012</v>
      </c>
      <c r="AU1243" s="122">
        <v>8893</v>
      </c>
      <c r="AV1243" s="122">
        <v>390320</v>
      </c>
    </row>
    <row r="1244" spans="2:48" hidden="1">
      <c r="B1244" t="s">
        <v>371</v>
      </c>
      <c r="C1244" t="s">
        <v>58</v>
      </c>
      <c r="D1244" t="s">
        <v>407</v>
      </c>
      <c r="E1244" t="s">
        <v>406</v>
      </c>
      <c r="F1244" s="122">
        <v>1</v>
      </c>
      <c r="G1244" s="122">
        <v>90</v>
      </c>
      <c r="H1244" s="122">
        <v>231</v>
      </c>
      <c r="I1244" s="122">
        <v>10005</v>
      </c>
      <c r="J1244" s="122">
        <v>9096</v>
      </c>
      <c r="K1244" s="122">
        <v>78</v>
      </c>
      <c r="L1244" s="122">
        <v>2025</v>
      </c>
      <c r="M1244" s="122">
        <v>750</v>
      </c>
      <c r="N1244" s="122">
        <v>1647</v>
      </c>
      <c r="O1244" s="122">
        <v>610</v>
      </c>
      <c r="P1244" s="122">
        <v>473</v>
      </c>
      <c r="Q1244" s="122">
        <v>175</v>
      </c>
      <c r="R1244" s="122">
        <v>4074</v>
      </c>
      <c r="S1244" s="122">
        <v>3703</v>
      </c>
      <c r="T1244" s="122">
        <v>2567</v>
      </c>
      <c r="U1244" s="122">
        <v>951</v>
      </c>
      <c r="V1244" s="122">
        <v>15285</v>
      </c>
      <c r="W1244" s="122">
        <f t="shared" si="38"/>
        <v>15285</v>
      </c>
      <c r="X1244" s="122">
        <f t="shared" si="39"/>
        <v>20791</v>
      </c>
      <c r="AA1244" t="s">
        <v>60</v>
      </c>
      <c r="AB1244" t="s">
        <v>137</v>
      </c>
      <c r="AC1244" t="s">
        <v>579</v>
      </c>
      <c r="AD1244" t="s">
        <v>137</v>
      </c>
      <c r="AE1244" t="s">
        <v>566</v>
      </c>
      <c r="AF1244">
        <v>552</v>
      </c>
      <c r="AG1244" s="122">
        <v>45447</v>
      </c>
      <c r="AH1244" s="122">
        <v>186960</v>
      </c>
      <c r="AI1244" s="122">
        <v>8959878</v>
      </c>
      <c r="AJ1244" s="122">
        <v>3318473</v>
      </c>
      <c r="AK1244">
        <v>101</v>
      </c>
      <c r="AL1244" s="122">
        <v>1709291</v>
      </c>
      <c r="AM1244" s="122">
        <v>1424409</v>
      </c>
      <c r="AN1244" s="122">
        <v>910566</v>
      </c>
      <c r="AO1244" s="122">
        <v>337247</v>
      </c>
      <c r="AP1244" s="122">
        <v>14975</v>
      </c>
      <c r="AQ1244" s="122">
        <v>5546</v>
      </c>
      <c r="AR1244" s="122">
        <v>3905258</v>
      </c>
      <c r="AS1244" s="122">
        <v>1446392</v>
      </c>
      <c r="AT1244">
        <v>0</v>
      </c>
      <c r="AU1244">
        <v>0</v>
      </c>
      <c r="AV1244" s="122">
        <v>6532067</v>
      </c>
    </row>
    <row r="1245" spans="2:48" hidden="1">
      <c r="B1245" t="s">
        <v>371</v>
      </c>
      <c r="C1245" t="s">
        <v>58</v>
      </c>
      <c r="D1245" t="s">
        <v>407</v>
      </c>
      <c r="E1245" t="s">
        <v>407</v>
      </c>
      <c r="F1245" s="122">
        <v>633</v>
      </c>
      <c r="G1245" s="122">
        <v>55243</v>
      </c>
      <c r="H1245" s="122">
        <v>161807</v>
      </c>
      <c r="I1245" s="122">
        <v>7179299</v>
      </c>
      <c r="J1245" s="122">
        <v>6526636</v>
      </c>
      <c r="K1245" s="122">
        <v>78</v>
      </c>
      <c r="L1245" s="122">
        <v>1760888</v>
      </c>
      <c r="M1245" s="122">
        <v>1534642</v>
      </c>
      <c r="N1245" s="122">
        <v>1107455</v>
      </c>
      <c r="O1245" s="122">
        <v>410169</v>
      </c>
      <c r="P1245" s="122">
        <v>300821</v>
      </c>
      <c r="Q1245" s="122">
        <v>111415</v>
      </c>
      <c r="R1245" s="122">
        <v>3074994</v>
      </c>
      <c r="S1245" s="122">
        <v>2795449</v>
      </c>
      <c r="T1245" s="122">
        <v>825802</v>
      </c>
      <c r="U1245" s="122">
        <v>305853</v>
      </c>
      <c r="V1245" s="122">
        <v>11684163</v>
      </c>
      <c r="W1245" s="122">
        <f t="shared" si="38"/>
        <v>11684164</v>
      </c>
      <c r="X1245" s="122">
        <f t="shared" si="39"/>
        <v>14249259</v>
      </c>
      <c r="AA1245" t="s">
        <v>60</v>
      </c>
      <c r="AB1245" t="s">
        <v>137</v>
      </c>
      <c r="AC1245" t="s">
        <v>579</v>
      </c>
      <c r="AD1245" t="s">
        <v>407</v>
      </c>
      <c r="AE1245" t="s">
        <v>566</v>
      </c>
      <c r="AF1245">
        <v>1</v>
      </c>
      <c r="AG1245">
        <v>229</v>
      </c>
      <c r="AH1245">
        <v>337</v>
      </c>
      <c r="AI1245" s="122">
        <v>67154</v>
      </c>
      <c r="AJ1245" s="122">
        <v>24872</v>
      </c>
      <c r="AK1245">
        <v>100</v>
      </c>
      <c r="AL1245" s="122">
        <v>11054</v>
      </c>
      <c r="AM1245" s="122">
        <v>9212</v>
      </c>
      <c r="AN1245" s="122">
        <v>5682</v>
      </c>
      <c r="AO1245" s="122">
        <v>2104</v>
      </c>
      <c r="AP1245">
        <v>0</v>
      </c>
      <c r="AQ1245">
        <v>0</v>
      </c>
      <c r="AR1245" s="122">
        <v>4869</v>
      </c>
      <c r="AS1245" s="122">
        <v>4426</v>
      </c>
      <c r="AT1245">
        <v>0</v>
      </c>
      <c r="AU1245">
        <v>0</v>
      </c>
      <c r="AV1245" s="122">
        <v>40614</v>
      </c>
    </row>
    <row r="1246" spans="2:48" hidden="1">
      <c r="B1246" t="s">
        <v>371</v>
      </c>
      <c r="C1246" t="s">
        <v>58</v>
      </c>
      <c r="D1246" t="s">
        <v>407</v>
      </c>
      <c r="E1246" t="s">
        <v>556</v>
      </c>
      <c r="F1246" s="122">
        <v>1</v>
      </c>
      <c r="G1246" s="122">
        <v>82</v>
      </c>
      <c r="H1246" s="122">
        <v>282</v>
      </c>
      <c r="I1246" s="122">
        <v>14450</v>
      </c>
      <c r="J1246" s="122">
        <v>13136</v>
      </c>
      <c r="K1246" s="122">
        <v>68</v>
      </c>
      <c r="L1246" s="122">
        <v>3457</v>
      </c>
      <c r="M1246" s="122">
        <v>3143</v>
      </c>
      <c r="N1246" s="122">
        <v>1824</v>
      </c>
      <c r="O1246" s="122">
        <v>675</v>
      </c>
      <c r="P1246" s="122">
        <v>473</v>
      </c>
      <c r="Q1246" s="122">
        <v>175</v>
      </c>
      <c r="R1246" s="122">
        <v>5279</v>
      </c>
      <c r="S1246" s="122">
        <v>4399</v>
      </c>
      <c r="T1246" s="122">
        <v>2692</v>
      </c>
      <c r="U1246" s="122">
        <v>997</v>
      </c>
      <c r="V1246" s="122">
        <v>22526</v>
      </c>
      <c r="W1246" s="122">
        <f t="shared" si="38"/>
        <v>22525</v>
      </c>
      <c r="X1246" s="122">
        <f t="shared" si="39"/>
        <v>28175</v>
      </c>
      <c r="AA1246" t="s">
        <v>60</v>
      </c>
      <c r="AB1246" t="s">
        <v>137</v>
      </c>
      <c r="AC1246" t="s">
        <v>579</v>
      </c>
      <c r="AD1246" t="s">
        <v>579</v>
      </c>
      <c r="AE1246" t="s">
        <v>137</v>
      </c>
      <c r="AF1246">
        <v>47</v>
      </c>
      <c r="AG1246" s="122">
        <v>3512</v>
      </c>
      <c r="AH1246" s="122">
        <v>15867</v>
      </c>
      <c r="AI1246" s="122">
        <v>644440</v>
      </c>
      <c r="AJ1246" s="122">
        <v>238681</v>
      </c>
      <c r="AK1246">
        <v>120</v>
      </c>
      <c r="AL1246" s="122">
        <v>91929</v>
      </c>
      <c r="AM1246" s="122">
        <v>76608</v>
      </c>
      <c r="AN1246" s="122">
        <v>72589</v>
      </c>
      <c r="AO1246" s="122">
        <v>26885</v>
      </c>
      <c r="AP1246" s="122">
        <v>3413</v>
      </c>
      <c r="AQ1246" s="122">
        <v>1264</v>
      </c>
      <c r="AR1246" s="122">
        <v>272803</v>
      </c>
      <c r="AS1246" s="122">
        <v>227336</v>
      </c>
      <c r="AT1246" s="122">
        <v>104965</v>
      </c>
      <c r="AU1246" s="122">
        <v>38876</v>
      </c>
      <c r="AV1246" s="122">
        <v>609650</v>
      </c>
    </row>
    <row r="1247" spans="2:48" hidden="1">
      <c r="B1247" t="s">
        <v>371</v>
      </c>
      <c r="C1247" t="s">
        <v>58</v>
      </c>
      <c r="D1247" t="s">
        <v>556</v>
      </c>
      <c r="E1247" t="s">
        <v>556</v>
      </c>
      <c r="F1247" s="122">
        <v>19</v>
      </c>
      <c r="G1247" s="122">
        <v>1649</v>
      </c>
      <c r="H1247" s="122">
        <v>5191</v>
      </c>
      <c r="I1247" s="122">
        <v>240156</v>
      </c>
      <c r="J1247" s="122">
        <v>200130</v>
      </c>
      <c r="K1247" s="122">
        <v>67</v>
      </c>
      <c r="L1247" s="122">
        <v>34960</v>
      </c>
      <c r="M1247" s="122">
        <v>26513</v>
      </c>
      <c r="N1247" s="122">
        <v>31760</v>
      </c>
      <c r="O1247" s="122">
        <v>11763</v>
      </c>
      <c r="P1247" s="122">
        <v>6669</v>
      </c>
      <c r="Q1247" s="122">
        <v>2470</v>
      </c>
      <c r="R1247" s="122">
        <v>99073</v>
      </c>
      <c r="S1247" s="122">
        <v>82561</v>
      </c>
      <c r="T1247" s="122">
        <v>40059</v>
      </c>
      <c r="U1247" s="122">
        <v>14837</v>
      </c>
      <c r="V1247" s="122">
        <v>338273</v>
      </c>
      <c r="W1247" s="122">
        <f t="shared" si="38"/>
        <v>338274</v>
      </c>
      <c r="X1247" s="122">
        <f t="shared" si="39"/>
        <v>452677</v>
      </c>
      <c r="AA1247" t="s">
        <v>60</v>
      </c>
      <c r="AB1247" t="s">
        <v>137</v>
      </c>
      <c r="AC1247" t="s">
        <v>579</v>
      </c>
      <c r="AD1247" t="s">
        <v>579</v>
      </c>
      <c r="AE1247" t="s">
        <v>566</v>
      </c>
      <c r="AF1247">
        <v>1</v>
      </c>
      <c r="AG1247">
        <v>104</v>
      </c>
      <c r="AH1247">
        <v>324</v>
      </c>
      <c r="AI1247" s="122">
        <v>20013</v>
      </c>
      <c r="AJ1247" s="122">
        <v>7412</v>
      </c>
      <c r="AK1247">
        <v>100</v>
      </c>
      <c r="AL1247" s="122">
        <v>1797</v>
      </c>
      <c r="AM1247" s="122">
        <v>1497</v>
      </c>
      <c r="AN1247" s="122">
        <v>2532</v>
      </c>
      <c r="AO1247">
        <v>938</v>
      </c>
      <c r="AP1247">
        <v>351</v>
      </c>
      <c r="AQ1247">
        <v>130</v>
      </c>
      <c r="AR1247" s="122">
        <v>8957</v>
      </c>
      <c r="AS1247" s="122">
        <v>7464</v>
      </c>
      <c r="AT1247">
        <v>0</v>
      </c>
      <c r="AU1247">
        <v>0</v>
      </c>
      <c r="AV1247" s="122">
        <v>17441</v>
      </c>
    </row>
    <row r="1248" spans="2:48" hidden="1">
      <c r="B1248" t="s">
        <v>371</v>
      </c>
      <c r="C1248" t="s">
        <v>58</v>
      </c>
      <c r="D1248" t="s">
        <v>428</v>
      </c>
      <c r="E1248" t="s">
        <v>428</v>
      </c>
      <c r="F1248" s="122">
        <v>1</v>
      </c>
      <c r="G1248" s="122">
        <v>75</v>
      </c>
      <c r="H1248" s="122">
        <v>299</v>
      </c>
      <c r="I1248" s="122">
        <v>11556</v>
      </c>
      <c r="J1248" s="122">
        <v>10506</v>
      </c>
      <c r="K1248" s="122">
        <v>55</v>
      </c>
      <c r="L1248" s="122">
        <v>1412</v>
      </c>
      <c r="M1248" s="122">
        <v>1284</v>
      </c>
      <c r="N1248" s="122">
        <v>1818</v>
      </c>
      <c r="O1248" s="122">
        <v>673</v>
      </c>
      <c r="P1248" s="122">
        <v>351</v>
      </c>
      <c r="Q1248" s="122">
        <v>130</v>
      </c>
      <c r="R1248" s="122">
        <v>7137</v>
      </c>
      <c r="S1248" s="122">
        <v>6488</v>
      </c>
      <c r="T1248" s="122">
        <v>0</v>
      </c>
      <c r="U1248" s="122">
        <v>0</v>
      </c>
      <c r="V1248" s="122">
        <v>19081</v>
      </c>
      <c r="W1248" s="122">
        <f t="shared" si="38"/>
        <v>19081</v>
      </c>
      <c r="X1248" s="122">
        <f t="shared" si="39"/>
        <v>22274</v>
      </c>
      <c r="AA1248" t="s">
        <v>60</v>
      </c>
      <c r="AB1248" t="s">
        <v>137</v>
      </c>
      <c r="AC1248" t="s">
        <v>579</v>
      </c>
      <c r="AD1248" t="s">
        <v>426</v>
      </c>
      <c r="AE1248" t="s">
        <v>137</v>
      </c>
      <c r="AF1248">
        <v>1</v>
      </c>
      <c r="AG1248">
        <v>76</v>
      </c>
      <c r="AH1248">
        <v>370</v>
      </c>
      <c r="AI1248" s="122">
        <v>16737</v>
      </c>
      <c r="AJ1248" s="122">
        <v>6199</v>
      </c>
      <c r="AK1248">
        <v>100</v>
      </c>
      <c r="AL1248" s="122">
        <v>1653</v>
      </c>
      <c r="AM1248" s="122">
        <v>1378</v>
      </c>
      <c r="AN1248">
        <v>931</v>
      </c>
      <c r="AO1248">
        <v>345</v>
      </c>
      <c r="AP1248">
        <v>0</v>
      </c>
      <c r="AQ1248">
        <v>0</v>
      </c>
      <c r="AR1248" s="122">
        <v>6356</v>
      </c>
      <c r="AS1248" s="122">
        <v>5778</v>
      </c>
      <c r="AT1248" s="122">
        <v>2563</v>
      </c>
      <c r="AU1248">
        <v>949</v>
      </c>
      <c r="AV1248" s="122">
        <v>14648</v>
      </c>
    </row>
    <row r="1249" spans="2:48" hidden="1">
      <c r="B1249" t="s">
        <v>371</v>
      </c>
      <c r="C1249" t="s">
        <v>58</v>
      </c>
      <c r="D1249" t="s">
        <v>426</v>
      </c>
      <c r="E1249" t="s">
        <v>406</v>
      </c>
      <c r="F1249" s="122">
        <v>1</v>
      </c>
      <c r="G1249" s="122">
        <v>79</v>
      </c>
      <c r="H1249" s="122">
        <v>275</v>
      </c>
      <c r="I1249" s="122">
        <v>10014</v>
      </c>
      <c r="J1249" s="122">
        <v>9103</v>
      </c>
      <c r="K1249" s="122">
        <v>65</v>
      </c>
      <c r="L1249" s="122">
        <v>3994</v>
      </c>
      <c r="M1249" s="122">
        <v>1479</v>
      </c>
      <c r="N1249" s="122">
        <v>958</v>
      </c>
      <c r="O1249" s="122">
        <v>355</v>
      </c>
      <c r="P1249" s="122">
        <v>351</v>
      </c>
      <c r="Q1249" s="122">
        <v>130</v>
      </c>
      <c r="R1249" s="122">
        <v>4116</v>
      </c>
      <c r="S1249" s="122">
        <v>3742</v>
      </c>
      <c r="T1249" s="122">
        <v>2147</v>
      </c>
      <c r="U1249" s="122">
        <v>795</v>
      </c>
      <c r="V1249" s="122">
        <v>15605</v>
      </c>
      <c r="W1249" s="122">
        <f t="shared" si="38"/>
        <v>15604</v>
      </c>
      <c r="X1249" s="122">
        <f t="shared" si="39"/>
        <v>21580</v>
      </c>
      <c r="AA1249" t="s">
        <v>60</v>
      </c>
      <c r="AB1249" t="s">
        <v>137</v>
      </c>
      <c r="AC1249" t="s">
        <v>428</v>
      </c>
      <c r="AD1249" t="s">
        <v>137</v>
      </c>
      <c r="AE1249" t="s">
        <v>137</v>
      </c>
      <c r="AF1249">
        <v>2</v>
      </c>
      <c r="AG1249">
        <v>188</v>
      </c>
      <c r="AH1249">
        <v>685</v>
      </c>
      <c r="AI1249" s="122">
        <v>37470</v>
      </c>
      <c r="AJ1249" s="122">
        <v>13878</v>
      </c>
      <c r="AK1249">
        <v>100</v>
      </c>
      <c r="AL1249" s="122">
        <v>9578</v>
      </c>
      <c r="AM1249" s="122">
        <v>8708</v>
      </c>
      <c r="AN1249" s="122">
        <v>3392</v>
      </c>
      <c r="AO1249" s="122">
        <v>1256</v>
      </c>
      <c r="AP1249">
        <v>0</v>
      </c>
      <c r="AQ1249">
        <v>0</v>
      </c>
      <c r="AR1249" s="122">
        <v>11849</v>
      </c>
      <c r="AS1249" s="122">
        <v>4389</v>
      </c>
      <c r="AT1249" s="122">
        <v>2400</v>
      </c>
      <c r="AU1249">
        <v>889</v>
      </c>
      <c r="AV1249" s="122">
        <v>29119</v>
      </c>
    </row>
    <row r="1250" spans="2:48" hidden="1">
      <c r="B1250" t="s">
        <v>371</v>
      </c>
      <c r="C1250" t="s">
        <v>58</v>
      </c>
      <c r="D1250" t="s">
        <v>426</v>
      </c>
      <c r="E1250" t="s">
        <v>426</v>
      </c>
      <c r="F1250" s="122">
        <v>177</v>
      </c>
      <c r="G1250" s="122">
        <v>14266</v>
      </c>
      <c r="H1250" s="122">
        <v>47072</v>
      </c>
      <c r="I1250" s="122">
        <v>2031628</v>
      </c>
      <c r="J1250" s="122">
        <v>1846935</v>
      </c>
      <c r="K1250" s="122">
        <v>63</v>
      </c>
      <c r="L1250" s="122">
        <v>198192</v>
      </c>
      <c r="M1250" s="122">
        <v>152694</v>
      </c>
      <c r="N1250" s="122">
        <v>273373</v>
      </c>
      <c r="O1250" s="122">
        <v>101249</v>
      </c>
      <c r="P1250" s="122">
        <v>62667</v>
      </c>
      <c r="Q1250" s="122">
        <v>23210</v>
      </c>
      <c r="R1250" s="122">
        <v>800966</v>
      </c>
      <c r="S1250" s="122">
        <v>728151</v>
      </c>
      <c r="T1250" s="122">
        <v>412976</v>
      </c>
      <c r="U1250" s="122">
        <v>152954</v>
      </c>
      <c r="V1250" s="122">
        <v>3005193</v>
      </c>
      <c r="W1250" s="122">
        <f t="shared" si="38"/>
        <v>3005193</v>
      </c>
      <c r="X1250" s="122">
        <f t="shared" si="39"/>
        <v>3779802</v>
      </c>
      <c r="AA1250" t="s">
        <v>60</v>
      </c>
      <c r="AB1250" t="s">
        <v>137</v>
      </c>
      <c r="AC1250" t="s">
        <v>428</v>
      </c>
      <c r="AD1250" t="s">
        <v>137</v>
      </c>
      <c r="AE1250" t="s">
        <v>566</v>
      </c>
      <c r="AF1250">
        <v>49</v>
      </c>
      <c r="AG1250" s="122">
        <v>3277</v>
      </c>
      <c r="AH1250" s="122">
        <v>17070</v>
      </c>
      <c r="AI1250" s="122">
        <v>725097</v>
      </c>
      <c r="AJ1250" s="122">
        <v>268554</v>
      </c>
      <c r="AK1250">
        <v>100</v>
      </c>
      <c r="AL1250" s="122">
        <v>110491</v>
      </c>
      <c r="AM1250" s="122">
        <v>100447</v>
      </c>
      <c r="AN1250" s="122">
        <v>64911</v>
      </c>
      <c r="AO1250" s="122">
        <v>24041</v>
      </c>
      <c r="AP1250">
        <v>0</v>
      </c>
      <c r="AQ1250">
        <v>0</v>
      </c>
      <c r="AR1250" s="122">
        <v>310709</v>
      </c>
      <c r="AS1250" s="122">
        <v>115077</v>
      </c>
      <c r="AT1250">
        <v>0</v>
      </c>
      <c r="AU1250">
        <v>0</v>
      </c>
      <c r="AV1250" s="122">
        <v>508119</v>
      </c>
    </row>
    <row r="1251" spans="2:48" hidden="1">
      <c r="B1251" t="s">
        <v>371</v>
      </c>
      <c r="C1251" t="s">
        <v>58</v>
      </c>
      <c r="D1251" t="s">
        <v>433</v>
      </c>
      <c r="E1251" t="s">
        <v>433</v>
      </c>
      <c r="F1251" s="122">
        <v>1</v>
      </c>
      <c r="G1251" s="122">
        <v>102</v>
      </c>
      <c r="H1251" s="122">
        <v>274</v>
      </c>
      <c r="I1251" s="122">
        <v>19383</v>
      </c>
      <c r="J1251" s="122">
        <v>17621</v>
      </c>
      <c r="K1251" s="122">
        <v>65</v>
      </c>
      <c r="L1251" s="122">
        <v>0</v>
      </c>
      <c r="M1251" s="122">
        <v>0</v>
      </c>
      <c r="N1251" s="122">
        <v>1244</v>
      </c>
      <c r="O1251" s="122">
        <v>461</v>
      </c>
      <c r="P1251" s="122">
        <v>351</v>
      </c>
      <c r="Q1251" s="122">
        <v>130</v>
      </c>
      <c r="R1251" s="122">
        <v>4507</v>
      </c>
      <c r="S1251" s="122">
        <v>4097</v>
      </c>
      <c r="T1251" s="122">
        <v>2455</v>
      </c>
      <c r="U1251" s="122">
        <v>909</v>
      </c>
      <c r="V1251" s="122">
        <v>23219</v>
      </c>
      <c r="W1251" s="122">
        <f t="shared" si="38"/>
        <v>23218</v>
      </c>
      <c r="X1251" s="122">
        <f t="shared" si="39"/>
        <v>27940</v>
      </c>
      <c r="AA1251" t="s">
        <v>60</v>
      </c>
      <c r="AB1251" t="s">
        <v>137</v>
      </c>
      <c r="AC1251" t="s">
        <v>428</v>
      </c>
      <c r="AD1251" t="s">
        <v>428</v>
      </c>
      <c r="AE1251" t="s">
        <v>137</v>
      </c>
      <c r="AF1251">
        <v>2</v>
      </c>
      <c r="AG1251">
        <v>162</v>
      </c>
      <c r="AH1251">
        <v>629</v>
      </c>
      <c r="AI1251" s="122">
        <v>27766</v>
      </c>
      <c r="AJ1251" s="122">
        <v>10284</v>
      </c>
      <c r="AK1251">
        <v>100</v>
      </c>
      <c r="AL1251" s="122">
        <v>4049</v>
      </c>
      <c r="AM1251" s="122">
        <v>3681</v>
      </c>
      <c r="AN1251" s="122">
        <v>3559</v>
      </c>
      <c r="AO1251" s="122">
        <v>1318</v>
      </c>
      <c r="AP1251">
        <v>351</v>
      </c>
      <c r="AQ1251">
        <v>130</v>
      </c>
      <c r="AR1251" s="122">
        <v>10800</v>
      </c>
      <c r="AS1251" s="122">
        <v>9818</v>
      </c>
      <c r="AT1251" s="122">
        <v>4354</v>
      </c>
      <c r="AU1251" s="122">
        <v>1613</v>
      </c>
      <c r="AV1251" s="122">
        <v>26843</v>
      </c>
    </row>
    <row r="1252" spans="2:48" hidden="1">
      <c r="B1252" t="s">
        <v>371</v>
      </c>
      <c r="C1252" t="s">
        <v>58</v>
      </c>
      <c r="D1252" t="s">
        <v>408</v>
      </c>
      <c r="E1252" t="s">
        <v>408</v>
      </c>
      <c r="F1252" s="122">
        <v>1</v>
      </c>
      <c r="G1252" s="122">
        <v>98</v>
      </c>
      <c r="H1252" s="122">
        <v>300</v>
      </c>
      <c r="I1252" s="122">
        <v>14661</v>
      </c>
      <c r="J1252" s="122">
        <v>13328</v>
      </c>
      <c r="K1252" s="122">
        <v>60</v>
      </c>
      <c r="L1252" s="122">
        <v>3554</v>
      </c>
      <c r="M1252" s="122">
        <v>2962</v>
      </c>
      <c r="N1252" s="122">
        <v>1975</v>
      </c>
      <c r="O1252" s="122">
        <v>731</v>
      </c>
      <c r="P1252" s="122">
        <v>351</v>
      </c>
      <c r="Q1252" s="122">
        <v>130</v>
      </c>
      <c r="R1252" s="122">
        <v>5797</v>
      </c>
      <c r="S1252" s="122">
        <v>5270</v>
      </c>
      <c r="T1252" s="122">
        <v>3118</v>
      </c>
      <c r="U1252" s="122">
        <v>1155</v>
      </c>
      <c r="V1252" s="122">
        <v>23576</v>
      </c>
      <c r="W1252" s="122">
        <f t="shared" si="38"/>
        <v>23576</v>
      </c>
      <c r="X1252" s="122">
        <f t="shared" si="39"/>
        <v>29456</v>
      </c>
      <c r="AA1252" t="s">
        <v>60</v>
      </c>
      <c r="AB1252" t="s">
        <v>137</v>
      </c>
      <c r="AC1252" t="s">
        <v>431</v>
      </c>
      <c r="AD1252" t="s">
        <v>137</v>
      </c>
      <c r="AE1252" t="s">
        <v>137</v>
      </c>
      <c r="AF1252">
        <v>1</v>
      </c>
      <c r="AG1252">
        <v>92</v>
      </c>
      <c r="AH1252">
        <v>366</v>
      </c>
      <c r="AI1252" s="122">
        <v>17989</v>
      </c>
      <c r="AJ1252" s="122">
        <v>6663</v>
      </c>
      <c r="AK1252">
        <v>100</v>
      </c>
      <c r="AL1252" s="122">
        <v>2714</v>
      </c>
      <c r="AM1252" s="122">
        <v>2468</v>
      </c>
      <c r="AN1252" s="122">
        <v>2236</v>
      </c>
      <c r="AO1252">
        <v>828</v>
      </c>
      <c r="AP1252">
        <v>351</v>
      </c>
      <c r="AQ1252">
        <v>130</v>
      </c>
      <c r="AR1252" s="122">
        <v>10329</v>
      </c>
      <c r="AS1252" s="122">
        <v>3826</v>
      </c>
      <c r="AT1252">
        <v>0</v>
      </c>
      <c r="AU1252">
        <v>0</v>
      </c>
      <c r="AV1252" s="122">
        <v>13914</v>
      </c>
    </row>
    <row r="1253" spans="2:48" hidden="1">
      <c r="B1253" t="s">
        <v>371</v>
      </c>
      <c r="C1253" t="s">
        <v>60</v>
      </c>
      <c r="F1253" s="122">
        <v>3</v>
      </c>
      <c r="G1253" s="122">
        <v>181</v>
      </c>
      <c r="H1253" s="122">
        <v>1036</v>
      </c>
      <c r="I1253" s="122"/>
      <c r="J1253" s="122">
        <v>0</v>
      </c>
      <c r="K1253" s="122"/>
      <c r="L1253" s="122"/>
      <c r="M1253" s="122">
        <v>0</v>
      </c>
      <c r="N1253" s="122">
        <v>3796</v>
      </c>
      <c r="O1253" s="122">
        <v>1406</v>
      </c>
      <c r="P1253" s="122">
        <v>1242</v>
      </c>
      <c r="Q1253" s="122">
        <v>460</v>
      </c>
      <c r="R1253" s="122"/>
      <c r="S1253" s="122">
        <v>0</v>
      </c>
      <c r="T1253" s="122">
        <v>2211</v>
      </c>
      <c r="U1253" s="122">
        <v>819</v>
      </c>
      <c r="V1253" s="122">
        <v>2685</v>
      </c>
      <c r="W1253" s="122">
        <f t="shared" si="38"/>
        <v>2685</v>
      </c>
      <c r="X1253" s="122">
        <f t="shared" si="39"/>
        <v>7249</v>
      </c>
      <c r="AA1253" t="s">
        <v>60</v>
      </c>
      <c r="AB1253" t="s">
        <v>137</v>
      </c>
      <c r="AC1253" t="s">
        <v>431</v>
      </c>
      <c r="AD1253" t="s">
        <v>137</v>
      </c>
      <c r="AE1253" t="s">
        <v>566</v>
      </c>
      <c r="AF1253">
        <v>3</v>
      </c>
      <c r="AG1253">
        <v>277</v>
      </c>
      <c r="AH1253">
        <v>939</v>
      </c>
      <c r="AI1253" s="122">
        <v>54244</v>
      </c>
      <c r="AJ1253" s="122">
        <v>20091</v>
      </c>
      <c r="AK1253">
        <v>100</v>
      </c>
      <c r="AL1253" s="122">
        <v>6412</v>
      </c>
      <c r="AM1253" s="122">
        <v>5829</v>
      </c>
      <c r="AN1253" s="122">
        <v>6178</v>
      </c>
      <c r="AO1253" s="122">
        <v>2288</v>
      </c>
      <c r="AP1253">
        <v>0</v>
      </c>
      <c r="AQ1253">
        <v>0</v>
      </c>
      <c r="AR1253" s="122">
        <v>19945</v>
      </c>
      <c r="AS1253" s="122">
        <v>7387</v>
      </c>
      <c r="AT1253">
        <v>0</v>
      </c>
      <c r="AU1253">
        <v>0</v>
      </c>
      <c r="AV1253" s="122">
        <v>35595</v>
      </c>
    </row>
    <row r="1254" spans="2:48" hidden="1">
      <c r="B1254" t="s">
        <v>371</v>
      </c>
      <c r="C1254" t="s">
        <v>60</v>
      </c>
      <c r="D1254" t="s">
        <v>425</v>
      </c>
      <c r="E1254" t="s">
        <v>425</v>
      </c>
      <c r="F1254" s="122">
        <v>1</v>
      </c>
      <c r="G1254" s="122">
        <v>203</v>
      </c>
      <c r="H1254" s="122">
        <v>325</v>
      </c>
      <c r="I1254" s="122">
        <v>45920</v>
      </c>
      <c r="J1254" s="122">
        <v>41746</v>
      </c>
      <c r="K1254" s="122">
        <v>91</v>
      </c>
      <c r="L1254" s="122">
        <v>7381</v>
      </c>
      <c r="M1254" s="122">
        <v>6710</v>
      </c>
      <c r="N1254" s="122">
        <v>4127</v>
      </c>
      <c r="O1254" s="122">
        <v>1529</v>
      </c>
      <c r="P1254" s="122">
        <v>473</v>
      </c>
      <c r="Q1254" s="122">
        <v>175</v>
      </c>
      <c r="R1254" s="122">
        <v>4417</v>
      </c>
      <c r="S1254" s="122">
        <v>4015</v>
      </c>
      <c r="T1254" s="122">
        <v>3549</v>
      </c>
      <c r="U1254" s="122">
        <v>1315</v>
      </c>
      <c r="V1254" s="122">
        <v>55489</v>
      </c>
      <c r="W1254" s="122">
        <f t="shared" si="38"/>
        <v>55490</v>
      </c>
      <c r="X1254" s="122">
        <f t="shared" si="39"/>
        <v>65867</v>
      </c>
      <c r="AA1254" t="s">
        <v>60</v>
      </c>
      <c r="AB1254" t="s">
        <v>137</v>
      </c>
      <c r="AC1254" t="s">
        <v>431</v>
      </c>
      <c r="AD1254" t="s">
        <v>406</v>
      </c>
      <c r="AE1254" t="s">
        <v>566</v>
      </c>
      <c r="AF1254">
        <v>1</v>
      </c>
      <c r="AG1254">
        <v>429</v>
      </c>
      <c r="AH1254">
        <v>321</v>
      </c>
      <c r="AI1254" s="122">
        <v>101847</v>
      </c>
      <c r="AJ1254" s="122">
        <v>37721</v>
      </c>
      <c r="AK1254">
        <v>100</v>
      </c>
      <c r="AL1254" s="122">
        <v>15368</v>
      </c>
      <c r="AM1254" s="122">
        <v>13971</v>
      </c>
      <c r="AN1254" s="122">
        <v>8878</v>
      </c>
      <c r="AO1254" s="122">
        <v>3288</v>
      </c>
      <c r="AP1254">
        <v>0</v>
      </c>
      <c r="AQ1254">
        <v>0</v>
      </c>
      <c r="AR1254" s="122">
        <v>11644</v>
      </c>
      <c r="AS1254" s="122">
        <v>10586</v>
      </c>
      <c r="AT1254">
        <v>0</v>
      </c>
      <c r="AU1254">
        <v>0</v>
      </c>
      <c r="AV1254" s="122">
        <v>65566</v>
      </c>
    </row>
    <row r="1255" spans="2:48" hidden="1">
      <c r="B1255" t="s">
        <v>371</v>
      </c>
      <c r="C1255" t="s">
        <v>60</v>
      </c>
      <c r="D1255" t="s">
        <v>137</v>
      </c>
      <c r="E1255" t="s">
        <v>137</v>
      </c>
      <c r="F1255" s="122">
        <v>96</v>
      </c>
      <c r="G1255" s="122">
        <v>5871</v>
      </c>
      <c r="H1255" s="122">
        <v>32797</v>
      </c>
      <c r="I1255" s="122">
        <v>1143553</v>
      </c>
      <c r="J1255" s="122">
        <v>423538</v>
      </c>
      <c r="K1255" s="122">
        <v>100</v>
      </c>
      <c r="L1255" s="122">
        <v>179820</v>
      </c>
      <c r="M1255" s="122">
        <v>115815</v>
      </c>
      <c r="N1255" s="122">
        <v>109459</v>
      </c>
      <c r="O1255" s="122">
        <v>40540</v>
      </c>
      <c r="P1255" s="122">
        <v>1712</v>
      </c>
      <c r="Q1255" s="122">
        <v>634</v>
      </c>
      <c r="R1255" s="122">
        <v>614775</v>
      </c>
      <c r="S1255" s="122">
        <v>227695</v>
      </c>
      <c r="T1255" s="122">
        <v>5000</v>
      </c>
      <c r="U1255" s="122">
        <v>1852</v>
      </c>
      <c r="V1255" s="122">
        <v>810074</v>
      </c>
      <c r="W1255" s="122">
        <f t="shared" si="38"/>
        <v>810074</v>
      </c>
      <c r="X1255" s="122">
        <f t="shared" si="39"/>
        <v>2054319</v>
      </c>
      <c r="AA1255" t="s">
        <v>60</v>
      </c>
      <c r="AB1255" t="s">
        <v>137</v>
      </c>
      <c r="AC1255" t="s">
        <v>431</v>
      </c>
      <c r="AD1255" t="s">
        <v>431</v>
      </c>
      <c r="AE1255" t="s">
        <v>137</v>
      </c>
      <c r="AF1255">
        <v>4</v>
      </c>
      <c r="AG1255">
        <v>309</v>
      </c>
      <c r="AH1255" s="122">
        <v>1385</v>
      </c>
      <c r="AI1255" s="122">
        <v>62583</v>
      </c>
      <c r="AJ1255" s="122">
        <v>23179</v>
      </c>
      <c r="AK1255">
        <v>100</v>
      </c>
      <c r="AL1255" s="122">
        <v>7422</v>
      </c>
      <c r="AM1255" s="122">
        <v>6747</v>
      </c>
      <c r="AN1255" s="122">
        <v>6275</v>
      </c>
      <c r="AO1255" s="122">
        <v>2324</v>
      </c>
      <c r="AP1255">
        <v>351</v>
      </c>
      <c r="AQ1255">
        <v>130</v>
      </c>
      <c r="AR1255" s="122">
        <v>21723</v>
      </c>
      <c r="AS1255" s="122">
        <v>19748</v>
      </c>
      <c r="AT1255" s="122">
        <v>8651</v>
      </c>
      <c r="AU1255" s="122">
        <v>3204</v>
      </c>
      <c r="AV1255" s="122">
        <v>55333</v>
      </c>
    </row>
    <row r="1256" spans="2:48" hidden="1">
      <c r="B1256" t="s">
        <v>371</v>
      </c>
      <c r="C1256" t="s">
        <v>60</v>
      </c>
      <c r="D1256" t="s">
        <v>137</v>
      </c>
      <c r="E1256" t="s">
        <v>427</v>
      </c>
      <c r="F1256" s="122">
        <v>1</v>
      </c>
      <c r="G1256" s="122">
        <v>44</v>
      </c>
      <c r="H1256" s="122">
        <v>372</v>
      </c>
      <c r="I1256" s="122">
        <v>9487</v>
      </c>
      <c r="J1256" s="122">
        <v>3514</v>
      </c>
      <c r="K1256" s="122">
        <v>100</v>
      </c>
      <c r="L1256" s="122">
        <v>661</v>
      </c>
      <c r="M1256" s="122">
        <v>601</v>
      </c>
      <c r="N1256" s="122">
        <v>538</v>
      </c>
      <c r="O1256" s="122">
        <v>199</v>
      </c>
      <c r="P1256" s="122">
        <v>0</v>
      </c>
      <c r="Q1256" s="122">
        <v>0</v>
      </c>
      <c r="R1256" s="122">
        <v>3838</v>
      </c>
      <c r="S1256" s="122">
        <v>3489</v>
      </c>
      <c r="T1256" s="122">
        <v>1929</v>
      </c>
      <c r="U1256" s="122">
        <v>714</v>
      </c>
      <c r="V1256" s="122">
        <v>8518</v>
      </c>
      <c r="W1256" s="122">
        <f t="shared" si="38"/>
        <v>8517</v>
      </c>
      <c r="X1256" s="122">
        <f t="shared" si="39"/>
        <v>16453</v>
      </c>
      <c r="AA1256" t="s">
        <v>60</v>
      </c>
      <c r="AB1256" t="s">
        <v>137</v>
      </c>
      <c r="AC1256" t="s">
        <v>426</v>
      </c>
      <c r="AD1256" t="s">
        <v>137</v>
      </c>
      <c r="AE1256" t="s">
        <v>137</v>
      </c>
      <c r="AF1256">
        <v>83</v>
      </c>
      <c r="AG1256" s="122">
        <v>6623</v>
      </c>
      <c r="AH1256" s="122">
        <v>28045</v>
      </c>
      <c r="AI1256" s="122">
        <v>1342935</v>
      </c>
      <c r="AJ1256" s="122">
        <v>497383</v>
      </c>
      <c r="AK1256">
        <v>100</v>
      </c>
      <c r="AL1256" s="122">
        <v>196489</v>
      </c>
      <c r="AM1256" s="122">
        <v>178627</v>
      </c>
      <c r="AN1256" s="122">
        <v>136317</v>
      </c>
      <c r="AO1256" s="122">
        <v>50488</v>
      </c>
      <c r="AP1256" s="122">
        <v>3881</v>
      </c>
      <c r="AQ1256" s="122">
        <v>1437</v>
      </c>
      <c r="AR1256" s="122">
        <v>564246</v>
      </c>
      <c r="AS1256" s="122">
        <v>208980</v>
      </c>
      <c r="AT1256" s="122">
        <v>34480</v>
      </c>
      <c r="AU1256" s="122">
        <v>12771</v>
      </c>
      <c r="AV1256" s="122">
        <v>949686</v>
      </c>
    </row>
    <row r="1257" spans="2:48" hidden="1">
      <c r="B1257" t="s">
        <v>371</v>
      </c>
      <c r="C1257" t="s">
        <v>60</v>
      </c>
      <c r="D1257" t="s">
        <v>137</v>
      </c>
      <c r="E1257" t="s">
        <v>426</v>
      </c>
      <c r="F1257" s="122">
        <v>1</v>
      </c>
      <c r="G1257" s="122">
        <v>78</v>
      </c>
      <c r="H1257" s="122">
        <v>306</v>
      </c>
      <c r="I1257" s="122">
        <v>11372</v>
      </c>
      <c r="J1257" s="122">
        <v>4212</v>
      </c>
      <c r="K1257" s="122">
        <v>100</v>
      </c>
      <c r="L1257" s="122">
        <v>1144</v>
      </c>
      <c r="M1257" s="122">
        <v>1040</v>
      </c>
      <c r="N1257" s="122">
        <v>1588</v>
      </c>
      <c r="O1257" s="122">
        <v>588</v>
      </c>
      <c r="P1257" s="122">
        <v>351</v>
      </c>
      <c r="Q1257" s="122">
        <v>130</v>
      </c>
      <c r="R1257" s="122">
        <v>6932</v>
      </c>
      <c r="S1257" s="122">
        <v>6302</v>
      </c>
      <c r="T1257" s="122">
        <v>2496</v>
      </c>
      <c r="U1257" s="122">
        <v>924</v>
      </c>
      <c r="V1257" s="122">
        <v>13196</v>
      </c>
      <c r="W1257" s="122">
        <f t="shared" si="38"/>
        <v>13196</v>
      </c>
      <c r="X1257" s="122">
        <f t="shared" si="39"/>
        <v>23883</v>
      </c>
      <c r="AA1257" t="s">
        <v>60</v>
      </c>
      <c r="AB1257" t="s">
        <v>137</v>
      </c>
      <c r="AC1257" t="s">
        <v>426</v>
      </c>
      <c r="AD1257" t="s">
        <v>137</v>
      </c>
      <c r="AE1257" t="s">
        <v>566</v>
      </c>
      <c r="AF1257" s="122">
        <v>1447</v>
      </c>
      <c r="AG1257" s="122">
        <v>119632</v>
      </c>
      <c r="AH1257" s="122">
        <v>489195</v>
      </c>
      <c r="AI1257" s="122">
        <v>24492747</v>
      </c>
      <c r="AJ1257" s="122">
        <v>9071388</v>
      </c>
      <c r="AK1257">
        <v>100</v>
      </c>
      <c r="AL1257" s="122">
        <v>4067837</v>
      </c>
      <c r="AM1257" s="122">
        <v>3698034</v>
      </c>
      <c r="AN1257" s="122">
        <v>2545906</v>
      </c>
      <c r="AO1257" s="122">
        <v>942928</v>
      </c>
      <c r="AP1257" s="122">
        <v>28653</v>
      </c>
      <c r="AQ1257" s="122">
        <v>10612</v>
      </c>
      <c r="AR1257" s="122">
        <v>10317760</v>
      </c>
      <c r="AS1257" s="122">
        <v>3821393</v>
      </c>
      <c r="AT1257">
        <v>0</v>
      </c>
      <c r="AU1257">
        <v>0</v>
      </c>
      <c r="AV1257" s="122">
        <v>17544355</v>
      </c>
    </row>
    <row r="1258" spans="2:48" hidden="1">
      <c r="B1258" t="s">
        <v>371</v>
      </c>
      <c r="C1258" t="s">
        <v>60</v>
      </c>
      <c r="D1258" t="s">
        <v>406</v>
      </c>
      <c r="E1258" t="s">
        <v>406</v>
      </c>
      <c r="F1258" s="122">
        <v>286</v>
      </c>
      <c r="G1258" s="122">
        <v>26902</v>
      </c>
      <c r="H1258" s="122">
        <v>96936</v>
      </c>
      <c r="I1258" s="122">
        <v>5445621</v>
      </c>
      <c r="J1258" s="122">
        <v>4950565</v>
      </c>
      <c r="K1258" s="122">
        <v>77</v>
      </c>
      <c r="L1258" s="122">
        <v>1114379</v>
      </c>
      <c r="M1258" s="122">
        <v>960444</v>
      </c>
      <c r="N1258" s="122">
        <v>559321</v>
      </c>
      <c r="O1258" s="122">
        <v>207156</v>
      </c>
      <c r="P1258" s="122">
        <v>178862</v>
      </c>
      <c r="Q1258" s="122">
        <v>66245</v>
      </c>
      <c r="R1258" s="122">
        <v>1398650</v>
      </c>
      <c r="S1258" s="122">
        <v>1271500</v>
      </c>
      <c r="T1258" s="122">
        <v>490853</v>
      </c>
      <c r="U1258" s="122">
        <v>181797</v>
      </c>
      <c r="V1258" s="122">
        <v>7637707</v>
      </c>
      <c r="W1258" s="122">
        <f t="shared" si="38"/>
        <v>7637707</v>
      </c>
      <c r="X1258" s="122">
        <f t="shared" si="39"/>
        <v>9187686</v>
      </c>
      <c r="AA1258" t="s">
        <v>60</v>
      </c>
      <c r="AB1258" t="s">
        <v>137</v>
      </c>
      <c r="AC1258" t="s">
        <v>426</v>
      </c>
      <c r="AD1258" t="s">
        <v>426</v>
      </c>
      <c r="AE1258" t="s">
        <v>137</v>
      </c>
      <c r="AF1258">
        <v>97</v>
      </c>
      <c r="AG1258" s="122">
        <v>7528</v>
      </c>
      <c r="AH1258" s="122">
        <v>32977</v>
      </c>
      <c r="AI1258" s="122">
        <v>1483610</v>
      </c>
      <c r="AJ1258" s="122">
        <v>549485</v>
      </c>
      <c r="AK1258">
        <v>103</v>
      </c>
      <c r="AL1258" s="122">
        <v>187546</v>
      </c>
      <c r="AM1258" s="122">
        <v>170496</v>
      </c>
      <c r="AN1258" s="122">
        <v>148502</v>
      </c>
      <c r="AO1258" s="122">
        <v>55001</v>
      </c>
      <c r="AP1258" s="122">
        <v>9200</v>
      </c>
      <c r="AQ1258" s="122">
        <v>3408</v>
      </c>
      <c r="AR1258" s="122">
        <v>518478</v>
      </c>
      <c r="AS1258" s="122">
        <v>471344</v>
      </c>
      <c r="AT1258" s="122">
        <v>208019</v>
      </c>
      <c r="AU1258" s="122">
        <v>77044</v>
      </c>
      <c r="AV1258" s="122">
        <v>1326777</v>
      </c>
    </row>
    <row r="1259" spans="2:48" hidden="1">
      <c r="B1259" t="s">
        <v>371</v>
      </c>
      <c r="C1259" t="s">
        <v>60</v>
      </c>
      <c r="D1259" t="s">
        <v>427</v>
      </c>
      <c r="E1259" t="s">
        <v>427</v>
      </c>
      <c r="F1259" s="122">
        <v>3</v>
      </c>
      <c r="G1259" s="122">
        <v>281</v>
      </c>
      <c r="H1259" s="122">
        <v>1010</v>
      </c>
      <c r="I1259" s="122">
        <v>58262</v>
      </c>
      <c r="J1259" s="122">
        <v>52965</v>
      </c>
      <c r="K1259" s="122">
        <v>52</v>
      </c>
      <c r="L1259" s="122">
        <v>5824</v>
      </c>
      <c r="M1259" s="122">
        <v>5295</v>
      </c>
      <c r="N1259" s="122">
        <v>4952</v>
      </c>
      <c r="O1259" s="122">
        <v>1834</v>
      </c>
      <c r="P1259" s="122">
        <v>1323</v>
      </c>
      <c r="Q1259" s="122">
        <v>490</v>
      </c>
      <c r="R1259" s="122">
        <v>20933</v>
      </c>
      <c r="S1259" s="122">
        <v>19030</v>
      </c>
      <c r="T1259" s="122">
        <v>2052</v>
      </c>
      <c r="U1259" s="122">
        <v>760</v>
      </c>
      <c r="V1259" s="122">
        <v>80374</v>
      </c>
      <c r="W1259" s="122">
        <f t="shared" ref="W1259:W1322" si="40">SUM(ABS(J1259),ABS(M1259),ABS(O1259),ABS(Q1259),ABS(S1259),ABS(U1259))</f>
        <v>80374</v>
      </c>
      <c r="X1259" s="122">
        <f t="shared" ref="X1259:X1322" si="41">SUM(ABS(I1259),ABS(N1259),ABS(P1259),ABS(R1259),ABS(T1259),ABS(L1259))</f>
        <v>93346</v>
      </c>
      <c r="AA1259" t="s">
        <v>60</v>
      </c>
      <c r="AB1259" t="s">
        <v>137</v>
      </c>
      <c r="AC1259" t="s">
        <v>426</v>
      </c>
      <c r="AD1259" t="s">
        <v>426</v>
      </c>
      <c r="AE1259" t="s">
        <v>566</v>
      </c>
      <c r="AF1259">
        <v>7</v>
      </c>
      <c r="AG1259">
        <v>528</v>
      </c>
      <c r="AH1259" s="122">
        <v>2507</v>
      </c>
      <c r="AI1259" s="122">
        <v>101789</v>
      </c>
      <c r="AJ1259" s="122">
        <v>37700</v>
      </c>
      <c r="AK1259">
        <v>100</v>
      </c>
      <c r="AL1259" s="122">
        <v>10914</v>
      </c>
      <c r="AM1259" s="122">
        <v>9922</v>
      </c>
      <c r="AN1259" s="122">
        <v>11437</v>
      </c>
      <c r="AO1259" s="122">
        <v>4236</v>
      </c>
      <c r="AP1259">
        <v>351</v>
      </c>
      <c r="AQ1259">
        <v>130</v>
      </c>
      <c r="AR1259" s="122">
        <v>64174</v>
      </c>
      <c r="AS1259" s="122">
        <v>58340</v>
      </c>
      <c r="AT1259">
        <v>0</v>
      </c>
      <c r="AU1259">
        <v>0</v>
      </c>
      <c r="AV1259" s="122">
        <v>110327</v>
      </c>
    </row>
    <row r="1260" spans="2:48" hidden="1">
      <c r="B1260" t="s">
        <v>371</v>
      </c>
      <c r="C1260" t="s">
        <v>60</v>
      </c>
      <c r="D1260" t="s">
        <v>407</v>
      </c>
      <c r="E1260" t="s">
        <v>407</v>
      </c>
      <c r="F1260" s="122">
        <v>132</v>
      </c>
      <c r="G1260" s="122">
        <v>10482</v>
      </c>
      <c r="H1260" s="122">
        <v>43912</v>
      </c>
      <c r="I1260" s="122">
        <v>1979469</v>
      </c>
      <c r="J1260" s="122">
        <v>1799517</v>
      </c>
      <c r="K1260" s="122">
        <v>77</v>
      </c>
      <c r="L1260" s="122">
        <v>463419</v>
      </c>
      <c r="M1260" s="122">
        <v>405469</v>
      </c>
      <c r="N1260" s="122">
        <v>213332</v>
      </c>
      <c r="O1260" s="122">
        <v>79012</v>
      </c>
      <c r="P1260" s="122">
        <v>62397</v>
      </c>
      <c r="Q1260" s="122">
        <v>23110</v>
      </c>
      <c r="R1260" s="122">
        <v>619987</v>
      </c>
      <c r="S1260" s="122">
        <v>563625</v>
      </c>
      <c r="T1260" s="122">
        <v>183709</v>
      </c>
      <c r="U1260" s="122">
        <v>68041</v>
      </c>
      <c r="V1260" s="122">
        <v>2938772</v>
      </c>
      <c r="W1260" s="122">
        <f t="shared" si="40"/>
        <v>2938774</v>
      </c>
      <c r="X1260" s="122">
        <f t="shared" si="41"/>
        <v>3522313</v>
      </c>
      <c r="AA1260" t="s">
        <v>60</v>
      </c>
      <c r="AB1260" t="s">
        <v>137</v>
      </c>
      <c r="AC1260" t="s">
        <v>566</v>
      </c>
      <c r="AD1260" t="s">
        <v>137</v>
      </c>
      <c r="AE1260" t="s">
        <v>137</v>
      </c>
      <c r="AF1260">
        <v>14</v>
      </c>
      <c r="AG1260" s="122">
        <v>1258</v>
      </c>
      <c r="AH1260" s="122">
        <v>4680</v>
      </c>
      <c r="AI1260" s="122">
        <v>295369</v>
      </c>
      <c r="AJ1260" s="122">
        <v>109396</v>
      </c>
      <c r="AK1260">
        <v>100</v>
      </c>
      <c r="AL1260">
        <v>0</v>
      </c>
      <c r="AM1260" s="122">
        <v>2486</v>
      </c>
      <c r="AN1260" s="122">
        <v>22274</v>
      </c>
      <c r="AO1260" s="122">
        <v>8250</v>
      </c>
      <c r="AP1260">
        <v>345</v>
      </c>
      <c r="AQ1260">
        <v>128</v>
      </c>
      <c r="AR1260" s="122">
        <v>102076</v>
      </c>
      <c r="AS1260" s="122">
        <v>37806</v>
      </c>
      <c r="AT1260" s="122">
        <v>4677</v>
      </c>
      <c r="AU1260" s="122">
        <v>1732</v>
      </c>
      <c r="AV1260" s="122">
        <v>159798</v>
      </c>
    </row>
    <row r="1261" spans="2:48" hidden="1">
      <c r="B1261" t="s">
        <v>371</v>
      </c>
      <c r="C1261" t="s">
        <v>60</v>
      </c>
      <c r="D1261" t="s">
        <v>556</v>
      </c>
      <c r="E1261" t="s">
        <v>556</v>
      </c>
      <c r="F1261" s="122">
        <v>14</v>
      </c>
      <c r="G1261" s="122">
        <v>1125</v>
      </c>
      <c r="H1261" s="122">
        <v>4712</v>
      </c>
      <c r="I1261" s="122">
        <v>224180</v>
      </c>
      <c r="J1261" s="122">
        <v>186817</v>
      </c>
      <c r="K1261" s="122">
        <v>63</v>
      </c>
      <c r="L1261" s="122">
        <v>35735</v>
      </c>
      <c r="M1261" s="122">
        <v>29153</v>
      </c>
      <c r="N1261" s="122">
        <v>22526</v>
      </c>
      <c r="O1261" s="122">
        <v>8343</v>
      </c>
      <c r="P1261" s="122">
        <v>4563</v>
      </c>
      <c r="Q1261" s="122">
        <v>1690</v>
      </c>
      <c r="R1261" s="122">
        <v>76201</v>
      </c>
      <c r="S1261" s="122">
        <v>63501</v>
      </c>
      <c r="T1261" s="122">
        <v>27421</v>
      </c>
      <c r="U1261" s="122">
        <v>10156</v>
      </c>
      <c r="V1261" s="122">
        <v>299660</v>
      </c>
      <c r="W1261" s="122">
        <f t="shared" si="40"/>
        <v>299660</v>
      </c>
      <c r="X1261" s="122">
        <f t="shared" si="41"/>
        <v>390626</v>
      </c>
      <c r="AA1261" t="s">
        <v>60</v>
      </c>
      <c r="AB1261" t="s">
        <v>137</v>
      </c>
      <c r="AC1261" t="s">
        <v>566</v>
      </c>
      <c r="AD1261" t="s">
        <v>137</v>
      </c>
      <c r="AE1261" t="s">
        <v>566</v>
      </c>
      <c r="AF1261">
        <v>422</v>
      </c>
      <c r="AG1261" s="122">
        <v>33222</v>
      </c>
      <c r="AH1261" s="122">
        <v>142253</v>
      </c>
      <c r="AI1261" s="122">
        <v>7941012</v>
      </c>
      <c r="AJ1261" s="122">
        <v>2941115</v>
      </c>
      <c r="AK1261">
        <v>100</v>
      </c>
      <c r="AL1261">
        <v>0</v>
      </c>
      <c r="AM1261" s="122">
        <v>68177</v>
      </c>
      <c r="AN1261" s="122">
        <v>691999</v>
      </c>
      <c r="AO1261" s="122">
        <v>256296</v>
      </c>
      <c r="AP1261" s="122">
        <v>7561</v>
      </c>
      <c r="AQ1261" s="122">
        <v>2800</v>
      </c>
      <c r="AR1261" s="122">
        <v>2821392</v>
      </c>
      <c r="AS1261" s="122">
        <v>1044960</v>
      </c>
      <c r="AT1261">
        <v>0</v>
      </c>
      <c r="AU1261">
        <v>0</v>
      </c>
      <c r="AV1261" s="122">
        <v>4313349</v>
      </c>
    </row>
    <row r="1262" spans="2:48" hidden="1">
      <c r="B1262" t="s">
        <v>371</v>
      </c>
      <c r="C1262" t="s">
        <v>60</v>
      </c>
      <c r="D1262" t="s">
        <v>428</v>
      </c>
      <c r="E1262" t="s">
        <v>428</v>
      </c>
      <c r="F1262" s="122">
        <v>2</v>
      </c>
      <c r="G1262" s="122">
        <v>178</v>
      </c>
      <c r="H1262" s="122">
        <v>612</v>
      </c>
      <c r="I1262" s="122">
        <v>34796</v>
      </c>
      <c r="J1262" s="122">
        <v>31633</v>
      </c>
      <c r="K1262" s="122">
        <v>55</v>
      </c>
      <c r="L1262" s="122">
        <v>0</v>
      </c>
      <c r="M1262" s="122">
        <v>0</v>
      </c>
      <c r="N1262" s="122">
        <v>2931</v>
      </c>
      <c r="O1262" s="122">
        <v>1086</v>
      </c>
      <c r="P1262" s="122">
        <v>702</v>
      </c>
      <c r="Q1262" s="122">
        <v>260</v>
      </c>
      <c r="R1262" s="122">
        <v>10952</v>
      </c>
      <c r="S1262" s="122">
        <v>9957</v>
      </c>
      <c r="T1262" s="122">
        <v>5109</v>
      </c>
      <c r="U1262" s="122">
        <v>1892</v>
      </c>
      <c r="V1262" s="122">
        <v>44827</v>
      </c>
      <c r="W1262" s="122">
        <f t="shared" si="40"/>
        <v>44828</v>
      </c>
      <c r="X1262" s="122">
        <f t="shared" si="41"/>
        <v>54490</v>
      </c>
      <c r="AA1262" t="s">
        <v>60</v>
      </c>
      <c r="AB1262" t="s">
        <v>137</v>
      </c>
      <c r="AC1262" t="s">
        <v>481</v>
      </c>
      <c r="AD1262" t="s">
        <v>137</v>
      </c>
      <c r="AE1262" t="s">
        <v>137</v>
      </c>
      <c r="AF1262">
        <v>1</v>
      </c>
      <c r="AG1262">
        <v>71</v>
      </c>
      <c r="AH1262">
        <v>318</v>
      </c>
      <c r="AI1262" s="122">
        <v>13575</v>
      </c>
      <c r="AJ1262" s="122">
        <v>5028</v>
      </c>
      <c r="AK1262">
        <v>100</v>
      </c>
      <c r="AL1262" s="122">
        <v>1229</v>
      </c>
      <c r="AM1262" s="122">
        <v>1117</v>
      </c>
      <c r="AN1262" s="122">
        <v>1292</v>
      </c>
      <c r="AO1262">
        <v>479</v>
      </c>
      <c r="AP1262">
        <v>351</v>
      </c>
      <c r="AQ1262">
        <v>130</v>
      </c>
      <c r="AR1262" s="122">
        <v>6046</v>
      </c>
      <c r="AS1262" s="122">
        <v>2239</v>
      </c>
      <c r="AT1262">
        <v>0</v>
      </c>
      <c r="AU1262">
        <v>0</v>
      </c>
      <c r="AV1262" s="122">
        <v>8993</v>
      </c>
    </row>
    <row r="1263" spans="2:48" hidden="1">
      <c r="B1263" t="s">
        <v>371</v>
      </c>
      <c r="C1263" t="s">
        <v>60</v>
      </c>
      <c r="D1263" t="s">
        <v>426</v>
      </c>
      <c r="E1263" t="s">
        <v>137</v>
      </c>
      <c r="F1263" s="122">
        <v>2</v>
      </c>
      <c r="G1263" s="122">
        <v>151</v>
      </c>
      <c r="H1263" s="122">
        <v>677</v>
      </c>
      <c r="I1263" s="122">
        <v>41499</v>
      </c>
      <c r="J1263" s="122">
        <v>37726</v>
      </c>
      <c r="K1263" s="122">
        <v>68</v>
      </c>
      <c r="L1263" s="122">
        <v>4359</v>
      </c>
      <c r="M1263" s="122">
        <v>1615</v>
      </c>
      <c r="N1263" s="122">
        <v>3278</v>
      </c>
      <c r="O1263" s="122">
        <v>1214</v>
      </c>
      <c r="P1263" s="122">
        <v>0</v>
      </c>
      <c r="Q1263" s="122">
        <v>0</v>
      </c>
      <c r="R1263" s="122">
        <v>13028</v>
      </c>
      <c r="S1263" s="122">
        <v>4825</v>
      </c>
      <c r="T1263" s="122">
        <v>0</v>
      </c>
      <c r="U1263" s="122">
        <v>0</v>
      </c>
      <c r="V1263" s="122">
        <v>45380</v>
      </c>
      <c r="W1263" s="122">
        <f t="shared" si="40"/>
        <v>45380</v>
      </c>
      <c r="X1263" s="122">
        <f t="shared" si="41"/>
        <v>62164</v>
      </c>
      <c r="AA1263" t="s">
        <v>60</v>
      </c>
      <c r="AB1263" t="s">
        <v>137</v>
      </c>
      <c r="AC1263" t="s">
        <v>481</v>
      </c>
      <c r="AD1263" t="s">
        <v>137</v>
      </c>
      <c r="AE1263" t="s">
        <v>566</v>
      </c>
      <c r="AF1263">
        <v>1</v>
      </c>
      <c r="AG1263">
        <v>110</v>
      </c>
      <c r="AH1263">
        <v>366</v>
      </c>
      <c r="AI1263" s="122">
        <v>26229</v>
      </c>
      <c r="AJ1263" s="122">
        <v>9714</v>
      </c>
      <c r="AK1263">
        <v>100</v>
      </c>
      <c r="AL1263" s="122">
        <v>3958</v>
      </c>
      <c r="AM1263" s="122">
        <v>3598</v>
      </c>
      <c r="AN1263" s="122">
        <v>2683</v>
      </c>
      <c r="AO1263">
        <v>994</v>
      </c>
      <c r="AP1263">
        <v>0</v>
      </c>
      <c r="AQ1263">
        <v>0</v>
      </c>
      <c r="AR1263" s="122">
        <v>7471</v>
      </c>
      <c r="AS1263" s="122">
        <v>2767</v>
      </c>
      <c r="AT1263">
        <v>0</v>
      </c>
      <c r="AU1263">
        <v>0</v>
      </c>
      <c r="AV1263" s="122">
        <v>17073</v>
      </c>
    </row>
    <row r="1264" spans="2:48" hidden="1">
      <c r="B1264" t="s">
        <v>371</v>
      </c>
      <c r="C1264" t="s">
        <v>60</v>
      </c>
      <c r="D1264" t="s">
        <v>426</v>
      </c>
      <c r="E1264" t="s">
        <v>406</v>
      </c>
      <c r="F1264" s="122">
        <v>1</v>
      </c>
      <c r="G1264" s="122">
        <v>62</v>
      </c>
      <c r="H1264" s="122">
        <v>368</v>
      </c>
      <c r="I1264" s="122">
        <v>15386</v>
      </c>
      <c r="J1264" s="122">
        <v>13987</v>
      </c>
      <c r="K1264" s="122">
        <v>85</v>
      </c>
      <c r="L1264" s="122">
        <v>2122</v>
      </c>
      <c r="M1264" s="122">
        <v>1930</v>
      </c>
      <c r="N1264" s="122">
        <v>1265</v>
      </c>
      <c r="O1264" s="122">
        <v>468</v>
      </c>
      <c r="P1264" s="122">
        <v>351</v>
      </c>
      <c r="Q1264" s="122">
        <v>130</v>
      </c>
      <c r="R1264" s="122">
        <v>3767</v>
      </c>
      <c r="S1264" s="122">
        <v>3424</v>
      </c>
      <c r="T1264" s="122">
        <v>0</v>
      </c>
      <c r="U1264" s="122">
        <v>0</v>
      </c>
      <c r="V1264" s="122">
        <v>19940</v>
      </c>
      <c r="W1264" s="122">
        <f t="shared" si="40"/>
        <v>19939</v>
      </c>
      <c r="X1264" s="122">
        <f t="shared" si="41"/>
        <v>22891</v>
      </c>
      <c r="AA1264" t="s">
        <v>60</v>
      </c>
      <c r="AB1264" t="s">
        <v>137</v>
      </c>
      <c r="AC1264" t="s">
        <v>433</v>
      </c>
      <c r="AD1264" t="s">
        <v>137</v>
      </c>
      <c r="AE1264" t="s">
        <v>137</v>
      </c>
      <c r="AF1264">
        <v>4</v>
      </c>
      <c r="AG1264">
        <v>308</v>
      </c>
      <c r="AH1264" s="122">
        <v>1367</v>
      </c>
      <c r="AI1264" s="122">
        <v>60694</v>
      </c>
      <c r="AJ1264" s="122">
        <v>22479</v>
      </c>
      <c r="AK1264">
        <v>100</v>
      </c>
      <c r="AL1264" s="122">
        <v>9198</v>
      </c>
      <c r="AM1264" s="122">
        <v>8362</v>
      </c>
      <c r="AN1264" s="122">
        <v>6269</v>
      </c>
      <c r="AO1264" s="122">
        <v>2322</v>
      </c>
      <c r="AP1264">
        <v>0</v>
      </c>
      <c r="AQ1264">
        <v>0</v>
      </c>
      <c r="AR1264" s="122">
        <v>25435</v>
      </c>
      <c r="AS1264" s="122">
        <v>9420</v>
      </c>
      <c r="AT1264" s="122">
        <v>1525</v>
      </c>
      <c r="AU1264">
        <v>565</v>
      </c>
      <c r="AV1264" s="122">
        <v>43148</v>
      </c>
    </row>
    <row r="1265" spans="2:48" hidden="1">
      <c r="B1265" t="s">
        <v>371</v>
      </c>
      <c r="C1265" t="s">
        <v>60</v>
      </c>
      <c r="D1265" t="s">
        <v>426</v>
      </c>
      <c r="E1265" t="s">
        <v>426</v>
      </c>
      <c r="F1265" s="122">
        <v>162</v>
      </c>
      <c r="G1265" s="122">
        <v>11798</v>
      </c>
      <c r="H1265" s="122">
        <v>54177</v>
      </c>
      <c r="I1265" s="122">
        <v>2179013</v>
      </c>
      <c r="J1265" s="122">
        <v>1980921</v>
      </c>
      <c r="K1265" s="122">
        <v>57</v>
      </c>
      <c r="L1265" s="122">
        <v>295996</v>
      </c>
      <c r="M1265" s="122">
        <v>251629</v>
      </c>
      <c r="N1265" s="122">
        <v>208206</v>
      </c>
      <c r="O1265" s="122">
        <v>77113</v>
      </c>
      <c r="P1265" s="122">
        <v>56741</v>
      </c>
      <c r="Q1265" s="122">
        <v>21015</v>
      </c>
      <c r="R1265" s="122">
        <v>840048</v>
      </c>
      <c r="S1265" s="122">
        <v>763680</v>
      </c>
      <c r="T1265" s="122">
        <v>367996</v>
      </c>
      <c r="U1265" s="122">
        <v>136295</v>
      </c>
      <c r="V1265" s="122">
        <v>3230653</v>
      </c>
      <c r="W1265" s="122">
        <f t="shared" si="40"/>
        <v>3230653</v>
      </c>
      <c r="X1265" s="122">
        <f t="shared" si="41"/>
        <v>3948000</v>
      </c>
      <c r="AA1265" t="s">
        <v>60</v>
      </c>
      <c r="AB1265" t="s">
        <v>137</v>
      </c>
      <c r="AC1265" t="s">
        <v>433</v>
      </c>
      <c r="AD1265" t="s">
        <v>137</v>
      </c>
      <c r="AE1265" t="s">
        <v>566</v>
      </c>
      <c r="AF1265">
        <v>68</v>
      </c>
      <c r="AG1265" s="122">
        <v>5257</v>
      </c>
      <c r="AH1265" s="122">
        <v>23543</v>
      </c>
      <c r="AI1265" s="122">
        <v>1158554</v>
      </c>
      <c r="AJ1265" s="122">
        <v>429094</v>
      </c>
      <c r="AK1265">
        <v>100</v>
      </c>
      <c r="AL1265" s="122">
        <v>158339</v>
      </c>
      <c r="AM1265" s="122">
        <v>143944</v>
      </c>
      <c r="AN1265" s="122">
        <v>103123</v>
      </c>
      <c r="AO1265" s="122">
        <v>38194</v>
      </c>
      <c r="AP1265" s="122">
        <v>3834</v>
      </c>
      <c r="AQ1265" s="122">
        <v>1420</v>
      </c>
      <c r="AR1265" s="122">
        <v>425844</v>
      </c>
      <c r="AS1265" s="122">
        <v>157720</v>
      </c>
      <c r="AT1265">
        <v>0</v>
      </c>
      <c r="AU1265">
        <v>0</v>
      </c>
      <c r="AV1265" s="122">
        <v>770372</v>
      </c>
    </row>
    <row r="1266" spans="2:48" hidden="1">
      <c r="B1266" t="s">
        <v>371</v>
      </c>
      <c r="C1266" t="s">
        <v>60</v>
      </c>
      <c r="D1266" t="s">
        <v>426</v>
      </c>
      <c r="E1266" t="s">
        <v>481</v>
      </c>
      <c r="F1266" s="122">
        <v>2</v>
      </c>
      <c r="G1266" s="122">
        <v>106</v>
      </c>
      <c r="H1266" s="122">
        <v>694</v>
      </c>
      <c r="I1266" s="122">
        <v>15659</v>
      </c>
      <c r="J1266" s="122">
        <v>14235</v>
      </c>
      <c r="K1266" s="122">
        <v>65</v>
      </c>
      <c r="L1266" s="122">
        <v>6246</v>
      </c>
      <c r="M1266" s="122">
        <v>2313</v>
      </c>
      <c r="N1266" s="122">
        <v>1293</v>
      </c>
      <c r="O1266" s="122">
        <v>479</v>
      </c>
      <c r="P1266" s="122">
        <v>702</v>
      </c>
      <c r="Q1266" s="122">
        <v>260</v>
      </c>
      <c r="R1266" s="122">
        <v>8459</v>
      </c>
      <c r="S1266" s="122">
        <v>7690</v>
      </c>
      <c r="T1266" s="122">
        <v>4473</v>
      </c>
      <c r="U1266" s="122">
        <v>1657</v>
      </c>
      <c r="V1266" s="122">
        <v>26634</v>
      </c>
      <c r="W1266" s="122">
        <f t="shared" si="40"/>
        <v>26634</v>
      </c>
      <c r="X1266" s="122">
        <f t="shared" si="41"/>
        <v>36832</v>
      </c>
      <c r="AA1266" t="s">
        <v>60</v>
      </c>
      <c r="AB1266" t="s">
        <v>137</v>
      </c>
      <c r="AC1266" t="s">
        <v>429</v>
      </c>
      <c r="AD1266" t="s">
        <v>137</v>
      </c>
      <c r="AE1266" t="s">
        <v>566</v>
      </c>
      <c r="AF1266">
        <v>4</v>
      </c>
      <c r="AG1266">
        <v>440</v>
      </c>
      <c r="AH1266" s="122">
        <v>1296</v>
      </c>
      <c r="AI1266" s="122">
        <v>90818</v>
      </c>
      <c r="AJ1266" s="122">
        <v>33636</v>
      </c>
      <c r="AK1266">
        <v>100</v>
      </c>
      <c r="AL1266" s="122">
        <v>6325</v>
      </c>
      <c r="AM1266" s="122">
        <v>5750</v>
      </c>
      <c r="AN1266" s="122">
        <v>9432</v>
      </c>
      <c r="AO1266" s="122">
        <v>3493</v>
      </c>
      <c r="AP1266">
        <v>351</v>
      </c>
      <c r="AQ1266">
        <v>130</v>
      </c>
      <c r="AR1266" s="122">
        <v>33655</v>
      </c>
      <c r="AS1266" s="122">
        <v>12465</v>
      </c>
      <c r="AT1266">
        <v>0</v>
      </c>
      <c r="AU1266">
        <v>0</v>
      </c>
      <c r="AV1266" s="122">
        <v>55474</v>
      </c>
    </row>
    <row r="1267" spans="2:48">
      <c r="B1267" t="s">
        <v>371</v>
      </c>
      <c r="C1267" t="s">
        <v>60</v>
      </c>
      <c r="D1267" t="s">
        <v>481</v>
      </c>
      <c r="E1267" t="s">
        <v>426</v>
      </c>
      <c r="F1267" s="122">
        <v>4</v>
      </c>
      <c r="G1267" s="122">
        <v>195</v>
      </c>
      <c r="H1267" s="122">
        <v>1355</v>
      </c>
      <c r="I1267" s="122">
        <v>40890</v>
      </c>
      <c r="J1267" s="122">
        <v>37173</v>
      </c>
      <c r="K1267" s="122">
        <v>65</v>
      </c>
      <c r="L1267" s="122">
        <v>0</v>
      </c>
      <c r="M1267" s="122">
        <v>0</v>
      </c>
      <c r="N1267" s="122">
        <v>2370</v>
      </c>
      <c r="O1267" s="122">
        <v>878</v>
      </c>
      <c r="P1267" s="122">
        <v>1404</v>
      </c>
      <c r="Q1267" s="122">
        <v>520</v>
      </c>
      <c r="R1267" s="122">
        <v>14324</v>
      </c>
      <c r="S1267" s="122">
        <v>13021</v>
      </c>
      <c r="T1267" s="122">
        <v>6908</v>
      </c>
      <c r="U1267" s="122">
        <v>2558</v>
      </c>
      <c r="V1267" s="122">
        <v>54151</v>
      </c>
      <c r="W1267" s="122">
        <f t="shared" si="40"/>
        <v>54150</v>
      </c>
      <c r="X1267" s="122">
        <f t="shared" si="41"/>
        <v>65896</v>
      </c>
      <c r="AA1267" t="s">
        <v>60</v>
      </c>
      <c r="AB1267" t="s">
        <v>406</v>
      </c>
      <c r="AC1267" t="s">
        <v>578</v>
      </c>
      <c r="AD1267" t="s">
        <v>137</v>
      </c>
      <c r="AE1267" t="s">
        <v>566</v>
      </c>
      <c r="AF1267">
        <v>1</v>
      </c>
      <c r="AG1267">
        <v>97</v>
      </c>
      <c r="AH1267">
        <v>364</v>
      </c>
      <c r="AI1267" s="122">
        <v>21785</v>
      </c>
      <c r="AJ1267" s="122">
        <v>19804</v>
      </c>
      <c r="AK1267">
        <v>86</v>
      </c>
      <c r="AL1267" s="122">
        <v>6560</v>
      </c>
      <c r="AM1267" s="122">
        <v>5963</v>
      </c>
      <c r="AN1267" s="122">
        <v>1187</v>
      </c>
      <c r="AO1267">
        <v>440</v>
      </c>
      <c r="AP1267">
        <v>621</v>
      </c>
      <c r="AQ1267">
        <v>230</v>
      </c>
      <c r="AR1267" s="122">
        <v>5284</v>
      </c>
      <c r="AS1267" s="122">
        <v>1957</v>
      </c>
      <c r="AT1267">
        <v>0</v>
      </c>
      <c r="AU1267">
        <v>0</v>
      </c>
      <c r="AV1267" s="122">
        <v>28394</v>
      </c>
    </row>
    <row r="1268" spans="2:48">
      <c r="B1268" t="s">
        <v>371</v>
      </c>
      <c r="C1268" t="s">
        <v>60</v>
      </c>
      <c r="D1268" t="s">
        <v>433</v>
      </c>
      <c r="E1268" t="s">
        <v>433</v>
      </c>
      <c r="F1268" s="122">
        <v>1</v>
      </c>
      <c r="G1268" s="122">
        <v>82</v>
      </c>
      <c r="H1268" s="122">
        <v>320</v>
      </c>
      <c r="I1268" s="122">
        <v>15569</v>
      </c>
      <c r="J1268" s="122">
        <v>14153</v>
      </c>
      <c r="K1268" s="122">
        <v>65</v>
      </c>
      <c r="L1268" s="122">
        <v>1874</v>
      </c>
      <c r="M1268" s="122">
        <v>1704</v>
      </c>
      <c r="N1268" s="122">
        <v>1900</v>
      </c>
      <c r="O1268" s="122">
        <v>704</v>
      </c>
      <c r="P1268" s="122">
        <v>351</v>
      </c>
      <c r="Q1268" s="122">
        <v>130</v>
      </c>
      <c r="R1268" s="122">
        <v>4352</v>
      </c>
      <c r="S1268" s="122">
        <v>3956</v>
      </c>
      <c r="T1268" s="122">
        <v>2333</v>
      </c>
      <c r="U1268" s="122">
        <v>864</v>
      </c>
      <c r="V1268" s="122">
        <v>21511</v>
      </c>
      <c r="W1268" s="122">
        <f t="shared" si="40"/>
        <v>21511</v>
      </c>
      <c r="X1268" s="122">
        <f t="shared" si="41"/>
        <v>26379</v>
      </c>
      <c r="AA1268" t="s">
        <v>60</v>
      </c>
      <c r="AB1268" t="s">
        <v>406</v>
      </c>
      <c r="AC1268" t="s">
        <v>578</v>
      </c>
      <c r="AD1268" t="s">
        <v>406</v>
      </c>
      <c r="AE1268" t="s">
        <v>137</v>
      </c>
      <c r="AF1268">
        <v>11</v>
      </c>
      <c r="AG1268" s="122">
        <v>1098</v>
      </c>
      <c r="AH1268" s="122">
        <v>3740</v>
      </c>
      <c r="AI1268" s="122">
        <v>222728</v>
      </c>
      <c r="AJ1268" s="122">
        <v>202480</v>
      </c>
      <c r="AK1268">
        <v>77</v>
      </c>
      <c r="AL1268" s="122">
        <v>50829</v>
      </c>
      <c r="AM1268" s="122">
        <v>46208</v>
      </c>
      <c r="AN1268" s="122">
        <v>24116</v>
      </c>
      <c r="AO1268" s="122">
        <v>8932</v>
      </c>
      <c r="AP1268" s="122">
        <v>6831</v>
      </c>
      <c r="AQ1268" s="122">
        <v>2530</v>
      </c>
      <c r="AR1268" s="122">
        <v>56361</v>
      </c>
      <c r="AS1268" s="122">
        <v>51237</v>
      </c>
      <c r="AT1268" s="122">
        <v>18235</v>
      </c>
      <c r="AU1268" s="122">
        <v>6754</v>
      </c>
      <c r="AV1268" s="122">
        <v>318141</v>
      </c>
    </row>
    <row r="1269" spans="2:48">
      <c r="B1269" t="s">
        <v>371</v>
      </c>
      <c r="C1269" t="s">
        <v>62</v>
      </c>
      <c r="F1269" s="122">
        <v>2</v>
      </c>
      <c r="G1269" s="122">
        <v>162</v>
      </c>
      <c r="H1269" s="122">
        <v>803</v>
      </c>
      <c r="I1269" s="122"/>
      <c r="J1269" s="122">
        <v>0</v>
      </c>
      <c r="K1269" s="122"/>
      <c r="L1269" s="122"/>
      <c r="M1269" s="122">
        <v>0</v>
      </c>
      <c r="N1269" s="122">
        <v>3322</v>
      </c>
      <c r="O1269" s="122">
        <v>1230</v>
      </c>
      <c r="P1269" s="122">
        <v>0</v>
      </c>
      <c r="Q1269" s="122">
        <v>0</v>
      </c>
      <c r="R1269" s="122"/>
      <c r="S1269" s="122">
        <v>0</v>
      </c>
      <c r="T1269" s="122">
        <v>0</v>
      </c>
      <c r="U1269" s="122">
        <v>0</v>
      </c>
      <c r="V1269" s="122">
        <v>1230</v>
      </c>
      <c r="W1269" s="122">
        <f t="shared" si="40"/>
        <v>1230</v>
      </c>
      <c r="X1269" s="122">
        <f t="shared" si="41"/>
        <v>3322</v>
      </c>
      <c r="AA1269" t="s">
        <v>60</v>
      </c>
      <c r="AB1269" t="s">
        <v>406</v>
      </c>
      <c r="AC1269" t="s">
        <v>578</v>
      </c>
      <c r="AD1269" t="s">
        <v>406</v>
      </c>
      <c r="AE1269" t="s">
        <v>566</v>
      </c>
      <c r="AF1269">
        <v>4</v>
      </c>
      <c r="AG1269">
        <v>458</v>
      </c>
      <c r="AH1269" s="122">
        <v>1310</v>
      </c>
      <c r="AI1269" s="122">
        <v>92409</v>
      </c>
      <c r="AJ1269" s="122">
        <v>84008</v>
      </c>
      <c r="AK1269">
        <v>81</v>
      </c>
      <c r="AL1269" s="122">
        <v>26288</v>
      </c>
      <c r="AM1269" s="122">
        <v>23898</v>
      </c>
      <c r="AN1269" s="122">
        <v>7172</v>
      </c>
      <c r="AO1269" s="122">
        <v>2656</v>
      </c>
      <c r="AP1269" s="122">
        <v>2484</v>
      </c>
      <c r="AQ1269">
        <v>920</v>
      </c>
      <c r="AR1269" s="122">
        <v>21290</v>
      </c>
      <c r="AS1269" s="122">
        <v>19354</v>
      </c>
      <c r="AT1269">
        <v>0</v>
      </c>
      <c r="AU1269">
        <v>0</v>
      </c>
      <c r="AV1269" s="122">
        <v>130837</v>
      </c>
    </row>
    <row r="1270" spans="2:48">
      <c r="B1270" t="s">
        <v>371</v>
      </c>
      <c r="C1270" t="s">
        <v>62</v>
      </c>
      <c r="D1270" t="s">
        <v>137</v>
      </c>
      <c r="E1270" t="s">
        <v>137</v>
      </c>
      <c r="F1270" s="122">
        <v>56</v>
      </c>
      <c r="G1270" s="122">
        <v>4064</v>
      </c>
      <c r="H1270" s="122">
        <v>23182</v>
      </c>
      <c r="I1270" s="122">
        <v>1091980</v>
      </c>
      <c r="J1270" s="122">
        <v>404437</v>
      </c>
      <c r="K1270" s="122">
        <v>100</v>
      </c>
      <c r="L1270" s="122">
        <v>166649</v>
      </c>
      <c r="M1270" s="122">
        <v>130690</v>
      </c>
      <c r="N1270" s="122">
        <v>86089</v>
      </c>
      <c r="O1270" s="122">
        <v>31885</v>
      </c>
      <c r="P1270" s="122">
        <v>351</v>
      </c>
      <c r="Q1270" s="122">
        <v>130</v>
      </c>
      <c r="R1270" s="122">
        <v>353375</v>
      </c>
      <c r="S1270" s="122">
        <v>130879</v>
      </c>
      <c r="T1270" s="122">
        <v>0</v>
      </c>
      <c r="U1270" s="122">
        <v>0</v>
      </c>
      <c r="V1270" s="122">
        <v>698021</v>
      </c>
      <c r="W1270" s="122">
        <f t="shared" si="40"/>
        <v>698021</v>
      </c>
      <c r="X1270" s="122">
        <f t="shared" si="41"/>
        <v>1698444</v>
      </c>
      <c r="AA1270" t="s">
        <v>60</v>
      </c>
      <c r="AB1270" t="s">
        <v>406</v>
      </c>
      <c r="AC1270" t="s">
        <v>578</v>
      </c>
      <c r="AD1270" t="s">
        <v>427</v>
      </c>
      <c r="AE1270" t="s">
        <v>137</v>
      </c>
      <c r="AF1270">
        <v>1</v>
      </c>
      <c r="AG1270">
        <v>91</v>
      </c>
      <c r="AH1270">
        <v>347</v>
      </c>
      <c r="AI1270" s="122">
        <v>15874</v>
      </c>
      <c r="AJ1270" s="122">
        <v>14431</v>
      </c>
      <c r="AK1270">
        <v>79</v>
      </c>
      <c r="AL1270" s="122">
        <v>2533</v>
      </c>
      <c r="AM1270" s="122">
        <v>2303</v>
      </c>
      <c r="AN1270" s="122">
        <v>2229</v>
      </c>
      <c r="AO1270">
        <v>825</v>
      </c>
      <c r="AP1270">
        <v>621</v>
      </c>
      <c r="AQ1270">
        <v>230</v>
      </c>
      <c r="AR1270" s="122">
        <v>5897</v>
      </c>
      <c r="AS1270" s="122">
        <v>5361</v>
      </c>
      <c r="AT1270" s="122">
        <v>4545</v>
      </c>
      <c r="AU1270" s="122">
        <v>1683</v>
      </c>
      <c r="AV1270" s="122">
        <v>24834</v>
      </c>
    </row>
    <row r="1271" spans="2:48" hidden="1">
      <c r="B1271" t="s">
        <v>371</v>
      </c>
      <c r="C1271" t="s">
        <v>62</v>
      </c>
      <c r="D1271" t="s">
        <v>137</v>
      </c>
      <c r="E1271" t="s">
        <v>406</v>
      </c>
      <c r="F1271" s="122">
        <v>1</v>
      </c>
      <c r="G1271" s="122">
        <v>129</v>
      </c>
      <c r="H1271" s="122">
        <v>405</v>
      </c>
      <c r="I1271" s="122">
        <v>34254</v>
      </c>
      <c r="J1271" s="122">
        <v>12687</v>
      </c>
      <c r="K1271" s="122">
        <v>100</v>
      </c>
      <c r="L1271" s="122">
        <v>8955</v>
      </c>
      <c r="M1271" s="122">
        <v>7463</v>
      </c>
      <c r="N1271" s="122">
        <v>2042</v>
      </c>
      <c r="O1271" s="122">
        <v>756</v>
      </c>
      <c r="P1271" s="122">
        <v>351</v>
      </c>
      <c r="Q1271" s="122">
        <v>130</v>
      </c>
      <c r="R1271" s="122">
        <v>6566</v>
      </c>
      <c r="S1271" s="122">
        <v>5969</v>
      </c>
      <c r="T1271" s="122">
        <v>0</v>
      </c>
      <c r="U1271" s="122">
        <v>0</v>
      </c>
      <c r="V1271" s="122">
        <v>27005</v>
      </c>
      <c r="W1271" s="122">
        <f t="shared" si="40"/>
        <v>27005</v>
      </c>
      <c r="X1271" s="122">
        <f t="shared" si="41"/>
        <v>52168</v>
      </c>
      <c r="AA1271" t="s">
        <v>60</v>
      </c>
      <c r="AB1271" t="s">
        <v>406</v>
      </c>
      <c r="AC1271" t="s">
        <v>425</v>
      </c>
      <c r="AD1271" t="s">
        <v>137</v>
      </c>
      <c r="AE1271" t="s">
        <v>566</v>
      </c>
      <c r="AF1271">
        <v>1</v>
      </c>
      <c r="AG1271">
        <v>72</v>
      </c>
      <c r="AH1271">
        <v>331</v>
      </c>
      <c r="AI1271" s="122">
        <v>12705</v>
      </c>
      <c r="AJ1271" s="122">
        <v>11550</v>
      </c>
      <c r="AK1271">
        <v>79</v>
      </c>
      <c r="AL1271" s="122">
        <v>5294</v>
      </c>
      <c r="AM1271" s="122">
        <v>4812</v>
      </c>
      <c r="AN1271">
        <v>878</v>
      </c>
      <c r="AO1271">
        <v>325</v>
      </c>
      <c r="AP1271">
        <v>621</v>
      </c>
      <c r="AQ1271">
        <v>230</v>
      </c>
      <c r="AR1271" s="122">
        <v>4372</v>
      </c>
      <c r="AS1271" s="122">
        <v>1619</v>
      </c>
      <c r="AT1271">
        <v>0</v>
      </c>
      <c r="AU1271">
        <v>0</v>
      </c>
      <c r="AV1271" s="122">
        <v>18537</v>
      </c>
    </row>
    <row r="1272" spans="2:48" hidden="1">
      <c r="B1272" t="s">
        <v>371</v>
      </c>
      <c r="C1272" t="s">
        <v>62</v>
      </c>
      <c r="D1272" t="s">
        <v>137</v>
      </c>
      <c r="E1272" t="s">
        <v>427</v>
      </c>
      <c r="F1272" s="122">
        <v>1</v>
      </c>
      <c r="G1272" s="122">
        <v>34</v>
      </c>
      <c r="H1272" s="122">
        <v>445</v>
      </c>
      <c r="I1272" s="122">
        <v>7448</v>
      </c>
      <c r="J1272" s="122">
        <v>2758</v>
      </c>
      <c r="K1272" s="122">
        <v>100</v>
      </c>
      <c r="L1272" s="122">
        <v>674</v>
      </c>
      <c r="M1272" s="122">
        <v>613</v>
      </c>
      <c r="N1272" s="122">
        <v>497</v>
      </c>
      <c r="O1272" s="122">
        <v>184</v>
      </c>
      <c r="P1272" s="122">
        <v>0</v>
      </c>
      <c r="Q1272" s="122">
        <v>0</v>
      </c>
      <c r="R1272" s="122">
        <v>4738</v>
      </c>
      <c r="S1272" s="122">
        <v>4307</v>
      </c>
      <c r="T1272" s="122">
        <v>1777</v>
      </c>
      <c r="U1272" s="122">
        <v>658</v>
      </c>
      <c r="V1272" s="122">
        <v>8521</v>
      </c>
      <c r="W1272" s="122">
        <f t="shared" si="40"/>
        <v>8520</v>
      </c>
      <c r="X1272" s="122">
        <f t="shared" si="41"/>
        <v>15134</v>
      </c>
      <c r="AA1272" t="s">
        <v>60</v>
      </c>
      <c r="AB1272" t="s">
        <v>406</v>
      </c>
      <c r="AC1272" t="s">
        <v>425</v>
      </c>
      <c r="AD1272" t="s">
        <v>406</v>
      </c>
      <c r="AE1272" t="s">
        <v>137</v>
      </c>
      <c r="AF1272">
        <v>82</v>
      </c>
      <c r="AG1272" s="122">
        <v>8578</v>
      </c>
      <c r="AH1272" s="122">
        <v>27479</v>
      </c>
      <c r="AI1272" s="122">
        <v>1636401</v>
      </c>
      <c r="AJ1272" s="122">
        <v>1487637</v>
      </c>
      <c r="AK1272">
        <v>77</v>
      </c>
      <c r="AL1272" s="122">
        <v>439579</v>
      </c>
      <c r="AM1272" s="122">
        <v>399617</v>
      </c>
      <c r="AN1272" s="122">
        <v>181111</v>
      </c>
      <c r="AO1272" s="122">
        <v>67078</v>
      </c>
      <c r="AP1272" s="122">
        <v>50922</v>
      </c>
      <c r="AQ1272" s="122">
        <v>18860</v>
      </c>
      <c r="AR1272" s="122">
        <v>378687</v>
      </c>
      <c r="AS1272" s="122">
        <v>344261</v>
      </c>
      <c r="AT1272" s="122">
        <v>209982</v>
      </c>
      <c r="AU1272" s="122">
        <v>77771</v>
      </c>
      <c r="AV1272" s="122">
        <v>2395225</v>
      </c>
    </row>
    <row r="1273" spans="2:48" hidden="1">
      <c r="B1273" t="s">
        <v>371</v>
      </c>
      <c r="C1273" t="s">
        <v>62</v>
      </c>
      <c r="D1273" t="s">
        <v>406</v>
      </c>
      <c r="E1273" t="s">
        <v>137</v>
      </c>
      <c r="F1273" s="122">
        <v>1</v>
      </c>
      <c r="G1273" s="122">
        <v>53</v>
      </c>
      <c r="H1273" s="122">
        <v>442</v>
      </c>
      <c r="I1273" s="122">
        <v>12191</v>
      </c>
      <c r="J1273" s="122">
        <v>11083</v>
      </c>
      <c r="K1273" s="122">
        <v>79</v>
      </c>
      <c r="L1273" s="122">
        <v>3387</v>
      </c>
      <c r="M1273" s="122">
        <v>3079</v>
      </c>
      <c r="N1273" s="122">
        <v>651</v>
      </c>
      <c r="O1273" s="122">
        <v>241</v>
      </c>
      <c r="P1273" s="122">
        <v>621</v>
      </c>
      <c r="Q1273" s="122">
        <v>230</v>
      </c>
      <c r="R1273" s="122">
        <v>6773</v>
      </c>
      <c r="S1273" s="122">
        <v>2508</v>
      </c>
      <c r="T1273" s="122">
        <v>0</v>
      </c>
      <c r="U1273" s="122">
        <v>0</v>
      </c>
      <c r="V1273" s="122">
        <v>17141</v>
      </c>
      <c r="W1273" s="122">
        <f t="shared" si="40"/>
        <v>17141</v>
      </c>
      <c r="X1273" s="122">
        <f t="shared" si="41"/>
        <v>23623</v>
      </c>
      <c r="AA1273" t="s">
        <v>60</v>
      </c>
      <c r="AB1273" t="s">
        <v>406</v>
      </c>
      <c r="AC1273" t="s">
        <v>425</v>
      </c>
      <c r="AD1273" t="s">
        <v>406</v>
      </c>
      <c r="AE1273" t="s">
        <v>566</v>
      </c>
      <c r="AF1273">
        <v>37</v>
      </c>
      <c r="AG1273" s="122">
        <v>4398</v>
      </c>
      <c r="AH1273" s="122">
        <v>12519</v>
      </c>
      <c r="AI1273" s="122">
        <v>905030</v>
      </c>
      <c r="AJ1273" s="122">
        <v>822755</v>
      </c>
      <c r="AK1273">
        <v>79</v>
      </c>
      <c r="AL1273" s="122">
        <v>265176</v>
      </c>
      <c r="AM1273" s="122">
        <v>241070</v>
      </c>
      <c r="AN1273" s="122">
        <v>93898</v>
      </c>
      <c r="AO1273" s="122">
        <v>34777</v>
      </c>
      <c r="AP1273" s="122">
        <v>22977</v>
      </c>
      <c r="AQ1273" s="122">
        <v>8510</v>
      </c>
      <c r="AR1273" s="122">
        <v>222888</v>
      </c>
      <c r="AS1273" s="122">
        <v>202626</v>
      </c>
      <c r="AT1273">
        <v>0</v>
      </c>
      <c r="AU1273">
        <v>0</v>
      </c>
      <c r="AV1273" s="122">
        <v>1309737</v>
      </c>
    </row>
    <row r="1274" spans="2:48" hidden="1">
      <c r="B1274" t="s">
        <v>371</v>
      </c>
      <c r="C1274" t="s">
        <v>62</v>
      </c>
      <c r="D1274" t="s">
        <v>406</v>
      </c>
      <c r="E1274" t="s">
        <v>406</v>
      </c>
      <c r="F1274" s="122">
        <v>134</v>
      </c>
      <c r="G1274" s="122">
        <v>13618</v>
      </c>
      <c r="H1274" s="122">
        <v>55479</v>
      </c>
      <c r="I1274" s="122">
        <v>3603083</v>
      </c>
      <c r="J1274" s="122">
        <v>3275530</v>
      </c>
      <c r="K1274" s="122">
        <v>74</v>
      </c>
      <c r="L1274" s="122">
        <v>762870</v>
      </c>
      <c r="M1274" s="122">
        <v>655286</v>
      </c>
      <c r="N1274" s="122">
        <v>294922</v>
      </c>
      <c r="O1274" s="122">
        <v>109230</v>
      </c>
      <c r="P1274" s="122">
        <v>85320</v>
      </c>
      <c r="Q1274" s="122">
        <v>31600</v>
      </c>
      <c r="R1274" s="122">
        <v>656258</v>
      </c>
      <c r="S1274" s="122">
        <v>596598</v>
      </c>
      <c r="T1274" s="122">
        <v>266144</v>
      </c>
      <c r="U1274" s="122">
        <v>98572</v>
      </c>
      <c r="V1274" s="122">
        <v>4766816</v>
      </c>
      <c r="W1274" s="122">
        <f t="shared" si="40"/>
        <v>4766816</v>
      </c>
      <c r="X1274" s="122">
        <f t="shared" si="41"/>
        <v>5668597</v>
      </c>
      <c r="AA1274" t="s">
        <v>60</v>
      </c>
      <c r="AB1274" t="s">
        <v>406</v>
      </c>
      <c r="AC1274" t="s">
        <v>405</v>
      </c>
      <c r="AD1274" t="s">
        <v>406</v>
      </c>
      <c r="AE1274" t="s">
        <v>137</v>
      </c>
      <c r="AF1274">
        <v>2</v>
      </c>
      <c r="AG1274">
        <v>164</v>
      </c>
      <c r="AH1274">
        <v>730</v>
      </c>
      <c r="AI1274" s="122">
        <v>37762</v>
      </c>
      <c r="AJ1274" s="122">
        <v>34329</v>
      </c>
      <c r="AK1274">
        <v>72</v>
      </c>
      <c r="AL1274" s="122">
        <v>6308</v>
      </c>
      <c r="AM1274" s="122">
        <v>5735</v>
      </c>
      <c r="AN1274" s="122">
        <v>2500</v>
      </c>
      <c r="AO1274">
        <v>926</v>
      </c>
      <c r="AP1274" s="122">
        <v>1242</v>
      </c>
      <c r="AQ1274">
        <v>460</v>
      </c>
      <c r="AR1274" s="122">
        <v>9556</v>
      </c>
      <c r="AS1274" s="122">
        <v>8687</v>
      </c>
      <c r="AT1274" s="122">
        <v>2582</v>
      </c>
      <c r="AU1274">
        <v>956</v>
      </c>
      <c r="AV1274" s="122">
        <v>51093</v>
      </c>
    </row>
    <row r="1275" spans="2:48" hidden="1">
      <c r="B1275" t="s">
        <v>371</v>
      </c>
      <c r="C1275" t="s">
        <v>62</v>
      </c>
      <c r="D1275" t="s">
        <v>427</v>
      </c>
      <c r="E1275" t="s">
        <v>427</v>
      </c>
      <c r="F1275" s="122">
        <v>4</v>
      </c>
      <c r="G1275" s="122">
        <v>292</v>
      </c>
      <c r="H1275" s="122">
        <v>1693</v>
      </c>
      <c r="I1275" s="122">
        <v>73990</v>
      </c>
      <c r="J1275" s="122">
        <v>67264</v>
      </c>
      <c r="K1275" s="122">
        <v>55</v>
      </c>
      <c r="L1275" s="122">
        <v>10554</v>
      </c>
      <c r="M1275" s="122">
        <v>9595</v>
      </c>
      <c r="N1275" s="122">
        <v>6188</v>
      </c>
      <c r="O1275" s="122">
        <v>2292</v>
      </c>
      <c r="P1275" s="122">
        <v>1404</v>
      </c>
      <c r="Q1275" s="122">
        <v>520</v>
      </c>
      <c r="R1275" s="122">
        <v>29442</v>
      </c>
      <c r="S1275" s="122">
        <v>26765</v>
      </c>
      <c r="T1275" s="122">
        <v>2061</v>
      </c>
      <c r="U1275" s="122">
        <v>764</v>
      </c>
      <c r="V1275" s="122">
        <v>107199</v>
      </c>
      <c r="W1275" s="122">
        <f t="shared" si="40"/>
        <v>107200</v>
      </c>
      <c r="X1275" s="122">
        <f t="shared" si="41"/>
        <v>123639</v>
      </c>
      <c r="AA1275" t="s">
        <v>60</v>
      </c>
      <c r="AB1275" t="s">
        <v>406</v>
      </c>
      <c r="AC1275" t="s">
        <v>405</v>
      </c>
      <c r="AD1275" t="s">
        <v>406</v>
      </c>
      <c r="AE1275" t="s">
        <v>566</v>
      </c>
      <c r="AF1275">
        <v>2</v>
      </c>
      <c r="AG1275">
        <v>294</v>
      </c>
      <c r="AH1275">
        <v>626</v>
      </c>
      <c r="AI1275" s="122">
        <v>55707</v>
      </c>
      <c r="AJ1275" s="122">
        <v>50643</v>
      </c>
      <c r="AK1275">
        <v>85</v>
      </c>
      <c r="AL1275" s="122">
        <v>12502</v>
      </c>
      <c r="AM1275" s="122">
        <v>11365</v>
      </c>
      <c r="AN1275" s="122">
        <v>5756</v>
      </c>
      <c r="AO1275" s="122">
        <v>2132</v>
      </c>
      <c r="AP1275" s="122">
        <v>1242</v>
      </c>
      <c r="AQ1275">
        <v>460</v>
      </c>
      <c r="AR1275" s="122">
        <v>15022</v>
      </c>
      <c r="AS1275" s="122">
        <v>13656</v>
      </c>
      <c r="AT1275">
        <v>0</v>
      </c>
      <c r="AU1275">
        <v>0</v>
      </c>
      <c r="AV1275" s="122">
        <v>78256</v>
      </c>
    </row>
    <row r="1276" spans="2:48" hidden="1">
      <c r="B1276" t="s">
        <v>371</v>
      </c>
      <c r="C1276" t="s">
        <v>62</v>
      </c>
      <c r="D1276" t="s">
        <v>407</v>
      </c>
      <c r="E1276" t="s">
        <v>407</v>
      </c>
      <c r="F1276" s="122">
        <v>49</v>
      </c>
      <c r="G1276" s="122">
        <v>3793</v>
      </c>
      <c r="H1276" s="122">
        <v>20130</v>
      </c>
      <c r="I1276" s="122">
        <v>949459</v>
      </c>
      <c r="J1276" s="122">
        <v>863145</v>
      </c>
      <c r="K1276" s="122">
        <v>77</v>
      </c>
      <c r="L1276" s="122">
        <v>229194</v>
      </c>
      <c r="M1276" s="122">
        <v>196575</v>
      </c>
      <c r="N1276" s="122">
        <v>73961</v>
      </c>
      <c r="O1276" s="122">
        <v>27393</v>
      </c>
      <c r="P1276" s="122">
        <v>24003</v>
      </c>
      <c r="Q1276" s="122">
        <v>8890</v>
      </c>
      <c r="R1276" s="122">
        <v>208895</v>
      </c>
      <c r="S1276" s="122">
        <v>189905</v>
      </c>
      <c r="T1276" s="122">
        <v>75930</v>
      </c>
      <c r="U1276" s="122">
        <v>28122</v>
      </c>
      <c r="V1276" s="122">
        <v>1314030</v>
      </c>
      <c r="W1276" s="122">
        <f t="shared" si="40"/>
        <v>1314030</v>
      </c>
      <c r="X1276" s="122">
        <f t="shared" si="41"/>
        <v>1561442</v>
      </c>
      <c r="AA1276" t="s">
        <v>60</v>
      </c>
      <c r="AB1276" t="s">
        <v>406</v>
      </c>
      <c r="AC1276" t="s">
        <v>137</v>
      </c>
      <c r="AD1276" t="s">
        <v>137</v>
      </c>
      <c r="AE1276" t="s">
        <v>137</v>
      </c>
      <c r="AF1276">
        <v>1</v>
      </c>
      <c r="AG1276">
        <v>95</v>
      </c>
      <c r="AH1276">
        <v>335</v>
      </c>
      <c r="AI1276" s="122">
        <v>15408</v>
      </c>
      <c r="AJ1276" s="122">
        <v>14008</v>
      </c>
      <c r="AK1276">
        <v>70</v>
      </c>
      <c r="AL1276" s="122">
        <v>2942</v>
      </c>
      <c r="AM1276" s="122">
        <v>1089</v>
      </c>
      <c r="AN1276" s="122">
        <v>2320</v>
      </c>
      <c r="AO1276">
        <v>859</v>
      </c>
      <c r="AP1276" s="122">
        <v>1017</v>
      </c>
      <c r="AQ1276">
        <v>377</v>
      </c>
      <c r="AR1276" s="122">
        <v>10242</v>
      </c>
      <c r="AS1276" s="122">
        <v>3793</v>
      </c>
      <c r="AT1276">
        <v>0</v>
      </c>
      <c r="AU1276">
        <v>0</v>
      </c>
      <c r="AV1276" s="122">
        <v>20126</v>
      </c>
    </row>
    <row r="1277" spans="2:48" hidden="1">
      <c r="B1277" t="s">
        <v>371</v>
      </c>
      <c r="C1277" t="s">
        <v>62</v>
      </c>
      <c r="D1277" t="s">
        <v>556</v>
      </c>
      <c r="E1277" t="s">
        <v>137</v>
      </c>
      <c r="F1277" s="122">
        <v>1</v>
      </c>
      <c r="G1277" s="122">
        <v>60</v>
      </c>
      <c r="H1277" s="122">
        <v>412</v>
      </c>
      <c r="I1277" s="122">
        <v>16163</v>
      </c>
      <c r="J1277" s="122">
        <v>13469</v>
      </c>
      <c r="K1277" s="122">
        <v>65</v>
      </c>
      <c r="L1277" s="122">
        <v>1796</v>
      </c>
      <c r="M1277" s="122">
        <v>1497</v>
      </c>
      <c r="N1277" s="122">
        <v>1471</v>
      </c>
      <c r="O1277" s="122">
        <v>545</v>
      </c>
      <c r="P1277" s="122">
        <v>351</v>
      </c>
      <c r="Q1277" s="122">
        <v>130</v>
      </c>
      <c r="R1277" s="122">
        <v>5068</v>
      </c>
      <c r="S1277" s="122">
        <v>1877</v>
      </c>
      <c r="T1277" s="122">
        <v>0</v>
      </c>
      <c r="U1277" s="122">
        <v>0</v>
      </c>
      <c r="V1277" s="122">
        <v>17517</v>
      </c>
      <c r="W1277" s="122">
        <f t="shared" si="40"/>
        <v>17518</v>
      </c>
      <c r="X1277" s="122">
        <f t="shared" si="41"/>
        <v>24849</v>
      </c>
      <c r="AA1277" t="s">
        <v>60</v>
      </c>
      <c r="AB1277" t="s">
        <v>406</v>
      </c>
      <c r="AC1277" t="s">
        <v>137</v>
      </c>
      <c r="AD1277" t="s">
        <v>137</v>
      </c>
      <c r="AE1277" t="s">
        <v>566</v>
      </c>
      <c r="AF1277">
        <v>15</v>
      </c>
      <c r="AG1277" s="122">
        <v>1250</v>
      </c>
      <c r="AH1277" s="122">
        <v>5081</v>
      </c>
      <c r="AI1277" s="122">
        <v>223127</v>
      </c>
      <c r="AJ1277" s="122">
        <v>202843</v>
      </c>
      <c r="AK1277">
        <v>81</v>
      </c>
      <c r="AL1277" s="122">
        <v>62951</v>
      </c>
      <c r="AM1277" s="122">
        <v>23315</v>
      </c>
      <c r="AN1277" s="122">
        <v>25923</v>
      </c>
      <c r="AO1277" s="122">
        <v>9601</v>
      </c>
      <c r="AP1277" s="122">
        <v>9315</v>
      </c>
      <c r="AQ1277" s="122">
        <v>3450</v>
      </c>
      <c r="AR1277" s="122">
        <v>106503</v>
      </c>
      <c r="AS1277" s="122">
        <v>39446</v>
      </c>
      <c r="AT1277">
        <v>0</v>
      </c>
      <c r="AU1277">
        <v>0</v>
      </c>
      <c r="AV1277" s="122">
        <v>278655</v>
      </c>
    </row>
    <row r="1278" spans="2:48" hidden="1">
      <c r="B1278" t="s">
        <v>371</v>
      </c>
      <c r="C1278" t="s">
        <v>62</v>
      </c>
      <c r="D1278" t="s">
        <v>556</v>
      </c>
      <c r="E1278" t="s">
        <v>556</v>
      </c>
      <c r="F1278" s="122">
        <v>5</v>
      </c>
      <c r="G1278" s="122">
        <v>502</v>
      </c>
      <c r="H1278" s="122">
        <v>2113</v>
      </c>
      <c r="I1278" s="122">
        <v>137065</v>
      </c>
      <c r="J1278" s="122">
        <v>114220</v>
      </c>
      <c r="K1278" s="122">
        <v>57</v>
      </c>
      <c r="L1278" s="122">
        <v>18672</v>
      </c>
      <c r="M1278" s="122">
        <v>15560</v>
      </c>
      <c r="N1278" s="122">
        <v>10129</v>
      </c>
      <c r="O1278" s="122">
        <v>3752</v>
      </c>
      <c r="P1278" s="122">
        <v>1755</v>
      </c>
      <c r="Q1278" s="122">
        <v>650</v>
      </c>
      <c r="R1278" s="122">
        <v>32633</v>
      </c>
      <c r="S1278" s="122">
        <v>27194</v>
      </c>
      <c r="T1278" s="122">
        <v>11338</v>
      </c>
      <c r="U1278" s="122">
        <v>4199</v>
      </c>
      <c r="V1278" s="122">
        <v>165576</v>
      </c>
      <c r="W1278" s="122">
        <f t="shared" si="40"/>
        <v>165575</v>
      </c>
      <c r="X1278" s="122">
        <f t="shared" si="41"/>
        <v>211592</v>
      </c>
      <c r="AA1278" t="s">
        <v>60</v>
      </c>
      <c r="AB1278" t="s">
        <v>406</v>
      </c>
      <c r="AC1278" t="s">
        <v>137</v>
      </c>
      <c r="AD1278" t="s">
        <v>406</v>
      </c>
      <c r="AE1278" t="s">
        <v>137</v>
      </c>
      <c r="AF1278">
        <v>641</v>
      </c>
      <c r="AG1278" s="122">
        <v>59918</v>
      </c>
      <c r="AH1278" s="122">
        <v>216633</v>
      </c>
      <c r="AI1278" s="122">
        <v>11663899</v>
      </c>
      <c r="AJ1278" s="122">
        <v>10603544</v>
      </c>
      <c r="AK1278">
        <v>77</v>
      </c>
      <c r="AL1278" s="122">
        <v>2797088</v>
      </c>
      <c r="AM1278" s="122">
        <v>1035959</v>
      </c>
      <c r="AN1278" s="122">
        <v>1251377</v>
      </c>
      <c r="AO1278" s="122">
        <v>463473</v>
      </c>
      <c r="AP1278" s="122">
        <v>393487</v>
      </c>
      <c r="AQ1278" s="122">
        <v>145736</v>
      </c>
      <c r="AR1278" s="122">
        <v>2844106</v>
      </c>
      <c r="AS1278" s="122">
        <v>2585551</v>
      </c>
      <c r="AT1278" s="122">
        <v>1494945</v>
      </c>
      <c r="AU1278" s="122">
        <v>553683</v>
      </c>
      <c r="AV1278" s="122">
        <v>15387946</v>
      </c>
    </row>
    <row r="1279" spans="2:48" hidden="1">
      <c r="B1279" t="s">
        <v>371</v>
      </c>
      <c r="C1279" t="s">
        <v>62</v>
      </c>
      <c r="D1279" t="s">
        <v>431</v>
      </c>
      <c r="E1279" t="s">
        <v>431</v>
      </c>
      <c r="F1279" s="122">
        <v>1</v>
      </c>
      <c r="G1279" s="122">
        <v>85</v>
      </c>
      <c r="H1279" s="122">
        <v>438</v>
      </c>
      <c r="I1279" s="122">
        <v>22360</v>
      </c>
      <c r="J1279" s="122">
        <v>20328</v>
      </c>
      <c r="K1279" s="122">
        <v>45</v>
      </c>
      <c r="L1279" s="122">
        <v>2744</v>
      </c>
      <c r="M1279" s="122">
        <v>1016</v>
      </c>
      <c r="N1279" s="122">
        <v>1593</v>
      </c>
      <c r="O1279" s="122">
        <v>590</v>
      </c>
      <c r="P1279" s="122">
        <v>351</v>
      </c>
      <c r="Q1279" s="122">
        <v>130</v>
      </c>
      <c r="R1279" s="122">
        <v>10346</v>
      </c>
      <c r="S1279" s="122">
        <v>9405</v>
      </c>
      <c r="T1279" s="122">
        <v>0</v>
      </c>
      <c r="U1279" s="122">
        <v>0</v>
      </c>
      <c r="V1279" s="122">
        <v>31470</v>
      </c>
      <c r="W1279" s="122">
        <f t="shared" si="40"/>
        <v>31469</v>
      </c>
      <c r="X1279" s="122">
        <f t="shared" si="41"/>
        <v>37394</v>
      </c>
      <c r="AA1279" t="s">
        <v>60</v>
      </c>
      <c r="AB1279" t="s">
        <v>406</v>
      </c>
      <c r="AC1279" t="s">
        <v>137</v>
      </c>
      <c r="AD1279" t="s">
        <v>406</v>
      </c>
      <c r="AE1279" t="s">
        <v>566</v>
      </c>
      <c r="AF1279">
        <v>197</v>
      </c>
      <c r="AG1279" s="122">
        <v>18372</v>
      </c>
      <c r="AH1279" s="122">
        <v>66495</v>
      </c>
      <c r="AI1279" s="122">
        <v>3704676</v>
      </c>
      <c r="AJ1279" s="122">
        <v>3367887</v>
      </c>
      <c r="AK1279">
        <v>77</v>
      </c>
      <c r="AL1279" s="122">
        <v>850201</v>
      </c>
      <c r="AM1279" s="122">
        <v>314889</v>
      </c>
      <c r="AN1279" s="122">
        <v>384450</v>
      </c>
      <c r="AO1279" s="122">
        <v>142389</v>
      </c>
      <c r="AP1279" s="122">
        <v>122148</v>
      </c>
      <c r="AQ1279" s="122">
        <v>45240</v>
      </c>
      <c r="AR1279" s="122">
        <v>1205662</v>
      </c>
      <c r="AS1279" s="122">
        <v>1096056</v>
      </c>
      <c r="AT1279">
        <v>0</v>
      </c>
      <c r="AU1279">
        <v>0</v>
      </c>
      <c r="AV1279" s="122">
        <v>4966462</v>
      </c>
    </row>
    <row r="1280" spans="2:48" hidden="1">
      <c r="B1280" t="s">
        <v>371</v>
      </c>
      <c r="C1280" t="s">
        <v>62</v>
      </c>
      <c r="D1280" t="s">
        <v>426</v>
      </c>
      <c r="E1280" t="s">
        <v>426</v>
      </c>
      <c r="F1280" s="122">
        <v>68</v>
      </c>
      <c r="G1280" s="122">
        <v>4814</v>
      </c>
      <c r="H1280" s="122">
        <v>27870</v>
      </c>
      <c r="I1280" s="122">
        <v>1196902</v>
      </c>
      <c r="J1280" s="122">
        <v>1088093</v>
      </c>
      <c r="K1280" s="122">
        <v>55</v>
      </c>
      <c r="L1280" s="122">
        <v>159025</v>
      </c>
      <c r="M1280" s="122">
        <v>123767</v>
      </c>
      <c r="N1280" s="122">
        <v>85971</v>
      </c>
      <c r="O1280" s="122">
        <v>31841</v>
      </c>
      <c r="P1280" s="122">
        <v>24138</v>
      </c>
      <c r="Q1280" s="122">
        <v>8940</v>
      </c>
      <c r="R1280" s="122">
        <v>369430</v>
      </c>
      <c r="S1280" s="122">
        <v>335845</v>
      </c>
      <c r="T1280" s="122">
        <v>153545</v>
      </c>
      <c r="U1280" s="122">
        <v>56868</v>
      </c>
      <c r="V1280" s="122">
        <v>1645355</v>
      </c>
      <c r="W1280" s="122">
        <f t="shared" si="40"/>
        <v>1645354</v>
      </c>
      <c r="X1280" s="122">
        <f t="shared" si="41"/>
        <v>1989011</v>
      </c>
      <c r="AA1280" t="s">
        <v>60</v>
      </c>
      <c r="AB1280" t="s">
        <v>406</v>
      </c>
      <c r="AC1280" t="s">
        <v>137</v>
      </c>
      <c r="AD1280" t="s">
        <v>427</v>
      </c>
      <c r="AE1280" t="s">
        <v>137</v>
      </c>
      <c r="AF1280">
        <v>1</v>
      </c>
      <c r="AG1280">
        <v>97</v>
      </c>
      <c r="AH1280">
        <v>368</v>
      </c>
      <c r="AI1280" s="122">
        <v>19078</v>
      </c>
      <c r="AJ1280" s="122">
        <v>17344</v>
      </c>
      <c r="AK1280">
        <v>55</v>
      </c>
      <c r="AL1280" s="122">
        <v>6439</v>
      </c>
      <c r="AM1280" s="122">
        <v>2385</v>
      </c>
      <c r="AN1280" s="122">
        <v>1767</v>
      </c>
      <c r="AO1280">
        <v>654</v>
      </c>
      <c r="AP1280">
        <v>351</v>
      </c>
      <c r="AQ1280">
        <v>130</v>
      </c>
      <c r="AR1280" s="122">
        <v>5454</v>
      </c>
      <c r="AS1280" s="122">
        <v>4958</v>
      </c>
      <c r="AT1280" s="122">
        <v>2540</v>
      </c>
      <c r="AU1280">
        <v>941</v>
      </c>
      <c r="AV1280" s="122">
        <v>26412</v>
      </c>
    </row>
    <row r="1281" spans="2:48" hidden="1">
      <c r="B1281" t="s">
        <v>371</v>
      </c>
      <c r="C1281" t="s">
        <v>62</v>
      </c>
      <c r="D1281" t="s">
        <v>426</v>
      </c>
      <c r="E1281" t="s">
        <v>481</v>
      </c>
      <c r="F1281" s="122">
        <v>1</v>
      </c>
      <c r="G1281" s="122">
        <v>53</v>
      </c>
      <c r="H1281" s="122">
        <v>446</v>
      </c>
      <c r="I1281" s="122">
        <v>11233</v>
      </c>
      <c r="J1281" s="122">
        <v>10212</v>
      </c>
      <c r="K1281" s="122">
        <v>45</v>
      </c>
      <c r="L1281" s="122">
        <v>3102</v>
      </c>
      <c r="M1281" s="122">
        <v>1149</v>
      </c>
      <c r="N1281" s="122">
        <v>647</v>
      </c>
      <c r="O1281" s="122">
        <v>240</v>
      </c>
      <c r="P1281" s="122">
        <v>351</v>
      </c>
      <c r="Q1281" s="122">
        <v>130</v>
      </c>
      <c r="R1281" s="122">
        <v>6109</v>
      </c>
      <c r="S1281" s="122">
        <v>5554</v>
      </c>
      <c r="T1281" s="122">
        <v>2237</v>
      </c>
      <c r="U1281" s="122">
        <v>828</v>
      </c>
      <c r="V1281" s="122">
        <v>18112</v>
      </c>
      <c r="W1281" s="122">
        <f t="shared" si="40"/>
        <v>18113</v>
      </c>
      <c r="X1281" s="122">
        <f t="shared" si="41"/>
        <v>23679</v>
      </c>
      <c r="AA1281" t="s">
        <v>60</v>
      </c>
      <c r="AB1281" t="s">
        <v>406</v>
      </c>
      <c r="AC1281" t="s">
        <v>137</v>
      </c>
      <c r="AD1281" t="s">
        <v>426</v>
      </c>
      <c r="AE1281" t="s">
        <v>137</v>
      </c>
      <c r="AF1281">
        <v>2</v>
      </c>
      <c r="AG1281">
        <v>141</v>
      </c>
      <c r="AH1281">
        <v>622</v>
      </c>
      <c r="AI1281" s="122">
        <v>24638</v>
      </c>
      <c r="AJ1281" s="122">
        <v>22398</v>
      </c>
      <c r="AK1281">
        <v>60</v>
      </c>
      <c r="AL1281" s="122">
        <v>4033</v>
      </c>
      <c r="AM1281" s="122">
        <v>1494</v>
      </c>
      <c r="AN1281" s="122">
        <v>2553</v>
      </c>
      <c r="AO1281">
        <v>946</v>
      </c>
      <c r="AP1281">
        <v>702</v>
      </c>
      <c r="AQ1281">
        <v>260</v>
      </c>
      <c r="AR1281" s="122">
        <v>7701</v>
      </c>
      <c r="AS1281" s="122">
        <v>7001</v>
      </c>
      <c r="AT1281" s="122">
        <v>4067</v>
      </c>
      <c r="AU1281" s="122">
        <v>1506</v>
      </c>
      <c r="AV1281" s="122">
        <v>33604</v>
      </c>
    </row>
    <row r="1282" spans="2:48" hidden="1">
      <c r="B1282" t="s">
        <v>371</v>
      </c>
      <c r="C1282" t="s">
        <v>64</v>
      </c>
      <c r="F1282" s="122">
        <v>3</v>
      </c>
      <c r="G1282" s="122">
        <v>518</v>
      </c>
      <c r="H1282" s="122">
        <v>1608</v>
      </c>
      <c r="I1282" s="122"/>
      <c r="J1282" s="122">
        <v>0</v>
      </c>
      <c r="K1282" s="122"/>
      <c r="L1282" s="122"/>
      <c r="M1282" s="122">
        <v>0</v>
      </c>
      <c r="N1282" s="122">
        <v>10113</v>
      </c>
      <c r="O1282" s="122">
        <v>3745</v>
      </c>
      <c r="P1282" s="122">
        <v>1863</v>
      </c>
      <c r="Q1282" s="122">
        <v>690</v>
      </c>
      <c r="R1282" s="122"/>
      <c r="S1282" s="122">
        <v>0</v>
      </c>
      <c r="T1282" s="122">
        <v>0</v>
      </c>
      <c r="U1282" s="122">
        <v>0</v>
      </c>
      <c r="V1282" s="122">
        <v>4435</v>
      </c>
      <c r="W1282" s="122">
        <f t="shared" si="40"/>
        <v>4435</v>
      </c>
      <c r="X1282" s="122">
        <f t="shared" si="41"/>
        <v>11976</v>
      </c>
      <c r="AA1282" t="s">
        <v>60</v>
      </c>
      <c r="AB1282" t="s">
        <v>406</v>
      </c>
      <c r="AC1282" t="s">
        <v>580</v>
      </c>
      <c r="AD1282" t="s">
        <v>137</v>
      </c>
      <c r="AE1282" t="s">
        <v>566</v>
      </c>
      <c r="AF1282">
        <v>1</v>
      </c>
      <c r="AG1282">
        <v>101</v>
      </c>
      <c r="AH1282">
        <v>320</v>
      </c>
      <c r="AI1282" s="122">
        <v>19758</v>
      </c>
      <c r="AJ1282" s="122">
        <v>17962</v>
      </c>
      <c r="AK1282">
        <v>79</v>
      </c>
      <c r="AL1282" s="122">
        <v>2744</v>
      </c>
      <c r="AM1282" s="122">
        <v>2495</v>
      </c>
      <c r="AN1282" s="122">
        <v>2351</v>
      </c>
      <c r="AO1282">
        <v>871</v>
      </c>
      <c r="AP1282">
        <v>621</v>
      </c>
      <c r="AQ1282">
        <v>230</v>
      </c>
      <c r="AR1282" s="122">
        <v>6848</v>
      </c>
      <c r="AS1282" s="122">
        <v>2536</v>
      </c>
      <c r="AT1282">
        <v>0</v>
      </c>
      <c r="AU1282">
        <v>0</v>
      </c>
      <c r="AV1282" s="122">
        <v>24094</v>
      </c>
    </row>
    <row r="1283" spans="2:48" hidden="1">
      <c r="B1283" t="s">
        <v>371</v>
      </c>
      <c r="C1283" t="s">
        <v>64</v>
      </c>
      <c r="D1283" t="s">
        <v>555</v>
      </c>
      <c r="E1283" t="s">
        <v>555</v>
      </c>
      <c r="F1283" s="122">
        <v>1</v>
      </c>
      <c r="G1283" s="122">
        <v>105</v>
      </c>
      <c r="H1283" s="122">
        <v>565</v>
      </c>
      <c r="I1283" s="122">
        <v>46075</v>
      </c>
      <c r="J1283" s="122">
        <v>41886</v>
      </c>
      <c r="K1283" s="122">
        <v>45</v>
      </c>
      <c r="L1283" s="122">
        <v>3840</v>
      </c>
      <c r="M1283" s="122">
        <v>3491</v>
      </c>
      <c r="N1283" s="122">
        <v>1399</v>
      </c>
      <c r="O1283" s="122">
        <v>518</v>
      </c>
      <c r="P1283" s="122">
        <v>351</v>
      </c>
      <c r="Q1283" s="122">
        <v>130</v>
      </c>
      <c r="R1283" s="122">
        <v>5766</v>
      </c>
      <c r="S1283" s="122">
        <v>5242</v>
      </c>
      <c r="T1283" s="122">
        <v>2050</v>
      </c>
      <c r="U1283" s="122">
        <v>759</v>
      </c>
      <c r="V1283" s="122">
        <v>52026</v>
      </c>
      <c r="W1283" s="122">
        <f t="shared" si="40"/>
        <v>52026</v>
      </c>
      <c r="X1283" s="122">
        <f t="shared" si="41"/>
        <v>59481</v>
      </c>
      <c r="AA1283" t="s">
        <v>60</v>
      </c>
      <c r="AB1283" t="s">
        <v>406</v>
      </c>
      <c r="AC1283" t="s">
        <v>580</v>
      </c>
      <c r="AD1283" t="s">
        <v>406</v>
      </c>
      <c r="AE1283" t="s">
        <v>137</v>
      </c>
      <c r="AF1283">
        <v>89</v>
      </c>
      <c r="AG1283" s="122">
        <v>10163</v>
      </c>
      <c r="AH1283" s="122">
        <v>29854</v>
      </c>
      <c r="AI1283" s="122">
        <v>2187330</v>
      </c>
      <c r="AJ1283" s="122">
        <v>1988482</v>
      </c>
      <c r="AK1283">
        <v>77</v>
      </c>
      <c r="AL1283" s="122">
        <v>316901</v>
      </c>
      <c r="AM1283" s="122">
        <v>288092</v>
      </c>
      <c r="AN1283" s="122">
        <v>217343</v>
      </c>
      <c r="AO1283" s="122">
        <v>80497</v>
      </c>
      <c r="AP1283" s="122">
        <v>60318</v>
      </c>
      <c r="AQ1283" s="122">
        <v>22340</v>
      </c>
      <c r="AR1283" s="122">
        <v>404174</v>
      </c>
      <c r="AS1283" s="122">
        <v>367431</v>
      </c>
      <c r="AT1283" s="122">
        <v>227091</v>
      </c>
      <c r="AU1283" s="122">
        <v>84108</v>
      </c>
      <c r="AV1283" s="122">
        <v>2830950</v>
      </c>
    </row>
    <row r="1284" spans="2:48" hidden="1">
      <c r="B1284" t="s">
        <v>371</v>
      </c>
      <c r="C1284" t="s">
        <v>64</v>
      </c>
      <c r="D1284" t="s">
        <v>137</v>
      </c>
      <c r="E1284" t="s">
        <v>137</v>
      </c>
      <c r="F1284" s="122">
        <v>79</v>
      </c>
      <c r="G1284" s="122">
        <v>6208</v>
      </c>
      <c r="H1284" s="122">
        <v>57951</v>
      </c>
      <c r="I1284" s="122">
        <v>2899064</v>
      </c>
      <c r="J1284" s="122">
        <v>1073727</v>
      </c>
      <c r="K1284" s="122">
        <v>100</v>
      </c>
      <c r="L1284" s="122">
        <v>2568162</v>
      </c>
      <c r="M1284" s="122">
        <v>2294248</v>
      </c>
      <c r="N1284" s="122">
        <v>142898</v>
      </c>
      <c r="O1284" s="122">
        <v>52925</v>
      </c>
      <c r="P1284" s="122">
        <v>1053</v>
      </c>
      <c r="Q1284" s="122">
        <v>390</v>
      </c>
      <c r="R1284" s="122">
        <v>588336</v>
      </c>
      <c r="S1284" s="122">
        <v>217902</v>
      </c>
      <c r="T1284" s="122">
        <v>0</v>
      </c>
      <c r="U1284" s="122">
        <v>0</v>
      </c>
      <c r="V1284" s="122">
        <v>3639193</v>
      </c>
      <c r="W1284" s="122">
        <f t="shared" si="40"/>
        <v>3639192</v>
      </c>
      <c r="X1284" s="122">
        <f t="shared" si="41"/>
        <v>6199513</v>
      </c>
      <c r="AA1284" t="s">
        <v>60</v>
      </c>
      <c r="AB1284" t="s">
        <v>406</v>
      </c>
      <c r="AC1284" t="s">
        <v>580</v>
      </c>
      <c r="AD1284" t="s">
        <v>406</v>
      </c>
      <c r="AE1284" t="s">
        <v>566</v>
      </c>
      <c r="AF1284">
        <v>35</v>
      </c>
      <c r="AG1284" s="122">
        <v>3951</v>
      </c>
      <c r="AH1284" s="122">
        <v>11940</v>
      </c>
      <c r="AI1284" s="122">
        <v>883374</v>
      </c>
      <c r="AJ1284" s="122">
        <v>803067</v>
      </c>
      <c r="AK1284">
        <v>76</v>
      </c>
      <c r="AL1284" s="122">
        <v>130111</v>
      </c>
      <c r="AM1284" s="122">
        <v>118283</v>
      </c>
      <c r="AN1284" s="122">
        <v>82974</v>
      </c>
      <c r="AO1284" s="122">
        <v>30731</v>
      </c>
      <c r="AP1284" s="122">
        <v>23760</v>
      </c>
      <c r="AQ1284" s="122">
        <v>8800</v>
      </c>
      <c r="AR1284" s="122">
        <v>233108</v>
      </c>
      <c r="AS1284" s="122">
        <v>211916</v>
      </c>
      <c r="AT1284">
        <v>0</v>
      </c>
      <c r="AU1284">
        <v>0</v>
      </c>
      <c r="AV1284" s="122">
        <v>1172797</v>
      </c>
    </row>
    <row r="1285" spans="2:48" hidden="1">
      <c r="B1285" t="s">
        <v>371</v>
      </c>
      <c r="C1285" t="s">
        <v>64</v>
      </c>
      <c r="D1285" t="s">
        <v>137</v>
      </c>
      <c r="E1285" t="s">
        <v>427</v>
      </c>
      <c r="F1285" s="122">
        <v>6</v>
      </c>
      <c r="G1285" s="122">
        <v>204</v>
      </c>
      <c r="H1285" s="122">
        <v>2734</v>
      </c>
      <c r="I1285" s="122">
        <v>46708</v>
      </c>
      <c r="J1285" s="122">
        <v>17299</v>
      </c>
      <c r="K1285" s="122">
        <v>100</v>
      </c>
      <c r="L1285" s="122">
        <v>4229</v>
      </c>
      <c r="M1285" s="122">
        <v>3844</v>
      </c>
      <c r="N1285" s="122">
        <v>2899</v>
      </c>
      <c r="O1285" s="122">
        <v>1074</v>
      </c>
      <c r="P1285" s="122">
        <v>0</v>
      </c>
      <c r="Q1285" s="122">
        <v>0</v>
      </c>
      <c r="R1285" s="122">
        <v>28429</v>
      </c>
      <c r="S1285" s="122">
        <v>25845</v>
      </c>
      <c r="T1285" s="122">
        <v>10663</v>
      </c>
      <c r="U1285" s="122">
        <v>3949</v>
      </c>
      <c r="V1285" s="122">
        <v>52011</v>
      </c>
      <c r="W1285" s="122">
        <f t="shared" si="40"/>
        <v>52011</v>
      </c>
      <c r="X1285" s="122">
        <f t="shared" si="41"/>
        <v>92928</v>
      </c>
      <c r="AA1285" t="s">
        <v>60</v>
      </c>
      <c r="AB1285" t="s">
        <v>406</v>
      </c>
      <c r="AC1285" t="s">
        <v>580</v>
      </c>
      <c r="AD1285" t="s">
        <v>427</v>
      </c>
      <c r="AE1285" t="s">
        <v>566</v>
      </c>
      <c r="AF1285">
        <v>1</v>
      </c>
      <c r="AG1285">
        <v>76</v>
      </c>
      <c r="AH1285">
        <v>329</v>
      </c>
      <c r="AI1285" s="122">
        <v>14148</v>
      </c>
      <c r="AJ1285" s="122">
        <v>12862</v>
      </c>
      <c r="AK1285">
        <v>86</v>
      </c>
      <c r="AL1285" s="122">
        <v>4255</v>
      </c>
      <c r="AM1285" s="122">
        <v>3868</v>
      </c>
      <c r="AN1285" s="122">
        <v>1859</v>
      </c>
      <c r="AO1285">
        <v>689</v>
      </c>
      <c r="AP1285">
        <v>621</v>
      </c>
      <c r="AQ1285">
        <v>230</v>
      </c>
      <c r="AR1285" s="122">
        <v>4192</v>
      </c>
      <c r="AS1285" s="122">
        <v>3811</v>
      </c>
      <c r="AT1285">
        <v>0</v>
      </c>
      <c r="AU1285">
        <v>0</v>
      </c>
      <c r="AV1285" s="122">
        <v>21460</v>
      </c>
    </row>
    <row r="1286" spans="2:48" hidden="1">
      <c r="B1286" t="s">
        <v>371</v>
      </c>
      <c r="C1286" t="s">
        <v>64</v>
      </c>
      <c r="D1286" t="s">
        <v>137</v>
      </c>
      <c r="E1286" t="s">
        <v>556</v>
      </c>
      <c r="F1286" s="122">
        <v>4</v>
      </c>
      <c r="G1286" s="122">
        <v>367</v>
      </c>
      <c r="H1286" s="122">
        <v>2390</v>
      </c>
      <c r="I1286" s="122">
        <v>160644</v>
      </c>
      <c r="J1286" s="122">
        <v>59498</v>
      </c>
      <c r="K1286" s="122">
        <v>100</v>
      </c>
      <c r="L1286" s="122">
        <v>24744</v>
      </c>
      <c r="M1286" s="122">
        <v>20620</v>
      </c>
      <c r="N1286" s="122">
        <v>7857</v>
      </c>
      <c r="O1286" s="122">
        <v>2910</v>
      </c>
      <c r="P1286" s="122">
        <v>0</v>
      </c>
      <c r="Q1286" s="122">
        <v>0</v>
      </c>
      <c r="R1286" s="122">
        <v>19847</v>
      </c>
      <c r="S1286" s="122">
        <v>16539</v>
      </c>
      <c r="T1286" s="122">
        <v>8103</v>
      </c>
      <c r="U1286" s="122">
        <v>3001</v>
      </c>
      <c r="V1286" s="122">
        <v>102568</v>
      </c>
      <c r="W1286" s="122">
        <f t="shared" si="40"/>
        <v>102568</v>
      </c>
      <c r="X1286" s="122">
        <f t="shared" si="41"/>
        <v>221195</v>
      </c>
      <c r="AA1286" t="s">
        <v>60</v>
      </c>
      <c r="AB1286" t="s">
        <v>406</v>
      </c>
      <c r="AC1286" t="s">
        <v>580</v>
      </c>
      <c r="AD1286" t="s">
        <v>579</v>
      </c>
      <c r="AE1286" t="s">
        <v>137</v>
      </c>
      <c r="AF1286">
        <v>2</v>
      </c>
      <c r="AG1286">
        <v>206</v>
      </c>
      <c r="AH1286">
        <v>709</v>
      </c>
      <c r="AI1286" s="122">
        <v>39598</v>
      </c>
      <c r="AJ1286" s="122">
        <v>35998</v>
      </c>
      <c r="AK1286">
        <v>75</v>
      </c>
      <c r="AL1286" s="122">
        <v>10689</v>
      </c>
      <c r="AM1286" s="122">
        <v>9717</v>
      </c>
      <c r="AN1286" s="122">
        <v>4936</v>
      </c>
      <c r="AO1286" s="122">
        <v>1828</v>
      </c>
      <c r="AP1286" s="122">
        <v>1242</v>
      </c>
      <c r="AQ1286">
        <v>460</v>
      </c>
      <c r="AR1286" s="122">
        <v>10523</v>
      </c>
      <c r="AS1286" s="122">
        <v>8769</v>
      </c>
      <c r="AT1286" s="122">
        <v>5997</v>
      </c>
      <c r="AU1286" s="122">
        <v>2221</v>
      </c>
      <c r="AV1286" s="122">
        <v>58994</v>
      </c>
    </row>
    <row r="1287" spans="2:48" hidden="1">
      <c r="B1287" t="s">
        <v>371</v>
      </c>
      <c r="C1287" t="s">
        <v>64</v>
      </c>
      <c r="D1287" t="s">
        <v>137</v>
      </c>
      <c r="E1287" t="s">
        <v>426</v>
      </c>
      <c r="F1287" s="122">
        <v>2</v>
      </c>
      <c r="G1287" s="122">
        <v>147</v>
      </c>
      <c r="H1287" s="122">
        <v>1583</v>
      </c>
      <c r="I1287" s="122">
        <v>78983</v>
      </c>
      <c r="J1287" s="122">
        <v>29253</v>
      </c>
      <c r="K1287" s="122">
        <v>100</v>
      </c>
      <c r="L1287" s="122">
        <v>11918</v>
      </c>
      <c r="M1287" s="122">
        <v>10834</v>
      </c>
      <c r="N1287" s="122">
        <v>3592</v>
      </c>
      <c r="O1287" s="122">
        <v>1330</v>
      </c>
      <c r="P1287" s="122">
        <v>0</v>
      </c>
      <c r="Q1287" s="122">
        <v>0</v>
      </c>
      <c r="R1287" s="122">
        <v>12542</v>
      </c>
      <c r="S1287" s="122">
        <v>11402</v>
      </c>
      <c r="T1287" s="122">
        <v>8615</v>
      </c>
      <c r="U1287" s="122">
        <v>3191</v>
      </c>
      <c r="V1287" s="122">
        <v>56011</v>
      </c>
      <c r="W1287" s="122">
        <f t="shared" si="40"/>
        <v>56010</v>
      </c>
      <c r="X1287" s="122">
        <f t="shared" si="41"/>
        <v>115650</v>
      </c>
      <c r="AA1287" t="s">
        <v>60</v>
      </c>
      <c r="AB1287" t="s">
        <v>406</v>
      </c>
      <c r="AC1287" t="s">
        <v>580</v>
      </c>
      <c r="AD1287" t="s">
        <v>426</v>
      </c>
      <c r="AE1287" t="s">
        <v>137</v>
      </c>
      <c r="AF1287">
        <v>2</v>
      </c>
      <c r="AG1287">
        <v>225</v>
      </c>
      <c r="AH1287">
        <v>634</v>
      </c>
      <c r="AI1287" s="122">
        <v>42057</v>
      </c>
      <c r="AJ1287" s="122">
        <v>38234</v>
      </c>
      <c r="AK1287">
        <v>70</v>
      </c>
      <c r="AL1287" s="122">
        <v>8561</v>
      </c>
      <c r="AM1287" s="122">
        <v>7783</v>
      </c>
      <c r="AN1287" s="122">
        <v>4644</v>
      </c>
      <c r="AO1287" s="122">
        <v>1720</v>
      </c>
      <c r="AP1287" s="122">
        <v>1242</v>
      </c>
      <c r="AQ1287">
        <v>460</v>
      </c>
      <c r="AR1287" s="122">
        <v>9105</v>
      </c>
      <c r="AS1287" s="122">
        <v>8278</v>
      </c>
      <c r="AT1287" s="122">
        <v>6233</v>
      </c>
      <c r="AU1287" s="122">
        <v>2309</v>
      </c>
      <c r="AV1287" s="122">
        <v>58783</v>
      </c>
    </row>
    <row r="1288" spans="2:48" hidden="1">
      <c r="B1288" t="s">
        <v>371</v>
      </c>
      <c r="C1288" t="s">
        <v>64</v>
      </c>
      <c r="D1288" t="s">
        <v>406</v>
      </c>
      <c r="E1288" t="s">
        <v>406</v>
      </c>
      <c r="F1288" s="122">
        <v>93</v>
      </c>
      <c r="G1288" s="122">
        <v>8053</v>
      </c>
      <c r="H1288" s="122">
        <v>50289</v>
      </c>
      <c r="I1288" s="122">
        <v>2924060</v>
      </c>
      <c r="J1288" s="122">
        <v>2658236</v>
      </c>
      <c r="K1288" s="122">
        <v>71</v>
      </c>
      <c r="L1288" s="122">
        <v>625536</v>
      </c>
      <c r="M1288" s="122">
        <v>552323</v>
      </c>
      <c r="N1288" s="122">
        <v>173012</v>
      </c>
      <c r="O1288" s="122">
        <v>64079</v>
      </c>
      <c r="P1288" s="122">
        <v>58806</v>
      </c>
      <c r="Q1288" s="122">
        <v>21780</v>
      </c>
      <c r="R1288" s="122">
        <v>450848</v>
      </c>
      <c r="S1288" s="122">
        <v>409862</v>
      </c>
      <c r="T1288" s="122">
        <v>144005</v>
      </c>
      <c r="U1288" s="122">
        <v>53335</v>
      </c>
      <c r="V1288" s="122">
        <v>3759615</v>
      </c>
      <c r="W1288" s="122">
        <f t="shared" si="40"/>
        <v>3759615</v>
      </c>
      <c r="X1288" s="122">
        <f t="shared" si="41"/>
        <v>4376267</v>
      </c>
      <c r="AA1288" t="s">
        <v>60</v>
      </c>
      <c r="AB1288" t="s">
        <v>406</v>
      </c>
      <c r="AC1288" t="s">
        <v>580</v>
      </c>
      <c r="AD1288" t="s">
        <v>426</v>
      </c>
      <c r="AE1288" t="s">
        <v>566</v>
      </c>
      <c r="AF1288">
        <v>2</v>
      </c>
      <c r="AG1288">
        <v>296</v>
      </c>
      <c r="AH1288">
        <v>728</v>
      </c>
      <c r="AI1288" s="122">
        <v>70644</v>
      </c>
      <c r="AJ1288" s="122">
        <v>64222</v>
      </c>
      <c r="AK1288">
        <v>73</v>
      </c>
      <c r="AL1288" s="122">
        <v>13976</v>
      </c>
      <c r="AM1288" s="122">
        <v>12706</v>
      </c>
      <c r="AN1288" s="122">
        <v>6737</v>
      </c>
      <c r="AO1288" s="122">
        <v>2495</v>
      </c>
      <c r="AP1288" s="122">
        <v>1242</v>
      </c>
      <c r="AQ1288">
        <v>460</v>
      </c>
      <c r="AR1288" s="122">
        <v>15207</v>
      </c>
      <c r="AS1288" s="122">
        <v>13824</v>
      </c>
      <c r="AT1288">
        <v>0</v>
      </c>
      <c r="AU1288">
        <v>0</v>
      </c>
      <c r="AV1288" s="122">
        <v>93706</v>
      </c>
    </row>
    <row r="1289" spans="2:48" hidden="1">
      <c r="B1289" t="s">
        <v>371</v>
      </c>
      <c r="C1289" t="s">
        <v>64</v>
      </c>
      <c r="D1289" t="s">
        <v>406</v>
      </c>
      <c r="E1289" t="s">
        <v>426</v>
      </c>
      <c r="F1289" s="122">
        <v>1</v>
      </c>
      <c r="G1289" s="122">
        <v>92</v>
      </c>
      <c r="H1289" s="122">
        <v>464</v>
      </c>
      <c r="I1289" s="122">
        <v>23987</v>
      </c>
      <c r="J1289" s="122">
        <v>21807</v>
      </c>
      <c r="K1289" s="122">
        <v>85</v>
      </c>
      <c r="L1289" s="122">
        <v>5279</v>
      </c>
      <c r="M1289" s="122">
        <v>1955</v>
      </c>
      <c r="N1289" s="122">
        <v>2231</v>
      </c>
      <c r="O1289" s="122">
        <v>826</v>
      </c>
      <c r="P1289" s="122">
        <v>621</v>
      </c>
      <c r="Q1289" s="122">
        <v>230</v>
      </c>
      <c r="R1289" s="122">
        <v>5771</v>
      </c>
      <c r="S1289" s="122">
        <v>5246</v>
      </c>
      <c r="T1289" s="122">
        <v>4547</v>
      </c>
      <c r="U1289" s="122">
        <v>1684</v>
      </c>
      <c r="V1289" s="122">
        <v>31748</v>
      </c>
      <c r="W1289" s="122">
        <f t="shared" si="40"/>
        <v>31748</v>
      </c>
      <c r="X1289" s="122">
        <f t="shared" si="41"/>
        <v>42436</v>
      </c>
      <c r="AA1289" t="s">
        <v>60</v>
      </c>
      <c r="AB1289" t="s">
        <v>406</v>
      </c>
      <c r="AC1289" t="s">
        <v>427</v>
      </c>
      <c r="AD1289" t="s">
        <v>578</v>
      </c>
      <c r="AE1289" t="s">
        <v>137</v>
      </c>
      <c r="AF1289">
        <v>1</v>
      </c>
      <c r="AG1289">
        <v>74</v>
      </c>
      <c r="AH1289">
        <v>351</v>
      </c>
      <c r="AI1289" s="122">
        <v>14936</v>
      </c>
      <c r="AJ1289" s="122">
        <v>13578</v>
      </c>
      <c r="AK1289">
        <v>79</v>
      </c>
      <c r="AL1289" s="122">
        <v>4149</v>
      </c>
      <c r="AM1289" s="122">
        <v>3772</v>
      </c>
      <c r="AN1289" s="122">
        <v>1798</v>
      </c>
      <c r="AO1289">
        <v>666</v>
      </c>
      <c r="AP1289">
        <v>351</v>
      </c>
      <c r="AQ1289">
        <v>130</v>
      </c>
      <c r="AR1289" s="122">
        <v>3001</v>
      </c>
      <c r="AS1289" s="122">
        <v>2729</v>
      </c>
      <c r="AT1289" s="122">
        <v>1636</v>
      </c>
      <c r="AU1289">
        <v>606</v>
      </c>
      <c r="AV1289" s="122">
        <v>21481</v>
      </c>
    </row>
    <row r="1290" spans="2:48" hidden="1">
      <c r="B1290" t="s">
        <v>371</v>
      </c>
      <c r="C1290" t="s">
        <v>64</v>
      </c>
      <c r="D1290" t="s">
        <v>427</v>
      </c>
      <c r="E1290" t="s">
        <v>427</v>
      </c>
      <c r="F1290" s="122">
        <v>9</v>
      </c>
      <c r="G1290" s="122">
        <v>675</v>
      </c>
      <c r="H1290" s="122">
        <v>5255</v>
      </c>
      <c r="I1290" s="122">
        <v>276254</v>
      </c>
      <c r="J1290" s="122">
        <v>251140</v>
      </c>
      <c r="K1290" s="122">
        <v>52</v>
      </c>
      <c r="L1290" s="122">
        <v>24315</v>
      </c>
      <c r="M1290" s="122">
        <v>19663</v>
      </c>
      <c r="N1290" s="122">
        <v>13330</v>
      </c>
      <c r="O1290" s="122">
        <v>4937</v>
      </c>
      <c r="P1290" s="122">
        <v>2457</v>
      </c>
      <c r="Q1290" s="122">
        <v>910</v>
      </c>
      <c r="R1290" s="122">
        <v>62613</v>
      </c>
      <c r="S1290" s="122">
        <v>56921</v>
      </c>
      <c r="T1290" s="122">
        <v>17440</v>
      </c>
      <c r="U1290" s="122">
        <v>6459</v>
      </c>
      <c r="V1290" s="122">
        <v>340030</v>
      </c>
      <c r="W1290" s="122">
        <f t="shared" si="40"/>
        <v>340030</v>
      </c>
      <c r="X1290" s="122">
        <f t="shared" si="41"/>
        <v>396409</v>
      </c>
      <c r="AA1290" t="s">
        <v>60</v>
      </c>
      <c r="AB1290" t="s">
        <v>406</v>
      </c>
      <c r="AC1290" t="s">
        <v>427</v>
      </c>
      <c r="AD1290" t="s">
        <v>425</v>
      </c>
      <c r="AE1290" t="s">
        <v>566</v>
      </c>
      <c r="AF1290">
        <v>1</v>
      </c>
      <c r="AG1290">
        <v>131</v>
      </c>
      <c r="AH1290">
        <v>376</v>
      </c>
      <c r="AI1290" s="122">
        <v>31939</v>
      </c>
      <c r="AJ1290" s="122">
        <v>29035</v>
      </c>
      <c r="AK1290">
        <v>60</v>
      </c>
      <c r="AL1290" s="122">
        <v>6743</v>
      </c>
      <c r="AM1290" s="122">
        <v>6130</v>
      </c>
      <c r="AN1290" s="122">
        <v>2882</v>
      </c>
      <c r="AO1290" s="122">
        <v>1067</v>
      </c>
      <c r="AP1290">
        <v>621</v>
      </c>
      <c r="AQ1290">
        <v>230</v>
      </c>
      <c r="AR1290" s="122">
        <v>7263</v>
      </c>
      <c r="AS1290" s="122">
        <v>6603</v>
      </c>
      <c r="AT1290">
        <v>0</v>
      </c>
      <c r="AU1290">
        <v>0</v>
      </c>
      <c r="AV1290" s="122">
        <v>43065</v>
      </c>
    </row>
    <row r="1291" spans="2:48" hidden="1">
      <c r="B1291" t="s">
        <v>371</v>
      </c>
      <c r="C1291" t="s">
        <v>64</v>
      </c>
      <c r="D1291" t="s">
        <v>407</v>
      </c>
      <c r="E1291" t="s">
        <v>407</v>
      </c>
      <c r="F1291" s="122">
        <v>23</v>
      </c>
      <c r="G1291" s="122">
        <v>1852</v>
      </c>
      <c r="H1291" s="122">
        <v>11421</v>
      </c>
      <c r="I1291" s="122">
        <v>617437</v>
      </c>
      <c r="J1291" s="122">
        <v>561306</v>
      </c>
      <c r="K1291" s="122">
        <v>76</v>
      </c>
      <c r="L1291" s="122">
        <v>147688</v>
      </c>
      <c r="M1291" s="122">
        <v>128568</v>
      </c>
      <c r="N1291" s="122">
        <v>41233</v>
      </c>
      <c r="O1291" s="122">
        <v>15272</v>
      </c>
      <c r="P1291" s="122">
        <v>11016</v>
      </c>
      <c r="Q1291" s="122">
        <v>4080</v>
      </c>
      <c r="R1291" s="122">
        <v>106748</v>
      </c>
      <c r="S1291" s="122">
        <v>97044</v>
      </c>
      <c r="T1291" s="122">
        <v>36947</v>
      </c>
      <c r="U1291" s="122">
        <v>13684</v>
      </c>
      <c r="V1291" s="122">
        <v>819954</v>
      </c>
      <c r="W1291" s="122">
        <f t="shared" si="40"/>
        <v>819954</v>
      </c>
      <c r="X1291" s="122">
        <f t="shared" si="41"/>
        <v>961069</v>
      </c>
      <c r="AA1291" t="s">
        <v>60</v>
      </c>
      <c r="AB1291" t="s">
        <v>406</v>
      </c>
      <c r="AC1291" t="s">
        <v>427</v>
      </c>
      <c r="AD1291" t="s">
        <v>137</v>
      </c>
      <c r="AE1291" t="s">
        <v>137</v>
      </c>
      <c r="AF1291">
        <v>1</v>
      </c>
      <c r="AG1291">
        <v>153</v>
      </c>
      <c r="AH1291">
        <v>315</v>
      </c>
      <c r="AI1291" s="122">
        <v>24108</v>
      </c>
      <c r="AJ1291" s="122">
        <v>21917</v>
      </c>
      <c r="AK1291">
        <v>84</v>
      </c>
      <c r="AL1291" s="122">
        <v>7090</v>
      </c>
      <c r="AM1291" s="122">
        <v>6445</v>
      </c>
      <c r="AN1291" s="122">
        <v>3730</v>
      </c>
      <c r="AO1291" s="122">
        <v>1381</v>
      </c>
      <c r="AP1291">
        <v>621</v>
      </c>
      <c r="AQ1291">
        <v>230</v>
      </c>
      <c r="AR1291" s="122">
        <v>12669</v>
      </c>
      <c r="AS1291" s="122">
        <v>4692</v>
      </c>
      <c r="AT1291">
        <v>0</v>
      </c>
      <c r="AU1291">
        <v>0</v>
      </c>
      <c r="AV1291" s="122">
        <v>34666</v>
      </c>
    </row>
    <row r="1292" spans="2:48" hidden="1">
      <c r="B1292" t="s">
        <v>371</v>
      </c>
      <c r="C1292" t="s">
        <v>64</v>
      </c>
      <c r="D1292" t="s">
        <v>556</v>
      </c>
      <c r="E1292" t="s">
        <v>137</v>
      </c>
      <c r="F1292" s="122">
        <v>2</v>
      </c>
      <c r="G1292" s="122">
        <v>134</v>
      </c>
      <c r="H1292" s="122">
        <v>2665</v>
      </c>
      <c r="I1292" s="122">
        <v>149220</v>
      </c>
      <c r="J1292" s="122">
        <v>124350</v>
      </c>
      <c r="K1292" s="122">
        <v>30</v>
      </c>
      <c r="L1292" s="122">
        <v>11191</v>
      </c>
      <c r="M1292" s="122">
        <v>4145</v>
      </c>
      <c r="N1292" s="122">
        <v>2946</v>
      </c>
      <c r="O1292" s="122">
        <v>1091</v>
      </c>
      <c r="P1292" s="122">
        <v>0</v>
      </c>
      <c r="Q1292" s="122">
        <v>0</v>
      </c>
      <c r="R1292" s="122">
        <v>8981</v>
      </c>
      <c r="S1292" s="122">
        <v>3326</v>
      </c>
      <c r="T1292" s="122">
        <v>0</v>
      </c>
      <c r="U1292" s="122">
        <v>0</v>
      </c>
      <c r="V1292" s="122">
        <v>132913</v>
      </c>
      <c r="W1292" s="122">
        <f t="shared" si="40"/>
        <v>132912</v>
      </c>
      <c r="X1292" s="122">
        <f t="shared" si="41"/>
        <v>172338</v>
      </c>
      <c r="AA1292" t="s">
        <v>60</v>
      </c>
      <c r="AB1292" t="s">
        <v>406</v>
      </c>
      <c r="AC1292" t="s">
        <v>427</v>
      </c>
      <c r="AD1292" t="s">
        <v>137</v>
      </c>
      <c r="AE1292" t="s">
        <v>566</v>
      </c>
      <c r="AF1292">
        <v>12</v>
      </c>
      <c r="AG1292" s="122">
        <v>1257</v>
      </c>
      <c r="AH1292" s="122">
        <v>4068</v>
      </c>
      <c r="AI1292" s="122">
        <v>253829</v>
      </c>
      <c r="AJ1292" s="122">
        <v>230754</v>
      </c>
      <c r="AK1292">
        <v>80</v>
      </c>
      <c r="AL1292" s="122">
        <v>68130</v>
      </c>
      <c r="AM1292" s="122">
        <v>61936</v>
      </c>
      <c r="AN1292" s="122">
        <v>30365</v>
      </c>
      <c r="AO1292" s="122">
        <v>11246</v>
      </c>
      <c r="AP1292" s="122">
        <v>7452</v>
      </c>
      <c r="AQ1292" s="122">
        <v>2760</v>
      </c>
      <c r="AR1292" s="122">
        <v>91123</v>
      </c>
      <c r="AS1292" s="122">
        <v>33749</v>
      </c>
      <c r="AT1292">
        <v>0</v>
      </c>
      <c r="AU1292">
        <v>0</v>
      </c>
      <c r="AV1292" s="122">
        <v>340446</v>
      </c>
    </row>
    <row r="1293" spans="2:48" hidden="1">
      <c r="B1293" t="s">
        <v>371</v>
      </c>
      <c r="C1293" t="s">
        <v>64</v>
      </c>
      <c r="D1293" t="s">
        <v>556</v>
      </c>
      <c r="E1293" t="s">
        <v>556</v>
      </c>
      <c r="F1293" s="122">
        <v>19</v>
      </c>
      <c r="G1293" s="122">
        <v>1480</v>
      </c>
      <c r="H1293" s="122">
        <v>11738</v>
      </c>
      <c r="I1293" s="122">
        <v>645469</v>
      </c>
      <c r="J1293" s="122">
        <v>537891</v>
      </c>
      <c r="K1293" s="122">
        <v>52</v>
      </c>
      <c r="L1293" s="122">
        <v>87115</v>
      </c>
      <c r="M1293" s="122">
        <v>69166</v>
      </c>
      <c r="N1293" s="122">
        <v>31872</v>
      </c>
      <c r="O1293" s="122">
        <v>11804</v>
      </c>
      <c r="P1293" s="122">
        <v>5616</v>
      </c>
      <c r="Q1293" s="122">
        <v>2080</v>
      </c>
      <c r="R1293" s="122">
        <v>113259</v>
      </c>
      <c r="S1293" s="122">
        <v>94382</v>
      </c>
      <c r="T1293" s="122">
        <v>44110</v>
      </c>
      <c r="U1293" s="122">
        <v>16337</v>
      </c>
      <c r="V1293" s="122">
        <v>731661</v>
      </c>
      <c r="W1293" s="122">
        <f t="shared" si="40"/>
        <v>731660</v>
      </c>
      <c r="X1293" s="122">
        <f t="shared" si="41"/>
        <v>927441</v>
      </c>
      <c r="AA1293" t="s">
        <v>60</v>
      </c>
      <c r="AB1293" t="s">
        <v>406</v>
      </c>
      <c r="AC1293" t="s">
        <v>427</v>
      </c>
      <c r="AD1293" t="s">
        <v>406</v>
      </c>
      <c r="AE1293" t="s">
        <v>137</v>
      </c>
      <c r="AF1293">
        <v>786</v>
      </c>
      <c r="AG1293" s="122">
        <v>74786</v>
      </c>
      <c r="AH1293" s="122">
        <v>266071</v>
      </c>
      <c r="AI1293" s="122">
        <v>14581497</v>
      </c>
      <c r="AJ1293" s="122">
        <v>13255906</v>
      </c>
      <c r="AK1293">
        <v>77</v>
      </c>
      <c r="AL1293" s="122">
        <v>3405617</v>
      </c>
      <c r="AM1293" s="122">
        <v>3096016</v>
      </c>
      <c r="AN1293" s="122">
        <v>1576826</v>
      </c>
      <c r="AO1293" s="122">
        <v>584009</v>
      </c>
      <c r="AP1293" s="122">
        <v>493817</v>
      </c>
      <c r="AQ1293" s="122">
        <v>182895</v>
      </c>
      <c r="AR1293" s="122">
        <v>3693901</v>
      </c>
      <c r="AS1293" s="122">
        <v>3358092</v>
      </c>
      <c r="AT1293" s="122">
        <v>1802803</v>
      </c>
      <c r="AU1293" s="122">
        <v>667705</v>
      </c>
      <c r="AV1293" s="122">
        <v>21144624</v>
      </c>
    </row>
    <row r="1294" spans="2:48" hidden="1">
      <c r="B1294" t="s">
        <v>371</v>
      </c>
      <c r="C1294" t="s">
        <v>64</v>
      </c>
      <c r="D1294" t="s">
        <v>428</v>
      </c>
      <c r="E1294" t="s">
        <v>428</v>
      </c>
      <c r="F1294" s="122">
        <v>1</v>
      </c>
      <c r="G1294" s="122">
        <v>74</v>
      </c>
      <c r="H1294" s="122">
        <v>573</v>
      </c>
      <c r="I1294" s="122">
        <v>30589</v>
      </c>
      <c r="J1294" s="122">
        <v>27808</v>
      </c>
      <c r="K1294" s="122">
        <v>65</v>
      </c>
      <c r="L1294" s="122">
        <v>3682</v>
      </c>
      <c r="M1294" s="122">
        <v>3347</v>
      </c>
      <c r="N1294" s="122">
        <v>1498</v>
      </c>
      <c r="O1294" s="122">
        <v>555</v>
      </c>
      <c r="P1294" s="122">
        <v>351</v>
      </c>
      <c r="Q1294" s="122">
        <v>130</v>
      </c>
      <c r="R1294" s="122">
        <v>4029</v>
      </c>
      <c r="S1294" s="122">
        <v>3663</v>
      </c>
      <c r="T1294" s="122">
        <v>2079</v>
      </c>
      <c r="U1294" s="122">
        <v>770</v>
      </c>
      <c r="V1294" s="122">
        <v>36273</v>
      </c>
      <c r="W1294" s="122">
        <f t="shared" si="40"/>
        <v>36273</v>
      </c>
      <c r="X1294" s="122">
        <f t="shared" si="41"/>
        <v>42228</v>
      </c>
      <c r="AA1294" t="s">
        <v>60</v>
      </c>
      <c r="AB1294" t="s">
        <v>406</v>
      </c>
      <c r="AC1294" t="s">
        <v>427</v>
      </c>
      <c r="AD1294" t="s">
        <v>406</v>
      </c>
      <c r="AE1294" t="s">
        <v>566</v>
      </c>
      <c r="AF1294">
        <v>387</v>
      </c>
      <c r="AG1294" s="122">
        <v>36813</v>
      </c>
      <c r="AH1294" s="122">
        <v>130557</v>
      </c>
      <c r="AI1294" s="122">
        <v>7434109</v>
      </c>
      <c r="AJ1294" s="122">
        <v>6758281</v>
      </c>
      <c r="AK1294">
        <v>78</v>
      </c>
      <c r="AL1294" s="122">
        <v>1815980</v>
      </c>
      <c r="AM1294" s="122">
        <v>1650891</v>
      </c>
      <c r="AN1294" s="122">
        <v>768458</v>
      </c>
      <c r="AO1294" s="122">
        <v>284614</v>
      </c>
      <c r="AP1294" s="122">
        <v>241772</v>
      </c>
      <c r="AQ1294" s="122">
        <v>89545</v>
      </c>
      <c r="AR1294" s="122">
        <v>2383936</v>
      </c>
      <c r="AS1294" s="122">
        <v>2167214</v>
      </c>
      <c r="AT1294">
        <v>0</v>
      </c>
      <c r="AU1294">
        <v>0</v>
      </c>
      <c r="AV1294" s="122">
        <v>10950545</v>
      </c>
    </row>
    <row r="1295" spans="2:48" hidden="1">
      <c r="B1295" t="s">
        <v>371</v>
      </c>
      <c r="C1295" t="s">
        <v>64</v>
      </c>
      <c r="D1295" t="s">
        <v>426</v>
      </c>
      <c r="E1295" t="s">
        <v>137</v>
      </c>
      <c r="F1295" s="122">
        <v>19</v>
      </c>
      <c r="G1295" s="122">
        <v>1411</v>
      </c>
      <c r="H1295" s="122">
        <v>20876</v>
      </c>
      <c r="I1295" s="122">
        <v>1112470</v>
      </c>
      <c r="J1295" s="122">
        <v>1011336</v>
      </c>
      <c r="K1295" s="122">
        <v>36</v>
      </c>
      <c r="L1295" s="122">
        <v>125019</v>
      </c>
      <c r="M1295" s="122">
        <v>68245</v>
      </c>
      <c r="N1295" s="122">
        <v>32787</v>
      </c>
      <c r="O1295" s="122">
        <v>12143</v>
      </c>
      <c r="P1295" s="122">
        <v>0</v>
      </c>
      <c r="Q1295" s="122">
        <v>0</v>
      </c>
      <c r="R1295" s="122">
        <v>174323</v>
      </c>
      <c r="S1295" s="122">
        <v>64564</v>
      </c>
      <c r="T1295" s="122">
        <v>0</v>
      </c>
      <c r="U1295" s="122">
        <v>0</v>
      </c>
      <c r="V1295" s="122">
        <v>1156289</v>
      </c>
      <c r="W1295" s="122">
        <f t="shared" si="40"/>
        <v>1156288</v>
      </c>
      <c r="X1295" s="122">
        <f t="shared" si="41"/>
        <v>1444599</v>
      </c>
      <c r="AA1295" t="s">
        <v>60</v>
      </c>
      <c r="AB1295" t="s">
        <v>406</v>
      </c>
      <c r="AC1295" t="s">
        <v>427</v>
      </c>
      <c r="AD1295" t="s">
        <v>427</v>
      </c>
      <c r="AE1295" t="s">
        <v>137</v>
      </c>
      <c r="AF1295">
        <v>3</v>
      </c>
      <c r="AG1295">
        <v>268</v>
      </c>
      <c r="AH1295" s="122">
        <v>1039</v>
      </c>
      <c r="AI1295" s="122">
        <v>44497</v>
      </c>
      <c r="AJ1295" s="122">
        <v>40452</v>
      </c>
      <c r="AK1295">
        <v>57</v>
      </c>
      <c r="AL1295" s="122">
        <v>9132</v>
      </c>
      <c r="AM1295" s="122">
        <v>8302</v>
      </c>
      <c r="AN1295" s="122">
        <v>6252</v>
      </c>
      <c r="AO1295" s="122">
        <v>2315</v>
      </c>
      <c r="AP1295">
        <v>972</v>
      </c>
      <c r="AQ1295">
        <v>360</v>
      </c>
      <c r="AR1295" s="122">
        <v>21158</v>
      </c>
      <c r="AS1295" s="122">
        <v>19234</v>
      </c>
      <c r="AT1295" s="122">
        <v>10241</v>
      </c>
      <c r="AU1295" s="122">
        <v>3793</v>
      </c>
      <c r="AV1295" s="122">
        <v>74456</v>
      </c>
    </row>
    <row r="1296" spans="2:48" hidden="1">
      <c r="B1296" t="s">
        <v>371</v>
      </c>
      <c r="C1296" t="s">
        <v>64</v>
      </c>
      <c r="D1296" t="s">
        <v>426</v>
      </c>
      <c r="E1296" t="s">
        <v>426</v>
      </c>
      <c r="F1296" s="122">
        <v>80</v>
      </c>
      <c r="G1296" s="122">
        <v>5693</v>
      </c>
      <c r="H1296" s="122">
        <v>48262</v>
      </c>
      <c r="I1296" s="122">
        <v>2387418</v>
      </c>
      <c r="J1296" s="122">
        <v>2170380</v>
      </c>
      <c r="K1296" s="122">
        <v>53</v>
      </c>
      <c r="L1296" s="122">
        <v>301075</v>
      </c>
      <c r="M1296" s="122">
        <v>242091</v>
      </c>
      <c r="N1296" s="122">
        <v>116101</v>
      </c>
      <c r="O1296" s="122">
        <v>43000</v>
      </c>
      <c r="P1296" s="122">
        <v>26865</v>
      </c>
      <c r="Q1296" s="122">
        <v>9950</v>
      </c>
      <c r="R1296" s="122">
        <v>468198</v>
      </c>
      <c r="S1296" s="122">
        <v>425635</v>
      </c>
      <c r="T1296" s="122">
        <v>155690</v>
      </c>
      <c r="U1296" s="122">
        <v>57663</v>
      </c>
      <c r="V1296" s="122">
        <v>2948719</v>
      </c>
      <c r="W1296" s="122">
        <f t="shared" si="40"/>
        <v>2948719</v>
      </c>
      <c r="X1296" s="122">
        <f t="shared" si="41"/>
        <v>3455347</v>
      </c>
      <c r="AA1296" t="s">
        <v>60</v>
      </c>
      <c r="AB1296" t="s">
        <v>406</v>
      </c>
      <c r="AC1296" t="s">
        <v>427</v>
      </c>
      <c r="AD1296" t="s">
        <v>407</v>
      </c>
      <c r="AE1296" t="s">
        <v>137</v>
      </c>
      <c r="AF1296">
        <v>1</v>
      </c>
      <c r="AG1296">
        <v>95</v>
      </c>
      <c r="AH1296">
        <v>362</v>
      </c>
      <c r="AI1296" s="122">
        <v>19749</v>
      </c>
      <c r="AJ1296" s="122">
        <v>17953</v>
      </c>
      <c r="AK1296">
        <v>80</v>
      </c>
      <c r="AL1296" s="122">
        <v>5559</v>
      </c>
      <c r="AM1296" s="122">
        <v>5054</v>
      </c>
      <c r="AN1296" s="122">
        <v>2315</v>
      </c>
      <c r="AO1296">
        <v>857</v>
      </c>
      <c r="AP1296">
        <v>621</v>
      </c>
      <c r="AQ1296">
        <v>230</v>
      </c>
      <c r="AR1296" s="122">
        <v>3755</v>
      </c>
      <c r="AS1296" s="122">
        <v>3414</v>
      </c>
      <c r="AT1296" s="122">
        <v>2363</v>
      </c>
      <c r="AU1296">
        <v>875</v>
      </c>
      <c r="AV1296" s="122">
        <v>28384</v>
      </c>
    </row>
    <row r="1297" spans="2:48" hidden="1">
      <c r="B1297" t="s">
        <v>372</v>
      </c>
      <c r="C1297" t="s">
        <v>48</v>
      </c>
      <c r="D1297" t="s">
        <v>405</v>
      </c>
      <c r="E1297" t="s">
        <v>405</v>
      </c>
      <c r="F1297" s="122">
        <v>2</v>
      </c>
      <c r="G1297" s="122">
        <v>239</v>
      </c>
      <c r="H1297" s="122">
        <v>126</v>
      </c>
      <c r="I1297" s="122">
        <v>-5252</v>
      </c>
      <c r="J1297" s="122">
        <v>-4775</v>
      </c>
      <c r="K1297" s="122">
        <v>92</v>
      </c>
      <c r="L1297" s="122">
        <v>0</v>
      </c>
      <c r="M1297" s="122">
        <v>0</v>
      </c>
      <c r="N1297" s="122">
        <v>2911</v>
      </c>
      <c r="O1297" s="122">
        <v>1078</v>
      </c>
      <c r="P1297" s="122">
        <v>2994</v>
      </c>
      <c r="Q1297" s="122">
        <v>1109</v>
      </c>
      <c r="R1297" s="122">
        <v>14449</v>
      </c>
      <c r="S1297" s="122">
        <v>13135</v>
      </c>
      <c r="T1297" s="122">
        <v>0</v>
      </c>
      <c r="U1297" s="122">
        <v>0</v>
      </c>
      <c r="V1297" s="122">
        <v>10548</v>
      </c>
      <c r="W1297" s="122">
        <f t="shared" si="40"/>
        <v>20097</v>
      </c>
      <c r="X1297" s="122">
        <f t="shared" si="41"/>
        <v>25606</v>
      </c>
      <c r="AA1297" t="s">
        <v>60</v>
      </c>
      <c r="AB1297" t="s">
        <v>406</v>
      </c>
      <c r="AC1297" t="s">
        <v>407</v>
      </c>
      <c r="AD1297" t="s">
        <v>425</v>
      </c>
      <c r="AE1297" t="s">
        <v>137</v>
      </c>
      <c r="AF1297">
        <v>1</v>
      </c>
      <c r="AG1297">
        <v>82</v>
      </c>
      <c r="AH1297">
        <v>312</v>
      </c>
      <c r="AI1297" s="122">
        <v>13578</v>
      </c>
      <c r="AJ1297" s="122">
        <v>12343</v>
      </c>
      <c r="AK1297">
        <v>80</v>
      </c>
      <c r="AL1297" s="122">
        <v>2296</v>
      </c>
      <c r="AM1297" s="122">
        <v>2087</v>
      </c>
      <c r="AN1297" s="122">
        <v>1998</v>
      </c>
      <c r="AO1297">
        <v>740</v>
      </c>
      <c r="AP1297">
        <v>473</v>
      </c>
      <c r="AQ1297">
        <v>175</v>
      </c>
      <c r="AR1297" s="122">
        <v>4340</v>
      </c>
      <c r="AS1297" s="122">
        <v>3945</v>
      </c>
      <c r="AT1297" s="122">
        <v>2906</v>
      </c>
      <c r="AU1297" s="122">
        <v>1076</v>
      </c>
      <c r="AV1297" s="122">
        <v>20367</v>
      </c>
    </row>
    <row r="1298" spans="2:48" hidden="1">
      <c r="B1298" t="s">
        <v>372</v>
      </c>
      <c r="C1298" t="s">
        <v>48</v>
      </c>
      <c r="D1298" t="s">
        <v>137</v>
      </c>
      <c r="E1298" t="s">
        <v>137</v>
      </c>
      <c r="F1298" s="122">
        <v>13</v>
      </c>
      <c r="G1298" s="122">
        <v>1429</v>
      </c>
      <c r="H1298" s="122">
        <v>696</v>
      </c>
      <c r="I1298" s="122">
        <v>3316</v>
      </c>
      <c r="J1298" s="122">
        <v>1228</v>
      </c>
      <c r="K1298" s="122">
        <v>434</v>
      </c>
      <c r="L1298" s="122">
        <v>-272</v>
      </c>
      <c r="M1298" s="122">
        <v>-252</v>
      </c>
      <c r="N1298" s="122">
        <v>19696</v>
      </c>
      <c r="O1298" s="122">
        <v>7295</v>
      </c>
      <c r="P1298" s="122">
        <v>9267</v>
      </c>
      <c r="Q1298" s="122">
        <v>3432</v>
      </c>
      <c r="R1298" s="122">
        <v>43692</v>
      </c>
      <c r="S1298" s="122">
        <v>16182</v>
      </c>
      <c r="T1298" s="122">
        <v>0</v>
      </c>
      <c r="U1298" s="122">
        <v>0</v>
      </c>
      <c r="V1298" s="122">
        <v>27886</v>
      </c>
      <c r="W1298" s="122">
        <f t="shared" si="40"/>
        <v>28389</v>
      </c>
      <c r="X1298" s="122">
        <f t="shared" si="41"/>
        <v>76243</v>
      </c>
      <c r="AA1298" t="s">
        <v>60</v>
      </c>
      <c r="AB1298" t="s">
        <v>406</v>
      </c>
      <c r="AC1298" t="s">
        <v>407</v>
      </c>
      <c r="AD1298" t="s">
        <v>406</v>
      </c>
      <c r="AE1298" t="s">
        <v>137</v>
      </c>
      <c r="AF1298">
        <v>66</v>
      </c>
      <c r="AG1298" s="122">
        <v>7832</v>
      </c>
      <c r="AH1298" s="122">
        <v>22568</v>
      </c>
      <c r="AI1298" s="122">
        <v>1545084</v>
      </c>
      <c r="AJ1298" s="122">
        <v>1404622</v>
      </c>
      <c r="AK1298">
        <v>75</v>
      </c>
      <c r="AL1298" s="122">
        <v>440944</v>
      </c>
      <c r="AM1298" s="122">
        <v>400858</v>
      </c>
      <c r="AN1298" s="122">
        <v>173963</v>
      </c>
      <c r="AO1298" s="122">
        <v>64431</v>
      </c>
      <c r="AP1298" s="122">
        <v>41108</v>
      </c>
      <c r="AQ1298" s="122">
        <v>15225</v>
      </c>
      <c r="AR1298" s="122">
        <v>319845</v>
      </c>
      <c r="AS1298" s="122">
        <v>290768</v>
      </c>
      <c r="AT1298" s="122">
        <v>170582</v>
      </c>
      <c r="AU1298" s="122">
        <v>63178</v>
      </c>
      <c r="AV1298" s="122">
        <v>2239082</v>
      </c>
    </row>
    <row r="1299" spans="2:48" hidden="1">
      <c r="B1299" t="s">
        <v>372</v>
      </c>
      <c r="C1299" t="s">
        <v>48</v>
      </c>
      <c r="D1299" t="s">
        <v>406</v>
      </c>
      <c r="E1299" t="s">
        <v>406</v>
      </c>
      <c r="F1299" s="122">
        <v>4</v>
      </c>
      <c r="G1299" s="122">
        <v>409</v>
      </c>
      <c r="H1299" s="122">
        <v>236</v>
      </c>
      <c r="I1299" s="122">
        <v>2600</v>
      </c>
      <c r="J1299" s="122">
        <v>2364</v>
      </c>
      <c r="K1299" s="122">
        <v>93</v>
      </c>
      <c r="L1299" s="122">
        <v>377</v>
      </c>
      <c r="M1299" s="122">
        <v>344</v>
      </c>
      <c r="N1299" s="122">
        <v>4984</v>
      </c>
      <c r="O1299" s="122">
        <v>1846</v>
      </c>
      <c r="P1299" s="122">
        <v>3186</v>
      </c>
      <c r="Q1299" s="122">
        <v>1180</v>
      </c>
      <c r="R1299" s="122">
        <v>12940</v>
      </c>
      <c r="S1299" s="122">
        <v>11764</v>
      </c>
      <c r="T1299" s="122">
        <v>0</v>
      </c>
      <c r="U1299" s="122">
        <v>0</v>
      </c>
      <c r="V1299" s="122">
        <v>17498</v>
      </c>
      <c r="W1299" s="122">
        <f t="shared" si="40"/>
        <v>17498</v>
      </c>
      <c r="X1299" s="122">
        <f t="shared" si="41"/>
        <v>24087</v>
      </c>
      <c r="AA1299" t="s">
        <v>60</v>
      </c>
      <c r="AB1299" t="s">
        <v>406</v>
      </c>
      <c r="AC1299" t="s">
        <v>407</v>
      </c>
      <c r="AD1299" t="s">
        <v>406</v>
      </c>
      <c r="AE1299" t="s">
        <v>566</v>
      </c>
      <c r="AF1299">
        <v>24</v>
      </c>
      <c r="AG1299" s="122">
        <v>2744</v>
      </c>
      <c r="AH1299" s="122">
        <v>8176</v>
      </c>
      <c r="AI1299" s="122">
        <v>549998</v>
      </c>
      <c r="AJ1299" s="122">
        <v>499998</v>
      </c>
      <c r="AK1299">
        <v>78</v>
      </c>
      <c r="AL1299" s="122">
        <v>175337</v>
      </c>
      <c r="AM1299" s="122">
        <v>159397</v>
      </c>
      <c r="AN1299" s="122">
        <v>56493</v>
      </c>
      <c r="AO1299" s="122">
        <v>20923</v>
      </c>
      <c r="AP1299" s="122">
        <v>14877</v>
      </c>
      <c r="AQ1299" s="122">
        <v>5510</v>
      </c>
      <c r="AR1299" s="122">
        <v>146935</v>
      </c>
      <c r="AS1299" s="122">
        <v>133578</v>
      </c>
      <c r="AT1299">
        <v>0</v>
      </c>
      <c r="AU1299">
        <v>0</v>
      </c>
      <c r="AV1299" s="122">
        <v>819407</v>
      </c>
    </row>
    <row r="1300" spans="2:48" hidden="1">
      <c r="B1300" t="s">
        <v>372</v>
      </c>
      <c r="C1300" t="s">
        <v>48</v>
      </c>
      <c r="D1300" t="s">
        <v>407</v>
      </c>
      <c r="E1300" t="s">
        <v>137</v>
      </c>
      <c r="F1300" s="122">
        <v>2</v>
      </c>
      <c r="G1300" s="122">
        <v>207</v>
      </c>
      <c r="H1300" s="122">
        <v>113</v>
      </c>
      <c r="I1300" s="122">
        <v>2277</v>
      </c>
      <c r="J1300" s="122">
        <v>2070</v>
      </c>
      <c r="K1300" s="122">
        <v>91</v>
      </c>
      <c r="L1300" s="122">
        <v>293</v>
      </c>
      <c r="M1300" s="122">
        <v>267</v>
      </c>
      <c r="N1300" s="122">
        <v>2520</v>
      </c>
      <c r="O1300" s="122">
        <v>933</v>
      </c>
      <c r="P1300" s="122">
        <v>945</v>
      </c>
      <c r="Q1300" s="122">
        <v>350</v>
      </c>
      <c r="R1300" s="122">
        <v>5626</v>
      </c>
      <c r="S1300" s="122">
        <v>2084</v>
      </c>
      <c r="T1300" s="122">
        <v>0</v>
      </c>
      <c r="U1300" s="122">
        <v>0</v>
      </c>
      <c r="V1300" s="122">
        <v>5704</v>
      </c>
      <c r="W1300" s="122">
        <f t="shared" si="40"/>
        <v>5704</v>
      </c>
      <c r="X1300" s="122">
        <f t="shared" si="41"/>
        <v>11661</v>
      </c>
      <c r="AA1300" t="s">
        <v>60</v>
      </c>
      <c r="AB1300" t="s">
        <v>406</v>
      </c>
      <c r="AC1300" t="s">
        <v>407</v>
      </c>
      <c r="AD1300" t="s">
        <v>407</v>
      </c>
      <c r="AE1300" t="s">
        <v>566</v>
      </c>
      <c r="AF1300">
        <v>1</v>
      </c>
      <c r="AG1300">
        <v>133</v>
      </c>
      <c r="AH1300">
        <v>360</v>
      </c>
      <c r="AI1300" s="122">
        <v>31978</v>
      </c>
      <c r="AJ1300" s="122">
        <v>29071</v>
      </c>
      <c r="AK1300">
        <v>70</v>
      </c>
      <c r="AL1300" s="122">
        <v>5907</v>
      </c>
      <c r="AM1300" s="122">
        <v>5370</v>
      </c>
      <c r="AN1300" s="122">
        <v>2358</v>
      </c>
      <c r="AO1300">
        <v>873</v>
      </c>
      <c r="AP1300">
        <v>621</v>
      </c>
      <c r="AQ1300">
        <v>230</v>
      </c>
      <c r="AR1300" s="122">
        <v>6846</v>
      </c>
      <c r="AS1300" s="122">
        <v>6224</v>
      </c>
      <c r="AT1300">
        <v>0</v>
      </c>
      <c r="AU1300">
        <v>0</v>
      </c>
      <c r="AV1300" s="122">
        <v>41768</v>
      </c>
    </row>
    <row r="1301" spans="2:48" hidden="1">
      <c r="B1301" t="s">
        <v>372</v>
      </c>
      <c r="C1301" t="s">
        <v>48</v>
      </c>
      <c r="D1301" t="s">
        <v>407</v>
      </c>
      <c r="E1301" t="s">
        <v>407</v>
      </c>
      <c r="F1301" s="122">
        <v>59</v>
      </c>
      <c r="G1301" s="122">
        <v>7056</v>
      </c>
      <c r="H1301" s="122">
        <v>3634</v>
      </c>
      <c r="I1301" s="122">
        <v>157817</v>
      </c>
      <c r="J1301" s="122">
        <v>143470</v>
      </c>
      <c r="K1301" s="122">
        <v>91</v>
      </c>
      <c r="L1301" s="122">
        <v>22995</v>
      </c>
      <c r="M1301" s="122">
        <v>18332</v>
      </c>
      <c r="N1301" s="122">
        <v>85968</v>
      </c>
      <c r="O1301" s="122">
        <v>31840</v>
      </c>
      <c r="P1301" s="122">
        <v>29282</v>
      </c>
      <c r="Q1301" s="122">
        <v>10845</v>
      </c>
      <c r="R1301" s="122">
        <v>137092</v>
      </c>
      <c r="S1301" s="122">
        <v>124629</v>
      </c>
      <c r="T1301" s="122">
        <v>0</v>
      </c>
      <c r="U1301" s="122">
        <v>0</v>
      </c>
      <c r="V1301" s="122">
        <v>329116</v>
      </c>
      <c r="W1301" s="122">
        <f t="shared" si="40"/>
        <v>329116</v>
      </c>
      <c r="X1301" s="122">
        <f t="shared" si="41"/>
        <v>433154</v>
      </c>
      <c r="AA1301" t="s">
        <v>60</v>
      </c>
      <c r="AB1301" t="s">
        <v>406</v>
      </c>
      <c r="AC1301" t="s">
        <v>579</v>
      </c>
      <c r="AD1301" t="s">
        <v>425</v>
      </c>
      <c r="AE1301" t="s">
        <v>137</v>
      </c>
      <c r="AF1301">
        <v>2</v>
      </c>
      <c r="AG1301">
        <v>159</v>
      </c>
      <c r="AH1301">
        <v>663</v>
      </c>
      <c r="AI1301" s="122">
        <v>27021</v>
      </c>
      <c r="AJ1301" s="122">
        <v>24565</v>
      </c>
      <c r="AK1301">
        <v>65</v>
      </c>
      <c r="AL1301" s="122">
        <v>5759</v>
      </c>
      <c r="AM1301" s="122">
        <v>4799</v>
      </c>
      <c r="AN1301" s="122">
        <v>3226</v>
      </c>
      <c r="AO1301" s="122">
        <v>1195</v>
      </c>
      <c r="AP1301" s="122">
        <v>1593</v>
      </c>
      <c r="AQ1301">
        <v>590</v>
      </c>
      <c r="AR1301" s="122">
        <v>9853</v>
      </c>
      <c r="AS1301" s="122">
        <v>8958</v>
      </c>
      <c r="AT1301" s="122">
        <v>5384</v>
      </c>
      <c r="AU1301" s="122">
        <v>1994</v>
      </c>
      <c r="AV1301" s="122">
        <v>42100</v>
      </c>
    </row>
    <row r="1302" spans="2:48" hidden="1">
      <c r="B1302" t="s">
        <v>372</v>
      </c>
      <c r="C1302" t="s">
        <v>50</v>
      </c>
      <c r="D1302" t="s">
        <v>137</v>
      </c>
      <c r="E1302" t="s">
        <v>137</v>
      </c>
      <c r="F1302" s="122">
        <v>7</v>
      </c>
      <c r="G1302" s="122">
        <v>576</v>
      </c>
      <c r="H1302" s="122">
        <v>610</v>
      </c>
      <c r="I1302" s="122">
        <v>4098</v>
      </c>
      <c r="J1302" s="122">
        <v>1518</v>
      </c>
      <c r="K1302" s="122">
        <v>449</v>
      </c>
      <c r="L1302" s="122">
        <v>2418</v>
      </c>
      <c r="M1302" s="122">
        <v>2012</v>
      </c>
      <c r="N1302" s="122">
        <v>8616</v>
      </c>
      <c r="O1302" s="122">
        <v>3191</v>
      </c>
      <c r="P1302" s="122">
        <v>3861</v>
      </c>
      <c r="Q1302" s="122">
        <v>1430</v>
      </c>
      <c r="R1302" s="122">
        <v>31222</v>
      </c>
      <c r="S1302" s="122">
        <v>11564</v>
      </c>
      <c r="T1302" s="122">
        <v>0</v>
      </c>
      <c r="U1302" s="122">
        <v>0</v>
      </c>
      <c r="V1302" s="122">
        <v>19715</v>
      </c>
      <c r="W1302" s="122">
        <f t="shared" si="40"/>
        <v>19715</v>
      </c>
      <c r="X1302" s="122">
        <f t="shared" si="41"/>
        <v>50215</v>
      </c>
      <c r="AA1302" t="s">
        <v>60</v>
      </c>
      <c r="AB1302" t="s">
        <v>406</v>
      </c>
      <c r="AC1302" t="s">
        <v>579</v>
      </c>
      <c r="AD1302" t="s">
        <v>137</v>
      </c>
      <c r="AE1302" t="s">
        <v>137</v>
      </c>
      <c r="AF1302">
        <v>3</v>
      </c>
      <c r="AG1302">
        <v>417</v>
      </c>
      <c r="AH1302" s="122">
        <v>1045</v>
      </c>
      <c r="AI1302" s="122">
        <v>83893</v>
      </c>
      <c r="AJ1302" s="122">
        <v>76266</v>
      </c>
      <c r="AK1302">
        <v>79</v>
      </c>
      <c r="AL1302" s="122">
        <v>19333</v>
      </c>
      <c r="AM1302" s="122">
        <v>16111</v>
      </c>
      <c r="AN1302" s="122">
        <v>9569</v>
      </c>
      <c r="AO1302" s="122">
        <v>3544</v>
      </c>
      <c r="AP1302" s="122">
        <v>1863</v>
      </c>
      <c r="AQ1302">
        <v>690</v>
      </c>
      <c r="AR1302" s="122">
        <v>25548</v>
      </c>
      <c r="AS1302" s="122">
        <v>9462</v>
      </c>
      <c r="AT1302" s="122">
        <v>2493</v>
      </c>
      <c r="AU1302">
        <v>923</v>
      </c>
      <c r="AV1302" s="122">
        <v>106997</v>
      </c>
    </row>
    <row r="1303" spans="2:48" hidden="1">
      <c r="B1303" t="s">
        <v>372</v>
      </c>
      <c r="C1303" t="s">
        <v>50</v>
      </c>
      <c r="D1303" t="s">
        <v>406</v>
      </c>
      <c r="E1303" t="s">
        <v>137</v>
      </c>
      <c r="F1303" s="122">
        <v>1</v>
      </c>
      <c r="G1303" s="122">
        <v>221</v>
      </c>
      <c r="H1303" s="122">
        <v>96</v>
      </c>
      <c r="I1303" s="122">
        <v>9117</v>
      </c>
      <c r="J1303" s="122">
        <v>8288</v>
      </c>
      <c r="K1303" s="122">
        <v>95</v>
      </c>
      <c r="L1303" s="122">
        <v>1547</v>
      </c>
      <c r="M1303" s="122">
        <v>1289</v>
      </c>
      <c r="N1303" s="122">
        <v>2697</v>
      </c>
      <c r="O1303" s="122">
        <v>999</v>
      </c>
      <c r="P1303" s="122">
        <v>621</v>
      </c>
      <c r="Q1303" s="122">
        <v>230</v>
      </c>
      <c r="R1303" s="122">
        <v>7374</v>
      </c>
      <c r="S1303" s="122">
        <v>2731</v>
      </c>
      <c r="T1303" s="122">
        <v>0</v>
      </c>
      <c r="U1303" s="122">
        <v>0</v>
      </c>
      <c r="V1303" s="122">
        <v>13538</v>
      </c>
      <c r="W1303" s="122">
        <f t="shared" si="40"/>
        <v>13537</v>
      </c>
      <c r="X1303" s="122">
        <f t="shared" si="41"/>
        <v>21356</v>
      </c>
      <c r="AA1303" t="s">
        <v>60</v>
      </c>
      <c r="AB1303" t="s">
        <v>406</v>
      </c>
      <c r="AC1303" t="s">
        <v>579</v>
      </c>
      <c r="AD1303" t="s">
        <v>137</v>
      </c>
      <c r="AE1303" t="s">
        <v>566</v>
      </c>
      <c r="AF1303">
        <v>22</v>
      </c>
      <c r="AG1303" s="122">
        <v>1924</v>
      </c>
      <c r="AH1303" s="122">
        <v>7426</v>
      </c>
      <c r="AI1303" s="122">
        <v>356919</v>
      </c>
      <c r="AJ1303" s="122">
        <v>324472</v>
      </c>
      <c r="AK1303">
        <v>80</v>
      </c>
      <c r="AL1303" s="122">
        <v>100100</v>
      </c>
      <c r="AM1303" s="122">
        <v>83416</v>
      </c>
      <c r="AN1303" s="122">
        <v>36741</v>
      </c>
      <c r="AO1303" s="122">
        <v>13608</v>
      </c>
      <c r="AP1303" s="122">
        <v>13447</v>
      </c>
      <c r="AQ1303" s="122">
        <v>4980</v>
      </c>
      <c r="AR1303" s="122">
        <v>142767</v>
      </c>
      <c r="AS1303" s="122">
        <v>52877</v>
      </c>
      <c r="AT1303">
        <v>0</v>
      </c>
      <c r="AU1303">
        <v>0</v>
      </c>
      <c r="AV1303" s="122">
        <v>479353</v>
      </c>
    </row>
    <row r="1304" spans="2:48" hidden="1">
      <c r="B1304" t="s">
        <v>372</v>
      </c>
      <c r="C1304" t="s">
        <v>50</v>
      </c>
      <c r="D1304" t="s">
        <v>406</v>
      </c>
      <c r="E1304" t="s">
        <v>406</v>
      </c>
      <c r="F1304" s="122">
        <v>2</v>
      </c>
      <c r="G1304" s="122">
        <v>176</v>
      </c>
      <c r="H1304" s="122">
        <v>191</v>
      </c>
      <c r="I1304" s="122">
        <v>7269</v>
      </c>
      <c r="J1304" s="122">
        <v>6609</v>
      </c>
      <c r="K1304" s="122">
        <v>92</v>
      </c>
      <c r="L1304" s="122">
        <v>1179</v>
      </c>
      <c r="M1304" s="122">
        <v>1072</v>
      </c>
      <c r="N1304" s="122">
        <v>2149</v>
      </c>
      <c r="O1304" s="122">
        <v>796</v>
      </c>
      <c r="P1304" s="122">
        <v>1242</v>
      </c>
      <c r="Q1304" s="122">
        <v>460</v>
      </c>
      <c r="R1304" s="122">
        <v>5027</v>
      </c>
      <c r="S1304" s="122">
        <v>4570</v>
      </c>
      <c r="T1304" s="122">
        <v>0</v>
      </c>
      <c r="U1304" s="122">
        <v>0</v>
      </c>
      <c r="V1304" s="122">
        <v>13507</v>
      </c>
      <c r="W1304" s="122">
        <f t="shared" si="40"/>
        <v>13507</v>
      </c>
      <c r="X1304" s="122">
        <f t="shared" si="41"/>
        <v>16866</v>
      </c>
      <c r="AA1304" t="s">
        <v>60</v>
      </c>
      <c r="AB1304" t="s">
        <v>406</v>
      </c>
      <c r="AC1304" t="s">
        <v>579</v>
      </c>
      <c r="AD1304" t="s">
        <v>406</v>
      </c>
      <c r="AE1304" t="s">
        <v>137</v>
      </c>
      <c r="AF1304" s="122">
        <v>3118</v>
      </c>
      <c r="AG1304" s="122">
        <v>309921</v>
      </c>
      <c r="AH1304" s="122">
        <v>1057568</v>
      </c>
      <c r="AI1304" s="122">
        <v>61127260</v>
      </c>
      <c r="AJ1304" s="122">
        <v>55570236</v>
      </c>
      <c r="AK1304">
        <v>77</v>
      </c>
      <c r="AL1304" s="122">
        <v>15049399</v>
      </c>
      <c r="AM1304" s="122">
        <v>12541166</v>
      </c>
      <c r="AN1304" s="122">
        <v>6483480</v>
      </c>
      <c r="AO1304" s="122">
        <v>2401289</v>
      </c>
      <c r="AP1304" s="122">
        <v>1992579</v>
      </c>
      <c r="AQ1304" s="122">
        <v>737992</v>
      </c>
      <c r="AR1304" s="122">
        <v>13629119</v>
      </c>
      <c r="AS1304" s="122">
        <v>12390108</v>
      </c>
      <c r="AT1304" s="122">
        <v>7568974</v>
      </c>
      <c r="AU1304" s="122">
        <v>2803324</v>
      </c>
      <c r="AV1304" s="122">
        <v>86444115</v>
      </c>
    </row>
    <row r="1305" spans="2:48" hidden="1">
      <c r="B1305" t="s">
        <v>372</v>
      </c>
      <c r="C1305" t="s">
        <v>50</v>
      </c>
      <c r="D1305" t="s">
        <v>407</v>
      </c>
      <c r="E1305" t="s">
        <v>407</v>
      </c>
      <c r="F1305" s="122">
        <v>73</v>
      </c>
      <c r="G1305" s="122">
        <v>8049</v>
      </c>
      <c r="H1305" s="122">
        <v>6384</v>
      </c>
      <c r="I1305" s="122">
        <v>345458</v>
      </c>
      <c r="J1305" s="122">
        <v>314053</v>
      </c>
      <c r="K1305" s="122">
        <v>91</v>
      </c>
      <c r="L1305" s="122">
        <v>42264</v>
      </c>
      <c r="M1305" s="122">
        <v>38006</v>
      </c>
      <c r="N1305" s="122">
        <v>98069</v>
      </c>
      <c r="O1305" s="122">
        <v>36322</v>
      </c>
      <c r="P1305" s="122">
        <v>34358</v>
      </c>
      <c r="Q1305" s="122">
        <v>12725</v>
      </c>
      <c r="R1305" s="122">
        <v>180668</v>
      </c>
      <c r="S1305" s="122">
        <v>164244</v>
      </c>
      <c r="T1305" s="122">
        <v>0</v>
      </c>
      <c r="U1305" s="122">
        <v>0</v>
      </c>
      <c r="V1305" s="122">
        <v>565350</v>
      </c>
      <c r="W1305" s="122">
        <f t="shared" si="40"/>
        <v>565350</v>
      </c>
      <c r="X1305" s="122">
        <f t="shared" si="41"/>
        <v>700817</v>
      </c>
      <c r="AA1305" t="s">
        <v>60</v>
      </c>
      <c r="AB1305" t="s">
        <v>406</v>
      </c>
      <c r="AC1305" t="s">
        <v>579</v>
      </c>
      <c r="AD1305" t="s">
        <v>406</v>
      </c>
      <c r="AE1305" t="s">
        <v>566</v>
      </c>
      <c r="AF1305">
        <v>875</v>
      </c>
      <c r="AG1305" s="122">
        <v>89903</v>
      </c>
      <c r="AH1305" s="122">
        <v>295579</v>
      </c>
      <c r="AI1305" s="122">
        <v>18120369</v>
      </c>
      <c r="AJ1305" s="122">
        <v>16473062</v>
      </c>
      <c r="AK1305">
        <v>78</v>
      </c>
      <c r="AL1305" s="122">
        <v>4696320</v>
      </c>
      <c r="AM1305" s="122">
        <v>3913600</v>
      </c>
      <c r="AN1305" s="122">
        <v>1862324</v>
      </c>
      <c r="AO1305" s="122">
        <v>689750</v>
      </c>
      <c r="AP1305" s="122">
        <v>555844</v>
      </c>
      <c r="AQ1305" s="122">
        <v>205868</v>
      </c>
      <c r="AR1305" s="122">
        <v>5401062</v>
      </c>
      <c r="AS1305" s="122">
        <v>4910056</v>
      </c>
      <c r="AT1305">
        <v>0</v>
      </c>
      <c r="AU1305">
        <v>0</v>
      </c>
      <c r="AV1305" s="122">
        <v>26192336</v>
      </c>
    </row>
    <row r="1306" spans="2:48" hidden="1">
      <c r="B1306" t="s">
        <v>372</v>
      </c>
      <c r="C1306" t="s">
        <v>52</v>
      </c>
      <c r="F1306" s="122">
        <v>6</v>
      </c>
      <c r="G1306" s="122">
        <v>222</v>
      </c>
      <c r="H1306" s="122">
        <v>731</v>
      </c>
      <c r="I1306" s="122"/>
      <c r="J1306" s="122">
        <v>0</v>
      </c>
      <c r="K1306" s="122"/>
      <c r="L1306" s="122"/>
      <c r="M1306" s="122">
        <v>0</v>
      </c>
      <c r="N1306" s="122">
        <v>2702</v>
      </c>
      <c r="O1306" s="122">
        <v>1001</v>
      </c>
      <c r="P1306" s="122">
        <v>0</v>
      </c>
      <c r="Q1306" s="122">
        <v>0</v>
      </c>
      <c r="R1306" s="122"/>
      <c r="S1306" s="122">
        <v>0</v>
      </c>
      <c r="T1306" s="122">
        <v>0</v>
      </c>
      <c r="U1306" s="122">
        <v>0</v>
      </c>
      <c r="V1306" s="122">
        <v>1001</v>
      </c>
      <c r="W1306" s="122">
        <f t="shared" si="40"/>
        <v>1001</v>
      </c>
      <c r="X1306" s="122">
        <f t="shared" si="41"/>
        <v>2702</v>
      </c>
      <c r="AA1306" t="s">
        <v>60</v>
      </c>
      <c r="AB1306" t="s">
        <v>406</v>
      </c>
      <c r="AC1306" t="s">
        <v>579</v>
      </c>
      <c r="AD1306" t="s">
        <v>427</v>
      </c>
      <c r="AE1306" t="s">
        <v>137</v>
      </c>
      <c r="AF1306">
        <v>1</v>
      </c>
      <c r="AG1306">
        <v>105</v>
      </c>
      <c r="AH1306">
        <v>363</v>
      </c>
      <c r="AI1306" s="122">
        <v>23663</v>
      </c>
      <c r="AJ1306" s="122">
        <v>21512</v>
      </c>
      <c r="AK1306">
        <v>70</v>
      </c>
      <c r="AL1306" s="122">
        <v>2934</v>
      </c>
      <c r="AM1306" s="122">
        <v>2445</v>
      </c>
      <c r="AN1306" s="122">
        <v>2170</v>
      </c>
      <c r="AO1306">
        <v>804</v>
      </c>
      <c r="AP1306">
        <v>972</v>
      </c>
      <c r="AQ1306">
        <v>360</v>
      </c>
      <c r="AR1306" s="122">
        <v>5343</v>
      </c>
      <c r="AS1306" s="122">
        <v>4857</v>
      </c>
      <c r="AT1306" s="122">
        <v>3208</v>
      </c>
      <c r="AU1306" s="122">
        <v>1188</v>
      </c>
      <c r="AV1306" s="122">
        <v>31167</v>
      </c>
    </row>
    <row r="1307" spans="2:48" hidden="1">
      <c r="B1307" t="s">
        <v>372</v>
      </c>
      <c r="C1307" t="s">
        <v>52</v>
      </c>
      <c r="D1307" t="s">
        <v>405</v>
      </c>
      <c r="E1307" t="s">
        <v>405</v>
      </c>
      <c r="F1307" s="122">
        <v>4</v>
      </c>
      <c r="G1307" s="122">
        <v>385</v>
      </c>
      <c r="H1307" s="122">
        <v>440</v>
      </c>
      <c r="I1307" s="122">
        <v>16679</v>
      </c>
      <c r="J1307" s="122">
        <v>15163</v>
      </c>
      <c r="K1307" s="122">
        <v>92</v>
      </c>
      <c r="L1307" s="122">
        <v>4185</v>
      </c>
      <c r="M1307" s="122">
        <v>1550</v>
      </c>
      <c r="N1307" s="122">
        <v>4686</v>
      </c>
      <c r="O1307" s="122">
        <v>1736</v>
      </c>
      <c r="P1307" s="122">
        <v>4698</v>
      </c>
      <c r="Q1307" s="122">
        <v>1740</v>
      </c>
      <c r="R1307" s="122">
        <v>12096</v>
      </c>
      <c r="S1307" s="122">
        <v>10996</v>
      </c>
      <c r="T1307" s="122">
        <v>0</v>
      </c>
      <c r="U1307" s="122">
        <v>0</v>
      </c>
      <c r="V1307" s="122">
        <v>31185</v>
      </c>
      <c r="W1307" s="122">
        <f t="shared" si="40"/>
        <v>31185</v>
      </c>
      <c r="X1307" s="122">
        <f t="shared" si="41"/>
        <v>42344</v>
      </c>
      <c r="AA1307" t="s">
        <v>60</v>
      </c>
      <c r="AB1307" t="s">
        <v>406</v>
      </c>
      <c r="AC1307" t="s">
        <v>579</v>
      </c>
      <c r="AD1307" t="s">
        <v>407</v>
      </c>
      <c r="AE1307" t="s">
        <v>137</v>
      </c>
      <c r="AF1307">
        <v>2</v>
      </c>
      <c r="AG1307">
        <v>152</v>
      </c>
      <c r="AH1307">
        <v>667</v>
      </c>
      <c r="AI1307" s="122">
        <v>26666</v>
      </c>
      <c r="AJ1307" s="122">
        <v>24242</v>
      </c>
      <c r="AK1307">
        <v>70</v>
      </c>
      <c r="AL1307" s="122">
        <v>7165</v>
      </c>
      <c r="AM1307" s="122">
        <v>5971</v>
      </c>
      <c r="AN1307" s="122">
        <v>3334</v>
      </c>
      <c r="AO1307" s="122">
        <v>1235</v>
      </c>
      <c r="AP1307" s="122">
        <v>1242</v>
      </c>
      <c r="AQ1307">
        <v>460</v>
      </c>
      <c r="AR1307" s="122">
        <v>7962</v>
      </c>
      <c r="AS1307" s="122">
        <v>7238</v>
      </c>
      <c r="AT1307" s="122">
        <v>4227</v>
      </c>
      <c r="AU1307" s="122">
        <v>1566</v>
      </c>
      <c r="AV1307" s="122">
        <v>40711</v>
      </c>
    </row>
    <row r="1308" spans="2:48" hidden="1">
      <c r="B1308" t="s">
        <v>372</v>
      </c>
      <c r="C1308" t="s">
        <v>52</v>
      </c>
      <c r="D1308" t="s">
        <v>137</v>
      </c>
      <c r="E1308" t="s">
        <v>137</v>
      </c>
      <c r="F1308" s="122">
        <v>2</v>
      </c>
      <c r="G1308" s="122">
        <v>159</v>
      </c>
      <c r="H1308" s="122">
        <v>227</v>
      </c>
      <c r="I1308" s="122">
        <v>3475</v>
      </c>
      <c r="J1308" s="122">
        <v>1287</v>
      </c>
      <c r="K1308" s="122">
        <v>366</v>
      </c>
      <c r="L1308" s="122">
        <v>770</v>
      </c>
      <c r="M1308" s="122">
        <v>642</v>
      </c>
      <c r="N1308" s="122">
        <v>3462</v>
      </c>
      <c r="O1308" s="122">
        <v>1282</v>
      </c>
      <c r="P1308" s="122">
        <v>2106</v>
      </c>
      <c r="Q1308" s="122">
        <v>780</v>
      </c>
      <c r="R1308" s="122">
        <v>8234</v>
      </c>
      <c r="S1308" s="122">
        <v>3050</v>
      </c>
      <c r="T1308" s="122">
        <v>0</v>
      </c>
      <c r="U1308" s="122">
        <v>0</v>
      </c>
      <c r="V1308" s="122">
        <v>7041</v>
      </c>
      <c r="W1308" s="122">
        <f t="shared" si="40"/>
        <v>7041</v>
      </c>
      <c r="X1308" s="122">
        <f t="shared" si="41"/>
        <v>18047</v>
      </c>
      <c r="AA1308" t="s">
        <v>60</v>
      </c>
      <c r="AB1308" t="s">
        <v>406</v>
      </c>
      <c r="AC1308" t="s">
        <v>579</v>
      </c>
      <c r="AD1308" t="s">
        <v>579</v>
      </c>
      <c r="AE1308" t="s">
        <v>137</v>
      </c>
      <c r="AF1308">
        <v>2</v>
      </c>
      <c r="AG1308">
        <v>163</v>
      </c>
      <c r="AH1308">
        <v>662</v>
      </c>
      <c r="AI1308" s="122">
        <v>25819</v>
      </c>
      <c r="AJ1308" s="122">
        <v>23472</v>
      </c>
      <c r="AK1308">
        <v>68</v>
      </c>
      <c r="AL1308" s="122">
        <v>5469</v>
      </c>
      <c r="AM1308" s="122">
        <v>4557</v>
      </c>
      <c r="AN1308" s="122">
        <v>3780</v>
      </c>
      <c r="AO1308" s="122">
        <v>1400</v>
      </c>
      <c r="AP1308" s="122">
        <v>1242</v>
      </c>
      <c r="AQ1308">
        <v>460</v>
      </c>
      <c r="AR1308" s="122">
        <v>12372</v>
      </c>
      <c r="AS1308" s="122">
        <v>10310</v>
      </c>
      <c r="AT1308" s="122">
        <v>5446</v>
      </c>
      <c r="AU1308" s="122">
        <v>2017</v>
      </c>
      <c r="AV1308" s="122">
        <v>42216</v>
      </c>
    </row>
    <row r="1309" spans="2:48" hidden="1">
      <c r="B1309" t="s">
        <v>372</v>
      </c>
      <c r="C1309" t="s">
        <v>52</v>
      </c>
      <c r="D1309" t="s">
        <v>406</v>
      </c>
      <c r="E1309" t="s">
        <v>406</v>
      </c>
      <c r="F1309" s="122">
        <v>22</v>
      </c>
      <c r="G1309" s="122">
        <v>2888</v>
      </c>
      <c r="H1309" s="122">
        <v>2630</v>
      </c>
      <c r="I1309" s="122">
        <v>188777</v>
      </c>
      <c r="J1309" s="122">
        <v>171615</v>
      </c>
      <c r="K1309" s="122">
        <v>91</v>
      </c>
      <c r="L1309" s="122">
        <v>21060</v>
      </c>
      <c r="M1309" s="122">
        <v>19145</v>
      </c>
      <c r="N1309" s="122">
        <v>43648</v>
      </c>
      <c r="O1309" s="122">
        <v>16166</v>
      </c>
      <c r="P1309" s="122">
        <v>13743</v>
      </c>
      <c r="Q1309" s="122">
        <v>5090</v>
      </c>
      <c r="R1309" s="122">
        <v>91238</v>
      </c>
      <c r="S1309" s="122">
        <v>82944</v>
      </c>
      <c r="T1309" s="122">
        <v>3070</v>
      </c>
      <c r="U1309" s="122">
        <v>1137</v>
      </c>
      <c r="V1309" s="122">
        <v>296098</v>
      </c>
      <c r="W1309" s="122">
        <f t="shared" si="40"/>
        <v>296097</v>
      </c>
      <c r="X1309" s="122">
        <f t="shared" si="41"/>
        <v>361536</v>
      </c>
      <c r="AA1309" t="s">
        <v>60</v>
      </c>
      <c r="AB1309" t="s">
        <v>406</v>
      </c>
      <c r="AC1309" t="s">
        <v>428</v>
      </c>
      <c r="AD1309" t="s">
        <v>137</v>
      </c>
      <c r="AE1309" t="s">
        <v>566</v>
      </c>
      <c r="AF1309">
        <v>1</v>
      </c>
      <c r="AG1309">
        <v>57</v>
      </c>
      <c r="AH1309">
        <v>340</v>
      </c>
      <c r="AI1309" s="122">
        <v>11834</v>
      </c>
      <c r="AJ1309" s="122">
        <v>10758</v>
      </c>
      <c r="AK1309">
        <v>95</v>
      </c>
      <c r="AL1309" s="122">
        <v>2082</v>
      </c>
      <c r="AM1309" s="122">
        <v>1893</v>
      </c>
      <c r="AN1309">
        <v>698</v>
      </c>
      <c r="AO1309">
        <v>259</v>
      </c>
      <c r="AP1309">
        <v>621</v>
      </c>
      <c r="AQ1309">
        <v>230</v>
      </c>
      <c r="AR1309" s="122">
        <v>4261</v>
      </c>
      <c r="AS1309" s="122">
        <v>1578</v>
      </c>
      <c r="AT1309">
        <v>0</v>
      </c>
      <c r="AU1309">
        <v>0</v>
      </c>
      <c r="AV1309" s="122">
        <v>14717</v>
      </c>
    </row>
    <row r="1310" spans="2:48" hidden="1">
      <c r="B1310" t="s">
        <v>372</v>
      </c>
      <c r="C1310" t="s">
        <v>52</v>
      </c>
      <c r="D1310" t="s">
        <v>407</v>
      </c>
      <c r="E1310" t="s">
        <v>407</v>
      </c>
      <c r="F1310" s="122">
        <v>86</v>
      </c>
      <c r="G1310" s="122">
        <v>11155</v>
      </c>
      <c r="H1310" s="122">
        <v>10169</v>
      </c>
      <c r="I1310" s="122">
        <v>599120</v>
      </c>
      <c r="J1310" s="122">
        <v>544654</v>
      </c>
      <c r="K1310" s="122">
        <v>90</v>
      </c>
      <c r="L1310" s="122">
        <v>104508</v>
      </c>
      <c r="M1310" s="122">
        <v>93464</v>
      </c>
      <c r="N1310" s="122">
        <v>212665</v>
      </c>
      <c r="O1310" s="122">
        <v>78765</v>
      </c>
      <c r="P1310" s="122">
        <v>53908</v>
      </c>
      <c r="Q1310" s="122">
        <v>19966</v>
      </c>
      <c r="R1310" s="122">
        <v>367380</v>
      </c>
      <c r="S1310" s="122">
        <v>333982</v>
      </c>
      <c r="T1310" s="122">
        <v>2612</v>
      </c>
      <c r="U1310" s="122">
        <v>967</v>
      </c>
      <c r="V1310" s="122">
        <v>1071799</v>
      </c>
      <c r="W1310" s="122">
        <f t="shared" si="40"/>
        <v>1071798</v>
      </c>
      <c r="X1310" s="122">
        <f t="shared" si="41"/>
        <v>1340193</v>
      </c>
      <c r="AA1310" t="s">
        <v>60</v>
      </c>
      <c r="AB1310" t="s">
        <v>406</v>
      </c>
      <c r="AC1310" t="s">
        <v>428</v>
      </c>
      <c r="AD1310" t="s">
        <v>406</v>
      </c>
      <c r="AE1310" t="s">
        <v>137</v>
      </c>
      <c r="AF1310">
        <v>85</v>
      </c>
      <c r="AG1310" s="122">
        <v>8311</v>
      </c>
      <c r="AH1310" s="122">
        <v>29001</v>
      </c>
      <c r="AI1310" s="122">
        <v>1667296</v>
      </c>
      <c r="AJ1310" s="122">
        <v>1515724</v>
      </c>
      <c r="AK1310">
        <v>75</v>
      </c>
      <c r="AL1310" s="122">
        <v>360158</v>
      </c>
      <c r="AM1310" s="122">
        <v>327416</v>
      </c>
      <c r="AN1310" s="122">
        <v>173300</v>
      </c>
      <c r="AO1310" s="122">
        <v>64185</v>
      </c>
      <c r="AP1310" s="122">
        <v>50247</v>
      </c>
      <c r="AQ1310" s="122">
        <v>18610</v>
      </c>
      <c r="AR1310" s="122">
        <v>396999</v>
      </c>
      <c r="AS1310" s="122">
        <v>360908</v>
      </c>
      <c r="AT1310" s="122">
        <v>226077</v>
      </c>
      <c r="AU1310" s="122">
        <v>83732</v>
      </c>
      <c r="AV1310" s="122">
        <v>2370576</v>
      </c>
    </row>
    <row r="1311" spans="2:48" hidden="1">
      <c r="B1311" t="s">
        <v>372</v>
      </c>
      <c r="C1311" t="s">
        <v>54</v>
      </c>
      <c r="F1311" s="122">
        <v>8</v>
      </c>
      <c r="G1311" s="122">
        <v>286</v>
      </c>
      <c r="H1311" s="122">
        <v>1067</v>
      </c>
      <c r="I1311" s="122"/>
      <c r="J1311" s="122">
        <v>0</v>
      </c>
      <c r="K1311" s="122"/>
      <c r="L1311" s="122"/>
      <c r="M1311" s="122">
        <v>0</v>
      </c>
      <c r="N1311" s="122">
        <v>3484</v>
      </c>
      <c r="O1311" s="122">
        <v>1290</v>
      </c>
      <c r="P1311" s="122">
        <v>0</v>
      </c>
      <c r="Q1311" s="122">
        <v>0</v>
      </c>
      <c r="R1311" s="122"/>
      <c r="S1311" s="122">
        <v>0</v>
      </c>
      <c r="T1311" s="122">
        <v>0</v>
      </c>
      <c r="U1311" s="122">
        <v>0</v>
      </c>
      <c r="V1311" s="122">
        <v>1290</v>
      </c>
      <c r="W1311" s="122">
        <f t="shared" si="40"/>
        <v>1290</v>
      </c>
      <c r="X1311" s="122">
        <f t="shared" si="41"/>
        <v>3484</v>
      </c>
      <c r="AA1311" t="s">
        <v>60</v>
      </c>
      <c r="AB1311" t="s">
        <v>406</v>
      </c>
      <c r="AC1311" t="s">
        <v>428</v>
      </c>
      <c r="AD1311" t="s">
        <v>406</v>
      </c>
      <c r="AE1311" t="s">
        <v>566</v>
      </c>
      <c r="AF1311">
        <v>35</v>
      </c>
      <c r="AG1311" s="122">
        <v>3227</v>
      </c>
      <c r="AH1311" s="122">
        <v>12049</v>
      </c>
      <c r="AI1311" s="122">
        <v>661586</v>
      </c>
      <c r="AJ1311" s="122">
        <v>601442</v>
      </c>
      <c r="AK1311">
        <v>75</v>
      </c>
      <c r="AL1311" s="122">
        <v>151696</v>
      </c>
      <c r="AM1311" s="122">
        <v>137905</v>
      </c>
      <c r="AN1311" s="122">
        <v>65245</v>
      </c>
      <c r="AO1311" s="122">
        <v>24165</v>
      </c>
      <c r="AP1311" s="122">
        <v>22208</v>
      </c>
      <c r="AQ1311" s="122">
        <v>8225</v>
      </c>
      <c r="AR1311" s="122">
        <v>209200</v>
      </c>
      <c r="AS1311" s="122">
        <v>190182</v>
      </c>
      <c r="AT1311">
        <v>0</v>
      </c>
      <c r="AU1311">
        <v>0</v>
      </c>
      <c r="AV1311" s="122">
        <v>961919</v>
      </c>
    </row>
    <row r="1312" spans="2:48" hidden="1">
      <c r="B1312" t="s">
        <v>372</v>
      </c>
      <c r="C1312" t="s">
        <v>54</v>
      </c>
      <c r="D1312" t="s">
        <v>405</v>
      </c>
      <c r="E1312" t="s">
        <v>405</v>
      </c>
      <c r="F1312" s="122">
        <v>7</v>
      </c>
      <c r="G1312" s="122">
        <v>830</v>
      </c>
      <c r="H1312" s="122">
        <v>1004</v>
      </c>
      <c r="I1312" s="122">
        <v>54081</v>
      </c>
      <c r="J1312" s="122">
        <v>49165</v>
      </c>
      <c r="K1312" s="122">
        <v>91</v>
      </c>
      <c r="L1312" s="122">
        <v>12206</v>
      </c>
      <c r="M1312" s="122">
        <v>10956</v>
      </c>
      <c r="N1312" s="122">
        <v>14572</v>
      </c>
      <c r="O1312" s="122">
        <v>5397</v>
      </c>
      <c r="P1312" s="122">
        <v>3308</v>
      </c>
      <c r="Q1312" s="122">
        <v>1225</v>
      </c>
      <c r="R1312" s="122">
        <v>34541</v>
      </c>
      <c r="S1312" s="122">
        <v>31401</v>
      </c>
      <c r="T1312" s="122">
        <v>0</v>
      </c>
      <c r="U1312" s="122">
        <v>0</v>
      </c>
      <c r="V1312" s="122">
        <v>98144</v>
      </c>
      <c r="W1312" s="122">
        <f t="shared" si="40"/>
        <v>98144</v>
      </c>
      <c r="X1312" s="122">
        <f t="shared" si="41"/>
        <v>118708</v>
      </c>
      <c r="AA1312" t="s">
        <v>60</v>
      </c>
      <c r="AB1312" t="s">
        <v>406</v>
      </c>
      <c r="AC1312" t="s">
        <v>431</v>
      </c>
      <c r="AD1312" t="s">
        <v>406</v>
      </c>
      <c r="AE1312" t="s">
        <v>137</v>
      </c>
      <c r="AF1312">
        <v>31</v>
      </c>
      <c r="AG1312" s="122">
        <v>2961</v>
      </c>
      <c r="AH1312" s="122">
        <v>10474</v>
      </c>
      <c r="AI1312" s="122">
        <v>593676</v>
      </c>
      <c r="AJ1312" s="122">
        <v>539705</v>
      </c>
      <c r="AK1312">
        <v>77</v>
      </c>
      <c r="AL1312" s="122">
        <v>128398</v>
      </c>
      <c r="AM1312" s="122">
        <v>116725</v>
      </c>
      <c r="AN1312" s="122">
        <v>62199</v>
      </c>
      <c r="AO1312" s="122">
        <v>23037</v>
      </c>
      <c r="AP1312" s="122">
        <v>19602</v>
      </c>
      <c r="AQ1312" s="122">
        <v>7260</v>
      </c>
      <c r="AR1312" s="122">
        <v>132359</v>
      </c>
      <c r="AS1312" s="122">
        <v>120326</v>
      </c>
      <c r="AT1312" s="122">
        <v>73382</v>
      </c>
      <c r="AU1312" s="122">
        <v>27179</v>
      </c>
      <c r="AV1312" s="122">
        <v>834232</v>
      </c>
    </row>
    <row r="1313" spans="2:48" hidden="1">
      <c r="B1313" t="s">
        <v>372</v>
      </c>
      <c r="C1313" t="s">
        <v>54</v>
      </c>
      <c r="D1313" t="s">
        <v>406</v>
      </c>
      <c r="E1313" t="s">
        <v>406</v>
      </c>
      <c r="F1313" s="122">
        <v>134</v>
      </c>
      <c r="G1313" s="122">
        <v>15007</v>
      </c>
      <c r="H1313" s="122">
        <v>18846</v>
      </c>
      <c r="I1313" s="122">
        <v>997511</v>
      </c>
      <c r="J1313" s="122">
        <v>906828</v>
      </c>
      <c r="K1313" s="122">
        <v>90</v>
      </c>
      <c r="L1313" s="122">
        <v>187614</v>
      </c>
      <c r="M1313" s="122">
        <v>167115</v>
      </c>
      <c r="N1313" s="122">
        <v>251236</v>
      </c>
      <c r="O1313" s="122">
        <v>93050</v>
      </c>
      <c r="P1313" s="122">
        <v>86454</v>
      </c>
      <c r="Q1313" s="122">
        <v>32020</v>
      </c>
      <c r="R1313" s="122">
        <v>591053</v>
      </c>
      <c r="S1313" s="122">
        <v>537321</v>
      </c>
      <c r="T1313" s="122">
        <v>20751</v>
      </c>
      <c r="U1313" s="122">
        <v>7686</v>
      </c>
      <c r="V1313" s="122">
        <v>1744020</v>
      </c>
      <c r="W1313" s="122">
        <f t="shared" si="40"/>
        <v>1744020</v>
      </c>
      <c r="X1313" s="122">
        <f t="shared" si="41"/>
        <v>2134619</v>
      </c>
      <c r="AA1313" t="s">
        <v>60</v>
      </c>
      <c r="AB1313" t="s">
        <v>406</v>
      </c>
      <c r="AC1313" t="s">
        <v>431</v>
      </c>
      <c r="AD1313" t="s">
        <v>406</v>
      </c>
      <c r="AE1313" t="s">
        <v>566</v>
      </c>
      <c r="AF1313">
        <v>19</v>
      </c>
      <c r="AG1313" s="122">
        <v>1661</v>
      </c>
      <c r="AH1313" s="122">
        <v>6409</v>
      </c>
      <c r="AI1313" s="122">
        <v>344227</v>
      </c>
      <c r="AJ1313" s="122">
        <v>312934</v>
      </c>
      <c r="AK1313">
        <v>81</v>
      </c>
      <c r="AL1313" s="122">
        <v>73781</v>
      </c>
      <c r="AM1313" s="122">
        <v>67074</v>
      </c>
      <c r="AN1313" s="122">
        <v>34044</v>
      </c>
      <c r="AO1313" s="122">
        <v>12609</v>
      </c>
      <c r="AP1313" s="122">
        <v>11961</v>
      </c>
      <c r="AQ1313" s="122">
        <v>4430</v>
      </c>
      <c r="AR1313" s="122">
        <v>98053</v>
      </c>
      <c r="AS1313" s="122">
        <v>89139</v>
      </c>
      <c r="AT1313">
        <v>0</v>
      </c>
      <c r="AU1313">
        <v>0</v>
      </c>
      <c r="AV1313" s="122">
        <v>486186</v>
      </c>
    </row>
    <row r="1314" spans="2:48" hidden="1">
      <c r="B1314" t="s">
        <v>372</v>
      </c>
      <c r="C1314" t="s">
        <v>54</v>
      </c>
      <c r="D1314" t="s">
        <v>407</v>
      </c>
      <c r="E1314" t="s">
        <v>407</v>
      </c>
      <c r="F1314" s="122">
        <v>445</v>
      </c>
      <c r="G1314" s="122">
        <v>50584</v>
      </c>
      <c r="H1314" s="122">
        <v>62586</v>
      </c>
      <c r="I1314" s="122">
        <v>3197927</v>
      </c>
      <c r="J1314" s="122">
        <v>2907206</v>
      </c>
      <c r="K1314" s="122">
        <v>88</v>
      </c>
      <c r="L1314" s="122">
        <v>616565</v>
      </c>
      <c r="M1314" s="122">
        <v>537740</v>
      </c>
      <c r="N1314" s="122">
        <v>1027239</v>
      </c>
      <c r="O1314" s="122">
        <v>380459</v>
      </c>
      <c r="P1314" s="122">
        <v>230972</v>
      </c>
      <c r="Q1314" s="122">
        <v>85545</v>
      </c>
      <c r="R1314" s="122">
        <v>2048783</v>
      </c>
      <c r="S1314" s="122">
        <v>1862530</v>
      </c>
      <c r="T1314" s="122">
        <v>32386</v>
      </c>
      <c r="U1314" s="122">
        <v>11995</v>
      </c>
      <c r="V1314" s="122">
        <v>5785475</v>
      </c>
      <c r="W1314" s="122">
        <f t="shared" si="40"/>
        <v>5785475</v>
      </c>
      <c r="X1314" s="122">
        <f t="shared" si="41"/>
        <v>7153872</v>
      </c>
      <c r="AA1314" t="s">
        <v>60</v>
      </c>
      <c r="AB1314" t="s">
        <v>406</v>
      </c>
      <c r="AC1314" t="s">
        <v>431</v>
      </c>
      <c r="AD1314" t="s">
        <v>431</v>
      </c>
      <c r="AE1314" t="s">
        <v>566</v>
      </c>
      <c r="AF1314">
        <v>1</v>
      </c>
      <c r="AG1314">
        <v>68</v>
      </c>
      <c r="AH1314">
        <v>337</v>
      </c>
      <c r="AI1314" s="122">
        <v>23108</v>
      </c>
      <c r="AJ1314" s="122">
        <v>21008</v>
      </c>
      <c r="AK1314">
        <v>81</v>
      </c>
      <c r="AL1314" s="122">
        <v>3057</v>
      </c>
      <c r="AM1314" s="122">
        <v>2779</v>
      </c>
      <c r="AN1314" s="122">
        <v>2213</v>
      </c>
      <c r="AO1314">
        <v>820</v>
      </c>
      <c r="AP1314">
        <v>621</v>
      </c>
      <c r="AQ1314">
        <v>230</v>
      </c>
      <c r="AR1314" s="122">
        <v>4450</v>
      </c>
      <c r="AS1314" s="122">
        <v>4045</v>
      </c>
      <c r="AT1314">
        <v>0</v>
      </c>
      <c r="AU1314">
        <v>0</v>
      </c>
      <c r="AV1314" s="122">
        <v>28882</v>
      </c>
    </row>
    <row r="1315" spans="2:48" hidden="1">
      <c r="B1315" t="s">
        <v>372</v>
      </c>
      <c r="C1315" t="s">
        <v>56</v>
      </c>
      <c r="D1315" t="s">
        <v>405</v>
      </c>
      <c r="E1315" t="s">
        <v>405</v>
      </c>
      <c r="F1315" s="122">
        <v>15</v>
      </c>
      <c r="G1315" s="122">
        <v>1415</v>
      </c>
      <c r="H1315" s="122">
        <v>2775</v>
      </c>
      <c r="I1315" s="122">
        <v>121134</v>
      </c>
      <c r="J1315" s="122">
        <v>110122</v>
      </c>
      <c r="K1315" s="122">
        <v>84</v>
      </c>
      <c r="L1315" s="122">
        <v>39372</v>
      </c>
      <c r="M1315" s="122">
        <v>35566</v>
      </c>
      <c r="N1315" s="122">
        <v>25266</v>
      </c>
      <c r="O1315" s="122">
        <v>9358</v>
      </c>
      <c r="P1315" s="122">
        <v>9545</v>
      </c>
      <c r="Q1315" s="122">
        <v>3535</v>
      </c>
      <c r="R1315" s="122">
        <v>62127</v>
      </c>
      <c r="S1315" s="122">
        <v>56479</v>
      </c>
      <c r="T1315" s="122">
        <v>4523</v>
      </c>
      <c r="U1315" s="122">
        <v>1675</v>
      </c>
      <c r="V1315" s="122">
        <v>216735</v>
      </c>
      <c r="W1315" s="122">
        <f t="shared" si="40"/>
        <v>216735</v>
      </c>
      <c r="X1315" s="122">
        <f t="shared" si="41"/>
        <v>261967</v>
      </c>
      <c r="AA1315" t="s">
        <v>60</v>
      </c>
      <c r="AB1315" t="s">
        <v>406</v>
      </c>
      <c r="AC1315" t="s">
        <v>426</v>
      </c>
      <c r="AD1315" t="s">
        <v>578</v>
      </c>
      <c r="AE1315" t="s">
        <v>566</v>
      </c>
      <c r="AF1315">
        <v>1</v>
      </c>
      <c r="AG1315">
        <v>100</v>
      </c>
      <c r="AH1315">
        <v>373</v>
      </c>
      <c r="AI1315" s="122">
        <v>22500</v>
      </c>
      <c r="AJ1315" s="122">
        <v>20455</v>
      </c>
      <c r="AK1315">
        <v>70</v>
      </c>
      <c r="AL1315" s="122">
        <v>5542</v>
      </c>
      <c r="AM1315" s="122">
        <v>5038</v>
      </c>
      <c r="AN1315" s="122">
        <v>2448</v>
      </c>
      <c r="AO1315">
        <v>907</v>
      </c>
      <c r="AP1315">
        <v>621</v>
      </c>
      <c r="AQ1315">
        <v>230</v>
      </c>
      <c r="AR1315" s="122">
        <v>6370</v>
      </c>
      <c r="AS1315" s="122">
        <v>5791</v>
      </c>
      <c r="AT1315">
        <v>0</v>
      </c>
      <c r="AU1315">
        <v>0</v>
      </c>
      <c r="AV1315" s="122">
        <v>32421</v>
      </c>
    </row>
    <row r="1316" spans="2:48" hidden="1">
      <c r="B1316" t="s">
        <v>372</v>
      </c>
      <c r="C1316" t="s">
        <v>56</v>
      </c>
      <c r="D1316" t="s">
        <v>137</v>
      </c>
      <c r="E1316" t="s">
        <v>137</v>
      </c>
      <c r="F1316" s="122">
        <v>19</v>
      </c>
      <c r="G1316" s="122">
        <v>1804</v>
      </c>
      <c r="H1316" s="122">
        <v>3929</v>
      </c>
      <c r="I1316" s="122">
        <v>180294</v>
      </c>
      <c r="J1316" s="122">
        <v>66776</v>
      </c>
      <c r="K1316" s="122">
        <v>129</v>
      </c>
      <c r="L1316" s="122">
        <v>31269</v>
      </c>
      <c r="M1316" s="122">
        <v>23717</v>
      </c>
      <c r="N1316" s="122">
        <v>31577</v>
      </c>
      <c r="O1316" s="122">
        <v>11695</v>
      </c>
      <c r="P1316" s="122">
        <v>2228</v>
      </c>
      <c r="Q1316" s="122">
        <v>825</v>
      </c>
      <c r="R1316" s="122">
        <v>137465</v>
      </c>
      <c r="S1316" s="122">
        <v>50913</v>
      </c>
      <c r="T1316" s="122">
        <v>0</v>
      </c>
      <c r="U1316" s="122">
        <v>0</v>
      </c>
      <c r="V1316" s="122">
        <v>153925</v>
      </c>
      <c r="W1316" s="122">
        <f t="shared" si="40"/>
        <v>153926</v>
      </c>
      <c r="X1316" s="122">
        <f t="shared" si="41"/>
        <v>382833</v>
      </c>
      <c r="AA1316" t="s">
        <v>60</v>
      </c>
      <c r="AB1316" t="s">
        <v>406</v>
      </c>
      <c r="AC1316" t="s">
        <v>426</v>
      </c>
      <c r="AD1316" t="s">
        <v>425</v>
      </c>
      <c r="AE1316" t="s">
        <v>137</v>
      </c>
      <c r="AF1316">
        <v>5</v>
      </c>
      <c r="AG1316">
        <v>446</v>
      </c>
      <c r="AH1316" s="122">
        <v>1643</v>
      </c>
      <c r="AI1316" s="122">
        <v>84630</v>
      </c>
      <c r="AJ1316" s="122">
        <v>76936</v>
      </c>
      <c r="AK1316">
        <v>71</v>
      </c>
      <c r="AL1316" s="122">
        <v>17357</v>
      </c>
      <c r="AM1316" s="122">
        <v>15779</v>
      </c>
      <c r="AN1316" s="122">
        <v>9410</v>
      </c>
      <c r="AO1316" s="122">
        <v>3485</v>
      </c>
      <c r="AP1316" s="122">
        <v>3456</v>
      </c>
      <c r="AQ1316" s="122">
        <v>1280</v>
      </c>
      <c r="AR1316" s="122">
        <v>21202</v>
      </c>
      <c r="AS1316" s="122">
        <v>19275</v>
      </c>
      <c r="AT1316" s="122">
        <v>11603</v>
      </c>
      <c r="AU1316" s="122">
        <v>4298</v>
      </c>
      <c r="AV1316" s="122">
        <v>121053</v>
      </c>
    </row>
    <row r="1317" spans="2:48" hidden="1">
      <c r="B1317" t="s">
        <v>372</v>
      </c>
      <c r="C1317" t="s">
        <v>56</v>
      </c>
      <c r="D1317" t="s">
        <v>137</v>
      </c>
      <c r="E1317" t="s">
        <v>407</v>
      </c>
      <c r="F1317" s="122">
        <v>1</v>
      </c>
      <c r="G1317" s="122">
        <v>73</v>
      </c>
      <c r="H1317" s="122">
        <v>198</v>
      </c>
      <c r="I1317" s="122">
        <v>7803</v>
      </c>
      <c r="J1317" s="122">
        <v>2890</v>
      </c>
      <c r="K1317" s="122">
        <v>100</v>
      </c>
      <c r="L1317" s="122">
        <v>0</v>
      </c>
      <c r="M1317" s="122">
        <v>0</v>
      </c>
      <c r="N1317" s="122">
        <v>1786</v>
      </c>
      <c r="O1317" s="122">
        <v>662</v>
      </c>
      <c r="P1317" s="122">
        <v>351</v>
      </c>
      <c r="Q1317" s="122">
        <v>130</v>
      </c>
      <c r="R1317" s="122">
        <v>4544</v>
      </c>
      <c r="S1317" s="122">
        <v>4131</v>
      </c>
      <c r="T1317" s="122">
        <v>0</v>
      </c>
      <c r="U1317" s="122">
        <v>0</v>
      </c>
      <c r="V1317" s="122">
        <v>7813</v>
      </c>
      <c r="W1317" s="122">
        <f t="shared" si="40"/>
        <v>7813</v>
      </c>
      <c r="X1317" s="122">
        <f t="shared" si="41"/>
        <v>14484</v>
      </c>
      <c r="AA1317" t="s">
        <v>60</v>
      </c>
      <c r="AB1317" t="s">
        <v>406</v>
      </c>
      <c r="AC1317" t="s">
        <v>426</v>
      </c>
      <c r="AD1317" t="s">
        <v>137</v>
      </c>
      <c r="AE1317" t="s">
        <v>137</v>
      </c>
      <c r="AF1317">
        <v>6</v>
      </c>
      <c r="AG1317">
        <v>450</v>
      </c>
      <c r="AH1317" s="122">
        <v>2082</v>
      </c>
      <c r="AI1317" s="122">
        <v>80512</v>
      </c>
      <c r="AJ1317" s="122">
        <v>73192</v>
      </c>
      <c r="AK1317">
        <v>78</v>
      </c>
      <c r="AL1317" s="122">
        <v>16962</v>
      </c>
      <c r="AM1317" s="122">
        <v>15420</v>
      </c>
      <c r="AN1317" s="122">
        <v>8629</v>
      </c>
      <c r="AO1317" s="122">
        <v>3196</v>
      </c>
      <c r="AP1317" s="122">
        <v>3726</v>
      </c>
      <c r="AQ1317" s="122">
        <v>1380</v>
      </c>
      <c r="AR1317" s="122">
        <v>44001</v>
      </c>
      <c r="AS1317" s="122">
        <v>16297</v>
      </c>
      <c r="AT1317" s="122">
        <v>1635</v>
      </c>
      <c r="AU1317">
        <v>606</v>
      </c>
      <c r="AV1317" s="122">
        <v>110091</v>
      </c>
    </row>
    <row r="1318" spans="2:48" hidden="1">
      <c r="B1318" t="s">
        <v>372</v>
      </c>
      <c r="C1318" t="s">
        <v>56</v>
      </c>
      <c r="D1318" t="s">
        <v>406</v>
      </c>
      <c r="E1318" t="s">
        <v>405</v>
      </c>
      <c r="F1318" s="122">
        <v>1</v>
      </c>
      <c r="G1318" s="122">
        <v>85</v>
      </c>
      <c r="H1318" s="122">
        <v>182</v>
      </c>
      <c r="I1318" s="122">
        <v>6286</v>
      </c>
      <c r="J1318" s="122">
        <v>5714</v>
      </c>
      <c r="K1318" s="122">
        <v>83</v>
      </c>
      <c r="L1318" s="122">
        <v>848</v>
      </c>
      <c r="M1318" s="122">
        <v>771</v>
      </c>
      <c r="N1318" s="122">
        <v>1957</v>
      </c>
      <c r="O1318" s="122">
        <v>725</v>
      </c>
      <c r="P1318" s="122">
        <v>972</v>
      </c>
      <c r="Q1318" s="122">
        <v>360</v>
      </c>
      <c r="R1318" s="122">
        <v>5400</v>
      </c>
      <c r="S1318" s="122">
        <v>4910</v>
      </c>
      <c r="T1318" s="122">
        <v>0</v>
      </c>
      <c r="U1318" s="122">
        <v>0</v>
      </c>
      <c r="V1318" s="122">
        <v>12479</v>
      </c>
      <c r="W1318" s="122">
        <f t="shared" si="40"/>
        <v>12480</v>
      </c>
      <c r="X1318" s="122">
        <f t="shared" si="41"/>
        <v>15463</v>
      </c>
      <c r="AA1318" t="s">
        <v>60</v>
      </c>
      <c r="AB1318" t="s">
        <v>406</v>
      </c>
      <c r="AC1318" t="s">
        <v>426</v>
      </c>
      <c r="AD1318" t="s">
        <v>137</v>
      </c>
      <c r="AE1318" t="s">
        <v>566</v>
      </c>
      <c r="AF1318">
        <v>38</v>
      </c>
      <c r="AG1318" s="122">
        <v>4133</v>
      </c>
      <c r="AH1318" s="122">
        <v>13058</v>
      </c>
      <c r="AI1318" s="122">
        <v>868950</v>
      </c>
      <c r="AJ1318" s="122">
        <v>789955</v>
      </c>
      <c r="AK1318">
        <v>81</v>
      </c>
      <c r="AL1318" s="122">
        <v>217632</v>
      </c>
      <c r="AM1318" s="122">
        <v>197848</v>
      </c>
      <c r="AN1318" s="122">
        <v>89699</v>
      </c>
      <c r="AO1318" s="122">
        <v>33222</v>
      </c>
      <c r="AP1318" s="122">
        <v>23598</v>
      </c>
      <c r="AQ1318" s="122">
        <v>8740</v>
      </c>
      <c r="AR1318" s="122">
        <v>266178</v>
      </c>
      <c r="AS1318" s="122">
        <v>98585</v>
      </c>
      <c r="AT1318">
        <v>0</v>
      </c>
      <c r="AU1318">
        <v>0</v>
      </c>
      <c r="AV1318" s="122">
        <v>1128349</v>
      </c>
    </row>
    <row r="1319" spans="2:48" hidden="1">
      <c r="B1319" t="s">
        <v>372</v>
      </c>
      <c r="C1319" t="s">
        <v>56</v>
      </c>
      <c r="D1319" t="s">
        <v>406</v>
      </c>
      <c r="E1319" t="s">
        <v>137</v>
      </c>
      <c r="F1319" s="122">
        <v>2</v>
      </c>
      <c r="G1319" s="122">
        <v>219</v>
      </c>
      <c r="H1319" s="122">
        <v>439</v>
      </c>
      <c r="I1319" s="122">
        <v>23376</v>
      </c>
      <c r="J1319" s="122">
        <v>21251</v>
      </c>
      <c r="K1319" s="122">
        <v>90</v>
      </c>
      <c r="L1319" s="122">
        <v>5213</v>
      </c>
      <c r="M1319" s="122">
        <v>4523</v>
      </c>
      <c r="N1319" s="122">
        <v>3678</v>
      </c>
      <c r="O1319" s="122">
        <v>1362</v>
      </c>
      <c r="P1319" s="122">
        <v>1242</v>
      </c>
      <c r="Q1319" s="122">
        <v>460</v>
      </c>
      <c r="R1319" s="122">
        <v>12306</v>
      </c>
      <c r="S1319" s="122">
        <v>4558</v>
      </c>
      <c r="T1319" s="122">
        <v>2339</v>
      </c>
      <c r="U1319" s="122">
        <v>866</v>
      </c>
      <c r="V1319" s="122">
        <v>33020</v>
      </c>
      <c r="W1319" s="122">
        <f t="shared" si="40"/>
        <v>33020</v>
      </c>
      <c r="X1319" s="122">
        <f t="shared" si="41"/>
        <v>48154</v>
      </c>
      <c r="AA1319" t="s">
        <v>60</v>
      </c>
      <c r="AB1319" t="s">
        <v>406</v>
      </c>
      <c r="AC1319" t="s">
        <v>426</v>
      </c>
      <c r="AD1319" t="s">
        <v>406</v>
      </c>
      <c r="AE1319" t="s">
        <v>137</v>
      </c>
      <c r="AF1319" s="122">
        <v>4251</v>
      </c>
      <c r="AG1319" s="122">
        <v>398137</v>
      </c>
      <c r="AH1319" s="122">
        <v>1435394</v>
      </c>
      <c r="AI1319" s="122">
        <v>79525818</v>
      </c>
      <c r="AJ1319" s="122">
        <v>72296198</v>
      </c>
      <c r="AK1319">
        <v>78</v>
      </c>
      <c r="AL1319" s="122">
        <v>17011435</v>
      </c>
      <c r="AM1319" s="122">
        <v>15464941</v>
      </c>
      <c r="AN1319" s="122">
        <v>8385565</v>
      </c>
      <c r="AO1319" s="122">
        <v>3105765</v>
      </c>
      <c r="AP1319" s="122">
        <v>2731174</v>
      </c>
      <c r="AQ1319" s="122">
        <v>1011546</v>
      </c>
      <c r="AR1319" s="122">
        <v>18325984</v>
      </c>
      <c r="AS1319" s="122">
        <v>16659985</v>
      </c>
      <c r="AT1319" s="122">
        <v>9954901</v>
      </c>
      <c r="AU1319" s="122">
        <v>3687000</v>
      </c>
      <c r="AV1319" s="122">
        <v>112225435</v>
      </c>
    </row>
    <row r="1320" spans="2:48" hidden="1">
      <c r="B1320" t="s">
        <v>372</v>
      </c>
      <c r="C1320" t="s">
        <v>56</v>
      </c>
      <c r="D1320" t="s">
        <v>406</v>
      </c>
      <c r="E1320" t="s">
        <v>406</v>
      </c>
      <c r="F1320" s="122">
        <v>1098</v>
      </c>
      <c r="G1320" s="122">
        <v>114572</v>
      </c>
      <c r="H1320" s="122">
        <v>209846</v>
      </c>
      <c r="I1320" s="122">
        <v>10389568</v>
      </c>
      <c r="J1320" s="122">
        <v>9445062</v>
      </c>
      <c r="K1320" s="122">
        <v>85</v>
      </c>
      <c r="L1320" s="122">
        <v>2495630</v>
      </c>
      <c r="M1320" s="122">
        <v>2213741</v>
      </c>
      <c r="N1320" s="122">
        <v>2284134</v>
      </c>
      <c r="O1320" s="122">
        <v>845976</v>
      </c>
      <c r="P1320" s="122">
        <v>693090</v>
      </c>
      <c r="Q1320" s="122">
        <v>256700</v>
      </c>
      <c r="R1320" s="122">
        <v>4901203</v>
      </c>
      <c r="S1320" s="122">
        <v>4455639</v>
      </c>
      <c r="T1320" s="122">
        <v>1317845</v>
      </c>
      <c r="U1320" s="122">
        <v>488091</v>
      </c>
      <c r="V1320" s="122">
        <v>17705208</v>
      </c>
      <c r="W1320" s="122">
        <f t="shared" si="40"/>
        <v>17705209</v>
      </c>
      <c r="X1320" s="122">
        <f t="shared" si="41"/>
        <v>22081470</v>
      </c>
      <c r="AA1320" t="s">
        <v>60</v>
      </c>
      <c r="AB1320" t="s">
        <v>406</v>
      </c>
      <c r="AC1320" t="s">
        <v>426</v>
      </c>
      <c r="AD1320" t="s">
        <v>406</v>
      </c>
      <c r="AE1320" t="s">
        <v>566</v>
      </c>
      <c r="AF1320" s="122">
        <v>1446</v>
      </c>
      <c r="AG1320" s="122">
        <v>136069</v>
      </c>
      <c r="AH1320" s="122">
        <v>486969</v>
      </c>
      <c r="AI1320" s="122">
        <v>27697116</v>
      </c>
      <c r="AJ1320" s="122">
        <v>25179196</v>
      </c>
      <c r="AK1320">
        <v>79</v>
      </c>
      <c r="AL1320" s="122">
        <v>6342230</v>
      </c>
      <c r="AM1320" s="122">
        <v>5765664</v>
      </c>
      <c r="AN1320" s="122">
        <v>2798071</v>
      </c>
      <c r="AO1320" s="122">
        <v>1036323</v>
      </c>
      <c r="AP1320" s="122">
        <v>930931</v>
      </c>
      <c r="AQ1320" s="122">
        <v>344789</v>
      </c>
      <c r="AR1320" s="122">
        <v>8452340</v>
      </c>
      <c r="AS1320" s="122">
        <v>7683945</v>
      </c>
      <c r="AT1320">
        <v>0</v>
      </c>
      <c r="AU1320">
        <v>0</v>
      </c>
      <c r="AV1320" s="122">
        <v>40009917</v>
      </c>
    </row>
    <row r="1321" spans="2:48" hidden="1">
      <c r="B1321" t="s">
        <v>372</v>
      </c>
      <c r="C1321" t="s">
        <v>56</v>
      </c>
      <c r="D1321" t="s">
        <v>406</v>
      </c>
      <c r="E1321" t="s">
        <v>427</v>
      </c>
      <c r="F1321" s="122">
        <v>1</v>
      </c>
      <c r="G1321" s="122">
        <v>68</v>
      </c>
      <c r="H1321" s="122">
        <v>222</v>
      </c>
      <c r="I1321" s="122">
        <v>7356</v>
      </c>
      <c r="J1321" s="122">
        <v>6688</v>
      </c>
      <c r="K1321" s="122">
        <v>85</v>
      </c>
      <c r="L1321" s="122">
        <v>1204</v>
      </c>
      <c r="M1321" s="122">
        <v>1094</v>
      </c>
      <c r="N1321" s="122">
        <v>834</v>
      </c>
      <c r="O1321" s="122">
        <v>309</v>
      </c>
      <c r="P1321" s="122">
        <v>621</v>
      </c>
      <c r="Q1321" s="122">
        <v>230</v>
      </c>
      <c r="R1321" s="122">
        <v>3160</v>
      </c>
      <c r="S1321" s="122">
        <v>2873</v>
      </c>
      <c r="T1321" s="122">
        <v>2009</v>
      </c>
      <c r="U1321" s="122">
        <v>744</v>
      </c>
      <c r="V1321" s="122">
        <v>11938</v>
      </c>
      <c r="W1321" s="122">
        <f t="shared" si="40"/>
        <v>11938</v>
      </c>
      <c r="X1321" s="122">
        <f t="shared" si="41"/>
        <v>15184</v>
      </c>
      <c r="AA1321" t="s">
        <v>60</v>
      </c>
      <c r="AB1321" t="s">
        <v>406</v>
      </c>
      <c r="AC1321" t="s">
        <v>426</v>
      </c>
      <c r="AD1321" t="s">
        <v>427</v>
      </c>
      <c r="AE1321" t="s">
        <v>137</v>
      </c>
      <c r="AF1321">
        <v>2</v>
      </c>
      <c r="AG1321">
        <v>169</v>
      </c>
      <c r="AH1321">
        <v>711</v>
      </c>
      <c r="AI1321" s="122">
        <v>36306</v>
      </c>
      <c r="AJ1321" s="122">
        <v>33006</v>
      </c>
      <c r="AK1321">
        <v>82</v>
      </c>
      <c r="AL1321" s="122">
        <v>7967</v>
      </c>
      <c r="AM1321" s="122">
        <v>7242</v>
      </c>
      <c r="AN1321" s="122">
        <v>3279</v>
      </c>
      <c r="AO1321" s="122">
        <v>1215</v>
      </c>
      <c r="AP1321" s="122">
        <v>1242</v>
      </c>
      <c r="AQ1321">
        <v>460</v>
      </c>
      <c r="AR1321" s="122">
        <v>6689</v>
      </c>
      <c r="AS1321" s="122">
        <v>6081</v>
      </c>
      <c r="AT1321" s="122">
        <v>4722</v>
      </c>
      <c r="AU1321" s="122">
        <v>1749</v>
      </c>
      <c r="AV1321" s="122">
        <v>49753</v>
      </c>
    </row>
    <row r="1322" spans="2:48" hidden="1">
      <c r="B1322" t="s">
        <v>372</v>
      </c>
      <c r="C1322" t="s">
        <v>56</v>
      </c>
      <c r="D1322" t="s">
        <v>406</v>
      </c>
      <c r="E1322" t="s">
        <v>407</v>
      </c>
      <c r="F1322" s="122">
        <v>1</v>
      </c>
      <c r="G1322" s="122">
        <v>121</v>
      </c>
      <c r="H1322" s="122">
        <v>191</v>
      </c>
      <c r="I1322" s="122">
        <v>11306</v>
      </c>
      <c r="J1322" s="122">
        <v>10278</v>
      </c>
      <c r="K1322" s="122">
        <v>83</v>
      </c>
      <c r="L1322" s="122">
        <v>3595</v>
      </c>
      <c r="M1322" s="122">
        <v>2996</v>
      </c>
      <c r="N1322" s="122">
        <v>1476</v>
      </c>
      <c r="O1322" s="122">
        <v>547</v>
      </c>
      <c r="P1322" s="122">
        <v>621</v>
      </c>
      <c r="Q1322" s="122">
        <v>230</v>
      </c>
      <c r="R1322" s="122">
        <v>6136</v>
      </c>
      <c r="S1322" s="122">
        <v>5579</v>
      </c>
      <c r="T1322" s="122">
        <v>0</v>
      </c>
      <c r="U1322" s="122">
        <v>0</v>
      </c>
      <c r="V1322" s="122">
        <v>19630</v>
      </c>
      <c r="W1322" s="122">
        <f t="shared" si="40"/>
        <v>19630</v>
      </c>
      <c r="X1322" s="122">
        <f t="shared" si="41"/>
        <v>23134</v>
      </c>
      <c r="AA1322" t="s">
        <v>60</v>
      </c>
      <c r="AB1322" t="s">
        <v>406</v>
      </c>
      <c r="AC1322" t="s">
        <v>426</v>
      </c>
      <c r="AD1322" t="s">
        <v>407</v>
      </c>
      <c r="AE1322" t="s">
        <v>137</v>
      </c>
      <c r="AF1322">
        <v>1</v>
      </c>
      <c r="AG1322">
        <v>202</v>
      </c>
      <c r="AH1322">
        <v>316</v>
      </c>
      <c r="AI1322" s="122">
        <v>40608</v>
      </c>
      <c r="AJ1322" s="122">
        <v>36917</v>
      </c>
      <c r="AK1322">
        <v>79</v>
      </c>
      <c r="AL1322" s="122">
        <v>11280</v>
      </c>
      <c r="AM1322" s="122">
        <v>10255</v>
      </c>
      <c r="AN1322" s="122">
        <v>3445</v>
      </c>
      <c r="AO1322" s="122">
        <v>1276</v>
      </c>
      <c r="AP1322">
        <v>621</v>
      </c>
      <c r="AQ1322">
        <v>230</v>
      </c>
      <c r="AR1322" s="122">
        <v>7833</v>
      </c>
      <c r="AS1322" s="122">
        <v>7121</v>
      </c>
      <c r="AT1322">
        <v>0</v>
      </c>
      <c r="AU1322">
        <v>0</v>
      </c>
      <c r="AV1322" s="122">
        <v>55798</v>
      </c>
    </row>
    <row r="1323" spans="2:48" hidden="1">
      <c r="B1323" t="s">
        <v>372</v>
      </c>
      <c r="C1323" t="s">
        <v>56</v>
      </c>
      <c r="D1323" t="s">
        <v>406</v>
      </c>
      <c r="E1323" t="s">
        <v>426</v>
      </c>
      <c r="F1323" s="122">
        <v>5</v>
      </c>
      <c r="G1323" s="122">
        <v>541</v>
      </c>
      <c r="H1323" s="122">
        <v>908</v>
      </c>
      <c r="I1323" s="122">
        <v>45698</v>
      </c>
      <c r="J1323" s="122">
        <v>41544</v>
      </c>
      <c r="K1323" s="122">
        <v>85</v>
      </c>
      <c r="L1323" s="122">
        <v>10160</v>
      </c>
      <c r="M1323" s="122">
        <v>9998</v>
      </c>
      <c r="N1323" s="122">
        <v>9486</v>
      </c>
      <c r="O1323" s="122">
        <v>3513</v>
      </c>
      <c r="P1323" s="122">
        <v>3456</v>
      </c>
      <c r="Q1323" s="122">
        <v>1280</v>
      </c>
      <c r="R1323" s="122">
        <v>24710</v>
      </c>
      <c r="S1323" s="122">
        <v>22463</v>
      </c>
      <c r="T1323" s="122">
        <v>3306</v>
      </c>
      <c r="U1323" s="122">
        <v>1225</v>
      </c>
      <c r="V1323" s="122">
        <v>80023</v>
      </c>
      <c r="W1323" s="122">
        <f t="shared" ref="W1323:W1386" si="42">SUM(ABS(J1323),ABS(M1323),ABS(O1323),ABS(Q1323),ABS(S1323),ABS(U1323))</f>
        <v>80023</v>
      </c>
      <c r="X1323" s="122">
        <f t="shared" ref="X1323:X1386" si="43">SUM(ABS(I1323),ABS(N1323),ABS(P1323),ABS(R1323),ABS(T1323),ABS(L1323))</f>
        <v>96816</v>
      </c>
      <c r="AA1323" t="s">
        <v>60</v>
      </c>
      <c r="AB1323" t="s">
        <v>406</v>
      </c>
      <c r="AC1323" t="s">
        <v>426</v>
      </c>
      <c r="AD1323" t="s">
        <v>407</v>
      </c>
      <c r="AE1323" t="s">
        <v>566</v>
      </c>
      <c r="AF1323">
        <v>1</v>
      </c>
      <c r="AG1323">
        <v>62</v>
      </c>
      <c r="AH1323">
        <v>303</v>
      </c>
      <c r="AI1323" s="122">
        <v>9121</v>
      </c>
      <c r="AJ1323" s="122">
        <v>8292</v>
      </c>
      <c r="AK1323">
        <v>65</v>
      </c>
      <c r="AL1323" s="122">
        <v>1253</v>
      </c>
      <c r="AM1323" s="122">
        <v>1139</v>
      </c>
      <c r="AN1323" s="122">
        <v>1512</v>
      </c>
      <c r="AO1323">
        <v>560</v>
      </c>
      <c r="AP1323">
        <v>621</v>
      </c>
      <c r="AQ1323">
        <v>230</v>
      </c>
      <c r="AR1323" s="122">
        <v>6277</v>
      </c>
      <c r="AS1323" s="122">
        <v>5706</v>
      </c>
      <c r="AT1323">
        <v>0</v>
      </c>
      <c r="AU1323">
        <v>0</v>
      </c>
      <c r="AV1323" s="122">
        <v>15927</v>
      </c>
    </row>
    <row r="1324" spans="2:48" hidden="1">
      <c r="B1324" t="s">
        <v>372</v>
      </c>
      <c r="C1324" t="s">
        <v>56</v>
      </c>
      <c r="D1324" t="s">
        <v>427</v>
      </c>
      <c r="E1324" t="s">
        <v>427</v>
      </c>
      <c r="F1324" s="122">
        <v>1</v>
      </c>
      <c r="G1324" s="122">
        <v>82</v>
      </c>
      <c r="H1324" s="122">
        <v>219</v>
      </c>
      <c r="I1324" s="122">
        <v>10285</v>
      </c>
      <c r="J1324" s="122">
        <v>9350</v>
      </c>
      <c r="K1324" s="122">
        <v>65</v>
      </c>
      <c r="L1324" s="122">
        <v>0</v>
      </c>
      <c r="M1324" s="122">
        <v>0</v>
      </c>
      <c r="N1324" s="122">
        <v>1768</v>
      </c>
      <c r="O1324" s="122">
        <v>655</v>
      </c>
      <c r="P1324" s="122">
        <v>351</v>
      </c>
      <c r="Q1324" s="122">
        <v>130</v>
      </c>
      <c r="R1324" s="122">
        <v>3425</v>
      </c>
      <c r="S1324" s="122">
        <v>3114</v>
      </c>
      <c r="T1324" s="122">
        <v>2148</v>
      </c>
      <c r="U1324" s="122">
        <v>796</v>
      </c>
      <c r="V1324" s="122">
        <v>14045</v>
      </c>
      <c r="W1324" s="122">
        <f t="shared" si="42"/>
        <v>14045</v>
      </c>
      <c r="X1324" s="122">
        <f t="shared" si="43"/>
        <v>17977</v>
      </c>
      <c r="AA1324" t="s">
        <v>60</v>
      </c>
      <c r="AB1324" t="s">
        <v>406</v>
      </c>
      <c r="AC1324" t="s">
        <v>426</v>
      </c>
      <c r="AD1324" t="s">
        <v>426</v>
      </c>
      <c r="AE1324" t="s">
        <v>137</v>
      </c>
      <c r="AF1324">
        <v>8</v>
      </c>
      <c r="AG1324">
        <v>751</v>
      </c>
      <c r="AH1324" s="122">
        <v>2847</v>
      </c>
      <c r="AI1324" s="122">
        <v>154377</v>
      </c>
      <c r="AJ1324" s="122">
        <v>140343</v>
      </c>
      <c r="AK1324">
        <v>79</v>
      </c>
      <c r="AL1324" s="122">
        <v>30607</v>
      </c>
      <c r="AM1324" s="122">
        <v>27824</v>
      </c>
      <c r="AN1324" s="122">
        <v>17285</v>
      </c>
      <c r="AO1324" s="122">
        <v>6402</v>
      </c>
      <c r="AP1324" s="122">
        <v>5090</v>
      </c>
      <c r="AQ1324" s="122">
        <v>1885</v>
      </c>
      <c r="AR1324" s="122">
        <v>43529</v>
      </c>
      <c r="AS1324" s="122">
        <v>39572</v>
      </c>
      <c r="AT1324" s="122">
        <v>16002</v>
      </c>
      <c r="AU1324" s="122">
        <v>5927</v>
      </c>
      <c r="AV1324" s="122">
        <v>221953</v>
      </c>
    </row>
    <row r="1325" spans="2:48" hidden="1">
      <c r="B1325" t="s">
        <v>372</v>
      </c>
      <c r="C1325" t="s">
        <v>56</v>
      </c>
      <c r="D1325" t="s">
        <v>407</v>
      </c>
      <c r="E1325" t="s">
        <v>137</v>
      </c>
      <c r="F1325" s="122">
        <v>4</v>
      </c>
      <c r="G1325" s="122">
        <v>422</v>
      </c>
      <c r="H1325" s="122">
        <v>723</v>
      </c>
      <c r="I1325" s="122">
        <v>42381</v>
      </c>
      <c r="J1325" s="122">
        <v>38528</v>
      </c>
      <c r="K1325" s="122">
        <v>74</v>
      </c>
      <c r="L1325" s="122">
        <v>5860</v>
      </c>
      <c r="M1325" s="122">
        <v>5327</v>
      </c>
      <c r="N1325" s="122">
        <v>8914</v>
      </c>
      <c r="O1325" s="122">
        <v>3302</v>
      </c>
      <c r="P1325" s="122">
        <v>1890</v>
      </c>
      <c r="Q1325" s="122">
        <v>700</v>
      </c>
      <c r="R1325" s="122">
        <v>17183</v>
      </c>
      <c r="S1325" s="122">
        <v>6364</v>
      </c>
      <c r="T1325" s="122">
        <v>0</v>
      </c>
      <c r="U1325" s="122">
        <v>0</v>
      </c>
      <c r="V1325" s="122">
        <v>54221</v>
      </c>
      <c r="W1325" s="122">
        <f t="shared" si="42"/>
        <v>54221</v>
      </c>
      <c r="X1325" s="122">
        <f t="shared" si="43"/>
        <v>76228</v>
      </c>
      <c r="AA1325" t="s">
        <v>60</v>
      </c>
      <c r="AB1325" t="s">
        <v>406</v>
      </c>
      <c r="AC1325" t="s">
        <v>426</v>
      </c>
      <c r="AD1325" t="s">
        <v>426</v>
      </c>
      <c r="AE1325" t="s">
        <v>566</v>
      </c>
      <c r="AF1325">
        <v>1</v>
      </c>
      <c r="AG1325">
        <v>83</v>
      </c>
      <c r="AH1325">
        <v>356</v>
      </c>
      <c r="AI1325" s="122">
        <v>18041</v>
      </c>
      <c r="AJ1325" s="122">
        <v>16401</v>
      </c>
      <c r="AK1325">
        <v>70</v>
      </c>
      <c r="AL1325" s="122">
        <v>2666</v>
      </c>
      <c r="AM1325" s="122">
        <v>2424</v>
      </c>
      <c r="AN1325" s="122">
        <v>2018</v>
      </c>
      <c r="AO1325">
        <v>747</v>
      </c>
      <c r="AP1325">
        <v>621</v>
      </c>
      <c r="AQ1325">
        <v>230</v>
      </c>
      <c r="AR1325" s="122">
        <v>6109</v>
      </c>
      <c r="AS1325" s="122">
        <v>5554</v>
      </c>
      <c r="AT1325">
        <v>0</v>
      </c>
      <c r="AU1325">
        <v>0</v>
      </c>
      <c r="AV1325" s="122">
        <v>25355</v>
      </c>
    </row>
    <row r="1326" spans="2:48" hidden="1">
      <c r="B1326" t="s">
        <v>372</v>
      </c>
      <c r="C1326" t="s">
        <v>56</v>
      </c>
      <c r="D1326" t="s">
        <v>407</v>
      </c>
      <c r="E1326" t="s">
        <v>407</v>
      </c>
      <c r="F1326" s="122">
        <v>1647</v>
      </c>
      <c r="G1326" s="122">
        <v>164426</v>
      </c>
      <c r="H1326" s="122">
        <v>308212</v>
      </c>
      <c r="I1326" s="122">
        <v>14560192</v>
      </c>
      <c r="J1326" s="122">
        <v>13236539</v>
      </c>
      <c r="K1326" s="122">
        <v>81</v>
      </c>
      <c r="L1326" s="122">
        <v>3338567</v>
      </c>
      <c r="M1326" s="122">
        <v>2955017</v>
      </c>
      <c r="N1326" s="122">
        <v>3187151</v>
      </c>
      <c r="O1326" s="122">
        <v>1180426</v>
      </c>
      <c r="P1326" s="122">
        <v>790776</v>
      </c>
      <c r="Q1326" s="122">
        <v>292880</v>
      </c>
      <c r="R1326" s="122">
        <v>7971880</v>
      </c>
      <c r="S1326" s="122">
        <v>7247164</v>
      </c>
      <c r="T1326" s="122">
        <v>972113</v>
      </c>
      <c r="U1326" s="122">
        <v>360042</v>
      </c>
      <c r="V1326" s="122">
        <v>25272067</v>
      </c>
      <c r="W1326" s="122">
        <f t="shared" si="42"/>
        <v>25272068</v>
      </c>
      <c r="X1326" s="122">
        <f t="shared" si="43"/>
        <v>30820679</v>
      </c>
      <c r="AA1326" t="s">
        <v>60</v>
      </c>
      <c r="AB1326" t="s">
        <v>406</v>
      </c>
      <c r="AC1326" t="s">
        <v>566</v>
      </c>
      <c r="AD1326" t="s">
        <v>137</v>
      </c>
      <c r="AE1326" t="s">
        <v>137</v>
      </c>
      <c r="AF1326">
        <v>1</v>
      </c>
      <c r="AG1326">
        <v>129</v>
      </c>
      <c r="AH1326">
        <v>373</v>
      </c>
      <c r="AI1326" s="122">
        <v>38257</v>
      </c>
      <c r="AJ1326" s="122">
        <v>34779</v>
      </c>
      <c r="AK1326">
        <v>94</v>
      </c>
      <c r="AL1326">
        <v>0</v>
      </c>
      <c r="AM1326">
        <v>0</v>
      </c>
      <c r="AN1326" s="122">
        <v>3138</v>
      </c>
      <c r="AO1326" s="122">
        <v>1162</v>
      </c>
      <c r="AP1326">
        <v>621</v>
      </c>
      <c r="AQ1326">
        <v>230</v>
      </c>
      <c r="AR1326" s="122">
        <v>6012</v>
      </c>
      <c r="AS1326" s="122">
        <v>2227</v>
      </c>
      <c r="AT1326">
        <v>0</v>
      </c>
      <c r="AU1326">
        <v>0</v>
      </c>
      <c r="AV1326" s="122">
        <v>38398</v>
      </c>
    </row>
    <row r="1327" spans="2:48" hidden="1">
      <c r="B1327" t="s">
        <v>372</v>
      </c>
      <c r="C1327" t="s">
        <v>56</v>
      </c>
      <c r="D1327" t="s">
        <v>407</v>
      </c>
      <c r="E1327" t="s">
        <v>426</v>
      </c>
      <c r="F1327" s="122">
        <v>2</v>
      </c>
      <c r="G1327" s="122">
        <v>145</v>
      </c>
      <c r="H1327" s="122">
        <v>401</v>
      </c>
      <c r="I1327" s="122">
        <v>14630</v>
      </c>
      <c r="J1327" s="122">
        <v>13300</v>
      </c>
      <c r="K1327" s="122">
        <v>79</v>
      </c>
      <c r="L1327" s="122">
        <v>4264</v>
      </c>
      <c r="M1327" s="122">
        <v>3877</v>
      </c>
      <c r="N1327" s="122">
        <v>1769</v>
      </c>
      <c r="O1327" s="122">
        <v>655</v>
      </c>
      <c r="P1327" s="122">
        <v>945</v>
      </c>
      <c r="Q1327" s="122">
        <v>350</v>
      </c>
      <c r="R1327" s="122">
        <v>7486</v>
      </c>
      <c r="S1327" s="122">
        <v>6806</v>
      </c>
      <c r="T1327" s="122">
        <v>0</v>
      </c>
      <c r="U1327" s="122">
        <v>0</v>
      </c>
      <c r="V1327" s="122">
        <v>24988</v>
      </c>
      <c r="W1327" s="122">
        <f t="shared" si="42"/>
        <v>24988</v>
      </c>
      <c r="X1327" s="122">
        <f t="shared" si="43"/>
        <v>29094</v>
      </c>
      <c r="AA1327" t="s">
        <v>60</v>
      </c>
      <c r="AB1327" t="s">
        <v>406</v>
      </c>
      <c r="AC1327" t="s">
        <v>566</v>
      </c>
      <c r="AD1327" t="s">
        <v>137</v>
      </c>
      <c r="AE1327" t="s">
        <v>566</v>
      </c>
      <c r="AF1327">
        <v>20</v>
      </c>
      <c r="AG1327" s="122">
        <v>2073</v>
      </c>
      <c r="AH1327" s="122">
        <v>6758</v>
      </c>
      <c r="AI1327" s="122">
        <v>544370</v>
      </c>
      <c r="AJ1327" s="122">
        <v>494882</v>
      </c>
      <c r="AK1327">
        <v>82</v>
      </c>
      <c r="AL1327">
        <v>0</v>
      </c>
      <c r="AM1327" s="122">
        <v>4647</v>
      </c>
      <c r="AN1327" s="122">
        <v>41055</v>
      </c>
      <c r="AO1327" s="122">
        <v>15205</v>
      </c>
      <c r="AP1327" s="122">
        <v>12422</v>
      </c>
      <c r="AQ1327" s="122">
        <v>4601</v>
      </c>
      <c r="AR1327" s="122">
        <v>117527</v>
      </c>
      <c r="AS1327" s="122">
        <v>43528</v>
      </c>
      <c r="AT1327">
        <v>0</v>
      </c>
      <c r="AU1327">
        <v>0</v>
      </c>
      <c r="AV1327" s="122">
        <v>562864</v>
      </c>
    </row>
    <row r="1328" spans="2:48" hidden="1">
      <c r="B1328" t="s">
        <v>372</v>
      </c>
      <c r="C1328" t="s">
        <v>56</v>
      </c>
      <c r="D1328" t="s">
        <v>556</v>
      </c>
      <c r="E1328" t="s">
        <v>556</v>
      </c>
      <c r="F1328" s="122">
        <v>7</v>
      </c>
      <c r="G1328" s="122">
        <v>643</v>
      </c>
      <c r="H1328" s="122">
        <v>1430</v>
      </c>
      <c r="I1328" s="122">
        <v>68320</v>
      </c>
      <c r="J1328" s="122">
        <v>56933</v>
      </c>
      <c r="K1328" s="122">
        <v>65</v>
      </c>
      <c r="L1328" s="122">
        <v>0</v>
      </c>
      <c r="M1328" s="122">
        <v>0</v>
      </c>
      <c r="N1328" s="122">
        <v>11161</v>
      </c>
      <c r="O1328" s="122">
        <v>4134</v>
      </c>
      <c r="P1328" s="122">
        <v>2457</v>
      </c>
      <c r="Q1328" s="122">
        <v>910</v>
      </c>
      <c r="R1328" s="122">
        <v>33137</v>
      </c>
      <c r="S1328" s="122">
        <v>27614</v>
      </c>
      <c r="T1328" s="122">
        <v>16260</v>
      </c>
      <c r="U1328" s="122">
        <v>6022</v>
      </c>
      <c r="V1328" s="122">
        <v>95613</v>
      </c>
      <c r="W1328" s="122">
        <f t="shared" si="42"/>
        <v>95613</v>
      </c>
      <c r="X1328" s="122">
        <f t="shared" si="43"/>
        <v>131335</v>
      </c>
      <c r="AA1328" t="s">
        <v>60</v>
      </c>
      <c r="AB1328" t="s">
        <v>406</v>
      </c>
      <c r="AC1328" t="s">
        <v>566</v>
      </c>
      <c r="AD1328" t="s">
        <v>406</v>
      </c>
      <c r="AE1328" t="s">
        <v>137</v>
      </c>
      <c r="AF1328">
        <v>404</v>
      </c>
      <c r="AG1328" s="122">
        <v>34601</v>
      </c>
      <c r="AH1328" s="122">
        <v>137288</v>
      </c>
      <c r="AI1328" s="122">
        <v>8373630</v>
      </c>
      <c r="AJ1328" s="122">
        <v>7612391</v>
      </c>
      <c r="AK1328">
        <v>76</v>
      </c>
      <c r="AL1328">
        <v>0</v>
      </c>
      <c r="AM1328" s="122">
        <v>157651</v>
      </c>
      <c r="AN1328" s="122">
        <v>717389</v>
      </c>
      <c r="AO1328" s="122">
        <v>265700</v>
      </c>
      <c r="AP1328" s="122">
        <v>249195</v>
      </c>
      <c r="AQ1328" s="122">
        <v>92295</v>
      </c>
      <c r="AR1328" s="122">
        <v>1699530</v>
      </c>
      <c r="AS1328" s="122">
        <v>1545027</v>
      </c>
      <c r="AT1328" s="122">
        <v>867597</v>
      </c>
      <c r="AU1328" s="122">
        <v>321332</v>
      </c>
      <c r="AV1328" s="122">
        <v>9994396</v>
      </c>
    </row>
    <row r="1329" spans="2:48" hidden="1">
      <c r="B1329" t="s">
        <v>372</v>
      </c>
      <c r="C1329" t="s">
        <v>56</v>
      </c>
      <c r="D1329" t="s">
        <v>428</v>
      </c>
      <c r="E1329" t="s">
        <v>428</v>
      </c>
      <c r="F1329" s="122">
        <v>1</v>
      </c>
      <c r="G1329" s="122">
        <v>84</v>
      </c>
      <c r="H1329" s="122">
        <v>217</v>
      </c>
      <c r="I1329" s="122">
        <v>6766</v>
      </c>
      <c r="J1329" s="122">
        <v>6151</v>
      </c>
      <c r="K1329" s="122">
        <v>65</v>
      </c>
      <c r="L1329" s="122">
        <v>752</v>
      </c>
      <c r="M1329" s="122">
        <v>683</v>
      </c>
      <c r="N1329" s="122">
        <v>1300</v>
      </c>
      <c r="O1329" s="122">
        <v>481</v>
      </c>
      <c r="P1329" s="122">
        <v>351</v>
      </c>
      <c r="Q1329" s="122">
        <v>130</v>
      </c>
      <c r="R1329" s="122">
        <v>9055</v>
      </c>
      <c r="S1329" s="122">
        <v>8232</v>
      </c>
      <c r="T1329" s="122">
        <v>0</v>
      </c>
      <c r="U1329" s="122">
        <v>0</v>
      </c>
      <c r="V1329" s="122">
        <v>15678</v>
      </c>
      <c r="W1329" s="122">
        <f t="shared" si="42"/>
        <v>15677</v>
      </c>
      <c r="X1329" s="122">
        <f t="shared" si="43"/>
        <v>18224</v>
      </c>
      <c r="AA1329" t="s">
        <v>60</v>
      </c>
      <c r="AB1329" t="s">
        <v>406</v>
      </c>
      <c r="AC1329" t="s">
        <v>566</v>
      </c>
      <c r="AD1329" t="s">
        <v>406</v>
      </c>
      <c r="AE1329" t="s">
        <v>566</v>
      </c>
      <c r="AF1329">
        <v>123</v>
      </c>
      <c r="AG1329" s="122">
        <v>10576</v>
      </c>
      <c r="AH1329" s="122">
        <v>41530</v>
      </c>
      <c r="AI1329" s="122">
        <v>2553870</v>
      </c>
      <c r="AJ1329" s="122">
        <v>2321700</v>
      </c>
      <c r="AK1329">
        <v>76</v>
      </c>
      <c r="AL1329">
        <v>0</v>
      </c>
      <c r="AM1329" s="122">
        <v>51765</v>
      </c>
      <c r="AN1329" s="122">
        <v>224016</v>
      </c>
      <c r="AO1329" s="122">
        <v>82969</v>
      </c>
      <c r="AP1329" s="122">
        <v>76586</v>
      </c>
      <c r="AQ1329" s="122">
        <v>28365</v>
      </c>
      <c r="AR1329" s="122">
        <v>739940</v>
      </c>
      <c r="AS1329" s="122">
        <v>672673</v>
      </c>
      <c r="AT1329">
        <v>0</v>
      </c>
      <c r="AU1329">
        <v>0</v>
      </c>
      <c r="AV1329" s="122">
        <v>3157472</v>
      </c>
    </row>
    <row r="1330" spans="2:48" hidden="1">
      <c r="B1330" t="s">
        <v>372</v>
      </c>
      <c r="C1330" t="s">
        <v>56</v>
      </c>
      <c r="D1330" t="s">
        <v>426</v>
      </c>
      <c r="E1330" t="s">
        <v>426</v>
      </c>
      <c r="F1330" s="122">
        <v>20</v>
      </c>
      <c r="G1330" s="122">
        <v>1866</v>
      </c>
      <c r="H1330" s="122">
        <v>4241</v>
      </c>
      <c r="I1330" s="122">
        <v>206597</v>
      </c>
      <c r="J1330" s="122">
        <v>187815</v>
      </c>
      <c r="K1330" s="122">
        <v>68</v>
      </c>
      <c r="L1330" s="122">
        <v>19462</v>
      </c>
      <c r="M1330" s="122">
        <v>16907</v>
      </c>
      <c r="N1330" s="122">
        <v>32117</v>
      </c>
      <c r="O1330" s="122">
        <v>11895</v>
      </c>
      <c r="P1330" s="122">
        <v>7209</v>
      </c>
      <c r="Q1330" s="122">
        <v>2670</v>
      </c>
      <c r="R1330" s="122">
        <v>87864</v>
      </c>
      <c r="S1330" s="122">
        <v>79876</v>
      </c>
      <c r="T1330" s="122">
        <v>42966</v>
      </c>
      <c r="U1330" s="122">
        <v>15913</v>
      </c>
      <c r="V1330" s="122">
        <v>315077</v>
      </c>
      <c r="W1330" s="122">
        <f t="shared" si="42"/>
        <v>315076</v>
      </c>
      <c r="X1330" s="122">
        <f t="shared" si="43"/>
        <v>396215</v>
      </c>
      <c r="AA1330" t="s">
        <v>60</v>
      </c>
      <c r="AB1330" t="s">
        <v>406</v>
      </c>
      <c r="AC1330" t="s">
        <v>566</v>
      </c>
      <c r="AD1330" t="s">
        <v>407</v>
      </c>
      <c r="AE1330" t="s">
        <v>566</v>
      </c>
      <c r="AF1330">
        <v>1</v>
      </c>
      <c r="AG1330">
        <v>109</v>
      </c>
      <c r="AH1330">
        <v>333</v>
      </c>
      <c r="AI1330" s="122">
        <v>25058</v>
      </c>
      <c r="AJ1330" s="122">
        <v>22780</v>
      </c>
      <c r="AK1330">
        <v>70</v>
      </c>
      <c r="AL1330">
        <v>0</v>
      </c>
      <c r="AM1330">
        <v>0</v>
      </c>
      <c r="AN1330" s="122">
        <v>2664</v>
      </c>
      <c r="AO1330">
        <v>987</v>
      </c>
      <c r="AP1330">
        <v>621</v>
      </c>
      <c r="AQ1330">
        <v>230</v>
      </c>
      <c r="AR1330" s="122">
        <v>8065</v>
      </c>
      <c r="AS1330" s="122">
        <v>7332</v>
      </c>
      <c r="AT1330">
        <v>0</v>
      </c>
      <c r="AU1330">
        <v>0</v>
      </c>
      <c r="AV1330" s="122">
        <v>31328</v>
      </c>
    </row>
    <row r="1331" spans="2:48" hidden="1">
      <c r="B1331" t="s">
        <v>372</v>
      </c>
      <c r="C1331" t="s">
        <v>58</v>
      </c>
      <c r="D1331" t="s">
        <v>425</v>
      </c>
      <c r="E1331" t="s">
        <v>406</v>
      </c>
      <c r="F1331" s="122">
        <v>1</v>
      </c>
      <c r="G1331" s="122">
        <v>93</v>
      </c>
      <c r="H1331" s="122">
        <v>239</v>
      </c>
      <c r="I1331" s="122">
        <v>11439</v>
      </c>
      <c r="J1331" s="122">
        <v>10399</v>
      </c>
      <c r="K1331" s="122">
        <v>85</v>
      </c>
      <c r="L1331" s="122">
        <v>3419</v>
      </c>
      <c r="M1331" s="122">
        <v>3108</v>
      </c>
      <c r="N1331" s="122">
        <v>1507</v>
      </c>
      <c r="O1331" s="122">
        <v>558</v>
      </c>
      <c r="P1331" s="122">
        <v>621</v>
      </c>
      <c r="Q1331" s="122">
        <v>230</v>
      </c>
      <c r="R1331" s="122">
        <v>5235</v>
      </c>
      <c r="S1331" s="122">
        <v>4759</v>
      </c>
      <c r="T1331" s="122">
        <v>0</v>
      </c>
      <c r="U1331" s="122">
        <v>0</v>
      </c>
      <c r="V1331" s="122">
        <v>19055</v>
      </c>
      <c r="W1331" s="122">
        <f t="shared" si="42"/>
        <v>19054</v>
      </c>
      <c r="X1331" s="122">
        <f t="shared" si="43"/>
        <v>22221</v>
      </c>
      <c r="AA1331" t="s">
        <v>60</v>
      </c>
      <c r="AB1331" t="s">
        <v>406</v>
      </c>
      <c r="AC1331" t="s">
        <v>566</v>
      </c>
      <c r="AD1331" t="s">
        <v>426</v>
      </c>
      <c r="AE1331" t="s">
        <v>137</v>
      </c>
      <c r="AF1331">
        <v>1</v>
      </c>
      <c r="AG1331">
        <v>56</v>
      </c>
      <c r="AH1331">
        <v>339</v>
      </c>
      <c r="AI1331" s="122">
        <v>11354</v>
      </c>
      <c r="AJ1331" s="122">
        <v>10321</v>
      </c>
      <c r="AK1331">
        <v>79</v>
      </c>
      <c r="AL1331">
        <v>0</v>
      </c>
      <c r="AM1331" s="122">
        <v>2038</v>
      </c>
      <c r="AN1331">
        <v>678</v>
      </c>
      <c r="AO1331">
        <v>251</v>
      </c>
      <c r="AP1331">
        <v>621</v>
      </c>
      <c r="AQ1331">
        <v>230</v>
      </c>
      <c r="AR1331" s="122">
        <v>4385</v>
      </c>
      <c r="AS1331" s="122">
        <v>3986</v>
      </c>
      <c r="AT1331" s="122">
        <v>1829</v>
      </c>
      <c r="AU1331">
        <v>677</v>
      </c>
      <c r="AV1331" s="122">
        <v>17505</v>
      </c>
    </row>
    <row r="1332" spans="2:48" hidden="1">
      <c r="B1332" t="s">
        <v>372</v>
      </c>
      <c r="C1332" t="s">
        <v>58</v>
      </c>
      <c r="D1332" t="s">
        <v>405</v>
      </c>
      <c r="E1332" t="s">
        <v>405</v>
      </c>
      <c r="F1332" s="122">
        <v>3</v>
      </c>
      <c r="G1332" s="122">
        <v>295</v>
      </c>
      <c r="H1332" s="122">
        <v>744</v>
      </c>
      <c r="I1332" s="122">
        <v>40547</v>
      </c>
      <c r="J1332" s="122">
        <v>36861</v>
      </c>
      <c r="K1332" s="122">
        <v>81</v>
      </c>
      <c r="L1332" s="122">
        <v>10670</v>
      </c>
      <c r="M1332" s="122">
        <v>9700</v>
      </c>
      <c r="N1332" s="122">
        <v>5388</v>
      </c>
      <c r="O1332" s="122">
        <v>1995</v>
      </c>
      <c r="P1332" s="122">
        <v>1418</v>
      </c>
      <c r="Q1332" s="122">
        <v>525</v>
      </c>
      <c r="R1332" s="122">
        <v>13891</v>
      </c>
      <c r="S1332" s="122">
        <v>12628</v>
      </c>
      <c r="T1332" s="122">
        <v>0</v>
      </c>
      <c r="U1332" s="122">
        <v>0</v>
      </c>
      <c r="V1332" s="122">
        <v>61709</v>
      </c>
      <c r="W1332" s="122">
        <f t="shared" si="42"/>
        <v>61709</v>
      </c>
      <c r="X1332" s="122">
        <f t="shared" si="43"/>
        <v>71914</v>
      </c>
      <c r="AA1332" t="s">
        <v>60</v>
      </c>
      <c r="AB1332" t="s">
        <v>406</v>
      </c>
      <c r="AC1332" t="s">
        <v>481</v>
      </c>
      <c r="AD1332" t="s">
        <v>425</v>
      </c>
      <c r="AE1332" t="s">
        <v>137</v>
      </c>
      <c r="AF1332">
        <v>1</v>
      </c>
      <c r="AG1332">
        <v>78</v>
      </c>
      <c r="AH1332">
        <v>350</v>
      </c>
      <c r="AI1332" s="122">
        <v>11980</v>
      </c>
      <c r="AJ1332" s="122">
        <v>10890</v>
      </c>
      <c r="AK1332">
        <v>86</v>
      </c>
      <c r="AL1332" s="122">
        <v>3612</v>
      </c>
      <c r="AM1332" s="122">
        <v>3283</v>
      </c>
      <c r="AN1332" s="122">
        <v>1889</v>
      </c>
      <c r="AO1332">
        <v>700</v>
      </c>
      <c r="AP1332">
        <v>351</v>
      </c>
      <c r="AQ1332">
        <v>130</v>
      </c>
      <c r="AR1332" s="122">
        <v>4982</v>
      </c>
      <c r="AS1332" s="122">
        <v>4529</v>
      </c>
      <c r="AT1332" s="122">
        <v>4360</v>
      </c>
      <c r="AU1332" s="122">
        <v>1615</v>
      </c>
      <c r="AV1332" s="122">
        <v>21147</v>
      </c>
    </row>
    <row r="1333" spans="2:48" hidden="1">
      <c r="B1333" t="s">
        <v>372</v>
      </c>
      <c r="C1333" t="s">
        <v>58</v>
      </c>
      <c r="D1333" t="s">
        <v>137</v>
      </c>
      <c r="E1333" t="s">
        <v>137</v>
      </c>
      <c r="F1333" s="122">
        <v>61</v>
      </c>
      <c r="G1333" s="122">
        <v>5706</v>
      </c>
      <c r="H1333" s="122">
        <v>15982</v>
      </c>
      <c r="I1333" s="122">
        <v>802840</v>
      </c>
      <c r="J1333" s="122">
        <v>297348</v>
      </c>
      <c r="K1333" s="122">
        <v>100</v>
      </c>
      <c r="L1333" s="122">
        <v>120677</v>
      </c>
      <c r="M1333" s="122">
        <v>102637</v>
      </c>
      <c r="N1333" s="122">
        <v>111933</v>
      </c>
      <c r="O1333" s="122">
        <v>41457</v>
      </c>
      <c r="P1333" s="122">
        <v>621</v>
      </c>
      <c r="Q1333" s="122">
        <v>230</v>
      </c>
      <c r="R1333" s="122">
        <v>467472</v>
      </c>
      <c r="S1333" s="122">
        <v>173138</v>
      </c>
      <c r="T1333" s="122">
        <v>2549</v>
      </c>
      <c r="U1333" s="122">
        <v>944</v>
      </c>
      <c r="V1333" s="122">
        <v>615754</v>
      </c>
      <c r="W1333" s="122">
        <f t="shared" si="42"/>
        <v>615754</v>
      </c>
      <c r="X1333" s="122">
        <f t="shared" si="43"/>
        <v>1506092</v>
      </c>
      <c r="AA1333" t="s">
        <v>60</v>
      </c>
      <c r="AB1333" t="s">
        <v>406</v>
      </c>
      <c r="AC1333" t="s">
        <v>481</v>
      </c>
      <c r="AD1333" t="s">
        <v>406</v>
      </c>
      <c r="AE1333" t="s">
        <v>137</v>
      </c>
      <c r="AF1333">
        <v>4</v>
      </c>
      <c r="AG1333">
        <v>460</v>
      </c>
      <c r="AH1333" s="122">
        <v>1318</v>
      </c>
      <c r="AI1333" s="122">
        <v>98700</v>
      </c>
      <c r="AJ1333" s="122">
        <v>89728</v>
      </c>
      <c r="AK1333">
        <v>71</v>
      </c>
      <c r="AL1333" s="122">
        <v>16116</v>
      </c>
      <c r="AM1333" s="122">
        <v>14651</v>
      </c>
      <c r="AN1333" s="122">
        <v>9021</v>
      </c>
      <c r="AO1333" s="122">
        <v>3341</v>
      </c>
      <c r="AP1333" s="122">
        <v>2214</v>
      </c>
      <c r="AQ1333">
        <v>820</v>
      </c>
      <c r="AR1333" s="122">
        <v>24930</v>
      </c>
      <c r="AS1333" s="122">
        <v>22664</v>
      </c>
      <c r="AT1333" s="122">
        <v>3837</v>
      </c>
      <c r="AU1333" s="122">
        <v>1421</v>
      </c>
      <c r="AV1333" s="122">
        <v>132625</v>
      </c>
    </row>
    <row r="1334" spans="2:48" hidden="1">
      <c r="B1334" t="s">
        <v>372</v>
      </c>
      <c r="C1334" t="s">
        <v>58</v>
      </c>
      <c r="D1334" t="s">
        <v>137</v>
      </c>
      <c r="E1334" t="s">
        <v>427</v>
      </c>
      <c r="F1334" s="122">
        <v>1</v>
      </c>
      <c r="G1334" s="122">
        <v>61</v>
      </c>
      <c r="H1334" s="122">
        <v>225</v>
      </c>
      <c r="I1334" s="122">
        <v>8433</v>
      </c>
      <c r="J1334" s="122">
        <v>3123</v>
      </c>
      <c r="K1334" s="122">
        <v>100</v>
      </c>
      <c r="L1334" s="122">
        <v>848</v>
      </c>
      <c r="M1334" s="122">
        <v>771</v>
      </c>
      <c r="N1334" s="122">
        <v>1118</v>
      </c>
      <c r="O1334" s="122">
        <v>414</v>
      </c>
      <c r="P1334" s="122">
        <v>351</v>
      </c>
      <c r="Q1334" s="122">
        <v>130</v>
      </c>
      <c r="R1334" s="122">
        <v>3025</v>
      </c>
      <c r="S1334" s="122">
        <v>2750</v>
      </c>
      <c r="T1334" s="122">
        <v>0</v>
      </c>
      <c r="U1334" s="122">
        <v>0</v>
      </c>
      <c r="V1334" s="122">
        <v>7189</v>
      </c>
      <c r="W1334" s="122">
        <f t="shared" si="42"/>
        <v>7188</v>
      </c>
      <c r="X1334" s="122">
        <f t="shared" si="43"/>
        <v>13775</v>
      </c>
      <c r="AA1334" t="s">
        <v>60</v>
      </c>
      <c r="AB1334" t="s">
        <v>406</v>
      </c>
      <c r="AC1334" t="s">
        <v>481</v>
      </c>
      <c r="AD1334" t="s">
        <v>406</v>
      </c>
      <c r="AE1334" t="s">
        <v>566</v>
      </c>
      <c r="AF1334">
        <v>1</v>
      </c>
      <c r="AG1334">
        <v>81</v>
      </c>
      <c r="AH1334">
        <v>365</v>
      </c>
      <c r="AI1334" s="122">
        <v>17791</v>
      </c>
      <c r="AJ1334" s="122">
        <v>16174</v>
      </c>
      <c r="AK1334">
        <v>79</v>
      </c>
      <c r="AL1334" s="122">
        <v>4942</v>
      </c>
      <c r="AM1334" s="122">
        <v>4493</v>
      </c>
      <c r="AN1334" s="122">
        <v>1492</v>
      </c>
      <c r="AO1334">
        <v>553</v>
      </c>
      <c r="AP1334">
        <v>621</v>
      </c>
      <c r="AQ1334">
        <v>230</v>
      </c>
      <c r="AR1334" s="122">
        <v>4544</v>
      </c>
      <c r="AS1334" s="122">
        <v>4130</v>
      </c>
      <c r="AT1334">
        <v>0</v>
      </c>
      <c r="AU1334">
        <v>0</v>
      </c>
      <c r="AV1334" s="122">
        <v>25580</v>
      </c>
    </row>
    <row r="1335" spans="2:48" hidden="1">
      <c r="B1335" t="s">
        <v>372</v>
      </c>
      <c r="C1335" t="s">
        <v>58</v>
      </c>
      <c r="D1335" t="s">
        <v>137</v>
      </c>
      <c r="E1335" t="s">
        <v>426</v>
      </c>
      <c r="F1335" s="122">
        <v>2</v>
      </c>
      <c r="G1335" s="122">
        <v>146</v>
      </c>
      <c r="H1335" s="122">
        <v>560</v>
      </c>
      <c r="I1335" s="122">
        <v>20057</v>
      </c>
      <c r="J1335" s="122">
        <v>7429</v>
      </c>
      <c r="K1335" s="122">
        <v>100</v>
      </c>
      <c r="L1335" s="122">
        <v>2568</v>
      </c>
      <c r="M1335" s="122">
        <v>2335</v>
      </c>
      <c r="N1335" s="122">
        <v>2344</v>
      </c>
      <c r="O1335" s="122">
        <v>868</v>
      </c>
      <c r="P1335" s="122">
        <v>0</v>
      </c>
      <c r="Q1335" s="122">
        <v>0</v>
      </c>
      <c r="R1335" s="122">
        <v>11857</v>
      </c>
      <c r="S1335" s="122">
        <v>10779</v>
      </c>
      <c r="T1335" s="122">
        <v>4276</v>
      </c>
      <c r="U1335" s="122">
        <v>1584</v>
      </c>
      <c r="V1335" s="122">
        <v>22994</v>
      </c>
      <c r="W1335" s="122">
        <f t="shared" si="42"/>
        <v>22995</v>
      </c>
      <c r="X1335" s="122">
        <f t="shared" si="43"/>
        <v>41102</v>
      </c>
      <c r="AA1335" t="s">
        <v>60</v>
      </c>
      <c r="AB1335" t="s">
        <v>406</v>
      </c>
      <c r="AC1335" t="s">
        <v>433</v>
      </c>
      <c r="AD1335" t="s">
        <v>137</v>
      </c>
      <c r="AE1335" t="s">
        <v>566</v>
      </c>
      <c r="AF1335">
        <v>1</v>
      </c>
      <c r="AG1335">
        <v>116</v>
      </c>
      <c r="AH1335">
        <v>352</v>
      </c>
      <c r="AI1335" s="122">
        <v>18139</v>
      </c>
      <c r="AJ1335" s="122">
        <v>16490</v>
      </c>
      <c r="AK1335">
        <v>70</v>
      </c>
      <c r="AL1335" s="122">
        <v>2680</v>
      </c>
      <c r="AM1335" s="122">
        <v>2437</v>
      </c>
      <c r="AN1335" s="122">
        <v>2350</v>
      </c>
      <c r="AO1335">
        <v>870</v>
      </c>
      <c r="AP1335">
        <v>621</v>
      </c>
      <c r="AQ1335">
        <v>230</v>
      </c>
      <c r="AR1335" s="122">
        <v>16895</v>
      </c>
      <c r="AS1335" s="122">
        <v>6257</v>
      </c>
      <c r="AT1335">
        <v>0</v>
      </c>
      <c r="AU1335">
        <v>0</v>
      </c>
      <c r="AV1335" s="122">
        <v>26284</v>
      </c>
    </row>
    <row r="1336" spans="2:48" hidden="1">
      <c r="B1336" t="s">
        <v>372</v>
      </c>
      <c r="C1336" t="s">
        <v>58</v>
      </c>
      <c r="D1336" t="s">
        <v>406</v>
      </c>
      <c r="E1336" t="s">
        <v>425</v>
      </c>
      <c r="F1336" s="122">
        <v>1</v>
      </c>
      <c r="G1336" s="122">
        <v>101</v>
      </c>
      <c r="H1336" s="122">
        <v>261</v>
      </c>
      <c r="I1336" s="122">
        <v>15845</v>
      </c>
      <c r="J1336" s="122">
        <v>14405</v>
      </c>
      <c r="K1336" s="122">
        <v>70</v>
      </c>
      <c r="L1336" s="122">
        <v>2322</v>
      </c>
      <c r="M1336" s="122">
        <v>1935</v>
      </c>
      <c r="N1336" s="122">
        <v>1843</v>
      </c>
      <c r="O1336" s="122">
        <v>683</v>
      </c>
      <c r="P1336" s="122">
        <v>621</v>
      </c>
      <c r="Q1336" s="122">
        <v>230</v>
      </c>
      <c r="R1336" s="122">
        <v>5718</v>
      </c>
      <c r="S1336" s="122">
        <v>5198</v>
      </c>
      <c r="T1336" s="122">
        <v>0</v>
      </c>
      <c r="U1336" s="122">
        <v>0</v>
      </c>
      <c r="V1336" s="122">
        <v>22451</v>
      </c>
      <c r="W1336" s="122">
        <f t="shared" si="42"/>
        <v>22451</v>
      </c>
      <c r="X1336" s="122">
        <f t="shared" si="43"/>
        <v>26349</v>
      </c>
      <c r="AA1336" t="s">
        <v>60</v>
      </c>
      <c r="AB1336" t="s">
        <v>406</v>
      </c>
      <c r="AC1336" t="s">
        <v>433</v>
      </c>
      <c r="AD1336" t="s">
        <v>406</v>
      </c>
      <c r="AE1336" t="s">
        <v>137</v>
      </c>
      <c r="AF1336">
        <v>92</v>
      </c>
      <c r="AG1336" s="122">
        <v>8557</v>
      </c>
      <c r="AH1336" s="122">
        <v>30793</v>
      </c>
      <c r="AI1336" s="122">
        <v>1767737</v>
      </c>
      <c r="AJ1336" s="122">
        <v>1607033</v>
      </c>
      <c r="AK1336">
        <v>80</v>
      </c>
      <c r="AL1336" s="122">
        <v>313757</v>
      </c>
      <c r="AM1336" s="122">
        <v>285234</v>
      </c>
      <c r="AN1336" s="122">
        <v>169103</v>
      </c>
      <c r="AO1336" s="122">
        <v>62631</v>
      </c>
      <c r="AP1336" s="122">
        <v>57213</v>
      </c>
      <c r="AQ1336" s="122">
        <v>21190</v>
      </c>
      <c r="AR1336" s="122">
        <v>381535</v>
      </c>
      <c r="AS1336" s="122">
        <v>346850</v>
      </c>
      <c r="AT1336" s="122">
        <v>209125</v>
      </c>
      <c r="AU1336" s="122">
        <v>77454</v>
      </c>
      <c r="AV1336" s="122">
        <v>2400392</v>
      </c>
    </row>
    <row r="1337" spans="2:48" hidden="1">
      <c r="B1337" t="s">
        <v>372</v>
      </c>
      <c r="C1337" t="s">
        <v>58</v>
      </c>
      <c r="D1337" t="s">
        <v>406</v>
      </c>
      <c r="E1337" t="s">
        <v>137</v>
      </c>
      <c r="F1337" s="122">
        <v>2</v>
      </c>
      <c r="G1337" s="122">
        <v>287</v>
      </c>
      <c r="H1337" s="122">
        <v>535</v>
      </c>
      <c r="I1337" s="122">
        <v>48630</v>
      </c>
      <c r="J1337" s="122">
        <v>44209</v>
      </c>
      <c r="K1337" s="122">
        <v>84</v>
      </c>
      <c r="L1337" s="122">
        <v>8370</v>
      </c>
      <c r="M1337" s="122">
        <v>7609</v>
      </c>
      <c r="N1337" s="122">
        <v>6197</v>
      </c>
      <c r="O1337" s="122">
        <v>2295</v>
      </c>
      <c r="P1337" s="122">
        <v>1242</v>
      </c>
      <c r="Q1337" s="122">
        <v>460</v>
      </c>
      <c r="R1337" s="122">
        <v>14935</v>
      </c>
      <c r="S1337" s="122">
        <v>5531</v>
      </c>
      <c r="T1337" s="122">
        <v>0</v>
      </c>
      <c r="U1337" s="122">
        <v>0</v>
      </c>
      <c r="V1337" s="122">
        <v>60105</v>
      </c>
      <c r="W1337" s="122">
        <f t="shared" si="42"/>
        <v>60104</v>
      </c>
      <c r="X1337" s="122">
        <f t="shared" si="43"/>
        <v>79374</v>
      </c>
      <c r="AA1337" t="s">
        <v>60</v>
      </c>
      <c r="AB1337" t="s">
        <v>406</v>
      </c>
      <c r="AC1337" t="s">
        <v>433</v>
      </c>
      <c r="AD1337" t="s">
        <v>406</v>
      </c>
      <c r="AE1337" t="s">
        <v>566</v>
      </c>
      <c r="AF1337">
        <v>53</v>
      </c>
      <c r="AG1337" s="122">
        <v>5265</v>
      </c>
      <c r="AH1337" s="122">
        <v>17966</v>
      </c>
      <c r="AI1337" s="122">
        <v>1076655</v>
      </c>
      <c r="AJ1337" s="122">
        <v>978777</v>
      </c>
      <c r="AK1337">
        <v>77</v>
      </c>
      <c r="AL1337" s="122">
        <v>229250</v>
      </c>
      <c r="AM1337" s="122">
        <v>208410</v>
      </c>
      <c r="AN1337" s="122">
        <v>111585</v>
      </c>
      <c r="AO1337" s="122">
        <v>41328</v>
      </c>
      <c r="AP1337" s="122">
        <v>33035</v>
      </c>
      <c r="AQ1337" s="122">
        <v>12235</v>
      </c>
      <c r="AR1337" s="122">
        <v>347543</v>
      </c>
      <c r="AS1337" s="122">
        <v>315948</v>
      </c>
      <c r="AT1337">
        <v>0</v>
      </c>
      <c r="AU1337">
        <v>0</v>
      </c>
      <c r="AV1337" s="122">
        <v>1556698</v>
      </c>
    </row>
    <row r="1338" spans="2:48" hidden="1">
      <c r="B1338" t="s">
        <v>372</v>
      </c>
      <c r="C1338" t="s">
        <v>58</v>
      </c>
      <c r="D1338" t="s">
        <v>406</v>
      </c>
      <c r="E1338" t="s">
        <v>406</v>
      </c>
      <c r="F1338" s="122">
        <v>427</v>
      </c>
      <c r="G1338" s="122">
        <v>41275</v>
      </c>
      <c r="H1338" s="122">
        <v>109804</v>
      </c>
      <c r="I1338" s="122">
        <v>5747244</v>
      </c>
      <c r="J1338" s="122">
        <v>5224767</v>
      </c>
      <c r="K1338" s="122">
        <v>82</v>
      </c>
      <c r="L1338" s="122">
        <v>1239719</v>
      </c>
      <c r="M1338" s="122">
        <v>1090742</v>
      </c>
      <c r="N1338" s="122">
        <v>853296</v>
      </c>
      <c r="O1338" s="122">
        <v>316036</v>
      </c>
      <c r="P1338" s="122">
        <v>271917</v>
      </c>
      <c r="Q1338" s="122">
        <v>100710</v>
      </c>
      <c r="R1338" s="122">
        <v>1889093</v>
      </c>
      <c r="S1338" s="122">
        <v>1717358</v>
      </c>
      <c r="T1338" s="122">
        <v>733063</v>
      </c>
      <c r="U1338" s="122">
        <v>271505</v>
      </c>
      <c r="V1338" s="122">
        <v>8721117</v>
      </c>
      <c r="W1338" s="122">
        <f t="shared" si="42"/>
        <v>8721118</v>
      </c>
      <c r="X1338" s="122">
        <f t="shared" si="43"/>
        <v>10734332</v>
      </c>
      <c r="AA1338" t="s">
        <v>60</v>
      </c>
      <c r="AB1338" t="s">
        <v>406</v>
      </c>
      <c r="AC1338" t="s">
        <v>433</v>
      </c>
      <c r="AD1338" t="s">
        <v>427</v>
      </c>
      <c r="AE1338" t="s">
        <v>137</v>
      </c>
      <c r="AF1338">
        <v>1</v>
      </c>
      <c r="AG1338">
        <v>73</v>
      </c>
      <c r="AH1338">
        <v>345</v>
      </c>
      <c r="AI1338" s="122">
        <v>11045</v>
      </c>
      <c r="AJ1338" s="122">
        <v>10040</v>
      </c>
      <c r="AK1338">
        <v>84</v>
      </c>
      <c r="AL1338" s="122">
        <v>1966</v>
      </c>
      <c r="AM1338" s="122">
        <v>1787</v>
      </c>
      <c r="AN1338" s="122">
        <v>1584</v>
      </c>
      <c r="AO1338">
        <v>586</v>
      </c>
      <c r="AP1338">
        <v>621</v>
      </c>
      <c r="AQ1338">
        <v>230</v>
      </c>
      <c r="AR1338" s="122">
        <v>5557</v>
      </c>
      <c r="AS1338" s="122">
        <v>5052</v>
      </c>
      <c r="AT1338" s="122">
        <v>4293</v>
      </c>
      <c r="AU1338" s="122">
        <v>1590</v>
      </c>
      <c r="AV1338" s="122">
        <v>19286</v>
      </c>
    </row>
    <row r="1339" spans="2:48" hidden="1">
      <c r="B1339" t="s">
        <v>372</v>
      </c>
      <c r="C1339" t="s">
        <v>58</v>
      </c>
      <c r="D1339" t="s">
        <v>406</v>
      </c>
      <c r="E1339" t="s">
        <v>407</v>
      </c>
      <c r="F1339" s="122">
        <v>3</v>
      </c>
      <c r="G1339" s="122">
        <v>345</v>
      </c>
      <c r="H1339" s="122">
        <v>762</v>
      </c>
      <c r="I1339" s="122">
        <v>57613</v>
      </c>
      <c r="J1339" s="122">
        <v>52375</v>
      </c>
      <c r="K1339" s="122">
        <v>77</v>
      </c>
      <c r="L1339" s="122">
        <v>15760</v>
      </c>
      <c r="M1339" s="122">
        <v>12309</v>
      </c>
      <c r="N1339" s="122">
        <v>8548</v>
      </c>
      <c r="O1339" s="122">
        <v>3166</v>
      </c>
      <c r="P1339" s="122">
        <v>1863</v>
      </c>
      <c r="Q1339" s="122">
        <v>690</v>
      </c>
      <c r="R1339" s="122">
        <v>11246</v>
      </c>
      <c r="S1339" s="122">
        <v>10224</v>
      </c>
      <c r="T1339" s="122">
        <v>8999</v>
      </c>
      <c r="U1339" s="122">
        <v>3333</v>
      </c>
      <c r="V1339" s="122">
        <v>82098</v>
      </c>
      <c r="W1339" s="122">
        <f t="shared" si="42"/>
        <v>82097</v>
      </c>
      <c r="X1339" s="122">
        <f t="shared" si="43"/>
        <v>104029</v>
      </c>
      <c r="AA1339" t="s">
        <v>60</v>
      </c>
      <c r="AB1339" t="s">
        <v>406</v>
      </c>
      <c r="AC1339" t="s">
        <v>408</v>
      </c>
      <c r="AD1339" t="s">
        <v>406</v>
      </c>
      <c r="AE1339" t="s">
        <v>566</v>
      </c>
      <c r="AF1339">
        <v>1</v>
      </c>
      <c r="AG1339">
        <v>118</v>
      </c>
      <c r="AH1339">
        <v>303</v>
      </c>
      <c r="AI1339" s="122">
        <v>32626</v>
      </c>
      <c r="AJ1339" s="122">
        <v>29660</v>
      </c>
      <c r="AK1339">
        <v>65</v>
      </c>
      <c r="AL1339" s="122">
        <v>4979</v>
      </c>
      <c r="AM1339" s="122">
        <v>4526</v>
      </c>
      <c r="AN1339" s="122">
        <v>3314</v>
      </c>
      <c r="AO1339" s="122">
        <v>1227</v>
      </c>
      <c r="AP1339">
        <v>621</v>
      </c>
      <c r="AQ1339">
        <v>230</v>
      </c>
      <c r="AR1339" s="122">
        <v>8439</v>
      </c>
      <c r="AS1339" s="122">
        <v>7672</v>
      </c>
      <c r="AT1339">
        <v>0</v>
      </c>
      <c r="AU1339">
        <v>0</v>
      </c>
      <c r="AV1339" s="122">
        <v>43315</v>
      </c>
    </row>
    <row r="1340" spans="2:48" hidden="1">
      <c r="B1340" t="s">
        <v>372</v>
      </c>
      <c r="C1340" t="s">
        <v>58</v>
      </c>
      <c r="D1340" t="s">
        <v>427</v>
      </c>
      <c r="E1340" t="s">
        <v>427</v>
      </c>
      <c r="F1340" s="122">
        <v>4</v>
      </c>
      <c r="G1340" s="122">
        <v>297</v>
      </c>
      <c r="H1340" s="122">
        <v>1055</v>
      </c>
      <c r="I1340" s="122">
        <v>37609</v>
      </c>
      <c r="J1340" s="122">
        <v>34190</v>
      </c>
      <c r="K1340" s="122">
        <v>70</v>
      </c>
      <c r="L1340" s="122">
        <v>8610</v>
      </c>
      <c r="M1340" s="122">
        <v>6710</v>
      </c>
      <c r="N1340" s="122">
        <v>5610</v>
      </c>
      <c r="O1340" s="122">
        <v>2078</v>
      </c>
      <c r="P1340" s="122">
        <v>1323</v>
      </c>
      <c r="Q1340" s="122">
        <v>490</v>
      </c>
      <c r="R1340" s="122">
        <v>23103</v>
      </c>
      <c r="S1340" s="122">
        <v>21003</v>
      </c>
      <c r="T1340" s="122">
        <v>2156</v>
      </c>
      <c r="U1340" s="122">
        <v>798</v>
      </c>
      <c r="V1340" s="122">
        <v>65269</v>
      </c>
      <c r="W1340" s="122">
        <f t="shared" si="42"/>
        <v>65269</v>
      </c>
      <c r="X1340" s="122">
        <f t="shared" si="43"/>
        <v>78411</v>
      </c>
      <c r="AA1340" t="s">
        <v>60</v>
      </c>
      <c r="AB1340" t="s">
        <v>406</v>
      </c>
      <c r="AC1340" t="s">
        <v>429</v>
      </c>
      <c r="AD1340" t="s">
        <v>406</v>
      </c>
      <c r="AE1340" t="s">
        <v>137</v>
      </c>
      <c r="AF1340">
        <v>5</v>
      </c>
      <c r="AG1340">
        <v>527</v>
      </c>
      <c r="AH1340" s="122">
        <v>1722</v>
      </c>
      <c r="AI1340" s="122">
        <v>109694</v>
      </c>
      <c r="AJ1340" s="122">
        <v>99722</v>
      </c>
      <c r="AK1340">
        <v>76</v>
      </c>
      <c r="AL1340" s="122">
        <v>21189</v>
      </c>
      <c r="AM1340" s="122">
        <v>19263</v>
      </c>
      <c r="AN1340" s="122">
        <v>9441</v>
      </c>
      <c r="AO1340" s="122">
        <v>3497</v>
      </c>
      <c r="AP1340" s="122">
        <v>3105</v>
      </c>
      <c r="AQ1340" s="122">
        <v>1150</v>
      </c>
      <c r="AR1340" s="122">
        <v>27124</v>
      </c>
      <c r="AS1340" s="122">
        <v>24658</v>
      </c>
      <c r="AT1340" s="122">
        <v>13841</v>
      </c>
      <c r="AU1340" s="122">
        <v>5126</v>
      </c>
      <c r="AV1340" s="122">
        <v>153416</v>
      </c>
    </row>
    <row r="1341" spans="2:48" hidden="1">
      <c r="B1341" t="s">
        <v>372</v>
      </c>
      <c r="C1341" t="s">
        <v>58</v>
      </c>
      <c r="D1341" t="s">
        <v>407</v>
      </c>
      <c r="E1341" t="s">
        <v>137</v>
      </c>
      <c r="F1341" s="122">
        <v>2</v>
      </c>
      <c r="G1341" s="122">
        <v>170</v>
      </c>
      <c r="H1341" s="122">
        <v>557</v>
      </c>
      <c r="I1341" s="122">
        <v>19813</v>
      </c>
      <c r="J1341" s="122">
        <v>18012</v>
      </c>
      <c r="K1341" s="122">
        <v>78</v>
      </c>
      <c r="L1341" s="122">
        <v>6995</v>
      </c>
      <c r="M1341" s="122">
        <v>6113</v>
      </c>
      <c r="N1341" s="122">
        <v>3839</v>
      </c>
      <c r="O1341" s="122">
        <v>1422</v>
      </c>
      <c r="P1341" s="122">
        <v>945</v>
      </c>
      <c r="Q1341" s="122">
        <v>350</v>
      </c>
      <c r="R1341" s="122">
        <v>13697</v>
      </c>
      <c r="S1341" s="122">
        <v>5073</v>
      </c>
      <c r="T1341" s="122">
        <v>2293</v>
      </c>
      <c r="U1341" s="122">
        <v>849</v>
      </c>
      <c r="V1341" s="122">
        <v>31819</v>
      </c>
      <c r="W1341" s="122">
        <f t="shared" si="42"/>
        <v>31819</v>
      </c>
      <c r="X1341" s="122">
        <f t="shared" si="43"/>
        <v>47582</v>
      </c>
      <c r="AA1341" t="s">
        <v>60</v>
      </c>
      <c r="AB1341" t="s">
        <v>406</v>
      </c>
      <c r="AC1341" t="s">
        <v>429</v>
      </c>
      <c r="AD1341" t="s">
        <v>406</v>
      </c>
      <c r="AE1341" t="s">
        <v>566</v>
      </c>
      <c r="AF1341">
        <v>4</v>
      </c>
      <c r="AG1341">
        <v>308</v>
      </c>
      <c r="AH1341" s="122">
        <v>1352</v>
      </c>
      <c r="AI1341" s="122">
        <v>70372</v>
      </c>
      <c r="AJ1341" s="122">
        <v>63974</v>
      </c>
      <c r="AK1341">
        <v>83</v>
      </c>
      <c r="AL1341" s="122">
        <v>9439</v>
      </c>
      <c r="AM1341" s="122">
        <v>8581</v>
      </c>
      <c r="AN1341" s="122">
        <v>6587</v>
      </c>
      <c r="AO1341" s="122">
        <v>2440</v>
      </c>
      <c r="AP1341" s="122">
        <v>2484</v>
      </c>
      <c r="AQ1341">
        <v>920</v>
      </c>
      <c r="AR1341" s="122">
        <v>20966</v>
      </c>
      <c r="AS1341" s="122">
        <v>19060</v>
      </c>
      <c r="AT1341">
        <v>0</v>
      </c>
      <c r="AU1341">
        <v>0</v>
      </c>
      <c r="AV1341" s="122">
        <v>94975</v>
      </c>
    </row>
    <row r="1342" spans="2:48" hidden="1">
      <c r="B1342" t="s">
        <v>372</v>
      </c>
      <c r="C1342" t="s">
        <v>58</v>
      </c>
      <c r="D1342" t="s">
        <v>407</v>
      </c>
      <c r="E1342" t="s">
        <v>406</v>
      </c>
      <c r="F1342" s="122">
        <v>2</v>
      </c>
      <c r="G1342" s="122">
        <v>192</v>
      </c>
      <c r="H1342" s="122">
        <v>524</v>
      </c>
      <c r="I1342" s="122">
        <v>23451</v>
      </c>
      <c r="J1342" s="122">
        <v>21319</v>
      </c>
      <c r="K1342" s="122">
        <v>72</v>
      </c>
      <c r="L1342" s="122">
        <v>4616</v>
      </c>
      <c r="M1342" s="122">
        <v>4196</v>
      </c>
      <c r="N1342" s="122">
        <v>3960</v>
      </c>
      <c r="O1342" s="122">
        <v>1467</v>
      </c>
      <c r="P1342" s="122">
        <v>945</v>
      </c>
      <c r="Q1342" s="122">
        <v>350</v>
      </c>
      <c r="R1342" s="122">
        <v>15143</v>
      </c>
      <c r="S1342" s="122">
        <v>13767</v>
      </c>
      <c r="T1342" s="122">
        <v>2291</v>
      </c>
      <c r="U1342" s="122">
        <v>848</v>
      </c>
      <c r="V1342" s="122">
        <v>41946</v>
      </c>
      <c r="W1342" s="122">
        <f t="shared" si="42"/>
        <v>41947</v>
      </c>
      <c r="X1342" s="122">
        <f t="shared" si="43"/>
        <v>50406</v>
      </c>
      <c r="AA1342" t="s">
        <v>60</v>
      </c>
      <c r="AB1342" t="s">
        <v>427</v>
      </c>
      <c r="AC1342" t="s">
        <v>425</v>
      </c>
      <c r="AD1342" t="s">
        <v>427</v>
      </c>
      <c r="AE1342" t="s">
        <v>137</v>
      </c>
      <c r="AF1342">
        <v>1</v>
      </c>
      <c r="AG1342">
        <v>77</v>
      </c>
      <c r="AH1342">
        <v>308</v>
      </c>
      <c r="AI1342" s="122">
        <v>11767</v>
      </c>
      <c r="AJ1342" s="122">
        <v>10697</v>
      </c>
      <c r="AK1342">
        <v>55</v>
      </c>
      <c r="AL1342" s="122">
        <v>1141</v>
      </c>
      <c r="AM1342" s="122">
        <v>1038</v>
      </c>
      <c r="AN1342" s="122">
        <v>1756</v>
      </c>
      <c r="AO1342">
        <v>650</v>
      </c>
      <c r="AP1342">
        <v>351</v>
      </c>
      <c r="AQ1342">
        <v>130</v>
      </c>
      <c r="AR1342" s="122">
        <v>5905</v>
      </c>
      <c r="AS1342" s="122">
        <v>5368</v>
      </c>
      <c r="AT1342" s="122">
        <v>2839</v>
      </c>
      <c r="AU1342" s="122">
        <v>1052</v>
      </c>
      <c r="AV1342" s="122">
        <v>18935</v>
      </c>
    </row>
    <row r="1343" spans="2:48" hidden="1">
      <c r="B1343" t="s">
        <v>372</v>
      </c>
      <c r="C1343" t="s">
        <v>58</v>
      </c>
      <c r="D1343" t="s">
        <v>407</v>
      </c>
      <c r="E1343" t="s">
        <v>407</v>
      </c>
      <c r="F1343" s="122">
        <v>307</v>
      </c>
      <c r="G1343" s="122">
        <v>26394</v>
      </c>
      <c r="H1343" s="122">
        <v>76625</v>
      </c>
      <c r="I1343" s="122">
        <v>3282068</v>
      </c>
      <c r="J1343" s="122">
        <v>2983698</v>
      </c>
      <c r="K1343" s="122">
        <v>79</v>
      </c>
      <c r="L1343" s="122">
        <v>867935</v>
      </c>
      <c r="M1343" s="122">
        <v>766445</v>
      </c>
      <c r="N1343" s="122">
        <v>520505</v>
      </c>
      <c r="O1343" s="122">
        <v>192780</v>
      </c>
      <c r="P1343" s="122">
        <v>145409</v>
      </c>
      <c r="Q1343" s="122">
        <v>53855</v>
      </c>
      <c r="R1343" s="122">
        <v>1404986</v>
      </c>
      <c r="S1343" s="122">
        <v>1277260</v>
      </c>
      <c r="T1343" s="122">
        <v>369503</v>
      </c>
      <c r="U1343" s="122">
        <v>136853</v>
      </c>
      <c r="V1343" s="122">
        <v>5410891</v>
      </c>
      <c r="W1343" s="122">
        <f t="shared" si="42"/>
        <v>5410891</v>
      </c>
      <c r="X1343" s="122">
        <f t="shared" si="43"/>
        <v>6590406</v>
      </c>
      <c r="AA1343" t="s">
        <v>60</v>
      </c>
      <c r="AB1343" t="s">
        <v>427</v>
      </c>
      <c r="AC1343" t="s">
        <v>137</v>
      </c>
      <c r="AD1343" t="s">
        <v>137</v>
      </c>
      <c r="AE1343" t="s">
        <v>566</v>
      </c>
      <c r="AF1343">
        <v>10</v>
      </c>
      <c r="AG1343">
        <v>703</v>
      </c>
      <c r="AH1343" s="122">
        <v>3314</v>
      </c>
      <c r="AI1343" s="122">
        <v>110091</v>
      </c>
      <c r="AJ1343" s="122">
        <v>100082</v>
      </c>
      <c r="AK1343">
        <v>58</v>
      </c>
      <c r="AL1343" s="122">
        <v>21467</v>
      </c>
      <c r="AM1343" s="122">
        <v>7951</v>
      </c>
      <c r="AN1343" s="122">
        <v>14994</v>
      </c>
      <c r="AO1343" s="122">
        <v>5553</v>
      </c>
      <c r="AP1343" s="122">
        <v>2106</v>
      </c>
      <c r="AQ1343">
        <v>780</v>
      </c>
      <c r="AR1343" s="122">
        <v>81791</v>
      </c>
      <c r="AS1343" s="122">
        <v>30293</v>
      </c>
      <c r="AT1343">
        <v>0</v>
      </c>
      <c r="AU1343">
        <v>0</v>
      </c>
      <c r="AV1343" s="122">
        <v>144659</v>
      </c>
    </row>
    <row r="1344" spans="2:48" hidden="1">
      <c r="B1344" t="s">
        <v>372</v>
      </c>
      <c r="C1344" t="s">
        <v>58</v>
      </c>
      <c r="D1344" t="s">
        <v>556</v>
      </c>
      <c r="E1344" t="s">
        <v>556</v>
      </c>
      <c r="F1344" s="122">
        <v>24</v>
      </c>
      <c r="G1344" s="122">
        <v>2057</v>
      </c>
      <c r="H1344" s="122">
        <v>6289</v>
      </c>
      <c r="I1344" s="122">
        <v>299836</v>
      </c>
      <c r="J1344" s="122">
        <v>249864</v>
      </c>
      <c r="K1344" s="122">
        <v>59</v>
      </c>
      <c r="L1344" s="122">
        <v>11815</v>
      </c>
      <c r="M1344" s="122">
        <v>11495</v>
      </c>
      <c r="N1344" s="122">
        <v>34007</v>
      </c>
      <c r="O1344" s="122">
        <v>12595</v>
      </c>
      <c r="P1344" s="122">
        <v>8694</v>
      </c>
      <c r="Q1344" s="122">
        <v>3220</v>
      </c>
      <c r="R1344" s="122">
        <v>129189</v>
      </c>
      <c r="S1344" s="122">
        <v>107658</v>
      </c>
      <c r="T1344" s="122">
        <v>53582</v>
      </c>
      <c r="U1344" s="122">
        <v>19845</v>
      </c>
      <c r="V1344" s="122">
        <v>404677</v>
      </c>
      <c r="W1344" s="122">
        <f t="shared" si="42"/>
        <v>404677</v>
      </c>
      <c r="X1344" s="122">
        <f t="shared" si="43"/>
        <v>537123</v>
      </c>
      <c r="AA1344" t="s">
        <v>60</v>
      </c>
      <c r="AB1344" t="s">
        <v>427</v>
      </c>
      <c r="AC1344" t="s">
        <v>137</v>
      </c>
      <c r="AD1344" t="s">
        <v>406</v>
      </c>
      <c r="AE1344" t="s">
        <v>137</v>
      </c>
      <c r="AF1344">
        <v>1</v>
      </c>
      <c r="AG1344">
        <v>62</v>
      </c>
      <c r="AH1344">
        <v>377</v>
      </c>
      <c r="AI1344" s="122">
        <v>13770</v>
      </c>
      <c r="AJ1344" s="122">
        <v>12518</v>
      </c>
      <c r="AK1344">
        <v>55</v>
      </c>
      <c r="AL1344" s="122">
        <v>2065</v>
      </c>
      <c r="AM1344">
        <v>765</v>
      </c>
      <c r="AN1344">
        <v>755</v>
      </c>
      <c r="AO1344">
        <v>280</v>
      </c>
      <c r="AP1344">
        <v>351</v>
      </c>
      <c r="AQ1344">
        <v>130</v>
      </c>
      <c r="AR1344" s="122">
        <v>4520</v>
      </c>
      <c r="AS1344" s="122">
        <v>4109</v>
      </c>
      <c r="AT1344" s="122">
        <v>1918</v>
      </c>
      <c r="AU1344">
        <v>711</v>
      </c>
      <c r="AV1344" s="122">
        <v>18512</v>
      </c>
    </row>
    <row r="1345" spans="2:48" hidden="1">
      <c r="B1345" t="s">
        <v>372</v>
      </c>
      <c r="C1345" t="s">
        <v>58</v>
      </c>
      <c r="D1345" t="s">
        <v>428</v>
      </c>
      <c r="E1345" t="s">
        <v>428</v>
      </c>
      <c r="F1345" s="122">
        <v>8</v>
      </c>
      <c r="G1345" s="122">
        <v>638</v>
      </c>
      <c r="H1345" s="122">
        <v>2229</v>
      </c>
      <c r="I1345" s="122">
        <v>98639</v>
      </c>
      <c r="J1345" s="122">
        <v>89672</v>
      </c>
      <c r="K1345" s="122">
        <v>60</v>
      </c>
      <c r="L1345" s="122">
        <v>11854</v>
      </c>
      <c r="M1345" s="122">
        <v>11356</v>
      </c>
      <c r="N1345" s="122">
        <v>11742</v>
      </c>
      <c r="O1345" s="122">
        <v>4349</v>
      </c>
      <c r="P1345" s="122">
        <v>2808</v>
      </c>
      <c r="Q1345" s="122">
        <v>1040</v>
      </c>
      <c r="R1345" s="122">
        <v>47235</v>
      </c>
      <c r="S1345" s="122">
        <v>42941</v>
      </c>
      <c r="T1345" s="122">
        <v>4314</v>
      </c>
      <c r="U1345" s="122">
        <v>1598</v>
      </c>
      <c r="V1345" s="122">
        <v>150955</v>
      </c>
      <c r="W1345" s="122">
        <f t="shared" si="42"/>
        <v>150956</v>
      </c>
      <c r="X1345" s="122">
        <f t="shared" si="43"/>
        <v>176592</v>
      </c>
      <c r="AA1345" t="s">
        <v>60</v>
      </c>
      <c r="AB1345" t="s">
        <v>427</v>
      </c>
      <c r="AC1345" t="s">
        <v>137</v>
      </c>
      <c r="AD1345" t="s">
        <v>427</v>
      </c>
      <c r="AE1345" t="s">
        <v>137</v>
      </c>
      <c r="AF1345">
        <v>107</v>
      </c>
      <c r="AG1345" s="122">
        <v>7582</v>
      </c>
      <c r="AH1345" s="122">
        <v>36743</v>
      </c>
      <c r="AI1345" s="122">
        <v>1376866</v>
      </c>
      <c r="AJ1345" s="122">
        <v>1251697</v>
      </c>
      <c r="AK1345">
        <v>56</v>
      </c>
      <c r="AL1345" s="122">
        <v>256203</v>
      </c>
      <c r="AM1345" s="122">
        <v>94890</v>
      </c>
      <c r="AN1345" s="122">
        <v>151014</v>
      </c>
      <c r="AO1345" s="122">
        <v>55931</v>
      </c>
      <c r="AP1345" s="122">
        <v>36464</v>
      </c>
      <c r="AQ1345" s="122">
        <v>13505</v>
      </c>
      <c r="AR1345" s="122">
        <v>537935</v>
      </c>
      <c r="AS1345" s="122">
        <v>489032</v>
      </c>
      <c r="AT1345" s="122">
        <v>237349</v>
      </c>
      <c r="AU1345" s="122">
        <v>87907</v>
      </c>
      <c r="AV1345" s="122">
        <v>1992962</v>
      </c>
    </row>
    <row r="1346" spans="2:48" hidden="1">
      <c r="B1346" t="s">
        <v>372</v>
      </c>
      <c r="C1346" t="s">
        <v>58</v>
      </c>
      <c r="D1346" t="s">
        <v>431</v>
      </c>
      <c r="E1346" t="s">
        <v>431</v>
      </c>
      <c r="F1346" s="122">
        <v>11</v>
      </c>
      <c r="G1346" s="122">
        <v>880</v>
      </c>
      <c r="H1346" s="122">
        <v>3000</v>
      </c>
      <c r="I1346" s="122">
        <v>128427</v>
      </c>
      <c r="J1346" s="122">
        <v>116752</v>
      </c>
      <c r="K1346" s="122">
        <v>63</v>
      </c>
      <c r="L1346" s="122">
        <v>16422</v>
      </c>
      <c r="M1346" s="122">
        <v>14930</v>
      </c>
      <c r="N1346" s="122">
        <v>19075</v>
      </c>
      <c r="O1346" s="122">
        <v>7065</v>
      </c>
      <c r="P1346" s="122">
        <v>3159</v>
      </c>
      <c r="Q1346" s="122">
        <v>1170</v>
      </c>
      <c r="R1346" s="122">
        <v>54848</v>
      </c>
      <c r="S1346" s="122">
        <v>49862</v>
      </c>
      <c r="T1346" s="122">
        <v>17715</v>
      </c>
      <c r="U1346" s="122">
        <v>6561</v>
      </c>
      <c r="V1346" s="122">
        <v>196339</v>
      </c>
      <c r="W1346" s="122">
        <f t="shared" si="42"/>
        <v>196340</v>
      </c>
      <c r="X1346" s="122">
        <f t="shared" si="43"/>
        <v>239646</v>
      </c>
      <c r="AA1346" t="s">
        <v>60</v>
      </c>
      <c r="AB1346" t="s">
        <v>427</v>
      </c>
      <c r="AC1346" t="s">
        <v>137</v>
      </c>
      <c r="AD1346" t="s">
        <v>427</v>
      </c>
      <c r="AE1346" t="s">
        <v>566</v>
      </c>
      <c r="AF1346">
        <v>7</v>
      </c>
      <c r="AG1346">
        <v>583</v>
      </c>
      <c r="AH1346" s="122">
        <v>2263</v>
      </c>
      <c r="AI1346" s="122">
        <v>99869</v>
      </c>
      <c r="AJ1346" s="122">
        <v>90790</v>
      </c>
      <c r="AK1346">
        <v>58</v>
      </c>
      <c r="AL1346" s="122">
        <v>15830</v>
      </c>
      <c r="AM1346" s="122">
        <v>5863</v>
      </c>
      <c r="AN1346" s="122">
        <v>11151</v>
      </c>
      <c r="AO1346" s="122">
        <v>4130</v>
      </c>
      <c r="AP1346" s="122">
        <v>2106</v>
      </c>
      <c r="AQ1346">
        <v>780</v>
      </c>
      <c r="AR1346" s="122">
        <v>59696</v>
      </c>
      <c r="AS1346" s="122">
        <v>54269</v>
      </c>
      <c r="AT1346">
        <v>0</v>
      </c>
      <c r="AU1346">
        <v>0</v>
      </c>
      <c r="AV1346" s="122">
        <v>155831</v>
      </c>
    </row>
    <row r="1347" spans="2:48" hidden="1">
      <c r="B1347" t="s">
        <v>372</v>
      </c>
      <c r="C1347" t="s">
        <v>58</v>
      </c>
      <c r="D1347" t="s">
        <v>426</v>
      </c>
      <c r="E1347" t="s">
        <v>137</v>
      </c>
      <c r="F1347" s="122">
        <v>1</v>
      </c>
      <c r="G1347" s="122">
        <v>76</v>
      </c>
      <c r="H1347" s="122">
        <v>290</v>
      </c>
      <c r="I1347" s="122">
        <v>11539</v>
      </c>
      <c r="J1347" s="122">
        <v>10490</v>
      </c>
      <c r="K1347" s="122">
        <v>60</v>
      </c>
      <c r="L1347" s="122">
        <v>1888</v>
      </c>
      <c r="M1347" s="122">
        <v>699</v>
      </c>
      <c r="N1347" s="122">
        <v>1722</v>
      </c>
      <c r="O1347" s="122">
        <v>638</v>
      </c>
      <c r="P1347" s="122">
        <v>0</v>
      </c>
      <c r="Q1347" s="122">
        <v>0</v>
      </c>
      <c r="R1347" s="122">
        <v>6788</v>
      </c>
      <c r="S1347" s="122">
        <v>2514</v>
      </c>
      <c r="T1347" s="122">
        <v>0</v>
      </c>
      <c r="U1347" s="122">
        <v>0</v>
      </c>
      <c r="V1347" s="122">
        <v>14341</v>
      </c>
      <c r="W1347" s="122">
        <f t="shared" si="42"/>
        <v>14341</v>
      </c>
      <c r="X1347" s="122">
        <f t="shared" si="43"/>
        <v>21937</v>
      </c>
      <c r="AA1347" t="s">
        <v>60</v>
      </c>
      <c r="AB1347" t="s">
        <v>427</v>
      </c>
      <c r="AC1347" t="s">
        <v>580</v>
      </c>
      <c r="AD1347" t="s">
        <v>427</v>
      </c>
      <c r="AE1347" t="s">
        <v>137</v>
      </c>
      <c r="AF1347">
        <v>10</v>
      </c>
      <c r="AG1347">
        <v>829</v>
      </c>
      <c r="AH1347" s="122">
        <v>3410</v>
      </c>
      <c r="AI1347" s="122">
        <v>174623</v>
      </c>
      <c r="AJ1347" s="122">
        <v>158749</v>
      </c>
      <c r="AK1347">
        <v>59</v>
      </c>
      <c r="AL1347" s="122">
        <v>16628</v>
      </c>
      <c r="AM1347" s="122">
        <v>15116</v>
      </c>
      <c r="AN1347" s="122">
        <v>15944</v>
      </c>
      <c r="AO1347" s="122">
        <v>5905</v>
      </c>
      <c r="AP1347" s="122">
        <v>4050</v>
      </c>
      <c r="AQ1347" s="122">
        <v>1500</v>
      </c>
      <c r="AR1347" s="122">
        <v>48370</v>
      </c>
      <c r="AS1347" s="122">
        <v>43972</v>
      </c>
      <c r="AT1347" s="122">
        <v>23287</v>
      </c>
      <c r="AU1347" s="122">
        <v>8625</v>
      </c>
      <c r="AV1347" s="122">
        <v>233867</v>
      </c>
    </row>
    <row r="1348" spans="2:48" hidden="1">
      <c r="B1348" t="s">
        <v>372</v>
      </c>
      <c r="C1348" t="s">
        <v>58</v>
      </c>
      <c r="D1348" t="s">
        <v>426</v>
      </c>
      <c r="E1348" t="s">
        <v>426</v>
      </c>
      <c r="F1348" s="122">
        <v>186</v>
      </c>
      <c r="G1348" s="122">
        <v>15849</v>
      </c>
      <c r="H1348" s="122">
        <v>50139</v>
      </c>
      <c r="I1348" s="122">
        <v>2248818</v>
      </c>
      <c r="J1348" s="122">
        <v>2044380</v>
      </c>
      <c r="K1348" s="122">
        <v>60</v>
      </c>
      <c r="L1348" s="122">
        <v>404238</v>
      </c>
      <c r="M1348" s="122">
        <v>342849</v>
      </c>
      <c r="N1348" s="122">
        <v>245995</v>
      </c>
      <c r="O1348" s="122">
        <v>91109</v>
      </c>
      <c r="P1348" s="122">
        <v>65475</v>
      </c>
      <c r="Q1348" s="122">
        <v>24250</v>
      </c>
      <c r="R1348" s="122">
        <v>939876</v>
      </c>
      <c r="S1348" s="122">
        <v>854432</v>
      </c>
      <c r="T1348" s="122">
        <v>372752</v>
      </c>
      <c r="U1348" s="122">
        <v>138056</v>
      </c>
      <c r="V1348" s="122">
        <v>3495076</v>
      </c>
      <c r="W1348" s="122">
        <f t="shared" si="42"/>
        <v>3495076</v>
      </c>
      <c r="X1348" s="122">
        <f t="shared" si="43"/>
        <v>4277154</v>
      </c>
      <c r="AA1348" t="s">
        <v>60</v>
      </c>
      <c r="AB1348" t="s">
        <v>427</v>
      </c>
      <c r="AC1348" t="s">
        <v>427</v>
      </c>
      <c r="AD1348" t="s">
        <v>137</v>
      </c>
      <c r="AE1348" t="s">
        <v>566</v>
      </c>
      <c r="AF1348">
        <v>2</v>
      </c>
      <c r="AG1348">
        <v>160</v>
      </c>
      <c r="AH1348">
        <v>644</v>
      </c>
      <c r="AI1348" s="122">
        <v>25297</v>
      </c>
      <c r="AJ1348" s="122">
        <v>22997</v>
      </c>
      <c r="AK1348">
        <v>60</v>
      </c>
      <c r="AL1348" s="122">
        <v>5590</v>
      </c>
      <c r="AM1348" s="122">
        <v>5082</v>
      </c>
      <c r="AN1348" s="122">
        <v>3243</v>
      </c>
      <c r="AO1348" s="122">
        <v>1201</v>
      </c>
      <c r="AP1348">
        <v>702</v>
      </c>
      <c r="AQ1348">
        <v>260</v>
      </c>
      <c r="AR1348" s="122">
        <v>16720</v>
      </c>
      <c r="AS1348" s="122">
        <v>6193</v>
      </c>
      <c r="AT1348">
        <v>0</v>
      </c>
      <c r="AU1348">
        <v>0</v>
      </c>
      <c r="AV1348" s="122">
        <v>35733</v>
      </c>
    </row>
    <row r="1349" spans="2:48" hidden="1">
      <c r="B1349" t="s">
        <v>372</v>
      </c>
      <c r="C1349" t="s">
        <v>58</v>
      </c>
      <c r="D1349" t="s">
        <v>408</v>
      </c>
      <c r="E1349" t="s">
        <v>408</v>
      </c>
      <c r="F1349" s="122">
        <v>1</v>
      </c>
      <c r="G1349" s="122">
        <v>191</v>
      </c>
      <c r="H1349" s="122">
        <v>240</v>
      </c>
      <c r="I1349" s="122">
        <v>27429</v>
      </c>
      <c r="J1349" s="122">
        <v>24936</v>
      </c>
      <c r="K1349" s="122">
        <v>65</v>
      </c>
      <c r="L1349" s="122">
        <v>6603</v>
      </c>
      <c r="M1349" s="122">
        <v>6003</v>
      </c>
      <c r="N1349" s="122">
        <v>3731</v>
      </c>
      <c r="O1349" s="122">
        <v>1382</v>
      </c>
      <c r="P1349" s="122">
        <v>351</v>
      </c>
      <c r="Q1349" s="122">
        <v>130</v>
      </c>
      <c r="R1349" s="122">
        <v>7757</v>
      </c>
      <c r="S1349" s="122">
        <v>7052</v>
      </c>
      <c r="T1349" s="122">
        <v>0</v>
      </c>
      <c r="U1349" s="122">
        <v>0</v>
      </c>
      <c r="V1349" s="122">
        <v>39503</v>
      </c>
      <c r="W1349" s="122">
        <f t="shared" si="42"/>
        <v>39503</v>
      </c>
      <c r="X1349" s="122">
        <f t="shared" si="43"/>
        <v>45871</v>
      </c>
      <c r="AA1349" t="s">
        <v>60</v>
      </c>
      <c r="AB1349" t="s">
        <v>427</v>
      </c>
      <c r="AC1349" t="s">
        <v>427</v>
      </c>
      <c r="AD1349" t="s">
        <v>406</v>
      </c>
      <c r="AE1349" t="s">
        <v>137</v>
      </c>
      <c r="AF1349">
        <v>1</v>
      </c>
      <c r="AG1349">
        <v>73</v>
      </c>
      <c r="AH1349">
        <v>355</v>
      </c>
      <c r="AI1349" s="122">
        <v>13940</v>
      </c>
      <c r="AJ1349" s="122">
        <v>12672</v>
      </c>
      <c r="AK1349">
        <v>55</v>
      </c>
      <c r="AL1349" s="122">
        <v>1893</v>
      </c>
      <c r="AM1349" s="122">
        <v>1721</v>
      </c>
      <c r="AN1349" s="122">
        <v>1223</v>
      </c>
      <c r="AO1349">
        <v>453</v>
      </c>
      <c r="AP1349">
        <v>351</v>
      </c>
      <c r="AQ1349">
        <v>130</v>
      </c>
      <c r="AR1349" s="122">
        <v>5826</v>
      </c>
      <c r="AS1349" s="122">
        <v>5297</v>
      </c>
      <c r="AT1349" s="122">
        <v>2787</v>
      </c>
      <c r="AU1349" s="122">
        <v>1032</v>
      </c>
      <c r="AV1349" s="122">
        <v>21305</v>
      </c>
    </row>
    <row r="1350" spans="2:48" hidden="1">
      <c r="B1350" t="s">
        <v>372</v>
      </c>
      <c r="C1350" t="s">
        <v>60</v>
      </c>
      <c r="D1350" t="s">
        <v>405</v>
      </c>
      <c r="E1350" t="s">
        <v>405</v>
      </c>
      <c r="F1350" s="122">
        <v>1</v>
      </c>
      <c r="G1350" s="122">
        <v>68</v>
      </c>
      <c r="H1350" s="122">
        <v>306</v>
      </c>
      <c r="I1350" s="122">
        <v>14419</v>
      </c>
      <c r="J1350" s="122">
        <v>13108</v>
      </c>
      <c r="K1350" s="122">
        <v>94</v>
      </c>
      <c r="L1350" s="122">
        <v>2738</v>
      </c>
      <c r="M1350" s="122">
        <v>2489</v>
      </c>
      <c r="N1350" s="122">
        <v>1084</v>
      </c>
      <c r="O1350" s="122">
        <v>401</v>
      </c>
      <c r="P1350" s="122">
        <v>473</v>
      </c>
      <c r="Q1350" s="122">
        <v>175</v>
      </c>
      <c r="R1350" s="122">
        <v>2043</v>
      </c>
      <c r="S1350" s="122">
        <v>1857</v>
      </c>
      <c r="T1350" s="122">
        <v>0</v>
      </c>
      <c r="U1350" s="122">
        <v>0</v>
      </c>
      <c r="V1350" s="122">
        <v>18031</v>
      </c>
      <c r="W1350" s="122">
        <f t="shared" si="42"/>
        <v>18030</v>
      </c>
      <c r="X1350" s="122">
        <f t="shared" si="43"/>
        <v>20757</v>
      </c>
      <c r="AA1350" t="s">
        <v>60</v>
      </c>
      <c r="AB1350" t="s">
        <v>427</v>
      </c>
      <c r="AC1350" t="s">
        <v>427</v>
      </c>
      <c r="AD1350" t="s">
        <v>427</v>
      </c>
      <c r="AE1350" t="s">
        <v>137</v>
      </c>
      <c r="AF1350">
        <v>422</v>
      </c>
      <c r="AG1350" s="122">
        <v>35669</v>
      </c>
      <c r="AH1350" s="122">
        <v>143814</v>
      </c>
      <c r="AI1350" s="122">
        <v>6670265</v>
      </c>
      <c r="AJ1350" s="122">
        <v>6063878</v>
      </c>
      <c r="AK1350">
        <v>49</v>
      </c>
      <c r="AL1350" s="122">
        <v>1150315</v>
      </c>
      <c r="AM1350" s="122">
        <v>1045741</v>
      </c>
      <c r="AN1350" s="122">
        <v>700364</v>
      </c>
      <c r="AO1350" s="122">
        <v>259394</v>
      </c>
      <c r="AP1350" s="122">
        <v>148082</v>
      </c>
      <c r="AQ1350" s="122">
        <v>54845</v>
      </c>
      <c r="AR1350" s="122">
        <v>2437107</v>
      </c>
      <c r="AS1350" s="122">
        <v>2215552</v>
      </c>
      <c r="AT1350" s="122">
        <v>1029514</v>
      </c>
      <c r="AU1350" s="122">
        <v>381302</v>
      </c>
      <c r="AV1350" s="122">
        <v>10020711</v>
      </c>
    </row>
    <row r="1351" spans="2:48" hidden="1">
      <c r="B1351" t="s">
        <v>372</v>
      </c>
      <c r="C1351" t="s">
        <v>60</v>
      </c>
      <c r="D1351" t="s">
        <v>137</v>
      </c>
      <c r="E1351" t="s">
        <v>137</v>
      </c>
      <c r="F1351" s="122">
        <v>40</v>
      </c>
      <c r="G1351" s="122">
        <v>3375</v>
      </c>
      <c r="H1351" s="122">
        <v>13138</v>
      </c>
      <c r="I1351" s="122">
        <v>707895</v>
      </c>
      <c r="J1351" s="122">
        <v>262183</v>
      </c>
      <c r="K1351" s="122">
        <v>100</v>
      </c>
      <c r="L1351" s="122">
        <v>113155</v>
      </c>
      <c r="M1351" s="122">
        <v>93904</v>
      </c>
      <c r="N1351" s="122">
        <v>77184</v>
      </c>
      <c r="O1351" s="122">
        <v>28587</v>
      </c>
      <c r="P1351" s="122">
        <v>972</v>
      </c>
      <c r="Q1351" s="122">
        <v>360</v>
      </c>
      <c r="R1351" s="122">
        <v>251236</v>
      </c>
      <c r="S1351" s="122">
        <v>93050</v>
      </c>
      <c r="T1351" s="122">
        <v>0</v>
      </c>
      <c r="U1351" s="122">
        <v>0</v>
      </c>
      <c r="V1351" s="122">
        <v>478084</v>
      </c>
      <c r="W1351" s="122">
        <f t="shared" si="42"/>
        <v>478084</v>
      </c>
      <c r="X1351" s="122">
        <f t="shared" si="43"/>
        <v>1150442</v>
      </c>
      <c r="AA1351" t="s">
        <v>60</v>
      </c>
      <c r="AB1351" t="s">
        <v>427</v>
      </c>
      <c r="AC1351" t="s">
        <v>427</v>
      </c>
      <c r="AD1351" t="s">
        <v>427</v>
      </c>
      <c r="AE1351" t="s">
        <v>566</v>
      </c>
      <c r="AF1351">
        <v>21</v>
      </c>
      <c r="AG1351" s="122">
        <v>1697</v>
      </c>
      <c r="AH1351" s="122">
        <v>7260</v>
      </c>
      <c r="AI1351" s="122">
        <v>309088</v>
      </c>
      <c r="AJ1351" s="122">
        <v>280989</v>
      </c>
      <c r="AK1351">
        <v>52</v>
      </c>
      <c r="AL1351" s="122">
        <v>56896</v>
      </c>
      <c r="AM1351" s="122">
        <v>51724</v>
      </c>
      <c r="AN1351" s="122">
        <v>33023</v>
      </c>
      <c r="AO1351" s="122">
        <v>12231</v>
      </c>
      <c r="AP1351" s="122">
        <v>7061</v>
      </c>
      <c r="AQ1351" s="122">
        <v>2615</v>
      </c>
      <c r="AR1351" s="122">
        <v>177772</v>
      </c>
      <c r="AS1351" s="122">
        <v>161611</v>
      </c>
      <c r="AT1351">
        <v>0</v>
      </c>
      <c r="AU1351">
        <v>0</v>
      </c>
      <c r="AV1351" s="122">
        <v>509170</v>
      </c>
    </row>
    <row r="1352" spans="2:48" hidden="1">
      <c r="B1352" t="s">
        <v>372</v>
      </c>
      <c r="C1352" t="s">
        <v>60</v>
      </c>
      <c r="D1352" t="s">
        <v>137</v>
      </c>
      <c r="E1352" t="s">
        <v>426</v>
      </c>
      <c r="F1352" s="122">
        <v>4</v>
      </c>
      <c r="G1352" s="122">
        <v>331</v>
      </c>
      <c r="H1352" s="122">
        <v>1363</v>
      </c>
      <c r="I1352" s="122">
        <v>57181</v>
      </c>
      <c r="J1352" s="122">
        <v>21178</v>
      </c>
      <c r="K1352" s="122">
        <v>100</v>
      </c>
      <c r="L1352" s="122">
        <v>6700</v>
      </c>
      <c r="M1352" s="122">
        <v>6091</v>
      </c>
      <c r="N1352" s="122">
        <v>6362</v>
      </c>
      <c r="O1352" s="122">
        <v>2356</v>
      </c>
      <c r="P1352" s="122">
        <v>702</v>
      </c>
      <c r="Q1352" s="122">
        <v>260</v>
      </c>
      <c r="R1352" s="122">
        <v>33457</v>
      </c>
      <c r="S1352" s="122">
        <v>30416</v>
      </c>
      <c r="T1352" s="122">
        <v>8700</v>
      </c>
      <c r="U1352" s="122">
        <v>3222</v>
      </c>
      <c r="V1352" s="122">
        <v>63524</v>
      </c>
      <c r="W1352" s="122">
        <f t="shared" si="42"/>
        <v>63523</v>
      </c>
      <c r="X1352" s="122">
        <f t="shared" si="43"/>
        <v>113102</v>
      </c>
      <c r="AA1352" t="s">
        <v>60</v>
      </c>
      <c r="AB1352" t="s">
        <v>427</v>
      </c>
      <c r="AC1352" t="s">
        <v>428</v>
      </c>
      <c r="AD1352" t="s">
        <v>427</v>
      </c>
      <c r="AE1352" t="s">
        <v>566</v>
      </c>
      <c r="AF1352">
        <v>1</v>
      </c>
      <c r="AG1352">
        <v>74</v>
      </c>
      <c r="AH1352">
        <v>338</v>
      </c>
      <c r="AI1352" s="122">
        <v>12987</v>
      </c>
      <c r="AJ1352" s="122">
        <v>11806</v>
      </c>
      <c r="AK1352">
        <v>65</v>
      </c>
      <c r="AL1352" s="122">
        <v>3126</v>
      </c>
      <c r="AM1352" s="122">
        <v>2842</v>
      </c>
      <c r="AN1352" s="122">
        <v>1797</v>
      </c>
      <c r="AO1352">
        <v>666</v>
      </c>
      <c r="AP1352">
        <v>351</v>
      </c>
      <c r="AQ1352">
        <v>130</v>
      </c>
      <c r="AR1352" s="122">
        <v>6678</v>
      </c>
      <c r="AS1352" s="122">
        <v>6070</v>
      </c>
      <c r="AT1352">
        <v>0</v>
      </c>
      <c r="AU1352">
        <v>0</v>
      </c>
      <c r="AV1352" s="122">
        <v>21514</v>
      </c>
    </row>
    <row r="1353" spans="2:48" hidden="1">
      <c r="B1353" t="s">
        <v>372</v>
      </c>
      <c r="C1353" t="s">
        <v>60</v>
      </c>
      <c r="D1353" t="s">
        <v>406</v>
      </c>
      <c r="E1353" t="s">
        <v>137</v>
      </c>
      <c r="F1353" s="122">
        <v>1</v>
      </c>
      <c r="G1353" s="122">
        <v>74</v>
      </c>
      <c r="H1353" s="122">
        <v>336</v>
      </c>
      <c r="I1353" s="122">
        <v>18303</v>
      </c>
      <c r="J1353" s="122">
        <v>16639</v>
      </c>
      <c r="K1353" s="122">
        <v>84</v>
      </c>
      <c r="L1353" s="122">
        <v>0</v>
      </c>
      <c r="M1353" s="122">
        <v>0</v>
      </c>
      <c r="N1353" s="122">
        <v>1811</v>
      </c>
      <c r="O1353" s="122">
        <v>671</v>
      </c>
      <c r="P1353" s="122">
        <v>621</v>
      </c>
      <c r="Q1353" s="122">
        <v>230</v>
      </c>
      <c r="R1353" s="122">
        <v>4232</v>
      </c>
      <c r="S1353" s="122">
        <v>1567</v>
      </c>
      <c r="T1353" s="122">
        <v>0</v>
      </c>
      <c r="U1353" s="122">
        <v>0</v>
      </c>
      <c r="V1353" s="122">
        <v>19107</v>
      </c>
      <c r="W1353" s="122">
        <f t="shared" si="42"/>
        <v>19107</v>
      </c>
      <c r="X1353" s="122">
        <f t="shared" si="43"/>
        <v>24967</v>
      </c>
      <c r="AA1353" t="s">
        <v>60</v>
      </c>
      <c r="AB1353" t="s">
        <v>427</v>
      </c>
      <c r="AC1353" t="s">
        <v>431</v>
      </c>
      <c r="AD1353" t="s">
        <v>427</v>
      </c>
      <c r="AE1353" t="s">
        <v>137</v>
      </c>
      <c r="AF1353">
        <v>2</v>
      </c>
      <c r="AG1353">
        <v>160</v>
      </c>
      <c r="AH1353">
        <v>691</v>
      </c>
      <c r="AI1353" s="122">
        <v>30632</v>
      </c>
      <c r="AJ1353" s="122">
        <v>27848</v>
      </c>
      <c r="AK1353">
        <v>53</v>
      </c>
      <c r="AL1353" s="122">
        <v>4715</v>
      </c>
      <c r="AM1353" s="122">
        <v>4287</v>
      </c>
      <c r="AN1353" s="122">
        <v>2718</v>
      </c>
      <c r="AO1353" s="122">
        <v>1006</v>
      </c>
      <c r="AP1353">
        <v>351</v>
      </c>
      <c r="AQ1353">
        <v>130</v>
      </c>
      <c r="AR1353" s="122">
        <v>11681</v>
      </c>
      <c r="AS1353" s="122">
        <v>10619</v>
      </c>
      <c r="AT1353" s="122">
        <v>5228</v>
      </c>
      <c r="AU1353" s="122">
        <v>1936</v>
      </c>
      <c r="AV1353" s="122">
        <v>45826</v>
      </c>
    </row>
    <row r="1354" spans="2:48" hidden="1">
      <c r="B1354" t="s">
        <v>372</v>
      </c>
      <c r="C1354" t="s">
        <v>60</v>
      </c>
      <c r="D1354" t="s">
        <v>406</v>
      </c>
      <c r="E1354" t="s">
        <v>406</v>
      </c>
      <c r="F1354" s="122">
        <v>193</v>
      </c>
      <c r="G1354" s="122">
        <v>18886</v>
      </c>
      <c r="H1354" s="122">
        <v>65051</v>
      </c>
      <c r="I1354" s="122">
        <v>3863009</v>
      </c>
      <c r="J1354" s="122">
        <v>3511826</v>
      </c>
      <c r="K1354" s="122">
        <v>78</v>
      </c>
      <c r="L1354" s="122">
        <v>802622</v>
      </c>
      <c r="M1354" s="122">
        <v>693849</v>
      </c>
      <c r="N1354" s="122">
        <v>384194</v>
      </c>
      <c r="O1354" s="122">
        <v>142294</v>
      </c>
      <c r="P1354" s="122">
        <v>123012</v>
      </c>
      <c r="Q1354" s="122">
        <v>45560</v>
      </c>
      <c r="R1354" s="122">
        <v>916780</v>
      </c>
      <c r="S1354" s="122">
        <v>833437</v>
      </c>
      <c r="T1354" s="122">
        <v>330851</v>
      </c>
      <c r="U1354" s="122">
        <v>122537</v>
      </c>
      <c r="V1354" s="122">
        <v>5349503</v>
      </c>
      <c r="W1354" s="122">
        <f t="shared" si="42"/>
        <v>5349503</v>
      </c>
      <c r="X1354" s="122">
        <f t="shared" si="43"/>
        <v>6420468</v>
      </c>
      <c r="AA1354" t="s">
        <v>60</v>
      </c>
      <c r="AB1354" t="s">
        <v>427</v>
      </c>
      <c r="AC1354" t="s">
        <v>426</v>
      </c>
      <c r="AD1354" t="s">
        <v>406</v>
      </c>
      <c r="AE1354" t="s">
        <v>137</v>
      </c>
      <c r="AF1354">
        <v>3</v>
      </c>
      <c r="AG1354">
        <v>253</v>
      </c>
      <c r="AH1354" s="122">
        <v>1003</v>
      </c>
      <c r="AI1354" s="122">
        <v>45738</v>
      </c>
      <c r="AJ1354" s="122">
        <v>41580</v>
      </c>
      <c r="AK1354">
        <v>73</v>
      </c>
      <c r="AL1354" s="122">
        <v>7821</v>
      </c>
      <c r="AM1354" s="122">
        <v>7110</v>
      </c>
      <c r="AN1354" s="122">
        <v>5901</v>
      </c>
      <c r="AO1354" s="122">
        <v>2186</v>
      </c>
      <c r="AP1354" s="122">
        <v>1863</v>
      </c>
      <c r="AQ1354">
        <v>690</v>
      </c>
      <c r="AR1354" s="122">
        <v>13589</v>
      </c>
      <c r="AS1354" s="122">
        <v>12354</v>
      </c>
      <c r="AT1354" s="122">
        <v>9160</v>
      </c>
      <c r="AU1354" s="122">
        <v>3393</v>
      </c>
      <c r="AV1354" s="122">
        <v>67312</v>
      </c>
    </row>
    <row r="1355" spans="2:48" hidden="1">
      <c r="B1355" t="s">
        <v>372</v>
      </c>
      <c r="C1355" t="s">
        <v>60</v>
      </c>
      <c r="D1355" t="s">
        <v>427</v>
      </c>
      <c r="E1355" t="s">
        <v>427</v>
      </c>
      <c r="F1355" s="122">
        <v>5</v>
      </c>
      <c r="G1355" s="122">
        <v>372</v>
      </c>
      <c r="H1355" s="122">
        <v>1829</v>
      </c>
      <c r="I1355" s="122">
        <v>82461</v>
      </c>
      <c r="J1355" s="122">
        <v>74964</v>
      </c>
      <c r="K1355" s="122">
        <v>57</v>
      </c>
      <c r="L1355" s="122">
        <v>12412</v>
      </c>
      <c r="M1355" s="122">
        <v>12055</v>
      </c>
      <c r="N1355" s="122">
        <v>6549</v>
      </c>
      <c r="O1355" s="122">
        <v>2425</v>
      </c>
      <c r="P1355" s="122">
        <v>1755</v>
      </c>
      <c r="Q1355" s="122">
        <v>650</v>
      </c>
      <c r="R1355" s="122">
        <v>26375</v>
      </c>
      <c r="S1355" s="122">
        <v>23977</v>
      </c>
      <c r="T1355" s="122">
        <v>6389</v>
      </c>
      <c r="U1355" s="122">
        <v>2366</v>
      </c>
      <c r="V1355" s="122">
        <v>116438</v>
      </c>
      <c r="W1355" s="122">
        <f t="shared" si="42"/>
        <v>116437</v>
      </c>
      <c r="X1355" s="122">
        <f t="shared" si="43"/>
        <v>135941</v>
      </c>
      <c r="AA1355" t="s">
        <v>60</v>
      </c>
      <c r="AB1355" t="s">
        <v>427</v>
      </c>
      <c r="AC1355" t="s">
        <v>426</v>
      </c>
      <c r="AD1355" t="s">
        <v>427</v>
      </c>
      <c r="AE1355" t="s">
        <v>137</v>
      </c>
      <c r="AF1355">
        <v>8</v>
      </c>
      <c r="AG1355">
        <v>531</v>
      </c>
      <c r="AH1355" s="122">
        <v>2786</v>
      </c>
      <c r="AI1355" s="122">
        <v>104645</v>
      </c>
      <c r="AJ1355" s="122">
        <v>95132</v>
      </c>
      <c r="AK1355">
        <v>55</v>
      </c>
      <c r="AL1355" s="122">
        <v>9630</v>
      </c>
      <c r="AM1355" s="122">
        <v>8754</v>
      </c>
      <c r="AN1355" s="122">
        <v>10952</v>
      </c>
      <c r="AO1355" s="122">
        <v>4056</v>
      </c>
      <c r="AP1355" s="122">
        <v>3078</v>
      </c>
      <c r="AQ1355" s="122">
        <v>1140</v>
      </c>
      <c r="AR1355" s="122">
        <v>38406</v>
      </c>
      <c r="AS1355" s="122">
        <v>34914</v>
      </c>
      <c r="AT1355" s="122">
        <v>16682</v>
      </c>
      <c r="AU1355" s="122">
        <v>6178</v>
      </c>
      <c r="AV1355" s="122">
        <v>150175</v>
      </c>
    </row>
    <row r="1356" spans="2:48" hidden="1">
      <c r="B1356" t="s">
        <v>372</v>
      </c>
      <c r="C1356" t="s">
        <v>60</v>
      </c>
      <c r="D1356" t="s">
        <v>407</v>
      </c>
      <c r="E1356" t="s">
        <v>137</v>
      </c>
      <c r="F1356" s="122">
        <v>2</v>
      </c>
      <c r="G1356" s="122">
        <v>116</v>
      </c>
      <c r="H1356" s="122">
        <v>666</v>
      </c>
      <c r="I1356" s="122">
        <v>22042</v>
      </c>
      <c r="J1356" s="122">
        <v>20038</v>
      </c>
      <c r="K1356" s="122">
        <v>80</v>
      </c>
      <c r="L1356" s="122">
        <v>0</v>
      </c>
      <c r="M1356" s="122">
        <v>0</v>
      </c>
      <c r="N1356" s="122">
        <v>1413</v>
      </c>
      <c r="O1356" s="122">
        <v>523</v>
      </c>
      <c r="P1356" s="122">
        <v>945</v>
      </c>
      <c r="Q1356" s="122">
        <v>350</v>
      </c>
      <c r="R1356" s="122">
        <v>13874</v>
      </c>
      <c r="S1356" s="122">
        <v>5139</v>
      </c>
      <c r="T1356" s="122">
        <v>0</v>
      </c>
      <c r="U1356" s="122">
        <v>0</v>
      </c>
      <c r="V1356" s="122">
        <v>26050</v>
      </c>
      <c r="W1356" s="122">
        <f t="shared" si="42"/>
        <v>26050</v>
      </c>
      <c r="X1356" s="122">
        <f t="shared" si="43"/>
        <v>38274</v>
      </c>
      <c r="AA1356" t="s">
        <v>60</v>
      </c>
      <c r="AB1356" t="s">
        <v>427</v>
      </c>
      <c r="AC1356" t="s">
        <v>566</v>
      </c>
      <c r="AD1356" t="s">
        <v>137</v>
      </c>
      <c r="AE1356" t="s">
        <v>566</v>
      </c>
      <c r="AF1356">
        <v>3</v>
      </c>
      <c r="AG1356">
        <v>247</v>
      </c>
      <c r="AH1356" s="122">
        <v>1057</v>
      </c>
      <c r="AI1356" s="122">
        <v>65840</v>
      </c>
      <c r="AJ1356" s="122">
        <v>59855</v>
      </c>
      <c r="AK1356">
        <v>45</v>
      </c>
      <c r="AL1356">
        <v>0</v>
      </c>
      <c r="AM1356">
        <v>0</v>
      </c>
      <c r="AN1356" s="122">
        <v>6101</v>
      </c>
      <c r="AO1356" s="122">
        <v>2260</v>
      </c>
      <c r="AP1356">
        <v>702</v>
      </c>
      <c r="AQ1356">
        <v>260</v>
      </c>
      <c r="AR1356" s="122">
        <v>28572</v>
      </c>
      <c r="AS1356" s="122">
        <v>10582</v>
      </c>
      <c r="AT1356">
        <v>0</v>
      </c>
      <c r="AU1356">
        <v>0</v>
      </c>
      <c r="AV1356" s="122">
        <v>72956</v>
      </c>
    </row>
    <row r="1357" spans="2:48" hidden="1">
      <c r="B1357" t="s">
        <v>372</v>
      </c>
      <c r="C1357" t="s">
        <v>60</v>
      </c>
      <c r="D1357" t="s">
        <v>407</v>
      </c>
      <c r="E1357" t="s">
        <v>407</v>
      </c>
      <c r="F1357" s="122">
        <v>62</v>
      </c>
      <c r="G1357" s="122">
        <v>5220</v>
      </c>
      <c r="H1357" s="122">
        <v>20813</v>
      </c>
      <c r="I1357" s="122">
        <v>1051922</v>
      </c>
      <c r="J1357" s="122">
        <v>956293</v>
      </c>
      <c r="K1357" s="122">
        <v>77</v>
      </c>
      <c r="L1357" s="122">
        <v>198712</v>
      </c>
      <c r="M1357" s="122">
        <v>181071</v>
      </c>
      <c r="N1357" s="122">
        <v>106974</v>
      </c>
      <c r="O1357" s="122">
        <v>39620</v>
      </c>
      <c r="P1357" s="122">
        <v>29403</v>
      </c>
      <c r="Q1357" s="122">
        <v>10890</v>
      </c>
      <c r="R1357" s="122">
        <v>289027</v>
      </c>
      <c r="S1357" s="122">
        <v>262752</v>
      </c>
      <c r="T1357" s="122">
        <v>92648</v>
      </c>
      <c r="U1357" s="122">
        <v>34314</v>
      </c>
      <c r="V1357" s="122">
        <v>1484940</v>
      </c>
      <c r="W1357" s="122">
        <f t="shared" si="42"/>
        <v>1484940</v>
      </c>
      <c r="X1357" s="122">
        <f t="shared" si="43"/>
        <v>1768686</v>
      </c>
      <c r="AA1357" t="s">
        <v>60</v>
      </c>
      <c r="AB1357" t="s">
        <v>427</v>
      </c>
      <c r="AC1357" t="s">
        <v>566</v>
      </c>
      <c r="AD1357" t="s">
        <v>406</v>
      </c>
      <c r="AE1357" t="s">
        <v>137</v>
      </c>
      <c r="AF1357">
        <v>2</v>
      </c>
      <c r="AG1357">
        <v>151</v>
      </c>
      <c r="AH1357">
        <v>714</v>
      </c>
      <c r="AI1357" s="122">
        <v>37595</v>
      </c>
      <c r="AJ1357" s="122">
        <v>34177</v>
      </c>
      <c r="AK1357">
        <v>58</v>
      </c>
      <c r="AL1357">
        <v>0</v>
      </c>
      <c r="AM1357" s="122">
        <v>4002</v>
      </c>
      <c r="AN1357" s="122">
        <v>3132</v>
      </c>
      <c r="AO1357" s="122">
        <v>1160</v>
      </c>
      <c r="AP1357">
        <v>972</v>
      </c>
      <c r="AQ1357">
        <v>360</v>
      </c>
      <c r="AR1357" s="122">
        <v>10005</v>
      </c>
      <c r="AS1357" s="122">
        <v>9096</v>
      </c>
      <c r="AT1357" s="122">
        <v>2419</v>
      </c>
      <c r="AU1357">
        <v>896</v>
      </c>
      <c r="AV1357" s="122">
        <v>49691</v>
      </c>
    </row>
    <row r="1358" spans="2:48" hidden="1">
      <c r="B1358" t="s">
        <v>372</v>
      </c>
      <c r="C1358" t="s">
        <v>60</v>
      </c>
      <c r="D1358" t="s">
        <v>556</v>
      </c>
      <c r="E1358" t="s">
        <v>556</v>
      </c>
      <c r="F1358" s="122">
        <v>46</v>
      </c>
      <c r="G1358" s="122">
        <v>4136</v>
      </c>
      <c r="H1358" s="122">
        <v>15515</v>
      </c>
      <c r="I1358" s="122">
        <v>797500</v>
      </c>
      <c r="J1358" s="122">
        <v>664583</v>
      </c>
      <c r="K1358" s="122">
        <v>50</v>
      </c>
      <c r="L1358" s="122">
        <v>90716</v>
      </c>
      <c r="M1358" s="122">
        <v>75176</v>
      </c>
      <c r="N1358" s="122">
        <v>75562</v>
      </c>
      <c r="O1358" s="122">
        <v>27986</v>
      </c>
      <c r="P1358" s="122">
        <v>16889</v>
      </c>
      <c r="Q1358" s="122">
        <v>6255</v>
      </c>
      <c r="R1358" s="122">
        <v>300626</v>
      </c>
      <c r="S1358" s="122">
        <v>250521</v>
      </c>
      <c r="T1358" s="122">
        <v>107631</v>
      </c>
      <c r="U1358" s="122">
        <v>39863</v>
      </c>
      <c r="V1358" s="122">
        <v>1064384</v>
      </c>
      <c r="W1358" s="122">
        <f t="shared" si="42"/>
        <v>1064384</v>
      </c>
      <c r="X1358" s="122">
        <f t="shared" si="43"/>
        <v>1388924</v>
      </c>
      <c r="AA1358" t="s">
        <v>60</v>
      </c>
      <c r="AB1358" t="s">
        <v>427</v>
      </c>
      <c r="AC1358" t="s">
        <v>566</v>
      </c>
      <c r="AD1358" t="s">
        <v>427</v>
      </c>
      <c r="AE1358" t="s">
        <v>137</v>
      </c>
      <c r="AF1358">
        <v>121</v>
      </c>
      <c r="AG1358" s="122">
        <v>7949</v>
      </c>
      <c r="AH1358" s="122">
        <v>41282</v>
      </c>
      <c r="AI1358" s="122">
        <v>1695597</v>
      </c>
      <c r="AJ1358" s="122">
        <v>1541452</v>
      </c>
      <c r="AK1358">
        <v>57</v>
      </c>
      <c r="AL1358">
        <v>0</v>
      </c>
      <c r="AM1358" s="122">
        <v>6292</v>
      </c>
      <c r="AN1358" s="122">
        <v>156163</v>
      </c>
      <c r="AO1358" s="122">
        <v>57838</v>
      </c>
      <c r="AP1358" s="122">
        <v>42863</v>
      </c>
      <c r="AQ1358" s="122">
        <v>15875</v>
      </c>
      <c r="AR1358" s="122">
        <v>558292</v>
      </c>
      <c r="AS1358" s="122">
        <v>507538</v>
      </c>
      <c r="AT1358" s="122">
        <v>238520</v>
      </c>
      <c r="AU1358" s="122">
        <v>88341</v>
      </c>
      <c r="AV1358" s="122">
        <v>2217336</v>
      </c>
    </row>
    <row r="1359" spans="2:48" hidden="1">
      <c r="B1359" t="s">
        <v>372</v>
      </c>
      <c r="C1359" t="s">
        <v>60</v>
      </c>
      <c r="D1359" t="s">
        <v>428</v>
      </c>
      <c r="E1359" t="s">
        <v>428</v>
      </c>
      <c r="F1359" s="122">
        <v>15</v>
      </c>
      <c r="G1359" s="122">
        <v>772</v>
      </c>
      <c r="H1359" s="122">
        <v>5420</v>
      </c>
      <c r="I1359" s="122">
        <v>157222</v>
      </c>
      <c r="J1359" s="122">
        <v>142929</v>
      </c>
      <c r="K1359" s="122">
        <v>63</v>
      </c>
      <c r="L1359" s="122">
        <v>16903</v>
      </c>
      <c r="M1359" s="122">
        <v>15367</v>
      </c>
      <c r="N1359" s="122">
        <v>11812</v>
      </c>
      <c r="O1359" s="122">
        <v>4375</v>
      </c>
      <c r="P1359" s="122">
        <v>5265</v>
      </c>
      <c r="Q1359" s="122">
        <v>1950</v>
      </c>
      <c r="R1359" s="122">
        <v>86350</v>
      </c>
      <c r="S1359" s="122">
        <v>78500</v>
      </c>
      <c r="T1359" s="122">
        <v>1839</v>
      </c>
      <c r="U1359" s="122">
        <v>681</v>
      </c>
      <c r="V1359" s="122">
        <v>243801</v>
      </c>
      <c r="W1359" s="122">
        <f t="shared" si="42"/>
        <v>243802</v>
      </c>
      <c r="X1359" s="122">
        <f t="shared" si="43"/>
        <v>279391</v>
      </c>
      <c r="AA1359" t="s">
        <v>60</v>
      </c>
      <c r="AB1359" t="s">
        <v>427</v>
      </c>
      <c r="AC1359" t="s">
        <v>566</v>
      </c>
      <c r="AD1359" t="s">
        <v>427</v>
      </c>
      <c r="AE1359" t="s">
        <v>566</v>
      </c>
      <c r="AF1359">
        <v>10</v>
      </c>
      <c r="AG1359">
        <v>768</v>
      </c>
      <c r="AH1359" s="122">
        <v>3477</v>
      </c>
      <c r="AI1359" s="122">
        <v>173932</v>
      </c>
      <c r="AJ1359" s="122">
        <v>158120</v>
      </c>
      <c r="AK1359">
        <v>56</v>
      </c>
      <c r="AL1359">
        <v>0</v>
      </c>
      <c r="AM1359">
        <v>771</v>
      </c>
      <c r="AN1359" s="122">
        <v>13612</v>
      </c>
      <c r="AO1359" s="122">
        <v>5042</v>
      </c>
      <c r="AP1359" s="122">
        <v>3510</v>
      </c>
      <c r="AQ1359" s="122">
        <v>1300</v>
      </c>
      <c r="AR1359" s="122">
        <v>73389</v>
      </c>
      <c r="AS1359" s="122">
        <v>66717</v>
      </c>
      <c r="AT1359">
        <v>0</v>
      </c>
      <c r="AU1359">
        <v>0</v>
      </c>
      <c r="AV1359" s="122">
        <v>231950</v>
      </c>
    </row>
    <row r="1360" spans="2:48" hidden="1">
      <c r="B1360" t="s">
        <v>372</v>
      </c>
      <c r="C1360" t="s">
        <v>60</v>
      </c>
      <c r="D1360" t="s">
        <v>431</v>
      </c>
      <c r="E1360" t="s">
        <v>431</v>
      </c>
      <c r="F1360" s="122">
        <v>53</v>
      </c>
      <c r="G1360" s="122">
        <v>4371</v>
      </c>
      <c r="H1360" s="122">
        <v>18657</v>
      </c>
      <c r="I1360" s="122">
        <v>866929</v>
      </c>
      <c r="J1360" s="122">
        <v>788117</v>
      </c>
      <c r="K1360" s="122">
        <v>47</v>
      </c>
      <c r="L1360" s="122">
        <v>124005</v>
      </c>
      <c r="M1360" s="122">
        <v>110013</v>
      </c>
      <c r="N1360" s="122">
        <v>86950</v>
      </c>
      <c r="O1360" s="122">
        <v>32204</v>
      </c>
      <c r="P1360" s="122">
        <v>17901</v>
      </c>
      <c r="Q1360" s="122">
        <v>6630</v>
      </c>
      <c r="R1360" s="122">
        <v>328233</v>
      </c>
      <c r="S1360" s="122">
        <v>298393</v>
      </c>
      <c r="T1360" s="122">
        <v>113685</v>
      </c>
      <c r="U1360" s="122">
        <v>42106</v>
      </c>
      <c r="V1360" s="122">
        <v>1277463</v>
      </c>
      <c r="W1360" s="122">
        <f t="shared" si="42"/>
        <v>1277463</v>
      </c>
      <c r="X1360" s="122">
        <f t="shared" si="43"/>
        <v>1537703</v>
      </c>
      <c r="AA1360" t="s">
        <v>60</v>
      </c>
      <c r="AB1360" t="s">
        <v>427</v>
      </c>
      <c r="AC1360" t="s">
        <v>433</v>
      </c>
      <c r="AD1360" t="s">
        <v>427</v>
      </c>
      <c r="AE1360" t="s">
        <v>137</v>
      </c>
      <c r="AF1360">
        <v>3</v>
      </c>
      <c r="AG1360">
        <v>260</v>
      </c>
      <c r="AH1360">
        <v>975</v>
      </c>
      <c r="AI1360" s="122">
        <v>49755</v>
      </c>
      <c r="AJ1360" s="122">
        <v>45232</v>
      </c>
      <c r="AK1360">
        <v>55</v>
      </c>
      <c r="AL1360" s="122">
        <v>8391</v>
      </c>
      <c r="AM1360" s="122">
        <v>7628</v>
      </c>
      <c r="AN1360" s="122">
        <v>4886</v>
      </c>
      <c r="AO1360" s="122">
        <v>1810</v>
      </c>
      <c r="AP1360" s="122">
        <v>1053</v>
      </c>
      <c r="AQ1360">
        <v>390</v>
      </c>
      <c r="AR1360" s="122">
        <v>13158</v>
      </c>
      <c r="AS1360" s="122">
        <v>11962</v>
      </c>
      <c r="AT1360" s="122">
        <v>6649</v>
      </c>
      <c r="AU1360" s="122">
        <v>2463</v>
      </c>
      <c r="AV1360" s="122">
        <v>69484</v>
      </c>
    </row>
    <row r="1361" spans="2:48">
      <c r="B1361" t="s">
        <v>372</v>
      </c>
      <c r="C1361" t="s">
        <v>60</v>
      </c>
      <c r="D1361" t="s">
        <v>426</v>
      </c>
      <c r="E1361" t="s">
        <v>137</v>
      </c>
      <c r="F1361" s="122">
        <v>1</v>
      </c>
      <c r="G1361" s="122">
        <v>82</v>
      </c>
      <c r="H1361" s="122">
        <v>374</v>
      </c>
      <c r="I1361" s="122">
        <v>20792</v>
      </c>
      <c r="J1361" s="122">
        <v>18902</v>
      </c>
      <c r="K1361" s="122">
        <v>45</v>
      </c>
      <c r="L1361" s="122">
        <v>3465</v>
      </c>
      <c r="M1361" s="122">
        <v>3150</v>
      </c>
      <c r="N1361" s="122">
        <v>1620</v>
      </c>
      <c r="O1361" s="122">
        <v>600</v>
      </c>
      <c r="P1361" s="122">
        <v>351</v>
      </c>
      <c r="Q1361" s="122">
        <v>130</v>
      </c>
      <c r="R1361" s="122">
        <v>4504</v>
      </c>
      <c r="S1361" s="122">
        <v>1668</v>
      </c>
      <c r="T1361" s="122">
        <v>0</v>
      </c>
      <c r="U1361" s="122">
        <v>0</v>
      </c>
      <c r="V1361" s="122">
        <v>24451</v>
      </c>
      <c r="W1361" s="122">
        <f t="shared" si="42"/>
        <v>24450</v>
      </c>
      <c r="X1361" s="122">
        <f t="shared" si="43"/>
        <v>30732</v>
      </c>
      <c r="AA1361" t="s">
        <v>60</v>
      </c>
      <c r="AB1361" t="s">
        <v>407</v>
      </c>
      <c r="AC1361" t="s">
        <v>578</v>
      </c>
      <c r="AD1361" t="s">
        <v>137</v>
      </c>
      <c r="AE1361" t="s">
        <v>566</v>
      </c>
      <c r="AF1361">
        <v>1</v>
      </c>
      <c r="AG1361">
        <v>74</v>
      </c>
      <c r="AH1361">
        <v>319</v>
      </c>
      <c r="AI1361" s="122">
        <v>14025</v>
      </c>
      <c r="AJ1361" s="122">
        <v>12750</v>
      </c>
      <c r="AK1361">
        <v>73</v>
      </c>
      <c r="AL1361" s="122">
        <v>3605</v>
      </c>
      <c r="AM1361" s="122">
        <v>3277</v>
      </c>
      <c r="AN1361">
        <v>997</v>
      </c>
      <c r="AO1361">
        <v>369</v>
      </c>
      <c r="AP1361">
        <v>473</v>
      </c>
      <c r="AQ1361">
        <v>175</v>
      </c>
      <c r="AR1361" s="122">
        <v>4435</v>
      </c>
      <c r="AS1361" s="122">
        <v>1643</v>
      </c>
      <c r="AT1361">
        <v>0</v>
      </c>
      <c r="AU1361">
        <v>0</v>
      </c>
      <c r="AV1361" s="122">
        <v>18214</v>
      </c>
    </row>
    <row r="1362" spans="2:48">
      <c r="B1362" t="s">
        <v>372</v>
      </c>
      <c r="C1362" t="s">
        <v>60</v>
      </c>
      <c r="D1362" t="s">
        <v>426</v>
      </c>
      <c r="E1362" t="s">
        <v>426</v>
      </c>
      <c r="F1362" s="122">
        <v>398</v>
      </c>
      <c r="G1362" s="122">
        <v>33194</v>
      </c>
      <c r="H1362" s="122">
        <v>136870</v>
      </c>
      <c r="I1362" s="122">
        <v>6364209</v>
      </c>
      <c r="J1362" s="122">
        <v>5785645</v>
      </c>
      <c r="K1362" s="122">
        <v>49</v>
      </c>
      <c r="L1362" s="122">
        <v>1033495</v>
      </c>
      <c r="M1362" s="122">
        <v>902736</v>
      </c>
      <c r="N1362" s="122">
        <v>624419</v>
      </c>
      <c r="O1362" s="122">
        <v>231266</v>
      </c>
      <c r="P1362" s="122">
        <v>138335</v>
      </c>
      <c r="Q1362" s="122">
        <v>51235</v>
      </c>
      <c r="R1362" s="122">
        <v>2368320</v>
      </c>
      <c r="S1362" s="122">
        <v>2153018</v>
      </c>
      <c r="T1362" s="122">
        <v>883999</v>
      </c>
      <c r="U1362" s="122">
        <v>327407</v>
      </c>
      <c r="V1362" s="122">
        <v>9451308</v>
      </c>
      <c r="W1362" s="122">
        <f t="shared" si="42"/>
        <v>9451307</v>
      </c>
      <c r="X1362" s="122">
        <f t="shared" si="43"/>
        <v>11412777</v>
      </c>
      <c r="AA1362" t="s">
        <v>60</v>
      </c>
      <c r="AB1362" t="s">
        <v>407</v>
      </c>
      <c r="AC1362" t="s">
        <v>578</v>
      </c>
      <c r="AD1362" t="s">
        <v>407</v>
      </c>
      <c r="AE1362" t="s">
        <v>137</v>
      </c>
      <c r="AF1362">
        <v>16</v>
      </c>
      <c r="AG1362" s="122">
        <v>1491</v>
      </c>
      <c r="AH1362" s="122">
        <v>5710</v>
      </c>
      <c r="AI1362" s="122">
        <v>319897</v>
      </c>
      <c r="AJ1362" s="122">
        <v>290815</v>
      </c>
      <c r="AK1362">
        <v>76</v>
      </c>
      <c r="AL1362" s="122">
        <v>70031</v>
      </c>
      <c r="AM1362" s="122">
        <v>63664</v>
      </c>
      <c r="AN1362" s="122">
        <v>30792</v>
      </c>
      <c r="AO1362" s="122">
        <v>11405</v>
      </c>
      <c r="AP1362" s="122">
        <v>7560</v>
      </c>
      <c r="AQ1362" s="122">
        <v>2800</v>
      </c>
      <c r="AR1362" s="122">
        <v>67854</v>
      </c>
      <c r="AS1362" s="122">
        <v>61686</v>
      </c>
      <c r="AT1362" s="122">
        <v>38492</v>
      </c>
      <c r="AU1362" s="122">
        <v>14256</v>
      </c>
      <c r="AV1362" s="122">
        <v>444626</v>
      </c>
    </row>
    <row r="1363" spans="2:48">
      <c r="B1363" t="s">
        <v>372</v>
      </c>
      <c r="C1363" t="s">
        <v>62</v>
      </c>
      <c r="D1363" t="s">
        <v>405</v>
      </c>
      <c r="E1363" t="s">
        <v>405</v>
      </c>
      <c r="F1363" s="122">
        <v>1</v>
      </c>
      <c r="G1363" s="122">
        <v>93</v>
      </c>
      <c r="H1363" s="122">
        <v>438</v>
      </c>
      <c r="I1363" s="122">
        <v>25833</v>
      </c>
      <c r="J1363" s="122">
        <v>23484</v>
      </c>
      <c r="K1363" s="122">
        <v>81</v>
      </c>
      <c r="L1363" s="122">
        <v>7338</v>
      </c>
      <c r="M1363" s="122">
        <v>6671</v>
      </c>
      <c r="N1363" s="122">
        <v>1704</v>
      </c>
      <c r="O1363" s="122">
        <v>631</v>
      </c>
      <c r="P1363" s="122">
        <v>473</v>
      </c>
      <c r="Q1363" s="122">
        <v>175</v>
      </c>
      <c r="R1363" s="122">
        <v>5520</v>
      </c>
      <c r="S1363" s="122">
        <v>5018</v>
      </c>
      <c r="T1363" s="122">
        <v>0</v>
      </c>
      <c r="U1363" s="122">
        <v>0</v>
      </c>
      <c r="V1363" s="122">
        <v>35980</v>
      </c>
      <c r="W1363" s="122">
        <f t="shared" si="42"/>
        <v>35979</v>
      </c>
      <c r="X1363" s="122">
        <f t="shared" si="43"/>
        <v>40868</v>
      </c>
      <c r="AA1363" t="s">
        <v>60</v>
      </c>
      <c r="AB1363" t="s">
        <v>407</v>
      </c>
      <c r="AC1363" t="s">
        <v>578</v>
      </c>
      <c r="AD1363" t="s">
        <v>407</v>
      </c>
      <c r="AE1363" t="s">
        <v>566</v>
      </c>
      <c r="AF1363">
        <v>13</v>
      </c>
      <c r="AG1363" s="122">
        <v>1246</v>
      </c>
      <c r="AH1363" s="122">
        <v>4294</v>
      </c>
      <c r="AI1363" s="122">
        <v>255413</v>
      </c>
      <c r="AJ1363" s="122">
        <v>232194</v>
      </c>
      <c r="AK1363">
        <v>81</v>
      </c>
      <c r="AL1363" s="122">
        <v>61333</v>
      </c>
      <c r="AM1363" s="122">
        <v>55757</v>
      </c>
      <c r="AN1363" s="122">
        <v>25390</v>
      </c>
      <c r="AO1363" s="122">
        <v>9404</v>
      </c>
      <c r="AP1363" s="122">
        <v>6143</v>
      </c>
      <c r="AQ1363" s="122">
        <v>2275</v>
      </c>
      <c r="AR1363" s="122">
        <v>64252</v>
      </c>
      <c r="AS1363" s="122">
        <v>58411</v>
      </c>
      <c r="AT1363">
        <v>0</v>
      </c>
      <c r="AU1363">
        <v>0</v>
      </c>
      <c r="AV1363" s="122">
        <v>358041</v>
      </c>
    </row>
    <row r="1364" spans="2:48" hidden="1">
      <c r="B1364" t="s">
        <v>372</v>
      </c>
      <c r="C1364" t="s">
        <v>62</v>
      </c>
      <c r="D1364" t="s">
        <v>137</v>
      </c>
      <c r="E1364" t="s">
        <v>137</v>
      </c>
      <c r="F1364" s="122">
        <v>32</v>
      </c>
      <c r="G1364" s="122">
        <v>2447</v>
      </c>
      <c r="H1364" s="122">
        <v>13355</v>
      </c>
      <c r="I1364" s="122">
        <v>624620</v>
      </c>
      <c r="J1364" s="122">
        <v>231341</v>
      </c>
      <c r="K1364" s="122">
        <v>102</v>
      </c>
      <c r="L1364" s="122">
        <v>84769</v>
      </c>
      <c r="M1364" s="122">
        <v>73234</v>
      </c>
      <c r="N1364" s="122">
        <v>47824</v>
      </c>
      <c r="O1364" s="122">
        <v>17713</v>
      </c>
      <c r="P1364" s="122">
        <v>1959</v>
      </c>
      <c r="Q1364" s="122">
        <v>725</v>
      </c>
      <c r="R1364" s="122">
        <v>253144</v>
      </c>
      <c r="S1364" s="122">
        <v>93757</v>
      </c>
      <c r="T1364" s="122">
        <v>2541</v>
      </c>
      <c r="U1364" s="122">
        <v>941</v>
      </c>
      <c r="V1364" s="122">
        <v>417711</v>
      </c>
      <c r="W1364" s="122">
        <f t="shared" si="42"/>
        <v>417711</v>
      </c>
      <c r="X1364" s="122">
        <f t="shared" si="43"/>
        <v>1014857</v>
      </c>
      <c r="AA1364" t="s">
        <v>60</v>
      </c>
      <c r="AB1364" t="s">
        <v>407</v>
      </c>
      <c r="AC1364" t="s">
        <v>425</v>
      </c>
      <c r="AD1364" t="s">
        <v>407</v>
      </c>
      <c r="AE1364" t="s">
        <v>137</v>
      </c>
      <c r="AF1364">
        <v>1</v>
      </c>
      <c r="AG1364">
        <v>67</v>
      </c>
      <c r="AH1364">
        <v>360</v>
      </c>
      <c r="AI1364" s="122">
        <v>18789</v>
      </c>
      <c r="AJ1364" s="122">
        <v>17081</v>
      </c>
      <c r="AK1364">
        <v>78</v>
      </c>
      <c r="AL1364" s="122">
        <v>1721</v>
      </c>
      <c r="AM1364" s="122">
        <v>1565</v>
      </c>
      <c r="AN1364" s="122">
        <v>1350</v>
      </c>
      <c r="AO1364">
        <v>500</v>
      </c>
      <c r="AP1364">
        <v>473</v>
      </c>
      <c r="AQ1364">
        <v>175</v>
      </c>
      <c r="AR1364" s="122">
        <v>2127</v>
      </c>
      <c r="AS1364" s="122">
        <v>1934</v>
      </c>
      <c r="AT1364">
        <v>-270</v>
      </c>
      <c r="AU1364">
        <v>-100</v>
      </c>
      <c r="AV1364" s="122">
        <v>21154</v>
      </c>
    </row>
    <row r="1365" spans="2:48" hidden="1">
      <c r="B1365" t="s">
        <v>372</v>
      </c>
      <c r="C1365" t="s">
        <v>62</v>
      </c>
      <c r="D1365" t="s">
        <v>137</v>
      </c>
      <c r="E1365" t="s">
        <v>556</v>
      </c>
      <c r="F1365" s="122">
        <v>1</v>
      </c>
      <c r="G1365" s="122">
        <v>173</v>
      </c>
      <c r="H1365" s="122">
        <v>411</v>
      </c>
      <c r="I1365" s="122">
        <v>51626</v>
      </c>
      <c r="J1365" s="122">
        <v>19121</v>
      </c>
      <c r="K1365" s="122">
        <v>100</v>
      </c>
      <c r="L1365" s="122">
        <v>4635</v>
      </c>
      <c r="M1365" s="122">
        <v>3863</v>
      </c>
      <c r="N1365" s="122">
        <v>3421</v>
      </c>
      <c r="O1365" s="122">
        <v>1267</v>
      </c>
      <c r="P1365" s="122">
        <v>351</v>
      </c>
      <c r="Q1365" s="122">
        <v>130</v>
      </c>
      <c r="R1365" s="122">
        <v>7748</v>
      </c>
      <c r="S1365" s="122">
        <v>6456</v>
      </c>
      <c r="T1365" s="122">
        <v>3399</v>
      </c>
      <c r="U1365" s="122">
        <v>1259</v>
      </c>
      <c r="V1365" s="122">
        <v>32096</v>
      </c>
      <c r="W1365" s="122">
        <f t="shared" si="42"/>
        <v>32096</v>
      </c>
      <c r="X1365" s="122">
        <f t="shared" si="43"/>
        <v>71180</v>
      </c>
      <c r="AA1365" t="s">
        <v>60</v>
      </c>
      <c r="AB1365" t="s">
        <v>407</v>
      </c>
      <c r="AC1365" t="s">
        <v>425</v>
      </c>
      <c r="AD1365" t="s">
        <v>407</v>
      </c>
      <c r="AE1365" t="s">
        <v>566</v>
      </c>
      <c r="AF1365">
        <v>2</v>
      </c>
      <c r="AG1365">
        <v>274</v>
      </c>
      <c r="AH1365">
        <v>660</v>
      </c>
      <c r="AI1365" s="122">
        <v>49527</v>
      </c>
      <c r="AJ1365" s="122">
        <v>45024</v>
      </c>
      <c r="AK1365">
        <v>91</v>
      </c>
      <c r="AL1365" s="122">
        <v>24937</v>
      </c>
      <c r="AM1365" s="122">
        <v>22670</v>
      </c>
      <c r="AN1365" s="122">
        <v>5860</v>
      </c>
      <c r="AO1365" s="122">
        <v>2171</v>
      </c>
      <c r="AP1365">
        <v>945</v>
      </c>
      <c r="AQ1365">
        <v>350</v>
      </c>
      <c r="AR1365" s="122">
        <v>9642</v>
      </c>
      <c r="AS1365" s="122">
        <v>8766</v>
      </c>
      <c r="AT1365">
        <v>0</v>
      </c>
      <c r="AU1365">
        <v>0</v>
      </c>
      <c r="AV1365" s="122">
        <v>78980</v>
      </c>
    </row>
    <row r="1366" spans="2:48" hidden="1">
      <c r="B1366" t="s">
        <v>372</v>
      </c>
      <c r="C1366" t="s">
        <v>62</v>
      </c>
      <c r="D1366" t="s">
        <v>137</v>
      </c>
      <c r="E1366" t="s">
        <v>426</v>
      </c>
      <c r="F1366" s="122">
        <v>3</v>
      </c>
      <c r="G1366" s="122">
        <v>234</v>
      </c>
      <c r="H1366" s="122">
        <v>1285</v>
      </c>
      <c r="I1366" s="122">
        <v>61074</v>
      </c>
      <c r="J1366" s="122">
        <v>22620</v>
      </c>
      <c r="K1366" s="122">
        <v>100</v>
      </c>
      <c r="L1366" s="122">
        <v>8086</v>
      </c>
      <c r="M1366" s="122">
        <v>7351</v>
      </c>
      <c r="N1366" s="122">
        <v>3767</v>
      </c>
      <c r="O1366" s="122">
        <v>1395</v>
      </c>
      <c r="P1366" s="122">
        <v>702</v>
      </c>
      <c r="Q1366" s="122">
        <v>260</v>
      </c>
      <c r="R1366" s="122">
        <v>18995</v>
      </c>
      <c r="S1366" s="122">
        <v>17268</v>
      </c>
      <c r="T1366" s="122">
        <v>7710</v>
      </c>
      <c r="U1366" s="122">
        <v>2856</v>
      </c>
      <c r="V1366" s="122">
        <v>51751</v>
      </c>
      <c r="W1366" s="122">
        <f t="shared" si="42"/>
        <v>51750</v>
      </c>
      <c r="X1366" s="122">
        <f t="shared" si="43"/>
        <v>100334</v>
      </c>
      <c r="AA1366" t="s">
        <v>60</v>
      </c>
      <c r="AB1366" t="s">
        <v>407</v>
      </c>
      <c r="AC1366" t="s">
        <v>405</v>
      </c>
      <c r="AD1366" t="s">
        <v>407</v>
      </c>
      <c r="AE1366" t="s">
        <v>137</v>
      </c>
      <c r="AF1366">
        <v>1</v>
      </c>
      <c r="AG1366">
        <v>67</v>
      </c>
      <c r="AH1366">
        <v>340</v>
      </c>
      <c r="AI1366" s="122">
        <v>10783</v>
      </c>
      <c r="AJ1366" s="122">
        <v>9802</v>
      </c>
      <c r="AK1366">
        <v>83</v>
      </c>
      <c r="AL1366" s="122">
        <v>4720</v>
      </c>
      <c r="AM1366" s="122">
        <v>4291</v>
      </c>
      <c r="AN1366" s="122">
        <v>1428</v>
      </c>
      <c r="AO1366">
        <v>529</v>
      </c>
      <c r="AP1366">
        <v>473</v>
      </c>
      <c r="AQ1366">
        <v>175</v>
      </c>
      <c r="AR1366" s="122">
        <v>3371</v>
      </c>
      <c r="AS1366" s="122">
        <v>3065</v>
      </c>
      <c r="AT1366" s="122">
        <v>2127</v>
      </c>
      <c r="AU1366">
        <v>788</v>
      </c>
      <c r="AV1366" s="122">
        <v>18649</v>
      </c>
    </row>
    <row r="1367" spans="2:48" hidden="1">
      <c r="B1367" t="s">
        <v>372</v>
      </c>
      <c r="C1367" t="s">
        <v>62</v>
      </c>
      <c r="D1367" t="s">
        <v>406</v>
      </c>
      <c r="E1367" t="s">
        <v>137</v>
      </c>
      <c r="F1367" s="122">
        <v>2</v>
      </c>
      <c r="G1367" s="122">
        <v>180</v>
      </c>
      <c r="H1367" s="122">
        <v>838</v>
      </c>
      <c r="I1367" s="122">
        <v>44268</v>
      </c>
      <c r="J1367" s="122">
        <v>40243</v>
      </c>
      <c r="K1367" s="122">
        <v>90</v>
      </c>
      <c r="L1367" s="122">
        <v>13749</v>
      </c>
      <c r="M1367" s="122">
        <v>12499</v>
      </c>
      <c r="N1367" s="122">
        <v>3910</v>
      </c>
      <c r="O1367" s="122">
        <v>1448</v>
      </c>
      <c r="P1367" s="122">
        <v>1242</v>
      </c>
      <c r="Q1367" s="122">
        <v>460</v>
      </c>
      <c r="R1367" s="122">
        <v>11715</v>
      </c>
      <c r="S1367" s="122">
        <v>4339</v>
      </c>
      <c r="T1367" s="122">
        <v>0</v>
      </c>
      <c r="U1367" s="122">
        <v>0</v>
      </c>
      <c r="V1367" s="122">
        <v>58989</v>
      </c>
      <c r="W1367" s="122">
        <f t="shared" si="42"/>
        <v>58989</v>
      </c>
      <c r="X1367" s="122">
        <f t="shared" si="43"/>
        <v>74884</v>
      </c>
      <c r="AA1367" t="s">
        <v>60</v>
      </c>
      <c r="AB1367" t="s">
        <v>407</v>
      </c>
      <c r="AC1367" t="s">
        <v>137</v>
      </c>
      <c r="AD1367" t="s">
        <v>137</v>
      </c>
      <c r="AE1367" t="s">
        <v>137</v>
      </c>
      <c r="AF1367">
        <v>1</v>
      </c>
      <c r="AG1367">
        <v>69</v>
      </c>
      <c r="AH1367">
        <v>380</v>
      </c>
      <c r="AI1367" s="122">
        <v>13658</v>
      </c>
      <c r="AJ1367" s="122">
        <v>12416</v>
      </c>
      <c r="AK1367">
        <v>73</v>
      </c>
      <c r="AL1367" s="122">
        <v>2719</v>
      </c>
      <c r="AM1367" s="122">
        <v>1007</v>
      </c>
      <c r="AN1367" s="122">
        <v>1685</v>
      </c>
      <c r="AO1367">
        <v>624</v>
      </c>
      <c r="AP1367">
        <v>473</v>
      </c>
      <c r="AQ1367">
        <v>175</v>
      </c>
      <c r="AR1367" s="122">
        <v>7730</v>
      </c>
      <c r="AS1367" s="122">
        <v>2863</v>
      </c>
      <c r="AT1367">
        <v>0</v>
      </c>
      <c r="AU1367">
        <v>0</v>
      </c>
      <c r="AV1367" s="122">
        <v>17085</v>
      </c>
    </row>
    <row r="1368" spans="2:48" hidden="1">
      <c r="B1368" t="s">
        <v>372</v>
      </c>
      <c r="C1368" t="s">
        <v>62</v>
      </c>
      <c r="D1368" t="s">
        <v>406</v>
      </c>
      <c r="E1368" t="s">
        <v>406</v>
      </c>
      <c r="F1368" s="122">
        <v>100</v>
      </c>
      <c r="G1368" s="122">
        <v>9638</v>
      </c>
      <c r="H1368" s="122">
        <v>41359</v>
      </c>
      <c r="I1368" s="122">
        <v>2576471</v>
      </c>
      <c r="J1368" s="122">
        <v>2342247</v>
      </c>
      <c r="K1368" s="122">
        <v>78</v>
      </c>
      <c r="L1368" s="122">
        <v>550413</v>
      </c>
      <c r="M1368" s="122">
        <v>485545</v>
      </c>
      <c r="N1368" s="122">
        <v>205682</v>
      </c>
      <c r="O1368" s="122">
        <v>76179</v>
      </c>
      <c r="P1368" s="122">
        <v>62721</v>
      </c>
      <c r="Q1368" s="122">
        <v>23230</v>
      </c>
      <c r="R1368" s="122">
        <v>436537</v>
      </c>
      <c r="S1368" s="122">
        <v>396852</v>
      </c>
      <c r="T1368" s="122">
        <v>179593</v>
      </c>
      <c r="U1368" s="122">
        <v>66516</v>
      </c>
      <c r="V1368" s="122">
        <v>3390569</v>
      </c>
      <c r="W1368" s="122">
        <f t="shared" si="42"/>
        <v>3390569</v>
      </c>
      <c r="X1368" s="122">
        <f t="shared" si="43"/>
        <v>4011417</v>
      </c>
      <c r="AA1368" t="s">
        <v>60</v>
      </c>
      <c r="AB1368" t="s">
        <v>407</v>
      </c>
      <c r="AC1368" t="s">
        <v>137</v>
      </c>
      <c r="AD1368" t="s">
        <v>137</v>
      </c>
      <c r="AE1368" t="s">
        <v>566</v>
      </c>
      <c r="AF1368">
        <v>18</v>
      </c>
      <c r="AG1368" s="122">
        <v>1421</v>
      </c>
      <c r="AH1368" s="122">
        <v>6312</v>
      </c>
      <c r="AI1368" s="122">
        <v>284392</v>
      </c>
      <c r="AJ1368" s="122">
        <v>258539</v>
      </c>
      <c r="AK1368">
        <v>72</v>
      </c>
      <c r="AL1368" s="122">
        <v>64097</v>
      </c>
      <c r="AM1368" s="122">
        <v>23740</v>
      </c>
      <c r="AN1368" s="122">
        <v>27619</v>
      </c>
      <c r="AO1368" s="122">
        <v>10229</v>
      </c>
      <c r="AP1368" s="122">
        <v>5913</v>
      </c>
      <c r="AQ1368" s="122">
        <v>2190</v>
      </c>
      <c r="AR1368" s="122">
        <v>124806</v>
      </c>
      <c r="AS1368" s="122">
        <v>46224</v>
      </c>
      <c r="AT1368">
        <v>0</v>
      </c>
      <c r="AU1368">
        <v>0</v>
      </c>
      <c r="AV1368" s="122">
        <v>340922</v>
      </c>
    </row>
    <row r="1369" spans="2:48" hidden="1">
      <c r="B1369" t="s">
        <v>372</v>
      </c>
      <c r="C1369" t="s">
        <v>62</v>
      </c>
      <c r="D1369" t="s">
        <v>427</v>
      </c>
      <c r="E1369" t="s">
        <v>427</v>
      </c>
      <c r="F1369" s="122">
        <v>10</v>
      </c>
      <c r="G1369" s="122">
        <v>890</v>
      </c>
      <c r="H1369" s="122">
        <v>4167</v>
      </c>
      <c r="I1369" s="122">
        <v>236906</v>
      </c>
      <c r="J1369" s="122">
        <v>215370</v>
      </c>
      <c r="K1369" s="122">
        <v>54</v>
      </c>
      <c r="L1369" s="122">
        <v>44659</v>
      </c>
      <c r="M1369" s="122">
        <v>38487</v>
      </c>
      <c r="N1369" s="122">
        <v>17036</v>
      </c>
      <c r="O1369" s="122">
        <v>6310</v>
      </c>
      <c r="P1369" s="122">
        <v>3159</v>
      </c>
      <c r="Q1369" s="122">
        <v>1170</v>
      </c>
      <c r="R1369" s="122">
        <v>56987</v>
      </c>
      <c r="S1369" s="122">
        <v>51806</v>
      </c>
      <c r="T1369" s="122">
        <v>14779</v>
      </c>
      <c r="U1369" s="122">
        <v>5474</v>
      </c>
      <c r="V1369" s="122">
        <v>318616</v>
      </c>
      <c r="W1369" s="122">
        <f t="shared" si="42"/>
        <v>318617</v>
      </c>
      <c r="X1369" s="122">
        <f t="shared" si="43"/>
        <v>373526</v>
      </c>
      <c r="AA1369" t="s">
        <v>60</v>
      </c>
      <c r="AB1369" t="s">
        <v>407</v>
      </c>
      <c r="AC1369" t="s">
        <v>137</v>
      </c>
      <c r="AD1369" t="s">
        <v>406</v>
      </c>
      <c r="AE1369" t="s">
        <v>137</v>
      </c>
      <c r="AF1369">
        <v>2</v>
      </c>
      <c r="AG1369">
        <v>158</v>
      </c>
      <c r="AH1369">
        <v>715</v>
      </c>
      <c r="AI1369" s="122">
        <v>27595</v>
      </c>
      <c r="AJ1369" s="122">
        <v>25086</v>
      </c>
      <c r="AK1369">
        <v>78</v>
      </c>
      <c r="AL1369" s="122">
        <v>9565</v>
      </c>
      <c r="AM1369" s="122">
        <v>3543</v>
      </c>
      <c r="AN1369" s="122">
        <v>3563</v>
      </c>
      <c r="AO1369" s="122">
        <v>1320</v>
      </c>
      <c r="AP1369">
        <v>945</v>
      </c>
      <c r="AQ1369">
        <v>350</v>
      </c>
      <c r="AR1369" s="122">
        <v>9013</v>
      </c>
      <c r="AS1369" s="122">
        <v>8194</v>
      </c>
      <c r="AT1369" s="122">
        <v>5905</v>
      </c>
      <c r="AU1369" s="122">
        <v>2187</v>
      </c>
      <c r="AV1369" s="122">
        <v>40679</v>
      </c>
    </row>
    <row r="1370" spans="2:48" hidden="1">
      <c r="B1370" t="s">
        <v>372</v>
      </c>
      <c r="C1370" t="s">
        <v>62</v>
      </c>
      <c r="D1370" t="s">
        <v>407</v>
      </c>
      <c r="E1370" t="s">
        <v>407</v>
      </c>
      <c r="F1370" s="122">
        <v>16</v>
      </c>
      <c r="G1370" s="122">
        <v>1397</v>
      </c>
      <c r="H1370" s="122">
        <v>6487</v>
      </c>
      <c r="I1370" s="122">
        <v>355129</v>
      </c>
      <c r="J1370" s="122">
        <v>322844</v>
      </c>
      <c r="K1370" s="122">
        <v>79</v>
      </c>
      <c r="L1370" s="122">
        <v>80997</v>
      </c>
      <c r="M1370" s="122">
        <v>68303</v>
      </c>
      <c r="N1370" s="122">
        <v>31259</v>
      </c>
      <c r="O1370" s="122">
        <v>11577</v>
      </c>
      <c r="P1370" s="122">
        <v>8060</v>
      </c>
      <c r="Q1370" s="122">
        <v>2985</v>
      </c>
      <c r="R1370" s="122">
        <v>80041</v>
      </c>
      <c r="S1370" s="122">
        <v>72764</v>
      </c>
      <c r="T1370" s="122">
        <v>11773</v>
      </c>
      <c r="U1370" s="122">
        <v>4361</v>
      </c>
      <c r="V1370" s="122">
        <v>482834</v>
      </c>
      <c r="W1370" s="122">
        <f t="shared" si="42"/>
        <v>482834</v>
      </c>
      <c r="X1370" s="122">
        <f t="shared" si="43"/>
        <v>567259</v>
      </c>
      <c r="AA1370" t="s">
        <v>60</v>
      </c>
      <c r="AB1370" t="s">
        <v>407</v>
      </c>
      <c r="AC1370" t="s">
        <v>137</v>
      </c>
      <c r="AD1370" t="s">
        <v>407</v>
      </c>
      <c r="AE1370" t="s">
        <v>137</v>
      </c>
      <c r="AF1370">
        <v>648</v>
      </c>
      <c r="AG1370" s="122">
        <v>58922</v>
      </c>
      <c r="AH1370" s="122">
        <v>219021</v>
      </c>
      <c r="AI1370" s="122">
        <v>11538860</v>
      </c>
      <c r="AJ1370" s="122">
        <v>10489872</v>
      </c>
      <c r="AK1370">
        <v>77</v>
      </c>
      <c r="AL1370" s="122">
        <v>2800954</v>
      </c>
      <c r="AM1370" s="122">
        <v>1037391</v>
      </c>
      <c r="AN1370" s="122">
        <v>1257139</v>
      </c>
      <c r="AO1370" s="122">
        <v>465607</v>
      </c>
      <c r="AP1370" s="122">
        <v>305169</v>
      </c>
      <c r="AQ1370" s="122">
        <v>113026</v>
      </c>
      <c r="AR1370" s="122">
        <v>2844780</v>
      </c>
      <c r="AS1370" s="122">
        <v>2586163</v>
      </c>
      <c r="AT1370" s="122">
        <v>1432133</v>
      </c>
      <c r="AU1370" s="122">
        <v>530420</v>
      </c>
      <c r="AV1370" s="122">
        <v>15222478</v>
      </c>
    </row>
    <row r="1371" spans="2:48" hidden="1">
      <c r="B1371" t="s">
        <v>372</v>
      </c>
      <c r="C1371" t="s">
        <v>62</v>
      </c>
      <c r="D1371" t="s">
        <v>556</v>
      </c>
      <c r="E1371" t="s">
        <v>556</v>
      </c>
      <c r="F1371" s="122">
        <v>36</v>
      </c>
      <c r="G1371" s="122">
        <v>2991</v>
      </c>
      <c r="H1371" s="122">
        <v>14233</v>
      </c>
      <c r="I1371" s="122">
        <v>651187</v>
      </c>
      <c r="J1371" s="122">
        <v>542656</v>
      </c>
      <c r="K1371" s="122">
        <v>47</v>
      </c>
      <c r="L1371" s="122">
        <v>95575</v>
      </c>
      <c r="M1371" s="122">
        <v>79646</v>
      </c>
      <c r="N1371" s="122">
        <v>57505</v>
      </c>
      <c r="O1371" s="122">
        <v>21298</v>
      </c>
      <c r="P1371" s="122">
        <v>12636</v>
      </c>
      <c r="Q1371" s="122">
        <v>4680</v>
      </c>
      <c r="R1371" s="122">
        <v>269872</v>
      </c>
      <c r="S1371" s="122">
        <v>224893</v>
      </c>
      <c r="T1371" s="122">
        <v>95889</v>
      </c>
      <c r="U1371" s="122">
        <v>35514</v>
      </c>
      <c r="V1371" s="122">
        <v>908687</v>
      </c>
      <c r="W1371" s="122">
        <f t="shared" si="42"/>
        <v>908687</v>
      </c>
      <c r="X1371" s="122">
        <f t="shared" si="43"/>
        <v>1182664</v>
      </c>
      <c r="AA1371" t="s">
        <v>60</v>
      </c>
      <c r="AB1371" t="s">
        <v>407</v>
      </c>
      <c r="AC1371" t="s">
        <v>137</v>
      </c>
      <c r="AD1371" t="s">
        <v>407</v>
      </c>
      <c r="AE1371" t="s">
        <v>566</v>
      </c>
      <c r="AF1371">
        <v>433</v>
      </c>
      <c r="AG1371" s="122">
        <v>38567</v>
      </c>
      <c r="AH1371" s="122">
        <v>145250</v>
      </c>
      <c r="AI1371" s="122">
        <v>7792453</v>
      </c>
      <c r="AJ1371" s="122">
        <v>7084048</v>
      </c>
      <c r="AK1371">
        <v>81</v>
      </c>
      <c r="AL1371" s="122">
        <v>1999980</v>
      </c>
      <c r="AM1371" s="122">
        <v>740733</v>
      </c>
      <c r="AN1371" s="122">
        <v>799902</v>
      </c>
      <c r="AO1371" s="122">
        <v>296260</v>
      </c>
      <c r="AP1371" s="122">
        <v>204693</v>
      </c>
      <c r="AQ1371" s="122">
        <v>75812</v>
      </c>
      <c r="AR1371" s="122">
        <v>2250647</v>
      </c>
      <c r="AS1371" s="122">
        <v>2046043</v>
      </c>
      <c r="AT1371">
        <v>0</v>
      </c>
      <c r="AU1371">
        <v>0</v>
      </c>
      <c r="AV1371" s="122">
        <v>10242897</v>
      </c>
    </row>
    <row r="1372" spans="2:48" hidden="1">
      <c r="B1372" t="s">
        <v>372</v>
      </c>
      <c r="C1372" t="s">
        <v>62</v>
      </c>
      <c r="D1372" t="s">
        <v>428</v>
      </c>
      <c r="E1372" t="s">
        <v>428</v>
      </c>
      <c r="F1372" s="122">
        <v>1</v>
      </c>
      <c r="G1372" s="122">
        <v>76</v>
      </c>
      <c r="H1372" s="122">
        <v>443</v>
      </c>
      <c r="I1372" s="122">
        <v>20854</v>
      </c>
      <c r="J1372" s="122">
        <v>18958</v>
      </c>
      <c r="K1372" s="122">
        <v>45</v>
      </c>
      <c r="L1372" s="122">
        <v>3476</v>
      </c>
      <c r="M1372" s="122">
        <v>3160</v>
      </c>
      <c r="N1372" s="122">
        <v>1720</v>
      </c>
      <c r="O1372" s="122">
        <v>637</v>
      </c>
      <c r="P1372" s="122">
        <v>351</v>
      </c>
      <c r="Q1372" s="122">
        <v>130</v>
      </c>
      <c r="R1372" s="122">
        <v>7419</v>
      </c>
      <c r="S1372" s="122">
        <v>6745</v>
      </c>
      <c r="T1372" s="122">
        <v>0</v>
      </c>
      <c r="U1372" s="122">
        <v>0</v>
      </c>
      <c r="V1372" s="122">
        <v>29629</v>
      </c>
      <c r="W1372" s="122">
        <f t="shared" si="42"/>
        <v>29630</v>
      </c>
      <c r="X1372" s="122">
        <f t="shared" si="43"/>
        <v>33820</v>
      </c>
      <c r="AA1372" t="s">
        <v>60</v>
      </c>
      <c r="AB1372" t="s">
        <v>407</v>
      </c>
      <c r="AC1372" t="s">
        <v>137</v>
      </c>
      <c r="AD1372" t="s">
        <v>579</v>
      </c>
      <c r="AE1372" t="s">
        <v>137</v>
      </c>
      <c r="AF1372">
        <v>1</v>
      </c>
      <c r="AG1372">
        <v>109</v>
      </c>
      <c r="AH1372">
        <v>306</v>
      </c>
      <c r="AI1372" s="122">
        <v>19724</v>
      </c>
      <c r="AJ1372" s="122">
        <v>17931</v>
      </c>
      <c r="AK1372">
        <v>73</v>
      </c>
      <c r="AL1372" s="122">
        <v>3733</v>
      </c>
      <c r="AM1372" s="122">
        <v>1383</v>
      </c>
      <c r="AN1372" s="122">
        <v>2375</v>
      </c>
      <c r="AO1372">
        <v>880</v>
      </c>
      <c r="AP1372">
        <v>473</v>
      </c>
      <c r="AQ1372">
        <v>175</v>
      </c>
      <c r="AR1372" s="122">
        <v>4603</v>
      </c>
      <c r="AS1372" s="122">
        <v>3836</v>
      </c>
      <c r="AT1372" s="122">
        <v>2451</v>
      </c>
      <c r="AU1372">
        <v>908</v>
      </c>
      <c r="AV1372" s="122">
        <v>25112</v>
      </c>
    </row>
    <row r="1373" spans="2:48" hidden="1">
      <c r="B1373" t="s">
        <v>372</v>
      </c>
      <c r="C1373" t="s">
        <v>62</v>
      </c>
      <c r="D1373" t="s">
        <v>431</v>
      </c>
      <c r="E1373" t="s">
        <v>137</v>
      </c>
      <c r="F1373" s="122">
        <v>1</v>
      </c>
      <c r="G1373" s="122">
        <v>76</v>
      </c>
      <c r="H1373" s="122">
        <v>417</v>
      </c>
      <c r="I1373" s="122">
        <v>22751</v>
      </c>
      <c r="J1373" s="122">
        <v>20683</v>
      </c>
      <c r="K1373" s="122">
        <v>30</v>
      </c>
      <c r="L1373" s="122">
        <v>1861</v>
      </c>
      <c r="M1373" s="122">
        <v>689</v>
      </c>
      <c r="N1373" s="122">
        <v>1842</v>
      </c>
      <c r="O1373" s="122">
        <v>682</v>
      </c>
      <c r="P1373" s="122">
        <v>0</v>
      </c>
      <c r="Q1373" s="122">
        <v>0</v>
      </c>
      <c r="R1373" s="122">
        <v>5033</v>
      </c>
      <c r="S1373" s="122">
        <v>1864</v>
      </c>
      <c r="T1373" s="122">
        <v>0</v>
      </c>
      <c r="U1373" s="122">
        <v>0</v>
      </c>
      <c r="V1373" s="122">
        <v>23918</v>
      </c>
      <c r="W1373" s="122">
        <f t="shared" si="42"/>
        <v>23918</v>
      </c>
      <c r="X1373" s="122">
        <f t="shared" si="43"/>
        <v>31487</v>
      </c>
      <c r="AA1373" t="s">
        <v>60</v>
      </c>
      <c r="AB1373" t="s">
        <v>407</v>
      </c>
      <c r="AC1373" t="s">
        <v>580</v>
      </c>
      <c r="AD1373" t="s">
        <v>407</v>
      </c>
      <c r="AE1373" t="s">
        <v>137</v>
      </c>
      <c r="AF1373">
        <v>10</v>
      </c>
      <c r="AG1373">
        <v>988</v>
      </c>
      <c r="AH1373" s="122">
        <v>3397</v>
      </c>
      <c r="AI1373" s="122">
        <v>210051</v>
      </c>
      <c r="AJ1373" s="122">
        <v>190956</v>
      </c>
      <c r="AK1373">
        <v>79</v>
      </c>
      <c r="AL1373" s="122">
        <v>40936</v>
      </c>
      <c r="AM1373" s="122">
        <v>37215</v>
      </c>
      <c r="AN1373" s="122">
        <v>21002</v>
      </c>
      <c r="AO1373" s="122">
        <v>7779</v>
      </c>
      <c r="AP1373" s="122">
        <v>5495</v>
      </c>
      <c r="AQ1373" s="122">
        <v>2035</v>
      </c>
      <c r="AR1373" s="122">
        <v>41332</v>
      </c>
      <c r="AS1373" s="122">
        <v>37575</v>
      </c>
      <c r="AT1373" s="122">
        <v>24135</v>
      </c>
      <c r="AU1373" s="122">
        <v>8939</v>
      </c>
      <c r="AV1373" s="122">
        <v>284497</v>
      </c>
    </row>
    <row r="1374" spans="2:48" hidden="1">
      <c r="B1374" t="s">
        <v>372</v>
      </c>
      <c r="C1374" t="s">
        <v>62</v>
      </c>
      <c r="D1374" t="s">
        <v>431</v>
      </c>
      <c r="E1374" t="s">
        <v>431</v>
      </c>
      <c r="F1374" s="122">
        <v>27</v>
      </c>
      <c r="G1374" s="122">
        <v>2246</v>
      </c>
      <c r="H1374" s="122">
        <v>11054</v>
      </c>
      <c r="I1374" s="122">
        <v>552863</v>
      </c>
      <c r="J1374" s="122">
        <v>502602</v>
      </c>
      <c r="K1374" s="122">
        <v>46</v>
      </c>
      <c r="L1374" s="122">
        <v>87791</v>
      </c>
      <c r="M1374" s="122">
        <v>79810</v>
      </c>
      <c r="N1374" s="122">
        <v>46852</v>
      </c>
      <c r="O1374" s="122">
        <v>17353</v>
      </c>
      <c r="P1374" s="122">
        <v>9477</v>
      </c>
      <c r="Q1374" s="122">
        <v>3510</v>
      </c>
      <c r="R1374" s="122">
        <v>167666</v>
      </c>
      <c r="S1374" s="122">
        <v>152424</v>
      </c>
      <c r="T1374" s="122">
        <v>56095</v>
      </c>
      <c r="U1374" s="122">
        <v>20776</v>
      </c>
      <c r="V1374" s="122">
        <v>776474</v>
      </c>
      <c r="W1374" s="122">
        <f t="shared" si="42"/>
        <v>776475</v>
      </c>
      <c r="X1374" s="122">
        <f t="shared" si="43"/>
        <v>920744</v>
      </c>
      <c r="AA1374" t="s">
        <v>60</v>
      </c>
      <c r="AB1374" t="s">
        <v>407</v>
      </c>
      <c r="AC1374" t="s">
        <v>580</v>
      </c>
      <c r="AD1374" t="s">
        <v>407</v>
      </c>
      <c r="AE1374" t="s">
        <v>566</v>
      </c>
      <c r="AF1374">
        <v>2</v>
      </c>
      <c r="AG1374">
        <v>199</v>
      </c>
      <c r="AH1374">
        <v>660</v>
      </c>
      <c r="AI1374" s="122">
        <v>41325</v>
      </c>
      <c r="AJ1374" s="122">
        <v>37568</v>
      </c>
      <c r="AK1374">
        <v>83</v>
      </c>
      <c r="AL1374" s="122">
        <v>9029</v>
      </c>
      <c r="AM1374" s="122">
        <v>8208</v>
      </c>
      <c r="AN1374" s="122">
        <v>3390</v>
      </c>
      <c r="AO1374" s="122">
        <v>1256</v>
      </c>
      <c r="AP1374">
        <v>945</v>
      </c>
      <c r="AQ1374">
        <v>350</v>
      </c>
      <c r="AR1374" s="122">
        <v>10818</v>
      </c>
      <c r="AS1374" s="122">
        <v>9834</v>
      </c>
      <c r="AT1374">
        <v>0</v>
      </c>
      <c r="AU1374">
        <v>0</v>
      </c>
      <c r="AV1374" s="122">
        <v>57216</v>
      </c>
    </row>
    <row r="1375" spans="2:48" hidden="1">
      <c r="B1375" t="s">
        <v>372</v>
      </c>
      <c r="C1375" t="s">
        <v>62</v>
      </c>
      <c r="D1375" t="s">
        <v>426</v>
      </c>
      <c r="E1375" t="s">
        <v>426</v>
      </c>
      <c r="F1375" s="122">
        <v>140</v>
      </c>
      <c r="G1375" s="122">
        <v>9980</v>
      </c>
      <c r="H1375" s="122">
        <v>57191</v>
      </c>
      <c r="I1375" s="122">
        <v>2439489</v>
      </c>
      <c r="J1375" s="122">
        <v>2217717</v>
      </c>
      <c r="K1375" s="122">
        <v>49</v>
      </c>
      <c r="L1375" s="122">
        <v>269913</v>
      </c>
      <c r="M1375" s="122">
        <v>235453</v>
      </c>
      <c r="N1375" s="122">
        <v>198954</v>
      </c>
      <c r="O1375" s="122">
        <v>73687</v>
      </c>
      <c r="P1375" s="122">
        <v>48479</v>
      </c>
      <c r="Q1375" s="122">
        <v>17955</v>
      </c>
      <c r="R1375" s="122">
        <v>840016</v>
      </c>
      <c r="S1375" s="122">
        <v>763651</v>
      </c>
      <c r="T1375" s="122">
        <v>271159</v>
      </c>
      <c r="U1375" s="122">
        <v>100429</v>
      </c>
      <c r="V1375" s="122">
        <v>3408892</v>
      </c>
      <c r="W1375" s="122">
        <f t="shared" si="42"/>
        <v>3408892</v>
      </c>
      <c r="X1375" s="122">
        <f t="shared" si="43"/>
        <v>4068010</v>
      </c>
      <c r="AA1375" t="s">
        <v>60</v>
      </c>
      <c r="AB1375" t="s">
        <v>407</v>
      </c>
      <c r="AC1375" t="s">
        <v>427</v>
      </c>
      <c r="AD1375" t="s">
        <v>425</v>
      </c>
      <c r="AE1375" t="s">
        <v>566</v>
      </c>
      <c r="AF1375">
        <v>1</v>
      </c>
      <c r="AG1375">
        <v>70</v>
      </c>
      <c r="AH1375">
        <v>314</v>
      </c>
      <c r="AI1375" s="122">
        <v>13698</v>
      </c>
      <c r="AJ1375" s="122">
        <v>12452</v>
      </c>
      <c r="AK1375">
        <v>91</v>
      </c>
      <c r="AL1375" s="122">
        <v>4388</v>
      </c>
      <c r="AM1375" s="122">
        <v>3989</v>
      </c>
      <c r="AN1375" s="122">
        <v>1604</v>
      </c>
      <c r="AO1375">
        <v>594</v>
      </c>
      <c r="AP1375">
        <v>473</v>
      </c>
      <c r="AQ1375">
        <v>175</v>
      </c>
      <c r="AR1375" s="122">
        <v>1928</v>
      </c>
      <c r="AS1375" s="122">
        <v>1752</v>
      </c>
      <c r="AT1375">
        <v>0</v>
      </c>
      <c r="AU1375">
        <v>0</v>
      </c>
      <c r="AV1375" s="122">
        <v>18963</v>
      </c>
    </row>
    <row r="1376" spans="2:48" hidden="1">
      <c r="B1376" t="s">
        <v>372</v>
      </c>
      <c r="C1376" t="s">
        <v>64</v>
      </c>
      <c r="F1376" s="122">
        <v>2</v>
      </c>
      <c r="G1376" s="122">
        <v>442</v>
      </c>
      <c r="H1376" s="122">
        <v>929</v>
      </c>
      <c r="I1376" s="122"/>
      <c r="J1376" s="122">
        <v>0</v>
      </c>
      <c r="K1376" s="122"/>
      <c r="L1376" s="122"/>
      <c r="M1376" s="122">
        <v>0</v>
      </c>
      <c r="N1376" s="122">
        <v>9575</v>
      </c>
      <c r="O1376" s="122">
        <v>3546</v>
      </c>
      <c r="P1376" s="122">
        <v>0</v>
      </c>
      <c r="Q1376" s="122">
        <v>0</v>
      </c>
      <c r="R1376" s="122"/>
      <c r="S1376" s="122">
        <v>0</v>
      </c>
      <c r="T1376" s="122">
        <v>2078</v>
      </c>
      <c r="U1376" s="122">
        <v>770</v>
      </c>
      <c r="V1376" s="122">
        <v>4316</v>
      </c>
      <c r="W1376" s="122">
        <f t="shared" si="42"/>
        <v>4316</v>
      </c>
      <c r="X1376" s="122">
        <f t="shared" si="43"/>
        <v>11653</v>
      </c>
      <c r="AA1376" t="s">
        <v>60</v>
      </c>
      <c r="AB1376" t="s">
        <v>407</v>
      </c>
      <c r="AC1376" t="s">
        <v>427</v>
      </c>
      <c r="AD1376" t="s">
        <v>137</v>
      </c>
      <c r="AE1376" t="s">
        <v>566</v>
      </c>
      <c r="AF1376">
        <v>9</v>
      </c>
      <c r="AG1376">
        <v>740</v>
      </c>
      <c r="AH1376" s="122">
        <v>2995</v>
      </c>
      <c r="AI1376" s="122">
        <v>118807</v>
      </c>
      <c r="AJ1376" s="122">
        <v>108006</v>
      </c>
      <c r="AK1376">
        <v>77</v>
      </c>
      <c r="AL1376" s="122">
        <v>31101</v>
      </c>
      <c r="AM1376" s="122">
        <v>28274</v>
      </c>
      <c r="AN1376" s="122">
        <v>15066</v>
      </c>
      <c r="AO1376" s="122">
        <v>5580</v>
      </c>
      <c r="AP1376" s="122">
        <v>3780</v>
      </c>
      <c r="AQ1376" s="122">
        <v>1400</v>
      </c>
      <c r="AR1376" s="122">
        <v>77306</v>
      </c>
      <c r="AS1376" s="122">
        <v>28632</v>
      </c>
      <c r="AT1376">
        <v>0</v>
      </c>
      <c r="AU1376">
        <v>0</v>
      </c>
      <c r="AV1376" s="122">
        <v>171892</v>
      </c>
    </row>
    <row r="1377" spans="2:48" hidden="1">
      <c r="B1377" t="s">
        <v>372</v>
      </c>
      <c r="C1377" t="s">
        <v>64</v>
      </c>
      <c r="D1377" t="s">
        <v>137</v>
      </c>
      <c r="E1377" t="s">
        <v>137</v>
      </c>
      <c r="F1377" s="122">
        <v>47</v>
      </c>
      <c r="G1377" s="122">
        <v>4289</v>
      </c>
      <c r="H1377" s="122">
        <v>29689</v>
      </c>
      <c r="I1377" s="122">
        <v>1944053</v>
      </c>
      <c r="J1377" s="122">
        <v>720019</v>
      </c>
      <c r="K1377" s="122">
        <v>100</v>
      </c>
      <c r="L1377" s="122">
        <v>282583</v>
      </c>
      <c r="M1377" s="122">
        <v>229031</v>
      </c>
      <c r="N1377" s="122">
        <v>92223</v>
      </c>
      <c r="O1377" s="122">
        <v>34157</v>
      </c>
      <c r="P1377" s="122">
        <v>1715</v>
      </c>
      <c r="Q1377" s="122">
        <v>635</v>
      </c>
      <c r="R1377" s="122">
        <v>335771</v>
      </c>
      <c r="S1377" s="122">
        <v>124360</v>
      </c>
      <c r="T1377" s="122">
        <v>11230</v>
      </c>
      <c r="U1377" s="122">
        <v>4159</v>
      </c>
      <c r="V1377" s="122">
        <v>1112361</v>
      </c>
      <c r="W1377" s="122">
        <f t="shared" si="42"/>
        <v>1112361</v>
      </c>
      <c r="X1377" s="122">
        <f t="shared" si="43"/>
        <v>2667575</v>
      </c>
      <c r="AA1377" t="s">
        <v>60</v>
      </c>
      <c r="AB1377" t="s">
        <v>407</v>
      </c>
      <c r="AC1377" t="s">
        <v>427</v>
      </c>
      <c r="AD1377" t="s">
        <v>407</v>
      </c>
      <c r="AE1377" t="s">
        <v>137</v>
      </c>
      <c r="AF1377">
        <v>499</v>
      </c>
      <c r="AG1377" s="122">
        <v>48106</v>
      </c>
      <c r="AH1377" s="122">
        <v>169112</v>
      </c>
      <c r="AI1377" s="122">
        <v>9383631</v>
      </c>
      <c r="AJ1377" s="122">
        <v>8530574</v>
      </c>
      <c r="AK1377">
        <v>77</v>
      </c>
      <c r="AL1377" s="122">
        <v>2491853</v>
      </c>
      <c r="AM1377" s="122">
        <v>2265321</v>
      </c>
      <c r="AN1377" s="122">
        <v>1012452</v>
      </c>
      <c r="AO1377" s="122">
        <v>374982</v>
      </c>
      <c r="AP1377" s="122">
        <v>236021</v>
      </c>
      <c r="AQ1377" s="122">
        <v>87415</v>
      </c>
      <c r="AR1377" s="122">
        <v>2286214</v>
      </c>
      <c r="AS1377" s="122">
        <v>2078376</v>
      </c>
      <c r="AT1377" s="122">
        <v>1114964</v>
      </c>
      <c r="AU1377" s="122">
        <v>412950</v>
      </c>
      <c r="AV1377" s="122">
        <v>13749618</v>
      </c>
    </row>
    <row r="1378" spans="2:48" hidden="1">
      <c r="B1378" t="s">
        <v>372</v>
      </c>
      <c r="C1378" t="s">
        <v>64</v>
      </c>
      <c r="D1378" t="s">
        <v>137</v>
      </c>
      <c r="E1378" t="s">
        <v>406</v>
      </c>
      <c r="F1378" s="122">
        <v>1</v>
      </c>
      <c r="G1378" s="122">
        <v>71</v>
      </c>
      <c r="H1378" s="122">
        <v>487</v>
      </c>
      <c r="I1378" s="122">
        <v>23721</v>
      </c>
      <c r="J1378" s="122">
        <v>8785</v>
      </c>
      <c r="K1378" s="122">
        <v>100</v>
      </c>
      <c r="L1378" s="122">
        <v>4027</v>
      </c>
      <c r="M1378" s="122">
        <v>3661</v>
      </c>
      <c r="N1378" s="122">
        <v>1740</v>
      </c>
      <c r="O1378" s="122">
        <v>644</v>
      </c>
      <c r="P1378" s="122">
        <v>0</v>
      </c>
      <c r="Q1378" s="122">
        <v>0</v>
      </c>
      <c r="R1378" s="122">
        <v>3709</v>
      </c>
      <c r="S1378" s="122">
        <v>3372</v>
      </c>
      <c r="T1378" s="122">
        <v>1604</v>
      </c>
      <c r="U1378" s="122">
        <v>594</v>
      </c>
      <c r="V1378" s="122">
        <v>17057</v>
      </c>
      <c r="W1378" s="122">
        <f t="shared" si="42"/>
        <v>17056</v>
      </c>
      <c r="X1378" s="122">
        <f t="shared" si="43"/>
        <v>34801</v>
      </c>
      <c r="AA1378" t="s">
        <v>60</v>
      </c>
      <c r="AB1378" t="s">
        <v>407</v>
      </c>
      <c r="AC1378" t="s">
        <v>427</v>
      </c>
      <c r="AD1378" t="s">
        <v>407</v>
      </c>
      <c r="AE1378" t="s">
        <v>566</v>
      </c>
      <c r="AF1378">
        <v>437</v>
      </c>
      <c r="AG1378" s="122">
        <v>42516</v>
      </c>
      <c r="AH1378" s="122">
        <v>148213</v>
      </c>
      <c r="AI1378" s="122">
        <v>8594340</v>
      </c>
      <c r="AJ1378" s="122">
        <v>7813036</v>
      </c>
      <c r="AK1378">
        <v>79</v>
      </c>
      <c r="AL1378" s="122">
        <v>2346712</v>
      </c>
      <c r="AM1378" s="122">
        <v>2133375</v>
      </c>
      <c r="AN1378" s="122">
        <v>930309</v>
      </c>
      <c r="AO1378" s="122">
        <v>344559</v>
      </c>
      <c r="AP1378" s="122">
        <v>207374</v>
      </c>
      <c r="AQ1378" s="122">
        <v>76805</v>
      </c>
      <c r="AR1378" s="122">
        <v>2593484</v>
      </c>
      <c r="AS1378" s="122">
        <v>2357712</v>
      </c>
      <c r="AT1378">
        <v>0</v>
      </c>
      <c r="AU1378">
        <v>0</v>
      </c>
      <c r="AV1378" s="122">
        <v>12725488</v>
      </c>
    </row>
    <row r="1379" spans="2:48" hidden="1">
      <c r="B1379" t="s">
        <v>372</v>
      </c>
      <c r="C1379" t="s">
        <v>64</v>
      </c>
      <c r="D1379" t="s">
        <v>137</v>
      </c>
      <c r="E1379" t="s">
        <v>426</v>
      </c>
      <c r="F1379" s="122">
        <v>8</v>
      </c>
      <c r="G1379" s="122">
        <v>760</v>
      </c>
      <c r="H1379" s="122">
        <v>5201</v>
      </c>
      <c r="I1379" s="122">
        <v>378673</v>
      </c>
      <c r="J1379" s="122">
        <v>140249</v>
      </c>
      <c r="K1379" s="122">
        <v>93</v>
      </c>
      <c r="L1379" s="122">
        <v>38702</v>
      </c>
      <c r="M1379" s="122">
        <v>31370</v>
      </c>
      <c r="N1379" s="122">
        <v>16219</v>
      </c>
      <c r="O1379" s="122">
        <v>6007</v>
      </c>
      <c r="P1379" s="122">
        <v>1053</v>
      </c>
      <c r="Q1379" s="122">
        <v>390</v>
      </c>
      <c r="R1379" s="122">
        <v>57086</v>
      </c>
      <c r="S1379" s="122">
        <v>51897</v>
      </c>
      <c r="T1379" s="122">
        <v>20306</v>
      </c>
      <c r="U1379" s="122">
        <v>7521</v>
      </c>
      <c r="V1379" s="122">
        <v>237434</v>
      </c>
      <c r="W1379" s="122">
        <f t="shared" si="42"/>
        <v>237434</v>
      </c>
      <c r="X1379" s="122">
        <f t="shared" si="43"/>
        <v>512039</v>
      </c>
      <c r="AA1379" t="s">
        <v>60</v>
      </c>
      <c r="AB1379" t="s">
        <v>407</v>
      </c>
      <c r="AC1379" t="s">
        <v>407</v>
      </c>
      <c r="AD1379" t="s">
        <v>405</v>
      </c>
      <c r="AE1379" t="s">
        <v>137</v>
      </c>
      <c r="AF1379">
        <v>1</v>
      </c>
      <c r="AG1379">
        <v>112</v>
      </c>
      <c r="AH1379">
        <v>346</v>
      </c>
      <c r="AI1379" s="122">
        <v>20492</v>
      </c>
      <c r="AJ1379" s="122">
        <v>18629</v>
      </c>
      <c r="AK1379">
        <v>65</v>
      </c>
      <c r="AL1379" s="122">
        <v>7035</v>
      </c>
      <c r="AM1379" s="122">
        <v>6396</v>
      </c>
      <c r="AN1379" s="122">
        <v>2735</v>
      </c>
      <c r="AO1379" s="122">
        <v>1013</v>
      </c>
      <c r="AP1379">
        <v>473</v>
      </c>
      <c r="AQ1379">
        <v>175</v>
      </c>
      <c r="AR1379" s="122">
        <v>5271</v>
      </c>
      <c r="AS1379" s="122">
        <v>4792</v>
      </c>
      <c r="AT1379" s="122">
        <v>2848</v>
      </c>
      <c r="AU1379" s="122">
        <v>1055</v>
      </c>
      <c r="AV1379" s="122">
        <v>32059</v>
      </c>
    </row>
    <row r="1380" spans="2:48" hidden="1">
      <c r="B1380" t="s">
        <v>372</v>
      </c>
      <c r="C1380" t="s">
        <v>64</v>
      </c>
      <c r="D1380" t="s">
        <v>406</v>
      </c>
      <c r="E1380" t="s">
        <v>137</v>
      </c>
      <c r="F1380" s="122">
        <v>1</v>
      </c>
      <c r="G1380" s="122">
        <v>78</v>
      </c>
      <c r="H1380" s="122">
        <v>600</v>
      </c>
      <c r="I1380" s="122">
        <v>34136</v>
      </c>
      <c r="J1380" s="122">
        <v>31033</v>
      </c>
      <c r="K1380" s="122">
        <v>85</v>
      </c>
      <c r="L1380" s="122">
        <v>5101</v>
      </c>
      <c r="M1380" s="122">
        <v>4638</v>
      </c>
      <c r="N1380" s="122">
        <v>1540</v>
      </c>
      <c r="O1380" s="122">
        <v>570</v>
      </c>
      <c r="P1380" s="122">
        <v>621</v>
      </c>
      <c r="Q1380" s="122">
        <v>230</v>
      </c>
      <c r="R1380" s="122">
        <v>5114</v>
      </c>
      <c r="S1380" s="122">
        <v>1894</v>
      </c>
      <c r="T1380" s="122">
        <v>0</v>
      </c>
      <c r="U1380" s="122">
        <v>0</v>
      </c>
      <c r="V1380" s="122">
        <v>38365</v>
      </c>
      <c r="W1380" s="122">
        <f t="shared" si="42"/>
        <v>38365</v>
      </c>
      <c r="X1380" s="122">
        <f t="shared" si="43"/>
        <v>46512</v>
      </c>
      <c r="AA1380" t="s">
        <v>60</v>
      </c>
      <c r="AB1380" t="s">
        <v>407</v>
      </c>
      <c r="AC1380" t="s">
        <v>407</v>
      </c>
      <c r="AD1380" t="s">
        <v>405</v>
      </c>
      <c r="AE1380" t="s">
        <v>566</v>
      </c>
      <c r="AF1380">
        <v>2</v>
      </c>
      <c r="AG1380">
        <v>190</v>
      </c>
      <c r="AH1380">
        <v>647</v>
      </c>
      <c r="AI1380" s="122">
        <v>38515</v>
      </c>
      <c r="AJ1380" s="122">
        <v>35014</v>
      </c>
      <c r="AK1380">
        <v>81</v>
      </c>
      <c r="AL1380" s="122">
        <v>6348</v>
      </c>
      <c r="AM1380" s="122">
        <v>5771</v>
      </c>
      <c r="AN1380" s="122">
        <v>4524</v>
      </c>
      <c r="AO1380" s="122">
        <v>1676</v>
      </c>
      <c r="AP1380">
        <v>945</v>
      </c>
      <c r="AQ1380">
        <v>350</v>
      </c>
      <c r="AR1380" s="122">
        <v>10658</v>
      </c>
      <c r="AS1380" s="122">
        <v>9689</v>
      </c>
      <c r="AT1380">
        <v>0</v>
      </c>
      <c r="AU1380">
        <v>0</v>
      </c>
      <c r="AV1380" s="122">
        <v>52500</v>
      </c>
    </row>
    <row r="1381" spans="2:48" hidden="1">
      <c r="B1381" t="s">
        <v>372</v>
      </c>
      <c r="C1381" t="s">
        <v>64</v>
      </c>
      <c r="D1381" t="s">
        <v>406</v>
      </c>
      <c r="E1381" t="s">
        <v>406</v>
      </c>
      <c r="F1381" s="122">
        <v>86</v>
      </c>
      <c r="G1381" s="122">
        <v>8576</v>
      </c>
      <c r="H1381" s="122">
        <v>46255</v>
      </c>
      <c r="I1381" s="122">
        <v>3156047</v>
      </c>
      <c r="J1381" s="122">
        <v>2869134</v>
      </c>
      <c r="K1381" s="122">
        <v>70</v>
      </c>
      <c r="L1381" s="122">
        <v>617355</v>
      </c>
      <c r="M1381" s="122">
        <v>542914</v>
      </c>
      <c r="N1381" s="122">
        <v>187966</v>
      </c>
      <c r="O1381" s="122">
        <v>69617</v>
      </c>
      <c r="P1381" s="122">
        <v>53919</v>
      </c>
      <c r="Q1381" s="122">
        <v>19970</v>
      </c>
      <c r="R1381" s="122">
        <v>433356</v>
      </c>
      <c r="S1381" s="122">
        <v>393960</v>
      </c>
      <c r="T1381" s="122">
        <v>167152</v>
      </c>
      <c r="U1381" s="122">
        <v>61908</v>
      </c>
      <c r="V1381" s="122">
        <v>3957504</v>
      </c>
      <c r="W1381" s="122">
        <f t="shared" si="42"/>
        <v>3957503</v>
      </c>
      <c r="X1381" s="122">
        <f t="shared" si="43"/>
        <v>4615795</v>
      </c>
      <c r="AA1381" t="s">
        <v>60</v>
      </c>
      <c r="AB1381" t="s">
        <v>407</v>
      </c>
      <c r="AC1381" t="s">
        <v>407</v>
      </c>
      <c r="AD1381" t="s">
        <v>137</v>
      </c>
      <c r="AE1381" t="s">
        <v>137</v>
      </c>
      <c r="AF1381">
        <v>3</v>
      </c>
      <c r="AG1381">
        <v>255</v>
      </c>
      <c r="AH1381" s="122">
        <v>1023</v>
      </c>
      <c r="AI1381" s="122">
        <v>58739</v>
      </c>
      <c r="AJ1381" s="122">
        <v>53399</v>
      </c>
      <c r="AK1381">
        <v>80</v>
      </c>
      <c r="AL1381" s="122">
        <v>9696</v>
      </c>
      <c r="AM1381" s="122">
        <v>8814</v>
      </c>
      <c r="AN1381" s="122">
        <v>6450</v>
      </c>
      <c r="AO1381" s="122">
        <v>2389</v>
      </c>
      <c r="AP1381" s="122">
        <v>1418</v>
      </c>
      <c r="AQ1381">
        <v>525</v>
      </c>
      <c r="AR1381" s="122">
        <v>20135</v>
      </c>
      <c r="AS1381" s="122">
        <v>7457</v>
      </c>
      <c r="AT1381">
        <v>0</v>
      </c>
      <c r="AU1381">
        <v>0</v>
      </c>
      <c r="AV1381" s="122">
        <v>72585</v>
      </c>
    </row>
    <row r="1382" spans="2:48" hidden="1">
      <c r="B1382" t="s">
        <v>372</v>
      </c>
      <c r="C1382" t="s">
        <v>64</v>
      </c>
      <c r="D1382" t="s">
        <v>427</v>
      </c>
      <c r="E1382" t="s">
        <v>137</v>
      </c>
      <c r="F1382" s="122">
        <v>1</v>
      </c>
      <c r="G1382" s="122">
        <v>78</v>
      </c>
      <c r="H1382" s="122">
        <v>682</v>
      </c>
      <c r="I1382" s="122">
        <v>41722</v>
      </c>
      <c r="J1382" s="122">
        <v>37929</v>
      </c>
      <c r="K1382" s="122">
        <v>30</v>
      </c>
      <c r="L1382" s="122">
        <v>4636</v>
      </c>
      <c r="M1382" s="122">
        <v>4214</v>
      </c>
      <c r="N1382" s="122">
        <v>1909</v>
      </c>
      <c r="O1382" s="122">
        <v>707</v>
      </c>
      <c r="P1382" s="122">
        <v>0</v>
      </c>
      <c r="Q1382" s="122">
        <v>0</v>
      </c>
      <c r="R1382" s="122">
        <v>5145</v>
      </c>
      <c r="S1382" s="122">
        <v>1906</v>
      </c>
      <c r="T1382" s="122">
        <v>0</v>
      </c>
      <c r="U1382" s="122">
        <v>0</v>
      </c>
      <c r="V1382" s="122">
        <v>44756</v>
      </c>
      <c r="W1382" s="122">
        <f t="shared" si="42"/>
        <v>44756</v>
      </c>
      <c r="X1382" s="122">
        <f t="shared" si="43"/>
        <v>53412</v>
      </c>
      <c r="AA1382" t="s">
        <v>60</v>
      </c>
      <c r="AB1382" t="s">
        <v>407</v>
      </c>
      <c r="AC1382" t="s">
        <v>407</v>
      </c>
      <c r="AD1382" t="s">
        <v>137</v>
      </c>
      <c r="AE1382" t="s">
        <v>566</v>
      </c>
      <c r="AF1382">
        <v>25</v>
      </c>
      <c r="AG1382" s="122">
        <v>2084</v>
      </c>
      <c r="AH1382" s="122">
        <v>8653</v>
      </c>
      <c r="AI1382" s="122">
        <v>422731</v>
      </c>
      <c r="AJ1382" s="122">
        <v>384301</v>
      </c>
      <c r="AK1382">
        <v>76</v>
      </c>
      <c r="AL1382" s="122">
        <v>90326</v>
      </c>
      <c r="AM1382" s="122">
        <v>82114</v>
      </c>
      <c r="AN1382" s="122">
        <v>44907</v>
      </c>
      <c r="AO1382" s="122">
        <v>16632</v>
      </c>
      <c r="AP1382" s="122">
        <v>11097</v>
      </c>
      <c r="AQ1382" s="122">
        <v>4110</v>
      </c>
      <c r="AR1382" s="122">
        <v>155675</v>
      </c>
      <c r="AS1382" s="122">
        <v>57657</v>
      </c>
      <c r="AT1382">
        <v>0</v>
      </c>
      <c r="AU1382">
        <v>0</v>
      </c>
      <c r="AV1382" s="122">
        <v>544814</v>
      </c>
    </row>
    <row r="1383" spans="2:48" hidden="1">
      <c r="B1383" t="s">
        <v>372</v>
      </c>
      <c r="C1383" t="s">
        <v>64</v>
      </c>
      <c r="D1383" t="s">
        <v>427</v>
      </c>
      <c r="E1383" t="s">
        <v>406</v>
      </c>
      <c r="F1383" s="122">
        <v>1</v>
      </c>
      <c r="G1383" s="122">
        <v>329</v>
      </c>
      <c r="H1383" s="122">
        <v>902</v>
      </c>
      <c r="I1383" s="122">
        <v>262269</v>
      </c>
      <c r="J1383" s="122">
        <v>238426</v>
      </c>
      <c r="K1383" s="122">
        <v>30</v>
      </c>
      <c r="L1383" s="122">
        <v>13450</v>
      </c>
      <c r="M1383" s="122">
        <v>12227</v>
      </c>
      <c r="N1383" s="122">
        <v>6530</v>
      </c>
      <c r="O1383" s="122">
        <v>2418</v>
      </c>
      <c r="P1383" s="122">
        <v>270</v>
      </c>
      <c r="Q1383" s="122">
        <v>100</v>
      </c>
      <c r="R1383" s="122">
        <v>8807</v>
      </c>
      <c r="S1383" s="122">
        <v>8006</v>
      </c>
      <c r="T1383" s="122">
        <v>5301</v>
      </c>
      <c r="U1383" s="122">
        <v>1963</v>
      </c>
      <c r="V1383" s="122">
        <v>263141</v>
      </c>
      <c r="W1383" s="122">
        <f t="shared" si="42"/>
        <v>263140</v>
      </c>
      <c r="X1383" s="122">
        <f t="shared" si="43"/>
        <v>296627</v>
      </c>
      <c r="AA1383" t="s">
        <v>60</v>
      </c>
      <c r="AB1383" t="s">
        <v>407</v>
      </c>
      <c r="AC1383" t="s">
        <v>407</v>
      </c>
      <c r="AD1383" t="s">
        <v>406</v>
      </c>
      <c r="AE1383" t="s">
        <v>566</v>
      </c>
      <c r="AF1383">
        <v>1</v>
      </c>
      <c r="AG1383">
        <v>85</v>
      </c>
      <c r="AH1383">
        <v>334</v>
      </c>
      <c r="AI1383" s="122">
        <v>17242</v>
      </c>
      <c r="AJ1383" s="122">
        <v>15675</v>
      </c>
      <c r="AK1383">
        <v>91</v>
      </c>
      <c r="AL1383" s="122">
        <v>5524</v>
      </c>
      <c r="AM1383" s="122">
        <v>5022</v>
      </c>
      <c r="AN1383" s="122">
        <v>1548</v>
      </c>
      <c r="AO1383">
        <v>573</v>
      </c>
      <c r="AP1383">
        <v>473</v>
      </c>
      <c r="AQ1383">
        <v>175</v>
      </c>
      <c r="AR1383" s="122">
        <v>3492</v>
      </c>
      <c r="AS1383" s="122">
        <v>3175</v>
      </c>
      <c r="AT1383">
        <v>0</v>
      </c>
      <c r="AU1383">
        <v>0</v>
      </c>
      <c r="AV1383" s="122">
        <v>24620</v>
      </c>
    </row>
    <row r="1384" spans="2:48" hidden="1">
      <c r="B1384" t="s">
        <v>372</v>
      </c>
      <c r="C1384" t="s">
        <v>64</v>
      </c>
      <c r="D1384" t="s">
        <v>427</v>
      </c>
      <c r="E1384" t="s">
        <v>427</v>
      </c>
      <c r="F1384" s="122">
        <v>6</v>
      </c>
      <c r="G1384" s="122">
        <v>492</v>
      </c>
      <c r="H1384" s="122">
        <v>3072</v>
      </c>
      <c r="I1384" s="122">
        <v>163551</v>
      </c>
      <c r="J1384" s="122">
        <v>148683</v>
      </c>
      <c r="K1384" s="122">
        <v>45</v>
      </c>
      <c r="L1384" s="122">
        <v>25172</v>
      </c>
      <c r="M1384" s="122">
        <v>22884</v>
      </c>
      <c r="N1384" s="122">
        <v>10690</v>
      </c>
      <c r="O1384" s="122">
        <v>3959</v>
      </c>
      <c r="P1384" s="122">
        <v>2106</v>
      </c>
      <c r="Q1384" s="122">
        <v>780</v>
      </c>
      <c r="R1384" s="122">
        <v>36657</v>
      </c>
      <c r="S1384" s="122">
        <v>33324</v>
      </c>
      <c r="T1384" s="122">
        <v>13420</v>
      </c>
      <c r="U1384" s="122">
        <v>4970</v>
      </c>
      <c r="V1384" s="122">
        <v>214600</v>
      </c>
      <c r="W1384" s="122">
        <f t="shared" si="42"/>
        <v>214600</v>
      </c>
      <c r="X1384" s="122">
        <f t="shared" si="43"/>
        <v>251596</v>
      </c>
      <c r="AA1384" t="s">
        <v>60</v>
      </c>
      <c r="AB1384" t="s">
        <v>407</v>
      </c>
      <c r="AC1384" t="s">
        <v>407</v>
      </c>
      <c r="AD1384" t="s">
        <v>407</v>
      </c>
      <c r="AE1384" t="s">
        <v>137</v>
      </c>
      <c r="AF1384" s="122">
        <v>3916</v>
      </c>
      <c r="AG1384" s="122">
        <v>370013</v>
      </c>
      <c r="AH1384" s="122">
        <v>1330571</v>
      </c>
      <c r="AI1384" s="122">
        <v>71849324</v>
      </c>
      <c r="AJ1384" s="122">
        <v>65317567</v>
      </c>
      <c r="AK1384">
        <v>75</v>
      </c>
      <c r="AL1384" s="122">
        <v>18209377</v>
      </c>
      <c r="AM1384" s="122">
        <v>16553979</v>
      </c>
      <c r="AN1384" s="122">
        <v>7891086</v>
      </c>
      <c r="AO1384" s="122">
        <v>2922624</v>
      </c>
      <c r="AP1384" s="122">
        <v>1810117</v>
      </c>
      <c r="AQ1384" s="122">
        <v>670414</v>
      </c>
      <c r="AR1384" s="122">
        <v>17770257</v>
      </c>
      <c r="AS1384" s="122">
        <v>16154779</v>
      </c>
      <c r="AT1384" s="122">
        <v>9385423</v>
      </c>
      <c r="AU1384" s="122">
        <v>3476083</v>
      </c>
      <c r="AV1384" s="122">
        <v>105095446</v>
      </c>
    </row>
    <row r="1385" spans="2:48" hidden="1">
      <c r="B1385" t="s">
        <v>372</v>
      </c>
      <c r="C1385" t="s">
        <v>64</v>
      </c>
      <c r="D1385" t="s">
        <v>427</v>
      </c>
      <c r="E1385" t="s">
        <v>431</v>
      </c>
      <c r="F1385" s="122">
        <v>1</v>
      </c>
      <c r="G1385" s="122">
        <v>75</v>
      </c>
      <c r="H1385" s="122">
        <v>505</v>
      </c>
      <c r="I1385" s="122">
        <v>25202</v>
      </c>
      <c r="J1385" s="122">
        <v>22911</v>
      </c>
      <c r="K1385" s="122">
        <v>65</v>
      </c>
      <c r="L1385" s="122">
        <v>5200</v>
      </c>
      <c r="M1385" s="122">
        <v>4728</v>
      </c>
      <c r="N1385" s="122">
        <v>1208</v>
      </c>
      <c r="O1385" s="122">
        <v>447</v>
      </c>
      <c r="P1385" s="122">
        <v>0</v>
      </c>
      <c r="Q1385" s="122">
        <v>0</v>
      </c>
      <c r="R1385" s="122">
        <v>6038</v>
      </c>
      <c r="S1385" s="122">
        <v>5489</v>
      </c>
      <c r="T1385" s="122">
        <v>0</v>
      </c>
      <c r="U1385" s="122">
        <v>0</v>
      </c>
      <c r="V1385" s="122">
        <v>33576</v>
      </c>
      <c r="W1385" s="122">
        <f t="shared" si="42"/>
        <v>33575</v>
      </c>
      <c r="X1385" s="122">
        <f t="shared" si="43"/>
        <v>37648</v>
      </c>
      <c r="AA1385" t="s">
        <v>60</v>
      </c>
      <c r="AB1385" t="s">
        <v>407</v>
      </c>
      <c r="AC1385" t="s">
        <v>407</v>
      </c>
      <c r="AD1385" t="s">
        <v>407</v>
      </c>
      <c r="AE1385" t="s">
        <v>566</v>
      </c>
      <c r="AF1385" s="122">
        <v>2368</v>
      </c>
      <c r="AG1385" s="122">
        <v>228267</v>
      </c>
      <c r="AH1385" s="122">
        <v>797350</v>
      </c>
      <c r="AI1385" s="122">
        <v>45104048</v>
      </c>
      <c r="AJ1385" s="122">
        <v>41003680</v>
      </c>
      <c r="AK1385">
        <v>79</v>
      </c>
      <c r="AL1385" s="122">
        <v>13251198</v>
      </c>
      <c r="AM1385" s="122">
        <v>12046543</v>
      </c>
      <c r="AN1385" s="122">
        <v>4836467</v>
      </c>
      <c r="AO1385" s="122">
        <v>1791284</v>
      </c>
      <c r="AP1385" s="122">
        <v>1105865</v>
      </c>
      <c r="AQ1385" s="122">
        <v>409580</v>
      </c>
      <c r="AR1385" s="122">
        <v>13600594</v>
      </c>
      <c r="AS1385" s="122">
        <v>12364177</v>
      </c>
      <c r="AT1385">
        <v>0</v>
      </c>
      <c r="AU1385">
        <v>0</v>
      </c>
      <c r="AV1385" s="122">
        <v>67615264</v>
      </c>
    </row>
    <row r="1386" spans="2:48" hidden="1">
      <c r="B1386" t="s">
        <v>372</v>
      </c>
      <c r="C1386" t="s">
        <v>64</v>
      </c>
      <c r="D1386" t="s">
        <v>407</v>
      </c>
      <c r="E1386" t="s">
        <v>407</v>
      </c>
      <c r="F1386" s="122">
        <v>9</v>
      </c>
      <c r="G1386" s="122">
        <v>727</v>
      </c>
      <c r="H1386" s="122">
        <v>4500</v>
      </c>
      <c r="I1386" s="122">
        <v>220816</v>
      </c>
      <c r="J1386" s="122">
        <v>200742</v>
      </c>
      <c r="K1386" s="122">
        <v>76</v>
      </c>
      <c r="L1386" s="122">
        <v>59619</v>
      </c>
      <c r="M1386" s="122">
        <v>52380</v>
      </c>
      <c r="N1386" s="122">
        <v>15671</v>
      </c>
      <c r="O1386" s="122">
        <v>5804</v>
      </c>
      <c r="P1386" s="122">
        <v>4253</v>
      </c>
      <c r="Q1386" s="122">
        <v>1575</v>
      </c>
      <c r="R1386" s="122">
        <v>39342</v>
      </c>
      <c r="S1386" s="122">
        <v>35765</v>
      </c>
      <c r="T1386" s="122">
        <v>16613</v>
      </c>
      <c r="U1386" s="122">
        <v>6153</v>
      </c>
      <c r="V1386" s="122">
        <v>302418</v>
      </c>
      <c r="W1386" s="122">
        <f t="shared" si="42"/>
        <v>302419</v>
      </c>
      <c r="X1386" s="122">
        <f t="shared" si="43"/>
        <v>356314</v>
      </c>
      <c r="AA1386" t="s">
        <v>60</v>
      </c>
      <c r="AB1386" t="s">
        <v>407</v>
      </c>
      <c r="AC1386" t="s">
        <v>407</v>
      </c>
      <c r="AD1386" t="s">
        <v>579</v>
      </c>
      <c r="AE1386" t="s">
        <v>137</v>
      </c>
      <c r="AF1386">
        <v>3</v>
      </c>
      <c r="AG1386">
        <v>272</v>
      </c>
      <c r="AH1386" s="122">
        <v>1002</v>
      </c>
      <c r="AI1386" s="122">
        <v>55870</v>
      </c>
      <c r="AJ1386" s="122">
        <v>50791</v>
      </c>
      <c r="AK1386">
        <v>71</v>
      </c>
      <c r="AL1386" s="122">
        <v>13629</v>
      </c>
      <c r="AM1386" s="122">
        <v>12390</v>
      </c>
      <c r="AN1386" s="122">
        <v>6832</v>
      </c>
      <c r="AO1386" s="122">
        <v>2530</v>
      </c>
      <c r="AP1386" s="122">
        <v>1418</v>
      </c>
      <c r="AQ1386">
        <v>525</v>
      </c>
      <c r="AR1386" s="122">
        <v>13936</v>
      </c>
      <c r="AS1386" s="122">
        <v>11614</v>
      </c>
      <c r="AT1386" s="122">
        <v>7597</v>
      </c>
      <c r="AU1386" s="122">
        <v>2814</v>
      </c>
      <c r="AV1386" s="122">
        <v>80664</v>
      </c>
    </row>
    <row r="1387" spans="2:48" hidden="1">
      <c r="B1387" t="s">
        <v>372</v>
      </c>
      <c r="C1387" t="s">
        <v>64</v>
      </c>
      <c r="D1387" t="s">
        <v>556</v>
      </c>
      <c r="E1387" t="s">
        <v>137</v>
      </c>
      <c r="F1387" s="122">
        <v>1</v>
      </c>
      <c r="G1387" s="122">
        <v>122</v>
      </c>
      <c r="H1387" s="122">
        <v>980</v>
      </c>
      <c r="I1387" s="122">
        <v>103242</v>
      </c>
      <c r="J1387" s="122">
        <v>86035</v>
      </c>
      <c r="K1387" s="122">
        <v>30</v>
      </c>
      <c r="L1387" s="122">
        <v>7743</v>
      </c>
      <c r="M1387" s="122">
        <v>2868</v>
      </c>
      <c r="N1387" s="122">
        <v>2886</v>
      </c>
      <c r="O1387" s="122">
        <v>1069</v>
      </c>
      <c r="P1387" s="122">
        <v>0</v>
      </c>
      <c r="Q1387" s="122">
        <v>0</v>
      </c>
      <c r="R1387" s="122">
        <v>5808</v>
      </c>
      <c r="S1387" s="122">
        <v>2151</v>
      </c>
      <c r="T1387" s="122">
        <v>0</v>
      </c>
      <c r="U1387" s="122">
        <v>0</v>
      </c>
      <c r="V1387" s="122">
        <v>92123</v>
      </c>
      <c r="W1387" s="122">
        <f t="shared" ref="W1387:W1450" si="44">SUM(ABS(J1387),ABS(M1387),ABS(O1387),ABS(Q1387),ABS(S1387),ABS(U1387))</f>
        <v>92123</v>
      </c>
      <c r="X1387" s="122">
        <f t="shared" ref="X1387:X1450" si="45">SUM(ABS(I1387),ABS(N1387),ABS(P1387),ABS(R1387),ABS(T1387),ABS(L1387))</f>
        <v>119679</v>
      </c>
      <c r="AA1387" t="s">
        <v>60</v>
      </c>
      <c r="AB1387" t="s">
        <v>407</v>
      </c>
      <c r="AC1387" t="s">
        <v>407</v>
      </c>
      <c r="AD1387" t="s">
        <v>579</v>
      </c>
      <c r="AE1387" t="s">
        <v>566</v>
      </c>
      <c r="AF1387">
        <v>1</v>
      </c>
      <c r="AG1387">
        <v>109</v>
      </c>
      <c r="AH1387">
        <v>310</v>
      </c>
      <c r="AI1387" s="122">
        <v>17696</v>
      </c>
      <c r="AJ1387" s="122">
        <v>16087</v>
      </c>
      <c r="AK1387">
        <v>73</v>
      </c>
      <c r="AL1387" s="122">
        <v>6823</v>
      </c>
      <c r="AM1387" s="122">
        <v>6203</v>
      </c>
      <c r="AN1387" s="122">
        <v>2617</v>
      </c>
      <c r="AO1387">
        <v>969</v>
      </c>
      <c r="AP1387">
        <v>473</v>
      </c>
      <c r="AQ1387">
        <v>175</v>
      </c>
      <c r="AR1387" s="122">
        <v>6181</v>
      </c>
      <c r="AS1387" s="122">
        <v>5151</v>
      </c>
      <c r="AT1387">
        <v>0</v>
      </c>
      <c r="AU1387">
        <v>0</v>
      </c>
      <c r="AV1387" s="122">
        <v>28585</v>
      </c>
    </row>
    <row r="1388" spans="2:48" hidden="1">
      <c r="B1388" t="s">
        <v>372</v>
      </c>
      <c r="C1388" t="s">
        <v>64</v>
      </c>
      <c r="D1388" t="s">
        <v>556</v>
      </c>
      <c r="E1388" t="s">
        <v>556</v>
      </c>
      <c r="F1388" s="122">
        <v>17</v>
      </c>
      <c r="G1388" s="122">
        <v>1353</v>
      </c>
      <c r="H1388" s="122">
        <v>10995</v>
      </c>
      <c r="I1388" s="122">
        <v>620675</v>
      </c>
      <c r="J1388" s="122">
        <v>517229</v>
      </c>
      <c r="K1388" s="122">
        <v>49</v>
      </c>
      <c r="L1388" s="122">
        <v>86255</v>
      </c>
      <c r="M1388" s="122">
        <v>67938</v>
      </c>
      <c r="N1388" s="122">
        <v>29178</v>
      </c>
      <c r="O1388" s="122">
        <v>10807</v>
      </c>
      <c r="P1388" s="122">
        <v>5616</v>
      </c>
      <c r="Q1388" s="122">
        <v>2080</v>
      </c>
      <c r="R1388" s="122">
        <v>104259</v>
      </c>
      <c r="S1388" s="122">
        <v>86883</v>
      </c>
      <c r="T1388" s="122">
        <v>31727</v>
      </c>
      <c r="U1388" s="122">
        <v>11751</v>
      </c>
      <c r="V1388" s="122">
        <v>696688</v>
      </c>
      <c r="W1388" s="122">
        <f t="shared" si="44"/>
        <v>696688</v>
      </c>
      <c r="X1388" s="122">
        <f t="shared" si="45"/>
        <v>877710</v>
      </c>
      <c r="AA1388" t="s">
        <v>60</v>
      </c>
      <c r="AB1388" t="s">
        <v>407</v>
      </c>
      <c r="AC1388" t="s">
        <v>407</v>
      </c>
      <c r="AD1388" t="s">
        <v>428</v>
      </c>
      <c r="AE1388" t="s">
        <v>137</v>
      </c>
      <c r="AF1388">
        <v>1</v>
      </c>
      <c r="AG1388">
        <v>70</v>
      </c>
      <c r="AH1388">
        <v>317</v>
      </c>
      <c r="AI1388" s="122">
        <v>11014</v>
      </c>
      <c r="AJ1388" s="122">
        <v>10013</v>
      </c>
      <c r="AK1388">
        <v>79</v>
      </c>
      <c r="AL1388" s="122">
        <v>3064</v>
      </c>
      <c r="AM1388" s="122">
        <v>2785</v>
      </c>
      <c r="AN1388" s="122">
        <v>1426</v>
      </c>
      <c r="AO1388">
        <v>528</v>
      </c>
      <c r="AP1388">
        <v>473</v>
      </c>
      <c r="AQ1388">
        <v>175</v>
      </c>
      <c r="AR1388" s="122">
        <v>3824</v>
      </c>
      <c r="AS1388" s="122">
        <v>3477</v>
      </c>
      <c r="AT1388" s="122">
        <v>2387</v>
      </c>
      <c r="AU1388">
        <v>884</v>
      </c>
      <c r="AV1388" s="122">
        <v>17862</v>
      </c>
    </row>
    <row r="1389" spans="2:48" hidden="1">
      <c r="B1389" t="s">
        <v>372</v>
      </c>
      <c r="C1389" t="s">
        <v>64</v>
      </c>
      <c r="D1389" t="s">
        <v>428</v>
      </c>
      <c r="E1389" t="s">
        <v>428</v>
      </c>
      <c r="F1389" s="122">
        <v>1</v>
      </c>
      <c r="G1389" s="122">
        <v>63</v>
      </c>
      <c r="H1389" s="122">
        <v>787</v>
      </c>
      <c r="I1389" s="122">
        <v>36604</v>
      </c>
      <c r="J1389" s="122">
        <v>33277</v>
      </c>
      <c r="K1389" s="122">
        <v>55</v>
      </c>
      <c r="L1389" s="122">
        <v>5491</v>
      </c>
      <c r="M1389" s="122">
        <v>2034</v>
      </c>
      <c r="N1389" s="122">
        <v>844</v>
      </c>
      <c r="O1389" s="122">
        <v>313</v>
      </c>
      <c r="P1389" s="122">
        <v>0</v>
      </c>
      <c r="Q1389" s="122">
        <v>0</v>
      </c>
      <c r="R1389" s="122">
        <v>3978</v>
      </c>
      <c r="S1389" s="122">
        <v>3616</v>
      </c>
      <c r="T1389" s="122">
        <v>2645</v>
      </c>
      <c r="U1389" s="122">
        <v>980</v>
      </c>
      <c r="V1389" s="122">
        <v>40219</v>
      </c>
      <c r="W1389" s="122">
        <f t="shared" si="44"/>
        <v>40220</v>
      </c>
      <c r="X1389" s="122">
        <f t="shared" si="45"/>
        <v>49562</v>
      </c>
      <c r="AA1389" t="s">
        <v>60</v>
      </c>
      <c r="AB1389" t="s">
        <v>407</v>
      </c>
      <c r="AC1389" t="s">
        <v>407</v>
      </c>
      <c r="AD1389" t="s">
        <v>426</v>
      </c>
      <c r="AE1389" t="s">
        <v>137</v>
      </c>
      <c r="AF1389">
        <v>1</v>
      </c>
      <c r="AG1389">
        <v>95</v>
      </c>
      <c r="AH1389">
        <v>360</v>
      </c>
      <c r="AI1389" s="122">
        <v>21881</v>
      </c>
      <c r="AJ1389" s="122">
        <v>19892</v>
      </c>
      <c r="AK1389">
        <v>78</v>
      </c>
      <c r="AL1389" s="122">
        <v>2863</v>
      </c>
      <c r="AM1389" s="122">
        <v>2603</v>
      </c>
      <c r="AN1389" s="122">
        <v>2052</v>
      </c>
      <c r="AO1389">
        <v>760</v>
      </c>
      <c r="AP1389">
        <v>473</v>
      </c>
      <c r="AQ1389">
        <v>175</v>
      </c>
      <c r="AR1389" s="122">
        <v>4139</v>
      </c>
      <c r="AS1389" s="122">
        <v>3763</v>
      </c>
      <c r="AT1389" s="122">
        <v>2626</v>
      </c>
      <c r="AU1389">
        <v>973</v>
      </c>
      <c r="AV1389" s="122">
        <v>28165</v>
      </c>
    </row>
    <row r="1390" spans="2:48" hidden="1">
      <c r="B1390" t="s">
        <v>372</v>
      </c>
      <c r="C1390" t="s">
        <v>64</v>
      </c>
      <c r="D1390" t="s">
        <v>431</v>
      </c>
      <c r="E1390" t="s">
        <v>431</v>
      </c>
      <c r="F1390" s="122">
        <v>18</v>
      </c>
      <c r="G1390" s="122">
        <v>1502</v>
      </c>
      <c r="H1390" s="122">
        <v>9578</v>
      </c>
      <c r="I1390" s="122">
        <v>518376</v>
      </c>
      <c r="J1390" s="122">
        <v>471251</v>
      </c>
      <c r="K1390" s="122">
        <v>46</v>
      </c>
      <c r="L1390" s="122">
        <v>84002</v>
      </c>
      <c r="M1390" s="122">
        <v>72070</v>
      </c>
      <c r="N1390" s="122">
        <v>29421</v>
      </c>
      <c r="O1390" s="122">
        <v>10897</v>
      </c>
      <c r="P1390" s="122">
        <v>6318</v>
      </c>
      <c r="Q1390" s="122">
        <v>2340</v>
      </c>
      <c r="R1390" s="122">
        <v>114478</v>
      </c>
      <c r="S1390" s="122">
        <v>104071</v>
      </c>
      <c r="T1390" s="122">
        <v>36134</v>
      </c>
      <c r="U1390" s="122">
        <v>13383</v>
      </c>
      <c r="V1390" s="122">
        <v>674012</v>
      </c>
      <c r="W1390" s="122">
        <f t="shared" si="44"/>
        <v>674012</v>
      </c>
      <c r="X1390" s="122">
        <f t="shared" si="45"/>
        <v>788729</v>
      </c>
      <c r="AA1390" t="s">
        <v>60</v>
      </c>
      <c r="AB1390" t="s">
        <v>407</v>
      </c>
      <c r="AC1390" t="s">
        <v>407</v>
      </c>
      <c r="AD1390" t="s">
        <v>426</v>
      </c>
      <c r="AE1390" t="s">
        <v>566</v>
      </c>
      <c r="AF1390">
        <v>3</v>
      </c>
      <c r="AG1390">
        <v>278</v>
      </c>
      <c r="AH1390">
        <v>954</v>
      </c>
      <c r="AI1390" s="122">
        <v>45514</v>
      </c>
      <c r="AJ1390" s="122">
        <v>41376</v>
      </c>
      <c r="AK1390">
        <v>66</v>
      </c>
      <c r="AL1390" s="122">
        <v>10625</v>
      </c>
      <c r="AM1390" s="122">
        <v>9659</v>
      </c>
      <c r="AN1390" s="122">
        <v>5677</v>
      </c>
      <c r="AO1390" s="122">
        <v>2103</v>
      </c>
      <c r="AP1390" s="122">
        <v>1418</v>
      </c>
      <c r="AQ1390">
        <v>525</v>
      </c>
      <c r="AR1390" s="122">
        <v>25221</v>
      </c>
      <c r="AS1390" s="122">
        <v>22928</v>
      </c>
      <c r="AT1390">
        <v>0</v>
      </c>
      <c r="AU1390">
        <v>0</v>
      </c>
      <c r="AV1390" s="122">
        <v>76591</v>
      </c>
    </row>
    <row r="1391" spans="2:48" hidden="1">
      <c r="B1391" t="s">
        <v>372</v>
      </c>
      <c r="C1391" t="s">
        <v>64</v>
      </c>
      <c r="D1391" t="s">
        <v>426</v>
      </c>
      <c r="E1391" t="s">
        <v>137</v>
      </c>
      <c r="F1391" s="122">
        <v>18</v>
      </c>
      <c r="G1391" s="122">
        <v>1374</v>
      </c>
      <c r="H1391" s="122">
        <v>17715</v>
      </c>
      <c r="I1391" s="122">
        <v>1123520</v>
      </c>
      <c r="J1391" s="122">
        <v>1021382</v>
      </c>
      <c r="K1391" s="122">
        <v>38</v>
      </c>
      <c r="L1391" s="122">
        <v>96359</v>
      </c>
      <c r="M1391" s="122">
        <v>50590</v>
      </c>
      <c r="N1391" s="122">
        <v>32889</v>
      </c>
      <c r="O1391" s="122">
        <v>12181</v>
      </c>
      <c r="P1391" s="122">
        <v>351</v>
      </c>
      <c r="Q1391" s="122">
        <v>130</v>
      </c>
      <c r="R1391" s="122">
        <v>117996</v>
      </c>
      <c r="S1391" s="122">
        <v>43702</v>
      </c>
      <c r="T1391" s="122">
        <v>0</v>
      </c>
      <c r="U1391" s="122">
        <v>0</v>
      </c>
      <c r="V1391" s="122">
        <v>1127985</v>
      </c>
      <c r="W1391" s="122">
        <f t="shared" si="44"/>
        <v>1127985</v>
      </c>
      <c r="X1391" s="122">
        <f t="shared" si="45"/>
        <v>1371115</v>
      </c>
      <c r="AA1391" t="s">
        <v>60</v>
      </c>
      <c r="AB1391" t="s">
        <v>407</v>
      </c>
      <c r="AC1391" t="s">
        <v>579</v>
      </c>
      <c r="AD1391" t="s">
        <v>405</v>
      </c>
      <c r="AE1391" t="s">
        <v>137</v>
      </c>
      <c r="AF1391">
        <v>1</v>
      </c>
      <c r="AG1391">
        <v>83</v>
      </c>
      <c r="AH1391">
        <v>335</v>
      </c>
      <c r="AI1391" s="122">
        <v>16016</v>
      </c>
      <c r="AJ1391" s="122">
        <v>14560</v>
      </c>
      <c r="AK1391">
        <v>91</v>
      </c>
      <c r="AL1391" s="122">
        <v>5597</v>
      </c>
      <c r="AM1391" s="122">
        <v>4664</v>
      </c>
      <c r="AN1391" s="122">
        <v>1630</v>
      </c>
      <c r="AO1391">
        <v>604</v>
      </c>
      <c r="AP1391">
        <v>473</v>
      </c>
      <c r="AQ1391">
        <v>175</v>
      </c>
      <c r="AR1391" s="122">
        <v>3919</v>
      </c>
      <c r="AS1391" s="122">
        <v>3563</v>
      </c>
      <c r="AT1391">
        <v>0</v>
      </c>
      <c r="AU1391">
        <v>0</v>
      </c>
      <c r="AV1391" s="122">
        <v>23565</v>
      </c>
    </row>
    <row r="1392" spans="2:48" hidden="1">
      <c r="B1392" t="s">
        <v>372</v>
      </c>
      <c r="C1392" t="s">
        <v>64</v>
      </c>
      <c r="D1392" t="s">
        <v>426</v>
      </c>
      <c r="E1392" t="s">
        <v>426</v>
      </c>
      <c r="F1392" s="122">
        <v>193</v>
      </c>
      <c r="G1392" s="122">
        <v>13089</v>
      </c>
      <c r="H1392" s="122">
        <v>117276</v>
      </c>
      <c r="I1392" s="122">
        <v>5781069</v>
      </c>
      <c r="J1392" s="122">
        <v>5255518</v>
      </c>
      <c r="K1392" s="122">
        <v>48</v>
      </c>
      <c r="L1392" s="122">
        <v>696851</v>
      </c>
      <c r="M1392" s="122">
        <v>579457</v>
      </c>
      <c r="N1392" s="122">
        <v>277377</v>
      </c>
      <c r="O1392" s="122">
        <v>102732</v>
      </c>
      <c r="P1392" s="122">
        <v>64086</v>
      </c>
      <c r="Q1392" s="122">
        <v>23735</v>
      </c>
      <c r="R1392" s="122">
        <v>1140155</v>
      </c>
      <c r="S1392" s="122">
        <v>1036505</v>
      </c>
      <c r="T1392" s="122">
        <v>369658</v>
      </c>
      <c r="U1392" s="122">
        <v>136910</v>
      </c>
      <c r="V1392" s="122">
        <v>7134857</v>
      </c>
      <c r="W1392" s="122">
        <f t="shared" si="44"/>
        <v>7134857</v>
      </c>
      <c r="X1392" s="122">
        <f t="shared" si="45"/>
        <v>8329196</v>
      </c>
      <c r="AA1392" t="s">
        <v>60</v>
      </c>
      <c r="AB1392" t="s">
        <v>407</v>
      </c>
      <c r="AC1392" t="s">
        <v>579</v>
      </c>
      <c r="AD1392" t="s">
        <v>137</v>
      </c>
      <c r="AE1392" t="s">
        <v>137</v>
      </c>
      <c r="AF1392">
        <v>5</v>
      </c>
      <c r="AG1392">
        <v>470</v>
      </c>
      <c r="AH1392" s="122">
        <v>1790</v>
      </c>
      <c r="AI1392" s="122">
        <v>99001</v>
      </c>
      <c r="AJ1392" s="122">
        <v>90001</v>
      </c>
      <c r="AK1392">
        <v>79</v>
      </c>
      <c r="AL1392" s="122">
        <v>22821</v>
      </c>
      <c r="AM1392" s="122">
        <v>19018</v>
      </c>
      <c r="AN1392" s="122">
        <v>10407</v>
      </c>
      <c r="AO1392" s="122">
        <v>3854</v>
      </c>
      <c r="AP1392" s="122">
        <v>2363</v>
      </c>
      <c r="AQ1392">
        <v>875</v>
      </c>
      <c r="AR1392" s="122">
        <v>32311</v>
      </c>
      <c r="AS1392" s="122">
        <v>11967</v>
      </c>
      <c r="AT1392">
        <v>0</v>
      </c>
      <c r="AU1392">
        <v>0</v>
      </c>
      <c r="AV1392" s="122">
        <v>125715</v>
      </c>
    </row>
    <row r="1393" spans="2:48" hidden="1">
      <c r="B1393" t="s">
        <v>372</v>
      </c>
      <c r="C1393" t="s">
        <v>64</v>
      </c>
      <c r="D1393" t="s">
        <v>426</v>
      </c>
      <c r="E1393" t="s">
        <v>481</v>
      </c>
      <c r="F1393" s="122">
        <v>1</v>
      </c>
      <c r="G1393" s="122">
        <v>39</v>
      </c>
      <c r="H1393" s="122">
        <v>485</v>
      </c>
      <c r="I1393" s="122">
        <v>9999</v>
      </c>
      <c r="J1393" s="122">
        <v>9090</v>
      </c>
      <c r="K1393" s="122">
        <v>45</v>
      </c>
      <c r="L1393" s="122">
        <v>0</v>
      </c>
      <c r="M1393" s="122">
        <v>0</v>
      </c>
      <c r="N1393" s="122">
        <v>657</v>
      </c>
      <c r="O1393" s="122">
        <v>243</v>
      </c>
      <c r="P1393" s="122">
        <v>351</v>
      </c>
      <c r="Q1393" s="122">
        <v>130</v>
      </c>
      <c r="R1393" s="122">
        <v>7676</v>
      </c>
      <c r="S1393" s="122">
        <v>6979</v>
      </c>
      <c r="T1393" s="122">
        <v>0</v>
      </c>
      <c r="U1393" s="122">
        <v>0</v>
      </c>
      <c r="V1393" s="122">
        <v>16442</v>
      </c>
      <c r="W1393" s="122">
        <f t="shared" si="44"/>
        <v>16442</v>
      </c>
      <c r="X1393" s="122">
        <f t="shared" si="45"/>
        <v>18683</v>
      </c>
      <c r="AA1393" t="s">
        <v>60</v>
      </c>
      <c r="AB1393" t="s">
        <v>407</v>
      </c>
      <c r="AC1393" t="s">
        <v>579</v>
      </c>
      <c r="AD1393" t="s">
        <v>137</v>
      </c>
      <c r="AE1393" t="s">
        <v>566</v>
      </c>
      <c r="AF1393">
        <v>31</v>
      </c>
      <c r="AG1393" s="122">
        <v>3242</v>
      </c>
      <c r="AH1393" s="122">
        <v>10833</v>
      </c>
      <c r="AI1393" s="122">
        <v>679426</v>
      </c>
      <c r="AJ1393" s="122">
        <v>617660</v>
      </c>
      <c r="AK1393">
        <v>80</v>
      </c>
      <c r="AL1393" s="122">
        <v>201536</v>
      </c>
      <c r="AM1393" s="122">
        <v>167947</v>
      </c>
      <c r="AN1393" s="122">
        <v>63016</v>
      </c>
      <c r="AO1393" s="122">
        <v>23339</v>
      </c>
      <c r="AP1393" s="122">
        <v>14175</v>
      </c>
      <c r="AQ1393" s="122">
        <v>5250</v>
      </c>
      <c r="AR1393" s="122">
        <v>196980</v>
      </c>
      <c r="AS1393" s="122">
        <v>72955</v>
      </c>
      <c r="AT1393">
        <v>0</v>
      </c>
      <c r="AU1393">
        <v>0</v>
      </c>
      <c r="AV1393" s="122">
        <v>887151</v>
      </c>
    </row>
    <row r="1394" spans="2:48" hidden="1">
      <c r="B1394" t="s">
        <v>372</v>
      </c>
      <c r="C1394" t="s">
        <v>64</v>
      </c>
      <c r="D1394" t="s">
        <v>481</v>
      </c>
      <c r="E1394" t="s">
        <v>137</v>
      </c>
      <c r="F1394" s="122">
        <v>1</v>
      </c>
      <c r="G1394" s="122">
        <v>74</v>
      </c>
      <c r="H1394" s="122">
        <v>699</v>
      </c>
      <c r="I1394" s="122">
        <v>37650</v>
      </c>
      <c r="J1394" s="122">
        <v>34228</v>
      </c>
      <c r="K1394" s="122">
        <v>60</v>
      </c>
      <c r="L1394" s="122">
        <v>8367</v>
      </c>
      <c r="M1394" s="122">
        <v>7606</v>
      </c>
      <c r="N1394" s="122">
        <v>1814</v>
      </c>
      <c r="O1394" s="122">
        <v>672</v>
      </c>
      <c r="P1394" s="122">
        <v>0</v>
      </c>
      <c r="Q1394" s="122">
        <v>0</v>
      </c>
      <c r="R1394" s="122">
        <v>2839</v>
      </c>
      <c r="S1394" s="122">
        <v>1051</v>
      </c>
      <c r="T1394" s="122">
        <v>1398</v>
      </c>
      <c r="U1394" s="122">
        <v>518</v>
      </c>
      <c r="V1394" s="122">
        <v>44075</v>
      </c>
      <c r="W1394" s="122">
        <f t="shared" si="44"/>
        <v>44075</v>
      </c>
      <c r="X1394" s="122">
        <f t="shared" si="45"/>
        <v>52068</v>
      </c>
      <c r="AA1394" t="s">
        <v>60</v>
      </c>
      <c r="AB1394" t="s">
        <v>407</v>
      </c>
      <c r="AC1394" t="s">
        <v>579</v>
      </c>
      <c r="AD1394" t="s">
        <v>406</v>
      </c>
      <c r="AE1394" t="s">
        <v>137</v>
      </c>
      <c r="AF1394">
        <v>1</v>
      </c>
      <c r="AG1394">
        <v>91</v>
      </c>
      <c r="AH1394">
        <v>309</v>
      </c>
      <c r="AI1394" s="122">
        <v>16001</v>
      </c>
      <c r="AJ1394" s="122">
        <v>14546</v>
      </c>
      <c r="AK1394">
        <v>79</v>
      </c>
      <c r="AL1394" s="122">
        <v>2905</v>
      </c>
      <c r="AM1394" s="122">
        <v>2421</v>
      </c>
      <c r="AN1394" s="122">
        <v>1967</v>
      </c>
      <c r="AO1394">
        <v>729</v>
      </c>
      <c r="AP1394">
        <v>473</v>
      </c>
      <c r="AQ1394">
        <v>175</v>
      </c>
      <c r="AR1394" s="122">
        <v>4152</v>
      </c>
      <c r="AS1394" s="122">
        <v>3775</v>
      </c>
      <c r="AT1394" s="122">
        <v>2671</v>
      </c>
      <c r="AU1394">
        <v>989</v>
      </c>
      <c r="AV1394" s="122">
        <v>22636</v>
      </c>
    </row>
    <row r="1395" spans="2:48" hidden="1">
      <c r="B1395" t="s">
        <v>373</v>
      </c>
      <c r="C1395" t="s">
        <v>48</v>
      </c>
      <c r="D1395" t="s">
        <v>137</v>
      </c>
      <c r="E1395" t="s">
        <v>137</v>
      </c>
      <c r="F1395" s="122">
        <v>11</v>
      </c>
      <c r="G1395" s="122">
        <v>1007</v>
      </c>
      <c r="H1395" s="122">
        <v>624</v>
      </c>
      <c r="I1395" s="122">
        <v>72</v>
      </c>
      <c r="J1395" s="122">
        <v>26</v>
      </c>
      <c r="K1395" s="122">
        <v>412</v>
      </c>
      <c r="L1395" s="122">
        <v>269</v>
      </c>
      <c r="M1395" s="122">
        <v>245</v>
      </c>
      <c r="N1395" s="122">
        <v>12268</v>
      </c>
      <c r="O1395" s="122">
        <v>4544</v>
      </c>
      <c r="P1395" s="122">
        <v>5616</v>
      </c>
      <c r="Q1395" s="122">
        <v>2080</v>
      </c>
      <c r="R1395" s="122">
        <v>39588</v>
      </c>
      <c r="S1395" s="122">
        <v>14662</v>
      </c>
      <c r="T1395" s="122">
        <v>0</v>
      </c>
      <c r="U1395" s="122">
        <v>0</v>
      </c>
      <c r="V1395" s="122">
        <v>21557</v>
      </c>
      <c r="W1395" s="122">
        <f t="shared" si="44"/>
        <v>21557</v>
      </c>
      <c r="X1395" s="122">
        <f t="shared" si="45"/>
        <v>57813</v>
      </c>
      <c r="AA1395" t="s">
        <v>60</v>
      </c>
      <c r="AB1395" t="s">
        <v>407</v>
      </c>
      <c r="AC1395" t="s">
        <v>579</v>
      </c>
      <c r="AD1395" t="s">
        <v>406</v>
      </c>
      <c r="AE1395" t="s">
        <v>566</v>
      </c>
      <c r="AF1395">
        <v>2</v>
      </c>
      <c r="AG1395">
        <v>192</v>
      </c>
      <c r="AH1395">
        <v>625</v>
      </c>
      <c r="AI1395" s="122">
        <v>32993</v>
      </c>
      <c r="AJ1395" s="122">
        <v>29994</v>
      </c>
      <c r="AK1395">
        <v>82</v>
      </c>
      <c r="AL1395" s="122">
        <v>11075</v>
      </c>
      <c r="AM1395" s="122">
        <v>9229</v>
      </c>
      <c r="AN1395" s="122">
        <v>4445</v>
      </c>
      <c r="AO1395" s="122">
        <v>1646</v>
      </c>
      <c r="AP1395">
        <v>945</v>
      </c>
      <c r="AQ1395">
        <v>350</v>
      </c>
      <c r="AR1395" s="122">
        <v>10866</v>
      </c>
      <c r="AS1395" s="122">
        <v>9879</v>
      </c>
      <c r="AT1395">
        <v>0</v>
      </c>
      <c r="AU1395">
        <v>0</v>
      </c>
      <c r="AV1395" s="122">
        <v>51098</v>
      </c>
    </row>
    <row r="1396" spans="2:48" hidden="1">
      <c r="B1396" t="s">
        <v>373</v>
      </c>
      <c r="C1396" t="s">
        <v>48</v>
      </c>
      <c r="D1396" t="s">
        <v>406</v>
      </c>
      <c r="E1396" t="s">
        <v>406</v>
      </c>
      <c r="F1396" s="122">
        <v>3</v>
      </c>
      <c r="G1396" s="122">
        <v>374</v>
      </c>
      <c r="H1396" s="122">
        <v>224</v>
      </c>
      <c r="I1396" s="122">
        <v>9073</v>
      </c>
      <c r="J1396" s="122">
        <v>8248</v>
      </c>
      <c r="K1396" s="122">
        <v>93</v>
      </c>
      <c r="L1396" s="122">
        <v>1559</v>
      </c>
      <c r="M1396" s="122">
        <v>1418</v>
      </c>
      <c r="N1396" s="122">
        <v>4557</v>
      </c>
      <c r="O1396" s="122">
        <v>1688</v>
      </c>
      <c r="P1396" s="122">
        <v>5220</v>
      </c>
      <c r="Q1396" s="122">
        <v>1933</v>
      </c>
      <c r="R1396" s="122">
        <v>7564</v>
      </c>
      <c r="S1396" s="122">
        <v>6877</v>
      </c>
      <c r="T1396" s="122">
        <v>0</v>
      </c>
      <c r="U1396" s="122">
        <v>0</v>
      </c>
      <c r="V1396" s="122">
        <v>20164</v>
      </c>
      <c r="W1396" s="122">
        <f t="shared" si="44"/>
        <v>20164</v>
      </c>
      <c r="X1396" s="122">
        <f t="shared" si="45"/>
        <v>27973</v>
      </c>
      <c r="AA1396" t="s">
        <v>60</v>
      </c>
      <c r="AB1396" t="s">
        <v>407</v>
      </c>
      <c r="AC1396" t="s">
        <v>579</v>
      </c>
      <c r="AD1396" t="s">
        <v>407</v>
      </c>
      <c r="AE1396" t="s">
        <v>137</v>
      </c>
      <c r="AF1396" s="122">
        <v>4233</v>
      </c>
      <c r="AG1396" s="122">
        <v>408445</v>
      </c>
      <c r="AH1396" s="122">
        <v>1434217</v>
      </c>
      <c r="AI1396" s="122">
        <v>79436899</v>
      </c>
      <c r="AJ1396" s="122">
        <v>72215363</v>
      </c>
      <c r="AK1396">
        <v>79</v>
      </c>
      <c r="AL1396" s="122">
        <v>22464958</v>
      </c>
      <c r="AM1396" s="122">
        <v>18720799</v>
      </c>
      <c r="AN1396" s="122">
        <v>8513133</v>
      </c>
      <c r="AO1396" s="122">
        <v>3153012</v>
      </c>
      <c r="AP1396" s="122">
        <v>2003135</v>
      </c>
      <c r="AQ1396" s="122">
        <v>741902</v>
      </c>
      <c r="AR1396" s="122">
        <v>17739732</v>
      </c>
      <c r="AS1396" s="122">
        <v>16127029</v>
      </c>
      <c r="AT1396" s="122">
        <v>9845843</v>
      </c>
      <c r="AU1396" s="122">
        <v>3646609</v>
      </c>
      <c r="AV1396" s="122">
        <v>114604713</v>
      </c>
    </row>
    <row r="1397" spans="2:48" hidden="1">
      <c r="B1397" t="s">
        <v>373</v>
      </c>
      <c r="C1397" t="s">
        <v>52</v>
      </c>
      <c r="D1397" t="s">
        <v>406</v>
      </c>
      <c r="E1397" t="s">
        <v>406</v>
      </c>
      <c r="F1397" s="122">
        <v>28</v>
      </c>
      <c r="G1397" s="122">
        <v>3598</v>
      </c>
      <c r="H1397" s="122">
        <v>3306</v>
      </c>
      <c r="I1397" s="122">
        <v>194851</v>
      </c>
      <c r="J1397" s="122">
        <v>177137</v>
      </c>
      <c r="K1397" s="122">
        <v>93</v>
      </c>
      <c r="L1397" s="122">
        <v>33378</v>
      </c>
      <c r="M1397" s="122">
        <v>30260</v>
      </c>
      <c r="N1397" s="122">
        <v>57893</v>
      </c>
      <c r="O1397" s="122">
        <v>21442</v>
      </c>
      <c r="P1397" s="122">
        <v>17388</v>
      </c>
      <c r="Q1397" s="122">
        <v>6440</v>
      </c>
      <c r="R1397" s="122">
        <v>122071</v>
      </c>
      <c r="S1397" s="122">
        <v>110974</v>
      </c>
      <c r="T1397" s="122">
        <v>0</v>
      </c>
      <c r="U1397" s="122">
        <v>0</v>
      </c>
      <c r="V1397" s="122">
        <v>346253</v>
      </c>
      <c r="W1397" s="122">
        <f t="shared" si="44"/>
        <v>346253</v>
      </c>
      <c r="X1397" s="122">
        <f t="shared" si="45"/>
        <v>425581</v>
      </c>
      <c r="AA1397" t="s">
        <v>60</v>
      </c>
      <c r="AB1397" t="s">
        <v>407</v>
      </c>
      <c r="AC1397" t="s">
        <v>579</v>
      </c>
      <c r="AD1397" t="s">
        <v>407</v>
      </c>
      <c r="AE1397" t="s">
        <v>566</v>
      </c>
      <c r="AF1397" s="122">
        <v>3330</v>
      </c>
      <c r="AG1397" s="122">
        <v>318326</v>
      </c>
      <c r="AH1397" s="122">
        <v>1114161</v>
      </c>
      <c r="AI1397" s="122">
        <v>63422851</v>
      </c>
      <c r="AJ1397" s="122">
        <v>57657137</v>
      </c>
      <c r="AK1397">
        <v>83</v>
      </c>
      <c r="AL1397" s="122">
        <v>19521758</v>
      </c>
      <c r="AM1397" s="122">
        <v>16268132</v>
      </c>
      <c r="AN1397" s="122">
        <v>6548541</v>
      </c>
      <c r="AO1397" s="122">
        <v>2425385</v>
      </c>
      <c r="AP1397" s="122">
        <v>1580822</v>
      </c>
      <c r="AQ1397" s="122">
        <v>585490</v>
      </c>
      <c r="AR1397" s="122">
        <v>16838779</v>
      </c>
      <c r="AS1397" s="122">
        <v>15307981</v>
      </c>
      <c r="AT1397">
        <v>0</v>
      </c>
      <c r="AU1397">
        <v>0</v>
      </c>
      <c r="AV1397" s="122">
        <v>92244125</v>
      </c>
    </row>
    <row r="1398" spans="2:48" hidden="1">
      <c r="B1398" t="s">
        <v>373</v>
      </c>
      <c r="C1398" t="s">
        <v>54</v>
      </c>
      <c r="D1398" t="s">
        <v>425</v>
      </c>
      <c r="E1398" t="s">
        <v>425</v>
      </c>
      <c r="F1398" s="122">
        <v>1</v>
      </c>
      <c r="G1398" s="122">
        <v>122</v>
      </c>
      <c r="H1398" s="122">
        <v>149</v>
      </c>
      <c r="I1398" s="122">
        <v>8043</v>
      </c>
      <c r="J1398" s="122">
        <v>7312</v>
      </c>
      <c r="K1398" s="122">
        <v>82</v>
      </c>
      <c r="L1398" s="122">
        <v>2440</v>
      </c>
      <c r="M1398" s="122">
        <v>2218</v>
      </c>
      <c r="N1398" s="122">
        <v>2715</v>
      </c>
      <c r="O1398" s="122">
        <v>1005</v>
      </c>
      <c r="P1398" s="122">
        <v>473</v>
      </c>
      <c r="Q1398" s="122">
        <v>175</v>
      </c>
      <c r="R1398" s="122">
        <v>4559</v>
      </c>
      <c r="S1398" s="122">
        <v>4145</v>
      </c>
      <c r="T1398" s="122">
        <v>0</v>
      </c>
      <c r="U1398" s="122">
        <v>0</v>
      </c>
      <c r="V1398" s="122">
        <v>14855</v>
      </c>
      <c r="W1398" s="122">
        <f t="shared" si="44"/>
        <v>14855</v>
      </c>
      <c r="X1398" s="122">
        <f t="shared" si="45"/>
        <v>18230</v>
      </c>
      <c r="AA1398" t="s">
        <v>60</v>
      </c>
      <c r="AB1398" t="s">
        <v>407</v>
      </c>
      <c r="AC1398" t="s">
        <v>579</v>
      </c>
      <c r="AD1398" t="s">
        <v>579</v>
      </c>
      <c r="AE1398" t="s">
        <v>137</v>
      </c>
      <c r="AF1398">
        <v>2</v>
      </c>
      <c r="AG1398">
        <v>168</v>
      </c>
      <c r="AH1398">
        <v>711</v>
      </c>
      <c r="AI1398" s="122">
        <v>32593</v>
      </c>
      <c r="AJ1398" s="122">
        <v>29630</v>
      </c>
      <c r="AK1398">
        <v>78</v>
      </c>
      <c r="AL1398" s="122">
        <v>9750</v>
      </c>
      <c r="AM1398" s="122">
        <v>8125</v>
      </c>
      <c r="AN1398" s="122">
        <v>2930</v>
      </c>
      <c r="AO1398" s="122">
        <v>1085</v>
      </c>
      <c r="AP1398">
        <v>945</v>
      </c>
      <c r="AQ1398">
        <v>350</v>
      </c>
      <c r="AR1398" s="122">
        <v>8619</v>
      </c>
      <c r="AS1398" s="122">
        <v>7182</v>
      </c>
      <c r="AT1398" s="122">
        <v>4885</v>
      </c>
      <c r="AU1398" s="122">
        <v>1809</v>
      </c>
      <c r="AV1398" s="122">
        <v>48182</v>
      </c>
    </row>
    <row r="1399" spans="2:48" hidden="1">
      <c r="B1399" t="s">
        <v>373</v>
      </c>
      <c r="C1399" t="s">
        <v>54</v>
      </c>
      <c r="D1399" t="s">
        <v>425</v>
      </c>
      <c r="E1399" t="s">
        <v>407</v>
      </c>
      <c r="F1399" s="122">
        <v>1</v>
      </c>
      <c r="G1399" s="122">
        <v>129</v>
      </c>
      <c r="H1399" s="122">
        <v>141</v>
      </c>
      <c r="I1399" s="122">
        <v>9467</v>
      </c>
      <c r="J1399" s="122">
        <v>8606</v>
      </c>
      <c r="K1399" s="122">
        <v>91</v>
      </c>
      <c r="L1399" s="122">
        <v>0</v>
      </c>
      <c r="M1399" s="122">
        <v>0</v>
      </c>
      <c r="N1399" s="122">
        <v>2523</v>
      </c>
      <c r="O1399" s="122">
        <v>934</v>
      </c>
      <c r="P1399" s="122">
        <v>351</v>
      </c>
      <c r="Q1399" s="122">
        <v>130</v>
      </c>
      <c r="R1399" s="122">
        <v>3150</v>
      </c>
      <c r="S1399" s="122">
        <v>2864</v>
      </c>
      <c r="T1399" s="122">
        <v>2742</v>
      </c>
      <c r="U1399" s="122">
        <v>1015</v>
      </c>
      <c r="V1399" s="122">
        <v>13550</v>
      </c>
      <c r="W1399" s="122">
        <f t="shared" si="44"/>
        <v>13549</v>
      </c>
      <c r="X1399" s="122">
        <f t="shared" si="45"/>
        <v>18233</v>
      </c>
      <c r="AA1399" t="s">
        <v>60</v>
      </c>
      <c r="AB1399" t="s">
        <v>407</v>
      </c>
      <c r="AC1399" t="s">
        <v>428</v>
      </c>
      <c r="AD1399" t="s">
        <v>407</v>
      </c>
      <c r="AE1399" t="s">
        <v>137</v>
      </c>
      <c r="AF1399">
        <v>39</v>
      </c>
      <c r="AG1399" s="122">
        <v>3686</v>
      </c>
      <c r="AH1399" s="122">
        <v>13218</v>
      </c>
      <c r="AI1399" s="122">
        <v>747940</v>
      </c>
      <c r="AJ1399" s="122">
        <v>679946</v>
      </c>
      <c r="AK1399">
        <v>76</v>
      </c>
      <c r="AL1399" s="122">
        <v>163054</v>
      </c>
      <c r="AM1399" s="122">
        <v>148231</v>
      </c>
      <c r="AN1399" s="122">
        <v>68358</v>
      </c>
      <c r="AO1399" s="122">
        <v>25318</v>
      </c>
      <c r="AP1399" s="122">
        <v>18428</v>
      </c>
      <c r="AQ1399" s="122">
        <v>6825</v>
      </c>
      <c r="AR1399" s="122">
        <v>165541</v>
      </c>
      <c r="AS1399" s="122">
        <v>150492</v>
      </c>
      <c r="AT1399" s="122">
        <v>88872</v>
      </c>
      <c r="AU1399" s="122">
        <v>32916</v>
      </c>
      <c r="AV1399" s="122">
        <v>1043727</v>
      </c>
    </row>
    <row r="1400" spans="2:48" hidden="1">
      <c r="B1400" t="s">
        <v>373</v>
      </c>
      <c r="C1400" t="s">
        <v>54</v>
      </c>
      <c r="D1400" t="s">
        <v>405</v>
      </c>
      <c r="E1400" t="s">
        <v>405</v>
      </c>
      <c r="F1400" s="122">
        <v>42</v>
      </c>
      <c r="G1400" s="122">
        <v>4933</v>
      </c>
      <c r="H1400" s="122">
        <v>5888</v>
      </c>
      <c r="I1400" s="122">
        <v>299351</v>
      </c>
      <c r="J1400" s="122">
        <v>272137</v>
      </c>
      <c r="K1400" s="122">
        <v>84</v>
      </c>
      <c r="L1400" s="122">
        <v>70622</v>
      </c>
      <c r="M1400" s="122">
        <v>64201</v>
      </c>
      <c r="N1400" s="122">
        <v>97259</v>
      </c>
      <c r="O1400" s="122">
        <v>36022</v>
      </c>
      <c r="P1400" s="122">
        <v>18387</v>
      </c>
      <c r="Q1400" s="122">
        <v>6810</v>
      </c>
      <c r="R1400" s="122">
        <v>205045</v>
      </c>
      <c r="S1400" s="122">
        <v>186405</v>
      </c>
      <c r="T1400" s="122">
        <v>2396</v>
      </c>
      <c r="U1400" s="122">
        <v>887</v>
      </c>
      <c r="V1400" s="122">
        <v>566462</v>
      </c>
      <c r="W1400" s="122">
        <f t="shared" si="44"/>
        <v>566462</v>
      </c>
      <c r="X1400" s="122">
        <f t="shared" si="45"/>
        <v>693060</v>
      </c>
      <c r="AA1400" t="s">
        <v>60</v>
      </c>
      <c r="AB1400" t="s">
        <v>407</v>
      </c>
      <c r="AC1400" t="s">
        <v>428</v>
      </c>
      <c r="AD1400" t="s">
        <v>407</v>
      </c>
      <c r="AE1400" t="s">
        <v>566</v>
      </c>
      <c r="AF1400">
        <v>51</v>
      </c>
      <c r="AG1400" s="122">
        <v>4932</v>
      </c>
      <c r="AH1400" s="122">
        <v>17062</v>
      </c>
      <c r="AI1400" s="122">
        <v>977301</v>
      </c>
      <c r="AJ1400" s="122">
        <v>888456</v>
      </c>
      <c r="AK1400">
        <v>78</v>
      </c>
      <c r="AL1400" s="122">
        <v>256436</v>
      </c>
      <c r="AM1400" s="122">
        <v>233123</v>
      </c>
      <c r="AN1400" s="122">
        <v>108101</v>
      </c>
      <c r="AO1400" s="122">
        <v>40038</v>
      </c>
      <c r="AP1400" s="122">
        <v>23733</v>
      </c>
      <c r="AQ1400" s="122">
        <v>8790</v>
      </c>
      <c r="AR1400" s="122">
        <v>305090</v>
      </c>
      <c r="AS1400" s="122">
        <v>277354</v>
      </c>
      <c r="AT1400">
        <v>0</v>
      </c>
      <c r="AU1400">
        <v>0</v>
      </c>
      <c r="AV1400" s="122">
        <v>1447761</v>
      </c>
    </row>
    <row r="1401" spans="2:48" hidden="1">
      <c r="B1401" t="s">
        <v>373</v>
      </c>
      <c r="C1401" t="s">
        <v>54</v>
      </c>
      <c r="D1401" t="s">
        <v>137</v>
      </c>
      <c r="E1401" t="s">
        <v>137</v>
      </c>
      <c r="F1401" s="122">
        <v>1</v>
      </c>
      <c r="G1401" s="122">
        <v>90</v>
      </c>
      <c r="H1401" s="122">
        <v>134</v>
      </c>
      <c r="I1401" s="122">
        <v>3168</v>
      </c>
      <c r="J1401" s="122">
        <v>1173</v>
      </c>
      <c r="K1401" s="122">
        <v>402</v>
      </c>
      <c r="L1401" s="122">
        <v>673</v>
      </c>
      <c r="M1401" s="122">
        <v>611</v>
      </c>
      <c r="N1401" s="122">
        <v>1092</v>
      </c>
      <c r="O1401" s="122">
        <v>405</v>
      </c>
      <c r="P1401" s="122">
        <v>702</v>
      </c>
      <c r="Q1401" s="122">
        <v>260</v>
      </c>
      <c r="R1401" s="122">
        <v>6352</v>
      </c>
      <c r="S1401" s="122">
        <v>2353</v>
      </c>
      <c r="T1401" s="122">
        <v>0</v>
      </c>
      <c r="U1401" s="122">
        <v>0</v>
      </c>
      <c r="V1401" s="122">
        <v>4802</v>
      </c>
      <c r="W1401" s="122">
        <f t="shared" si="44"/>
        <v>4802</v>
      </c>
      <c r="X1401" s="122">
        <f t="shared" si="45"/>
        <v>11987</v>
      </c>
      <c r="AA1401" t="s">
        <v>60</v>
      </c>
      <c r="AB1401" t="s">
        <v>407</v>
      </c>
      <c r="AC1401" t="s">
        <v>431</v>
      </c>
      <c r="AD1401" t="s">
        <v>407</v>
      </c>
      <c r="AE1401" t="s">
        <v>137</v>
      </c>
      <c r="AF1401">
        <v>2</v>
      </c>
      <c r="AG1401">
        <v>164</v>
      </c>
      <c r="AH1401">
        <v>654</v>
      </c>
      <c r="AI1401" s="122">
        <v>28471</v>
      </c>
      <c r="AJ1401" s="122">
        <v>25883</v>
      </c>
      <c r="AK1401">
        <v>80</v>
      </c>
      <c r="AL1401" s="122">
        <v>7540</v>
      </c>
      <c r="AM1401" s="122">
        <v>6854</v>
      </c>
      <c r="AN1401" s="122">
        <v>2800</v>
      </c>
      <c r="AO1401" s="122">
        <v>1037</v>
      </c>
      <c r="AP1401">
        <v>945</v>
      </c>
      <c r="AQ1401">
        <v>350</v>
      </c>
      <c r="AR1401" s="122">
        <v>8433</v>
      </c>
      <c r="AS1401" s="122">
        <v>7666</v>
      </c>
      <c r="AT1401" s="122">
        <v>5548</v>
      </c>
      <c r="AU1401" s="122">
        <v>2055</v>
      </c>
      <c r="AV1401" s="122">
        <v>43845</v>
      </c>
    </row>
    <row r="1402" spans="2:48" hidden="1">
      <c r="B1402" t="s">
        <v>373</v>
      </c>
      <c r="C1402" t="s">
        <v>54</v>
      </c>
      <c r="D1402" t="s">
        <v>406</v>
      </c>
      <c r="E1402" t="s">
        <v>406</v>
      </c>
      <c r="F1402" s="122">
        <v>117</v>
      </c>
      <c r="G1402" s="122">
        <v>13008</v>
      </c>
      <c r="H1402" s="122">
        <v>16607</v>
      </c>
      <c r="I1402" s="122">
        <v>813062</v>
      </c>
      <c r="J1402" s="122">
        <v>739147</v>
      </c>
      <c r="K1402" s="122">
        <v>91</v>
      </c>
      <c r="L1402" s="122">
        <v>177694</v>
      </c>
      <c r="M1402" s="122">
        <v>160530</v>
      </c>
      <c r="N1402" s="122">
        <v>233104</v>
      </c>
      <c r="O1402" s="122">
        <v>86335</v>
      </c>
      <c r="P1402" s="122">
        <v>72657</v>
      </c>
      <c r="Q1402" s="122">
        <v>26910</v>
      </c>
      <c r="R1402" s="122">
        <v>504166</v>
      </c>
      <c r="S1402" s="122">
        <v>458333</v>
      </c>
      <c r="T1402" s="122">
        <v>49832</v>
      </c>
      <c r="U1402" s="122">
        <v>18456</v>
      </c>
      <c r="V1402" s="122">
        <v>1489711</v>
      </c>
      <c r="W1402" s="122">
        <f t="shared" si="44"/>
        <v>1489711</v>
      </c>
      <c r="X1402" s="122">
        <f t="shared" si="45"/>
        <v>1850515</v>
      </c>
      <c r="AA1402" t="s">
        <v>60</v>
      </c>
      <c r="AB1402" t="s">
        <v>407</v>
      </c>
      <c r="AC1402" t="s">
        <v>426</v>
      </c>
      <c r="AD1402" t="s">
        <v>405</v>
      </c>
      <c r="AE1402" t="s">
        <v>137</v>
      </c>
      <c r="AF1402">
        <v>1</v>
      </c>
      <c r="AG1402">
        <v>78</v>
      </c>
      <c r="AH1402">
        <v>326</v>
      </c>
      <c r="AI1402" s="122">
        <v>13101</v>
      </c>
      <c r="AJ1402" s="122">
        <v>11910</v>
      </c>
      <c r="AK1402">
        <v>72</v>
      </c>
      <c r="AL1402" s="122">
        <v>3319</v>
      </c>
      <c r="AM1402" s="122">
        <v>3017</v>
      </c>
      <c r="AN1402" s="122">
        <v>1836</v>
      </c>
      <c r="AO1402">
        <v>680</v>
      </c>
      <c r="AP1402">
        <v>473</v>
      </c>
      <c r="AQ1402">
        <v>175</v>
      </c>
      <c r="AR1402" s="122">
        <v>4340</v>
      </c>
      <c r="AS1402" s="122">
        <v>3945</v>
      </c>
      <c r="AT1402" s="122">
        <v>2502</v>
      </c>
      <c r="AU1402">
        <v>927</v>
      </c>
      <c r="AV1402" s="122">
        <v>20654</v>
      </c>
    </row>
    <row r="1403" spans="2:48" hidden="1">
      <c r="B1403" t="s">
        <v>373</v>
      </c>
      <c r="C1403" t="s">
        <v>54</v>
      </c>
      <c r="D1403" t="s">
        <v>407</v>
      </c>
      <c r="E1403" t="s">
        <v>407</v>
      </c>
      <c r="F1403" s="122">
        <v>4</v>
      </c>
      <c r="G1403" s="122">
        <v>467</v>
      </c>
      <c r="H1403" s="122">
        <v>572</v>
      </c>
      <c r="I1403" s="122">
        <v>30512</v>
      </c>
      <c r="J1403" s="122">
        <v>27738</v>
      </c>
      <c r="K1403" s="122">
        <v>88</v>
      </c>
      <c r="L1403" s="122">
        <v>6523</v>
      </c>
      <c r="M1403" s="122">
        <v>5930</v>
      </c>
      <c r="N1403" s="122">
        <v>9413</v>
      </c>
      <c r="O1403" s="122">
        <v>3486</v>
      </c>
      <c r="P1403" s="122">
        <v>2241</v>
      </c>
      <c r="Q1403" s="122">
        <v>830</v>
      </c>
      <c r="R1403" s="122">
        <v>18199</v>
      </c>
      <c r="S1403" s="122">
        <v>16544</v>
      </c>
      <c r="T1403" s="122">
        <v>0</v>
      </c>
      <c r="U1403" s="122">
        <v>0</v>
      </c>
      <c r="V1403" s="122">
        <v>54528</v>
      </c>
      <c r="W1403" s="122">
        <f t="shared" si="44"/>
        <v>54528</v>
      </c>
      <c r="X1403" s="122">
        <f t="shared" si="45"/>
        <v>66888</v>
      </c>
      <c r="AA1403" t="s">
        <v>60</v>
      </c>
      <c r="AB1403" t="s">
        <v>407</v>
      </c>
      <c r="AC1403" t="s">
        <v>426</v>
      </c>
      <c r="AD1403" t="s">
        <v>405</v>
      </c>
      <c r="AE1403" t="s">
        <v>566</v>
      </c>
      <c r="AF1403">
        <v>1</v>
      </c>
      <c r="AG1403">
        <v>95</v>
      </c>
      <c r="AH1403">
        <v>341</v>
      </c>
      <c r="AI1403" s="122">
        <v>21551</v>
      </c>
      <c r="AJ1403" s="122">
        <v>19592</v>
      </c>
      <c r="AK1403">
        <v>79</v>
      </c>
      <c r="AL1403" s="122">
        <v>3270</v>
      </c>
      <c r="AM1403" s="122">
        <v>2972</v>
      </c>
      <c r="AN1403" s="122">
        <v>2313</v>
      </c>
      <c r="AO1403">
        <v>857</v>
      </c>
      <c r="AP1403">
        <v>473</v>
      </c>
      <c r="AQ1403">
        <v>175</v>
      </c>
      <c r="AR1403" s="122">
        <v>4774</v>
      </c>
      <c r="AS1403" s="122">
        <v>4340</v>
      </c>
      <c r="AT1403">
        <v>0</v>
      </c>
      <c r="AU1403">
        <v>0</v>
      </c>
      <c r="AV1403" s="122">
        <v>27936</v>
      </c>
    </row>
    <row r="1404" spans="2:48" hidden="1">
      <c r="B1404" t="s">
        <v>373</v>
      </c>
      <c r="C1404" t="s">
        <v>56</v>
      </c>
      <c r="D1404" t="s">
        <v>425</v>
      </c>
      <c r="E1404" t="s">
        <v>425</v>
      </c>
      <c r="F1404" s="122">
        <v>2</v>
      </c>
      <c r="G1404" s="122">
        <v>287</v>
      </c>
      <c r="H1404" s="122">
        <v>383</v>
      </c>
      <c r="I1404" s="122">
        <v>26326</v>
      </c>
      <c r="J1404" s="122">
        <v>23933</v>
      </c>
      <c r="K1404" s="122">
        <v>73</v>
      </c>
      <c r="L1404" s="122">
        <v>6767</v>
      </c>
      <c r="M1404" s="122">
        <v>6152</v>
      </c>
      <c r="N1404" s="122">
        <v>6538</v>
      </c>
      <c r="O1404" s="122">
        <v>2421</v>
      </c>
      <c r="P1404" s="122">
        <v>972</v>
      </c>
      <c r="Q1404" s="122">
        <v>360</v>
      </c>
      <c r="R1404" s="122">
        <v>12143</v>
      </c>
      <c r="S1404" s="122">
        <v>11039</v>
      </c>
      <c r="T1404" s="122">
        <v>2576</v>
      </c>
      <c r="U1404" s="122">
        <v>954</v>
      </c>
      <c r="V1404" s="122">
        <v>44859</v>
      </c>
      <c r="W1404" s="122">
        <f t="shared" si="44"/>
        <v>44859</v>
      </c>
      <c r="X1404" s="122">
        <f t="shared" si="45"/>
        <v>55322</v>
      </c>
      <c r="AA1404" t="s">
        <v>60</v>
      </c>
      <c r="AB1404" t="s">
        <v>407</v>
      </c>
      <c r="AC1404" t="s">
        <v>426</v>
      </c>
      <c r="AD1404" t="s">
        <v>137</v>
      </c>
      <c r="AE1404" t="s">
        <v>137</v>
      </c>
      <c r="AF1404">
        <v>1</v>
      </c>
      <c r="AG1404">
        <v>92</v>
      </c>
      <c r="AH1404">
        <v>328</v>
      </c>
      <c r="AI1404" s="122">
        <v>14470</v>
      </c>
      <c r="AJ1404" s="122">
        <v>13155</v>
      </c>
      <c r="AK1404">
        <v>79</v>
      </c>
      <c r="AL1404" s="122">
        <v>4228</v>
      </c>
      <c r="AM1404" s="122">
        <v>3844</v>
      </c>
      <c r="AN1404" s="122">
        <v>2244</v>
      </c>
      <c r="AO1404">
        <v>831</v>
      </c>
      <c r="AP1404">
        <v>473</v>
      </c>
      <c r="AQ1404">
        <v>175</v>
      </c>
      <c r="AR1404" s="122">
        <v>6329</v>
      </c>
      <c r="AS1404" s="122">
        <v>2344</v>
      </c>
      <c r="AT1404" s="122">
        <v>2460</v>
      </c>
      <c r="AU1404">
        <v>911</v>
      </c>
      <c r="AV1404" s="122">
        <v>21260</v>
      </c>
    </row>
    <row r="1405" spans="2:48" hidden="1">
      <c r="B1405" t="s">
        <v>373</v>
      </c>
      <c r="C1405" t="s">
        <v>56</v>
      </c>
      <c r="D1405" t="s">
        <v>405</v>
      </c>
      <c r="E1405" t="s">
        <v>425</v>
      </c>
      <c r="F1405" s="122">
        <v>1</v>
      </c>
      <c r="G1405" s="122">
        <v>115</v>
      </c>
      <c r="H1405" s="122">
        <v>195</v>
      </c>
      <c r="I1405" s="122">
        <v>9879</v>
      </c>
      <c r="J1405" s="122">
        <v>8981</v>
      </c>
      <c r="K1405" s="122">
        <v>79</v>
      </c>
      <c r="L1405" s="122">
        <v>2744</v>
      </c>
      <c r="M1405" s="122">
        <v>2495</v>
      </c>
      <c r="N1405" s="122">
        <v>2691</v>
      </c>
      <c r="O1405" s="122">
        <v>997</v>
      </c>
      <c r="P1405" s="122">
        <v>473</v>
      </c>
      <c r="Q1405" s="122">
        <v>175</v>
      </c>
      <c r="R1405" s="122">
        <v>6676</v>
      </c>
      <c r="S1405" s="122">
        <v>6069</v>
      </c>
      <c r="T1405" s="122">
        <v>0</v>
      </c>
      <c r="U1405" s="122">
        <v>0</v>
      </c>
      <c r="V1405" s="122">
        <v>18716</v>
      </c>
      <c r="W1405" s="122">
        <f t="shared" si="44"/>
        <v>18717</v>
      </c>
      <c r="X1405" s="122">
        <f t="shared" si="45"/>
        <v>22463</v>
      </c>
      <c r="AA1405" t="s">
        <v>60</v>
      </c>
      <c r="AB1405" t="s">
        <v>407</v>
      </c>
      <c r="AC1405" t="s">
        <v>426</v>
      </c>
      <c r="AD1405" t="s">
        <v>137</v>
      </c>
      <c r="AE1405" t="s">
        <v>566</v>
      </c>
      <c r="AF1405">
        <v>11</v>
      </c>
      <c r="AG1405" s="122">
        <v>1080</v>
      </c>
      <c r="AH1405" s="122">
        <v>3832</v>
      </c>
      <c r="AI1405" s="122">
        <v>222000</v>
      </c>
      <c r="AJ1405" s="122">
        <v>201818</v>
      </c>
      <c r="AK1405">
        <v>79</v>
      </c>
      <c r="AL1405" s="122">
        <v>57758</v>
      </c>
      <c r="AM1405" s="122">
        <v>52507</v>
      </c>
      <c r="AN1405" s="122">
        <v>24457</v>
      </c>
      <c r="AO1405" s="122">
        <v>9058</v>
      </c>
      <c r="AP1405" s="122">
        <v>5900</v>
      </c>
      <c r="AQ1405" s="122">
        <v>2185</v>
      </c>
      <c r="AR1405" s="122">
        <v>78822</v>
      </c>
      <c r="AS1405" s="122">
        <v>29193</v>
      </c>
      <c r="AT1405">
        <v>0</v>
      </c>
      <c r="AU1405">
        <v>0</v>
      </c>
      <c r="AV1405" s="122">
        <v>294761</v>
      </c>
    </row>
    <row r="1406" spans="2:48" hidden="1">
      <c r="B1406" t="s">
        <v>373</v>
      </c>
      <c r="C1406" t="s">
        <v>56</v>
      </c>
      <c r="D1406" t="s">
        <v>405</v>
      </c>
      <c r="E1406" t="s">
        <v>405</v>
      </c>
      <c r="F1406" s="122">
        <v>120</v>
      </c>
      <c r="G1406" s="122">
        <v>13588</v>
      </c>
      <c r="H1406" s="122">
        <v>21628</v>
      </c>
      <c r="I1406" s="122">
        <v>1069137</v>
      </c>
      <c r="J1406" s="122">
        <v>971943</v>
      </c>
      <c r="K1406" s="122">
        <v>77</v>
      </c>
      <c r="L1406" s="122">
        <v>303162</v>
      </c>
      <c r="M1406" s="122">
        <v>273655</v>
      </c>
      <c r="N1406" s="122">
        <v>308909</v>
      </c>
      <c r="O1406" s="122">
        <v>114411</v>
      </c>
      <c r="P1406" s="122">
        <v>56133</v>
      </c>
      <c r="Q1406" s="122">
        <v>20790</v>
      </c>
      <c r="R1406" s="122">
        <v>672708</v>
      </c>
      <c r="S1406" s="122">
        <v>611552</v>
      </c>
      <c r="T1406" s="122">
        <v>25661</v>
      </c>
      <c r="U1406" s="122">
        <v>9504</v>
      </c>
      <c r="V1406" s="122">
        <v>2001855</v>
      </c>
      <c r="W1406" s="122">
        <f t="shared" si="44"/>
        <v>2001855</v>
      </c>
      <c r="X1406" s="122">
        <f t="shared" si="45"/>
        <v>2435710</v>
      </c>
      <c r="AA1406" t="s">
        <v>60</v>
      </c>
      <c r="AB1406" t="s">
        <v>407</v>
      </c>
      <c r="AC1406" t="s">
        <v>426</v>
      </c>
      <c r="AD1406" t="s">
        <v>407</v>
      </c>
      <c r="AE1406" t="s">
        <v>137</v>
      </c>
      <c r="AF1406" s="122">
        <v>1356</v>
      </c>
      <c r="AG1406" s="122">
        <v>130622</v>
      </c>
      <c r="AH1406" s="122">
        <v>461496</v>
      </c>
      <c r="AI1406" s="122">
        <v>25789359</v>
      </c>
      <c r="AJ1406" s="122">
        <v>23444872</v>
      </c>
      <c r="AK1406">
        <v>77</v>
      </c>
      <c r="AL1406" s="122">
        <v>6601732</v>
      </c>
      <c r="AM1406" s="122">
        <v>6001575</v>
      </c>
      <c r="AN1406" s="122">
        <v>2810243</v>
      </c>
      <c r="AO1406" s="122">
        <v>1040831</v>
      </c>
      <c r="AP1406" s="122">
        <v>639619</v>
      </c>
      <c r="AQ1406" s="122">
        <v>236896</v>
      </c>
      <c r="AR1406" s="122">
        <v>6149857</v>
      </c>
      <c r="AS1406" s="122">
        <v>5590779</v>
      </c>
      <c r="AT1406" s="122">
        <v>3102914</v>
      </c>
      <c r="AU1406" s="122">
        <v>1149228</v>
      </c>
      <c r="AV1406" s="122">
        <v>37464180</v>
      </c>
    </row>
    <row r="1407" spans="2:48" hidden="1">
      <c r="B1407" t="s">
        <v>373</v>
      </c>
      <c r="C1407" t="s">
        <v>56</v>
      </c>
      <c r="D1407" t="s">
        <v>137</v>
      </c>
      <c r="E1407" t="s">
        <v>137</v>
      </c>
      <c r="F1407" s="122">
        <v>57</v>
      </c>
      <c r="G1407" s="122">
        <v>5394</v>
      </c>
      <c r="H1407" s="122">
        <v>11754</v>
      </c>
      <c r="I1407" s="122">
        <v>498632</v>
      </c>
      <c r="J1407" s="122">
        <v>184678</v>
      </c>
      <c r="K1407" s="122">
        <v>132</v>
      </c>
      <c r="L1407" s="122">
        <v>102918</v>
      </c>
      <c r="M1407" s="122">
        <v>52058</v>
      </c>
      <c r="N1407" s="122">
        <v>116240</v>
      </c>
      <c r="O1407" s="122">
        <v>43052</v>
      </c>
      <c r="P1407" s="122">
        <v>184</v>
      </c>
      <c r="Q1407" s="122">
        <v>68</v>
      </c>
      <c r="R1407" s="122">
        <v>398632</v>
      </c>
      <c r="S1407" s="122">
        <v>147641</v>
      </c>
      <c r="T1407" s="122">
        <v>0</v>
      </c>
      <c r="U1407" s="122">
        <v>0</v>
      </c>
      <c r="V1407" s="122">
        <v>427498</v>
      </c>
      <c r="W1407" s="122">
        <f t="shared" si="44"/>
        <v>427497</v>
      </c>
      <c r="X1407" s="122">
        <f t="shared" si="45"/>
        <v>1116606</v>
      </c>
      <c r="AA1407" t="s">
        <v>60</v>
      </c>
      <c r="AB1407" t="s">
        <v>407</v>
      </c>
      <c r="AC1407" t="s">
        <v>426</v>
      </c>
      <c r="AD1407" t="s">
        <v>407</v>
      </c>
      <c r="AE1407" t="s">
        <v>566</v>
      </c>
      <c r="AF1407">
        <v>988</v>
      </c>
      <c r="AG1407" s="122">
        <v>89245</v>
      </c>
      <c r="AH1407" s="122">
        <v>331774</v>
      </c>
      <c r="AI1407" s="122">
        <v>17836288</v>
      </c>
      <c r="AJ1407" s="122">
        <v>16214807</v>
      </c>
      <c r="AK1407">
        <v>80</v>
      </c>
      <c r="AL1407" s="122">
        <v>4727459</v>
      </c>
      <c r="AM1407" s="122">
        <v>4297690</v>
      </c>
      <c r="AN1407" s="122">
        <v>1923490</v>
      </c>
      <c r="AO1407" s="122">
        <v>712404</v>
      </c>
      <c r="AP1407" s="122">
        <v>468836</v>
      </c>
      <c r="AQ1407" s="122">
        <v>173643</v>
      </c>
      <c r="AR1407" s="122">
        <v>5384726</v>
      </c>
      <c r="AS1407" s="122">
        <v>4895205</v>
      </c>
      <c r="AT1407">
        <v>0</v>
      </c>
      <c r="AU1407">
        <v>0</v>
      </c>
      <c r="AV1407" s="122">
        <v>26293749</v>
      </c>
    </row>
    <row r="1408" spans="2:48" hidden="1">
      <c r="B1408" t="s">
        <v>373</v>
      </c>
      <c r="C1408" t="s">
        <v>56</v>
      </c>
      <c r="D1408" t="s">
        <v>406</v>
      </c>
      <c r="E1408" t="s">
        <v>555</v>
      </c>
      <c r="F1408" s="122">
        <v>1</v>
      </c>
      <c r="G1408" s="122">
        <v>84</v>
      </c>
      <c r="H1408" s="122">
        <v>185</v>
      </c>
      <c r="I1408" s="122">
        <v>6669</v>
      </c>
      <c r="J1408" s="122">
        <v>6063</v>
      </c>
      <c r="K1408" s="122">
        <v>95</v>
      </c>
      <c r="L1408" s="122">
        <v>1215</v>
      </c>
      <c r="M1408" s="122">
        <v>1105</v>
      </c>
      <c r="N1408" s="122">
        <v>2058</v>
      </c>
      <c r="O1408" s="122">
        <v>762</v>
      </c>
      <c r="P1408" s="122">
        <v>621</v>
      </c>
      <c r="Q1408" s="122">
        <v>230</v>
      </c>
      <c r="R1408" s="122">
        <v>2660</v>
      </c>
      <c r="S1408" s="122">
        <v>2418</v>
      </c>
      <c r="T1408" s="122">
        <v>2359</v>
      </c>
      <c r="U1408" s="122">
        <v>874</v>
      </c>
      <c r="V1408" s="122">
        <v>11452</v>
      </c>
      <c r="W1408" s="122">
        <f t="shared" si="44"/>
        <v>11452</v>
      </c>
      <c r="X1408" s="122">
        <f t="shared" si="45"/>
        <v>15582</v>
      </c>
      <c r="AA1408" t="s">
        <v>60</v>
      </c>
      <c r="AB1408" t="s">
        <v>407</v>
      </c>
      <c r="AC1408" t="s">
        <v>566</v>
      </c>
      <c r="AD1408" t="s">
        <v>137</v>
      </c>
      <c r="AE1408" t="s">
        <v>137</v>
      </c>
      <c r="AF1408">
        <v>2</v>
      </c>
      <c r="AG1408">
        <v>169</v>
      </c>
      <c r="AH1408">
        <v>695</v>
      </c>
      <c r="AI1408" s="122">
        <v>42167</v>
      </c>
      <c r="AJ1408" s="122">
        <v>38334</v>
      </c>
      <c r="AK1408">
        <v>53</v>
      </c>
      <c r="AL1408">
        <v>0</v>
      </c>
      <c r="AM1408">
        <v>0</v>
      </c>
      <c r="AN1408" s="122">
        <v>4124</v>
      </c>
      <c r="AO1408" s="122">
        <v>1528</v>
      </c>
      <c r="AP1408">
        <v>824</v>
      </c>
      <c r="AQ1408">
        <v>305</v>
      </c>
      <c r="AR1408" s="122">
        <v>8974</v>
      </c>
      <c r="AS1408" s="122">
        <v>3324</v>
      </c>
      <c r="AT1408" s="122">
        <v>1107</v>
      </c>
      <c r="AU1408">
        <v>410</v>
      </c>
      <c r="AV1408" s="122">
        <v>43900</v>
      </c>
    </row>
    <row r="1409" spans="2:48" hidden="1">
      <c r="B1409" t="s">
        <v>373</v>
      </c>
      <c r="C1409" t="s">
        <v>56</v>
      </c>
      <c r="D1409" t="s">
        <v>406</v>
      </c>
      <c r="E1409" t="s">
        <v>425</v>
      </c>
      <c r="F1409" s="122">
        <v>1</v>
      </c>
      <c r="G1409" s="122">
        <v>114</v>
      </c>
      <c r="H1409" s="122">
        <v>198</v>
      </c>
      <c r="I1409" s="122">
        <v>10927</v>
      </c>
      <c r="J1409" s="122">
        <v>9933</v>
      </c>
      <c r="K1409" s="122">
        <v>86</v>
      </c>
      <c r="L1409" s="122">
        <v>3294</v>
      </c>
      <c r="M1409" s="122">
        <v>2995</v>
      </c>
      <c r="N1409" s="122">
        <v>2013</v>
      </c>
      <c r="O1409" s="122">
        <v>745</v>
      </c>
      <c r="P1409" s="122">
        <v>621</v>
      </c>
      <c r="Q1409" s="122">
        <v>230</v>
      </c>
      <c r="R1409" s="122">
        <v>3150</v>
      </c>
      <c r="S1409" s="122">
        <v>2863</v>
      </c>
      <c r="T1409" s="122">
        <v>2557</v>
      </c>
      <c r="U1409" s="122">
        <v>947</v>
      </c>
      <c r="V1409" s="122">
        <v>17714</v>
      </c>
      <c r="W1409" s="122">
        <f t="shared" si="44"/>
        <v>17713</v>
      </c>
      <c r="X1409" s="122">
        <f t="shared" si="45"/>
        <v>22562</v>
      </c>
      <c r="AA1409" t="s">
        <v>60</v>
      </c>
      <c r="AB1409" t="s">
        <v>407</v>
      </c>
      <c r="AC1409" t="s">
        <v>566</v>
      </c>
      <c r="AD1409" t="s">
        <v>137</v>
      </c>
      <c r="AE1409" t="s">
        <v>566</v>
      </c>
      <c r="AF1409">
        <v>24</v>
      </c>
      <c r="AG1409" s="122">
        <v>2128</v>
      </c>
      <c r="AH1409" s="122">
        <v>8170</v>
      </c>
      <c r="AI1409" s="122">
        <v>508097</v>
      </c>
      <c r="AJ1409" s="122">
        <v>461907</v>
      </c>
      <c r="AK1409">
        <v>76</v>
      </c>
      <c r="AL1409">
        <v>0</v>
      </c>
      <c r="AM1409" s="122">
        <v>5187</v>
      </c>
      <c r="AN1409" s="122">
        <v>42454</v>
      </c>
      <c r="AO1409" s="122">
        <v>15724</v>
      </c>
      <c r="AP1409" s="122">
        <v>9624</v>
      </c>
      <c r="AQ1409" s="122">
        <v>3565</v>
      </c>
      <c r="AR1409" s="122">
        <v>161494</v>
      </c>
      <c r="AS1409" s="122">
        <v>59813</v>
      </c>
      <c r="AT1409">
        <v>0</v>
      </c>
      <c r="AU1409">
        <v>0</v>
      </c>
      <c r="AV1409" s="122">
        <v>546194</v>
      </c>
    </row>
    <row r="1410" spans="2:48" hidden="1">
      <c r="B1410" t="s">
        <v>373</v>
      </c>
      <c r="C1410" t="s">
        <v>56</v>
      </c>
      <c r="D1410" t="s">
        <v>406</v>
      </c>
      <c r="E1410" t="s">
        <v>137</v>
      </c>
      <c r="F1410" s="122">
        <v>2</v>
      </c>
      <c r="G1410" s="122">
        <v>181</v>
      </c>
      <c r="H1410" s="122">
        <v>385</v>
      </c>
      <c r="I1410" s="122">
        <v>14252</v>
      </c>
      <c r="J1410" s="122">
        <v>12957</v>
      </c>
      <c r="K1410" s="122">
        <v>86</v>
      </c>
      <c r="L1410" s="122">
        <v>2668</v>
      </c>
      <c r="M1410" s="122">
        <v>2425</v>
      </c>
      <c r="N1410" s="122">
        <v>4223</v>
      </c>
      <c r="O1410" s="122">
        <v>1564</v>
      </c>
      <c r="P1410" s="122">
        <v>1242</v>
      </c>
      <c r="Q1410" s="122">
        <v>460</v>
      </c>
      <c r="R1410" s="122">
        <v>12744</v>
      </c>
      <c r="S1410" s="122">
        <v>4720</v>
      </c>
      <c r="T1410" s="122">
        <v>0</v>
      </c>
      <c r="U1410" s="122">
        <v>0</v>
      </c>
      <c r="V1410" s="122">
        <v>22126</v>
      </c>
      <c r="W1410" s="122">
        <f t="shared" si="44"/>
        <v>22126</v>
      </c>
      <c r="X1410" s="122">
        <f t="shared" si="45"/>
        <v>35129</v>
      </c>
      <c r="AA1410" t="s">
        <v>60</v>
      </c>
      <c r="AB1410" t="s">
        <v>407</v>
      </c>
      <c r="AC1410" t="s">
        <v>566</v>
      </c>
      <c r="AD1410" t="s">
        <v>407</v>
      </c>
      <c r="AE1410" t="s">
        <v>137</v>
      </c>
      <c r="AF1410">
        <v>673</v>
      </c>
      <c r="AG1410" s="122">
        <v>56969</v>
      </c>
      <c r="AH1410" s="122">
        <v>226374</v>
      </c>
      <c r="AI1410" s="122">
        <v>13685756</v>
      </c>
      <c r="AJ1410" s="122">
        <v>12441596</v>
      </c>
      <c r="AK1410">
        <v>76</v>
      </c>
      <c r="AL1410">
        <v>0</v>
      </c>
      <c r="AM1410" s="122">
        <v>97255</v>
      </c>
      <c r="AN1410" s="122">
        <v>1194058</v>
      </c>
      <c r="AO1410" s="122">
        <v>442244</v>
      </c>
      <c r="AP1410" s="122">
        <v>316091</v>
      </c>
      <c r="AQ1410" s="122">
        <v>117071</v>
      </c>
      <c r="AR1410" s="122">
        <v>2820773</v>
      </c>
      <c r="AS1410" s="122">
        <v>2564339</v>
      </c>
      <c r="AT1410" s="122">
        <v>1476736</v>
      </c>
      <c r="AU1410" s="122">
        <v>546939</v>
      </c>
      <c r="AV1410" s="122">
        <v>16209445</v>
      </c>
    </row>
    <row r="1411" spans="2:48" hidden="1">
      <c r="B1411" t="s">
        <v>373</v>
      </c>
      <c r="C1411" t="s">
        <v>56</v>
      </c>
      <c r="D1411" t="s">
        <v>406</v>
      </c>
      <c r="E1411" t="s">
        <v>406</v>
      </c>
      <c r="F1411" s="122">
        <v>772</v>
      </c>
      <c r="G1411" s="122">
        <v>80569</v>
      </c>
      <c r="H1411" s="122">
        <v>143702</v>
      </c>
      <c r="I1411" s="122">
        <v>6820883</v>
      </c>
      <c r="J1411" s="122">
        <v>6200803</v>
      </c>
      <c r="K1411" s="122">
        <v>86</v>
      </c>
      <c r="L1411" s="122">
        <v>1781422</v>
      </c>
      <c r="M1411" s="122">
        <v>1596399</v>
      </c>
      <c r="N1411" s="122">
        <v>1643911</v>
      </c>
      <c r="O1411" s="122">
        <v>608856</v>
      </c>
      <c r="P1411" s="122">
        <v>482706</v>
      </c>
      <c r="Q1411" s="122">
        <v>178780</v>
      </c>
      <c r="R1411" s="122">
        <v>3379342</v>
      </c>
      <c r="S1411" s="122">
        <v>3072129</v>
      </c>
      <c r="T1411" s="122">
        <v>855968</v>
      </c>
      <c r="U1411" s="122">
        <v>317025</v>
      </c>
      <c r="V1411" s="122">
        <v>11973993</v>
      </c>
      <c r="W1411" s="122">
        <f t="shared" si="44"/>
        <v>11973992</v>
      </c>
      <c r="X1411" s="122">
        <f t="shared" si="45"/>
        <v>14964232</v>
      </c>
      <c r="AA1411" t="s">
        <v>60</v>
      </c>
      <c r="AB1411" t="s">
        <v>407</v>
      </c>
      <c r="AC1411" t="s">
        <v>566</v>
      </c>
      <c r="AD1411" t="s">
        <v>407</v>
      </c>
      <c r="AE1411" t="s">
        <v>566</v>
      </c>
      <c r="AF1411">
        <v>522</v>
      </c>
      <c r="AG1411" s="122">
        <v>41103</v>
      </c>
      <c r="AH1411" s="122">
        <v>176014</v>
      </c>
      <c r="AI1411" s="122">
        <v>10258057</v>
      </c>
      <c r="AJ1411" s="122">
        <v>9325506</v>
      </c>
      <c r="AK1411">
        <v>79</v>
      </c>
      <c r="AL1411">
        <v>0</v>
      </c>
      <c r="AM1411" s="122">
        <v>280315</v>
      </c>
      <c r="AN1411" s="122">
        <v>860103</v>
      </c>
      <c r="AO1411" s="122">
        <v>318556</v>
      </c>
      <c r="AP1411" s="122">
        <v>245700</v>
      </c>
      <c r="AQ1411" s="122">
        <v>91000</v>
      </c>
      <c r="AR1411" s="122">
        <v>2664127</v>
      </c>
      <c r="AS1411" s="122">
        <v>2421934</v>
      </c>
      <c r="AT1411">
        <v>0</v>
      </c>
      <c r="AU1411">
        <v>0</v>
      </c>
      <c r="AV1411" s="122">
        <v>12437312</v>
      </c>
    </row>
    <row r="1412" spans="2:48" hidden="1">
      <c r="B1412" t="s">
        <v>373</v>
      </c>
      <c r="C1412" t="s">
        <v>56</v>
      </c>
      <c r="D1412" t="s">
        <v>406</v>
      </c>
      <c r="E1412" t="s">
        <v>407</v>
      </c>
      <c r="F1412" s="122">
        <v>1</v>
      </c>
      <c r="G1412" s="122">
        <v>90</v>
      </c>
      <c r="H1412" s="122">
        <v>223</v>
      </c>
      <c r="I1412" s="122">
        <v>8697</v>
      </c>
      <c r="J1412" s="122">
        <v>7907</v>
      </c>
      <c r="K1412" s="122">
        <v>84</v>
      </c>
      <c r="L1412" s="122">
        <v>2693</v>
      </c>
      <c r="M1412" s="122">
        <v>2448</v>
      </c>
      <c r="N1412" s="122">
        <v>2127</v>
      </c>
      <c r="O1412" s="122">
        <v>788</v>
      </c>
      <c r="P1412" s="122">
        <v>351</v>
      </c>
      <c r="Q1412" s="122">
        <v>130</v>
      </c>
      <c r="R1412" s="122">
        <v>3614</v>
      </c>
      <c r="S1412" s="122">
        <v>3285</v>
      </c>
      <c r="T1412" s="122">
        <v>2566</v>
      </c>
      <c r="U1412" s="122">
        <v>950</v>
      </c>
      <c r="V1412" s="122">
        <v>15508</v>
      </c>
      <c r="W1412" s="122">
        <f t="shared" si="44"/>
        <v>15508</v>
      </c>
      <c r="X1412" s="122">
        <f t="shared" si="45"/>
        <v>20048</v>
      </c>
      <c r="AA1412" t="s">
        <v>60</v>
      </c>
      <c r="AB1412" t="s">
        <v>407</v>
      </c>
      <c r="AC1412" t="s">
        <v>566</v>
      </c>
      <c r="AD1412" t="s">
        <v>579</v>
      </c>
      <c r="AE1412" t="s">
        <v>566</v>
      </c>
      <c r="AF1412">
        <v>2</v>
      </c>
      <c r="AG1412">
        <v>302</v>
      </c>
      <c r="AH1412">
        <v>654</v>
      </c>
      <c r="AI1412" s="122">
        <v>78740</v>
      </c>
      <c r="AJ1412" s="122">
        <v>71582</v>
      </c>
      <c r="AK1412">
        <v>72</v>
      </c>
      <c r="AL1412">
        <v>0</v>
      </c>
      <c r="AM1412" s="122">
        <v>18529</v>
      </c>
      <c r="AN1412" s="122">
        <v>6279</v>
      </c>
      <c r="AO1412" s="122">
        <v>2326</v>
      </c>
      <c r="AP1412">
        <v>945</v>
      </c>
      <c r="AQ1412">
        <v>350</v>
      </c>
      <c r="AR1412" s="122">
        <v>14877</v>
      </c>
      <c r="AS1412" s="122">
        <v>12398</v>
      </c>
      <c r="AT1412">
        <v>0</v>
      </c>
      <c r="AU1412">
        <v>0</v>
      </c>
      <c r="AV1412" s="122">
        <v>105184</v>
      </c>
    </row>
    <row r="1413" spans="2:48" hidden="1">
      <c r="B1413" t="s">
        <v>373</v>
      </c>
      <c r="C1413" t="s">
        <v>56</v>
      </c>
      <c r="D1413" t="s">
        <v>406</v>
      </c>
      <c r="E1413" t="s">
        <v>426</v>
      </c>
      <c r="F1413" s="122">
        <v>1</v>
      </c>
      <c r="G1413" s="122">
        <v>105</v>
      </c>
      <c r="H1413" s="122">
        <v>214</v>
      </c>
      <c r="I1413" s="122">
        <v>10531</v>
      </c>
      <c r="J1413" s="122">
        <v>9574</v>
      </c>
      <c r="K1413" s="122">
        <v>79</v>
      </c>
      <c r="L1413" s="122">
        <v>2925</v>
      </c>
      <c r="M1413" s="122">
        <v>2659</v>
      </c>
      <c r="N1413" s="122">
        <v>2560</v>
      </c>
      <c r="O1413" s="122">
        <v>948</v>
      </c>
      <c r="P1413" s="122">
        <v>621</v>
      </c>
      <c r="Q1413" s="122">
        <v>230</v>
      </c>
      <c r="R1413" s="122">
        <v>5887</v>
      </c>
      <c r="S1413" s="122">
        <v>5352</v>
      </c>
      <c r="T1413" s="122">
        <v>0</v>
      </c>
      <c r="U1413" s="122">
        <v>0</v>
      </c>
      <c r="V1413" s="122">
        <v>18763</v>
      </c>
      <c r="W1413" s="122">
        <f t="shared" si="44"/>
        <v>18763</v>
      </c>
      <c r="X1413" s="122">
        <f t="shared" si="45"/>
        <v>22524</v>
      </c>
      <c r="AA1413" t="s">
        <v>60</v>
      </c>
      <c r="AB1413" t="s">
        <v>407</v>
      </c>
      <c r="AC1413" t="s">
        <v>481</v>
      </c>
      <c r="AD1413" t="s">
        <v>407</v>
      </c>
      <c r="AE1413" t="s">
        <v>137</v>
      </c>
      <c r="AF1413">
        <v>1</v>
      </c>
      <c r="AG1413">
        <v>230</v>
      </c>
      <c r="AH1413">
        <v>347</v>
      </c>
      <c r="AI1413" s="122">
        <v>51035</v>
      </c>
      <c r="AJ1413" s="122">
        <v>46396</v>
      </c>
      <c r="AK1413">
        <v>68</v>
      </c>
      <c r="AL1413" s="122">
        <v>12211</v>
      </c>
      <c r="AM1413" s="122">
        <v>11101</v>
      </c>
      <c r="AN1413" s="122">
        <v>4337</v>
      </c>
      <c r="AO1413" s="122">
        <v>1606</v>
      </c>
      <c r="AP1413">
        <v>473</v>
      </c>
      <c r="AQ1413">
        <v>175</v>
      </c>
      <c r="AR1413" s="122">
        <v>7144</v>
      </c>
      <c r="AS1413" s="122">
        <v>6495</v>
      </c>
      <c r="AT1413" s="122">
        <v>4492</v>
      </c>
      <c r="AU1413" s="122">
        <v>1664</v>
      </c>
      <c r="AV1413" s="122">
        <v>67436</v>
      </c>
    </row>
    <row r="1414" spans="2:48" hidden="1">
      <c r="B1414" t="s">
        <v>373</v>
      </c>
      <c r="C1414" t="s">
        <v>56</v>
      </c>
      <c r="D1414" t="s">
        <v>427</v>
      </c>
      <c r="E1414" t="s">
        <v>427</v>
      </c>
      <c r="F1414" s="122">
        <v>1</v>
      </c>
      <c r="G1414" s="122">
        <v>88</v>
      </c>
      <c r="H1414" s="122">
        <v>225</v>
      </c>
      <c r="I1414" s="122">
        <v>9589</v>
      </c>
      <c r="J1414" s="122">
        <v>8717</v>
      </c>
      <c r="K1414" s="122">
        <v>65</v>
      </c>
      <c r="L1414" s="122">
        <v>1623</v>
      </c>
      <c r="M1414" s="122">
        <v>1476</v>
      </c>
      <c r="N1414" s="122">
        <v>2033</v>
      </c>
      <c r="O1414" s="122">
        <v>753</v>
      </c>
      <c r="P1414" s="122">
        <v>621</v>
      </c>
      <c r="Q1414" s="122">
        <v>230</v>
      </c>
      <c r="R1414" s="122">
        <v>3580</v>
      </c>
      <c r="S1414" s="122">
        <v>3255</v>
      </c>
      <c r="T1414" s="122">
        <v>2270</v>
      </c>
      <c r="U1414" s="122">
        <v>841</v>
      </c>
      <c r="V1414" s="122">
        <v>15271</v>
      </c>
      <c r="W1414" s="122">
        <f t="shared" si="44"/>
        <v>15272</v>
      </c>
      <c r="X1414" s="122">
        <f t="shared" si="45"/>
        <v>19716</v>
      </c>
      <c r="AA1414" t="s">
        <v>60</v>
      </c>
      <c r="AB1414" t="s">
        <v>407</v>
      </c>
      <c r="AC1414" t="s">
        <v>481</v>
      </c>
      <c r="AD1414" t="s">
        <v>407</v>
      </c>
      <c r="AE1414" t="s">
        <v>566</v>
      </c>
      <c r="AF1414">
        <v>2</v>
      </c>
      <c r="AG1414">
        <v>173</v>
      </c>
      <c r="AH1414">
        <v>650</v>
      </c>
      <c r="AI1414" s="122">
        <v>35550</v>
      </c>
      <c r="AJ1414" s="122">
        <v>32318</v>
      </c>
      <c r="AK1414">
        <v>85</v>
      </c>
      <c r="AL1414" s="122">
        <v>6117</v>
      </c>
      <c r="AM1414" s="122">
        <v>5561</v>
      </c>
      <c r="AN1414" s="122">
        <v>3453</v>
      </c>
      <c r="AO1414" s="122">
        <v>1279</v>
      </c>
      <c r="AP1414">
        <v>945</v>
      </c>
      <c r="AQ1414">
        <v>350</v>
      </c>
      <c r="AR1414" s="122">
        <v>9929</v>
      </c>
      <c r="AS1414" s="122">
        <v>9026</v>
      </c>
      <c r="AT1414">
        <v>0</v>
      </c>
      <c r="AU1414">
        <v>0</v>
      </c>
      <c r="AV1414" s="122">
        <v>48535</v>
      </c>
    </row>
    <row r="1415" spans="2:48" hidden="1">
      <c r="B1415" t="s">
        <v>373</v>
      </c>
      <c r="C1415" t="s">
        <v>56</v>
      </c>
      <c r="D1415" t="s">
        <v>407</v>
      </c>
      <c r="E1415" t="s">
        <v>407</v>
      </c>
      <c r="F1415" s="122">
        <v>17</v>
      </c>
      <c r="G1415" s="122">
        <v>1732</v>
      </c>
      <c r="H1415" s="122">
        <v>3141</v>
      </c>
      <c r="I1415" s="122">
        <v>147066</v>
      </c>
      <c r="J1415" s="122">
        <v>133696</v>
      </c>
      <c r="K1415" s="122">
        <v>77</v>
      </c>
      <c r="L1415" s="122">
        <v>39214</v>
      </c>
      <c r="M1415" s="122">
        <v>35649</v>
      </c>
      <c r="N1415" s="122">
        <v>38618</v>
      </c>
      <c r="O1415" s="122">
        <v>14303</v>
      </c>
      <c r="P1415" s="122">
        <v>8033</v>
      </c>
      <c r="Q1415" s="122">
        <v>2975</v>
      </c>
      <c r="R1415" s="122">
        <v>86080</v>
      </c>
      <c r="S1415" s="122">
        <v>78255</v>
      </c>
      <c r="T1415" s="122">
        <v>0</v>
      </c>
      <c r="U1415" s="122">
        <v>0</v>
      </c>
      <c r="V1415" s="122">
        <v>264878</v>
      </c>
      <c r="W1415" s="122">
        <f t="shared" si="44"/>
        <v>264878</v>
      </c>
      <c r="X1415" s="122">
        <f t="shared" si="45"/>
        <v>319011</v>
      </c>
      <c r="AA1415" t="s">
        <v>60</v>
      </c>
      <c r="AB1415" t="s">
        <v>407</v>
      </c>
      <c r="AC1415" t="s">
        <v>433</v>
      </c>
      <c r="AD1415" t="s">
        <v>406</v>
      </c>
      <c r="AE1415" t="s">
        <v>137</v>
      </c>
      <c r="AF1415">
        <v>1</v>
      </c>
      <c r="AG1415">
        <v>136</v>
      </c>
      <c r="AH1415">
        <v>370</v>
      </c>
      <c r="AI1415" s="122">
        <v>29441</v>
      </c>
      <c r="AJ1415" s="122">
        <v>26764</v>
      </c>
      <c r="AK1415">
        <v>91</v>
      </c>
      <c r="AL1415" s="122">
        <v>9377</v>
      </c>
      <c r="AM1415" s="122">
        <v>8525</v>
      </c>
      <c r="AN1415" s="122">
        <v>3158</v>
      </c>
      <c r="AO1415" s="122">
        <v>1169</v>
      </c>
      <c r="AP1415">
        <v>473</v>
      </c>
      <c r="AQ1415">
        <v>175</v>
      </c>
      <c r="AR1415" s="122">
        <v>4490</v>
      </c>
      <c r="AS1415" s="122">
        <v>4082</v>
      </c>
      <c r="AT1415" s="122">
        <v>3580</v>
      </c>
      <c r="AU1415" s="122">
        <v>1326</v>
      </c>
      <c r="AV1415" s="122">
        <v>42041</v>
      </c>
    </row>
    <row r="1416" spans="2:48" hidden="1">
      <c r="B1416" t="s">
        <v>373</v>
      </c>
      <c r="C1416" t="s">
        <v>56</v>
      </c>
      <c r="D1416" t="s">
        <v>426</v>
      </c>
      <c r="E1416" t="s">
        <v>426</v>
      </c>
      <c r="F1416" s="122">
        <v>2</v>
      </c>
      <c r="G1416" s="122">
        <v>210</v>
      </c>
      <c r="H1416" s="122">
        <v>384</v>
      </c>
      <c r="I1416" s="122">
        <v>18604</v>
      </c>
      <c r="J1416" s="122">
        <v>16912</v>
      </c>
      <c r="K1416" s="122">
        <v>70</v>
      </c>
      <c r="L1416" s="122">
        <v>2979</v>
      </c>
      <c r="M1416" s="122">
        <v>1848</v>
      </c>
      <c r="N1416" s="122">
        <v>3844</v>
      </c>
      <c r="O1416" s="122">
        <v>1424</v>
      </c>
      <c r="P1416" s="122">
        <v>702</v>
      </c>
      <c r="Q1416" s="122">
        <v>260</v>
      </c>
      <c r="R1416" s="122">
        <v>11226</v>
      </c>
      <c r="S1416" s="122">
        <v>10205</v>
      </c>
      <c r="T1416" s="122">
        <v>2447</v>
      </c>
      <c r="U1416" s="122">
        <v>906</v>
      </c>
      <c r="V1416" s="122">
        <v>31556</v>
      </c>
      <c r="W1416" s="122">
        <f t="shared" si="44"/>
        <v>31555</v>
      </c>
      <c r="X1416" s="122">
        <f t="shared" si="45"/>
        <v>39802</v>
      </c>
      <c r="AA1416" t="s">
        <v>60</v>
      </c>
      <c r="AB1416" t="s">
        <v>407</v>
      </c>
      <c r="AC1416" t="s">
        <v>433</v>
      </c>
      <c r="AD1416" t="s">
        <v>427</v>
      </c>
      <c r="AE1416" t="s">
        <v>566</v>
      </c>
      <c r="AF1416">
        <v>1</v>
      </c>
      <c r="AG1416">
        <v>45</v>
      </c>
      <c r="AH1416">
        <v>332</v>
      </c>
      <c r="AI1416" s="122">
        <v>7679</v>
      </c>
      <c r="AJ1416" s="122">
        <v>6980</v>
      </c>
      <c r="AK1416">
        <v>78</v>
      </c>
      <c r="AL1416" s="122">
        <v>1057</v>
      </c>
      <c r="AM1416">
        <v>960</v>
      </c>
      <c r="AN1416">
        <v>932</v>
      </c>
      <c r="AO1416">
        <v>345</v>
      </c>
      <c r="AP1416">
        <v>473</v>
      </c>
      <c r="AQ1416">
        <v>175</v>
      </c>
      <c r="AR1416" s="122">
        <v>4810</v>
      </c>
      <c r="AS1416" s="122">
        <v>4373</v>
      </c>
      <c r="AT1416">
        <v>0</v>
      </c>
      <c r="AU1416">
        <v>0</v>
      </c>
      <c r="AV1416" s="122">
        <v>12834</v>
      </c>
    </row>
    <row r="1417" spans="2:48" hidden="1">
      <c r="B1417" t="s">
        <v>373</v>
      </c>
      <c r="C1417" t="s">
        <v>56</v>
      </c>
      <c r="D1417" t="s">
        <v>408</v>
      </c>
      <c r="E1417" t="s">
        <v>408</v>
      </c>
      <c r="F1417" s="122">
        <v>1</v>
      </c>
      <c r="G1417" s="122">
        <v>128</v>
      </c>
      <c r="H1417" s="122">
        <v>218</v>
      </c>
      <c r="I1417" s="122">
        <v>15342</v>
      </c>
      <c r="J1417" s="122">
        <v>13948</v>
      </c>
      <c r="K1417" s="122">
        <v>65</v>
      </c>
      <c r="L1417" s="122">
        <v>1705</v>
      </c>
      <c r="M1417" s="122">
        <v>1550</v>
      </c>
      <c r="N1417" s="122">
        <v>2914</v>
      </c>
      <c r="O1417" s="122">
        <v>1079</v>
      </c>
      <c r="P1417" s="122">
        <v>473</v>
      </c>
      <c r="Q1417" s="122">
        <v>175</v>
      </c>
      <c r="R1417" s="122">
        <v>4794</v>
      </c>
      <c r="S1417" s="122">
        <v>4358</v>
      </c>
      <c r="T1417" s="122">
        <v>2680</v>
      </c>
      <c r="U1417" s="122">
        <v>993</v>
      </c>
      <c r="V1417" s="122">
        <v>22102</v>
      </c>
      <c r="W1417" s="122">
        <f t="shared" si="44"/>
        <v>22103</v>
      </c>
      <c r="X1417" s="122">
        <f t="shared" si="45"/>
        <v>27908</v>
      </c>
      <c r="AA1417" t="s">
        <v>60</v>
      </c>
      <c r="AB1417" t="s">
        <v>407</v>
      </c>
      <c r="AC1417" t="s">
        <v>433</v>
      </c>
      <c r="AD1417" t="s">
        <v>407</v>
      </c>
      <c r="AE1417" t="s">
        <v>137</v>
      </c>
      <c r="AF1417">
        <v>33</v>
      </c>
      <c r="AG1417" s="122">
        <v>3283</v>
      </c>
      <c r="AH1417" s="122">
        <v>11365</v>
      </c>
      <c r="AI1417" s="122">
        <v>681289</v>
      </c>
      <c r="AJ1417" s="122">
        <v>619354</v>
      </c>
      <c r="AK1417">
        <v>80</v>
      </c>
      <c r="AL1417" s="122">
        <v>145615</v>
      </c>
      <c r="AM1417" s="122">
        <v>132377</v>
      </c>
      <c r="AN1417" s="122">
        <v>68002</v>
      </c>
      <c r="AO1417" s="122">
        <v>25186</v>
      </c>
      <c r="AP1417" s="122">
        <v>15471</v>
      </c>
      <c r="AQ1417" s="122">
        <v>5730</v>
      </c>
      <c r="AR1417" s="122">
        <v>139747</v>
      </c>
      <c r="AS1417" s="122">
        <v>127043</v>
      </c>
      <c r="AT1417" s="122">
        <v>76628</v>
      </c>
      <c r="AU1417" s="122">
        <v>28381</v>
      </c>
      <c r="AV1417" s="122">
        <v>938071</v>
      </c>
    </row>
    <row r="1418" spans="2:48" hidden="1">
      <c r="B1418" t="s">
        <v>373</v>
      </c>
      <c r="C1418" t="s">
        <v>58</v>
      </c>
      <c r="F1418" s="122">
        <v>1</v>
      </c>
      <c r="G1418" s="122">
        <v>95</v>
      </c>
      <c r="H1418" s="122">
        <v>249</v>
      </c>
      <c r="I1418" s="122"/>
      <c r="J1418" s="122">
        <v>0</v>
      </c>
      <c r="K1418" s="122"/>
      <c r="L1418" s="122"/>
      <c r="M1418" s="122">
        <v>0</v>
      </c>
      <c r="N1418" s="122">
        <v>1984</v>
      </c>
      <c r="O1418" s="122">
        <v>735</v>
      </c>
      <c r="P1418" s="122">
        <v>621</v>
      </c>
      <c r="Q1418" s="122">
        <v>230</v>
      </c>
      <c r="R1418" s="122"/>
      <c r="S1418" s="122">
        <v>0</v>
      </c>
      <c r="T1418" s="122">
        <v>0</v>
      </c>
      <c r="U1418" s="122">
        <v>0</v>
      </c>
      <c r="V1418" s="122">
        <v>965</v>
      </c>
      <c r="W1418" s="122">
        <f t="shared" si="44"/>
        <v>965</v>
      </c>
      <c r="X1418" s="122">
        <f t="shared" si="45"/>
        <v>2605</v>
      </c>
      <c r="AA1418" t="s">
        <v>60</v>
      </c>
      <c r="AB1418" t="s">
        <v>407</v>
      </c>
      <c r="AC1418" t="s">
        <v>433</v>
      </c>
      <c r="AD1418" t="s">
        <v>407</v>
      </c>
      <c r="AE1418" t="s">
        <v>566</v>
      </c>
      <c r="AF1418">
        <v>89</v>
      </c>
      <c r="AG1418" s="122">
        <v>7272</v>
      </c>
      <c r="AH1418" s="122">
        <v>30078</v>
      </c>
      <c r="AI1418" s="122">
        <v>1461151</v>
      </c>
      <c r="AJ1418" s="122">
        <v>1328319</v>
      </c>
      <c r="AK1418">
        <v>80</v>
      </c>
      <c r="AL1418" s="122">
        <v>352800</v>
      </c>
      <c r="AM1418" s="122">
        <v>320727</v>
      </c>
      <c r="AN1418" s="122">
        <v>152263</v>
      </c>
      <c r="AO1418" s="122">
        <v>56394</v>
      </c>
      <c r="AP1418" s="122">
        <v>41810</v>
      </c>
      <c r="AQ1418" s="122">
        <v>15485</v>
      </c>
      <c r="AR1418" s="122">
        <v>475776</v>
      </c>
      <c r="AS1418" s="122">
        <v>432524</v>
      </c>
      <c r="AT1418">
        <v>0</v>
      </c>
      <c r="AU1418">
        <v>0</v>
      </c>
      <c r="AV1418" s="122">
        <v>2153449</v>
      </c>
    </row>
    <row r="1419" spans="2:48" hidden="1">
      <c r="B1419" t="s">
        <v>373</v>
      </c>
      <c r="C1419" t="s">
        <v>58</v>
      </c>
      <c r="D1419" t="s">
        <v>425</v>
      </c>
      <c r="E1419" t="s">
        <v>425</v>
      </c>
      <c r="F1419" s="122">
        <v>1</v>
      </c>
      <c r="G1419" s="122">
        <v>63</v>
      </c>
      <c r="H1419" s="122">
        <v>257</v>
      </c>
      <c r="I1419" s="122">
        <v>10368</v>
      </c>
      <c r="J1419" s="122">
        <v>9425</v>
      </c>
      <c r="K1419" s="122">
        <v>79</v>
      </c>
      <c r="L1419" s="122">
        <v>1432</v>
      </c>
      <c r="M1419" s="122">
        <v>1302</v>
      </c>
      <c r="N1419" s="122">
        <v>1374</v>
      </c>
      <c r="O1419" s="122">
        <v>509</v>
      </c>
      <c r="P1419" s="122">
        <v>473</v>
      </c>
      <c r="Q1419" s="122">
        <v>175</v>
      </c>
      <c r="R1419" s="122">
        <v>2453</v>
      </c>
      <c r="S1419" s="122">
        <v>2230</v>
      </c>
      <c r="T1419" s="122">
        <v>0</v>
      </c>
      <c r="U1419" s="122">
        <v>0</v>
      </c>
      <c r="V1419" s="122">
        <v>13641</v>
      </c>
      <c r="W1419" s="122">
        <f t="shared" si="44"/>
        <v>13641</v>
      </c>
      <c r="X1419" s="122">
        <f t="shared" si="45"/>
        <v>16100</v>
      </c>
      <c r="AA1419" t="s">
        <v>60</v>
      </c>
      <c r="AB1419" t="s">
        <v>407</v>
      </c>
      <c r="AC1419" t="s">
        <v>429</v>
      </c>
      <c r="AD1419" t="s">
        <v>407</v>
      </c>
      <c r="AE1419" t="s">
        <v>137</v>
      </c>
      <c r="AF1419">
        <v>1</v>
      </c>
      <c r="AG1419">
        <v>107</v>
      </c>
      <c r="AH1419">
        <v>342</v>
      </c>
      <c r="AI1419" s="122">
        <v>17634</v>
      </c>
      <c r="AJ1419" s="122">
        <v>16031</v>
      </c>
      <c r="AK1419">
        <v>90</v>
      </c>
      <c r="AL1419" s="122">
        <v>5610</v>
      </c>
      <c r="AM1419" s="122">
        <v>5100</v>
      </c>
      <c r="AN1419" s="122">
        <v>2615</v>
      </c>
      <c r="AO1419">
        <v>968</v>
      </c>
      <c r="AP1419">
        <v>473</v>
      </c>
      <c r="AQ1419">
        <v>175</v>
      </c>
      <c r="AR1419" s="122">
        <v>5619</v>
      </c>
      <c r="AS1419" s="122">
        <v>5108</v>
      </c>
      <c r="AT1419" s="122">
        <v>4747</v>
      </c>
      <c r="AU1419" s="122">
        <v>1758</v>
      </c>
      <c r="AV1419" s="122">
        <v>29140</v>
      </c>
    </row>
    <row r="1420" spans="2:48" hidden="1">
      <c r="B1420" t="s">
        <v>373</v>
      </c>
      <c r="C1420" t="s">
        <v>58</v>
      </c>
      <c r="D1420" t="s">
        <v>405</v>
      </c>
      <c r="E1420" t="s">
        <v>405</v>
      </c>
      <c r="F1420" s="122">
        <v>4</v>
      </c>
      <c r="G1420" s="122">
        <v>420</v>
      </c>
      <c r="H1420" s="122">
        <v>1038</v>
      </c>
      <c r="I1420" s="122">
        <v>62241</v>
      </c>
      <c r="J1420" s="122">
        <v>56583</v>
      </c>
      <c r="K1420" s="122">
        <v>77</v>
      </c>
      <c r="L1420" s="122">
        <v>13930</v>
      </c>
      <c r="M1420" s="122">
        <v>12664</v>
      </c>
      <c r="N1420" s="122">
        <v>8842</v>
      </c>
      <c r="O1420" s="122">
        <v>3275</v>
      </c>
      <c r="P1420" s="122">
        <v>1526</v>
      </c>
      <c r="Q1420" s="122">
        <v>565</v>
      </c>
      <c r="R1420" s="122">
        <v>17001</v>
      </c>
      <c r="S1420" s="122">
        <v>15455</v>
      </c>
      <c r="T1420" s="122">
        <v>5654</v>
      </c>
      <c r="U1420" s="122">
        <v>2094</v>
      </c>
      <c r="V1420" s="122">
        <v>90636</v>
      </c>
      <c r="W1420" s="122">
        <f t="shared" si="44"/>
        <v>90636</v>
      </c>
      <c r="X1420" s="122">
        <f t="shared" si="45"/>
        <v>109194</v>
      </c>
      <c r="AA1420" t="s">
        <v>60</v>
      </c>
      <c r="AB1420" t="s">
        <v>407</v>
      </c>
      <c r="AC1420" t="s">
        <v>429</v>
      </c>
      <c r="AD1420" t="s">
        <v>407</v>
      </c>
      <c r="AE1420" t="s">
        <v>566</v>
      </c>
      <c r="AF1420">
        <v>9</v>
      </c>
      <c r="AG1420" s="122">
        <v>1062</v>
      </c>
      <c r="AH1420" s="122">
        <v>3157</v>
      </c>
      <c r="AI1420" s="122">
        <v>261965</v>
      </c>
      <c r="AJ1420" s="122">
        <v>238150</v>
      </c>
      <c r="AK1420">
        <v>74</v>
      </c>
      <c r="AL1420" s="122">
        <v>23409</v>
      </c>
      <c r="AM1420" s="122">
        <v>21281</v>
      </c>
      <c r="AN1420" s="122">
        <v>23795</v>
      </c>
      <c r="AO1420" s="122">
        <v>8813</v>
      </c>
      <c r="AP1420" s="122">
        <v>4253</v>
      </c>
      <c r="AQ1420" s="122">
        <v>1575</v>
      </c>
      <c r="AR1420" s="122">
        <v>66393</v>
      </c>
      <c r="AS1420" s="122">
        <v>60357</v>
      </c>
      <c r="AT1420">
        <v>0</v>
      </c>
      <c r="AU1420">
        <v>0</v>
      </c>
      <c r="AV1420" s="122">
        <v>330176</v>
      </c>
    </row>
    <row r="1421" spans="2:48" hidden="1">
      <c r="B1421" t="s">
        <v>373</v>
      </c>
      <c r="C1421" t="s">
        <v>58</v>
      </c>
      <c r="D1421" t="s">
        <v>137</v>
      </c>
      <c r="E1421" t="s">
        <v>137</v>
      </c>
      <c r="F1421" s="122">
        <v>120</v>
      </c>
      <c r="G1421" s="122">
        <v>11291</v>
      </c>
      <c r="H1421" s="122">
        <v>31199</v>
      </c>
      <c r="I1421" s="122">
        <v>1589490</v>
      </c>
      <c r="J1421" s="122">
        <v>588700</v>
      </c>
      <c r="K1421" s="122">
        <v>100</v>
      </c>
      <c r="L1421" s="122">
        <v>233481</v>
      </c>
      <c r="M1421" s="122">
        <v>127651</v>
      </c>
      <c r="N1421" s="122">
        <v>249873</v>
      </c>
      <c r="O1421" s="122">
        <v>92546</v>
      </c>
      <c r="P1421" s="122">
        <v>0</v>
      </c>
      <c r="Q1421" s="122">
        <v>0</v>
      </c>
      <c r="R1421" s="122">
        <v>863296</v>
      </c>
      <c r="S1421" s="122">
        <v>319739</v>
      </c>
      <c r="T1421" s="122">
        <v>0</v>
      </c>
      <c r="U1421" s="122">
        <v>0</v>
      </c>
      <c r="V1421" s="122">
        <v>1128636</v>
      </c>
      <c r="W1421" s="122">
        <f t="shared" si="44"/>
        <v>1128636</v>
      </c>
      <c r="X1421" s="122">
        <f t="shared" si="45"/>
        <v>2936140</v>
      </c>
      <c r="AA1421" t="s">
        <v>60</v>
      </c>
      <c r="AB1421" t="s">
        <v>579</v>
      </c>
      <c r="AC1421" t="s">
        <v>425</v>
      </c>
      <c r="AD1421" t="s">
        <v>579</v>
      </c>
      <c r="AE1421" t="s">
        <v>137</v>
      </c>
      <c r="AF1421">
        <v>1</v>
      </c>
      <c r="AG1421">
        <v>156</v>
      </c>
      <c r="AH1421">
        <v>340</v>
      </c>
      <c r="AI1421" s="122">
        <v>34970</v>
      </c>
      <c r="AJ1421" s="122">
        <v>29142</v>
      </c>
      <c r="AK1421">
        <v>65</v>
      </c>
      <c r="AL1421" s="122">
        <v>2935</v>
      </c>
      <c r="AM1421" s="122">
        <v>2668</v>
      </c>
      <c r="AN1421" s="122">
        <v>3508</v>
      </c>
      <c r="AO1421" s="122">
        <v>1299</v>
      </c>
      <c r="AP1421">
        <v>621</v>
      </c>
      <c r="AQ1421">
        <v>230</v>
      </c>
      <c r="AR1421" s="122">
        <v>7132</v>
      </c>
      <c r="AS1421" s="122">
        <v>5944</v>
      </c>
      <c r="AT1421" s="122">
        <v>3794</v>
      </c>
      <c r="AU1421" s="122">
        <v>1405</v>
      </c>
      <c r="AV1421" s="122">
        <v>40688</v>
      </c>
    </row>
    <row r="1422" spans="2:48" hidden="1">
      <c r="B1422" t="s">
        <v>373</v>
      </c>
      <c r="C1422" t="s">
        <v>58</v>
      </c>
      <c r="D1422" t="s">
        <v>137</v>
      </c>
      <c r="E1422" t="s">
        <v>426</v>
      </c>
      <c r="F1422" s="122">
        <v>12</v>
      </c>
      <c r="G1422" s="122">
        <v>556</v>
      </c>
      <c r="H1422" s="122">
        <v>3270</v>
      </c>
      <c r="I1422" s="122">
        <v>27940</v>
      </c>
      <c r="J1422" s="122">
        <v>10348</v>
      </c>
      <c r="K1422" s="122">
        <v>355</v>
      </c>
      <c r="L1422" s="122">
        <v>9986</v>
      </c>
      <c r="M1422" s="122">
        <v>9078</v>
      </c>
      <c r="N1422" s="122">
        <v>6774</v>
      </c>
      <c r="O1422" s="122">
        <v>2509</v>
      </c>
      <c r="P1422" s="122">
        <v>6371</v>
      </c>
      <c r="Q1422" s="122">
        <v>2360</v>
      </c>
      <c r="R1422" s="122">
        <v>74579</v>
      </c>
      <c r="S1422" s="122">
        <v>67799</v>
      </c>
      <c r="T1422" s="122">
        <v>25662</v>
      </c>
      <c r="U1422" s="122">
        <v>9505</v>
      </c>
      <c r="V1422" s="122">
        <v>101598</v>
      </c>
      <c r="W1422" s="122">
        <f t="shared" si="44"/>
        <v>101599</v>
      </c>
      <c r="X1422" s="122">
        <f t="shared" si="45"/>
        <v>151312</v>
      </c>
      <c r="AA1422" t="s">
        <v>60</v>
      </c>
      <c r="AB1422" t="s">
        <v>579</v>
      </c>
      <c r="AC1422" t="s">
        <v>425</v>
      </c>
      <c r="AD1422" t="s">
        <v>579</v>
      </c>
      <c r="AE1422" t="s">
        <v>566</v>
      </c>
      <c r="AF1422">
        <v>1</v>
      </c>
      <c r="AG1422">
        <v>88</v>
      </c>
      <c r="AH1422">
        <v>329</v>
      </c>
      <c r="AI1422" s="122">
        <v>16969</v>
      </c>
      <c r="AJ1422" s="122">
        <v>14141</v>
      </c>
      <c r="AK1422">
        <v>55</v>
      </c>
      <c r="AL1422" s="122">
        <v>1901</v>
      </c>
      <c r="AM1422" s="122">
        <v>1728</v>
      </c>
      <c r="AN1422" s="122">
        <v>1613</v>
      </c>
      <c r="AO1422">
        <v>598</v>
      </c>
      <c r="AP1422">
        <v>351</v>
      </c>
      <c r="AQ1422">
        <v>130</v>
      </c>
      <c r="AR1422" s="122">
        <v>8235</v>
      </c>
      <c r="AS1422" s="122">
        <v>6863</v>
      </c>
      <c r="AT1422">
        <v>0</v>
      </c>
      <c r="AU1422">
        <v>0</v>
      </c>
      <c r="AV1422" s="122">
        <v>23460</v>
      </c>
    </row>
    <row r="1423" spans="2:48" hidden="1">
      <c r="B1423" t="s">
        <v>373</v>
      </c>
      <c r="C1423" t="s">
        <v>58</v>
      </c>
      <c r="D1423" t="s">
        <v>406</v>
      </c>
      <c r="E1423" t="s">
        <v>406</v>
      </c>
      <c r="F1423" s="122">
        <v>193</v>
      </c>
      <c r="G1423" s="122">
        <v>18260</v>
      </c>
      <c r="H1423" s="122">
        <v>48815</v>
      </c>
      <c r="I1423" s="122">
        <v>2426505</v>
      </c>
      <c r="J1423" s="122">
        <v>2205914</v>
      </c>
      <c r="K1423" s="122">
        <v>84</v>
      </c>
      <c r="L1423" s="122">
        <v>582218</v>
      </c>
      <c r="M1423" s="122">
        <v>522835</v>
      </c>
      <c r="N1423" s="122">
        <v>379498</v>
      </c>
      <c r="O1423" s="122">
        <v>140555</v>
      </c>
      <c r="P1423" s="122">
        <v>120906</v>
      </c>
      <c r="Q1423" s="122">
        <v>44780</v>
      </c>
      <c r="R1423" s="122">
        <v>812343</v>
      </c>
      <c r="S1423" s="122">
        <v>738494</v>
      </c>
      <c r="T1423" s="122">
        <v>332947</v>
      </c>
      <c r="U1423" s="122">
        <v>123314</v>
      </c>
      <c r="V1423" s="122">
        <v>3775892</v>
      </c>
      <c r="W1423" s="122">
        <f t="shared" si="44"/>
        <v>3775892</v>
      </c>
      <c r="X1423" s="122">
        <f t="shared" si="45"/>
        <v>4654417</v>
      </c>
      <c r="AA1423" t="s">
        <v>60</v>
      </c>
      <c r="AB1423" t="s">
        <v>579</v>
      </c>
      <c r="AC1423" t="s">
        <v>137</v>
      </c>
      <c r="AD1423" t="s">
        <v>137</v>
      </c>
      <c r="AE1423" t="s">
        <v>137</v>
      </c>
      <c r="AF1423">
        <v>1</v>
      </c>
      <c r="AG1423">
        <v>59</v>
      </c>
      <c r="AH1423">
        <v>326</v>
      </c>
      <c r="AI1423" s="122">
        <v>6245</v>
      </c>
      <c r="AJ1423" s="122">
        <v>5204</v>
      </c>
      <c r="AK1423">
        <v>70</v>
      </c>
      <c r="AL1423" s="122">
        <v>2459</v>
      </c>
      <c r="AM1423">
        <v>911</v>
      </c>
      <c r="AN1423" s="122">
        <v>1070</v>
      </c>
      <c r="AO1423">
        <v>396</v>
      </c>
      <c r="AP1423">
        <v>351</v>
      </c>
      <c r="AQ1423">
        <v>130</v>
      </c>
      <c r="AR1423" s="122">
        <v>8958</v>
      </c>
      <c r="AS1423" s="122">
        <v>3318</v>
      </c>
      <c r="AT1423">
        <v>0</v>
      </c>
      <c r="AU1423">
        <v>0</v>
      </c>
      <c r="AV1423" s="122">
        <v>9958</v>
      </c>
    </row>
    <row r="1424" spans="2:48" hidden="1">
      <c r="B1424" t="s">
        <v>373</v>
      </c>
      <c r="C1424" t="s">
        <v>58</v>
      </c>
      <c r="D1424" t="s">
        <v>427</v>
      </c>
      <c r="E1424" t="s">
        <v>427</v>
      </c>
      <c r="F1424" s="122">
        <v>8</v>
      </c>
      <c r="G1424" s="122">
        <v>701</v>
      </c>
      <c r="H1424" s="122">
        <v>2161</v>
      </c>
      <c r="I1424" s="122">
        <v>101518</v>
      </c>
      <c r="J1424" s="122">
        <v>92289</v>
      </c>
      <c r="K1424" s="122">
        <v>58</v>
      </c>
      <c r="L1424" s="122">
        <v>15603</v>
      </c>
      <c r="M1424" s="122">
        <v>10406</v>
      </c>
      <c r="N1424" s="122">
        <v>11521</v>
      </c>
      <c r="O1424" s="122">
        <v>4267</v>
      </c>
      <c r="P1424" s="122">
        <v>3078</v>
      </c>
      <c r="Q1424" s="122">
        <v>1140</v>
      </c>
      <c r="R1424" s="122">
        <v>36348</v>
      </c>
      <c r="S1424" s="122">
        <v>33044</v>
      </c>
      <c r="T1424" s="122">
        <v>20239</v>
      </c>
      <c r="U1424" s="122">
        <v>7496</v>
      </c>
      <c r="V1424" s="122">
        <v>148641</v>
      </c>
      <c r="W1424" s="122">
        <f t="shared" si="44"/>
        <v>148642</v>
      </c>
      <c r="X1424" s="122">
        <f t="shared" si="45"/>
        <v>188307</v>
      </c>
      <c r="AA1424" t="s">
        <v>60</v>
      </c>
      <c r="AB1424" t="s">
        <v>579</v>
      </c>
      <c r="AC1424" t="s">
        <v>137</v>
      </c>
      <c r="AD1424" t="s">
        <v>137</v>
      </c>
      <c r="AE1424" t="s">
        <v>566</v>
      </c>
      <c r="AF1424">
        <v>24</v>
      </c>
      <c r="AG1424" s="122">
        <v>2034</v>
      </c>
      <c r="AH1424" s="122">
        <v>7887</v>
      </c>
      <c r="AI1424" s="122">
        <v>362959</v>
      </c>
      <c r="AJ1424" s="122">
        <v>302466</v>
      </c>
      <c r="AK1424">
        <v>60</v>
      </c>
      <c r="AL1424" s="122">
        <v>69741</v>
      </c>
      <c r="AM1424" s="122">
        <v>25830</v>
      </c>
      <c r="AN1424" s="122">
        <v>44827</v>
      </c>
      <c r="AO1424" s="122">
        <v>16603</v>
      </c>
      <c r="AP1424" s="122">
        <v>7020</v>
      </c>
      <c r="AQ1424" s="122">
        <v>2600</v>
      </c>
      <c r="AR1424" s="122">
        <v>189671</v>
      </c>
      <c r="AS1424" s="122">
        <v>70249</v>
      </c>
      <c r="AT1424">
        <v>0</v>
      </c>
      <c r="AU1424">
        <v>0</v>
      </c>
      <c r="AV1424" s="122">
        <v>417747</v>
      </c>
    </row>
    <row r="1425" spans="2:48" hidden="1">
      <c r="B1425" t="s">
        <v>373</v>
      </c>
      <c r="C1425" t="s">
        <v>58</v>
      </c>
      <c r="D1425" t="s">
        <v>556</v>
      </c>
      <c r="E1425" t="s">
        <v>556</v>
      </c>
      <c r="F1425" s="122">
        <v>5</v>
      </c>
      <c r="G1425" s="122">
        <v>461</v>
      </c>
      <c r="H1425" s="122">
        <v>1337</v>
      </c>
      <c r="I1425" s="122">
        <v>61088</v>
      </c>
      <c r="J1425" s="122">
        <v>50907</v>
      </c>
      <c r="K1425" s="122">
        <v>65</v>
      </c>
      <c r="L1425" s="122">
        <v>12837</v>
      </c>
      <c r="M1425" s="122">
        <v>11670</v>
      </c>
      <c r="N1425" s="122">
        <v>10488</v>
      </c>
      <c r="O1425" s="122">
        <v>3884</v>
      </c>
      <c r="P1425" s="122">
        <v>2025</v>
      </c>
      <c r="Q1425" s="122">
        <v>750</v>
      </c>
      <c r="R1425" s="122">
        <v>22881</v>
      </c>
      <c r="S1425" s="122">
        <v>19068</v>
      </c>
      <c r="T1425" s="122">
        <v>13765</v>
      </c>
      <c r="U1425" s="122">
        <v>5098</v>
      </c>
      <c r="V1425" s="122">
        <v>91377</v>
      </c>
      <c r="W1425" s="122">
        <f t="shared" si="44"/>
        <v>91377</v>
      </c>
      <c r="X1425" s="122">
        <f t="shared" si="45"/>
        <v>123084</v>
      </c>
      <c r="AA1425" t="s">
        <v>60</v>
      </c>
      <c r="AB1425" t="s">
        <v>579</v>
      </c>
      <c r="AC1425" t="s">
        <v>137</v>
      </c>
      <c r="AD1425" t="s">
        <v>407</v>
      </c>
      <c r="AE1425" t="s">
        <v>137</v>
      </c>
      <c r="AF1425">
        <v>1</v>
      </c>
      <c r="AG1425">
        <v>85</v>
      </c>
      <c r="AH1425">
        <v>315</v>
      </c>
      <c r="AI1425" s="122">
        <v>15267</v>
      </c>
      <c r="AJ1425" s="122">
        <v>12723</v>
      </c>
      <c r="AK1425">
        <v>55</v>
      </c>
      <c r="AL1425" s="122">
        <v>2099</v>
      </c>
      <c r="AM1425">
        <v>777</v>
      </c>
      <c r="AN1425" s="122">
        <v>1030</v>
      </c>
      <c r="AO1425">
        <v>381</v>
      </c>
      <c r="AP1425">
        <v>351</v>
      </c>
      <c r="AQ1425">
        <v>130</v>
      </c>
      <c r="AR1425" s="122">
        <v>5385</v>
      </c>
      <c r="AS1425" s="122">
        <v>4895</v>
      </c>
      <c r="AT1425" s="122">
        <v>2494</v>
      </c>
      <c r="AU1425">
        <v>924</v>
      </c>
      <c r="AV1425" s="122">
        <v>19830</v>
      </c>
    </row>
    <row r="1426" spans="2:48" hidden="1">
      <c r="B1426" t="s">
        <v>373</v>
      </c>
      <c r="C1426" t="s">
        <v>58</v>
      </c>
      <c r="D1426" t="s">
        <v>426</v>
      </c>
      <c r="E1426" t="s">
        <v>426</v>
      </c>
      <c r="F1426" s="122">
        <v>14</v>
      </c>
      <c r="G1426" s="122">
        <v>1486</v>
      </c>
      <c r="H1426" s="122">
        <v>3940</v>
      </c>
      <c r="I1426" s="122">
        <v>225253</v>
      </c>
      <c r="J1426" s="122">
        <v>204776</v>
      </c>
      <c r="K1426" s="122">
        <v>60</v>
      </c>
      <c r="L1426" s="122">
        <v>42777</v>
      </c>
      <c r="M1426" s="122">
        <v>37196</v>
      </c>
      <c r="N1426" s="122">
        <v>32293</v>
      </c>
      <c r="O1426" s="122">
        <v>11960</v>
      </c>
      <c r="P1426" s="122">
        <v>5535</v>
      </c>
      <c r="Q1426" s="122">
        <v>2050</v>
      </c>
      <c r="R1426" s="122">
        <v>74803</v>
      </c>
      <c r="S1426" s="122">
        <v>68002</v>
      </c>
      <c r="T1426" s="122">
        <v>38341</v>
      </c>
      <c r="U1426" s="122">
        <v>14200</v>
      </c>
      <c r="V1426" s="122">
        <v>338185</v>
      </c>
      <c r="W1426" s="122">
        <f t="shared" si="44"/>
        <v>338184</v>
      </c>
      <c r="X1426" s="122">
        <f t="shared" si="45"/>
        <v>419002</v>
      </c>
      <c r="AA1426" t="s">
        <v>60</v>
      </c>
      <c r="AB1426" t="s">
        <v>579</v>
      </c>
      <c r="AC1426" t="s">
        <v>137</v>
      </c>
      <c r="AD1426" t="s">
        <v>579</v>
      </c>
      <c r="AE1426" t="s">
        <v>137</v>
      </c>
      <c r="AF1426">
        <v>167</v>
      </c>
      <c r="AG1426" s="122">
        <v>12560</v>
      </c>
      <c r="AH1426" s="122">
        <v>57203</v>
      </c>
      <c r="AI1426" s="122">
        <v>2348771</v>
      </c>
      <c r="AJ1426" s="122">
        <v>1957309</v>
      </c>
      <c r="AK1426">
        <v>57</v>
      </c>
      <c r="AL1426" s="122">
        <v>351890</v>
      </c>
      <c r="AM1426" s="122">
        <v>130330</v>
      </c>
      <c r="AN1426" s="122">
        <v>247460</v>
      </c>
      <c r="AO1426" s="122">
        <v>91652</v>
      </c>
      <c r="AP1426" s="122">
        <v>54648</v>
      </c>
      <c r="AQ1426" s="122">
        <v>20240</v>
      </c>
      <c r="AR1426" s="122">
        <v>909631</v>
      </c>
      <c r="AS1426" s="122">
        <v>758026</v>
      </c>
      <c r="AT1426" s="122">
        <v>376202</v>
      </c>
      <c r="AU1426" s="122">
        <v>139334</v>
      </c>
      <c r="AV1426" s="122">
        <v>3096891</v>
      </c>
    </row>
    <row r="1427" spans="2:48" hidden="1">
      <c r="B1427" t="s">
        <v>373</v>
      </c>
      <c r="C1427" t="s">
        <v>58</v>
      </c>
      <c r="D1427" t="s">
        <v>433</v>
      </c>
      <c r="E1427" t="s">
        <v>433</v>
      </c>
      <c r="F1427" s="122">
        <v>2</v>
      </c>
      <c r="G1427" s="122">
        <v>136</v>
      </c>
      <c r="H1427" s="122">
        <v>481</v>
      </c>
      <c r="I1427" s="122">
        <v>17556</v>
      </c>
      <c r="J1427" s="122">
        <v>15960</v>
      </c>
      <c r="K1427" s="122">
        <v>71</v>
      </c>
      <c r="L1427" s="122">
        <v>0</v>
      </c>
      <c r="M1427" s="122">
        <v>0</v>
      </c>
      <c r="N1427" s="122">
        <v>3309</v>
      </c>
      <c r="O1427" s="122">
        <v>1226</v>
      </c>
      <c r="P1427" s="122">
        <v>702</v>
      </c>
      <c r="Q1427" s="122">
        <v>260</v>
      </c>
      <c r="R1427" s="122">
        <v>7193</v>
      </c>
      <c r="S1427" s="122">
        <v>6540</v>
      </c>
      <c r="T1427" s="122">
        <v>4001</v>
      </c>
      <c r="U1427" s="122">
        <v>1482</v>
      </c>
      <c r="V1427" s="122">
        <v>25467</v>
      </c>
      <c r="W1427" s="122">
        <f t="shared" si="44"/>
        <v>25468</v>
      </c>
      <c r="X1427" s="122">
        <f t="shared" si="45"/>
        <v>32761</v>
      </c>
      <c r="AA1427" t="s">
        <v>60</v>
      </c>
      <c r="AB1427" t="s">
        <v>579</v>
      </c>
      <c r="AC1427" t="s">
        <v>137</v>
      </c>
      <c r="AD1427" t="s">
        <v>579</v>
      </c>
      <c r="AE1427" t="s">
        <v>566</v>
      </c>
      <c r="AF1427">
        <v>7</v>
      </c>
      <c r="AG1427">
        <v>597</v>
      </c>
      <c r="AH1427" s="122">
        <v>2346</v>
      </c>
      <c r="AI1427" s="122">
        <v>111278</v>
      </c>
      <c r="AJ1427" s="122">
        <v>92732</v>
      </c>
      <c r="AK1427">
        <v>56</v>
      </c>
      <c r="AL1427" s="122">
        <v>15494</v>
      </c>
      <c r="AM1427" s="122">
        <v>5738</v>
      </c>
      <c r="AN1427" s="122">
        <v>11228</v>
      </c>
      <c r="AO1427" s="122">
        <v>4159</v>
      </c>
      <c r="AP1427" s="122">
        <v>2457</v>
      </c>
      <c r="AQ1427">
        <v>910</v>
      </c>
      <c r="AR1427" s="122">
        <v>58796</v>
      </c>
      <c r="AS1427" s="122">
        <v>48997</v>
      </c>
      <c r="AT1427">
        <v>0</v>
      </c>
      <c r="AU1427">
        <v>0</v>
      </c>
      <c r="AV1427" s="122">
        <v>152535</v>
      </c>
    </row>
    <row r="1428" spans="2:48" hidden="1">
      <c r="B1428" t="s">
        <v>373</v>
      </c>
      <c r="C1428" t="s">
        <v>60</v>
      </c>
      <c r="D1428" t="s">
        <v>137</v>
      </c>
      <c r="E1428" t="s">
        <v>137</v>
      </c>
      <c r="F1428" s="122">
        <v>25</v>
      </c>
      <c r="G1428" s="122">
        <v>2514</v>
      </c>
      <c r="H1428" s="122">
        <v>8487</v>
      </c>
      <c r="I1428" s="122">
        <v>532397</v>
      </c>
      <c r="J1428" s="122">
        <v>197184</v>
      </c>
      <c r="K1428" s="122">
        <v>100</v>
      </c>
      <c r="L1428" s="122">
        <v>74656</v>
      </c>
      <c r="M1428" s="122">
        <v>58679</v>
      </c>
      <c r="N1428" s="122">
        <v>57472</v>
      </c>
      <c r="O1428" s="122">
        <v>21286</v>
      </c>
      <c r="P1428" s="122">
        <v>1344</v>
      </c>
      <c r="Q1428" s="122">
        <v>498</v>
      </c>
      <c r="R1428" s="122">
        <v>185087</v>
      </c>
      <c r="S1428" s="122">
        <v>68551</v>
      </c>
      <c r="T1428" s="122">
        <v>0</v>
      </c>
      <c r="U1428" s="122">
        <v>0</v>
      </c>
      <c r="V1428" s="122">
        <v>346197</v>
      </c>
      <c r="W1428" s="122">
        <f t="shared" si="44"/>
        <v>346198</v>
      </c>
      <c r="X1428" s="122">
        <f t="shared" si="45"/>
        <v>850956</v>
      </c>
      <c r="AA1428" t="s">
        <v>60</v>
      </c>
      <c r="AB1428" t="s">
        <v>579</v>
      </c>
      <c r="AC1428" t="s">
        <v>137</v>
      </c>
      <c r="AD1428" t="s">
        <v>426</v>
      </c>
      <c r="AE1428" t="s">
        <v>137</v>
      </c>
      <c r="AF1428">
        <v>2</v>
      </c>
      <c r="AG1428">
        <v>172</v>
      </c>
      <c r="AH1428">
        <v>725</v>
      </c>
      <c r="AI1428" s="122">
        <v>33621</v>
      </c>
      <c r="AJ1428" s="122">
        <v>28017</v>
      </c>
      <c r="AK1428">
        <v>50</v>
      </c>
      <c r="AL1428" s="122">
        <v>9375</v>
      </c>
      <c r="AM1428" s="122">
        <v>3472</v>
      </c>
      <c r="AN1428" s="122">
        <v>3967</v>
      </c>
      <c r="AO1428" s="122">
        <v>1469</v>
      </c>
      <c r="AP1428">
        <v>702</v>
      </c>
      <c r="AQ1428">
        <v>260</v>
      </c>
      <c r="AR1428" s="122">
        <v>10180</v>
      </c>
      <c r="AS1428" s="122">
        <v>9255</v>
      </c>
      <c r="AT1428" s="122">
        <v>4493</v>
      </c>
      <c r="AU1428" s="122">
        <v>1664</v>
      </c>
      <c r="AV1428" s="122">
        <v>44138</v>
      </c>
    </row>
    <row r="1429" spans="2:48" hidden="1">
      <c r="B1429" t="s">
        <v>373</v>
      </c>
      <c r="C1429" t="s">
        <v>60</v>
      </c>
      <c r="D1429" t="s">
        <v>137</v>
      </c>
      <c r="E1429" t="s">
        <v>427</v>
      </c>
      <c r="F1429" s="122">
        <v>1</v>
      </c>
      <c r="G1429" s="122">
        <v>50</v>
      </c>
      <c r="H1429" s="122">
        <v>343</v>
      </c>
      <c r="I1429" s="122">
        <v>7705</v>
      </c>
      <c r="J1429" s="122">
        <v>2854</v>
      </c>
      <c r="K1429" s="122">
        <v>100</v>
      </c>
      <c r="L1429" s="122">
        <v>775</v>
      </c>
      <c r="M1429" s="122">
        <v>705</v>
      </c>
      <c r="N1429" s="122">
        <v>1018</v>
      </c>
      <c r="O1429" s="122">
        <v>377</v>
      </c>
      <c r="P1429" s="122">
        <v>351</v>
      </c>
      <c r="Q1429" s="122">
        <v>130</v>
      </c>
      <c r="R1429" s="122">
        <v>5455</v>
      </c>
      <c r="S1429" s="122">
        <v>4959</v>
      </c>
      <c r="T1429" s="122">
        <v>1881</v>
      </c>
      <c r="U1429" s="122">
        <v>697</v>
      </c>
      <c r="V1429" s="122">
        <v>9721</v>
      </c>
      <c r="W1429" s="122">
        <f t="shared" si="44"/>
        <v>9722</v>
      </c>
      <c r="X1429" s="122">
        <f t="shared" si="45"/>
        <v>17185</v>
      </c>
      <c r="AA1429" t="s">
        <v>60</v>
      </c>
      <c r="AB1429" t="s">
        <v>579</v>
      </c>
      <c r="AC1429" t="s">
        <v>580</v>
      </c>
      <c r="AD1429" t="s">
        <v>579</v>
      </c>
      <c r="AE1429" t="s">
        <v>137</v>
      </c>
      <c r="AF1429">
        <v>52</v>
      </c>
      <c r="AG1429" s="122">
        <v>4671</v>
      </c>
      <c r="AH1429" s="122">
        <v>17236</v>
      </c>
      <c r="AI1429" s="122">
        <v>924136</v>
      </c>
      <c r="AJ1429" s="122">
        <v>770113</v>
      </c>
      <c r="AK1429">
        <v>58</v>
      </c>
      <c r="AL1429" s="122">
        <v>80195</v>
      </c>
      <c r="AM1429" s="122">
        <v>72904</v>
      </c>
      <c r="AN1429" s="122">
        <v>95243</v>
      </c>
      <c r="AO1429" s="122">
        <v>35275</v>
      </c>
      <c r="AP1429" s="122">
        <v>34074</v>
      </c>
      <c r="AQ1429" s="122">
        <v>12620</v>
      </c>
      <c r="AR1429" s="122">
        <v>287740</v>
      </c>
      <c r="AS1429" s="122">
        <v>239784</v>
      </c>
      <c r="AT1429" s="122">
        <v>127096</v>
      </c>
      <c r="AU1429" s="122">
        <v>47073</v>
      </c>
      <c r="AV1429" s="122">
        <v>1177769</v>
      </c>
    </row>
    <row r="1430" spans="2:48" hidden="1">
      <c r="B1430" t="s">
        <v>373</v>
      </c>
      <c r="C1430" t="s">
        <v>60</v>
      </c>
      <c r="D1430" t="s">
        <v>137</v>
      </c>
      <c r="E1430" t="s">
        <v>426</v>
      </c>
      <c r="F1430" s="122">
        <v>5</v>
      </c>
      <c r="G1430" s="122">
        <v>234</v>
      </c>
      <c r="H1430" s="122">
        <v>1638</v>
      </c>
      <c r="I1430" s="122">
        <v>32851</v>
      </c>
      <c r="J1430" s="122">
        <v>12167</v>
      </c>
      <c r="K1430" s="122">
        <v>151</v>
      </c>
      <c r="L1430" s="122">
        <v>5594</v>
      </c>
      <c r="M1430" s="122">
        <v>5085</v>
      </c>
      <c r="N1430" s="122">
        <v>4133</v>
      </c>
      <c r="O1430" s="122">
        <v>1531</v>
      </c>
      <c r="P1430" s="122">
        <v>506</v>
      </c>
      <c r="Q1430" s="122">
        <v>188</v>
      </c>
      <c r="R1430" s="122">
        <v>23102</v>
      </c>
      <c r="S1430" s="122">
        <v>21002</v>
      </c>
      <c r="T1430" s="122">
        <v>10454</v>
      </c>
      <c r="U1430" s="122">
        <v>3872</v>
      </c>
      <c r="V1430" s="122">
        <v>43845</v>
      </c>
      <c r="W1430" s="122">
        <f t="shared" si="44"/>
        <v>43845</v>
      </c>
      <c r="X1430" s="122">
        <f t="shared" si="45"/>
        <v>76640</v>
      </c>
      <c r="AA1430" t="s">
        <v>60</v>
      </c>
      <c r="AB1430" t="s">
        <v>579</v>
      </c>
      <c r="AC1430" t="s">
        <v>580</v>
      </c>
      <c r="AD1430" t="s">
        <v>579</v>
      </c>
      <c r="AE1430" t="s">
        <v>566</v>
      </c>
      <c r="AF1430">
        <v>2</v>
      </c>
      <c r="AG1430">
        <v>243</v>
      </c>
      <c r="AH1430">
        <v>610</v>
      </c>
      <c r="AI1430" s="122">
        <v>47042</v>
      </c>
      <c r="AJ1430" s="122">
        <v>39202</v>
      </c>
      <c r="AK1430">
        <v>60</v>
      </c>
      <c r="AL1430" s="122">
        <v>4399</v>
      </c>
      <c r="AM1430" s="122">
        <v>3999</v>
      </c>
      <c r="AN1430" s="122">
        <v>4225</v>
      </c>
      <c r="AO1430" s="122">
        <v>1565</v>
      </c>
      <c r="AP1430" s="122">
        <v>1242</v>
      </c>
      <c r="AQ1430">
        <v>460</v>
      </c>
      <c r="AR1430" s="122">
        <v>17125</v>
      </c>
      <c r="AS1430" s="122">
        <v>14271</v>
      </c>
      <c r="AT1430">
        <v>0</v>
      </c>
      <c r="AU1430">
        <v>0</v>
      </c>
      <c r="AV1430" s="122">
        <v>59498</v>
      </c>
    </row>
    <row r="1431" spans="2:48" hidden="1">
      <c r="B1431" t="s">
        <v>373</v>
      </c>
      <c r="C1431" t="s">
        <v>60</v>
      </c>
      <c r="D1431" t="s">
        <v>406</v>
      </c>
      <c r="E1431" t="s">
        <v>406</v>
      </c>
      <c r="F1431" s="122">
        <v>79</v>
      </c>
      <c r="G1431" s="122">
        <v>7001</v>
      </c>
      <c r="H1431" s="122">
        <v>27071</v>
      </c>
      <c r="I1431" s="122">
        <v>1463276</v>
      </c>
      <c r="J1431" s="122">
        <v>1330251</v>
      </c>
      <c r="K1431" s="122">
        <v>78</v>
      </c>
      <c r="L1431" s="122">
        <v>276193</v>
      </c>
      <c r="M1431" s="122">
        <v>243347</v>
      </c>
      <c r="N1431" s="122">
        <v>143983</v>
      </c>
      <c r="O1431" s="122">
        <v>53327</v>
      </c>
      <c r="P1431" s="122">
        <v>49060</v>
      </c>
      <c r="Q1431" s="122">
        <v>18171</v>
      </c>
      <c r="R1431" s="122">
        <v>322466</v>
      </c>
      <c r="S1431" s="122">
        <v>293151</v>
      </c>
      <c r="T1431" s="122">
        <v>146698</v>
      </c>
      <c r="U1431" s="122">
        <v>54333</v>
      </c>
      <c r="V1431" s="122">
        <v>1992580</v>
      </c>
      <c r="W1431" s="122">
        <f t="shared" si="44"/>
        <v>1992580</v>
      </c>
      <c r="X1431" s="122">
        <f t="shared" si="45"/>
        <v>2401676</v>
      </c>
      <c r="AA1431" t="s">
        <v>60</v>
      </c>
      <c r="AB1431" t="s">
        <v>579</v>
      </c>
      <c r="AC1431" t="s">
        <v>427</v>
      </c>
      <c r="AD1431" t="s">
        <v>579</v>
      </c>
      <c r="AE1431" t="s">
        <v>566</v>
      </c>
      <c r="AF1431">
        <v>1</v>
      </c>
      <c r="AG1431">
        <v>80</v>
      </c>
      <c r="AH1431">
        <v>344</v>
      </c>
      <c r="AI1431" s="122">
        <v>14228</v>
      </c>
      <c r="AJ1431" s="122">
        <v>11856</v>
      </c>
      <c r="AK1431">
        <v>60</v>
      </c>
      <c r="AL1431" s="122">
        <v>2898</v>
      </c>
      <c r="AM1431" s="122">
        <v>2635</v>
      </c>
      <c r="AN1431" s="122">
        <v>1706</v>
      </c>
      <c r="AO1431">
        <v>632</v>
      </c>
      <c r="AP1431">
        <v>351</v>
      </c>
      <c r="AQ1431">
        <v>130</v>
      </c>
      <c r="AR1431" s="122">
        <v>8302</v>
      </c>
      <c r="AS1431" s="122">
        <v>6918</v>
      </c>
      <c r="AT1431">
        <v>0</v>
      </c>
      <c r="AU1431">
        <v>0</v>
      </c>
      <c r="AV1431" s="122">
        <v>22171</v>
      </c>
    </row>
    <row r="1432" spans="2:48" hidden="1">
      <c r="B1432" t="s">
        <v>373</v>
      </c>
      <c r="C1432" t="s">
        <v>60</v>
      </c>
      <c r="D1432" t="s">
        <v>427</v>
      </c>
      <c r="E1432" t="s">
        <v>427</v>
      </c>
      <c r="F1432" s="122">
        <v>12</v>
      </c>
      <c r="G1432" s="122">
        <v>981</v>
      </c>
      <c r="H1432" s="122">
        <v>4171</v>
      </c>
      <c r="I1432" s="122">
        <v>188763</v>
      </c>
      <c r="J1432" s="122">
        <v>171603</v>
      </c>
      <c r="K1432" s="122">
        <v>46</v>
      </c>
      <c r="L1432" s="122">
        <v>25580</v>
      </c>
      <c r="M1432" s="122">
        <v>21809</v>
      </c>
      <c r="N1432" s="122">
        <v>20521</v>
      </c>
      <c r="O1432" s="122">
        <v>7600</v>
      </c>
      <c r="P1432" s="122">
        <v>4415</v>
      </c>
      <c r="Q1432" s="122">
        <v>1635</v>
      </c>
      <c r="R1432" s="122">
        <v>72778</v>
      </c>
      <c r="S1432" s="122">
        <v>66162</v>
      </c>
      <c r="T1432" s="122">
        <v>27836</v>
      </c>
      <c r="U1432" s="122">
        <v>10310</v>
      </c>
      <c r="V1432" s="122">
        <v>279118</v>
      </c>
      <c r="W1432" s="122">
        <f t="shared" si="44"/>
        <v>279119</v>
      </c>
      <c r="X1432" s="122">
        <f t="shared" si="45"/>
        <v>339893</v>
      </c>
      <c r="AA1432" t="s">
        <v>60</v>
      </c>
      <c r="AB1432" t="s">
        <v>579</v>
      </c>
      <c r="AC1432" t="s">
        <v>407</v>
      </c>
      <c r="AD1432" t="s">
        <v>579</v>
      </c>
      <c r="AE1432" t="s">
        <v>137</v>
      </c>
      <c r="AF1432">
        <v>3</v>
      </c>
      <c r="AG1432">
        <v>341</v>
      </c>
      <c r="AH1432" s="122">
        <v>1001</v>
      </c>
      <c r="AI1432" s="122">
        <v>73504</v>
      </c>
      <c r="AJ1432" s="122">
        <v>61253</v>
      </c>
      <c r="AK1432">
        <v>58</v>
      </c>
      <c r="AL1432" s="122">
        <v>12708</v>
      </c>
      <c r="AM1432" s="122">
        <v>11553</v>
      </c>
      <c r="AN1432" s="122">
        <v>7517</v>
      </c>
      <c r="AO1432" s="122">
        <v>2784</v>
      </c>
      <c r="AP1432" s="122">
        <v>1175</v>
      </c>
      <c r="AQ1432">
        <v>435</v>
      </c>
      <c r="AR1432" s="122">
        <v>12233</v>
      </c>
      <c r="AS1432" s="122">
        <v>10195</v>
      </c>
      <c r="AT1432" s="122">
        <v>5553</v>
      </c>
      <c r="AU1432" s="122">
        <v>2057</v>
      </c>
      <c r="AV1432" s="122">
        <v>88277</v>
      </c>
    </row>
    <row r="1433" spans="2:48" hidden="1">
      <c r="B1433" t="s">
        <v>373</v>
      </c>
      <c r="C1433" t="s">
        <v>60</v>
      </c>
      <c r="D1433" t="s">
        <v>556</v>
      </c>
      <c r="E1433" t="s">
        <v>556</v>
      </c>
      <c r="F1433" s="122">
        <v>5</v>
      </c>
      <c r="G1433" s="122">
        <v>263</v>
      </c>
      <c r="H1433" s="122">
        <v>1672</v>
      </c>
      <c r="I1433" s="122">
        <v>46141</v>
      </c>
      <c r="J1433" s="122">
        <v>38451</v>
      </c>
      <c r="K1433" s="122">
        <v>66</v>
      </c>
      <c r="L1433" s="122">
        <v>4459</v>
      </c>
      <c r="M1433" s="122">
        <v>4332</v>
      </c>
      <c r="N1433" s="122">
        <v>3817</v>
      </c>
      <c r="O1433" s="122">
        <v>1414</v>
      </c>
      <c r="P1433" s="122">
        <v>1755</v>
      </c>
      <c r="Q1433" s="122">
        <v>650</v>
      </c>
      <c r="R1433" s="122">
        <v>20479</v>
      </c>
      <c r="S1433" s="122">
        <v>17065</v>
      </c>
      <c r="T1433" s="122">
        <v>10142</v>
      </c>
      <c r="U1433" s="122">
        <v>3756</v>
      </c>
      <c r="V1433" s="122">
        <v>65668</v>
      </c>
      <c r="W1433" s="122">
        <f t="shared" si="44"/>
        <v>65668</v>
      </c>
      <c r="X1433" s="122">
        <f t="shared" si="45"/>
        <v>86793</v>
      </c>
      <c r="AA1433" t="s">
        <v>60</v>
      </c>
      <c r="AB1433" t="s">
        <v>579</v>
      </c>
      <c r="AC1433" t="s">
        <v>407</v>
      </c>
      <c r="AD1433" t="s">
        <v>579</v>
      </c>
      <c r="AE1433" t="s">
        <v>566</v>
      </c>
      <c r="AF1433">
        <v>3</v>
      </c>
      <c r="AG1433">
        <v>288</v>
      </c>
      <c r="AH1433" s="122">
        <v>1103</v>
      </c>
      <c r="AI1433" s="122">
        <v>69312</v>
      </c>
      <c r="AJ1433" s="122">
        <v>57760</v>
      </c>
      <c r="AK1433">
        <v>65</v>
      </c>
      <c r="AL1433" s="122">
        <v>7402</v>
      </c>
      <c r="AM1433" s="122">
        <v>6729</v>
      </c>
      <c r="AN1433" s="122">
        <v>6012</v>
      </c>
      <c r="AO1433" s="122">
        <v>2227</v>
      </c>
      <c r="AP1433" s="122">
        <v>1769</v>
      </c>
      <c r="AQ1433">
        <v>655</v>
      </c>
      <c r="AR1433" s="122">
        <v>21472</v>
      </c>
      <c r="AS1433" s="122">
        <v>17894</v>
      </c>
      <c r="AT1433">
        <v>0</v>
      </c>
      <c r="AU1433">
        <v>0</v>
      </c>
      <c r="AV1433" s="122">
        <v>85265</v>
      </c>
    </row>
    <row r="1434" spans="2:48" hidden="1">
      <c r="B1434" t="s">
        <v>373</v>
      </c>
      <c r="C1434" t="s">
        <v>60</v>
      </c>
      <c r="D1434" t="s">
        <v>431</v>
      </c>
      <c r="E1434" t="s">
        <v>431</v>
      </c>
      <c r="F1434" s="122">
        <v>1</v>
      </c>
      <c r="G1434" s="122">
        <v>46</v>
      </c>
      <c r="H1434" s="122">
        <v>376</v>
      </c>
      <c r="I1434" s="122">
        <v>10007</v>
      </c>
      <c r="J1434" s="122">
        <v>9098</v>
      </c>
      <c r="K1434" s="122">
        <v>65</v>
      </c>
      <c r="L1434" s="122">
        <v>0</v>
      </c>
      <c r="M1434" s="122">
        <v>0</v>
      </c>
      <c r="N1434" s="122">
        <v>891</v>
      </c>
      <c r="O1434" s="122">
        <v>330</v>
      </c>
      <c r="P1434" s="122">
        <v>351</v>
      </c>
      <c r="Q1434" s="122">
        <v>130</v>
      </c>
      <c r="R1434" s="122">
        <v>5940</v>
      </c>
      <c r="S1434" s="122">
        <v>5400</v>
      </c>
      <c r="T1434" s="122">
        <v>0</v>
      </c>
      <c r="U1434" s="122">
        <v>0</v>
      </c>
      <c r="V1434" s="122">
        <v>14957</v>
      </c>
      <c r="W1434" s="122">
        <f t="shared" si="44"/>
        <v>14958</v>
      </c>
      <c r="X1434" s="122">
        <f t="shared" si="45"/>
        <v>17189</v>
      </c>
      <c r="AA1434" t="s">
        <v>60</v>
      </c>
      <c r="AB1434" t="s">
        <v>579</v>
      </c>
      <c r="AC1434" t="s">
        <v>579</v>
      </c>
      <c r="AD1434" t="s">
        <v>137</v>
      </c>
      <c r="AE1434" t="s">
        <v>137</v>
      </c>
      <c r="AF1434">
        <v>1</v>
      </c>
      <c r="AG1434">
        <v>118</v>
      </c>
      <c r="AH1434">
        <v>329</v>
      </c>
      <c r="AI1434" s="122">
        <v>26601</v>
      </c>
      <c r="AJ1434" s="122">
        <v>22168</v>
      </c>
      <c r="AK1434">
        <v>55</v>
      </c>
      <c r="AL1434" s="122">
        <v>3251</v>
      </c>
      <c r="AM1434" s="122">
        <v>2709</v>
      </c>
      <c r="AN1434" s="122">
        <v>2106</v>
      </c>
      <c r="AO1434">
        <v>780</v>
      </c>
      <c r="AP1434">
        <v>351</v>
      </c>
      <c r="AQ1434">
        <v>130</v>
      </c>
      <c r="AR1434" s="122">
        <v>6699</v>
      </c>
      <c r="AS1434" s="122">
        <v>2481</v>
      </c>
      <c r="AT1434">
        <v>0</v>
      </c>
      <c r="AU1434">
        <v>0</v>
      </c>
      <c r="AV1434" s="122">
        <v>28268</v>
      </c>
    </row>
    <row r="1435" spans="2:48" hidden="1">
      <c r="B1435" t="s">
        <v>373</v>
      </c>
      <c r="C1435" t="s">
        <v>60</v>
      </c>
      <c r="D1435" t="s">
        <v>426</v>
      </c>
      <c r="E1435" t="s">
        <v>137</v>
      </c>
      <c r="F1435" s="122">
        <v>2</v>
      </c>
      <c r="G1435" s="122">
        <v>141</v>
      </c>
      <c r="H1435" s="122">
        <v>720</v>
      </c>
      <c r="I1435" s="122">
        <v>35838</v>
      </c>
      <c r="J1435" s="122">
        <v>32580</v>
      </c>
      <c r="K1435" s="122">
        <v>70</v>
      </c>
      <c r="L1435" s="122">
        <v>6911</v>
      </c>
      <c r="M1435" s="122">
        <v>2560</v>
      </c>
      <c r="N1435" s="122">
        <v>4076</v>
      </c>
      <c r="O1435" s="122">
        <v>1510</v>
      </c>
      <c r="P1435" s="122">
        <v>0</v>
      </c>
      <c r="Q1435" s="122">
        <v>0</v>
      </c>
      <c r="R1435" s="122">
        <v>11235</v>
      </c>
      <c r="S1435" s="122">
        <v>4161</v>
      </c>
      <c r="T1435" s="122">
        <v>1906</v>
      </c>
      <c r="U1435" s="122">
        <v>706</v>
      </c>
      <c r="V1435" s="122">
        <v>41516</v>
      </c>
      <c r="W1435" s="122">
        <f t="shared" si="44"/>
        <v>41517</v>
      </c>
      <c r="X1435" s="122">
        <f t="shared" si="45"/>
        <v>59966</v>
      </c>
      <c r="AA1435" t="s">
        <v>60</v>
      </c>
      <c r="AB1435" t="s">
        <v>579</v>
      </c>
      <c r="AC1435" t="s">
        <v>579</v>
      </c>
      <c r="AD1435" t="s">
        <v>137</v>
      </c>
      <c r="AE1435" t="s">
        <v>566</v>
      </c>
      <c r="AF1435">
        <v>32</v>
      </c>
      <c r="AG1435" s="122">
        <v>2727</v>
      </c>
      <c r="AH1435" s="122">
        <v>10476</v>
      </c>
      <c r="AI1435" s="122">
        <v>481668</v>
      </c>
      <c r="AJ1435" s="122">
        <v>401390</v>
      </c>
      <c r="AK1435">
        <v>56</v>
      </c>
      <c r="AL1435" s="122">
        <v>92431</v>
      </c>
      <c r="AM1435" s="122">
        <v>77026</v>
      </c>
      <c r="AN1435" s="122">
        <v>59497</v>
      </c>
      <c r="AO1435" s="122">
        <v>22036</v>
      </c>
      <c r="AP1435" s="122">
        <v>11502</v>
      </c>
      <c r="AQ1435" s="122">
        <v>4260</v>
      </c>
      <c r="AR1435" s="122">
        <v>245975</v>
      </c>
      <c r="AS1435" s="122">
        <v>91102</v>
      </c>
      <c r="AT1435">
        <v>0</v>
      </c>
      <c r="AU1435">
        <v>0</v>
      </c>
      <c r="AV1435" s="122">
        <v>595814</v>
      </c>
    </row>
    <row r="1436" spans="2:48" hidden="1">
      <c r="B1436" t="s">
        <v>373</v>
      </c>
      <c r="C1436" t="s">
        <v>60</v>
      </c>
      <c r="D1436" t="s">
        <v>426</v>
      </c>
      <c r="E1436" t="s">
        <v>426</v>
      </c>
      <c r="F1436" s="122">
        <v>95</v>
      </c>
      <c r="G1436" s="122">
        <v>7350</v>
      </c>
      <c r="H1436" s="122">
        <v>32275</v>
      </c>
      <c r="I1436" s="122">
        <v>1364963</v>
      </c>
      <c r="J1436" s="122">
        <v>1240875</v>
      </c>
      <c r="K1436" s="122">
        <v>52</v>
      </c>
      <c r="L1436" s="122">
        <v>210735</v>
      </c>
      <c r="M1436" s="122">
        <v>180490</v>
      </c>
      <c r="N1436" s="122">
        <v>141643</v>
      </c>
      <c r="O1436" s="122">
        <v>52460</v>
      </c>
      <c r="P1436" s="122">
        <v>31509</v>
      </c>
      <c r="Q1436" s="122">
        <v>11670</v>
      </c>
      <c r="R1436" s="122">
        <v>530127</v>
      </c>
      <c r="S1436" s="122">
        <v>481934</v>
      </c>
      <c r="T1436" s="122">
        <v>217953</v>
      </c>
      <c r="U1436" s="122">
        <v>80723</v>
      </c>
      <c r="V1436" s="122">
        <v>2048153</v>
      </c>
      <c r="W1436" s="122">
        <f t="shared" si="44"/>
        <v>2048152</v>
      </c>
      <c r="X1436" s="122">
        <f t="shared" si="45"/>
        <v>2496930</v>
      </c>
      <c r="AA1436" t="s">
        <v>60</v>
      </c>
      <c r="AB1436" t="s">
        <v>579</v>
      </c>
      <c r="AC1436" t="s">
        <v>579</v>
      </c>
      <c r="AD1436" t="s">
        <v>579</v>
      </c>
      <c r="AE1436" t="s">
        <v>137</v>
      </c>
      <c r="AF1436">
        <v>684</v>
      </c>
      <c r="AG1436" s="122">
        <v>58157</v>
      </c>
      <c r="AH1436" s="122">
        <v>234098</v>
      </c>
      <c r="AI1436" s="122">
        <v>10944550</v>
      </c>
      <c r="AJ1436" s="122">
        <v>9120459</v>
      </c>
      <c r="AK1436">
        <v>52</v>
      </c>
      <c r="AL1436" s="122">
        <v>1913030</v>
      </c>
      <c r="AM1436" s="122">
        <v>1594192</v>
      </c>
      <c r="AN1436" s="122">
        <v>1100848</v>
      </c>
      <c r="AO1436" s="122">
        <v>407721</v>
      </c>
      <c r="AP1436" s="122">
        <v>240005</v>
      </c>
      <c r="AQ1436" s="122">
        <v>88891</v>
      </c>
      <c r="AR1436" s="122">
        <v>4168819</v>
      </c>
      <c r="AS1436" s="122">
        <v>3474016</v>
      </c>
      <c r="AT1436" s="122">
        <v>1593635</v>
      </c>
      <c r="AU1436" s="122">
        <v>590235</v>
      </c>
      <c r="AV1436" s="122">
        <v>15275514</v>
      </c>
    </row>
    <row r="1437" spans="2:48" hidden="1">
      <c r="B1437" t="s">
        <v>373</v>
      </c>
      <c r="C1437" t="s">
        <v>60</v>
      </c>
      <c r="D1437" t="s">
        <v>433</v>
      </c>
      <c r="E1437" t="s">
        <v>433</v>
      </c>
      <c r="F1437" s="122">
        <v>1</v>
      </c>
      <c r="G1437" s="122">
        <v>83</v>
      </c>
      <c r="H1437" s="122">
        <v>328</v>
      </c>
      <c r="I1437" s="122">
        <v>17919</v>
      </c>
      <c r="J1437" s="122">
        <v>16290</v>
      </c>
      <c r="K1437" s="122">
        <v>60</v>
      </c>
      <c r="L1437" s="122">
        <v>1707</v>
      </c>
      <c r="M1437" s="122">
        <v>1551</v>
      </c>
      <c r="N1437" s="122">
        <v>1516</v>
      </c>
      <c r="O1437" s="122">
        <v>561</v>
      </c>
      <c r="P1437" s="122">
        <v>351</v>
      </c>
      <c r="Q1437" s="122">
        <v>130</v>
      </c>
      <c r="R1437" s="122">
        <v>3924</v>
      </c>
      <c r="S1437" s="122">
        <v>3568</v>
      </c>
      <c r="T1437" s="122">
        <v>1760</v>
      </c>
      <c r="U1437" s="122">
        <v>652</v>
      </c>
      <c r="V1437" s="122">
        <v>22752</v>
      </c>
      <c r="W1437" s="122">
        <f t="shared" si="44"/>
        <v>22752</v>
      </c>
      <c r="X1437" s="122">
        <f t="shared" si="45"/>
        <v>27177</v>
      </c>
      <c r="AA1437" t="s">
        <v>60</v>
      </c>
      <c r="AB1437" t="s">
        <v>579</v>
      </c>
      <c r="AC1437" t="s">
        <v>579</v>
      </c>
      <c r="AD1437" t="s">
        <v>579</v>
      </c>
      <c r="AE1437" t="s">
        <v>566</v>
      </c>
      <c r="AF1437">
        <v>56</v>
      </c>
      <c r="AG1437" s="122">
        <v>4834</v>
      </c>
      <c r="AH1437" s="122">
        <v>19389</v>
      </c>
      <c r="AI1437" s="122">
        <v>880997</v>
      </c>
      <c r="AJ1437" s="122">
        <v>734164</v>
      </c>
      <c r="AK1437">
        <v>47</v>
      </c>
      <c r="AL1437" s="122">
        <v>147802</v>
      </c>
      <c r="AM1437" s="122">
        <v>123169</v>
      </c>
      <c r="AN1437" s="122">
        <v>89394</v>
      </c>
      <c r="AO1437" s="122">
        <v>33109</v>
      </c>
      <c r="AP1437" s="122">
        <v>20129</v>
      </c>
      <c r="AQ1437" s="122">
        <v>7455</v>
      </c>
      <c r="AR1437" s="122">
        <v>536907</v>
      </c>
      <c r="AS1437" s="122">
        <v>447423</v>
      </c>
      <c r="AT1437">
        <v>0</v>
      </c>
      <c r="AU1437">
        <v>0</v>
      </c>
      <c r="AV1437" s="122">
        <v>1345319</v>
      </c>
    </row>
    <row r="1438" spans="2:48" hidden="1">
      <c r="B1438" t="s">
        <v>373</v>
      </c>
      <c r="C1438" t="s">
        <v>62</v>
      </c>
      <c r="F1438" s="122">
        <v>1</v>
      </c>
      <c r="G1438" s="122">
        <v>148</v>
      </c>
      <c r="H1438" s="122">
        <v>447</v>
      </c>
      <c r="I1438" s="122"/>
      <c r="J1438" s="122">
        <v>0</v>
      </c>
      <c r="K1438" s="122"/>
      <c r="L1438" s="122"/>
      <c r="M1438" s="122">
        <v>0</v>
      </c>
      <c r="N1438" s="122">
        <v>2168</v>
      </c>
      <c r="O1438" s="122">
        <v>803</v>
      </c>
      <c r="P1438" s="122">
        <v>621</v>
      </c>
      <c r="Q1438" s="122">
        <v>230</v>
      </c>
      <c r="R1438" s="122"/>
      <c r="S1438" s="122">
        <v>0</v>
      </c>
      <c r="T1438" s="122">
        <v>0</v>
      </c>
      <c r="U1438" s="122">
        <v>0</v>
      </c>
      <c r="V1438" s="122">
        <v>1033</v>
      </c>
      <c r="W1438" s="122">
        <f t="shared" si="44"/>
        <v>1033</v>
      </c>
      <c r="X1438" s="122">
        <f t="shared" si="45"/>
        <v>2789</v>
      </c>
      <c r="AA1438" t="s">
        <v>60</v>
      </c>
      <c r="AB1438" t="s">
        <v>579</v>
      </c>
      <c r="AC1438" t="s">
        <v>431</v>
      </c>
      <c r="AD1438" t="s">
        <v>579</v>
      </c>
      <c r="AE1438" t="s">
        <v>137</v>
      </c>
      <c r="AF1438">
        <v>1</v>
      </c>
      <c r="AG1438">
        <v>82</v>
      </c>
      <c r="AH1438">
        <v>316</v>
      </c>
      <c r="AI1438" s="122">
        <v>12710</v>
      </c>
      <c r="AJ1438" s="122">
        <v>10591</v>
      </c>
      <c r="AK1438">
        <v>65</v>
      </c>
      <c r="AL1438" s="122">
        <v>2805</v>
      </c>
      <c r="AM1438" s="122">
        <v>2550</v>
      </c>
      <c r="AN1438" s="122">
        <v>1494</v>
      </c>
      <c r="AO1438">
        <v>553</v>
      </c>
      <c r="AP1438">
        <v>351</v>
      </c>
      <c r="AQ1438">
        <v>130</v>
      </c>
      <c r="AR1438" s="122">
        <v>5538</v>
      </c>
      <c r="AS1438" s="122">
        <v>4615</v>
      </c>
      <c r="AT1438" s="122">
        <v>2902</v>
      </c>
      <c r="AU1438" s="122">
        <v>1075</v>
      </c>
      <c r="AV1438" s="122">
        <v>19514</v>
      </c>
    </row>
    <row r="1439" spans="2:48" hidden="1">
      <c r="B1439" t="s">
        <v>373</v>
      </c>
      <c r="C1439" t="s">
        <v>62</v>
      </c>
      <c r="D1439" t="s">
        <v>137</v>
      </c>
      <c r="E1439" t="s">
        <v>137</v>
      </c>
      <c r="F1439" s="122">
        <v>18</v>
      </c>
      <c r="G1439" s="122">
        <v>1022</v>
      </c>
      <c r="H1439" s="122">
        <v>7569</v>
      </c>
      <c r="I1439" s="122">
        <v>279220</v>
      </c>
      <c r="J1439" s="122">
        <v>103415</v>
      </c>
      <c r="K1439" s="122">
        <v>100</v>
      </c>
      <c r="L1439" s="122">
        <v>26184</v>
      </c>
      <c r="M1439" s="122">
        <v>19803</v>
      </c>
      <c r="N1439" s="122">
        <v>20449</v>
      </c>
      <c r="O1439" s="122">
        <v>7574</v>
      </c>
      <c r="P1439" s="122">
        <v>351</v>
      </c>
      <c r="Q1439" s="122">
        <v>130</v>
      </c>
      <c r="R1439" s="122">
        <v>103427</v>
      </c>
      <c r="S1439" s="122">
        <v>38306</v>
      </c>
      <c r="T1439" s="122">
        <v>0</v>
      </c>
      <c r="U1439" s="122">
        <v>0</v>
      </c>
      <c r="V1439" s="122">
        <v>169228</v>
      </c>
      <c r="W1439" s="122">
        <f t="shared" si="44"/>
        <v>169228</v>
      </c>
      <c r="X1439" s="122">
        <f t="shared" si="45"/>
        <v>429631</v>
      </c>
      <c r="AA1439" t="s">
        <v>60</v>
      </c>
      <c r="AB1439" t="s">
        <v>579</v>
      </c>
      <c r="AC1439" t="s">
        <v>426</v>
      </c>
      <c r="AD1439" t="s">
        <v>137</v>
      </c>
      <c r="AE1439" t="s">
        <v>566</v>
      </c>
      <c r="AF1439">
        <v>1</v>
      </c>
      <c r="AG1439">
        <v>88</v>
      </c>
      <c r="AH1439">
        <v>371</v>
      </c>
      <c r="AI1439" s="122">
        <v>20142</v>
      </c>
      <c r="AJ1439" s="122">
        <v>16785</v>
      </c>
      <c r="AK1439">
        <v>79</v>
      </c>
      <c r="AL1439" s="122">
        <v>5156</v>
      </c>
      <c r="AM1439" s="122">
        <v>4687</v>
      </c>
      <c r="AN1439" s="122">
        <v>2140</v>
      </c>
      <c r="AO1439">
        <v>793</v>
      </c>
      <c r="AP1439">
        <v>473</v>
      </c>
      <c r="AQ1439">
        <v>175</v>
      </c>
      <c r="AR1439" s="122">
        <v>4699</v>
      </c>
      <c r="AS1439" s="122">
        <v>1740</v>
      </c>
      <c r="AT1439">
        <v>0</v>
      </c>
      <c r="AU1439">
        <v>0</v>
      </c>
      <c r="AV1439" s="122">
        <v>24180</v>
      </c>
    </row>
    <row r="1440" spans="2:48" hidden="1">
      <c r="B1440" t="s">
        <v>373</v>
      </c>
      <c r="C1440" t="s">
        <v>62</v>
      </c>
      <c r="D1440" t="s">
        <v>137</v>
      </c>
      <c r="E1440" t="s">
        <v>427</v>
      </c>
      <c r="F1440" s="122">
        <v>1</v>
      </c>
      <c r="G1440" s="122">
        <v>45</v>
      </c>
      <c r="H1440" s="122">
        <v>437</v>
      </c>
      <c r="I1440" s="122">
        <v>10341</v>
      </c>
      <c r="J1440" s="122">
        <v>3830</v>
      </c>
      <c r="K1440" s="122">
        <v>100</v>
      </c>
      <c r="L1440" s="122">
        <v>1040</v>
      </c>
      <c r="M1440" s="122">
        <v>946</v>
      </c>
      <c r="N1440" s="122">
        <v>817</v>
      </c>
      <c r="O1440" s="122">
        <v>303</v>
      </c>
      <c r="P1440" s="122">
        <v>351</v>
      </c>
      <c r="Q1440" s="122">
        <v>130</v>
      </c>
      <c r="R1440" s="122">
        <v>5334</v>
      </c>
      <c r="S1440" s="122">
        <v>4849</v>
      </c>
      <c r="T1440" s="122">
        <v>1670</v>
      </c>
      <c r="U1440" s="122">
        <v>618</v>
      </c>
      <c r="V1440" s="122">
        <v>10676</v>
      </c>
      <c r="W1440" s="122">
        <f t="shared" si="44"/>
        <v>10676</v>
      </c>
      <c r="X1440" s="122">
        <f t="shared" si="45"/>
        <v>19553</v>
      </c>
      <c r="AA1440" t="s">
        <v>60</v>
      </c>
      <c r="AB1440" t="s">
        <v>579</v>
      </c>
      <c r="AC1440" t="s">
        <v>426</v>
      </c>
      <c r="AD1440" t="s">
        <v>579</v>
      </c>
      <c r="AE1440" t="s">
        <v>137</v>
      </c>
      <c r="AF1440">
        <v>5</v>
      </c>
      <c r="AG1440">
        <v>403</v>
      </c>
      <c r="AH1440" s="122">
        <v>1654</v>
      </c>
      <c r="AI1440" s="122">
        <v>75105</v>
      </c>
      <c r="AJ1440" s="122">
        <v>62588</v>
      </c>
      <c r="AK1440">
        <v>64</v>
      </c>
      <c r="AL1440" s="122">
        <v>10999</v>
      </c>
      <c r="AM1440" s="122">
        <v>9999</v>
      </c>
      <c r="AN1440" s="122">
        <v>7195</v>
      </c>
      <c r="AO1440" s="122">
        <v>2665</v>
      </c>
      <c r="AP1440" s="122">
        <v>1755</v>
      </c>
      <c r="AQ1440">
        <v>650</v>
      </c>
      <c r="AR1440" s="122">
        <v>24245</v>
      </c>
      <c r="AS1440" s="122">
        <v>20205</v>
      </c>
      <c r="AT1440" s="122">
        <v>11676</v>
      </c>
      <c r="AU1440" s="122">
        <v>4324</v>
      </c>
      <c r="AV1440" s="122">
        <v>100430</v>
      </c>
    </row>
    <row r="1441" spans="2:48" hidden="1">
      <c r="B1441" t="s">
        <v>373</v>
      </c>
      <c r="C1441" t="s">
        <v>62</v>
      </c>
      <c r="D1441" t="s">
        <v>137</v>
      </c>
      <c r="E1441" t="s">
        <v>426</v>
      </c>
      <c r="F1441" s="122">
        <v>2</v>
      </c>
      <c r="G1441" s="122">
        <v>148</v>
      </c>
      <c r="H1441" s="122">
        <v>822</v>
      </c>
      <c r="I1441" s="122">
        <v>41882</v>
      </c>
      <c r="J1441" s="122">
        <v>15512</v>
      </c>
      <c r="K1441" s="122">
        <v>100</v>
      </c>
      <c r="L1441" s="122">
        <v>3373</v>
      </c>
      <c r="M1441" s="122">
        <v>3067</v>
      </c>
      <c r="N1441" s="122">
        <v>3043</v>
      </c>
      <c r="O1441" s="122">
        <v>1127</v>
      </c>
      <c r="P1441" s="122">
        <v>972</v>
      </c>
      <c r="Q1441" s="122">
        <v>360</v>
      </c>
      <c r="R1441" s="122">
        <v>8538</v>
      </c>
      <c r="S1441" s="122">
        <v>7762</v>
      </c>
      <c r="T1441" s="122">
        <v>4144</v>
      </c>
      <c r="U1441" s="122">
        <v>1535</v>
      </c>
      <c r="V1441" s="122">
        <v>29362</v>
      </c>
      <c r="W1441" s="122">
        <f t="shared" si="44"/>
        <v>29363</v>
      </c>
      <c r="X1441" s="122">
        <f t="shared" si="45"/>
        <v>61952</v>
      </c>
      <c r="AA1441" t="s">
        <v>60</v>
      </c>
      <c r="AB1441" t="s">
        <v>579</v>
      </c>
      <c r="AC1441" t="s">
        <v>566</v>
      </c>
      <c r="AD1441" t="s">
        <v>137</v>
      </c>
      <c r="AE1441" t="s">
        <v>137</v>
      </c>
      <c r="AF1441">
        <v>14</v>
      </c>
      <c r="AG1441" s="122">
        <v>1140</v>
      </c>
      <c r="AH1441" s="122">
        <v>4716</v>
      </c>
      <c r="AI1441" s="122">
        <v>178027</v>
      </c>
      <c r="AJ1441" s="122">
        <v>148356</v>
      </c>
      <c r="AK1441">
        <v>67</v>
      </c>
      <c r="AL1441">
        <v>0</v>
      </c>
      <c r="AM1441" s="122">
        <v>6933</v>
      </c>
      <c r="AN1441" s="122">
        <v>23638</v>
      </c>
      <c r="AO1441" s="122">
        <v>8755</v>
      </c>
      <c r="AP1441" s="122">
        <v>4563</v>
      </c>
      <c r="AQ1441" s="122">
        <v>1690</v>
      </c>
      <c r="AR1441" s="122">
        <v>148637</v>
      </c>
      <c r="AS1441" s="122">
        <v>55051</v>
      </c>
      <c r="AT1441" s="122">
        <v>29180</v>
      </c>
      <c r="AU1441" s="122">
        <v>10807</v>
      </c>
      <c r="AV1441" s="122">
        <v>231591</v>
      </c>
    </row>
    <row r="1442" spans="2:48" hidden="1">
      <c r="B1442" t="s">
        <v>373</v>
      </c>
      <c r="C1442" t="s">
        <v>62</v>
      </c>
      <c r="D1442" t="s">
        <v>406</v>
      </c>
      <c r="E1442" t="s">
        <v>137</v>
      </c>
      <c r="F1442" s="122">
        <v>3</v>
      </c>
      <c r="G1442" s="122">
        <v>273</v>
      </c>
      <c r="H1442" s="122">
        <v>1197</v>
      </c>
      <c r="I1442" s="122">
        <v>66318</v>
      </c>
      <c r="J1442" s="122">
        <v>60289</v>
      </c>
      <c r="K1442" s="122">
        <v>77</v>
      </c>
      <c r="L1442" s="122">
        <v>14079</v>
      </c>
      <c r="M1442" s="122">
        <v>7773</v>
      </c>
      <c r="N1442" s="122">
        <v>5886</v>
      </c>
      <c r="O1442" s="122">
        <v>2180</v>
      </c>
      <c r="P1442" s="122">
        <v>1863</v>
      </c>
      <c r="Q1442" s="122">
        <v>690</v>
      </c>
      <c r="R1442" s="122">
        <v>20043</v>
      </c>
      <c r="S1442" s="122">
        <v>7423</v>
      </c>
      <c r="T1442" s="122">
        <v>0</v>
      </c>
      <c r="U1442" s="122">
        <v>0</v>
      </c>
      <c r="V1442" s="122">
        <v>78356</v>
      </c>
      <c r="W1442" s="122">
        <f t="shared" si="44"/>
        <v>78355</v>
      </c>
      <c r="X1442" s="122">
        <f t="shared" si="45"/>
        <v>108189</v>
      </c>
      <c r="AA1442" t="s">
        <v>60</v>
      </c>
      <c r="AB1442" t="s">
        <v>579</v>
      </c>
      <c r="AC1442" t="s">
        <v>566</v>
      </c>
      <c r="AD1442" t="s">
        <v>137</v>
      </c>
      <c r="AE1442" t="s">
        <v>566</v>
      </c>
      <c r="AF1442">
        <v>5</v>
      </c>
      <c r="AG1442">
        <v>345</v>
      </c>
      <c r="AH1442" s="122">
        <v>1708</v>
      </c>
      <c r="AI1442" s="122">
        <v>77073</v>
      </c>
      <c r="AJ1442" s="122">
        <v>64228</v>
      </c>
      <c r="AK1442">
        <v>53</v>
      </c>
      <c r="AL1442">
        <v>0</v>
      </c>
      <c r="AM1442">
        <v>0</v>
      </c>
      <c r="AN1442" s="122">
        <v>6297</v>
      </c>
      <c r="AO1442" s="122">
        <v>2332</v>
      </c>
      <c r="AP1442">
        <v>702</v>
      </c>
      <c r="AQ1442">
        <v>260</v>
      </c>
      <c r="AR1442" s="122">
        <v>36182</v>
      </c>
      <c r="AS1442" s="122">
        <v>13401</v>
      </c>
      <c r="AT1442">
        <v>0</v>
      </c>
      <c r="AU1442">
        <v>0</v>
      </c>
      <c r="AV1442" s="122">
        <v>80221</v>
      </c>
    </row>
    <row r="1443" spans="2:48" hidden="1">
      <c r="B1443" t="s">
        <v>373</v>
      </c>
      <c r="C1443" t="s">
        <v>62</v>
      </c>
      <c r="D1443" t="s">
        <v>406</v>
      </c>
      <c r="E1443" t="s">
        <v>406</v>
      </c>
      <c r="F1443" s="122">
        <v>38</v>
      </c>
      <c r="G1443" s="122">
        <v>3785</v>
      </c>
      <c r="H1443" s="122">
        <v>15885</v>
      </c>
      <c r="I1443" s="122">
        <v>1050678</v>
      </c>
      <c r="J1443" s="122">
        <v>955161</v>
      </c>
      <c r="K1443" s="122">
        <v>76</v>
      </c>
      <c r="L1443" s="122">
        <v>211641</v>
      </c>
      <c r="M1443" s="122">
        <v>186340</v>
      </c>
      <c r="N1443" s="122">
        <v>81197</v>
      </c>
      <c r="O1443" s="122">
        <v>30073</v>
      </c>
      <c r="P1443" s="122">
        <v>24219</v>
      </c>
      <c r="Q1443" s="122">
        <v>8970</v>
      </c>
      <c r="R1443" s="122">
        <v>157587</v>
      </c>
      <c r="S1443" s="122">
        <v>143261</v>
      </c>
      <c r="T1443" s="122">
        <v>78603</v>
      </c>
      <c r="U1443" s="122">
        <v>29112</v>
      </c>
      <c r="V1443" s="122">
        <v>1352917</v>
      </c>
      <c r="W1443" s="122">
        <f t="shared" si="44"/>
        <v>1352917</v>
      </c>
      <c r="X1443" s="122">
        <f t="shared" si="45"/>
        <v>1603925</v>
      </c>
      <c r="AA1443" t="s">
        <v>60</v>
      </c>
      <c r="AB1443" t="s">
        <v>579</v>
      </c>
      <c r="AC1443" t="s">
        <v>566</v>
      </c>
      <c r="AD1443" t="s">
        <v>427</v>
      </c>
      <c r="AE1443" t="s">
        <v>566</v>
      </c>
      <c r="AF1443">
        <v>1</v>
      </c>
      <c r="AG1443">
        <v>91</v>
      </c>
      <c r="AH1443">
        <v>323</v>
      </c>
      <c r="AI1443" s="122">
        <v>19530</v>
      </c>
      <c r="AJ1443" s="122">
        <v>16275</v>
      </c>
      <c r="AK1443">
        <v>50</v>
      </c>
      <c r="AL1443">
        <v>0</v>
      </c>
      <c r="AM1443">
        <v>0</v>
      </c>
      <c r="AN1443" s="122">
        <v>1614</v>
      </c>
      <c r="AO1443">
        <v>598</v>
      </c>
      <c r="AP1443">
        <v>0</v>
      </c>
      <c r="AQ1443">
        <v>0</v>
      </c>
      <c r="AR1443" s="122">
        <v>8403</v>
      </c>
      <c r="AS1443" s="122">
        <v>7639</v>
      </c>
      <c r="AT1443">
        <v>0</v>
      </c>
      <c r="AU1443">
        <v>0</v>
      </c>
      <c r="AV1443" s="122">
        <v>24511</v>
      </c>
    </row>
    <row r="1444" spans="2:48" hidden="1">
      <c r="B1444" t="s">
        <v>373</v>
      </c>
      <c r="C1444" t="s">
        <v>62</v>
      </c>
      <c r="D1444" t="s">
        <v>427</v>
      </c>
      <c r="E1444" t="s">
        <v>427</v>
      </c>
      <c r="F1444" s="122">
        <v>18</v>
      </c>
      <c r="G1444" s="122">
        <v>914</v>
      </c>
      <c r="H1444" s="122">
        <v>7620</v>
      </c>
      <c r="I1444" s="122">
        <v>214782</v>
      </c>
      <c r="J1444" s="122">
        <v>195256</v>
      </c>
      <c r="K1444" s="122">
        <v>47</v>
      </c>
      <c r="L1444" s="122">
        <v>18211</v>
      </c>
      <c r="M1444" s="122">
        <v>11250</v>
      </c>
      <c r="N1444" s="122">
        <v>17312</v>
      </c>
      <c r="O1444" s="122">
        <v>6412</v>
      </c>
      <c r="P1444" s="122">
        <v>6318</v>
      </c>
      <c r="Q1444" s="122">
        <v>2340</v>
      </c>
      <c r="R1444" s="122">
        <v>96347</v>
      </c>
      <c r="S1444" s="122">
        <v>87588</v>
      </c>
      <c r="T1444" s="122">
        <v>32552</v>
      </c>
      <c r="U1444" s="122">
        <v>12056</v>
      </c>
      <c r="V1444" s="122">
        <v>314903</v>
      </c>
      <c r="W1444" s="122">
        <f t="shared" si="44"/>
        <v>314902</v>
      </c>
      <c r="X1444" s="122">
        <f t="shared" si="45"/>
        <v>385522</v>
      </c>
      <c r="AA1444" t="s">
        <v>60</v>
      </c>
      <c r="AB1444" t="s">
        <v>579</v>
      </c>
      <c r="AC1444" t="s">
        <v>566</v>
      </c>
      <c r="AD1444" t="s">
        <v>579</v>
      </c>
      <c r="AE1444" t="s">
        <v>137</v>
      </c>
      <c r="AF1444">
        <v>361</v>
      </c>
      <c r="AG1444" s="122">
        <v>27130</v>
      </c>
      <c r="AH1444" s="122">
        <v>121281</v>
      </c>
      <c r="AI1444" s="122">
        <v>5736524</v>
      </c>
      <c r="AJ1444" s="122">
        <v>4780436</v>
      </c>
      <c r="AK1444">
        <v>57</v>
      </c>
      <c r="AL1444">
        <v>0</v>
      </c>
      <c r="AM1444" s="122">
        <v>11935</v>
      </c>
      <c r="AN1444" s="122">
        <v>547086</v>
      </c>
      <c r="AO1444" s="122">
        <v>202625</v>
      </c>
      <c r="AP1444" s="122">
        <v>125928</v>
      </c>
      <c r="AQ1444" s="122">
        <v>46640</v>
      </c>
      <c r="AR1444" s="122">
        <v>1905111</v>
      </c>
      <c r="AS1444" s="122">
        <v>1587592</v>
      </c>
      <c r="AT1444" s="122">
        <v>798682</v>
      </c>
      <c r="AU1444" s="122">
        <v>295808</v>
      </c>
      <c r="AV1444" s="122">
        <v>6925036</v>
      </c>
    </row>
    <row r="1445" spans="2:48" hidden="1">
      <c r="B1445" t="s">
        <v>373</v>
      </c>
      <c r="C1445" t="s">
        <v>62</v>
      </c>
      <c r="D1445" t="s">
        <v>556</v>
      </c>
      <c r="E1445" t="s">
        <v>556</v>
      </c>
      <c r="F1445" s="122">
        <v>15</v>
      </c>
      <c r="G1445" s="122">
        <v>656</v>
      </c>
      <c r="H1445" s="122">
        <v>6318</v>
      </c>
      <c r="I1445" s="122">
        <v>121102</v>
      </c>
      <c r="J1445" s="122">
        <v>100918</v>
      </c>
      <c r="K1445" s="122">
        <v>61</v>
      </c>
      <c r="L1445" s="122">
        <v>33314</v>
      </c>
      <c r="M1445" s="122">
        <v>14858</v>
      </c>
      <c r="N1445" s="122">
        <v>14312</v>
      </c>
      <c r="O1445" s="122">
        <v>5301</v>
      </c>
      <c r="P1445" s="122">
        <v>5265</v>
      </c>
      <c r="Q1445" s="122">
        <v>1950</v>
      </c>
      <c r="R1445" s="122">
        <v>76616</v>
      </c>
      <c r="S1445" s="122">
        <v>63847</v>
      </c>
      <c r="T1445" s="122">
        <v>25441</v>
      </c>
      <c r="U1445" s="122">
        <v>9423</v>
      </c>
      <c r="V1445" s="122">
        <v>196296</v>
      </c>
      <c r="W1445" s="122">
        <f t="shared" si="44"/>
        <v>196297</v>
      </c>
      <c r="X1445" s="122">
        <f t="shared" si="45"/>
        <v>276050</v>
      </c>
      <c r="AA1445" t="s">
        <v>60</v>
      </c>
      <c r="AB1445" t="s">
        <v>579</v>
      </c>
      <c r="AC1445" t="s">
        <v>566</v>
      </c>
      <c r="AD1445" t="s">
        <v>579</v>
      </c>
      <c r="AE1445" t="s">
        <v>566</v>
      </c>
      <c r="AF1445">
        <v>12</v>
      </c>
      <c r="AG1445">
        <v>850</v>
      </c>
      <c r="AH1445" s="122">
        <v>4188</v>
      </c>
      <c r="AI1445" s="122">
        <v>189885</v>
      </c>
      <c r="AJ1445" s="122">
        <v>158238</v>
      </c>
      <c r="AK1445">
        <v>58</v>
      </c>
      <c r="AL1445">
        <v>0</v>
      </c>
      <c r="AM1445">
        <v>930</v>
      </c>
      <c r="AN1445" s="122">
        <v>17096</v>
      </c>
      <c r="AO1445" s="122">
        <v>6332</v>
      </c>
      <c r="AP1445" s="122">
        <v>3861</v>
      </c>
      <c r="AQ1445" s="122">
        <v>1430</v>
      </c>
      <c r="AR1445" s="122">
        <v>86391</v>
      </c>
      <c r="AS1445" s="122">
        <v>71992</v>
      </c>
      <c r="AT1445">
        <v>0</v>
      </c>
      <c r="AU1445">
        <v>0</v>
      </c>
      <c r="AV1445" s="122">
        <v>238922</v>
      </c>
    </row>
    <row r="1446" spans="2:48" hidden="1">
      <c r="B1446" t="s">
        <v>373</v>
      </c>
      <c r="C1446" t="s">
        <v>62</v>
      </c>
      <c r="D1446" t="s">
        <v>428</v>
      </c>
      <c r="E1446" t="s">
        <v>428</v>
      </c>
      <c r="F1446" s="122">
        <v>2</v>
      </c>
      <c r="G1446" s="122">
        <v>97</v>
      </c>
      <c r="H1446" s="122">
        <v>843</v>
      </c>
      <c r="I1446" s="122">
        <v>14490</v>
      </c>
      <c r="J1446" s="122">
        <v>13173</v>
      </c>
      <c r="K1446" s="122">
        <v>60</v>
      </c>
      <c r="L1446" s="122">
        <v>5335</v>
      </c>
      <c r="M1446" s="122">
        <v>1976</v>
      </c>
      <c r="N1446" s="122">
        <v>2244</v>
      </c>
      <c r="O1446" s="122">
        <v>831</v>
      </c>
      <c r="P1446" s="122">
        <v>702</v>
      </c>
      <c r="Q1446" s="122">
        <v>260</v>
      </c>
      <c r="R1446" s="122">
        <v>11805</v>
      </c>
      <c r="S1446" s="122">
        <v>10731</v>
      </c>
      <c r="T1446" s="122">
        <v>6389</v>
      </c>
      <c r="U1446" s="122">
        <v>2366</v>
      </c>
      <c r="V1446" s="122">
        <v>29337</v>
      </c>
      <c r="W1446" s="122">
        <f t="shared" si="44"/>
        <v>29337</v>
      </c>
      <c r="X1446" s="122">
        <f t="shared" si="45"/>
        <v>40965</v>
      </c>
      <c r="AA1446" t="s">
        <v>60</v>
      </c>
      <c r="AB1446" t="s">
        <v>579</v>
      </c>
      <c r="AC1446" t="s">
        <v>566</v>
      </c>
      <c r="AD1446" t="s">
        <v>428</v>
      </c>
      <c r="AE1446" t="s">
        <v>137</v>
      </c>
      <c r="AF1446">
        <v>1</v>
      </c>
      <c r="AG1446">
        <v>81</v>
      </c>
      <c r="AH1446">
        <v>303</v>
      </c>
      <c r="AI1446" s="122">
        <v>15759</v>
      </c>
      <c r="AJ1446" s="122">
        <v>13133</v>
      </c>
      <c r="AK1446">
        <v>65</v>
      </c>
      <c r="AL1446">
        <v>0</v>
      </c>
      <c r="AM1446">
        <v>0</v>
      </c>
      <c r="AN1446">
        <v>984</v>
      </c>
      <c r="AO1446">
        <v>365</v>
      </c>
      <c r="AP1446">
        <v>473</v>
      </c>
      <c r="AQ1446">
        <v>175</v>
      </c>
      <c r="AR1446" s="122">
        <v>4368</v>
      </c>
      <c r="AS1446" s="122">
        <v>3971</v>
      </c>
      <c r="AT1446" s="122">
        <v>2889</v>
      </c>
      <c r="AU1446" s="122">
        <v>1070</v>
      </c>
      <c r="AV1446" s="122">
        <v>18714</v>
      </c>
    </row>
    <row r="1447" spans="2:48" hidden="1">
      <c r="B1447" t="s">
        <v>373</v>
      </c>
      <c r="C1447" t="s">
        <v>62</v>
      </c>
      <c r="D1447" t="s">
        <v>431</v>
      </c>
      <c r="E1447" t="s">
        <v>431</v>
      </c>
      <c r="F1447" s="122">
        <v>1</v>
      </c>
      <c r="G1447" s="122">
        <v>47</v>
      </c>
      <c r="H1447" s="122">
        <v>392</v>
      </c>
      <c r="I1447" s="122">
        <v>9267</v>
      </c>
      <c r="J1447" s="122">
        <v>8424</v>
      </c>
      <c r="K1447" s="122">
        <v>45</v>
      </c>
      <c r="L1447" s="122">
        <v>1137</v>
      </c>
      <c r="M1447" s="122">
        <v>421</v>
      </c>
      <c r="N1447" s="122">
        <v>963</v>
      </c>
      <c r="O1447" s="122">
        <v>357</v>
      </c>
      <c r="P1447" s="122">
        <v>351</v>
      </c>
      <c r="Q1447" s="122">
        <v>130</v>
      </c>
      <c r="R1447" s="122">
        <v>5137</v>
      </c>
      <c r="S1447" s="122">
        <v>4670</v>
      </c>
      <c r="T1447" s="122">
        <v>1708</v>
      </c>
      <c r="U1447" s="122">
        <v>632</v>
      </c>
      <c r="V1447" s="122">
        <v>14635</v>
      </c>
      <c r="W1447" s="122">
        <f t="shared" si="44"/>
        <v>14634</v>
      </c>
      <c r="X1447" s="122">
        <f t="shared" si="45"/>
        <v>18563</v>
      </c>
      <c r="AA1447" t="s">
        <v>60</v>
      </c>
      <c r="AB1447" t="s">
        <v>579</v>
      </c>
      <c r="AC1447" t="s">
        <v>566</v>
      </c>
      <c r="AD1447" t="s">
        <v>426</v>
      </c>
      <c r="AE1447" t="s">
        <v>137</v>
      </c>
      <c r="AF1447">
        <v>1</v>
      </c>
      <c r="AG1447">
        <v>78</v>
      </c>
      <c r="AH1447">
        <v>340</v>
      </c>
      <c r="AI1447" s="122">
        <v>19354</v>
      </c>
      <c r="AJ1447" s="122">
        <v>16128</v>
      </c>
      <c r="AK1447">
        <v>55</v>
      </c>
      <c r="AL1447">
        <v>0</v>
      </c>
      <c r="AM1447" s="122">
        <v>3285</v>
      </c>
      <c r="AN1447">
        <v>950</v>
      </c>
      <c r="AO1447">
        <v>352</v>
      </c>
      <c r="AP1447">
        <v>351</v>
      </c>
      <c r="AQ1447">
        <v>130</v>
      </c>
      <c r="AR1447" s="122">
        <v>3719</v>
      </c>
      <c r="AS1447" s="122">
        <v>3381</v>
      </c>
      <c r="AT1447" s="122">
        <v>2152</v>
      </c>
      <c r="AU1447">
        <v>797</v>
      </c>
      <c r="AV1447" s="122">
        <v>24074</v>
      </c>
    </row>
    <row r="1448" spans="2:48" hidden="1">
      <c r="B1448" t="s">
        <v>373</v>
      </c>
      <c r="C1448" t="s">
        <v>62</v>
      </c>
      <c r="D1448" t="s">
        <v>426</v>
      </c>
      <c r="E1448" t="s">
        <v>426</v>
      </c>
      <c r="F1448" s="122">
        <v>69</v>
      </c>
      <c r="G1448" s="122">
        <v>3695</v>
      </c>
      <c r="H1448" s="122">
        <v>29029</v>
      </c>
      <c r="I1448" s="122">
        <v>835793</v>
      </c>
      <c r="J1448" s="122">
        <v>759812</v>
      </c>
      <c r="K1448" s="122">
        <v>48</v>
      </c>
      <c r="L1448" s="122">
        <v>95456</v>
      </c>
      <c r="M1448" s="122">
        <v>57642</v>
      </c>
      <c r="N1448" s="122">
        <v>72819</v>
      </c>
      <c r="O1448" s="122">
        <v>26970</v>
      </c>
      <c r="P1448" s="122">
        <v>24057</v>
      </c>
      <c r="Q1448" s="122">
        <v>8910</v>
      </c>
      <c r="R1448" s="122">
        <v>375608</v>
      </c>
      <c r="S1448" s="122">
        <v>341462</v>
      </c>
      <c r="T1448" s="122">
        <v>142326</v>
      </c>
      <c r="U1448" s="122">
        <v>52713</v>
      </c>
      <c r="V1448" s="122">
        <v>1247509</v>
      </c>
      <c r="W1448" s="122">
        <f t="shared" si="44"/>
        <v>1247509</v>
      </c>
      <c r="X1448" s="122">
        <f t="shared" si="45"/>
        <v>1546059</v>
      </c>
      <c r="AA1448" t="s">
        <v>60</v>
      </c>
      <c r="AB1448" t="s">
        <v>428</v>
      </c>
      <c r="AC1448" t="s">
        <v>137</v>
      </c>
      <c r="AD1448" t="s">
        <v>578</v>
      </c>
      <c r="AE1448" t="s">
        <v>137</v>
      </c>
      <c r="AF1448">
        <v>1</v>
      </c>
      <c r="AG1448">
        <v>79</v>
      </c>
      <c r="AH1448">
        <v>346</v>
      </c>
      <c r="AI1448" s="122">
        <v>15142</v>
      </c>
      <c r="AJ1448" s="122">
        <v>13765</v>
      </c>
      <c r="AK1448">
        <v>45</v>
      </c>
      <c r="AL1448" s="122">
        <v>1858</v>
      </c>
      <c r="AM1448">
        <v>688</v>
      </c>
      <c r="AN1448" s="122">
        <v>1533</v>
      </c>
      <c r="AO1448">
        <v>568</v>
      </c>
      <c r="AP1448">
        <v>351</v>
      </c>
      <c r="AQ1448">
        <v>130</v>
      </c>
      <c r="AR1448" s="122">
        <v>5765</v>
      </c>
      <c r="AS1448" s="122">
        <v>5241</v>
      </c>
      <c r="AT1448" s="122">
        <v>2593</v>
      </c>
      <c r="AU1448">
        <v>960</v>
      </c>
      <c r="AV1448" s="122">
        <v>21352</v>
      </c>
    </row>
    <row r="1449" spans="2:48" hidden="1">
      <c r="B1449" t="s">
        <v>373</v>
      </c>
      <c r="C1449" t="s">
        <v>64</v>
      </c>
      <c r="D1449" t="s">
        <v>137</v>
      </c>
      <c r="E1449" t="s">
        <v>137</v>
      </c>
      <c r="F1449" s="122">
        <v>33</v>
      </c>
      <c r="G1449" s="122">
        <v>2922</v>
      </c>
      <c r="H1449" s="122">
        <v>20363</v>
      </c>
      <c r="I1449" s="122">
        <v>1330582</v>
      </c>
      <c r="J1449" s="122">
        <v>492808</v>
      </c>
      <c r="K1449" s="122">
        <v>100</v>
      </c>
      <c r="L1449" s="122">
        <v>174844</v>
      </c>
      <c r="M1449" s="122">
        <v>142170</v>
      </c>
      <c r="N1449" s="122">
        <v>64769</v>
      </c>
      <c r="O1449" s="122">
        <v>23988</v>
      </c>
      <c r="P1449" s="122">
        <v>0</v>
      </c>
      <c r="Q1449" s="122">
        <v>0</v>
      </c>
      <c r="R1449" s="122">
        <v>220915</v>
      </c>
      <c r="S1449" s="122">
        <v>81820</v>
      </c>
      <c r="T1449" s="122">
        <v>0</v>
      </c>
      <c r="U1449" s="122">
        <v>0</v>
      </c>
      <c r="V1449" s="122">
        <v>740787</v>
      </c>
      <c r="W1449" s="122">
        <f t="shared" si="44"/>
        <v>740786</v>
      </c>
      <c r="X1449" s="122">
        <f t="shared" si="45"/>
        <v>1791110</v>
      </c>
      <c r="AA1449" t="s">
        <v>60</v>
      </c>
      <c r="AB1449" t="s">
        <v>428</v>
      </c>
      <c r="AC1449" t="s">
        <v>137</v>
      </c>
      <c r="AD1449" t="s">
        <v>428</v>
      </c>
      <c r="AE1449" t="s">
        <v>137</v>
      </c>
      <c r="AF1449">
        <v>3</v>
      </c>
      <c r="AG1449">
        <v>248</v>
      </c>
      <c r="AH1449" s="122">
        <v>1042</v>
      </c>
      <c r="AI1449" s="122">
        <v>45766</v>
      </c>
      <c r="AJ1449" s="122">
        <v>41606</v>
      </c>
      <c r="AK1449">
        <v>57</v>
      </c>
      <c r="AL1449" s="122">
        <v>13536</v>
      </c>
      <c r="AM1449" s="122">
        <v>5013</v>
      </c>
      <c r="AN1449" s="122">
        <v>5010</v>
      </c>
      <c r="AO1449" s="122">
        <v>1856</v>
      </c>
      <c r="AP1449" s="122">
        <v>1053</v>
      </c>
      <c r="AQ1449">
        <v>390</v>
      </c>
      <c r="AR1449" s="122">
        <v>13497</v>
      </c>
      <c r="AS1449" s="122">
        <v>12270</v>
      </c>
      <c r="AT1449" s="122">
        <v>7013</v>
      </c>
      <c r="AU1449" s="122">
        <v>2598</v>
      </c>
      <c r="AV1449" s="122">
        <v>63732</v>
      </c>
    </row>
    <row r="1450" spans="2:48" hidden="1">
      <c r="B1450" t="s">
        <v>373</v>
      </c>
      <c r="C1450" t="s">
        <v>64</v>
      </c>
      <c r="D1450" t="s">
        <v>137</v>
      </c>
      <c r="E1450" t="s">
        <v>426</v>
      </c>
      <c r="F1450" s="122">
        <v>3</v>
      </c>
      <c r="G1450" s="122">
        <v>332</v>
      </c>
      <c r="H1450" s="122">
        <v>1554</v>
      </c>
      <c r="I1450" s="122">
        <v>120057</v>
      </c>
      <c r="J1450" s="122">
        <v>44466</v>
      </c>
      <c r="K1450" s="122">
        <v>100</v>
      </c>
      <c r="L1450" s="122">
        <v>19365</v>
      </c>
      <c r="M1450" s="122">
        <v>17605</v>
      </c>
      <c r="N1450" s="122">
        <v>6548</v>
      </c>
      <c r="O1450" s="122">
        <v>2425</v>
      </c>
      <c r="P1450" s="122">
        <v>351</v>
      </c>
      <c r="Q1450" s="122">
        <v>130</v>
      </c>
      <c r="R1450" s="122">
        <v>21686</v>
      </c>
      <c r="S1450" s="122">
        <v>19715</v>
      </c>
      <c r="T1450" s="122">
        <v>8978</v>
      </c>
      <c r="U1450" s="122">
        <v>3325</v>
      </c>
      <c r="V1450" s="122">
        <v>87666</v>
      </c>
      <c r="W1450" s="122">
        <f t="shared" si="44"/>
        <v>87666</v>
      </c>
      <c r="X1450" s="122">
        <f t="shared" si="45"/>
        <v>176985</v>
      </c>
      <c r="AA1450" t="s">
        <v>60</v>
      </c>
      <c r="AB1450" t="s">
        <v>428</v>
      </c>
      <c r="AC1450" t="s">
        <v>580</v>
      </c>
      <c r="AD1450" t="s">
        <v>428</v>
      </c>
      <c r="AE1450" t="s">
        <v>137</v>
      </c>
      <c r="AF1450">
        <v>1</v>
      </c>
      <c r="AG1450">
        <v>76</v>
      </c>
      <c r="AH1450">
        <v>311</v>
      </c>
      <c r="AI1450" s="122">
        <v>13889</v>
      </c>
      <c r="AJ1450" s="122">
        <v>12626</v>
      </c>
      <c r="AK1450">
        <v>65</v>
      </c>
      <c r="AL1450" s="122">
        <v>1209</v>
      </c>
      <c r="AM1450" s="122">
        <v>1099</v>
      </c>
      <c r="AN1450" s="122">
        <v>1659</v>
      </c>
      <c r="AO1450">
        <v>614</v>
      </c>
      <c r="AP1450">
        <v>621</v>
      </c>
      <c r="AQ1450">
        <v>230</v>
      </c>
      <c r="AR1450" s="122">
        <v>4064</v>
      </c>
      <c r="AS1450" s="122">
        <v>3695</v>
      </c>
      <c r="AT1450" s="122">
        <v>2107</v>
      </c>
      <c r="AU1450">
        <v>780</v>
      </c>
      <c r="AV1450" s="122">
        <v>19044</v>
      </c>
    </row>
    <row r="1451" spans="2:48" hidden="1">
      <c r="B1451" t="s">
        <v>373</v>
      </c>
      <c r="C1451" t="s">
        <v>64</v>
      </c>
      <c r="D1451" t="s">
        <v>406</v>
      </c>
      <c r="E1451" t="s">
        <v>425</v>
      </c>
      <c r="F1451" s="122">
        <v>1</v>
      </c>
      <c r="G1451" s="122">
        <v>101</v>
      </c>
      <c r="H1451" s="122">
        <v>540</v>
      </c>
      <c r="I1451" s="122">
        <v>35292</v>
      </c>
      <c r="J1451" s="122">
        <v>32083</v>
      </c>
      <c r="K1451" s="122">
        <v>60</v>
      </c>
      <c r="L1451" s="122">
        <v>7450</v>
      </c>
      <c r="M1451" s="122">
        <v>6773</v>
      </c>
      <c r="N1451" s="122">
        <v>2329</v>
      </c>
      <c r="O1451" s="122">
        <v>862</v>
      </c>
      <c r="P1451" s="122">
        <v>621</v>
      </c>
      <c r="Q1451" s="122">
        <v>230</v>
      </c>
      <c r="R1451" s="122">
        <v>5757</v>
      </c>
      <c r="S1451" s="122">
        <v>5234</v>
      </c>
      <c r="T1451" s="122">
        <v>2880</v>
      </c>
      <c r="U1451" s="122">
        <v>1067</v>
      </c>
      <c r="V1451" s="122">
        <v>46250</v>
      </c>
      <c r="W1451" s="122">
        <f t="shared" ref="W1451:W1514" si="46">SUM(ABS(J1451),ABS(M1451),ABS(O1451),ABS(Q1451),ABS(S1451),ABS(U1451))</f>
        <v>46249</v>
      </c>
      <c r="X1451" s="122">
        <f t="shared" ref="X1451:X1514" si="47">SUM(ABS(I1451),ABS(N1451),ABS(P1451),ABS(R1451),ABS(T1451),ABS(L1451))</f>
        <v>54329</v>
      </c>
      <c r="AA1451" t="s">
        <v>60</v>
      </c>
      <c r="AB1451" t="s">
        <v>428</v>
      </c>
      <c r="AC1451" t="s">
        <v>580</v>
      </c>
      <c r="AD1451" t="s">
        <v>426</v>
      </c>
      <c r="AE1451" t="s">
        <v>137</v>
      </c>
      <c r="AF1451">
        <v>1</v>
      </c>
      <c r="AG1451">
        <v>81</v>
      </c>
      <c r="AH1451">
        <v>303</v>
      </c>
      <c r="AI1451" s="122">
        <v>14006</v>
      </c>
      <c r="AJ1451" s="122">
        <v>12732</v>
      </c>
      <c r="AK1451">
        <v>45</v>
      </c>
      <c r="AL1451" s="122">
        <v>1000</v>
      </c>
      <c r="AM1451">
        <v>909</v>
      </c>
      <c r="AN1451" s="122">
        <v>1756</v>
      </c>
      <c r="AO1451">
        <v>650</v>
      </c>
      <c r="AP1451">
        <v>621</v>
      </c>
      <c r="AQ1451">
        <v>230</v>
      </c>
      <c r="AR1451" s="122">
        <v>5003</v>
      </c>
      <c r="AS1451" s="122">
        <v>4548</v>
      </c>
      <c r="AT1451" s="122">
        <v>2178</v>
      </c>
      <c r="AU1451">
        <v>807</v>
      </c>
      <c r="AV1451" s="122">
        <v>19877</v>
      </c>
    </row>
    <row r="1452" spans="2:48" hidden="1">
      <c r="B1452" t="s">
        <v>373</v>
      </c>
      <c r="C1452" t="s">
        <v>64</v>
      </c>
      <c r="D1452" t="s">
        <v>406</v>
      </c>
      <c r="E1452" t="s">
        <v>137</v>
      </c>
      <c r="F1452" s="122">
        <v>4</v>
      </c>
      <c r="G1452" s="122">
        <v>379</v>
      </c>
      <c r="H1452" s="122">
        <v>2305</v>
      </c>
      <c r="I1452" s="122">
        <v>140624</v>
      </c>
      <c r="J1452" s="122">
        <v>127840</v>
      </c>
      <c r="K1452" s="122">
        <v>64</v>
      </c>
      <c r="L1452" s="122">
        <v>31614</v>
      </c>
      <c r="M1452" s="122">
        <v>28740</v>
      </c>
      <c r="N1452" s="122">
        <v>8455</v>
      </c>
      <c r="O1452" s="122">
        <v>3131</v>
      </c>
      <c r="P1452" s="122">
        <v>2484</v>
      </c>
      <c r="Q1452" s="122">
        <v>920</v>
      </c>
      <c r="R1452" s="122">
        <v>28634</v>
      </c>
      <c r="S1452" s="122">
        <v>10605</v>
      </c>
      <c r="T1452" s="122">
        <v>0</v>
      </c>
      <c r="U1452" s="122">
        <v>0</v>
      </c>
      <c r="V1452" s="122">
        <v>171237</v>
      </c>
      <c r="W1452" s="122">
        <f t="shared" si="46"/>
        <v>171236</v>
      </c>
      <c r="X1452" s="122">
        <f t="shared" si="47"/>
        <v>211811</v>
      </c>
      <c r="AA1452" t="s">
        <v>60</v>
      </c>
      <c r="AB1452" t="s">
        <v>428</v>
      </c>
      <c r="AC1452" t="s">
        <v>427</v>
      </c>
      <c r="AD1452" t="s">
        <v>428</v>
      </c>
      <c r="AE1452" t="s">
        <v>137</v>
      </c>
      <c r="AF1452">
        <v>1</v>
      </c>
      <c r="AG1452">
        <v>92</v>
      </c>
      <c r="AH1452">
        <v>329</v>
      </c>
      <c r="AI1452" s="122">
        <v>16908</v>
      </c>
      <c r="AJ1452" s="122">
        <v>15371</v>
      </c>
      <c r="AK1452">
        <v>55</v>
      </c>
      <c r="AL1452" s="122">
        <v>3444</v>
      </c>
      <c r="AM1452" s="122">
        <v>3131</v>
      </c>
      <c r="AN1452" s="122">
        <v>2184</v>
      </c>
      <c r="AO1452">
        <v>809</v>
      </c>
      <c r="AP1452">
        <v>351</v>
      </c>
      <c r="AQ1452">
        <v>130</v>
      </c>
      <c r="AR1452" s="122">
        <v>5139</v>
      </c>
      <c r="AS1452" s="122">
        <v>4672</v>
      </c>
      <c r="AT1452" s="122">
        <v>2330</v>
      </c>
      <c r="AU1452">
        <v>863</v>
      </c>
      <c r="AV1452" s="122">
        <v>24975</v>
      </c>
    </row>
    <row r="1453" spans="2:48" hidden="1">
      <c r="B1453" t="s">
        <v>373</v>
      </c>
      <c r="C1453" t="s">
        <v>64</v>
      </c>
      <c r="D1453" t="s">
        <v>406</v>
      </c>
      <c r="E1453" t="s">
        <v>406</v>
      </c>
      <c r="F1453" s="122">
        <v>39</v>
      </c>
      <c r="G1453" s="122">
        <v>3955</v>
      </c>
      <c r="H1453" s="122">
        <v>20780</v>
      </c>
      <c r="I1453" s="122">
        <v>1465921</v>
      </c>
      <c r="J1453" s="122">
        <v>1332655</v>
      </c>
      <c r="K1453" s="122">
        <v>70</v>
      </c>
      <c r="L1453" s="122">
        <v>300801</v>
      </c>
      <c r="M1453" s="122">
        <v>267276</v>
      </c>
      <c r="N1453" s="122">
        <v>87553</v>
      </c>
      <c r="O1453" s="122">
        <v>32427</v>
      </c>
      <c r="P1453" s="122">
        <v>24921</v>
      </c>
      <c r="Q1453" s="122">
        <v>9230</v>
      </c>
      <c r="R1453" s="122">
        <v>190221</v>
      </c>
      <c r="S1453" s="122">
        <v>172928</v>
      </c>
      <c r="T1453" s="122">
        <v>86706</v>
      </c>
      <c r="U1453" s="122">
        <v>32113</v>
      </c>
      <c r="V1453" s="122">
        <v>1846629</v>
      </c>
      <c r="W1453" s="122">
        <f t="shared" si="46"/>
        <v>1846629</v>
      </c>
      <c r="X1453" s="122">
        <f t="shared" si="47"/>
        <v>2156123</v>
      </c>
      <c r="AA1453" t="s">
        <v>60</v>
      </c>
      <c r="AB1453" t="s">
        <v>428</v>
      </c>
      <c r="AC1453" t="s">
        <v>428</v>
      </c>
      <c r="AD1453" t="s">
        <v>428</v>
      </c>
      <c r="AE1453" t="s">
        <v>137</v>
      </c>
      <c r="AF1453">
        <v>15</v>
      </c>
      <c r="AG1453" s="122">
        <v>1323</v>
      </c>
      <c r="AH1453" s="122">
        <v>5073</v>
      </c>
      <c r="AI1453" s="122">
        <v>245034</v>
      </c>
      <c r="AJ1453" s="122">
        <v>222759</v>
      </c>
      <c r="AK1453">
        <v>55</v>
      </c>
      <c r="AL1453" s="122">
        <v>47372</v>
      </c>
      <c r="AM1453" s="122">
        <v>43065</v>
      </c>
      <c r="AN1453" s="122">
        <v>28555</v>
      </c>
      <c r="AO1453" s="122">
        <v>10576</v>
      </c>
      <c r="AP1453" s="122">
        <v>5265</v>
      </c>
      <c r="AQ1453" s="122">
        <v>1950</v>
      </c>
      <c r="AR1453" s="122">
        <v>84178</v>
      </c>
      <c r="AS1453" s="122">
        <v>76525</v>
      </c>
      <c r="AT1453" s="122">
        <v>36023</v>
      </c>
      <c r="AU1453" s="122">
        <v>13342</v>
      </c>
      <c r="AV1453" s="122">
        <v>368217</v>
      </c>
    </row>
    <row r="1454" spans="2:48" hidden="1">
      <c r="B1454" t="s">
        <v>373</v>
      </c>
      <c r="C1454" t="s">
        <v>64</v>
      </c>
      <c r="D1454" t="s">
        <v>427</v>
      </c>
      <c r="E1454" t="s">
        <v>427</v>
      </c>
      <c r="F1454" s="122">
        <v>22</v>
      </c>
      <c r="G1454" s="122">
        <v>949</v>
      </c>
      <c r="H1454" s="122">
        <v>10796</v>
      </c>
      <c r="I1454" s="122">
        <v>263936</v>
      </c>
      <c r="J1454" s="122">
        <v>239942</v>
      </c>
      <c r="K1454" s="122">
        <v>49</v>
      </c>
      <c r="L1454" s="122">
        <v>35197</v>
      </c>
      <c r="M1454" s="122">
        <v>13036</v>
      </c>
      <c r="N1454" s="122">
        <v>15139</v>
      </c>
      <c r="O1454" s="122">
        <v>5607</v>
      </c>
      <c r="P1454" s="122">
        <v>7992</v>
      </c>
      <c r="Q1454" s="122">
        <v>2960</v>
      </c>
      <c r="R1454" s="122">
        <v>110152</v>
      </c>
      <c r="S1454" s="122">
        <v>100138</v>
      </c>
      <c r="T1454" s="122">
        <v>32918</v>
      </c>
      <c r="U1454" s="122">
        <v>12192</v>
      </c>
      <c r="V1454" s="122">
        <v>373875</v>
      </c>
      <c r="W1454" s="122">
        <f t="shared" si="46"/>
        <v>373875</v>
      </c>
      <c r="X1454" s="122">
        <f t="shared" si="47"/>
        <v>465334</v>
      </c>
      <c r="AA1454" t="s">
        <v>60</v>
      </c>
      <c r="AB1454" t="s">
        <v>428</v>
      </c>
      <c r="AC1454" t="s">
        <v>428</v>
      </c>
      <c r="AD1454" t="s">
        <v>428</v>
      </c>
      <c r="AE1454" t="s">
        <v>566</v>
      </c>
      <c r="AF1454">
        <v>18</v>
      </c>
      <c r="AG1454" s="122">
        <v>1046</v>
      </c>
      <c r="AH1454" s="122">
        <v>6426</v>
      </c>
      <c r="AI1454" s="122">
        <v>211325</v>
      </c>
      <c r="AJ1454" s="122">
        <v>192114</v>
      </c>
      <c r="AK1454">
        <v>61</v>
      </c>
      <c r="AL1454" s="122">
        <v>29952</v>
      </c>
      <c r="AM1454" s="122">
        <v>27229</v>
      </c>
      <c r="AN1454" s="122">
        <v>16440</v>
      </c>
      <c r="AO1454" s="122">
        <v>6089</v>
      </c>
      <c r="AP1454" s="122">
        <v>6318</v>
      </c>
      <c r="AQ1454" s="122">
        <v>2340</v>
      </c>
      <c r="AR1454" s="122">
        <v>108476</v>
      </c>
      <c r="AS1454" s="122">
        <v>98615</v>
      </c>
      <c r="AT1454">
        <v>0</v>
      </c>
      <c r="AU1454">
        <v>0</v>
      </c>
      <c r="AV1454" s="122">
        <v>326386</v>
      </c>
    </row>
    <row r="1455" spans="2:48" hidden="1">
      <c r="B1455" t="s">
        <v>373</v>
      </c>
      <c r="C1455" t="s">
        <v>64</v>
      </c>
      <c r="D1455" t="s">
        <v>556</v>
      </c>
      <c r="E1455" t="s">
        <v>556</v>
      </c>
      <c r="F1455" s="122">
        <v>1</v>
      </c>
      <c r="G1455" s="122">
        <v>36</v>
      </c>
      <c r="H1455" s="122">
        <v>473</v>
      </c>
      <c r="I1455" s="122">
        <v>6421</v>
      </c>
      <c r="J1455" s="122">
        <v>5351</v>
      </c>
      <c r="K1455" s="122">
        <v>60</v>
      </c>
      <c r="L1455" s="122">
        <v>2167</v>
      </c>
      <c r="M1455" s="122">
        <v>803</v>
      </c>
      <c r="N1455" s="122">
        <v>881</v>
      </c>
      <c r="O1455" s="122">
        <v>326</v>
      </c>
      <c r="P1455" s="122">
        <v>351</v>
      </c>
      <c r="Q1455" s="122">
        <v>130</v>
      </c>
      <c r="R1455" s="122">
        <v>5027</v>
      </c>
      <c r="S1455" s="122">
        <v>4189</v>
      </c>
      <c r="T1455" s="122">
        <v>2256</v>
      </c>
      <c r="U1455" s="122">
        <v>835</v>
      </c>
      <c r="V1455" s="122">
        <v>11635</v>
      </c>
      <c r="W1455" s="122">
        <f t="shared" si="46"/>
        <v>11634</v>
      </c>
      <c r="X1455" s="122">
        <f t="shared" si="47"/>
        <v>17103</v>
      </c>
      <c r="AA1455" t="s">
        <v>60</v>
      </c>
      <c r="AB1455" t="s">
        <v>428</v>
      </c>
      <c r="AC1455" t="s">
        <v>566</v>
      </c>
      <c r="AD1455" t="s">
        <v>428</v>
      </c>
      <c r="AE1455" t="s">
        <v>137</v>
      </c>
      <c r="AF1455">
        <v>7</v>
      </c>
      <c r="AG1455">
        <v>520</v>
      </c>
      <c r="AH1455" s="122">
        <v>2313</v>
      </c>
      <c r="AI1455" s="122">
        <v>107668</v>
      </c>
      <c r="AJ1455" s="122">
        <v>97880</v>
      </c>
      <c r="AK1455">
        <v>54</v>
      </c>
      <c r="AL1455">
        <v>0</v>
      </c>
      <c r="AM1455" s="122">
        <v>2238</v>
      </c>
      <c r="AN1455" s="122">
        <v>9039</v>
      </c>
      <c r="AO1455" s="122">
        <v>3348</v>
      </c>
      <c r="AP1455" s="122">
        <v>2106</v>
      </c>
      <c r="AQ1455">
        <v>780</v>
      </c>
      <c r="AR1455" s="122">
        <v>35523</v>
      </c>
      <c r="AS1455" s="122">
        <v>32294</v>
      </c>
      <c r="AT1455" s="122">
        <v>15130</v>
      </c>
      <c r="AU1455" s="122">
        <v>5604</v>
      </c>
      <c r="AV1455" s="122">
        <v>142143</v>
      </c>
    </row>
    <row r="1456" spans="2:48" hidden="1">
      <c r="B1456" t="s">
        <v>373</v>
      </c>
      <c r="C1456" t="s">
        <v>64</v>
      </c>
      <c r="D1456" t="s">
        <v>426</v>
      </c>
      <c r="E1456" t="s">
        <v>137</v>
      </c>
      <c r="F1456" s="122">
        <v>4</v>
      </c>
      <c r="G1456" s="122">
        <v>290</v>
      </c>
      <c r="H1456" s="122">
        <v>3592</v>
      </c>
      <c r="I1456" s="122">
        <v>220700</v>
      </c>
      <c r="J1456" s="122">
        <v>200637</v>
      </c>
      <c r="K1456" s="122">
        <v>38</v>
      </c>
      <c r="L1456" s="122">
        <v>15283</v>
      </c>
      <c r="M1456" s="122">
        <v>8526</v>
      </c>
      <c r="N1456" s="122">
        <v>6533</v>
      </c>
      <c r="O1456" s="122">
        <v>2419</v>
      </c>
      <c r="P1456" s="122">
        <v>0</v>
      </c>
      <c r="Q1456" s="122">
        <v>0</v>
      </c>
      <c r="R1456" s="122">
        <v>17356</v>
      </c>
      <c r="S1456" s="122">
        <v>6428</v>
      </c>
      <c r="T1456" s="122">
        <v>0</v>
      </c>
      <c r="U1456" s="122">
        <v>0</v>
      </c>
      <c r="V1456" s="122">
        <v>218010</v>
      </c>
      <c r="W1456" s="122">
        <f t="shared" si="46"/>
        <v>218010</v>
      </c>
      <c r="X1456" s="122">
        <f t="shared" si="47"/>
        <v>259872</v>
      </c>
      <c r="AA1456" t="s">
        <v>60</v>
      </c>
      <c r="AB1456" t="s">
        <v>428</v>
      </c>
      <c r="AC1456" t="s">
        <v>566</v>
      </c>
      <c r="AD1456" t="s">
        <v>428</v>
      </c>
      <c r="AE1456" t="s">
        <v>566</v>
      </c>
      <c r="AF1456">
        <v>1</v>
      </c>
      <c r="AG1456">
        <v>52</v>
      </c>
      <c r="AH1456">
        <v>308</v>
      </c>
      <c r="AI1456" s="122">
        <v>8688</v>
      </c>
      <c r="AJ1456" s="122">
        <v>7898</v>
      </c>
      <c r="AK1456">
        <v>55</v>
      </c>
      <c r="AL1456">
        <v>0</v>
      </c>
      <c r="AM1456">
        <v>0</v>
      </c>
      <c r="AN1456">
        <v>637</v>
      </c>
      <c r="AO1456">
        <v>236</v>
      </c>
      <c r="AP1456">
        <v>351</v>
      </c>
      <c r="AQ1456">
        <v>130</v>
      </c>
      <c r="AR1456" s="122">
        <v>6434</v>
      </c>
      <c r="AS1456" s="122">
        <v>5849</v>
      </c>
      <c r="AT1456">
        <v>0</v>
      </c>
      <c r="AU1456">
        <v>0</v>
      </c>
      <c r="AV1456" s="122">
        <v>14113</v>
      </c>
    </row>
    <row r="1457" spans="2:48" hidden="1">
      <c r="B1457" t="s">
        <v>373</v>
      </c>
      <c r="C1457" t="s">
        <v>64</v>
      </c>
      <c r="D1457" t="s">
        <v>426</v>
      </c>
      <c r="E1457" t="s">
        <v>426</v>
      </c>
      <c r="F1457" s="122">
        <v>52</v>
      </c>
      <c r="G1457" s="122">
        <v>2646</v>
      </c>
      <c r="H1457" s="122">
        <v>27490</v>
      </c>
      <c r="I1457" s="122">
        <v>884534</v>
      </c>
      <c r="J1457" s="122">
        <v>804122</v>
      </c>
      <c r="K1457" s="122">
        <v>48</v>
      </c>
      <c r="L1457" s="122">
        <v>112191</v>
      </c>
      <c r="M1457" s="122">
        <v>70251</v>
      </c>
      <c r="N1457" s="122">
        <v>53480</v>
      </c>
      <c r="O1457" s="122">
        <v>19807</v>
      </c>
      <c r="P1457" s="122">
        <v>15363</v>
      </c>
      <c r="Q1457" s="122">
        <v>5690</v>
      </c>
      <c r="R1457" s="122">
        <v>272264</v>
      </c>
      <c r="S1457" s="122">
        <v>247513</v>
      </c>
      <c r="T1457" s="122">
        <v>102586</v>
      </c>
      <c r="U1457" s="122">
        <v>37995</v>
      </c>
      <c r="V1457" s="122">
        <v>1185378</v>
      </c>
      <c r="W1457" s="122">
        <f t="shared" si="46"/>
        <v>1185378</v>
      </c>
      <c r="X1457" s="122">
        <f t="shared" si="47"/>
        <v>1440418</v>
      </c>
      <c r="AA1457" t="s">
        <v>60</v>
      </c>
      <c r="AB1457" t="s">
        <v>428</v>
      </c>
      <c r="AC1457" t="s">
        <v>433</v>
      </c>
      <c r="AD1457" t="s">
        <v>433</v>
      </c>
      <c r="AE1457" t="s">
        <v>137</v>
      </c>
      <c r="AF1457">
        <v>1</v>
      </c>
      <c r="AG1457">
        <v>52</v>
      </c>
      <c r="AH1457">
        <v>365</v>
      </c>
      <c r="AI1457" s="122">
        <v>11321</v>
      </c>
      <c r="AJ1457" s="122">
        <v>10292</v>
      </c>
      <c r="AK1457">
        <v>55</v>
      </c>
      <c r="AL1457" s="122">
        <v>1064</v>
      </c>
      <c r="AM1457">
        <v>968</v>
      </c>
      <c r="AN1457">
        <v>835</v>
      </c>
      <c r="AO1457">
        <v>309</v>
      </c>
      <c r="AP1457">
        <v>351</v>
      </c>
      <c r="AQ1457">
        <v>130</v>
      </c>
      <c r="AR1457" s="122">
        <v>3478</v>
      </c>
      <c r="AS1457" s="122">
        <v>3161</v>
      </c>
      <c r="AT1457" s="122">
        <v>1769</v>
      </c>
      <c r="AU1457">
        <v>655</v>
      </c>
      <c r="AV1457" s="122">
        <v>15516</v>
      </c>
    </row>
    <row r="1458" spans="2:48" hidden="1">
      <c r="B1458" t="s">
        <v>374</v>
      </c>
      <c r="C1458" t="s">
        <v>48</v>
      </c>
      <c r="F1458" s="122">
        <v>11</v>
      </c>
      <c r="G1458" s="122">
        <v>1193</v>
      </c>
      <c r="H1458" s="122">
        <v>758</v>
      </c>
      <c r="I1458" s="122"/>
      <c r="J1458" s="122">
        <v>0</v>
      </c>
      <c r="K1458" s="122"/>
      <c r="L1458" s="122"/>
      <c r="M1458" s="122">
        <v>0</v>
      </c>
      <c r="N1458" s="122">
        <v>14537</v>
      </c>
      <c r="O1458" s="122">
        <v>5384</v>
      </c>
      <c r="P1458" s="122">
        <v>10172</v>
      </c>
      <c r="Q1458" s="122">
        <v>3767</v>
      </c>
      <c r="R1458" s="122"/>
      <c r="S1458" s="122">
        <v>0</v>
      </c>
      <c r="T1458" s="122">
        <v>0</v>
      </c>
      <c r="U1458" s="122">
        <v>0</v>
      </c>
      <c r="V1458" s="122">
        <v>9151</v>
      </c>
      <c r="W1458" s="122">
        <f t="shared" si="46"/>
        <v>9151</v>
      </c>
      <c r="X1458" s="122">
        <f t="shared" si="47"/>
        <v>24709</v>
      </c>
      <c r="AA1458" t="s">
        <v>60</v>
      </c>
      <c r="AB1458" t="s">
        <v>431</v>
      </c>
      <c r="AC1458" t="s">
        <v>425</v>
      </c>
      <c r="AD1458" t="s">
        <v>431</v>
      </c>
      <c r="AE1458" t="s">
        <v>137</v>
      </c>
      <c r="AF1458">
        <v>1</v>
      </c>
      <c r="AG1458">
        <v>81</v>
      </c>
      <c r="AH1458">
        <v>373</v>
      </c>
      <c r="AI1458" s="122">
        <v>14247</v>
      </c>
      <c r="AJ1458" s="122">
        <v>12952</v>
      </c>
      <c r="AK1458">
        <v>45</v>
      </c>
      <c r="AL1458" s="122">
        <v>3562</v>
      </c>
      <c r="AM1458" s="122">
        <v>3238</v>
      </c>
      <c r="AN1458" s="122">
        <v>1880</v>
      </c>
      <c r="AO1458">
        <v>696</v>
      </c>
      <c r="AP1458">
        <v>351</v>
      </c>
      <c r="AQ1458">
        <v>130</v>
      </c>
      <c r="AR1458" s="122">
        <v>7319</v>
      </c>
      <c r="AS1458" s="122">
        <v>6654</v>
      </c>
      <c r="AT1458" s="122">
        <v>2895</v>
      </c>
      <c r="AU1458" s="122">
        <v>1072</v>
      </c>
      <c r="AV1458" s="122">
        <v>24742</v>
      </c>
    </row>
    <row r="1459" spans="2:48" hidden="1">
      <c r="B1459" t="s">
        <v>374</v>
      </c>
      <c r="C1459" t="s">
        <v>48</v>
      </c>
      <c r="D1459" t="s">
        <v>137</v>
      </c>
      <c r="E1459" t="s">
        <v>137</v>
      </c>
      <c r="F1459" s="122">
        <v>231</v>
      </c>
      <c r="G1459" s="122">
        <v>29213</v>
      </c>
      <c r="H1459" s="122">
        <v>12530</v>
      </c>
      <c r="I1459" s="122">
        <v>53125</v>
      </c>
      <c r="J1459" s="122">
        <v>19676</v>
      </c>
      <c r="K1459" s="122">
        <v>476</v>
      </c>
      <c r="L1459" s="122">
        <v>11733</v>
      </c>
      <c r="M1459" s="122">
        <v>8415</v>
      </c>
      <c r="N1459" s="122">
        <v>382526</v>
      </c>
      <c r="O1459" s="122">
        <v>141676</v>
      </c>
      <c r="P1459" s="122">
        <v>148730</v>
      </c>
      <c r="Q1459" s="122">
        <v>55085</v>
      </c>
      <c r="R1459" s="122">
        <v>981872</v>
      </c>
      <c r="S1459" s="122">
        <v>363656</v>
      </c>
      <c r="T1459" s="122">
        <v>0</v>
      </c>
      <c r="U1459" s="122">
        <v>0</v>
      </c>
      <c r="V1459" s="122">
        <v>588509</v>
      </c>
      <c r="W1459" s="122">
        <f t="shared" si="46"/>
        <v>588508</v>
      </c>
      <c r="X1459" s="122">
        <f t="shared" si="47"/>
        <v>1577986</v>
      </c>
      <c r="AA1459" t="s">
        <v>60</v>
      </c>
      <c r="AB1459" t="s">
        <v>431</v>
      </c>
      <c r="AC1459" t="s">
        <v>137</v>
      </c>
      <c r="AD1459" t="s">
        <v>137</v>
      </c>
      <c r="AE1459" t="s">
        <v>566</v>
      </c>
      <c r="AF1459">
        <v>2</v>
      </c>
      <c r="AG1459">
        <v>160</v>
      </c>
      <c r="AH1459">
        <v>696</v>
      </c>
      <c r="AI1459" s="122">
        <v>29696</v>
      </c>
      <c r="AJ1459" s="122">
        <v>26996</v>
      </c>
      <c r="AK1459">
        <v>53</v>
      </c>
      <c r="AL1459" s="122">
        <v>4269</v>
      </c>
      <c r="AM1459" s="122">
        <v>1581</v>
      </c>
      <c r="AN1459" s="122">
        <v>3036</v>
      </c>
      <c r="AO1459" s="122">
        <v>1124</v>
      </c>
      <c r="AP1459">
        <v>0</v>
      </c>
      <c r="AQ1459">
        <v>0</v>
      </c>
      <c r="AR1459" s="122">
        <v>18594</v>
      </c>
      <c r="AS1459" s="122">
        <v>6887</v>
      </c>
      <c r="AT1459">
        <v>0</v>
      </c>
      <c r="AU1459">
        <v>0</v>
      </c>
      <c r="AV1459" s="122">
        <v>36589</v>
      </c>
    </row>
    <row r="1460" spans="2:48" hidden="1">
      <c r="B1460" t="s">
        <v>374</v>
      </c>
      <c r="C1460" t="s">
        <v>48</v>
      </c>
      <c r="D1460" t="s">
        <v>137</v>
      </c>
      <c r="E1460" t="s">
        <v>406</v>
      </c>
      <c r="F1460" s="122">
        <v>1</v>
      </c>
      <c r="G1460" s="122">
        <v>132</v>
      </c>
      <c r="H1460" s="122">
        <v>65</v>
      </c>
      <c r="I1460" s="122">
        <v>1776</v>
      </c>
      <c r="J1460" s="122">
        <v>658</v>
      </c>
      <c r="K1460" s="122">
        <v>380</v>
      </c>
      <c r="L1460" s="122">
        <v>294</v>
      </c>
      <c r="M1460" s="122">
        <v>267</v>
      </c>
      <c r="N1460" s="122">
        <v>1609</v>
      </c>
      <c r="O1460" s="122">
        <v>596</v>
      </c>
      <c r="P1460" s="122">
        <v>1719</v>
      </c>
      <c r="Q1460" s="122">
        <v>637</v>
      </c>
      <c r="R1460" s="122">
        <v>3205</v>
      </c>
      <c r="S1460" s="122">
        <v>2914</v>
      </c>
      <c r="T1460" s="122">
        <v>0</v>
      </c>
      <c r="U1460" s="122">
        <v>0</v>
      </c>
      <c r="V1460" s="122">
        <v>5071</v>
      </c>
      <c r="W1460" s="122">
        <f t="shared" si="46"/>
        <v>5072</v>
      </c>
      <c r="X1460" s="122">
        <f t="shared" si="47"/>
        <v>8603</v>
      </c>
      <c r="AA1460" t="s">
        <v>60</v>
      </c>
      <c r="AB1460" t="s">
        <v>431</v>
      </c>
      <c r="AC1460" t="s">
        <v>137</v>
      </c>
      <c r="AD1460" t="s">
        <v>431</v>
      </c>
      <c r="AE1460" t="s">
        <v>137</v>
      </c>
      <c r="AF1460">
        <v>8</v>
      </c>
      <c r="AG1460">
        <v>667</v>
      </c>
      <c r="AH1460" s="122">
        <v>2689</v>
      </c>
      <c r="AI1460" s="122">
        <v>122102</v>
      </c>
      <c r="AJ1460" s="122">
        <v>111001</v>
      </c>
      <c r="AK1460">
        <v>52</v>
      </c>
      <c r="AL1460" s="122">
        <v>17844</v>
      </c>
      <c r="AM1460" s="122">
        <v>6609</v>
      </c>
      <c r="AN1460" s="122">
        <v>12722</v>
      </c>
      <c r="AO1460" s="122">
        <v>4712</v>
      </c>
      <c r="AP1460" s="122">
        <v>2808</v>
      </c>
      <c r="AQ1460" s="122">
        <v>1040</v>
      </c>
      <c r="AR1460" s="122">
        <v>53637</v>
      </c>
      <c r="AS1460" s="122">
        <v>48761</v>
      </c>
      <c r="AT1460" s="122">
        <v>16975</v>
      </c>
      <c r="AU1460" s="122">
        <v>6287</v>
      </c>
      <c r="AV1460" s="122">
        <v>178410</v>
      </c>
    </row>
    <row r="1461" spans="2:48" hidden="1">
      <c r="B1461" t="s">
        <v>374</v>
      </c>
      <c r="C1461" t="s">
        <v>48</v>
      </c>
      <c r="D1461" t="s">
        <v>406</v>
      </c>
      <c r="E1461" t="s">
        <v>406</v>
      </c>
      <c r="F1461" s="122">
        <v>14</v>
      </c>
      <c r="G1461" s="122">
        <v>1569</v>
      </c>
      <c r="H1461" s="122">
        <v>873</v>
      </c>
      <c r="I1461" s="122">
        <v>40278</v>
      </c>
      <c r="J1461" s="122">
        <v>36616</v>
      </c>
      <c r="K1461" s="122">
        <v>96</v>
      </c>
      <c r="L1461" s="122">
        <v>4885</v>
      </c>
      <c r="M1461" s="122">
        <v>4441</v>
      </c>
      <c r="N1461" s="122">
        <v>19118</v>
      </c>
      <c r="O1461" s="122">
        <v>7081</v>
      </c>
      <c r="P1461" s="122">
        <v>10115</v>
      </c>
      <c r="Q1461" s="122">
        <v>3746</v>
      </c>
      <c r="R1461" s="122">
        <v>24240</v>
      </c>
      <c r="S1461" s="122">
        <v>22036</v>
      </c>
      <c r="T1461" s="122">
        <v>0</v>
      </c>
      <c r="U1461" s="122">
        <v>0</v>
      </c>
      <c r="V1461" s="122">
        <v>73920</v>
      </c>
      <c r="W1461" s="122">
        <f t="shared" si="46"/>
        <v>73920</v>
      </c>
      <c r="X1461" s="122">
        <f t="shared" si="47"/>
        <v>98636</v>
      </c>
      <c r="AA1461" t="s">
        <v>60</v>
      </c>
      <c r="AB1461" t="s">
        <v>431</v>
      </c>
      <c r="AC1461" t="s">
        <v>580</v>
      </c>
      <c r="AD1461" t="s">
        <v>431</v>
      </c>
      <c r="AE1461" t="s">
        <v>137</v>
      </c>
      <c r="AF1461">
        <v>1</v>
      </c>
      <c r="AG1461">
        <v>80</v>
      </c>
      <c r="AH1461">
        <v>320</v>
      </c>
      <c r="AI1461" s="122">
        <v>14837</v>
      </c>
      <c r="AJ1461" s="122">
        <v>13488</v>
      </c>
      <c r="AK1461">
        <v>71</v>
      </c>
      <c r="AL1461" s="122">
        <v>1811</v>
      </c>
      <c r="AM1461" s="122">
        <v>1646</v>
      </c>
      <c r="AN1461" s="122">
        <v>1462</v>
      </c>
      <c r="AO1461">
        <v>542</v>
      </c>
      <c r="AP1461">
        <v>621</v>
      </c>
      <c r="AQ1461">
        <v>230</v>
      </c>
      <c r="AR1461" s="122">
        <v>4285</v>
      </c>
      <c r="AS1461" s="122">
        <v>3895</v>
      </c>
      <c r="AT1461" s="122">
        <v>2612</v>
      </c>
      <c r="AU1461">
        <v>967</v>
      </c>
      <c r="AV1461" s="122">
        <v>20768</v>
      </c>
    </row>
    <row r="1462" spans="2:48" hidden="1">
      <c r="B1462" t="s">
        <v>374</v>
      </c>
      <c r="C1462" t="s">
        <v>48</v>
      </c>
      <c r="D1462" t="s">
        <v>407</v>
      </c>
      <c r="E1462" t="s">
        <v>137</v>
      </c>
      <c r="F1462" s="122">
        <v>4</v>
      </c>
      <c r="G1462" s="122">
        <v>452</v>
      </c>
      <c r="H1462" s="122">
        <v>223</v>
      </c>
      <c r="I1462" s="122">
        <v>5878</v>
      </c>
      <c r="J1462" s="122">
        <v>5343</v>
      </c>
      <c r="K1462" s="122">
        <v>90</v>
      </c>
      <c r="L1462" s="122">
        <v>0</v>
      </c>
      <c r="M1462" s="122">
        <v>0</v>
      </c>
      <c r="N1462" s="122">
        <v>5511</v>
      </c>
      <c r="O1462" s="122">
        <v>2041</v>
      </c>
      <c r="P1462" s="122">
        <v>1890</v>
      </c>
      <c r="Q1462" s="122">
        <v>700</v>
      </c>
      <c r="R1462" s="122">
        <v>12013</v>
      </c>
      <c r="S1462" s="122">
        <v>4449</v>
      </c>
      <c r="T1462" s="122">
        <v>0</v>
      </c>
      <c r="U1462" s="122">
        <v>0</v>
      </c>
      <c r="V1462" s="122">
        <v>12534</v>
      </c>
      <c r="W1462" s="122">
        <f t="shared" si="46"/>
        <v>12533</v>
      </c>
      <c r="X1462" s="122">
        <f t="shared" si="47"/>
        <v>25292</v>
      </c>
      <c r="AA1462" t="s">
        <v>60</v>
      </c>
      <c r="AB1462" t="s">
        <v>431</v>
      </c>
      <c r="AC1462" t="s">
        <v>427</v>
      </c>
      <c r="AD1462" t="s">
        <v>431</v>
      </c>
      <c r="AE1462" t="s">
        <v>137</v>
      </c>
      <c r="AF1462">
        <v>4</v>
      </c>
      <c r="AG1462">
        <v>328</v>
      </c>
      <c r="AH1462" s="122">
        <v>1313</v>
      </c>
      <c r="AI1462" s="122">
        <v>64010</v>
      </c>
      <c r="AJ1462" s="122">
        <v>58191</v>
      </c>
      <c r="AK1462">
        <v>50</v>
      </c>
      <c r="AL1462" s="122">
        <v>8189</v>
      </c>
      <c r="AM1462" s="122">
        <v>7444</v>
      </c>
      <c r="AN1462" s="122">
        <v>5246</v>
      </c>
      <c r="AO1462" s="122">
        <v>1943</v>
      </c>
      <c r="AP1462" s="122">
        <v>1404</v>
      </c>
      <c r="AQ1462">
        <v>520</v>
      </c>
      <c r="AR1462" s="122">
        <v>20695</v>
      </c>
      <c r="AS1462" s="122">
        <v>18813</v>
      </c>
      <c r="AT1462" s="122">
        <v>8757</v>
      </c>
      <c r="AU1462" s="122">
        <v>3243</v>
      </c>
      <c r="AV1462" s="122">
        <v>90154</v>
      </c>
    </row>
    <row r="1463" spans="2:48" hidden="1">
      <c r="B1463" t="s">
        <v>374</v>
      </c>
      <c r="C1463" t="s">
        <v>48</v>
      </c>
      <c r="D1463" t="s">
        <v>407</v>
      </c>
      <c r="E1463" t="s">
        <v>407</v>
      </c>
      <c r="F1463" s="122">
        <v>462</v>
      </c>
      <c r="G1463" s="122">
        <v>53521</v>
      </c>
      <c r="H1463" s="122">
        <v>27027</v>
      </c>
      <c r="I1463" s="122">
        <v>518547</v>
      </c>
      <c r="J1463" s="122">
        <v>471407</v>
      </c>
      <c r="K1463" s="122">
        <v>91</v>
      </c>
      <c r="L1463" s="122">
        <v>48045</v>
      </c>
      <c r="M1463" s="122">
        <v>41892</v>
      </c>
      <c r="N1463" s="122">
        <v>654680</v>
      </c>
      <c r="O1463" s="122">
        <v>242474</v>
      </c>
      <c r="P1463" s="122">
        <v>218498</v>
      </c>
      <c r="Q1463" s="122">
        <v>80925</v>
      </c>
      <c r="R1463" s="122">
        <v>1665488</v>
      </c>
      <c r="S1463" s="122">
        <v>1514080</v>
      </c>
      <c r="T1463" s="122">
        <v>0</v>
      </c>
      <c r="U1463" s="122">
        <v>0</v>
      </c>
      <c r="V1463" s="122">
        <v>2350778</v>
      </c>
      <c r="W1463" s="122">
        <f t="shared" si="46"/>
        <v>2350778</v>
      </c>
      <c r="X1463" s="122">
        <f t="shared" si="47"/>
        <v>3105258</v>
      </c>
      <c r="AA1463" t="s">
        <v>60</v>
      </c>
      <c r="AB1463" t="s">
        <v>431</v>
      </c>
      <c r="AC1463" t="s">
        <v>428</v>
      </c>
      <c r="AD1463" t="s">
        <v>431</v>
      </c>
      <c r="AE1463" t="s">
        <v>137</v>
      </c>
      <c r="AF1463">
        <v>1</v>
      </c>
      <c r="AG1463">
        <v>103</v>
      </c>
      <c r="AH1463">
        <v>329</v>
      </c>
      <c r="AI1463" s="122">
        <v>20295</v>
      </c>
      <c r="AJ1463" s="122">
        <v>18450</v>
      </c>
      <c r="AK1463">
        <v>45</v>
      </c>
      <c r="AL1463" s="122">
        <v>1845</v>
      </c>
      <c r="AM1463" s="122">
        <v>1677</v>
      </c>
      <c r="AN1463" s="122">
        <v>2517</v>
      </c>
      <c r="AO1463">
        <v>932</v>
      </c>
      <c r="AP1463">
        <v>351</v>
      </c>
      <c r="AQ1463">
        <v>130</v>
      </c>
      <c r="AR1463" s="122">
        <v>6537</v>
      </c>
      <c r="AS1463" s="122">
        <v>5943</v>
      </c>
      <c r="AT1463" s="122">
        <v>2470</v>
      </c>
      <c r="AU1463">
        <v>915</v>
      </c>
      <c r="AV1463" s="122">
        <v>28048</v>
      </c>
    </row>
    <row r="1464" spans="2:48" hidden="1">
      <c r="B1464" t="s">
        <v>374</v>
      </c>
      <c r="C1464" t="s">
        <v>50</v>
      </c>
      <c r="D1464" t="s">
        <v>137</v>
      </c>
      <c r="E1464" t="s">
        <v>137</v>
      </c>
      <c r="F1464" s="122">
        <v>45</v>
      </c>
      <c r="G1464" s="122">
        <v>3372</v>
      </c>
      <c r="H1464" s="122">
        <v>4026</v>
      </c>
      <c r="I1464" s="122">
        <v>48517</v>
      </c>
      <c r="J1464" s="122">
        <v>17969</v>
      </c>
      <c r="K1464" s="122">
        <v>399</v>
      </c>
      <c r="L1464" s="122">
        <v>17070</v>
      </c>
      <c r="M1464" s="122">
        <v>15177</v>
      </c>
      <c r="N1464" s="122">
        <v>51871</v>
      </c>
      <c r="O1464" s="122">
        <v>19212</v>
      </c>
      <c r="P1464" s="122">
        <v>16348</v>
      </c>
      <c r="Q1464" s="122">
        <v>6055</v>
      </c>
      <c r="R1464" s="122">
        <v>168373</v>
      </c>
      <c r="S1464" s="122">
        <v>62360</v>
      </c>
      <c r="T1464" s="122">
        <v>0</v>
      </c>
      <c r="U1464" s="122">
        <v>0</v>
      </c>
      <c r="V1464" s="122">
        <v>120773</v>
      </c>
      <c r="W1464" s="122">
        <f t="shared" si="46"/>
        <v>120773</v>
      </c>
      <c r="X1464" s="122">
        <f t="shared" si="47"/>
        <v>302179</v>
      </c>
      <c r="AA1464" t="s">
        <v>60</v>
      </c>
      <c r="AB1464" t="s">
        <v>431</v>
      </c>
      <c r="AC1464" t="s">
        <v>431</v>
      </c>
      <c r="AD1464" t="s">
        <v>431</v>
      </c>
      <c r="AE1464" t="s">
        <v>137</v>
      </c>
      <c r="AF1464">
        <v>124</v>
      </c>
      <c r="AG1464" s="122">
        <v>10813</v>
      </c>
      <c r="AH1464" s="122">
        <v>41862</v>
      </c>
      <c r="AI1464" s="122">
        <v>2051224</v>
      </c>
      <c r="AJ1464" s="122">
        <v>1864749</v>
      </c>
      <c r="AK1464">
        <v>48</v>
      </c>
      <c r="AL1464" s="122">
        <v>319618</v>
      </c>
      <c r="AM1464" s="122">
        <v>290562</v>
      </c>
      <c r="AN1464" s="122">
        <v>209666</v>
      </c>
      <c r="AO1464" s="122">
        <v>77654</v>
      </c>
      <c r="AP1464" s="122">
        <v>43713</v>
      </c>
      <c r="AQ1464" s="122">
        <v>16190</v>
      </c>
      <c r="AR1464" s="122">
        <v>742127</v>
      </c>
      <c r="AS1464" s="122">
        <v>674661</v>
      </c>
      <c r="AT1464" s="122">
        <v>297394</v>
      </c>
      <c r="AU1464" s="122">
        <v>110146</v>
      </c>
      <c r="AV1464" s="122">
        <v>3033962</v>
      </c>
    </row>
    <row r="1465" spans="2:48" hidden="1">
      <c r="B1465" t="s">
        <v>374</v>
      </c>
      <c r="C1465" t="s">
        <v>50</v>
      </c>
      <c r="D1465" t="s">
        <v>406</v>
      </c>
      <c r="E1465" t="s">
        <v>406</v>
      </c>
      <c r="F1465" s="122">
        <v>5</v>
      </c>
      <c r="G1465" s="122">
        <v>603</v>
      </c>
      <c r="H1465" s="122">
        <v>454</v>
      </c>
      <c r="I1465" s="122">
        <v>25500</v>
      </c>
      <c r="J1465" s="122">
        <v>23181</v>
      </c>
      <c r="K1465" s="122">
        <v>95</v>
      </c>
      <c r="L1465" s="122">
        <v>4193</v>
      </c>
      <c r="M1465" s="122">
        <v>3112</v>
      </c>
      <c r="N1465" s="122">
        <v>7813</v>
      </c>
      <c r="O1465" s="122">
        <v>2894</v>
      </c>
      <c r="P1465" s="122">
        <v>5592</v>
      </c>
      <c r="Q1465" s="122">
        <v>2071</v>
      </c>
      <c r="R1465" s="122">
        <v>11119</v>
      </c>
      <c r="S1465" s="122">
        <v>10109</v>
      </c>
      <c r="T1465" s="122">
        <v>394</v>
      </c>
      <c r="U1465" s="122">
        <v>146</v>
      </c>
      <c r="V1465" s="122">
        <v>41513</v>
      </c>
      <c r="W1465" s="122">
        <f t="shared" si="46"/>
        <v>41513</v>
      </c>
      <c r="X1465" s="122">
        <f t="shared" si="47"/>
        <v>54611</v>
      </c>
      <c r="AA1465" t="s">
        <v>60</v>
      </c>
      <c r="AB1465" t="s">
        <v>431</v>
      </c>
      <c r="AC1465" t="s">
        <v>431</v>
      </c>
      <c r="AD1465" t="s">
        <v>431</v>
      </c>
      <c r="AE1465" t="s">
        <v>566</v>
      </c>
      <c r="AF1465">
        <v>18</v>
      </c>
      <c r="AG1465" s="122">
        <v>1400</v>
      </c>
      <c r="AH1465" s="122">
        <v>6078</v>
      </c>
      <c r="AI1465" s="122">
        <v>264820</v>
      </c>
      <c r="AJ1465" s="122">
        <v>240745</v>
      </c>
      <c r="AK1465">
        <v>54</v>
      </c>
      <c r="AL1465" s="122">
        <v>49623</v>
      </c>
      <c r="AM1465" s="122">
        <v>45112</v>
      </c>
      <c r="AN1465" s="122">
        <v>21196</v>
      </c>
      <c r="AO1465" s="122">
        <v>7850</v>
      </c>
      <c r="AP1465" s="122">
        <v>5616</v>
      </c>
      <c r="AQ1465" s="122">
        <v>2080</v>
      </c>
      <c r="AR1465" s="122">
        <v>135539</v>
      </c>
      <c r="AS1465" s="122">
        <v>123217</v>
      </c>
      <c r="AT1465">
        <v>0</v>
      </c>
      <c r="AU1465">
        <v>0</v>
      </c>
      <c r="AV1465" s="122">
        <v>419005</v>
      </c>
    </row>
    <row r="1466" spans="2:48" hidden="1">
      <c r="B1466" t="s">
        <v>374</v>
      </c>
      <c r="C1466" t="s">
        <v>50</v>
      </c>
      <c r="D1466" t="s">
        <v>407</v>
      </c>
      <c r="E1466" t="s">
        <v>407</v>
      </c>
      <c r="F1466" s="122">
        <v>93</v>
      </c>
      <c r="G1466" s="122">
        <v>9602</v>
      </c>
      <c r="H1466" s="122">
        <v>8194</v>
      </c>
      <c r="I1466" s="122">
        <v>333413</v>
      </c>
      <c r="J1466" s="122">
        <v>303103</v>
      </c>
      <c r="K1466" s="122">
        <v>91</v>
      </c>
      <c r="L1466" s="122">
        <v>17799</v>
      </c>
      <c r="M1466" s="122">
        <v>16068</v>
      </c>
      <c r="N1466" s="122">
        <v>137508</v>
      </c>
      <c r="O1466" s="122">
        <v>50929</v>
      </c>
      <c r="P1466" s="122">
        <v>43943</v>
      </c>
      <c r="Q1466" s="122">
        <v>16275</v>
      </c>
      <c r="R1466" s="122">
        <v>322340</v>
      </c>
      <c r="S1466" s="122">
        <v>293037</v>
      </c>
      <c r="T1466" s="122">
        <v>0</v>
      </c>
      <c r="U1466" s="122">
        <v>0</v>
      </c>
      <c r="V1466" s="122">
        <v>679411</v>
      </c>
      <c r="W1466" s="122">
        <f t="shared" si="46"/>
        <v>679412</v>
      </c>
      <c r="X1466" s="122">
        <f t="shared" si="47"/>
        <v>855003</v>
      </c>
      <c r="AA1466" t="s">
        <v>60</v>
      </c>
      <c r="AB1466" t="s">
        <v>431</v>
      </c>
      <c r="AC1466" t="s">
        <v>566</v>
      </c>
      <c r="AD1466" t="s">
        <v>137</v>
      </c>
      <c r="AE1466" t="s">
        <v>566</v>
      </c>
      <c r="AF1466">
        <v>1</v>
      </c>
      <c r="AG1466">
        <v>79</v>
      </c>
      <c r="AH1466">
        <v>331</v>
      </c>
      <c r="AI1466" s="122">
        <v>17253</v>
      </c>
      <c r="AJ1466" s="122">
        <v>15684</v>
      </c>
      <c r="AK1466">
        <v>55</v>
      </c>
      <c r="AL1466">
        <v>0</v>
      </c>
      <c r="AM1466">
        <v>0</v>
      </c>
      <c r="AN1466" s="122">
        <v>1152</v>
      </c>
      <c r="AO1466">
        <v>427</v>
      </c>
      <c r="AP1466">
        <v>351</v>
      </c>
      <c r="AQ1466">
        <v>130</v>
      </c>
      <c r="AR1466" s="122">
        <v>7323</v>
      </c>
      <c r="AS1466" s="122">
        <v>2712</v>
      </c>
      <c r="AT1466">
        <v>0</v>
      </c>
      <c r="AU1466">
        <v>0</v>
      </c>
      <c r="AV1466" s="122">
        <v>18953</v>
      </c>
    </row>
    <row r="1467" spans="2:48" hidden="1">
      <c r="B1467" t="s">
        <v>374</v>
      </c>
      <c r="C1467" t="s">
        <v>52</v>
      </c>
      <c r="D1467" t="s">
        <v>405</v>
      </c>
      <c r="E1467" t="s">
        <v>405</v>
      </c>
      <c r="F1467" s="122">
        <v>1</v>
      </c>
      <c r="G1467" s="122">
        <v>195</v>
      </c>
      <c r="H1467" s="122">
        <v>112</v>
      </c>
      <c r="I1467" s="122">
        <v>11132</v>
      </c>
      <c r="J1467" s="122">
        <v>10120</v>
      </c>
      <c r="K1467" s="122">
        <v>91</v>
      </c>
      <c r="L1467" s="122">
        <v>0</v>
      </c>
      <c r="M1467" s="122">
        <v>0</v>
      </c>
      <c r="N1467" s="122">
        <v>4745</v>
      </c>
      <c r="O1467" s="122">
        <v>1757</v>
      </c>
      <c r="P1467" s="122">
        <v>473</v>
      </c>
      <c r="Q1467" s="122">
        <v>175</v>
      </c>
      <c r="R1467" s="122">
        <v>5433</v>
      </c>
      <c r="S1467" s="122">
        <v>4939</v>
      </c>
      <c r="T1467" s="122">
        <v>0</v>
      </c>
      <c r="U1467" s="122">
        <v>0</v>
      </c>
      <c r="V1467" s="122">
        <v>16992</v>
      </c>
      <c r="W1467" s="122">
        <f t="shared" si="46"/>
        <v>16991</v>
      </c>
      <c r="X1467" s="122">
        <f t="shared" si="47"/>
        <v>21783</v>
      </c>
      <c r="AA1467" t="s">
        <v>60</v>
      </c>
      <c r="AB1467" t="s">
        <v>431</v>
      </c>
      <c r="AC1467" t="s">
        <v>566</v>
      </c>
      <c r="AD1467" t="s">
        <v>431</v>
      </c>
      <c r="AE1467" t="s">
        <v>137</v>
      </c>
      <c r="AF1467">
        <v>12</v>
      </c>
      <c r="AG1467">
        <v>837</v>
      </c>
      <c r="AH1467" s="122">
        <v>4205</v>
      </c>
      <c r="AI1467" s="122">
        <v>195327</v>
      </c>
      <c r="AJ1467" s="122">
        <v>177570</v>
      </c>
      <c r="AK1467">
        <v>54</v>
      </c>
      <c r="AL1467">
        <v>0</v>
      </c>
      <c r="AM1467">
        <v>0</v>
      </c>
      <c r="AN1467" s="122">
        <v>16630</v>
      </c>
      <c r="AO1467" s="122">
        <v>6159</v>
      </c>
      <c r="AP1467" s="122">
        <v>4212</v>
      </c>
      <c r="AQ1467" s="122">
        <v>1560</v>
      </c>
      <c r="AR1467" s="122">
        <v>52558</v>
      </c>
      <c r="AS1467" s="122">
        <v>47780</v>
      </c>
      <c r="AT1467" s="122">
        <v>22519</v>
      </c>
      <c r="AU1467" s="122">
        <v>8340</v>
      </c>
      <c r="AV1467" s="122">
        <v>241410</v>
      </c>
    </row>
    <row r="1468" spans="2:48" hidden="1">
      <c r="B1468" t="s">
        <v>374</v>
      </c>
      <c r="C1468" t="s">
        <v>52</v>
      </c>
      <c r="D1468" t="s">
        <v>137</v>
      </c>
      <c r="E1468" t="s">
        <v>137</v>
      </c>
      <c r="F1468" s="122">
        <v>23</v>
      </c>
      <c r="G1468" s="122">
        <v>1676</v>
      </c>
      <c r="H1468" s="122">
        <v>2653</v>
      </c>
      <c r="I1468" s="122">
        <v>60585</v>
      </c>
      <c r="J1468" s="122">
        <v>22439</v>
      </c>
      <c r="K1468" s="122">
        <v>333</v>
      </c>
      <c r="L1468" s="122">
        <v>12528</v>
      </c>
      <c r="M1468" s="122">
        <v>9095</v>
      </c>
      <c r="N1468" s="122">
        <v>27953</v>
      </c>
      <c r="O1468" s="122">
        <v>10353</v>
      </c>
      <c r="P1468" s="122">
        <v>9103</v>
      </c>
      <c r="Q1468" s="122">
        <v>3371</v>
      </c>
      <c r="R1468" s="122">
        <v>78546</v>
      </c>
      <c r="S1468" s="122">
        <v>29091</v>
      </c>
      <c r="T1468" s="122">
        <v>5572</v>
      </c>
      <c r="U1468" s="122">
        <v>2064</v>
      </c>
      <c r="V1468" s="122">
        <v>76414</v>
      </c>
      <c r="W1468" s="122">
        <f t="shared" si="46"/>
        <v>76413</v>
      </c>
      <c r="X1468" s="122">
        <f t="shared" si="47"/>
        <v>194287</v>
      </c>
      <c r="AA1468" t="s">
        <v>60</v>
      </c>
      <c r="AB1468" t="s">
        <v>431</v>
      </c>
      <c r="AC1468" t="s">
        <v>566</v>
      </c>
      <c r="AD1468" t="s">
        <v>431</v>
      </c>
      <c r="AE1468" t="s">
        <v>566</v>
      </c>
      <c r="AF1468">
        <v>6</v>
      </c>
      <c r="AG1468">
        <v>367</v>
      </c>
      <c r="AH1468" s="122">
        <v>2072</v>
      </c>
      <c r="AI1468" s="122">
        <v>79187</v>
      </c>
      <c r="AJ1468" s="122">
        <v>71988</v>
      </c>
      <c r="AK1468">
        <v>57</v>
      </c>
      <c r="AL1468">
        <v>0</v>
      </c>
      <c r="AM1468">
        <v>0</v>
      </c>
      <c r="AN1468" s="122">
        <v>4807</v>
      </c>
      <c r="AO1468" s="122">
        <v>1780</v>
      </c>
      <c r="AP1468" s="122">
        <v>2106</v>
      </c>
      <c r="AQ1468">
        <v>780</v>
      </c>
      <c r="AR1468" s="122">
        <v>40028</v>
      </c>
      <c r="AS1468" s="122">
        <v>36389</v>
      </c>
      <c r="AT1468">
        <v>0</v>
      </c>
      <c r="AU1468">
        <v>0</v>
      </c>
      <c r="AV1468" s="122">
        <v>110938</v>
      </c>
    </row>
    <row r="1469" spans="2:48" hidden="1">
      <c r="B1469" t="s">
        <v>374</v>
      </c>
      <c r="C1469" t="s">
        <v>52</v>
      </c>
      <c r="D1469" t="s">
        <v>406</v>
      </c>
      <c r="E1469" t="s">
        <v>406</v>
      </c>
      <c r="F1469" s="122">
        <v>59</v>
      </c>
      <c r="G1469" s="122">
        <v>5951</v>
      </c>
      <c r="H1469" s="122">
        <v>6935</v>
      </c>
      <c r="I1469" s="122">
        <v>289258</v>
      </c>
      <c r="J1469" s="122">
        <v>262962</v>
      </c>
      <c r="K1469" s="122">
        <v>93</v>
      </c>
      <c r="L1469" s="122">
        <v>50167</v>
      </c>
      <c r="M1469" s="122">
        <v>44965</v>
      </c>
      <c r="N1469" s="122">
        <v>114346</v>
      </c>
      <c r="O1469" s="122">
        <v>42350</v>
      </c>
      <c r="P1469" s="122">
        <v>38484</v>
      </c>
      <c r="Q1469" s="122">
        <v>14253</v>
      </c>
      <c r="R1469" s="122">
        <v>220758</v>
      </c>
      <c r="S1469" s="122">
        <v>200689</v>
      </c>
      <c r="T1469" s="122">
        <v>2802</v>
      </c>
      <c r="U1469" s="122">
        <v>1038</v>
      </c>
      <c r="V1469" s="122">
        <v>566258</v>
      </c>
      <c r="W1469" s="122">
        <f t="shared" si="46"/>
        <v>566257</v>
      </c>
      <c r="X1469" s="122">
        <f t="shared" si="47"/>
        <v>715815</v>
      </c>
      <c r="AA1469" t="s">
        <v>60</v>
      </c>
      <c r="AB1469" t="s">
        <v>431</v>
      </c>
      <c r="AC1469" t="s">
        <v>433</v>
      </c>
      <c r="AD1469" t="s">
        <v>431</v>
      </c>
      <c r="AE1469" t="s">
        <v>137</v>
      </c>
      <c r="AF1469">
        <v>1</v>
      </c>
      <c r="AG1469">
        <v>78</v>
      </c>
      <c r="AH1469">
        <v>357</v>
      </c>
      <c r="AI1469" s="122">
        <v>14465</v>
      </c>
      <c r="AJ1469" s="122">
        <v>13150</v>
      </c>
      <c r="AK1469">
        <v>65</v>
      </c>
      <c r="AL1469" s="122">
        <v>3265</v>
      </c>
      <c r="AM1469" s="122">
        <v>2968</v>
      </c>
      <c r="AN1469" s="122">
        <v>1484</v>
      </c>
      <c r="AO1469">
        <v>550</v>
      </c>
      <c r="AP1469">
        <v>351</v>
      </c>
      <c r="AQ1469">
        <v>130</v>
      </c>
      <c r="AR1469" s="122">
        <v>5240</v>
      </c>
      <c r="AS1469" s="122">
        <v>4764</v>
      </c>
      <c r="AT1469" s="122">
        <v>3031</v>
      </c>
      <c r="AU1469" s="122">
        <v>1123</v>
      </c>
      <c r="AV1469" s="122">
        <v>22684</v>
      </c>
    </row>
    <row r="1470" spans="2:48" hidden="1">
      <c r="B1470" t="s">
        <v>374</v>
      </c>
      <c r="C1470" t="s">
        <v>52</v>
      </c>
      <c r="D1470" t="s">
        <v>407</v>
      </c>
      <c r="E1470" t="s">
        <v>407</v>
      </c>
      <c r="F1470" s="122">
        <v>211</v>
      </c>
      <c r="G1470" s="122">
        <v>25078</v>
      </c>
      <c r="H1470" s="122">
        <v>24998</v>
      </c>
      <c r="I1470" s="122">
        <v>1365472</v>
      </c>
      <c r="J1470" s="122">
        <v>1241339</v>
      </c>
      <c r="K1470" s="122">
        <v>89</v>
      </c>
      <c r="L1470" s="122">
        <v>203864</v>
      </c>
      <c r="M1470" s="122">
        <v>175466</v>
      </c>
      <c r="N1470" s="122">
        <v>413205</v>
      </c>
      <c r="O1470" s="122">
        <v>153039</v>
      </c>
      <c r="P1470" s="122">
        <v>106190</v>
      </c>
      <c r="Q1470" s="122">
        <v>39330</v>
      </c>
      <c r="R1470" s="122">
        <v>899957</v>
      </c>
      <c r="S1470" s="122">
        <v>818143</v>
      </c>
      <c r="T1470" s="122">
        <v>2927</v>
      </c>
      <c r="U1470" s="122">
        <v>1084</v>
      </c>
      <c r="V1470" s="122">
        <v>2428400</v>
      </c>
      <c r="W1470" s="122">
        <f t="shared" si="46"/>
        <v>2428401</v>
      </c>
      <c r="X1470" s="122">
        <f t="shared" si="47"/>
        <v>2991615</v>
      </c>
      <c r="AA1470" t="s">
        <v>60</v>
      </c>
      <c r="AB1470" t="s">
        <v>426</v>
      </c>
      <c r="AC1470" t="s">
        <v>425</v>
      </c>
      <c r="AD1470" t="s">
        <v>426</v>
      </c>
      <c r="AE1470" t="s">
        <v>137</v>
      </c>
      <c r="AF1470">
        <v>5</v>
      </c>
      <c r="AG1470">
        <v>403</v>
      </c>
      <c r="AH1470" s="122">
        <v>1755</v>
      </c>
      <c r="AI1470" s="122">
        <v>81312</v>
      </c>
      <c r="AJ1470" s="122">
        <v>73920</v>
      </c>
      <c r="AK1470">
        <v>53</v>
      </c>
      <c r="AL1470" s="122">
        <v>5308</v>
      </c>
      <c r="AM1470" s="122">
        <v>4826</v>
      </c>
      <c r="AN1470" s="122">
        <v>7316</v>
      </c>
      <c r="AO1470" s="122">
        <v>2710</v>
      </c>
      <c r="AP1470" s="122">
        <v>1404</v>
      </c>
      <c r="AQ1470">
        <v>520</v>
      </c>
      <c r="AR1470" s="122">
        <v>32312</v>
      </c>
      <c r="AS1470" s="122">
        <v>29374</v>
      </c>
      <c r="AT1470" s="122">
        <v>13166</v>
      </c>
      <c r="AU1470" s="122">
        <v>4876</v>
      </c>
      <c r="AV1470" s="122">
        <v>116226</v>
      </c>
    </row>
    <row r="1471" spans="2:48" hidden="1">
      <c r="B1471" t="s">
        <v>374</v>
      </c>
      <c r="C1471" t="s">
        <v>54</v>
      </c>
      <c r="D1471" t="s">
        <v>405</v>
      </c>
      <c r="E1471" t="s">
        <v>405</v>
      </c>
      <c r="F1471" s="122">
        <v>2</v>
      </c>
      <c r="G1471" s="122">
        <v>236</v>
      </c>
      <c r="H1471" s="122">
        <v>288</v>
      </c>
      <c r="I1471" s="122">
        <v>14808</v>
      </c>
      <c r="J1471" s="122">
        <v>13462</v>
      </c>
      <c r="K1471" s="122">
        <v>91</v>
      </c>
      <c r="L1471" s="122">
        <v>5121</v>
      </c>
      <c r="M1471" s="122">
        <v>4448</v>
      </c>
      <c r="N1471" s="122">
        <v>5512</v>
      </c>
      <c r="O1471" s="122">
        <v>2042</v>
      </c>
      <c r="P1471" s="122">
        <v>945</v>
      </c>
      <c r="Q1471" s="122">
        <v>350</v>
      </c>
      <c r="R1471" s="122">
        <v>7696</v>
      </c>
      <c r="S1471" s="122">
        <v>6997</v>
      </c>
      <c r="T1471" s="122">
        <v>0</v>
      </c>
      <c r="U1471" s="122">
        <v>0</v>
      </c>
      <c r="V1471" s="122">
        <v>27298</v>
      </c>
      <c r="W1471" s="122">
        <f t="shared" si="46"/>
        <v>27299</v>
      </c>
      <c r="X1471" s="122">
        <f t="shared" si="47"/>
        <v>34082</v>
      </c>
      <c r="AA1471" t="s">
        <v>60</v>
      </c>
      <c r="AB1471" t="s">
        <v>426</v>
      </c>
      <c r="AC1471" t="s">
        <v>137</v>
      </c>
      <c r="AD1471" t="s">
        <v>137</v>
      </c>
      <c r="AE1471" t="s">
        <v>137</v>
      </c>
      <c r="AF1471">
        <v>5</v>
      </c>
      <c r="AG1471">
        <v>334</v>
      </c>
      <c r="AH1471" s="122">
        <v>1764</v>
      </c>
      <c r="AI1471" s="122">
        <v>72868</v>
      </c>
      <c r="AJ1471" s="122">
        <v>66244</v>
      </c>
      <c r="AK1471">
        <v>55</v>
      </c>
      <c r="AL1471" s="122">
        <v>12673</v>
      </c>
      <c r="AM1471" s="122">
        <v>4694</v>
      </c>
      <c r="AN1471" s="122">
        <v>7412</v>
      </c>
      <c r="AO1471" s="122">
        <v>2745</v>
      </c>
      <c r="AP1471">
        <v>702</v>
      </c>
      <c r="AQ1471">
        <v>260</v>
      </c>
      <c r="AR1471" s="122">
        <v>27927</v>
      </c>
      <c r="AS1471" s="122">
        <v>10343</v>
      </c>
      <c r="AT1471" s="122">
        <v>4496</v>
      </c>
      <c r="AU1471" s="122">
        <v>1665</v>
      </c>
      <c r="AV1471" s="122">
        <v>85951</v>
      </c>
    </row>
    <row r="1472" spans="2:48" hidden="1">
      <c r="B1472" t="s">
        <v>374</v>
      </c>
      <c r="C1472" t="s">
        <v>54</v>
      </c>
      <c r="D1472" t="s">
        <v>137</v>
      </c>
      <c r="E1472" t="s">
        <v>137</v>
      </c>
      <c r="F1472" s="122">
        <v>43</v>
      </c>
      <c r="G1472" s="122">
        <v>2660</v>
      </c>
      <c r="H1472" s="122">
        <v>5820</v>
      </c>
      <c r="I1472" s="122">
        <v>98352</v>
      </c>
      <c r="J1472" s="122">
        <v>36427</v>
      </c>
      <c r="K1472" s="122">
        <v>348</v>
      </c>
      <c r="L1472" s="122">
        <v>17270</v>
      </c>
      <c r="M1472" s="122">
        <v>13318</v>
      </c>
      <c r="N1472" s="122">
        <v>43117</v>
      </c>
      <c r="O1472" s="122">
        <v>15969</v>
      </c>
      <c r="P1472" s="122">
        <v>17934</v>
      </c>
      <c r="Q1472" s="122">
        <v>6642</v>
      </c>
      <c r="R1472" s="122">
        <v>178386</v>
      </c>
      <c r="S1472" s="122">
        <v>66069</v>
      </c>
      <c r="T1472" s="122">
        <v>3611</v>
      </c>
      <c r="U1472" s="122">
        <v>1337</v>
      </c>
      <c r="V1472" s="122">
        <v>139763</v>
      </c>
      <c r="W1472" s="122">
        <f t="shared" si="46"/>
        <v>139762</v>
      </c>
      <c r="X1472" s="122">
        <f t="shared" si="47"/>
        <v>358670</v>
      </c>
      <c r="AA1472" t="s">
        <v>60</v>
      </c>
      <c r="AB1472" t="s">
        <v>426</v>
      </c>
      <c r="AC1472" t="s">
        <v>137</v>
      </c>
      <c r="AD1472" t="s">
        <v>137</v>
      </c>
      <c r="AE1472" t="s">
        <v>566</v>
      </c>
      <c r="AF1472">
        <v>42</v>
      </c>
      <c r="AG1472" s="122">
        <v>3469</v>
      </c>
      <c r="AH1472" s="122">
        <v>14413</v>
      </c>
      <c r="AI1472" s="122">
        <v>712159</v>
      </c>
      <c r="AJ1472" s="122">
        <v>647417</v>
      </c>
      <c r="AK1472">
        <v>55</v>
      </c>
      <c r="AL1472" s="122">
        <v>122254</v>
      </c>
      <c r="AM1472" s="122">
        <v>45279</v>
      </c>
      <c r="AN1472" s="122">
        <v>78560</v>
      </c>
      <c r="AO1472" s="122">
        <v>29096</v>
      </c>
      <c r="AP1472" s="122">
        <v>2808</v>
      </c>
      <c r="AQ1472" s="122">
        <v>1040</v>
      </c>
      <c r="AR1472" s="122">
        <v>297137</v>
      </c>
      <c r="AS1472" s="122">
        <v>110051</v>
      </c>
      <c r="AT1472">
        <v>0</v>
      </c>
      <c r="AU1472">
        <v>0</v>
      </c>
      <c r="AV1472" s="122">
        <v>832883</v>
      </c>
    </row>
    <row r="1473" spans="2:48" hidden="1">
      <c r="B1473" t="s">
        <v>374</v>
      </c>
      <c r="C1473" t="s">
        <v>54</v>
      </c>
      <c r="D1473" t="s">
        <v>137</v>
      </c>
      <c r="E1473" t="s">
        <v>407</v>
      </c>
      <c r="F1473" s="122">
        <v>1</v>
      </c>
      <c r="G1473" s="122">
        <v>192</v>
      </c>
      <c r="H1473" s="122">
        <v>147</v>
      </c>
      <c r="I1473" s="122">
        <v>17756</v>
      </c>
      <c r="J1473" s="122">
        <v>6576</v>
      </c>
      <c r="K1473" s="122">
        <v>100</v>
      </c>
      <c r="L1473" s="122">
        <v>1973</v>
      </c>
      <c r="M1473" s="122">
        <v>731</v>
      </c>
      <c r="N1473" s="122">
        <v>2454</v>
      </c>
      <c r="O1473" s="122">
        <v>909</v>
      </c>
      <c r="P1473" s="122">
        <v>473</v>
      </c>
      <c r="Q1473" s="122">
        <v>175</v>
      </c>
      <c r="R1473" s="122">
        <v>5456</v>
      </c>
      <c r="S1473" s="122">
        <v>4960</v>
      </c>
      <c r="T1473" s="122">
        <v>0</v>
      </c>
      <c r="U1473" s="122">
        <v>0</v>
      </c>
      <c r="V1473" s="122">
        <v>13351</v>
      </c>
      <c r="W1473" s="122">
        <f t="shared" si="46"/>
        <v>13351</v>
      </c>
      <c r="X1473" s="122">
        <f t="shared" si="47"/>
        <v>28112</v>
      </c>
      <c r="AA1473" t="s">
        <v>60</v>
      </c>
      <c r="AB1473" t="s">
        <v>426</v>
      </c>
      <c r="AC1473" t="s">
        <v>137</v>
      </c>
      <c r="AD1473" t="s">
        <v>427</v>
      </c>
      <c r="AE1473" t="s">
        <v>137</v>
      </c>
      <c r="AF1473">
        <v>1</v>
      </c>
      <c r="AG1473">
        <v>86</v>
      </c>
      <c r="AH1473">
        <v>326</v>
      </c>
      <c r="AI1473" s="122">
        <v>16474</v>
      </c>
      <c r="AJ1473" s="122">
        <v>14976</v>
      </c>
      <c r="AK1473">
        <v>55</v>
      </c>
      <c r="AL1473" s="122">
        <v>2471</v>
      </c>
      <c r="AM1473">
        <v>915</v>
      </c>
      <c r="AN1473" s="122">
        <v>1045</v>
      </c>
      <c r="AO1473">
        <v>387</v>
      </c>
      <c r="AP1473">
        <v>351</v>
      </c>
      <c r="AQ1473">
        <v>130</v>
      </c>
      <c r="AR1473" s="122">
        <v>5208</v>
      </c>
      <c r="AS1473" s="122">
        <v>4735</v>
      </c>
      <c r="AT1473" s="122">
        <v>2376</v>
      </c>
      <c r="AU1473">
        <v>880</v>
      </c>
      <c r="AV1473" s="122">
        <v>22024</v>
      </c>
    </row>
    <row r="1474" spans="2:48" hidden="1">
      <c r="B1474" t="s">
        <v>374</v>
      </c>
      <c r="C1474" t="s">
        <v>54</v>
      </c>
      <c r="D1474" t="s">
        <v>406</v>
      </c>
      <c r="E1474" t="s">
        <v>406</v>
      </c>
      <c r="F1474" s="122">
        <v>198</v>
      </c>
      <c r="G1474" s="122">
        <v>20377</v>
      </c>
      <c r="H1474" s="122">
        <v>27546</v>
      </c>
      <c r="I1474" s="122">
        <v>1305614</v>
      </c>
      <c r="J1474" s="122">
        <v>1186922</v>
      </c>
      <c r="K1474" s="122">
        <v>91</v>
      </c>
      <c r="L1474" s="122">
        <v>294880</v>
      </c>
      <c r="M1474" s="122">
        <v>265467</v>
      </c>
      <c r="N1474" s="122">
        <v>330537</v>
      </c>
      <c r="O1474" s="122">
        <v>122421</v>
      </c>
      <c r="P1474" s="122">
        <v>127602</v>
      </c>
      <c r="Q1474" s="122">
        <v>47260</v>
      </c>
      <c r="R1474" s="122">
        <v>781883</v>
      </c>
      <c r="S1474" s="122">
        <v>710803</v>
      </c>
      <c r="T1474" s="122">
        <v>36961</v>
      </c>
      <c r="U1474" s="122">
        <v>13689</v>
      </c>
      <c r="V1474" s="122">
        <v>2346562</v>
      </c>
      <c r="W1474" s="122">
        <f t="shared" si="46"/>
        <v>2346562</v>
      </c>
      <c r="X1474" s="122">
        <f t="shared" si="47"/>
        <v>2877477</v>
      </c>
      <c r="AA1474" t="s">
        <v>60</v>
      </c>
      <c r="AB1474" t="s">
        <v>426</v>
      </c>
      <c r="AC1474" t="s">
        <v>137</v>
      </c>
      <c r="AD1474" t="s">
        <v>426</v>
      </c>
      <c r="AE1474" t="s">
        <v>137</v>
      </c>
      <c r="AF1474">
        <v>695</v>
      </c>
      <c r="AG1474" s="122">
        <v>48521</v>
      </c>
      <c r="AH1474" s="122">
        <v>234973</v>
      </c>
      <c r="AI1474" s="122">
        <v>8761466</v>
      </c>
      <c r="AJ1474" s="122">
        <v>7964969</v>
      </c>
      <c r="AK1474">
        <v>57</v>
      </c>
      <c r="AL1474" s="122">
        <v>1715711</v>
      </c>
      <c r="AM1474" s="122">
        <v>635449</v>
      </c>
      <c r="AN1474" s="122">
        <v>912497</v>
      </c>
      <c r="AO1474" s="122">
        <v>337962</v>
      </c>
      <c r="AP1474" s="122">
        <v>219043</v>
      </c>
      <c r="AQ1474" s="122">
        <v>81127</v>
      </c>
      <c r="AR1474" s="122">
        <v>3450514</v>
      </c>
      <c r="AS1474" s="122">
        <v>3136831</v>
      </c>
      <c r="AT1474" s="122">
        <v>1373206</v>
      </c>
      <c r="AU1474" s="122">
        <v>508595</v>
      </c>
      <c r="AV1474" s="122">
        <v>12664933</v>
      </c>
    </row>
    <row r="1475" spans="2:48" hidden="1">
      <c r="B1475" t="s">
        <v>374</v>
      </c>
      <c r="C1475" t="s">
        <v>54</v>
      </c>
      <c r="D1475" t="s">
        <v>406</v>
      </c>
      <c r="E1475" t="s">
        <v>427</v>
      </c>
      <c r="F1475" s="122">
        <v>1</v>
      </c>
      <c r="G1475" s="122">
        <v>134</v>
      </c>
      <c r="H1475" s="122">
        <v>146</v>
      </c>
      <c r="I1475" s="122">
        <v>8075</v>
      </c>
      <c r="J1475" s="122">
        <v>7341</v>
      </c>
      <c r="K1475" s="122">
        <v>94</v>
      </c>
      <c r="L1475" s="122">
        <v>2811</v>
      </c>
      <c r="M1475" s="122">
        <v>2556</v>
      </c>
      <c r="N1475" s="122">
        <v>2735</v>
      </c>
      <c r="O1475" s="122">
        <v>1013</v>
      </c>
      <c r="P1475" s="122">
        <v>621</v>
      </c>
      <c r="Q1475" s="122">
        <v>230</v>
      </c>
      <c r="R1475" s="122">
        <v>5386</v>
      </c>
      <c r="S1475" s="122">
        <v>4896</v>
      </c>
      <c r="T1475" s="122">
        <v>0</v>
      </c>
      <c r="U1475" s="122">
        <v>0</v>
      </c>
      <c r="V1475" s="122">
        <v>16036</v>
      </c>
      <c r="W1475" s="122">
        <f t="shared" si="46"/>
        <v>16036</v>
      </c>
      <c r="X1475" s="122">
        <f t="shared" si="47"/>
        <v>19628</v>
      </c>
      <c r="AA1475" t="s">
        <v>60</v>
      </c>
      <c r="AB1475" t="s">
        <v>426</v>
      </c>
      <c r="AC1475" t="s">
        <v>137</v>
      </c>
      <c r="AD1475" t="s">
        <v>426</v>
      </c>
      <c r="AE1475" t="s">
        <v>566</v>
      </c>
      <c r="AF1475">
        <v>52</v>
      </c>
      <c r="AG1475" s="122">
        <v>3767</v>
      </c>
      <c r="AH1475" s="122">
        <v>17589</v>
      </c>
      <c r="AI1475" s="122">
        <v>673058</v>
      </c>
      <c r="AJ1475" s="122">
        <v>611871</v>
      </c>
      <c r="AK1475">
        <v>56</v>
      </c>
      <c r="AL1475" s="122">
        <v>123702</v>
      </c>
      <c r="AM1475" s="122">
        <v>45816</v>
      </c>
      <c r="AN1475" s="122">
        <v>73934</v>
      </c>
      <c r="AO1475" s="122">
        <v>27383</v>
      </c>
      <c r="AP1475" s="122">
        <v>17663</v>
      </c>
      <c r="AQ1475" s="122">
        <v>6542</v>
      </c>
      <c r="AR1475" s="122">
        <v>393886</v>
      </c>
      <c r="AS1475" s="122">
        <v>358078</v>
      </c>
      <c r="AT1475">
        <v>0</v>
      </c>
      <c r="AU1475">
        <v>0</v>
      </c>
      <c r="AV1475" s="122">
        <v>1049690</v>
      </c>
    </row>
    <row r="1476" spans="2:48" hidden="1">
      <c r="B1476" t="s">
        <v>374</v>
      </c>
      <c r="C1476" t="s">
        <v>54</v>
      </c>
      <c r="D1476" t="s">
        <v>406</v>
      </c>
      <c r="E1476" t="s">
        <v>556</v>
      </c>
      <c r="F1476" s="122">
        <v>2</v>
      </c>
      <c r="G1476" s="122">
        <v>216</v>
      </c>
      <c r="H1476" s="122">
        <v>280</v>
      </c>
      <c r="I1476" s="122">
        <v>12957</v>
      </c>
      <c r="J1476" s="122">
        <v>11779</v>
      </c>
      <c r="K1476" s="122">
        <v>92</v>
      </c>
      <c r="L1476" s="122">
        <v>4213</v>
      </c>
      <c r="M1476" s="122">
        <v>3830</v>
      </c>
      <c r="N1476" s="122">
        <v>2879</v>
      </c>
      <c r="O1476" s="122">
        <v>1066</v>
      </c>
      <c r="P1476" s="122">
        <v>1944</v>
      </c>
      <c r="Q1476" s="122">
        <v>720</v>
      </c>
      <c r="R1476" s="122">
        <v>8260</v>
      </c>
      <c r="S1476" s="122">
        <v>6884</v>
      </c>
      <c r="T1476" s="122">
        <v>0</v>
      </c>
      <c r="U1476" s="122">
        <v>0</v>
      </c>
      <c r="V1476" s="122">
        <v>24279</v>
      </c>
      <c r="W1476" s="122">
        <f t="shared" si="46"/>
        <v>24279</v>
      </c>
      <c r="X1476" s="122">
        <f t="shared" si="47"/>
        <v>30253</v>
      </c>
      <c r="AA1476" t="s">
        <v>60</v>
      </c>
      <c r="AB1476" t="s">
        <v>426</v>
      </c>
      <c r="AC1476" t="s">
        <v>137</v>
      </c>
      <c r="AD1476" t="s">
        <v>481</v>
      </c>
      <c r="AE1476" t="s">
        <v>137</v>
      </c>
      <c r="AF1476">
        <v>2</v>
      </c>
      <c r="AG1476">
        <v>106</v>
      </c>
      <c r="AH1476">
        <v>694</v>
      </c>
      <c r="AI1476" s="122">
        <v>15659</v>
      </c>
      <c r="AJ1476" s="122">
        <v>14235</v>
      </c>
      <c r="AK1476">
        <v>65</v>
      </c>
      <c r="AL1476" s="122">
        <v>6246</v>
      </c>
      <c r="AM1476" s="122">
        <v>2313</v>
      </c>
      <c r="AN1476" s="122">
        <v>1293</v>
      </c>
      <c r="AO1476">
        <v>479</v>
      </c>
      <c r="AP1476">
        <v>702</v>
      </c>
      <c r="AQ1476">
        <v>260</v>
      </c>
      <c r="AR1476" s="122">
        <v>8459</v>
      </c>
      <c r="AS1476" s="122">
        <v>7690</v>
      </c>
      <c r="AT1476" s="122">
        <v>4473</v>
      </c>
      <c r="AU1476" s="122">
        <v>1657</v>
      </c>
      <c r="AV1476" s="122">
        <v>26634</v>
      </c>
    </row>
    <row r="1477" spans="2:48" hidden="1">
      <c r="B1477" t="s">
        <v>374</v>
      </c>
      <c r="C1477" t="s">
        <v>54</v>
      </c>
      <c r="D1477" t="s">
        <v>407</v>
      </c>
      <c r="E1477" t="s">
        <v>405</v>
      </c>
      <c r="F1477" s="122">
        <v>1</v>
      </c>
      <c r="G1477" s="122">
        <v>92</v>
      </c>
      <c r="H1477" s="122">
        <v>148</v>
      </c>
      <c r="I1477" s="122">
        <v>6724</v>
      </c>
      <c r="J1477" s="122">
        <v>6113</v>
      </c>
      <c r="K1477" s="122">
        <v>91</v>
      </c>
      <c r="L1477" s="122">
        <v>0</v>
      </c>
      <c r="M1477" s="122">
        <v>0</v>
      </c>
      <c r="N1477" s="122">
        <v>1122</v>
      </c>
      <c r="O1477" s="122">
        <v>416</v>
      </c>
      <c r="P1477" s="122">
        <v>473</v>
      </c>
      <c r="Q1477" s="122">
        <v>175</v>
      </c>
      <c r="R1477" s="122">
        <v>5285</v>
      </c>
      <c r="S1477" s="122">
        <v>4804</v>
      </c>
      <c r="T1477" s="122">
        <v>0</v>
      </c>
      <c r="U1477" s="122">
        <v>0</v>
      </c>
      <c r="V1477" s="122">
        <v>11507</v>
      </c>
      <c r="W1477" s="122">
        <f t="shared" si="46"/>
        <v>11508</v>
      </c>
      <c r="X1477" s="122">
        <f t="shared" si="47"/>
        <v>13604</v>
      </c>
      <c r="AA1477" t="s">
        <v>60</v>
      </c>
      <c r="AB1477" t="s">
        <v>426</v>
      </c>
      <c r="AC1477" t="s">
        <v>580</v>
      </c>
      <c r="AD1477" t="s">
        <v>406</v>
      </c>
      <c r="AE1477" t="s">
        <v>137</v>
      </c>
      <c r="AF1477">
        <v>1</v>
      </c>
      <c r="AG1477">
        <v>86</v>
      </c>
      <c r="AH1477">
        <v>370</v>
      </c>
      <c r="AI1477" s="122">
        <v>20226</v>
      </c>
      <c r="AJ1477" s="122">
        <v>18387</v>
      </c>
      <c r="AK1477">
        <v>65</v>
      </c>
      <c r="AL1477" s="122">
        <v>1712</v>
      </c>
      <c r="AM1477" s="122">
        <v>1557</v>
      </c>
      <c r="AN1477" s="122">
        <v>2093</v>
      </c>
      <c r="AO1477">
        <v>775</v>
      </c>
      <c r="AP1477">
        <v>621</v>
      </c>
      <c r="AQ1477">
        <v>230</v>
      </c>
      <c r="AR1477" s="122">
        <v>4580</v>
      </c>
      <c r="AS1477" s="122">
        <v>4163</v>
      </c>
      <c r="AT1477" s="122">
        <v>2512</v>
      </c>
      <c r="AU1477">
        <v>930</v>
      </c>
      <c r="AV1477" s="122">
        <v>26043</v>
      </c>
    </row>
    <row r="1478" spans="2:48" hidden="1">
      <c r="B1478" t="s">
        <v>374</v>
      </c>
      <c r="C1478" t="s">
        <v>54</v>
      </c>
      <c r="D1478" t="s">
        <v>407</v>
      </c>
      <c r="E1478" t="s">
        <v>407</v>
      </c>
      <c r="F1478" s="122">
        <v>749</v>
      </c>
      <c r="G1478" s="122">
        <v>85277</v>
      </c>
      <c r="H1478" s="122">
        <v>105086</v>
      </c>
      <c r="I1478" s="122">
        <v>5427694</v>
      </c>
      <c r="J1478" s="122">
        <v>4934267</v>
      </c>
      <c r="K1478" s="122">
        <v>88</v>
      </c>
      <c r="L1478" s="122">
        <v>1205428</v>
      </c>
      <c r="M1478" s="122">
        <v>1003906</v>
      </c>
      <c r="N1478" s="122">
        <v>1576560</v>
      </c>
      <c r="O1478" s="122">
        <v>583911</v>
      </c>
      <c r="P1478" s="122">
        <v>364107</v>
      </c>
      <c r="Q1478" s="122">
        <v>134854</v>
      </c>
      <c r="R1478" s="122">
        <v>3182750</v>
      </c>
      <c r="S1478" s="122">
        <v>2893409</v>
      </c>
      <c r="T1478" s="122">
        <v>272763</v>
      </c>
      <c r="U1478" s="122">
        <v>101023</v>
      </c>
      <c r="V1478" s="122">
        <v>9651371</v>
      </c>
      <c r="W1478" s="122">
        <f t="shared" si="46"/>
        <v>9651370</v>
      </c>
      <c r="X1478" s="122">
        <f t="shared" si="47"/>
        <v>12029302</v>
      </c>
      <c r="AA1478" t="s">
        <v>60</v>
      </c>
      <c r="AB1478" t="s">
        <v>426</v>
      </c>
      <c r="AC1478" t="s">
        <v>580</v>
      </c>
      <c r="AD1478" t="s">
        <v>406</v>
      </c>
      <c r="AE1478" t="s">
        <v>566</v>
      </c>
      <c r="AF1478">
        <v>1</v>
      </c>
      <c r="AG1478">
        <v>62</v>
      </c>
      <c r="AH1478">
        <v>368</v>
      </c>
      <c r="AI1478" s="122">
        <v>15386</v>
      </c>
      <c r="AJ1478" s="122">
        <v>13987</v>
      </c>
      <c r="AK1478">
        <v>85</v>
      </c>
      <c r="AL1478" s="122">
        <v>2122</v>
      </c>
      <c r="AM1478" s="122">
        <v>1930</v>
      </c>
      <c r="AN1478" s="122">
        <v>1265</v>
      </c>
      <c r="AO1478">
        <v>468</v>
      </c>
      <c r="AP1478">
        <v>351</v>
      </c>
      <c r="AQ1478">
        <v>130</v>
      </c>
      <c r="AR1478" s="122">
        <v>3767</v>
      </c>
      <c r="AS1478" s="122">
        <v>3424</v>
      </c>
      <c r="AT1478">
        <v>0</v>
      </c>
      <c r="AU1478">
        <v>0</v>
      </c>
      <c r="AV1478" s="122">
        <v>19940</v>
      </c>
    </row>
    <row r="1479" spans="2:48" hidden="1">
      <c r="B1479" t="s">
        <v>374</v>
      </c>
      <c r="C1479" t="s">
        <v>56</v>
      </c>
      <c r="F1479" s="122">
        <v>1</v>
      </c>
      <c r="G1479" s="122">
        <v>206</v>
      </c>
      <c r="H1479" s="122">
        <v>169</v>
      </c>
      <c r="I1479" s="122"/>
      <c r="J1479" s="122">
        <v>0</v>
      </c>
      <c r="K1479" s="122"/>
      <c r="L1479" s="122"/>
      <c r="M1479" s="122">
        <v>0</v>
      </c>
      <c r="N1479" s="122">
        <v>5010</v>
      </c>
      <c r="O1479" s="122">
        <v>1856</v>
      </c>
      <c r="P1479" s="122">
        <v>621</v>
      </c>
      <c r="Q1479" s="122">
        <v>230</v>
      </c>
      <c r="R1479" s="122"/>
      <c r="S1479" s="122">
        <v>0</v>
      </c>
      <c r="T1479" s="122">
        <v>3485</v>
      </c>
      <c r="U1479" s="122">
        <v>1291</v>
      </c>
      <c r="V1479" s="122">
        <v>3376</v>
      </c>
      <c r="W1479" s="122">
        <f t="shared" si="46"/>
        <v>3377</v>
      </c>
      <c r="X1479" s="122">
        <f t="shared" si="47"/>
        <v>9116</v>
      </c>
      <c r="AA1479" t="s">
        <v>60</v>
      </c>
      <c r="AB1479" t="s">
        <v>426</v>
      </c>
      <c r="AC1479" t="s">
        <v>580</v>
      </c>
      <c r="AD1479" t="s">
        <v>426</v>
      </c>
      <c r="AE1479" t="s">
        <v>137</v>
      </c>
      <c r="AF1479">
        <v>121</v>
      </c>
      <c r="AG1479" s="122">
        <v>9828</v>
      </c>
      <c r="AH1479" s="122">
        <v>40510</v>
      </c>
      <c r="AI1479" s="122">
        <v>1984890</v>
      </c>
      <c r="AJ1479" s="122">
        <v>1804445</v>
      </c>
      <c r="AK1479">
        <v>60</v>
      </c>
      <c r="AL1479" s="122">
        <v>178956</v>
      </c>
      <c r="AM1479" s="122">
        <v>162687</v>
      </c>
      <c r="AN1479" s="122">
        <v>192757</v>
      </c>
      <c r="AO1479" s="122">
        <v>71391</v>
      </c>
      <c r="AP1479" s="122">
        <v>78651</v>
      </c>
      <c r="AQ1479" s="122">
        <v>29130</v>
      </c>
      <c r="AR1479" s="122">
        <v>581439</v>
      </c>
      <c r="AS1479" s="122">
        <v>528581</v>
      </c>
      <c r="AT1479" s="122">
        <v>282328</v>
      </c>
      <c r="AU1479" s="122">
        <v>104566</v>
      </c>
      <c r="AV1479" s="122">
        <v>2700801</v>
      </c>
    </row>
    <row r="1480" spans="2:48" hidden="1">
      <c r="B1480" t="s">
        <v>374</v>
      </c>
      <c r="C1480" t="s">
        <v>56</v>
      </c>
      <c r="D1480" t="s">
        <v>425</v>
      </c>
      <c r="E1480" t="s">
        <v>425</v>
      </c>
      <c r="F1480" s="122">
        <v>2</v>
      </c>
      <c r="G1480" s="122">
        <v>189</v>
      </c>
      <c r="H1480" s="122">
        <v>426</v>
      </c>
      <c r="I1480" s="122">
        <v>19170</v>
      </c>
      <c r="J1480" s="122">
        <v>17427</v>
      </c>
      <c r="K1480" s="122">
        <v>82</v>
      </c>
      <c r="L1480" s="122">
        <v>4005</v>
      </c>
      <c r="M1480" s="122">
        <v>3641</v>
      </c>
      <c r="N1480" s="122">
        <v>3724</v>
      </c>
      <c r="O1480" s="122">
        <v>1379</v>
      </c>
      <c r="P1480" s="122">
        <v>945</v>
      </c>
      <c r="Q1480" s="122">
        <v>350</v>
      </c>
      <c r="R1480" s="122">
        <v>9145</v>
      </c>
      <c r="S1480" s="122">
        <v>8314</v>
      </c>
      <c r="T1480" s="122">
        <v>3347</v>
      </c>
      <c r="U1480" s="122">
        <v>1240</v>
      </c>
      <c r="V1480" s="122">
        <v>32351</v>
      </c>
      <c r="W1480" s="122">
        <f t="shared" si="46"/>
        <v>32351</v>
      </c>
      <c r="X1480" s="122">
        <f t="shared" si="47"/>
        <v>40336</v>
      </c>
      <c r="AA1480" t="s">
        <v>60</v>
      </c>
      <c r="AB1480" t="s">
        <v>426</v>
      </c>
      <c r="AC1480" t="s">
        <v>580</v>
      </c>
      <c r="AD1480" t="s">
        <v>426</v>
      </c>
      <c r="AE1480" t="s">
        <v>566</v>
      </c>
      <c r="AF1480">
        <v>2</v>
      </c>
      <c r="AG1480">
        <v>139</v>
      </c>
      <c r="AH1480">
        <v>737</v>
      </c>
      <c r="AI1480" s="122">
        <v>27119</v>
      </c>
      <c r="AJ1480" s="122">
        <v>24654</v>
      </c>
      <c r="AK1480">
        <v>60</v>
      </c>
      <c r="AL1480" s="122">
        <v>2069</v>
      </c>
      <c r="AM1480" s="122">
        <v>1881</v>
      </c>
      <c r="AN1480" s="122">
        <v>2807</v>
      </c>
      <c r="AO1480" s="122">
        <v>1040</v>
      </c>
      <c r="AP1480" s="122">
        <v>1593</v>
      </c>
      <c r="AQ1480">
        <v>590</v>
      </c>
      <c r="AR1480" s="122">
        <v>17956</v>
      </c>
      <c r="AS1480" s="122">
        <v>16324</v>
      </c>
      <c r="AT1480">
        <v>0</v>
      </c>
      <c r="AU1480">
        <v>0</v>
      </c>
      <c r="AV1480" s="122">
        <v>44489</v>
      </c>
    </row>
    <row r="1481" spans="2:48" hidden="1">
      <c r="B1481" t="s">
        <v>374</v>
      </c>
      <c r="C1481" t="s">
        <v>56</v>
      </c>
      <c r="D1481" t="s">
        <v>425</v>
      </c>
      <c r="E1481" t="s">
        <v>406</v>
      </c>
      <c r="F1481" s="122">
        <v>2</v>
      </c>
      <c r="G1481" s="122">
        <v>224</v>
      </c>
      <c r="H1481" s="122">
        <v>360</v>
      </c>
      <c r="I1481" s="122">
        <v>16019</v>
      </c>
      <c r="J1481" s="122">
        <v>14563</v>
      </c>
      <c r="K1481" s="122">
        <v>85</v>
      </c>
      <c r="L1481" s="122">
        <v>4813</v>
      </c>
      <c r="M1481" s="122">
        <v>4376</v>
      </c>
      <c r="N1481" s="122">
        <v>5356</v>
      </c>
      <c r="O1481" s="122">
        <v>1984</v>
      </c>
      <c r="P1481" s="122">
        <v>1242</v>
      </c>
      <c r="Q1481" s="122">
        <v>460</v>
      </c>
      <c r="R1481" s="122">
        <v>7597</v>
      </c>
      <c r="S1481" s="122">
        <v>6906</v>
      </c>
      <c r="T1481" s="122">
        <v>5277</v>
      </c>
      <c r="U1481" s="122">
        <v>1955</v>
      </c>
      <c r="V1481" s="122">
        <v>30243</v>
      </c>
      <c r="W1481" s="122">
        <f t="shared" si="46"/>
        <v>30244</v>
      </c>
      <c r="X1481" s="122">
        <f t="shared" si="47"/>
        <v>40304</v>
      </c>
      <c r="AA1481" t="s">
        <v>60</v>
      </c>
      <c r="AB1481" t="s">
        <v>426</v>
      </c>
      <c r="AC1481" t="s">
        <v>427</v>
      </c>
      <c r="AD1481" t="s">
        <v>137</v>
      </c>
      <c r="AE1481" t="s">
        <v>566</v>
      </c>
      <c r="AF1481">
        <v>7</v>
      </c>
      <c r="AG1481">
        <v>581</v>
      </c>
      <c r="AH1481" s="122">
        <v>2425</v>
      </c>
      <c r="AI1481" s="122">
        <v>117910</v>
      </c>
      <c r="AJ1481" s="122">
        <v>107191</v>
      </c>
      <c r="AK1481">
        <v>45</v>
      </c>
      <c r="AL1481" s="122">
        <v>19652</v>
      </c>
      <c r="AM1481" s="122">
        <v>17865</v>
      </c>
      <c r="AN1481" s="122">
        <v>12145</v>
      </c>
      <c r="AO1481" s="122">
        <v>4498</v>
      </c>
      <c r="AP1481" s="122">
        <v>2457</v>
      </c>
      <c r="AQ1481">
        <v>910</v>
      </c>
      <c r="AR1481" s="122">
        <v>49606</v>
      </c>
      <c r="AS1481" s="122">
        <v>18373</v>
      </c>
      <c r="AT1481">
        <v>0</v>
      </c>
      <c r="AU1481">
        <v>0</v>
      </c>
      <c r="AV1481" s="122">
        <v>148837</v>
      </c>
    </row>
    <row r="1482" spans="2:48" hidden="1">
      <c r="B1482" t="s">
        <v>374</v>
      </c>
      <c r="C1482" t="s">
        <v>56</v>
      </c>
      <c r="D1482" t="s">
        <v>405</v>
      </c>
      <c r="E1482" t="s">
        <v>405</v>
      </c>
      <c r="F1482" s="122">
        <v>28</v>
      </c>
      <c r="G1482" s="122">
        <v>2092</v>
      </c>
      <c r="H1482" s="122">
        <v>5237</v>
      </c>
      <c r="I1482" s="122">
        <v>225361</v>
      </c>
      <c r="J1482" s="122">
        <v>204874</v>
      </c>
      <c r="K1482" s="122">
        <v>87</v>
      </c>
      <c r="L1482" s="122">
        <v>45990</v>
      </c>
      <c r="M1482" s="122">
        <v>41392</v>
      </c>
      <c r="N1482" s="122">
        <v>32982</v>
      </c>
      <c r="O1482" s="122">
        <v>12216</v>
      </c>
      <c r="P1482" s="122">
        <v>13257</v>
      </c>
      <c r="Q1482" s="122">
        <v>4910</v>
      </c>
      <c r="R1482" s="122">
        <v>81101</v>
      </c>
      <c r="S1482" s="122">
        <v>73728</v>
      </c>
      <c r="T1482" s="122">
        <v>2445</v>
      </c>
      <c r="U1482" s="122">
        <v>906</v>
      </c>
      <c r="V1482" s="122">
        <v>338025</v>
      </c>
      <c r="W1482" s="122">
        <f t="shared" si="46"/>
        <v>338026</v>
      </c>
      <c r="X1482" s="122">
        <f t="shared" si="47"/>
        <v>401136</v>
      </c>
      <c r="AA1482" t="s">
        <v>60</v>
      </c>
      <c r="AB1482" t="s">
        <v>426</v>
      </c>
      <c r="AC1482" t="s">
        <v>427</v>
      </c>
      <c r="AD1482" t="s">
        <v>426</v>
      </c>
      <c r="AE1482" t="s">
        <v>137</v>
      </c>
      <c r="AF1482">
        <v>95</v>
      </c>
      <c r="AG1482" s="122">
        <v>8143</v>
      </c>
      <c r="AH1482" s="122">
        <v>32417</v>
      </c>
      <c r="AI1482" s="122">
        <v>1474467</v>
      </c>
      <c r="AJ1482" s="122">
        <v>1340425</v>
      </c>
      <c r="AK1482">
        <v>50</v>
      </c>
      <c r="AL1482" s="122">
        <v>269699</v>
      </c>
      <c r="AM1482" s="122">
        <v>245181</v>
      </c>
      <c r="AN1482" s="122">
        <v>162982</v>
      </c>
      <c r="AO1482" s="122">
        <v>60364</v>
      </c>
      <c r="AP1482" s="122">
        <v>33264</v>
      </c>
      <c r="AQ1482" s="122">
        <v>12320</v>
      </c>
      <c r="AR1482" s="122">
        <v>597051</v>
      </c>
      <c r="AS1482" s="122">
        <v>542773</v>
      </c>
      <c r="AT1482" s="122">
        <v>237098</v>
      </c>
      <c r="AU1482" s="122">
        <v>87814</v>
      </c>
      <c r="AV1482" s="122">
        <v>2288877</v>
      </c>
    </row>
    <row r="1483" spans="2:48" hidden="1">
      <c r="B1483" t="s">
        <v>374</v>
      </c>
      <c r="C1483" t="s">
        <v>56</v>
      </c>
      <c r="D1483" t="s">
        <v>405</v>
      </c>
      <c r="E1483" t="s">
        <v>407</v>
      </c>
      <c r="F1483" s="122">
        <v>3</v>
      </c>
      <c r="G1483" s="122">
        <v>271</v>
      </c>
      <c r="H1483" s="122">
        <v>508</v>
      </c>
      <c r="I1483" s="122">
        <v>20826</v>
      </c>
      <c r="J1483" s="122">
        <v>18932</v>
      </c>
      <c r="K1483" s="122">
        <v>87</v>
      </c>
      <c r="L1483" s="122">
        <v>4424</v>
      </c>
      <c r="M1483" s="122">
        <v>3883</v>
      </c>
      <c r="N1483" s="122">
        <v>5902</v>
      </c>
      <c r="O1483" s="122">
        <v>2186</v>
      </c>
      <c r="P1483" s="122">
        <v>1566</v>
      </c>
      <c r="Q1483" s="122">
        <v>580</v>
      </c>
      <c r="R1483" s="122">
        <v>11045</v>
      </c>
      <c r="S1483" s="122">
        <v>10041</v>
      </c>
      <c r="T1483" s="122">
        <v>2634</v>
      </c>
      <c r="U1483" s="122">
        <v>976</v>
      </c>
      <c r="V1483" s="122">
        <v>36598</v>
      </c>
      <c r="W1483" s="122">
        <f t="shared" si="46"/>
        <v>36598</v>
      </c>
      <c r="X1483" s="122">
        <f t="shared" si="47"/>
        <v>46397</v>
      </c>
      <c r="AA1483" t="s">
        <v>60</v>
      </c>
      <c r="AB1483" t="s">
        <v>426</v>
      </c>
      <c r="AC1483" t="s">
        <v>427</v>
      </c>
      <c r="AD1483" t="s">
        <v>426</v>
      </c>
      <c r="AE1483" t="s">
        <v>566</v>
      </c>
      <c r="AF1483">
        <v>4</v>
      </c>
      <c r="AG1483">
        <v>308</v>
      </c>
      <c r="AH1483" s="122">
        <v>1337</v>
      </c>
      <c r="AI1483" s="122">
        <v>54839</v>
      </c>
      <c r="AJ1483" s="122">
        <v>49854</v>
      </c>
      <c r="AK1483">
        <v>54</v>
      </c>
      <c r="AL1483" s="122">
        <v>10602</v>
      </c>
      <c r="AM1483" s="122">
        <v>9638</v>
      </c>
      <c r="AN1483" s="122">
        <v>5734</v>
      </c>
      <c r="AO1483" s="122">
        <v>2124</v>
      </c>
      <c r="AP1483" s="122">
        <v>1053</v>
      </c>
      <c r="AQ1483">
        <v>390</v>
      </c>
      <c r="AR1483" s="122">
        <v>30279</v>
      </c>
      <c r="AS1483" s="122">
        <v>27527</v>
      </c>
      <c r="AT1483">
        <v>0</v>
      </c>
      <c r="AU1483">
        <v>0</v>
      </c>
      <c r="AV1483" s="122">
        <v>89533</v>
      </c>
    </row>
    <row r="1484" spans="2:48" hidden="1">
      <c r="B1484" t="s">
        <v>374</v>
      </c>
      <c r="C1484" t="s">
        <v>56</v>
      </c>
      <c r="D1484" t="s">
        <v>137</v>
      </c>
      <c r="E1484" t="s">
        <v>137</v>
      </c>
      <c r="F1484" s="122">
        <v>118</v>
      </c>
      <c r="G1484" s="122">
        <v>12490</v>
      </c>
      <c r="H1484" s="122">
        <v>23411</v>
      </c>
      <c r="I1484" s="122">
        <v>1204955</v>
      </c>
      <c r="J1484" s="122">
        <v>446280</v>
      </c>
      <c r="K1484" s="122">
        <v>129</v>
      </c>
      <c r="L1484" s="122">
        <v>131461</v>
      </c>
      <c r="M1484" s="122">
        <v>89541</v>
      </c>
      <c r="N1484" s="122">
        <v>240284</v>
      </c>
      <c r="O1484" s="122">
        <v>88994</v>
      </c>
      <c r="P1484" s="122">
        <v>6351</v>
      </c>
      <c r="Q1484" s="122">
        <v>2352</v>
      </c>
      <c r="R1484" s="122">
        <v>922102</v>
      </c>
      <c r="S1484" s="122">
        <v>341519</v>
      </c>
      <c r="T1484" s="122">
        <v>1843</v>
      </c>
      <c r="U1484" s="122">
        <v>683</v>
      </c>
      <c r="V1484" s="122">
        <v>969369</v>
      </c>
      <c r="W1484" s="122">
        <f t="shared" si="46"/>
        <v>969369</v>
      </c>
      <c r="X1484" s="122">
        <f t="shared" si="47"/>
        <v>2506996</v>
      </c>
      <c r="AA1484" t="s">
        <v>60</v>
      </c>
      <c r="AB1484" t="s">
        <v>426</v>
      </c>
      <c r="AC1484" t="s">
        <v>407</v>
      </c>
      <c r="AD1484" t="s">
        <v>426</v>
      </c>
      <c r="AE1484" t="s">
        <v>137</v>
      </c>
      <c r="AF1484">
        <v>3</v>
      </c>
      <c r="AG1484">
        <v>200</v>
      </c>
      <c r="AH1484">
        <v>990</v>
      </c>
      <c r="AI1484" s="122">
        <v>38517</v>
      </c>
      <c r="AJ1484" s="122">
        <v>35016</v>
      </c>
      <c r="AK1484">
        <v>59</v>
      </c>
      <c r="AL1484" s="122">
        <v>1310</v>
      </c>
      <c r="AM1484" s="122">
        <v>1191</v>
      </c>
      <c r="AN1484" s="122">
        <v>3498</v>
      </c>
      <c r="AO1484" s="122">
        <v>1295</v>
      </c>
      <c r="AP1484" s="122">
        <v>1175</v>
      </c>
      <c r="AQ1484">
        <v>435</v>
      </c>
      <c r="AR1484" s="122">
        <v>14442</v>
      </c>
      <c r="AS1484" s="122">
        <v>13129</v>
      </c>
      <c r="AT1484" s="122">
        <v>6308</v>
      </c>
      <c r="AU1484" s="122">
        <v>2336</v>
      </c>
      <c r="AV1484" s="122">
        <v>53402</v>
      </c>
    </row>
    <row r="1485" spans="2:48" hidden="1">
      <c r="B1485" t="s">
        <v>374</v>
      </c>
      <c r="C1485" t="s">
        <v>56</v>
      </c>
      <c r="D1485" t="s">
        <v>406</v>
      </c>
      <c r="E1485" t="s">
        <v>425</v>
      </c>
      <c r="F1485" s="122">
        <v>1</v>
      </c>
      <c r="G1485" s="122">
        <v>104</v>
      </c>
      <c r="H1485" s="122">
        <v>189</v>
      </c>
      <c r="I1485" s="122">
        <v>11658</v>
      </c>
      <c r="J1485" s="122">
        <v>10598</v>
      </c>
      <c r="K1485" s="122">
        <v>85</v>
      </c>
      <c r="L1485" s="122">
        <v>1667</v>
      </c>
      <c r="M1485" s="122">
        <v>1516</v>
      </c>
      <c r="N1485" s="122">
        <v>3033</v>
      </c>
      <c r="O1485" s="122">
        <v>1123</v>
      </c>
      <c r="P1485" s="122">
        <v>621</v>
      </c>
      <c r="Q1485" s="122">
        <v>230</v>
      </c>
      <c r="R1485" s="122">
        <v>6483</v>
      </c>
      <c r="S1485" s="122">
        <v>5894</v>
      </c>
      <c r="T1485" s="122">
        <v>0</v>
      </c>
      <c r="U1485" s="122">
        <v>0</v>
      </c>
      <c r="V1485" s="122">
        <v>19361</v>
      </c>
      <c r="W1485" s="122">
        <f t="shared" si="46"/>
        <v>19361</v>
      </c>
      <c r="X1485" s="122">
        <f t="shared" si="47"/>
        <v>23462</v>
      </c>
      <c r="AA1485" t="s">
        <v>60</v>
      </c>
      <c r="AB1485" t="s">
        <v>426</v>
      </c>
      <c r="AC1485" t="s">
        <v>407</v>
      </c>
      <c r="AD1485" t="s">
        <v>426</v>
      </c>
      <c r="AE1485" t="s">
        <v>566</v>
      </c>
      <c r="AF1485">
        <v>2</v>
      </c>
      <c r="AG1485">
        <v>153</v>
      </c>
      <c r="AH1485">
        <v>686</v>
      </c>
      <c r="AI1485" s="122">
        <v>38491</v>
      </c>
      <c r="AJ1485" s="122">
        <v>34992</v>
      </c>
      <c r="AK1485">
        <v>55</v>
      </c>
      <c r="AL1485">
        <v>0</v>
      </c>
      <c r="AM1485">
        <v>0</v>
      </c>
      <c r="AN1485" s="122">
        <v>3728</v>
      </c>
      <c r="AO1485" s="122">
        <v>1381</v>
      </c>
      <c r="AP1485">
        <v>702</v>
      </c>
      <c r="AQ1485">
        <v>260</v>
      </c>
      <c r="AR1485" s="122">
        <v>8874</v>
      </c>
      <c r="AS1485" s="122">
        <v>8067</v>
      </c>
      <c r="AT1485">
        <v>0</v>
      </c>
      <c r="AU1485">
        <v>0</v>
      </c>
      <c r="AV1485" s="122">
        <v>44700</v>
      </c>
    </row>
    <row r="1486" spans="2:48" hidden="1">
      <c r="B1486" t="s">
        <v>374</v>
      </c>
      <c r="C1486" t="s">
        <v>56</v>
      </c>
      <c r="D1486" t="s">
        <v>406</v>
      </c>
      <c r="E1486" t="s">
        <v>137</v>
      </c>
      <c r="F1486" s="122">
        <v>2</v>
      </c>
      <c r="G1486" s="122">
        <v>201</v>
      </c>
      <c r="H1486" s="122">
        <v>418</v>
      </c>
      <c r="I1486" s="122">
        <v>22377</v>
      </c>
      <c r="J1486" s="122">
        <v>20342</v>
      </c>
      <c r="K1486" s="122">
        <v>94</v>
      </c>
      <c r="L1486" s="122">
        <v>2230</v>
      </c>
      <c r="M1486" s="122">
        <v>1858</v>
      </c>
      <c r="N1486" s="122">
        <v>3060</v>
      </c>
      <c r="O1486" s="122">
        <v>1133</v>
      </c>
      <c r="P1486" s="122">
        <v>1242</v>
      </c>
      <c r="Q1486" s="122">
        <v>460</v>
      </c>
      <c r="R1486" s="122">
        <v>13372</v>
      </c>
      <c r="S1486" s="122">
        <v>4952</v>
      </c>
      <c r="T1486" s="122">
        <v>0</v>
      </c>
      <c r="U1486" s="122">
        <v>0</v>
      </c>
      <c r="V1486" s="122">
        <v>28746</v>
      </c>
      <c r="W1486" s="122">
        <f t="shared" si="46"/>
        <v>28745</v>
      </c>
      <c r="X1486" s="122">
        <f t="shared" si="47"/>
        <v>42281</v>
      </c>
      <c r="AA1486" t="s">
        <v>60</v>
      </c>
      <c r="AB1486" t="s">
        <v>426</v>
      </c>
      <c r="AC1486" t="s">
        <v>579</v>
      </c>
      <c r="AD1486" t="s">
        <v>406</v>
      </c>
      <c r="AE1486" t="s">
        <v>137</v>
      </c>
      <c r="AF1486">
        <v>1</v>
      </c>
      <c r="AG1486">
        <v>172</v>
      </c>
      <c r="AH1486">
        <v>353</v>
      </c>
      <c r="AI1486" s="122">
        <v>37300</v>
      </c>
      <c r="AJ1486" s="122">
        <v>33909</v>
      </c>
      <c r="AK1486">
        <v>65</v>
      </c>
      <c r="AL1486" s="122">
        <v>9314</v>
      </c>
      <c r="AM1486" s="122">
        <v>7761</v>
      </c>
      <c r="AN1486" s="122">
        <v>3693</v>
      </c>
      <c r="AO1486" s="122">
        <v>1368</v>
      </c>
      <c r="AP1486">
        <v>621</v>
      </c>
      <c r="AQ1486">
        <v>230</v>
      </c>
      <c r="AR1486" s="122">
        <v>6292</v>
      </c>
      <c r="AS1486" s="122">
        <v>5720</v>
      </c>
      <c r="AT1486" s="122">
        <v>3610</v>
      </c>
      <c r="AU1486" s="122">
        <v>1337</v>
      </c>
      <c r="AV1486" s="122">
        <v>50326</v>
      </c>
    </row>
    <row r="1487" spans="2:48" hidden="1">
      <c r="B1487" t="s">
        <v>374</v>
      </c>
      <c r="C1487" t="s">
        <v>56</v>
      </c>
      <c r="D1487" t="s">
        <v>406</v>
      </c>
      <c r="E1487" t="s">
        <v>406</v>
      </c>
      <c r="F1487" s="122">
        <v>2425</v>
      </c>
      <c r="G1487" s="122">
        <v>249212</v>
      </c>
      <c r="H1487" s="122">
        <v>467288</v>
      </c>
      <c r="I1487" s="122">
        <v>22643574</v>
      </c>
      <c r="J1487" s="122">
        <v>20585067</v>
      </c>
      <c r="K1487" s="122">
        <v>86</v>
      </c>
      <c r="L1487" s="122">
        <v>5784665</v>
      </c>
      <c r="M1487" s="122">
        <v>5040506</v>
      </c>
      <c r="N1487" s="122">
        <v>4929203</v>
      </c>
      <c r="O1487" s="122">
        <v>1825631</v>
      </c>
      <c r="P1487" s="122">
        <v>1540048</v>
      </c>
      <c r="Q1487" s="122">
        <v>570388</v>
      </c>
      <c r="R1487" s="122">
        <v>10220082</v>
      </c>
      <c r="S1487" s="122">
        <v>9290984</v>
      </c>
      <c r="T1487" s="122">
        <v>3345932</v>
      </c>
      <c r="U1487" s="122">
        <v>1239234</v>
      </c>
      <c r="V1487" s="122">
        <v>38551810</v>
      </c>
      <c r="W1487" s="122">
        <f t="shared" si="46"/>
        <v>38551810</v>
      </c>
      <c r="X1487" s="122">
        <f t="shared" si="47"/>
        <v>48463504</v>
      </c>
      <c r="AA1487" t="s">
        <v>60</v>
      </c>
      <c r="AB1487" t="s">
        <v>426</v>
      </c>
      <c r="AC1487" t="s">
        <v>579</v>
      </c>
      <c r="AD1487" t="s">
        <v>426</v>
      </c>
      <c r="AE1487" t="s">
        <v>137</v>
      </c>
      <c r="AF1487">
        <v>11</v>
      </c>
      <c r="AG1487">
        <v>847</v>
      </c>
      <c r="AH1487" s="122">
        <v>3798</v>
      </c>
      <c r="AI1487" s="122">
        <v>152903</v>
      </c>
      <c r="AJ1487" s="122">
        <v>139003</v>
      </c>
      <c r="AK1487">
        <v>47</v>
      </c>
      <c r="AL1487" s="122">
        <v>27511</v>
      </c>
      <c r="AM1487" s="122">
        <v>22926</v>
      </c>
      <c r="AN1487" s="122">
        <v>15538</v>
      </c>
      <c r="AO1487" s="122">
        <v>5755</v>
      </c>
      <c r="AP1487" s="122">
        <v>3861</v>
      </c>
      <c r="AQ1487" s="122">
        <v>1430</v>
      </c>
      <c r="AR1487" s="122">
        <v>68933</v>
      </c>
      <c r="AS1487" s="122">
        <v>62666</v>
      </c>
      <c r="AT1487" s="122">
        <v>23679</v>
      </c>
      <c r="AU1487" s="122">
        <v>8770</v>
      </c>
      <c r="AV1487" s="122">
        <v>240549</v>
      </c>
    </row>
    <row r="1488" spans="2:48" hidden="1">
      <c r="B1488" t="s">
        <v>374</v>
      </c>
      <c r="C1488" t="s">
        <v>56</v>
      </c>
      <c r="D1488" t="s">
        <v>406</v>
      </c>
      <c r="E1488" t="s">
        <v>427</v>
      </c>
      <c r="F1488" s="122">
        <v>1</v>
      </c>
      <c r="G1488" s="122">
        <v>111</v>
      </c>
      <c r="H1488" s="122">
        <v>216</v>
      </c>
      <c r="I1488" s="122">
        <v>13723</v>
      </c>
      <c r="J1488" s="122">
        <v>12475</v>
      </c>
      <c r="K1488" s="122">
        <v>86</v>
      </c>
      <c r="L1488" s="122">
        <v>2069</v>
      </c>
      <c r="M1488" s="122">
        <v>1880</v>
      </c>
      <c r="N1488" s="122">
        <v>1353</v>
      </c>
      <c r="O1488" s="122">
        <v>501</v>
      </c>
      <c r="P1488" s="122">
        <v>621</v>
      </c>
      <c r="Q1488" s="122">
        <v>230</v>
      </c>
      <c r="R1488" s="122">
        <v>6216</v>
      </c>
      <c r="S1488" s="122">
        <v>5651</v>
      </c>
      <c r="T1488" s="122">
        <v>0</v>
      </c>
      <c r="U1488" s="122">
        <v>0</v>
      </c>
      <c r="V1488" s="122">
        <v>20738</v>
      </c>
      <c r="W1488" s="122">
        <f t="shared" si="46"/>
        <v>20737</v>
      </c>
      <c r="X1488" s="122">
        <f t="shared" si="47"/>
        <v>23982</v>
      </c>
      <c r="AA1488" t="s">
        <v>60</v>
      </c>
      <c r="AB1488" t="s">
        <v>426</v>
      </c>
      <c r="AC1488" t="s">
        <v>579</v>
      </c>
      <c r="AD1488" t="s">
        <v>426</v>
      </c>
      <c r="AE1488" t="s">
        <v>566</v>
      </c>
      <c r="AF1488">
        <v>9</v>
      </c>
      <c r="AG1488">
        <v>715</v>
      </c>
      <c r="AH1488" s="122">
        <v>2772</v>
      </c>
      <c r="AI1488" s="122">
        <v>126233</v>
      </c>
      <c r="AJ1488" s="122">
        <v>114758</v>
      </c>
      <c r="AK1488">
        <v>56</v>
      </c>
      <c r="AL1488" s="122">
        <v>13696</v>
      </c>
      <c r="AM1488" s="122">
        <v>11413</v>
      </c>
      <c r="AN1488" s="122">
        <v>11629</v>
      </c>
      <c r="AO1488" s="122">
        <v>4307</v>
      </c>
      <c r="AP1488" s="122">
        <v>3159</v>
      </c>
      <c r="AQ1488" s="122">
        <v>1170</v>
      </c>
      <c r="AR1488" s="122">
        <v>65407</v>
      </c>
      <c r="AS1488" s="122">
        <v>59461</v>
      </c>
      <c r="AT1488">
        <v>0</v>
      </c>
      <c r="AU1488">
        <v>0</v>
      </c>
      <c r="AV1488" s="122">
        <v>191109</v>
      </c>
    </row>
    <row r="1489" spans="2:48" hidden="1">
      <c r="B1489" t="s">
        <v>374</v>
      </c>
      <c r="C1489" t="s">
        <v>56</v>
      </c>
      <c r="D1489" t="s">
        <v>406</v>
      </c>
      <c r="E1489" t="s">
        <v>407</v>
      </c>
      <c r="F1489" s="122">
        <v>1</v>
      </c>
      <c r="G1489" s="122">
        <v>95</v>
      </c>
      <c r="H1489" s="122">
        <v>191</v>
      </c>
      <c r="I1489" s="122">
        <v>8278</v>
      </c>
      <c r="J1489" s="122">
        <v>7525</v>
      </c>
      <c r="K1489" s="122">
        <v>89</v>
      </c>
      <c r="L1489" s="122">
        <v>1292</v>
      </c>
      <c r="M1489" s="122">
        <v>1175</v>
      </c>
      <c r="N1489" s="122">
        <v>1582</v>
      </c>
      <c r="O1489" s="122">
        <v>586</v>
      </c>
      <c r="P1489" s="122">
        <v>621</v>
      </c>
      <c r="Q1489" s="122">
        <v>230</v>
      </c>
      <c r="R1489" s="122">
        <v>3743</v>
      </c>
      <c r="S1489" s="122">
        <v>3403</v>
      </c>
      <c r="T1489" s="122">
        <v>2726</v>
      </c>
      <c r="U1489" s="122">
        <v>1010</v>
      </c>
      <c r="V1489" s="122">
        <v>13929</v>
      </c>
      <c r="W1489" s="122">
        <f t="shared" si="46"/>
        <v>13929</v>
      </c>
      <c r="X1489" s="122">
        <f t="shared" si="47"/>
        <v>18242</v>
      </c>
      <c r="AA1489" t="s">
        <v>60</v>
      </c>
      <c r="AB1489" t="s">
        <v>426</v>
      </c>
      <c r="AC1489" t="s">
        <v>431</v>
      </c>
      <c r="AD1489" t="s">
        <v>426</v>
      </c>
      <c r="AE1489" t="s">
        <v>137</v>
      </c>
      <c r="AF1489">
        <v>2</v>
      </c>
      <c r="AG1489">
        <v>166</v>
      </c>
      <c r="AH1489">
        <v>673</v>
      </c>
      <c r="AI1489" s="122">
        <v>33366</v>
      </c>
      <c r="AJ1489" s="122">
        <v>30333</v>
      </c>
      <c r="AK1489">
        <v>63</v>
      </c>
      <c r="AL1489" s="122">
        <v>7775</v>
      </c>
      <c r="AM1489" s="122">
        <v>7068</v>
      </c>
      <c r="AN1489" s="122">
        <v>2992</v>
      </c>
      <c r="AO1489" s="122">
        <v>1108</v>
      </c>
      <c r="AP1489">
        <v>702</v>
      </c>
      <c r="AQ1489">
        <v>260</v>
      </c>
      <c r="AR1489" s="122">
        <v>6553</v>
      </c>
      <c r="AS1489" s="122">
        <v>5957</v>
      </c>
      <c r="AT1489" s="122">
        <v>4634</v>
      </c>
      <c r="AU1489" s="122">
        <v>1716</v>
      </c>
      <c r="AV1489" s="122">
        <v>46443</v>
      </c>
    </row>
    <row r="1490" spans="2:48" hidden="1">
      <c r="B1490" t="s">
        <v>374</v>
      </c>
      <c r="C1490" t="s">
        <v>56</v>
      </c>
      <c r="D1490" t="s">
        <v>406</v>
      </c>
      <c r="E1490" t="s">
        <v>426</v>
      </c>
      <c r="F1490" s="122">
        <v>1</v>
      </c>
      <c r="G1490" s="122">
        <v>90</v>
      </c>
      <c r="H1490" s="122">
        <v>210</v>
      </c>
      <c r="I1490" s="122">
        <v>7908</v>
      </c>
      <c r="J1490" s="122">
        <v>7189</v>
      </c>
      <c r="K1490" s="122">
        <v>79</v>
      </c>
      <c r="L1490" s="122">
        <v>2197</v>
      </c>
      <c r="M1490" s="122">
        <v>1997</v>
      </c>
      <c r="N1490" s="122">
        <v>1973</v>
      </c>
      <c r="O1490" s="122">
        <v>731</v>
      </c>
      <c r="P1490" s="122">
        <v>621</v>
      </c>
      <c r="Q1490" s="122">
        <v>230</v>
      </c>
      <c r="R1490" s="122">
        <v>3886</v>
      </c>
      <c r="S1490" s="122">
        <v>3532</v>
      </c>
      <c r="T1490" s="122">
        <v>2438</v>
      </c>
      <c r="U1490" s="122">
        <v>903</v>
      </c>
      <c r="V1490" s="122">
        <v>14583</v>
      </c>
      <c r="W1490" s="122">
        <f t="shared" si="46"/>
        <v>14582</v>
      </c>
      <c r="X1490" s="122">
        <f t="shared" si="47"/>
        <v>19023</v>
      </c>
      <c r="AA1490" t="s">
        <v>60</v>
      </c>
      <c r="AB1490" t="s">
        <v>426</v>
      </c>
      <c r="AC1490" t="s">
        <v>426</v>
      </c>
      <c r="AD1490" t="s">
        <v>137</v>
      </c>
      <c r="AE1490" t="s">
        <v>137</v>
      </c>
      <c r="AF1490">
        <v>3</v>
      </c>
      <c r="AG1490">
        <v>256</v>
      </c>
      <c r="AH1490" s="122">
        <v>1011</v>
      </c>
      <c r="AI1490" s="122">
        <v>36395</v>
      </c>
      <c r="AJ1490" s="122">
        <v>33087</v>
      </c>
      <c r="AK1490">
        <v>63</v>
      </c>
      <c r="AL1490" s="122">
        <v>8610</v>
      </c>
      <c r="AM1490" s="122">
        <v>7827</v>
      </c>
      <c r="AN1490" s="122">
        <v>5529</v>
      </c>
      <c r="AO1490" s="122">
        <v>2048</v>
      </c>
      <c r="AP1490">
        <v>351</v>
      </c>
      <c r="AQ1490">
        <v>130</v>
      </c>
      <c r="AR1490" s="122">
        <v>30997</v>
      </c>
      <c r="AS1490" s="122">
        <v>11480</v>
      </c>
      <c r="AT1490" s="122">
        <v>4676</v>
      </c>
      <c r="AU1490" s="122">
        <v>1732</v>
      </c>
      <c r="AV1490" s="122">
        <v>56304</v>
      </c>
    </row>
    <row r="1491" spans="2:48" hidden="1">
      <c r="B1491" t="s">
        <v>374</v>
      </c>
      <c r="C1491" t="s">
        <v>56</v>
      </c>
      <c r="D1491" t="s">
        <v>427</v>
      </c>
      <c r="E1491" t="s">
        <v>406</v>
      </c>
      <c r="F1491" s="122">
        <v>2</v>
      </c>
      <c r="G1491" s="122">
        <v>234</v>
      </c>
      <c r="H1491" s="122">
        <v>416</v>
      </c>
      <c r="I1491" s="122">
        <v>26046</v>
      </c>
      <c r="J1491" s="122">
        <v>23679</v>
      </c>
      <c r="K1491" s="122">
        <v>82</v>
      </c>
      <c r="L1491" s="122">
        <v>6264</v>
      </c>
      <c r="M1491" s="122">
        <v>5694</v>
      </c>
      <c r="N1491" s="122">
        <v>4782</v>
      </c>
      <c r="O1491" s="122">
        <v>1771</v>
      </c>
      <c r="P1491" s="122">
        <v>1242</v>
      </c>
      <c r="Q1491" s="122">
        <v>460</v>
      </c>
      <c r="R1491" s="122">
        <v>10941</v>
      </c>
      <c r="S1491" s="122">
        <v>9946</v>
      </c>
      <c r="T1491" s="122">
        <v>0</v>
      </c>
      <c r="U1491" s="122">
        <v>0</v>
      </c>
      <c r="V1491" s="122">
        <v>41550</v>
      </c>
      <c r="W1491" s="122">
        <f t="shared" si="46"/>
        <v>41550</v>
      </c>
      <c r="X1491" s="122">
        <f t="shared" si="47"/>
        <v>49275</v>
      </c>
      <c r="AA1491" t="s">
        <v>60</v>
      </c>
      <c r="AB1491" t="s">
        <v>426</v>
      </c>
      <c r="AC1491" t="s">
        <v>426</v>
      </c>
      <c r="AD1491" t="s">
        <v>137</v>
      </c>
      <c r="AE1491" t="s">
        <v>566</v>
      </c>
      <c r="AF1491">
        <v>15</v>
      </c>
      <c r="AG1491" s="122">
        <v>1284</v>
      </c>
      <c r="AH1491" s="122">
        <v>5162</v>
      </c>
      <c r="AI1491" s="122">
        <v>260429</v>
      </c>
      <c r="AJ1491" s="122">
        <v>236754</v>
      </c>
      <c r="AK1491">
        <v>54</v>
      </c>
      <c r="AL1491" s="122">
        <v>43795</v>
      </c>
      <c r="AM1491" s="122">
        <v>39813</v>
      </c>
      <c r="AN1491" s="122">
        <v>24636</v>
      </c>
      <c r="AO1491" s="122">
        <v>9124</v>
      </c>
      <c r="AP1491" s="122">
        <v>3861</v>
      </c>
      <c r="AQ1491" s="122">
        <v>1430</v>
      </c>
      <c r="AR1491" s="122">
        <v>124906</v>
      </c>
      <c r="AS1491" s="122">
        <v>46261</v>
      </c>
      <c r="AT1491">
        <v>0</v>
      </c>
      <c r="AU1491">
        <v>0</v>
      </c>
      <c r="AV1491" s="122">
        <v>333383</v>
      </c>
    </row>
    <row r="1492" spans="2:48" hidden="1">
      <c r="B1492" t="s">
        <v>374</v>
      </c>
      <c r="C1492" t="s">
        <v>56</v>
      </c>
      <c r="D1492" t="s">
        <v>427</v>
      </c>
      <c r="E1492" t="s">
        <v>427</v>
      </c>
      <c r="F1492" s="122">
        <v>1</v>
      </c>
      <c r="G1492" s="122">
        <v>78</v>
      </c>
      <c r="H1492" s="122">
        <v>174</v>
      </c>
      <c r="I1492" s="122">
        <v>6886</v>
      </c>
      <c r="J1492" s="122">
        <v>6260</v>
      </c>
      <c r="K1492" s="122">
        <v>91</v>
      </c>
      <c r="L1492" s="122">
        <v>1709</v>
      </c>
      <c r="M1492" s="122">
        <v>633</v>
      </c>
      <c r="N1492" s="122">
        <v>949</v>
      </c>
      <c r="O1492" s="122">
        <v>352</v>
      </c>
      <c r="P1492" s="122">
        <v>473</v>
      </c>
      <c r="Q1492" s="122">
        <v>175</v>
      </c>
      <c r="R1492" s="122">
        <v>3517</v>
      </c>
      <c r="S1492" s="122">
        <v>3197</v>
      </c>
      <c r="T1492" s="122">
        <v>0</v>
      </c>
      <c r="U1492" s="122">
        <v>0</v>
      </c>
      <c r="V1492" s="122">
        <v>10616</v>
      </c>
      <c r="W1492" s="122">
        <f t="shared" si="46"/>
        <v>10617</v>
      </c>
      <c r="X1492" s="122">
        <f t="shared" si="47"/>
        <v>13534</v>
      </c>
      <c r="AA1492" t="s">
        <v>60</v>
      </c>
      <c r="AB1492" t="s">
        <v>426</v>
      </c>
      <c r="AC1492" t="s">
        <v>426</v>
      </c>
      <c r="AD1492" t="s">
        <v>426</v>
      </c>
      <c r="AE1492" t="s">
        <v>137</v>
      </c>
      <c r="AF1492" s="122">
        <v>3238</v>
      </c>
      <c r="AG1492" s="122">
        <v>270261</v>
      </c>
      <c r="AH1492" s="122">
        <v>1102022</v>
      </c>
      <c r="AI1492" s="122">
        <v>50611200</v>
      </c>
      <c r="AJ1492" s="122">
        <v>46010182</v>
      </c>
      <c r="AK1492">
        <v>49</v>
      </c>
      <c r="AL1492" s="122">
        <v>8448163</v>
      </c>
      <c r="AM1492" s="122">
        <v>7680148</v>
      </c>
      <c r="AN1492" s="122">
        <v>5140219</v>
      </c>
      <c r="AO1492" s="122">
        <v>1903785</v>
      </c>
      <c r="AP1492" s="122">
        <v>1155730</v>
      </c>
      <c r="AQ1492" s="122">
        <v>428048</v>
      </c>
      <c r="AR1492" s="122">
        <v>19199066</v>
      </c>
      <c r="AS1492" s="122">
        <v>17453697</v>
      </c>
      <c r="AT1492" s="122">
        <v>7604787</v>
      </c>
      <c r="AU1492" s="122">
        <v>2816588</v>
      </c>
      <c r="AV1492" s="122">
        <v>76292447</v>
      </c>
    </row>
    <row r="1493" spans="2:48" hidden="1">
      <c r="B1493" t="s">
        <v>374</v>
      </c>
      <c r="C1493" t="s">
        <v>56</v>
      </c>
      <c r="D1493" t="s">
        <v>407</v>
      </c>
      <c r="E1493" t="s">
        <v>405</v>
      </c>
      <c r="F1493" s="122">
        <v>1</v>
      </c>
      <c r="G1493" s="122">
        <v>91</v>
      </c>
      <c r="H1493" s="122">
        <v>182</v>
      </c>
      <c r="I1493" s="122">
        <v>7404</v>
      </c>
      <c r="J1493" s="122">
        <v>6731</v>
      </c>
      <c r="K1493" s="122">
        <v>90</v>
      </c>
      <c r="L1493" s="122">
        <v>3714</v>
      </c>
      <c r="M1493" s="122">
        <v>3377</v>
      </c>
      <c r="N1493" s="122">
        <v>1722</v>
      </c>
      <c r="O1493" s="122">
        <v>638</v>
      </c>
      <c r="P1493" s="122">
        <v>473</v>
      </c>
      <c r="Q1493" s="122">
        <v>175</v>
      </c>
      <c r="R1493" s="122">
        <v>3298</v>
      </c>
      <c r="S1493" s="122">
        <v>2998</v>
      </c>
      <c r="T1493" s="122">
        <v>0</v>
      </c>
      <c r="U1493" s="122">
        <v>0</v>
      </c>
      <c r="V1493" s="122">
        <v>13918</v>
      </c>
      <c r="W1493" s="122">
        <f t="shared" si="46"/>
        <v>13919</v>
      </c>
      <c r="X1493" s="122">
        <f t="shared" si="47"/>
        <v>16611</v>
      </c>
      <c r="AA1493" t="s">
        <v>60</v>
      </c>
      <c r="AB1493" t="s">
        <v>426</v>
      </c>
      <c r="AC1493" t="s">
        <v>426</v>
      </c>
      <c r="AD1493" t="s">
        <v>426</v>
      </c>
      <c r="AE1493" t="s">
        <v>566</v>
      </c>
      <c r="AF1493">
        <v>106</v>
      </c>
      <c r="AG1493" s="122">
        <v>8565</v>
      </c>
      <c r="AH1493" s="122">
        <v>35713</v>
      </c>
      <c r="AI1493" s="122">
        <v>1583632</v>
      </c>
      <c r="AJ1493" s="122">
        <v>1439665</v>
      </c>
      <c r="AK1493">
        <v>55</v>
      </c>
      <c r="AL1493" s="122">
        <v>281384</v>
      </c>
      <c r="AM1493" s="122">
        <v>255804</v>
      </c>
      <c r="AN1493" s="122">
        <v>155835</v>
      </c>
      <c r="AO1493" s="122">
        <v>57716</v>
      </c>
      <c r="AP1493" s="122">
        <v>37699</v>
      </c>
      <c r="AQ1493" s="122">
        <v>13963</v>
      </c>
      <c r="AR1493" s="122">
        <v>827954</v>
      </c>
      <c r="AS1493" s="122">
        <v>752685</v>
      </c>
      <c r="AT1493">
        <v>0</v>
      </c>
      <c r="AU1493">
        <v>0</v>
      </c>
      <c r="AV1493" s="122">
        <v>2519834</v>
      </c>
    </row>
    <row r="1494" spans="2:48" hidden="1">
      <c r="B1494" t="s">
        <v>374</v>
      </c>
      <c r="C1494" t="s">
        <v>56</v>
      </c>
      <c r="D1494" t="s">
        <v>407</v>
      </c>
      <c r="E1494" t="s">
        <v>137</v>
      </c>
      <c r="F1494" s="122">
        <v>2</v>
      </c>
      <c r="G1494" s="122">
        <v>164</v>
      </c>
      <c r="H1494" s="122">
        <v>407</v>
      </c>
      <c r="I1494" s="122">
        <v>14601</v>
      </c>
      <c r="J1494" s="122">
        <v>13273</v>
      </c>
      <c r="K1494" s="122">
        <v>76</v>
      </c>
      <c r="L1494" s="122">
        <v>1354</v>
      </c>
      <c r="M1494" s="122">
        <v>1231</v>
      </c>
      <c r="N1494" s="122">
        <v>3065</v>
      </c>
      <c r="O1494" s="122">
        <v>1135</v>
      </c>
      <c r="P1494" s="122">
        <v>945</v>
      </c>
      <c r="Q1494" s="122">
        <v>350</v>
      </c>
      <c r="R1494" s="122">
        <v>13277</v>
      </c>
      <c r="S1494" s="122">
        <v>4917</v>
      </c>
      <c r="T1494" s="122">
        <v>0</v>
      </c>
      <c r="U1494" s="122">
        <v>0</v>
      </c>
      <c r="V1494" s="122">
        <v>20907</v>
      </c>
      <c r="W1494" s="122">
        <f t="shared" si="46"/>
        <v>20906</v>
      </c>
      <c r="X1494" s="122">
        <f t="shared" si="47"/>
        <v>33242</v>
      </c>
      <c r="AA1494" t="s">
        <v>60</v>
      </c>
      <c r="AB1494" t="s">
        <v>426</v>
      </c>
      <c r="AC1494" t="s">
        <v>426</v>
      </c>
      <c r="AD1494" t="s">
        <v>481</v>
      </c>
      <c r="AE1494" t="s">
        <v>137</v>
      </c>
      <c r="AF1494">
        <v>3</v>
      </c>
      <c r="AG1494">
        <v>279</v>
      </c>
      <c r="AH1494">
        <v>933</v>
      </c>
      <c r="AI1494" s="122">
        <v>52704</v>
      </c>
      <c r="AJ1494" s="122">
        <v>47913</v>
      </c>
      <c r="AK1494">
        <v>65</v>
      </c>
      <c r="AL1494" s="122">
        <v>12688</v>
      </c>
      <c r="AM1494" s="122">
        <v>11535</v>
      </c>
      <c r="AN1494" s="122">
        <v>3404</v>
      </c>
      <c r="AO1494" s="122">
        <v>1261</v>
      </c>
      <c r="AP1494" s="122">
        <v>1053</v>
      </c>
      <c r="AQ1494">
        <v>390</v>
      </c>
      <c r="AR1494" s="122">
        <v>11380</v>
      </c>
      <c r="AS1494" s="122">
        <v>10345</v>
      </c>
      <c r="AT1494" s="122">
        <v>5681</v>
      </c>
      <c r="AU1494" s="122">
        <v>2104</v>
      </c>
      <c r="AV1494" s="122">
        <v>73548</v>
      </c>
    </row>
    <row r="1495" spans="2:48" hidden="1">
      <c r="B1495" t="s">
        <v>374</v>
      </c>
      <c r="C1495" t="s">
        <v>56</v>
      </c>
      <c r="D1495" t="s">
        <v>407</v>
      </c>
      <c r="E1495" t="s">
        <v>406</v>
      </c>
      <c r="F1495" s="122">
        <v>5</v>
      </c>
      <c r="G1495" s="122">
        <v>586</v>
      </c>
      <c r="H1495" s="122">
        <v>1032</v>
      </c>
      <c r="I1495" s="122">
        <v>64507</v>
      </c>
      <c r="J1495" s="122">
        <v>58642</v>
      </c>
      <c r="K1495" s="122">
        <v>83</v>
      </c>
      <c r="L1495" s="122">
        <v>17038</v>
      </c>
      <c r="M1495" s="122">
        <v>15052</v>
      </c>
      <c r="N1495" s="122">
        <v>10955</v>
      </c>
      <c r="O1495" s="122">
        <v>4057</v>
      </c>
      <c r="P1495" s="122">
        <v>2363</v>
      </c>
      <c r="Q1495" s="122">
        <v>875</v>
      </c>
      <c r="R1495" s="122">
        <v>23952</v>
      </c>
      <c r="S1495" s="122">
        <v>21775</v>
      </c>
      <c r="T1495" s="122">
        <v>5374</v>
      </c>
      <c r="U1495" s="122">
        <v>1990</v>
      </c>
      <c r="V1495" s="122">
        <v>102392</v>
      </c>
      <c r="W1495" s="122">
        <f t="shared" si="46"/>
        <v>102391</v>
      </c>
      <c r="X1495" s="122">
        <f t="shared" si="47"/>
        <v>124189</v>
      </c>
      <c r="AA1495" t="s">
        <v>60</v>
      </c>
      <c r="AB1495" t="s">
        <v>426</v>
      </c>
      <c r="AC1495" t="s">
        <v>566</v>
      </c>
      <c r="AD1495" t="s">
        <v>137</v>
      </c>
      <c r="AE1495" t="s">
        <v>137</v>
      </c>
      <c r="AF1495">
        <v>1</v>
      </c>
      <c r="AG1495">
        <v>80</v>
      </c>
      <c r="AH1495">
        <v>340</v>
      </c>
      <c r="AI1495" s="122">
        <v>7893</v>
      </c>
      <c r="AJ1495" s="122">
        <v>7176</v>
      </c>
      <c r="AK1495">
        <v>55</v>
      </c>
      <c r="AL1495">
        <v>0</v>
      </c>
      <c r="AM1495">
        <v>0</v>
      </c>
      <c r="AN1495" s="122">
        <v>1433</v>
      </c>
      <c r="AO1495">
        <v>531</v>
      </c>
      <c r="AP1495">
        <v>351</v>
      </c>
      <c r="AQ1495">
        <v>130</v>
      </c>
      <c r="AR1495" s="122">
        <v>14640</v>
      </c>
      <c r="AS1495" s="122">
        <v>5422</v>
      </c>
      <c r="AT1495" s="122">
        <v>2879</v>
      </c>
      <c r="AU1495" s="122">
        <v>1066</v>
      </c>
      <c r="AV1495" s="122">
        <v>14325</v>
      </c>
    </row>
    <row r="1496" spans="2:48" hidden="1">
      <c r="B1496" t="s">
        <v>374</v>
      </c>
      <c r="C1496" t="s">
        <v>56</v>
      </c>
      <c r="D1496" t="s">
        <v>407</v>
      </c>
      <c r="E1496" t="s">
        <v>407</v>
      </c>
      <c r="F1496" s="122">
        <v>5249</v>
      </c>
      <c r="G1496" s="122">
        <v>535831</v>
      </c>
      <c r="H1496" s="122">
        <v>994666</v>
      </c>
      <c r="I1496" s="122">
        <v>48878628</v>
      </c>
      <c r="J1496" s="122">
        <v>44435116</v>
      </c>
      <c r="K1496" s="122">
        <v>84</v>
      </c>
      <c r="L1496" s="122">
        <v>12345017</v>
      </c>
      <c r="M1496" s="122">
        <v>10780264</v>
      </c>
      <c r="N1496" s="122">
        <v>10502182</v>
      </c>
      <c r="O1496" s="122">
        <v>3889697</v>
      </c>
      <c r="P1496" s="122">
        <v>2521776</v>
      </c>
      <c r="Q1496" s="122">
        <v>933991</v>
      </c>
      <c r="R1496" s="122">
        <v>23201989</v>
      </c>
      <c r="S1496" s="122">
        <v>21092717</v>
      </c>
      <c r="T1496" s="122">
        <v>5109946</v>
      </c>
      <c r="U1496" s="122">
        <v>1892573</v>
      </c>
      <c r="V1496" s="122">
        <v>83024358</v>
      </c>
      <c r="W1496" s="122">
        <f t="shared" si="46"/>
        <v>83024358</v>
      </c>
      <c r="X1496" s="122">
        <f t="shared" si="47"/>
        <v>102559538</v>
      </c>
      <c r="AA1496" t="s">
        <v>60</v>
      </c>
      <c r="AB1496" t="s">
        <v>426</v>
      </c>
      <c r="AC1496" t="s">
        <v>566</v>
      </c>
      <c r="AD1496" t="s">
        <v>137</v>
      </c>
      <c r="AE1496" t="s">
        <v>566</v>
      </c>
      <c r="AF1496">
        <v>6</v>
      </c>
      <c r="AG1496">
        <v>434</v>
      </c>
      <c r="AH1496" s="122">
        <v>2027</v>
      </c>
      <c r="AI1496" s="122">
        <v>97575</v>
      </c>
      <c r="AJ1496" s="122">
        <v>88704</v>
      </c>
      <c r="AK1496">
        <v>55</v>
      </c>
      <c r="AL1496">
        <v>0</v>
      </c>
      <c r="AM1496">
        <v>0</v>
      </c>
      <c r="AN1496" s="122">
        <v>9058</v>
      </c>
      <c r="AO1496" s="122">
        <v>3355</v>
      </c>
      <c r="AP1496" s="122">
        <v>1053</v>
      </c>
      <c r="AQ1496">
        <v>390</v>
      </c>
      <c r="AR1496" s="122">
        <v>38224</v>
      </c>
      <c r="AS1496" s="122">
        <v>14157</v>
      </c>
      <c r="AT1496">
        <v>0</v>
      </c>
      <c r="AU1496">
        <v>0</v>
      </c>
      <c r="AV1496" s="122">
        <v>106606</v>
      </c>
    </row>
    <row r="1497" spans="2:48" hidden="1">
      <c r="B1497" t="s">
        <v>374</v>
      </c>
      <c r="C1497" t="s">
        <v>56</v>
      </c>
      <c r="D1497" t="s">
        <v>407</v>
      </c>
      <c r="E1497" t="s">
        <v>426</v>
      </c>
      <c r="F1497" s="122">
        <v>1</v>
      </c>
      <c r="G1497" s="122">
        <v>120</v>
      </c>
      <c r="H1497" s="122">
        <v>170</v>
      </c>
      <c r="I1497" s="122">
        <v>9469</v>
      </c>
      <c r="J1497" s="122">
        <v>8608</v>
      </c>
      <c r="K1497" s="122">
        <v>72</v>
      </c>
      <c r="L1497" s="122">
        <v>2005</v>
      </c>
      <c r="M1497" s="122">
        <v>1823</v>
      </c>
      <c r="N1497" s="122">
        <v>2481</v>
      </c>
      <c r="O1497" s="122">
        <v>919</v>
      </c>
      <c r="P1497" s="122">
        <v>473</v>
      </c>
      <c r="Q1497" s="122">
        <v>175</v>
      </c>
      <c r="R1497" s="122">
        <v>3336</v>
      </c>
      <c r="S1497" s="122">
        <v>3033</v>
      </c>
      <c r="T1497" s="122">
        <v>2583</v>
      </c>
      <c r="U1497" s="122">
        <v>957</v>
      </c>
      <c r="V1497" s="122">
        <v>15515</v>
      </c>
      <c r="W1497" s="122">
        <f t="shared" si="46"/>
        <v>15515</v>
      </c>
      <c r="X1497" s="122">
        <f t="shared" si="47"/>
        <v>20347</v>
      </c>
      <c r="AA1497" t="s">
        <v>60</v>
      </c>
      <c r="AB1497" t="s">
        <v>426</v>
      </c>
      <c r="AC1497" t="s">
        <v>566</v>
      </c>
      <c r="AD1497" t="s">
        <v>406</v>
      </c>
      <c r="AE1497" t="s">
        <v>137</v>
      </c>
      <c r="AF1497">
        <v>1</v>
      </c>
      <c r="AG1497">
        <v>52</v>
      </c>
      <c r="AH1497">
        <v>308</v>
      </c>
      <c r="AI1497" s="122">
        <v>9515</v>
      </c>
      <c r="AJ1497" s="122">
        <v>8650</v>
      </c>
      <c r="AK1497">
        <v>69</v>
      </c>
      <c r="AL1497">
        <v>0</v>
      </c>
      <c r="AM1497">
        <v>0</v>
      </c>
      <c r="AN1497">
        <v>785</v>
      </c>
      <c r="AO1497">
        <v>291</v>
      </c>
      <c r="AP1497">
        <v>351</v>
      </c>
      <c r="AQ1497">
        <v>130</v>
      </c>
      <c r="AR1497" s="122">
        <v>3449</v>
      </c>
      <c r="AS1497" s="122">
        <v>3135</v>
      </c>
      <c r="AT1497" s="122">
        <v>1769</v>
      </c>
      <c r="AU1497">
        <v>655</v>
      </c>
      <c r="AV1497" s="122">
        <v>12861</v>
      </c>
    </row>
    <row r="1498" spans="2:48" hidden="1">
      <c r="B1498" t="s">
        <v>374</v>
      </c>
      <c r="C1498" t="s">
        <v>56</v>
      </c>
      <c r="D1498" t="s">
        <v>426</v>
      </c>
      <c r="E1498" t="s">
        <v>137</v>
      </c>
      <c r="F1498" s="122">
        <v>1</v>
      </c>
      <c r="G1498" s="122">
        <v>88</v>
      </c>
      <c r="H1498" s="122">
        <v>217</v>
      </c>
      <c r="I1498" s="122">
        <v>7951</v>
      </c>
      <c r="J1498" s="122">
        <v>7228</v>
      </c>
      <c r="K1498" s="122">
        <v>70</v>
      </c>
      <c r="L1498" s="122">
        <v>2411</v>
      </c>
      <c r="M1498" s="122">
        <v>893</v>
      </c>
      <c r="N1498" s="122">
        <v>1577</v>
      </c>
      <c r="O1498" s="122">
        <v>584</v>
      </c>
      <c r="P1498" s="122">
        <v>351</v>
      </c>
      <c r="Q1498" s="122">
        <v>130</v>
      </c>
      <c r="R1498" s="122">
        <v>9318</v>
      </c>
      <c r="S1498" s="122">
        <v>3451</v>
      </c>
      <c r="T1498" s="122">
        <v>0</v>
      </c>
      <c r="U1498" s="122">
        <v>0</v>
      </c>
      <c r="V1498" s="122">
        <v>12286</v>
      </c>
      <c r="W1498" s="122">
        <f t="shared" si="46"/>
        <v>12286</v>
      </c>
      <c r="X1498" s="122">
        <f t="shared" si="47"/>
        <v>21608</v>
      </c>
      <c r="AA1498" t="s">
        <v>60</v>
      </c>
      <c r="AB1498" t="s">
        <v>426</v>
      </c>
      <c r="AC1498" t="s">
        <v>566</v>
      </c>
      <c r="AD1498" t="s">
        <v>426</v>
      </c>
      <c r="AE1498" t="s">
        <v>137</v>
      </c>
      <c r="AF1498" s="122">
        <v>1262</v>
      </c>
      <c r="AG1498" s="122">
        <v>81394</v>
      </c>
      <c r="AH1498" s="122">
        <v>427383</v>
      </c>
      <c r="AI1498" s="122">
        <v>16941338</v>
      </c>
      <c r="AJ1498" s="122">
        <v>15401216</v>
      </c>
      <c r="AK1498">
        <v>58</v>
      </c>
      <c r="AL1498">
        <v>0</v>
      </c>
      <c r="AM1498" s="122">
        <v>47103</v>
      </c>
      <c r="AN1498" s="122">
        <v>1592386</v>
      </c>
      <c r="AO1498" s="122">
        <v>589773</v>
      </c>
      <c r="AP1498" s="122">
        <v>450981</v>
      </c>
      <c r="AQ1498" s="122">
        <v>167030</v>
      </c>
      <c r="AR1498" s="122">
        <v>5867694</v>
      </c>
      <c r="AS1498" s="122">
        <v>5334267</v>
      </c>
      <c r="AT1498" s="122">
        <v>2627422</v>
      </c>
      <c r="AU1498" s="122">
        <v>973119</v>
      </c>
      <c r="AV1498" s="122">
        <v>22512508</v>
      </c>
    </row>
    <row r="1499" spans="2:48" hidden="1">
      <c r="B1499" t="s">
        <v>374</v>
      </c>
      <c r="C1499" t="s">
        <v>56</v>
      </c>
      <c r="D1499" t="s">
        <v>426</v>
      </c>
      <c r="E1499" t="s">
        <v>406</v>
      </c>
      <c r="F1499" s="122">
        <v>1</v>
      </c>
      <c r="G1499" s="122">
        <v>96</v>
      </c>
      <c r="H1499" s="122">
        <v>175</v>
      </c>
      <c r="I1499" s="122">
        <v>6699</v>
      </c>
      <c r="J1499" s="122">
        <v>6090</v>
      </c>
      <c r="K1499" s="122">
        <v>86</v>
      </c>
      <c r="L1499" s="122">
        <v>2015</v>
      </c>
      <c r="M1499" s="122">
        <v>1831</v>
      </c>
      <c r="N1499" s="122">
        <v>2105</v>
      </c>
      <c r="O1499" s="122">
        <v>780</v>
      </c>
      <c r="P1499" s="122">
        <v>621</v>
      </c>
      <c r="Q1499" s="122">
        <v>230</v>
      </c>
      <c r="R1499" s="122">
        <v>2883</v>
      </c>
      <c r="S1499" s="122">
        <v>2621</v>
      </c>
      <c r="T1499" s="122">
        <v>2510</v>
      </c>
      <c r="U1499" s="122">
        <v>930</v>
      </c>
      <c r="V1499" s="122">
        <v>12481</v>
      </c>
      <c r="W1499" s="122">
        <f t="shared" si="46"/>
        <v>12482</v>
      </c>
      <c r="X1499" s="122">
        <f t="shared" si="47"/>
        <v>16833</v>
      </c>
      <c r="AA1499" t="s">
        <v>60</v>
      </c>
      <c r="AB1499" t="s">
        <v>426</v>
      </c>
      <c r="AC1499" t="s">
        <v>566</v>
      </c>
      <c r="AD1499" t="s">
        <v>426</v>
      </c>
      <c r="AE1499" t="s">
        <v>566</v>
      </c>
      <c r="AF1499">
        <v>46</v>
      </c>
      <c r="AG1499" s="122">
        <v>3157</v>
      </c>
      <c r="AH1499" s="122">
        <v>15615</v>
      </c>
      <c r="AI1499" s="122">
        <v>677817</v>
      </c>
      <c r="AJ1499" s="122">
        <v>616198</v>
      </c>
      <c r="AK1499">
        <v>57</v>
      </c>
      <c r="AL1499">
        <v>0</v>
      </c>
      <c r="AM1499" s="122">
        <v>3069</v>
      </c>
      <c r="AN1499" s="122">
        <v>62108</v>
      </c>
      <c r="AO1499" s="122">
        <v>23003</v>
      </c>
      <c r="AP1499" s="122">
        <v>15822</v>
      </c>
      <c r="AQ1499" s="122">
        <v>5860</v>
      </c>
      <c r="AR1499" s="122">
        <v>318916</v>
      </c>
      <c r="AS1499" s="122">
        <v>289924</v>
      </c>
      <c r="AT1499">
        <v>0</v>
      </c>
      <c r="AU1499">
        <v>0</v>
      </c>
      <c r="AV1499" s="122">
        <v>938053</v>
      </c>
    </row>
    <row r="1500" spans="2:48" hidden="1">
      <c r="B1500" t="s">
        <v>374</v>
      </c>
      <c r="C1500" t="s">
        <v>56</v>
      </c>
      <c r="D1500" t="s">
        <v>426</v>
      </c>
      <c r="E1500" t="s">
        <v>426</v>
      </c>
      <c r="F1500" s="122">
        <v>90</v>
      </c>
      <c r="G1500" s="122">
        <v>7585</v>
      </c>
      <c r="H1500" s="122">
        <v>18498</v>
      </c>
      <c r="I1500" s="122">
        <v>883765</v>
      </c>
      <c r="J1500" s="122">
        <v>803423</v>
      </c>
      <c r="K1500" s="122">
        <v>65</v>
      </c>
      <c r="L1500" s="122">
        <v>88789</v>
      </c>
      <c r="M1500" s="122">
        <v>74944</v>
      </c>
      <c r="N1500" s="122">
        <v>133836</v>
      </c>
      <c r="O1500" s="122">
        <v>49569</v>
      </c>
      <c r="P1500" s="122">
        <v>32859</v>
      </c>
      <c r="Q1500" s="122">
        <v>12170</v>
      </c>
      <c r="R1500" s="122">
        <v>300076</v>
      </c>
      <c r="S1500" s="122">
        <v>272796</v>
      </c>
      <c r="T1500" s="122">
        <v>123987</v>
      </c>
      <c r="U1500" s="122">
        <v>45921</v>
      </c>
      <c r="V1500" s="122">
        <v>1258823</v>
      </c>
      <c r="W1500" s="122">
        <f t="shared" si="46"/>
        <v>1258823</v>
      </c>
      <c r="X1500" s="122">
        <f t="shared" si="47"/>
        <v>1563312</v>
      </c>
      <c r="AA1500" t="s">
        <v>60</v>
      </c>
      <c r="AB1500" t="s">
        <v>426</v>
      </c>
      <c r="AC1500" t="s">
        <v>481</v>
      </c>
      <c r="AD1500" t="s">
        <v>426</v>
      </c>
      <c r="AE1500" t="s">
        <v>137</v>
      </c>
      <c r="AF1500">
        <v>3</v>
      </c>
      <c r="AG1500">
        <v>250</v>
      </c>
      <c r="AH1500" s="122">
        <v>1031</v>
      </c>
      <c r="AI1500" s="122">
        <v>43271</v>
      </c>
      <c r="AJ1500" s="122">
        <v>39337</v>
      </c>
      <c r="AK1500">
        <v>45</v>
      </c>
      <c r="AL1500" s="122">
        <v>7212</v>
      </c>
      <c r="AM1500" s="122">
        <v>6556</v>
      </c>
      <c r="AN1500" s="122">
        <v>5046</v>
      </c>
      <c r="AO1500" s="122">
        <v>1869</v>
      </c>
      <c r="AP1500" s="122">
        <v>1053</v>
      </c>
      <c r="AQ1500">
        <v>390</v>
      </c>
      <c r="AR1500" s="122">
        <v>21033</v>
      </c>
      <c r="AS1500" s="122">
        <v>19121</v>
      </c>
      <c r="AT1500" s="122">
        <v>8181</v>
      </c>
      <c r="AU1500" s="122">
        <v>3030</v>
      </c>
      <c r="AV1500" s="122">
        <v>70303</v>
      </c>
    </row>
    <row r="1501" spans="2:48" hidden="1">
      <c r="B1501" t="s">
        <v>374</v>
      </c>
      <c r="C1501" t="s">
        <v>56</v>
      </c>
      <c r="D1501" t="s">
        <v>408</v>
      </c>
      <c r="E1501" t="s">
        <v>408</v>
      </c>
      <c r="F1501" s="122">
        <v>15</v>
      </c>
      <c r="G1501" s="122">
        <v>804</v>
      </c>
      <c r="H1501" s="122">
        <v>3091</v>
      </c>
      <c r="I1501" s="122">
        <v>94587</v>
      </c>
      <c r="J1501" s="122">
        <v>85988</v>
      </c>
      <c r="K1501" s="122">
        <v>83</v>
      </c>
      <c r="L1501" s="122">
        <v>15811</v>
      </c>
      <c r="M1501" s="122">
        <v>13876</v>
      </c>
      <c r="N1501" s="122">
        <v>10542</v>
      </c>
      <c r="O1501" s="122">
        <v>3904</v>
      </c>
      <c r="P1501" s="122">
        <v>5265</v>
      </c>
      <c r="Q1501" s="122">
        <v>1950</v>
      </c>
      <c r="R1501" s="122">
        <v>38337</v>
      </c>
      <c r="S1501" s="122">
        <v>34852</v>
      </c>
      <c r="T1501" s="122">
        <v>7284</v>
      </c>
      <c r="U1501" s="122">
        <v>2698</v>
      </c>
      <c r="V1501" s="122">
        <v>143268</v>
      </c>
      <c r="W1501" s="122">
        <f t="shared" si="46"/>
        <v>143268</v>
      </c>
      <c r="X1501" s="122">
        <f t="shared" si="47"/>
        <v>171826</v>
      </c>
      <c r="AA1501" t="s">
        <v>60</v>
      </c>
      <c r="AB1501" t="s">
        <v>426</v>
      </c>
      <c r="AC1501" t="s">
        <v>433</v>
      </c>
      <c r="AD1501" t="s">
        <v>426</v>
      </c>
      <c r="AE1501" t="s">
        <v>137</v>
      </c>
      <c r="AF1501">
        <v>5</v>
      </c>
      <c r="AG1501">
        <v>368</v>
      </c>
      <c r="AH1501" s="122">
        <v>1731</v>
      </c>
      <c r="AI1501" s="122">
        <v>81727</v>
      </c>
      <c r="AJ1501" s="122">
        <v>74298</v>
      </c>
      <c r="AK1501">
        <v>51</v>
      </c>
      <c r="AL1501" s="122">
        <v>10537</v>
      </c>
      <c r="AM1501" s="122">
        <v>9579</v>
      </c>
      <c r="AN1501" s="122">
        <v>6157</v>
      </c>
      <c r="AO1501" s="122">
        <v>2280</v>
      </c>
      <c r="AP1501" s="122">
        <v>1755</v>
      </c>
      <c r="AQ1501">
        <v>650</v>
      </c>
      <c r="AR1501" s="122">
        <v>29856</v>
      </c>
      <c r="AS1501" s="122">
        <v>27142</v>
      </c>
      <c r="AT1501" s="122">
        <v>9714</v>
      </c>
      <c r="AU1501" s="122">
        <v>3598</v>
      </c>
      <c r="AV1501" s="122">
        <v>117547</v>
      </c>
    </row>
    <row r="1502" spans="2:48" hidden="1">
      <c r="B1502" t="s">
        <v>374</v>
      </c>
      <c r="C1502" t="s">
        <v>56</v>
      </c>
      <c r="D1502" t="s">
        <v>429</v>
      </c>
      <c r="E1502" t="s">
        <v>429</v>
      </c>
      <c r="F1502" s="122">
        <v>1</v>
      </c>
      <c r="G1502" s="122">
        <v>43</v>
      </c>
      <c r="H1502" s="122">
        <v>217</v>
      </c>
      <c r="I1502" s="122">
        <v>5181</v>
      </c>
      <c r="J1502" s="122">
        <v>4710</v>
      </c>
      <c r="K1502" s="122">
        <v>87</v>
      </c>
      <c r="L1502" s="122">
        <v>0</v>
      </c>
      <c r="M1502" s="122">
        <v>0</v>
      </c>
      <c r="N1502" s="122">
        <v>526</v>
      </c>
      <c r="O1502" s="122">
        <v>195</v>
      </c>
      <c r="P1502" s="122">
        <v>351</v>
      </c>
      <c r="Q1502" s="122">
        <v>130</v>
      </c>
      <c r="R1502" s="122">
        <v>3298</v>
      </c>
      <c r="S1502" s="122">
        <v>2998</v>
      </c>
      <c r="T1502" s="122">
        <v>0</v>
      </c>
      <c r="U1502" s="122">
        <v>0</v>
      </c>
      <c r="V1502" s="122">
        <v>8033</v>
      </c>
      <c r="W1502" s="122">
        <f t="shared" si="46"/>
        <v>8033</v>
      </c>
      <c r="X1502" s="122">
        <f t="shared" si="47"/>
        <v>9356</v>
      </c>
      <c r="AA1502" t="s">
        <v>60</v>
      </c>
      <c r="AB1502" t="s">
        <v>426</v>
      </c>
      <c r="AC1502" t="s">
        <v>429</v>
      </c>
      <c r="AD1502" t="s">
        <v>426</v>
      </c>
      <c r="AE1502" t="s">
        <v>137</v>
      </c>
      <c r="AF1502">
        <v>1</v>
      </c>
      <c r="AG1502">
        <v>87</v>
      </c>
      <c r="AH1502">
        <v>313</v>
      </c>
      <c r="AI1502" s="122">
        <v>14940</v>
      </c>
      <c r="AJ1502" s="122">
        <v>13582</v>
      </c>
      <c r="AK1502">
        <v>45</v>
      </c>
      <c r="AL1502" s="122">
        <v>1149</v>
      </c>
      <c r="AM1502" s="122">
        <v>1045</v>
      </c>
      <c r="AN1502" s="122">
        <v>1938</v>
      </c>
      <c r="AO1502">
        <v>718</v>
      </c>
      <c r="AP1502">
        <v>351</v>
      </c>
      <c r="AQ1502">
        <v>130</v>
      </c>
      <c r="AR1502" s="122">
        <v>6394</v>
      </c>
      <c r="AS1502" s="122">
        <v>5813</v>
      </c>
      <c r="AT1502" s="122">
        <v>2392</v>
      </c>
      <c r="AU1502">
        <v>886</v>
      </c>
      <c r="AV1502" s="122">
        <v>22172</v>
      </c>
    </row>
    <row r="1503" spans="2:48" hidden="1">
      <c r="B1503" t="s">
        <v>374</v>
      </c>
      <c r="C1503" t="s">
        <v>58</v>
      </c>
      <c r="D1503" t="s">
        <v>425</v>
      </c>
      <c r="E1503" t="s">
        <v>425</v>
      </c>
      <c r="F1503" s="122">
        <v>1</v>
      </c>
      <c r="G1503" s="122">
        <v>102</v>
      </c>
      <c r="H1503" s="122">
        <v>267</v>
      </c>
      <c r="I1503" s="122">
        <v>12854</v>
      </c>
      <c r="J1503" s="122">
        <v>11685</v>
      </c>
      <c r="K1503" s="122">
        <v>68</v>
      </c>
      <c r="L1503" s="122">
        <v>3075</v>
      </c>
      <c r="M1503" s="122">
        <v>2796</v>
      </c>
      <c r="N1503" s="122">
        <v>2170</v>
      </c>
      <c r="O1503" s="122">
        <v>804</v>
      </c>
      <c r="P1503" s="122">
        <v>473</v>
      </c>
      <c r="Q1503" s="122">
        <v>175</v>
      </c>
      <c r="R1503" s="122">
        <v>5441</v>
      </c>
      <c r="S1503" s="122">
        <v>4947</v>
      </c>
      <c r="T1503" s="122">
        <v>3163</v>
      </c>
      <c r="U1503" s="122">
        <v>1171</v>
      </c>
      <c r="V1503" s="122">
        <v>21578</v>
      </c>
      <c r="W1503" s="122">
        <f t="shared" si="46"/>
        <v>21578</v>
      </c>
      <c r="X1503" s="122">
        <f t="shared" si="47"/>
        <v>27176</v>
      </c>
      <c r="AA1503" t="s">
        <v>60</v>
      </c>
      <c r="AB1503" t="s">
        <v>481</v>
      </c>
      <c r="AC1503" t="s">
        <v>426</v>
      </c>
      <c r="AD1503" t="s">
        <v>426</v>
      </c>
      <c r="AE1503" t="s">
        <v>137</v>
      </c>
      <c r="AF1503">
        <v>2</v>
      </c>
      <c r="AG1503">
        <v>165</v>
      </c>
      <c r="AH1503">
        <v>664</v>
      </c>
      <c r="AI1503" s="122">
        <v>29074</v>
      </c>
      <c r="AJ1503" s="122">
        <v>26431</v>
      </c>
      <c r="AK1503">
        <v>45</v>
      </c>
      <c r="AL1503" s="122">
        <v>4846</v>
      </c>
      <c r="AM1503" s="122">
        <v>4405</v>
      </c>
      <c r="AN1503" s="122">
        <v>2217</v>
      </c>
      <c r="AO1503">
        <v>821</v>
      </c>
      <c r="AP1503">
        <v>702</v>
      </c>
      <c r="AQ1503">
        <v>260</v>
      </c>
      <c r="AR1503" s="122">
        <v>13054</v>
      </c>
      <c r="AS1503" s="122">
        <v>11868</v>
      </c>
      <c r="AT1503" s="122">
        <v>4928</v>
      </c>
      <c r="AU1503" s="122">
        <v>1825</v>
      </c>
      <c r="AV1503" s="122">
        <v>45610</v>
      </c>
    </row>
    <row r="1504" spans="2:48" hidden="1">
      <c r="B1504" t="s">
        <v>374</v>
      </c>
      <c r="C1504" t="s">
        <v>58</v>
      </c>
      <c r="D1504" t="s">
        <v>405</v>
      </c>
      <c r="E1504" t="s">
        <v>425</v>
      </c>
      <c r="F1504" s="122">
        <v>1</v>
      </c>
      <c r="G1504" s="122">
        <v>131</v>
      </c>
      <c r="H1504" s="122">
        <v>262</v>
      </c>
      <c r="I1504" s="122">
        <v>19612</v>
      </c>
      <c r="J1504" s="122">
        <v>17829</v>
      </c>
      <c r="K1504" s="122">
        <v>90</v>
      </c>
      <c r="L1504" s="122">
        <v>6545</v>
      </c>
      <c r="M1504" s="122">
        <v>5950</v>
      </c>
      <c r="N1504" s="122">
        <v>3204</v>
      </c>
      <c r="O1504" s="122">
        <v>1187</v>
      </c>
      <c r="P1504" s="122">
        <v>473</v>
      </c>
      <c r="Q1504" s="122">
        <v>175</v>
      </c>
      <c r="R1504" s="122">
        <v>4596</v>
      </c>
      <c r="S1504" s="122">
        <v>4179</v>
      </c>
      <c r="T1504" s="122">
        <v>0</v>
      </c>
      <c r="U1504" s="122">
        <v>0</v>
      </c>
      <c r="V1504" s="122">
        <v>29319</v>
      </c>
      <c r="W1504" s="122">
        <f t="shared" si="46"/>
        <v>29320</v>
      </c>
      <c r="X1504" s="122">
        <f t="shared" si="47"/>
        <v>34430</v>
      </c>
      <c r="AA1504" t="s">
        <v>60</v>
      </c>
      <c r="AB1504" t="s">
        <v>481</v>
      </c>
      <c r="AC1504" t="s">
        <v>566</v>
      </c>
      <c r="AD1504" t="s">
        <v>426</v>
      </c>
      <c r="AE1504" t="s">
        <v>137</v>
      </c>
      <c r="AF1504">
        <v>4</v>
      </c>
      <c r="AG1504">
        <v>195</v>
      </c>
      <c r="AH1504" s="122">
        <v>1355</v>
      </c>
      <c r="AI1504" s="122">
        <v>40890</v>
      </c>
      <c r="AJ1504" s="122">
        <v>37173</v>
      </c>
      <c r="AK1504">
        <v>65</v>
      </c>
      <c r="AL1504">
        <v>0</v>
      </c>
      <c r="AM1504">
        <v>0</v>
      </c>
      <c r="AN1504" s="122">
        <v>2370</v>
      </c>
      <c r="AO1504">
        <v>878</v>
      </c>
      <c r="AP1504" s="122">
        <v>1404</v>
      </c>
      <c r="AQ1504">
        <v>520</v>
      </c>
      <c r="AR1504" s="122">
        <v>14324</v>
      </c>
      <c r="AS1504" s="122">
        <v>13021</v>
      </c>
      <c r="AT1504" s="122">
        <v>6908</v>
      </c>
      <c r="AU1504" s="122">
        <v>2558</v>
      </c>
      <c r="AV1504" s="122">
        <v>54151</v>
      </c>
    </row>
    <row r="1505" spans="2:48" hidden="1">
      <c r="B1505" t="s">
        <v>374</v>
      </c>
      <c r="C1505" t="s">
        <v>58</v>
      </c>
      <c r="D1505" t="s">
        <v>405</v>
      </c>
      <c r="E1505" t="s">
        <v>405</v>
      </c>
      <c r="F1505" s="122">
        <v>6</v>
      </c>
      <c r="G1505" s="122">
        <v>539</v>
      </c>
      <c r="H1505" s="122">
        <v>1484</v>
      </c>
      <c r="I1505" s="122">
        <v>82267</v>
      </c>
      <c r="J1505" s="122">
        <v>74788</v>
      </c>
      <c r="K1505" s="122">
        <v>77</v>
      </c>
      <c r="L1505" s="122">
        <v>8314</v>
      </c>
      <c r="M1505" s="122">
        <v>7558</v>
      </c>
      <c r="N1505" s="122">
        <v>9806</v>
      </c>
      <c r="O1505" s="122">
        <v>3632</v>
      </c>
      <c r="P1505" s="122">
        <v>2714</v>
      </c>
      <c r="Q1505" s="122">
        <v>1005</v>
      </c>
      <c r="R1505" s="122">
        <v>23371</v>
      </c>
      <c r="S1505" s="122">
        <v>21247</v>
      </c>
      <c r="T1505" s="122">
        <v>6190</v>
      </c>
      <c r="U1505" s="122">
        <v>2293</v>
      </c>
      <c r="V1505" s="122">
        <v>110522</v>
      </c>
      <c r="W1505" s="122">
        <f t="shared" si="46"/>
        <v>110523</v>
      </c>
      <c r="X1505" s="122">
        <f t="shared" si="47"/>
        <v>132662</v>
      </c>
      <c r="AA1505" t="s">
        <v>60</v>
      </c>
      <c r="AB1505" t="s">
        <v>433</v>
      </c>
      <c r="AC1505" t="s">
        <v>137</v>
      </c>
      <c r="AD1505" t="s">
        <v>137</v>
      </c>
      <c r="AE1505" t="s">
        <v>566</v>
      </c>
      <c r="AF1505">
        <v>1</v>
      </c>
      <c r="AG1505">
        <v>57</v>
      </c>
      <c r="AH1505">
        <v>309</v>
      </c>
      <c r="AI1505" s="122">
        <v>4891</v>
      </c>
      <c r="AJ1505" s="122">
        <v>4447</v>
      </c>
      <c r="AK1505">
        <v>75</v>
      </c>
      <c r="AL1505" s="122">
        <v>2257</v>
      </c>
      <c r="AM1505">
        <v>836</v>
      </c>
      <c r="AN1505" s="122">
        <v>1176</v>
      </c>
      <c r="AO1505">
        <v>435</v>
      </c>
      <c r="AP1505">
        <v>351</v>
      </c>
      <c r="AQ1505">
        <v>130</v>
      </c>
      <c r="AR1505" s="122">
        <v>8881</v>
      </c>
      <c r="AS1505" s="122">
        <v>3289</v>
      </c>
      <c r="AT1505">
        <v>0</v>
      </c>
      <c r="AU1505">
        <v>0</v>
      </c>
      <c r="AV1505" s="122">
        <v>9138</v>
      </c>
    </row>
    <row r="1506" spans="2:48" hidden="1">
      <c r="B1506" t="s">
        <v>374</v>
      </c>
      <c r="C1506" t="s">
        <v>58</v>
      </c>
      <c r="D1506" t="s">
        <v>137</v>
      </c>
      <c r="E1506" t="s">
        <v>137</v>
      </c>
      <c r="F1506" s="122">
        <v>168</v>
      </c>
      <c r="G1506" s="122">
        <v>15438</v>
      </c>
      <c r="H1506" s="122">
        <v>45233</v>
      </c>
      <c r="I1506" s="122">
        <v>2314870</v>
      </c>
      <c r="J1506" s="122">
        <v>857359</v>
      </c>
      <c r="K1506" s="122">
        <v>100</v>
      </c>
      <c r="L1506" s="122">
        <v>335157</v>
      </c>
      <c r="M1506" s="122">
        <v>238375</v>
      </c>
      <c r="N1506" s="122">
        <v>305582</v>
      </c>
      <c r="O1506" s="122">
        <v>113178</v>
      </c>
      <c r="P1506" s="122">
        <v>6996</v>
      </c>
      <c r="Q1506" s="122">
        <v>2591</v>
      </c>
      <c r="R1506" s="122">
        <v>1223122</v>
      </c>
      <c r="S1506" s="122">
        <v>453008</v>
      </c>
      <c r="T1506" s="122">
        <v>4227</v>
      </c>
      <c r="U1506" s="122">
        <v>1566</v>
      </c>
      <c r="V1506" s="122">
        <v>1666077</v>
      </c>
      <c r="W1506" s="122">
        <f t="shared" si="46"/>
        <v>1666077</v>
      </c>
      <c r="X1506" s="122">
        <f t="shared" si="47"/>
        <v>4189954</v>
      </c>
      <c r="AA1506" t="s">
        <v>60</v>
      </c>
      <c r="AB1506" t="s">
        <v>433</v>
      </c>
      <c r="AC1506" t="s">
        <v>137</v>
      </c>
      <c r="AD1506" t="s">
        <v>433</v>
      </c>
      <c r="AE1506" t="s">
        <v>137</v>
      </c>
      <c r="AF1506">
        <v>11</v>
      </c>
      <c r="AG1506">
        <v>678</v>
      </c>
      <c r="AH1506" s="122">
        <v>3610</v>
      </c>
      <c r="AI1506" s="122">
        <v>111422</v>
      </c>
      <c r="AJ1506" s="122">
        <v>101293</v>
      </c>
      <c r="AK1506">
        <v>62</v>
      </c>
      <c r="AL1506" s="122">
        <v>23227</v>
      </c>
      <c r="AM1506" s="122">
        <v>8603</v>
      </c>
      <c r="AN1506" s="122">
        <v>12397</v>
      </c>
      <c r="AO1506" s="122">
        <v>4592</v>
      </c>
      <c r="AP1506" s="122">
        <v>3861</v>
      </c>
      <c r="AQ1506" s="122">
        <v>1430</v>
      </c>
      <c r="AR1506" s="122">
        <v>48636</v>
      </c>
      <c r="AS1506" s="122">
        <v>44214</v>
      </c>
      <c r="AT1506" s="122">
        <v>23450</v>
      </c>
      <c r="AU1506" s="122">
        <v>8685</v>
      </c>
      <c r="AV1506" s="122">
        <v>168816</v>
      </c>
    </row>
    <row r="1507" spans="2:48" hidden="1">
      <c r="B1507" t="s">
        <v>374</v>
      </c>
      <c r="C1507" t="s">
        <v>58</v>
      </c>
      <c r="D1507" t="s">
        <v>137</v>
      </c>
      <c r="E1507" t="s">
        <v>556</v>
      </c>
      <c r="F1507" s="122">
        <v>2</v>
      </c>
      <c r="G1507" s="122">
        <v>180</v>
      </c>
      <c r="H1507" s="122">
        <v>548</v>
      </c>
      <c r="I1507" s="122">
        <v>23362</v>
      </c>
      <c r="J1507" s="122">
        <v>8652</v>
      </c>
      <c r="K1507" s="122">
        <v>100</v>
      </c>
      <c r="L1507" s="122">
        <v>3515</v>
      </c>
      <c r="M1507" s="122">
        <v>2929</v>
      </c>
      <c r="N1507" s="122">
        <v>4200</v>
      </c>
      <c r="O1507" s="122">
        <v>1555</v>
      </c>
      <c r="P1507" s="122">
        <v>0</v>
      </c>
      <c r="Q1507" s="122">
        <v>0</v>
      </c>
      <c r="R1507" s="122">
        <v>13159</v>
      </c>
      <c r="S1507" s="122">
        <v>10966</v>
      </c>
      <c r="T1507" s="122">
        <v>4947</v>
      </c>
      <c r="U1507" s="122">
        <v>1832</v>
      </c>
      <c r="V1507" s="122">
        <v>25935</v>
      </c>
      <c r="W1507" s="122">
        <f t="shared" si="46"/>
        <v>25934</v>
      </c>
      <c r="X1507" s="122">
        <f t="shared" si="47"/>
        <v>49183</v>
      </c>
      <c r="AA1507" t="s">
        <v>60</v>
      </c>
      <c r="AB1507" t="s">
        <v>433</v>
      </c>
      <c r="AC1507" t="s">
        <v>427</v>
      </c>
      <c r="AD1507" t="s">
        <v>433</v>
      </c>
      <c r="AE1507" t="s">
        <v>137</v>
      </c>
      <c r="AF1507">
        <v>4</v>
      </c>
      <c r="AG1507">
        <v>337</v>
      </c>
      <c r="AH1507" s="122">
        <v>1410</v>
      </c>
      <c r="AI1507" s="122">
        <v>72314</v>
      </c>
      <c r="AJ1507" s="122">
        <v>65740</v>
      </c>
      <c r="AK1507">
        <v>51</v>
      </c>
      <c r="AL1507" s="122">
        <v>9989</v>
      </c>
      <c r="AM1507" s="122">
        <v>9081</v>
      </c>
      <c r="AN1507" s="122">
        <v>6388</v>
      </c>
      <c r="AO1507" s="122">
        <v>2366</v>
      </c>
      <c r="AP1507" s="122">
        <v>1404</v>
      </c>
      <c r="AQ1507">
        <v>520</v>
      </c>
      <c r="AR1507" s="122">
        <v>19850</v>
      </c>
      <c r="AS1507" s="122">
        <v>18045</v>
      </c>
      <c r="AT1507" s="122">
        <v>8439</v>
      </c>
      <c r="AU1507" s="122">
        <v>3126</v>
      </c>
      <c r="AV1507" s="122">
        <v>98878</v>
      </c>
    </row>
    <row r="1508" spans="2:48" hidden="1">
      <c r="B1508" t="s">
        <v>374</v>
      </c>
      <c r="C1508" t="s">
        <v>58</v>
      </c>
      <c r="D1508" t="s">
        <v>137</v>
      </c>
      <c r="E1508" t="s">
        <v>426</v>
      </c>
      <c r="F1508" s="122">
        <v>8</v>
      </c>
      <c r="G1508" s="122">
        <v>598</v>
      </c>
      <c r="H1508" s="122">
        <v>2235</v>
      </c>
      <c r="I1508" s="122">
        <v>101167</v>
      </c>
      <c r="J1508" s="122">
        <v>37469</v>
      </c>
      <c r="K1508" s="122">
        <v>100</v>
      </c>
      <c r="L1508" s="122">
        <v>8923</v>
      </c>
      <c r="M1508" s="122">
        <v>8112</v>
      </c>
      <c r="N1508" s="122">
        <v>11202</v>
      </c>
      <c r="O1508" s="122">
        <v>4149</v>
      </c>
      <c r="P1508" s="122">
        <v>702</v>
      </c>
      <c r="Q1508" s="122">
        <v>260</v>
      </c>
      <c r="R1508" s="122">
        <v>32925</v>
      </c>
      <c r="S1508" s="122">
        <v>29932</v>
      </c>
      <c r="T1508" s="122">
        <v>12116</v>
      </c>
      <c r="U1508" s="122">
        <v>4487</v>
      </c>
      <c r="V1508" s="122">
        <v>84410</v>
      </c>
      <c r="W1508" s="122">
        <f t="shared" si="46"/>
        <v>84409</v>
      </c>
      <c r="X1508" s="122">
        <f t="shared" si="47"/>
        <v>167035</v>
      </c>
      <c r="AA1508" t="s">
        <v>60</v>
      </c>
      <c r="AB1508" t="s">
        <v>433</v>
      </c>
      <c r="AC1508" t="s">
        <v>427</v>
      </c>
      <c r="AD1508" t="s">
        <v>433</v>
      </c>
      <c r="AE1508" t="s">
        <v>566</v>
      </c>
      <c r="AF1508">
        <v>2</v>
      </c>
      <c r="AG1508">
        <v>185</v>
      </c>
      <c r="AH1508">
        <v>716</v>
      </c>
      <c r="AI1508" s="122">
        <v>38443</v>
      </c>
      <c r="AJ1508" s="122">
        <v>34948</v>
      </c>
      <c r="AK1508">
        <v>67</v>
      </c>
      <c r="AL1508" s="122">
        <v>9610</v>
      </c>
      <c r="AM1508" s="122">
        <v>8736</v>
      </c>
      <c r="AN1508" s="122">
        <v>3509</v>
      </c>
      <c r="AO1508" s="122">
        <v>1300</v>
      </c>
      <c r="AP1508">
        <v>702</v>
      </c>
      <c r="AQ1508">
        <v>260</v>
      </c>
      <c r="AR1508" s="122">
        <v>13477</v>
      </c>
      <c r="AS1508" s="122">
        <v>12252</v>
      </c>
      <c r="AT1508">
        <v>0</v>
      </c>
      <c r="AU1508">
        <v>0</v>
      </c>
      <c r="AV1508" s="122">
        <v>57496</v>
      </c>
    </row>
    <row r="1509" spans="2:48" hidden="1">
      <c r="B1509" t="s">
        <v>374</v>
      </c>
      <c r="C1509" t="s">
        <v>58</v>
      </c>
      <c r="D1509" t="s">
        <v>406</v>
      </c>
      <c r="E1509" t="s">
        <v>137</v>
      </c>
      <c r="F1509" s="122">
        <v>14</v>
      </c>
      <c r="G1509" s="122">
        <v>1558</v>
      </c>
      <c r="H1509" s="122">
        <v>3532</v>
      </c>
      <c r="I1509" s="122">
        <v>180855</v>
      </c>
      <c r="J1509" s="122">
        <v>164413</v>
      </c>
      <c r="K1509" s="122">
        <v>82</v>
      </c>
      <c r="L1509" s="122">
        <v>45457</v>
      </c>
      <c r="M1509" s="122">
        <v>37366</v>
      </c>
      <c r="N1509" s="122">
        <v>30433</v>
      </c>
      <c r="O1509" s="122">
        <v>11271</v>
      </c>
      <c r="P1509" s="122">
        <v>10004</v>
      </c>
      <c r="Q1509" s="122">
        <v>3705</v>
      </c>
      <c r="R1509" s="122">
        <v>125063</v>
      </c>
      <c r="S1509" s="122">
        <v>46320</v>
      </c>
      <c r="T1509" s="122">
        <v>0</v>
      </c>
      <c r="U1509" s="122">
        <v>0</v>
      </c>
      <c r="V1509" s="122">
        <v>263075</v>
      </c>
      <c r="W1509" s="122">
        <f t="shared" si="46"/>
        <v>263075</v>
      </c>
      <c r="X1509" s="122">
        <f t="shared" si="47"/>
        <v>391812</v>
      </c>
      <c r="AA1509" t="s">
        <v>60</v>
      </c>
      <c r="AB1509" t="s">
        <v>433</v>
      </c>
      <c r="AC1509" t="s">
        <v>426</v>
      </c>
      <c r="AD1509" t="s">
        <v>433</v>
      </c>
      <c r="AE1509" t="s">
        <v>137</v>
      </c>
      <c r="AF1509">
        <v>3</v>
      </c>
      <c r="AG1509">
        <v>227</v>
      </c>
      <c r="AH1509" s="122">
        <v>1005</v>
      </c>
      <c r="AI1509" s="122">
        <v>41036</v>
      </c>
      <c r="AJ1509" s="122">
        <v>37305</v>
      </c>
      <c r="AK1509">
        <v>68</v>
      </c>
      <c r="AL1509" s="122">
        <v>10234</v>
      </c>
      <c r="AM1509" s="122">
        <v>9304</v>
      </c>
      <c r="AN1509" s="122">
        <v>4349</v>
      </c>
      <c r="AO1509" s="122">
        <v>1611</v>
      </c>
      <c r="AP1509" s="122">
        <v>1053</v>
      </c>
      <c r="AQ1509">
        <v>390</v>
      </c>
      <c r="AR1509" s="122">
        <v>12683</v>
      </c>
      <c r="AS1509" s="122">
        <v>11530</v>
      </c>
      <c r="AT1509" s="122">
        <v>7156</v>
      </c>
      <c r="AU1509" s="122">
        <v>2650</v>
      </c>
      <c r="AV1509" s="122">
        <v>62790</v>
      </c>
    </row>
    <row r="1510" spans="2:48" hidden="1">
      <c r="B1510" t="s">
        <v>374</v>
      </c>
      <c r="C1510" t="s">
        <v>58</v>
      </c>
      <c r="D1510" t="s">
        <v>406</v>
      </c>
      <c r="E1510" t="s">
        <v>406</v>
      </c>
      <c r="F1510" s="122">
        <v>1728</v>
      </c>
      <c r="G1510" s="122">
        <v>168621</v>
      </c>
      <c r="H1510" s="122">
        <v>449661</v>
      </c>
      <c r="I1510" s="122">
        <v>23245118</v>
      </c>
      <c r="J1510" s="122">
        <v>21131926</v>
      </c>
      <c r="K1510" s="122">
        <v>80</v>
      </c>
      <c r="L1510" s="122">
        <v>5392936</v>
      </c>
      <c r="M1510" s="122">
        <v>4719102</v>
      </c>
      <c r="N1510" s="122">
        <v>3466014</v>
      </c>
      <c r="O1510" s="122">
        <v>1283709</v>
      </c>
      <c r="P1510" s="122">
        <v>1105375</v>
      </c>
      <c r="Q1510" s="122">
        <v>409398</v>
      </c>
      <c r="R1510" s="122">
        <v>7945585</v>
      </c>
      <c r="S1510" s="122">
        <v>7223259</v>
      </c>
      <c r="T1510" s="122">
        <v>3285244</v>
      </c>
      <c r="U1510" s="122">
        <v>1216757</v>
      </c>
      <c r="V1510" s="122">
        <v>35984151</v>
      </c>
      <c r="W1510" s="122">
        <f t="shared" si="46"/>
        <v>35984151</v>
      </c>
      <c r="X1510" s="122">
        <f t="shared" si="47"/>
        <v>44440272</v>
      </c>
      <c r="AA1510" t="s">
        <v>60</v>
      </c>
      <c r="AB1510" t="s">
        <v>433</v>
      </c>
      <c r="AC1510" t="s">
        <v>566</v>
      </c>
      <c r="AD1510" t="s">
        <v>137</v>
      </c>
      <c r="AE1510" t="s">
        <v>566</v>
      </c>
      <c r="AF1510">
        <v>1</v>
      </c>
      <c r="AG1510">
        <v>35</v>
      </c>
      <c r="AH1510">
        <v>350</v>
      </c>
      <c r="AI1510" s="122">
        <v>7244</v>
      </c>
      <c r="AJ1510" s="122">
        <v>6586</v>
      </c>
      <c r="AK1510">
        <v>74</v>
      </c>
      <c r="AL1510">
        <v>0</v>
      </c>
      <c r="AM1510">
        <v>0</v>
      </c>
      <c r="AN1510">
        <v>426</v>
      </c>
      <c r="AO1510">
        <v>158</v>
      </c>
      <c r="AP1510">
        <v>351</v>
      </c>
      <c r="AQ1510">
        <v>130</v>
      </c>
      <c r="AR1510" s="122">
        <v>4217</v>
      </c>
      <c r="AS1510" s="122">
        <v>1562</v>
      </c>
      <c r="AT1510">
        <v>0</v>
      </c>
      <c r="AU1510">
        <v>0</v>
      </c>
      <c r="AV1510" s="122">
        <v>8435</v>
      </c>
    </row>
    <row r="1511" spans="2:48" hidden="1">
      <c r="B1511" t="s">
        <v>374</v>
      </c>
      <c r="C1511" t="s">
        <v>58</v>
      </c>
      <c r="D1511" t="s">
        <v>406</v>
      </c>
      <c r="E1511" t="s">
        <v>427</v>
      </c>
      <c r="F1511" s="122">
        <v>2</v>
      </c>
      <c r="G1511" s="122">
        <v>181</v>
      </c>
      <c r="H1511" s="122">
        <v>549</v>
      </c>
      <c r="I1511" s="122">
        <v>27083</v>
      </c>
      <c r="J1511" s="122">
        <v>24620</v>
      </c>
      <c r="K1511" s="122">
        <v>82</v>
      </c>
      <c r="L1511" s="122">
        <v>7812</v>
      </c>
      <c r="M1511" s="122">
        <v>7102</v>
      </c>
      <c r="N1511" s="122">
        <v>3537</v>
      </c>
      <c r="O1511" s="122">
        <v>1310</v>
      </c>
      <c r="P1511" s="122">
        <v>1242</v>
      </c>
      <c r="Q1511" s="122">
        <v>460</v>
      </c>
      <c r="R1511" s="122">
        <v>7797</v>
      </c>
      <c r="S1511" s="122">
        <v>7088</v>
      </c>
      <c r="T1511" s="122">
        <v>1731</v>
      </c>
      <c r="U1511" s="122">
        <v>641</v>
      </c>
      <c r="V1511" s="122">
        <v>41221</v>
      </c>
      <c r="W1511" s="122">
        <f t="shared" si="46"/>
        <v>41221</v>
      </c>
      <c r="X1511" s="122">
        <f t="shared" si="47"/>
        <v>49202</v>
      </c>
      <c r="AA1511" t="s">
        <v>60</v>
      </c>
      <c r="AB1511" t="s">
        <v>433</v>
      </c>
      <c r="AC1511" t="s">
        <v>566</v>
      </c>
      <c r="AD1511" t="s">
        <v>433</v>
      </c>
      <c r="AE1511" t="s">
        <v>137</v>
      </c>
      <c r="AF1511">
        <v>10</v>
      </c>
      <c r="AG1511">
        <v>616</v>
      </c>
      <c r="AH1511" s="122">
        <v>3361</v>
      </c>
      <c r="AI1511" s="122">
        <v>134444</v>
      </c>
      <c r="AJ1511" s="122">
        <v>122222</v>
      </c>
      <c r="AK1511">
        <v>63</v>
      </c>
      <c r="AL1511">
        <v>0</v>
      </c>
      <c r="AM1511">
        <v>0</v>
      </c>
      <c r="AN1511" s="122">
        <v>10399</v>
      </c>
      <c r="AO1511" s="122">
        <v>3851</v>
      </c>
      <c r="AP1511" s="122">
        <v>3510</v>
      </c>
      <c r="AQ1511" s="122">
        <v>1300</v>
      </c>
      <c r="AR1511" s="122">
        <v>38340</v>
      </c>
      <c r="AS1511" s="122">
        <v>34855</v>
      </c>
      <c r="AT1511" s="122">
        <v>19483</v>
      </c>
      <c r="AU1511" s="122">
        <v>7216</v>
      </c>
      <c r="AV1511" s="122">
        <v>169445</v>
      </c>
    </row>
    <row r="1512" spans="2:48" hidden="1">
      <c r="B1512" t="s">
        <v>374</v>
      </c>
      <c r="C1512" t="s">
        <v>58</v>
      </c>
      <c r="D1512" t="s">
        <v>406</v>
      </c>
      <c r="E1512" t="s">
        <v>426</v>
      </c>
      <c r="F1512" s="122">
        <v>1</v>
      </c>
      <c r="G1512" s="122">
        <v>117</v>
      </c>
      <c r="H1512" s="122">
        <v>278</v>
      </c>
      <c r="I1512" s="122">
        <v>17721</v>
      </c>
      <c r="J1512" s="122">
        <v>16110</v>
      </c>
      <c r="K1512" s="122">
        <v>60</v>
      </c>
      <c r="L1512" s="122">
        <v>3741</v>
      </c>
      <c r="M1512" s="122">
        <v>3401</v>
      </c>
      <c r="N1512" s="122">
        <v>1995</v>
      </c>
      <c r="O1512" s="122">
        <v>739</v>
      </c>
      <c r="P1512" s="122">
        <v>621</v>
      </c>
      <c r="Q1512" s="122">
        <v>230</v>
      </c>
      <c r="R1512" s="122">
        <v>8455</v>
      </c>
      <c r="S1512" s="122">
        <v>7686</v>
      </c>
      <c r="T1512" s="122">
        <v>0</v>
      </c>
      <c r="U1512" s="122">
        <v>0</v>
      </c>
      <c r="V1512" s="122">
        <v>28166</v>
      </c>
      <c r="W1512" s="122">
        <f t="shared" si="46"/>
        <v>28166</v>
      </c>
      <c r="X1512" s="122">
        <f t="shared" si="47"/>
        <v>32533</v>
      </c>
      <c r="AA1512" t="s">
        <v>60</v>
      </c>
      <c r="AB1512" t="s">
        <v>433</v>
      </c>
      <c r="AC1512" t="s">
        <v>433</v>
      </c>
      <c r="AD1512" t="s">
        <v>433</v>
      </c>
      <c r="AE1512" t="s">
        <v>137</v>
      </c>
      <c r="AF1512">
        <v>13</v>
      </c>
      <c r="AG1512" s="122">
        <v>1079</v>
      </c>
      <c r="AH1512" s="122">
        <v>4501</v>
      </c>
      <c r="AI1512" s="122">
        <v>214210</v>
      </c>
      <c r="AJ1512" s="122">
        <v>194737</v>
      </c>
      <c r="AK1512">
        <v>51</v>
      </c>
      <c r="AL1512" s="122">
        <v>32492</v>
      </c>
      <c r="AM1512" s="122">
        <v>29538</v>
      </c>
      <c r="AN1512" s="122">
        <v>21018</v>
      </c>
      <c r="AO1512" s="122">
        <v>7784</v>
      </c>
      <c r="AP1512" s="122">
        <v>4563</v>
      </c>
      <c r="AQ1512" s="122">
        <v>1690</v>
      </c>
      <c r="AR1512" s="122">
        <v>71514</v>
      </c>
      <c r="AS1512" s="122">
        <v>65013</v>
      </c>
      <c r="AT1512" s="122">
        <v>29793</v>
      </c>
      <c r="AU1512" s="122">
        <v>11035</v>
      </c>
      <c r="AV1512" s="122">
        <v>309796</v>
      </c>
    </row>
    <row r="1513" spans="2:48" hidden="1">
      <c r="B1513" t="s">
        <v>374</v>
      </c>
      <c r="C1513" t="s">
        <v>58</v>
      </c>
      <c r="D1513" t="s">
        <v>427</v>
      </c>
      <c r="E1513" t="s">
        <v>137</v>
      </c>
      <c r="F1513" s="122">
        <v>1</v>
      </c>
      <c r="G1513" s="122">
        <v>69</v>
      </c>
      <c r="H1513" s="122">
        <v>293</v>
      </c>
      <c r="I1513" s="122">
        <v>8460</v>
      </c>
      <c r="J1513" s="122">
        <v>7691</v>
      </c>
      <c r="K1513" s="122">
        <v>65</v>
      </c>
      <c r="L1513" s="122">
        <v>2382</v>
      </c>
      <c r="M1513" s="122">
        <v>882</v>
      </c>
      <c r="N1513" s="122">
        <v>1433</v>
      </c>
      <c r="O1513" s="122">
        <v>531</v>
      </c>
      <c r="P1513" s="122">
        <v>351</v>
      </c>
      <c r="Q1513" s="122">
        <v>130</v>
      </c>
      <c r="R1513" s="122">
        <v>7629</v>
      </c>
      <c r="S1513" s="122">
        <v>2825</v>
      </c>
      <c r="T1513" s="122">
        <v>0</v>
      </c>
      <c r="U1513" s="122">
        <v>0</v>
      </c>
      <c r="V1513" s="122">
        <v>12060</v>
      </c>
      <c r="W1513" s="122">
        <f t="shared" si="46"/>
        <v>12059</v>
      </c>
      <c r="X1513" s="122">
        <f t="shared" si="47"/>
        <v>20255</v>
      </c>
      <c r="AA1513" t="s">
        <v>60</v>
      </c>
      <c r="AB1513" t="s">
        <v>408</v>
      </c>
      <c r="AC1513" t="s">
        <v>580</v>
      </c>
      <c r="AD1513" t="s">
        <v>408</v>
      </c>
      <c r="AE1513" t="s">
        <v>137</v>
      </c>
      <c r="AF1513">
        <v>2</v>
      </c>
      <c r="AG1513">
        <v>339</v>
      </c>
      <c r="AH1513">
        <v>666</v>
      </c>
      <c r="AI1513" s="122">
        <v>78484</v>
      </c>
      <c r="AJ1513" s="122">
        <v>71349</v>
      </c>
      <c r="AK1513">
        <v>74</v>
      </c>
      <c r="AL1513" s="122">
        <v>9614</v>
      </c>
      <c r="AM1513" s="122">
        <v>8740</v>
      </c>
      <c r="AN1513" s="122">
        <v>7679</v>
      </c>
      <c r="AO1513" s="122">
        <v>2844</v>
      </c>
      <c r="AP1513" s="122">
        <v>1944</v>
      </c>
      <c r="AQ1513">
        <v>720</v>
      </c>
      <c r="AR1513" s="122">
        <v>12172</v>
      </c>
      <c r="AS1513" s="122">
        <v>11065</v>
      </c>
      <c r="AT1513" s="122">
        <v>3106</v>
      </c>
      <c r="AU1513" s="122">
        <v>1150</v>
      </c>
      <c r="AV1513" s="122">
        <v>95869</v>
      </c>
    </row>
    <row r="1514" spans="2:48" hidden="1">
      <c r="B1514" t="s">
        <v>374</v>
      </c>
      <c r="C1514" t="s">
        <v>58</v>
      </c>
      <c r="D1514" t="s">
        <v>427</v>
      </c>
      <c r="E1514" t="s">
        <v>406</v>
      </c>
      <c r="F1514" s="122">
        <v>1</v>
      </c>
      <c r="G1514" s="122">
        <v>103</v>
      </c>
      <c r="H1514" s="122">
        <v>251</v>
      </c>
      <c r="I1514" s="122">
        <v>13574</v>
      </c>
      <c r="J1514" s="122">
        <v>12340</v>
      </c>
      <c r="K1514" s="122">
        <v>85</v>
      </c>
      <c r="L1514" s="122">
        <v>4426</v>
      </c>
      <c r="M1514" s="122">
        <v>3688</v>
      </c>
      <c r="N1514" s="122">
        <v>2445</v>
      </c>
      <c r="O1514" s="122">
        <v>906</v>
      </c>
      <c r="P1514" s="122">
        <v>621</v>
      </c>
      <c r="Q1514" s="122">
        <v>230</v>
      </c>
      <c r="R1514" s="122">
        <v>4749</v>
      </c>
      <c r="S1514" s="122">
        <v>4317</v>
      </c>
      <c r="T1514" s="122">
        <v>0</v>
      </c>
      <c r="U1514" s="122">
        <v>0</v>
      </c>
      <c r="V1514" s="122">
        <v>21481</v>
      </c>
      <c r="W1514" s="122">
        <f t="shared" si="46"/>
        <v>21481</v>
      </c>
      <c r="X1514" s="122">
        <f t="shared" si="47"/>
        <v>25815</v>
      </c>
      <c r="AA1514" t="s">
        <v>60</v>
      </c>
      <c r="AB1514" t="s">
        <v>408</v>
      </c>
      <c r="AC1514" t="s">
        <v>579</v>
      </c>
      <c r="AD1514" t="s">
        <v>408</v>
      </c>
      <c r="AE1514" t="s">
        <v>137</v>
      </c>
      <c r="AF1514">
        <v>1</v>
      </c>
      <c r="AG1514">
        <v>80</v>
      </c>
      <c r="AH1514">
        <v>373</v>
      </c>
      <c r="AI1514" s="122">
        <v>19329</v>
      </c>
      <c r="AJ1514" s="122">
        <v>17572</v>
      </c>
      <c r="AK1514">
        <v>65</v>
      </c>
      <c r="AL1514" s="122">
        <v>2538</v>
      </c>
      <c r="AM1514" s="122">
        <v>2115</v>
      </c>
      <c r="AN1514">
        <v>974</v>
      </c>
      <c r="AO1514">
        <v>361</v>
      </c>
      <c r="AP1514">
        <v>702</v>
      </c>
      <c r="AQ1514">
        <v>260</v>
      </c>
      <c r="AR1514" s="122">
        <v>4139</v>
      </c>
      <c r="AS1514" s="122">
        <v>3763</v>
      </c>
      <c r="AT1514" s="122">
        <v>2166</v>
      </c>
      <c r="AU1514">
        <v>802</v>
      </c>
      <c r="AV1514" s="122">
        <v>24873</v>
      </c>
    </row>
    <row r="1515" spans="2:48" hidden="1">
      <c r="B1515" t="s">
        <v>374</v>
      </c>
      <c r="C1515" t="s">
        <v>58</v>
      </c>
      <c r="D1515" t="s">
        <v>427</v>
      </c>
      <c r="E1515" t="s">
        <v>427</v>
      </c>
      <c r="F1515" s="122">
        <v>20</v>
      </c>
      <c r="G1515" s="122">
        <v>1728</v>
      </c>
      <c r="H1515" s="122">
        <v>5552</v>
      </c>
      <c r="I1515" s="122">
        <v>254976</v>
      </c>
      <c r="J1515" s="122">
        <v>231796</v>
      </c>
      <c r="K1515" s="122">
        <v>58</v>
      </c>
      <c r="L1515" s="122">
        <v>42798</v>
      </c>
      <c r="M1515" s="122">
        <v>30689</v>
      </c>
      <c r="N1515" s="122">
        <v>34948</v>
      </c>
      <c r="O1515" s="122">
        <v>12944</v>
      </c>
      <c r="P1515" s="122">
        <v>6669</v>
      </c>
      <c r="Q1515" s="122">
        <v>2470</v>
      </c>
      <c r="R1515" s="122">
        <v>98070</v>
      </c>
      <c r="S1515" s="122">
        <v>89155</v>
      </c>
      <c r="T1515" s="122">
        <v>43591</v>
      </c>
      <c r="U1515" s="122">
        <v>16145</v>
      </c>
      <c r="V1515" s="122">
        <v>383198</v>
      </c>
      <c r="W1515" s="122">
        <f t="shared" ref="W1515:W1578" si="48">SUM(ABS(J1515),ABS(M1515),ABS(O1515),ABS(Q1515),ABS(S1515),ABS(U1515))</f>
        <v>383199</v>
      </c>
      <c r="X1515" s="122">
        <f t="shared" ref="X1515:X1578" si="49">SUM(ABS(I1515),ABS(N1515),ABS(P1515),ABS(R1515),ABS(T1515),ABS(L1515))</f>
        <v>481052</v>
      </c>
      <c r="AA1515" t="s">
        <v>60</v>
      </c>
      <c r="AB1515" t="s">
        <v>408</v>
      </c>
      <c r="AC1515" t="s">
        <v>426</v>
      </c>
      <c r="AD1515" t="s">
        <v>408</v>
      </c>
      <c r="AE1515" t="s">
        <v>137</v>
      </c>
      <c r="AF1515">
        <v>5</v>
      </c>
      <c r="AG1515">
        <v>467</v>
      </c>
      <c r="AH1515" s="122">
        <v>1594</v>
      </c>
      <c r="AI1515" s="122">
        <v>101350</v>
      </c>
      <c r="AJ1515" s="122">
        <v>92136</v>
      </c>
      <c r="AK1515">
        <v>68</v>
      </c>
      <c r="AL1515" s="122">
        <v>17324</v>
      </c>
      <c r="AM1515" s="122">
        <v>15749</v>
      </c>
      <c r="AN1515" s="122">
        <v>9303</v>
      </c>
      <c r="AO1515" s="122">
        <v>3446</v>
      </c>
      <c r="AP1515" s="122">
        <v>2106</v>
      </c>
      <c r="AQ1515">
        <v>780</v>
      </c>
      <c r="AR1515" s="122">
        <v>18650</v>
      </c>
      <c r="AS1515" s="122">
        <v>16955</v>
      </c>
      <c r="AT1515" s="122">
        <v>10981</v>
      </c>
      <c r="AU1515" s="122">
        <v>4067</v>
      </c>
      <c r="AV1515" s="122">
        <v>133132</v>
      </c>
    </row>
    <row r="1516" spans="2:48" hidden="1">
      <c r="B1516" t="s">
        <v>374</v>
      </c>
      <c r="C1516" t="s">
        <v>58</v>
      </c>
      <c r="D1516" t="s">
        <v>407</v>
      </c>
      <c r="E1516" t="s">
        <v>137</v>
      </c>
      <c r="F1516" s="122">
        <v>6</v>
      </c>
      <c r="G1516" s="122">
        <v>732</v>
      </c>
      <c r="H1516" s="122">
        <v>1629</v>
      </c>
      <c r="I1516" s="122">
        <v>108358</v>
      </c>
      <c r="J1516" s="122">
        <v>98507</v>
      </c>
      <c r="K1516" s="122">
        <v>84</v>
      </c>
      <c r="L1516" s="122">
        <v>11824</v>
      </c>
      <c r="M1516" s="122">
        <v>10502</v>
      </c>
      <c r="N1516" s="122">
        <v>14761</v>
      </c>
      <c r="O1516" s="122">
        <v>5467</v>
      </c>
      <c r="P1516" s="122">
        <v>2835</v>
      </c>
      <c r="Q1516" s="122">
        <v>1050</v>
      </c>
      <c r="R1516" s="122">
        <v>49763</v>
      </c>
      <c r="S1516" s="122">
        <v>18431</v>
      </c>
      <c r="T1516" s="122">
        <v>0</v>
      </c>
      <c r="U1516" s="122">
        <v>0</v>
      </c>
      <c r="V1516" s="122">
        <v>133957</v>
      </c>
      <c r="W1516" s="122">
        <f t="shared" si="48"/>
        <v>133957</v>
      </c>
      <c r="X1516" s="122">
        <f t="shared" si="49"/>
        <v>187541</v>
      </c>
      <c r="AA1516" t="s">
        <v>60</v>
      </c>
      <c r="AB1516" t="s">
        <v>408</v>
      </c>
      <c r="AC1516" t="s">
        <v>426</v>
      </c>
      <c r="AD1516" t="s">
        <v>408</v>
      </c>
      <c r="AE1516" t="s">
        <v>566</v>
      </c>
      <c r="AF1516">
        <v>2</v>
      </c>
      <c r="AG1516">
        <v>163</v>
      </c>
      <c r="AH1516">
        <v>727</v>
      </c>
      <c r="AI1516" s="122">
        <v>40413</v>
      </c>
      <c r="AJ1516" s="122">
        <v>36739</v>
      </c>
      <c r="AK1516">
        <v>75</v>
      </c>
      <c r="AL1516" s="122">
        <v>5194</v>
      </c>
      <c r="AM1516" s="122">
        <v>4721</v>
      </c>
      <c r="AN1516" s="122">
        <v>3285</v>
      </c>
      <c r="AO1516" s="122">
        <v>1217</v>
      </c>
      <c r="AP1516">
        <v>702</v>
      </c>
      <c r="AQ1516">
        <v>260</v>
      </c>
      <c r="AR1516" s="122">
        <v>9967</v>
      </c>
      <c r="AS1516" s="122">
        <v>9061</v>
      </c>
      <c r="AT1516">
        <v>0</v>
      </c>
      <c r="AU1516">
        <v>0</v>
      </c>
      <c r="AV1516" s="122">
        <v>51997</v>
      </c>
    </row>
    <row r="1517" spans="2:48" hidden="1">
      <c r="B1517" t="s">
        <v>374</v>
      </c>
      <c r="C1517" t="s">
        <v>58</v>
      </c>
      <c r="D1517" t="s">
        <v>407</v>
      </c>
      <c r="E1517" t="s">
        <v>406</v>
      </c>
      <c r="F1517" s="122">
        <v>4</v>
      </c>
      <c r="G1517" s="122">
        <v>349</v>
      </c>
      <c r="H1517" s="122">
        <v>1053</v>
      </c>
      <c r="I1517" s="122">
        <v>52431</v>
      </c>
      <c r="J1517" s="122">
        <v>47665</v>
      </c>
      <c r="K1517" s="122">
        <v>76</v>
      </c>
      <c r="L1517" s="122">
        <v>14265</v>
      </c>
      <c r="M1517" s="122">
        <v>12968</v>
      </c>
      <c r="N1517" s="122">
        <v>7120</v>
      </c>
      <c r="O1517" s="122">
        <v>2637</v>
      </c>
      <c r="P1517" s="122">
        <v>1890</v>
      </c>
      <c r="Q1517" s="122">
        <v>700</v>
      </c>
      <c r="R1517" s="122">
        <v>20107</v>
      </c>
      <c r="S1517" s="122">
        <v>18279</v>
      </c>
      <c r="T1517" s="122">
        <v>8134</v>
      </c>
      <c r="U1517" s="122">
        <v>3012</v>
      </c>
      <c r="V1517" s="122">
        <v>85261</v>
      </c>
      <c r="W1517" s="122">
        <f t="shared" si="48"/>
        <v>85261</v>
      </c>
      <c r="X1517" s="122">
        <f t="shared" si="49"/>
        <v>103947</v>
      </c>
      <c r="AA1517" t="s">
        <v>60</v>
      </c>
      <c r="AB1517" t="s">
        <v>408</v>
      </c>
      <c r="AC1517" t="s">
        <v>566</v>
      </c>
      <c r="AD1517" t="s">
        <v>408</v>
      </c>
      <c r="AE1517" t="s">
        <v>137</v>
      </c>
      <c r="AF1517">
        <v>1</v>
      </c>
      <c r="AG1517">
        <v>88</v>
      </c>
      <c r="AH1517">
        <v>370</v>
      </c>
      <c r="AI1517" s="122">
        <v>23956</v>
      </c>
      <c r="AJ1517" s="122">
        <v>21778</v>
      </c>
      <c r="AK1517">
        <v>65</v>
      </c>
      <c r="AL1517">
        <v>0</v>
      </c>
      <c r="AM1517">
        <v>0</v>
      </c>
      <c r="AN1517" s="122">
        <v>1762</v>
      </c>
      <c r="AO1517">
        <v>653</v>
      </c>
      <c r="AP1517">
        <v>351</v>
      </c>
      <c r="AQ1517">
        <v>130</v>
      </c>
      <c r="AR1517" s="122">
        <v>4278</v>
      </c>
      <c r="AS1517" s="122">
        <v>3889</v>
      </c>
      <c r="AT1517" s="122">
        <v>2275</v>
      </c>
      <c r="AU1517">
        <v>842</v>
      </c>
      <c r="AV1517" s="122">
        <v>27292</v>
      </c>
    </row>
    <row r="1518" spans="2:48" hidden="1">
      <c r="B1518" t="s">
        <v>374</v>
      </c>
      <c r="C1518" t="s">
        <v>58</v>
      </c>
      <c r="D1518" t="s">
        <v>407</v>
      </c>
      <c r="E1518" t="s">
        <v>427</v>
      </c>
      <c r="F1518" s="122">
        <v>1</v>
      </c>
      <c r="G1518" s="122">
        <v>90</v>
      </c>
      <c r="H1518" s="122">
        <v>249</v>
      </c>
      <c r="I1518" s="122">
        <v>9367</v>
      </c>
      <c r="J1518" s="122">
        <v>8515</v>
      </c>
      <c r="K1518" s="122">
        <v>90</v>
      </c>
      <c r="L1518" s="122">
        <v>3122</v>
      </c>
      <c r="M1518" s="122">
        <v>2838</v>
      </c>
      <c r="N1518" s="122">
        <v>1860</v>
      </c>
      <c r="O1518" s="122">
        <v>689</v>
      </c>
      <c r="P1518" s="122">
        <v>473</v>
      </c>
      <c r="Q1518" s="122">
        <v>175</v>
      </c>
      <c r="R1518" s="122">
        <v>7705</v>
      </c>
      <c r="S1518" s="122">
        <v>7005</v>
      </c>
      <c r="T1518" s="122">
        <v>0</v>
      </c>
      <c r="U1518" s="122">
        <v>0</v>
      </c>
      <c r="V1518" s="122">
        <v>19223</v>
      </c>
      <c r="W1518" s="122">
        <f t="shared" si="48"/>
        <v>19222</v>
      </c>
      <c r="X1518" s="122">
        <f t="shared" si="49"/>
        <v>22527</v>
      </c>
      <c r="AA1518" t="s">
        <v>60</v>
      </c>
      <c r="AB1518" t="s">
        <v>408</v>
      </c>
      <c r="AC1518" t="s">
        <v>429</v>
      </c>
      <c r="AD1518" t="s">
        <v>408</v>
      </c>
      <c r="AE1518" t="s">
        <v>137</v>
      </c>
      <c r="AF1518">
        <v>1</v>
      </c>
      <c r="AG1518">
        <v>49</v>
      </c>
      <c r="AH1518">
        <v>356</v>
      </c>
      <c r="AI1518" s="122">
        <v>9161</v>
      </c>
      <c r="AJ1518" s="122">
        <v>8328</v>
      </c>
      <c r="AK1518">
        <v>65</v>
      </c>
      <c r="AL1518" s="122">
        <v>1018</v>
      </c>
      <c r="AM1518">
        <v>925</v>
      </c>
      <c r="AN1518" s="122">
        <v>1188</v>
      </c>
      <c r="AO1518">
        <v>440</v>
      </c>
      <c r="AP1518">
        <v>351</v>
      </c>
      <c r="AQ1518">
        <v>130</v>
      </c>
      <c r="AR1518" s="122">
        <v>3753</v>
      </c>
      <c r="AS1518" s="122">
        <v>3412</v>
      </c>
      <c r="AT1518" s="122">
        <v>1862</v>
      </c>
      <c r="AU1518">
        <v>690</v>
      </c>
      <c r="AV1518" s="122">
        <v>13925</v>
      </c>
    </row>
    <row r="1519" spans="2:48" hidden="1">
      <c r="B1519" t="s">
        <v>374</v>
      </c>
      <c r="C1519" t="s">
        <v>58</v>
      </c>
      <c r="D1519" t="s">
        <v>407</v>
      </c>
      <c r="E1519" t="s">
        <v>407</v>
      </c>
      <c r="F1519" s="122">
        <v>2604</v>
      </c>
      <c r="G1519" s="122">
        <v>253823</v>
      </c>
      <c r="H1519" s="122">
        <v>670794</v>
      </c>
      <c r="I1519" s="122">
        <v>33825799</v>
      </c>
      <c r="J1519" s="122">
        <v>30750726</v>
      </c>
      <c r="K1519" s="122">
        <v>79</v>
      </c>
      <c r="L1519" s="122">
        <v>9075479</v>
      </c>
      <c r="M1519" s="122">
        <v>7816679</v>
      </c>
      <c r="N1519" s="122">
        <v>5176108</v>
      </c>
      <c r="O1519" s="122">
        <v>1917077</v>
      </c>
      <c r="P1519" s="122">
        <v>1239263</v>
      </c>
      <c r="Q1519" s="122">
        <v>458986</v>
      </c>
      <c r="R1519" s="122">
        <v>12542380</v>
      </c>
      <c r="S1519" s="122">
        <v>11402164</v>
      </c>
      <c r="T1519" s="122">
        <v>3847295</v>
      </c>
      <c r="U1519" s="122">
        <v>1424924</v>
      </c>
      <c r="V1519" s="122">
        <v>53770556</v>
      </c>
      <c r="W1519" s="122">
        <f t="shared" si="48"/>
        <v>53770556</v>
      </c>
      <c r="X1519" s="122">
        <f t="shared" si="49"/>
        <v>65706324</v>
      </c>
      <c r="AA1519" t="s">
        <v>60</v>
      </c>
      <c r="AB1519" t="s">
        <v>429</v>
      </c>
      <c r="AC1519" t="s">
        <v>579</v>
      </c>
      <c r="AD1519" t="s">
        <v>137</v>
      </c>
      <c r="AE1519" t="s">
        <v>566</v>
      </c>
      <c r="AF1519">
        <v>1</v>
      </c>
      <c r="AG1519">
        <v>132</v>
      </c>
      <c r="AH1519">
        <v>319</v>
      </c>
      <c r="AI1519" s="122">
        <v>32796</v>
      </c>
      <c r="AJ1519" s="122">
        <v>29814</v>
      </c>
      <c r="AK1519">
        <v>65</v>
      </c>
      <c r="AL1519" s="122">
        <v>3356</v>
      </c>
      <c r="AM1519" s="122">
        <v>2796</v>
      </c>
      <c r="AN1519" s="122">
        <v>2682</v>
      </c>
      <c r="AO1519">
        <v>993</v>
      </c>
      <c r="AP1519">
        <v>351</v>
      </c>
      <c r="AQ1519">
        <v>130</v>
      </c>
      <c r="AR1519" s="122">
        <v>9650</v>
      </c>
      <c r="AS1519" s="122">
        <v>3574</v>
      </c>
      <c r="AT1519">
        <v>0</v>
      </c>
      <c r="AU1519">
        <v>0</v>
      </c>
      <c r="AV1519" s="122">
        <v>37308</v>
      </c>
    </row>
    <row r="1520" spans="2:48" hidden="1">
      <c r="B1520" t="s">
        <v>374</v>
      </c>
      <c r="C1520" t="s">
        <v>58</v>
      </c>
      <c r="D1520" t="s">
        <v>407</v>
      </c>
      <c r="E1520" t="s">
        <v>556</v>
      </c>
      <c r="F1520" s="122">
        <v>3</v>
      </c>
      <c r="G1520" s="122">
        <v>403</v>
      </c>
      <c r="H1520" s="122">
        <v>738</v>
      </c>
      <c r="I1520" s="122">
        <v>56819</v>
      </c>
      <c r="J1520" s="122">
        <v>51654</v>
      </c>
      <c r="K1520" s="122">
        <v>71</v>
      </c>
      <c r="L1520" s="122">
        <v>14277</v>
      </c>
      <c r="M1520" s="122">
        <v>12979</v>
      </c>
      <c r="N1520" s="122">
        <v>10403</v>
      </c>
      <c r="O1520" s="122">
        <v>3853</v>
      </c>
      <c r="P1520" s="122">
        <v>1418</v>
      </c>
      <c r="Q1520" s="122">
        <v>525</v>
      </c>
      <c r="R1520" s="122">
        <v>20572</v>
      </c>
      <c r="S1520" s="122">
        <v>17143</v>
      </c>
      <c r="T1520" s="122">
        <v>3003</v>
      </c>
      <c r="U1520" s="122">
        <v>1112</v>
      </c>
      <c r="V1520" s="122">
        <v>87267</v>
      </c>
      <c r="W1520" s="122">
        <f t="shared" si="48"/>
        <v>87266</v>
      </c>
      <c r="X1520" s="122">
        <f t="shared" si="49"/>
        <v>106492</v>
      </c>
      <c r="AA1520" t="s">
        <v>60</v>
      </c>
      <c r="AB1520" t="s">
        <v>429</v>
      </c>
      <c r="AC1520" t="s">
        <v>426</v>
      </c>
      <c r="AD1520" t="s">
        <v>429</v>
      </c>
      <c r="AE1520" t="s">
        <v>137</v>
      </c>
      <c r="AF1520">
        <v>1</v>
      </c>
      <c r="AG1520">
        <v>75</v>
      </c>
      <c r="AH1520">
        <v>360</v>
      </c>
      <c r="AI1520" s="122">
        <v>15357</v>
      </c>
      <c r="AJ1520" s="122">
        <v>13961</v>
      </c>
      <c r="AK1520">
        <v>60</v>
      </c>
      <c r="AL1520" s="122">
        <v>3413</v>
      </c>
      <c r="AM1520" s="122">
        <v>3102</v>
      </c>
      <c r="AN1520">
        <v>908</v>
      </c>
      <c r="AO1520">
        <v>336</v>
      </c>
      <c r="AP1520">
        <v>351</v>
      </c>
      <c r="AQ1520">
        <v>130</v>
      </c>
      <c r="AR1520" s="122">
        <v>4567</v>
      </c>
      <c r="AS1520" s="122">
        <v>4152</v>
      </c>
      <c r="AT1520" s="122">
        <v>2226</v>
      </c>
      <c r="AU1520">
        <v>824</v>
      </c>
      <c r="AV1520" s="122">
        <v>22506</v>
      </c>
    </row>
    <row r="1521" spans="2:48" hidden="1">
      <c r="B1521" t="s">
        <v>374</v>
      </c>
      <c r="C1521" t="s">
        <v>58</v>
      </c>
      <c r="D1521" t="s">
        <v>556</v>
      </c>
      <c r="E1521" t="s">
        <v>556</v>
      </c>
      <c r="F1521" s="122">
        <v>22</v>
      </c>
      <c r="G1521" s="122">
        <v>1986</v>
      </c>
      <c r="H1521" s="122">
        <v>6166</v>
      </c>
      <c r="I1521" s="122">
        <v>294381</v>
      </c>
      <c r="J1521" s="122">
        <v>245318</v>
      </c>
      <c r="K1521" s="122">
        <v>59</v>
      </c>
      <c r="L1521" s="122">
        <v>35406</v>
      </c>
      <c r="M1521" s="122">
        <v>25498</v>
      </c>
      <c r="N1521" s="122">
        <v>38191</v>
      </c>
      <c r="O1521" s="122">
        <v>14145</v>
      </c>
      <c r="P1521" s="122">
        <v>9153</v>
      </c>
      <c r="Q1521" s="122">
        <v>3390</v>
      </c>
      <c r="R1521" s="122">
        <v>130259</v>
      </c>
      <c r="S1521" s="122">
        <v>108549</v>
      </c>
      <c r="T1521" s="122">
        <v>47727</v>
      </c>
      <c r="U1521" s="122">
        <v>17677</v>
      </c>
      <c r="V1521" s="122">
        <v>414577</v>
      </c>
      <c r="W1521" s="122">
        <f t="shared" si="48"/>
        <v>414577</v>
      </c>
      <c r="X1521" s="122">
        <f t="shared" si="49"/>
        <v>555117</v>
      </c>
      <c r="AA1521" t="s">
        <v>60</v>
      </c>
      <c r="AB1521" t="s">
        <v>429</v>
      </c>
      <c r="AC1521" t="s">
        <v>426</v>
      </c>
      <c r="AD1521" t="s">
        <v>429</v>
      </c>
      <c r="AE1521" t="s">
        <v>566</v>
      </c>
      <c r="AF1521">
        <v>2</v>
      </c>
      <c r="AG1521">
        <v>212</v>
      </c>
      <c r="AH1521">
        <v>655</v>
      </c>
      <c r="AI1521" s="122">
        <v>46718</v>
      </c>
      <c r="AJ1521" s="122">
        <v>42471</v>
      </c>
      <c r="AK1521">
        <v>74</v>
      </c>
      <c r="AL1521" s="122">
        <v>5889</v>
      </c>
      <c r="AM1521" s="122">
        <v>5354</v>
      </c>
      <c r="AN1521" s="122">
        <v>4121</v>
      </c>
      <c r="AO1521" s="122">
        <v>1526</v>
      </c>
      <c r="AP1521">
        <v>702</v>
      </c>
      <c r="AQ1521">
        <v>260</v>
      </c>
      <c r="AR1521" s="122">
        <v>11726</v>
      </c>
      <c r="AS1521" s="122">
        <v>10660</v>
      </c>
      <c r="AT1521">
        <v>0</v>
      </c>
      <c r="AU1521">
        <v>0</v>
      </c>
      <c r="AV1521" s="122">
        <v>60271</v>
      </c>
    </row>
    <row r="1522" spans="2:48" hidden="1">
      <c r="B1522" t="s">
        <v>374</v>
      </c>
      <c r="C1522" t="s">
        <v>58</v>
      </c>
      <c r="D1522" t="s">
        <v>426</v>
      </c>
      <c r="E1522" t="s">
        <v>137</v>
      </c>
      <c r="F1522" s="122">
        <v>19</v>
      </c>
      <c r="G1522" s="122">
        <v>1501</v>
      </c>
      <c r="H1522" s="122">
        <v>5237</v>
      </c>
      <c r="I1522" s="122">
        <v>174843</v>
      </c>
      <c r="J1522" s="122">
        <v>158949</v>
      </c>
      <c r="K1522" s="122">
        <v>68</v>
      </c>
      <c r="L1522" s="122">
        <v>47884</v>
      </c>
      <c r="M1522" s="122">
        <v>19898</v>
      </c>
      <c r="N1522" s="122">
        <v>27541</v>
      </c>
      <c r="O1522" s="122">
        <v>10200</v>
      </c>
      <c r="P1522" s="122">
        <v>5967</v>
      </c>
      <c r="Q1522" s="122">
        <v>2210</v>
      </c>
      <c r="R1522" s="122">
        <v>155577</v>
      </c>
      <c r="S1522" s="122">
        <v>57621</v>
      </c>
      <c r="T1522" s="122">
        <v>3236</v>
      </c>
      <c r="U1522" s="122">
        <v>1198</v>
      </c>
      <c r="V1522" s="122">
        <v>250076</v>
      </c>
      <c r="W1522" s="122">
        <f t="shared" si="48"/>
        <v>250076</v>
      </c>
      <c r="X1522" s="122">
        <f t="shared" si="49"/>
        <v>415048</v>
      </c>
      <c r="AA1522" t="s">
        <v>60</v>
      </c>
      <c r="AB1522" t="s">
        <v>429</v>
      </c>
      <c r="AC1522" t="s">
        <v>566</v>
      </c>
      <c r="AD1522" t="s">
        <v>137</v>
      </c>
      <c r="AE1522" t="s">
        <v>137</v>
      </c>
      <c r="AF1522">
        <v>1</v>
      </c>
      <c r="AG1522">
        <v>122</v>
      </c>
      <c r="AH1522">
        <v>342</v>
      </c>
      <c r="AI1522" s="122">
        <v>32932</v>
      </c>
      <c r="AJ1522" s="122">
        <v>29938</v>
      </c>
      <c r="AK1522">
        <v>65</v>
      </c>
      <c r="AL1522">
        <v>0</v>
      </c>
      <c r="AM1522">
        <v>0</v>
      </c>
      <c r="AN1522" s="122">
        <v>2632</v>
      </c>
      <c r="AO1522">
        <v>975</v>
      </c>
      <c r="AP1522">
        <v>351</v>
      </c>
      <c r="AQ1522">
        <v>130</v>
      </c>
      <c r="AR1522" s="122">
        <v>3890</v>
      </c>
      <c r="AS1522" s="122">
        <v>1441</v>
      </c>
      <c r="AT1522" s="122">
        <v>1916</v>
      </c>
      <c r="AU1522">
        <v>710</v>
      </c>
      <c r="AV1522" s="122">
        <v>33193</v>
      </c>
    </row>
    <row r="1523" spans="2:48" hidden="1">
      <c r="B1523" t="s">
        <v>374</v>
      </c>
      <c r="C1523" t="s">
        <v>58</v>
      </c>
      <c r="D1523" t="s">
        <v>426</v>
      </c>
      <c r="E1523" t="s">
        <v>426</v>
      </c>
      <c r="F1523" s="122">
        <v>313</v>
      </c>
      <c r="G1523" s="122">
        <v>25321</v>
      </c>
      <c r="H1523" s="122">
        <v>83501</v>
      </c>
      <c r="I1523" s="122">
        <v>3464663</v>
      </c>
      <c r="J1523" s="122">
        <v>3149694</v>
      </c>
      <c r="K1523" s="122">
        <v>62</v>
      </c>
      <c r="L1523" s="122">
        <v>621405</v>
      </c>
      <c r="M1523" s="122">
        <v>525511</v>
      </c>
      <c r="N1523" s="122">
        <v>506026</v>
      </c>
      <c r="O1523" s="122">
        <v>187417</v>
      </c>
      <c r="P1523" s="122">
        <v>111010</v>
      </c>
      <c r="Q1523" s="122">
        <v>41115</v>
      </c>
      <c r="R1523" s="122">
        <v>1431100</v>
      </c>
      <c r="S1523" s="122">
        <v>1301000</v>
      </c>
      <c r="T1523" s="122">
        <v>633184</v>
      </c>
      <c r="U1523" s="122">
        <v>234513</v>
      </c>
      <c r="V1523" s="122">
        <v>5439248</v>
      </c>
      <c r="W1523" s="122">
        <f t="shared" si="48"/>
        <v>5439250</v>
      </c>
      <c r="X1523" s="122">
        <f t="shared" si="49"/>
        <v>6767388</v>
      </c>
      <c r="AA1523" t="s">
        <v>60</v>
      </c>
      <c r="AB1523" t="s">
        <v>429</v>
      </c>
      <c r="AC1523" t="s">
        <v>566</v>
      </c>
      <c r="AD1523" t="s">
        <v>429</v>
      </c>
      <c r="AE1523" t="s">
        <v>566</v>
      </c>
      <c r="AF1523">
        <v>1</v>
      </c>
      <c r="AG1523">
        <v>102</v>
      </c>
      <c r="AH1523">
        <v>319</v>
      </c>
      <c r="AI1523" s="122">
        <v>26586</v>
      </c>
      <c r="AJ1523" s="122">
        <v>24169</v>
      </c>
      <c r="AK1523">
        <v>85</v>
      </c>
      <c r="AL1523">
        <v>0</v>
      </c>
      <c r="AM1523">
        <v>0</v>
      </c>
      <c r="AN1523" s="122">
        <v>1385</v>
      </c>
      <c r="AO1523">
        <v>513</v>
      </c>
      <c r="AP1523">
        <v>351</v>
      </c>
      <c r="AQ1523">
        <v>130</v>
      </c>
      <c r="AR1523" s="122">
        <v>4386</v>
      </c>
      <c r="AS1523" s="122">
        <v>3987</v>
      </c>
      <c r="AT1523">
        <v>0</v>
      </c>
      <c r="AU1523">
        <v>0</v>
      </c>
      <c r="AV1523" s="122">
        <v>28799</v>
      </c>
    </row>
    <row r="1524" spans="2:48" hidden="1">
      <c r="B1524" t="s">
        <v>374</v>
      </c>
      <c r="C1524" t="s">
        <v>58</v>
      </c>
      <c r="D1524" t="s">
        <v>408</v>
      </c>
      <c r="E1524" t="s">
        <v>408</v>
      </c>
      <c r="F1524" s="122">
        <v>1</v>
      </c>
      <c r="G1524" s="122">
        <v>123</v>
      </c>
      <c r="H1524" s="122">
        <v>257</v>
      </c>
      <c r="I1524" s="122">
        <v>17313</v>
      </c>
      <c r="J1524" s="122">
        <v>15739</v>
      </c>
      <c r="K1524" s="122">
        <v>65</v>
      </c>
      <c r="L1524" s="122">
        <v>4547</v>
      </c>
      <c r="M1524" s="122">
        <v>3789</v>
      </c>
      <c r="N1524" s="122">
        <v>1499</v>
      </c>
      <c r="O1524" s="122">
        <v>555</v>
      </c>
      <c r="P1524" s="122">
        <v>351</v>
      </c>
      <c r="Q1524" s="122">
        <v>130</v>
      </c>
      <c r="R1524" s="122">
        <v>5060</v>
      </c>
      <c r="S1524" s="122">
        <v>4600</v>
      </c>
      <c r="T1524" s="122">
        <v>2890</v>
      </c>
      <c r="U1524" s="122">
        <v>1070</v>
      </c>
      <c r="V1524" s="122">
        <v>25884</v>
      </c>
      <c r="W1524" s="122">
        <f t="shared" si="48"/>
        <v>25883</v>
      </c>
      <c r="X1524" s="122">
        <f t="shared" si="49"/>
        <v>31660</v>
      </c>
      <c r="AA1524" t="s">
        <v>62</v>
      </c>
      <c r="AC1524" t="s">
        <v>566</v>
      </c>
      <c r="AE1524" t="s">
        <v>566</v>
      </c>
      <c r="AF1524">
        <v>29</v>
      </c>
      <c r="AG1524" s="122">
        <v>2770</v>
      </c>
      <c r="AH1524" s="122">
        <v>12209</v>
      </c>
      <c r="AJ1524">
        <v>0</v>
      </c>
      <c r="AM1524">
        <v>0</v>
      </c>
      <c r="AN1524" s="122">
        <v>57429</v>
      </c>
      <c r="AO1524" s="122">
        <v>21270</v>
      </c>
      <c r="AP1524" s="122">
        <v>9221</v>
      </c>
      <c r="AQ1524" s="122">
        <v>3415</v>
      </c>
      <c r="AS1524">
        <v>0</v>
      </c>
      <c r="AT1524" s="122">
        <v>14149</v>
      </c>
      <c r="AU1524" s="122">
        <v>5240</v>
      </c>
      <c r="AV1524" s="122">
        <v>29925</v>
      </c>
    </row>
    <row r="1525" spans="2:48" hidden="1">
      <c r="B1525" t="s">
        <v>374</v>
      </c>
      <c r="C1525" t="s">
        <v>58</v>
      </c>
      <c r="D1525" t="s">
        <v>429</v>
      </c>
      <c r="E1525" t="s">
        <v>137</v>
      </c>
      <c r="F1525" s="122">
        <v>1</v>
      </c>
      <c r="G1525" s="122">
        <v>46</v>
      </c>
      <c r="H1525" s="122">
        <v>279</v>
      </c>
      <c r="I1525" s="122">
        <v>5615</v>
      </c>
      <c r="J1525" s="122">
        <v>5104</v>
      </c>
      <c r="K1525" s="122">
        <v>60</v>
      </c>
      <c r="L1525" s="122">
        <v>919</v>
      </c>
      <c r="M1525" s="122">
        <v>340</v>
      </c>
      <c r="N1525" s="122">
        <v>1114</v>
      </c>
      <c r="O1525" s="122">
        <v>412</v>
      </c>
      <c r="P1525" s="122">
        <v>0</v>
      </c>
      <c r="Q1525" s="122">
        <v>0</v>
      </c>
      <c r="R1525" s="122">
        <v>5103</v>
      </c>
      <c r="S1525" s="122">
        <v>1890</v>
      </c>
      <c r="T1525" s="122">
        <v>0</v>
      </c>
      <c r="U1525" s="122">
        <v>0</v>
      </c>
      <c r="V1525" s="122">
        <v>7747</v>
      </c>
      <c r="W1525" s="122">
        <f t="shared" si="48"/>
        <v>7746</v>
      </c>
      <c r="X1525" s="122">
        <f t="shared" si="49"/>
        <v>12751</v>
      </c>
      <c r="AA1525" t="s">
        <v>62</v>
      </c>
      <c r="AB1525" t="s">
        <v>578</v>
      </c>
      <c r="AC1525" t="s">
        <v>566</v>
      </c>
      <c r="AD1525" t="s">
        <v>578</v>
      </c>
      <c r="AE1525" t="s">
        <v>137</v>
      </c>
      <c r="AF1525">
        <v>2</v>
      </c>
      <c r="AG1525">
        <v>176</v>
      </c>
      <c r="AH1525">
        <v>818</v>
      </c>
      <c r="AI1525" s="122">
        <v>52455</v>
      </c>
      <c r="AJ1525" s="122">
        <v>47687</v>
      </c>
      <c r="AK1525">
        <v>65</v>
      </c>
      <c r="AL1525">
        <v>0</v>
      </c>
      <c r="AM1525">
        <v>0</v>
      </c>
      <c r="AN1525" s="122">
        <v>3646</v>
      </c>
      <c r="AO1525" s="122">
        <v>1350</v>
      </c>
      <c r="AP1525">
        <v>702</v>
      </c>
      <c r="AQ1525">
        <v>260</v>
      </c>
      <c r="AR1525" s="122">
        <v>9554</v>
      </c>
      <c r="AS1525" s="122">
        <v>8685</v>
      </c>
      <c r="AT1525" s="122">
        <v>5877</v>
      </c>
      <c r="AU1525" s="122">
        <v>2177</v>
      </c>
      <c r="AV1525" s="122">
        <v>60159</v>
      </c>
    </row>
    <row r="1526" spans="2:48" hidden="1">
      <c r="B1526" t="s">
        <v>374</v>
      </c>
      <c r="C1526" t="s">
        <v>58</v>
      </c>
      <c r="D1526" t="s">
        <v>429</v>
      </c>
      <c r="E1526" t="s">
        <v>429</v>
      </c>
      <c r="F1526" s="122">
        <v>2</v>
      </c>
      <c r="G1526" s="122">
        <v>111</v>
      </c>
      <c r="H1526" s="122">
        <v>512</v>
      </c>
      <c r="I1526" s="122">
        <v>16228</v>
      </c>
      <c r="J1526" s="122">
        <v>14753</v>
      </c>
      <c r="K1526" s="122">
        <v>65</v>
      </c>
      <c r="L1526" s="122">
        <v>2072</v>
      </c>
      <c r="M1526" s="122">
        <v>1883</v>
      </c>
      <c r="N1526" s="122">
        <v>1928</v>
      </c>
      <c r="O1526" s="122">
        <v>714</v>
      </c>
      <c r="P1526" s="122">
        <v>702</v>
      </c>
      <c r="Q1526" s="122">
        <v>260</v>
      </c>
      <c r="R1526" s="122">
        <v>5113</v>
      </c>
      <c r="S1526" s="122">
        <v>4648</v>
      </c>
      <c r="T1526" s="122">
        <v>2254</v>
      </c>
      <c r="U1526" s="122">
        <v>835</v>
      </c>
      <c r="V1526" s="122">
        <v>23093</v>
      </c>
      <c r="W1526" s="122">
        <f t="shared" si="48"/>
        <v>23093</v>
      </c>
      <c r="X1526" s="122">
        <f t="shared" si="49"/>
        <v>28297</v>
      </c>
      <c r="AA1526" t="s">
        <v>62</v>
      </c>
      <c r="AB1526" t="s">
        <v>403</v>
      </c>
      <c r="AC1526" t="s">
        <v>426</v>
      </c>
      <c r="AD1526" t="s">
        <v>137</v>
      </c>
      <c r="AE1526" t="s">
        <v>566</v>
      </c>
      <c r="AF1526">
        <v>1</v>
      </c>
      <c r="AG1526">
        <v>68</v>
      </c>
      <c r="AH1526">
        <v>414</v>
      </c>
      <c r="AI1526" s="122">
        <v>16672</v>
      </c>
      <c r="AJ1526" s="122">
        <v>6175</v>
      </c>
      <c r="AK1526">
        <v>100</v>
      </c>
      <c r="AL1526" s="122">
        <v>5660</v>
      </c>
      <c r="AM1526" s="122">
        <v>5146</v>
      </c>
      <c r="AN1526" s="122">
        <v>1645</v>
      </c>
      <c r="AO1526">
        <v>609</v>
      </c>
      <c r="AP1526">
        <v>0</v>
      </c>
      <c r="AQ1526">
        <v>0</v>
      </c>
      <c r="AR1526" s="122">
        <v>3991</v>
      </c>
      <c r="AS1526" s="122">
        <v>1478</v>
      </c>
      <c r="AT1526">
        <v>0</v>
      </c>
      <c r="AU1526">
        <v>0</v>
      </c>
      <c r="AV1526" s="122">
        <v>13407</v>
      </c>
    </row>
    <row r="1527" spans="2:48" hidden="1">
      <c r="B1527" t="s">
        <v>374</v>
      </c>
      <c r="C1527" t="s">
        <v>60</v>
      </c>
      <c r="F1527" s="122">
        <v>3</v>
      </c>
      <c r="G1527" s="122">
        <v>223</v>
      </c>
      <c r="H1527" s="122">
        <v>1060</v>
      </c>
      <c r="I1527" s="122"/>
      <c r="J1527" s="122">
        <v>0</v>
      </c>
      <c r="K1527" s="122"/>
      <c r="L1527" s="122"/>
      <c r="M1527" s="122">
        <v>0</v>
      </c>
      <c r="N1527" s="122">
        <v>5052</v>
      </c>
      <c r="O1527" s="122">
        <v>1871</v>
      </c>
      <c r="P1527" s="122">
        <v>1593</v>
      </c>
      <c r="Q1527" s="122">
        <v>590</v>
      </c>
      <c r="R1527" s="122"/>
      <c r="S1527" s="122">
        <v>0</v>
      </c>
      <c r="T1527" s="122">
        <v>0</v>
      </c>
      <c r="U1527" s="122">
        <v>0</v>
      </c>
      <c r="V1527" s="122">
        <v>2461</v>
      </c>
      <c r="W1527" s="122">
        <f t="shared" si="48"/>
        <v>2461</v>
      </c>
      <c r="X1527" s="122">
        <f t="shared" si="49"/>
        <v>6645</v>
      </c>
      <c r="AA1527" t="s">
        <v>62</v>
      </c>
      <c r="AB1527" t="s">
        <v>425</v>
      </c>
      <c r="AC1527" t="s">
        <v>425</v>
      </c>
      <c r="AD1527" t="s">
        <v>425</v>
      </c>
      <c r="AE1527" t="s">
        <v>137</v>
      </c>
      <c r="AF1527">
        <v>1</v>
      </c>
      <c r="AG1527">
        <v>75</v>
      </c>
      <c r="AH1527">
        <v>407</v>
      </c>
      <c r="AI1527" s="122">
        <v>19633</v>
      </c>
      <c r="AJ1527" s="122">
        <v>17848</v>
      </c>
      <c r="AK1527">
        <v>65</v>
      </c>
      <c r="AL1527" s="122">
        <v>2247</v>
      </c>
      <c r="AM1527" s="122">
        <v>2043</v>
      </c>
      <c r="AN1527" s="122">
        <v>1413</v>
      </c>
      <c r="AO1527">
        <v>523</v>
      </c>
      <c r="AP1527">
        <v>473</v>
      </c>
      <c r="AQ1527">
        <v>175</v>
      </c>
      <c r="AR1527" s="122">
        <v>4442</v>
      </c>
      <c r="AS1527" s="122">
        <v>4038</v>
      </c>
      <c r="AT1527" s="122">
        <v>2229</v>
      </c>
      <c r="AU1527">
        <v>826</v>
      </c>
      <c r="AV1527" s="122">
        <v>25453</v>
      </c>
    </row>
    <row r="1528" spans="2:48" hidden="1">
      <c r="B1528" t="s">
        <v>374</v>
      </c>
      <c r="C1528" t="s">
        <v>60</v>
      </c>
      <c r="D1528" t="s">
        <v>425</v>
      </c>
      <c r="E1528" t="s">
        <v>425</v>
      </c>
      <c r="F1528" s="122">
        <v>1</v>
      </c>
      <c r="G1528" s="122">
        <v>123</v>
      </c>
      <c r="H1528" s="122">
        <v>319</v>
      </c>
      <c r="I1528" s="122">
        <v>22559</v>
      </c>
      <c r="J1528" s="122">
        <v>20508</v>
      </c>
      <c r="K1528" s="122">
        <v>68</v>
      </c>
      <c r="L1528" s="122">
        <v>5398</v>
      </c>
      <c r="M1528" s="122">
        <v>4907</v>
      </c>
      <c r="N1528" s="122">
        <v>2811</v>
      </c>
      <c r="O1528" s="122">
        <v>1041</v>
      </c>
      <c r="P1528" s="122">
        <v>473</v>
      </c>
      <c r="Q1528" s="122">
        <v>175</v>
      </c>
      <c r="R1528" s="122">
        <v>5030</v>
      </c>
      <c r="S1528" s="122">
        <v>4573</v>
      </c>
      <c r="T1528" s="122">
        <v>2842</v>
      </c>
      <c r="U1528" s="122">
        <v>1052</v>
      </c>
      <c r="V1528" s="122">
        <v>32257</v>
      </c>
      <c r="W1528" s="122">
        <f t="shared" si="48"/>
        <v>32256</v>
      </c>
      <c r="X1528" s="122">
        <f t="shared" si="49"/>
        <v>39113</v>
      </c>
      <c r="AA1528" t="s">
        <v>62</v>
      </c>
      <c r="AB1528" t="s">
        <v>425</v>
      </c>
      <c r="AC1528" t="s">
        <v>425</v>
      </c>
      <c r="AD1528" t="s">
        <v>425</v>
      </c>
      <c r="AE1528" t="s">
        <v>566</v>
      </c>
      <c r="AF1528">
        <v>1</v>
      </c>
      <c r="AG1528">
        <v>83</v>
      </c>
      <c r="AH1528">
        <v>422</v>
      </c>
      <c r="AI1528" s="122">
        <v>19333</v>
      </c>
      <c r="AJ1528" s="122">
        <v>17576</v>
      </c>
      <c r="AK1528">
        <v>65</v>
      </c>
      <c r="AL1528" s="122">
        <v>6638</v>
      </c>
      <c r="AM1528" s="122">
        <v>6034</v>
      </c>
      <c r="AN1528" s="122">
        <v>1751</v>
      </c>
      <c r="AO1528">
        <v>648</v>
      </c>
      <c r="AP1528">
        <v>351</v>
      </c>
      <c r="AQ1528">
        <v>130</v>
      </c>
      <c r="AR1528" s="122">
        <v>6942</v>
      </c>
      <c r="AS1528" s="122">
        <v>6311</v>
      </c>
      <c r="AT1528">
        <v>0</v>
      </c>
      <c r="AU1528">
        <v>0</v>
      </c>
      <c r="AV1528" s="122">
        <v>30699</v>
      </c>
    </row>
    <row r="1529" spans="2:48" hidden="1">
      <c r="B1529" t="s">
        <v>374</v>
      </c>
      <c r="C1529" t="s">
        <v>60</v>
      </c>
      <c r="D1529" t="s">
        <v>405</v>
      </c>
      <c r="E1529" t="s">
        <v>405</v>
      </c>
      <c r="F1529" s="122">
        <v>4</v>
      </c>
      <c r="G1529" s="122">
        <v>529</v>
      </c>
      <c r="H1529" s="122">
        <v>1297</v>
      </c>
      <c r="I1529" s="122">
        <v>106206</v>
      </c>
      <c r="J1529" s="122">
        <v>96550</v>
      </c>
      <c r="K1529" s="122">
        <v>71</v>
      </c>
      <c r="L1529" s="122">
        <v>22225</v>
      </c>
      <c r="M1529" s="122">
        <v>15276</v>
      </c>
      <c r="N1529" s="122">
        <v>11226</v>
      </c>
      <c r="O1529" s="122">
        <v>4158</v>
      </c>
      <c r="P1529" s="122">
        <v>2039</v>
      </c>
      <c r="Q1529" s="122">
        <v>755</v>
      </c>
      <c r="R1529" s="122">
        <v>18952</v>
      </c>
      <c r="S1529" s="122">
        <v>17229</v>
      </c>
      <c r="T1529" s="122">
        <v>11092</v>
      </c>
      <c r="U1529" s="122">
        <v>4108</v>
      </c>
      <c r="V1529" s="122">
        <v>138077</v>
      </c>
      <c r="W1529" s="122">
        <f t="shared" si="48"/>
        <v>138076</v>
      </c>
      <c r="X1529" s="122">
        <f t="shared" si="49"/>
        <v>171740</v>
      </c>
      <c r="AA1529" t="s">
        <v>62</v>
      </c>
      <c r="AB1529" t="s">
        <v>425</v>
      </c>
      <c r="AC1529" t="s">
        <v>137</v>
      </c>
      <c r="AD1529" t="s">
        <v>425</v>
      </c>
      <c r="AE1529" t="s">
        <v>137</v>
      </c>
      <c r="AF1529">
        <v>1</v>
      </c>
      <c r="AG1529">
        <v>79</v>
      </c>
      <c r="AH1529">
        <v>439</v>
      </c>
      <c r="AI1529" s="122">
        <v>24837</v>
      </c>
      <c r="AJ1529" s="122">
        <v>22579</v>
      </c>
      <c r="AK1529">
        <v>65</v>
      </c>
      <c r="AL1529" s="122">
        <v>4186</v>
      </c>
      <c r="AM1529" s="122">
        <v>1550</v>
      </c>
      <c r="AN1529" s="122">
        <v>1732</v>
      </c>
      <c r="AO1529">
        <v>642</v>
      </c>
      <c r="AP1529">
        <v>473</v>
      </c>
      <c r="AQ1529">
        <v>175</v>
      </c>
      <c r="AR1529" s="122">
        <v>3412</v>
      </c>
      <c r="AS1529" s="122">
        <v>3102</v>
      </c>
      <c r="AT1529">
        <v>0</v>
      </c>
      <c r="AU1529">
        <v>0</v>
      </c>
      <c r="AV1529" s="122">
        <v>28049</v>
      </c>
    </row>
    <row r="1530" spans="2:48" hidden="1">
      <c r="B1530" t="s">
        <v>374</v>
      </c>
      <c r="C1530" t="s">
        <v>60</v>
      </c>
      <c r="D1530" t="s">
        <v>137</v>
      </c>
      <c r="E1530" t="s">
        <v>137</v>
      </c>
      <c r="F1530" s="122">
        <v>232</v>
      </c>
      <c r="G1530" s="122">
        <v>16850</v>
      </c>
      <c r="H1530" s="122">
        <v>79643</v>
      </c>
      <c r="I1530" s="122">
        <v>3445377</v>
      </c>
      <c r="J1530" s="122">
        <v>1276066</v>
      </c>
      <c r="K1530" s="122">
        <v>100</v>
      </c>
      <c r="L1530" s="122">
        <v>493021</v>
      </c>
      <c r="M1530" s="122">
        <v>315134</v>
      </c>
      <c r="N1530" s="122">
        <v>345158</v>
      </c>
      <c r="O1530" s="122">
        <v>127836</v>
      </c>
      <c r="P1530" s="122">
        <v>5265</v>
      </c>
      <c r="Q1530" s="122">
        <v>1950</v>
      </c>
      <c r="R1530" s="122">
        <v>1510304</v>
      </c>
      <c r="S1530" s="122">
        <v>559372</v>
      </c>
      <c r="T1530" s="122">
        <v>3716</v>
      </c>
      <c r="U1530" s="122">
        <v>1376</v>
      </c>
      <c r="V1530" s="122">
        <v>2281734</v>
      </c>
      <c r="W1530" s="122">
        <f t="shared" si="48"/>
        <v>2281734</v>
      </c>
      <c r="X1530" s="122">
        <f t="shared" si="49"/>
        <v>5802841</v>
      </c>
      <c r="AA1530" t="s">
        <v>62</v>
      </c>
      <c r="AB1530" t="s">
        <v>425</v>
      </c>
      <c r="AC1530" t="s">
        <v>137</v>
      </c>
      <c r="AD1530" t="s">
        <v>425</v>
      </c>
      <c r="AE1530" t="s">
        <v>566</v>
      </c>
      <c r="AF1530">
        <v>2</v>
      </c>
      <c r="AG1530">
        <v>231</v>
      </c>
      <c r="AH1530">
        <v>828</v>
      </c>
      <c r="AI1530" s="122">
        <v>65834</v>
      </c>
      <c r="AJ1530" s="122">
        <v>59849</v>
      </c>
      <c r="AK1530">
        <v>70</v>
      </c>
      <c r="AL1530" s="122">
        <v>11880</v>
      </c>
      <c r="AM1530" s="122">
        <v>4400</v>
      </c>
      <c r="AN1530" s="122">
        <v>5217</v>
      </c>
      <c r="AO1530" s="122">
        <v>1932</v>
      </c>
      <c r="AP1530">
        <v>473</v>
      </c>
      <c r="AQ1530">
        <v>175</v>
      </c>
      <c r="AR1530" s="122">
        <v>10791</v>
      </c>
      <c r="AS1530" s="122">
        <v>9810</v>
      </c>
      <c r="AT1530">
        <v>0</v>
      </c>
      <c r="AU1530">
        <v>0</v>
      </c>
      <c r="AV1530" s="122">
        <v>76166</v>
      </c>
    </row>
    <row r="1531" spans="2:48" hidden="1">
      <c r="B1531" t="s">
        <v>374</v>
      </c>
      <c r="C1531" t="s">
        <v>60</v>
      </c>
      <c r="D1531" t="s">
        <v>137</v>
      </c>
      <c r="E1531" t="s">
        <v>427</v>
      </c>
      <c r="F1531" s="122">
        <v>2</v>
      </c>
      <c r="G1531" s="122">
        <v>156</v>
      </c>
      <c r="H1531" s="122">
        <v>704</v>
      </c>
      <c r="I1531" s="122">
        <v>35968</v>
      </c>
      <c r="J1531" s="122">
        <v>13321</v>
      </c>
      <c r="K1531" s="122">
        <v>100</v>
      </c>
      <c r="L1531" s="122">
        <v>3451</v>
      </c>
      <c r="M1531" s="122">
        <v>3137</v>
      </c>
      <c r="N1531" s="122">
        <v>2484</v>
      </c>
      <c r="O1531" s="122">
        <v>920</v>
      </c>
      <c r="P1531" s="122">
        <v>0</v>
      </c>
      <c r="Q1531" s="122">
        <v>0</v>
      </c>
      <c r="R1531" s="122">
        <v>9723</v>
      </c>
      <c r="S1531" s="122">
        <v>8839</v>
      </c>
      <c r="T1531" s="122">
        <v>3388</v>
      </c>
      <c r="U1531" s="122">
        <v>1255</v>
      </c>
      <c r="V1531" s="122">
        <v>27472</v>
      </c>
      <c r="W1531" s="122">
        <f t="shared" si="48"/>
        <v>27472</v>
      </c>
      <c r="X1531" s="122">
        <f t="shared" si="49"/>
        <v>55014</v>
      </c>
      <c r="AA1531" t="s">
        <v>62</v>
      </c>
      <c r="AB1531" t="s">
        <v>425</v>
      </c>
      <c r="AC1531" t="s">
        <v>137</v>
      </c>
      <c r="AD1531" t="s">
        <v>137</v>
      </c>
      <c r="AE1531" t="s">
        <v>566</v>
      </c>
      <c r="AF1531">
        <v>1</v>
      </c>
      <c r="AG1531">
        <v>56</v>
      </c>
      <c r="AH1531">
        <v>419</v>
      </c>
      <c r="AI1531" s="122">
        <v>9183</v>
      </c>
      <c r="AJ1531" s="122">
        <v>8348</v>
      </c>
      <c r="AK1531">
        <v>90</v>
      </c>
      <c r="AL1531" s="122">
        <v>5071</v>
      </c>
      <c r="AM1531" s="122">
        <v>1878</v>
      </c>
      <c r="AN1531" s="122">
        <v>1355</v>
      </c>
      <c r="AO1531">
        <v>502</v>
      </c>
      <c r="AP1531">
        <v>0</v>
      </c>
      <c r="AQ1531">
        <v>0</v>
      </c>
      <c r="AR1531" s="122">
        <v>7698</v>
      </c>
      <c r="AS1531" s="122">
        <v>2851</v>
      </c>
      <c r="AT1531">
        <v>0</v>
      </c>
      <c r="AU1531">
        <v>0</v>
      </c>
      <c r="AV1531" s="122">
        <v>13579</v>
      </c>
    </row>
    <row r="1532" spans="2:48" hidden="1">
      <c r="B1532" t="s">
        <v>374</v>
      </c>
      <c r="C1532" t="s">
        <v>60</v>
      </c>
      <c r="D1532" t="s">
        <v>137</v>
      </c>
      <c r="E1532" t="s">
        <v>556</v>
      </c>
      <c r="F1532" s="122">
        <v>6</v>
      </c>
      <c r="G1532" s="122">
        <v>463</v>
      </c>
      <c r="H1532" s="122">
        <v>1986</v>
      </c>
      <c r="I1532" s="122">
        <v>86767</v>
      </c>
      <c r="J1532" s="122">
        <v>32136</v>
      </c>
      <c r="K1532" s="122">
        <v>100</v>
      </c>
      <c r="L1532" s="122">
        <v>11238</v>
      </c>
      <c r="M1532" s="122">
        <v>9365</v>
      </c>
      <c r="N1532" s="122">
        <v>9755</v>
      </c>
      <c r="O1532" s="122">
        <v>3613</v>
      </c>
      <c r="P1532" s="122">
        <v>0</v>
      </c>
      <c r="Q1532" s="122">
        <v>0</v>
      </c>
      <c r="R1532" s="122">
        <v>32874</v>
      </c>
      <c r="S1532" s="122">
        <v>27395</v>
      </c>
      <c r="T1532" s="122">
        <v>13520</v>
      </c>
      <c r="U1532" s="122">
        <v>5007</v>
      </c>
      <c r="V1532" s="122">
        <v>77516</v>
      </c>
      <c r="W1532" s="122">
        <f t="shared" si="48"/>
        <v>77516</v>
      </c>
      <c r="X1532" s="122">
        <f t="shared" si="49"/>
        <v>154154</v>
      </c>
      <c r="AA1532" t="s">
        <v>62</v>
      </c>
      <c r="AB1532" t="s">
        <v>425</v>
      </c>
      <c r="AC1532" t="s">
        <v>427</v>
      </c>
      <c r="AD1532" t="s">
        <v>425</v>
      </c>
      <c r="AE1532" t="s">
        <v>137</v>
      </c>
      <c r="AF1532">
        <v>1</v>
      </c>
      <c r="AG1532">
        <v>45</v>
      </c>
      <c r="AH1532">
        <v>446</v>
      </c>
      <c r="AI1532" s="122">
        <v>12304</v>
      </c>
      <c r="AJ1532" s="122">
        <v>11185</v>
      </c>
      <c r="AK1532">
        <v>73</v>
      </c>
      <c r="AL1532" s="122">
        <v>1581</v>
      </c>
      <c r="AM1532" s="122">
        <v>1438</v>
      </c>
      <c r="AN1532">
        <v>883</v>
      </c>
      <c r="AO1532">
        <v>327</v>
      </c>
      <c r="AP1532">
        <v>473</v>
      </c>
      <c r="AQ1532">
        <v>175</v>
      </c>
      <c r="AR1532" s="122">
        <v>3297</v>
      </c>
      <c r="AS1532" s="122">
        <v>2998</v>
      </c>
      <c r="AT1532" s="122">
        <v>1678</v>
      </c>
      <c r="AU1532">
        <v>621</v>
      </c>
      <c r="AV1532" s="122">
        <v>16744</v>
      </c>
    </row>
    <row r="1533" spans="2:48" hidden="1">
      <c r="B1533" t="s">
        <v>374</v>
      </c>
      <c r="C1533" t="s">
        <v>60</v>
      </c>
      <c r="D1533" t="s">
        <v>137</v>
      </c>
      <c r="E1533" t="s">
        <v>431</v>
      </c>
      <c r="F1533" s="122">
        <v>1</v>
      </c>
      <c r="G1533" s="122">
        <v>79</v>
      </c>
      <c r="H1533" s="122">
        <v>363</v>
      </c>
      <c r="I1533" s="122">
        <v>16726</v>
      </c>
      <c r="J1533" s="122">
        <v>6195</v>
      </c>
      <c r="K1533" s="122">
        <v>100</v>
      </c>
      <c r="L1533" s="122">
        <v>3097</v>
      </c>
      <c r="M1533" s="122">
        <v>2816</v>
      </c>
      <c r="N1533" s="122">
        <v>1726</v>
      </c>
      <c r="O1533" s="122">
        <v>639</v>
      </c>
      <c r="P1533" s="122">
        <v>0</v>
      </c>
      <c r="Q1533" s="122">
        <v>0</v>
      </c>
      <c r="R1533" s="122">
        <v>4866</v>
      </c>
      <c r="S1533" s="122">
        <v>4423</v>
      </c>
      <c r="T1533" s="122">
        <v>2148</v>
      </c>
      <c r="U1533" s="122">
        <v>796</v>
      </c>
      <c r="V1533" s="122">
        <v>14869</v>
      </c>
      <c r="W1533" s="122">
        <f t="shared" si="48"/>
        <v>14869</v>
      </c>
      <c r="X1533" s="122">
        <f t="shared" si="49"/>
        <v>28563</v>
      </c>
      <c r="AA1533" t="s">
        <v>62</v>
      </c>
      <c r="AB1533" t="s">
        <v>425</v>
      </c>
      <c r="AC1533" t="s">
        <v>427</v>
      </c>
      <c r="AD1533" t="s">
        <v>425</v>
      </c>
      <c r="AE1533" t="s">
        <v>566</v>
      </c>
      <c r="AF1533">
        <v>2</v>
      </c>
      <c r="AG1533">
        <v>131</v>
      </c>
      <c r="AH1533">
        <v>793</v>
      </c>
      <c r="AI1533" s="122">
        <v>33471</v>
      </c>
      <c r="AJ1533" s="122">
        <v>30428</v>
      </c>
      <c r="AK1533">
        <v>82</v>
      </c>
      <c r="AL1533" s="122">
        <v>9616</v>
      </c>
      <c r="AM1533" s="122">
        <v>8742</v>
      </c>
      <c r="AN1533" s="122">
        <v>3047</v>
      </c>
      <c r="AO1533" s="122">
        <v>1128</v>
      </c>
      <c r="AP1533">
        <v>945</v>
      </c>
      <c r="AQ1533">
        <v>350</v>
      </c>
      <c r="AR1533" s="122">
        <v>4843</v>
      </c>
      <c r="AS1533" s="122">
        <v>4402</v>
      </c>
      <c r="AT1533">
        <v>0</v>
      </c>
      <c r="AU1533">
        <v>0</v>
      </c>
      <c r="AV1533" s="122">
        <v>45051</v>
      </c>
    </row>
    <row r="1534" spans="2:48" hidden="1">
      <c r="B1534" t="s">
        <v>374</v>
      </c>
      <c r="C1534" t="s">
        <v>60</v>
      </c>
      <c r="D1534" t="s">
        <v>137</v>
      </c>
      <c r="E1534" t="s">
        <v>426</v>
      </c>
      <c r="F1534" s="122">
        <v>6</v>
      </c>
      <c r="G1534" s="122">
        <v>471</v>
      </c>
      <c r="H1534" s="122">
        <v>1967</v>
      </c>
      <c r="I1534" s="122">
        <v>92829</v>
      </c>
      <c r="J1534" s="122">
        <v>34381</v>
      </c>
      <c r="K1534" s="122">
        <v>100</v>
      </c>
      <c r="L1534" s="122">
        <v>7340</v>
      </c>
      <c r="M1534" s="122">
        <v>6672</v>
      </c>
      <c r="N1534" s="122">
        <v>10120</v>
      </c>
      <c r="O1534" s="122">
        <v>3748</v>
      </c>
      <c r="P1534" s="122">
        <v>702</v>
      </c>
      <c r="Q1534" s="122">
        <v>260</v>
      </c>
      <c r="R1534" s="122">
        <v>32592</v>
      </c>
      <c r="S1534" s="122">
        <v>29629</v>
      </c>
      <c r="T1534" s="122">
        <v>10937</v>
      </c>
      <c r="U1534" s="122">
        <v>4051</v>
      </c>
      <c r="V1534" s="122">
        <v>78741</v>
      </c>
      <c r="W1534" s="122">
        <f t="shared" si="48"/>
        <v>78741</v>
      </c>
      <c r="X1534" s="122">
        <f t="shared" si="49"/>
        <v>154520</v>
      </c>
      <c r="AA1534" t="s">
        <v>62</v>
      </c>
      <c r="AB1534" t="s">
        <v>425</v>
      </c>
      <c r="AC1534" t="s">
        <v>579</v>
      </c>
      <c r="AD1534" t="s">
        <v>425</v>
      </c>
      <c r="AE1534" t="s">
        <v>566</v>
      </c>
      <c r="AF1534">
        <v>1</v>
      </c>
      <c r="AG1534">
        <v>102</v>
      </c>
      <c r="AH1534">
        <v>399</v>
      </c>
      <c r="AI1534" s="122">
        <v>34736</v>
      </c>
      <c r="AJ1534" s="122">
        <v>31578</v>
      </c>
      <c r="AK1534">
        <v>79</v>
      </c>
      <c r="AL1534" s="122">
        <v>10484</v>
      </c>
      <c r="AM1534" s="122">
        <v>8737</v>
      </c>
      <c r="AN1534" s="122">
        <v>2935</v>
      </c>
      <c r="AO1534" s="122">
        <v>1087</v>
      </c>
      <c r="AP1534">
        <v>473</v>
      </c>
      <c r="AQ1534">
        <v>175</v>
      </c>
      <c r="AR1534" s="122">
        <v>3913</v>
      </c>
      <c r="AS1534" s="122">
        <v>3558</v>
      </c>
      <c r="AT1534">
        <v>0</v>
      </c>
      <c r="AU1534">
        <v>0</v>
      </c>
      <c r="AV1534" s="122">
        <v>45134</v>
      </c>
    </row>
    <row r="1535" spans="2:48" hidden="1">
      <c r="B1535" t="s">
        <v>374</v>
      </c>
      <c r="C1535" t="s">
        <v>60</v>
      </c>
      <c r="D1535" t="s">
        <v>406</v>
      </c>
      <c r="E1535" t="s">
        <v>137</v>
      </c>
      <c r="F1535" s="122">
        <v>5</v>
      </c>
      <c r="G1535" s="122">
        <v>528</v>
      </c>
      <c r="H1535" s="122">
        <v>1622</v>
      </c>
      <c r="I1535" s="122">
        <v>90778</v>
      </c>
      <c r="J1535" s="122">
        <v>82526</v>
      </c>
      <c r="K1535" s="122">
        <v>72</v>
      </c>
      <c r="L1535" s="122">
        <v>17721</v>
      </c>
      <c r="M1535" s="122">
        <v>14077</v>
      </c>
      <c r="N1535" s="122">
        <v>11981</v>
      </c>
      <c r="O1535" s="122">
        <v>4437</v>
      </c>
      <c r="P1535" s="122">
        <v>3501</v>
      </c>
      <c r="Q1535" s="122">
        <v>1297</v>
      </c>
      <c r="R1535" s="122">
        <v>46406</v>
      </c>
      <c r="S1535" s="122">
        <v>17188</v>
      </c>
      <c r="T1535" s="122">
        <v>0</v>
      </c>
      <c r="U1535" s="122">
        <v>0</v>
      </c>
      <c r="V1535" s="122">
        <v>119524</v>
      </c>
      <c r="W1535" s="122">
        <f t="shared" si="48"/>
        <v>119525</v>
      </c>
      <c r="X1535" s="122">
        <f t="shared" si="49"/>
        <v>170387</v>
      </c>
      <c r="AA1535" t="s">
        <v>62</v>
      </c>
      <c r="AB1535" t="s">
        <v>425</v>
      </c>
      <c r="AC1535" t="s">
        <v>579</v>
      </c>
      <c r="AD1535" t="s">
        <v>137</v>
      </c>
      <c r="AE1535" t="s">
        <v>566</v>
      </c>
      <c r="AF1535">
        <v>2</v>
      </c>
      <c r="AG1535">
        <v>209</v>
      </c>
      <c r="AH1535">
        <v>784</v>
      </c>
      <c r="AI1535" s="122">
        <v>41460</v>
      </c>
      <c r="AJ1535" s="122">
        <v>37691</v>
      </c>
      <c r="AK1535">
        <v>80</v>
      </c>
      <c r="AL1535" s="122">
        <v>13196</v>
      </c>
      <c r="AM1535" s="122">
        <v>10997</v>
      </c>
      <c r="AN1535" s="122">
        <v>4652</v>
      </c>
      <c r="AO1535" s="122">
        <v>1723</v>
      </c>
      <c r="AP1535">
        <v>898</v>
      </c>
      <c r="AQ1535">
        <v>333</v>
      </c>
      <c r="AR1535" s="122">
        <v>21813</v>
      </c>
      <c r="AS1535" s="122">
        <v>8079</v>
      </c>
      <c r="AT1535">
        <v>0</v>
      </c>
      <c r="AU1535">
        <v>0</v>
      </c>
      <c r="AV1535" s="122">
        <v>58822</v>
      </c>
    </row>
    <row r="1536" spans="2:48" hidden="1">
      <c r="B1536" t="s">
        <v>374</v>
      </c>
      <c r="C1536" t="s">
        <v>60</v>
      </c>
      <c r="D1536" t="s">
        <v>406</v>
      </c>
      <c r="E1536" t="s">
        <v>406</v>
      </c>
      <c r="F1536" s="122">
        <v>665</v>
      </c>
      <c r="G1536" s="122">
        <v>66875</v>
      </c>
      <c r="H1536" s="122">
        <v>223861</v>
      </c>
      <c r="I1536" s="122">
        <v>13167381</v>
      </c>
      <c r="J1536" s="122">
        <v>11970346</v>
      </c>
      <c r="K1536" s="122">
        <v>76</v>
      </c>
      <c r="L1536" s="122">
        <v>2971629</v>
      </c>
      <c r="M1536" s="122">
        <v>2531543</v>
      </c>
      <c r="N1536" s="122">
        <v>1406311</v>
      </c>
      <c r="O1536" s="122">
        <v>520856</v>
      </c>
      <c r="P1536" s="122">
        <v>423319</v>
      </c>
      <c r="Q1536" s="122">
        <v>156785</v>
      </c>
      <c r="R1536" s="122">
        <v>3306048</v>
      </c>
      <c r="S1536" s="122">
        <v>3005498</v>
      </c>
      <c r="T1536" s="122">
        <v>1415328</v>
      </c>
      <c r="U1536" s="122">
        <v>524196</v>
      </c>
      <c r="V1536" s="122">
        <v>18709224</v>
      </c>
      <c r="W1536" s="122">
        <f t="shared" si="48"/>
        <v>18709224</v>
      </c>
      <c r="X1536" s="122">
        <f t="shared" si="49"/>
        <v>22690016</v>
      </c>
      <c r="AA1536" t="s">
        <v>62</v>
      </c>
      <c r="AB1536" t="s">
        <v>425</v>
      </c>
      <c r="AC1536" t="s">
        <v>426</v>
      </c>
      <c r="AD1536" t="s">
        <v>425</v>
      </c>
      <c r="AE1536" t="s">
        <v>137</v>
      </c>
      <c r="AF1536">
        <v>3</v>
      </c>
      <c r="AG1536">
        <v>330</v>
      </c>
      <c r="AH1536" s="122">
        <v>1263</v>
      </c>
      <c r="AI1536" s="122">
        <v>92057</v>
      </c>
      <c r="AJ1536" s="122">
        <v>83688</v>
      </c>
      <c r="AK1536">
        <v>82</v>
      </c>
      <c r="AL1536" s="122">
        <v>24349</v>
      </c>
      <c r="AM1536" s="122">
        <v>22135</v>
      </c>
      <c r="AN1536" s="122">
        <v>7136</v>
      </c>
      <c r="AO1536" s="122">
        <v>2643</v>
      </c>
      <c r="AP1536" s="122">
        <v>1418</v>
      </c>
      <c r="AQ1536">
        <v>525</v>
      </c>
      <c r="AR1536" s="122">
        <v>10673</v>
      </c>
      <c r="AS1536" s="122">
        <v>9703</v>
      </c>
      <c r="AT1536" s="122">
        <v>4257</v>
      </c>
      <c r="AU1536" s="122">
        <v>1577</v>
      </c>
      <c r="AV1536" s="122">
        <v>120270</v>
      </c>
    </row>
    <row r="1537" spans="2:48" hidden="1">
      <c r="B1537" t="s">
        <v>374</v>
      </c>
      <c r="C1537" t="s">
        <v>60</v>
      </c>
      <c r="D1537" t="s">
        <v>406</v>
      </c>
      <c r="E1537" t="s">
        <v>427</v>
      </c>
      <c r="F1537" s="122">
        <v>1</v>
      </c>
      <c r="G1537" s="122">
        <v>87</v>
      </c>
      <c r="H1537" s="122">
        <v>365</v>
      </c>
      <c r="I1537" s="122">
        <v>12801</v>
      </c>
      <c r="J1537" s="122">
        <v>11638</v>
      </c>
      <c r="K1537" s="122">
        <v>45</v>
      </c>
      <c r="L1537" s="122">
        <v>2134</v>
      </c>
      <c r="M1537" s="122">
        <v>1940</v>
      </c>
      <c r="N1537" s="122">
        <v>2122</v>
      </c>
      <c r="O1537" s="122">
        <v>786</v>
      </c>
      <c r="P1537" s="122">
        <v>0</v>
      </c>
      <c r="Q1537" s="122">
        <v>0</v>
      </c>
      <c r="R1537" s="122">
        <v>10247</v>
      </c>
      <c r="S1537" s="122">
        <v>9316</v>
      </c>
      <c r="T1537" s="122">
        <v>4488</v>
      </c>
      <c r="U1537" s="122">
        <v>1662</v>
      </c>
      <c r="V1537" s="122">
        <v>25341</v>
      </c>
      <c r="W1537" s="122">
        <f t="shared" si="48"/>
        <v>25342</v>
      </c>
      <c r="X1537" s="122">
        <f t="shared" si="49"/>
        <v>31792</v>
      </c>
      <c r="AA1537" t="s">
        <v>62</v>
      </c>
      <c r="AB1537" t="s">
        <v>425</v>
      </c>
      <c r="AC1537" t="s">
        <v>426</v>
      </c>
      <c r="AD1537" t="s">
        <v>425</v>
      </c>
      <c r="AE1537" t="s">
        <v>566</v>
      </c>
      <c r="AF1537">
        <v>1</v>
      </c>
      <c r="AG1537">
        <v>91</v>
      </c>
      <c r="AH1537">
        <v>437</v>
      </c>
      <c r="AI1537" s="122">
        <v>56815</v>
      </c>
      <c r="AJ1537" s="122">
        <v>51650</v>
      </c>
      <c r="AK1537">
        <v>92</v>
      </c>
      <c r="AL1537" s="122">
        <v>9185</v>
      </c>
      <c r="AM1537" s="122">
        <v>8350</v>
      </c>
      <c r="AN1537" s="122">
        <v>3152</v>
      </c>
      <c r="AO1537" s="122">
        <v>1167</v>
      </c>
      <c r="AP1537">
        <v>473</v>
      </c>
      <c r="AQ1537">
        <v>175</v>
      </c>
      <c r="AR1537" s="122">
        <v>5828</v>
      </c>
      <c r="AS1537" s="122">
        <v>5298</v>
      </c>
      <c r="AT1537">
        <v>0</v>
      </c>
      <c r="AU1537">
        <v>0</v>
      </c>
      <c r="AV1537" s="122">
        <v>66641</v>
      </c>
    </row>
    <row r="1538" spans="2:48" hidden="1">
      <c r="B1538" t="s">
        <v>374</v>
      </c>
      <c r="C1538" t="s">
        <v>60</v>
      </c>
      <c r="D1538" t="s">
        <v>406</v>
      </c>
      <c r="E1538" t="s">
        <v>426</v>
      </c>
      <c r="F1538" s="122">
        <v>1</v>
      </c>
      <c r="G1538" s="122">
        <v>146</v>
      </c>
      <c r="H1538" s="122">
        <v>358</v>
      </c>
      <c r="I1538" s="122">
        <v>36923</v>
      </c>
      <c r="J1538" s="122">
        <v>33566</v>
      </c>
      <c r="K1538" s="122">
        <v>60</v>
      </c>
      <c r="L1538" s="122">
        <v>3897</v>
      </c>
      <c r="M1538" s="122">
        <v>3543</v>
      </c>
      <c r="N1538" s="122">
        <v>3078</v>
      </c>
      <c r="O1538" s="122">
        <v>1140</v>
      </c>
      <c r="P1538" s="122">
        <v>621</v>
      </c>
      <c r="Q1538" s="122">
        <v>230</v>
      </c>
      <c r="R1538" s="122">
        <v>7836</v>
      </c>
      <c r="S1538" s="122">
        <v>7124</v>
      </c>
      <c r="T1538" s="122">
        <v>0</v>
      </c>
      <c r="U1538" s="122">
        <v>0</v>
      </c>
      <c r="V1538" s="122">
        <v>45603</v>
      </c>
      <c r="W1538" s="122">
        <f t="shared" si="48"/>
        <v>45603</v>
      </c>
      <c r="X1538" s="122">
        <f t="shared" si="49"/>
        <v>52355</v>
      </c>
      <c r="AA1538" t="s">
        <v>62</v>
      </c>
      <c r="AB1538" t="s">
        <v>425</v>
      </c>
      <c r="AC1538" t="s">
        <v>566</v>
      </c>
      <c r="AD1538" t="s">
        <v>425</v>
      </c>
      <c r="AE1538" t="s">
        <v>566</v>
      </c>
      <c r="AF1538">
        <v>1</v>
      </c>
      <c r="AG1538">
        <v>54</v>
      </c>
      <c r="AH1538">
        <v>398</v>
      </c>
      <c r="AI1538" s="122">
        <v>15565</v>
      </c>
      <c r="AJ1538" s="122">
        <v>14150</v>
      </c>
      <c r="AK1538">
        <v>82</v>
      </c>
      <c r="AL1538">
        <v>0</v>
      </c>
      <c r="AM1538">
        <v>0</v>
      </c>
      <c r="AN1538">
        <v>941</v>
      </c>
      <c r="AO1538">
        <v>348</v>
      </c>
      <c r="AP1538">
        <v>473</v>
      </c>
      <c r="AQ1538">
        <v>175</v>
      </c>
      <c r="AR1538" s="122">
        <v>4528</v>
      </c>
      <c r="AS1538" s="122">
        <v>4117</v>
      </c>
      <c r="AT1538">
        <v>0</v>
      </c>
      <c r="AU1538">
        <v>0</v>
      </c>
      <c r="AV1538" s="122">
        <v>18790</v>
      </c>
    </row>
    <row r="1539" spans="2:48" hidden="1">
      <c r="B1539" t="s">
        <v>374</v>
      </c>
      <c r="C1539" t="s">
        <v>60</v>
      </c>
      <c r="D1539" t="s">
        <v>427</v>
      </c>
      <c r="E1539" t="s">
        <v>137</v>
      </c>
      <c r="F1539" s="122">
        <v>6</v>
      </c>
      <c r="G1539" s="122">
        <v>444</v>
      </c>
      <c r="H1539" s="122">
        <v>1984</v>
      </c>
      <c r="I1539" s="122">
        <v>83639</v>
      </c>
      <c r="J1539" s="122">
        <v>76035</v>
      </c>
      <c r="K1539" s="122">
        <v>56</v>
      </c>
      <c r="L1539" s="122">
        <v>8337</v>
      </c>
      <c r="M1539" s="122">
        <v>4569</v>
      </c>
      <c r="N1539" s="122">
        <v>9794</v>
      </c>
      <c r="O1539" s="122">
        <v>3627</v>
      </c>
      <c r="P1539" s="122">
        <v>1755</v>
      </c>
      <c r="Q1539" s="122">
        <v>650</v>
      </c>
      <c r="R1539" s="122">
        <v>56592</v>
      </c>
      <c r="S1539" s="122">
        <v>20960</v>
      </c>
      <c r="T1539" s="122">
        <v>0</v>
      </c>
      <c r="U1539" s="122">
        <v>0</v>
      </c>
      <c r="V1539" s="122">
        <v>105841</v>
      </c>
      <c r="W1539" s="122">
        <f t="shared" si="48"/>
        <v>105841</v>
      </c>
      <c r="X1539" s="122">
        <f t="shared" si="49"/>
        <v>160117</v>
      </c>
      <c r="AA1539" t="s">
        <v>62</v>
      </c>
      <c r="AB1539" t="s">
        <v>405</v>
      </c>
      <c r="AC1539" t="s">
        <v>405</v>
      </c>
      <c r="AD1539" t="s">
        <v>425</v>
      </c>
      <c r="AE1539" t="s">
        <v>137</v>
      </c>
      <c r="AF1539">
        <v>1</v>
      </c>
      <c r="AG1539">
        <v>65</v>
      </c>
      <c r="AH1539">
        <v>449</v>
      </c>
      <c r="AI1539" s="122">
        <v>16755</v>
      </c>
      <c r="AJ1539" s="122">
        <v>15231</v>
      </c>
      <c r="AK1539">
        <v>65</v>
      </c>
      <c r="AL1539" s="122">
        <v>2876</v>
      </c>
      <c r="AM1539" s="122">
        <v>2615</v>
      </c>
      <c r="AN1539" s="122">
        <v>1337</v>
      </c>
      <c r="AO1539">
        <v>495</v>
      </c>
      <c r="AP1539">
        <v>473</v>
      </c>
      <c r="AQ1539">
        <v>175</v>
      </c>
      <c r="AR1539" s="122">
        <v>5035</v>
      </c>
      <c r="AS1539" s="122">
        <v>4578</v>
      </c>
      <c r="AT1539" s="122">
        <v>2672</v>
      </c>
      <c r="AU1539">
        <v>990</v>
      </c>
      <c r="AV1539" s="122">
        <v>24084</v>
      </c>
    </row>
    <row r="1540" spans="2:48" hidden="1">
      <c r="B1540" t="s">
        <v>374</v>
      </c>
      <c r="C1540" t="s">
        <v>60</v>
      </c>
      <c r="D1540" t="s">
        <v>427</v>
      </c>
      <c r="E1540" t="s">
        <v>406</v>
      </c>
      <c r="F1540" s="122">
        <v>1</v>
      </c>
      <c r="G1540" s="122">
        <v>73</v>
      </c>
      <c r="H1540" s="122">
        <v>355</v>
      </c>
      <c r="I1540" s="122">
        <v>13940</v>
      </c>
      <c r="J1540" s="122">
        <v>12672</v>
      </c>
      <c r="K1540" s="122">
        <v>55</v>
      </c>
      <c r="L1540" s="122">
        <v>1893</v>
      </c>
      <c r="M1540" s="122">
        <v>1721</v>
      </c>
      <c r="N1540" s="122">
        <v>1223</v>
      </c>
      <c r="O1540" s="122">
        <v>453</v>
      </c>
      <c r="P1540" s="122">
        <v>351</v>
      </c>
      <c r="Q1540" s="122">
        <v>130</v>
      </c>
      <c r="R1540" s="122">
        <v>5826</v>
      </c>
      <c r="S1540" s="122">
        <v>5297</v>
      </c>
      <c r="T1540" s="122">
        <v>2787</v>
      </c>
      <c r="U1540" s="122">
        <v>1032</v>
      </c>
      <c r="V1540" s="122">
        <v>21305</v>
      </c>
      <c r="W1540" s="122">
        <f t="shared" si="48"/>
        <v>21305</v>
      </c>
      <c r="X1540" s="122">
        <f t="shared" si="49"/>
        <v>26020</v>
      </c>
      <c r="AA1540" t="s">
        <v>62</v>
      </c>
      <c r="AB1540" t="s">
        <v>405</v>
      </c>
      <c r="AC1540" t="s">
        <v>405</v>
      </c>
      <c r="AD1540" t="s">
        <v>405</v>
      </c>
      <c r="AE1540" t="s">
        <v>137</v>
      </c>
      <c r="AF1540">
        <v>8</v>
      </c>
      <c r="AG1540">
        <v>754</v>
      </c>
      <c r="AH1540" s="122">
        <v>3311</v>
      </c>
      <c r="AI1540" s="122">
        <v>199392</v>
      </c>
      <c r="AJ1540" s="122">
        <v>181266</v>
      </c>
      <c r="AK1540">
        <v>70</v>
      </c>
      <c r="AL1540" s="122">
        <v>39331</v>
      </c>
      <c r="AM1540" s="122">
        <v>35755</v>
      </c>
      <c r="AN1540" s="122">
        <v>15388</v>
      </c>
      <c r="AO1540" s="122">
        <v>5699</v>
      </c>
      <c r="AP1540" s="122">
        <v>3807</v>
      </c>
      <c r="AQ1540" s="122">
        <v>1410</v>
      </c>
      <c r="AR1540" s="122">
        <v>35801</v>
      </c>
      <c r="AS1540" s="122">
        <v>32546</v>
      </c>
      <c r="AT1540" s="122">
        <v>17471</v>
      </c>
      <c r="AU1540" s="122">
        <v>6471</v>
      </c>
      <c r="AV1540" s="122">
        <v>263147</v>
      </c>
    </row>
    <row r="1541" spans="2:48" hidden="1">
      <c r="B1541" t="s">
        <v>374</v>
      </c>
      <c r="C1541" t="s">
        <v>60</v>
      </c>
      <c r="D1541" t="s">
        <v>427</v>
      </c>
      <c r="E1541" t="s">
        <v>427</v>
      </c>
      <c r="F1541" s="122">
        <v>33</v>
      </c>
      <c r="G1541" s="122">
        <v>2577</v>
      </c>
      <c r="H1541" s="122">
        <v>11023</v>
      </c>
      <c r="I1541" s="122">
        <v>474805</v>
      </c>
      <c r="J1541" s="122">
        <v>431641</v>
      </c>
      <c r="K1541" s="122">
        <v>53</v>
      </c>
      <c r="L1541" s="122">
        <v>64970</v>
      </c>
      <c r="M1541" s="122">
        <v>51274</v>
      </c>
      <c r="N1541" s="122">
        <v>48211</v>
      </c>
      <c r="O1541" s="122">
        <v>17856</v>
      </c>
      <c r="P1541" s="122">
        <v>10530</v>
      </c>
      <c r="Q1541" s="122">
        <v>3900</v>
      </c>
      <c r="R1541" s="122">
        <v>192167</v>
      </c>
      <c r="S1541" s="122">
        <v>174698</v>
      </c>
      <c r="T1541" s="122">
        <v>66564</v>
      </c>
      <c r="U1541" s="122">
        <v>24653</v>
      </c>
      <c r="V1541" s="122">
        <v>704021</v>
      </c>
      <c r="W1541" s="122">
        <f t="shared" si="48"/>
        <v>704022</v>
      </c>
      <c r="X1541" s="122">
        <f t="shared" si="49"/>
        <v>857247</v>
      </c>
      <c r="AA1541" t="s">
        <v>62</v>
      </c>
      <c r="AB1541" t="s">
        <v>405</v>
      </c>
      <c r="AC1541" t="s">
        <v>405</v>
      </c>
      <c r="AD1541" t="s">
        <v>405</v>
      </c>
      <c r="AE1541" t="s">
        <v>566</v>
      </c>
      <c r="AF1541">
        <v>2</v>
      </c>
      <c r="AG1541">
        <v>234</v>
      </c>
      <c r="AH1541">
        <v>815</v>
      </c>
      <c r="AI1541" s="122">
        <v>65702</v>
      </c>
      <c r="AJ1541" s="122">
        <v>59729</v>
      </c>
      <c r="AK1541">
        <v>65</v>
      </c>
      <c r="AL1541" s="122">
        <v>8409</v>
      </c>
      <c r="AM1541" s="122">
        <v>7644</v>
      </c>
      <c r="AN1541" s="122">
        <v>3846</v>
      </c>
      <c r="AO1541" s="122">
        <v>1424</v>
      </c>
      <c r="AP1541">
        <v>824</v>
      </c>
      <c r="AQ1541">
        <v>305</v>
      </c>
      <c r="AR1541" s="122">
        <v>15740</v>
      </c>
      <c r="AS1541" s="122">
        <v>14309</v>
      </c>
      <c r="AT1541">
        <v>0</v>
      </c>
      <c r="AU1541">
        <v>0</v>
      </c>
      <c r="AV1541" s="122">
        <v>83412</v>
      </c>
    </row>
    <row r="1542" spans="2:48" hidden="1">
      <c r="B1542" t="s">
        <v>374</v>
      </c>
      <c r="C1542" t="s">
        <v>60</v>
      </c>
      <c r="D1542" t="s">
        <v>407</v>
      </c>
      <c r="E1542" t="s">
        <v>405</v>
      </c>
      <c r="F1542" s="122">
        <v>2</v>
      </c>
      <c r="G1542" s="122">
        <v>195</v>
      </c>
      <c r="H1542" s="122">
        <v>681</v>
      </c>
      <c r="I1542" s="122">
        <v>36507</v>
      </c>
      <c r="J1542" s="122">
        <v>33188</v>
      </c>
      <c r="K1542" s="122">
        <v>78</v>
      </c>
      <c r="L1542" s="122">
        <v>12633</v>
      </c>
      <c r="M1542" s="122">
        <v>11060</v>
      </c>
      <c r="N1542" s="122">
        <v>4365</v>
      </c>
      <c r="O1542" s="122">
        <v>1617</v>
      </c>
      <c r="P1542" s="122">
        <v>945</v>
      </c>
      <c r="Q1542" s="122">
        <v>350</v>
      </c>
      <c r="R1542" s="122">
        <v>9190</v>
      </c>
      <c r="S1542" s="122">
        <v>8354</v>
      </c>
      <c r="T1542" s="122">
        <v>2848</v>
      </c>
      <c r="U1542" s="122">
        <v>1055</v>
      </c>
      <c r="V1542" s="122">
        <v>55624</v>
      </c>
      <c r="W1542" s="122">
        <f t="shared" si="48"/>
        <v>55624</v>
      </c>
      <c r="X1542" s="122">
        <f t="shared" si="49"/>
        <v>66488</v>
      </c>
      <c r="AA1542" t="s">
        <v>62</v>
      </c>
      <c r="AB1542" t="s">
        <v>405</v>
      </c>
      <c r="AC1542" t="s">
        <v>137</v>
      </c>
      <c r="AD1542" t="s">
        <v>405</v>
      </c>
      <c r="AE1542" t="s">
        <v>137</v>
      </c>
      <c r="AF1542">
        <v>1</v>
      </c>
      <c r="AG1542">
        <v>79</v>
      </c>
      <c r="AH1542">
        <v>410</v>
      </c>
      <c r="AI1542" s="122">
        <v>13795</v>
      </c>
      <c r="AJ1542" s="122">
        <v>12540</v>
      </c>
      <c r="AK1542">
        <v>65</v>
      </c>
      <c r="AL1542" s="122">
        <v>5231</v>
      </c>
      <c r="AM1542" s="122">
        <v>1938</v>
      </c>
      <c r="AN1542" s="122">
        <v>1449</v>
      </c>
      <c r="AO1542">
        <v>537</v>
      </c>
      <c r="AP1542">
        <v>351</v>
      </c>
      <c r="AQ1542">
        <v>130</v>
      </c>
      <c r="AR1542" s="122">
        <v>7328</v>
      </c>
      <c r="AS1542" s="122">
        <v>6662</v>
      </c>
      <c r="AT1542" s="122">
        <v>4384</v>
      </c>
      <c r="AU1542" s="122">
        <v>1624</v>
      </c>
      <c r="AV1542" s="122">
        <v>23430</v>
      </c>
    </row>
    <row r="1543" spans="2:48" hidden="1">
      <c r="B1543" t="s">
        <v>374</v>
      </c>
      <c r="C1543" t="s">
        <v>60</v>
      </c>
      <c r="D1543" t="s">
        <v>407</v>
      </c>
      <c r="E1543" t="s">
        <v>137</v>
      </c>
      <c r="F1543" s="122">
        <v>4</v>
      </c>
      <c r="G1543" s="122">
        <v>356</v>
      </c>
      <c r="H1543" s="122">
        <v>1372</v>
      </c>
      <c r="I1543" s="122">
        <v>71066</v>
      </c>
      <c r="J1543" s="122">
        <v>64605</v>
      </c>
      <c r="K1543" s="122">
        <v>77</v>
      </c>
      <c r="L1543" s="122">
        <v>13906</v>
      </c>
      <c r="M1543" s="122">
        <v>12306</v>
      </c>
      <c r="N1543" s="122">
        <v>8127</v>
      </c>
      <c r="O1543" s="122">
        <v>3010</v>
      </c>
      <c r="P1543" s="122">
        <v>1890</v>
      </c>
      <c r="Q1543" s="122">
        <v>700</v>
      </c>
      <c r="R1543" s="122">
        <v>26400</v>
      </c>
      <c r="S1543" s="122">
        <v>9778</v>
      </c>
      <c r="T1543" s="122">
        <v>0</v>
      </c>
      <c r="U1543" s="122">
        <v>0</v>
      </c>
      <c r="V1543" s="122">
        <v>90399</v>
      </c>
      <c r="W1543" s="122">
        <f t="shared" si="48"/>
        <v>90399</v>
      </c>
      <c r="X1543" s="122">
        <f t="shared" si="49"/>
        <v>121389</v>
      </c>
      <c r="AA1543" t="s">
        <v>62</v>
      </c>
      <c r="AB1543" t="s">
        <v>405</v>
      </c>
      <c r="AC1543" t="s">
        <v>427</v>
      </c>
      <c r="AD1543" t="s">
        <v>405</v>
      </c>
      <c r="AE1543" t="s">
        <v>137</v>
      </c>
      <c r="AF1543">
        <v>2</v>
      </c>
      <c r="AG1543">
        <v>361</v>
      </c>
      <c r="AH1543">
        <v>791</v>
      </c>
      <c r="AI1543" s="122">
        <v>94116</v>
      </c>
      <c r="AJ1543" s="122">
        <v>85560</v>
      </c>
      <c r="AK1543">
        <v>69</v>
      </c>
      <c r="AL1543" s="122">
        <v>23094</v>
      </c>
      <c r="AM1543" s="122">
        <v>20995</v>
      </c>
      <c r="AN1543" s="122">
        <v>8626</v>
      </c>
      <c r="AO1543" s="122">
        <v>3195</v>
      </c>
      <c r="AP1543">
        <v>972</v>
      </c>
      <c r="AQ1543">
        <v>360</v>
      </c>
      <c r="AR1543" s="122">
        <v>10762</v>
      </c>
      <c r="AS1543" s="122">
        <v>9783</v>
      </c>
      <c r="AT1543" s="122">
        <v>6513</v>
      </c>
      <c r="AU1543" s="122">
        <v>2412</v>
      </c>
      <c r="AV1543" s="122">
        <v>122305</v>
      </c>
    </row>
    <row r="1544" spans="2:48" hidden="1">
      <c r="B1544" t="s">
        <v>374</v>
      </c>
      <c r="C1544" t="s">
        <v>60</v>
      </c>
      <c r="D1544" t="s">
        <v>407</v>
      </c>
      <c r="E1544" t="s">
        <v>406</v>
      </c>
      <c r="F1544" s="122">
        <v>5</v>
      </c>
      <c r="G1544" s="122">
        <v>445</v>
      </c>
      <c r="H1544" s="122">
        <v>1682</v>
      </c>
      <c r="I1544" s="122">
        <v>81733</v>
      </c>
      <c r="J1544" s="122">
        <v>74302</v>
      </c>
      <c r="K1544" s="122">
        <v>83</v>
      </c>
      <c r="L1544" s="122">
        <v>25677</v>
      </c>
      <c r="M1544" s="122">
        <v>17388</v>
      </c>
      <c r="N1544" s="122">
        <v>9557</v>
      </c>
      <c r="O1544" s="122">
        <v>3540</v>
      </c>
      <c r="P1544" s="122">
        <v>2363</v>
      </c>
      <c r="Q1544" s="122">
        <v>875</v>
      </c>
      <c r="R1544" s="122">
        <v>21241</v>
      </c>
      <c r="S1544" s="122">
        <v>19310</v>
      </c>
      <c r="T1544" s="122">
        <v>8576</v>
      </c>
      <c r="U1544" s="122">
        <v>3176</v>
      </c>
      <c r="V1544" s="122">
        <v>118591</v>
      </c>
      <c r="W1544" s="122">
        <f t="shared" si="48"/>
        <v>118591</v>
      </c>
      <c r="X1544" s="122">
        <f t="shared" si="49"/>
        <v>149147</v>
      </c>
      <c r="AA1544" t="s">
        <v>62</v>
      </c>
      <c r="AB1544" t="s">
        <v>405</v>
      </c>
      <c r="AC1544" t="s">
        <v>579</v>
      </c>
      <c r="AD1544" t="s">
        <v>405</v>
      </c>
      <c r="AE1544" t="s">
        <v>137</v>
      </c>
      <c r="AF1544">
        <v>1</v>
      </c>
      <c r="AG1544">
        <v>91</v>
      </c>
      <c r="AH1544">
        <v>391</v>
      </c>
      <c r="AI1544" s="122">
        <v>22793</v>
      </c>
      <c r="AJ1544" s="122">
        <v>20721</v>
      </c>
      <c r="AK1544">
        <v>65</v>
      </c>
      <c r="AL1544" s="122">
        <v>3104</v>
      </c>
      <c r="AM1544" s="122">
        <v>2587</v>
      </c>
      <c r="AN1544" s="122">
        <v>2036</v>
      </c>
      <c r="AO1544">
        <v>754</v>
      </c>
      <c r="AP1544">
        <v>473</v>
      </c>
      <c r="AQ1544">
        <v>175</v>
      </c>
      <c r="AR1544" s="122">
        <v>4797</v>
      </c>
      <c r="AS1544" s="122">
        <v>4361</v>
      </c>
      <c r="AT1544" s="122">
        <v>2494</v>
      </c>
      <c r="AU1544">
        <v>924</v>
      </c>
      <c r="AV1544" s="122">
        <v>29522</v>
      </c>
    </row>
    <row r="1545" spans="2:48" hidden="1">
      <c r="B1545" t="s">
        <v>374</v>
      </c>
      <c r="C1545" t="s">
        <v>60</v>
      </c>
      <c r="D1545" t="s">
        <v>407</v>
      </c>
      <c r="E1545" t="s">
        <v>407</v>
      </c>
      <c r="F1545" s="122">
        <v>635</v>
      </c>
      <c r="G1545" s="122">
        <v>56042</v>
      </c>
      <c r="H1545" s="122">
        <v>212742</v>
      </c>
      <c r="I1545" s="122">
        <v>10754552</v>
      </c>
      <c r="J1545" s="122">
        <v>9776865</v>
      </c>
      <c r="K1545" s="122">
        <v>78</v>
      </c>
      <c r="L1545" s="122">
        <v>2810729</v>
      </c>
      <c r="M1545" s="122">
        <v>2356101</v>
      </c>
      <c r="N1545" s="122">
        <v>1175943</v>
      </c>
      <c r="O1545" s="122">
        <v>435534</v>
      </c>
      <c r="P1545" s="122">
        <v>301311</v>
      </c>
      <c r="Q1545" s="122">
        <v>111597</v>
      </c>
      <c r="R1545" s="122">
        <v>3060993</v>
      </c>
      <c r="S1545" s="122">
        <v>2782721</v>
      </c>
      <c r="T1545" s="122">
        <v>889852</v>
      </c>
      <c r="U1545" s="122">
        <v>329575</v>
      </c>
      <c r="V1545" s="122">
        <v>15792394</v>
      </c>
      <c r="W1545" s="122">
        <f t="shared" si="48"/>
        <v>15792393</v>
      </c>
      <c r="X1545" s="122">
        <f t="shared" si="49"/>
        <v>18993380</v>
      </c>
      <c r="AA1545" t="s">
        <v>62</v>
      </c>
      <c r="AB1545" t="s">
        <v>405</v>
      </c>
      <c r="AC1545" t="s">
        <v>426</v>
      </c>
      <c r="AD1545" t="s">
        <v>405</v>
      </c>
      <c r="AE1545" t="s">
        <v>137</v>
      </c>
      <c r="AF1545">
        <v>7</v>
      </c>
      <c r="AG1545">
        <v>717</v>
      </c>
      <c r="AH1545" s="122">
        <v>2930</v>
      </c>
      <c r="AI1545" s="122">
        <v>183559</v>
      </c>
      <c r="AJ1545" s="122">
        <v>166872</v>
      </c>
      <c r="AK1545">
        <v>75</v>
      </c>
      <c r="AL1545" s="122">
        <v>46452</v>
      </c>
      <c r="AM1545" s="122">
        <v>42229</v>
      </c>
      <c r="AN1545" s="122">
        <v>14806</v>
      </c>
      <c r="AO1545" s="122">
        <v>5484</v>
      </c>
      <c r="AP1545" s="122">
        <v>3065</v>
      </c>
      <c r="AQ1545" s="122">
        <v>1135</v>
      </c>
      <c r="AR1545" s="122">
        <v>36391</v>
      </c>
      <c r="AS1545" s="122">
        <v>33083</v>
      </c>
      <c r="AT1545" s="122">
        <v>14071</v>
      </c>
      <c r="AU1545" s="122">
        <v>5211</v>
      </c>
      <c r="AV1545" s="122">
        <v>254014</v>
      </c>
    </row>
    <row r="1546" spans="2:48" hidden="1">
      <c r="B1546" t="s">
        <v>374</v>
      </c>
      <c r="C1546" t="s">
        <v>60</v>
      </c>
      <c r="D1546" t="s">
        <v>407</v>
      </c>
      <c r="E1546" t="s">
        <v>426</v>
      </c>
      <c r="F1546" s="122">
        <v>1</v>
      </c>
      <c r="G1546" s="122">
        <v>100</v>
      </c>
      <c r="H1546" s="122">
        <v>338</v>
      </c>
      <c r="I1546" s="122">
        <v>20037</v>
      </c>
      <c r="J1546" s="122">
        <v>18215</v>
      </c>
      <c r="K1546" s="122">
        <v>68</v>
      </c>
      <c r="L1546" s="122">
        <v>4794</v>
      </c>
      <c r="M1546" s="122">
        <v>4358</v>
      </c>
      <c r="N1546" s="122">
        <v>2425</v>
      </c>
      <c r="O1546" s="122">
        <v>898</v>
      </c>
      <c r="P1546" s="122">
        <v>473</v>
      </c>
      <c r="Q1546" s="122">
        <v>175</v>
      </c>
      <c r="R1546" s="122">
        <v>5854</v>
      </c>
      <c r="S1546" s="122">
        <v>5322</v>
      </c>
      <c r="T1546" s="122">
        <v>0</v>
      </c>
      <c r="U1546" s="122">
        <v>0</v>
      </c>
      <c r="V1546" s="122">
        <v>28968</v>
      </c>
      <c r="W1546" s="122">
        <f t="shared" si="48"/>
        <v>28968</v>
      </c>
      <c r="X1546" s="122">
        <f t="shared" si="49"/>
        <v>33583</v>
      </c>
      <c r="AA1546" t="s">
        <v>62</v>
      </c>
      <c r="AB1546" t="s">
        <v>405</v>
      </c>
      <c r="AC1546" t="s">
        <v>426</v>
      </c>
      <c r="AD1546" t="s">
        <v>405</v>
      </c>
      <c r="AE1546" t="s">
        <v>566</v>
      </c>
      <c r="AF1546">
        <v>5</v>
      </c>
      <c r="AG1546">
        <v>396</v>
      </c>
      <c r="AH1546" s="122">
        <v>2102</v>
      </c>
      <c r="AI1546" s="122">
        <v>119797</v>
      </c>
      <c r="AJ1546" s="122">
        <v>108906</v>
      </c>
      <c r="AK1546">
        <v>76</v>
      </c>
      <c r="AL1546" s="122">
        <v>22037</v>
      </c>
      <c r="AM1546" s="122">
        <v>20033</v>
      </c>
      <c r="AN1546" s="122">
        <v>8915</v>
      </c>
      <c r="AO1546" s="122">
        <v>3302</v>
      </c>
      <c r="AP1546" s="122">
        <v>2363</v>
      </c>
      <c r="AQ1546">
        <v>875</v>
      </c>
      <c r="AR1546" s="122">
        <v>25674</v>
      </c>
      <c r="AS1546" s="122">
        <v>23340</v>
      </c>
      <c r="AT1546">
        <v>0</v>
      </c>
      <c r="AU1546">
        <v>0</v>
      </c>
      <c r="AV1546" s="122">
        <v>156457</v>
      </c>
    </row>
    <row r="1547" spans="2:48" hidden="1">
      <c r="B1547" t="s">
        <v>374</v>
      </c>
      <c r="C1547" t="s">
        <v>60</v>
      </c>
      <c r="D1547" t="s">
        <v>556</v>
      </c>
      <c r="E1547" t="s">
        <v>137</v>
      </c>
      <c r="F1547" s="122">
        <v>3</v>
      </c>
      <c r="G1547" s="122">
        <v>278</v>
      </c>
      <c r="H1547" s="122">
        <v>1016</v>
      </c>
      <c r="I1547" s="122">
        <v>44722</v>
      </c>
      <c r="J1547" s="122">
        <v>37268</v>
      </c>
      <c r="K1547" s="122">
        <v>72</v>
      </c>
      <c r="L1547" s="122">
        <v>20231</v>
      </c>
      <c r="M1547" s="122">
        <v>7493</v>
      </c>
      <c r="N1547" s="122">
        <v>7097</v>
      </c>
      <c r="O1547" s="122">
        <v>2629</v>
      </c>
      <c r="P1547" s="122">
        <v>702</v>
      </c>
      <c r="Q1547" s="122">
        <v>260</v>
      </c>
      <c r="R1547" s="122">
        <v>26882</v>
      </c>
      <c r="S1547" s="122">
        <v>9956</v>
      </c>
      <c r="T1547" s="122">
        <v>0</v>
      </c>
      <c r="U1547" s="122">
        <v>0</v>
      </c>
      <c r="V1547" s="122">
        <v>57606</v>
      </c>
      <c r="W1547" s="122">
        <f t="shared" si="48"/>
        <v>57606</v>
      </c>
      <c r="X1547" s="122">
        <f t="shared" si="49"/>
        <v>99634</v>
      </c>
      <c r="AA1547" t="s">
        <v>62</v>
      </c>
      <c r="AB1547" t="s">
        <v>405</v>
      </c>
      <c r="AC1547" t="s">
        <v>566</v>
      </c>
      <c r="AD1547" t="s">
        <v>405</v>
      </c>
      <c r="AE1547" t="s">
        <v>566</v>
      </c>
      <c r="AF1547">
        <v>2</v>
      </c>
      <c r="AG1547">
        <v>125</v>
      </c>
      <c r="AH1547">
        <v>766</v>
      </c>
      <c r="AI1547" s="122">
        <v>37525</v>
      </c>
      <c r="AJ1547" s="122">
        <v>34114</v>
      </c>
      <c r="AK1547">
        <v>86</v>
      </c>
      <c r="AL1547">
        <v>0</v>
      </c>
      <c r="AM1547">
        <v>0</v>
      </c>
      <c r="AN1547" s="122">
        <v>2642</v>
      </c>
      <c r="AO1547">
        <v>978</v>
      </c>
      <c r="AP1547">
        <v>945</v>
      </c>
      <c r="AQ1547">
        <v>350</v>
      </c>
      <c r="AR1547" s="122">
        <v>6816</v>
      </c>
      <c r="AS1547" s="122">
        <v>6196</v>
      </c>
      <c r="AT1547">
        <v>0</v>
      </c>
      <c r="AU1547">
        <v>0</v>
      </c>
      <c r="AV1547" s="122">
        <v>41638</v>
      </c>
    </row>
    <row r="1548" spans="2:48">
      <c r="B1548" t="s">
        <v>374</v>
      </c>
      <c r="C1548" t="s">
        <v>60</v>
      </c>
      <c r="D1548" t="s">
        <v>556</v>
      </c>
      <c r="E1548" t="s">
        <v>427</v>
      </c>
      <c r="F1548" s="122">
        <v>1</v>
      </c>
      <c r="G1548" s="122">
        <v>91</v>
      </c>
      <c r="H1548" s="122">
        <v>323</v>
      </c>
      <c r="I1548" s="122">
        <v>19530</v>
      </c>
      <c r="J1548" s="122">
        <v>16275</v>
      </c>
      <c r="K1548" s="122">
        <v>50</v>
      </c>
      <c r="L1548" s="122">
        <v>0</v>
      </c>
      <c r="M1548" s="122">
        <v>0</v>
      </c>
      <c r="N1548" s="122">
        <v>1614</v>
      </c>
      <c r="O1548" s="122">
        <v>598</v>
      </c>
      <c r="P1548" s="122">
        <v>0</v>
      </c>
      <c r="Q1548" s="122">
        <v>0</v>
      </c>
      <c r="R1548" s="122">
        <v>8403</v>
      </c>
      <c r="S1548" s="122">
        <v>7639</v>
      </c>
      <c r="T1548" s="122">
        <v>0</v>
      </c>
      <c r="U1548" s="122">
        <v>0</v>
      </c>
      <c r="V1548" s="122">
        <v>24511</v>
      </c>
      <c r="W1548" s="122">
        <f t="shared" si="48"/>
        <v>24512</v>
      </c>
      <c r="X1548" s="122">
        <f t="shared" si="49"/>
        <v>29547</v>
      </c>
      <c r="AA1548" t="s">
        <v>62</v>
      </c>
      <c r="AB1548" t="s">
        <v>137</v>
      </c>
      <c r="AC1548" t="s">
        <v>578</v>
      </c>
      <c r="AD1548" t="s">
        <v>578</v>
      </c>
      <c r="AE1548" t="s">
        <v>137</v>
      </c>
      <c r="AF1548">
        <v>1</v>
      </c>
      <c r="AG1548">
        <v>81</v>
      </c>
      <c r="AH1548">
        <v>402</v>
      </c>
      <c r="AI1548" s="122">
        <v>23046</v>
      </c>
      <c r="AJ1548" s="122">
        <v>8536</v>
      </c>
      <c r="AK1548">
        <v>100</v>
      </c>
      <c r="AL1548" s="122">
        <v>2086</v>
      </c>
      <c r="AM1548" s="122">
        <v>1897</v>
      </c>
      <c r="AN1548" s="122">
        <v>1482</v>
      </c>
      <c r="AO1548">
        <v>549</v>
      </c>
      <c r="AP1548">
        <v>0</v>
      </c>
      <c r="AQ1548">
        <v>0</v>
      </c>
      <c r="AR1548" s="122">
        <v>4244</v>
      </c>
      <c r="AS1548" s="122">
        <v>3858</v>
      </c>
      <c r="AT1548" s="122">
        <v>1735</v>
      </c>
      <c r="AU1548">
        <v>643</v>
      </c>
      <c r="AV1548" s="122">
        <v>15482</v>
      </c>
    </row>
    <row r="1549" spans="2:48">
      <c r="B1549" t="s">
        <v>374</v>
      </c>
      <c r="C1549" t="s">
        <v>60</v>
      </c>
      <c r="D1549" t="s">
        <v>556</v>
      </c>
      <c r="E1549" t="s">
        <v>556</v>
      </c>
      <c r="F1549" s="122">
        <v>45</v>
      </c>
      <c r="G1549" s="122">
        <v>3960</v>
      </c>
      <c r="H1549" s="122">
        <v>15361</v>
      </c>
      <c r="I1549" s="122">
        <v>807970</v>
      </c>
      <c r="J1549" s="122">
        <v>673308</v>
      </c>
      <c r="K1549" s="122">
        <v>55</v>
      </c>
      <c r="L1549" s="122">
        <v>105608</v>
      </c>
      <c r="M1549" s="122">
        <v>78579</v>
      </c>
      <c r="N1549" s="122">
        <v>80178</v>
      </c>
      <c r="O1549" s="122">
        <v>29695</v>
      </c>
      <c r="P1549" s="122">
        <v>17726</v>
      </c>
      <c r="Q1549" s="122">
        <v>6565</v>
      </c>
      <c r="R1549" s="122">
        <v>256405</v>
      </c>
      <c r="S1549" s="122">
        <v>213671</v>
      </c>
      <c r="T1549" s="122">
        <v>95175</v>
      </c>
      <c r="U1549" s="122">
        <v>35250</v>
      </c>
      <c r="V1549" s="122">
        <v>1037068</v>
      </c>
      <c r="W1549" s="122">
        <f t="shared" si="48"/>
        <v>1037068</v>
      </c>
      <c r="X1549" s="122">
        <f t="shared" si="49"/>
        <v>1363062</v>
      </c>
      <c r="AA1549" t="s">
        <v>62</v>
      </c>
      <c r="AB1549" t="s">
        <v>137</v>
      </c>
      <c r="AC1549" t="s">
        <v>578</v>
      </c>
      <c r="AD1549" t="s">
        <v>137</v>
      </c>
      <c r="AE1549" t="s">
        <v>137</v>
      </c>
      <c r="AF1549">
        <v>1</v>
      </c>
      <c r="AG1549">
        <v>106</v>
      </c>
      <c r="AH1549">
        <v>389</v>
      </c>
      <c r="AI1549" s="122">
        <v>28068</v>
      </c>
      <c r="AJ1549" s="122">
        <v>10396</v>
      </c>
      <c r="AK1549">
        <v>100</v>
      </c>
      <c r="AL1549" s="122">
        <v>4235</v>
      </c>
      <c r="AM1549" s="122">
        <v>3850</v>
      </c>
      <c r="AN1549" s="122">
        <v>1291</v>
      </c>
      <c r="AO1549">
        <v>478</v>
      </c>
      <c r="AP1549">
        <v>0</v>
      </c>
      <c r="AQ1549">
        <v>0</v>
      </c>
      <c r="AR1549" s="122">
        <v>7582</v>
      </c>
      <c r="AS1549" s="122">
        <v>2808</v>
      </c>
      <c r="AT1549">
        <v>0</v>
      </c>
      <c r="AU1549">
        <v>0</v>
      </c>
      <c r="AV1549" s="122">
        <v>17532</v>
      </c>
    </row>
    <row r="1550" spans="2:48" hidden="1">
      <c r="B1550" t="s">
        <v>374</v>
      </c>
      <c r="C1550" t="s">
        <v>60</v>
      </c>
      <c r="D1550" t="s">
        <v>426</v>
      </c>
      <c r="E1550" t="s">
        <v>137</v>
      </c>
      <c r="F1550" s="122">
        <v>4</v>
      </c>
      <c r="G1550" s="122">
        <v>323</v>
      </c>
      <c r="H1550" s="122">
        <v>1386</v>
      </c>
      <c r="I1550" s="122">
        <v>67339</v>
      </c>
      <c r="J1550" s="122">
        <v>61217</v>
      </c>
      <c r="K1550" s="122">
        <v>55</v>
      </c>
      <c r="L1550" s="122">
        <v>9707</v>
      </c>
      <c r="M1550" s="122">
        <v>7054</v>
      </c>
      <c r="N1550" s="122">
        <v>6749</v>
      </c>
      <c r="O1550" s="122">
        <v>2500</v>
      </c>
      <c r="P1550" s="122">
        <v>1404</v>
      </c>
      <c r="Q1550" s="122">
        <v>520</v>
      </c>
      <c r="R1550" s="122">
        <v>26624</v>
      </c>
      <c r="S1550" s="122">
        <v>9861</v>
      </c>
      <c r="T1550" s="122">
        <v>0</v>
      </c>
      <c r="U1550" s="122">
        <v>0</v>
      </c>
      <c r="V1550" s="122">
        <v>81151</v>
      </c>
      <c r="W1550" s="122">
        <f t="shared" si="48"/>
        <v>81152</v>
      </c>
      <c r="X1550" s="122">
        <f t="shared" si="49"/>
        <v>111823</v>
      </c>
      <c r="AA1550" t="s">
        <v>62</v>
      </c>
      <c r="AB1550" t="s">
        <v>137</v>
      </c>
      <c r="AC1550" t="s">
        <v>425</v>
      </c>
      <c r="AD1550" t="s">
        <v>137</v>
      </c>
      <c r="AE1550" t="s">
        <v>137</v>
      </c>
      <c r="AF1550">
        <v>1</v>
      </c>
      <c r="AG1550">
        <v>49</v>
      </c>
      <c r="AH1550">
        <v>396</v>
      </c>
      <c r="AI1550" s="122">
        <v>14094</v>
      </c>
      <c r="AJ1550" s="122">
        <v>5220</v>
      </c>
      <c r="AK1550">
        <v>100</v>
      </c>
      <c r="AL1550" s="122">
        <v>5066</v>
      </c>
      <c r="AM1550" s="122">
        <v>4606</v>
      </c>
      <c r="AN1550" s="122">
        <v>1252</v>
      </c>
      <c r="AO1550">
        <v>464</v>
      </c>
      <c r="AP1550">
        <v>0</v>
      </c>
      <c r="AQ1550">
        <v>0</v>
      </c>
      <c r="AR1550" s="122">
        <v>9540</v>
      </c>
      <c r="AS1550" s="122">
        <v>3533</v>
      </c>
      <c r="AT1550">
        <v>0</v>
      </c>
      <c r="AU1550">
        <v>0</v>
      </c>
      <c r="AV1550" s="122">
        <v>13823</v>
      </c>
    </row>
    <row r="1551" spans="2:48" hidden="1">
      <c r="B1551" t="s">
        <v>374</v>
      </c>
      <c r="C1551" t="s">
        <v>60</v>
      </c>
      <c r="D1551" t="s">
        <v>426</v>
      </c>
      <c r="E1551" t="s">
        <v>406</v>
      </c>
      <c r="F1551" s="122">
        <v>1</v>
      </c>
      <c r="G1551" s="122">
        <v>52</v>
      </c>
      <c r="H1551" s="122">
        <v>308</v>
      </c>
      <c r="I1551" s="122">
        <v>9515</v>
      </c>
      <c r="J1551" s="122">
        <v>8650</v>
      </c>
      <c r="K1551" s="122">
        <v>69</v>
      </c>
      <c r="L1551" s="122">
        <v>0</v>
      </c>
      <c r="M1551" s="122">
        <v>0</v>
      </c>
      <c r="N1551" s="122">
        <v>785</v>
      </c>
      <c r="O1551" s="122">
        <v>291</v>
      </c>
      <c r="P1551" s="122">
        <v>351</v>
      </c>
      <c r="Q1551" s="122">
        <v>130</v>
      </c>
      <c r="R1551" s="122">
        <v>3449</v>
      </c>
      <c r="S1551" s="122">
        <v>3135</v>
      </c>
      <c r="T1551" s="122">
        <v>1769</v>
      </c>
      <c r="U1551" s="122">
        <v>655</v>
      </c>
      <c r="V1551" s="122">
        <v>12861</v>
      </c>
      <c r="W1551" s="122">
        <f t="shared" si="48"/>
        <v>12861</v>
      </c>
      <c r="X1551" s="122">
        <f t="shared" si="49"/>
        <v>15869</v>
      </c>
      <c r="AA1551" t="s">
        <v>62</v>
      </c>
      <c r="AB1551" t="s">
        <v>137</v>
      </c>
      <c r="AC1551" t="s">
        <v>425</v>
      </c>
      <c r="AD1551" t="s">
        <v>137</v>
      </c>
      <c r="AE1551" t="s">
        <v>566</v>
      </c>
      <c r="AF1551">
        <v>9</v>
      </c>
      <c r="AG1551">
        <v>641</v>
      </c>
      <c r="AH1551" s="122">
        <v>3695</v>
      </c>
      <c r="AI1551" s="122">
        <v>172462</v>
      </c>
      <c r="AJ1551" s="122">
        <v>63875</v>
      </c>
      <c r="AK1551">
        <v>100</v>
      </c>
      <c r="AL1551" s="122">
        <v>21509</v>
      </c>
      <c r="AM1551" s="122">
        <v>19554</v>
      </c>
      <c r="AN1551" s="122">
        <v>12343</v>
      </c>
      <c r="AO1551" s="122">
        <v>4572</v>
      </c>
      <c r="AP1551">
        <v>0</v>
      </c>
      <c r="AQ1551">
        <v>0</v>
      </c>
      <c r="AR1551" s="122">
        <v>55409</v>
      </c>
      <c r="AS1551" s="122">
        <v>20522</v>
      </c>
      <c r="AT1551">
        <v>0</v>
      </c>
      <c r="AU1551">
        <v>0</v>
      </c>
      <c r="AV1551" s="122">
        <v>108522</v>
      </c>
    </row>
    <row r="1552" spans="2:48" hidden="1">
      <c r="B1552" t="s">
        <v>374</v>
      </c>
      <c r="C1552" t="s">
        <v>60</v>
      </c>
      <c r="D1552" t="s">
        <v>426</v>
      </c>
      <c r="E1552" t="s">
        <v>426</v>
      </c>
      <c r="F1552" s="122">
        <v>399</v>
      </c>
      <c r="G1552" s="122">
        <v>31385</v>
      </c>
      <c r="H1552" s="122">
        <v>135733</v>
      </c>
      <c r="I1552" s="122">
        <v>5929117</v>
      </c>
      <c r="J1552" s="122">
        <v>5390106</v>
      </c>
      <c r="K1552" s="122">
        <v>51</v>
      </c>
      <c r="L1552" s="122">
        <v>928724</v>
      </c>
      <c r="M1552" s="122">
        <v>768670</v>
      </c>
      <c r="N1552" s="122">
        <v>619800</v>
      </c>
      <c r="O1552" s="122">
        <v>229556</v>
      </c>
      <c r="P1552" s="122">
        <v>139882</v>
      </c>
      <c r="Q1552" s="122">
        <v>51808</v>
      </c>
      <c r="R1552" s="122">
        <v>2237648</v>
      </c>
      <c r="S1552" s="122">
        <v>2034226</v>
      </c>
      <c r="T1552" s="122">
        <v>823521</v>
      </c>
      <c r="U1552" s="122">
        <v>305008</v>
      </c>
      <c r="V1552" s="122">
        <v>8779374</v>
      </c>
      <c r="W1552" s="122">
        <f t="shared" si="48"/>
        <v>8779374</v>
      </c>
      <c r="X1552" s="122">
        <f t="shared" si="49"/>
        <v>10678692</v>
      </c>
      <c r="AA1552" t="s">
        <v>62</v>
      </c>
      <c r="AB1552" t="s">
        <v>137</v>
      </c>
      <c r="AC1552" t="s">
        <v>405</v>
      </c>
      <c r="AD1552" t="s">
        <v>137</v>
      </c>
      <c r="AE1552" t="s">
        <v>566</v>
      </c>
      <c r="AF1552">
        <v>1</v>
      </c>
      <c r="AG1552">
        <v>90</v>
      </c>
      <c r="AH1552">
        <v>422</v>
      </c>
      <c r="AI1552" s="122">
        <v>23904</v>
      </c>
      <c r="AJ1552" s="122">
        <v>8853</v>
      </c>
      <c r="AK1552">
        <v>100</v>
      </c>
      <c r="AL1552" s="122">
        <v>5410</v>
      </c>
      <c r="AM1552" s="122">
        <v>4918</v>
      </c>
      <c r="AN1552" s="122">
        <v>2056</v>
      </c>
      <c r="AO1552">
        <v>761</v>
      </c>
      <c r="AP1552">
        <v>0</v>
      </c>
      <c r="AQ1552">
        <v>0</v>
      </c>
      <c r="AR1552" s="122">
        <v>6704</v>
      </c>
      <c r="AS1552" s="122">
        <v>2483</v>
      </c>
      <c r="AT1552">
        <v>0</v>
      </c>
      <c r="AU1552">
        <v>0</v>
      </c>
      <c r="AV1552" s="122">
        <v>17016</v>
      </c>
    </row>
    <row r="1553" spans="2:48" hidden="1">
      <c r="B1553" t="s">
        <v>374</v>
      </c>
      <c r="C1553" t="s">
        <v>60</v>
      </c>
      <c r="D1553" t="s">
        <v>429</v>
      </c>
      <c r="E1553" t="s">
        <v>429</v>
      </c>
      <c r="F1553" s="122">
        <v>1</v>
      </c>
      <c r="G1553" s="122">
        <v>116</v>
      </c>
      <c r="H1553" s="122">
        <v>308</v>
      </c>
      <c r="I1553" s="122">
        <v>24447</v>
      </c>
      <c r="J1553" s="122">
        <v>22225</v>
      </c>
      <c r="K1553" s="122">
        <v>83</v>
      </c>
      <c r="L1553" s="122">
        <v>3758</v>
      </c>
      <c r="M1553" s="122">
        <v>3416</v>
      </c>
      <c r="N1553" s="122">
        <v>2580</v>
      </c>
      <c r="O1553" s="122">
        <v>956</v>
      </c>
      <c r="P1553" s="122">
        <v>351</v>
      </c>
      <c r="Q1553" s="122">
        <v>130</v>
      </c>
      <c r="R1553" s="122">
        <v>4458</v>
      </c>
      <c r="S1553" s="122">
        <v>4053</v>
      </c>
      <c r="T1553" s="122">
        <v>0</v>
      </c>
      <c r="U1553" s="122">
        <v>0</v>
      </c>
      <c r="V1553" s="122">
        <v>30780</v>
      </c>
      <c r="W1553" s="122">
        <f t="shared" si="48"/>
        <v>30780</v>
      </c>
      <c r="X1553" s="122">
        <f t="shared" si="49"/>
        <v>35594</v>
      </c>
      <c r="AA1553" t="s">
        <v>62</v>
      </c>
      <c r="AB1553" t="s">
        <v>137</v>
      </c>
      <c r="AC1553" t="s">
        <v>137</v>
      </c>
      <c r="AD1553" t="s">
        <v>137</v>
      </c>
      <c r="AE1553" t="s">
        <v>137</v>
      </c>
      <c r="AF1553">
        <v>50</v>
      </c>
      <c r="AG1553" s="122">
        <v>3595</v>
      </c>
      <c r="AH1553" s="122">
        <v>20455</v>
      </c>
      <c r="AI1553" s="122">
        <v>918065</v>
      </c>
      <c r="AJ1553" s="122">
        <v>340024</v>
      </c>
      <c r="AK1553">
        <v>100</v>
      </c>
      <c r="AL1553" s="122">
        <v>152817</v>
      </c>
      <c r="AM1553" s="122">
        <v>56599</v>
      </c>
      <c r="AN1553" s="122">
        <v>74489</v>
      </c>
      <c r="AO1553" s="122">
        <v>27589</v>
      </c>
      <c r="AP1553">
        <v>702</v>
      </c>
      <c r="AQ1553">
        <v>260</v>
      </c>
      <c r="AR1553" s="122">
        <v>321342</v>
      </c>
      <c r="AS1553" s="122">
        <v>119016</v>
      </c>
      <c r="AT1553" s="122">
        <v>15042</v>
      </c>
      <c r="AU1553" s="122">
        <v>5571</v>
      </c>
      <c r="AV1553" s="122">
        <v>549058</v>
      </c>
    </row>
    <row r="1554" spans="2:48" hidden="1">
      <c r="B1554" t="s">
        <v>374</v>
      </c>
      <c r="C1554" t="s">
        <v>62</v>
      </c>
      <c r="F1554" s="122">
        <v>1</v>
      </c>
      <c r="G1554" s="122">
        <v>89</v>
      </c>
      <c r="H1554" s="122">
        <v>431</v>
      </c>
      <c r="I1554" s="122"/>
      <c r="J1554" s="122">
        <v>0</v>
      </c>
      <c r="K1554" s="122"/>
      <c r="L1554" s="122"/>
      <c r="M1554" s="122">
        <v>0</v>
      </c>
      <c r="N1554" s="122">
        <v>2026</v>
      </c>
      <c r="O1554" s="122">
        <v>750</v>
      </c>
      <c r="P1554" s="122">
        <v>621</v>
      </c>
      <c r="Q1554" s="122">
        <v>230</v>
      </c>
      <c r="R1554" s="122"/>
      <c r="S1554" s="122">
        <v>0</v>
      </c>
      <c r="T1554" s="122">
        <v>0</v>
      </c>
      <c r="U1554" s="122">
        <v>0</v>
      </c>
      <c r="V1554" s="122">
        <v>980</v>
      </c>
      <c r="W1554" s="122">
        <f t="shared" si="48"/>
        <v>980</v>
      </c>
      <c r="X1554" s="122">
        <f t="shared" si="49"/>
        <v>2647</v>
      </c>
      <c r="AA1554" t="s">
        <v>62</v>
      </c>
      <c r="AB1554" t="s">
        <v>137</v>
      </c>
      <c r="AC1554" t="s">
        <v>137</v>
      </c>
      <c r="AD1554" t="s">
        <v>137</v>
      </c>
      <c r="AE1554" t="s">
        <v>566</v>
      </c>
      <c r="AF1554">
        <v>537</v>
      </c>
      <c r="AG1554" s="122">
        <v>38940</v>
      </c>
      <c r="AH1554" s="122">
        <v>221809</v>
      </c>
      <c r="AI1554" s="122">
        <v>10091092</v>
      </c>
      <c r="AJ1554" s="122">
        <v>3737441</v>
      </c>
      <c r="AK1554">
        <v>100</v>
      </c>
      <c r="AL1554" s="122">
        <v>1823312</v>
      </c>
      <c r="AM1554" s="122">
        <v>675301</v>
      </c>
      <c r="AN1554" s="122">
        <v>839451</v>
      </c>
      <c r="AO1554" s="122">
        <v>310908</v>
      </c>
      <c r="AP1554" s="122">
        <v>6211</v>
      </c>
      <c r="AQ1554" s="122">
        <v>2300</v>
      </c>
      <c r="AR1554" s="122">
        <v>3579017</v>
      </c>
      <c r="AS1554" s="122">
        <v>1325562</v>
      </c>
      <c r="AT1554">
        <v>0</v>
      </c>
      <c r="AU1554">
        <v>0</v>
      </c>
      <c r="AV1554" s="122">
        <v>6051512</v>
      </c>
    </row>
    <row r="1555" spans="2:48" hidden="1">
      <c r="B1555" t="s">
        <v>374</v>
      </c>
      <c r="C1555" t="s">
        <v>62</v>
      </c>
      <c r="D1555" t="s">
        <v>555</v>
      </c>
      <c r="E1555" t="s">
        <v>555</v>
      </c>
      <c r="F1555" s="122">
        <v>1</v>
      </c>
      <c r="G1555" s="122">
        <v>79</v>
      </c>
      <c r="H1555" s="122">
        <v>396</v>
      </c>
      <c r="I1555" s="122">
        <v>22229</v>
      </c>
      <c r="J1555" s="122">
        <v>20209</v>
      </c>
      <c r="K1555" s="122">
        <v>65</v>
      </c>
      <c r="L1555" s="122">
        <v>0</v>
      </c>
      <c r="M1555" s="122">
        <v>0</v>
      </c>
      <c r="N1555" s="122">
        <v>1365</v>
      </c>
      <c r="O1555" s="122">
        <v>506</v>
      </c>
      <c r="P1555" s="122">
        <v>351</v>
      </c>
      <c r="Q1555" s="122">
        <v>130</v>
      </c>
      <c r="R1555" s="122">
        <v>4688</v>
      </c>
      <c r="S1555" s="122">
        <v>4262</v>
      </c>
      <c r="T1555" s="122">
        <v>2597</v>
      </c>
      <c r="U1555" s="122">
        <v>962</v>
      </c>
      <c r="V1555" s="122">
        <v>26068</v>
      </c>
      <c r="W1555" s="122">
        <f t="shared" si="48"/>
        <v>26069</v>
      </c>
      <c r="X1555" s="122">
        <f t="shared" si="49"/>
        <v>31230</v>
      </c>
      <c r="AA1555" t="s">
        <v>62</v>
      </c>
      <c r="AB1555" t="s">
        <v>137</v>
      </c>
      <c r="AC1555" t="s">
        <v>137</v>
      </c>
      <c r="AD1555" t="s">
        <v>426</v>
      </c>
      <c r="AE1555" t="s">
        <v>137</v>
      </c>
      <c r="AF1555">
        <v>4</v>
      </c>
      <c r="AG1555">
        <v>293</v>
      </c>
      <c r="AH1555" s="122">
        <v>1629</v>
      </c>
      <c r="AI1555" s="122">
        <v>69578</v>
      </c>
      <c r="AJ1555" s="122">
        <v>25770</v>
      </c>
      <c r="AK1555">
        <v>100</v>
      </c>
      <c r="AL1555" s="122">
        <v>9886</v>
      </c>
      <c r="AM1555" s="122">
        <v>3661</v>
      </c>
      <c r="AN1555" s="122">
        <v>5822</v>
      </c>
      <c r="AO1555" s="122">
        <v>2156</v>
      </c>
      <c r="AP1555">
        <v>702</v>
      </c>
      <c r="AQ1555">
        <v>260</v>
      </c>
      <c r="AR1555" s="122">
        <v>21515</v>
      </c>
      <c r="AS1555" s="122">
        <v>19559</v>
      </c>
      <c r="AT1555" s="122">
        <v>10219</v>
      </c>
      <c r="AU1555" s="122">
        <v>3785</v>
      </c>
      <c r="AV1555" s="122">
        <v>55192</v>
      </c>
    </row>
    <row r="1556" spans="2:48" hidden="1">
      <c r="B1556" t="s">
        <v>374</v>
      </c>
      <c r="C1556" t="s">
        <v>62</v>
      </c>
      <c r="D1556" t="s">
        <v>405</v>
      </c>
      <c r="E1556" t="s">
        <v>425</v>
      </c>
      <c r="F1556" s="122">
        <v>1</v>
      </c>
      <c r="G1556" s="122">
        <v>65</v>
      </c>
      <c r="H1556" s="122">
        <v>449</v>
      </c>
      <c r="I1556" s="122">
        <v>16755</v>
      </c>
      <c r="J1556" s="122">
        <v>15231</v>
      </c>
      <c r="K1556" s="122">
        <v>65</v>
      </c>
      <c r="L1556" s="122">
        <v>2876</v>
      </c>
      <c r="M1556" s="122">
        <v>2615</v>
      </c>
      <c r="N1556" s="122">
        <v>1337</v>
      </c>
      <c r="O1556" s="122">
        <v>495</v>
      </c>
      <c r="P1556" s="122">
        <v>473</v>
      </c>
      <c r="Q1556" s="122">
        <v>175</v>
      </c>
      <c r="R1556" s="122">
        <v>5035</v>
      </c>
      <c r="S1556" s="122">
        <v>4578</v>
      </c>
      <c r="T1556" s="122">
        <v>2672</v>
      </c>
      <c r="U1556" s="122">
        <v>990</v>
      </c>
      <c r="V1556" s="122">
        <v>24084</v>
      </c>
      <c r="W1556" s="122">
        <f t="shared" si="48"/>
        <v>24084</v>
      </c>
      <c r="X1556" s="122">
        <f t="shared" si="49"/>
        <v>29148</v>
      </c>
      <c r="AA1556" t="s">
        <v>62</v>
      </c>
      <c r="AB1556" t="s">
        <v>137</v>
      </c>
      <c r="AC1556" t="s">
        <v>137</v>
      </c>
      <c r="AD1556" t="s">
        <v>426</v>
      </c>
      <c r="AE1556" t="s">
        <v>566</v>
      </c>
      <c r="AF1556">
        <v>1</v>
      </c>
      <c r="AG1556">
        <v>63</v>
      </c>
      <c r="AH1556">
        <v>440</v>
      </c>
      <c r="AI1556" s="122">
        <v>21271</v>
      </c>
      <c r="AJ1556" s="122">
        <v>7878</v>
      </c>
      <c r="AK1556">
        <v>100</v>
      </c>
      <c r="AL1556" s="122">
        <v>3939</v>
      </c>
      <c r="AM1556" s="122">
        <v>1459</v>
      </c>
      <c r="AN1556">
        <v>865</v>
      </c>
      <c r="AO1556">
        <v>320</v>
      </c>
      <c r="AP1556">
        <v>0</v>
      </c>
      <c r="AQ1556">
        <v>0</v>
      </c>
      <c r="AR1556" s="122">
        <v>1842</v>
      </c>
      <c r="AS1556" s="122">
        <v>1675</v>
      </c>
      <c r="AT1556">
        <v>0</v>
      </c>
      <c r="AU1556">
        <v>0</v>
      </c>
      <c r="AV1556" s="122">
        <v>11332</v>
      </c>
    </row>
    <row r="1557" spans="2:48" hidden="1">
      <c r="B1557" t="s">
        <v>374</v>
      </c>
      <c r="C1557" t="s">
        <v>62</v>
      </c>
      <c r="D1557" t="s">
        <v>405</v>
      </c>
      <c r="E1557" t="s">
        <v>405</v>
      </c>
      <c r="F1557" s="122">
        <v>2</v>
      </c>
      <c r="G1557" s="122">
        <v>333</v>
      </c>
      <c r="H1557" s="122">
        <v>836</v>
      </c>
      <c r="I1557" s="122">
        <v>88173</v>
      </c>
      <c r="J1557" s="122">
        <v>80157</v>
      </c>
      <c r="K1557" s="122">
        <v>73</v>
      </c>
      <c r="L1557" s="122">
        <v>22161</v>
      </c>
      <c r="M1557" s="122">
        <v>20146</v>
      </c>
      <c r="N1557" s="122">
        <v>7465</v>
      </c>
      <c r="O1557" s="122">
        <v>2765</v>
      </c>
      <c r="P1557" s="122">
        <v>1094</v>
      </c>
      <c r="Q1557" s="122">
        <v>405</v>
      </c>
      <c r="R1557" s="122">
        <v>10883</v>
      </c>
      <c r="S1557" s="122">
        <v>9894</v>
      </c>
      <c r="T1557" s="122">
        <v>7039</v>
      </c>
      <c r="U1557" s="122">
        <v>2607</v>
      </c>
      <c r="V1557" s="122">
        <v>115974</v>
      </c>
      <c r="W1557" s="122">
        <f t="shared" si="48"/>
        <v>115974</v>
      </c>
      <c r="X1557" s="122">
        <f t="shared" si="49"/>
        <v>136815</v>
      </c>
      <c r="AA1557" t="s">
        <v>62</v>
      </c>
      <c r="AB1557" t="s">
        <v>137</v>
      </c>
      <c r="AC1557" t="s">
        <v>580</v>
      </c>
      <c r="AD1557" t="s">
        <v>137</v>
      </c>
      <c r="AE1557" t="s">
        <v>566</v>
      </c>
      <c r="AF1557">
        <v>6</v>
      </c>
      <c r="AG1557">
        <v>677</v>
      </c>
      <c r="AH1557" s="122">
        <v>2498</v>
      </c>
      <c r="AI1557" s="122">
        <v>197259</v>
      </c>
      <c r="AJ1557" s="122">
        <v>73059</v>
      </c>
      <c r="AK1557">
        <v>100</v>
      </c>
      <c r="AL1557" s="122">
        <v>18472</v>
      </c>
      <c r="AM1557" s="122">
        <v>16793</v>
      </c>
      <c r="AN1557" s="122">
        <v>15424</v>
      </c>
      <c r="AO1557" s="122">
        <v>5713</v>
      </c>
      <c r="AP1557">
        <v>891</v>
      </c>
      <c r="AQ1557">
        <v>330</v>
      </c>
      <c r="AR1557" s="122">
        <v>51588</v>
      </c>
      <c r="AS1557" s="122">
        <v>19107</v>
      </c>
      <c r="AT1557">
        <v>0</v>
      </c>
      <c r="AU1557">
        <v>0</v>
      </c>
      <c r="AV1557" s="122">
        <v>115001</v>
      </c>
    </row>
    <row r="1558" spans="2:48" hidden="1">
      <c r="B1558" t="s">
        <v>374</v>
      </c>
      <c r="C1558" t="s">
        <v>62</v>
      </c>
      <c r="D1558" t="s">
        <v>137</v>
      </c>
      <c r="E1558" t="s">
        <v>137</v>
      </c>
      <c r="F1558" s="122">
        <v>111</v>
      </c>
      <c r="G1558" s="122">
        <v>7445</v>
      </c>
      <c r="H1558" s="122">
        <v>45025</v>
      </c>
      <c r="I1558" s="122">
        <v>1866124</v>
      </c>
      <c r="J1558" s="122">
        <v>691157</v>
      </c>
      <c r="K1558" s="122">
        <v>100</v>
      </c>
      <c r="L1558" s="122">
        <v>320543</v>
      </c>
      <c r="M1558" s="122">
        <v>231291</v>
      </c>
      <c r="N1558" s="122">
        <v>152384</v>
      </c>
      <c r="O1558" s="122">
        <v>56439</v>
      </c>
      <c r="P1558" s="122">
        <v>1731</v>
      </c>
      <c r="Q1558" s="122">
        <v>641</v>
      </c>
      <c r="R1558" s="122">
        <v>705385</v>
      </c>
      <c r="S1558" s="122">
        <v>261254</v>
      </c>
      <c r="T1558" s="122">
        <v>0</v>
      </c>
      <c r="U1558" s="122">
        <v>0</v>
      </c>
      <c r="V1558" s="122">
        <v>1240782</v>
      </c>
      <c r="W1558" s="122">
        <f t="shared" si="48"/>
        <v>1240782</v>
      </c>
      <c r="X1558" s="122">
        <f t="shared" si="49"/>
        <v>3046167</v>
      </c>
      <c r="AA1558" t="s">
        <v>62</v>
      </c>
      <c r="AB1558" t="s">
        <v>137</v>
      </c>
      <c r="AC1558" t="s">
        <v>580</v>
      </c>
      <c r="AD1558" t="s">
        <v>406</v>
      </c>
      <c r="AE1558" t="s">
        <v>137</v>
      </c>
      <c r="AF1558">
        <v>3</v>
      </c>
      <c r="AG1558">
        <v>392</v>
      </c>
      <c r="AH1558" s="122">
        <v>1303</v>
      </c>
      <c r="AI1558" s="122">
        <v>123837</v>
      </c>
      <c r="AJ1558" s="122">
        <v>45866</v>
      </c>
      <c r="AK1558">
        <v>100</v>
      </c>
      <c r="AL1558" s="122">
        <v>9141</v>
      </c>
      <c r="AM1558" s="122">
        <v>8310</v>
      </c>
      <c r="AN1558" s="122">
        <v>9045</v>
      </c>
      <c r="AO1558" s="122">
        <v>3350</v>
      </c>
      <c r="AP1558">
        <v>810</v>
      </c>
      <c r="AQ1558">
        <v>300</v>
      </c>
      <c r="AR1558" s="122">
        <v>20908</v>
      </c>
      <c r="AS1558" s="122">
        <v>19007</v>
      </c>
      <c r="AT1558" s="122">
        <v>6896</v>
      </c>
      <c r="AU1558" s="122">
        <v>2554</v>
      </c>
      <c r="AV1558" s="122">
        <v>79387</v>
      </c>
    </row>
    <row r="1559" spans="2:48" hidden="1">
      <c r="B1559" t="s">
        <v>374</v>
      </c>
      <c r="C1559" t="s">
        <v>62</v>
      </c>
      <c r="D1559" t="s">
        <v>137</v>
      </c>
      <c r="E1559" t="s">
        <v>427</v>
      </c>
      <c r="F1559" s="122">
        <v>2</v>
      </c>
      <c r="G1559" s="122">
        <v>190</v>
      </c>
      <c r="H1559" s="122">
        <v>796</v>
      </c>
      <c r="I1559" s="122">
        <v>49802</v>
      </c>
      <c r="J1559" s="122">
        <v>18445</v>
      </c>
      <c r="K1559" s="122">
        <v>100</v>
      </c>
      <c r="L1559" s="122">
        <v>4509</v>
      </c>
      <c r="M1559" s="122">
        <v>4099</v>
      </c>
      <c r="N1559" s="122">
        <v>3207</v>
      </c>
      <c r="O1559" s="122">
        <v>1188</v>
      </c>
      <c r="P1559" s="122">
        <v>0</v>
      </c>
      <c r="Q1559" s="122">
        <v>0</v>
      </c>
      <c r="R1559" s="122">
        <v>12596</v>
      </c>
      <c r="S1559" s="122">
        <v>11451</v>
      </c>
      <c r="T1559" s="122">
        <v>5440</v>
      </c>
      <c r="U1559" s="122">
        <v>2015</v>
      </c>
      <c r="V1559" s="122">
        <v>37197</v>
      </c>
      <c r="W1559" s="122">
        <f t="shared" si="48"/>
        <v>37198</v>
      </c>
      <c r="X1559" s="122">
        <f t="shared" si="49"/>
        <v>75554</v>
      </c>
      <c r="AA1559" t="s">
        <v>62</v>
      </c>
      <c r="AB1559" t="s">
        <v>137</v>
      </c>
      <c r="AC1559" t="s">
        <v>580</v>
      </c>
      <c r="AD1559" t="s">
        <v>406</v>
      </c>
      <c r="AE1559" t="s">
        <v>566</v>
      </c>
      <c r="AF1559">
        <v>2</v>
      </c>
      <c r="AG1559">
        <v>349</v>
      </c>
      <c r="AH1559">
        <v>839</v>
      </c>
      <c r="AI1559" s="122">
        <v>110456</v>
      </c>
      <c r="AJ1559" s="122">
        <v>40910</v>
      </c>
      <c r="AK1559">
        <v>100</v>
      </c>
      <c r="AL1559" s="122">
        <v>12286</v>
      </c>
      <c r="AM1559" s="122">
        <v>11169</v>
      </c>
      <c r="AN1559" s="122">
        <v>6685</v>
      </c>
      <c r="AO1559" s="122">
        <v>2476</v>
      </c>
      <c r="AP1559">
        <v>0</v>
      </c>
      <c r="AQ1559">
        <v>0</v>
      </c>
      <c r="AR1559" s="122">
        <v>17040</v>
      </c>
      <c r="AS1559" s="122">
        <v>15491</v>
      </c>
      <c r="AT1559">
        <v>0</v>
      </c>
      <c r="AU1559">
        <v>0</v>
      </c>
      <c r="AV1559" s="122">
        <v>70046</v>
      </c>
    </row>
    <row r="1560" spans="2:48" hidden="1">
      <c r="B1560" t="s">
        <v>374</v>
      </c>
      <c r="C1560" t="s">
        <v>62</v>
      </c>
      <c r="D1560" t="s">
        <v>137</v>
      </c>
      <c r="E1560" t="s">
        <v>556</v>
      </c>
      <c r="F1560" s="122">
        <v>2</v>
      </c>
      <c r="G1560" s="122">
        <v>139</v>
      </c>
      <c r="H1560" s="122">
        <v>875</v>
      </c>
      <c r="I1560" s="122">
        <v>36438</v>
      </c>
      <c r="J1560" s="122">
        <v>13496</v>
      </c>
      <c r="K1560" s="122">
        <v>100</v>
      </c>
      <c r="L1560" s="122">
        <v>5715</v>
      </c>
      <c r="M1560" s="122">
        <v>4762</v>
      </c>
      <c r="N1560" s="122">
        <v>3123</v>
      </c>
      <c r="O1560" s="122">
        <v>1157</v>
      </c>
      <c r="P1560" s="122">
        <v>702</v>
      </c>
      <c r="Q1560" s="122">
        <v>260</v>
      </c>
      <c r="R1560" s="122">
        <v>10647</v>
      </c>
      <c r="S1560" s="122">
        <v>8872</v>
      </c>
      <c r="T1560" s="122">
        <v>4315</v>
      </c>
      <c r="U1560" s="122">
        <v>1598</v>
      </c>
      <c r="V1560" s="122">
        <v>30145</v>
      </c>
      <c r="W1560" s="122">
        <f t="shared" si="48"/>
        <v>30145</v>
      </c>
      <c r="X1560" s="122">
        <f t="shared" si="49"/>
        <v>60940</v>
      </c>
      <c r="AA1560" t="s">
        <v>62</v>
      </c>
      <c r="AB1560" t="s">
        <v>137</v>
      </c>
      <c r="AC1560" t="s">
        <v>427</v>
      </c>
      <c r="AD1560" t="s">
        <v>137</v>
      </c>
      <c r="AE1560" t="s">
        <v>137</v>
      </c>
      <c r="AF1560">
        <v>15</v>
      </c>
      <c r="AG1560" s="122">
        <v>1382</v>
      </c>
      <c r="AH1560" s="122">
        <v>6241</v>
      </c>
      <c r="AI1560" s="122">
        <v>381374</v>
      </c>
      <c r="AJ1560" s="122">
        <v>141250</v>
      </c>
      <c r="AK1560">
        <v>100</v>
      </c>
      <c r="AL1560" s="122">
        <v>66095</v>
      </c>
      <c r="AM1560" s="122">
        <v>60087</v>
      </c>
      <c r="AN1560" s="122">
        <v>32247</v>
      </c>
      <c r="AO1560" s="122">
        <v>11943</v>
      </c>
      <c r="AP1560" s="122">
        <v>1404</v>
      </c>
      <c r="AQ1560">
        <v>520</v>
      </c>
      <c r="AR1560" s="122">
        <v>103279</v>
      </c>
      <c r="AS1560" s="122">
        <v>38252</v>
      </c>
      <c r="AT1560" s="122">
        <v>5005</v>
      </c>
      <c r="AU1560" s="122">
        <v>1854</v>
      </c>
      <c r="AV1560" s="122">
        <v>253905</v>
      </c>
    </row>
    <row r="1561" spans="2:48" hidden="1">
      <c r="B1561" t="s">
        <v>374</v>
      </c>
      <c r="C1561" t="s">
        <v>62</v>
      </c>
      <c r="D1561" t="s">
        <v>137</v>
      </c>
      <c r="E1561" t="s">
        <v>426</v>
      </c>
      <c r="F1561" s="122">
        <v>2</v>
      </c>
      <c r="G1561" s="122">
        <v>138</v>
      </c>
      <c r="H1561" s="122">
        <v>778</v>
      </c>
      <c r="I1561" s="122">
        <v>32178</v>
      </c>
      <c r="J1561" s="122">
        <v>11918</v>
      </c>
      <c r="K1561" s="122">
        <v>100</v>
      </c>
      <c r="L1561" s="122">
        <v>3252</v>
      </c>
      <c r="M1561" s="122">
        <v>1972</v>
      </c>
      <c r="N1561" s="122">
        <v>2335</v>
      </c>
      <c r="O1561" s="122">
        <v>865</v>
      </c>
      <c r="P1561" s="122">
        <v>702</v>
      </c>
      <c r="Q1561" s="122">
        <v>260</v>
      </c>
      <c r="R1561" s="122">
        <v>10630</v>
      </c>
      <c r="S1561" s="122">
        <v>9663</v>
      </c>
      <c r="T1561" s="122">
        <v>4566</v>
      </c>
      <c r="U1561" s="122">
        <v>1691</v>
      </c>
      <c r="V1561" s="122">
        <v>26369</v>
      </c>
      <c r="W1561" s="122">
        <f t="shared" si="48"/>
        <v>26369</v>
      </c>
      <c r="X1561" s="122">
        <f t="shared" si="49"/>
        <v>53663</v>
      </c>
      <c r="AA1561" t="s">
        <v>62</v>
      </c>
      <c r="AB1561" t="s">
        <v>137</v>
      </c>
      <c r="AC1561" t="s">
        <v>427</v>
      </c>
      <c r="AD1561" t="s">
        <v>137</v>
      </c>
      <c r="AE1561" t="s">
        <v>566</v>
      </c>
      <c r="AF1561">
        <v>135</v>
      </c>
      <c r="AG1561" s="122">
        <v>9372</v>
      </c>
      <c r="AH1561" s="122">
        <v>55764</v>
      </c>
      <c r="AI1561" s="122">
        <v>2483608</v>
      </c>
      <c r="AJ1561" s="122">
        <v>919855</v>
      </c>
      <c r="AK1561">
        <v>100</v>
      </c>
      <c r="AL1561" s="122">
        <v>384423</v>
      </c>
      <c r="AM1561" s="122">
        <v>349476</v>
      </c>
      <c r="AN1561" s="122">
        <v>191109</v>
      </c>
      <c r="AO1561" s="122">
        <v>70781</v>
      </c>
      <c r="AP1561" s="122">
        <v>4829</v>
      </c>
      <c r="AQ1561" s="122">
        <v>1789</v>
      </c>
      <c r="AR1561" s="122">
        <v>853634</v>
      </c>
      <c r="AS1561" s="122">
        <v>316161</v>
      </c>
      <c r="AT1561">
        <v>0</v>
      </c>
      <c r="AU1561">
        <v>0</v>
      </c>
      <c r="AV1561" s="122">
        <v>1658061</v>
      </c>
    </row>
    <row r="1562" spans="2:48" hidden="1">
      <c r="B1562" t="s">
        <v>374</v>
      </c>
      <c r="C1562" t="s">
        <v>62</v>
      </c>
      <c r="D1562" t="s">
        <v>406</v>
      </c>
      <c r="E1562" t="s">
        <v>425</v>
      </c>
      <c r="F1562" s="122">
        <v>1</v>
      </c>
      <c r="G1562" s="122">
        <v>142</v>
      </c>
      <c r="H1562" s="122">
        <v>416</v>
      </c>
      <c r="I1562" s="122">
        <v>40681</v>
      </c>
      <c r="J1562" s="122">
        <v>36983</v>
      </c>
      <c r="K1562" s="122">
        <v>79</v>
      </c>
      <c r="L1562" s="122">
        <v>5520</v>
      </c>
      <c r="M1562" s="122">
        <v>4600</v>
      </c>
      <c r="N1562" s="122">
        <v>3280</v>
      </c>
      <c r="O1562" s="122">
        <v>1215</v>
      </c>
      <c r="P1562" s="122">
        <v>621</v>
      </c>
      <c r="Q1562" s="122">
        <v>230</v>
      </c>
      <c r="R1562" s="122">
        <v>5210</v>
      </c>
      <c r="S1562" s="122">
        <v>4736</v>
      </c>
      <c r="T1562" s="122">
        <v>3640</v>
      </c>
      <c r="U1562" s="122">
        <v>1348</v>
      </c>
      <c r="V1562" s="122">
        <v>49112</v>
      </c>
      <c r="W1562" s="122">
        <f t="shared" si="48"/>
        <v>49112</v>
      </c>
      <c r="X1562" s="122">
        <f t="shared" si="49"/>
        <v>58952</v>
      </c>
      <c r="AA1562" t="s">
        <v>62</v>
      </c>
      <c r="AB1562" t="s">
        <v>137</v>
      </c>
      <c r="AC1562" t="s">
        <v>427</v>
      </c>
      <c r="AD1562" t="s">
        <v>406</v>
      </c>
      <c r="AE1562" t="s">
        <v>566</v>
      </c>
      <c r="AF1562">
        <v>1</v>
      </c>
      <c r="AG1562">
        <v>98</v>
      </c>
      <c r="AH1562">
        <v>429</v>
      </c>
      <c r="AI1562" s="122">
        <v>32047</v>
      </c>
      <c r="AJ1562" s="122">
        <v>11869</v>
      </c>
      <c r="AK1562">
        <v>100</v>
      </c>
      <c r="AL1562" s="122">
        <v>2232</v>
      </c>
      <c r="AM1562" s="122">
        <v>2029</v>
      </c>
      <c r="AN1562" s="122">
        <v>2390</v>
      </c>
      <c r="AO1562">
        <v>885</v>
      </c>
      <c r="AP1562">
        <v>0</v>
      </c>
      <c r="AQ1562">
        <v>0</v>
      </c>
      <c r="AR1562" s="122">
        <v>5428</v>
      </c>
      <c r="AS1562" s="122">
        <v>4935</v>
      </c>
      <c r="AT1562">
        <v>0</v>
      </c>
      <c r="AU1562">
        <v>0</v>
      </c>
      <c r="AV1562" s="122">
        <v>19718</v>
      </c>
    </row>
    <row r="1563" spans="2:48" hidden="1">
      <c r="B1563" t="s">
        <v>374</v>
      </c>
      <c r="C1563" t="s">
        <v>62</v>
      </c>
      <c r="D1563" t="s">
        <v>406</v>
      </c>
      <c r="E1563" t="s">
        <v>137</v>
      </c>
      <c r="F1563" s="122">
        <v>1</v>
      </c>
      <c r="G1563" s="122">
        <v>111</v>
      </c>
      <c r="H1563" s="122">
        <v>420</v>
      </c>
      <c r="I1563" s="122">
        <v>24620</v>
      </c>
      <c r="J1563" s="122">
        <v>22382</v>
      </c>
      <c r="K1563" s="122">
        <v>86</v>
      </c>
      <c r="L1563" s="122">
        <v>7450</v>
      </c>
      <c r="M1563" s="122">
        <v>6773</v>
      </c>
      <c r="N1563" s="122">
        <v>1350</v>
      </c>
      <c r="O1563" s="122">
        <v>500</v>
      </c>
      <c r="P1563" s="122">
        <v>621</v>
      </c>
      <c r="Q1563" s="122">
        <v>230</v>
      </c>
      <c r="R1563" s="122">
        <v>12515</v>
      </c>
      <c r="S1563" s="122">
        <v>4635</v>
      </c>
      <c r="T1563" s="122">
        <v>0</v>
      </c>
      <c r="U1563" s="122">
        <v>0</v>
      </c>
      <c r="V1563" s="122">
        <v>34519</v>
      </c>
      <c r="W1563" s="122">
        <f t="shared" si="48"/>
        <v>34520</v>
      </c>
      <c r="X1563" s="122">
        <f t="shared" si="49"/>
        <v>46556</v>
      </c>
      <c r="AA1563" t="s">
        <v>62</v>
      </c>
      <c r="AB1563" t="s">
        <v>137</v>
      </c>
      <c r="AC1563" t="s">
        <v>427</v>
      </c>
      <c r="AD1563" t="s">
        <v>427</v>
      </c>
      <c r="AE1563" t="s">
        <v>137</v>
      </c>
      <c r="AF1563">
        <v>16</v>
      </c>
      <c r="AG1563" s="122">
        <v>1059</v>
      </c>
      <c r="AH1563" s="122">
        <v>6549</v>
      </c>
      <c r="AI1563" s="122">
        <v>247901</v>
      </c>
      <c r="AJ1563" s="122">
        <v>91815</v>
      </c>
      <c r="AK1563">
        <v>100</v>
      </c>
      <c r="AL1563" s="122">
        <v>23699</v>
      </c>
      <c r="AM1563" s="122">
        <v>21544</v>
      </c>
      <c r="AN1563" s="122">
        <v>21908</v>
      </c>
      <c r="AO1563" s="122">
        <v>8114</v>
      </c>
      <c r="AP1563" s="122">
        <v>1053</v>
      </c>
      <c r="AQ1563">
        <v>390</v>
      </c>
      <c r="AR1563" s="122">
        <v>95119</v>
      </c>
      <c r="AS1563" s="122">
        <v>86472</v>
      </c>
      <c r="AT1563" s="122">
        <v>38648</v>
      </c>
      <c r="AU1563" s="122">
        <v>14314</v>
      </c>
      <c r="AV1563" s="122">
        <v>222650</v>
      </c>
    </row>
    <row r="1564" spans="2:48" hidden="1">
      <c r="B1564" t="s">
        <v>374</v>
      </c>
      <c r="C1564" t="s">
        <v>62</v>
      </c>
      <c r="D1564" t="s">
        <v>406</v>
      </c>
      <c r="E1564" t="s">
        <v>406</v>
      </c>
      <c r="F1564" s="122">
        <v>269</v>
      </c>
      <c r="G1564" s="122">
        <v>27989</v>
      </c>
      <c r="H1564" s="122">
        <v>111582</v>
      </c>
      <c r="I1564" s="122">
        <v>7364498</v>
      </c>
      <c r="J1564" s="122">
        <v>6694998</v>
      </c>
      <c r="K1564" s="122">
        <v>74</v>
      </c>
      <c r="L1564" s="122">
        <v>1655391</v>
      </c>
      <c r="M1564" s="122">
        <v>1404496</v>
      </c>
      <c r="N1564" s="122">
        <v>609529</v>
      </c>
      <c r="O1564" s="122">
        <v>225751</v>
      </c>
      <c r="P1564" s="122">
        <v>172949</v>
      </c>
      <c r="Q1564" s="122">
        <v>64055</v>
      </c>
      <c r="R1564" s="122">
        <v>1377915</v>
      </c>
      <c r="S1564" s="122">
        <v>1252650</v>
      </c>
      <c r="T1564" s="122">
        <v>536190</v>
      </c>
      <c r="U1564" s="122">
        <v>198589</v>
      </c>
      <c r="V1564" s="122">
        <v>9840539</v>
      </c>
      <c r="W1564" s="122">
        <f t="shared" si="48"/>
        <v>9840539</v>
      </c>
      <c r="X1564" s="122">
        <f t="shared" si="49"/>
        <v>11716472</v>
      </c>
      <c r="AA1564" t="s">
        <v>62</v>
      </c>
      <c r="AB1564" t="s">
        <v>137</v>
      </c>
      <c r="AC1564" t="s">
        <v>407</v>
      </c>
      <c r="AD1564" t="s">
        <v>137</v>
      </c>
      <c r="AE1564" t="s">
        <v>137</v>
      </c>
      <c r="AF1564">
        <v>1</v>
      </c>
      <c r="AG1564">
        <v>101</v>
      </c>
      <c r="AH1564">
        <v>447</v>
      </c>
      <c r="AI1564" s="122">
        <v>29624</v>
      </c>
      <c r="AJ1564" s="122">
        <v>10972</v>
      </c>
      <c r="AK1564">
        <v>100</v>
      </c>
      <c r="AL1564" s="122">
        <v>3353</v>
      </c>
      <c r="AM1564" s="122">
        <v>3048</v>
      </c>
      <c r="AN1564" s="122">
        <v>2218</v>
      </c>
      <c r="AO1564">
        <v>822</v>
      </c>
      <c r="AP1564">
        <v>422</v>
      </c>
      <c r="AQ1564">
        <v>156</v>
      </c>
      <c r="AR1564" s="122">
        <v>6406</v>
      </c>
      <c r="AS1564" s="122">
        <v>2373</v>
      </c>
      <c r="AT1564" s="122">
        <v>3155</v>
      </c>
      <c r="AU1564" s="122">
        <v>1169</v>
      </c>
      <c r="AV1564" s="122">
        <v>18539</v>
      </c>
    </row>
    <row r="1565" spans="2:48" hidden="1">
      <c r="B1565" t="s">
        <v>374</v>
      </c>
      <c r="C1565" t="s">
        <v>62</v>
      </c>
      <c r="D1565" t="s">
        <v>427</v>
      </c>
      <c r="E1565" t="s">
        <v>137</v>
      </c>
      <c r="F1565" s="122">
        <v>2</v>
      </c>
      <c r="G1565" s="122">
        <v>161</v>
      </c>
      <c r="H1565" s="122">
        <v>808</v>
      </c>
      <c r="I1565" s="122">
        <v>25186</v>
      </c>
      <c r="J1565" s="122">
        <v>22897</v>
      </c>
      <c r="K1565" s="122">
        <v>58</v>
      </c>
      <c r="L1565" s="122">
        <v>4524</v>
      </c>
      <c r="M1565" s="122">
        <v>2779</v>
      </c>
      <c r="N1565" s="122">
        <v>3679</v>
      </c>
      <c r="O1565" s="122">
        <v>1363</v>
      </c>
      <c r="P1565" s="122">
        <v>702</v>
      </c>
      <c r="Q1565" s="122">
        <v>260</v>
      </c>
      <c r="R1565" s="122">
        <v>30925</v>
      </c>
      <c r="S1565" s="122">
        <v>11454</v>
      </c>
      <c r="T1565" s="122">
        <v>0</v>
      </c>
      <c r="U1565" s="122">
        <v>0</v>
      </c>
      <c r="V1565" s="122">
        <v>38752</v>
      </c>
      <c r="W1565" s="122">
        <f t="shared" si="48"/>
        <v>38753</v>
      </c>
      <c r="X1565" s="122">
        <f t="shared" si="49"/>
        <v>65016</v>
      </c>
      <c r="AA1565" t="s">
        <v>62</v>
      </c>
      <c r="AB1565" t="s">
        <v>137</v>
      </c>
      <c r="AC1565" t="s">
        <v>407</v>
      </c>
      <c r="AD1565" t="s">
        <v>137</v>
      </c>
      <c r="AE1565" t="s">
        <v>566</v>
      </c>
      <c r="AF1565">
        <v>29</v>
      </c>
      <c r="AG1565" s="122">
        <v>3357</v>
      </c>
      <c r="AH1565" s="122">
        <v>12211</v>
      </c>
      <c r="AI1565" s="122">
        <v>980344</v>
      </c>
      <c r="AJ1565" s="122">
        <v>363090</v>
      </c>
      <c r="AK1565">
        <v>100</v>
      </c>
      <c r="AL1565" s="122">
        <v>135133</v>
      </c>
      <c r="AM1565" s="122">
        <v>122848</v>
      </c>
      <c r="AN1565" s="122">
        <v>74857</v>
      </c>
      <c r="AO1565" s="122">
        <v>27725</v>
      </c>
      <c r="AP1565" s="122">
        <v>1890</v>
      </c>
      <c r="AQ1565">
        <v>700</v>
      </c>
      <c r="AR1565" s="122">
        <v>241139</v>
      </c>
      <c r="AS1565" s="122">
        <v>89311</v>
      </c>
      <c r="AT1565">
        <v>0</v>
      </c>
      <c r="AU1565">
        <v>0</v>
      </c>
      <c r="AV1565" s="122">
        <v>603674</v>
      </c>
    </row>
    <row r="1566" spans="2:48" hidden="1">
      <c r="B1566" t="s">
        <v>374</v>
      </c>
      <c r="C1566" t="s">
        <v>62</v>
      </c>
      <c r="D1566" t="s">
        <v>427</v>
      </c>
      <c r="E1566" t="s">
        <v>427</v>
      </c>
      <c r="F1566" s="122">
        <v>21</v>
      </c>
      <c r="G1566" s="122">
        <v>1683</v>
      </c>
      <c r="H1566" s="122">
        <v>8663</v>
      </c>
      <c r="I1566" s="122">
        <v>413941</v>
      </c>
      <c r="J1566" s="122">
        <v>376310</v>
      </c>
      <c r="K1566" s="122">
        <v>51</v>
      </c>
      <c r="L1566" s="122">
        <v>70590</v>
      </c>
      <c r="M1566" s="122">
        <v>54625</v>
      </c>
      <c r="N1566" s="122">
        <v>35297</v>
      </c>
      <c r="O1566" s="122">
        <v>13073</v>
      </c>
      <c r="P1566" s="122">
        <v>7371</v>
      </c>
      <c r="Q1566" s="122">
        <v>2730</v>
      </c>
      <c r="R1566" s="122">
        <v>119182</v>
      </c>
      <c r="S1566" s="122">
        <v>108348</v>
      </c>
      <c r="T1566" s="122">
        <v>46775</v>
      </c>
      <c r="U1566" s="122">
        <v>17324</v>
      </c>
      <c r="V1566" s="122">
        <v>572409</v>
      </c>
      <c r="W1566" s="122">
        <f t="shared" si="48"/>
        <v>572410</v>
      </c>
      <c r="X1566" s="122">
        <f t="shared" si="49"/>
        <v>693156</v>
      </c>
      <c r="AA1566" t="s">
        <v>62</v>
      </c>
      <c r="AB1566" t="s">
        <v>137</v>
      </c>
      <c r="AC1566" t="s">
        <v>407</v>
      </c>
      <c r="AD1566" t="s">
        <v>407</v>
      </c>
      <c r="AE1566" t="s">
        <v>137</v>
      </c>
      <c r="AF1566">
        <v>1</v>
      </c>
      <c r="AG1566">
        <v>310</v>
      </c>
      <c r="AH1566">
        <v>412</v>
      </c>
      <c r="AI1566" s="122">
        <v>101123</v>
      </c>
      <c r="AJ1566" s="122">
        <v>37453</v>
      </c>
      <c r="AK1566">
        <v>100</v>
      </c>
      <c r="AL1566" s="122">
        <v>11331</v>
      </c>
      <c r="AM1566" s="122">
        <v>10301</v>
      </c>
      <c r="AN1566" s="122">
        <v>6148</v>
      </c>
      <c r="AO1566" s="122">
        <v>2277</v>
      </c>
      <c r="AP1566">
        <v>473</v>
      </c>
      <c r="AQ1566">
        <v>175</v>
      </c>
      <c r="AR1566" s="122">
        <v>4511</v>
      </c>
      <c r="AS1566" s="122">
        <v>4101</v>
      </c>
      <c r="AT1566" s="122">
        <v>3870</v>
      </c>
      <c r="AU1566" s="122">
        <v>1433</v>
      </c>
      <c r="AV1566" s="122">
        <v>55740</v>
      </c>
    </row>
    <row r="1567" spans="2:48" hidden="1">
      <c r="B1567" t="s">
        <v>374</v>
      </c>
      <c r="C1567" t="s">
        <v>62</v>
      </c>
      <c r="D1567" t="s">
        <v>407</v>
      </c>
      <c r="E1567" t="s">
        <v>137</v>
      </c>
      <c r="F1567" s="122">
        <v>4</v>
      </c>
      <c r="G1567" s="122">
        <v>356</v>
      </c>
      <c r="H1567" s="122">
        <v>1681</v>
      </c>
      <c r="I1567" s="122">
        <v>99102</v>
      </c>
      <c r="J1567" s="122">
        <v>90093</v>
      </c>
      <c r="K1567" s="122">
        <v>66</v>
      </c>
      <c r="L1567" s="122">
        <v>17049</v>
      </c>
      <c r="M1567" s="122">
        <v>11653</v>
      </c>
      <c r="N1567" s="122">
        <v>6847</v>
      </c>
      <c r="O1567" s="122">
        <v>2536</v>
      </c>
      <c r="P1567" s="122">
        <v>1418</v>
      </c>
      <c r="Q1567" s="122">
        <v>525</v>
      </c>
      <c r="R1567" s="122">
        <v>24269</v>
      </c>
      <c r="S1567" s="122">
        <v>8989</v>
      </c>
      <c r="T1567" s="122">
        <v>0</v>
      </c>
      <c r="U1567" s="122">
        <v>0</v>
      </c>
      <c r="V1567" s="122">
        <v>113796</v>
      </c>
      <c r="W1567" s="122">
        <f t="shared" si="48"/>
        <v>113796</v>
      </c>
      <c r="X1567" s="122">
        <f t="shared" si="49"/>
        <v>148685</v>
      </c>
      <c r="AA1567" t="s">
        <v>62</v>
      </c>
      <c r="AB1567" t="s">
        <v>137</v>
      </c>
      <c r="AC1567" t="s">
        <v>407</v>
      </c>
      <c r="AD1567" t="s">
        <v>407</v>
      </c>
      <c r="AE1567" t="s">
        <v>566</v>
      </c>
      <c r="AF1567">
        <v>1</v>
      </c>
      <c r="AG1567">
        <v>96</v>
      </c>
      <c r="AH1567">
        <v>410</v>
      </c>
      <c r="AI1567" s="122">
        <v>37110</v>
      </c>
      <c r="AJ1567" s="122">
        <v>13744</v>
      </c>
      <c r="AK1567">
        <v>100</v>
      </c>
      <c r="AL1567" s="122">
        <v>7559</v>
      </c>
      <c r="AM1567" s="122">
        <v>6872</v>
      </c>
      <c r="AN1567" s="122">
        <v>2223</v>
      </c>
      <c r="AO1567">
        <v>823</v>
      </c>
      <c r="AP1567">
        <v>0</v>
      </c>
      <c r="AQ1567">
        <v>0</v>
      </c>
      <c r="AR1567" s="122">
        <v>6531</v>
      </c>
      <c r="AS1567" s="122">
        <v>5937</v>
      </c>
      <c r="AT1567">
        <v>0</v>
      </c>
      <c r="AU1567">
        <v>0</v>
      </c>
      <c r="AV1567" s="122">
        <v>27377</v>
      </c>
    </row>
    <row r="1568" spans="2:48" hidden="1">
      <c r="B1568" t="s">
        <v>374</v>
      </c>
      <c r="C1568" t="s">
        <v>62</v>
      </c>
      <c r="D1568" t="s">
        <v>407</v>
      </c>
      <c r="E1568" t="s">
        <v>407</v>
      </c>
      <c r="F1568" s="122">
        <v>231</v>
      </c>
      <c r="G1568" s="122">
        <v>20386</v>
      </c>
      <c r="H1568" s="122">
        <v>94712</v>
      </c>
      <c r="I1568" s="122">
        <v>5138334</v>
      </c>
      <c r="J1568" s="122">
        <v>4671213</v>
      </c>
      <c r="K1568" s="122">
        <v>76</v>
      </c>
      <c r="L1568" s="122">
        <v>1297813</v>
      </c>
      <c r="M1568" s="122">
        <v>1074004</v>
      </c>
      <c r="N1568" s="122">
        <v>439697</v>
      </c>
      <c r="O1568" s="122">
        <v>162851</v>
      </c>
      <c r="P1568" s="122">
        <v>110640</v>
      </c>
      <c r="Q1568" s="122">
        <v>40978</v>
      </c>
      <c r="R1568" s="122">
        <v>1116669</v>
      </c>
      <c r="S1568" s="122">
        <v>1015154</v>
      </c>
      <c r="T1568" s="122">
        <v>337247</v>
      </c>
      <c r="U1568" s="122">
        <v>124906</v>
      </c>
      <c r="V1568" s="122">
        <v>7089105</v>
      </c>
      <c r="W1568" s="122">
        <f t="shared" si="48"/>
        <v>7089106</v>
      </c>
      <c r="X1568" s="122">
        <f t="shared" si="49"/>
        <v>8440400</v>
      </c>
      <c r="AA1568" t="s">
        <v>62</v>
      </c>
      <c r="AB1568" t="s">
        <v>137</v>
      </c>
      <c r="AC1568" t="s">
        <v>579</v>
      </c>
      <c r="AD1568" t="s">
        <v>403</v>
      </c>
      <c r="AE1568" t="s">
        <v>566</v>
      </c>
      <c r="AF1568">
        <v>1</v>
      </c>
      <c r="AG1568">
        <v>57</v>
      </c>
      <c r="AH1568">
        <v>435</v>
      </c>
      <c r="AI1568" s="122">
        <v>14439</v>
      </c>
      <c r="AJ1568" s="122">
        <v>5348</v>
      </c>
      <c r="AK1568">
        <v>100</v>
      </c>
      <c r="AL1568" s="122">
        <v>5348</v>
      </c>
      <c r="AM1568" s="122">
        <v>4456</v>
      </c>
      <c r="AN1568" s="122">
        <v>1220</v>
      </c>
      <c r="AO1568">
        <v>452</v>
      </c>
      <c r="AP1568">
        <v>0</v>
      </c>
      <c r="AQ1568">
        <v>0</v>
      </c>
      <c r="AR1568" s="122">
        <v>3595</v>
      </c>
      <c r="AS1568" s="122">
        <v>1332</v>
      </c>
      <c r="AT1568">
        <v>0</v>
      </c>
      <c r="AU1568">
        <v>0</v>
      </c>
      <c r="AV1568" s="122">
        <v>11588</v>
      </c>
    </row>
    <row r="1569" spans="2:48" hidden="1">
      <c r="B1569" t="s">
        <v>374</v>
      </c>
      <c r="C1569" t="s">
        <v>62</v>
      </c>
      <c r="D1569" t="s">
        <v>556</v>
      </c>
      <c r="E1569" t="s">
        <v>137</v>
      </c>
      <c r="F1569" s="122">
        <v>7</v>
      </c>
      <c r="G1569" s="122">
        <v>521</v>
      </c>
      <c r="H1569" s="122">
        <v>2834</v>
      </c>
      <c r="I1569" s="122">
        <v>138667</v>
      </c>
      <c r="J1569" s="122">
        <v>115556</v>
      </c>
      <c r="K1569" s="122">
        <v>56</v>
      </c>
      <c r="L1569" s="122">
        <v>16416</v>
      </c>
      <c r="M1569" s="122">
        <v>6080</v>
      </c>
      <c r="N1569" s="122">
        <v>12343</v>
      </c>
      <c r="O1569" s="122">
        <v>4572</v>
      </c>
      <c r="P1569" s="122">
        <v>1755</v>
      </c>
      <c r="Q1569" s="122">
        <v>650</v>
      </c>
      <c r="R1569" s="122">
        <v>60199</v>
      </c>
      <c r="S1569" s="122">
        <v>22296</v>
      </c>
      <c r="T1569" s="122">
        <v>0</v>
      </c>
      <c r="U1569" s="122">
        <v>0</v>
      </c>
      <c r="V1569" s="122">
        <v>149153</v>
      </c>
      <c r="W1569" s="122">
        <f t="shared" si="48"/>
        <v>149154</v>
      </c>
      <c r="X1569" s="122">
        <f t="shared" si="49"/>
        <v>229380</v>
      </c>
      <c r="AA1569" t="s">
        <v>62</v>
      </c>
      <c r="AB1569" t="s">
        <v>137</v>
      </c>
      <c r="AC1569" t="s">
        <v>579</v>
      </c>
      <c r="AD1569" t="s">
        <v>137</v>
      </c>
      <c r="AE1569" t="s">
        <v>137</v>
      </c>
      <c r="AF1569">
        <v>22</v>
      </c>
      <c r="AG1569" s="122">
        <v>2113</v>
      </c>
      <c r="AH1569" s="122">
        <v>9093</v>
      </c>
      <c r="AI1569" s="122">
        <v>569923</v>
      </c>
      <c r="AJ1569" s="122">
        <v>211083</v>
      </c>
      <c r="AK1569">
        <v>103</v>
      </c>
      <c r="AL1569" s="122">
        <v>100678</v>
      </c>
      <c r="AM1569" s="122">
        <v>83899</v>
      </c>
      <c r="AN1569" s="122">
        <v>42949</v>
      </c>
      <c r="AO1569" s="122">
        <v>15907</v>
      </c>
      <c r="AP1569" s="122">
        <v>1053</v>
      </c>
      <c r="AQ1569">
        <v>390</v>
      </c>
      <c r="AR1569" s="122">
        <v>159764</v>
      </c>
      <c r="AS1569" s="122">
        <v>59172</v>
      </c>
      <c r="AT1569" s="122">
        <v>7819</v>
      </c>
      <c r="AU1569" s="122">
        <v>2896</v>
      </c>
      <c r="AV1569" s="122">
        <v>373346</v>
      </c>
    </row>
    <row r="1570" spans="2:48" hidden="1">
      <c r="B1570" t="s">
        <v>374</v>
      </c>
      <c r="C1570" t="s">
        <v>62</v>
      </c>
      <c r="D1570" t="s">
        <v>556</v>
      </c>
      <c r="E1570" t="s">
        <v>556</v>
      </c>
      <c r="F1570" s="122">
        <v>28</v>
      </c>
      <c r="G1570" s="122">
        <v>2340</v>
      </c>
      <c r="H1570" s="122">
        <v>11462</v>
      </c>
      <c r="I1570" s="122">
        <v>616463</v>
      </c>
      <c r="J1570" s="122">
        <v>513719</v>
      </c>
      <c r="K1570" s="122">
        <v>56</v>
      </c>
      <c r="L1570" s="122">
        <v>71915</v>
      </c>
      <c r="M1570" s="122">
        <v>50842</v>
      </c>
      <c r="N1570" s="122">
        <v>49814</v>
      </c>
      <c r="O1570" s="122">
        <v>18450</v>
      </c>
      <c r="P1570" s="122">
        <v>10638</v>
      </c>
      <c r="Q1570" s="122">
        <v>3940</v>
      </c>
      <c r="R1570" s="122">
        <v>156448</v>
      </c>
      <c r="S1570" s="122">
        <v>130374</v>
      </c>
      <c r="T1570" s="122">
        <v>59130</v>
      </c>
      <c r="U1570" s="122">
        <v>21900</v>
      </c>
      <c r="V1570" s="122">
        <v>739225</v>
      </c>
      <c r="W1570" s="122">
        <f t="shared" si="48"/>
        <v>739225</v>
      </c>
      <c r="X1570" s="122">
        <f t="shared" si="49"/>
        <v>964408</v>
      </c>
      <c r="AA1570" t="s">
        <v>62</v>
      </c>
      <c r="AB1570" t="s">
        <v>137</v>
      </c>
      <c r="AC1570" t="s">
        <v>579</v>
      </c>
      <c r="AD1570" t="s">
        <v>137</v>
      </c>
      <c r="AE1570" t="s">
        <v>566</v>
      </c>
      <c r="AF1570">
        <v>259</v>
      </c>
      <c r="AG1570" s="122">
        <v>20905</v>
      </c>
      <c r="AH1570" s="122">
        <v>107554</v>
      </c>
      <c r="AI1570" s="122">
        <v>5414319</v>
      </c>
      <c r="AJ1570" s="122">
        <v>2005303</v>
      </c>
      <c r="AK1570">
        <v>100</v>
      </c>
      <c r="AL1570" s="122">
        <v>1031287</v>
      </c>
      <c r="AM1570" s="122">
        <v>859406</v>
      </c>
      <c r="AN1570" s="122">
        <v>430960</v>
      </c>
      <c r="AO1570" s="122">
        <v>159615</v>
      </c>
      <c r="AP1570" s="122">
        <v>5402</v>
      </c>
      <c r="AQ1570" s="122">
        <v>2001</v>
      </c>
      <c r="AR1570" s="122">
        <v>1843938</v>
      </c>
      <c r="AS1570" s="122">
        <v>682940</v>
      </c>
      <c r="AT1570">
        <v>0</v>
      </c>
      <c r="AU1570">
        <v>0</v>
      </c>
      <c r="AV1570" s="122">
        <v>3709264</v>
      </c>
    </row>
    <row r="1571" spans="2:48" hidden="1">
      <c r="B1571" t="s">
        <v>374</v>
      </c>
      <c r="C1571" t="s">
        <v>62</v>
      </c>
      <c r="D1571" t="s">
        <v>431</v>
      </c>
      <c r="E1571" t="s">
        <v>431</v>
      </c>
      <c r="F1571" s="122">
        <v>1</v>
      </c>
      <c r="G1571" s="122">
        <v>71</v>
      </c>
      <c r="H1571" s="122">
        <v>437</v>
      </c>
      <c r="I1571" s="122">
        <v>16962</v>
      </c>
      <c r="J1571" s="122">
        <v>15420</v>
      </c>
      <c r="K1571" s="122">
        <v>45</v>
      </c>
      <c r="L1571" s="122">
        <v>2827</v>
      </c>
      <c r="M1571" s="122">
        <v>2570</v>
      </c>
      <c r="N1571" s="122">
        <v>1724</v>
      </c>
      <c r="O1571" s="122">
        <v>639</v>
      </c>
      <c r="P1571" s="122">
        <v>351</v>
      </c>
      <c r="Q1571" s="122">
        <v>130</v>
      </c>
      <c r="R1571" s="122">
        <v>6567</v>
      </c>
      <c r="S1571" s="122">
        <v>5970</v>
      </c>
      <c r="T1571" s="122">
        <v>2486</v>
      </c>
      <c r="U1571" s="122">
        <v>921</v>
      </c>
      <c r="V1571" s="122">
        <v>25650</v>
      </c>
      <c r="W1571" s="122">
        <f t="shared" si="48"/>
        <v>25650</v>
      </c>
      <c r="X1571" s="122">
        <f t="shared" si="49"/>
        <v>30917</v>
      </c>
      <c r="AA1571" t="s">
        <v>62</v>
      </c>
      <c r="AB1571" t="s">
        <v>137</v>
      </c>
      <c r="AC1571" t="s">
        <v>579</v>
      </c>
      <c r="AD1571" t="s">
        <v>406</v>
      </c>
      <c r="AE1571" t="s">
        <v>137</v>
      </c>
      <c r="AF1571">
        <v>1</v>
      </c>
      <c r="AG1571">
        <v>129</v>
      </c>
      <c r="AH1571">
        <v>405</v>
      </c>
      <c r="AI1571" s="122">
        <v>34254</v>
      </c>
      <c r="AJ1571" s="122">
        <v>12687</v>
      </c>
      <c r="AK1571">
        <v>100</v>
      </c>
      <c r="AL1571" s="122">
        <v>8955</v>
      </c>
      <c r="AM1571" s="122">
        <v>7463</v>
      </c>
      <c r="AN1571" s="122">
        <v>2042</v>
      </c>
      <c r="AO1571">
        <v>756</v>
      </c>
      <c r="AP1571">
        <v>351</v>
      </c>
      <c r="AQ1571">
        <v>130</v>
      </c>
      <c r="AR1571" s="122">
        <v>6566</v>
      </c>
      <c r="AS1571" s="122">
        <v>5969</v>
      </c>
      <c r="AT1571">
        <v>0</v>
      </c>
      <c r="AU1571">
        <v>0</v>
      </c>
      <c r="AV1571" s="122">
        <v>27005</v>
      </c>
    </row>
    <row r="1572" spans="2:48" hidden="1">
      <c r="B1572" t="s">
        <v>374</v>
      </c>
      <c r="C1572" t="s">
        <v>62</v>
      </c>
      <c r="D1572" t="s">
        <v>426</v>
      </c>
      <c r="E1572" t="s">
        <v>137</v>
      </c>
      <c r="F1572" s="122">
        <v>6</v>
      </c>
      <c r="G1572" s="122">
        <v>434</v>
      </c>
      <c r="H1572" s="122">
        <v>2476</v>
      </c>
      <c r="I1572" s="122">
        <v>102948</v>
      </c>
      <c r="J1572" s="122">
        <v>93589</v>
      </c>
      <c r="K1572" s="122">
        <v>46</v>
      </c>
      <c r="L1572" s="122">
        <v>11660</v>
      </c>
      <c r="M1572" s="122">
        <v>9821</v>
      </c>
      <c r="N1572" s="122">
        <v>8417</v>
      </c>
      <c r="O1572" s="122">
        <v>3117</v>
      </c>
      <c r="P1572" s="122">
        <v>1053</v>
      </c>
      <c r="Q1572" s="122">
        <v>390</v>
      </c>
      <c r="R1572" s="122">
        <v>50747</v>
      </c>
      <c r="S1572" s="122">
        <v>18795</v>
      </c>
      <c r="T1572" s="122">
        <v>3092</v>
      </c>
      <c r="U1572" s="122">
        <v>1145</v>
      </c>
      <c r="V1572" s="122">
        <v>126858</v>
      </c>
      <c r="W1572" s="122">
        <f t="shared" si="48"/>
        <v>126857</v>
      </c>
      <c r="X1572" s="122">
        <f t="shared" si="49"/>
        <v>177917</v>
      </c>
      <c r="AA1572" t="s">
        <v>62</v>
      </c>
      <c r="AB1572" t="s">
        <v>137</v>
      </c>
      <c r="AC1572" t="s">
        <v>579</v>
      </c>
      <c r="AD1572" t="s">
        <v>407</v>
      </c>
      <c r="AE1572" t="s">
        <v>566</v>
      </c>
      <c r="AF1572">
        <v>1</v>
      </c>
      <c r="AG1572">
        <v>78</v>
      </c>
      <c r="AH1572">
        <v>422</v>
      </c>
      <c r="AI1572" s="122">
        <v>20302</v>
      </c>
      <c r="AJ1572" s="122">
        <v>7519</v>
      </c>
      <c r="AK1572">
        <v>100</v>
      </c>
      <c r="AL1572" s="122">
        <v>7519</v>
      </c>
      <c r="AM1572" s="122">
        <v>6266</v>
      </c>
      <c r="AN1572" s="122">
        <v>1901</v>
      </c>
      <c r="AO1572">
        <v>704</v>
      </c>
      <c r="AP1572">
        <v>0</v>
      </c>
      <c r="AQ1572">
        <v>0</v>
      </c>
      <c r="AR1572" s="122">
        <v>3217</v>
      </c>
      <c r="AS1572" s="122">
        <v>2925</v>
      </c>
      <c r="AT1572">
        <v>0</v>
      </c>
      <c r="AU1572">
        <v>0</v>
      </c>
      <c r="AV1572" s="122">
        <v>17414</v>
      </c>
    </row>
    <row r="1573" spans="2:48" hidden="1">
      <c r="B1573" t="s">
        <v>374</v>
      </c>
      <c r="C1573" t="s">
        <v>62</v>
      </c>
      <c r="D1573" t="s">
        <v>426</v>
      </c>
      <c r="E1573" t="s">
        <v>426</v>
      </c>
      <c r="F1573" s="122">
        <v>159</v>
      </c>
      <c r="G1573" s="122">
        <v>11214</v>
      </c>
      <c r="H1573" s="122">
        <v>65458</v>
      </c>
      <c r="I1573" s="122">
        <v>2733317</v>
      </c>
      <c r="J1573" s="122">
        <v>2484833</v>
      </c>
      <c r="K1573" s="122">
        <v>51</v>
      </c>
      <c r="L1573" s="122">
        <v>399993</v>
      </c>
      <c r="M1573" s="122">
        <v>326788</v>
      </c>
      <c r="N1573" s="122">
        <v>217990</v>
      </c>
      <c r="O1573" s="122">
        <v>80737</v>
      </c>
      <c r="P1573" s="122">
        <v>56067</v>
      </c>
      <c r="Q1573" s="122">
        <v>20766</v>
      </c>
      <c r="R1573" s="122">
        <v>902470</v>
      </c>
      <c r="S1573" s="122">
        <v>820427</v>
      </c>
      <c r="T1573" s="122">
        <v>304823</v>
      </c>
      <c r="U1573" s="122">
        <v>112898</v>
      </c>
      <c r="V1573" s="122">
        <v>3846449</v>
      </c>
      <c r="W1573" s="122">
        <f t="shared" si="48"/>
        <v>3846449</v>
      </c>
      <c r="X1573" s="122">
        <f t="shared" si="49"/>
        <v>4614660</v>
      </c>
      <c r="AA1573" t="s">
        <v>62</v>
      </c>
      <c r="AB1573" t="s">
        <v>137</v>
      </c>
      <c r="AC1573" t="s">
        <v>579</v>
      </c>
      <c r="AD1573" t="s">
        <v>579</v>
      </c>
      <c r="AE1573" t="s">
        <v>137</v>
      </c>
      <c r="AF1573">
        <v>25</v>
      </c>
      <c r="AG1573" s="122">
        <v>2147</v>
      </c>
      <c r="AH1573" s="122">
        <v>10299</v>
      </c>
      <c r="AI1573" s="122">
        <v>557968</v>
      </c>
      <c r="AJ1573" s="122">
        <v>206655</v>
      </c>
      <c r="AK1573">
        <v>100</v>
      </c>
      <c r="AL1573" s="122">
        <v>74995</v>
      </c>
      <c r="AM1573" s="122">
        <v>62496</v>
      </c>
      <c r="AN1573" s="122">
        <v>46054</v>
      </c>
      <c r="AO1573" s="122">
        <v>17057</v>
      </c>
      <c r="AP1573" s="122">
        <v>3159</v>
      </c>
      <c r="AQ1573" s="122">
        <v>1170</v>
      </c>
      <c r="AR1573" s="122">
        <v>148785</v>
      </c>
      <c r="AS1573" s="122">
        <v>123987</v>
      </c>
      <c r="AT1573" s="122">
        <v>54648</v>
      </c>
      <c r="AU1573" s="122">
        <v>20240</v>
      </c>
      <c r="AV1573" s="122">
        <v>431605</v>
      </c>
    </row>
    <row r="1574" spans="2:48" hidden="1">
      <c r="B1574" t="s">
        <v>374</v>
      </c>
      <c r="C1574" t="s">
        <v>62</v>
      </c>
      <c r="D1574" t="s">
        <v>433</v>
      </c>
      <c r="E1574" t="s">
        <v>433</v>
      </c>
      <c r="F1574" s="122">
        <v>1</v>
      </c>
      <c r="G1574" s="122">
        <v>68</v>
      </c>
      <c r="H1574" s="122">
        <v>442</v>
      </c>
      <c r="I1574" s="122">
        <v>17759</v>
      </c>
      <c r="J1574" s="122">
        <v>16144</v>
      </c>
      <c r="K1574" s="122">
        <v>45</v>
      </c>
      <c r="L1574" s="122">
        <v>1776</v>
      </c>
      <c r="M1574" s="122">
        <v>1614</v>
      </c>
      <c r="N1574" s="122">
        <v>1588</v>
      </c>
      <c r="O1574" s="122">
        <v>588</v>
      </c>
      <c r="P1574" s="122">
        <v>351</v>
      </c>
      <c r="Q1574" s="122">
        <v>130</v>
      </c>
      <c r="R1574" s="122">
        <v>6340</v>
      </c>
      <c r="S1574" s="122">
        <v>5764</v>
      </c>
      <c r="T1574" s="122">
        <v>2362</v>
      </c>
      <c r="U1574" s="122">
        <v>875</v>
      </c>
      <c r="V1574" s="122">
        <v>25116</v>
      </c>
      <c r="W1574" s="122">
        <f t="shared" si="48"/>
        <v>25115</v>
      </c>
      <c r="X1574" s="122">
        <f t="shared" si="49"/>
        <v>30176</v>
      </c>
      <c r="AA1574" t="s">
        <v>62</v>
      </c>
      <c r="AB1574" t="s">
        <v>137</v>
      </c>
      <c r="AC1574" t="s">
        <v>579</v>
      </c>
      <c r="AD1574" t="s">
        <v>579</v>
      </c>
      <c r="AE1574" t="s">
        <v>566</v>
      </c>
      <c r="AF1574">
        <v>1</v>
      </c>
      <c r="AG1574">
        <v>115</v>
      </c>
      <c r="AH1574">
        <v>427</v>
      </c>
      <c r="AI1574" s="122">
        <v>34510</v>
      </c>
      <c r="AJ1574" s="122">
        <v>12781</v>
      </c>
      <c r="AK1574">
        <v>100</v>
      </c>
      <c r="AL1574" s="122">
        <v>2840</v>
      </c>
      <c r="AM1574" s="122">
        <v>2367</v>
      </c>
      <c r="AN1574" s="122">
        <v>2455</v>
      </c>
      <c r="AO1574">
        <v>909</v>
      </c>
      <c r="AP1574">
        <v>0</v>
      </c>
      <c r="AQ1574">
        <v>0</v>
      </c>
      <c r="AR1574" s="122">
        <v>9381</v>
      </c>
      <c r="AS1574" s="122">
        <v>7818</v>
      </c>
      <c r="AT1574">
        <v>0</v>
      </c>
      <c r="AU1574">
        <v>0</v>
      </c>
      <c r="AV1574" s="122">
        <v>23875</v>
      </c>
    </row>
    <row r="1575" spans="2:48" hidden="1">
      <c r="B1575" t="s">
        <v>374</v>
      </c>
      <c r="C1575" t="s">
        <v>64</v>
      </c>
      <c r="F1575" s="122">
        <v>1</v>
      </c>
      <c r="G1575" s="122">
        <v>39</v>
      </c>
      <c r="H1575" s="122">
        <v>600</v>
      </c>
      <c r="I1575" s="122"/>
      <c r="J1575" s="122">
        <v>0</v>
      </c>
      <c r="K1575" s="122"/>
      <c r="L1575" s="122"/>
      <c r="M1575" s="122">
        <v>0</v>
      </c>
      <c r="N1575" s="122">
        <v>704</v>
      </c>
      <c r="O1575" s="122">
        <v>261</v>
      </c>
      <c r="P1575" s="122">
        <v>972</v>
      </c>
      <c r="Q1575" s="122">
        <v>360</v>
      </c>
      <c r="R1575" s="122"/>
      <c r="S1575" s="122">
        <v>0</v>
      </c>
      <c r="T1575" s="122">
        <v>0</v>
      </c>
      <c r="U1575" s="122">
        <v>0</v>
      </c>
      <c r="V1575" s="122">
        <v>621</v>
      </c>
      <c r="W1575" s="122">
        <f t="shared" si="48"/>
        <v>621</v>
      </c>
      <c r="X1575" s="122">
        <f t="shared" si="49"/>
        <v>1676</v>
      </c>
      <c r="AA1575" t="s">
        <v>62</v>
      </c>
      <c r="AB1575" t="s">
        <v>137</v>
      </c>
      <c r="AC1575" t="s">
        <v>428</v>
      </c>
      <c r="AD1575" t="s">
        <v>137</v>
      </c>
      <c r="AE1575" t="s">
        <v>566</v>
      </c>
      <c r="AF1575">
        <v>24</v>
      </c>
      <c r="AG1575" s="122">
        <v>1483</v>
      </c>
      <c r="AH1575" s="122">
        <v>10105</v>
      </c>
      <c r="AI1575" s="122">
        <v>358009</v>
      </c>
      <c r="AJ1575" s="122">
        <v>132596</v>
      </c>
      <c r="AK1575">
        <v>100</v>
      </c>
      <c r="AL1575" s="122">
        <v>43483</v>
      </c>
      <c r="AM1575" s="122">
        <v>39530</v>
      </c>
      <c r="AN1575" s="122">
        <v>26407</v>
      </c>
      <c r="AO1575" s="122">
        <v>9780</v>
      </c>
      <c r="AP1575">
        <v>0</v>
      </c>
      <c r="AQ1575">
        <v>0</v>
      </c>
      <c r="AR1575" s="122">
        <v>192163</v>
      </c>
      <c r="AS1575" s="122">
        <v>71172</v>
      </c>
      <c r="AT1575">
        <v>0</v>
      </c>
      <c r="AU1575">
        <v>0</v>
      </c>
      <c r="AV1575" s="122">
        <v>253078</v>
      </c>
    </row>
    <row r="1576" spans="2:48" hidden="1">
      <c r="B1576" t="s">
        <v>374</v>
      </c>
      <c r="C1576" t="s">
        <v>64</v>
      </c>
      <c r="D1576" t="s">
        <v>425</v>
      </c>
      <c r="E1576" t="s">
        <v>137</v>
      </c>
      <c r="F1576" s="122">
        <v>1</v>
      </c>
      <c r="G1576" s="122">
        <v>71</v>
      </c>
      <c r="H1576" s="122">
        <v>502</v>
      </c>
      <c r="I1576" s="122">
        <v>24102</v>
      </c>
      <c r="J1576" s="122">
        <v>21911</v>
      </c>
      <c r="K1576" s="122">
        <v>50</v>
      </c>
      <c r="L1576" s="122">
        <v>4463</v>
      </c>
      <c r="M1576" s="122">
        <v>4058</v>
      </c>
      <c r="N1576" s="122">
        <v>1723</v>
      </c>
      <c r="O1576" s="122">
        <v>638</v>
      </c>
      <c r="P1576" s="122">
        <v>351</v>
      </c>
      <c r="Q1576" s="122">
        <v>130</v>
      </c>
      <c r="R1576" s="122">
        <v>4831</v>
      </c>
      <c r="S1576" s="122">
        <v>1789</v>
      </c>
      <c r="T1576" s="122">
        <v>0</v>
      </c>
      <c r="U1576" s="122">
        <v>0</v>
      </c>
      <c r="V1576" s="122">
        <v>28526</v>
      </c>
      <c r="W1576" s="122">
        <f t="shared" si="48"/>
        <v>28526</v>
      </c>
      <c r="X1576" s="122">
        <f t="shared" si="49"/>
        <v>35470</v>
      </c>
      <c r="AA1576" t="s">
        <v>62</v>
      </c>
      <c r="AB1576" t="s">
        <v>137</v>
      </c>
      <c r="AC1576" t="s">
        <v>431</v>
      </c>
      <c r="AD1576" t="s">
        <v>137</v>
      </c>
      <c r="AE1576" t="s">
        <v>137</v>
      </c>
      <c r="AF1576">
        <v>1</v>
      </c>
      <c r="AG1576">
        <v>86</v>
      </c>
      <c r="AH1576">
        <v>407</v>
      </c>
      <c r="AI1576" s="122">
        <v>17968</v>
      </c>
      <c r="AJ1576" s="122">
        <v>6655</v>
      </c>
      <c r="AK1576">
        <v>100</v>
      </c>
      <c r="AL1576" s="122">
        <v>2153</v>
      </c>
      <c r="AM1576" s="122">
        <v>1957</v>
      </c>
      <c r="AN1576" s="122">
        <v>1998</v>
      </c>
      <c r="AO1576">
        <v>740</v>
      </c>
      <c r="AP1576">
        <v>0</v>
      </c>
      <c r="AQ1576">
        <v>0</v>
      </c>
      <c r="AR1576" s="122">
        <v>12794</v>
      </c>
      <c r="AS1576" s="122">
        <v>4739</v>
      </c>
      <c r="AT1576">
        <v>0</v>
      </c>
      <c r="AU1576">
        <v>0</v>
      </c>
      <c r="AV1576" s="122">
        <v>14091</v>
      </c>
    </row>
    <row r="1577" spans="2:48" hidden="1">
      <c r="B1577" t="s">
        <v>374</v>
      </c>
      <c r="C1577" t="s">
        <v>64</v>
      </c>
      <c r="D1577" t="s">
        <v>405</v>
      </c>
      <c r="E1577" t="s">
        <v>405</v>
      </c>
      <c r="F1577" s="122">
        <v>1</v>
      </c>
      <c r="G1577" s="122">
        <v>157</v>
      </c>
      <c r="H1577" s="122">
        <v>458</v>
      </c>
      <c r="I1577" s="122">
        <v>52103</v>
      </c>
      <c r="J1577" s="122">
        <v>47367</v>
      </c>
      <c r="K1577" s="122">
        <v>55</v>
      </c>
      <c r="L1577" s="122">
        <v>6044</v>
      </c>
      <c r="M1577" s="122">
        <v>5495</v>
      </c>
      <c r="N1577" s="122">
        <v>3778</v>
      </c>
      <c r="O1577" s="122">
        <v>1399</v>
      </c>
      <c r="P1577" s="122">
        <v>473</v>
      </c>
      <c r="Q1577" s="122">
        <v>175</v>
      </c>
      <c r="R1577" s="122">
        <v>6629</v>
      </c>
      <c r="S1577" s="122">
        <v>6026</v>
      </c>
      <c r="T1577" s="122">
        <v>3100</v>
      </c>
      <c r="U1577" s="122">
        <v>1148</v>
      </c>
      <c r="V1577" s="122">
        <v>61610</v>
      </c>
      <c r="W1577" s="122">
        <f t="shared" si="48"/>
        <v>61610</v>
      </c>
      <c r="X1577" s="122">
        <f t="shared" si="49"/>
        <v>72127</v>
      </c>
      <c r="AA1577" t="s">
        <v>62</v>
      </c>
      <c r="AB1577" t="s">
        <v>137</v>
      </c>
      <c r="AC1577" t="s">
        <v>431</v>
      </c>
      <c r="AD1577" t="s">
        <v>137</v>
      </c>
      <c r="AE1577" t="s">
        <v>566</v>
      </c>
      <c r="AF1577">
        <v>3</v>
      </c>
      <c r="AG1577">
        <v>238</v>
      </c>
      <c r="AH1577" s="122">
        <v>1205</v>
      </c>
      <c r="AI1577" s="122">
        <v>59407</v>
      </c>
      <c r="AJ1577" s="122">
        <v>22002</v>
      </c>
      <c r="AK1577">
        <v>100</v>
      </c>
      <c r="AL1577" s="122">
        <v>7322</v>
      </c>
      <c r="AM1577" s="122">
        <v>6656</v>
      </c>
      <c r="AN1577" s="122">
        <v>5574</v>
      </c>
      <c r="AO1577" s="122">
        <v>2064</v>
      </c>
      <c r="AP1577">
        <v>254</v>
      </c>
      <c r="AQ1577">
        <v>94</v>
      </c>
      <c r="AR1577" s="122">
        <v>23713</v>
      </c>
      <c r="AS1577" s="122">
        <v>8783</v>
      </c>
      <c r="AT1577">
        <v>0</v>
      </c>
      <c r="AU1577">
        <v>0</v>
      </c>
      <c r="AV1577" s="122">
        <v>39600</v>
      </c>
    </row>
    <row r="1578" spans="2:48" hidden="1">
      <c r="B1578" t="s">
        <v>374</v>
      </c>
      <c r="C1578" t="s">
        <v>64</v>
      </c>
      <c r="D1578" t="s">
        <v>405</v>
      </c>
      <c r="E1578" t="s">
        <v>137</v>
      </c>
      <c r="F1578" s="122">
        <v>2</v>
      </c>
      <c r="G1578" s="122">
        <v>88</v>
      </c>
      <c r="H1578" s="122">
        <v>1357</v>
      </c>
      <c r="I1578" s="122">
        <v>44401</v>
      </c>
      <c r="J1578" s="122">
        <v>40364</v>
      </c>
      <c r="K1578" s="122">
        <v>50</v>
      </c>
      <c r="L1578" s="122">
        <v>6055</v>
      </c>
      <c r="M1578" s="122">
        <v>2242</v>
      </c>
      <c r="N1578" s="122">
        <v>2155</v>
      </c>
      <c r="O1578" s="122">
        <v>798</v>
      </c>
      <c r="P1578" s="122">
        <v>0</v>
      </c>
      <c r="Q1578" s="122">
        <v>0</v>
      </c>
      <c r="R1578" s="122">
        <v>7482</v>
      </c>
      <c r="S1578" s="122">
        <v>2771</v>
      </c>
      <c r="T1578" s="122">
        <v>0</v>
      </c>
      <c r="U1578" s="122">
        <v>0</v>
      </c>
      <c r="V1578" s="122">
        <v>46176</v>
      </c>
      <c r="W1578" s="122">
        <f t="shared" si="48"/>
        <v>46175</v>
      </c>
      <c r="X1578" s="122">
        <f t="shared" si="49"/>
        <v>60093</v>
      </c>
      <c r="AA1578" t="s">
        <v>62</v>
      </c>
      <c r="AB1578" t="s">
        <v>137</v>
      </c>
      <c r="AC1578" t="s">
        <v>431</v>
      </c>
      <c r="AD1578" t="s">
        <v>431</v>
      </c>
      <c r="AE1578" t="s">
        <v>137</v>
      </c>
      <c r="AF1578">
        <v>3</v>
      </c>
      <c r="AG1578">
        <v>298</v>
      </c>
      <c r="AH1578" s="122">
        <v>1241</v>
      </c>
      <c r="AI1578" s="122">
        <v>74201</v>
      </c>
      <c r="AJ1578" s="122">
        <v>27482</v>
      </c>
      <c r="AK1578">
        <v>100</v>
      </c>
      <c r="AL1578" s="122">
        <v>17156</v>
      </c>
      <c r="AM1578" s="122">
        <v>15596</v>
      </c>
      <c r="AN1578" s="122">
        <v>6367</v>
      </c>
      <c r="AO1578" s="122">
        <v>2358</v>
      </c>
      <c r="AP1578">
        <v>0</v>
      </c>
      <c r="AQ1578">
        <v>0</v>
      </c>
      <c r="AR1578" s="122">
        <v>18101</v>
      </c>
      <c r="AS1578" s="122">
        <v>16456</v>
      </c>
      <c r="AT1578" s="122">
        <v>6587</v>
      </c>
      <c r="AU1578" s="122">
        <v>2439</v>
      </c>
      <c r="AV1578" s="122">
        <v>64331</v>
      </c>
    </row>
    <row r="1579" spans="2:48" hidden="1">
      <c r="B1579" t="s">
        <v>374</v>
      </c>
      <c r="C1579" t="s">
        <v>64</v>
      </c>
      <c r="D1579" t="s">
        <v>137</v>
      </c>
      <c r="E1579" t="s">
        <v>137</v>
      </c>
      <c r="F1579" s="122">
        <v>229</v>
      </c>
      <c r="G1579" s="122">
        <v>18403</v>
      </c>
      <c r="H1579" s="122">
        <v>143235</v>
      </c>
      <c r="I1579" s="122">
        <v>8172428</v>
      </c>
      <c r="J1579" s="122">
        <v>3026825</v>
      </c>
      <c r="K1579" s="122">
        <v>100</v>
      </c>
      <c r="L1579" s="122">
        <v>1291454</v>
      </c>
      <c r="M1579" s="122">
        <v>1050941</v>
      </c>
      <c r="N1579" s="122">
        <v>416839</v>
      </c>
      <c r="O1579" s="122">
        <v>154385</v>
      </c>
      <c r="P1579" s="122">
        <v>11853</v>
      </c>
      <c r="Q1579" s="122">
        <v>4390</v>
      </c>
      <c r="R1579" s="122">
        <v>1562235</v>
      </c>
      <c r="S1579" s="122">
        <v>578605</v>
      </c>
      <c r="T1579" s="122">
        <v>8962</v>
      </c>
      <c r="U1579" s="122">
        <v>3319</v>
      </c>
      <c r="V1579" s="122">
        <v>4818466</v>
      </c>
      <c r="W1579" s="122">
        <f t="shared" ref="W1579:W1642" si="50">SUM(ABS(J1579),ABS(M1579),ABS(O1579),ABS(Q1579),ABS(S1579),ABS(U1579))</f>
        <v>4818465</v>
      </c>
      <c r="X1579" s="122">
        <f t="shared" ref="X1579:X1642" si="51">SUM(ABS(I1579),ABS(N1579),ABS(P1579),ABS(R1579),ABS(T1579),ABS(L1579))</f>
        <v>11463771</v>
      </c>
      <c r="AA1579" t="s">
        <v>62</v>
      </c>
      <c r="AB1579" t="s">
        <v>137</v>
      </c>
      <c r="AC1579" t="s">
        <v>431</v>
      </c>
      <c r="AD1579" t="s">
        <v>431</v>
      </c>
      <c r="AE1579" t="s">
        <v>566</v>
      </c>
      <c r="AF1579">
        <v>1</v>
      </c>
      <c r="AG1579">
        <v>85</v>
      </c>
      <c r="AH1579">
        <v>395</v>
      </c>
      <c r="AI1579" s="122">
        <v>19785</v>
      </c>
      <c r="AJ1579" s="122">
        <v>7328</v>
      </c>
      <c r="AK1579">
        <v>100</v>
      </c>
      <c r="AL1579" s="122">
        <v>2985</v>
      </c>
      <c r="AM1579" s="122">
        <v>2714</v>
      </c>
      <c r="AN1579" s="122">
        <v>1653</v>
      </c>
      <c r="AO1579">
        <v>612</v>
      </c>
      <c r="AP1579">
        <v>0</v>
      </c>
      <c r="AQ1579">
        <v>0</v>
      </c>
      <c r="AR1579" s="122">
        <v>9101</v>
      </c>
      <c r="AS1579" s="122">
        <v>8273</v>
      </c>
      <c r="AT1579">
        <v>0</v>
      </c>
      <c r="AU1579">
        <v>0</v>
      </c>
      <c r="AV1579" s="122">
        <v>18927</v>
      </c>
    </row>
    <row r="1580" spans="2:48" hidden="1">
      <c r="B1580" t="s">
        <v>374</v>
      </c>
      <c r="C1580" t="s">
        <v>64</v>
      </c>
      <c r="D1580" t="s">
        <v>137</v>
      </c>
      <c r="E1580" t="s">
        <v>406</v>
      </c>
      <c r="F1580" s="122">
        <v>4</v>
      </c>
      <c r="G1580" s="122">
        <v>956</v>
      </c>
      <c r="H1580" s="122">
        <v>2673</v>
      </c>
      <c r="I1580" s="122">
        <v>456324</v>
      </c>
      <c r="J1580" s="122">
        <v>169009</v>
      </c>
      <c r="K1580" s="122">
        <v>100</v>
      </c>
      <c r="L1580" s="122">
        <v>39151</v>
      </c>
      <c r="M1580" s="122">
        <v>35592</v>
      </c>
      <c r="N1580" s="122">
        <v>21868</v>
      </c>
      <c r="O1580" s="122">
        <v>8099</v>
      </c>
      <c r="P1580" s="122">
        <v>1512</v>
      </c>
      <c r="Q1580" s="122">
        <v>560</v>
      </c>
      <c r="R1580" s="122">
        <v>25381</v>
      </c>
      <c r="S1580" s="122">
        <v>23074</v>
      </c>
      <c r="T1580" s="122">
        <v>10365</v>
      </c>
      <c r="U1580" s="122">
        <v>3839</v>
      </c>
      <c r="V1580" s="122">
        <v>240173</v>
      </c>
      <c r="W1580" s="122">
        <f t="shared" si="50"/>
        <v>240173</v>
      </c>
      <c r="X1580" s="122">
        <f t="shared" si="51"/>
        <v>554601</v>
      </c>
      <c r="AA1580" t="s">
        <v>62</v>
      </c>
      <c r="AB1580" t="s">
        <v>137</v>
      </c>
      <c r="AC1580" t="s">
        <v>426</v>
      </c>
      <c r="AD1580" t="s">
        <v>137</v>
      </c>
      <c r="AE1580" t="s">
        <v>137</v>
      </c>
      <c r="AF1580">
        <v>34</v>
      </c>
      <c r="AG1580" s="122">
        <v>2985</v>
      </c>
      <c r="AH1580" s="122">
        <v>13971</v>
      </c>
      <c r="AI1580" s="122">
        <v>752755</v>
      </c>
      <c r="AJ1580" s="122">
        <v>278798</v>
      </c>
      <c r="AK1580">
        <v>100</v>
      </c>
      <c r="AL1580" s="122">
        <v>126997</v>
      </c>
      <c r="AM1580" s="122">
        <v>115452</v>
      </c>
      <c r="AN1580" s="122">
        <v>63437</v>
      </c>
      <c r="AO1580" s="122">
        <v>23495</v>
      </c>
      <c r="AP1580" s="122">
        <v>1959</v>
      </c>
      <c r="AQ1580">
        <v>725</v>
      </c>
      <c r="AR1580" s="122">
        <v>260446</v>
      </c>
      <c r="AS1580" s="122">
        <v>96462</v>
      </c>
      <c r="AT1580" s="122">
        <v>10600</v>
      </c>
      <c r="AU1580" s="122">
        <v>3926</v>
      </c>
      <c r="AV1580" s="122">
        <v>518858</v>
      </c>
    </row>
    <row r="1581" spans="2:48" hidden="1">
      <c r="B1581" t="s">
        <v>374</v>
      </c>
      <c r="C1581" t="s">
        <v>64</v>
      </c>
      <c r="D1581" t="s">
        <v>137</v>
      </c>
      <c r="E1581" t="s">
        <v>556</v>
      </c>
      <c r="F1581" s="122">
        <v>6</v>
      </c>
      <c r="G1581" s="122">
        <v>423</v>
      </c>
      <c r="H1581" s="122">
        <v>3756</v>
      </c>
      <c r="I1581" s="122">
        <v>162898</v>
      </c>
      <c r="J1581" s="122">
        <v>60333</v>
      </c>
      <c r="K1581" s="122">
        <v>100</v>
      </c>
      <c r="L1581" s="122">
        <v>30356</v>
      </c>
      <c r="M1581" s="122">
        <v>25296</v>
      </c>
      <c r="N1581" s="122">
        <v>9452</v>
      </c>
      <c r="O1581" s="122">
        <v>3501</v>
      </c>
      <c r="P1581" s="122">
        <v>0</v>
      </c>
      <c r="Q1581" s="122">
        <v>0</v>
      </c>
      <c r="R1581" s="122">
        <v>40668</v>
      </c>
      <c r="S1581" s="122">
        <v>33890</v>
      </c>
      <c r="T1581" s="122">
        <v>12452</v>
      </c>
      <c r="U1581" s="122">
        <v>4612</v>
      </c>
      <c r="V1581" s="122">
        <v>127632</v>
      </c>
      <c r="W1581" s="122">
        <f t="shared" si="50"/>
        <v>127632</v>
      </c>
      <c r="X1581" s="122">
        <f t="shared" si="51"/>
        <v>255826</v>
      </c>
      <c r="AA1581" t="s">
        <v>62</v>
      </c>
      <c r="AB1581" t="s">
        <v>137</v>
      </c>
      <c r="AC1581" t="s">
        <v>426</v>
      </c>
      <c r="AD1581" t="s">
        <v>137</v>
      </c>
      <c r="AE1581" t="s">
        <v>566</v>
      </c>
      <c r="AF1581">
        <v>714</v>
      </c>
      <c r="AG1581" s="122">
        <v>54885</v>
      </c>
      <c r="AH1581" s="122">
        <v>295180</v>
      </c>
      <c r="AI1581" s="122">
        <v>14351798</v>
      </c>
      <c r="AJ1581" s="122">
        <v>5315481</v>
      </c>
      <c r="AK1581">
        <v>100</v>
      </c>
      <c r="AL1581" s="122">
        <v>2438448</v>
      </c>
      <c r="AM1581" s="122">
        <v>2216771</v>
      </c>
      <c r="AN1581" s="122">
        <v>1185363</v>
      </c>
      <c r="AO1581" s="122">
        <v>439023</v>
      </c>
      <c r="AP1581" s="122">
        <v>20587</v>
      </c>
      <c r="AQ1581" s="122">
        <v>7625</v>
      </c>
      <c r="AR1581" s="122">
        <v>4953261</v>
      </c>
      <c r="AS1581" s="122">
        <v>1834541</v>
      </c>
      <c r="AT1581">
        <v>0</v>
      </c>
      <c r="AU1581">
        <v>0</v>
      </c>
      <c r="AV1581" s="122">
        <v>9813441</v>
      </c>
    </row>
    <row r="1582" spans="2:48" hidden="1">
      <c r="B1582" t="s">
        <v>374</v>
      </c>
      <c r="C1582" t="s">
        <v>64</v>
      </c>
      <c r="D1582" t="s">
        <v>137</v>
      </c>
      <c r="E1582" t="s">
        <v>426</v>
      </c>
      <c r="F1582" s="122">
        <v>7</v>
      </c>
      <c r="G1582" s="122">
        <v>585</v>
      </c>
      <c r="H1582" s="122">
        <v>4840</v>
      </c>
      <c r="I1582" s="122">
        <v>297005</v>
      </c>
      <c r="J1582" s="122">
        <v>110002</v>
      </c>
      <c r="K1582" s="122">
        <v>100</v>
      </c>
      <c r="L1582" s="122">
        <v>34456</v>
      </c>
      <c r="M1582" s="122">
        <v>29832</v>
      </c>
      <c r="N1582" s="122">
        <v>13886</v>
      </c>
      <c r="O1582" s="122">
        <v>5143</v>
      </c>
      <c r="P1582" s="122">
        <v>702</v>
      </c>
      <c r="Q1582" s="122">
        <v>260</v>
      </c>
      <c r="R1582" s="122">
        <v>44231</v>
      </c>
      <c r="S1582" s="122">
        <v>40210</v>
      </c>
      <c r="T1582" s="122">
        <v>9455</v>
      </c>
      <c r="U1582" s="122">
        <v>3502</v>
      </c>
      <c r="V1582" s="122">
        <v>188948</v>
      </c>
      <c r="W1582" s="122">
        <f t="shared" si="50"/>
        <v>188949</v>
      </c>
      <c r="X1582" s="122">
        <f t="shared" si="51"/>
        <v>399735</v>
      </c>
      <c r="AA1582" t="s">
        <v>62</v>
      </c>
      <c r="AB1582" t="s">
        <v>137</v>
      </c>
      <c r="AC1582" t="s">
        <v>426</v>
      </c>
      <c r="AD1582" t="s">
        <v>406</v>
      </c>
      <c r="AE1582" t="s">
        <v>566</v>
      </c>
      <c r="AF1582">
        <v>1</v>
      </c>
      <c r="AG1582">
        <v>138</v>
      </c>
      <c r="AH1582">
        <v>449</v>
      </c>
      <c r="AI1582" s="122">
        <v>41180</v>
      </c>
      <c r="AJ1582" s="122">
        <v>15252</v>
      </c>
      <c r="AK1582">
        <v>100</v>
      </c>
      <c r="AL1582" s="122">
        <v>9869</v>
      </c>
      <c r="AM1582" s="122">
        <v>8972</v>
      </c>
      <c r="AN1582" s="122">
        <v>2875</v>
      </c>
      <c r="AO1582" s="122">
        <v>1065</v>
      </c>
      <c r="AP1582">
        <v>270</v>
      </c>
      <c r="AQ1582">
        <v>100</v>
      </c>
      <c r="AR1582" s="122">
        <v>7792</v>
      </c>
      <c r="AS1582" s="122">
        <v>7084</v>
      </c>
      <c r="AT1582">
        <v>0</v>
      </c>
      <c r="AU1582">
        <v>0</v>
      </c>
      <c r="AV1582" s="122">
        <v>32472</v>
      </c>
    </row>
    <row r="1583" spans="2:48" hidden="1">
      <c r="B1583" t="s">
        <v>374</v>
      </c>
      <c r="C1583" t="s">
        <v>64</v>
      </c>
      <c r="D1583" t="s">
        <v>406</v>
      </c>
      <c r="E1583" t="s">
        <v>137</v>
      </c>
      <c r="F1583" s="122">
        <v>8</v>
      </c>
      <c r="G1583" s="122">
        <v>687</v>
      </c>
      <c r="H1583" s="122">
        <v>5385</v>
      </c>
      <c r="I1583" s="122">
        <v>320025</v>
      </c>
      <c r="J1583" s="122">
        <v>290932</v>
      </c>
      <c r="K1583" s="122">
        <v>64</v>
      </c>
      <c r="L1583" s="122">
        <v>58883</v>
      </c>
      <c r="M1583" s="122">
        <v>39729</v>
      </c>
      <c r="N1583" s="122">
        <v>15653</v>
      </c>
      <c r="O1583" s="122">
        <v>5797</v>
      </c>
      <c r="P1583" s="122">
        <v>3726</v>
      </c>
      <c r="Q1583" s="122">
        <v>1380</v>
      </c>
      <c r="R1583" s="122">
        <v>68265</v>
      </c>
      <c r="S1583" s="122">
        <v>25283</v>
      </c>
      <c r="T1583" s="122">
        <v>0</v>
      </c>
      <c r="U1583" s="122">
        <v>0</v>
      </c>
      <c r="V1583" s="122">
        <v>363122</v>
      </c>
      <c r="W1583" s="122">
        <f t="shared" si="50"/>
        <v>363121</v>
      </c>
      <c r="X1583" s="122">
        <f t="shared" si="51"/>
        <v>466552</v>
      </c>
      <c r="AA1583" t="s">
        <v>62</v>
      </c>
      <c r="AB1583" t="s">
        <v>137</v>
      </c>
      <c r="AC1583" t="s">
        <v>426</v>
      </c>
      <c r="AD1583" t="s">
        <v>431</v>
      </c>
      <c r="AE1583" t="s">
        <v>137</v>
      </c>
      <c r="AF1583">
        <v>1</v>
      </c>
      <c r="AG1583">
        <v>111</v>
      </c>
      <c r="AH1583">
        <v>441</v>
      </c>
      <c r="AI1583" s="122">
        <v>34290</v>
      </c>
      <c r="AJ1583" s="122">
        <v>12700</v>
      </c>
      <c r="AK1583">
        <v>100</v>
      </c>
      <c r="AL1583" s="122">
        <v>5054</v>
      </c>
      <c r="AM1583" s="122">
        <v>4595</v>
      </c>
      <c r="AN1583" s="122">
        <v>2314</v>
      </c>
      <c r="AO1583">
        <v>857</v>
      </c>
      <c r="AP1583">
        <v>351</v>
      </c>
      <c r="AQ1583">
        <v>130</v>
      </c>
      <c r="AR1583" s="122">
        <v>4373</v>
      </c>
      <c r="AS1583" s="122">
        <v>3976</v>
      </c>
      <c r="AT1583" s="122">
        <v>2566</v>
      </c>
      <c r="AU1583">
        <v>950</v>
      </c>
      <c r="AV1583" s="122">
        <v>23208</v>
      </c>
    </row>
    <row r="1584" spans="2:48" hidden="1">
      <c r="B1584" t="s">
        <v>374</v>
      </c>
      <c r="C1584" t="s">
        <v>64</v>
      </c>
      <c r="D1584" t="s">
        <v>406</v>
      </c>
      <c r="E1584" t="s">
        <v>406</v>
      </c>
      <c r="F1584" s="122">
        <v>173</v>
      </c>
      <c r="G1584" s="122">
        <v>16631</v>
      </c>
      <c r="H1584" s="122">
        <v>91312</v>
      </c>
      <c r="I1584" s="122">
        <v>5775502</v>
      </c>
      <c r="J1584" s="122">
        <v>5250456</v>
      </c>
      <c r="K1584" s="122">
        <v>70</v>
      </c>
      <c r="L1584" s="122">
        <v>1271785</v>
      </c>
      <c r="M1584" s="122">
        <v>1091247</v>
      </c>
      <c r="N1584" s="122">
        <v>369565</v>
      </c>
      <c r="O1584" s="122">
        <v>136876</v>
      </c>
      <c r="P1584" s="122">
        <v>108999</v>
      </c>
      <c r="Q1584" s="122">
        <v>40370</v>
      </c>
      <c r="R1584" s="122">
        <v>871068</v>
      </c>
      <c r="S1584" s="122">
        <v>791880</v>
      </c>
      <c r="T1584" s="122">
        <v>344432</v>
      </c>
      <c r="U1584" s="122">
        <v>127567</v>
      </c>
      <c r="V1584" s="122">
        <v>7438397</v>
      </c>
      <c r="W1584" s="122">
        <f t="shared" si="50"/>
        <v>7438396</v>
      </c>
      <c r="X1584" s="122">
        <f t="shared" si="51"/>
        <v>8741351</v>
      </c>
      <c r="AA1584" t="s">
        <v>62</v>
      </c>
      <c r="AB1584" t="s">
        <v>137</v>
      </c>
      <c r="AC1584" t="s">
        <v>426</v>
      </c>
      <c r="AD1584" t="s">
        <v>426</v>
      </c>
      <c r="AE1584" t="s">
        <v>137</v>
      </c>
      <c r="AF1584">
        <v>93</v>
      </c>
      <c r="AG1584" s="122">
        <v>6336</v>
      </c>
      <c r="AH1584" s="122">
        <v>38347</v>
      </c>
      <c r="AI1584" s="122">
        <v>1578845</v>
      </c>
      <c r="AJ1584" s="122">
        <v>584757</v>
      </c>
      <c r="AK1584">
        <v>100</v>
      </c>
      <c r="AL1584" s="122">
        <v>190791</v>
      </c>
      <c r="AM1584" s="122">
        <v>173446</v>
      </c>
      <c r="AN1584" s="122">
        <v>127468</v>
      </c>
      <c r="AO1584" s="122">
        <v>47210</v>
      </c>
      <c r="AP1584" s="122">
        <v>11705</v>
      </c>
      <c r="AQ1584" s="122">
        <v>4335</v>
      </c>
      <c r="AR1584" s="122">
        <v>506545</v>
      </c>
      <c r="AS1584" s="122">
        <v>460495</v>
      </c>
      <c r="AT1584" s="122">
        <v>204066</v>
      </c>
      <c r="AU1584" s="122">
        <v>75580</v>
      </c>
      <c r="AV1584" s="122">
        <v>1345824</v>
      </c>
    </row>
    <row r="1585" spans="2:48" hidden="1">
      <c r="B1585" t="s">
        <v>374</v>
      </c>
      <c r="C1585" t="s">
        <v>64</v>
      </c>
      <c r="D1585" t="s">
        <v>406</v>
      </c>
      <c r="E1585" t="s">
        <v>407</v>
      </c>
      <c r="F1585" s="122">
        <v>1</v>
      </c>
      <c r="G1585" s="122">
        <v>97</v>
      </c>
      <c r="H1585" s="122">
        <v>487</v>
      </c>
      <c r="I1585" s="122">
        <v>29123</v>
      </c>
      <c r="J1585" s="122">
        <v>26476</v>
      </c>
      <c r="K1585" s="122">
        <v>65</v>
      </c>
      <c r="L1585" s="122">
        <v>7272</v>
      </c>
      <c r="M1585" s="122">
        <v>6060</v>
      </c>
      <c r="N1585" s="122">
        <v>2361</v>
      </c>
      <c r="O1585" s="122">
        <v>875</v>
      </c>
      <c r="P1585" s="122">
        <v>621</v>
      </c>
      <c r="Q1585" s="122">
        <v>230</v>
      </c>
      <c r="R1585" s="122">
        <v>7839</v>
      </c>
      <c r="S1585" s="122">
        <v>7126</v>
      </c>
      <c r="T1585" s="122">
        <v>0</v>
      </c>
      <c r="U1585" s="122">
        <v>0</v>
      </c>
      <c r="V1585" s="122">
        <v>40766</v>
      </c>
      <c r="W1585" s="122">
        <f t="shared" si="50"/>
        <v>40767</v>
      </c>
      <c r="X1585" s="122">
        <f t="shared" si="51"/>
        <v>47216</v>
      </c>
      <c r="AA1585" t="s">
        <v>62</v>
      </c>
      <c r="AB1585" t="s">
        <v>137</v>
      </c>
      <c r="AC1585" t="s">
        <v>426</v>
      </c>
      <c r="AD1585" t="s">
        <v>426</v>
      </c>
      <c r="AE1585" t="s">
        <v>566</v>
      </c>
      <c r="AF1585">
        <v>9</v>
      </c>
      <c r="AG1585">
        <v>639</v>
      </c>
      <c r="AH1585" s="122">
        <v>3736</v>
      </c>
      <c r="AI1585" s="122">
        <v>176303</v>
      </c>
      <c r="AJ1585" s="122">
        <v>65297</v>
      </c>
      <c r="AK1585">
        <v>100</v>
      </c>
      <c r="AL1585" s="122">
        <v>16044</v>
      </c>
      <c r="AM1585" s="122">
        <v>14585</v>
      </c>
      <c r="AN1585" s="122">
        <v>14566</v>
      </c>
      <c r="AO1585" s="122">
        <v>5395</v>
      </c>
      <c r="AP1585" s="122">
        <v>1053</v>
      </c>
      <c r="AQ1585">
        <v>390</v>
      </c>
      <c r="AR1585" s="122">
        <v>57781</v>
      </c>
      <c r="AS1585" s="122">
        <v>52528</v>
      </c>
      <c r="AT1585">
        <v>0</v>
      </c>
      <c r="AU1585">
        <v>0</v>
      </c>
      <c r="AV1585" s="122">
        <v>138196</v>
      </c>
    </row>
    <row r="1586" spans="2:48" hidden="1">
      <c r="B1586" t="s">
        <v>374</v>
      </c>
      <c r="C1586" t="s">
        <v>64</v>
      </c>
      <c r="D1586" t="s">
        <v>427</v>
      </c>
      <c r="E1586" t="s">
        <v>137</v>
      </c>
      <c r="F1586" s="122">
        <v>6</v>
      </c>
      <c r="G1586" s="122">
        <v>435</v>
      </c>
      <c r="H1586" s="122">
        <v>3941</v>
      </c>
      <c r="I1586" s="122">
        <v>211054</v>
      </c>
      <c r="J1586" s="122">
        <v>191867</v>
      </c>
      <c r="K1586" s="122">
        <v>45</v>
      </c>
      <c r="L1586" s="122">
        <v>15674</v>
      </c>
      <c r="M1586" s="122">
        <v>12951</v>
      </c>
      <c r="N1586" s="122">
        <v>9246</v>
      </c>
      <c r="O1586" s="122">
        <v>3424</v>
      </c>
      <c r="P1586" s="122">
        <v>702</v>
      </c>
      <c r="Q1586" s="122">
        <v>260</v>
      </c>
      <c r="R1586" s="122">
        <v>76074</v>
      </c>
      <c r="S1586" s="122">
        <v>28176</v>
      </c>
      <c r="T1586" s="122">
        <v>0</v>
      </c>
      <c r="U1586" s="122">
        <v>0</v>
      </c>
      <c r="V1586" s="122">
        <v>236678</v>
      </c>
      <c r="W1586" s="122">
        <f t="shared" si="50"/>
        <v>236678</v>
      </c>
      <c r="X1586" s="122">
        <f t="shared" si="51"/>
        <v>312750</v>
      </c>
      <c r="AA1586" t="s">
        <v>62</v>
      </c>
      <c r="AB1586" t="s">
        <v>137</v>
      </c>
      <c r="AC1586" t="s">
        <v>566</v>
      </c>
      <c r="AD1586" t="s">
        <v>137</v>
      </c>
      <c r="AE1586" t="s">
        <v>137</v>
      </c>
      <c r="AF1586">
        <v>11</v>
      </c>
      <c r="AG1586">
        <v>920</v>
      </c>
      <c r="AH1586" s="122">
        <v>4554</v>
      </c>
      <c r="AI1586" s="122">
        <v>287935</v>
      </c>
      <c r="AJ1586" s="122">
        <v>106642</v>
      </c>
      <c r="AK1586">
        <v>100</v>
      </c>
      <c r="AL1586">
        <v>0</v>
      </c>
      <c r="AM1586" s="122">
        <v>1941</v>
      </c>
      <c r="AN1586" s="122">
        <v>20180</v>
      </c>
      <c r="AO1586" s="122">
        <v>7474</v>
      </c>
      <c r="AP1586">
        <v>0</v>
      </c>
      <c r="AQ1586">
        <v>0</v>
      </c>
      <c r="AR1586" s="122">
        <v>71561</v>
      </c>
      <c r="AS1586" s="122">
        <v>26504</v>
      </c>
      <c r="AT1586" s="122">
        <v>4465</v>
      </c>
      <c r="AU1586" s="122">
        <v>1654</v>
      </c>
      <c r="AV1586" s="122">
        <v>144216</v>
      </c>
    </row>
    <row r="1587" spans="2:48" hidden="1">
      <c r="B1587" t="s">
        <v>374</v>
      </c>
      <c r="C1587" t="s">
        <v>64</v>
      </c>
      <c r="D1587" t="s">
        <v>427</v>
      </c>
      <c r="E1587" t="s">
        <v>406</v>
      </c>
      <c r="F1587" s="122">
        <v>1</v>
      </c>
      <c r="G1587" s="122">
        <v>75</v>
      </c>
      <c r="H1587" s="122">
        <v>543</v>
      </c>
      <c r="I1587" s="122">
        <v>22752</v>
      </c>
      <c r="J1587" s="122">
        <v>20684</v>
      </c>
      <c r="K1587" s="122">
        <v>55</v>
      </c>
      <c r="L1587" s="122">
        <v>3413</v>
      </c>
      <c r="M1587" s="122">
        <v>1264</v>
      </c>
      <c r="N1587" s="122">
        <v>1471</v>
      </c>
      <c r="O1587" s="122">
        <v>545</v>
      </c>
      <c r="P1587" s="122">
        <v>351</v>
      </c>
      <c r="Q1587" s="122">
        <v>130</v>
      </c>
      <c r="R1587" s="122">
        <v>8131</v>
      </c>
      <c r="S1587" s="122">
        <v>7392</v>
      </c>
      <c r="T1587" s="122">
        <v>4320</v>
      </c>
      <c r="U1587" s="122">
        <v>1600</v>
      </c>
      <c r="V1587" s="122">
        <v>31614</v>
      </c>
      <c r="W1587" s="122">
        <f t="shared" si="50"/>
        <v>31615</v>
      </c>
      <c r="X1587" s="122">
        <f t="shared" si="51"/>
        <v>40438</v>
      </c>
      <c r="AA1587" t="s">
        <v>62</v>
      </c>
      <c r="AB1587" t="s">
        <v>137</v>
      </c>
      <c r="AC1587" t="s">
        <v>566</v>
      </c>
      <c r="AD1587" t="s">
        <v>137</v>
      </c>
      <c r="AE1587" t="s">
        <v>566</v>
      </c>
      <c r="AF1587">
        <v>177</v>
      </c>
      <c r="AG1587" s="122">
        <v>13746</v>
      </c>
      <c r="AH1587" s="122">
        <v>73560</v>
      </c>
      <c r="AI1587" s="122">
        <v>4406871</v>
      </c>
      <c r="AJ1587" s="122">
        <v>1632174</v>
      </c>
      <c r="AK1587">
        <v>100</v>
      </c>
      <c r="AL1587">
        <v>0</v>
      </c>
      <c r="AM1587" s="122">
        <v>37383</v>
      </c>
      <c r="AN1587" s="122">
        <v>305279</v>
      </c>
      <c r="AO1587" s="122">
        <v>113066</v>
      </c>
      <c r="AP1587" s="122">
        <v>2457</v>
      </c>
      <c r="AQ1587">
        <v>910</v>
      </c>
      <c r="AR1587" s="122">
        <v>1107520</v>
      </c>
      <c r="AS1587" s="122">
        <v>410193</v>
      </c>
      <c r="AT1587">
        <v>0</v>
      </c>
      <c r="AU1587">
        <v>0</v>
      </c>
      <c r="AV1587" s="122">
        <v>2193726</v>
      </c>
    </row>
    <row r="1588" spans="2:48" hidden="1">
      <c r="B1588" t="s">
        <v>374</v>
      </c>
      <c r="C1588" t="s">
        <v>64</v>
      </c>
      <c r="D1588" t="s">
        <v>427</v>
      </c>
      <c r="E1588" t="s">
        <v>427</v>
      </c>
      <c r="F1588" s="122">
        <v>24</v>
      </c>
      <c r="G1588" s="122">
        <v>1939</v>
      </c>
      <c r="H1588" s="122">
        <v>14628</v>
      </c>
      <c r="I1588" s="122">
        <v>850238</v>
      </c>
      <c r="J1588" s="122">
        <v>772944</v>
      </c>
      <c r="K1588" s="122">
        <v>53</v>
      </c>
      <c r="L1588" s="122">
        <v>108841</v>
      </c>
      <c r="M1588" s="122">
        <v>192588</v>
      </c>
      <c r="N1588" s="122">
        <v>45428</v>
      </c>
      <c r="O1588" s="122">
        <v>16825</v>
      </c>
      <c r="P1588" s="122">
        <v>8073</v>
      </c>
      <c r="Q1588" s="122">
        <v>2990</v>
      </c>
      <c r="R1588" s="122">
        <v>156878</v>
      </c>
      <c r="S1588" s="122">
        <v>142616</v>
      </c>
      <c r="T1588" s="122">
        <v>53260</v>
      </c>
      <c r="U1588" s="122">
        <v>19726</v>
      </c>
      <c r="V1588" s="122">
        <v>1147690</v>
      </c>
      <c r="W1588" s="122">
        <f t="shared" si="50"/>
        <v>1147689</v>
      </c>
      <c r="X1588" s="122">
        <f t="shared" si="51"/>
        <v>1222718</v>
      </c>
      <c r="AA1588" t="s">
        <v>62</v>
      </c>
      <c r="AB1588" t="s">
        <v>137</v>
      </c>
      <c r="AC1588" t="s">
        <v>566</v>
      </c>
      <c r="AD1588" t="s">
        <v>406</v>
      </c>
      <c r="AE1588" t="s">
        <v>137</v>
      </c>
      <c r="AF1588">
        <v>1</v>
      </c>
      <c r="AG1588">
        <v>37</v>
      </c>
      <c r="AH1588">
        <v>423</v>
      </c>
      <c r="AI1588" s="122">
        <v>13412</v>
      </c>
      <c r="AJ1588" s="122">
        <v>4967</v>
      </c>
      <c r="AK1588">
        <v>100</v>
      </c>
      <c r="AL1588">
        <v>0</v>
      </c>
      <c r="AM1588">
        <v>0</v>
      </c>
      <c r="AN1588">
        <v>453</v>
      </c>
      <c r="AO1588">
        <v>168</v>
      </c>
      <c r="AP1588">
        <v>0</v>
      </c>
      <c r="AQ1588">
        <v>0</v>
      </c>
      <c r="AR1588" s="122">
        <v>2220</v>
      </c>
      <c r="AS1588" s="122">
        <v>2018</v>
      </c>
      <c r="AT1588">
        <v>-382</v>
      </c>
      <c r="AU1588">
        <v>-141</v>
      </c>
      <c r="AV1588" s="122">
        <v>7012</v>
      </c>
    </row>
    <row r="1589" spans="2:48" hidden="1">
      <c r="B1589" t="s">
        <v>374</v>
      </c>
      <c r="C1589" t="s">
        <v>64</v>
      </c>
      <c r="D1589" t="s">
        <v>407</v>
      </c>
      <c r="E1589" t="s">
        <v>137</v>
      </c>
      <c r="F1589" s="122">
        <v>10</v>
      </c>
      <c r="G1589" s="122">
        <v>732</v>
      </c>
      <c r="H1589" s="122">
        <v>5621</v>
      </c>
      <c r="I1589" s="122">
        <v>262523</v>
      </c>
      <c r="J1589" s="122">
        <v>238657</v>
      </c>
      <c r="K1589" s="122">
        <v>65</v>
      </c>
      <c r="L1589" s="122">
        <v>53403</v>
      </c>
      <c r="M1589" s="122">
        <v>46869</v>
      </c>
      <c r="N1589" s="122">
        <v>16777</v>
      </c>
      <c r="O1589" s="122">
        <v>6214</v>
      </c>
      <c r="P1589" s="122">
        <v>2241</v>
      </c>
      <c r="Q1589" s="122">
        <v>830</v>
      </c>
      <c r="R1589" s="122">
        <v>72285</v>
      </c>
      <c r="S1589" s="122">
        <v>26772</v>
      </c>
      <c r="T1589" s="122">
        <v>0</v>
      </c>
      <c r="U1589" s="122">
        <v>0</v>
      </c>
      <c r="V1589" s="122">
        <v>319342</v>
      </c>
      <c r="W1589" s="122">
        <f t="shared" si="50"/>
        <v>319342</v>
      </c>
      <c r="X1589" s="122">
        <f t="shared" si="51"/>
        <v>407229</v>
      </c>
      <c r="AA1589" t="s">
        <v>62</v>
      </c>
      <c r="AB1589" t="s">
        <v>137</v>
      </c>
      <c r="AC1589" t="s">
        <v>433</v>
      </c>
      <c r="AD1589" t="s">
        <v>137</v>
      </c>
      <c r="AE1589" t="s">
        <v>566</v>
      </c>
      <c r="AF1589">
        <v>15</v>
      </c>
      <c r="AG1589" s="122">
        <v>1101</v>
      </c>
      <c r="AH1589" s="122">
        <v>6167</v>
      </c>
      <c r="AI1589" s="122">
        <v>279424</v>
      </c>
      <c r="AJ1589" s="122">
        <v>103490</v>
      </c>
      <c r="AK1589">
        <v>100</v>
      </c>
      <c r="AL1589" s="122">
        <v>45464</v>
      </c>
      <c r="AM1589" s="122">
        <v>41330</v>
      </c>
      <c r="AN1589" s="122">
        <v>19586</v>
      </c>
      <c r="AO1589" s="122">
        <v>7254</v>
      </c>
      <c r="AP1589">
        <v>702</v>
      </c>
      <c r="AQ1589">
        <v>260</v>
      </c>
      <c r="AR1589" s="122">
        <v>104280</v>
      </c>
      <c r="AS1589" s="122">
        <v>38622</v>
      </c>
      <c r="AT1589">
        <v>0</v>
      </c>
      <c r="AU1589">
        <v>0</v>
      </c>
      <c r="AV1589" s="122">
        <v>190957</v>
      </c>
    </row>
    <row r="1590" spans="2:48">
      <c r="B1590" t="s">
        <v>374</v>
      </c>
      <c r="C1590" t="s">
        <v>64</v>
      </c>
      <c r="D1590" t="s">
        <v>407</v>
      </c>
      <c r="E1590" t="s">
        <v>407</v>
      </c>
      <c r="F1590" s="122">
        <v>165</v>
      </c>
      <c r="G1590" s="122">
        <v>14110</v>
      </c>
      <c r="H1590" s="122">
        <v>93271</v>
      </c>
      <c r="I1590" s="122">
        <v>4688540</v>
      </c>
      <c r="J1590" s="122">
        <v>4262309</v>
      </c>
      <c r="K1590" s="122">
        <v>72</v>
      </c>
      <c r="L1590" s="122">
        <v>1976607</v>
      </c>
      <c r="M1590" s="122">
        <v>1679852</v>
      </c>
      <c r="N1590" s="122">
        <v>309670</v>
      </c>
      <c r="O1590" s="122">
        <v>114693</v>
      </c>
      <c r="P1590" s="122">
        <v>76923</v>
      </c>
      <c r="Q1590" s="122">
        <v>28490</v>
      </c>
      <c r="R1590" s="122">
        <v>783310</v>
      </c>
      <c r="S1590" s="122">
        <v>712100</v>
      </c>
      <c r="T1590" s="122">
        <v>251816</v>
      </c>
      <c r="U1590" s="122">
        <v>93265</v>
      </c>
      <c r="V1590" s="122">
        <v>6890709</v>
      </c>
      <c r="W1590" s="122">
        <f t="shared" si="50"/>
        <v>6890709</v>
      </c>
      <c r="X1590" s="122">
        <f t="shared" si="51"/>
        <v>8086866</v>
      </c>
      <c r="AA1590" t="s">
        <v>62</v>
      </c>
      <c r="AB1590" t="s">
        <v>406</v>
      </c>
      <c r="AC1590" t="s">
        <v>578</v>
      </c>
      <c r="AD1590" t="s">
        <v>137</v>
      </c>
      <c r="AE1590" t="s">
        <v>566</v>
      </c>
      <c r="AF1590">
        <v>1</v>
      </c>
      <c r="AG1590">
        <v>64</v>
      </c>
      <c r="AH1590">
        <v>384</v>
      </c>
      <c r="AI1590" s="122">
        <v>14459</v>
      </c>
      <c r="AJ1590" s="122">
        <v>13144</v>
      </c>
      <c r="AK1590">
        <v>85</v>
      </c>
      <c r="AL1590" s="122">
        <v>4322</v>
      </c>
      <c r="AM1590" s="122">
        <v>3929</v>
      </c>
      <c r="AN1590" s="122">
        <v>1319</v>
      </c>
      <c r="AO1590">
        <v>489</v>
      </c>
      <c r="AP1590">
        <v>621</v>
      </c>
      <c r="AQ1590">
        <v>230</v>
      </c>
      <c r="AR1590" s="122">
        <v>3869</v>
      </c>
      <c r="AS1590" s="122">
        <v>1433</v>
      </c>
      <c r="AT1590">
        <v>0</v>
      </c>
      <c r="AU1590">
        <v>0</v>
      </c>
      <c r="AV1590" s="122">
        <v>19224</v>
      </c>
    </row>
    <row r="1591" spans="2:48">
      <c r="B1591" t="s">
        <v>374</v>
      </c>
      <c r="C1591" t="s">
        <v>64</v>
      </c>
      <c r="D1591" t="s">
        <v>556</v>
      </c>
      <c r="E1591" t="s">
        <v>137</v>
      </c>
      <c r="F1591" s="122">
        <v>33</v>
      </c>
      <c r="G1591" s="122">
        <v>2540</v>
      </c>
      <c r="H1591" s="122">
        <v>29280</v>
      </c>
      <c r="I1591" s="122">
        <v>1826568</v>
      </c>
      <c r="J1591" s="122">
        <v>1522140</v>
      </c>
      <c r="K1591" s="122">
        <v>36</v>
      </c>
      <c r="L1591" s="122">
        <v>135624</v>
      </c>
      <c r="M1591" s="122">
        <v>69905</v>
      </c>
      <c r="N1591" s="122">
        <v>58558</v>
      </c>
      <c r="O1591" s="122">
        <v>21688</v>
      </c>
      <c r="P1591" s="122">
        <v>1755</v>
      </c>
      <c r="Q1591" s="122">
        <v>650</v>
      </c>
      <c r="R1591" s="122">
        <v>280478</v>
      </c>
      <c r="S1591" s="122">
        <v>103881</v>
      </c>
      <c r="T1591" s="122">
        <v>0</v>
      </c>
      <c r="U1591" s="122">
        <v>0</v>
      </c>
      <c r="V1591" s="122">
        <v>1718263</v>
      </c>
      <c r="W1591" s="122">
        <f t="shared" si="50"/>
        <v>1718264</v>
      </c>
      <c r="X1591" s="122">
        <f t="shared" si="51"/>
        <v>2302983</v>
      </c>
      <c r="AA1591" t="s">
        <v>62</v>
      </c>
      <c r="AB1591" t="s">
        <v>406</v>
      </c>
      <c r="AC1591" t="s">
        <v>578</v>
      </c>
      <c r="AD1591" t="s">
        <v>406</v>
      </c>
      <c r="AE1591" t="s">
        <v>137</v>
      </c>
      <c r="AF1591">
        <v>6</v>
      </c>
      <c r="AG1591">
        <v>541</v>
      </c>
      <c r="AH1591" s="122">
        <v>2498</v>
      </c>
      <c r="AI1591" s="122">
        <v>153795</v>
      </c>
      <c r="AJ1591" s="122">
        <v>139814</v>
      </c>
      <c r="AK1591">
        <v>71</v>
      </c>
      <c r="AL1591" s="122">
        <v>23377</v>
      </c>
      <c r="AM1591" s="122">
        <v>21252</v>
      </c>
      <c r="AN1591" s="122">
        <v>11667</v>
      </c>
      <c r="AO1591" s="122">
        <v>4321</v>
      </c>
      <c r="AP1591" s="122">
        <v>3726</v>
      </c>
      <c r="AQ1591" s="122">
        <v>1380</v>
      </c>
      <c r="AR1591" s="122">
        <v>26326</v>
      </c>
      <c r="AS1591" s="122">
        <v>23933</v>
      </c>
      <c r="AT1591" s="122">
        <v>14613</v>
      </c>
      <c r="AU1591" s="122">
        <v>5412</v>
      </c>
      <c r="AV1591" s="122">
        <v>196112</v>
      </c>
    </row>
    <row r="1592" spans="2:48">
      <c r="B1592" t="s">
        <v>374</v>
      </c>
      <c r="C1592" t="s">
        <v>64</v>
      </c>
      <c r="D1592" t="s">
        <v>556</v>
      </c>
      <c r="E1592" t="s">
        <v>556</v>
      </c>
      <c r="F1592" s="122">
        <v>75</v>
      </c>
      <c r="G1592" s="122">
        <v>6570</v>
      </c>
      <c r="H1592" s="122">
        <v>46256</v>
      </c>
      <c r="I1592" s="122">
        <v>2996018</v>
      </c>
      <c r="J1592" s="122">
        <v>2496682</v>
      </c>
      <c r="K1592" s="122">
        <v>52</v>
      </c>
      <c r="L1592" s="122">
        <v>357350</v>
      </c>
      <c r="M1592" s="122">
        <v>235811</v>
      </c>
      <c r="N1592" s="122">
        <v>143039</v>
      </c>
      <c r="O1592" s="122">
        <v>52977</v>
      </c>
      <c r="P1592" s="122">
        <v>23004</v>
      </c>
      <c r="Q1592" s="122">
        <v>8520</v>
      </c>
      <c r="R1592" s="122">
        <v>451641</v>
      </c>
      <c r="S1592" s="122">
        <v>376368</v>
      </c>
      <c r="T1592" s="122">
        <v>147064</v>
      </c>
      <c r="U1592" s="122">
        <v>54468</v>
      </c>
      <c r="V1592" s="122">
        <v>3224826</v>
      </c>
      <c r="W1592" s="122">
        <f t="shared" si="50"/>
        <v>3224826</v>
      </c>
      <c r="X1592" s="122">
        <f t="shared" si="51"/>
        <v>4118116</v>
      </c>
      <c r="AA1592" t="s">
        <v>62</v>
      </c>
      <c r="AB1592" t="s">
        <v>406</v>
      </c>
      <c r="AC1592" t="s">
        <v>578</v>
      </c>
      <c r="AD1592" t="s">
        <v>406</v>
      </c>
      <c r="AE1592" t="s">
        <v>566</v>
      </c>
      <c r="AF1592">
        <v>5</v>
      </c>
      <c r="AG1592">
        <v>483</v>
      </c>
      <c r="AH1592" s="122">
        <v>2103</v>
      </c>
      <c r="AI1592" s="122">
        <v>124395</v>
      </c>
      <c r="AJ1592" s="122">
        <v>113086</v>
      </c>
      <c r="AK1592">
        <v>68</v>
      </c>
      <c r="AL1592" s="122">
        <v>27347</v>
      </c>
      <c r="AM1592" s="122">
        <v>24861</v>
      </c>
      <c r="AN1592" s="122">
        <v>11568</v>
      </c>
      <c r="AO1592" s="122">
        <v>4284</v>
      </c>
      <c r="AP1592" s="122">
        <v>3105</v>
      </c>
      <c r="AQ1592" s="122">
        <v>1150</v>
      </c>
      <c r="AR1592" s="122">
        <v>36653</v>
      </c>
      <c r="AS1592" s="122">
        <v>33321</v>
      </c>
      <c r="AT1592">
        <v>0</v>
      </c>
      <c r="AU1592">
        <v>0</v>
      </c>
      <c r="AV1592" s="122">
        <v>176703</v>
      </c>
    </row>
    <row r="1593" spans="2:48" hidden="1">
      <c r="B1593" t="s">
        <v>374</v>
      </c>
      <c r="C1593" t="s">
        <v>64</v>
      </c>
      <c r="D1593" t="s">
        <v>426</v>
      </c>
      <c r="E1593" t="s">
        <v>137</v>
      </c>
      <c r="F1593" s="122">
        <v>39</v>
      </c>
      <c r="G1593" s="122">
        <v>3280</v>
      </c>
      <c r="H1593" s="122">
        <v>32144</v>
      </c>
      <c r="I1593" s="122">
        <v>2193162</v>
      </c>
      <c r="J1593" s="122">
        <v>1993784</v>
      </c>
      <c r="K1593" s="122">
        <v>41</v>
      </c>
      <c r="L1593" s="122">
        <v>219675</v>
      </c>
      <c r="M1593" s="122">
        <v>123838</v>
      </c>
      <c r="N1593" s="122">
        <v>76002</v>
      </c>
      <c r="O1593" s="122">
        <v>28149</v>
      </c>
      <c r="P1593" s="122">
        <v>2457</v>
      </c>
      <c r="Q1593" s="122">
        <v>910</v>
      </c>
      <c r="R1593" s="122">
        <v>277921</v>
      </c>
      <c r="S1593" s="122">
        <v>102934</v>
      </c>
      <c r="T1593" s="122">
        <v>0</v>
      </c>
      <c r="U1593" s="122">
        <v>0</v>
      </c>
      <c r="V1593" s="122">
        <v>2249614</v>
      </c>
      <c r="W1593" s="122">
        <f t="shared" si="50"/>
        <v>2249615</v>
      </c>
      <c r="X1593" s="122">
        <f t="shared" si="51"/>
        <v>2769217</v>
      </c>
      <c r="AA1593" t="s">
        <v>62</v>
      </c>
      <c r="AB1593" t="s">
        <v>406</v>
      </c>
      <c r="AC1593" t="s">
        <v>425</v>
      </c>
      <c r="AD1593" t="s">
        <v>406</v>
      </c>
      <c r="AE1593" t="s">
        <v>137</v>
      </c>
      <c r="AF1593">
        <v>36</v>
      </c>
      <c r="AG1593" s="122">
        <v>3936</v>
      </c>
      <c r="AH1593" s="122">
        <v>14876</v>
      </c>
      <c r="AI1593" s="122">
        <v>1008873</v>
      </c>
      <c r="AJ1593" s="122">
        <v>917157</v>
      </c>
      <c r="AK1593">
        <v>76</v>
      </c>
      <c r="AL1593" s="122">
        <v>287597</v>
      </c>
      <c r="AM1593" s="122">
        <v>261452</v>
      </c>
      <c r="AN1593" s="122">
        <v>86487</v>
      </c>
      <c r="AO1593" s="122">
        <v>32032</v>
      </c>
      <c r="AP1593" s="122">
        <v>22356</v>
      </c>
      <c r="AQ1593" s="122">
        <v>8280</v>
      </c>
      <c r="AR1593" s="122">
        <v>157384</v>
      </c>
      <c r="AS1593" s="122">
        <v>143077</v>
      </c>
      <c r="AT1593" s="122">
        <v>92931</v>
      </c>
      <c r="AU1593" s="122">
        <v>34419</v>
      </c>
      <c r="AV1593" s="122">
        <v>1396417</v>
      </c>
    </row>
    <row r="1594" spans="2:48" hidden="1">
      <c r="B1594" t="s">
        <v>374</v>
      </c>
      <c r="C1594" t="s">
        <v>64</v>
      </c>
      <c r="D1594" t="s">
        <v>426</v>
      </c>
      <c r="E1594" t="s">
        <v>406</v>
      </c>
      <c r="F1594" s="122">
        <v>1</v>
      </c>
      <c r="G1594" s="122">
        <v>147</v>
      </c>
      <c r="H1594" s="122">
        <v>550</v>
      </c>
      <c r="I1594" s="122">
        <v>62618</v>
      </c>
      <c r="J1594" s="122">
        <v>56925</v>
      </c>
      <c r="K1594" s="122">
        <v>55</v>
      </c>
      <c r="L1594" s="122">
        <v>5887</v>
      </c>
      <c r="M1594" s="122">
        <v>5352</v>
      </c>
      <c r="N1594" s="122">
        <v>3169</v>
      </c>
      <c r="O1594" s="122">
        <v>1174</v>
      </c>
      <c r="P1594" s="122">
        <v>621</v>
      </c>
      <c r="Q1594" s="122">
        <v>230</v>
      </c>
      <c r="R1594" s="122">
        <v>8582</v>
      </c>
      <c r="S1594" s="122">
        <v>7802</v>
      </c>
      <c r="T1594" s="122">
        <v>0</v>
      </c>
      <c r="U1594" s="122">
        <v>0</v>
      </c>
      <c r="V1594" s="122">
        <v>71483</v>
      </c>
      <c r="W1594" s="122">
        <f t="shared" si="50"/>
        <v>71483</v>
      </c>
      <c r="X1594" s="122">
        <f t="shared" si="51"/>
        <v>80877</v>
      </c>
      <c r="AA1594" t="s">
        <v>62</v>
      </c>
      <c r="AB1594" t="s">
        <v>406</v>
      </c>
      <c r="AC1594" t="s">
        <v>425</v>
      </c>
      <c r="AD1594" t="s">
        <v>406</v>
      </c>
      <c r="AE1594" t="s">
        <v>566</v>
      </c>
      <c r="AF1594">
        <v>8</v>
      </c>
      <c r="AG1594" s="122">
        <v>1020</v>
      </c>
      <c r="AH1594" s="122">
        <v>3321</v>
      </c>
      <c r="AI1594" s="122">
        <v>244689</v>
      </c>
      <c r="AJ1594" s="122">
        <v>222444</v>
      </c>
      <c r="AK1594">
        <v>79</v>
      </c>
      <c r="AL1594" s="122">
        <v>92468</v>
      </c>
      <c r="AM1594" s="122">
        <v>84062</v>
      </c>
      <c r="AN1594" s="122">
        <v>22924</v>
      </c>
      <c r="AO1594" s="122">
        <v>8490</v>
      </c>
      <c r="AP1594" s="122">
        <v>5670</v>
      </c>
      <c r="AQ1594" s="122">
        <v>2100</v>
      </c>
      <c r="AR1594" s="122">
        <v>52845</v>
      </c>
      <c r="AS1594" s="122">
        <v>48041</v>
      </c>
      <c r="AT1594">
        <v>0</v>
      </c>
      <c r="AU1594">
        <v>0</v>
      </c>
      <c r="AV1594" s="122">
        <v>365137</v>
      </c>
    </row>
    <row r="1595" spans="2:48" hidden="1">
      <c r="B1595" t="s">
        <v>374</v>
      </c>
      <c r="C1595" t="s">
        <v>64</v>
      </c>
      <c r="D1595" t="s">
        <v>426</v>
      </c>
      <c r="E1595" t="s">
        <v>426</v>
      </c>
      <c r="F1595" s="122">
        <v>123</v>
      </c>
      <c r="G1595" s="122">
        <v>8746</v>
      </c>
      <c r="H1595" s="122">
        <v>70964</v>
      </c>
      <c r="I1595" s="122">
        <v>3571141</v>
      </c>
      <c r="J1595" s="122">
        <v>3246492</v>
      </c>
      <c r="K1595" s="122">
        <v>52</v>
      </c>
      <c r="L1595" s="122">
        <v>436296</v>
      </c>
      <c r="M1595" s="122">
        <v>304015</v>
      </c>
      <c r="N1595" s="122">
        <v>181355</v>
      </c>
      <c r="O1595" s="122">
        <v>67168</v>
      </c>
      <c r="P1595" s="122">
        <v>39694</v>
      </c>
      <c r="Q1595" s="122">
        <v>14702</v>
      </c>
      <c r="R1595" s="122">
        <v>673823</v>
      </c>
      <c r="S1595" s="122">
        <v>612566</v>
      </c>
      <c r="T1595" s="122">
        <v>223157</v>
      </c>
      <c r="U1595" s="122">
        <v>82651</v>
      </c>
      <c r="V1595" s="122">
        <v>4327594</v>
      </c>
      <c r="W1595" s="122">
        <f t="shared" si="50"/>
        <v>4327594</v>
      </c>
      <c r="X1595" s="122">
        <f t="shared" si="51"/>
        <v>5125466</v>
      </c>
      <c r="AA1595" t="s">
        <v>62</v>
      </c>
      <c r="AB1595" t="s">
        <v>406</v>
      </c>
      <c r="AC1595" t="s">
        <v>405</v>
      </c>
      <c r="AD1595" t="s">
        <v>406</v>
      </c>
      <c r="AE1595" t="s">
        <v>137</v>
      </c>
      <c r="AF1595">
        <v>2</v>
      </c>
      <c r="AG1595">
        <v>322</v>
      </c>
      <c r="AH1595">
        <v>766</v>
      </c>
      <c r="AI1595" s="122">
        <v>68862</v>
      </c>
      <c r="AJ1595" s="122">
        <v>62602</v>
      </c>
      <c r="AK1595">
        <v>78</v>
      </c>
      <c r="AL1595" s="122">
        <v>30189</v>
      </c>
      <c r="AM1595" s="122">
        <v>27444</v>
      </c>
      <c r="AN1595" s="122">
        <v>7592</v>
      </c>
      <c r="AO1595" s="122">
        <v>2812</v>
      </c>
      <c r="AP1595" s="122">
        <v>1242</v>
      </c>
      <c r="AQ1595">
        <v>460</v>
      </c>
      <c r="AR1595" s="122">
        <v>9035</v>
      </c>
      <c r="AS1595" s="122">
        <v>8214</v>
      </c>
      <c r="AT1595" s="122">
        <v>5939</v>
      </c>
      <c r="AU1595" s="122">
        <v>2200</v>
      </c>
      <c r="AV1595" s="122">
        <v>103731</v>
      </c>
    </row>
    <row r="1596" spans="2:48" hidden="1">
      <c r="B1596" t="s">
        <v>374</v>
      </c>
      <c r="C1596" t="s">
        <v>64</v>
      </c>
      <c r="D1596" t="s">
        <v>433</v>
      </c>
      <c r="E1596" t="s">
        <v>433</v>
      </c>
      <c r="F1596" s="122">
        <v>1</v>
      </c>
      <c r="G1596" s="122">
        <v>63</v>
      </c>
      <c r="H1596" s="122">
        <v>618</v>
      </c>
      <c r="I1596" s="122">
        <v>25056</v>
      </c>
      <c r="J1596" s="122">
        <v>22778</v>
      </c>
      <c r="K1596" s="122">
        <v>45</v>
      </c>
      <c r="L1596" s="122">
        <v>4176</v>
      </c>
      <c r="M1596" s="122">
        <v>3796</v>
      </c>
      <c r="N1596" s="122">
        <v>1538</v>
      </c>
      <c r="O1596" s="122">
        <v>569</v>
      </c>
      <c r="P1596" s="122">
        <v>351</v>
      </c>
      <c r="Q1596" s="122">
        <v>130</v>
      </c>
      <c r="R1596" s="122">
        <v>5798</v>
      </c>
      <c r="S1596" s="122">
        <v>5271</v>
      </c>
      <c r="T1596" s="122">
        <v>2067</v>
      </c>
      <c r="U1596" s="122">
        <v>766</v>
      </c>
      <c r="V1596" s="122">
        <v>33311</v>
      </c>
      <c r="W1596" s="122">
        <f t="shared" si="50"/>
        <v>33310</v>
      </c>
      <c r="X1596" s="122">
        <f t="shared" si="51"/>
        <v>38986</v>
      </c>
      <c r="AA1596" t="s">
        <v>62</v>
      </c>
      <c r="AB1596" t="s">
        <v>406</v>
      </c>
      <c r="AC1596" t="s">
        <v>137</v>
      </c>
      <c r="AD1596" t="s">
        <v>137</v>
      </c>
      <c r="AE1596" t="s">
        <v>137</v>
      </c>
      <c r="AF1596">
        <v>1</v>
      </c>
      <c r="AG1596">
        <v>89</v>
      </c>
      <c r="AH1596">
        <v>431</v>
      </c>
      <c r="AI1596" s="122">
        <v>16079</v>
      </c>
      <c r="AJ1596" s="122">
        <v>14617</v>
      </c>
      <c r="AK1596">
        <v>79</v>
      </c>
      <c r="AL1596" s="122">
        <v>7400</v>
      </c>
      <c r="AM1596" s="122">
        <v>2741</v>
      </c>
      <c r="AN1596" s="122">
        <v>2040</v>
      </c>
      <c r="AO1596">
        <v>755</v>
      </c>
      <c r="AP1596">
        <v>621</v>
      </c>
      <c r="AQ1596">
        <v>230</v>
      </c>
      <c r="AR1596" s="122">
        <v>12082</v>
      </c>
      <c r="AS1596" s="122">
        <v>4475</v>
      </c>
      <c r="AT1596">
        <v>0</v>
      </c>
      <c r="AU1596">
        <v>0</v>
      </c>
      <c r="AV1596" s="122">
        <v>22818</v>
      </c>
    </row>
    <row r="1597" spans="2:48" hidden="1">
      <c r="B1597" t="s">
        <v>375</v>
      </c>
      <c r="C1597" t="s">
        <v>48</v>
      </c>
      <c r="D1597" t="s">
        <v>137</v>
      </c>
      <c r="E1597" t="s">
        <v>137</v>
      </c>
      <c r="F1597" s="122">
        <v>1</v>
      </c>
      <c r="G1597" s="122">
        <v>84</v>
      </c>
      <c r="H1597" s="122">
        <v>75</v>
      </c>
      <c r="I1597" s="122">
        <v>1679</v>
      </c>
      <c r="J1597" s="122">
        <v>622</v>
      </c>
      <c r="K1597" s="122">
        <v>385</v>
      </c>
      <c r="L1597" s="122">
        <v>436</v>
      </c>
      <c r="M1597" s="122">
        <v>397</v>
      </c>
      <c r="N1597" s="122">
        <v>1110</v>
      </c>
      <c r="O1597" s="122">
        <v>411</v>
      </c>
      <c r="P1597" s="122">
        <v>351</v>
      </c>
      <c r="Q1597" s="122">
        <v>130</v>
      </c>
      <c r="R1597" s="122">
        <v>2717</v>
      </c>
      <c r="S1597" s="122">
        <v>1006</v>
      </c>
      <c r="T1597" s="122">
        <v>0</v>
      </c>
      <c r="U1597" s="122">
        <v>0</v>
      </c>
      <c r="V1597" s="122">
        <v>2566</v>
      </c>
      <c r="W1597" s="122">
        <f t="shared" si="50"/>
        <v>2566</v>
      </c>
      <c r="X1597" s="122">
        <f t="shared" si="51"/>
        <v>6293</v>
      </c>
      <c r="AA1597" t="s">
        <v>62</v>
      </c>
      <c r="AB1597" t="s">
        <v>406</v>
      </c>
      <c r="AC1597" t="s">
        <v>137</v>
      </c>
      <c r="AD1597" t="s">
        <v>137</v>
      </c>
      <c r="AE1597" t="s">
        <v>566</v>
      </c>
      <c r="AF1597">
        <v>10</v>
      </c>
      <c r="AG1597">
        <v>939</v>
      </c>
      <c r="AH1597" s="122">
        <v>4089</v>
      </c>
      <c r="AI1597" s="122">
        <v>242150</v>
      </c>
      <c r="AJ1597" s="122">
        <v>220137</v>
      </c>
      <c r="AK1597">
        <v>75</v>
      </c>
      <c r="AL1597" s="122">
        <v>50067</v>
      </c>
      <c r="AM1597" s="122">
        <v>18543</v>
      </c>
      <c r="AN1597" s="122">
        <v>21685</v>
      </c>
      <c r="AO1597" s="122">
        <v>8031</v>
      </c>
      <c r="AP1597" s="122">
        <v>5508</v>
      </c>
      <c r="AQ1597" s="122">
        <v>2040</v>
      </c>
      <c r="AR1597" s="122">
        <v>68408</v>
      </c>
      <c r="AS1597" s="122">
        <v>25336</v>
      </c>
      <c r="AT1597">
        <v>0</v>
      </c>
      <c r="AU1597">
        <v>0</v>
      </c>
      <c r="AV1597" s="122">
        <v>274088</v>
      </c>
    </row>
    <row r="1598" spans="2:48" hidden="1">
      <c r="B1598" t="s">
        <v>375</v>
      </c>
      <c r="C1598" t="s">
        <v>48</v>
      </c>
      <c r="D1598" t="s">
        <v>406</v>
      </c>
      <c r="E1598" t="s">
        <v>406</v>
      </c>
      <c r="F1598" s="122">
        <v>15</v>
      </c>
      <c r="G1598" s="122">
        <v>1476</v>
      </c>
      <c r="H1598" s="122">
        <v>833</v>
      </c>
      <c r="I1598" s="122">
        <v>-8518</v>
      </c>
      <c r="J1598" s="122">
        <v>-7744</v>
      </c>
      <c r="K1598" s="122">
        <v>95</v>
      </c>
      <c r="L1598" s="122">
        <v>0</v>
      </c>
      <c r="M1598" s="122">
        <v>0</v>
      </c>
      <c r="N1598" s="122">
        <v>17984</v>
      </c>
      <c r="O1598" s="122">
        <v>6661</v>
      </c>
      <c r="P1598" s="122">
        <v>7236</v>
      </c>
      <c r="Q1598" s="122">
        <v>2680</v>
      </c>
      <c r="R1598" s="122">
        <v>65234</v>
      </c>
      <c r="S1598" s="122">
        <v>59303</v>
      </c>
      <c r="T1598" s="122">
        <v>0</v>
      </c>
      <c r="U1598" s="122">
        <v>0</v>
      </c>
      <c r="V1598" s="122">
        <v>60900</v>
      </c>
      <c r="W1598" s="122">
        <f t="shared" si="50"/>
        <v>76388</v>
      </c>
      <c r="X1598" s="122">
        <f t="shared" si="51"/>
        <v>98972</v>
      </c>
      <c r="AA1598" t="s">
        <v>62</v>
      </c>
      <c r="AB1598" t="s">
        <v>406</v>
      </c>
      <c r="AC1598" t="s">
        <v>137</v>
      </c>
      <c r="AD1598" t="s">
        <v>406</v>
      </c>
      <c r="AE1598" t="s">
        <v>137</v>
      </c>
      <c r="AF1598">
        <v>264</v>
      </c>
      <c r="AG1598" s="122">
        <v>24969</v>
      </c>
      <c r="AH1598" s="122">
        <v>108953</v>
      </c>
      <c r="AI1598" s="122">
        <v>6503787</v>
      </c>
      <c r="AJ1598" s="122">
        <v>5912534</v>
      </c>
      <c r="AK1598">
        <v>73</v>
      </c>
      <c r="AL1598" s="122">
        <v>1445440</v>
      </c>
      <c r="AM1598" s="122">
        <v>535348</v>
      </c>
      <c r="AN1598" s="122">
        <v>541718</v>
      </c>
      <c r="AO1598" s="122">
        <v>200636</v>
      </c>
      <c r="AP1598" s="122">
        <v>163134</v>
      </c>
      <c r="AQ1598" s="122">
        <v>60420</v>
      </c>
      <c r="AR1598" s="122">
        <v>1180458</v>
      </c>
      <c r="AS1598" s="122">
        <v>1073144</v>
      </c>
      <c r="AT1598" s="122">
        <v>633096</v>
      </c>
      <c r="AU1598" s="122">
        <v>234480</v>
      </c>
      <c r="AV1598" s="122">
        <v>8016562</v>
      </c>
    </row>
    <row r="1599" spans="2:48" hidden="1">
      <c r="B1599" t="s">
        <v>375</v>
      </c>
      <c r="C1599" t="s">
        <v>50</v>
      </c>
      <c r="D1599" t="s">
        <v>405</v>
      </c>
      <c r="E1599" t="s">
        <v>405</v>
      </c>
      <c r="F1599" s="122">
        <v>19</v>
      </c>
      <c r="G1599" s="122">
        <v>1647</v>
      </c>
      <c r="H1599" s="122">
        <v>1754</v>
      </c>
      <c r="I1599" s="122">
        <v>68193</v>
      </c>
      <c r="J1599" s="122">
        <v>61994</v>
      </c>
      <c r="K1599" s="122">
        <v>92</v>
      </c>
      <c r="L1599" s="122">
        <v>8697</v>
      </c>
      <c r="M1599" s="122">
        <v>7906</v>
      </c>
      <c r="N1599" s="122">
        <v>20069</v>
      </c>
      <c r="O1599" s="122">
        <v>7433</v>
      </c>
      <c r="P1599" s="122">
        <v>15647</v>
      </c>
      <c r="Q1599" s="122">
        <v>5795</v>
      </c>
      <c r="R1599" s="122">
        <v>39154</v>
      </c>
      <c r="S1599" s="122">
        <v>35595</v>
      </c>
      <c r="T1599" s="122">
        <v>0</v>
      </c>
      <c r="U1599" s="122">
        <v>0</v>
      </c>
      <c r="V1599" s="122">
        <v>118722</v>
      </c>
      <c r="W1599" s="122">
        <f t="shared" si="50"/>
        <v>118723</v>
      </c>
      <c r="X1599" s="122">
        <f t="shared" si="51"/>
        <v>151760</v>
      </c>
      <c r="AA1599" t="s">
        <v>62</v>
      </c>
      <c r="AB1599" t="s">
        <v>406</v>
      </c>
      <c r="AC1599" t="s">
        <v>137</v>
      </c>
      <c r="AD1599" t="s">
        <v>406</v>
      </c>
      <c r="AE1599" t="s">
        <v>566</v>
      </c>
      <c r="AF1599">
        <v>79</v>
      </c>
      <c r="AG1599" s="122">
        <v>7088</v>
      </c>
      <c r="AH1599" s="122">
        <v>32745</v>
      </c>
      <c r="AI1599" s="122">
        <v>1888773</v>
      </c>
      <c r="AJ1599" s="122">
        <v>1717066</v>
      </c>
      <c r="AK1599">
        <v>73</v>
      </c>
      <c r="AL1599" s="122">
        <v>387302</v>
      </c>
      <c r="AM1599" s="122">
        <v>143445</v>
      </c>
      <c r="AN1599" s="122">
        <v>153344</v>
      </c>
      <c r="AO1599" s="122">
        <v>56794</v>
      </c>
      <c r="AP1599" s="122">
        <v>49059</v>
      </c>
      <c r="AQ1599" s="122">
        <v>18170</v>
      </c>
      <c r="AR1599" s="122">
        <v>499762</v>
      </c>
      <c r="AS1599" s="122">
        <v>454329</v>
      </c>
      <c r="AT1599">
        <v>0</v>
      </c>
      <c r="AU1599">
        <v>0</v>
      </c>
      <c r="AV1599" s="122">
        <v>2389804</v>
      </c>
    </row>
    <row r="1600" spans="2:48" hidden="1">
      <c r="B1600" t="s">
        <v>375</v>
      </c>
      <c r="C1600" t="s">
        <v>50</v>
      </c>
      <c r="D1600" t="s">
        <v>137</v>
      </c>
      <c r="E1600" t="s">
        <v>137</v>
      </c>
      <c r="F1600" s="122">
        <v>62</v>
      </c>
      <c r="G1600" s="122">
        <v>5241</v>
      </c>
      <c r="H1600" s="122">
        <v>5497</v>
      </c>
      <c r="I1600" s="122">
        <v>132666</v>
      </c>
      <c r="J1600" s="122">
        <v>49136</v>
      </c>
      <c r="K1600" s="122">
        <v>381</v>
      </c>
      <c r="L1600" s="122">
        <v>33866</v>
      </c>
      <c r="M1600" s="122">
        <v>30787</v>
      </c>
      <c r="N1600" s="122">
        <v>104158</v>
      </c>
      <c r="O1600" s="122">
        <v>38577</v>
      </c>
      <c r="P1600" s="122">
        <v>23893</v>
      </c>
      <c r="Q1600" s="122">
        <v>8849</v>
      </c>
      <c r="R1600" s="122">
        <v>169587</v>
      </c>
      <c r="S1600" s="122">
        <v>62810</v>
      </c>
      <c r="T1600" s="122">
        <v>0</v>
      </c>
      <c r="U1600" s="122">
        <v>0</v>
      </c>
      <c r="V1600" s="122">
        <v>190159</v>
      </c>
      <c r="W1600" s="122">
        <f t="shared" si="50"/>
        <v>190159</v>
      </c>
      <c r="X1600" s="122">
        <f t="shared" si="51"/>
        <v>464170</v>
      </c>
      <c r="AA1600" t="s">
        <v>62</v>
      </c>
      <c r="AB1600" t="s">
        <v>406</v>
      </c>
      <c r="AC1600" t="s">
        <v>137</v>
      </c>
      <c r="AD1600" t="s">
        <v>427</v>
      </c>
      <c r="AE1600" t="s">
        <v>137</v>
      </c>
      <c r="AF1600">
        <v>1</v>
      </c>
      <c r="AG1600">
        <v>152</v>
      </c>
      <c r="AH1600">
        <v>426</v>
      </c>
      <c r="AI1600" s="122">
        <v>33146</v>
      </c>
      <c r="AJ1600" s="122">
        <v>30133</v>
      </c>
      <c r="AK1600">
        <v>70</v>
      </c>
      <c r="AL1600" s="122">
        <v>20038</v>
      </c>
      <c r="AM1600" s="122">
        <v>7422</v>
      </c>
      <c r="AN1600" s="122">
        <v>3699</v>
      </c>
      <c r="AO1600" s="122">
        <v>1370</v>
      </c>
      <c r="AP1600">
        <v>621</v>
      </c>
      <c r="AQ1600">
        <v>230</v>
      </c>
      <c r="AR1600" s="122">
        <v>4579</v>
      </c>
      <c r="AS1600" s="122">
        <v>4162</v>
      </c>
      <c r="AT1600" s="122">
        <v>2594</v>
      </c>
      <c r="AU1600">
        <v>961</v>
      </c>
      <c r="AV1600" s="122">
        <v>44278</v>
      </c>
    </row>
    <row r="1601" spans="2:48" hidden="1">
      <c r="B1601" t="s">
        <v>375</v>
      </c>
      <c r="C1601" t="s">
        <v>50</v>
      </c>
      <c r="D1601" t="s">
        <v>406</v>
      </c>
      <c r="E1601" t="s">
        <v>406</v>
      </c>
      <c r="F1601" s="122">
        <v>14</v>
      </c>
      <c r="G1601" s="122">
        <v>1567</v>
      </c>
      <c r="H1601" s="122">
        <v>1274</v>
      </c>
      <c r="I1601" s="122">
        <v>69774</v>
      </c>
      <c r="J1601" s="122">
        <v>63431</v>
      </c>
      <c r="K1601" s="122">
        <v>94</v>
      </c>
      <c r="L1601" s="122">
        <v>4515</v>
      </c>
      <c r="M1601" s="122">
        <v>4105</v>
      </c>
      <c r="N1601" s="122">
        <v>20628</v>
      </c>
      <c r="O1601" s="122">
        <v>7640</v>
      </c>
      <c r="P1601" s="122">
        <v>10098</v>
      </c>
      <c r="Q1601" s="122">
        <v>3740</v>
      </c>
      <c r="R1601" s="122">
        <v>36776</v>
      </c>
      <c r="S1601" s="122">
        <v>33433</v>
      </c>
      <c r="T1601" s="122">
        <v>0</v>
      </c>
      <c r="U1601" s="122">
        <v>0</v>
      </c>
      <c r="V1601" s="122">
        <v>112349</v>
      </c>
      <c r="W1601" s="122">
        <f t="shared" si="50"/>
        <v>112349</v>
      </c>
      <c r="X1601" s="122">
        <f t="shared" si="51"/>
        <v>141791</v>
      </c>
      <c r="AA1601" t="s">
        <v>62</v>
      </c>
      <c r="AB1601" t="s">
        <v>406</v>
      </c>
      <c r="AC1601" t="s">
        <v>580</v>
      </c>
      <c r="AD1601" t="s">
        <v>406</v>
      </c>
      <c r="AE1601" t="s">
        <v>137</v>
      </c>
      <c r="AF1601">
        <v>49</v>
      </c>
      <c r="AG1601" s="122">
        <v>5975</v>
      </c>
      <c r="AH1601" s="122">
        <v>20343</v>
      </c>
      <c r="AI1601" s="122">
        <v>1751933</v>
      </c>
      <c r="AJ1601" s="122">
        <v>1592666</v>
      </c>
      <c r="AK1601">
        <v>72</v>
      </c>
      <c r="AL1601" s="122">
        <v>231187</v>
      </c>
      <c r="AM1601" s="122">
        <v>210170</v>
      </c>
      <c r="AN1601" s="122">
        <v>129109</v>
      </c>
      <c r="AO1601" s="122">
        <v>47818</v>
      </c>
      <c r="AP1601" s="122">
        <v>33615</v>
      </c>
      <c r="AQ1601" s="122">
        <v>12450</v>
      </c>
      <c r="AR1601" s="122">
        <v>244424</v>
      </c>
      <c r="AS1601" s="122">
        <v>222203</v>
      </c>
      <c r="AT1601" s="122">
        <v>128659</v>
      </c>
      <c r="AU1601" s="122">
        <v>47651</v>
      </c>
      <c r="AV1601" s="122">
        <v>2132959</v>
      </c>
    </row>
    <row r="1602" spans="2:48" hidden="1">
      <c r="B1602" t="s">
        <v>375</v>
      </c>
      <c r="C1602" t="s">
        <v>52</v>
      </c>
      <c r="D1602" t="s">
        <v>405</v>
      </c>
      <c r="E1602" t="s">
        <v>405</v>
      </c>
      <c r="F1602" s="122">
        <v>13</v>
      </c>
      <c r="G1602" s="122">
        <v>873</v>
      </c>
      <c r="H1602" s="122">
        <v>1398</v>
      </c>
      <c r="I1602" s="122">
        <v>49414</v>
      </c>
      <c r="J1602" s="122">
        <v>44922</v>
      </c>
      <c r="K1602" s="122">
        <v>92</v>
      </c>
      <c r="L1602" s="122">
        <v>807</v>
      </c>
      <c r="M1602" s="122">
        <v>733</v>
      </c>
      <c r="N1602" s="122">
        <v>10642</v>
      </c>
      <c r="O1602" s="122">
        <v>3941</v>
      </c>
      <c r="P1602" s="122">
        <v>10706</v>
      </c>
      <c r="Q1602" s="122">
        <v>3965</v>
      </c>
      <c r="R1602" s="122">
        <v>22440</v>
      </c>
      <c r="S1602" s="122">
        <v>20400</v>
      </c>
      <c r="T1602" s="122">
        <v>0</v>
      </c>
      <c r="U1602" s="122">
        <v>0</v>
      </c>
      <c r="V1602" s="122">
        <v>73961</v>
      </c>
      <c r="W1602" s="122">
        <f t="shared" si="50"/>
        <v>73961</v>
      </c>
      <c r="X1602" s="122">
        <f t="shared" si="51"/>
        <v>94009</v>
      </c>
      <c r="AA1602" t="s">
        <v>62</v>
      </c>
      <c r="AB1602" t="s">
        <v>406</v>
      </c>
      <c r="AC1602" t="s">
        <v>580</v>
      </c>
      <c r="AD1602" t="s">
        <v>406</v>
      </c>
      <c r="AE1602" t="s">
        <v>566</v>
      </c>
      <c r="AF1602">
        <v>15</v>
      </c>
      <c r="AG1602" s="122">
        <v>1830</v>
      </c>
      <c r="AH1602" s="122">
        <v>6286</v>
      </c>
      <c r="AI1602" s="122">
        <v>531036</v>
      </c>
      <c r="AJ1602" s="122">
        <v>482760</v>
      </c>
      <c r="AK1602">
        <v>74</v>
      </c>
      <c r="AL1602" s="122">
        <v>74268</v>
      </c>
      <c r="AM1602" s="122">
        <v>67517</v>
      </c>
      <c r="AN1602" s="122">
        <v>40252</v>
      </c>
      <c r="AO1602" s="122">
        <v>14908</v>
      </c>
      <c r="AP1602" s="122">
        <v>10287</v>
      </c>
      <c r="AQ1602" s="122">
        <v>3810</v>
      </c>
      <c r="AR1602" s="122">
        <v>106633</v>
      </c>
      <c r="AS1602" s="122">
        <v>96939</v>
      </c>
      <c r="AT1602">
        <v>0</v>
      </c>
      <c r="AU1602">
        <v>0</v>
      </c>
      <c r="AV1602" s="122">
        <v>665933</v>
      </c>
    </row>
    <row r="1603" spans="2:48" hidden="1">
      <c r="B1603" t="s">
        <v>375</v>
      </c>
      <c r="C1603" t="s">
        <v>52</v>
      </c>
      <c r="D1603" t="s">
        <v>137</v>
      </c>
      <c r="E1603" t="s">
        <v>137</v>
      </c>
      <c r="F1603" s="122">
        <v>29</v>
      </c>
      <c r="G1603" s="122">
        <v>2322</v>
      </c>
      <c r="H1603" s="122">
        <v>3099</v>
      </c>
      <c r="I1603" s="122">
        <v>85390</v>
      </c>
      <c r="J1603" s="122">
        <v>31626</v>
      </c>
      <c r="K1603" s="122">
        <v>362</v>
      </c>
      <c r="L1603" s="122">
        <v>20223</v>
      </c>
      <c r="M1603" s="122">
        <v>18385</v>
      </c>
      <c r="N1603" s="122">
        <v>49291</v>
      </c>
      <c r="O1603" s="122">
        <v>18256</v>
      </c>
      <c r="P1603" s="122">
        <v>13193</v>
      </c>
      <c r="Q1603" s="122">
        <v>4886</v>
      </c>
      <c r="R1603" s="122">
        <v>80172</v>
      </c>
      <c r="S1603" s="122">
        <v>29693</v>
      </c>
      <c r="T1603" s="122">
        <v>0</v>
      </c>
      <c r="U1603" s="122">
        <v>0</v>
      </c>
      <c r="V1603" s="122">
        <v>102846</v>
      </c>
      <c r="W1603" s="122">
        <f t="shared" si="50"/>
        <v>102846</v>
      </c>
      <c r="X1603" s="122">
        <f t="shared" si="51"/>
        <v>248269</v>
      </c>
      <c r="AA1603" t="s">
        <v>62</v>
      </c>
      <c r="AB1603" t="s">
        <v>406</v>
      </c>
      <c r="AC1603" t="s">
        <v>580</v>
      </c>
      <c r="AD1603" t="s">
        <v>426</v>
      </c>
      <c r="AE1603" t="s">
        <v>137</v>
      </c>
      <c r="AF1603">
        <v>2</v>
      </c>
      <c r="AG1603">
        <v>218</v>
      </c>
      <c r="AH1603">
        <v>844</v>
      </c>
      <c r="AI1603" s="122">
        <v>68430</v>
      </c>
      <c r="AJ1603" s="122">
        <v>62209</v>
      </c>
      <c r="AK1603">
        <v>65</v>
      </c>
      <c r="AL1603" s="122">
        <v>13268</v>
      </c>
      <c r="AM1603" s="122">
        <v>12062</v>
      </c>
      <c r="AN1603" s="122">
        <v>5314</v>
      </c>
      <c r="AO1603" s="122">
        <v>1968</v>
      </c>
      <c r="AP1603" s="122">
        <v>1242</v>
      </c>
      <c r="AQ1603">
        <v>460</v>
      </c>
      <c r="AR1603" s="122">
        <v>9651</v>
      </c>
      <c r="AS1603" s="122">
        <v>8773</v>
      </c>
      <c r="AT1603" s="122">
        <v>5031</v>
      </c>
      <c r="AU1603" s="122">
        <v>1863</v>
      </c>
      <c r="AV1603" s="122">
        <v>87335</v>
      </c>
    </row>
    <row r="1604" spans="2:48" hidden="1">
      <c r="B1604" t="s">
        <v>375</v>
      </c>
      <c r="C1604" t="s">
        <v>52</v>
      </c>
      <c r="D1604" t="s">
        <v>406</v>
      </c>
      <c r="E1604" t="s">
        <v>406</v>
      </c>
      <c r="F1604" s="122">
        <v>18</v>
      </c>
      <c r="G1604" s="122">
        <v>2291</v>
      </c>
      <c r="H1604" s="122">
        <v>2144</v>
      </c>
      <c r="I1604" s="122">
        <v>121384</v>
      </c>
      <c r="J1604" s="122">
        <v>110349</v>
      </c>
      <c r="K1604" s="122">
        <v>87</v>
      </c>
      <c r="L1604" s="122">
        <v>31301</v>
      </c>
      <c r="M1604" s="122">
        <v>28455</v>
      </c>
      <c r="N1604" s="122">
        <v>32164</v>
      </c>
      <c r="O1604" s="122">
        <v>11912</v>
      </c>
      <c r="P1604" s="122">
        <v>12941</v>
      </c>
      <c r="Q1604" s="122">
        <v>4793</v>
      </c>
      <c r="R1604" s="122">
        <v>74940</v>
      </c>
      <c r="S1604" s="122">
        <v>68127</v>
      </c>
      <c r="T1604" s="122">
        <v>0</v>
      </c>
      <c r="U1604" s="122">
        <v>0</v>
      </c>
      <c r="V1604" s="122">
        <v>223636</v>
      </c>
      <c r="W1604" s="122">
        <f t="shared" si="50"/>
        <v>223636</v>
      </c>
      <c r="X1604" s="122">
        <f t="shared" si="51"/>
        <v>272730</v>
      </c>
      <c r="AA1604" t="s">
        <v>62</v>
      </c>
      <c r="AB1604" t="s">
        <v>406</v>
      </c>
      <c r="AC1604" t="s">
        <v>427</v>
      </c>
      <c r="AD1604" t="s">
        <v>137</v>
      </c>
      <c r="AE1604" t="s">
        <v>566</v>
      </c>
      <c r="AF1604">
        <v>2</v>
      </c>
      <c r="AG1604">
        <v>662</v>
      </c>
      <c r="AH1604">
        <v>832</v>
      </c>
      <c r="AI1604" s="122">
        <v>180597</v>
      </c>
      <c r="AJ1604" s="122">
        <v>164179</v>
      </c>
      <c r="AK1604">
        <v>72</v>
      </c>
      <c r="AL1604" s="122">
        <v>41933</v>
      </c>
      <c r="AM1604" s="122">
        <v>38121</v>
      </c>
      <c r="AN1604" s="122">
        <v>14748</v>
      </c>
      <c r="AO1604" s="122">
        <v>5462</v>
      </c>
      <c r="AP1604" s="122">
        <v>1242</v>
      </c>
      <c r="AQ1604">
        <v>460</v>
      </c>
      <c r="AR1604" s="122">
        <v>22327</v>
      </c>
      <c r="AS1604" s="122">
        <v>8269</v>
      </c>
      <c r="AT1604">
        <v>0</v>
      </c>
      <c r="AU1604">
        <v>0</v>
      </c>
      <c r="AV1604" s="122">
        <v>216491</v>
      </c>
    </row>
    <row r="1605" spans="2:48" hidden="1">
      <c r="B1605" t="s">
        <v>375</v>
      </c>
      <c r="C1605" t="s">
        <v>52</v>
      </c>
      <c r="D1605" t="s">
        <v>408</v>
      </c>
      <c r="E1605" t="s">
        <v>408</v>
      </c>
      <c r="F1605" s="122">
        <v>1</v>
      </c>
      <c r="G1605" s="122">
        <v>100</v>
      </c>
      <c r="H1605" s="122">
        <v>122</v>
      </c>
      <c r="I1605" s="122">
        <v>6270</v>
      </c>
      <c r="J1605" s="122">
        <v>5700</v>
      </c>
      <c r="K1605" s="122">
        <v>90</v>
      </c>
      <c r="L1605" s="122">
        <v>2090</v>
      </c>
      <c r="M1605" s="122">
        <v>1900</v>
      </c>
      <c r="N1605" s="122">
        <v>1587</v>
      </c>
      <c r="O1605" s="122">
        <v>588</v>
      </c>
      <c r="P1605" s="122">
        <v>351</v>
      </c>
      <c r="Q1605" s="122">
        <v>130</v>
      </c>
      <c r="R1605" s="122">
        <v>1943</v>
      </c>
      <c r="S1605" s="122">
        <v>1766</v>
      </c>
      <c r="T1605" s="122">
        <v>0</v>
      </c>
      <c r="U1605" s="122">
        <v>0</v>
      </c>
      <c r="V1605" s="122">
        <v>10084</v>
      </c>
      <c r="W1605" s="122">
        <f t="shared" si="50"/>
        <v>10084</v>
      </c>
      <c r="X1605" s="122">
        <f t="shared" si="51"/>
        <v>12241</v>
      </c>
      <c r="AA1605" t="s">
        <v>62</v>
      </c>
      <c r="AB1605" t="s">
        <v>406</v>
      </c>
      <c r="AC1605" t="s">
        <v>427</v>
      </c>
      <c r="AD1605" t="s">
        <v>406</v>
      </c>
      <c r="AE1605" t="s">
        <v>137</v>
      </c>
      <c r="AF1605">
        <v>323</v>
      </c>
      <c r="AG1605" s="122">
        <v>31346</v>
      </c>
      <c r="AH1605" s="122">
        <v>133725</v>
      </c>
      <c r="AI1605" s="122">
        <v>7995523</v>
      </c>
      <c r="AJ1605" s="122">
        <v>7268657</v>
      </c>
      <c r="AK1605">
        <v>75</v>
      </c>
      <c r="AL1605" s="122">
        <v>1898775</v>
      </c>
      <c r="AM1605" s="122">
        <v>1726159</v>
      </c>
      <c r="AN1605" s="122">
        <v>680525</v>
      </c>
      <c r="AO1605" s="122">
        <v>252046</v>
      </c>
      <c r="AP1605" s="122">
        <v>204174</v>
      </c>
      <c r="AQ1605" s="122">
        <v>75620</v>
      </c>
      <c r="AR1605" s="122">
        <v>1545945</v>
      </c>
      <c r="AS1605" s="122">
        <v>1405405</v>
      </c>
      <c r="AT1605" s="122">
        <v>764599</v>
      </c>
      <c r="AU1605" s="122">
        <v>283185</v>
      </c>
      <c r="AV1605" s="122">
        <v>11011072</v>
      </c>
    </row>
    <row r="1606" spans="2:48" hidden="1">
      <c r="B1606" t="s">
        <v>375</v>
      </c>
      <c r="C1606" t="s">
        <v>54</v>
      </c>
      <c r="F1606" s="122">
        <v>9</v>
      </c>
      <c r="G1606" s="122">
        <v>804</v>
      </c>
      <c r="H1606" s="122">
        <v>1240</v>
      </c>
      <c r="I1606" s="122"/>
      <c r="J1606" s="122">
        <v>0</v>
      </c>
      <c r="K1606" s="122"/>
      <c r="L1606" s="122"/>
      <c r="M1606" s="122">
        <v>0</v>
      </c>
      <c r="N1606" s="122">
        <v>19597</v>
      </c>
      <c r="O1606" s="122">
        <v>7258</v>
      </c>
      <c r="P1606" s="122">
        <v>3159</v>
      </c>
      <c r="Q1606" s="122">
        <v>1170</v>
      </c>
      <c r="R1606" s="122"/>
      <c r="S1606" s="122">
        <v>0</v>
      </c>
      <c r="T1606" s="122">
        <v>0</v>
      </c>
      <c r="U1606" s="122">
        <v>0</v>
      </c>
      <c r="V1606" s="122">
        <v>8428</v>
      </c>
      <c r="W1606" s="122">
        <f t="shared" si="50"/>
        <v>8428</v>
      </c>
      <c r="X1606" s="122">
        <f t="shared" si="51"/>
        <v>22756</v>
      </c>
      <c r="AA1606" t="s">
        <v>62</v>
      </c>
      <c r="AB1606" t="s">
        <v>406</v>
      </c>
      <c r="AC1606" t="s">
        <v>427</v>
      </c>
      <c r="AD1606" t="s">
        <v>406</v>
      </c>
      <c r="AE1606" t="s">
        <v>566</v>
      </c>
      <c r="AF1606">
        <v>143</v>
      </c>
      <c r="AG1606" s="122">
        <v>13839</v>
      </c>
      <c r="AH1606" s="122">
        <v>59040</v>
      </c>
      <c r="AI1606" s="122">
        <v>3608554</v>
      </c>
      <c r="AJ1606" s="122">
        <v>3280504</v>
      </c>
      <c r="AK1606">
        <v>76</v>
      </c>
      <c r="AL1606" s="122">
        <v>868181</v>
      </c>
      <c r="AM1606" s="122">
        <v>789256</v>
      </c>
      <c r="AN1606" s="122">
        <v>293936</v>
      </c>
      <c r="AO1606" s="122">
        <v>108865</v>
      </c>
      <c r="AP1606" s="122">
        <v>88884</v>
      </c>
      <c r="AQ1606" s="122">
        <v>32920</v>
      </c>
      <c r="AR1606" s="122">
        <v>931969</v>
      </c>
      <c r="AS1606" s="122">
        <v>847245</v>
      </c>
      <c r="AT1606">
        <v>0</v>
      </c>
      <c r="AU1606">
        <v>0</v>
      </c>
      <c r="AV1606" s="122">
        <v>5058790</v>
      </c>
    </row>
    <row r="1607" spans="2:48" hidden="1">
      <c r="B1607" t="s">
        <v>375</v>
      </c>
      <c r="C1607" t="s">
        <v>54</v>
      </c>
      <c r="D1607" t="s">
        <v>405</v>
      </c>
      <c r="E1607" t="s">
        <v>405</v>
      </c>
      <c r="F1607" s="122">
        <v>11</v>
      </c>
      <c r="G1607" s="122">
        <v>1264</v>
      </c>
      <c r="H1607" s="122">
        <v>1573</v>
      </c>
      <c r="I1607" s="122">
        <v>67371</v>
      </c>
      <c r="J1607" s="122">
        <v>61247</v>
      </c>
      <c r="K1607" s="122">
        <v>83</v>
      </c>
      <c r="L1607" s="122">
        <v>24435</v>
      </c>
      <c r="M1607" s="122">
        <v>22213</v>
      </c>
      <c r="N1607" s="122">
        <v>28214</v>
      </c>
      <c r="O1607" s="122">
        <v>10450</v>
      </c>
      <c r="P1607" s="122">
        <v>4847</v>
      </c>
      <c r="Q1607" s="122">
        <v>1795</v>
      </c>
      <c r="R1607" s="122">
        <v>55899</v>
      </c>
      <c r="S1607" s="122">
        <v>50817</v>
      </c>
      <c r="T1607" s="122">
        <v>0</v>
      </c>
      <c r="U1607" s="122">
        <v>0</v>
      </c>
      <c r="V1607" s="122">
        <v>146522</v>
      </c>
      <c r="W1607" s="122">
        <f t="shared" si="50"/>
        <v>146522</v>
      </c>
      <c r="X1607" s="122">
        <f t="shared" si="51"/>
        <v>180766</v>
      </c>
      <c r="AA1607" t="s">
        <v>62</v>
      </c>
      <c r="AB1607" t="s">
        <v>406</v>
      </c>
      <c r="AC1607" t="s">
        <v>407</v>
      </c>
      <c r="AD1607" t="s">
        <v>137</v>
      </c>
      <c r="AE1607" t="s">
        <v>566</v>
      </c>
      <c r="AF1607">
        <v>1</v>
      </c>
      <c r="AG1607">
        <v>96</v>
      </c>
      <c r="AH1607">
        <v>431</v>
      </c>
      <c r="AI1607" s="122">
        <v>25528</v>
      </c>
      <c r="AJ1607" s="122">
        <v>23207</v>
      </c>
      <c r="AK1607">
        <v>85</v>
      </c>
      <c r="AL1607" s="122">
        <v>5722</v>
      </c>
      <c r="AM1607" s="122">
        <v>5202</v>
      </c>
      <c r="AN1607" s="122">
        <v>2205</v>
      </c>
      <c r="AO1607">
        <v>817</v>
      </c>
      <c r="AP1607">
        <v>621</v>
      </c>
      <c r="AQ1607">
        <v>230</v>
      </c>
      <c r="AR1607" s="122">
        <v>7235</v>
      </c>
      <c r="AS1607" s="122">
        <v>2679</v>
      </c>
      <c r="AT1607">
        <v>0</v>
      </c>
      <c r="AU1607">
        <v>0</v>
      </c>
      <c r="AV1607" s="122">
        <v>32135</v>
      </c>
    </row>
    <row r="1608" spans="2:48" hidden="1">
      <c r="B1608" t="s">
        <v>375</v>
      </c>
      <c r="C1608" t="s">
        <v>54</v>
      </c>
      <c r="D1608" t="s">
        <v>405</v>
      </c>
      <c r="E1608" t="s">
        <v>430</v>
      </c>
      <c r="F1608" s="122">
        <v>1</v>
      </c>
      <c r="G1608" s="122">
        <v>120</v>
      </c>
      <c r="H1608" s="122">
        <v>149</v>
      </c>
      <c r="I1608" s="122">
        <v>7481</v>
      </c>
      <c r="J1608" s="122">
        <v>6801</v>
      </c>
      <c r="K1608" s="122">
        <v>79</v>
      </c>
      <c r="L1608" s="122">
        <v>1244</v>
      </c>
      <c r="M1608" s="122">
        <v>1131</v>
      </c>
      <c r="N1608" s="122">
        <v>1467</v>
      </c>
      <c r="O1608" s="122">
        <v>543</v>
      </c>
      <c r="P1608" s="122">
        <v>473</v>
      </c>
      <c r="Q1608" s="122">
        <v>175</v>
      </c>
      <c r="R1608" s="122">
        <v>7259</v>
      </c>
      <c r="S1608" s="122">
        <v>2689</v>
      </c>
      <c r="T1608" s="122">
        <v>0</v>
      </c>
      <c r="U1608" s="122">
        <v>0</v>
      </c>
      <c r="V1608" s="122">
        <v>11339</v>
      </c>
      <c r="W1608" s="122">
        <f t="shared" si="50"/>
        <v>11339</v>
      </c>
      <c r="X1608" s="122">
        <f t="shared" si="51"/>
        <v>17924</v>
      </c>
      <c r="AA1608" t="s">
        <v>62</v>
      </c>
      <c r="AB1608" t="s">
        <v>406</v>
      </c>
      <c r="AC1608" t="s">
        <v>407</v>
      </c>
      <c r="AD1608" t="s">
        <v>406</v>
      </c>
      <c r="AE1608" t="s">
        <v>137</v>
      </c>
      <c r="AF1608">
        <v>45</v>
      </c>
      <c r="AG1608" s="122">
        <v>5172</v>
      </c>
      <c r="AH1608" s="122">
        <v>18839</v>
      </c>
      <c r="AI1608" s="122">
        <v>1334046</v>
      </c>
      <c r="AJ1608" s="122">
        <v>1212769</v>
      </c>
      <c r="AK1608">
        <v>71</v>
      </c>
      <c r="AL1608" s="122">
        <v>351721</v>
      </c>
      <c r="AM1608" s="122">
        <v>319746</v>
      </c>
      <c r="AN1608" s="122">
        <v>113281</v>
      </c>
      <c r="AO1608" s="122">
        <v>41956</v>
      </c>
      <c r="AP1608" s="122">
        <v>27945</v>
      </c>
      <c r="AQ1608" s="122">
        <v>10350</v>
      </c>
      <c r="AR1608" s="122">
        <v>221560</v>
      </c>
      <c r="AS1608" s="122">
        <v>201418</v>
      </c>
      <c r="AT1608" s="122">
        <v>124705</v>
      </c>
      <c r="AU1608" s="122">
        <v>46187</v>
      </c>
      <c r="AV1608" s="122">
        <v>1832427</v>
      </c>
    </row>
    <row r="1609" spans="2:48" hidden="1">
      <c r="B1609" t="s">
        <v>375</v>
      </c>
      <c r="C1609" t="s">
        <v>54</v>
      </c>
      <c r="D1609" t="s">
        <v>137</v>
      </c>
      <c r="E1609" t="s">
        <v>137</v>
      </c>
      <c r="F1609" s="122">
        <v>18</v>
      </c>
      <c r="G1609" s="122">
        <v>1858</v>
      </c>
      <c r="H1609" s="122">
        <v>2562</v>
      </c>
      <c r="I1609" s="122">
        <v>96251</v>
      </c>
      <c r="J1609" s="122">
        <v>35649</v>
      </c>
      <c r="K1609" s="122">
        <v>247</v>
      </c>
      <c r="L1609" s="122">
        <v>16259</v>
      </c>
      <c r="M1609" s="122">
        <v>14781</v>
      </c>
      <c r="N1609" s="122">
        <v>26101</v>
      </c>
      <c r="O1609" s="122">
        <v>9667</v>
      </c>
      <c r="P1609" s="122">
        <v>18291</v>
      </c>
      <c r="Q1609" s="122">
        <v>6774</v>
      </c>
      <c r="R1609" s="122">
        <v>107453</v>
      </c>
      <c r="S1609" s="122">
        <v>39798</v>
      </c>
      <c r="T1609" s="122">
        <v>0</v>
      </c>
      <c r="U1609" s="122">
        <v>0</v>
      </c>
      <c r="V1609" s="122">
        <v>106669</v>
      </c>
      <c r="W1609" s="122">
        <f t="shared" si="50"/>
        <v>106669</v>
      </c>
      <c r="X1609" s="122">
        <f t="shared" si="51"/>
        <v>264355</v>
      </c>
      <c r="AA1609" t="s">
        <v>62</v>
      </c>
      <c r="AB1609" t="s">
        <v>406</v>
      </c>
      <c r="AC1609" t="s">
        <v>407</v>
      </c>
      <c r="AD1609" t="s">
        <v>406</v>
      </c>
      <c r="AE1609" t="s">
        <v>566</v>
      </c>
      <c r="AF1609">
        <v>11</v>
      </c>
      <c r="AG1609" s="122">
        <v>1226</v>
      </c>
      <c r="AH1609" s="122">
        <v>4714</v>
      </c>
      <c r="AI1609" s="122">
        <v>315459</v>
      </c>
      <c r="AJ1609" s="122">
        <v>286781</v>
      </c>
      <c r="AK1609">
        <v>74</v>
      </c>
      <c r="AL1609" s="122">
        <v>107035</v>
      </c>
      <c r="AM1609" s="122">
        <v>97304</v>
      </c>
      <c r="AN1609" s="122">
        <v>25862</v>
      </c>
      <c r="AO1609" s="122">
        <v>9578</v>
      </c>
      <c r="AP1609" s="122">
        <v>6831</v>
      </c>
      <c r="AQ1609" s="122">
        <v>2530</v>
      </c>
      <c r="AR1609" s="122">
        <v>78300</v>
      </c>
      <c r="AS1609" s="122">
        <v>71181</v>
      </c>
      <c r="AT1609">
        <v>0</v>
      </c>
      <c r="AU1609">
        <v>0</v>
      </c>
      <c r="AV1609" s="122">
        <v>467375</v>
      </c>
    </row>
    <row r="1610" spans="2:48" hidden="1">
      <c r="B1610" t="s">
        <v>375</v>
      </c>
      <c r="C1610" t="s">
        <v>54</v>
      </c>
      <c r="D1610" t="s">
        <v>406</v>
      </c>
      <c r="E1610" t="s">
        <v>406</v>
      </c>
      <c r="F1610" s="122">
        <v>138</v>
      </c>
      <c r="G1610" s="122">
        <v>14941</v>
      </c>
      <c r="H1610" s="122">
        <v>19498</v>
      </c>
      <c r="I1610" s="122">
        <v>884545</v>
      </c>
      <c r="J1610" s="122">
        <v>804132</v>
      </c>
      <c r="K1610" s="122">
        <v>89</v>
      </c>
      <c r="L1610" s="122">
        <v>243015</v>
      </c>
      <c r="M1610" s="122">
        <v>216650</v>
      </c>
      <c r="N1610" s="122">
        <v>262034</v>
      </c>
      <c r="O1610" s="122">
        <v>97049</v>
      </c>
      <c r="P1610" s="122">
        <v>87656</v>
      </c>
      <c r="Q1610" s="122">
        <v>32465</v>
      </c>
      <c r="R1610" s="122">
        <v>616680</v>
      </c>
      <c r="S1610" s="122">
        <v>560618</v>
      </c>
      <c r="T1610" s="122">
        <v>16305</v>
      </c>
      <c r="U1610" s="122">
        <v>6039</v>
      </c>
      <c r="V1610" s="122">
        <v>1716953</v>
      </c>
      <c r="W1610" s="122">
        <f t="shared" si="50"/>
        <v>1716953</v>
      </c>
      <c r="X1610" s="122">
        <f t="shared" si="51"/>
        <v>2110235</v>
      </c>
      <c r="AA1610" t="s">
        <v>62</v>
      </c>
      <c r="AB1610" t="s">
        <v>406</v>
      </c>
      <c r="AC1610" t="s">
        <v>579</v>
      </c>
      <c r="AD1610" t="s">
        <v>425</v>
      </c>
      <c r="AE1610" t="s">
        <v>137</v>
      </c>
      <c r="AF1610">
        <v>4</v>
      </c>
      <c r="AG1610">
        <v>393</v>
      </c>
      <c r="AH1610" s="122">
        <v>1659</v>
      </c>
      <c r="AI1610" s="122">
        <v>102859</v>
      </c>
      <c r="AJ1610" s="122">
        <v>93508</v>
      </c>
      <c r="AK1610">
        <v>82</v>
      </c>
      <c r="AL1610" s="122">
        <v>25583</v>
      </c>
      <c r="AM1610" s="122">
        <v>21319</v>
      </c>
      <c r="AN1610" s="122">
        <v>8008</v>
      </c>
      <c r="AO1610" s="122">
        <v>2966</v>
      </c>
      <c r="AP1610" s="122">
        <v>2484</v>
      </c>
      <c r="AQ1610">
        <v>920</v>
      </c>
      <c r="AR1610" s="122">
        <v>18744</v>
      </c>
      <c r="AS1610" s="122">
        <v>17040</v>
      </c>
      <c r="AT1610" s="122">
        <v>5859</v>
      </c>
      <c r="AU1610" s="122">
        <v>2170</v>
      </c>
      <c r="AV1610" s="122">
        <v>137923</v>
      </c>
    </row>
    <row r="1611" spans="2:48" hidden="1">
      <c r="B1611" t="s">
        <v>375</v>
      </c>
      <c r="C1611" t="s">
        <v>54</v>
      </c>
      <c r="D1611" t="s">
        <v>407</v>
      </c>
      <c r="E1611" t="s">
        <v>407</v>
      </c>
      <c r="F1611" s="122">
        <v>6</v>
      </c>
      <c r="G1611" s="122">
        <v>588</v>
      </c>
      <c r="H1611" s="122">
        <v>793</v>
      </c>
      <c r="I1611" s="122">
        <v>27060</v>
      </c>
      <c r="J1611" s="122">
        <v>24600</v>
      </c>
      <c r="K1611" s="122">
        <v>79</v>
      </c>
      <c r="L1611" s="122">
        <v>0</v>
      </c>
      <c r="M1611" s="122">
        <v>0</v>
      </c>
      <c r="N1611" s="122">
        <v>13286</v>
      </c>
      <c r="O1611" s="122">
        <v>4921</v>
      </c>
      <c r="P1611" s="122">
        <v>2835</v>
      </c>
      <c r="Q1611" s="122">
        <v>1050</v>
      </c>
      <c r="R1611" s="122">
        <v>34570</v>
      </c>
      <c r="S1611" s="122">
        <v>31428</v>
      </c>
      <c r="T1611" s="122">
        <v>0</v>
      </c>
      <c r="U1611" s="122">
        <v>0</v>
      </c>
      <c r="V1611" s="122">
        <v>61998</v>
      </c>
      <c r="W1611" s="122">
        <f t="shared" si="50"/>
        <v>61999</v>
      </c>
      <c r="X1611" s="122">
        <f t="shared" si="51"/>
        <v>77751</v>
      </c>
      <c r="AA1611" t="s">
        <v>62</v>
      </c>
      <c r="AB1611" t="s">
        <v>406</v>
      </c>
      <c r="AC1611" t="s">
        <v>579</v>
      </c>
      <c r="AD1611" t="s">
        <v>137</v>
      </c>
      <c r="AE1611" t="s">
        <v>566</v>
      </c>
      <c r="AF1611">
        <v>20</v>
      </c>
      <c r="AG1611" s="122">
        <v>1782</v>
      </c>
      <c r="AH1611" s="122">
        <v>8339</v>
      </c>
      <c r="AI1611" s="122">
        <v>447453</v>
      </c>
      <c r="AJ1611" s="122">
        <v>406775</v>
      </c>
      <c r="AK1611">
        <v>76</v>
      </c>
      <c r="AL1611" s="122">
        <v>120325</v>
      </c>
      <c r="AM1611" s="122">
        <v>100271</v>
      </c>
      <c r="AN1611" s="122">
        <v>39665</v>
      </c>
      <c r="AO1611" s="122">
        <v>14691</v>
      </c>
      <c r="AP1611" s="122">
        <v>12420</v>
      </c>
      <c r="AQ1611" s="122">
        <v>4600</v>
      </c>
      <c r="AR1611" s="122">
        <v>120850</v>
      </c>
      <c r="AS1611" s="122">
        <v>44759</v>
      </c>
      <c r="AT1611">
        <v>0</v>
      </c>
      <c r="AU1611">
        <v>0</v>
      </c>
      <c r="AV1611" s="122">
        <v>571096</v>
      </c>
    </row>
    <row r="1612" spans="2:48" hidden="1">
      <c r="B1612" t="s">
        <v>375</v>
      </c>
      <c r="C1612" t="s">
        <v>54</v>
      </c>
      <c r="D1612" t="s">
        <v>408</v>
      </c>
      <c r="E1612" t="s">
        <v>408</v>
      </c>
      <c r="F1612" s="122">
        <v>30</v>
      </c>
      <c r="G1612" s="122">
        <v>2779</v>
      </c>
      <c r="H1612" s="122">
        <v>4168</v>
      </c>
      <c r="I1612" s="122">
        <v>183208</v>
      </c>
      <c r="J1612" s="122">
        <v>166553</v>
      </c>
      <c r="K1612" s="122">
        <v>90</v>
      </c>
      <c r="L1612" s="122">
        <v>60822</v>
      </c>
      <c r="M1612" s="122">
        <v>55293</v>
      </c>
      <c r="N1612" s="122">
        <v>58681</v>
      </c>
      <c r="O1612" s="122">
        <v>21734</v>
      </c>
      <c r="P1612" s="122">
        <v>10530</v>
      </c>
      <c r="Q1612" s="122">
        <v>3900</v>
      </c>
      <c r="R1612" s="122">
        <v>73331</v>
      </c>
      <c r="S1612" s="122">
        <v>66664</v>
      </c>
      <c r="T1612" s="122">
        <v>0</v>
      </c>
      <c r="U1612" s="122">
        <v>0</v>
      </c>
      <c r="V1612" s="122">
        <v>314143</v>
      </c>
      <c r="W1612" s="122">
        <f t="shared" si="50"/>
        <v>314144</v>
      </c>
      <c r="X1612" s="122">
        <f t="shared" si="51"/>
        <v>386572</v>
      </c>
      <c r="AA1612" t="s">
        <v>62</v>
      </c>
      <c r="AB1612" t="s">
        <v>406</v>
      </c>
      <c r="AC1612" t="s">
        <v>579</v>
      </c>
      <c r="AD1612" t="s">
        <v>406</v>
      </c>
      <c r="AE1612" t="s">
        <v>137</v>
      </c>
      <c r="AF1612" s="122">
        <v>1517</v>
      </c>
      <c r="AG1612" s="122">
        <v>154123</v>
      </c>
      <c r="AH1612" s="122">
        <v>629027</v>
      </c>
      <c r="AI1612" s="122">
        <v>39548218</v>
      </c>
      <c r="AJ1612" s="122">
        <v>35952926</v>
      </c>
      <c r="AK1612">
        <v>73</v>
      </c>
      <c r="AL1612" s="122">
        <v>9769859</v>
      </c>
      <c r="AM1612" s="122">
        <v>8141549</v>
      </c>
      <c r="AN1612" s="122">
        <v>3280161</v>
      </c>
      <c r="AO1612" s="122">
        <v>1214875</v>
      </c>
      <c r="AP1612" s="122">
        <v>968964</v>
      </c>
      <c r="AQ1612" s="122">
        <v>358876</v>
      </c>
      <c r="AR1612" s="122">
        <v>7020479</v>
      </c>
      <c r="AS1612" s="122">
        <v>6382254</v>
      </c>
      <c r="AT1612" s="122">
        <v>3771972</v>
      </c>
      <c r="AU1612" s="122">
        <v>1397027</v>
      </c>
      <c r="AV1612" s="122">
        <v>53447506</v>
      </c>
    </row>
    <row r="1613" spans="2:48" hidden="1">
      <c r="B1613" t="s">
        <v>375</v>
      </c>
      <c r="C1613" t="s">
        <v>56</v>
      </c>
      <c r="F1613" s="122">
        <v>31</v>
      </c>
      <c r="G1613" s="122">
        <v>1808</v>
      </c>
      <c r="H1613" s="122">
        <v>5830</v>
      </c>
      <c r="I1613" s="122"/>
      <c r="J1613" s="122">
        <v>0</v>
      </c>
      <c r="K1613" s="122"/>
      <c r="L1613" s="122"/>
      <c r="M1613" s="122">
        <v>0</v>
      </c>
      <c r="N1613" s="122">
        <v>44062</v>
      </c>
      <c r="O1613" s="122">
        <v>16319</v>
      </c>
      <c r="P1613" s="122">
        <v>10881</v>
      </c>
      <c r="Q1613" s="122">
        <v>4030</v>
      </c>
      <c r="R1613" s="122"/>
      <c r="S1613" s="122">
        <v>0</v>
      </c>
      <c r="T1613" s="122">
        <v>0</v>
      </c>
      <c r="U1613" s="122">
        <v>0</v>
      </c>
      <c r="V1613" s="122">
        <v>20349</v>
      </c>
      <c r="W1613" s="122">
        <f t="shared" si="50"/>
        <v>20349</v>
      </c>
      <c r="X1613" s="122">
        <f t="shared" si="51"/>
        <v>54943</v>
      </c>
      <c r="AA1613" t="s">
        <v>62</v>
      </c>
      <c r="AB1613" t="s">
        <v>406</v>
      </c>
      <c r="AC1613" t="s">
        <v>579</v>
      </c>
      <c r="AD1613" t="s">
        <v>406</v>
      </c>
      <c r="AE1613" t="s">
        <v>566</v>
      </c>
      <c r="AF1613">
        <v>396</v>
      </c>
      <c r="AG1613" s="122">
        <v>41581</v>
      </c>
      <c r="AH1613" s="122">
        <v>163605</v>
      </c>
      <c r="AI1613" s="122">
        <v>10764544</v>
      </c>
      <c r="AJ1613" s="122">
        <v>9785949</v>
      </c>
      <c r="AK1613">
        <v>73</v>
      </c>
      <c r="AL1613" s="122">
        <v>2741132</v>
      </c>
      <c r="AM1613" s="122">
        <v>2284277</v>
      </c>
      <c r="AN1613" s="122">
        <v>883776</v>
      </c>
      <c r="AO1613" s="122">
        <v>327324</v>
      </c>
      <c r="AP1613" s="122">
        <v>248265</v>
      </c>
      <c r="AQ1613" s="122">
        <v>91950</v>
      </c>
      <c r="AR1613" s="122">
        <v>2680643</v>
      </c>
      <c r="AS1613" s="122">
        <v>2436948</v>
      </c>
      <c r="AT1613">
        <v>0</v>
      </c>
      <c r="AU1613">
        <v>0</v>
      </c>
      <c r="AV1613" s="122">
        <v>14926448</v>
      </c>
    </row>
    <row r="1614" spans="2:48" hidden="1">
      <c r="B1614" t="s">
        <v>375</v>
      </c>
      <c r="C1614" t="s">
        <v>56</v>
      </c>
      <c r="D1614" t="s">
        <v>425</v>
      </c>
      <c r="E1614" t="s">
        <v>406</v>
      </c>
      <c r="F1614" s="122">
        <v>1</v>
      </c>
      <c r="G1614" s="122">
        <v>112</v>
      </c>
      <c r="H1614" s="122">
        <v>160</v>
      </c>
      <c r="I1614" s="122">
        <v>8577</v>
      </c>
      <c r="J1614" s="122">
        <v>7797</v>
      </c>
      <c r="K1614" s="122">
        <v>79</v>
      </c>
      <c r="L1614" s="122">
        <v>2506</v>
      </c>
      <c r="M1614" s="122">
        <v>2278</v>
      </c>
      <c r="N1614" s="122">
        <v>2734</v>
      </c>
      <c r="O1614" s="122">
        <v>1013</v>
      </c>
      <c r="P1614" s="122">
        <v>473</v>
      </c>
      <c r="Q1614" s="122">
        <v>175</v>
      </c>
      <c r="R1614" s="122">
        <v>3633</v>
      </c>
      <c r="S1614" s="122">
        <v>3303</v>
      </c>
      <c r="T1614" s="122">
        <v>0</v>
      </c>
      <c r="U1614" s="122">
        <v>0</v>
      </c>
      <c r="V1614" s="122">
        <v>14566</v>
      </c>
      <c r="W1614" s="122">
        <f t="shared" si="50"/>
        <v>14566</v>
      </c>
      <c r="X1614" s="122">
        <f t="shared" si="51"/>
        <v>17923</v>
      </c>
      <c r="AA1614" t="s">
        <v>62</v>
      </c>
      <c r="AB1614" t="s">
        <v>406</v>
      </c>
      <c r="AC1614" t="s">
        <v>579</v>
      </c>
      <c r="AD1614" t="s">
        <v>407</v>
      </c>
      <c r="AE1614" t="s">
        <v>137</v>
      </c>
      <c r="AF1614">
        <v>2</v>
      </c>
      <c r="AG1614">
        <v>199</v>
      </c>
      <c r="AH1614">
        <v>806</v>
      </c>
      <c r="AI1614" s="122">
        <v>46068</v>
      </c>
      <c r="AJ1614" s="122">
        <v>41880</v>
      </c>
      <c r="AK1614">
        <v>68</v>
      </c>
      <c r="AL1614" s="122">
        <v>12039</v>
      </c>
      <c r="AM1614" s="122">
        <v>10033</v>
      </c>
      <c r="AN1614" s="122">
        <v>4391</v>
      </c>
      <c r="AO1614" s="122">
        <v>1626</v>
      </c>
      <c r="AP1614" s="122">
        <v>1242</v>
      </c>
      <c r="AQ1614">
        <v>460</v>
      </c>
      <c r="AR1614" s="122">
        <v>10192</v>
      </c>
      <c r="AS1614" s="122">
        <v>9265</v>
      </c>
      <c r="AT1614" s="122">
        <v>6256</v>
      </c>
      <c r="AU1614" s="122">
        <v>2317</v>
      </c>
      <c r="AV1614" s="122">
        <v>65581</v>
      </c>
    </row>
    <row r="1615" spans="2:48" hidden="1">
      <c r="B1615" t="s">
        <v>375</v>
      </c>
      <c r="C1615" t="s">
        <v>56</v>
      </c>
      <c r="D1615" t="s">
        <v>405</v>
      </c>
      <c r="E1615" t="s">
        <v>405</v>
      </c>
      <c r="F1615" s="122">
        <v>30</v>
      </c>
      <c r="G1615" s="122">
        <v>3266</v>
      </c>
      <c r="H1615" s="122">
        <v>5402</v>
      </c>
      <c r="I1615" s="122">
        <v>264769</v>
      </c>
      <c r="J1615" s="122">
        <v>240699</v>
      </c>
      <c r="K1615" s="122">
        <v>81</v>
      </c>
      <c r="L1615" s="122">
        <v>72035</v>
      </c>
      <c r="M1615" s="122">
        <v>65265</v>
      </c>
      <c r="N1615" s="122">
        <v>70948</v>
      </c>
      <c r="O1615" s="122">
        <v>26277</v>
      </c>
      <c r="P1615" s="122">
        <v>14526</v>
      </c>
      <c r="Q1615" s="122">
        <v>5380</v>
      </c>
      <c r="R1615" s="122">
        <v>151413</v>
      </c>
      <c r="S1615" s="122">
        <v>137648</v>
      </c>
      <c r="T1615" s="122">
        <v>11372</v>
      </c>
      <c r="U1615" s="122">
        <v>4212</v>
      </c>
      <c r="V1615" s="122">
        <v>479481</v>
      </c>
      <c r="W1615" s="122">
        <f t="shared" si="50"/>
        <v>479481</v>
      </c>
      <c r="X1615" s="122">
        <f t="shared" si="51"/>
        <v>585063</v>
      </c>
      <c r="AA1615" t="s">
        <v>62</v>
      </c>
      <c r="AB1615" t="s">
        <v>406</v>
      </c>
      <c r="AC1615" t="s">
        <v>579</v>
      </c>
      <c r="AD1615" t="s">
        <v>426</v>
      </c>
      <c r="AE1615" t="s">
        <v>137</v>
      </c>
      <c r="AF1615">
        <v>1</v>
      </c>
      <c r="AG1615">
        <v>107</v>
      </c>
      <c r="AH1615">
        <v>395</v>
      </c>
      <c r="AI1615" s="122">
        <v>27887</v>
      </c>
      <c r="AJ1615" s="122">
        <v>25351</v>
      </c>
      <c r="AK1615">
        <v>65</v>
      </c>
      <c r="AL1615" s="122">
        <v>3482</v>
      </c>
      <c r="AM1615" s="122">
        <v>2901</v>
      </c>
      <c r="AN1615" s="122">
        <v>2323</v>
      </c>
      <c r="AO1615">
        <v>860</v>
      </c>
      <c r="AP1615">
        <v>621</v>
      </c>
      <c r="AQ1615">
        <v>230</v>
      </c>
      <c r="AR1615" s="122">
        <v>5056</v>
      </c>
      <c r="AS1615" s="122">
        <v>4597</v>
      </c>
      <c r="AT1615" s="122">
        <v>2688</v>
      </c>
      <c r="AU1615">
        <v>995</v>
      </c>
      <c r="AV1615" s="122">
        <v>34935</v>
      </c>
    </row>
    <row r="1616" spans="2:48" hidden="1">
      <c r="B1616" t="s">
        <v>375</v>
      </c>
      <c r="C1616" t="s">
        <v>56</v>
      </c>
      <c r="D1616" t="s">
        <v>137</v>
      </c>
      <c r="E1616" t="s">
        <v>137</v>
      </c>
      <c r="F1616" s="122">
        <v>60</v>
      </c>
      <c r="G1616" s="122">
        <v>5661</v>
      </c>
      <c r="H1616" s="122">
        <v>12206</v>
      </c>
      <c r="I1616" s="122">
        <v>520278</v>
      </c>
      <c r="J1616" s="122">
        <v>192696</v>
      </c>
      <c r="K1616" s="122">
        <v>145</v>
      </c>
      <c r="L1616" s="122">
        <v>96188</v>
      </c>
      <c r="M1616" s="122">
        <v>62078</v>
      </c>
      <c r="N1616" s="122">
        <v>122146</v>
      </c>
      <c r="O1616" s="122">
        <v>45239</v>
      </c>
      <c r="P1616" s="122">
        <v>11189</v>
      </c>
      <c r="Q1616" s="122">
        <v>4144</v>
      </c>
      <c r="R1616" s="122">
        <v>406114</v>
      </c>
      <c r="S1616" s="122">
        <v>150412</v>
      </c>
      <c r="T1616" s="122">
        <v>0</v>
      </c>
      <c r="U1616" s="122">
        <v>0</v>
      </c>
      <c r="V1616" s="122">
        <v>454570</v>
      </c>
      <c r="W1616" s="122">
        <f t="shared" si="50"/>
        <v>454569</v>
      </c>
      <c r="X1616" s="122">
        <f t="shared" si="51"/>
        <v>1155915</v>
      </c>
      <c r="AA1616" t="s">
        <v>62</v>
      </c>
      <c r="AB1616" t="s">
        <v>406</v>
      </c>
      <c r="AC1616" t="s">
        <v>428</v>
      </c>
      <c r="AD1616" t="s">
        <v>137</v>
      </c>
      <c r="AE1616" t="s">
        <v>566</v>
      </c>
      <c r="AF1616">
        <v>1</v>
      </c>
      <c r="AG1616">
        <v>87</v>
      </c>
      <c r="AH1616">
        <v>441</v>
      </c>
      <c r="AI1616" s="122">
        <v>21596</v>
      </c>
      <c r="AJ1616" s="122">
        <v>19632</v>
      </c>
      <c r="AK1616">
        <v>85</v>
      </c>
      <c r="AL1616" s="122">
        <v>6455</v>
      </c>
      <c r="AM1616" s="122">
        <v>5868</v>
      </c>
      <c r="AN1616" s="122">
        <v>2128</v>
      </c>
      <c r="AO1616">
        <v>788</v>
      </c>
      <c r="AP1616">
        <v>621</v>
      </c>
      <c r="AQ1616">
        <v>230</v>
      </c>
      <c r="AR1616" s="122">
        <v>7670</v>
      </c>
      <c r="AS1616" s="122">
        <v>2841</v>
      </c>
      <c r="AT1616">
        <v>0</v>
      </c>
      <c r="AU1616">
        <v>0</v>
      </c>
      <c r="AV1616" s="122">
        <v>29359</v>
      </c>
    </row>
    <row r="1617" spans="2:48" hidden="1">
      <c r="B1617" t="s">
        <v>375</v>
      </c>
      <c r="C1617" t="s">
        <v>56</v>
      </c>
      <c r="D1617" t="s">
        <v>406</v>
      </c>
      <c r="E1617" t="s">
        <v>137</v>
      </c>
      <c r="F1617" s="122">
        <v>9</v>
      </c>
      <c r="G1617" s="122">
        <v>964</v>
      </c>
      <c r="H1617" s="122">
        <v>1758</v>
      </c>
      <c r="I1617" s="122">
        <v>81465</v>
      </c>
      <c r="J1617" s="122">
        <v>74059</v>
      </c>
      <c r="K1617" s="122">
        <v>81</v>
      </c>
      <c r="L1617" s="122">
        <v>25754</v>
      </c>
      <c r="M1617" s="122">
        <v>23413</v>
      </c>
      <c r="N1617" s="122">
        <v>23223</v>
      </c>
      <c r="O1617" s="122">
        <v>8601</v>
      </c>
      <c r="P1617" s="122">
        <v>5589</v>
      </c>
      <c r="Q1617" s="122">
        <v>2070</v>
      </c>
      <c r="R1617" s="122">
        <v>52153</v>
      </c>
      <c r="S1617" s="122">
        <v>19316</v>
      </c>
      <c r="T1617" s="122">
        <v>0</v>
      </c>
      <c r="U1617" s="122">
        <v>0</v>
      </c>
      <c r="V1617" s="122">
        <v>127459</v>
      </c>
      <c r="W1617" s="122">
        <f t="shared" si="50"/>
        <v>127459</v>
      </c>
      <c r="X1617" s="122">
        <f t="shared" si="51"/>
        <v>188184</v>
      </c>
      <c r="AA1617" t="s">
        <v>62</v>
      </c>
      <c r="AB1617" t="s">
        <v>406</v>
      </c>
      <c r="AC1617" t="s">
        <v>428</v>
      </c>
      <c r="AD1617" t="s">
        <v>406</v>
      </c>
      <c r="AE1617" t="s">
        <v>137</v>
      </c>
      <c r="AF1617">
        <v>29</v>
      </c>
      <c r="AG1617" s="122">
        <v>2551</v>
      </c>
      <c r="AH1617" s="122">
        <v>12011</v>
      </c>
      <c r="AI1617" s="122">
        <v>633708</v>
      </c>
      <c r="AJ1617" s="122">
        <v>576098</v>
      </c>
      <c r="AK1617">
        <v>75</v>
      </c>
      <c r="AL1617" s="122">
        <v>142492</v>
      </c>
      <c r="AM1617" s="122">
        <v>129539</v>
      </c>
      <c r="AN1617" s="122">
        <v>55552</v>
      </c>
      <c r="AO1617" s="122">
        <v>20575</v>
      </c>
      <c r="AP1617" s="122">
        <v>17280</v>
      </c>
      <c r="AQ1617" s="122">
        <v>6400</v>
      </c>
      <c r="AR1617" s="122">
        <v>135524</v>
      </c>
      <c r="AS1617" s="122">
        <v>123204</v>
      </c>
      <c r="AT1617" s="122">
        <v>70849</v>
      </c>
      <c r="AU1617" s="122">
        <v>26240</v>
      </c>
      <c r="AV1617" s="122">
        <v>882055</v>
      </c>
    </row>
    <row r="1618" spans="2:48" hidden="1">
      <c r="B1618" t="s">
        <v>375</v>
      </c>
      <c r="C1618" t="s">
        <v>56</v>
      </c>
      <c r="D1618" t="s">
        <v>406</v>
      </c>
      <c r="E1618" t="s">
        <v>406</v>
      </c>
      <c r="F1618" s="122">
        <v>973</v>
      </c>
      <c r="G1618" s="122">
        <v>102447</v>
      </c>
      <c r="H1618" s="122">
        <v>181316</v>
      </c>
      <c r="I1618" s="122">
        <v>8612815</v>
      </c>
      <c r="J1618" s="122">
        <v>7829831</v>
      </c>
      <c r="K1618" s="122">
        <v>85</v>
      </c>
      <c r="L1618" s="122">
        <v>2257156</v>
      </c>
      <c r="M1618" s="122">
        <v>2031555</v>
      </c>
      <c r="N1618" s="122">
        <v>2058937</v>
      </c>
      <c r="O1618" s="122">
        <v>762569</v>
      </c>
      <c r="P1618" s="122">
        <v>619035</v>
      </c>
      <c r="Q1618" s="122">
        <v>229272</v>
      </c>
      <c r="R1618" s="122">
        <v>4330856</v>
      </c>
      <c r="S1618" s="122">
        <v>3937142</v>
      </c>
      <c r="T1618" s="122">
        <v>1194811</v>
      </c>
      <c r="U1618" s="122">
        <v>442523</v>
      </c>
      <c r="V1618" s="122">
        <v>15232892</v>
      </c>
      <c r="W1618" s="122">
        <f t="shared" si="50"/>
        <v>15232892</v>
      </c>
      <c r="X1618" s="122">
        <f t="shared" si="51"/>
        <v>19073610</v>
      </c>
      <c r="AA1618" t="s">
        <v>62</v>
      </c>
      <c r="AB1618" t="s">
        <v>406</v>
      </c>
      <c r="AC1618" t="s">
        <v>428</v>
      </c>
      <c r="AD1618" t="s">
        <v>406</v>
      </c>
      <c r="AE1618" t="s">
        <v>566</v>
      </c>
      <c r="AF1618">
        <v>18</v>
      </c>
      <c r="AG1618" s="122">
        <v>1693</v>
      </c>
      <c r="AH1618" s="122">
        <v>7477</v>
      </c>
      <c r="AI1618" s="122">
        <v>452481</v>
      </c>
      <c r="AJ1618" s="122">
        <v>411347</v>
      </c>
      <c r="AK1618">
        <v>73</v>
      </c>
      <c r="AL1618" s="122">
        <v>98511</v>
      </c>
      <c r="AM1618" s="122">
        <v>89555</v>
      </c>
      <c r="AN1618" s="122">
        <v>38677</v>
      </c>
      <c r="AO1618" s="122">
        <v>14325</v>
      </c>
      <c r="AP1618" s="122">
        <v>10827</v>
      </c>
      <c r="AQ1618" s="122">
        <v>4010</v>
      </c>
      <c r="AR1618" s="122">
        <v>134194</v>
      </c>
      <c r="AS1618" s="122">
        <v>121994</v>
      </c>
      <c r="AT1618">
        <v>0</v>
      </c>
      <c r="AU1618">
        <v>0</v>
      </c>
      <c r="AV1618" s="122">
        <v>641231</v>
      </c>
    </row>
    <row r="1619" spans="2:48" hidden="1">
      <c r="B1619" t="s">
        <v>375</v>
      </c>
      <c r="C1619" t="s">
        <v>56</v>
      </c>
      <c r="D1619" t="s">
        <v>407</v>
      </c>
      <c r="E1619" t="s">
        <v>407</v>
      </c>
      <c r="F1619" s="122">
        <v>31</v>
      </c>
      <c r="G1619" s="122">
        <v>3066</v>
      </c>
      <c r="H1619" s="122">
        <v>5394</v>
      </c>
      <c r="I1619" s="122">
        <v>247301</v>
      </c>
      <c r="J1619" s="122">
        <v>224819</v>
      </c>
      <c r="K1619" s="122">
        <v>82</v>
      </c>
      <c r="L1619" s="122">
        <v>57991</v>
      </c>
      <c r="M1619" s="122">
        <v>52277</v>
      </c>
      <c r="N1619" s="122">
        <v>67313</v>
      </c>
      <c r="O1619" s="122">
        <v>24931</v>
      </c>
      <c r="P1619" s="122">
        <v>14648</v>
      </c>
      <c r="Q1619" s="122">
        <v>5425</v>
      </c>
      <c r="R1619" s="122">
        <v>150552</v>
      </c>
      <c r="S1619" s="122">
        <v>136865</v>
      </c>
      <c r="T1619" s="122">
        <v>0</v>
      </c>
      <c r="U1619" s="122">
        <v>0</v>
      </c>
      <c r="V1619" s="122">
        <v>444317</v>
      </c>
      <c r="W1619" s="122">
        <f t="shared" si="50"/>
        <v>444317</v>
      </c>
      <c r="X1619" s="122">
        <f t="shared" si="51"/>
        <v>537805</v>
      </c>
      <c r="AA1619" t="s">
        <v>62</v>
      </c>
      <c r="AB1619" t="s">
        <v>406</v>
      </c>
      <c r="AC1619" t="s">
        <v>428</v>
      </c>
      <c r="AD1619" t="s">
        <v>428</v>
      </c>
      <c r="AE1619" t="s">
        <v>137</v>
      </c>
      <c r="AF1619">
        <v>1</v>
      </c>
      <c r="AG1619">
        <v>138</v>
      </c>
      <c r="AH1619">
        <v>434</v>
      </c>
      <c r="AI1619" s="122">
        <v>49556</v>
      </c>
      <c r="AJ1619" s="122">
        <v>45051</v>
      </c>
      <c r="AK1619">
        <v>70</v>
      </c>
      <c r="AL1619" s="122">
        <v>7323</v>
      </c>
      <c r="AM1619" s="122">
        <v>6658</v>
      </c>
      <c r="AN1619" s="122">
        <v>2997</v>
      </c>
      <c r="AO1619" s="122">
        <v>1110</v>
      </c>
      <c r="AP1619">
        <v>621</v>
      </c>
      <c r="AQ1619">
        <v>230</v>
      </c>
      <c r="AR1619" s="122">
        <v>7412</v>
      </c>
      <c r="AS1619" s="122">
        <v>6738</v>
      </c>
      <c r="AT1619" s="122">
        <v>3169</v>
      </c>
      <c r="AU1619" s="122">
        <v>1174</v>
      </c>
      <c r="AV1619" s="122">
        <v>60960</v>
      </c>
    </row>
    <row r="1620" spans="2:48" hidden="1">
      <c r="B1620" t="s">
        <v>375</v>
      </c>
      <c r="C1620" t="s">
        <v>56</v>
      </c>
      <c r="D1620" t="s">
        <v>428</v>
      </c>
      <c r="E1620" t="s">
        <v>428</v>
      </c>
      <c r="F1620" s="122">
        <v>1</v>
      </c>
      <c r="G1620" s="122">
        <v>86</v>
      </c>
      <c r="H1620" s="122">
        <v>202</v>
      </c>
      <c r="I1620" s="122">
        <v>9583</v>
      </c>
      <c r="J1620" s="122">
        <v>8712</v>
      </c>
      <c r="K1620" s="122">
        <v>65</v>
      </c>
      <c r="L1620" s="122">
        <v>0</v>
      </c>
      <c r="M1620" s="122">
        <v>0</v>
      </c>
      <c r="N1620" s="122">
        <v>1042</v>
      </c>
      <c r="O1620" s="122">
        <v>386</v>
      </c>
      <c r="P1620" s="122">
        <v>351</v>
      </c>
      <c r="Q1620" s="122">
        <v>130</v>
      </c>
      <c r="R1620" s="122">
        <v>6317</v>
      </c>
      <c r="S1620" s="122">
        <v>5743</v>
      </c>
      <c r="T1620" s="122">
        <v>0</v>
      </c>
      <c r="U1620" s="122">
        <v>0</v>
      </c>
      <c r="V1620" s="122">
        <v>14971</v>
      </c>
      <c r="W1620" s="122">
        <f t="shared" si="50"/>
        <v>14971</v>
      </c>
      <c r="X1620" s="122">
        <f t="shared" si="51"/>
        <v>17293</v>
      </c>
      <c r="AA1620" t="s">
        <v>62</v>
      </c>
      <c r="AB1620" t="s">
        <v>406</v>
      </c>
      <c r="AC1620" t="s">
        <v>431</v>
      </c>
      <c r="AD1620" t="s">
        <v>137</v>
      </c>
      <c r="AE1620" t="s">
        <v>566</v>
      </c>
      <c r="AF1620">
        <v>1</v>
      </c>
      <c r="AG1620">
        <v>66</v>
      </c>
      <c r="AH1620">
        <v>412</v>
      </c>
      <c r="AI1620" s="122">
        <v>18570</v>
      </c>
      <c r="AJ1620" s="122">
        <v>16882</v>
      </c>
      <c r="AK1620">
        <v>85</v>
      </c>
      <c r="AL1620" s="122">
        <v>2775</v>
      </c>
      <c r="AM1620" s="122">
        <v>2523</v>
      </c>
      <c r="AN1620" s="122">
        <v>1413</v>
      </c>
      <c r="AO1620">
        <v>523</v>
      </c>
      <c r="AP1620">
        <v>621</v>
      </c>
      <c r="AQ1620">
        <v>230</v>
      </c>
      <c r="AR1620" s="122">
        <v>3948</v>
      </c>
      <c r="AS1620" s="122">
        <v>1462</v>
      </c>
      <c r="AT1620">
        <v>0</v>
      </c>
      <c r="AU1620">
        <v>0</v>
      </c>
      <c r="AV1620" s="122">
        <v>21620</v>
      </c>
    </row>
    <row r="1621" spans="2:48" hidden="1">
      <c r="B1621" t="s">
        <v>375</v>
      </c>
      <c r="C1621" t="s">
        <v>56</v>
      </c>
      <c r="D1621" t="s">
        <v>426</v>
      </c>
      <c r="E1621" t="s">
        <v>426</v>
      </c>
      <c r="F1621" s="122">
        <v>7</v>
      </c>
      <c r="G1621" s="122">
        <v>622</v>
      </c>
      <c r="H1621" s="122">
        <v>1468</v>
      </c>
      <c r="I1621" s="122">
        <v>67264</v>
      </c>
      <c r="J1621" s="122">
        <v>61149</v>
      </c>
      <c r="K1621" s="122">
        <v>66</v>
      </c>
      <c r="L1621" s="122">
        <v>2424</v>
      </c>
      <c r="M1621" s="122">
        <v>2204</v>
      </c>
      <c r="N1621" s="122">
        <v>10473</v>
      </c>
      <c r="O1621" s="122">
        <v>3879</v>
      </c>
      <c r="P1621" s="122">
        <v>3078</v>
      </c>
      <c r="Q1621" s="122">
        <v>1140</v>
      </c>
      <c r="R1621" s="122">
        <v>30772</v>
      </c>
      <c r="S1621" s="122">
        <v>27974</v>
      </c>
      <c r="T1621" s="122">
        <v>17135</v>
      </c>
      <c r="U1621" s="122">
        <v>6346</v>
      </c>
      <c r="V1621" s="122">
        <v>102692</v>
      </c>
      <c r="W1621" s="122">
        <f t="shared" si="50"/>
        <v>102692</v>
      </c>
      <c r="X1621" s="122">
        <f t="shared" si="51"/>
        <v>131146</v>
      </c>
      <c r="AA1621" t="s">
        <v>62</v>
      </c>
      <c r="AB1621" t="s">
        <v>406</v>
      </c>
      <c r="AC1621" t="s">
        <v>431</v>
      </c>
      <c r="AD1621" t="s">
        <v>406</v>
      </c>
      <c r="AE1621" t="s">
        <v>137</v>
      </c>
      <c r="AF1621">
        <v>9</v>
      </c>
      <c r="AG1621">
        <v>809</v>
      </c>
      <c r="AH1621" s="122">
        <v>3669</v>
      </c>
      <c r="AI1621" s="122">
        <v>204871</v>
      </c>
      <c r="AJ1621" s="122">
        <v>186247</v>
      </c>
      <c r="AK1621">
        <v>79</v>
      </c>
      <c r="AL1621" s="122">
        <v>44121</v>
      </c>
      <c r="AM1621" s="122">
        <v>40110</v>
      </c>
      <c r="AN1621" s="122">
        <v>17772</v>
      </c>
      <c r="AO1621" s="122">
        <v>6582</v>
      </c>
      <c r="AP1621" s="122">
        <v>5940</v>
      </c>
      <c r="AQ1621" s="122">
        <v>2200</v>
      </c>
      <c r="AR1621" s="122">
        <v>37852</v>
      </c>
      <c r="AS1621" s="122">
        <v>34411</v>
      </c>
      <c r="AT1621" s="122">
        <v>24983</v>
      </c>
      <c r="AU1621" s="122">
        <v>9253</v>
      </c>
      <c r="AV1621" s="122">
        <v>278803</v>
      </c>
    </row>
    <row r="1622" spans="2:48" hidden="1">
      <c r="B1622" t="s">
        <v>375</v>
      </c>
      <c r="C1622" t="s">
        <v>56</v>
      </c>
      <c r="D1622" t="s">
        <v>408</v>
      </c>
      <c r="E1622" t="s">
        <v>403</v>
      </c>
      <c r="F1622" s="122">
        <v>2</v>
      </c>
      <c r="G1622" s="122">
        <v>254</v>
      </c>
      <c r="H1622" s="122">
        <v>352</v>
      </c>
      <c r="I1622" s="122">
        <v>9601</v>
      </c>
      <c r="J1622" s="122">
        <v>8728</v>
      </c>
      <c r="K1622" s="122">
        <v>60</v>
      </c>
      <c r="L1622" s="122">
        <v>2134</v>
      </c>
      <c r="M1622" s="122">
        <v>1940</v>
      </c>
      <c r="N1622" s="122">
        <v>4333</v>
      </c>
      <c r="O1622" s="122">
        <v>1605</v>
      </c>
      <c r="P1622" s="122">
        <v>702</v>
      </c>
      <c r="Q1622" s="122">
        <v>260</v>
      </c>
      <c r="R1622" s="122">
        <v>27951</v>
      </c>
      <c r="S1622" s="122">
        <v>10352</v>
      </c>
      <c r="T1622" s="122">
        <v>0</v>
      </c>
      <c r="U1622" s="122">
        <v>0</v>
      </c>
      <c r="V1622" s="122">
        <v>22885</v>
      </c>
      <c r="W1622" s="122">
        <f t="shared" si="50"/>
        <v>22885</v>
      </c>
      <c r="X1622" s="122">
        <f t="shared" si="51"/>
        <v>44721</v>
      </c>
      <c r="AA1622" t="s">
        <v>62</v>
      </c>
      <c r="AB1622" t="s">
        <v>406</v>
      </c>
      <c r="AC1622" t="s">
        <v>431</v>
      </c>
      <c r="AD1622" t="s">
        <v>406</v>
      </c>
      <c r="AE1622" t="s">
        <v>566</v>
      </c>
      <c r="AF1622">
        <v>8</v>
      </c>
      <c r="AG1622">
        <v>608</v>
      </c>
      <c r="AH1622" s="122">
        <v>3363</v>
      </c>
      <c r="AI1622" s="122">
        <v>153512</v>
      </c>
      <c r="AJ1622" s="122">
        <v>139556</v>
      </c>
      <c r="AK1622">
        <v>76</v>
      </c>
      <c r="AL1622" s="122">
        <v>32587</v>
      </c>
      <c r="AM1622" s="122">
        <v>29624</v>
      </c>
      <c r="AN1622" s="122">
        <v>12420</v>
      </c>
      <c r="AO1622" s="122">
        <v>4600</v>
      </c>
      <c r="AP1622" s="122">
        <v>4968</v>
      </c>
      <c r="AQ1622" s="122">
        <v>1840</v>
      </c>
      <c r="AR1622" s="122">
        <v>50147</v>
      </c>
      <c r="AS1622" s="122">
        <v>45589</v>
      </c>
      <c r="AT1622">
        <v>0</v>
      </c>
      <c r="AU1622">
        <v>0</v>
      </c>
      <c r="AV1622" s="122">
        <v>221209</v>
      </c>
    </row>
    <row r="1623" spans="2:48" hidden="1">
      <c r="B1623" t="s">
        <v>375</v>
      </c>
      <c r="C1623" t="s">
        <v>56</v>
      </c>
      <c r="D1623" t="s">
        <v>408</v>
      </c>
      <c r="E1623" t="s">
        <v>408</v>
      </c>
      <c r="F1623" s="122">
        <v>21</v>
      </c>
      <c r="G1623" s="122">
        <v>2011</v>
      </c>
      <c r="H1623" s="122">
        <v>3761</v>
      </c>
      <c r="I1623" s="122">
        <v>178759</v>
      </c>
      <c r="J1623" s="122">
        <v>162508</v>
      </c>
      <c r="K1623" s="122">
        <v>76</v>
      </c>
      <c r="L1623" s="122">
        <v>40387</v>
      </c>
      <c r="M1623" s="122">
        <v>35792</v>
      </c>
      <c r="N1623" s="122">
        <v>42961</v>
      </c>
      <c r="O1623" s="122">
        <v>15912</v>
      </c>
      <c r="P1623" s="122">
        <v>7371</v>
      </c>
      <c r="Q1623" s="122">
        <v>2730</v>
      </c>
      <c r="R1623" s="122">
        <v>83408</v>
      </c>
      <c r="S1623" s="122">
        <v>75826</v>
      </c>
      <c r="T1623" s="122">
        <v>10120</v>
      </c>
      <c r="U1623" s="122">
        <v>3748</v>
      </c>
      <c r="V1623" s="122">
        <v>296515</v>
      </c>
      <c r="W1623" s="122">
        <f t="shared" si="50"/>
        <v>296516</v>
      </c>
      <c r="X1623" s="122">
        <f t="shared" si="51"/>
        <v>363006</v>
      </c>
      <c r="AA1623" t="s">
        <v>62</v>
      </c>
      <c r="AB1623" t="s">
        <v>406</v>
      </c>
      <c r="AC1623" t="s">
        <v>426</v>
      </c>
      <c r="AD1623" t="s">
        <v>405</v>
      </c>
      <c r="AE1623" t="s">
        <v>566</v>
      </c>
      <c r="AF1623">
        <v>1</v>
      </c>
      <c r="AG1623">
        <v>142</v>
      </c>
      <c r="AH1623">
        <v>406</v>
      </c>
      <c r="AI1623" s="122">
        <v>41998</v>
      </c>
      <c r="AJ1623" s="122">
        <v>38180</v>
      </c>
      <c r="AK1623">
        <v>75</v>
      </c>
      <c r="AL1623" s="122">
        <v>5545</v>
      </c>
      <c r="AM1623" s="122">
        <v>5041</v>
      </c>
      <c r="AN1623" s="122">
        <v>2676</v>
      </c>
      <c r="AO1623">
        <v>991</v>
      </c>
      <c r="AP1623">
        <v>621</v>
      </c>
      <c r="AQ1623">
        <v>230</v>
      </c>
      <c r="AR1623" s="122">
        <v>6690</v>
      </c>
      <c r="AS1623" s="122">
        <v>6082</v>
      </c>
      <c r="AT1623">
        <v>0</v>
      </c>
      <c r="AU1623">
        <v>0</v>
      </c>
      <c r="AV1623" s="122">
        <v>50525</v>
      </c>
    </row>
    <row r="1624" spans="2:48" hidden="1">
      <c r="B1624" t="s">
        <v>375</v>
      </c>
      <c r="C1624" t="s">
        <v>56</v>
      </c>
      <c r="D1624" t="s">
        <v>429</v>
      </c>
      <c r="E1624" t="s">
        <v>408</v>
      </c>
      <c r="F1624" s="122">
        <v>1</v>
      </c>
      <c r="G1624" s="122">
        <v>85</v>
      </c>
      <c r="H1624" s="122">
        <v>181</v>
      </c>
      <c r="I1624" s="122">
        <v>8185</v>
      </c>
      <c r="J1624" s="122">
        <v>7441</v>
      </c>
      <c r="K1624" s="122">
        <v>83</v>
      </c>
      <c r="L1624" s="122">
        <v>1068</v>
      </c>
      <c r="M1624" s="122">
        <v>890</v>
      </c>
      <c r="N1624" s="122">
        <v>1038</v>
      </c>
      <c r="O1624" s="122">
        <v>384</v>
      </c>
      <c r="P1624" s="122">
        <v>351</v>
      </c>
      <c r="Q1624" s="122">
        <v>130</v>
      </c>
      <c r="R1624" s="122">
        <v>4814</v>
      </c>
      <c r="S1624" s="122">
        <v>4376</v>
      </c>
      <c r="T1624" s="122">
        <v>0</v>
      </c>
      <c r="U1624" s="122">
        <v>0</v>
      </c>
      <c r="V1624" s="122">
        <v>13222</v>
      </c>
      <c r="W1624" s="122">
        <f t="shared" si="50"/>
        <v>13221</v>
      </c>
      <c r="X1624" s="122">
        <f t="shared" si="51"/>
        <v>15456</v>
      </c>
      <c r="AA1624" t="s">
        <v>62</v>
      </c>
      <c r="AB1624" t="s">
        <v>406</v>
      </c>
      <c r="AC1624" t="s">
        <v>426</v>
      </c>
      <c r="AD1624" t="s">
        <v>137</v>
      </c>
      <c r="AE1624" t="s">
        <v>137</v>
      </c>
      <c r="AF1624">
        <v>3</v>
      </c>
      <c r="AG1624">
        <v>458</v>
      </c>
      <c r="AH1624" s="122">
        <v>1311</v>
      </c>
      <c r="AI1624" s="122">
        <v>119762</v>
      </c>
      <c r="AJ1624" s="122">
        <v>108874</v>
      </c>
      <c r="AK1624">
        <v>71</v>
      </c>
      <c r="AL1624" s="122">
        <v>26389</v>
      </c>
      <c r="AM1624" s="122">
        <v>23990</v>
      </c>
      <c r="AN1624" s="122">
        <v>11431</v>
      </c>
      <c r="AO1624" s="122">
        <v>4234</v>
      </c>
      <c r="AP1624" s="122">
        <v>1863</v>
      </c>
      <c r="AQ1624">
        <v>690</v>
      </c>
      <c r="AR1624" s="122">
        <v>43001</v>
      </c>
      <c r="AS1624" s="122">
        <v>15926</v>
      </c>
      <c r="AT1624" s="122">
        <v>6782</v>
      </c>
      <c r="AU1624" s="122">
        <v>2512</v>
      </c>
      <c r="AV1624" s="122">
        <v>156226</v>
      </c>
    </row>
    <row r="1625" spans="2:48" hidden="1">
      <c r="B1625" t="s">
        <v>375</v>
      </c>
      <c r="C1625" t="s">
        <v>58</v>
      </c>
      <c r="D1625" t="s">
        <v>425</v>
      </c>
      <c r="E1625" t="s">
        <v>425</v>
      </c>
      <c r="F1625" s="122">
        <v>2</v>
      </c>
      <c r="G1625" s="122">
        <v>195</v>
      </c>
      <c r="H1625" s="122">
        <v>566</v>
      </c>
      <c r="I1625" s="122">
        <v>30646</v>
      </c>
      <c r="J1625" s="122">
        <v>27860</v>
      </c>
      <c r="K1625" s="122">
        <v>68</v>
      </c>
      <c r="L1625" s="122">
        <v>4820</v>
      </c>
      <c r="M1625" s="122">
        <v>4382</v>
      </c>
      <c r="N1625" s="122">
        <v>4519</v>
      </c>
      <c r="O1625" s="122">
        <v>1674</v>
      </c>
      <c r="P1625" s="122">
        <v>945</v>
      </c>
      <c r="Q1625" s="122">
        <v>350</v>
      </c>
      <c r="R1625" s="122">
        <v>11286</v>
      </c>
      <c r="S1625" s="122">
        <v>10260</v>
      </c>
      <c r="T1625" s="122">
        <v>3090</v>
      </c>
      <c r="U1625" s="122">
        <v>1144</v>
      </c>
      <c r="V1625" s="122">
        <v>45671</v>
      </c>
      <c r="W1625" s="122">
        <f t="shared" si="50"/>
        <v>45670</v>
      </c>
      <c r="X1625" s="122">
        <f t="shared" si="51"/>
        <v>55306</v>
      </c>
      <c r="AA1625" t="s">
        <v>62</v>
      </c>
      <c r="AB1625" t="s">
        <v>406</v>
      </c>
      <c r="AC1625" t="s">
        <v>426</v>
      </c>
      <c r="AD1625" t="s">
        <v>137</v>
      </c>
      <c r="AE1625" t="s">
        <v>566</v>
      </c>
      <c r="AF1625">
        <v>36</v>
      </c>
      <c r="AG1625" s="122">
        <v>3273</v>
      </c>
      <c r="AH1625" s="122">
        <v>15274</v>
      </c>
      <c r="AI1625" s="122">
        <v>849120</v>
      </c>
      <c r="AJ1625" s="122">
        <v>771928</v>
      </c>
      <c r="AK1625">
        <v>81</v>
      </c>
      <c r="AL1625" s="122">
        <v>223870</v>
      </c>
      <c r="AM1625" s="122">
        <v>203518</v>
      </c>
      <c r="AN1625" s="122">
        <v>67749</v>
      </c>
      <c r="AO1625" s="122">
        <v>25092</v>
      </c>
      <c r="AP1625" s="122">
        <v>22739</v>
      </c>
      <c r="AQ1625" s="122">
        <v>8422</v>
      </c>
      <c r="AR1625" s="122">
        <v>227832</v>
      </c>
      <c r="AS1625" s="122">
        <v>84382</v>
      </c>
      <c r="AT1625">
        <v>0</v>
      </c>
      <c r="AU1625">
        <v>0</v>
      </c>
      <c r="AV1625" s="122">
        <v>1093342</v>
      </c>
    </row>
    <row r="1626" spans="2:48" hidden="1">
      <c r="B1626" t="s">
        <v>375</v>
      </c>
      <c r="C1626" t="s">
        <v>58</v>
      </c>
      <c r="D1626" t="s">
        <v>405</v>
      </c>
      <c r="E1626" t="s">
        <v>405</v>
      </c>
      <c r="F1626" s="122">
        <v>4</v>
      </c>
      <c r="G1626" s="122">
        <v>280</v>
      </c>
      <c r="H1626" s="122">
        <v>1145</v>
      </c>
      <c r="I1626" s="122">
        <v>54809</v>
      </c>
      <c r="J1626" s="122">
        <v>49826</v>
      </c>
      <c r="K1626" s="122">
        <v>84</v>
      </c>
      <c r="L1626" s="122">
        <v>9197</v>
      </c>
      <c r="M1626" s="122">
        <v>8361</v>
      </c>
      <c r="N1626" s="122">
        <v>5760</v>
      </c>
      <c r="O1626" s="122">
        <v>2133</v>
      </c>
      <c r="P1626" s="122">
        <v>1890</v>
      </c>
      <c r="Q1626" s="122">
        <v>700</v>
      </c>
      <c r="R1626" s="122">
        <v>12637</v>
      </c>
      <c r="S1626" s="122">
        <v>11489</v>
      </c>
      <c r="T1626" s="122">
        <v>5169</v>
      </c>
      <c r="U1626" s="122">
        <v>1914</v>
      </c>
      <c r="V1626" s="122">
        <v>74423</v>
      </c>
      <c r="W1626" s="122">
        <f t="shared" si="50"/>
        <v>74423</v>
      </c>
      <c r="X1626" s="122">
        <f t="shared" si="51"/>
        <v>89462</v>
      </c>
      <c r="AA1626" t="s">
        <v>62</v>
      </c>
      <c r="AB1626" t="s">
        <v>406</v>
      </c>
      <c r="AC1626" t="s">
        <v>426</v>
      </c>
      <c r="AD1626" t="s">
        <v>406</v>
      </c>
      <c r="AE1626" t="s">
        <v>137</v>
      </c>
      <c r="AF1626" s="122">
        <v>2066</v>
      </c>
      <c r="AG1626" s="122">
        <v>198926</v>
      </c>
      <c r="AH1626" s="122">
        <v>854976</v>
      </c>
      <c r="AI1626" s="122">
        <v>52235262</v>
      </c>
      <c r="AJ1626" s="122">
        <v>47486602</v>
      </c>
      <c r="AK1626">
        <v>76</v>
      </c>
      <c r="AL1626" s="122">
        <v>11203681</v>
      </c>
      <c r="AM1626" s="122">
        <v>10185164</v>
      </c>
      <c r="AN1626" s="122">
        <v>4287844</v>
      </c>
      <c r="AO1626" s="122">
        <v>1588090</v>
      </c>
      <c r="AP1626" s="122">
        <v>1322429</v>
      </c>
      <c r="AQ1626" s="122">
        <v>489788</v>
      </c>
      <c r="AR1626" s="122">
        <v>9151144</v>
      </c>
      <c r="AS1626" s="122">
        <v>8319222</v>
      </c>
      <c r="AT1626" s="122">
        <v>4881518</v>
      </c>
      <c r="AU1626" s="122">
        <v>1807970</v>
      </c>
      <c r="AV1626" s="122">
        <v>69876836</v>
      </c>
    </row>
    <row r="1627" spans="2:48" hidden="1">
      <c r="B1627" t="s">
        <v>375</v>
      </c>
      <c r="C1627" t="s">
        <v>58</v>
      </c>
      <c r="D1627" t="s">
        <v>137</v>
      </c>
      <c r="E1627" t="s">
        <v>137</v>
      </c>
      <c r="F1627" s="122">
        <v>294</v>
      </c>
      <c r="G1627" s="122">
        <v>26931</v>
      </c>
      <c r="H1627" s="122">
        <v>76926</v>
      </c>
      <c r="I1627" s="122">
        <v>3780650</v>
      </c>
      <c r="J1627" s="122">
        <v>1400241</v>
      </c>
      <c r="K1627" s="122">
        <v>101</v>
      </c>
      <c r="L1627" s="122">
        <v>621528</v>
      </c>
      <c r="M1627" s="122">
        <v>521913</v>
      </c>
      <c r="N1627" s="122">
        <v>533197</v>
      </c>
      <c r="O1627" s="122">
        <v>197480</v>
      </c>
      <c r="P1627" s="122">
        <v>5462</v>
      </c>
      <c r="Q1627" s="122">
        <v>2023</v>
      </c>
      <c r="R1627" s="122">
        <v>2069402</v>
      </c>
      <c r="S1627" s="122">
        <v>766445</v>
      </c>
      <c r="T1627" s="122">
        <v>0</v>
      </c>
      <c r="U1627" s="122">
        <v>0</v>
      </c>
      <c r="V1627" s="122">
        <v>2888102</v>
      </c>
      <c r="W1627" s="122">
        <f t="shared" si="50"/>
        <v>2888102</v>
      </c>
      <c r="X1627" s="122">
        <f t="shared" si="51"/>
        <v>7010239</v>
      </c>
      <c r="AA1627" t="s">
        <v>62</v>
      </c>
      <c r="AB1627" t="s">
        <v>406</v>
      </c>
      <c r="AC1627" t="s">
        <v>426</v>
      </c>
      <c r="AD1627" t="s">
        <v>406</v>
      </c>
      <c r="AE1627" t="s">
        <v>566</v>
      </c>
      <c r="AF1627">
        <v>568</v>
      </c>
      <c r="AG1627" s="122">
        <v>55049</v>
      </c>
      <c r="AH1627" s="122">
        <v>234013</v>
      </c>
      <c r="AI1627" s="122">
        <v>14563373</v>
      </c>
      <c r="AJ1627" s="122">
        <v>13239430</v>
      </c>
      <c r="AK1627">
        <v>76</v>
      </c>
      <c r="AL1627" s="122">
        <v>3223284</v>
      </c>
      <c r="AM1627" s="122">
        <v>2930258</v>
      </c>
      <c r="AN1627" s="122">
        <v>1189677</v>
      </c>
      <c r="AO1627" s="122">
        <v>440621</v>
      </c>
      <c r="AP1627" s="122">
        <v>358722</v>
      </c>
      <c r="AQ1627" s="122">
        <v>132860</v>
      </c>
      <c r="AR1627" s="122">
        <v>3558918</v>
      </c>
      <c r="AS1627" s="122">
        <v>3235380</v>
      </c>
      <c r="AT1627">
        <v>0</v>
      </c>
      <c r="AU1627">
        <v>0</v>
      </c>
      <c r="AV1627" s="122">
        <v>19978550</v>
      </c>
    </row>
    <row r="1628" spans="2:48" hidden="1">
      <c r="B1628" t="s">
        <v>375</v>
      </c>
      <c r="C1628" t="s">
        <v>58</v>
      </c>
      <c r="D1628" t="s">
        <v>137</v>
      </c>
      <c r="E1628" t="s">
        <v>426</v>
      </c>
      <c r="F1628" s="122">
        <v>3</v>
      </c>
      <c r="G1628" s="122">
        <v>236</v>
      </c>
      <c r="H1628" s="122">
        <v>828</v>
      </c>
      <c r="I1628" s="122">
        <v>30067</v>
      </c>
      <c r="J1628" s="122">
        <v>11136</v>
      </c>
      <c r="K1628" s="122">
        <v>100</v>
      </c>
      <c r="L1628" s="122">
        <v>3865</v>
      </c>
      <c r="M1628" s="122">
        <v>3514</v>
      </c>
      <c r="N1628" s="122">
        <v>5119</v>
      </c>
      <c r="O1628" s="122">
        <v>1896</v>
      </c>
      <c r="P1628" s="122">
        <v>0</v>
      </c>
      <c r="Q1628" s="122">
        <v>0</v>
      </c>
      <c r="R1628" s="122">
        <v>18838</v>
      </c>
      <c r="S1628" s="122">
        <v>17125</v>
      </c>
      <c r="T1628" s="122">
        <v>7154</v>
      </c>
      <c r="U1628" s="122">
        <v>2650</v>
      </c>
      <c r="V1628" s="122">
        <v>36321</v>
      </c>
      <c r="W1628" s="122">
        <f t="shared" si="50"/>
        <v>36321</v>
      </c>
      <c r="X1628" s="122">
        <f t="shared" si="51"/>
        <v>65043</v>
      </c>
      <c r="AA1628" t="s">
        <v>62</v>
      </c>
      <c r="AB1628" t="s">
        <v>406</v>
      </c>
      <c r="AC1628" t="s">
        <v>426</v>
      </c>
      <c r="AD1628" t="s">
        <v>407</v>
      </c>
      <c r="AE1628" t="s">
        <v>137</v>
      </c>
      <c r="AF1628">
        <v>1</v>
      </c>
      <c r="AG1628">
        <v>115</v>
      </c>
      <c r="AH1628">
        <v>385</v>
      </c>
      <c r="AI1628" s="122">
        <v>28397</v>
      </c>
      <c r="AJ1628" s="122">
        <v>25815</v>
      </c>
      <c r="AK1628">
        <v>70</v>
      </c>
      <c r="AL1628" s="122">
        <v>6994</v>
      </c>
      <c r="AM1628" s="122">
        <v>6358</v>
      </c>
      <c r="AN1628" s="122">
        <v>1406</v>
      </c>
      <c r="AO1628">
        <v>521</v>
      </c>
      <c r="AP1628">
        <v>621</v>
      </c>
      <c r="AQ1628">
        <v>230</v>
      </c>
      <c r="AR1628" s="122">
        <v>4380</v>
      </c>
      <c r="AS1628" s="122">
        <v>3982</v>
      </c>
      <c r="AT1628" s="122">
        <v>2620</v>
      </c>
      <c r="AU1628">
        <v>970</v>
      </c>
      <c r="AV1628" s="122">
        <v>37877</v>
      </c>
    </row>
    <row r="1629" spans="2:48" hidden="1">
      <c r="B1629" t="s">
        <v>375</v>
      </c>
      <c r="C1629" t="s">
        <v>58</v>
      </c>
      <c r="D1629" t="s">
        <v>406</v>
      </c>
      <c r="E1629" t="s">
        <v>137</v>
      </c>
      <c r="F1629" s="122">
        <v>4</v>
      </c>
      <c r="G1629" s="122">
        <v>304</v>
      </c>
      <c r="H1629" s="122">
        <v>1022</v>
      </c>
      <c r="I1629" s="122">
        <v>38757</v>
      </c>
      <c r="J1629" s="122">
        <v>35233</v>
      </c>
      <c r="K1629" s="122">
        <v>85</v>
      </c>
      <c r="L1629" s="122">
        <v>10730</v>
      </c>
      <c r="M1629" s="122">
        <v>8450</v>
      </c>
      <c r="N1629" s="122">
        <v>7162</v>
      </c>
      <c r="O1629" s="122">
        <v>2653</v>
      </c>
      <c r="P1629" s="122">
        <v>2484</v>
      </c>
      <c r="Q1629" s="122">
        <v>920</v>
      </c>
      <c r="R1629" s="122">
        <v>18396</v>
      </c>
      <c r="S1629" s="122">
        <v>6813</v>
      </c>
      <c r="T1629" s="122">
        <v>0</v>
      </c>
      <c r="U1629" s="122">
        <v>0</v>
      </c>
      <c r="V1629" s="122">
        <v>54069</v>
      </c>
      <c r="W1629" s="122">
        <f t="shared" si="50"/>
        <v>54069</v>
      </c>
      <c r="X1629" s="122">
        <f t="shared" si="51"/>
        <v>77529</v>
      </c>
      <c r="AA1629" t="s">
        <v>62</v>
      </c>
      <c r="AB1629" t="s">
        <v>406</v>
      </c>
      <c r="AC1629" t="s">
        <v>426</v>
      </c>
      <c r="AD1629" t="s">
        <v>426</v>
      </c>
      <c r="AE1629" t="s">
        <v>137</v>
      </c>
      <c r="AF1629">
        <v>6</v>
      </c>
      <c r="AG1629">
        <v>522</v>
      </c>
      <c r="AH1629" s="122">
        <v>2569</v>
      </c>
      <c r="AI1629" s="122">
        <v>127403</v>
      </c>
      <c r="AJ1629" s="122">
        <v>115821</v>
      </c>
      <c r="AK1629">
        <v>74</v>
      </c>
      <c r="AL1629" s="122">
        <v>26735</v>
      </c>
      <c r="AM1629" s="122">
        <v>24305</v>
      </c>
      <c r="AN1629" s="122">
        <v>12263</v>
      </c>
      <c r="AO1629" s="122">
        <v>4542</v>
      </c>
      <c r="AP1629" s="122">
        <v>3105</v>
      </c>
      <c r="AQ1629" s="122">
        <v>1150</v>
      </c>
      <c r="AR1629" s="122">
        <v>37926</v>
      </c>
      <c r="AS1629" s="122">
        <v>34478</v>
      </c>
      <c r="AT1629" s="122">
        <v>16365</v>
      </c>
      <c r="AU1629" s="122">
        <v>6061</v>
      </c>
      <c r="AV1629" s="122">
        <v>186357</v>
      </c>
    </row>
    <row r="1630" spans="2:48" hidden="1">
      <c r="B1630" t="s">
        <v>375</v>
      </c>
      <c r="C1630" t="s">
        <v>58</v>
      </c>
      <c r="D1630" t="s">
        <v>406</v>
      </c>
      <c r="E1630" t="s">
        <v>406</v>
      </c>
      <c r="F1630" s="122">
        <v>356</v>
      </c>
      <c r="G1630" s="122">
        <v>33919</v>
      </c>
      <c r="H1630" s="122">
        <v>90282</v>
      </c>
      <c r="I1630" s="122">
        <v>4340518</v>
      </c>
      <c r="J1630" s="122">
        <v>3945925</v>
      </c>
      <c r="K1630" s="122">
        <v>80</v>
      </c>
      <c r="L1630" s="122">
        <v>1043691</v>
      </c>
      <c r="M1630" s="122">
        <v>930407</v>
      </c>
      <c r="N1630" s="122">
        <v>697017</v>
      </c>
      <c r="O1630" s="122">
        <v>258154</v>
      </c>
      <c r="P1630" s="122">
        <v>225113</v>
      </c>
      <c r="Q1630" s="122">
        <v>83375</v>
      </c>
      <c r="R1630" s="122">
        <v>1525742</v>
      </c>
      <c r="S1630" s="122">
        <v>1387038</v>
      </c>
      <c r="T1630" s="122">
        <v>770601</v>
      </c>
      <c r="U1630" s="122">
        <v>285408</v>
      </c>
      <c r="V1630" s="122">
        <v>6890307</v>
      </c>
      <c r="W1630" s="122">
        <f t="shared" si="50"/>
        <v>6890307</v>
      </c>
      <c r="X1630" s="122">
        <f t="shared" si="51"/>
        <v>8602682</v>
      </c>
      <c r="AA1630" t="s">
        <v>62</v>
      </c>
      <c r="AB1630" t="s">
        <v>406</v>
      </c>
      <c r="AC1630" t="s">
        <v>566</v>
      </c>
      <c r="AD1630" t="s">
        <v>137</v>
      </c>
      <c r="AE1630" t="s">
        <v>566</v>
      </c>
      <c r="AF1630">
        <v>11</v>
      </c>
      <c r="AG1630">
        <v>873</v>
      </c>
      <c r="AH1630" s="122">
        <v>4481</v>
      </c>
      <c r="AI1630" s="122">
        <v>269759</v>
      </c>
      <c r="AJ1630" s="122">
        <v>245236</v>
      </c>
      <c r="AK1630">
        <v>77</v>
      </c>
      <c r="AL1630">
        <v>0</v>
      </c>
      <c r="AM1630" s="122">
        <v>3565</v>
      </c>
      <c r="AN1630" s="122">
        <v>18740</v>
      </c>
      <c r="AO1630" s="122">
        <v>6941</v>
      </c>
      <c r="AP1630" s="122">
        <v>6831</v>
      </c>
      <c r="AQ1630" s="122">
        <v>2530</v>
      </c>
      <c r="AR1630" s="122">
        <v>60287</v>
      </c>
      <c r="AS1630" s="122">
        <v>22328</v>
      </c>
      <c r="AT1630">
        <v>0</v>
      </c>
      <c r="AU1630">
        <v>0</v>
      </c>
      <c r="AV1630" s="122">
        <v>280600</v>
      </c>
    </row>
    <row r="1631" spans="2:48" hidden="1">
      <c r="B1631" t="s">
        <v>375</v>
      </c>
      <c r="C1631" t="s">
        <v>58</v>
      </c>
      <c r="D1631" t="s">
        <v>427</v>
      </c>
      <c r="E1631" t="s">
        <v>427</v>
      </c>
      <c r="F1631" s="122">
        <v>3</v>
      </c>
      <c r="G1631" s="122">
        <v>417</v>
      </c>
      <c r="H1631" s="122">
        <v>834</v>
      </c>
      <c r="I1631" s="122">
        <v>64769</v>
      </c>
      <c r="J1631" s="122">
        <v>58881</v>
      </c>
      <c r="K1631" s="122">
        <v>60</v>
      </c>
      <c r="L1631" s="122">
        <v>11304</v>
      </c>
      <c r="M1631" s="122">
        <v>5680</v>
      </c>
      <c r="N1631" s="122">
        <v>7863</v>
      </c>
      <c r="O1631" s="122">
        <v>2912</v>
      </c>
      <c r="P1631" s="122">
        <v>351</v>
      </c>
      <c r="Q1631" s="122">
        <v>130</v>
      </c>
      <c r="R1631" s="122">
        <v>20175</v>
      </c>
      <c r="S1631" s="122">
        <v>18341</v>
      </c>
      <c r="T1631" s="122">
        <v>6381</v>
      </c>
      <c r="U1631" s="122">
        <v>2363</v>
      </c>
      <c r="V1631" s="122">
        <v>88308</v>
      </c>
      <c r="W1631" s="122">
        <f t="shared" si="50"/>
        <v>88307</v>
      </c>
      <c r="X1631" s="122">
        <f t="shared" si="51"/>
        <v>110843</v>
      </c>
      <c r="AA1631" t="s">
        <v>62</v>
      </c>
      <c r="AB1631" t="s">
        <v>406</v>
      </c>
      <c r="AC1631" t="s">
        <v>566</v>
      </c>
      <c r="AD1631" t="s">
        <v>406</v>
      </c>
      <c r="AE1631" t="s">
        <v>137</v>
      </c>
      <c r="AF1631">
        <v>178</v>
      </c>
      <c r="AG1631" s="122">
        <v>14755</v>
      </c>
      <c r="AH1631" s="122">
        <v>73192</v>
      </c>
      <c r="AI1631" s="122">
        <v>4512407</v>
      </c>
      <c r="AJ1631" s="122">
        <v>4102188</v>
      </c>
      <c r="AK1631">
        <v>73</v>
      </c>
      <c r="AL1631">
        <v>0</v>
      </c>
      <c r="AM1631" s="122">
        <v>25504</v>
      </c>
      <c r="AN1631" s="122">
        <v>319506</v>
      </c>
      <c r="AO1631" s="122">
        <v>118336</v>
      </c>
      <c r="AP1631" s="122">
        <v>110471</v>
      </c>
      <c r="AQ1631" s="122">
        <v>40915</v>
      </c>
      <c r="AR1631" s="122">
        <v>762597</v>
      </c>
      <c r="AS1631" s="122">
        <v>693270</v>
      </c>
      <c r="AT1631" s="122">
        <v>409929</v>
      </c>
      <c r="AU1631" s="122">
        <v>151825</v>
      </c>
      <c r="AV1631" s="122">
        <v>5132038</v>
      </c>
    </row>
    <row r="1632" spans="2:48" hidden="1">
      <c r="B1632" t="s">
        <v>375</v>
      </c>
      <c r="C1632" t="s">
        <v>58</v>
      </c>
      <c r="D1632" t="s">
        <v>556</v>
      </c>
      <c r="E1632" t="s">
        <v>556</v>
      </c>
      <c r="F1632" s="122">
        <v>1</v>
      </c>
      <c r="G1632" s="122">
        <v>113</v>
      </c>
      <c r="H1632" s="122">
        <v>246</v>
      </c>
      <c r="I1632" s="122">
        <v>15501</v>
      </c>
      <c r="J1632" s="122">
        <v>12917</v>
      </c>
      <c r="K1632" s="122">
        <v>70</v>
      </c>
      <c r="L1632" s="122">
        <v>1603</v>
      </c>
      <c r="M1632" s="122">
        <v>1457</v>
      </c>
      <c r="N1632" s="122">
        <v>2468</v>
      </c>
      <c r="O1632" s="122">
        <v>914</v>
      </c>
      <c r="P1632" s="122">
        <v>473</v>
      </c>
      <c r="Q1632" s="122">
        <v>175</v>
      </c>
      <c r="R1632" s="122">
        <v>5018</v>
      </c>
      <c r="S1632" s="122">
        <v>4182</v>
      </c>
      <c r="T1632" s="122">
        <v>2585</v>
      </c>
      <c r="U1632" s="122">
        <v>957</v>
      </c>
      <c r="V1632" s="122">
        <v>20602</v>
      </c>
      <c r="W1632" s="122">
        <f t="shared" si="50"/>
        <v>20602</v>
      </c>
      <c r="X1632" s="122">
        <f t="shared" si="51"/>
        <v>27648</v>
      </c>
      <c r="AA1632" t="s">
        <v>62</v>
      </c>
      <c r="AB1632" t="s">
        <v>406</v>
      </c>
      <c r="AC1632" t="s">
        <v>566</v>
      </c>
      <c r="AD1632" t="s">
        <v>406</v>
      </c>
      <c r="AE1632" t="s">
        <v>566</v>
      </c>
      <c r="AF1632">
        <v>45</v>
      </c>
      <c r="AG1632" s="122">
        <v>4210</v>
      </c>
      <c r="AH1632" s="122">
        <v>18499</v>
      </c>
      <c r="AI1632" s="122">
        <v>1314161</v>
      </c>
      <c r="AJ1632" s="122">
        <v>1194692</v>
      </c>
      <c r="AK1632">
        <v>70</v>
      </c>
      <c r="AL1632">
        <v>0</v>
      </c>
      <c r="AM1632" s="122">
        <v>27398</v>
      </c>
      <c r="AN1632" s="122">
        <v>87401</v>
      </c>
      <c r="AO1632" s="122">
        <v>32371</v>
      </c>
      <c r="AP1632" s="122">
        <v>27675</v>
      </c>
      <c r="AQ1632" s="122">
        <v>10250</v>
      </c>
      <c r="AR1632" s="122">
        <v>305794</v>
      </c>
      <c r="AS1632" s="122">
        <v>277995</v>
      </c>
      <c r="AT1632">
        <v>0</v>
      </c>
      <c r="AU1632">
        <v>0</v>
      </c>
      <c r="AV1632" s="122">
        <v>1542705</v>
      </c>
    </row>
    <row r="1633" spans="2:48" hidden="1">
      <c r="B1633" t="s">
        <v>375</v>
      </c>
      <c r="C1633" t="s">
        <v>58</v>
      </c>
      <c r="D1633" t="s">
        <v>426</v>
      </c>
      <c r="E1633" t="s">
        <v>426</v>
      </c>
      <c r="F1633" s="122">
        <v>52</v>
      </c>
      <c r="G1633" s="122">
        <v>4626</v>
      </c>
      <c r="H1633" s="122">
        <v>13581</v>
      </c>
      <c r="I1633" s="122">
        <v>639405</v>
      </c>
      <c r="J1633" s="122">
        <v>581278</v>
      </c>
      <c r="K1633" s="122">
        <v>60</v>
      </c>
      <c r="L1633" s="122">
        <v>72456</v>
      </c>
      <c r="M1633" s="122">
        <v>54965</v>
      </c>
      <c r="N1633" s="122">
        <v>90968</v>
      </c>
      <c r="O1633" s="122">
        <v>33692</v>
      </c>
      <c r="P1633" s="122">
        <v>27216</v>
      </c>
      <c r="Q1633" s="122">
        <v>10080</v>
      </c>
      <c r="R1633" s="122">
        <v>255229</v>
      </c>
      <c r="S1633" s="122">
        <v>232026</v>
      </c>
      <c r="T1633" s="122">
        <v>121053</v>
      </c>
      <c r="U1633" s="122">
        <v>44834</v>
      </c>
      <c r="V1633" s="122">
        <v>956875</v>
      </c>
      <c r="W1633" s="122">
        <f t="shared" si="50"/>
        <v>956875</v>
      </c>
      <c r="X1633" s="122">
        <f t="shared" si="51"/>
        <v>1206327</v>
      </c>
      <c r="AA1633" t="s">
        <v>62</v>
      </c>
      <c r="AB1633" t="s">
        <v>406</v>
      </c>
      <c r="AC1633" t="s">
        <v>481</v>
      </c>
      <c r="AD1633" t="s">
        <v>406</v>
      </c>
      <c r="AE1633" t="s">
        <v>137</v>
      </c>
      <c r="AF1633">
        <v>2</v>
      </c>
      <c r="AG1633">
        <v>189</v>
      </c>
      <c r="AH1633">
        <v>838</v>
      </c>
      <c r="AI1633" s="122">
        <v>49191</v>
      </c>
      <c r="AJ1633" s="122">
        <v>44719</v>
      </c>
      <c r="AK1633">
        <v>68</v>
      </c>
      <c r="AL1633" s="122">
        <v>11827</v>
      </c>
      <c r="AM1633" s="122">
        <v>10752</v>
      </c>
      <c r="AN1633" s="122">
        <v>4282</v>
      </c>
      <c r="AO1633" s="122">
        <v>1586</v>
      </c>
      <c r="AP1633" s="122">
        <v>1242</v>
      </c>
      <c r="AQ1633">
        <v>460</v>
      </c>
      <c r="AR1633" s="122">
        <v>8230</v>
      </c>
      <c r="AS1633" s="122">
        <v>7482</v>
      </c>
      <c r="AT1633" s="122">
        <v>4242</v>
      </c>
      <c r="AU1633" s="122">
        <v>1571</v>
      </c>
      <c r="AV1633" s="122">
        <v>66570</v>
      </c>
    </row>
    <row r="1634" spans="2:48" hidden="1">
      <c r="B1634" t="s">
        <v>375</v>
      </c>
      <c r="C1634" t="s">
        <v>58</v>
      </c>
      <c r="D1634" t="s">
        <v>408</v>
      </c>
      <c r="E1634" t="s">
        <v>408</v>
      </c>
      <c r="F1634" s="122">
        <v>2</v>
      </c>
      <c r="G1634" s="122">
        <v>146</v>
      </c>
      <c r="H1634" s="122">
        <v>486</v>
      </c>
      <c r="I1634" s="122">
        <v>18038</v>
      </c>
      <c r="J1634" s="122">
        <v>16399</v>
      </c>
      <c r="K1634" s="122">
        <v>65</v>
      </c>
      <c r="L1634" s="122">
        <v>2895</v>
      </c>
      <c r="M1634" s="122">
        <v>2632</v>
      </c>
      <c r="N1634" s="122">
        <v>1893</v>
      </c>
      <c r="O1634" s="122">
        <v>701</v>
      </c>
      <c r="P1634" s="122">
        <v>702</v>
      </c>
      <c r="Q1634" s="122">
        <v>260</v>
      </c>
      <c r="R1634" s="122">
        <v>10037</v>
      </c>
      <c r="S1634" s="122">
        <v>9124</v>
      </c>
      <c r="T1634" s="122">
        <v>2059</v>
      </c>
      <c r="U1634" s="122">
        <v>763</v>
      </c>
      <c r="V1634" s="122">
        <v>29879</v>
      </c>
      <c r="W1634" s="122">
        <f t="shared" si="50"/>
        <v>29879</v>
      </c>
      <c r="X1634" s="122">
        <f t="shared" si="51"/>
        <v>35624</v>
      </c>
      <c r="AA1634" t="s">
        <v>62</v>
      </c>
      <c r="AB1634" t="s">
        <v>406</v>
      </c>
      <c r="AC1634" t="s">
        <v>433</v>
      </c>
      <c r="AD1634" t="s">
        <v>137</v>
      </c>
      <c r="AE1634" t="s">
        <v>566</v>
      </c>
      <c r="AF1634">
        <v>2</v>
      </c>
      <c r="AG1634">
        <v>180</v>
      </c>
      <c r="AH1634">
        <v>795</v>
      </c>
      <c r="AI1634" s="122">
        <v>42806</v>
      </c>
      <c r="AJ1634" s="122">
        <v>38914</v>
      </c>
      <c r="AK1634">
        <v>81</v>
      </c>
      <c r="AL1634" s="122">
        <v>10481</v>
      </c>
      <c r="AM1634" s="122">
        <v>9528</v>
      </c>
      <c r="AN1634" s="122">
        <v>3928</v>
      </c>
      <c r="AO1634" s="122">
        <v>1455</v>
      </c>
      <c r="AP1634" s="122">
        <v>1013</v>
      </c>
      <c r="AQ1634">
        <v>375</v>
      </c>
      <c r="AR1634" s="122">
        <v>13974</v>
      </c>
      <c r="AS1634" s="122">
        <v>5175</v>
      </c>
      <c r="AT1634">
        <v>0</v>
      </c>
      <c r="AU1634">
        <v>0</v>
      </c>
      <c r="AV1634" s="122">
        <v>55448</v>
      </c>
    </row>
    <row r="1635" spans="2:48" hidden="1">
      <c r="B1635" t="s">
        <v>375</v>
      </c>
      <c r="C1635" t="s">
        <v>60</v>
      </c>
      <c r="D1635" t="s">
        <v>137</v>
      </c>
      <c r="E1635" t="s">
        <v>137</v>
      </c>
      <c r="F1635" s="122">
        <v>79</v>
      </c>
      <c r="G1635" s="122">
        <v>5787</v>
      </c>
      <c r="H1635" s="122">
        <v>26846</v>
      </c>
      <c r="I1635" s="122">
        <v>1160076</v>
      </c>
      <c r="J1635" s="122">
        <v>429658</v>
      </c>
      <c r="K1635" s="122">
        <v>100</v>
      </c>
      <c r="L1635" s="122">
        <v>167977</v>
      </c>
      <c r="M1635" s="122">
        <v>139438</v>
      </c>
      <c r="N1635" s="122">
        <v>112681</v>
      </c>
      <c r="O1635" s="122">
        <v>41734</v>
      </c>
      <c r="P1635" s="122">
        <v>351</v>
      </c>
      <c r="Q1635" s="122">
        <v>130</v>
      </c>
      <c r="R1635" s="122">
        <v>517402</v>
      </c>
      <c r="S1635" s="122">
        <v>191630</v>
      </c>
      <c r="T1635" s="122">
        <v>0</v>
      </c>
      <c r="U1635" s="122">
        <v>0</v>
      </c>
      <c r="V1635" s="122">
        <v>802590</v>
      </c>
      <c r="W1635" s="122">
        <f t="shared" si="50"/>
        <v>802590</v>
      </c>
      <c r="X1635" s="122">
        <f t="shared" si="51"/>
        <v>1958487</v>
      </c>
      <c r="AA1635" t="s">
        <v>62</v>
      </c>
      <c r="AB1635" t="s">
        <v>406</v>
      </c>
      <c r="AC1635" t="s">
        <v>433</v>
      </c>
      <c r="AD1635" t="s">
        <v>406</v>
      </c>
      <c r="AE1635" t="s">
        <v>137</v>
      </c>
      <c r="AF1635">
        <v>23</v>
      </c>
      <c r="AG1635" s="122">
        <v>2210</v>
      </c>
      <c r="AH1635" s="122">
        <v>9583</v>
      </c>
      <c r="AI1635" s="122">
        <v>589939</v>
      </c>
      <c r="AJ1635" s="122">
        <v>536309</v>
      </c>
      <c r="AK1635">
        <v>76</v>
      </c>
      <c r="AL1635" s="122">
        <v>109598</v>
      </c>
      <c r="AM1635" s="122">
        <v>99635</v>
      </c>
      <c r="AN1635" s="122">
        <v>45098</v>
      </c>
      <c r="AO1635" s="122">
        <v>16703</v>
      </c>
      <c r="AP1635" s="122">
        <v>14013</v>
      </c>
      <c r="AQ1635" s="122">
        <v>5190</v>
      </c>
      <c r="AR1635" s="122">
        <v>121774</v>
      </c>
      <c r="AS1635" s="122">
        <v>110704</v>
      </c>
      <c r="AT1635" s="122">
        <v>56130</v>
      </c>
      <c r="AU1635" s="122">
        <v>20789</v>
      </c>
      <c r="AV1635" s="122">
        <v>789329</v>
      </c>
    </row>
    <row r="1636" spans="2:48" hidden="1">
      <c r="B1636" t="s">
        <v>375</v>
      </c>
      <c r="C1636" t="s">
        <v>60</v>
      </c>
      <c r="D1636" t="s">
        <v>137</v>
      </c>
      <c r="E1636" t="s">
        <v>426</v>
      </c>
      <c r="F1636" s="122">
        <v>5</v>
      </c>
      <c r="G1636" s="122">
        <v>403</v>
      </c>
      <c r="H1636" s="122">
        <v>1668</v>
      </c>
      <c r="I1636" s="122">
        <v>79204</v>
      </c>
      <c r="J1636" s="122">
        <v>29335</v>
      </c>
      <c r="K1636" s="122">
        <v>100</v>
      </c>
      <c r="L1636" s="122">
        <v>9853</v>
      </c>
      <c r="M1636" s="122">
        <v>8957</v>
      </c>
      <c r="N1636" s="122">
        <v>8583</v>
      </c>
      <c r="O1636" s="122">
        <v>3179</v>
      </c>
      <c r="P1636" s="122">
        <v>351</v>
      </c>
      <c r="Q1636" s="122">
        <v>130</v>
      </c>
      <c r="R1636" s="122">
        <v>25702</v>
      </c>
      <c r="S1636" s="122">
        <v>23366</v>
      </c>
      <c r="T1636" s="122">
        <v>11245</v>
      </c>
      <c r="U1636" s="122">
        <v>4165</v>
      </c>
      <c r="V1636" s="122">
        <v>69131</v>
      </c>
      <c r="W1636" s="122">
        <f t="shared" si="50"/>
        <v>69132</v>
      </c>
      <c r="X1636" s="122">
        <f t="shared" si="51"/>
        <v>134938</v>
      </c>
      <c r="AA1636" t="s">
        <v>62</v>
      </c>
      <c r="AB1636" t="s">
        <v>406</v>
      </c>
      <c r="AC1636" t="s">
        <v>433</v>
      </c>
      <c r="AD1636" t="s">
        <v>406</v>
      </c>
      <c r="AE1636" t="s">
        <v>566</v>
      </c>
      <c r="AF1636">
        <v>17</v>
      </c>
      <c r="AG1636" s="122">
        <v>1673</v>
      </c>
      <c r="AH1636" s="122">
        <v>6963</v>
      </c>
      <c r="AI1636" s="122">
        <v>436421</v>
      </c>
      <c r="AJ1636" s="122">
        <v>396746</v>
      </c>
      <c r="AK1636">
        <v>76</v>
      </c>
      <c r="AL1636" s="122">
        <v>109617</v>
      </c>
      <c r="AM1636" s="122">
        <v>99652</v>
      </c>
      <c r="AN1636" s="122">
        <v>36735</v>
      </c>
      <c r="AO1636" s="122">
        <v>13606</v>
      </c>
      <c r="AP1636" s="122">
        <v>10557</v>
      </c>
      <c r="AQ1636" s="122">
        <v>3910</v>
      </c>
      <c r="AR1636" s="122">
        <v>105465</v>
      </c>
      <c r="AS1636" s="122">
        <v>95877</v>
      </c>
      <c r="AT1636">
        <v>0</v>
      </c>
      <c r="AU1636">
        <v>0</v>
      </c>
      <c r="AV1636" s="122">
        <v>609792</v>
      </c>
    </row>
    <row r="1637" spans="2:48" hidden="1">
      <c r="B1637" t="s">
        <v>375</v>
      </c>
      <c r="C1637" t="s">
        <v>60</v>
      </c>
      <c r="D1637" t="s">
        <v>406</v>
      </c>
      <c r="E1637" t="s">
        <v>137</v>
      </c>
      <c r="F1637" s="122">
        <v>1</v>
      </c>
      <c r="G1637" s="122">
        <v>89</v>
      </c>
      <c r="H1637" s="122">
        <v>361</v>
      </c>
      <c r="I1637" s="122">
        <v>19384</v>
      </c>
      <c r="J1637" s="122">
        <v>17622</v>
      </c>
      <c r="K1637" s="122">
        <v>79</v>
      </c>
      <c r="L1637" s="122">
        <v>5385</v>
      </c>
      <c r="M1637" s="122">
        <v>4895</v>
      </c>
      <c r="N1637" s="122">
        <v>2054</v>
      </c>
      <c r="O1637" s="122">
        <v>761</v>
      </c>
      <c r="P1637" s="122">
        <v>621</v>
      </c>
      <c r="Q1637" s="122">
        <v>230</v>
      </c>
      <c r="R1637" s="122">
        <v>4746</v>
      </c>
      <c r="S1637" s="122">
        <v>1758</v>
      </c>
      <c r="T1637" s="122">
        <v>0</v>
      </c>
      <c r="U1637" s="122">
        <v>0</v>
      </c>
      <c r="V1637" s="122">
        <v>25265</v>
      </c>
      <c r="W1637" s="122">
        <f t="shared" si="50"/>
        <v>25266</v>
      </c>
      <c r="X1637" s="122">
        <f t="shared" si="51"/>
        <v>32190</v>
      </c>
      <c r="AA1637" t="s">
        <v>62</v>
      </c>
      <c r="AB1637" t="s">
        <v>406</v>
      </c>
      <c r="AC1637" t="s">
        <v>429</v>
      </c>
      <c r="AD1637" t="s">
        <v>406</v>
      </c>
      <c r="AE1637" t="s">
        <v>137</v>
      </c>
      <c r="AF1637">
        <v>2</v>
      </c>
      <c r="AG1637">
        <v>219</v>
      </c>
      <c r="AH1637">
        <v>809</v>
      </c>
      <c r="AI1637" s="122">
        <v>55640</v>
      </c>
      <c r="AJ1637" s="122">
        <v>50582</v>
      </c>
      <c r="AK1637">
        <v>63</v>
      </c>
      <c r="AL1637" s="122">
        <v>9439</v>
      </c>
      <c r="AM1637" s="122">
        <v>8581</v>
      </c>
      <c r="AN1637" s="122">
        <v>4947</v>
      </c>
      <c r="AO1637" s="122">
        <v>1832</v>
      </c>
      <c r="AP1637" s="122">
        <v>1242</v>
      </c>
      <c r="AQ1637">
        <v>460</v>
      </c>
      <c r="AR1637" s="122">
        <v>10700</v>
      </c>
      <c r="AS1637" s="122">
        <v>9728</v>
      </c>
      <c r="AT1637" s="122">
        <v>5520</v>
      </c>
      <c r="AU1637" s="122">
        <v>2044</v>
      </c>
      <c r="AV1637" s="122">
        <v>73227</v>
      </c>
    </row>
    <row r="1638" spans="2:48" hidden="1">
      <c r="B1638" t="s">
        <v>375</v>
      </c>
      <c r="C1638" t="s">
        <v>60</v>
      </c>
      <c r="D1638" t="s">
        <v>406</v>
      </c>
      <c r="E1638" t="s">
        <v>406</v>
      </c>
      <c r="F1638" s="122">
        <v>71</v>
      </c>
      <c r="G1638" s="122">
        <v>6871</v>
      </c>
      <c r="H1638" s="122">
        <v>23728</v>
      </c>
      <c r="I1638" s="122">
        <v>1336778</v>
      </c>
      <c r="J1638" s="122">
        <v>1215253</v>
      </c>
      <c r="K1638" s="122">
        <v>76</v>
      </c>
      <c r="L1638" s="122">
        <v>287367</v>
      </c>
      <c r="M1638" s="122">
        <v>250568</v>
      </c>
      <c r="N1638" s="122">
        <v>145363</v>
      </c>
      <c r="O1638" s="122">
        <v>53838</v>
      </c>
      <c r="P1638" s="122">
        <v>47088</v>
      </c>
      <c r="Q1638" s="122">
        <v>17440</v>
      </c>
      <c r="R1638" s="122">
        <v>313776</v>
      </c>
      <c r="S1638" s="122">
        <v>285251</v>
      </c>
      <c r="T1638" s="122">
        <v>174700</v>
      </c>
      <c r="U1638" s="122">
        <v>64704</v>
      </c>
      <c r="V1638" s="122">
        <v>1887053</v>
      </c>
      <c r="W1638" s="122">
        <f t="shared" si="50"/>
        <v>1887054</v>
      </c>
      <c r="X1638" s="122">
        <f t="shared" si="51"/>
        <v>2305072</v>
      </c>
      <c r="AA1638" t="s">
        <v>62</v>
      </c>
      <c r="AB1638" t="s">
        <v>427</v>
      </c>
      <c r="AC1638" t="s">
        <v>137</v>
      </c>
      <c r="AD1638" t="s">
        <v>137</v>
      </c>
      <c r="AE1638" t="s">
        <v>566</v>
      </c>
      <c r="AF1638">
        <v>10</v>
      </c>
      <c r="AG1638">
        <v>793</v>
      </c>
      <c r="AH1638" s="122">
        <v>4096</v>
      </c>
      <c r="AI1638" s="122">
        <v>185754</v>
      </c>
      <c r="AJ1638" s="122">
        <v>168867</v>
      </c>
      <c r="AK1638">
        <v>62</v>
      </c>
      <c r="AL1638" s="122">
        <v>33297</v>
      </c>
      <c r="AM1638" s="122">
        <v>12332</v>
      </c>
      <c r="AN1638" s="122">
        <v>16249</v>
      </c>
      <c r="AO1638" s="122">
        <v>6018</v>
      </c>
      <c r="AP1638" s="122">
        <v>2106</v>
      </c>
      <c r="AQ1638">
        <v>780</v>
      </c>
      <c r="AR1638" s="122">
        <v>86751</v>
      </c>
      <c r="AS1638" s="122">
        <v>32130</v>
      </c>
      <c r="AT1638">
        <v>0</v>
      </c>
      <c r="AU1638">
        <v>0</v>
      </c>
      <c r="AV1638" s="122">
        <v>220127</v>
      </c>
    </row>
    <row r="1639" spans="2:48" hidden="1">
      <c r="B1639" t="s">
        <v>375</v>
      </c>
      <c r="C1639" t="s">
        <v>60</v>
      </c>
      <c r="D1639" t="s">
        <v>427</v>
      </c>
      <c r="E1639" t="s">
        <v>427</v>
      </c>
      <c r="F1639" s="122">
        <v>1</v>
      </c>
      <c r="G1639" s="122">
        <v>68</v>
      </c>
      <c r="H1639" s="122">
        <v>369</v>
      </c>
      <c r="I1639" s="122">
        <v>8413</v>
      </c>
      <c r="J1639" s="122">
        <v>7648</v>
      </c>
      <c r="K1639" s="122">
        <v>55</v>
      </c>
      <c r="L1639" s="122">
        <v>2839</v>
      </c>
      <c r="M1639" s="122">
        <v>1052</v>
      </c>
      <c r="N1639" s="122">
        <v>1661</v>
      </c>
      <c r="O1639" s="122">
        <v>615</v>
      </c>
      <c r="P1639" s="122">
        <v>0</v>
      </c>
      <c r="Q1639" s="122">
        <v>0</v>
      </c>
      <c r="R1639" s="122">
        <v>8000</v>
      </c>
      <c r="S1639" s="122">
        <v>7273</v>
      </c>
      <c r="T1639" s="122">
        <v>4232</v>
      </c>
      <c r="U1639" s="122">
        <v>1567</v>
      </c>
      <c r="V1639" s="122">
        <v>18155</v>
      </c>
      <c r="W1639" s="122">
        <f t="shared" si="50"/>
        <v>18155</v>
      </c>
      <c r="X1639" s="122">
        <f t="shared" si="51"/>
        <v>25145</v>
      </c>
      <c r="AA1639" t="s">
        <v>62</v>
      </c>
      <c r="AB1639" t="s">
        <v>427</v>
      </c>
      <c r="AC1639" t="s">
        <v>137</v>
      </c>
      <c r="AD1639" t="s">
        <v>406</v>
      </c>
      <c r="AE1639" t="s">
        <v>137</v>
      </c>
      <c r="AF1639">
        <v>1</v>
      </c>
      <c r="AG1639">
        <v>51</v>
      </c>
      <c r="AH1639">
        <v>386</v>
      </c>
      <c r="AI1639" s="122">
        <v>9532</v>
      </c>
      <c r="AJ1639" s="122">
        <v>8666</v>
      </c>
      <c r="AK1639">
        <v>55</v>
      </c>
      <c r="AL1639" s="122">
        <v>1430</v>
      </c>
      <c r="AM1639">
        <v>530</v>
      </c>
      <c r="AN1639" s="122">
        <v>1234</v>
      </c>
      <c r="AO1639">
        <v>457</v>
      </c>
      <c r="AP1639">
        <v>351</v>
      </c>
      <c r="AQ1639">
        <v>130</v>
      </c>
      <c r="AR1639" s="122">
        <v>4530</v>
      </c>
      <c r="AS1639" s="122">
        <v>4118</v>
      </c>
      <c r="AT1639" s="122">
        <v>2469</v>
      </c>
      <c r="AU1639">
        <v>914</v>
      </c>
      <c r="AV1639" s="122">
        <v>14815</v>
      </c>
    </row>
    <row r="1640" spans="2:48" hidden="1">
      <c r="B1640" t="s">
        <v>375</v>
      </c>
      <c r="C1640" t="s">
        <v>60</v>
      </c>
      <c r="D1640" t="s">
        <v>428</v>
      </c>
      <c r="E1640" t="s">
        <v>428</v>
      </c>
      <c r="F1640" s="122">
        <v>4</v>
      </c>
      <c r="G1640" s="122">
        <v>279</v>
      </c>
      <c r="H1640" s="122">
        <v>1304</v>
      </c>
      <c r="I1640" s="122">
        <v>53140</v>
      </c>
      <c r="J1640" s="122">
        <v>48309</v>
      </c>
      <c r="K1640" s="122">
        <v>58</v>
      </c>
      <c r="L1640" s="122">
        <v>7434</v>
      </c>
      <c r="M1640" s="122">
        <v>6759</v>
      </c>
      <c r="N1640" s="122">
        <v>4136</v>
      </c>
      <c r="O1640" s="122">
        <v>1532</v>
      </c>
      <c r="P1640" s="122">
        <v>1674</v>
      </c>
      <c r="Q1640" s="122">
        <v>620</v>
      </c>
      <c r="R1640" s="122">
        <v>22830</v>
      </c>
      <c r="S1640" s="122">
        <v>20754</v>
      </c>
      <c r="T1640" s="122">
        <v>2107</v>
      </c>
      <c r="U1640" s="122">
        <v>780</v>
      </c>
      <c r="V1640" s="122">
        <v>78754</v>
      </c>
      <c r="W1640" s="122">
        <f t="shared" si="50"/>
        <v>78754</v>
      </c>
      <c r="X1640" s="122">
        <f t="shared" si="51"/>
        <v>91321</v>
      </c>
      <c r="AA1640" t="s">
        <v>62</v>
      </c>
      <c r="AB1640" t="s">
        <v>427</v>
      </c>
      <c r="AC1640" t="s">
        <v>137</v>
      </c>
      <c r="AD1640" t="s">
        <v>427</v>
      </c>
      <c r="AE1640" t="s">
        <v>137</v>
      </c>
      <c r="AF1640">
        <v>61</v>
      </c>
      <c r="AG1640" s="122">
        <v>3781</v>
      </c>
      <c r="AH1640" s="122">
        <v>25133</v>
      </c>
      <c r="AI1640" s="122">
        <v>891040</v>
      </c>
      <c r="AJ1640" s="122">
        <v>810036</v>
      </c>
      <c r="AK1640">
        <v>54</v>
      </c>
      <c r="AL1640" s="122">
        <v>156931</v>
      </c>
      <c r="AM1640" s="122">
        <v>58122</v>
      </c>
      <c r="AN1640" s="122">
        <v>79779</v>
      </c>
      <c r="AO1640" s="122">
        <v>29548</v>
      </c>
      <c r="AP1640" s="122">
        <v>18954</v>
      </c>
      <c r="AQ1640" s="122">
        <v>7020</v>
      </c>
      <c r="AR1640" s="122">
        <v>299949</v>
      </c>
      <c r="AS1640" s="122">
        <v>272681</v>
      </c>
      <c r="AT1640" s="122">
        <v>120040</v>
      </c>
      <c r="AU1640" s="122">
        <v>44459</v>
      </c>
      <c r="AV1640" s="122">
        <v>1221866</v>
      </c>
    </row>
    <row r="1641" spans="2:48" hidden="1">
      <c r="B1641" t="s">
        <v>375</v>
      </c>
      <c r="C1641" t="s">
        <v>60</v>
      </c>
      <c r="D1641" t="s">
        <v>426</v>
      </c>
      <c r="E1641" t="s">
        <v>137</v>
      </c>
      <c r="F1641" s="122">
        <v>1</v>
      </c>
      <c r="G1641" s="122">
        <v>66</v>
      </c>
      <c r="H1641" s="122">
        <v>332</v>
      </c>
      <c r="I1641" s="122">
        <v>12688</v>
      </c>
      <c r="J1641" s="122">
        <v>11534</v>
      </c>
      <c r="K1641" s="122">
        <v>60</v>
      </c>
      <c r="L1641" s="122">
        <v>2076</v>
      </c>
      <c r="M1641" s="122">
        <v>769</v>
      </c>
      <c r="N1641" s="122">
        <v>1147</v>
      </c>
      <c r="O1641" s="122">
        <v>425</v>
      </c>
      <c r="P1641" s="122">
        <v>0</v>
      </c>
      <c r="Q1641" s="122">
        <v>0</v>
      </c>
      <c r="R1641" s="122">
        <v>5976</v>
      </c>
      <c r="S1641" s="122">
        <v>2213</v>
      </c>
      <c r="T1641" s="122">
        <v>0</v>
      </c>
      <c r="U1641" s="122">
        <v>0</v>
      </c>
      <c r="V1641" s="122">
        <v>14941</v>
      </c>
      <c r="W1641" s="122">
        <f t="shared" si="50"/>
        <v>14941</v>
      </c>
      <c r="X1641" s="122">
        <f t="shared" si="51"/>
        <v>21887</v>
      </c>
      <c r="AA1641" t="s">
        <v>62</v>
      </c>
      <c r="AB1641" t="s">
        <v>427</v>
      </c>
      <c r="AC1641" t="s">
        <v>137</v>
      </c>
      <c r="AD1641" t="s">
        <v>427</v>
      </c>
      <c r="AE1641" t="s">
        <v>566</v>
      </c>
      <c r="AF1641">
        <v>5</v>
      </c>
      <c r="AG1641">
        <v>406</v>
      </c>
      <c r="AH1641" s="122">
        <v>2130</v>
      </c>
      <c r="AI1641" s="122">
        <v>108632</v>
      </c>
      <c r="AJ1641" s="122">
        <v>98757</v>
      </c>
      <c r="AK1641">
        <v>56</v>
      </c>
      <c r="AL1641" s="122">
        <v>20717</v>
      </c>
      <c r="AM1641" s="122">
        <v>7673</v>
      </c>
      <c r="AN1641" s="122">
        <v>8256</v>
      </c>
      <c r="AO1641" s="122">
        <v>3058</v>
      </c>
      <c r="AP1641" s="122">
        <v>1755</v>
      </c>
      <c r="AQ1641">
        <v>650</v>
      </c>
      <c r="AR1641" s="122">
        <v>42987</v>
      </c>
      <c r="AS1641" s="122">
        <v>39079</v>
      </c>
      <c r="AT1641">
        <v>0</v>
      </c>
      <c r="AU1641">
        <v>0</v>
      </c>
      <c r="AV1641" s="122">
        <v>149216</v>
      </c>
    </row>
    <row r="1642" spans="2:48" hidden="1">
      <c r="B1642" t="s">
        <v>375</v>
      </c>
      <c r="C1642" t="s">
        <v>60</v>
      </c>
      <c r="D1642" t="s">
        <v>426</v>
      </c>
      <c r="E1642" t="s">
        <v>426</v>
      </c>
      <c r="F1642" s="122">
        <v>124</v>
      </c>
      <c r="G1642" s="122">
        <v>9972</v>
      </c>
      <c r="H1642" s="122">
        <v>42262</v>
      </c>
      <c r="I1642" s="122">
        <v>1895937</v>
      </c>
      <c r="J1642" s="122">
        <v>1723579</v>
      </c>
      <c r="K1642" s="122">
        <v>49</v>
      </c>
      <c r="L1642" s="122">
        <v>273684</v>
      </c>
      <c r="M1642" s="122">
        <v>229753</v>
      </c>
      <c r="N1642" s="122">
        <v>194351</v>
      </c>
      <c r="O1642" s="122">
        <v>71982</v>
      </c>
      <c r="P1642" s="122">
        <v>45509</v>
      </c>
      <c r="Q1642" s="122">
        <v>16855</v>
      </c>
      <c r="R1642" s="122">
        <v>727421</v>
      </c>
      <c r="S1642" s="122">
        <v>661292</v>
      </c>
      <c r="T1642" s="122">
        <v>269731</v>
      </c>
      <c r="U1642" s="122">
        <v>99901</v>
      </c>
      <c r="V1642" s="122">
        <v>2803361</v>
      </c>
      <c r="W1642" s="122">
        <f t="shared" si="50"/>
        <v>2803362</v>
      </c>
      <c r="X1642" s="122">
        <f t="shared" si="51"/>
        <v>3406633</v>
      </c>
      <c r="AA1642" t="s">
        <v>62</v>
      </c>
      <c r="AB1642" t="s">
        <v>427</v>
      </c>
      <c r="AC1642" t="s">
        <v>580</v>
      </c>
      <c r="AD1642" t="s">
        <v>427</v>
      </c>
      <c r="AE1642" t="s">
        <v>137</v>
      </c>
      <c r="AF1642">
        <v>4</v>
      </c>
      <c r="AG1642">
        <v>364</v>
      </c>
      <c r="AH1642" s="122">
        <v>1725</v>
      </c>
      <c r="AI1642" s="122">
        <v>105637</v>
      </c>
      <c r="AJ1642" s="122">
        <v>96034</v>
      </c>
      <c r="AK1642">
        <v>55</v>
      </c>
      <c r="AL1642" s="122">
        <v>8907</v>
      </c>
      <c r="AM1642" s="122">
        <v>8097</v>
      </c>
      <c r="AN1642" s="122">
        <v>7645</v>
      </c>
      <c r="AO1642" s="122">
        <v>2831</v>
      </c>
      <c r="AP1642" s="122">
        <v>2295</v>
      </c>
      <c r="AQ1642">
        <v>850</v>
      </c>
      <c r="AR1642" s="122">
        <v>21409</v>
      </c>
      <c r="AS1642" s="122">
        <v>19463</v>
      </c>
      <c r="AT1642" s="122">
        <v>9714</v>
      </c>
      <c r="AU1642" s="122">
        <v>3598</v>
      </c>
      <c r="AV1642" s="122">
        <v>130873</v>
      </c>
    </row>
    <row r="1643" spans="2:48" hidden="1">
      <c r="B1643" t="s">
        <v>375</v>
      </c>
      <c r="C1643" t="s">
        <v>60</v>
      </c>
      <c r="D1643" t="s">
        <v>433</v>
      </c>
      <c r="E1643" t="s">
        <v>433</v>
      </c>
      <c r="F1643" s="122">
        <v>8</v>
      </c>
      <c r="G1643" s="122">
        <v>614</v>
      </c>
      <c r="H1643" s="122">
        <v>2813</v>
      </c>
      <c r="I1643" s="122">
        <v>127483</v>
      </c>
      <c r="J1643" s="122">
        <v>115893</v>
      </c>
      <c r="K1643" s="122">
        <v>54</v>
      </c>
      <c r="L1643" s="122">
        <v>19216</v>
      </c>
      <c r="M1643" s="122">
        <v>15795</v>
      </c>
      <c r="N1643" s="122">
        <v>11158</v>
      </c>
      <c r="O1643" s="122">
        <v>4133</v>
      </c>
      <c r="P1643" s="122">
        <v>2808</v>
      </c>
      <c r="Q1643" s="122">
        <v>1040</v>
      </c>
      <c r="R1643" s="122">
        <v>37761</v>
      </c>
      <c r="S1643" s="122">
        <v>34328</v>
      </c>
      <c r="T1643" s="122">
        <v>18203</v>
      </c>
      <c r="U1643" s="122">
        <v>6742</v>
      </c>
      <c r="V1643" s="122">
        <v>177931</v>
      </c>
      <c r="W1643" s="122">
        <f t="shared" ref="W1643:W1706" si="52">SUM(ABS(J1643),ABS(M1643),ABS(O1643),ABS(Q1643),ABS(S1643),ABS(U1643))</f>
        <v>177931</v>
      </c>
      <c r="X1643" s="122">
        <f t="shared" ref="X1643:X1706" si="53">SUM(ABS(I1643),ABS(N1643),ABS(P1643),ABS(R1643),ABS(T1643),ABS(L1643))</f>
        <v>216629</v>
      </c>
      <c r="AA1643" t="s">
        <v>62</v>
      </c>
      <c r="AB1643" t="s">
        <v>427</v>
      </c>
      <c r="AC1643" t="s">
        <v>427</v>
      </c>
      <c r="AD1643" t="s">
        <v>137</v>
      </c>
      <c r="AE1643" t="s">
        <v>566</v>
      </c>
      <c r="AF1643">
        <v>2</v>
      </c>
      <c r="AG1643">
        <v>157</v>
      </c>
      <c r="AH1643">
        <v>806</v>
      </c>
      <c r="AI1643" s="122">
        <v>25267</v>
      </c>
      <c r="AJ1643" s="122">
        <v>22970</v>
      </c>
      <c r="AK1643">
        <v>55</v>
      </c>
      <c r="AL1643" s="122">
        <v>5147</v>
      </c>
      <c r="AM1643" s="122">
        <v>4679</v>
      </c>
      <c r="AN1643" s="122">
        <v>3833</v>
      </c>
      <c r="AO1643" s="122">
        <v>1419</v>
      </c>
      <c r="AP1643">
        <v>702</v>
      </c>
      <c r="AQ1643">
        <v>260</v>
      </c>
      <c r="AR1643" s="122">
        <v>28566</v>
      </c>
      <c r="AS1643" s="122">
        <v>10580</v>
      </c>
      <c r="AT1643">
        <v>0</v>
      </c>
      <c r="AU1643">
        <v>0</v>
      </c>
      <c r="AV1643" s="122">
        <v>39909</v>
      </c>
    </row>
    <row r="1644" spans="2:48" hidden="1">
      <c r="B1644" t="s">
        <v>375</v>
      </c>
      <c r="C1644" t="s">
        <v>60</v>
      </c>
      <c r="D1644" t="s">
        <v>408</v>
      </c>
      <c r="E1644" t="s">
        <v>408</v>
      </c>
      <c r="F1644" s="122">
        <v>1</v>
      </c>
      <c r="G1644" s="122">
        <v>74</v>
      </c>
      <c r="H1644" s="122">
        <v>323</v>
      </c>
      <c r="I1644" s="122">
        <v>13810</v>
      </c>
      <c r="J1644" s="122">
        <v>12555</v>
      </c>
      <c r="K1644" s="122">
        <v>65</v>
      </c>
      <c r="L1644" s="122">
        <v>2216</v>
      </c>
      <c r="M1644" s="122">
        <v>2015</v>
      </c>
      <c r="N1644" s="122">
        <v>1007</v>
      </c>
      <c r="O1644" s="122">
        <v>373</v>
      </c>
      <c r="P1644" s="122">
        <v>702</v>
      </c>
      <c r="Q1644" s="122">
        <v>260</v>
      </c>
      <c r="R1644" s="122">
        <v>4032</v>
      </c>
      <c r="S1644" s="122">
        <v>3666</v>
      </c>
      <c r="T1644" s="122">
        <v>2082</v>
      </c>
      <c r="U1644" s="122">
        <v>771</v>
      </c>
      <c r="V1644" s="122">
        <v>19640</v>
      </c>
      <c r="W1644" s="122">
        <f t="shared" si="52"/>
        <v>19640</v>
      </c>
      <c r="X1644" s="122">
        <f t="shared" si="53"/>
        <v>23849</v>
      </c>
      <c r="AA1644" t="s">
        <v>62</v>
      </c>
      <c r="AB1644" t="s">
        <v>427</v>
      </c>
      <c r="AC1644" t="s">
        <v>427</v>
      </c>
      <c r="AD1644" t="s">
        <v>406</v>
      </c>
      <c r="AE1644" t="s">
        <v>137</v>
      </c>
      <c r="AF1644">
        <v>3</v>
      </c>
      <c r="AG1644">
        <v>168</v>
      </c>
      <c r="AH1644" s="122">
        <v>1258</v>
      </c>
      <c r="AI1644" s="122">
        <v>38027</v>
      </c>
      <c r="AJ1644" s="122">
        <v>34570</v>
      </c>
      <c r="AK1644">
        <v>52</v>
      </c>
      <c r="AL1644" s="122">
        <v>6988</v>
      </c>
      <c r="AM1644" s="122">
        <v>6352</v>
      </c>
      <c r="AN1644" s="122">
        <v>2830</v>
      </c>
      <c r="AO1644" s="122">
        <v>1048</v>
      </c>
      <c r="AP1644" s="122">
        <v>1053</v>
      </c>
      <c r="AQ1644">
        <v>390</v>
      </c>
      <c r="AR1644" s="122">
        <v>14901</v>
      </c>
      <c r="AS1644" s="122">
        <v>13546</v>
      </c>
      <c r="AT1644" s="122">
        <v>5825</v>
      </c>
      <c r="AU1644" s="122">
        <v>2158</v>
      </c>
      <c r="AV1644" s="122">
        <v>58064</v>
      </c>
    </row>
    <row r="1645" spans="2:48" hidden="1">
      <c r="B1645" t="s">
        <v>375</v>
      </c>
      <c r="C1645" t="s">
        <v>60</v>
      </c>
      <c r="D1645" t="s">
        <v>429</v>
      </c>
      <c r="E1645" t="s">
        <v>429</v>
      </c>
      <c r="F1645" s="122">
        <v>1</v>
      </c>
      <c r="G1645" s="122">
        <v>75</v>
      </c>
      <c r="H1645" s="122">
        <v>360</v>
      </c>
      <c r="I1645" s="122">
        <v>15357</v>
      </c>
      <c r="J1645" s="122">
        <v>13961</v>
      </c>
      <c r="K1645" s="122">
        <v>60</v>
      </c>
      <c r="L1645" s="122">
        <v>3413</v>
      </c>
      <c r="M1645" s="122">
        <v>3102</v>
      </c>
      <c r="N1645" s="122">
        <v>908</v>
      </c>
      <c r="O1645" s="122">
        <v>336</v>
      </c>
      <c r="P1645" s="122">
        <v>351</v>
      </c>
      <c r="Q1645" s="122">
        <v>130</v>
      </c>
      <c r="R1645" s="122">
        <v>4567</v>
      </c>
      <c r="S1645" s="122">
        <v>4152</v>
      </c>
      <c r="T1645" s="122">
        <v>2226</v>
      </c>
      <c r="U1645" s="122">
        <v>824</v>
      </c>
      <c r="V1645" s="122">
        <v>22506</v>
      </c>
      <c r="W1645" s="122">
        <f t="shared" si="52"/>
        <v>22505</v>
      </c>
      <c r="X1645" s="122">
        <f t="shared" si="53"/>
        <v>26822</v>
      </c>
      <c r="AA1645" t="s">
        <v>62</v>
      </c>
      <c r="AB1645" t="s">
        <v>427</v>
      </c>
      <c r="AC1645" t="s">
        <v>427</v>
      </c>
      <c r="AD1645" t="s">
        <v>406</v>
      </c>
      <c r="AE1645" t="s">
        <v>566</v>
      </c>
      <c r="AF1645">
        <v>1</v>
      </c>
      <c r="AG1645">
        <v>69</v>
      </c>
      <c r="AH1645">
        <v>398</v>
      </c>
      <c r="AI1645" s="122">
        <v>14827</v>
      </c>
      <c r="AJ1645" s="122">
        <v>13479</v>
      </c>
      <c r="AK1645">
        <v>55</v>
      </c>
      <c r="AL1645" s="122">
        <v>3020</v>
      </c>
      <c r="AM1645" s="122">
        <v>2746</v>
      </c>
      <c r="AN1645" s="122">
        <v>1171</v>
      </c>
      <c r="AO1645">
        <v>434</v>
      </c>
      <c r="AP1645">
        <v>351</v>
      </c>
      <c r="AQ1645">
        <v>130</v>
      </c>
      <c r="AR1645" s="122">
        <v>7954</v>
      </c>
      <c r="AS1645" s="122">
        <v>7231</v>
      </c>
      <c r="AT1645">
        <v>0</v>
      </c>
      <c r="AU1645">
        <v>0</v>
      </c>
      <c r="AV1645" s="122">
        <v>24020</v>
      </c>
    </row>
    <row r="1646" spans="2:48" hidden="1">
      <c r="B1646" t="s">
        <v>375</v>
      </c>
      <c r="C1646" t="s">
        <v>62</v>
      </c>
      <c r="D1646" t="s">
        <v>405</v>
      </c>
      <c r="E1646" t="s">
        <v>405</v>
      </c>
      <c r="F1646" s="122">
        <v>1</v>
      </c>
      <c r="G1646" s="122">
        <v>113</v>
      </c>
      <c r="H1646" s="122">
        <v>389</v>
      </c>
      <c r="I1646" s="122">
        <v>28332</v>
      </c>
      <c r="J1646" s="122">
        <v>25756</v>
      </c>
      <c r="K1646" s="122">
        <v>55</v>
      </c>
      <c r="L1646" s="122">
        <v>3652</v>
      </c>
      <c r="M1646" s="122">
        <v>3320</v>
      </c>
      <c r="N1646" s="122">
        <v>2434</v>
      </c>
      <c r="O1646" s="122">
        <v>902</v>
      </c>
      <c r="P1646" s="122">
        <v>351</v>
      </c>
      <c r="Q1646" s="122">
        <v>130</v>
      </c>
      <c r="R1646" s="122">
        <v>6242</v>
      </c>
      <c r="S1646" s="122">
        <v>5674</v>
      </c>
      <c r="T1646" s="122">
        <v>2856</v>
      </c>
      <c r="U1646" s="122">
        <v>1058</v>
      </c>
      <c r="V1646" s="122">
        <v>36839</v>
      </c>
      <c r="W1646" s="122">
        <f t="shared" si="52"/>
        <v>36840</v>
      </c>
      <c r="X1646" s="122">
        <f t="shared" si="53"/>
        <v>43867</v>
      </c>
      <c r="AA1646" t="s">
        <v>62</v>
      </c>
      <c r="AB1646" t="s">
        <v>427</v>
      </c>
      <c r="AC1646" t="s">
        <v>427</v>
      </c>
      <c r="AD1646" t="s">
        <v>427</v>
      </c>
      <c r="AE1646" t="s">
        <v>137</v>
      </c>
      <c r="AF1646">
        <v>212</v>
      </c>
      <c r="AG1646" s="122">
        <v>16877</v>
      </c>
      <c r="AH1646" s="122">
        <v>86060</v>
      </c>
      <c r="AI1646" s="122">
        <v>3964360</v>
      </c>
      <c r="AJ1646" s="122">
        <v>3603963</v>
      </c>
      <c r="AK1646">
        <v>47</v>
      </c>
      <c r="AL1646" s="122">
        <v>669855</v>
      </c>
      <c r="AM1646" s="122">
        <v>608960</v>
      </c>
      <c r="AN1646" s="122">
        <v>312955</v>
      </c>
      <c r="AO1646" s="122">
        <v>115909</v>
      </c>
      <c r="AP1646" s="122">
        <v>73710</v>
      </c>
      <c r="AQ1646" s="122">
        <v>27300</v>
      </c>
      <c r="AR1646" s="122">
        <v>1312770</v>
      </c>
      <c r="AS1646" s="122">
        <v>1193427</v>
      </c>
      <c r="AT1646" s="122">
        <v>514729</v>
      </c>
      <c r="AU1646" s="122">
        <v>190640</v>
      </c>
      <c r="AV1646" s="122">
        <v>5740200</v>
      </c>
    </row>
    <row r="1647" spans="2:48" hidden="1">
      <c r="B1647" t="s">
        <v>375</v>
      </c>
      <c r="C1647" t="s">
        <v>62</v>
      </c>
      <c r="D1647" t="s">
        <v>137</v>
      </c>
      <c r="E1647" t="s">
        <v>137</v>
      </c>
      <c r="F1647" s="122">
        <v>19</v>
      </c>
      <c r="G1647" s="122">
        <v>1281</v>
      </c>
      <c r="H1647" s="122">
        <v>7856</v>
      </c>
      <c r="I1647" s="122">
        <v>312444</v>
      </c>
      <c r="J1647" s="122">
        <v>115720</v>
      </c>
      <c r="K1647" s="122">
        <v>100</v>
      </c>
      <c r="L1647" s="122">
        <v>47353</v>
      </c>
      <c r="M1647" s="122">
        <v>31798</v>
      </c>
      <c r="N1647" s="122">
        <v>28725</v>
      </c>
      <c r="O1647" s="122">
        <v>10639</v>
      </c>
      <c r="P1647" s="122">
        <v>0</v>
      </c>
      <c r="Q1647" s="122">
        <v>0</v>
      </c>
      <c r="R1647" s="122">
        <v>142617</v>
      </c>
      <c r="S1647" s="122">
        <v>52821</v>
      </c>
      <c r="T1647" s="122">
        <v>0</v>
      </c>
      <c r="U1647" s="122">
        <v>0</v>
      </c>
      <c r="V1647" s="122">
        <v>210978</v>
      </c>
      <c r="W1647" s="122">
        <f t="shared" si="52"/>
        <v>210978</v>
      </c>
      <c r="X1647" s="122">
        <f t="shared" si="53"/>
        <v>531139</v>
      </c>
      <c r="AA1647" t="s">
        <v>62</v>
      </c>
      <c r="AB1647" t="s">
        <v>427</v>
      </c>
      <c r="AC1647" t="s">
        <v>427</v>
      </c>
      <c r="AD1647" t="s">
        <v>427</v>
      </c>
      <c r="AE1647" t="s">
        <v>566</v>
      </c>
      <c r="AF1647">
        <v>20</v>
      </c>
      <c r="AG1647" s="122">
        <v>1623</v>
      </c>
      <c r="AH1647" s="122">
        <v>8229</v>
      </c>
      <c r="AI1647" s="122">
        <v>390270</v>
      </c>
      <c r="AJ1647" s="122">
        <v>354791</v>
      </c>
      <c r="AK1647">
        <v>50</v>
      </c>
      <c r="AL1647" s="122">
        <v>64200</v>
      </c>
      <c r="AM1647" s="122">
        <v>58364</v>
      </c>
      <c r="AN1647" s="122">
        <v>34188</v>
      </c>
      <c r="AO1647" s="122">
        <v>12662</v>
      </c>
      <c r="AP1647" s="122">
        <v>7020</v>
      </c>
      <c r="AQ1647" s="122">
        <v>2600</v>
      </c>
      <c r="AR1647" s="122">
        <v>171922</v>
      </c>
      <c r="AS1647" s="122">
        <v>156292</v>
      </c>
      <c r="AT1647">
        <v>0</v>
      </c>
      <c r="AU1647">
        <v>0</v>
      </c>
      <c r="AV1647" s="122">
        <v>584710</v>
      </c>
    </row>
    <row r="1648" spans="2:48" hidden="1">
      <c r="B1648" t="s">
        <v>375</v>
      </c>
      <c r="C1648" t="s">
        <v>62</v>
      </c>
      <c r="D1648" t="s">
        <v>137</v>
      </c>
      <c r="E1648" t="s">
        <v>406</v>
      </c>
      <c r="F1648" s="122">
        <v>1</v>
      </c>
      <c r="G1648" s="122">
        <v>192</v>
      </c>
      <c r="H1648" s="122">
        <v>443</v>
      </c>
      <c r="I1648" s="122">
        <v>63614</v>
      </c>
      <c r="J1648" s="122">
        <v>23561</v>
      </c>
      <c r="K1648" s="122">
        <v>100</v>
      </c>
      <c r="L1648" s="122">
        <v>4799</v>
      </c>
      <c r="M1648" s="122">
        <v>4363</v>
      </c>
      <c r="N1648" s="122">
        <v>4687</v>
      </c>
      <c r="O1648" s="122">
        <v>1736</v>
      </c>
      <c r="P1648" s="122">
        <v>270</v>
      </c>
      <c r="Q1648" s="122">
        <v>100</v>
      </c>
      <c r="R1648" s="122">
        <v>7621</v>
      </c>
      <c r="S1648" s="122">
        <v>6928</v>
      </c>
      <c r="T1648" s="122">
        <v>4165</v>
      </c>
      <c r="U1648" s="122">
        <v>1543</v>
      </c>
      <c r="V1648" s="122">
        <v>38231</v>
      </c>
      <c r="W1648" s="122">
        <f t="shared" si="52"/>
        <v>38231</v>
      </c>
      <c r="X1648" s="122">
        <f t="shared" si="53"/>
        <v>85156</v>
      </c>
      <c r="AA1648" t="s">
        <v>62</v>
      </c>
      <c r="AB1648" t="s">
        <v>427</v>
      </c>
      <c r="AC1648" t="s">
        <v>579</v>
      </c>
      <c r="AD1648" t="s">
        <v>406</v>
      </c>
      <c r="AE1648" t="s">
        <v>137</v>
      </c>
      <c r="AF1648">
        <v>1</v>
      </c>
      <c r="AG1648">
        <v>97</v>
      </c>
      <c r="AH1648">
        <v>381</v>
      </c>
      <c r="AI1648" s="122">
        <v>21602</v>
      </c>
      <c r="AJ1648" s="122">
        <v>19638</v>
      </c>
      <c r="AK1648">
        <v>79</v>
      </c>
      <c r="AL1648" s="122">
        <v>6546</v>
      </c>
      <c r="AM1648" s="122">
        <v>5455</v>
      </c>
      <c r="AN1648" s="122">
        <v>2009</v>
      </c>
      <c r="AO1648">
        <v>744</v>
      </c>
      <c r="AP1648">
        <v>621</v>
      </c>
      <c r="AQ1648">
        <v>230</v>
      </c>
      <c r="AR1648" s="122">
        <v>3831</v>
      </c>
      <c r="AS1648" s="122">
        <v>3483</v>
      </c>
      <c r="AT1648" s="122">
        <v>2389</v>
      </c>
      <c r="AU1648">
        <v>885</v>
      </c>
      <c r="AV1648" s="122">
        <v>30435</v>
      </c>
    </row>
    <row r="1649" spans="2:48" hidden="1">
      <c r="B1649" t="s">
        <v>375</v>
      </c>
      <c r="C1649" t="s">
        <v>62</v>
      </c>
      <c r="D1649" t="s">
        <v>137</v>
      </c>
      <c r="E1649" t="s">
        <v>426</v>
      </c>
      <c r="F1649" s="122">
        <v>6</v>
      </c>
      <c r="G1649" s="122">
        <v>419</v>
      </c>
      <c r="H1649" s="122">
        <v>2501</v>
      </c>
      <c r="I1649" s="122">
        <v>97731</v>
      </c>
      <c r="J1649" s="122">
        <v>36197</v>
      </c>
      <c r="K1649" s="122">
        <v>100</v>
      </c>
      <c r="L1649" s="122">
        <v>13697</v>
      </c>
      <c r="M1649" s="122">
        <v>12452</v>
      </c>
      <c r="N1649" s="122">
        <v>8691</v>
      </c>
      <c r="O1649" s="122">
        <v>3219</v>
      </c>
      <c r="P1649" s="122">
        <v>1053</v>
      </c>
      <c r="Q1649" s="122">
        <v>390</v>
      </c>
      <c r="R1649" s="122">
        <v>38474</v>
      </c>
      <c r="S1649" s="122">
        <v>34977</v>
      </c>
      <c r="T1649" s="122">
        <v>15931</v>
      </c>
      <c r="U1649" s="122">
        <v>5900</v>
      </c>
      <c r="V1649" s="122">
        <v>93134</v>
      </c>
      <c r="W1649" s="122">
        <f t="shared" si="52"/>
        <v>93135</v>
      </c>
      <c r="X1649" s="122">
        <f t="shared" si="53"/>
        <v>175577</v>
      </c>
      <c r="AA1649" t="s">
        <v>62</v>
      </c>
      <c r="AB1649" t="s">
        <v>427</v>
      </c>
      <c r="AC1649" t="s">
        <v>426</v>
      </c>
      <c r="AD1649" t="s">
        <v>406</v>
      </c>
      <c r="AE1649" t="s">
        <v>137</v>
      </c>
      <c r="AF1649">
        <v>1</v>
      </c>
      <c r="AG1649">
        <v>90</v>
      </c>
      <c r="AH1649">
        <v>444</v>
      </c>
      <c r="AI1649" s="122">
        <v>24108</v>
      </c>
      <c r="AJ1649" s="122">
        <v>21916</v>
      </c>
      <c r="AK1649">
        <v>60</v>
      </c>
      <c r="AL1649" s="122">
        <v>5089</v>
      </c>
      <c r="AM1649" s="122">
        <v>4627</v>
      </c>
      <c r="AN1649" s="122">
        <v>2087</v>
      </c>
      <c r="AO1649">
        <v>773</v>
      </c>
      <c r="AP1649">
        <v>621</v>
      </c>
      <c r="AQ1649">
        <v>230</v>
      </c>
      <c r="AR1649" s="122">
        <v>8109</v>
      </c>
      <c r="AS1649" s="122">
        <v>7371</v>
      </c>
      <c r="AT1649">
        <v>0</v>
      </c>
      <c r="AU1649">
        <v>0</v>
      </c>
      <c r="AV1649" s="122">
        <v>34917</v>
      </c>
    </row>
    <row r="1650" spans="2:48" hidden="1">
      <c r="B1650" t="s">
        <v>375</v>
      </c>
      <c r="C1650" t="s">
        <v>62</v>
      </c>
      <c r="D1650" t="s">
        <v>406</v>
      </c>
      <c r="E1650" t="s">
        <v>137</v>
      </c>
      <c r="F1650" s="122">
        <v>1</v>
      </c>
      <c r="G1650" s="122">
        <v>90</v>
      </c>
      <c r="H1650" s="122">
        <v>437</v>
      </c>
      <c r="I1650" s="122">
        <v>24900</v>
      </c>
      <c r="J1650" s="122">
        <v>22637</v>
      </c>
      <c r="K1650" s="122">
        <v>79</v>
      </c>
      <c r="L1650" s="122">
        <v>6917</v>
      </c>
      <c r="M1650" s="122">
        <v>6288</v>
      </c>
      <c r="N1650" s="122">
        <v>2201</v>
      </c>
      <c r="O1650" s="122">
        <v>815</v>
      </c>
      <c r="P1650" s="122">
        <v>621</v>
      </c>
      <c r="Q1650" s="122">
        <v>230</v>
      </c>
      <c r="R1650" s="122">
        <v>4784</v>
      </c>
      <c r="S1650" s="122">
        <v>1772</v>
      </c>
      <c r="T1650" s="122">
        <v>0</v>
      </c>
      <c r="U1650" s="122">
        <v>0</v>
      </c>
      <c r="V1650" s="122">
        <v>31742</v>
      </c>
      <c r="W1650" s="122">
        <f t="shared" si="52"/>
        <v>31742</v>
      </c>
      <c r="X1650" s="122">
        <f t="shared" si="53"/>
        <v>39423</v>
      </c>
      <c r="AA1650" t="s">
        <v>62</v>
      </c>
      <c r="AB1650" t="s">
        <v>427</v>
      </c>
      <c r="AC1650" t="s">
        <v>426</v>
      </c>
      <c r="AD1650" t="s">
        <v>427</v>
      </c>
      <c r="AE1650" t="s">
        <v>137</v>
      </c>
      <c r="AF1650">
        <v>1</v>
      </c>
      <c r="AG1650">
        <v>83</v>
      </c>
      <c r="AH1650">
        <v>385</v>
      </c>
      <c r="AI1650" s="122">
        <v>18835</v>
      </c>
      <c r="AJ1650" s="122">
        <v>17123</v>
      </c>
      <c r="AK1650">
        <v>55</v>
      </c>
      <c r="AL1650" s="122">
        <v>3641</v>
      </c>
      <c r="AM1650" s="122">
        <v>3310</v>
      </c>
      <c r="AN1650" s="122">
        <v>2015</v>
      </c>
      <c r="AO1650">
        <v>746</v>
      </c>
      <c r="AP1650">
        <v>351</v>
      </c>
      <c r="AQ1650">
        <v>130</v>
      </c>
      <c r="AR1650" s="122">
        <v>4924</v>
      </c>
      <c r="AS1650" s="122">
        <v>4476</v>
      </c>
      <c r="AT1650" s="122">
        <v>2023</v>
      </c>
      <c r="AU1650">
        <v>749</v>
      </c>
      <c r="AV1650" s="122">
        <v>26535</v>
      </c>
    </row>
    <row r="1651" spans="2:48" hidden="1">
      <c r="B1651" t="s">
        <v>375</v>
      </c>
      <c r="C1651" t="s">
        <v>62</v>
      </c>
      <c r="D1651" t="s">
        <v>406</v>
      </c>
      <c r="E1651" t="s">
        <v>406</v>
      </c>
      <c r="F1651" s="122">
        <v>42</v>
      </c>
      <c r="G1651" s="122">
        <v>4283</v>
      </c>
      <c r="H1651" s="122">
        <v>17240</v>
      </c>
      <c r="I1651" s="122">
        <v>1115328</v>
      </c>
      <c r="J1651" s="122">
        <v>1013935</v>
      </c>
      <c r="K1651" s="122">
        <v>73</v>
      </c>
      <c r="L1651" s="122">
        <v>226880</v>
      </c>
      <c r="M1651" s="122">
        <v>196319</v>
      </c>
      <c r="N1651" s="122">
        <v>93108</v>
      </c>
      <c r="O1651" s="122">
        <v>34484</v>
      </c>
      <c r="P1651" s="122">
        <v>26784</v>
      </c>
      <c r="Q1651" s="122">
        <v>9920</v>
      </c>
      <c r="R1651" s="122">
        <v>196236</v>
      </c>
      <c r="S1651" s="122">
        <v>178396</v>
      </c>
      <c r="T1651" s="122">
        <v>98518</v>
      </c>
      <c r="U1651" s="122">
        <v>36488</v>
      </c>
      <c r="V1651" s="122">
        <v>1469543</v>
      </c>
      <c r="W1651" s="122">
        <f t="shared" si="52"/>
        <v>1469542</v>
      </c>
      <c r="X1651" s="122">
        <f t="shared" si="53"/>
        <v>1756854</v>
      </c>
      <c r="AA1651" t="s">
        <v>62</v>
      </c>
      <c r="AB1651" t="s">
        <v>427</v>
      </c>
      <c r="AC1651" t="s">
        <v>566</v>
      </c>
      <c r="AD1651" t="s">
        <v>137</v>
      </c>
      <c r="AE1651" t="s">
        <v>566</v>
      </c>
      <c r="AF1651">
        <v>3</v>
      </c>
      <c r="AG1651">
        <v>258</v>
      </c>
      <c r="AH1651" s="122">
        <v>1243</v>
      </c>
      <c r="AI1651" s="122">
        <v>75140</v>
      </c>
      <c r="AJ1651" s="122">
        <v>68309</v>
      </c>
      <c r="AK1651">
        <v>49</v>
      </c>
      <c r="AL1651">
        <v>0</v>
      </c>
      <c r="AM1651" s="122">
        <v>2214</v>
      </c>
      <c r="AN1651" s="122">
        <v>5749</v>
      </c>
      <c r="AO1651" s="122">
        <v>2129</v>
      </c>
      <c r="AP1651">
        <v>351</v>
      </c>
      <c r="AQ1651">
        <v>130</v>
      </c>
      <c r="AR1651" s="122">
        <v>25830</v>
      </c>
      <c r="AS1651" s="122">
        <v>9567</v>
      </c>
      <c r="AT1651">
        <v>0</v>
      </c>
      <c r="AU1651">
        <v>0</v>
      </c>
      <c r="AV1651" s="122">
        <v>82349</v>
      </c>
    </row>
    <row r="1652" spans="2:48" hidden="1">
      <c r="B1652" t="s">
        <v>375</v>
      </c>
      <c r="C1652" t="s">
        <v>62</v>
      </c>
      <c r="D1652" t="s">
        <v>427</v>
      </c>
      <c r="E1652" t="s">
        <v>427</v>
      </c>
      <c r="F1652" s="122">
        <v>1</v>
      </c>
      <c r="G1652" s="122">
        <v>77</v>
      </c>
      <c r="H1652" s="122">
        <v>397</v>
      </c>
      <c r="I1652" s="122">
        <v>17712</v>
      </c>
      <c r="J1652" s="122">
        <v>16101</v>
      </c>
      <c r="K1652" s="122">
        <v>55</v>
      </c>
      <c r="L1652" s="122">
        <v>3608</v>
      </c>
      <c r="M1652" s="122">
        <v>3280</v>
      </c>
      <c r="N1652" s="122">
        <v>1535</v>
      </c>
      <c r="O1652" s="122">
        <v>568</v>
      </c>
      <c r="P1652" s="122">
        <v>351</v>
      </c>
      <c r="Q1652" s="122">
        <v>130</v>
      </c>
      <c r="R1652" s="122">
        <v>5028</v>
      </c>
      <c r="S1652" s="122">
        <v>4571</v>
      </c>
      <c r="T1652" s="122">
        <v>2256</v>
      </c>
      <c r="U1652" s="122">
        <v>836</v>
      </c>
      <c r="V1652" s="122">
        <v>25486</v>
      </c>
      <c r="W1652" s="122">
        <f t="shared" si="52"/>
        <v>25486</v>
      </c>
      <c r="X1652" s="122">
        <f t="shared" si="53"/>
        <v>30490</v>
      </c>
      <c r="AA1652" t="s">
        <v>62</v>
      </c>
      <c r="AB1652" t="s">
        <v>427</v>
      </c>
      <c r="AC1652" t="s">
        <v>566</v>
      </c>
      <c r="AD1652" t="s">
        <v>406</v>
      </c>
      <c r="AE1652" t="s">
        <v>137</v>
      </c>
      <c r="AF1652">
        <v>1</v>
      </c>
      <c r="AG1652">
        <v>77</v>
      </c>
      <c r="AH1652">
        <v>383</v>
      </c>
      <c r="AI1652" s="122">
        <v>14517</v>
      </c>
      <c r="AJ1652" s="122">
        <v>13197</v>
      </c>
      <c r="AK1652">
        <v>55</v>
      </c>
      <c r="AL1652">
        <v>0</v>
      </c>
      <c r="AM1652">
        <v>0</v>
      </c>
      <c r="AN1652" s="122">
        <v>1793</v>
      </c>
      <c r="AO1652">
        <v>664</v>
      </c>
      <c r="AP1652">
        <v>351</v>
      </c>
      <c r="AQ1652">
        <v>130</v>
      </c>
      <c r="AR1652" s="122">
        <v>8622</v>
      </c>
      <c r="AS1652" s="122">
        <v>7838</v>
      </c>
      <c r="AT1652" s="122">
        <v>4359</v>
      </c>
      <c r="AU1652" s="122">
        <v>1614</v>
      </c>
      <c r="AV1652" s="122">
        <v>23443</v>
      </c>
    </row>
    <row r="1653" spans="2:48" hidden="1">
      <c r="B1653" t="s">
        <v>375</v>
      </c>
      <c r="C1653" t="s">
        <v>62</v>
      </c>
      <c r="D1653" t="s">
        <v>431</v>
      </c>
      <c r="E1653" t="s">
        <v>431</v>
      </c>
      <c r="F1653" s="122">
        <v>1</v>
      </c>
      <c r="G1653" s="122">
        <v>88</v>
      </c>
      <c r="H1653" s="122">
        <v>417</v>
      </c>
      <c r="I1653" s="122">
        <v>21772</v>
      </c>
      <c r="J1653" s="122">
        <v>19793</v>
      </c>
      <c r="K1653" s="122">
        <v>45</v>
      </c>
      <c r="L1653" s="122">
        <v>3629</v>
      </c>
      <c r="M1653" s="122">
        <v>3299</v>
      </c>
      <c r="N1653" s="122">
        <v>1896</v>
      </c>
      <c r="O1653" s="122">
        <v>702</v>
      </c>
      <c r="P1653" s="122">
        <v>351</v>
      </c>
      <c r="Q1653" s="122">
        <v>130</v>
      </c>
      <c r="R1653" s="122">
        <v>6677</v>
      </c>
      <c r="S1653" s="122">
        <v>6070</v>
      </c>
      <c r="T1653" s="122">
        <v>2545</v>
      </c>
      <c r="U1653" s="122">
        <v>943</v>
      </c>
      <c r="V1653" s="122">
        <v>30937</v>
      </c>
      <c r="W1653" s="122">
        <f t="shared" si="52"/>
        <v>30937</v>
      </c>
      <c r="X1653" s="122">
        <f t="shared" si="53"/>
        <v>36870</v>
      </c>
      <c r="AA1653" t="s">
        <v>62</v>
      </c>
      <c r="AB1653" t="s">
        <v>427</v>
      </c>
      <c r="AC1653" t="s">
        <v>566</v>
      </c>
      <c r="AD1653" t="s">
        <v>427</v>
      </c>
      <c r="AE1653" t="s">
        <v>137</v>
      </c>
      <c r="AF1653">
        <v>92</v>
      </c>
      <c r="AG1653" s="122">
        <v>5067</v>
      </c>
      <c r="AH1653" s="122">
        <v>38181</v>
      </c>
      <c r="AI1653" s="122">
        <v>1332443</v>
      </c>
      <c r="AJ1653" s="122">
        <v>1211312</v>
      </c>
      <c r="AK1653">
        <v>53</v>
      </c>
      <c r="AL1653">
        <v>0</v>
      </c>
      <c r="AM1653" s="122">
        <v>13814</v>
      </c>
      <c r="AN1653" s="122">
        <v>102187</v>
      </c>
      <c r="AO1653" s="122">
        <v>37847</v>
      </c>
      <c r="AP1653" s="122">
        <v>31941</v>
      </c>
      <c r="AQ1653" s="122">
        <v>11830</v>
      </c>
      <c r="AR1653" s="122">
        <v>468611</v>
      </c>
      <c r="AS1653" s="122">
        <v>426010</v>
      </c>
      <c r="AT1653" s="122">
        <v>178317</v>
      </c>
      <c r="AU1653" s="122">
        <v>66043</v>
      </c>
      <c r="AV1653" s="122">
        <v>1766856</v>
      </c>
    </row>
    <row r="1654" spans="2:48" hidden="1">
      <c r="B1654" t="s">
        <v>375</v>
      </c>
      <c r="C1654" t="s">
        <v>62</v>
      </c>
      <c r="D1654" t="s">
        <v>426</v>
      </c>
      <c r="E1654" t="s">
        <v>426</v>
      </c>
      <c r="F1654" s="122">
        <v>68</v>
      </c>
      <c r="G1654" s="122">
        <v>4885</v>
      </c>
      <c r="H1654" s="122">
        <v>28306</v>
      </c>
      <c r="I1654" s="122">
        <v>1191205</v>
      </c>
      <c r="J1654" s="122">
        <v>1082914</v>
      </c>
      <c r="K1654" s="122">
        <v>47</v>
      </c>
      <c r="L1654" s="122">
        <v>159520</v>
      </c>
      <c r="M1654" s="122">
        <v>128188</v>
      </c>
      <c r="N1654" s="122">
        <v>97439</v>
      </c>
      <c r="O1654" s="122">
        <v>36089</v>
      </c>
      <c r="P1654" s="122">
        <v>24138</v>
      </c>
      <c r="Q1654" s="122">
        <v>8940</v>
      </c>
      <c r="R1654" s="122">
        <v>407662</v>
      </c>
      <c r="S1654" s="122">
        <v>370602</v>
      </c>
      <c r="T1654" s="122">
        <v>146313</v>
      </c>
      <c r="U1654" s="122">
        <v>54190</v>
      </c>
      <c r="V1654" s="122">
        <v>1680922</v>
      </c>
      <c r="W1654" s="122">
        <f t="shared" si="52"/>
        <v>1680923</v>
      </c>
      <c r="X1654" s="122">
        <f t="shared" si="53"/>
        <v>2026277</v>
      </c>
      <c r="AA1654" t="s">
        <v>62</v>
      </c>
      <c r="AB1654" t="s">
        <v>427</v>
      </c>
      <c r="AC1654" t="s">
        <v>566</v>
      </c>
      <c r="AD1654" t="s">
        <v>427</v>
      </c>
      <c r="AE1654" t="s">
        <v>566</v>
      </c>
      <c r="AF1654">
        <v>4</v>
      </c>
      <c r="AG1654">
        <v>274</v>
      </c>
      <c r="AH1654" s="122">
        <v>1599</v>
      </c>
      <c r="AI1654" s="122">
        <v>86315</v>
      </c>
      <c r="AJ1654" s="122">
        <v>78468</v>
      </c>
      <c r="AK1654">
        <v>55</v>
      </c>
      <c r="AL1654">
        <v>0</v>
      </c>
      <c r="AM1654">
        <v>0</v>
      </c>
      <c r="AN1654" s="122">
        <v>3643</v>
      </c>
      <c r="AO1654" s="122">
        <v>1349</v>
      </c>
      <c r="AP1654" s="122">
        <v>1053</v>
      </c>
      <c r="AQ1654">
        <v>390</v>
      </c>
      <c r="AR1654" s="122">
        <v>23745</v>
      </c>
      <c r="AS1654" s="122">
        <v>21587</v>
      </c>
      <c r="AT1654">
        <v>0</v>
      </c>
      <c r="AU1654">
        <v>0</v>
      </c>
      <c r="AV1654" s="122">
        <v>101794</v>
      </c>
    </row>
    <row r="1655" spans="2:48" hidden="1">
      <c r="B1655" t="s">
        <v>375</v>
      </c>
      <c r="C1655" t="s">
        <v>64</v>
      </c>
      <c r="F1655" s="122">
        <v>1</v>
      </c>
      <c r="G1655" s="122">
        <v>236</v>
      </c>
      <c r="H1655" s="122">
        <v>648</v>
      </c>
      <c r="I1655" s="122"/>
      <c r="J1655" s="122">
        <v>0</v>
      </c>
      <c r="K1655" s="122"/>
      <c r="L1655" s="122"/>
      <c r="M1655" s="122">
        <v>0</v>
      </c>
      <c r="N1655" s="122">
        <v>4768</v>
      </c>
      <c r="O1655" s="122">
        <v>1766</v>
      </c>
      <c r="P1655" s="122">
        <v>621</v>
      </c>
      <c r="Q1655" s="122">
        <v>230</v>
      </c>
      <c r="R1655" s="122"/>
      <c r="S1655" s="122">
        <v>0</v>
      </c>
      <c r="T1655" s="122">
        <v>0</v>
      </c>
      <c r="U1655" s="122">
        <v>0</v>
      </c>
      <c r="V1655" s="122">
        <v>1996</v>
      </c>
      <c r="W1655" s="122">
        <f t="shared" si="52"/>
        <v>1996</v>
      </c>
      <c r="X1655" s="122">
        <f t="shared" si="53"/>
        <v>5389</v>
      </c>
      <c r="AA1655" t="s">
        <v>62</v>
      </c>
      <c r="AB1655" t="s">
        <v>427</v>
      </c>
      <c r="AC1655" t="s">
        <v>433</v>
      </c>
      <c r="AD1655" t="s">
        <v>427</v>
      </c>
      <c r="AE1655" t="s">
        <v>137</v>
      </c>
      <c r="AF1655">
        <v>1</v>
      </c>
      <c r="AG1655">
        <v>80</v>
      </c>
      <c r="AH1655">
        <v>427</v>
      </c>
      <c r="AI1655" s="122">
        <v>22038</v>
      </c>
      <c r="AJ1655" s="122">
        <v>20035</v>
      </c>
      <c r="AK1655">
        <v>65</v>
      </c>
      <c r="AL1655" s="122">
        <v>5306</v>
      </c>
      <c r="AM1655" s="122">
        <v>4823</v>
      </c>
      <c r="AN1655" s="122">
        <v>1511</v>
      </c>
      <c r="AO1655">
        <v>560</v>
      </c>
      <c r="AP1655">
        <v>351</v>
      </c>
      <c r="AQ1655">
        <v>130</v>
      </c>
      <c r="AR1655" s="122">
        <v>2756</v>
      </c>
      <c r="AS1655" s="122">
        <v>2506</v>
      </c>
      <c r="AT1655" s="122">
        <v>2166</v>
      </c>
      <c r="AU1655">
        <v>802</v>
      </c>
      <c r="AV1655" s="122">
        <v>28856</v>
      </c>
    </row>
    <row r="1656" spans="2:48">
      <c r="B1656" t="s">
        <v>375</v>
      </c>
      <c r="C1656" t="s">
        <v>64</v>
      </c>
      <c r="D1656" t="s">
        <v>425</v>
      </c>
      <c r="E1656" t="s">
        <v>425</v>
      </c>
      <c r="F1656" s="122">
        <v>1</v>
      </c>
      <c r="G1656" s="122">
        <v>74</v>
      </c>
      <c r="H1656" s="122">
        <v>513</v>
      </c>
      <c r="I1656" s="122">
        <v>24683</v>
      </c>
      <c r="J1656" s="122">
        <v>22439</v>
      </c>
      <c r="K1656" s="122">
        <v>65</v>
      </c>
      <c r="L1656" s="122">
        <v>4160</v>
      </c>
      <c r="M1656" s="122">
        <v>1541</v>
      </c>
      <c r="N1656" s="122">
        <v>1794</v>
      </c>
      <c r="O1656" s="122">
        <v>665</v>
      </c>
      <c r="P1656" s="122">
        <v>473</v>
      </c>
      <c r="Q1656" s="122">
        <v>175</v>
      </c>
      <c r="R1656" s="122">
        <v>4421</v>
      </c>
      <c r="S1656" s="122">
        <v>4019</v>
      </c>
      <c r="T1656" s="122">
        <v>2213</v>
      </c>
      <c r="U1656" s="122">
        <v>820</v>
      </c>
      <c r="V1656" s="122">
        <v>29658</v>
      </c>
      <c r="W1656" s="122">
        <f t="shared" si="52"/>
        <v>29659</v>
      </c>
      <c r="X1656" s="122">
        <f t="shared" si="53"/>
        <v>37744</v>
      </c>
      <c r="AA1656" t="s">
        <v>62</v>
      </c>
      <c r="AB1656" t="s">
        <v>407</v>
      </c>
      <c r="AC1656" t="s">
        <v>578</v>
      </c>
      <c r="AD1656" t="s">
        <v>137</v>
      </c>
      <c r="AE1656" t="s">
        <v>137</v>
      </c>
      <c r="AF1656">
        <v>1</v>
      </c>
      <c r="AG1656">
        <v>66</v>
      </c>
      <c r="AH1656">
        <v>443</v>
      </c>
      <c r="AI1656" s="122">
        <v>18629</v>
      </c>
      <c r="AJ1656" s="122">
        <v>16935</v>
      </c>
      <c r="AK1656">
        <v>72</v>
      </c>
      <c r="AL1656" s="122">
        <v>4968</v>
      </c>
      <c r="AM1656" s="122">
        <v>4516</v>
      </c>
      <c r="AN1656" s="122">
        <v>1611</v>
      </c>
      <c r="AO1656">
        <v>597</v>
      </c>
      <c r="AP1656">
        <v>122</v>
      </c>
      <c r="AQ1656">
        <v>45</v>
      </c>
      <c r="AR1656" s="122">
        <v>3941</v>
      </c>
      <c r="AS1656" s="122">
        <v>1460</v>
      </c>
      <c r="AT1656">
        <v>0</v>
      </c>
      <c r="AU1656">
        <v>0</v>
      </c>
      <c r="AV1656" s="122">
        <v>23553</v>
      </c>
    </row>
    <row r="1657" spans="2:48">
      <c r="B1657" t="s">
        <v>375</v>
      </c>
      <c r="C1657" t="s">
        <v>64</v>
      </c>
      <c r="D1657" t="s">
        <v>137</v>
      </c>
      <c r="E1657" t="s">
        <v>137</v>
      </c>
      <c r="F1657" s="122">
        <v>17</v>
      </c>
      <c r="G1657" s="122">
        <v>1306</v>
      </c>
      <c r="H1657" s="122">
        <v>10982</v>
      </c>
      <c r="I1657" s="122">
        <v>629945</v>
      </c>
      <c r="J1657" s="122">
        <v>233313</v>
      </c>
      <c r="K1657" s="122">
        <v>100</v>
      </c>
      <c r="L1657" s="122">
        <v>107730</v>
      </c>
      <c r="M1657" s="122">
        <v>95560</v>
      </c>
      <c r="N1657" s="122">
        <v>29897</v>
      </c>
      <c r="O1657" s="122">
        <v>11073</v>
      </c>
      <c r="P1657" s="122">
        <v>0</v>
      </c>
      <c r="Q1657" s="122">
        <v>0</v>
      </c>
      <c r="R1657" s="122">
        <v>104720</v>
      </c>
      <c r="S1657" s="122">
        <v>38785</v>
      </c>
      <c r="T1657" s="122">
        <v>0</v>
      </c>
      <c r="U1657" s="122">
        <v>0</v>
      </c>
      <c r="V1657" s="122">
        <v>378732</v>
      </c>
      <c r="W1657" s="122">
        <f t="shared" si="52"/>
        <v>378731</v>
      </c>
      <c r="X1657" s="122">
        <f t="shared" si="53"/>
        <v>872292</v>
      </c>
      <c r="AA1657" t="s">
        <v>62</v>
      </c>
      <c r="AB1657" t="s">
        <v>407</v>
      </c>
      <c r="AC1657" t="s">
        <v>578</v>
      </c>
      <c r="AD1657" t="s">
        <v>407</v>
      </c>
      <c r="AE1657" t="s">
        <v>137</v>
      </c>
      <c r="AF1657">
        <v>2</v>
      </c>
      <c r="AG1657">
        <v>125</v>
      </c>
      <c r="AH1657">
        <v>820</v>
      </c>
      <c r="AI1657" s="122">
        <v>29045</v>
      </c>
      <c r="AJ1657" s="122">
        <v>26404</v>
      </c>
      <c r="AK1657">
        <v>77</v>
      </c>
      <c r="AL1657" s="122">
        <v>7875</v>
      </c>
      <c r="AM1657" s="122">
        <v>7159</v>
      </c>
      <c r="AN1657" s="122">
        <v>2701</v>
      </c>
      <c r="AO1657" s="122">
        <v>1000</v>
      </c>
      <c r="AP1657">
        <v>945</v>
      </c>
      <c r="AQ1657">
        <v>350</v>
      </c>
      <c r="AR1657" s="122">
        <v>6703</v>
      </c>
      <c r="AS1657" s="122">
        <v>6094</v>
      </c>
      <c r="AT1657" s="122">
        <v>3760</v>
      </c>
      <c r="AU1657" s="122">
        <v>1393</v>
      </c>
      <c r="AV1657" s="122">
        <v>42400</v>
      </c>
    </row>
    <row r="1658" spans="2:48">
      <c r="B1658" t="s">
        <v>375</v>
      </c>
      <c r="C1658" t="s">
        <v>64</v>
      </c>
      <c r="D1658" t="s">
        <v>137</v>
      </c>
      <c r="E1658" t="s">
        <v>406</v>
      </c>
      <c r="F1658" s="122">
        <v>1</v>
      </c>
      <c r="G1658" s="122">
        <v>91</v>
      </c>
      <c r="H1658" s="122">
        <v>675</v>
      </c>
      <c r="I1658" s="122">
        <v>48050</v>
      </c>
      <c r="J1658" s="122">
        <v>17796</v>
      </c>
      <c r="K1658" s="122">
        <v>100</v>
      </c>
      <c r="L1658" s="122">
        <v>3625</v>
      </c>
      <c r="M1658" s="122">
        <v>3296</v>
      </c>
      <c r="N1658" s="122">
        <v>2229</v>
      </c>
      <c r="O1658" s="122">
        <v>826</v>
      </c>
      <c r="P1658" s="122">
        <v>0</v>
      </c>
      <c r="Q1658" s="122">
        <v>0</v>
      </c>
      <c r="R1658" s="122">
        <v>5186</v>
      </c>
      <c r="S1658" s="122">
        <v>4714</v>
      </c>
      <c r="T1658" s="122">
        <v>2674</v>
      </c>
      <c r="U1658" s="122">
        <v>991</v>
      </c>
      <c r="V1658" s="122">
        <v>27622</v>
      </c>
      <c r="W1658" s="122">
        <f t="shared" si="52"/>
        <v>27623</v>
      </c>
      <c r="X1658" s="122">
        <f t="shared" si="53"/>
        <v>61764</v>
      </c>
      <c r="AA1658" t="s">
        <v>62</v>
      </c>
      <c r="AB1658" t="s">
        <v>407</v>
      </c>
      <c r="AC1658" t="s">
        <v>578</v>
      </c>
      <c r="AD1658" t="s">
        <v>407</v>
      </c>
      <c r="AE1658" t="s">
        <v>566</v>
      </c>
      <c r="AF1658">
        <v>5</v>
      </c>
      <c r="AG1658">
        <v>414</v>
      </c>
      <c r="AH1658" s="122">
        <v>2041</v>
      </c>
      <c r="AI1658" s="122">
        <v>101601</v>
      </c>
      <c r="AJ1658" s="122">
        <v>92365</v>
      </c>
      <c r="AK1658">
        <v>76</v>
      </c>
      <c r="AL1658" s="122">
        <v>27330</v>
      </c>
      <c r="AM1658" s="122">
        <v>24845</v>
      </c>
      <c r="AN1658" s="122">
        <v>6495</v>
      </c>
      <c r="AO1658" s="122">
        <v>2406</v>
      </c>
      <c r="AP1658" s="122">
        <v>2363</v>
      </c>
      <c r="AQ1658">
        <v>875</v>
      </c>
      <c r="AR1658" s="122">
        <v>30981</v>
      </c>
      <c r="AS1658" s="122">
        <v>28165</v>
      </c>
      <c r="AT1658">
        <v>0</v>
      </c>
      <c r="AU1658">
        <v>0</v>
      </c>
      <c r="AV1658" s="122">
        <v>148655</v>
      </c>
    </row>
    <row r="1659" spans="2:48" hidden="1">
      <c r="B1659" t="s">
        <v>375</v>
      </c>
      <c r="C1659" t="s">
        <v>64</v>
      </c>
      <c r="D1659" t="s">
        <v>137</v>
      </c>
      <c r="E1659" t="s">
        <v>426</v>
      </c>
      <c r="F1659" s="122">
        <v>13</v>
      </c>
      <c r="G1659" s="122">
        <v>920</v>
      </c>
      <c r="H1659" s="122">
        <v>7984</v>
      </c>
      <c r="I1659" s="122">
        <v>401029</v>
      </c>
      <c r="J1659" s="122">
        <v>148529</v>
      </c>
      <c r="K1659" s="122">
        <v>100</v>
      </c>
      <c r="L1659" s="122">
        <v>42478</v>
      </c>
      <c r="M1659" s="122">
        <v>33947</v>
      </c>
      <c r="N1659" s="122">
        <v>20831</v>
      </c>
      <c r="O1659" s="122">
        <v>7715</v>
      </c>
      <c r="P1659" s="122">
        <v>1755</v>
      </c>
      <c r="Q1659" s="122">
        <v>650</v>
      </c>
      <c r="R1659" s="122">
        <v>73667</v>
      </c>
      <c r="S1659" s="122">
        <v>66970</v>
      </c>
      <c r="T1659" s="122">
        <v>28711</v>
      </c>
      <c r="U1659" s="122">
        <v>10634</v>
      </c>
      <c r="V1659" s="122">
        <v>268445</v>
      </c>
      <c r="W1659" s="122">
        <f t="shared" si="52"/>
        <v>268445</v>
      </c>
      <c r="X1659" s="122">
        <f t="shared" si="53"/>
        <v>568471</v>
      </c>
      <c r="AA1659" t="s">
        <v>62</v>
      </c>
      <c r="AB1659" t="s">
        <v>407</v>
      </c>
      <c r="AC1659" t="s">
        <v>425</v>
      </c>
      <c r="AD1659" t="s">
        <v>407</v>
      </c>
      <c r="AE1659" t="s">
        <v>137</v>
      </c>
      <c r="AF1659">
        <v>2</v>
      </c>
      <c r="AG1659">
        <v>245</v>
      </c>
      <c r="AH1659">
        <v>841</v>
      </c>
      <c r="AI1659" s="122">
        <v>64962</v>
      </c>
      <c r="AJ1659" s="122">
        <v>59056</v>
      </c>
      <c r="AK1659">
        <v>68</v>
      </c>
      <c r="AL1659" s="122">
        <v>16889</v>
      </c>
      <c r="AM1659" s="122">
        <v>15353</v>
      </c>
      <c r="AN1659" s="122">
        <v>5363</v>
      </c>
      <c r="AO1659" s="122">
        <v>1986</v>
      </c>
      <c r="AP1659">
        <v>945</v>
      </c>
      <c r="AQ1659">
        <v>350</v>
      </c>
      <c r="AR1659" s="122">
        <v>9316</v>
      </c>
      <c r="AS1659" s="122">
        <v>8469</v>
      </c>
      <c r="AT1659" s="122">
        <v>5770</v>
      </c>
      <c r="AU1659" s="122">
        <v>2137</v>
      </c>
      <c r="AV1659" s="122">
        <v>87353</v>
      </c>
    </row>
    <row r="1660" spans="2:48" hidden="1">
      <c r="B1660" t="s">
        <v>375</v>
      </c>
      <c r="C1660" t="s">
        <v>64</v>
      </c>
      <c r="D1660" t="s">
        <v>406</v>
      </c>
      <c r="E1660" t="s">
        <v>406</v>
      </c>
      <c r="F1660" s="122">
        <v>29</v>
      </c>
      <c r="G1660" s="122">
        <v>2663</v>
      </c>
      <c r="H1660" s="122">
        <v>15646</v>
      </c>
      <c r="I1660" s="122">
        <v>938313</v>
      </c>
      <c r="J1660" s="122">
        <v>853012</v>
      </c>
      <c r="K1660" s="122">
        <v>72</v>
      </c>
      <c r="L1660" s="122">
        <v>209993</v>
      </c>
      <c r="M1660" s="122">
        <v>182983</v>
      </c>
      <c r="N1660" s="122">
        <v>59814</v>
      </c>
      <c r="O1660" s="122">
        <v>22153</v>
      </c>
      <c r="P1660" s="122">
        <v>18711</v>
      </c>
      <c r="Q1660" s="122">
        <v>6930</v>
      </c>
      <c r="R1660" s="122">
        <v>138113</v>
      </c>
      <c r="S1660" s="122">
        <v>125558</v>
      </c>
      <c r="T1660" s="122">
        <v>62156</v>
      </c>
      <c r="U1660" s="122">
        <v>23021</v>
      </c>
      <c r="V1660" s="122">
        <v>1213656</v>
      </c>
      <c r="W1660" s="122">
        <f t="shared" si="52"/>
        <v>1213657</v>
      </c>
      <c r="X1660" s="122">
        <f t="shared" si="53"/>
        <v>1427100</v>
      </c>
      <c r="AA1660" t="s">
        <v>62</v>
      </c>
      <c r="AB1660" t="s">
        <v>407</v>
      </c>
      <c r="AC1660" t="s">
        <v>405</v>
      </c>
      <c r="AD1660" t="s">
        <v>137</v>
      </c>
      <c r="AE1660" t="s">
        <v>566</v>
      </c>
      <c r="AF1660">
        <v>1</v>
      </c>
      <c r="AG1660">
        <v>94</v>
      </c>
      <c r="AH1660">
        <v>414</v>
      </c>
      <c r="AI1660" s="122">
        <v>27297</v>
      </c>
      <c r="AJ1660" s="122">
        <v>24816</v>
      </c>
      <c r="AK1660">
        <v>40</v>
      </c>
      <c r="AL1660" s="122">
        <v>2426</v>
      </c>
      <c r="AM1660" s="122">
        <v>2206</v>
      </c>
      <c r="AN1660" s="122">
        <v>2181</v>
      </c>
      <c r="AO1660">
        <v>808</v>
      </c>
      <c r="AP1660">
        <v>0</v>
      </c>
      <c r="AQ1660">
        <v>0</v>
      </c>
      <c r="AR1660" s="122">
        <v>7131</v>
      </c>
      <c r="AS1660" s="122">
        <v>2641</v>
      </c>
      <c r="AT1660">
        <v>0</v>
      </c>
      <c r="AU1660">
        <v>0</v>
      </c>
      <c r="AV1660" s="122">
        <v>30470</v>
      </c>
    </row>
    <row r="1661" spans="2:48" hidden="1">
      <c r="B1661" t="s">
        <v>375</v>
      </c>
      <c r="C1661" t="s">
        <v>64</v>
      </c>
      <c r="D1661" t="s">
        <v>406</v>
      </c>
      <c r="E1661" t="s">
        <v>427</v>
      </c>
      <c r="F1661" s="122">
        <v>1</v>
      </c>
      <c r="G1661" s="122">
        <v>131</v>
      </c>
      <c r="H1661" s="122">
        <v>494</v>
      </c>
      <c r="I1661" s="122">
        <v>43295</v>
      </c>
      <c r="J1661" s="122">
        <v>39359</v>
      </c>
      <c r="K1661" s="122">
        <v>65</v>
      </c>
      <c r="L1661" s="122">
        <v>9910</v>
      </c>
      <c r="M1661" s="122">
        <v>9009</v>
      </c>
      <c r="N1661" s="122">
        <v>2769</v>
      </c>
      <c r="O1661" s="122">
        <v>1026</v>
      </c>
      <c r="P1661" s="122">
        <v>621</v>
      </c>
      <c r="Q1661" s="122">
        <v>230</v>
      </c>
      <c r="R1661" s="122">
        <v>5399</v>
      </c>
      <c r="S1661" s="122">
        <v>4908</v>
      </c>
      <c r="T1661" s="122">
        <v>2943</v>
      </c>
      <c r="U1661" s="122">
        <v>1090</v>
      </c>
      <c r="V1661" s="122">
        <v>55621</v>
      </c>
      <c r="W1661" s="122">
        <f t="shared" si="52"/>
        <v>55622</v>
      </c>
      <c r="X1661" s="122">
        <f t="shared" si="53"/>
        <v>64937</v>
      </c>
      <c r="AA1661" t="s">
        <v>62</v>
      </c>
      <c r="AB1661" t="s">
        <v>407</v>
      </c>
      <c r="AC1661" t="s">
        <v>137</v>
      </c>
      <c r="AD1661" t="s">
        <v>137</v>
      </c>
      <c r="AE1661" t="s">
        <v>137</v>
      </c>
      <c r="AF1661">
        <v>1</v>
      </c>
      <c r="AG1661">
        <v>43</v>
      </c>
      <c r="AH1661">
        <v>431</v>
      </c>
      <c r="AI1661" s="122">
        <v>7507</v>
      </c>
      <c r="AJ1661" s="122">
        <v>6824</v>
      </c>
      <c r="AK1661">
        <v>90</v>
      </c>
      <c r="AL1661" s="122">
        <v>3939</v>
      </c>
      <c r="AM1661" s="122">
        <v>1459</v>
      </c>
      <c r="AN1661">
        <v>892</v>
      </c>
      <c r="AO1661">
        <v>330</v>
      </c>
      <c r="AP1661">
        <v>473</v>
      </c>
      <c r="AQ1661">
        <v>175</v>
      </c>
      <c r="AR1661" s="122">
        <v>3785</v>
      </c>
      <c r="AS1661" s="122">
        <v>1402</v>
      </c>
      <c r="AT1661" s="122">
        <v>1864</v>
      </c>
      <c r="AU1661">
        <v>690</v>
      </c>
      <c r="AV1661" s="122">
        <v>10881</v>
      </c>
    </row>
    <row r="1662" spans="2:48" hidden="1">
      <c r="B1662" t="s">
        <v>375</v>
      </c>
      <c r="C1662" t="s">
        <v>64</v>
      </c>
      <c r="D1662" t="s">
        <v>406</v>
      </c>
      <c r="E1662" t="s">
        <v>426</v>
      </c>
      <c r="F1662" s="122">
        <v>1</v>
      </c>
      <c r="G1662" s="122">
        <v>179</v>
      </c>
      <c r="H1662" s="122">
        <v>481</v>
      </c>
      <c r="I1662" s="122">
        <v>61641</v>
      </c>
      <c r="J1662" s="122">
        <v>56037</v>
      </c>
      <c r="K1662" s="122">
        <v>65</v>
      </c>
      <c r="L1662" s="122">
        <v>9406</v>
      </c>
      <c r="M1662" s="122">
        <v>8551</v>
      </c>
      <c r="N1662" s="122">
        <v>3716</v>
      </c>
      <c r="O1662" s="122">
        <v>1376</v>
      </c>
      <c r="P1662" s="122">
        <v>972</v>
      </c>
      <c r="Q1662" s="122">
        <v>360</v>
      </c>
      <c r="R1662" s="122">
        <v>6378</v>
      </c>
      <c r="S1662" s="122">
        <v>5798</v>
      </c>
      <c r="T1662" s="122">
        <v>4218</v>
      </c>
      <c r="U1662" s="122">
        <v>1562</v>
      </c>
      <c r="V1662" s="122">
        <v>73684</v>
      </c>
      <c r="W1662" s="122">
        <f t="shared" si="52"/>
        <v>73684</v>
      </c>
      <c r="X1662" s="122">
        <f t="shared" si="53"/>
        <v>86331</v>
      </c>
      <c r="AA1662" t="s">
        <v>62</v>
      </c>
      <c r="AB1662" t="s">
        <v>407</v>
      </c>
      <c r="AC1662" t="s">
        <v>137</v>
      </c>
      <c r="AD1662" t="s">
        <v>137</v>
      </c>
      <c r="AE1662" t="s">
        <v>566</v>
      </c>
      <c r="AF1662">
        <v>14</v>
      </c>
      <c r="AG1662" s="122">
        <v>1263</v>
      </c>
      <c r="AH1662" s="122">
        <v>5804</v>
      </c>
      <c r="AI1662" s="122">
        <v>313652</v>
      </c>
      <c r="AJ1662" s="122">
        <v>285138</v>
      </c>
      <c r="AK1662">
        <v>71</v>
      </c>
      <c r="AL1662" s="122">
        <v>72845</v>
      </c>
      <c r="AM1662" s="122">
        <v>26980</v>
      </c>
      <c r="AN1662" s="122">
        <v>26663</v>
      </c>
      <c r="AO1662" s="122">
        <v>9875</v>
      </c>
      <c r="AP1662" s="122">
        <v>4604</v>
      </c>
      <c r="AQ1662" s="122">
        <v>1705</v>
      </c>
      <c r="AR1662" s="122">
        <v>100174</v>
      </c>
      <c r="AS1662" s="122">
        <v>37101</v>
      </c>
      <c r="AT1662">
        <v>0</v>
      </c>
      <c r="AU1662">
        <v>0</v>
      </c>
      <c r="AV1662" s="122">
        <v>360799</v>
      </c>
    </row>
    <row r="1663" spans="2:48" hidden="1">
      <c r="B1663" t="s">
        <v>375</v>
      </c>
      <c r="C1663" t="s">
        <v>64</v>
      </c>
      <c r="D1663" t="s">
        <v>427</v>
      </c>
      <c r="E1663" t="s">
        <v>427</v>
      </c>
      <c r="F1663" s="122">
        <v>1</v>
      </c>
      <c r="G1663" s="122">
        <v>88</v>
      </c>
      <c r="H1663" s="122">
        <v>650</v>
      </c>
      <c r="I1663" s="122">
        <v>38919</v>
      </c>
      <c r="J1663" s="122">
        <v>35381</v>
      </c>
      <c r="K1663" s="122">
        <v>45</v>
      </c>
      <c r="L1663" s="122">
        <v>6487</v>
      </c>
      <c r="M1663" s="122">
        <v>5897</v>
      </c>
      <c r="N1663" s="122">
        <v>1708</v>
      </c>
      <c r="O1663" s="122">
        <v>632</v>
      </c>
      <c r="P1663" s="122">
        <v>351</v>
      </c>
      <c r="Q1663" s="122">
        <v>130</v>
      </c>
      <c r="R1663" s="122">
        <v>6821</v>
      </c>
      <c r="S1663" s="122">
        <v>6201</v>
      </c>
      <c r="T1663" s="122">
        <v>2624</v>
      </c>
      <c r="U1663" s="122">
        <v>972</v>
      </c>
      <c r="V1663" s="122">
        <v>49213</v>
      </c>
      <c r="W1663" s="122">
        <f t="shared" si="52"/>
        <v>49213</v>
      </c>
      <c r="X1663" s="122">
        <f t="shared" si="53"/>
        <v>56910</v>
      </c>
      <c r="AA1663" t="s">
        <v>62</v>
      </c>
      <c r="AB1663" t="s">
        <v>407</v>
      </c>
      <c r="AC1663" t="s">
        <v>137</v>
      </c>
      <c r="AD1663" t="s">
        <v>407</v>
      </c>
      <c r="AE1663" t="s">
        <v>137</v>
      </c>
      <c r="AF1663">
        <v>277</v>
      </c>
      <c r="AG1663" s="122">
        <v>23701</v>
      </c>
      <c r="AH1663" s="122">
        <v>114650</v>
      </c>
      <c r="AI1663" s="122">
        <v>6020455</v>
      </c>
      <c r="AJ1663" s="122">
        <v>5473141</v>
      </c>
      <c r="AK1663">
        <v>74</v>
      </c>
      <c r="AL1663" s="122">
        <v>1379098</v>
      </c>
      <c r="AM1663" s="122">
        <v>510777</v>
      </c>
      <c r="AN1663" s="122">
        <v>516172</v>
      </c>
      <c r="AO1663" s="122">
        <v>191175</v>
      </c>
      <c r="AP1663" s="122">
        <v>129546</v>
      </c>
      <c r="AQ1663" s="122">
        <v>47980</v>
      </c>
      <c r="AR1663" s="122">
        <v>1238088</v>
      </c>
      <c r="AS1663" s="122">
        <v>1125535</v>
      </c>
      <c r="AT1663" s="122">
        <v>615598</v>
      </c>
      <c r="AU1663" s="122">
        <v>227999</v>
      </c>
      <c r="AV1663" s="122">
        <v>7576607</v>
      </c>
    </row>
    <row r="1664" spans="2:48" hidden="1">
      <c r="B1664" t="s">
        <v>375</v>
      </c>
      <c r="C1664" t="s">
        <v>64</v>
      </c>
      <c r="D1664" t="s">
        <v>428</v>
      </c>
      <c r="E1664" t="s">
        <v>428</v>
      </c>
      <c r="F1664" s="122">
        <v>1</v>
      </c>
      <c r="G1664" s="122">
        <v>90</v>
      </c>
      <c r="H1664" s="122">
        <v>632</v>
      </c>
      <c r="I1664" s="122">
        <v>40283</v>
      </c>
      <c r="J1664" s="122">
        <v>36621</v>
      </c>
      <c r="K1664" s="122">
        <v>55</v>
      </c>
      <c r="L1664" s="122">
        <v>6042</v>
      </c>
      <c r="M1664" s="122">
        <v>2238</v>
      </c>
      <c r="N1664" s="122">
        <v>2182</v>
      </c>
      <c r="O1664" s="122">
        <v>808</v>
      </c>
      <c r="P1664" s="122">
        <v>351</v>
      </c>
      <c r="Q1664" s="122">
        <v>130</v>
      </c>
      <c r="R1664" s="122">
        <v>5283</v>
      </c>
      <c r="S1664" s="122">
        <v>4803</v>
      </c>
      <c r="T1664" s="122">
        <v>2426</v>
      </c>
      <c r="U1664" s="122">
        <v>899</v>
      </c>
      <c r="V1664" s="122">
        <v>45499</v>
      </c>
      <c r="W1664" s="122">
        <f t="shared" si="52"/>
        <v>45499</v>
      </c>
      <c r="X1664" s="122">
        <f t="shared" si="53"/>
        <v>56567</v>
      </c>
      <c r="AA1664" t="s">
        <v>62</v>
      </c>
      <c r="AB1664" t="s">
        <v>407</v>
      </c>
      <c r="AC1664" t="s">
        <v>137</v>
      </c>
      <c r="AD1664" t="s">
        <v>407</v>
      </c>
      <c r="AE1664" t="s">
        <v>566</v>
      </c>
      <c r="AF1664">
        <v>108</v>
      </c>
      <c r="AG1664" s="122">
        <v>9483</v>
      </c>
      <c r="AH1664" s="122">
        <v>44484</v>
      </c>
      <c r="AI1664" s="122">
        <v>2453121</v>
      </c>
      <c r="AJ1664" s="122">
        <v>2230110</v>
      </c>
      <c r="AK1664">
        <v>75</v>
      </c>
      <c r="AL1664" s="122">
        <v>602268</v>
      </c>
      <c r="AM1664" s="122">
        <v>223062</v>
      </c>
      <c r="AN1664" s="122">
        <v>200749</v>
      </c>
      <c r="AO1664" s="122">
        <v>74351</v>
      </c>
      <c r="AP1664" s="122">
        <v>51903</v>
      </c>
      <c r="AQ1664" s="122">
        <v>19224</v>
      </c>
      <c r="AR1664" s="122">
        <v>609151</v>
      </c>
      <c r="AS1664" s="122">
        <v>553773</v>
      </c>
      <c r="AT1664">
        <v>0</v>
      </c>
      <c r="AU1664">
        <v>0</v>
      </c>
      <c r="AV1664" s="122">
        <v>3100520</v>
      </c>
    </row>
    <row r="1665" spans="2:48" hidden="1">
      <c r="B1665" t="s">
        <v>375</v>
      </c>
      <c r="C1665" t="s">
        <v>64</v>
      </c>
      <c r="D1665" t="s">
        <v>431</v>
      </c>
      <c r="E1665" t="s">
        <v>431</v>
      </c>
      <c r="F1665" s="122">
        <v>1</v>
      </c>
      <c r="G1665" s="122">
        <v>57</v>
      </c>
      <c r="H1665" s="122">
        <v>748</v>
      </c>
      <c r="I1665" s="122">
        <v>28197</v>
      </c>
      <c r="J1665" s="122">
        <v>25633</v>
      </c>
      <c r="K1665" s="122">
        <v>65</v>
      </c>
      <c r="L1665" s="122">
        <v>6788</v>
      </c>
      <c r="M1665" s="122">
        <v>6171</v>
      </c>
      <c r="N1665" s="122">
        <v>1161</v>
      </c>
      <c r="O1665" s="122">
        <v>430</v>
      </c>
      <c r="P1665" s="122">
        <v>351</v>
      </c>
      <c r="Q1665" s="122">
        <v>130</v>
      </c>
      <c r="R1665" s="122">
        <v>4075</v>
      </c>
      <c r="S1665" s="122">
        <v>3704</v>
      </c>
      <c r="T1665" s="122">
        <v>2115</v>
      </c>
      <c r="U1665" s="122">
        <v>783</v>
      </c>
      <c r="V1665" s="122">
        <v>36852</v>
      </c>
      <c r="W1665" s="122">
        <f t="shared" si="52"/>
        <v>36851</v>
      </c>
      <c r="X1665" s="122">
        <f t="shared" si="53"/>
        <v>42687</v>
      </c>
      <c r="AA1665" t="s">
        <v>62</v>
      </c>
      <c r="AB1665" t="s">
        <v>407</v>
      </c>
      <c r="AC1665" t="s">
        <v>137</v>
      </c>
      <c r="AD1665" t="s">
        <v>579</v>
      </c>
      <c r="AE1665" t="s">
        <v>566</v>
      </c>
      <c r="AF1665">
        <v>1</v>
      </c>
      <c r="AG1665">
        <v>80</v>
      </c>
      <c r="AH1665">
        <v>397</v>
      </c>
      <c r="AI1665" s="122">
        <v>16647</v>
      </c>
      <c r="AJ1665" s="122">
        <v>15134</v>
      </c>
      <c r="AK1665">
        <v>77</v>
      </c>
      <c r="AL1665" s="122">
        <v>11063</v>
      </c>
      <c r="AM1665" s="122">
        <v>4097</v>
      </c>
      <c r="AN1665">
        <v>980</v>
      </c>
      <c r="AO1665">
        <v>363</v>
      </c>
      <c r="AP1665">
        <v>473</v>
      </c>
      <c r="AQ1665">
        <v>175</v>
      </c>
      <c r="AR1665" s="122">
        <v>2762</v>
      </c>
      <c r="AS1665" s="122">
        <v>2302</v>
      </c>
      <c r="AT1665">
        <v>0</v>
      </c>
      <c r="AU1665">
        <v>0</v>
      </c>
      <c r="AV1665" s="122">
        <v>22071</v>
      </c>
    </row>
    <row r="1666" spans="2:48" hidden="1">
      <c r="B1666" t="s">
        <v>375</v>
      </c>
      <c r="C1666" t="s">
        <v>64</v>
      </c>
      <c r="D1666" t="s">
        <v>426</v>
      </c>
      <c r="E1666" t="s">
        <v>137</v>
      </c>
      <c r="F1666" s="122">
        <v>8</v>
      </c>
      <c r="G1666" s="122">
        <v>792</v>
      </c>
      <c r="H1666" s="122">
        <v>8049</v>
      </c>
      <c r="I1666" s="122">
        <v>636230</v>
      </c>
      <c r="J1666" s="122">
        <v>578391</v>
      </c>
      <c r="K1666" s="122">
        <v>32</v>
      </c>
      <c r="L1666" s="122">
        <v>44613</v>
      </c>
      <c r="M1666" s="122">
        <v>25731</v>
      </c>
      <c r="N1666" s="122">
        <v>18261</v>
      </c>
      <c r="O1666" s="122">
        <v>6763</v>
      </c>
      <c r="P1666" s="122">
        <v>351</v>
      </c>
      <c r="Q1666" s="122">
        <v>130</v>
      </c>
      <c r="R1666" s="122">
        <v>58818</v>
      </c>
      <c r="S1666" s="122">
        <v>21784</v>
      </c>
      <c r="T1666" s="122">
        <v>0</v>
      </c>
      <c r="U1666" s="122">
        <v>0</v>
      </c>
      <c r="V1666" s="122">
        <v>632799</v>
      </c>
      <c r="W1666" s="122">
        <f t="shared" si="52"/>
        <v>632799</v>
      </c>
      <c r="X1666" s="122">
        <f t="shared" si="53"/>
        <v>758273</v>
      </c>
      <c r="AA1666" t="s">
        <v>62</v>
      </c>
      <c r="AB1666" t="s">
        <v>407</v>
      </c>
      <c r="AC1666" t="s">
        <v>580</v>
      </c>
      <c r="AD1666" t="s">
        <v>407</v>
      </c>
      <c r="AE1666" t="s">
        <v>137</v>
      </c>
      <c r="AF1666">
        <v>4</v>
      </c>
      <c r="AG1666">
        <v>438</v>
      </c>
      <c r="AH1666" s="122">
        <v>1586</v>
      </c>
      <c r="AI1666" s="122">
        <v>118338</v>
      </c>
      <c r="AJ1666" s="122">
        <v>107580</v>
      </c>
      <c r="AK1666">
        <v>76</v>
      </c>
      <c r="AL1666" s="122">
        <v>26885</v>
      </c>
      <c r="AM1666" s="122">
        <v>24441</v>
      </c>
      <c r="AN1666" s="122">
        <v>9342</v>
      </c>
      <c r="AO1666" s="122">
        <v>3460</v>
      </c>
      <c r="AP1666" s="122">
        <v>1890</v>
      </c>
      <c r="AQ1666">
        <v>700</v>
      </c>
      <c r="AR1666" s="122">
        <v>20826</v>
      </c>
      <c r="AS1666" s="122">
        <v>18933</v>
      </c>
      <c r="AT1666" s="122">
        <v>6029</v>
      </c>
      <c r="AU1666" s="122">
        <v>2233</v>
      </c>
      <c r="AV1666" s="122">
        <v>157347</v>
      </c>
    </row>
    <row r="1667" spans="2:48" hidden="1">
      <c r="B1667" t="s">
        <v>375</v>
      </c>
      <c r="C1667" t="s">
        <v>64</v>
      </c>
      <c r="D1667" t="s">
        <v>426</v>
      </c>
      <c r="E1667" t="s">
        <v>426</v>
      </c>
      <c r="F1667" s="122">
        <v>51</v>
      </c>
      <c r="G1667" s="122">
        <v>3567</v>
      </c>
      <c r="H1667" s="122">
        <v>32742</v>
      </c>
      <c r="I1667" s="122">
        <v>1545712</v>
      </c>
      <c r="J1667" s="122">
        <v>1405193</v>
      </c>
      <c r="K1667" s="122">
        <v>49</v>
      </c>
      <c r="L1667" s="122">
        <v>195862</v>
      </c>
      <c r="M1667" s="122">
        <v>152397</v>
      </c>
      <c r="N1667" s="122">
        <v>74300</v>
      </c>
      <c r="O1667" s="122">
        <v>27518</v>
      </c>
      <c r="P1667" s="122">
        <v>15714</v>
      </c>
      <c r="Q1667" s="122">
        <v>5820</v>
      </c>
      <c r="R1667" s="122">
        <v>293973</v>
      </c>
      <c r="S1667" s="122">
        <v>267248</v>
      </c>
      <c r="T1667" s="122">
        <v>111735</v>
      </c>
      <c r="U1667" s="122">
        <v>41383</v>
      </c>
      <c r="V1667" s="122">
        <v>1899560</v>
      </c>
      <c r="W1667" s="122">
        <f t="shared" si="52"/>
        <v>1899559</v>
      </c>
      <c r="X1667" s="122">
        <f t="shared" si="53"/>
        <v>2237296</v>
      </c>
      <c r="AA1667" t="s">
        <v>62</v>
      </c>
      <c r="AB1667" t="s">
        <v>407</v>
      </c>
      <c r="AC1667" t="s">
        <v>580</v>
      </c>
      <c r="AD1667" t="s">
        <v>407</v>
      </c>
      <c r="AE1667" t="s">
        <v>566</v>
      </c>
      <c r="AF1667">
        <v>2</v>
      </c>
      <c r="AG1667">
        <v>184</v>
      </c>
      <c r="AH1667">
        <v>830</v>
      </c>
      <c r="AI1667" s="122">
        <v>49286</v>
      </c>
      <c r="AJ1667" s="122">
        <v>44805</v>
      </c>
      <c r="AK1667">
        <v>72</v>
      </c>
      <c r="AL1667" s="122">
        <v>9081</v>
      </c>
      <c r="AM1667" s="122">
        <v>8255</v>
      </c>
      <c r="AN1667" s="122">
        <v>4298</v>
      </c>
      <c r="AO1667" s="122">
        <v>1592</v>
      </c>
      <c r="AP1667">
        <v>945</v>
      </c>
      <c r="AQ1667">
        <v>350</v>
      </c>
      <c r="AR1667" s="122">
        <v>12584</v>
      </c>
      <c r="AS1667" s="122">
        <v>11440</v>
      </c>
      <c r="AT1667">
        <v>0</v>
      </c>
      <c r="AU1667">
        <v>0</v>
      </c>
      <c r="AV1667" s="122">
        <v>66442</v>
      </c>
    </row>
    <row r="1668" spans="2:48" hidden="1">
      <c r="B1668" t="s">
        <v>375</v>
      </c>
      <c r="C1668" t="s">
        <v>64</v>
      </c>
      <c r="D1668" t="s">
        <v>433</v>
      </c>
      <c r="E1668" t="s">
        <v>433</v>
      </c>
      <c r="F1668" s="122">
        <v>1</v>
      </c>
      <c r="G1668" s="122">
        <v>39</v>
      </c>
      <c r="H1668" s="122">
        <v>742</v>
      </c>
      <c r="I1668" s="122">
        <v>16801</v>
      </c>
      <c r="J1668" s="122">
        <v>15274</v>
      </c>
      <c r="K1668" s="122">
        <v>45</v>
      </c>
      <c r="L1668" s="122">
        <v>4639</v>
      </c>
      <c r="M1668" s="122">
        <v>1718</v>
      </c>
      <c r="N1668" s="122">
        <v>665</v>
      </c>
      <c r="O1668" s="122">
        <v>246</v>
      </c>
      <c r="P1668" s="122">
        <v>351</v>
      </c>
      <c r="Q1668" s="122">
        <v>130</v>
      </c>
      <c r="R1668" s="122">
        <v>4911</v>
      </c>
      <c r="S1668" s="122">
        <v>4465</v>
      </c>
      <c r="T1668" s="122">
        <v>1585</v>
      </c>
      <c r="U1668" s="122">
        <v>587</v>
      </c>
      <c r="V1668" s="122">
        <v>22420</v>
      </c>
      <c r="W1668" s="122">
        <f t="shared" si="52"/>
        <v>22420</v>
      </c>
      <c r="X1668" s="122">
        <f t="shared" si="53"/>
        <v>28952</v>
      </c>
      <c r="AA1668" t="s">
        <v>62</v>
      </c>
      <c r="AB1668" t="s">
        <v>407</v>
      </c>
      <c r="AC1668" t="s">
        <v>427</v>
      </c>
      <c r="AD1668" t="s">
        <v>137</v>
      </c>
      <c r="AE1668" t="s">
        <v>137</v>
      </c>
      <c r="AF1668">
        <v>1</v>
      </c>
      <c r="AG1668">
        <v>60</v>
      </c>
      <c r="AH1668">
        <v>421</v>
      </c>
      <c r="AI1668" s="122">
        <v>8544</v>
      </c>
      <c r="AJ1668" s="122">
        <v>7767</v>
      </c>
      <c r="AK1668">
        <v>80</v>
      </c>
      <c r="AL1668" s="122">
        <v>2414</v>
      </c>
      <c r="AM1668" s="122">
        <v>2195</v>
      </c>
      <c r="AN1668" s="122">
        <v>1464</v>
      </c>
      <c r="AO1668">
        <v>542</v>
      </c>
      <c r="AP1668">
        <v>473</v>
      </c>
      <c r="AQ1668">
        <v>175</v>
      </c>
      <c r="AR1668" s="122">
        <v>12360</v>
      </c>
      <c r="AS1668" s="122">
        <v>4578</v>
      </c>
      <c r="AT1668">
        <v>0</v>
      </c>
      <c r="AU1668">
        <v>0</v>
      </c>
      <c r="AV1668" s="122">
        <v>15257</v>
      </c>
    </row>
    <row r="1669" spans="2:48" hidden="1">
      <c r="B1669" t="s">
        <v>375</v>
      </c>
      <c r="C1669" t="s">
        <v>64</v>
      </c>
      <c r="D1669" t="s">
        <v>408</v>
      </c>
      <c r="E1669" t="s">
        <v>408</v>
      </c>
      <c r="F1669" s="122">
        <v>1</v>
      </c>
      <c r="G1669" s="122">
        <v>75</v>
      </c>
      <c r="H1669" s="122">
        <v>459</v>
      </c>
      <c r="I1669" s="122">
        <v>22232</v>
      </c>
      <c r="J1669" s="122">
        <v>20211</v>
      </c>
      <c r="K1669" s="122">
        <v>65</v>
      </c>
      <c r="L1669" s="122">
        <v>3568</v>
      </c>
      <c r="M1669" s="122">
        <v>3244</v>
      </c>
      <c r="N1669" s="122">
        <v>1590</v>
      </c>
      <c r="O1669" s="122">
        <v>589</v>
      </c>
      <c r="P1669" s="122">
        <v>702</v>
      </c>
      <c r="Q1669" s="122">
        <v>260</v>
      </c>
      <c r="R1669" s="122">
        <v>4046</v>
      </c>
      <c r="S1669" s="122">
        <v>3678</v>
      </c>
      <c r="T1669" s="122">
        <v>2093</v>
      </c>
      <c r="U1669" s="122">
        <v>775</v>
      </c>
      <c r="V1669" s="122">
        <v>28758</v>
      </c>
      <c r="W1669" s="122">
        <f t="shared" si="52"/>
        <v>28757</v>
      </c>
      <c r="X1669" s="122">
        <f t="shared" si="53"/>
        <v>34231</v>
      </c>
      <c r="AA1669" t="s">
        <v>62</v>
      </c>
      <c r="AB1669" t="s">
        <v>407</v>
      </c>
      <c r="AC1669" t="s">
        <v>427</v>
      </c>
      <c r="AD1669" t="s">
        <v>137</v>
      </c>
      <c r="AE1669" t="s">
        <v>566</v>
      </c>
      <c r="AF1669">
        <v>10</v>
      </c>
      <c r="AG1669">
        <v>996</v>
      </c>
      <c r="AH1669" s="122">
        <v>4242</v>
      </c>
      <c r="AI1669" s="122">
        <v>253187</v>
      </c>
      <c r="AJ1669" s="122">
        <v>230170</v>
      </c>
      <c r="AK1669">
        <v>75</v>
      </c>
      <c r="AL1669" s="122">
        <v>66184</v>
      </c>
      <c r="AM1669" s="122">
        <v>60167</v>
      </c>
      <c r="AN1669" s="122">
        <v>23895</v>
      </c>
      <c r="AO1669" s="122">
        <v>8850</v>
      </c>
      <c r="AP1669" s="122">
        <v>3780</v>
      </c>
      <c r="AQ1669" s="122">
        <v>1400</v>
      </c>
      <c r="AR1669" s="122">
        <v>91888</v>
      </c>
      <c r="AS1669" s="122">
        <v>34033</v>
      </c>
      <c r="AT1669">
        <v>0</v>
      </c>
      <c r="AU1669">
        <v>0</v>
      </c>
      <c r="AV1669" s="122">
        <v>334620</v>
      </c>
    </row>
    <row r="1670" spans="2:48" hidden="1">
      <c r="B1670" t="s">
        <v>376</v>
      </c>
      <c r="C1670" t="s">
        <v>48</v>
      </c>
      <c r="F1670" s="122">
        <v>101</v>
      </c>
      <c r="G1670" s="122">
        <v>11772</v>
      </c>
      <c r="H1670" s="122">
        <v>5836</v>
      </c>
      <c r="I1670" s="122"/>
      <c r="J1670" s="122">
        <v>0</v>
      </c>
      <c r="K1670" s="122"/>
      <c r="L1670" s="122"/>
      <c r="M1670" s="122">
        <v>0</v>
      </c>
      <c r="N1670" s="122">
        <v>143425</v>
      </c>
      <c r="O1670" s="122">
        <v>53120</v>
      </c>
      <c r="P1670" s="122">
        <v>30537</v>
      </c>
      <c r="Q1670" s="122">
        <v>11310</v>
      </c>
      <c r="R1670" s="122"/>
      <c r="S1670" s="122">
        <v>0</v>
      </c>
      <c r="T1670" s="122">
        <v>0</v>
      </c>
      <c r="U1670" s="122">
        <v>0</v>
      </c>
      <c r="V1670" s="122">
        <v>64430</v>
      </c>
      <c r="W1670" s="122">
        <f t="shared" si="52"/>
        <v>64430</v>
      </c>
      <c r="X1670" s="122">
        <f t="shared" si="53"/>
        <v>173962</v>
      </c>
      <c r="AA1670" t="s">
        <v>62</v>
      </c>
      <c r="AB1670" t="s">
        <v>407</v>
      </c>
      <c r="AC1670" t="s">
        <v>427</v>
      </c>
      <c r="AD1670" t="s">
        <v>406</v>
      </c>
      <c r="AE1670" t="s">
        <v>137</v>
      </c>
      <c r="AF1670">
        <v>1</v>
      </c>
      <c r="AG1670">
        <v>120</v>
      </c>
      <c r="AH1670">
        <v>427</v>
      </c>
      <c r="AI1670" s="122">
        <v>30885</v>
      </c>
      <c r="AJ1670" s="122">
        <v>28077</v>
      </c>
      <c r="AK1670">
        <v>79</v>
      </c>
      <c r="AL1670" s="122">
        <v>8591</v>
      </c>
      <c r="AM1670" s="122">
        <v>7810</v>
      </c>
      <c r="AN1670" s="122">
        <v>2844</v>
      </c>
      <c r="AO1670" s="122">
        <v>1053</v>
      </c>
      <c r="AP1670">
        <v>473</v>
      </c>
      <c r="AQ1670">
        <v>175</v>
      </c>
      <c r="AR1670" s="122">
        <v>4922</v>
      </c>
      <c r="AS1670" s="122">
        <v>4474</v>
      </c>
      <c r="AT1670" s="122">
        <v>3384</v>
      </c>
      <c r="AU1670" s="122">
        <v>1253</v>
      </c>
      <c r="AV1670" s="122">
        <v>42843</v>
      </c>
    </row>
    <row r="1671" spans="2:48" hidden="1">
      <c r="B1671" t="s">
        <v>376</v>
      </c>
      <c r="C1671" t="s">
        <v>48</v>
      </c>
      <c r="D1671" t="s">
        <v>405</v>
      </c>
      <c r="E1671" t="s">
        <v>405</v>
      </c>
      <c r="F1671" s="122">
        <v>8</v>
      </c>
      <c r="G1671" s="122">
        <v>832</v>
      </c>
      <c r="H1671" s="122">
        <v>421</v>
      </c>
      <c r="I1671" s="122">
        <v>-6050</v>
      </c>
      <c r="J1671" s="122">
        <v>-5500</v>
      </c>
      <c r="K1671" s="122">
        <v>91</v>
      </c>
      <c r="L1671" s="122">
        <v>0</v>
      </c>
      <c r="M1671" s="122">
        <v>0</v>
      </c>
      <c r="N1671" s="122">
        <v>16570</v>
      </c>
      <c r="O1671" s="122">
        <v>6137</v>
      </c>
      <c r="P1671" s="122">
        <v>3780</v>
      </c>
      <c r="Q1671" s="122">
        <v>1400</v>
      </c>
      <c r="R1671" s="122">
        <v>29398</v>
      </c>
      <c r="S1671" s="122">
        <v>26725</v>
      </c>
      <c r="T1671" s="122">
        <v>0</v>
      </c>
      <c r="U1671" s="122">
        <v>0</v>
      </c>
      <c r="V1671" s="122">
        <v>28762</v>
      </c>
      <c r="W1671" s="122">
        <f t="shared" si="52"/>
        <v>39762</v>
      </c>
      <c r="X1671" s="122">
        <f t="shared" si="53"/>
        <v>55798</v>
      </c>
      <c r="AA1671" t="s">
        <v>62</v>
      </c>
      <c r="AB1671" t="s">
        <v>407</v>
      </c>
      <c r="AC1671" t="s">
        <v>427</v>
      </c>
      <c r="AD1671" t="s">
        <v>407</v>
      </c>
      <c r="AE1671" t="s">
        <v>137</v>
      </c>
      <c r="AF1671">
        <v>234</v>
      </c>
      <c r="AG1671" s="122">
        <v>22939</v>
      </c>
      <c r="AH1671" s="122">
        <v>97179</v>
      </c>
      <c r="AI1671" s="122">
        <v>5844562</v>
      </c>
      <c r="AJ1671" s="122">
        <v>5313238</v>
      </c>
      <c r="AK1671">
        <v>75</v>
      </c>
      <c r="AL1671" s="122">
        <v>1515977</v>
      </c>
      <c r="AM1671" s="122">
        <v>1378161</v>
      </c>
      <c r="AN1671" s="122">
        <v>497207</v>
      </c>
      <c r="AO1671" s="122">
        <v>184151</v>
      </c>
      <c r="AP1671" s="122">
        <v>110838</v>
      </c>
      <c r="AQ1671" s="122">
        <v>41051</v>
      </c>
      <c r="AR1671" s="122">
        <v>1136043</v>
      </c>
      <c r="AS1671" s="122">
        <v>1032766</v>
      </c>
      <c r="AT1671" s="122">
        <v>562872</v>
      </c>
      <c r="AU1671" s="122">
        <v>208471</v>
      </c>
      <c r="AV1671" s="122">
        <v>8157838</v>
      </c>
    </row>
    <row r="1672" spans="2:48" hidden="1">
      <c r="B1672" t="s">
        <v>376</v>
      </c>
      <c r="C1672" t="s">
        <v>48</v>
      </c>
      <c r="D1672" t="s">
        <v>137</v>
      </c>
      <c r="E1672" t="s">
        <v>137</v>
      </c>
      <c r="F1672" s="122">
        <v>276</v>
      </c>
      <c r="G1672" s="122">
        <v>28945</v>
      </c>
      <c r="H1672" s="122">
        <v>15245</v>
      </c>
      <c r="I1672" s="122">
        <v>-59657</v>
      </c>
      <c r="J1672" s="122">
        <v>-22095</v>
      </c>
      <c r="K1672" s="122">
        <v>474</v>
      </c>
      <c r="L1672" s="122">
        <v>5598</v>
      </c>
      <c r="M1672" s="122">
        <v>4083</v>
      </c>
      <c r="N1672" s="122">
        <v>355677</v>
      </c>
      <c r="O1672" s="122">
        <v>131732</v>
      </c>
      <c r="P1672" s="122">
        <v>201532</v>
      </c>
      <c r="Q1672" s="122">
        <v>74641</v>
      </c>
      <c r="R1672" s="122">
        <v>1091449</v>
      </c>
      <c r="S1672" s="122">
        <v>404240</v>
      </c>
      <c r="T1672" s="122">
        <v>0</v>
      </c>
      <c r="U1672" s="122">
        <v>0</v>
      </c>
      <c r="V1672" s="122">
        <v>592602</v>
      </c>
      <c r="W1672" s="122">
        <f t="shared" si="52"/>
        <v>636791</v>
      </c>
      <c r="X1672" s="122">
        <f t="shared" si="53"/>
        <v>1713913</v>
      </c>
      <c r="AA1672" t="s">
        <v>62</v>
      </c>
      <c r="AB1672" t="s">
        <v>407</v>
      </c>
      <c r="AC1672" t="s">
        <v>427</v>
      </c>
      <c r="AD1672" t="s">
        <v>407</v>
      </c>
      <c r="AE1672" t="s">
        <v>566</v>
      </c>
      <c r="AF1672">
        <v>173</v>
      </c>
      <c r="AG1672" s="122">
        <v>15928</v>
      </c>
      <c r="AH1672" s="122">
        <v>70981</v>
      </c>
      <c r="AI1672" s="122">
        <v>4062092</v>
      </c>
      <c r="AJ1672" s="122">
        <v>3692811</v>
      </c>
      <c r="AK1672">
        <v>76</v>
      </c>
      <c r="AL1672" s="122">
        <v>1070767</v>
      </c>
      <c r="AM1672" s="122">
        <v>973424</v>
      </c>
      <c r="AN1672" s="122">
        <v>361403</v>
      </c>
      <c r="AO1672" s="122">
        <v>133853</v>
      </c>
      <c r="AP1672" s="122">
        <v>82331</v>
      </c>
      <c r="AQ1672" s="122">
        <v>30493</v>
      </c>
      <c r="AR1672" s="122">
        <v>1112917</v>
      </c>
      <c r="AS1672" s="122">
        <v>1011743</v>
      </c>
      <c r="AT1672">
        <v>0</v>
      </c>
      <c r="AU1672">
        <v>0</v>
      </c>
      <c r="AV1672" s="122">
        <v>5842324</v>
      </c>
    </row>
    <row r="1673" spans="2:48" hidden="1">
      <c r="B1673" t="s">
        <v>376</v>
      </c>
      <c r="C1673" t="s">
        <v>48</v>
      </c>
      <c r="D1673" t="s">
        <v>406</v>
      </c>
      <c r="E1673" t="s">
        <v>406</v>
      </c>
      <c r="F1673" s="122">
        <v>19</v>
      </c>
      <c r="G1673" s="122">
        <v>1820</v>
      </c>
      <c r="H1673" s="122">
        <v>1113</v>
      </c>
      <c r="I1673" s="122">
        <v>2609</v>
      </c>
      <c r="J1673" s="122">
        <v>2372</v>
      </c>
      <c r="K1673" s="122">
        <v>95</v>
      </c>
      <c r="L1673" s="122">
        <v>-39</v>
      </c>
      <c r="M1673" s="122">
        <v>-35</v>
      </c>
      <c r="N1673" s="122">
        <v>24413</v>
      </c>
      <c r="O1673" s="122">
        <v>9042</v>
      </c>
      <c r="P1673" s="122">
        <v>11799</v>
      </c>
      <c r="Q1673" s="122">
        <v>4370</v>
      </c>
      <c r="R1673" s="122">
        <v>67045</v>
      </c>
      <c r="S1673" s="122">
        <v>60950</v>
      </c>
      <c r="T1673" s="122">
        <v>0</v>
      </c>
      <c r="U1673" s="122">
        <v>0</v>
      </c>
      <c r="V1673" s="122">
        <v>76699</v>
      </c>
      <c r="W1673" s="122">
        <f t="shared" si="52"/>
        <v>76769</v>
      </c>
      <c r="X1673" s="122">
        <f t="shared" si="53"/>
        <v>105905</v>
      </c>
      <c r="AA1673" t="s">
        <v>62</v>
      </c>
      <c r="AB1673" t="s">
        <v>407</v>
      </c>
      <c r="AC1673" t="s">
        <v>407</v>
      </c>
      <c r="AD1673" t="s">
        <v>405</v>
      </c>
      <c r="AE1673" t="s">
        <v>137</v>
      </c>
      <c r="AF1673">
        <v>2</v>
      </c>
      <c r="AG1673">
        <v>347</v>
      </c>
      <c r="AH1673">
        <v>829</v>
      </c>
      <c r="AI1673" s="122">
        <v>94600</v>
      </c>
      <c r="AJ1673" s="122">
        <v>86000</v>
      </c>
      <c r="AK1673">
        <v>65</v>
      </c>
      <c r="AL1673" s="122">
        <v>20701</v>
      </c>
      <c r="AM1673" s="122">
        <v>18819</v>
      </c>
      <c r="AN1673" s="122">
        <v>7752</v>
      </c>
      <c r="AO1673" s="122">
        <v>2871</v>
      </c>
      <c r="AP1673">
        <v>702</v>
      </c>
      <c r="AQ1673">
        <v>260</v>
      </c>
      <c r="AR1673" s="122">
        <v>12614</v>
      </c>
      <c r="AS1673" s="122">
        <v>11467</v>
      </c>
      <c r="AT1673" s="122">
        <v>7243</v>
      </c>
      <c r="AU1673" s="122">
        <v>2682</v>
      </c>
      <c r="AV1673" s="122">
        <v>122100</v>
      </c>
    </row>
    <row r="1674" spans="2:48" hidden="1">
      <c r="B1674" t="s">
        <v>376</v>
      </c>
      <c r="C1674" t="s">
        <v>48</v>
      </c>
      <c r="D1674" t="s">
        <v>406</v>
      </c>
      <c r="E1674" t="s">
        <v>407</v>
      </c>
      <c r="F1674" s="122">
        <v>1</v>
      </c>
      <c r="G1674" s="122">
        <v>77</v>
      </c>
      <c r="H1674" s="122">
        <v>59</v>
      </c>
      <c r="I1674" s="122">
        <v>-24</v>
      </c>
      <c r="J1674" s="122">
        <v>-22</v>
      </c>
      <c r="K1674" s="122">
        <v>91</v>
      </c>
      <c r="L1674" s="122">
        <v>0</v>
      </c>
      <c r="M1674" s="122">
        <v>0</v>
      </c>
      <c r="N1674" s="122">
        <v>938</v>
      </c>
      <c r="O1674" s="122">
        <v>347</v>
      </c>
      <c r="P1674" s="122">
        <v>473</v>
      </c>
      <c r="Q1674" s="122">
        <v>175</v>
      </c>
      <c r="R1674" s="122">
        <v>3190</v>
      </c>
      <c r="S1674" s="122">
        <v>2900</v>
      </c>
      <c r="T1674" s="122">
        <v>0</v>
      </c>
      <c r="U1674" s="122">
        <v>0</v>
      </c>
      <c r="V1674" s="122">
        <v>3401</v>
      </c>
      <c r="W1674" s="122">
        <f t="shared" si="52"/>
        <v>3444</v>
      </c>
      <c r="X1674" s="122">
        <f t="shared" si="53"/>
        <v>4625</v>
      </c>
      <c r="AA1674" t="s">
        <v>62</v>
      </c>
      <c r="AB1674" t="s">
        <v>407</v>
      </c>
      <c r="AC1674" t="s">
        <v>407</v>
      </c>
      <c r="AD1674" t="s">
        <v>137</v>
      </c>
      <c r="AE1674" t="s">
        <v>137</v>
      </c>
      <c r="AF1674">
        <v>2</v>
      </c>
      <c r="AG1674">
        <v>142</v>
      </c>
      <c r="AH1674">
        <v>867</v>
      </c>
      <c r="AI1674" s="122">
        <v>31531</v>
      </c>
      <c r="AJ1674" s="122">
        <v>28664</v>
      </c>
      <c r="AK1674">
        <v>71</v>
      </c>
      <c r="AL1674" s="122">
        <v>8102</v>
      </c>
      <c r="AM1674" s="122">
        <v>7366</v>
      </c>
      <c r="AN1674" s="122">
        <v>3469</v>
      </c>
      <c r="AO1674" s="122">
        <v>1285</v>
      </c>
      <c r="AP1674">
        <v>945</v>
      </c>
      <c r="AQ1674">
        <v>350</v>
      </c>
      <c r="AR1674" s="122">
        <v>17803</v>
      </c>
      <c r="AS1674" s="122">
        <v>6594</v>
      </c>
      <c r="AT1674">
        <v>0</v>
      </c>
      <c r="AU1674">
        <v>0</v>
      </c>
      <c r="AV1674" s="122">
        <v>44259</v>
      </c>
    </row>
    <row r="1675" spans="2:48" hidden="1">
      <c r="B1675" t="s">
        <v>376</v>
      </c>
      <c r="C1675" t="s">
        <v>48</v>
      </c>
      <c r="D1675" t="s">
        <v>407</v>
      </c>
      <c r="E1675" t="s">
        <v>407</v>
      </c>
      <c r="F1675" s="122">
        <v>662</v>
      </c>
      <c r="G1675" s="122">
        <v>68807</v>
      </c>
      <c r="H1675" s="122">
        <v>37502</v>
      </c>
      <c r="I1675" s="122">
        <v>316432</v>
      </c>
      <c r="J1675" s="122">
        <v>287665</v>
      </c>
      <c r="K1675" s="122">
        <v>91</v>
      </c>
      <c r="L1675" s="122">
        <v>20413</v>
      </c>
      <c r="M1675" s="122">
        <v>17672</v>
      </c>
      <c r="N1675" s="122">
        <v>956466</v>
      </c>
      <c r="O1675" s="122">
        <v>354247</v>
      </c>
      <c r="P1675" s="122">
        <v>458087</v>
      </c>
      <c r="Q1675" s="122">
        <v>169662</v>
      </c>
      <c r="R1675" s="122">
        <v>2168420</v>
      </c>
      <c r="S1675" s="122">
        <v>1971291</v>
      </c>
      <c r="T1675" s="122">
        <v>0</v>
      </c>
      <c r="U1675" s="122">
        <v>0</v>
      </c>
      <c r="V1675" s="122">
        <v>2800537</v>
      </c>
      <c r="W1675" s="122">
        <f t="shared" si="52"/>
        <v>2800537</v>
      </c>
      <c r="X1675" s="122">
        <f t="shared" si="53"/>
        <v>3919818</v>
      </c>
      <c r="AA1675" t="s">
        <v>62</v>
      </c>
      <c r="AB1675" t="s">
        <v>407</v>
      </c>
      <c r="AC1675" t="s">
        <v>407</v>
      </c>
      <c r="AD1675" t="s">
        <v>137</v>
      </c>
      <c r="AE1675" t="s">
        <v>566</v>
      </c>
      <c r="AF1675">
        <v>26</v>
      </c>
      <c r="AG1675" s="122">
        <v>2313</v>
      </c>
      <c r="AH1675" s="122">
        <v>10639</v>
      </c>
      <c r="AI1675" s="122">
        <v>594204</v>
      </c>
      <c r="AJ1675" s="122">
        <v>540186</v>
      </c>
      <c r="AK1675">
        <v>74</v>
      </c>
      <c r="AL1675" s="122">
        <v>113244</v>
      </c>
      <c r="AM1675" s="122">
        <v>102949</v>
      </c>
      <c r="AN1675" s="122">
        <v>43834</v>
      </c>
      <c r="AO1675" s="122">
        <v>16235</v>
      </c>
      <c r="AP1675" s="122">
        <v>11093</v>
      </c>
      <c r="AQ1675" s="122">
        <v>4109</v>
      </c>
      <c r="AR1675" s="122">
        <v>188464</v>
      </c>
      <c r="AS1675" s="122">
        <v>69802</v>
      </c>
      <c r="AT1675">
        <v>0</v>
      </c>
      <c r="AU1675">
        <v>0</v>
      </c>
      <c r="AV1675" s="122">
        <v>733280</v>
      </c>
    </row>
    <row r="1676" spans="2:48" hidden="1">
      <c r="B1676" t="s">
        <v>376</v>
      </c>
      <c r="C1676" t="s">
        <v>50</v>
      </c>
      <c r="D1676" t="s">
        <v>405</v>
      </c>
      <c r="E1676" t="s">
        <v>405</v>
      </c>
      <c r="F1676" s="122">
        <v>1</v>
      </c>
      <c r="G1676" s="122">
        <v>127</v>
      </c>
      <c r="H1676" s="122">
        <v>87</v>
      </c>
      <c r="I1676" s="122">
        <v>3570</v>
      </c>
      <c r="J1676" s="122">
        <v>3245</v>
      </c>
      <c r="K1676" s="122">
        <v>92</v>
      </c>
      <c r="L1676" s="122">
        <v>814</v>
      </c>
      <c r="M1676" s="122">
        <v>740</v>
      </c>
      <c r="N1676" s="122">
        <v>1677</v>
      </c>
      <c r="O1676" s="122">
        <v>621</v>
      </c>
      <c r="P1676" s="122">
        <v>473</v>
      </c>
      <c r="Q1676" s="122">
        <v>175</v>
      </c>
      <c r="R1676" s="122">
        <v>4602</v>
      </c>
      <c r="S1676" s="122">
        <v>4184</v>
      </c>
      <c r="T1676" s="122">
        <v>0</v>
      </c>
      <c r="U1676" s="122">
        <v>0</v>
      </c>
      <c r="V1676" s="122">
        <v>8965</v>
      </c>
      <c r="W1676" s="122">
        <f t="shared" si="52"/>
        <v>8965</v>
      </c>
      <c r="X1676" s="122">
        <f t="shared" si="53"/>
        <v>11136</v>
      </c>
      <c r="AA1676" t="s">
        <v>62</v>
      </c>
      <c r="AB1676" t="s">
        <v>407</v>
      </c>
      <c r="AC1676" t="s">
        <v>407</v>
      </c>
      <c r="AD1676" t="s">
        <v>427</v>
      </c>
      <c r="AE1676" t="s">
        <v>566</v>
      </c>
      <c r="AF1676">
        <v>1</v>
      </c>
      <c r="AG1676">
        <v>85</v>
      </c>
      <c r="AH1676">
        <v>404</v>
      </c>
      <c r="AI1676" s="122">
        <v>20398</v>
      </c>
      <c r="AJ1676" s="122">
        <v>18544</v>
      </c>
      <c r="AK1676">
        <v>73</v>
      </c>
      <c r="AL1676" s="122">
        <v>3008</v>
      </c>
      <c r="AM1676" s="122">
        <v>2735</v>
      </c>
      <c r="AN1676" s="122">
        <v>2079</v>
      </c>
      <c r="AO1676">
        <v>770</v>
      </c>
      <c r="AP1676">
        <v>473</v>
      </c>
      <c r="AQ1676">
        <v>175</v>
      </c>
      <c r="AR1676" s="122">
        <v>8469</v>
      </c>
      <c r="AS1676" s="122">
        <v>7699</v>
      </c>
      <c r="AT1676">
        <v>0</v>
      </c>
      <c r="AU1676">
        <v>0</v>
      </c>
      <c r="AV1676" s="122">
        <v>29922</v>
      </c>
    </row>
    <row r="1677" spans="2:48" hidden="1">
      <c r="B1677" t="s">
        <v>376</v>
      </c>
      <c r="C1677" t="s">
        <v>50</v>
      </c>
      <c r="D1677" t="s">
        <v>137</v>
      </c>
      <c r="E1677" t="s">
        <v>137</v>
      </c>
      <c r="F1677" s="122">
        <v>13</v>
      </c>
      <c r="G1677" s="122">
        <v>1516</v>
      </c>
      <c r="H1677" s="122">
        <v>1183</v>
      </c>
      <c r="I1677" s="122">
        <v>33245</v>
      </c>
      <c r="J1677" s="122">
        <v>12313</v>
      </c>
      <c r="K1677" s="122">
        <v>422</v>
      </c>
      <c r="L1677" s="122">
        <v>10465</v>
      </c>
      <c r="M1677" s="122">
        <v>9403</v>
      </c>
      <c r="N1677" s="122">
        <v>27954</v>
      </c>
      <c r="O1677" s="122">
        <v>10353</v>
      </c>
      <c r="P1677" s="122">
        <v>5616</v>
      </c>
      <c r="Q1677" s="122">
        <v>2080</v>
      </c>
      <c r="R1677" s="122">
        <v>59905</v>
      </c>
      <c r="S1677" s="122">
        <v>22187</v>
      </c>
      <c r="T1677" s="122">
        <v>0</v>
      </c>
      <c r="U1677" s="122">
        <v>0</v>
      </c>
      <c r="V1677" s="122">
        <v>56336</v>
      </c>
      <c r="W1677" s="122">
        <f t="shared" si="52"/>
        <v>56336</v>
      </c>
      <c r="X1677" s="122">
        <f t="shared" si="53"/>
        <v>137185</v>
      </c>
      <c r="AA1677" t="s">
        <v>62</v>
      </c>
      <c r="AB1677" t="s">
        <v>407</v>
      </c>
      <c r="AC1677" t="s">
        <v>407</v>
      </c>
      <c r="AD1677" t="s">
        <v>407</v>
      </c>
      <c r="AE1677" t="s">
        <v>137</v>
      </c>
      <c r="AF1677" s="122">
        <v>1969</v>
      </c>
      <c r="AG1677" s="122">
        <v>181818</v>
      </c>
      <c r="AH1677" s="122">
        <v>816026</v>
      </c>
      <c r="AI1677" s="122">
        <v>46014086</v>
      </c>
      <c r="AJ1677" s="122">
        <v>41830987</v>
      </c>
      <c r="AK1677">
        <v>72</v>
      </c>
      <c r="AL1677" s="122">
        <v>11218970</v>
      </c>
      <c r="AM1677" s="122">
        <v>10199064</v>
      </c>
      <c r="AN1677" s="122">
        <v>3934311</v>
      </c>
      <c r="AO1677" s="122">
        <v>1457152</v>
      </c>
      <c r="AP1677" s="122">
        <v>896318</v>
      </c>
      <c r="AQ1677" s="122">
        <v>331970</v>
      </c>
      <c r="AR1677" s="122">
        <v>9140098</v>
      </c>
      <c r="AS1677" s="122">
        <v>8309180</v>
      </c>
      <c r="AT1677" s="122">
        <v>4784407</v>
      </c>
      <c r="AU1677" s="122">
        <v>1772002</v>
      </c>
      <c r="AV1677" s="122">
        <v>63900355</v>
      </c>
    </row>
    <row r="1678" spans="2:48" hidden="1">
      <c r="B1678" t="s">
        <v>376</v>
      </c>
      <c r="C1678" t="s">
        <v>50</v>
      </c>
      <c r="D1678" t="s">
        <v>406</v>
      </c>
      <c r="E1678" t="s">
        <v>406</v>
      </c>
      <c r="F1678" s="122">
        <v>4</v>
      </c>
      <c r="G1678" s="122">
        <v>561</v>
      </c>
      <c r="H1678" s="122">
        <v>327</v>
      </c>
      <c r="I1678" s="122">
        <v>20623</v>
      </c>
      <c r="J1678" s="122">
        <v>18749</v>
      </c>
      <c r="K1678" s="122">
        <v>94</v>
      </c>
      <c r="L1678" s="122">
        <v>3014</v>
      </c>
      <c r="M1678" s="122">
        <v>2740</v>
      </c>
      <c r="N1678" s="122">
        <v>6831</v>
      </c>
      <c r="O1678" s="122">
        <v>2530</v>
      </c>
      <c r="P1678" s="122">
        <v>2484</v>
      </c>
      <c r="Q1678" s="122">
        <v>920</v>
      </c>
      <c r="R1678" s="122">
        <v>13557</v>
      </c>
      <c r="S1678" s="122">
        <v>12324</v>
      </c>
      <c r="T1678" s="122">
        <v>0</v>
      </c>
      <c r="U1678" s="122">
        <v>0</v>
      </c>
      <c r="V1678" s="122">
        <v>37262</v>
      </c>
      <c r="W1678" s="122">
        <f t="shared" si="52"/>
        <v>37263</v>
      </c>
      <c r="X1678" s="122">
        <f t="shared" si="53"/>
        <v>46509</v>
      </c>
      <c r="AA1678" t="s">
        <v>62</v>
      </c>
      <c r="AB1678" t="s">
        <v>407</v>
      </c>
      <c r="AC1678" t="s">
        <v>407</v>
      </c>
      <c r="AD1678" t="s">
        <v>407</v>
      </c>
      <c r="AE1678" t="s">
        <v>566</v>
      </c>
      <c r="AF1678">
        <v>893</v>
      </c>
      <c r="AG1678" s="122">
        <v>80366</v>
      </c>
      <c r="AH1678" s="122">
        <v>368971</v>
      </c>
      <c r="AI1678" s="122">
        <v>20444091</v>
      </c>
      <c r="AJ1678" s="122">
        <v>18585537</v>
      </c>
      <c r="AK1678">
        <v>74</v>
      </c>
      <c r="AL1678" s="122">
        <v>5358266</v>
      </c>
      <c r="AM1678" s="122">
        <v>4871151</v>
      </c>
      <c r="AN1678" s="122">
        <v>1744069</v>
      </c>
      <c r="AO1678" s="122">
        <v>645951</v>
      </c>
      <c r="AP1678" s="122">
        <v>405328</v>
      </c>
      <c r="AQ1678" s="122">
        <v>150121</v>
      </c>
      <c r="AR1678" s="122">
        <v>5550338</v>
      </c>
      <c r="AS1678" s="122">
        <v>5045762</v>
      </c>
      <c r="AT1678">
        <v>0</v>
      </c>
      <c r="AU1678">
        <v>0</v>
      </c>
      <c r="AV1678" s="122">
        <v>29298523</v>
      </c>
    </row>
    <row r="1679" spans="2:48" hidden="1">
      <c r="B1679" t="s">
        <v>376</v>
      </c>
      <c r="C1679" t="s">
        <v>50</v>
      </c>
      <c r="D1679" t="s">
        <v>407</v>
      </c>
      <c r="E1679" t="s">
        <v>407</v>
      </c>
      <c r="F1679" s="122">
        <v>275</v>
      </c>
      <c r="G1679" s="122">
        <v>28152</v>
      </c>
      <c r="H1679" s="122">
        <v>24468</v>
      </c>
      <c r="I1679" s="122">
        <v>1106657</v>
      </c>
      <c r="J1679" s="122">
        <v>1006052</v>
      </c>
      <c r="K1679" s="122">
        <v>91</v>
      </c>
      <c r="L1679" s="122">
        <v>183709</v>
      </c>
      <c r="M1679" s="122">
        <v>149253</v>
      </c>
      <c r="N1679" s="122">
        <v>385152</v>
      </c>
      <c r="O1679" s="122">
        <v>142649</v>
      </c>
      <c r="P1679" s="122">
        <v>150524</v>
      </c>
      <c r="Q1679" s="122">
        <v>55750</v>
      </c>
      <c r="R1679" s="122">
        <v>679853</v>
      </c>
      <c r="S1679" s="122">
        <v>618048</v>
      </c>
      <c r="T1679" s="122">
        <v>3242</v>
      </c>
      <c r="U1679" s="122">
        <v>1201</v>
      </c>
      <c r="V1679" s="122">
        <v>1972952</v>
      </c>
      <c r="W1679" s="122">
        <f t="shared" si="52"/>
        <v>1972953</v>
      </c>
      <c r="X1679" s="122">
        <f t="shared" si="53"/>
        <v>2509137</v>
      </c>
      <c r="AA1679" t="s">
        <v>62</v>
      </c>
      <c r="AB1679" t="s">
        <v>407</v>
      </c>
      <c r="AC1679" t="s">
        <v>407</v>
      </c>
      <c r="AD1679" t="s">
        <v>426</v>
      </c>
      <c r="AE1679" t="s">
        <v>137</v>
      </c>
      <c r="AF1679">
        <v>1</v>
      </c>
      <c r="AG1679">
        <v>83</v>
      </c>
      <c r="AH1679">
        <v>405</v>
      </c>
      <c r="AI1679" s="122">
        <v>19261</v>
      </c>
      <c r="AJ1679" s="122">
        <v>17510</v>
      </c>
      <c r="AK1679">
        <v>91</v>
      </c>
      <c r="AL1679" s="122">
        <v>6185</v>
      </c>
      <c r="AM1679" s="122">
        <v>5623</v>
      </c>
      <c r="AN1679" s="122">
        <v>1414</v>
      </c>
      <c r="AO1679">
        <v>524</v>
      </c>
      <c r="AP1679">
        <v>473</v>
      </c>
      <c r="AQ1679">
        <v>175</v>
      </c>
      <c r="AR1679" s="122">
        <v>3564</v>
      </c>
      <c r="AS1679" s="122">
        <v>3240</v>
      </c>
      <c r="AT1679" s="122">
        <v>2651</v>
      </c>
      <c r="AU1679">
        <v>982</v>
      </c>
      <c r="AV1679" s="122">
        <v>28054</v>
      </c>
    </row>
    <row r="1680" spans="2:48" hidden="1">
      <c r="B1680" t="s">
        <v>376</v>
      </c>
      <c r="C1680" t="s">
        <v>52</v>
      </c>
      <c r="F1680" s="122">
        <v>9</v>
      </c>
      <c r="G1680" s="122">
        <v>918</v>
      </c>
      <c r="H1680" s="122">
        <v>1036</v>
      </c>
      <c r="I1680" s="122"/>
      <c r="J1680" s="122">
        <v>0</v>
      </c>
      <c r="K1680" s="122"/>
      <c r="L1680" s="122"/>
      <c r="M1680" s="122">
        <v>0</v>
      </c>
      <c r="N1680" s="122">
        <v>20409</v>
      </c>
      <c r="O1680" s="122">
        <v>7559</v>
      </c>
      <c r="P1680" s="122">
        <v>3159</v>
      </c>
      <c r="Q1680" s="122">
        <v>1170</v>
      </c>
      <c r="R1680" s="122"/>
      <c r="S1680" s="122">
        <v>0</v>
      </c>
      <c r="T1680" s="122">
        <v>0</v>
      </c>
      <c r="U1680" s="122">
        <v>0</v>
      </c>
      <c r="V1680" s="122">
        <v>8729</v>
      </c>
      <c r="W1680" s="122">
        <f t="shared" si="52"/>
        <v>8729</v>
      </c>
      <c r="X1680" s="122">
        <f t="shared" si="53"/>
        <v>23568</v>
      </c>
      <c r="AA1680" t="s">
        <v>62</v>
      </c>
      <c r="AB1680" t="s">
        <v>407</v>
      </c>
      <c r="AC1680" t="s">
        <v>579</v>
      </c>
      <c r="AD1680" t="s">
        <v>137</v>
      </c>
      <c r="AE1680" t="s">
        <v>137</v>
      </c>
      <c r="AF1680">
        <v>4</v>
      </c>
      <c r="AG1680">
        <v>293</v>
      </c>
      <c r="AH1680" s="122">
        <v>1670</v>
      </c>
      <c r="AI1680" s="122">
        <v>71975</v>
      </c>
      <c r="AJ1680" s="122">
        <v>65432</v>
      </c>
      <c r="AK1680">
        <v>65</v>
      </c>
      <c r="AL1680" s="122">
        <v>18279</v>
      </c>
      <c r="AM1680" s="122">
        <v>15233</v>
      </c>
      <c r="AN1680" s="122">
        <v>5942</v>
      </c>
      <c r="AO1680" s="122">
        <v>2201</v>
      </c>
      <c r="AP1680" s="122">
        <v>1539</v>
      </c>
      <c r="AQ1680">
        <v>570</v>
      </c>
      <c r="AR1680" s="122">
        <v>24711</v>
      </c>
      <c r="AS1680" s="122">
        <v>9152</v>
      </c>
      <c r="AT1680">
        <v>0</v>
      </c>
      <c r="AU1680">
        <v>0</v>
      </c>
      <c r="AV1680" s="122">
        <v>92588</v>
      </c>
    </row>
    <row r="1681" spans="2:48" hidden="1">
      <c r="B1681" t="s">
        <v>376</v>
      </c>
      <c r="C1681" t="s">
        <v>52</v>
      </c>
      <c r="D1681" t="s">
        <v>405</v>
      </c>
      <c r="E1681" t="s">
        <v>405</v>
      </c>
      <c r="F1681" s="122">
        <v>30</v>
      </c>
      <c r="G1681" s="122">
        <v>2973</v>
      </c>
      <c r="H1681" s="122">
        <v>3630</v>
      </c>
      <c r="I1681" s="122">
        <v>161260</v>
      </c>
      <c r="J1681" s="122">
        <v>146600</v>
      </c>
      <c r="K1681" s="122">
        <v>90</v>
      </c>
      <c r="L1681" s="122">
        <v>23438</v>
      </c>
      <c r="M1681" s="122">
        <v>21307</v>
      </c>
      <c r="N1681" s="122">
        <v>51572</v>
      </c>
      <c r="O1681" s="122">
        <v>19101</v>
      </c>
      <c r="P1681" s="122">
        <v>12812</v>
      </c>
      <c r="Q1681" s="122">
        <v>4745</v>
      </c>
      <c r="R1681" s="122">
        <v>109081</v>
      </c>
      <c r="S1681" s="122">
        <v>99165</v>
      </c>
      <c r="T1681" s="122">
        <v>0</v>
      </c>
      <c r="U1681" s="122">
        <v>0</v>
      </c>
      <c r="V1681" s="122">
        <v>290917</v>
      </c>
      <c r="W1681" s="122">
        <f t="shared" si="52"/>
        <v>290918</v>
      </c>
      <c r="X1681" s="122">
        <f t="shared" si="53"/>
        <v>358163</v>
      </c>
      <c r="AA1681" t="s">
        <v>62</v>
      </c>
      <c r="AB1681" t="s">
        <v>407</v>
      </c>
      <c r="AC1681" t="s">
        <v>579</v>
      </c>
      <c r="AD1681" t="s">
        <v>137</v>
      </c>
      <c r="AE1681" t="s">
        <v>566</v>
      </c>
      <c r="AF1681">
        <v>41</v>
      </c>
      <c r="AG1681" s="122">
        <v>3879</v>
      </c>
      <c r="AH1681" s="122">
        <v>17004</v>
      </c>
      <c r="AI1681" s="122">
        <v>990486</v>
      </c>
      <c r="AJ1681" s="122">
        <v>900442</v>
      </c>
      <c r="AK1681">
        <v>75</v>
      </c>
      <c r="AL1681" s="122">
        <v>271441</v>
      </c>
      <c r="AM1681" s="122">
        <v>226201</v>
      </c>
      <c r="AN1681" s="122">
        <v>78245</v>
      </c>
      <c r="AO1681" s="122">
        <v>28980</v>
      </c>
      <c r="AP1681" s="122">
        <v>20683</v>
      </c>
      <c r="AQ1681" s="122">
        <v>7660</v>
      </c>
      <c r="AR1681" s="122">
        <v>250922</v>
      </c>
      <c r="AS1681" s="122">
        <v>92934</v>
      </c>
      <c r="AT1681">
        <v>0</v>
      </c>
      <c r="AU1681">
        <v>0</v>
      </c>
      <c r="AV1681" s="122">
        <v>1256217</v>
      </c>
    </row>
    <row r="1682" spans="2:48" hidden="1">
      <c r="B1682" t="s">
        <v>376</v>
      </c>
      <c r="C1682" t="s">
        <v>52</v>
      </c>
      <c r="D1682" t="s">
        <v>137</v>
      </c>
      <c r="E1682" t="s">
        <v>137</v>
      </c>
      <c r="F1682" s="122">
        <v>7</v>
      </c>
      <c r="G1682" s="122">
        <v>547</v>
      </c>
      <c r="H1682" s="122">
        <v>771</v>
      </c>
      <c r="I1682" s="122">
        <v>14175</v>
      </c>
      <c r="J1682" s="122">
        <v>5250</v>
      </c>
      <c r="K1682" s="122">
        <v>373</v>
      </c>
      <c r="L1682" s="122">
        <v>4150</v>
      </c>
      <c r="M1682" s="122">
        <v>3275</v>
      </c>
      <c r="N1682" s="122">
        <v>9891</v>
      </c>
      <c r="O1682" s="122">
        <v>3663</v>
      </c>
      <c r="P1682" s="122">
        <v>2457</v>
      </c>
      <c r="Q1682" s="122">
        <v>910</v>
      </c>
      <c r="R1682" s="122">
        <v>29407</v>
      </c>
      <c r="S1682" s="122">
        <v>10891</v>
      </c>
      <c r="T1682" s="122">
        <v>0</v>
      </c>
      <c r="U1682" s="122">
        <v>0</v>
      </c>
      <c r="V1682" s="122">
        <v>23989</v>
      </c>
      <c r="W1682" s="122">
        <f t="shared" si="52"/>
        <v>23989</v>
      </c>
      <c r="X1682" s="122">
        <f t="shared" si="53"/>
        <v>60080</v>
      </c>
      <c r="AA1682" t="s">
        <v>62</v>
      </c>
      <c r="AB1682" t="s">
        <v>407</v>
      </c>
      <c r="AC1682" t="s">
        <v>579</v>
      </c>
      <c r="AD1682" t="s">
        <v>406</v>
      </c>
      <c r="AE1682" t="s">
        <v>137</v>
      </c>
      <c r="AF1682">
        <v>1</v>
      </c>
      <c r="AG1682">
        <v>92</v>
      </c>
      <c r="AH1682">
        <v>391</v>
      </c>
      <c r="AI1682" s="122">
        <v>22250</v>
      </c>
      <c r="AJ1682" s="122">
        <v>20228</v>
      </c>
      <c r="AK1682">
        <v>75</v>
      </c>
      <c r="AL1682" s="122">
        <v>6437</v>
      </c>
      <c r="AM1682" s="122">
        <v>5364</v>
      </c>
      <c r="AN1682" s="122">
        <v>1681</v>
      </c>
      <c r="AO1682">
        <v>623</v>
      </c>
      <c r="AP1682">
        <v>473</v>
      </c>
      <c r="AQ1682">
        <v>175</v>
      </c>
      <c r="AR1682" s="122">
        <v>5112</v>
      </c>
      <c r="AS1682" s="122">
        <v>4647</v>
      </c>
      <c r="AT1682">
        <v>0</v>
      </c>
      <c r="AU1682">
        <v>0</v>
      </c>
      <c r="AV1682" s="122">
        <v>31037</v>
      </c>
    </row>
    <row r="1683" spans="2:48" hidden="1">
      <c r="B1683" t="s">
        <v>376</v>
      </c>
      <c r="C1683" t="s">
        <v>52</v>
      </c>
      <c r="D1683" t="s">
        <v>406</v>
      </c>
      <c r="E1683" t="s">
        <v>406</v>
      </c>
      <c r="F1683" s="122">
        <v>22</v>
      </c>
      <c r="G1683" s="122">
        <v>2675</v>
      </c>
      <c r="H1683" s="122">
        <v>2642</v>
      </c>
      <c r="I1683" s="122">
        <v>169560</v>
      </c>
      <c r="J1683" s="122">
        <v>154146</v>
      </c>
      <c r="K1683" s="122">
        <v>94</v>
      </c>
      <c r="L1683" s="122">
        <v>30763</v>
      </c>
      <c r="M1683" s="122">
        <v>26523</v>
      </c>
      <c r="N1683" s="122">
        <v>44394</v>
      </c>
      <c r="O1683" s="122">
        <v>16442</v>
      </c>
      <c r="P1683" s="122">
        <v>13662</v>
      </c>
      <c r="Q1683" s="122">
        <v>5060</v>
      </c>
      <c r="R1683" s="122">
        <v>85965</v>
      </c>
      <c r="S1683" s="122">
        <v>78150</v>
      </c>
      <c r="T1683" s="122">
        <v>0</v>
      </c>
      <c r="U1683" s="122">
        <v>0</v>
      </c>
      <c r="V1683" s="122">
        <v>280322</v>
      </c>
      <c r="W1683" s="122">
        <f t="shared" si="52"/>
        <v>280321</v>
      </c>
      <c r="X1683" s="122">
        <f t="shared" si="53"/>
        <v>344344</v>
      </c>
      <c r="AA1683" t="s">
        <v>62</v>
      </c>
      <c r="AB1683" t="s">
        <v>407</v>
      </c>
      <c r="AC1683" t="s">
        <v>579</v>
      </c>
      <c r="AD1683" t="s">
        <v>406</v>
      </c>
      <c r="AE1683" t="s">
        <v>566</v>
      </c>
      <c r="AF1683">
        <v>1</v>
      </c>
      <c r="AG1683">
        <v>77</v>
      </c>
      <c r="AH1683">
        <v>385</v>
      </c>
      <c r="AI1683" s="122">
        <v>17275</v>
      </c>
      <c r="AJ1683" s="122">
        <v>15705</v>
      </c>
      <c r="AK1683">
        <v>91</v>
      </c>
      <c r="AL1683" s="122">
        <v>6038</v>
      </c>
      <c r="AM1683" s="122">
        <v>5031</v>
      </c>
      <c r="AN1683" s="122">
        <v>1226</v>
      </c>
      <c r="AO1683">
        <v>454</v>
      </c>
      <c r="AP1683">
        <v>473</v>
      </c>
      <c r="AQ1683">
        <v>175</v>
      </c>
      <c r="AR1683" s="122">
        <v>4781</v>
      </c>
      <c r="AS1683" s="122">
        <v>4347</v>
      </c>
      <c r="AT1683">
        <v>0</v>
      </c>
      <c r="AU1683">
        <v>0</v>
      </c>
      <c r="AV1683" s="122">
        <v>25712</v>
      </c>
    </row>
    <row r="1684" spans="2:48" hidden="1">
      <c r="B1684" t="s">
        <v>376</v>
      </c>
      <c r="C1684" t="s">
        <v>52</v>
      </c>
      <c r="D1684" t="s">
        <v>407</v>
      </c>
      <c r="E1684" t="s">
        <v>407</v>
      </c>
      <c r="F1684" s="122">
        <v>265</v>
      </c>
      <c r="G1684" s="122">
        <v>29352</v>
      </c>
      <c r="H1684" s="122">
        <v>30762</v>
      </c>
      <c r="I1684" s="122">
        <v>1581527</v>
      </c>
      <c r="J1684" s="122">
        <v>1437752</v>
      </c>
      <c r="K1684" s="122">
        <v>89</v>
      </c>
      <c r="L1684" s="122">
        <v>262457</v>
      </c>
      <c r="M1684" s="122">
        <v>239802</v>
      </c>
      <c r="N1684" s="122">
        <v>439722</v>
      </c>
      <c r="O1684" s="122">
        <v>162860</v>
      </c>
      <c r="P1684" s="122">
        <v>133726</v>
      </c>
      <c r="Q1684" s="122">
        <v>49528</v>
      </c>
      <c r="R1684" s="122">
        <v>1010705</v>
      </c>
      <c r="S1684" s="122">
        <v>918822</v>
      </c>
      <c r="T1684" s="122">
        <v>8586</v>
      </c>
      <c r="U1684" s="122">
        <v>3180</v>
      </c>
      <c r="V1684" s="122">
        <v>2811944</v>
      </c>
      <c r="W1684" s="122">
        <f t="shared" si="52"/>
        <v>2811944</v>
      </c>
      <c r="X1684" s="122">
        <f t="shared" si="53"/>
        <v>3436723</v>
      </c>
      <c r="AA1684" t="s">
        <v>62</v>
      </c>
      <c r="AB1684" t="s">
        <v>407</v>
      </c>
      <c r="AC1684" t="s">
        <v>579</v>
      </c>
      <c r="AD1684" t="s">
        <v>407</v>
      </c>
      <c r="AE1684" t="s">
        <v>137</v>
      </c>
      <c r="AF1684" s="122">
        <v>2122</v>
      </c>
      <c r="AG1684" s="122">
        <v>205054</v>
      </c>
      <c r="AH1684" s="122">
        <v>879057</v>
      </c>
      <c r="AI1684" s="122">
        <v>51893533</v>
      </c>
      <c r="AJ1684" s="122">
        <v>47175939</v>
      </c>
      <c r="AK1684">
        <v>76</v>
      </c>
      <c r="AL1684" s="122">
        <v>14301401</v>
      </c>
      <c r="AM1684" s="122">
        <v>11917834</v>
      </c>
      <c r="AN1684" s="122">
        <v>4385119</v>
      </c>
      <c r="AO1684" s="122">
        <v>1624118</v>
      </c>
      <c r="AP1684" s="122">
        <v>998393</v>
      </c>
      <c r="AQ1684" s="122">
        <v>369775</v>
      </c>
      <c r="AR1684" s="122">
        <v>9153291</v>
      </c>
      <c r="AS1684" s="122">
        <v>8321173</v>
      </c>
      <c r="AT1684" s="122">
        <v>5187066</v>
      </c>
      <c r="AU1684" s="122">
        <v>1921135</v>
      </c>
      <c r="AV1684" s="122">
        <v>71329976</v>
      </c>
    </row>
    <row r="1685" spans="2:48" hidden="1">
      <c r="B1685" t="s">
        <v>376</v>
      </c>
      <c r="C1685" t="s">
        <v>54</v>
      </c>
      <c r="F1685" s="122">
        <v>6</v>
      </c>
      <c r="G1685" s="122">
        <v>529</v>
      </c>
      <c r="H1685" s="122">
        <v>774</v>
      </c>
      <c r="I1685" s="122"/>
      <c r="J1685" s="122">
        <v>0</v>
      </c>
      <c r="K1685" s="122"/>
      <c r="L1685" s="122"/>
      <c r="M1685" s="122">
        <v>0</v>
      </c>
      <c r="N1685" s="122">
        <v>11324</v>
      </c>
      <c r="O1685" s="122">
        <v>4194</v>
      </c>
      <c r="P1685" s="122">
        <v>2106</v>
      </c>
      <c r="Q1685" s="122">
        <v>780</v>
      </c>
      <c r="R1685" s="122"/>
      <c r="S1685" s="122">
        <v>0</v>
      </c>
      <c r="T1685" s="122">
        <v>0</v>
      </c>
      <c r="U1685" s="122">
        <v>0</v>
      </c>
      <c r="V1685" s="122">
        <v>4974</v>
      </c>
      <c r="W1685" s="122">
        <f t="shared" si="52"/>
        <v>4974</v>
      </c>
      <c r="X1685" s="122">
        <f t="shared" si="53"/>
        <v>13430</v>
      </c>
      <c r="AA1685" t="s">
        <v>62</v>
      </c>
      <c r="AB1685" t="s">
        <v>407</v>
      </c>
      <c r="AC1685" t="s">
        <v>579</v>
      </c>
      <c r="AD1685" t="s">
        <v>407</v>
      </c>
      <c r="AE1685" t="s">
        <v>566</v>
      </c>
      <c r="AF1685" s="122">
        <v>1014</v>
      </c>
      <c r="AG1685" s="122">
        <v>93833</v>
      </c>
      <c r="AH1685" s="122">
        <v>417658</v>
      </c>
      <c r="AI1685" s="122">
        <v>23963573</v>
      </c>
      <c r="AJ1685" s="122">
        <v>21785067</v>
      </c>
      <c r="AK1685">
        <v>78</v>
      </c>
      <c r="AL1685" s="122">
        <v>6905876</v>
      </c>
      <c r="AM1685" s="122">
        <v>5754897</v>
      </c>
      <c r="AN1685" s="122">
        <v>1964216</v>
      </c>
      <c r="AO1685" s="122">
        <v>727487</v>
      </c>
      <c r="AP1685" s="122">
        <v>478197</v>
      </c>
      <c r="AQ1685" s="122">
        <v>177110</v>
      </c>
      <c r="AR1685" s="122">
        <v>5724603</v>
      </c>
      <c r="AS1685" s="122">
        <v>5204185</v>
      </c>
      <c r="AT1685">
        <v>0</v>
      </c>
      <c r="AU1685">
        <v>0</v>
      </c>
      <c r="AV1685" s="122">
        <v>33648745</v>
      </c>
    </row>
    <row r="1686" spans="2:48" hidden="1">
      <c r="B1686" t="s">
        <v>376</v>
      </c>
      <c r="C1686" t="s">
        <v>54</v>
      </c>
      <c r="D1686" t="s">
        <v>425</v>
      </c>
      <c r="E1686" t="s">
        <v>425</v>
      </c>
      <c r="F1686" s="122">
        <v>1</v>
      </c>
      <c r="G1686" s="122">
        <v>126</v>
      </c>
      <c r="H1686" s="122">
        <v>148</v>
      </c>
      <c r="I1686" s="122">
        <v>7934</v>
      </c>
      <c r="J1686" s="122">
        <v>7213</v>
      </c>
      <c r="K1686" s="122">
        <v>92</v>
      </c>
      <c r="L1686" s="122">
        <v>2034</v>
      </c>
      <c r="M1686" s="122">
        <v>1849</v>
      </c>
      <c r="N1686" s="122">
        <v>3009</v>
      </c>
      <c r="O1686" s="122">
        <v>1114</v>
      </c>
      <c r="P1686" s="122">
        <v>621</v>
      </c>
      <c r="Q1686" s="122">
        <v>230</v>
      </c>
      <c r="R1686" s="122">
        <v>4996</v>
      </c>
      <c r="S1686" s="122">
        <v>4542</v>
      </c>
      <c r="T1686" s="122">
        <v>0</v>
      </c>
      <c r="U1686" s="122">
        <v>0</v>
      </c>
      <c r="V1686" s="122">
        <v>14949</v>
      </c>
      <c r="W1686" s="122">
        <f t="shared" si="52"/>
        <v>14948</v>
      </c>
      <c r="X1686" s="122">
        <f t="shared" si="53"/>
        <v>18594</v>
      </c>
      <c r="AA1686" t="s">
        <v>62</v>
      </c>
      <c r="AB1686" t="s">
        <v>407</v>
      </c>
      <c r="AC1686" t="s">
        <v>428</v>
      </c>
      <c r="AD1686" t="s">
        <v>407</v>
      </c>
      <c r="AE1686" t="s">
        <v>137</v>
      </c>
      <c r="AF1686">
        <v>26</v>
      </c>
      <c r="AG1686" s="122">
        <v>2495</v>
      </c>
      <c r="AH1686" s="122">
        <v>10638</v>
      </c>
      <c r="AI1686" s="122">
        <v>635488</v>
      </c>
      <c r="AJ1686" s="122">
        <v>577716</v>
      </c>
      <c r="AK1686">
        <v>74</v>
      </c>
      <c r="AL1686" s="122">
        <v>142411</v>
      </c>
      <c r="AM1686" s="122">
        <v>129464</v>
      </c>
      <c r="AN1686" s="122">
        <v>51170</v>
      </c>
      <c r="AO1686" s="122">
        <v>18952</v>
      </c>
      <c r="AP1686" s="122">
        <v>12285</v>
      </c>
      <c r="AQ1686" s="122">
        <v>4550</v>
      </c>
      <c r="AR1686" s="122">
        <v>119598</v>
      </c>
      <c r="AS1686" s="122">
        <v>108726</v>
      </c>
      <c r="AT1686" s="122">
        <v>63328</v>
      </c>
      <c r="AU1686" s="122">
        <v>23455</v>
      </c>
      <c r="AV1686" s="122">
        <v>862863</v>
      </c>
    </row>
    <row r="1687" spans="2:48" hidden="1">
      <c r="B1687" t="s">
        <v>376</v>
      </c>
      <c r="C1687" t="s">
        <v>54</v>
      </c>
      <c r="D1687" t="s">
        <v>405</v>
      </c>
      <c r="E1687" t="s">
        <v>405</v>
      </c>
      <c r="F1687" s="122">
        <v>11</v>
      </c>
      <c r="G1687" s="122">
        <v>1250</v>
      </c>
      <c r="H1687" s="122">
        <v>1550</v>
      </c>
      <c r="I1687" s="122">
        <v>83061</v>
      </c>
      <c r="J1687" s="122">
        <v>75510</v>
      </c>
      <c r="K1687" s="122">
        <v>92</v>
      </c>
      <c r="L1687" s="122">
        <v>18033</v>
      </c>
      <c r="M1687" s="122">
        <v>13948</v>
      </c>
      <c r="N1687" s="122">
        <v>27667</v>
      </c>
      <c r="O1687" s="122">
        <v>10247</v>
      </c>
      <c r="P1687" s="122">
        <v>5198</v>
      </c>
      <c r="Q1687" s="122">
        <v>1925</v>
      </c>
      <c r="R1687" s="122">
        <v>47939</v>
      </c>
      <c r="S1687" s="122">
        <v>43581</v>
      </c>
      <c r="T1687" s="122">
        <v>0</v>
      </c>
      <c r="U1687" s="122">
        <v>0</v>
      </c>
      <c r="V1687" s="122">
        <v>145211</v>
      </c>
      <c r="W1687" s="122">
        <f t="shared" si="52"/>
        <v>145211</v>
      </c>
      <c r="X1687" s="122">
        <f t="shared" si="53"/>
        <v>181898</v>
      </c>
      <c r="AA1687" t="s">
        <v>62</v>
      </c>
      <c r="AB1687" t="s">
        <v>407</v>
      </c>
      <c r="AC1687" t="s">
        <v>428</v>
      </c>
      <c r="AD1687" t="s">
        <v>407</v>
      </c>
      <c r="AE1687" t="s">
        <v>566</v>
      </c>
      <c r="AF1687">
        <v>12</v>
      </c>
      <c r="AG1687" s="122">
        <v>1086</v>
      </c>
      <c r="AH1687" s="122">
        <v>4865</v>
      </c>
      <c r="AI1687" s="122">
        <v>279222</v>
      </c>
      <c r="AJ1687" s="122">
        <v>253838</v>
      </c>
      <c r="AK1687">
        <v>80</v>
      </c>
      <c r="AL1687" s="122">
        <v>68273</v>
      </c>
      <c r="AM1687" s="122">
        <v>62066</v>
      </c>
      <c r="AN1687" s="122">
        <v>23025</v>
      </c>
      <c r="AO1687" s="122">
        <v>8528</v>
      </c>
      <c r="AP1687" s="122">
        <v>5670</v>
      </c>
      <c r="AQ1687" s="122">
        <v>2100</v>
      </c>
      <c r="AR1687" s="122">
        <v>64538</v>
      </c>
      <c r="AS1687" s="122">
        <v>58671</v>
      </c>
      <c r="AT1687">
        <v>0</v>
      </c>
      <c r="AU1687">
        <v>0</v>
      </c>
      <c r="AV1687" s="122">
        <v>385203</v>
      </c>
    </row>
    <row r="1688" spans="2:48" hidden="1">
      <c r="B1688" t="s">
        <v>376</v>
      </c>
      <c r="C1688" t="s">
        <v>54</v>
      </c>
      <c r="D1688" t="s">
        <v>137</v>
      </c>
      <c r="E1688" t="s">
        <v>137</v>
      </c>
      <c r="F1688" s="122">
        <v>4</v>
      </c>
      <c r="G1688" s="122">
        <v>499</v>
      </c>
      <c r="H1688" s="122">
        <v>536</v>
      </c>
      <c r="I1688" s="122">
        <v>27826</v>
      </c>
      <c r="J1688" s="122">
        <v>10306</v>
      </c>
      <c r="K1688" s="122">
        <v>361</v>
      </c>
      <c r="L1688" s="122">
        <v>8440</v>
      </c>
      <c r="M1688" s="122">
        <v>7673</v>
      </c>
      <c r="N1688" s="122">
        <v>8310</v>
      </c>
      <c r="O1688" s="122">
        <v>3078</v>
      </c>
      <c r="P1688" s="122">
        <v>1526</v>
      </c>
      <c r="Q1688" s="122">
        <v>565</v>
      </c>
      <c r="R1688" s="122">
        <v>25472</v>
      </c>
      <c r="S1688" s="122">
        <v>9434</v>
      </c>
      <c r="T1688" s="122">
        <v>0</v>
      </c>
      <c r="U1688" s="122">
        <v>0</v>
      </c>
      <c r="V1688" s="122">
        <v>31056</v>
      </c>
      <c r="W1688" s="122">
        <f t="shared" si="52"/>
        <v>31056</v>
      </c>
      <c r="X1688" s="122">
        <f t="shared" si="53"/>
        <v>71574</v>
      </c>
      <c r="AA1688" t="s">
        <v>62</v>
      </c>
      <c r="AB1688" t="s">
        <v>407</v>
      </c>
      <c r="AC1688" t="s">
        <v>426</v>
      </c>
      <c r="AD1688" t="s">
        <v>137</v>
      </c>
      <c r="AE1688" t="s">
        <v>137</v>
      </c>
      <c r="AF1688">
        <v>1</v>
      </c>
      <c r="AG1688">
        <v>115</v>
      </c>
      <c r="AH1688">
        <v>445</v>
      </c>
      <c r="AI1688" s="122">
        <v>29140</v>
      </c>
      <c r="AJ1688" s="122">
        <v>26491</v>
      </c>
      <c r="AK1688">
        <v>91</v>
      </c>
      <c r="AL1688" s="122">
        <v>9292</v>
      </c>
      <c r="AM1688" s="122">
        <v>8448</v>
      </c>
      <c r="AN1688" s="122">
        <v>2810</v>
      </c>
      <c r="AO1688" s="122">
        <v>1041</v>
      </c>
      <c r="AP1688">
        <v>473</v>
      </c>
      <c r="AQ1688">
        <v>175</v>
      </c>
      <c r="AR1688" s="122">
        <v>9563</v>
      </c>
      <c r="AS1688" s="122">
        <v>3542</v>
      </c>
      <c r="AT1688">
        <v>0</v>
      </c>
      <c r="AU1688">
        <v>0</v>
      </c>
      <c r="AV1688" s="122">
        <v>39696</v>
      </c>
    </row>
    <row r="1689" spans="2:48" hidden="1">
      <c r="B1689" t="s">
        <v>376</v>
      </c>
      <c r="C1689" t="s">
        <v>54</v>
      </c>
      <c r="D1689" t="s">
        <v>406</v>
      </c>
      <c r="E1689" t="s">
        <v>406</v>
      </c>
      <c r="F1689" s="122">
        <v>171</v>
      </c>
      <c r="G1689" s="122">
        <v>17908</v>
      </c>
      <c r="H1689" s="122">
        <v>24001</v>
      </c>
      <c r="I1689" s="122">
        <v>1161362</v>
      </c>
      <c r="J1689" s="122">
        <v>1055784</v>
      </c>
      <c r="K1689" s="122">
        <v>93</v>
      </c>
      <c r="L1689" s="122">
        <v>258304</v>
      </c>
      <c r="M1689" s="122">
        <v>216499</v>
      </c>
      <c r="N1689" s="122">
        <v>307697</v>
      </c>
      <c r="O1689" s="122">
        <v>113962</v>
      </c>
      <c r="P1689" s="122">
        <v>107244</v>
      </c>
      <c r="Q1689" s="122">
        <v>39720</v>
      </c>
      <c r="R1689" s="122">
        <v>694358</v>
      </c>
      <c r="S1689" s="122">
        <v>631235</v>
      </c>
      <c r="T1689" s="122">
        <v>17018</v>
      </c>
      <c r="U1689" s="122">
        <v>6303</v>
      </c>
      <c r="V1689" s="122">
        <v>2063503</v>
      </c>
      <c r="W1689" s="122">
        <f t="shared" si="52"/>
        <v>2063503</v>
      </c>
      <c r="X1689" s="122">
        <f t="shared" si="53"/>
        <v>2545983</v>
      </c>
      <c r="AA1689" t="s">
        <v>62</v>
      </c>
      <c r="AB1689" t="s">
        <v>407</v>
      </c>
      <c r="AC1689" t="s">
        <v>426</v>
      </c>
      <c r="AD1689" t="s">
        <v>137</v>
      </c>
      <c r="AE1689" t="s">
        <v>566</v>
      </c>
      <c r="AF1689">
        <v>17</v>
      </c>
      <c r="AG1689" s="122">
        <v>1649</v>
      </c>
      <c r="AH1689" s="122">
        <v>7112</v>
      </c>
      <c r="AI1689" s="122">
        <v>400604</v>
      </c>
      <c r="AJ1689" s="122">
        <v>364185</v>
      </c>
      <c r="AK1689">
        <v>76</v>
      </c>
      <c r="AL1689" s="122">
        <v>102964</v>
      </c>
      <c r="AM1689" s="122">
        <v>93603</v>
      </c>
      <c r="AN1689" s="122">
        <v>35996</v>
      </c>
      <c r="AO1689" s="122">
        <v>13332</v>
      </c>
      <c r="AP1689" s="122">
        <v>7222</v>
      </c>
      <c r="AQ1689" s="122">
        <v>2675</v>
      </c>
      <c r="AR1689" s="122">
        <v>156170</v>
      </c>
      <c r="AS1689" s="122">
        <v>57841</v>
      </c>
      <c r="AT1689">
        <v>0</v>
      </c>
      <c r="AU1689">
        <v>0</v>
      </c>
      <c r="AV1689" s="122">
        <v>531636</v>
      </c>
    </row>
    <row r="1690" spans="2:48" hidden="1">
      <c r="B1690" t="s">
        <v>376</v>
      </c>
      <c r="C1690" t="s">
        <v>54</v>
      </c>
      <c r="D1690" t="s">
        <v>406</v>
      </c>
      <c r="E1690" t="s">
        <v>407</v>
      </c>
      <c r="F1690" s="122">
        <v>1</v>
      </c>
      <c r="G1690" s="122">
        <v>104</v>
      </c>
      <c r="H1690" s="122">
        <v>146</v>
      </c>
      <c r="I1690" s="122">
        <v>8734</v>
      </c>
      <c r="J1690" s="122">
        <v>7940</v>
      </c>
      <c r="K1690" s="122">
        <v>97</v>
      </c>
      <c r="L1690" s="122">
        <v>3423</v>
      </c>
      <c r="M1690" s="122">
        <v>2852</v>
      </c>
      <c r="N1690" s="122">
        <v>1788</v>
      </c>
      <c r="O1690" s="122">
        <v>662</v>
      </c>
      <c r="P1690" s="122">
        <v>621</v>
      </c>
      <c r="Q1690" s="122">
        <v>230</v>
      </c>
      <c r="R1690" s="122">
        <v>4416</v>
      </c>
      <c r="S1690" s="122">
        <v>4014</v>
      </c>
      <c r="T1690" s="122">
        <v>0</v>
      </c>
      <c r="U1690" s="122">
        <v>0</v>
      </c>
      <c r="V1690" s="122">
        <v>15699</v>
      </c>
      <c r="W1690" s="122">
        <f t="shared" si="52"/>
        <v>15698</v>
      </c>
      <c r="X1690" s="122">
        <f t="shared" si="53"/>
        <v>18982</v>
      </c>
      <c r="AA1690" t="s">
        <v>62</v>
      </c>
      <c r="AB1690" t="s">
        <v>407</v>
      </c>
      <c r="AC1690" t="s">
        <v>426</v>
      </c>
      <c r="AD1690" t="s">
        <v>407</v>
      </c>
      <c r="AE1690" t="s">
        <v>137</v>
      </c>
      <c r="AF1690">
        <v>672</v>
      </c>
      <c r="AG1690" s="122">
        <v>61478</v>
      </c>
      <c r="AH1690" s="122">
        <v>278820</v>
      </c>
      <c r="AI1690" s="122">
        <v>15561160</v>
      </c>
      <c r="AJ1690" s="122">
        <v>14146509</v>
      </c>
      <c r="AK1690">
        <v>75</v>
      </c>
      <c r="AL1690" s="122">
        <v>3905454</v>
      </c>
      <c r="AM1690" s="122">
        <v>3550412</v>
      </c>
      <c r="AN1690" s="122">
        <v>1347354</v>
      </c>
      <c r="AO1690" s="122">
        <v>499020</v>
      </c>
      <c r="AP1690" s="122">
        <v>316353</v>
      </c>
      <c r="AQ1690" s="122">
        <v>117168</v>
      </c>
      <c r="AR1690" s="122">
        <v>3183098</v>
      </c>
      <c r="AS1690" s="122">
        <v>2893726</v>
      </c>
      <c r="AT1690" s="122">
        <v>1548197</v>
      </c>
      <c r="AU1690" s="122">
        <v>573406</v>
      </c>
      <c r="AV1690" s="122">
        <v>21780241</v>
      </c>
    </row>
    <row r="1691" spans="2:48" hidden="1">
      <c r="B1691" t="s">
        <v>376</v>
      </c>
      <c r="C1691" t="s">
        <v>54</v>
      </c>
      <c r="D1691" t="s">
        <v>407</v>
      </c>
      <c r="E1691" t="s">
        <v>407</v>
      </c>
      <c r="F1691" s="122">
        <v>1101</v>
      </c>
      <c r="G1691" s="122">
        <v>112034</v>
      </c>
      <c r="H1691" s="122">
        <v>153818</v>
      </c>
      <c r="I1691" s="122">
        <v>7229944</v>
      </c>
      <c r="J1691" s="122">
        <v>6572677</v>
      </c>
      <c r="K1691" s="122">
        <v>88</v>
      </c>
      <c r="L1691" s="122">
        <v>1512092</v>
      </c>
      <c r="M1691" s="122">
        <v>1262306</v>
      </c>
      <c r="N1691" s="122">
        <v>1999274</v>
      </c>
      <c r="O1691" s="122">
        <v>740472</v>
      </c>
      <c r="P1691" s="122">
        <v>559911</v>
      </c>
      <c r="Q1691" s="122">
        <v>207374</v>
      </c>
      <c r="R1691" s="122">
        <v>4437843</v>
      </c>
      <c r="S1691" s="122">
        <v>4034403</v>
      </c>
      <c r="T1691" s="122">
        <v>154070</v>
      </c>
      <c r="U1691" s="122">
        <v>57063</v>
      </c>
      <c r="V1691" s="122">
        <v>12874294</v>
      </c>
      <c r="W1691" s="122">
        <f t="shared" si="52"/>
        <v>12874295</v>
      </c>
      <c r="X1691" s="122">
        <f t="shared" si="53"/>
        <v>15893134</v>
      </c>
      <c r="AA1691" t="s">
        <v>62</v>
      </c>
      <c r="AB1691" t="s">
        <v>407</v>
      </c>
      <c r="AC1691" t="s">
        <v>426</v>
      </c>
      <c r="AD1691" t="s">
        <v>407</v>
      </c>
      <c r="AE1691" t="s">
        <v>566</v>
      </c>
      <c r="AF1691">
        <v>363</v>
      </c>
      <c r="AG1691" s="122">
        <v>32933</v>
      </c>
      <c r="AH1691" s="122">
        <v>149160</v>
      </c>
      <c r="AI1691" s="122">
        <v>8515143</v>
      </c>
      <c r="AJ1691" s="122">
        <v>7741039</v>
      </c>
      <c r="AK1691">
        <v>77</v>
      </c>
      <c r="AL1691" s="122">
        <v>2193179</v>
      </c>
      <c r="AM1691" s="122">
        <v>1993799</v>
      </c>
      <c r="AN1691" s="122">
        <v>719037</v>
      </c>
      <c r="AO1691" s="122">
        <v>266310</v>
      </c>
      <c r="AP1691" s="122">
        <v>169938</v>
      </c>
      <c r="AQ1691" s="122">
        <v>62940</v>
      </c>
      <c r="AR1691" s="122">
        <v>2144490</v>
      </c>
      <c r="AS1691" s="122">
        <v>1949537</v>
      </c>
      <c r="AT1691">
        <v>0</v>
      </c>
      <c r="AU1691">
        <v>0</v>
      </c>
      <c r="AV1691" s="122">
        <v>12013625</v>
      </c>
    </row>
    <row r="1692" spans="2:48" hidden="1">
      <c r="B1692" t="s">
        <v>376</v>
      </c>
      <c r="C1692" t="s">
        <v>56</v>
      </c>
      <c r="F1692" s="122">
        <v>5</v>
      </c>
      <c r="G1692" s="122">
        <v>471</v>
      </c>
      <c r="H1692" s="122">
        <v>823</v>
      </c>
      <c r="I1692" s="122"/>
      <c r="J1692" s="122">
        <v>0</v>
      </c>
      <c r="K1692" s="122"/>
      <c r="L1692" s="122"/>
      <c r="M1692" s="122">
        <v>0</v>
      </c>
      <c r="N1692" s="122">
        <v>5733</v>
      </c>
      <c r="O1692" s="122">
        <v>2123</v>
      </c>
      <c r="P1692" s="122">
        <v>2025</v>
      </c>
      <c r="Q1692" s="122">
        <v>750</v>
      </c>
      <c r="R1692" s="122"/>
      <c r="S1692" s="122">
        <v>0</v>
      </c>
      <c r="T1692" s="122">
        <v>2108</v>
      </c>
      <c r="U1692" s="122">
        <v>781</v>
      </c>
      <c r="V1692" s="122">
        <v>3654</v>
      </c>
      <c r="W1692" s="122">
        <f t="shared" si="52"/>
        <v>3654</v>
      </c>
      <c r="X1692" s="122">
        <f t="shared" si="53"/>
        <v>9866</v>
      </c>
      <c r="AA1692" t="s">
        <v>62</v>
      </c>
      <c r="AB1692" t="s">
        <v>407</v>
      </c>
      <c r="AC1692" t="s">
        <v>566</v>
      </c>
      <c r="AD1692" t="s">
        <v>137</v>
      </c>
      <c r="AE1692" t="s">
        <v>137</v>
      </c>
      <c r="AF1692">
        <v>2</v>
      </c>
      <c r="AG1692">
        <v>129</v>
      </c>
      <c r="AH1692">
        <v>831</v>
      </c>
      <c r="AI1692" s="122">
        <v>38565</v>
      </c>
      <c r="AJ1692" s="122">
        <v>35059</v>
      </c>
      <c r="AK1692">
        <v>64</v>
      </c>
      <c r="AL1692">
        <v>0</v>
      </c>
      <c r="AM1692">
        <v>0</v>
      </c>
      <c r="AN1692" s="122">
        <v>2791</v>
      </c>
      <c r="AO1692" s="122">
        <v>1034</v>
      </c>
      <c r="AP1692">
        <v>473</v>
      </c>
      <c r="AQ1692">
        <v>175</v>
      </c>
      <c r="AR1692" s="122">
        <v>9164</v>
      </c>
      <c r="AS1692" s="122">
        <v>3394</v>
      </c>
      <c r="AT1692" s="122">
        <v>2330</v>
      </c>
      <c r="AU1692">
        <v>863</v>
      </c>
      <c r="AV1692" s="122">
        <v>40524</v>
      </c>
    </row>
    <row r="1693" spans="2:48" hidden="1">
      <c r="B1693" t="s">
        <v>376</v>
      </c>
      <c r="C1693" t="s">
        <v>56</v>
      </c>
      <c r="D1693" t="s">
        <v>425</v>
      </c>
      <c r="E1693" t="s">
        <v>425</v>
      </c>
      <c r="F1693" s="122">
        <v>2</v>
      </c>
      <c r="G1693" s="122">
        <v>199</v>
      </c>
      <c r="H1693" s="122">
        <v>359</v>
      </c>
      <c r="I1693" s="122">
        <v>14188</v>
      </c>
      <c r="J1693" s="122">
        <v>12898</v>
      </c>
      <c r="K1693" s="122">
        <v>73</v>
      </c>
      <c r="L1693" s="122">
        <v>3950</v>
      </c>
      <c r="M1693" s="122">
        <v>2143</v>
      </c>
      <c r="N1693" s="122">
        <v>4472</v>
      </c>
      <c r="O1693" s="122">
        <v>1656</v>
      </c>
      <c r="P1693" s="122">
        <v>945</v>
      </c>
      <c r="Q1693" s="122">
        <v>350</v>
      </c>
      <c r="R1693" s="122">
        <v>11767</v>
      </c>
      <c r="S1693" s="122">
        <v>10697</v>
      </c>
      <c r="T1693" s="122">
        <v>0</v>
      </c>
      <c r="U1693" s="122">
        <v>0</v>
      </c>
      <c r="V1693" s="122">
        <v>27744</v>
      </c>
      <c r="W1693" s="122">
        <f t="shared" si="52"/>
        <v>27744</v>
      </c>
      <c r="X1693" s="122">
        <f t="shared" si="53"/>
        <v>35322</v>
      </c>
      <c r="AA1693" t="s">
        <v>62</v>
      </c>
      <c r="AB1693" t="s">
        <v>407</v>
      </c>
      <c r="AC1693" t="s">
        <v>566</v>
      </c>
      <c r="AD1693" t="s">
        <v>137</v>
      </c>
      <c r="AE1693" t="s">
        <v>566</v>
      </c>
      <c r="AF1693">
        <v>18</v>
      </c>
      <c r="AG1693" s="122">
        <v>1604</v>
      </c>
      <c r="AH1693" s="122">
        <v>7410</v>
      </c>
      <c r="AI1693" s="122">
        <v>504992</v>
      </c>
      <c r="AJ1693" s="122">
        <v>459084</v>
      </c>
      <c r="AK1693">
        <v>72</v>
      </c>
      <c r="AL1693">
        <v>0</v>
      </c>
      <c r="AM1693" s="122">
        <v>3482</v>
      </c>
      <c r="AN1693" s="122">
        <v>34081</v>
      </c>
      <c r="AO1693" s="122">
        <v>12622</v>
      </c>
      <c r="AP1693" s="122">
        <v>6723</v>
      </c>
      <c r="AQ1693" s="122">
        <v>2490</v>
      </c>
      <c r="AR1693" s="122">
        <v>120927</v>
      </c>
      <c r="AS1693" s="122">
        <v>44788</v>
      </c>
      <c r="AT1693">
        <v>0</v>
      </c>
      <c r="AU1693">
        <v>0</v>
      </c>
      <c r="AV1693" s="122">
        <v>522467</v>
      </c>
    </row>
    <row r="1694" spans="2:48" hidden="1">
      <c r="B1694" t="s">
        <v>376</v>
      </c>
      <c r="C1694" t="s">
        <v>56</v>
      </c>
      <c r="D1694" t="s">
        <v>425</v>
      </c>
      <c r="E1694" t="s">
        <v>406</v>
      </c>
      <c r="F1694" s="122">
        <v>1</v>
      </c>
      <c r="G1694" s="122">
        <v>106</v>
      </c>
      <c r="H1694" s="122">
        <v>219</v>
      </c>
      <c r="I1694" s="122">
        <v>9992</v>
      </c>
      <c r="J1694" s="122">
        <v>9084</v>
      </c>
      <c r="K1694" s="122">
        <v>85</v>
      </c>
      <c r="L1694" s="122">
        <v>2199</v>
      </c>
      <c r="M1694" s="122">
        <v>815</v>
      </c>
      <c r="N1694" s="122">
        <v>2367</v>
      </c>
      <c r="O1694" s="122">
        <v>877</v>
      </c>
      <c r="P1694" s="122">
        <v>621</v>
      </c>
      <c r="Q1694" s="122">
        <v>230</v>
      </c>
      <c r="R1694" s="122">
        <v>4302</v>
      </c>
      <c r="S1694" s="122">
        <v>3911</v>
      </c>
      <c r="T1694" s="122">
        <v>3656</v>
      </c>
      <c r="U1694" s="122">
        <v>1354</v>
      </c>
      <c r="V1694" s="122">
        <v>16270</v>
      </c>
      <c r="W1694" s="122">
        <f t="shared" si="52"/>
        <v>16271</v>
      </c>
      <c r="X1694" s="122">
        <f t="shared" si="53"/>
        <v>23137</v>
      </c>
      <c r="AA1694" t="s">
        <v>62</v>
      </c>
      <c r="AB1694" t="s">
        <v>407</v>
      </c>
      <c r="AC1694" t="s">
        <v>566</v>
      </c>
      <c r="AD1694" t="s">
        <v>407</v>
      </c>
      <c r="AE1694" t="s">
        <v>137</v>
      </c>
      <c r="AF1694">
        <v>251</v>
      </c>
      <c r="AG1694" s="122">
        <v>20398</v>
      </c>
      <c r="AH1694" s="122">
        <v>103208</v>
      </c>
      <c r="AI1694" s="122">
        <v>6273847</v>
      </c>
      <c r="AJ1694" s="122">
        <v>5703497</v>
      </c>
      <c r="AK1694">
        <v>73</v>
      </c>
      <c r="AL1694">
        <v>0</v>
      </c>
      <c r="AM1694" s="122">
        <v>68451</v>
      </c>
      <c r="AN1694" s="122">
        <v>432996</v>
      </c>
      <c r="AO1694" s="122">
        <v>160369</v>
      </c>
      <c r="AP1694" s="122">
        <v>116924</v>
      </c>
      <c r="AQ1694" s="122">
        <v>43305</v>
      </c>
      <c r="AR1694" s="122">
        <v>1099969</v>
      </c>
      <c r="AS1694" s="122">
        <v>999972</v>
      </c>
      <c r="AT1694" s="122">
        <v>572557</v>
      </c>
      <c r="AU1694" s="122">
        <v>212058</v>
      </c>
      <c r="AV1694" s="122">
        <v>7187652</v>
      </c>
    </row>
    <row r="1695" spans="2:48" hidden="1">
      <c r="B1695" t="s">
        <v>376</v>
      </c>
      <c r="C1695" t="s">
        <v>56</v>
      </c>
      <c r="D1695" t="s">
        <v>405</v>
      </c>
      <c r="E1695" t="s">
        <v>405</v>
      </c>
      <c r="F1695" s="122">
        <v>31</v>
      </c>
      <c r="G1695" s="122">
        <v>3416</v>
      </c>
      <c r="H1695" s="122">
        <v>5784</v>
      </c>
      <c r="I1695" s="122">
        <v>297262</v>
      </c>
      <c r="J1695" s="122">
        <v>270238</v>
      </c>
      <c r="K1695" s="122">
        <v>80</v>
      </c>
      <c r="L1695" s="122">
        <v>78475</v>
      </c>
      <c r="M1695" s="122">
        <v>69517</v>
      </c>
      <c r="N1695" s="122">
        <v>72607</v>
      </c>
      <c r="O1695" s="122">
        <v>26891</v>
      </c>
      <c r="P1695" s="122">
        <v>14648</v>
      </c>
      <c r="Q1695" s="122">
        <v>5425</v>
      </c>
      <c r="R1695" s="122">
        <v>166758</v>
      </c>
      <c r="S1695" s="122">
        <v>151598</v>
      </c>
      <c r="T1695" s="122">
        <v>7696</v>
      </c>
      <c r="U1695" s="122">
        <v>2850</v>
      </c>
      <c r="V1695" s="122">
        <v>526520</v>
      </c>
      <c r="W1695" s="122">
        <f t="shared" si="52"/>
        <v>526519</v>
      </c>
      <c r="X1695" s="122">
        <f t="shared" si="53"/>
        <v>637446</v>
      </c>
      <c r="AA1695" t="s">
        <v>62</v>
      </c>
      <c r="AB1695" t="s">
        <v>407</v>
      </c>
      <c r="AC1695" t="s">
        <v>566</v>
      </c>
      <c r="AD1695" t="s">
        <v>407</v>
      </c>
      <c r="AE1695" t="s">
        <v>566</v>
      </c>
      <c r="AF1695">
        <v>143</v>
      </c>
      <c r="AG1695" s="122">
        <v>10548</v>
      </c>
      <c r="AH1695" s="122">
        <v>58815</v>
      </c>
      <c r="AI1695" s="122">
        <v>3307071</v>
      </c>
      <c r="AJ1695" s="122">
        <v>3006428</v>
      </c>
      <c r="AK1695">
        <v>74</v>
      </c>
      <c r="AL1695">
        <v>0</v>
      </c>
      <c r="AM1695" s="122">
        <v>38749</v>
      </c>
      <c r="AN1695" s="122">
        <v>234688</v>
      </c>
      <c r="AO1695" s="122">
        <v>86921</v>
      </c>
      <c r="AP1695" s="122">
        <v>67662</v>
      </c>
      <c r="AQ1695" s="122">
        <v>25060</v>
      </c>
      <c r="AR1695" s="122">
        <v>786365</v>
      </c>
      <c r="AS1695" s="122">
        <v>714878</v>
      </c>
      <c r="AT1695">
        <v>0</v>
      </c>
      <c r="AU1695">
        <v>0</v>
      </c>
      <c r="AV1695" s="122">
        <v>3872036</v>
      </c>
    </row>
    <row r="1696" spans="2:48" hidden="1">
      <c r="B1696" t="s">
        <v>376</v>
      </c>
      <c r="C1696" t="s">
        <v>56</v>
      </c>
      <c r="D1696" t="s">
        <v>137</v>
      </c>
      <c r="E1696" t="s">
        <v>137</v>
      </c>
      <c r="F1696" s="122">
        <v>11</v>
      </c>
      <c r="G1696" s="122">
        <v>1197</v>
      </c>
      <c r="H1696" s="122">
        <v>2177</v>
      </c>
      <c r="I1696" s="122">
        <v>122064</v>
      </c>
      <c r="J1696" s="122">
        <v>45209</v>
      </c>
      <c r="K1696" s="122">
        <v>183</v>
      </c>
      <c r="L1696" s="122">
        <v>19099</v>
      </c>
      <c r="M1696" s="122">
        <v>12057</v>
      </c>
      <c r="N1696" s="122">
        <v>23097</v>
      </c>
      <c r="O1696" s="122">
        <v>8555</v>
      </c>
      <c r="P1696" s="122">
        <v>1404</v>
      </c>
      <c r="Q1696" s="122">
        <v>520</v>
      </c>
      <c r="R1696" s="122">
        <v>70605</v>
      </c>
      <c r="S1696" s="122">
        <v>26150</v>
      </c>
      <c r="T1696" s="122">
        <v>0</v>
      </c>
      <c r="U1696" s="122">
        <v>0</v>
      </c>
      <c r="V1696" s="122">
        <v>92491</v>
      </c>
      <c r="W1696" s="122">
        <f t="shared" si="52"/>
        <v>92491</v>
      </c>
      <c r="X1696" s="122">
        <f t="shared" si="53"/>
        <v>236269</v>
      </c>
      <c r="AA1696" t="s">
        <v>62</v>
      </c>
      <c r="AB1696" t="s">
        <v>407</v>
      </c>
      <c r="AC1696" t="s">
        <v>566</v>
      </c>
      <c r="AD1696" t="s">
        <v>426</v>
      </c>
      <c r="AE1696" t="s">
        <v>566</v>
      </c>
      <c r="AF1696">
        <v>1</v>
      </c>
      <c r="AG1696">
        <v>85</v>
      </c>
      <c r="AH1696">
        <v>398</v>
      </c>
      <c r="AI1696" s="122">
        <v>25241</v>
      </c>
      <c r="AJ1696" s="122">
        <v>22947</v>
      </c>
      <c r="AK1696">
        <v>79</v>
      </c>
      <c r="AL1696">
        <v>0</v>
      </c>
      <c r="AM1696" s="122">
        <v>6340</v>
      </c>
      <c r="AN1696" s="122">
        <v>2061</v>
      </c>
      <c r="AO1696">
        <v>764</v>
      </c>
      <c r="AP1696">
        <v>473</v>
      </c>
      <c r="AQ1696">
        <v>175</v>
      </c>
      <c r="AR1696" s="122">
        <v>5929</v>
      </c>
      <c r="AS1696" s="122">
        <v>5390</v>
      </c>
      <c r="AT1696">
        <v>0</v>
      </c>
      <c r="AU1696">
        <v>0</v>
      </c>
      <c r="AV1696" s="122">
        <v>35615</v>
      </c>
    </row>
    <row r="1697" spans="2:48" hidden="1">
      <c r="B1697" t="s">
        <v>376</v>
      </c>
      <c r="C1697" t="s">
        <v>56</v>
      </c>
      <c r="D1697" t="s">
        <v>406</v>
      </c>
      <c r="E1697" t="s">
        <v>137</v>
      </c>
      <c r="F1697" s="122">
        <v>2</v>
      </c>
      <c r="G1697" s="122">
        <v>185</v>
      </c>
      <c r="H1697" s="122">
        <v>378</v>
      </c>
      <c r="I1697" s="122">
        <v>13244</v>
      </c>
      <c r="J1697" s="122">
        <v>12040</v>
      </c>
      <c r="K1697" s="122">
        <v>90</v>
      </c>
      <c r="L1697" s="122">
        <v>291</v>
      </c>
      <c r="M1697" s="122">
        <v>264</v>
      </c>
      <c r="N1697" s="122">
        <v>3770</v>
      </c>
      <c r="O1697" s="122">
        <v>1396</v>
      </c>
      <c r="P1697" s="122">
        <v>1242</v>
      </c>
      <c r="Q1697" s="122">
        <v>460</v>
      </c>
      <c r="R1697" s="122">
        <v>14523</v>
      </c>
      <c r="S1697" s="122">
        <v>5379</v>
      </c>
      <c r="T1697" s="122">
        <v>0</v>
      </c>
      <c r="U1697" s="122">
        <v>0</v>
      </c>
      <c r="V1697" s="122">
        <v>19540</v>
      </c>
      <c r="W1697" s="122">
        <f t="shared" si="52"/>
        <v>19539</v>
      </c>
      <c r="X1697" s="122">
        <f t="shared" si="53"/>
        <v>33070</v>
      </c>
      <c r="AA1697" t="s">
        <v>62</v>
      </c>
      <c r="AB1697" t="s">
        <v>407</v>
      </c>
      <c r="AC1697" t="s">
        <v>433</v>
      </c>
      <c r="AD1697" t="s">
        <v>407</v>
      </c>
      <c r="AE1697" t="s">
        <v>137</v>
      </c>
      <c r="AF1697">
        <v>14</v>
      </c>
      <c r="AG1697" s="122">
        <v>1483</v>
      </c>
      <c r="AH1697" s="122">
        <v>5853</v>
      </c>
      <c r="AI1697" s="122">
        <v>396120</v>
      </c>
      <c r="AJ1697" s="122">
        <v>360109</v>
      </c>
      <c r="AK1697">
        <v>75</v>
      </c>
      <c r="AL1697" s="122">
        <v>81536</v>
      </c>
      <c r="AM1697" s="122">
        <v>74124</v>
      </c>
      <c r="AN1697" s="122">
        <v>33113</v>
      </c>
      <c r="AO1697" s="122">
        <v>12264</v>
      </c>
      <c r="AP1697" s="122">
        <v>6615</v>
      </c>
      <c r="AQ1697" s="122">
        <v>2450</v>
      </c>
      <c r="AR1697" s="122">
        <v>67126</v>
      </c>
      <c r="AS1697" s="122">
        <v>61024</v>
      </c>
      <c r="AT1697" s="122">
        <v>34192</v>
      </c>
      <c r="AU1697" s="122">
        <v>12664</v>
      </c>
      <c r="AV1697" s="122">
        <v>522634</v>
      </c>
    </row>
    <row r="1698" spans="2:48" hidden="1">
      <c r="B1698" t="s">
        <v>376</v>
      </c>
      <c r="C1698" t="s">
        <v>56</v>
      </c>
      <c r="D1698" t="s">
        <v>406</v>
      </c>
      <c r="E1698" t="s">
        <v>406</v>
      </c>
      <c r="F1698" s="122">
        <v>1213</v>
      </c>
      <c r="G1698" s="122">
        <v>122816</v>
      </c>
      <c r="H1698" s="122">
        <v>230017</v>
      </c>
      <c r="I1698" s="122">
        <v>11273254</v>
      </c>
      <c r="J1698" s="122">
        <v>10248413</v>
      </c>
      <c r="K1698" s="122">
        <v>87</v>
      </c>
      <c r="L1698" s="122">
        <v>2776907</v>
      </c>
      <c r="M1698" s="122">
        <v>2319969</v>
      </c>
      <c r="N1698" s="122">
        <v>2361878</v>
      </c>
      <c r="O1698" s="122">
        <v>874770</v>
      </c>
      <c r="P1698" s="122">
        <v>759337</v>
      </c>
      <c r="Q1698" s="122">
        <v>281236</v>
      </c>
      <c r="R1698" s="122">
        <v>5206621</v>
      </c>
      <c r="S1698" s="122">
        <v>4733292</v>
      </c>
      <c r="T1698" s="122">
        <v>1113309</v>
      </c>
      <c r="U1698" s="122">
        <v>412337</v>
      </c>
      <c r="V1698" s="122">
        <v>18870016</v>
      </c>
      <c r="W1698" s="122">
        <f t="shared" si="52"/>
        <v>18870017</v>
      </c>
      <c r="X1698" s="122">
        <f t="shared" si="53"/>
        <v>23491306</v>
      </c>
      <c r="AA1698" t="s">
        <v>62</v>
      </c>
      <c r="AB1698" t="s">
        <v>407</v>
      </c>
      <c r="AC1698" t="s">
        <v>433</v>
      </c>
      <c r="AD1698" t="s">
        <v>407</v>
      </c>
      <c r="AE1698" t="s">
        <v>566</v>
      </c>
      <c r="AF1698">
        <v>20</v>
      </c>
      <c r="AG1698" s="122">
        <v>1798</v>
      </c>
      <c r="AH1698" s="122">
        <v>8229</v>
      </c>
      <c r="AI1698" s="122">
        <v>452342</v>
      </c>
      <c r="AJ1698" s="122">
        <v>411220</v>
      </c>
      <c r="AK1698">
        <v>77</v>
      </c>
      <c r="AL1698" s="122">
        <v>120796</v>
      </c>
      <c r="AM1698" s="122">
        <v>109815</v>
      </c>
      <c r="AN1698" s="122">
        <v>38906</v>
      </c>
      <c r="AO1698" s="122">
        <v>14409</v>
      </c>
      <c r="AP1698" s="122">
        <v>9450</v>
      </c>
      <c r="AQ1698" s="122">
        <v>3500</v>
      </c>
      <c r="AR1698" s="122">
        <v>124412</v>
      </c>
      <c r="AS1698" s="122">
        <v>113102</v>
      </c>
      <c r="AT1698">
        <v>0</v>
      </c>
      <c r="AU1698">
        <v>0</v>
      </c>
      <c r="AV1698" s="122">
        <v>652046</v>
      </c>
    </row>
    <row r="1699" spans="2:48" hidden="1">
      <c r="B1699" t="s">
        <v>376</v>
      </c>
      <c r="C1699" t="s">
        <v>56</v>
      </c>
      <c r="D1699" t="s">
        <v>406</v>
      </c>
      <c r="E1699" t="s">
        <v>427</v>
      </c>
      <c r="F1699" s="122">
        <v>1</v>
      </c>
      <c r="G1699" s="122">
        <v>189</v>
      </c>
      <c r="H1699" s="122">
        <v>213</v>
      </c>
      <c r="I1699" s="122">
        <v>21930</v>
      </c>
      <c r="J1699" s="122">
        <v>19936</v>
      </c>
      <c r="K1699" s="122">
        <v>85</v>
      </c>
      <c r="L1699" s="122">
        <v>6579</v>
      </c>
      <c r="M1699" s="122">
        <v>5981</v>
      </c>
      <c r="N1699" s="122">
        <v>3229</v>
      </c>
      <c r="O1699" s="122">
        <v>1196</v>
      </c>
      <c r="P1699" s="122">
        <v>621</v>
      </c>
      <c r="Q1699" s="122">
        <v>230</v>
      </c>
      <c r="R1699" s="122">
        <v>7957</v>
      </c>
      <c r="S1699" s="122">
        <v>7233</v>
      </c>
      <c r="T1699" s="122">
        <v>0</v>
      </c>
      <c r="U1699" s="122">
        <v>0</v>
      </c>
      <c r="V1699" s="122">
        <v>34576</v>
      </c>
      <c r="W1699" s="122">
        <f t="shared" si="52"/>
        <v>34576</v>
      </c>
      <c r="X1699" s="122">
        <f t="shared" si="53"/>
        <v>40316</v>
      </c>
      <c r="AA1699" t="s">
        <v>62</v>
      </c>
      <c r="AB1699" t="s">
        <v>579</v>
      </c>
      <c r="AC1699" t="s">
        <v>405</v>
      </c>
      <c r="AD1699" t="s">
        <v>579</v>
      </c>
      <c r="AE1699" t="s">
        <v>137</v>
      </c>
      <c r="AF1699">
        <v>1</v>
      </c>
      <c r="AG1699">
        <v>117</v>
      </c>
      <c r="AH1699">
        <v>400</v>
      </c>
      <c r="AI1699" s="122">
        <v>33149</v>
      </c>
      <c r="AJ1699" s="122">
        <v>27624</v>
      </c>
      <c r="AK1699">
        <v>65</v>
      </c>
      <c r="AL1699" s="122">
        <v>2911</v>
      </c>
      <c r="AM1699" s="122">
        <v>2646</v>
      </c>
      <c r="AN1699" s="122">
        <v>2114</v>
      </c>
      <c r="AO1699">
        <v>783</v>
      </c>
      <c r="AP1699">
        <v>824</v>
      </c>
      <c r="AQ1699">
        <v>305</v>
      </c>
      <c r="AR1699" s="122">
        <v>5176</v>
      </c>
      <c r="AS1699" s="122">
        <v>4313</v>
      </c>
      <c r="AT1699" s="122">
        <v>2641</v>
      </c>
      <c r="AU1699">
        <v>978</v>
      </c>
      <c r="AV1699" s="122">
        <v>36650</v>
      </c>
    </row>
    <row r="1700" spans="2:48" hidden="1">
      <c r="B1700" t="s">
        <v>376</v>
      </c>
      <c r="C1700" t="s">
        <v>56</v>
      </c>
      <c r="D1700" t="s">
        <v>406</v>
      </c>
      <c r="E1700" t="s">
        <v>407</v>
      </c>
      <c r="F1700" s="122">
        <v>2</v>
      </c>
      <c r="G1700" s="122">
        <v>229</v>
      </c>
      <c r="H1700" s="122">
        <v>421</v>
      </c>
      <c r="I1700" s="122">
        <v>20135</v>
      </c>
      <c r="J1700" s="122">
        <v>18305</v>
      </c>
      <c r="K1700" s="122">
        <v>82</v>
      </c>
      <c r="L1700" s="122">
        <v>5849</v>
      </c>
      <c r="M1700" s="122">
        <v>5317</v>
      </c>
      <c r="N1700" s="122">
        <v>5200</v>
      </c>
      <c r="O1700" s="122">
        <v>1926</v>
      </c>
      <c r="P1700" s="122">
        <v>1242</v>
      </c>
      <c r="Q1700" s="122">
        <v>460</v>
      </c>
      <c r="R1700" s="122">
        <v>9043</v>
      </c>
      <c r="S1700" s="122">
        <v>8221</v>
      </c>
      <c r="T1700" s="122">
        <v>6363</v>
      </c>
      <c r="U1700" s="122">
        <v>2357</v>
      </c>
      <c r="V1700" s="122">
        <v>36586</v>
      </c>
      <c r="W1700" s="122">
        <f t="shared" si="52"/>
        <v>36586</v>
      </c>
      <c r="X1700" s="122">
        <f t="shared" si="53"/>
        <v>47832</v>
      </c>
      <c r="AA1700" t="s">
        <v>62</v>
      </c>
      <c r="AB1700" t="s">
        <v>579</v>
      </c>
      <c r="AC1700" t="s">
        <v>137</v>
      </c>
      <c r="AD1700" t="s">
        <v>137</v>
      </c>
      <c r="AE1700" t="s">
        <v>566</v>
      </c>
      <c r="AF1700">
        <v>21</v>
      </c>
      <c r="AG1700" s="122">
        <v>1541</v>
      </c>
      <c r="AH1700" s="122">
        <v>8589</v>
      </c>
      <c r="AI1700" s="122">
        <v>391931</v>
      </c>
      <c r="AJ1700" s="122">
        <v>326609</v>
      </c>
      <c r="AK1700">
        <v>50</v>
      </c>
      <c r="AL1700" s="122">
        <v>64442</v>
      </c>
      <c r="AM1700" s="122">
        <v>23868</v>
      </c>
      <c r="AN1700" s="122">
        <v>34329</v>
      </c>
      <c r="AO1700" s="122">
        <v>12714</v>
      </c>
      <c r="AP1700" s="122">
        <v>3753</v>
      </c>
      <c r="AQ1700" s="122">
        <v>1390</v>
      </c>
      <c r="AR1700" s="122">
        <v>165017</v>
      </c>
      <c r="AS1700" s="122">
        <v>61118</v>
      </c>
      <c r="AT1700">
        <v>0</v>
      </c>
      <c r="AU1700">
        <v>0</v>
      </c>
      <c r="AV1700" s="122">
        <v>425699</v>
      </c>
    </row>
    <row r="1701" spans="2:48" hidden="1">
      <c r="B1701" t="s">
        <v>376</v>
      </c>
      <c r="C1701" t="s">
        <v>56</v>
      </c>
      <c r="D1701" t="s">
        <v>407</v>
      </c>
      <c r="E1701" t="s">
        <v>137</v>
      </c>
      <c r="F1701" s="122">
        <v>3</v>
      </c>
      <c r="G1701" s="122">
        <v>235</v>
      </c>
      <c r="H1701" s="122">
        <v>577</v>
      </c>
      <c r="I1701" s="122">
        <v>20716</v>
      </c>
      <c r="J1701" s="122">
        <v>18833</v>
      </c>
      <c r="K1701" s="122">
        <v>79</v>
      </c>
      <c r="L1701" s="122">
        <v>2342</v>
      </c>
      <c r="M1701" s="122">
        <v>1266</v>
      </c>
      <c r="N1701" s="122">
        <v>5649</v>
      </c>
      <c r="O1701" s="122">
        <v>2092</v>
      </c>
      <c r="P1701" s="122">
        <v>1418</v>
      </c>
      <c r="Q1701" s="122">
        <v>525</v>
      </c>
      <c r="R1701" s="122">
        <v>13520</v>
      </c>
      <c r="S1701" s="122">
        <v>5007</v>
      </c>
      <c r="T1701" s="122">
        <v>0</v>
      </c>
      <c r="U1701" s="122">
        <v>0</v>
      </c>
      <c r="V1701" s="122">
        <v>27723</v>
      </c>
      <c r="W1701" s="122">
        <f t="shared" si="52"/>
        <v>27723</v>
      </c>
      <c r="X1701" s="122">
        <f t="shared" si="53"/>
        <v>43645</v>
      </c>
      <c r="AA1701" t="s">
        <v>62</v>
      </c>
      <c r="AB1701" t="s">
        <v>579</v>
      </c>
      <c r="AC1701" t="s">
        <v>137</v>
      </c>
      <c r="AD1701" t="s">
        <v>579</v>
      </c>
      <c r="AE1701" t="s">
        <v>137</v>
      </c>
      <c r="AF1701">
        <v>100</v>
      </c>
      <c r="AG1701" s="122">
        <v>6355</v>
      </c>
      <c r="AH1701" s="122">
        <v>41354</v>
      </c>
      <c r="AI1701" s="122">
        <v>1485680</v>
      </c>
      <c r="AJ1701" s="122">
        <v>1238067</v>
      </c>
      <c r="AK1701">
        <v>57</v>
      </c>
      <c r="AL1701" s="122">
        <v>257287</v>
      </c>
      <c r="AM1701" s="122">
        <v>95292</v>
      </c>
      <c r="AN1701" s="122">
        <v>127892</v>
      </c>
      <c r="AO1701" s="122">
        <v>47367</v>
      </c>
      <c r="AP1701" s="122">
        <v>31033</v>
      </c>
      <c r="AQ1701" s="122">
        <v>11494</v>
      </c>
      <c r="AR1701" s="122">
        <v>516848</v>
      </c>
      <c r="AS1701" s="122">
        <v>430707</v>
      </c>
      <c r="AT1701" s="122">
        <v>205260</v>
      </c>
      <c r="AU1701" s="122">
        <v>76022</v>
      </c>
      <c r="AV1701" s="122">
        <v>1898949</v>
      </c>
    </row>
    <row r="1702" spans="2:48" hidden="1">
      <c r="B1702" t="s">
        <v>376</v>
      </c>
      <c r="C1702" t="s">
        <v>56</v>
      </c>
      <c r="D1702" t="s">
        <v>407</v>
      </c>
      <c r="E1702" t="s">
        <v>406</v>
      </c>
      <c r="F1702" s="122">
        <v>3</v>
      </c>
      <c r="G1702" s="122">
        <v>337</v>
      </c>
      <c r="H1702" s="122">
        <v>533</v>
      </c>
      <c r="I1702" s="122">
        <v>25575</v>
      </c>
      <c r="J1702" s="122">
        <v>23250</v>
      </c>
      <c r="K1702" s="122">
        <v>82</v>
      </c>
      <c r="L1702" s="122">
        <v>6588</v>
      </c>
      <c r="M1702" s="122">
        <v>5841</v>
      </c>
      <c r="N1702" s="122">
        <v>7979</v>
      </c>
      <c r="O1702" s="122">
        <v>2955</v>
      </c>
      <c r="P1702" s="122">
        <v>1418</v>
      </c>
      <c r="Q1702" s="122">
        <v>525</v>
      </c>
      <c r="R1702" s="122">
        <v>13962</v>
      </c>
      <c r="S1702" s="122">
        <v>12692</v>
      </c>
      <c r="T1702" s="122">
        <v>2778</v>
      </c>
      <c r="U1702" s="122">
        <v>1029</v>
      </c>
      <c r="V1702" s="122">
        <v>46292</v>
      </c>
      <c r="W1702" s="122">
        <f t="shared" si="52"/>
        <v>46292</v>
      </c>
      <c r="X1702" s="122">
        <f t="shared" si="53"/>
        <v>58300</v>
      </c>
      <c r="AA1702" t="s">
        <v>62</v>
      </c>
      <c r="AB1702" t="s">
        <v>579</v>
      </c>
      <c r="AC1702" t="s">
        <v>137</v>
      </c>
      <c r="AD1702" t="s">
        <v>579</v>
      </c>
      <c r="AE1702" t="s">
        <v>566</v>
      </c>
      <c r="AF1702">
        <v>9</v>
      </c>
      <c r="AG1702">
        <v>573</v>
      </c>
      <c r="AH1702" s="122">
        <v>3716</v>
      </c>
      <c r="AI1702" s="122">
        <v>135061</v>
      </c>
      <c r="AJ1702" s="122">
        <v>112551</v>
      </c>
      <c r="AK1702">
        <v>57</v>
      </c>
      <c r="AL1702" s="122">
        <v>23213</v>
      </c>
      <c r="AM1702" s="122">
        <v>8597</v>
      </c>
      <c r="AN1702" s="122">
        <v>10788</v>
      </c>
      <c r="AO1702" s="122">
        <v>3996</v>
      </c>
      <c r="AP1702" s="122">
        <v>2808</v>
      </c>
      <c r="AQ1702" s="122">
        <v>1040</v>
      </c>
      <c r="AR1702" s="122">
        <v>65914</v>
      </c>
      <c r="AS1702" s="122">
        <v>54928</v>
      </c>
      <c r="AT1702">
        <v>0</v>
      </c>
      <c r="AU1702">
        <v>0</v>
      </c>
      <c r="AV1702" s="122">
        <v>181112</v>
      </c>
    </row>
    <row r="1703" spans="2:48" hidden="1">
      <c r="B1703" t="s">
        <v>376</v>
      </c>
      <c r="C1703" t="s">
        <v>56</v>
      </c>
      <c r="D1703" t="s">
        <v>407</v>
      </c>
      <c r="E1703" t="s">
        <v>407</v>
      </c>
      <c r="F1703" s="122">
        <v>5370</v>
      </c>
      <c r="G1703" s="122">
        <v>510145</v>
      </c>
      <c r="H1703" s="122">
        <v>983278</v>
      </c>
      <c r="I1703" s="122">
        <v>43442423</v>
      </c>
      <c r="J1703" s="122">
        <v>39493112</v>
      </c>
      <c r="K1703" s="122">
        <v>84</v>
      </c>
      <c r="L1703" s="122">
        <v>12175077</v>
      </c>
      <c r="M1703" s="122">
        <v>10441060</v>
      </c>
      <c r="N1703" s="122">
        <v>9710881</v>
      </c>
      <c r="O1703" s="122">
        <v>3596622</v>
      </c>
      <c r="P1703" s="122">
        <v>2556129</v>
      </c>
      <c r="Q1703" s="122">
        <v>946714</v>
      </c>
      <c r="R1703" s="122">
        <v>23968070</v>
      </c>
      <c r="S1703" s="122">
        <v>21789155</v>
      </c>
      <c r="T1703" s="122">
        <v>1907636</v>
      </c>
      <c r="U1703" s="122">
        <v>706532</v>
      </c>
      <c r="V1703" s="122">
        <v>76973194</v>
      </c>
      <c r="W1703" s="122">
        <f t="shared" si="52"/>
        <v>76973195</v>
      </c>
      <c r="X1703" s="122">
        <f t="shared" si="53"/>
        <v>93760216</v>
      </c>
      <c r="AA1703" t="s">
        <v>62</v>
      </c>
      <c r="AB1703" t="s">
        <v>579</v>
      </c>
      <c r="AC1703" t="s">
        <v>580</v>
      </c>
      <c r="AD1703" t="s">
        <v>406</v>
      </c>
      <c r="AE1703" t="s">
        <v>137</v>
      </c>
      <c r="AF1703">
        <v>1</v>
      </c>
      <c r="AG1703">
        <v>110</v>
      </c>
      <c r="AH1703">
        <v>422</v>
      </c>
      <c r="AI1703" s="122">
        <v>33425</v>
      </c>
      <c r="AJ1703" s="122">
        <v>27854</v>
      </c>
      <c r="AK1703">
        <v>60</v>
      </c>
      <c r="AL1703" s="122">
        <v>2985</v>
      </c>
      <c r="AM1703" s="122">
        <v>2714</v>
      </c>
      <c r="AN1703" s="122">
        <v>2485</v>
      </c>
      <c r="AO1703">
        <v>920</v>
      </c>
      <c r="AP1703">
        <v>621</v>
      </c>
      <c r="AQ1703">
        <v>230</v>
      </c>
      <c r="AR1703" s="122">
        <v>4630</v>
      </c>
      <c r="AS1703" s="122">
        <v>4209</v>
      </c>
      <c r="AT1703" s="122">
        <v>2103</v>
      </c>
      <c r="AU1703">
        <v>779</v>
      </c>
      <c r="AV1703" s="122">
        <v>36706</v>
      </c>
    </row>
    <row r="1704" spans="2:48" hidden="1">
      <c r="B1704" t="s">
        <v>376</v>
      </c>
      <c r="C1704" t="s">
        <v>56</v>
      </c>
      <c r="D1704" t="s">
        <v>407</v>
      </c>
      <c r="E1704" t="s">
        <v>556</v>
      </c>
      <c r="F1704" s="122">
        <v>1</v>
      </c>
      <c r="G1704" s="122">
        <v>126</v>
      </c>
      <c r="H1704" s="122">
        <v>163</v>
      </c>
      <c r="I1704" s="122">
        <v>11204</v>
      </c>
      <c r="J1704" s="122">
        <v>10186</v>
      </c>
      <c r="K1704" s="122">
        <v>90</v>
      </c>
      <c r="L1704" s="122">
        <v>3735</v>
      </c>
      <c r="M1704" s="122">
        <v>3395</v>
      </c>
      <c r="N1704" s="122">
        <v>1626</v>
      </c>
      <c r="O1704" s="122">
        <v>602</v>
      </c>
      <c r="P1704" s="122">
        <v>473</v>
      </c>
      <c r="Q1704" s="122">
        <v>175</v>
      </c>
      <c r="R1704" s="122">
        <v>3442</v>
      </c>
      <c r="S1704" s="122">
        <v>2868</v>
      </c>
      <c r="T1704" s="122">
        <v>0</v>
      </c>
      <c r="U1704" s="122">
        <v>0</v>
      </c>
      <c r="V1704" s="122">
        <v>17226</v>
      </c>
      <c r="W1704" s="122">
        <f t="shared" si="52"/>
        <v>17226</v>
      </c>
      <c r="X1704" s="122">
        <f t="shared" si="53"/>
        <v>20480</v>
      </c>
      <c r="AA1704" t="s">
        <v>62</v>
      </c>
      <c r="AB1704" t="s">
        <v>579</v>
      </c>
      <c r="AC1704" t="s">
        <v>580</v>
      </c>
      <c r="AD1704" t="s">
        <v>579</v>
      </c>
      <c r="AE1704" t="s">
        <v>137</v>
      </c>
      <c r="AF1704">
        <v>22</v>
      </c>
      <c r="AG1704" s="122">
        <v>1951</v>
      </c>
      <c r="AH1704" s="122">
        <v>8994</v>
      </c>
      <c r="AI1704" s="122">
        <v>509429</v>
      </c>
      <c r="AJ1704" s="122">
        <v>424524</v>
      </c>
      <c r="AK1704">
        <v>58</v>
      </c>
      <c r="AL1704" s="122">
        <v>43694</v>
      </c>
      <c r="AM1704" s="122">
        <v>39722</v>
      </c>
      <c r="AN1704" s="122">
        <v>41274</v>
      </c>
      <c r="AO1704" s="122">
        <v>15287</v>
      </c>
      <c r="AP1704" s="122">
        <v>14850</v>
      </c>
      <c r="AQ1704" s="122">
        <v>5500</v>
      </c>
      <c r="AR1704" s="122">
        <v>129754</v>
      </c>
      <c r="AS1704" s="122">
        <v>108128</v>
      </c>
      <c r="AT1704" s="122">
        <v>57599</v>
      </c>
      <c r="AU1704" s="122">
        <v>21333</v>
      </c>
      <c r="AV1704" s="122">
        <v>614494</v>
      </c>
    </row>
    <row r="1705" spans="2:48" hidden="1">
      <c r="B1705" t="s">
        <v>376</v>
      </c>
      <c r="C1705" t="s">
        <v>56</v>
      </c>
      <c r="D1705" t="s">
        <v>426</v>
      </c>
      <c r="E1705" t="s">
        <v>426</v>
      </c>
      <c r="F1705" s="122">
        <v>3</v>
      </c>
      <c r="G1705" s="122">
        <v>272</v>
      </c>
      <c r="H1705" s="122">
        <v>644</v>
      </c>
      <c r="I1705" s="122">
        <v>31669</v>
      </c>
      <c r="J1705" s="122">
        <v>28790</v>
      </c>
      <c r="K1705" s="122">
        <v>65</v>
      </c>
      <c r="L1705" s="122">
        <v>2586</v>
      </c>
      <c r="M1705" s="122">
        <v>2351</v>
      </c>
      <c r="N1705" s="122">
        <v>5207</v>
      </c>
      <c r="O1705" s="122">
        <v>1928</v>
      </c>
      <c r="P1705" s="122">
        <v>1053</v>
      </c>
      <c r="Q1705" s="122">
        <v>390</v>
      </c>
      <c r="R1705" s="122">
        <v>11939</v>
      </c>
      <c r="S1705" s="122">
        <v>10853</v>
      </c>
      <c r="T1705" s="122">
        <v>5462</v>
      </c>
      <c r="U1705" s="122">
        <v>2023</v>
      </c>
      <c r="V1705" s="122">
        <v>46336</v>
      </c>
      <c r="W1705" s="122">
        <f t="shared" si="52"/>
        <v>46335</v>
      </c>
      <c r="X1705" s="122">
        <f t="shared" si="53"/>
        <v>57916</v>
      </c>
      <c r="AA1705" t="s">
        <v>62</v>
      </c>
      <c r="AB1705" t="s">
        <v>579</v>
      </c>
      <c r="AC1705" t="s">
        <v>580</v>
      </c>
      <c r="AD1705" t="s">
        <v>579</v>
      </c>
      <c r="AE1705" t="s">
        <v>566</v>
      </c>
      <c r="AF1705">
        <v>2</v>
      </c>
      <c r="AG1705">
        <v>174</v>
      </c>
      <c r="AH1705">
        <v>833</v>
      </c>
      <c r="AI1705" s="122">
        <v>48352</v>
      </c>
      <c r="AJ1705" s="122">
        <v>40294</v>
      </c>
      <c r="AK1705">
        <v>55</v>
      </c>
      <c r="AL1705" s="122">
        <v>4167</v>
      </c>
      <c r="AM1705" s="122">
        <v>3788</v>
      </c>
      <c r="AN1705" s="122">
        <v>3296</v>
      </c>
      <c r="AO1705" s="122">
        <v>1221</v>
      </c>
      <c r="AP1705" s="122">
        <v>1242</v>
      </c>
      <c r="AQ1705">
        <v>460</v>
      </c>
      <c r="AR1705" s="122">
        <v>15380</v>
      </c>
      <c r="AS1705" s="122">
        <v>12817</v>
      </c>
      <c r="AT1705">
        <v>0</v>
      </c>
      <c r="AU1705">
        <v>0</v>
      </c>
      <c r="AV1705" s="122">
        <v>58579</v>
      </c>
    </row>
    <row r="1706" spans="2:48" hidden="1">
      <c r="B1706" t="s">
        <v>376</v>
      </c>
      <c r="C1706" t="s">
        <v>56</v>
      </c>
      <c r="D1706" t="s">
        <v>408</v>
      </c>
      <c r="E1706" t="s">
        <v>408</v>
      </c>
      <c r="F1706" s="122">
        <v>1</v>
      </c>
      <c r="G1706" s="122">
        <v>147</v>
      </c>
      <c r="H1706" s="122">
        <v>203</v>
      </c>
      <c r="I1706" s="122">
        <v>24165</v>
      </c>
      <c r="J1706" s="122">
        <v>21969</v>
      </c>
      <c r="K1706" s="122">
        <v>65</v>
      </c>
      <c r="L1706" s="122">
        <v>5818</v>
      </c>
      <c r="M1706" s="122">
        <v>5289</v>
      </c>
      <c r="N1706" s="122">
        <v>3255</v>
      </c>
      <c r="O1706" s="122">
        <v>1206</v>
      </c>
      <c r="P1706" s="122">
        <v>351</v>
      </c>
      <c r="Q1706" s="122">
        <v>130</v>
      </c>
      <c r="R1706" s="122">
        <v>8072</v>
      </c>
      <c r="S1706" s="122">
        <v>7338</v>
      </c>
      <c r="T1706" s="122">
        <v>0</v>
      </c>
      <c r="U1706" s="122">
        <v>0</v>
      </c>
      <c r="V1706" s="122">
        <v>35931</v>
      </c>
      <c r="W1706" s="122">
        <f t="shared" si="52"/>
        <v>35932</v>
      </c>
      <c r="X1706" s="122">
        <f t="shared" si="53"/>
        <v>41661</v>
      </c>
      <c r="AA1706" t="s">
        <v>62</v>
      </c>
      <c r="AB1706" t="s">
        <v>579</v>
      </c>
      <c r="AC1706" t="s">
        <v>407</v>
      </c>
      <c r="AD1706" t="s">
        <v>579</v>
      </c>
      <c r="AE1706" t="s">
        <v>566</v>
      </c>
      <c r="AF1706">
        <v>1</v>
      </c>
      <c r="AG1706">
        <v>166</v>
      </c>
      <c r="AH1706">
        <v>397</v>
      </c>
      <c r="AI1706" s="122">
        <v>48943</v>
      </c>
      <c r="AJ1706" s="122">
        <v>40786</v>
      </c>
      <c r="AK1706">
        <v>65</v>
      </c>
      <c r="AL1706" s="122">
        <v>3557</v>
      </c>
      <c r="AM1706" s="122">
        <v>3233</v>
      </c>
      <c r="AN1706" s="122">
        <v>3257</v>
      </c>
      <c r="AO1706" s="122">
        <v>1206</v>
      </c>
      <c r="AP1706">
        <v>351</v>
      </c>
      <c r="AQ1706">
        <v>130</v>
      </c>
      <c r="AR1706" s="122">
        <v>9786</v>
      </c>
      <c r="AS1706" s="122">
        <v>8155</v>
      </c>
      <c r="AT1706">
        <v>0</v>
      </c>
      <c r="AU1706">
        <v>0</v>
      </c>
      <c r="AV1706" s="122">
        <v>53511</v>
      </c>
    </row>
    <row r="1707" spans="2:48" hidden="1">
      <c r="B1707" t="s">
        <v>376</v>
      </c>
      <c r="C1707" t="s">
        <v>58</v>
      </c>
      <c r="F1707" s="122">
        <v>6</v>
      </c>
      <c r="G1707" s="122">
        <v>428</v>
      </c>
      <c r="H1707" s="122">
        <v>1543</v>
      </c>
      <c r="I1707" s="122"/>
      <c r="J1707" s="122">
        <v>0</v>
      </c>
      <c r="K1707" s="122"/>
      <c r="L1707" s="122"/>
      <c r="M1707" s="122">
        <v>0</v>
      </c>
      <c r="N1707" s="122">
        <v>8939</v>
      </c>
      <c r="O1707" s="122">
        <v>3311</v>
      </c>
      <c r="P1707" s="122">
        <v>1863</v>
      </c>
      <c r="Q1707" s="122">
        <v>690</v>
      </c>
      <c r="R1707" s="122"/>
      <c r="S1707" s="122">
        <v>0</v>
      </c>
      <c r="T1707" s="122">
        <v>7059</v>
      </c>
      <c r="U1707" s="122">
        <v>2615</v>
      </c>
      <c r="V1707" s="122">
        <v>6615</v>
      </c>
      <c r="W1707" s="122">
        <f t="shared" ref="W1707:W1770" si="54">SUM(ABS(J1707),ABS(M1707),ABS(O1707),ABS(Q1707),ABS(S1707),ABS(U1707))</f>
        <v>6616</v>
      </c>
      <c r="X1707" s="122">
        <f t="shared" ref="X1707:X1770" si="55">SUM(ABS(I1707),ABS(N1707),ABS(P1707),ABS(R1707),ABS(T1707),ABS(L1707))</f>
        <v>17861</v>
      </c>
      <c r="AA1707" t="s">
        <v>62</v>
      </c>
      <c r="AB1707" t="s">
        <v>579</v>
      </c>
      <c r="AC1707" t="s">
        <v>579</v>
      </c>
      <c r="AD1707" t="s">
        <v>137</v>
      </c>
      <c r="AE1707" t="s">
        <v>137</v>
      </c>
      <c r="AF1707">
        <v>2</v>
      </c>
      <c r="AG1707">
        <v>189</v>
      </c>
      <c r="AH1707">
        <v>814</v>
      </c>
      <c r="AI1707" s="122">
        <v>53549</v>
      </c>
      <c r="AJ1707" s="122">
        <v>44624</v>
      </c>
      <c r="AK1707">
        <v>55</v>
      </c>
      <c r="AL1707" s="122">
        <v>6220</v>
      </c>
      <c r="AM1707" s="122">
        <v>5183</v>
      </c>
      <c r="AN1707" s="122">
        <v>3450</v>
      </c>
      <c r="AO1707" s="122">
        <v>1278</v>
      </c>
      <c r="AP1707">
        <v>702</v>
      </c>
      <c r="AQ1707">
        <v>260</v>
      </c>
      <c r="AR1707" s="122">
        <v>12641</v>
      </c>
      <c r="AS1707" s="122">
        <v>4682</v>
      </c>
      <c r="AT1707">
        <v>0</v>
      </c>
      <c r="AU1707">
        <v>0</v>
      </c>
      <c r="AV1707" s="122">
        <v>56027</v>
      </c>
    </row>
    <row r="1708" spans="2:48" hidden="1">
      <c r="B1708" t="s">
        <v>376</v>
      </c>
      <c r="C1708" t="s">
        <v>58</v>
      </c>
      <c r="D1708" t="s">
        <v>405</v>
      </c>
      <c r="E1708" t="s">
        <v>405</v>
      </c>
      <c r="F1708" s="122">
        <v>5</v>
      </c>
      <c r="G1708" s="122">
        <v>496</v>
      </c>
      <c r="H1708" s="122">
        <v>1358</v>
      </c>
      <c r="I1708" s="122">
        <v>73656</v>
      </c>
      <c r="J1708" s="122">
        <v>66960</v>
      </c>
      <c r="K1708" s="122">
        <v>77</v>
      </c>
      <c r="L1708" s="122">
        <v>20209</v>
      </c>
      <c r="M1708" s="122">
        <v>16214</v>
      </c>
      <c r="N1708" s="122">
        <v>9983</v>
      </c>
      <c r="O1708" s="122">
        <v>3697</v>
      </c>
      <c r="P1708" s="122">
        <v>1890</v>
      </c>
      <c r="Q1708" s="122">
        <v>700</v>
      </c>
      <c r="R1708" s="122">
        <v>24245</v>
      </c>
      <c r="S1708" s="122">
        <v>22041</v>
      </c>
      <c r="T1708" s="122">
        <v>11823</v>
      </c>
      <c r="U1708" s="122">
        <v>4379</v>
      </c>
      <c r="V1708" s="122">
        <v>113991</v>
      </c>
      <c r="W1708" s="122">
        <f t="shared" si="54"/>
        <v>113991</v>
      </c>
      <c r="X1708" s="122">
        <f t="shared" si="55"/>
        <v>141806</v>
      </c>
      <c r="AA1708" t="s">
        <v>62</v>
      </c>
      <c r="AB1708" t="s">
        <v>579</v>
      </c>
      <c r="AC1708" t="s">
        <v>579</v>
      </c>
      <c r="AD1708" t="s">
        <v>137</v>
      </c>
      <c r="AE1708" t="s">
        <v>566</v>
      </c>
      <c r="AF1708">
        <v>7</v>
      </c>
      <c r="AG1708">
        <v>481</v>
      </c>
      <c r="AH1708" s="122">
        <v>3005</v>
      </c>
      <c r="AI1708" s="122">
        <v>131997</v>
      </c>
      <c r="AJ1708" s="122">
        <v>109998</v>
      </c>
      <c r="AK1708">
        <v>61</v>
      </c>
      <c r="AL1708" s="122">
        <v>25320</v>
      </c>
      <c r="AM1708" s="122">
        <v>21100</v>
      </c>
      <c r="AN1708" s="122">
        <v>9155</v>
      </c>
      <c r="AO1708" s="122">
        <v>3391</v>
      </c>
      <c r="AP1708" s="122">
        <v>1404</v>
      </c>
      <c r="AQ1708">
        <v>520</v>
      </c>
      <c r="AR1708" s="122">
        <v>46511</v>
      </c>
      <c r="AS1708" s="122">
        <v>17226</v>
      </c>
      <c r="AT1708">
        <v>0</v>
      </c>
      <c r="AU1708">
        <v>0</v>
      </c>
      <c r="AV1708" s="122">
        <v>152235</v>
      </c>
    </row>
    <row r="1709" spans="2:48" hidden="1">
      <c r="B1709" t="s">
        <v>376</v>
      </c>
      <c r="C1709" t="s">
        <v>58</v>
      </c>
      <c r="D1709" t="s">
        <v>137</v>
      </c>
      <c r="E1709" t="s">
        <v>137</v>
      </c>
      <c r="F1709" s="122">
        <v>28</v>
      </c>
      <c r="G1709" s="122">
        <v>2518</v>
      </c>
      <c r="H1709" s="122">
        <v>7221</v>
      </c>
      <c r="I1709" s="122">
        <v>340537</v>
      </c>
      <c r="J1709" s="122">
        <v>126125</v>
      </c>
      <c r="K1709" s="122">
        <v>100</v>
      </c>
      <c r="L1709" s="122">
        <v>60834</v>
      </c>
      <c r="M1709" s="122">
        <v>44606</v>
      </c>
      <c r="N1709" s="122">
        <v>54292</v>
      </c>
      <c r="O1709" s="122">
        <v>20108</v>
      </c>
      <c r="P1709" s="122">
        <v>0</v>
      </c>
      <c r="Q1709" s="122">
        <v>0</v>
      </c>
      <c r="R1709" s="122">
        <v>188636</v>
      </c>
      <c r="S1709" s="122">
        <v>69865</v>
      </c>
      <c r="T1709" s="122">
        <v>0</v>
      </c>
      <c r="U1709" s="122">
        <v>0</v>
      </c>
      <c r="V1709" s="122">
        <v>260704</v>
      </c>
      <c r="W1709" s="122">
        <f t="shared" si="54"/>
        <v>260704</v>
      </c>
      <c r="X1709" s="122">
        <f t="shared" si="55"/>
        <v>644299</v>
      </c>
      <c r="AA1709" t="s">
        <v>62</v>
      </c>
      <c r="AB1709" t="s">
        <v>579</v>
      </c>
      <c r="AC1709" t="s">
        <v>579</v>
      </c>
      <c r="AD1709" t="s">
        <v>579</v>
      </c>
      <c r="AE1709" t="s">
        <v>137</v>
      </c>
      <c r="AF1709">
        <v>418</v>
      </c>
      <c r="AG1709" s="122">
        <v>34847</v>
      </c>
      <c r="AH1709" s="122">
        <v>169928</v>
      </c>
      <c r="AI1709" s="122">
        <v>8266716</v>
      </c>
      <c r="AJ1709" s="122">
        <v>6888930</v>
      </c>
      <c r="AK1709">
        <v>48</v>
      </c>
      <c r="AL1709" s="122">
        <v>1378222</v>
      </c>
      <c r="AM1709" s="122">
        <v>1148519</v>
      </c>
      <c r="AN1709" s="122">
        <v>684243</v>
      </c>
      <c r="AO1709" s="122">
        <v>253423</v>
      </c>
      <c r="AP1709" s="122">
        <v>146313</v>
      </c>
      <c r="AQ1709" s="122">
        <v>54190</v>
      </c>
      <c r="AR1709" s="122">
        <v>2740957</v>
      </c>
      <c r="AS1709" s="122">
        <v>2284131</v>
      </c>
      <c r="AT1709" s="122">
        <v>962849</v>
      </c>
      <c r="AU1709" s="122">
        <v>356611</v>
      </c>
      <c r="AV1709" s="122">
        <v>10985803</v>
      </c>
    </row>
    <row r="1710" spans="2:48" hidden="1">
      <c r="B1710" t="s">
        <v>376</v>
      </c>
      <c r="C1710" t="s">
        <v>58</v>
      </c>
      <c r="D1710" t="s">
        <v>406</v>
      </c>
      <c r="E1710" t="s">
        <v>425</v>
      </c>
      <c r="F1710" s="122">
        <v>3</v>
      </c>
      <c r="G1710" s="122">
        <v>322</v>
      </c>
      <c r="H1710" s="122">
        <v>759</v>
      </c>
      <c r="I1710" s="122">
        <v>41786</v>
      </c>
      <c r="J1710" s="122">
        <v>37987</v>
      </c>
      <c r="K1710" s="122">
        <v>76</v>
      </c>
      <c r="L1710" s="122">
        <v>10000</v>
      </c>
      <c r="M1710" s="122">
        <v>8754</v>
      </c>
      <c r="N1710" s="122">
        <v>7119</v>
      </c>
      <c r="O1710" s="122">
        <v>2637</v>
      </c>
      <c r="P1710" s="122">
        <v>1593</v>
      </c>
      <c r="Q1710" s="122">
        <v>590</v>
      </c>
      <c r="R1710" s="122">
        <v>14042</v>
      </c>
      <c r="S1710" s="122">
        <v>12765</v>
      </c>
      <c r="T1710" s="122">
        <v>5585</v>
      </c>
      <c r="U1710" s="122">
        <v>2069</v>
      </c>
      <c r="V1710" s="122">
        <v>64802</v>
      </c>
      <c r="W1710" s="122">
        <f t="shared" si="54"/>
        <v>64802</v>
      </c>
      <c r="X1710" s="122">
        <f t="shared" si="55"/>
        <v>80125</v>
      </c>
      <c r="AA1710" t="s">
        <v>62</v>
      </c>
      <c r="AB1710" t="s">
        <v>579</v>
      </c>
      <c r="AC1710" t="s">
        <v>579</v>
      </c>
      <c r="AD1710" t="s">
        <v>579</v>
      </c>
      <c r="AE1710" t="s">
        <v>566</v>
      </c>
      <c r="AF1710">
        <v>46</v>
      </c>
      <c r="AG1710" s="122">
        <v>3713</v>
      </c>
      <c r="AH1710" s="122">
        <v>18825</v>
      </c>
      <c r="AI1710" s="122">
        <v>855010</v>
      </c>
      <c r="AJ1710" s="122">
        <v>712508</v>
      </c>
      <c r="AK1710">
        <v>47</v>
      </c>
      <c r="AL1710" s="122">
        <v>146199</v>
      </c>
      <c r="AM1710" s="122">
        <v>121833</v>
      </c>
      <c r="AN1710" s="122">
        <v>68045</v>
      </c>
      <c r="AO1710" s="122">
        <v>25202</v>
      </c>
      <c r="AP1710" s="122">
        <v>15444</v>
      </c>
      <c r="AQ1710" s="122">
        <v>5720</v>
      </c>
      <c r="AR1710" s="122">
        <v>433691</v>
      </c>
      <c r="AS1710" s="122">
        <v>361409</v>
      </c>
      <c r="AT1710">
        <v>0</v>
      </c>
      <c r="AU1710">
        <v>0</v>
      </c>
      <c r="AV1710" s="122">
        <v>1226672</v>
      </c>
    </row>
    <row r="1711" spans="2:48" hidden="1">
      <c r="B1711" t="s">
        <v>376</v>
      </c>
      <c r="C1711" t="s">
        <v>58</v>
      </c>
      <c r="D1711" t="s">
        <v>406</v>
      </c>
      <c r="E1711" t="s">
        <v>137</v>
      </c>
      <c r="F1711" s="122">
        <v>4</v>
      </c>
      <c r="G1711" s="122">
        <v>297</v>
      </c>
      <c r="H1711" s="122">
        <v>1079</v>
      </c>
      <c r="I1711" s="122">
        <v>38855</v>
      </c>
      <c r="J1711" s="122">
        <v>35323</v>
      </c>
      <c r="K1711" s="122">
        <v>85</v>
      </c>
      <c r="L1711" s="122">
        <v>9736</v>
      </c>
      <c r="M1711" s="122">
        <v>8113</v>
      </c>
      <c r="N1711" s="122">
        <v>6629</v>
      </c>
      <c r="O1711" s="122">
        <v>2455</v>
      </c>
      <c r="P1711" s="122">
        <v>2484</v>
      </c>
      <c r="Q1711" s="122">
        <v>920</v>
      </c>
      <c r="R1711" s="122">
        <v>22929</v>
      </c>
      <c r="S1711" s="122">
        <v>8492</v>
      </c>
      <c r="T1711" s="122">
        <v>0</v>
      </c>
      <c r="U1711" s="122">
        <v>0</v>
      </c>
      <c r="V1711" s="122">
        <v>55303</v>
      </c>
      <c r="W1711" s="122">
        <f t="shared" si="54"/>
        <v>55303</v>
      </c>
      <c r="X1711" s="122">
        <f t="shared" si="55"/>
        <v>80633</v>
      </c>
      <c r="AA1711" t="s">
        <v>62</v>
      </c>
      <c r="AB1711" t="s">
        <v>579</v>
      </c>
      <c r="AC1711" t="s">
        <v>579</v>
      </c>
      <c r="AD1711" t="s">
        <v>428</v>
      </c>
      <c r="AE1711" t="s">
        <v>137</v>
      </c>
      <c r="AF1711">
        <v>1</v>
      </c>
      <c r="AG1711">
        <v>104</v>
      </c>
      <c r="AH1711">
        <v>403</v>
      </c>
      <c r="AI1711" s="122">
        <v>24702</v>
      </c>
      <c r="AJ1711" s="122">
        <v>20585</v>
      </c>
      <c r="AK1711">
        <v>45</v>
      </c>
      <c r="AL1711" s="122">
        <v>4117</v>
      </c>
      <c r="AM1711" s="122">
        <v>3431</v>
      </c>
      <c r="AN1711" s="122">
        <v>1723</v>
      </c>
      <c r="AO1711">
        <v>638</v>
      </c>
      <c r="AP1711">
        <v>351</v>
      </c>
      <c r="AQ1711">
        <v>130</v>
      </c>
      <c r="AR1711" s="122">
        <v>7864</v>
      </c>
      <c r="AS1711" s="122">
        <v>7149</v>
      </c>
      <c r="AT1711" s="122">
        <v>3191</v>
      </c>
      <c r="AU1711" s="122">
        <v>1182</v>
      </c>
      <c r="AV1711" s="122">
        <v>33115</v>
      </c>
    </row>
    <row r="1712" spans="2:48" hidden="1">
      <c r="B1712" t="s">
        <v>376</v>
      </c>
      <c r="C1712" t="s">
        <v>58</v>
      </c>
      <c r="D1712" t="s">
        <v>406</v>
      </c>
      <c r="E1712" t="s">
        <v>406</v>
      </c>
      <c r="F1712" s="122">
        <v>1068</v>
      </c>
      <c r="G1712" s="122">
        <v>103250</v>
      </c>
      <c r="H1712" s="122">
        <v>278126</v>
      </c>
      <c r="I1712" s="122">
        <v>14202091</v>
      </c>
      <c r="J1712" s="122">
        <v>12910992</v>
      </c>
      <c r="K1712" s="122">
        <v>80</v>
      </c>
      <c r="L1712" s="122">
        <v>3232807</v>
      </c>
      <c r="M1712" s="122">
        <v>2655072</v>
      </c>
      <c r="N1712" s="122">
        <v>2076374</v>
      </c>
      <c r="O1712" s="122">
        <v>769028</v>
      </c>
      <c r="P1712" s="122">
        <v>673421</v>
      </c>
      <c r="Q1712" s="122">
        <v>249415</v>
      </c>
      <c r="R1712" s="122">
        <v>4888997</v>
      </c>
      <c r="S1712" s="122">
        <v>4444543</v>
      </c>
      <c r="T1712" s="122">
        <v>1975296</v>
      </c>
      <c r="U1712" s="122">
        <v>731591</v>
      </c>
      <c r="V1712" s="122">
        <v>21760640</v>
      </c>
      <c r="W1712" s="122">
        <f t="shared" si="54"/>
        <v>21760641</v>
      </c>
      <c r="X1712" s="122">
        <f t="shared" si="55"/>
        <v>27048986</v>
      </c>
      <c r="AA1712" t="s">
        <v>62</v>
      </c>
      <c r="AB1712" t="s">
        <v>579</v>
      </c>
      <c r="AC1712" t="s">
        <v>579</v>
      </c>
      <c r="AD1712" t="s">
        <v>431</v>
      </c>
      <c r="AE1712" t="s">
        <v>137</v>
      </c>
      <c r="AF1712">
        <v>1</v>
      </c>
      <c r="AG1712">
        <v>79</v>
      </c>
      <c r="AH1712">
        <v>404</v>
      </c>
      <c r="AI1712" s="122">
        <v>19871</v>
      </c>
      <c r="AJ1712" s="122">
        <v>16559</v>
      </c>
      <c r="AK1712">
        <v>65</v>
      </c>
      <c r="AL1712" s="122">
        <v>4784</v>
      </c>
      <c r="AM1712" s="122">
        <v>3986</v>
      </c>
      <c r="AN1712" s="122">
        <v>1648</v>
      </c>
      <c r="AO1712">
        <v>610</v>
      </c>
      <c r="AP1712">
        <v>351</v>
      </c>
      <c r="AQ1712">
        <v>130</v>
      </c>
      <c r="AR1712" s="122">
        <v>3557</v>
      </c>
      <c r="AS1712" s="122">
        <v>3234</v>
      </c>
      <c r="AT1712" s="122">
        <v>1708</v>
      </c>
      <c r="AU1712">
        <v>633</v>
      </c>
      <c r="AV1712" s="122">
        <v>25152</v>
      </c>
    </row>
    <row r="1713" spans="2:48" hidden="1">
      <c r="B1713" t="s">
        <v>376</v>
      </c>
      <c r="C1713" t="s">
        <v>58</v>
      </c>
      <c r="D1713" t="s">
        <v>427</v>
      </c>
      <c r="E1713" t="s">
        <v>427</v>
      </c>
      <c r="F1713" s="122">
        <v>24</v>
      </c>
      <c r="G1713" s="122">
        <v>1906</v>
      </c>
      <c r="H1713" s="122">
        <v>6814</v>
      </c>
      <c r="I1713" s="122">
        <v>262314</v>
      </c>
      <c r="J1713" s="122">
        <v>238467</v>
      </c>
      <c r="K1713" s="122">
        <v>56</v>
      </c>
      <c r="L1713" s="122">
        <v>50940</v>
      </c>
      <c r="M1713" s="122">
        <v>46309</v>
      </c>
      <c r="N1713" s="122">
        <v>39549</v>
      </c>
      <c r="O1713" s="122">
        <v>14648</v>
      </c>
      <c r="P1713" s="122">
        <v>8073</v>
      </c>
      <c r="Q1713" s="122">
        <v>2990</v>
      </c>
      <c r="R1713" s="122">
        <v>128921</v>
      </c>
      <c r="S1713" s="122">
        <v>117201</v>
      </c>
      <c r="T1713" s="122">
        <v>50841</v>
      </c>
      <c r="U1713" s="122">
        <v>18830</v>
      </c>
      <c r="V1713" s="122">
        <v>438446</v>
      </c>
      <c r="W1713" s="122">
        <f t="shared" si="54"/>
        <v>438445</v>
      </c>
      <c r="X1713" s="122">
        <f t="shared" si="55"/>
        <v>540638</v>
      </c>
      <c r="AA1713" t="s">
        <v>62</v>
      </c>
      <c r="AB1713" t="s">
        <v>579</v>
      </c>
      <c r="AC1713" t="s">
        <v>426</v>
      </c>
      <c r="AD1713" t="s">
        <v>579</v>
      </c>
      <c r="AE1713" t="s">
        <v>137</v>
      </c>
      <c r="AF1713">
        <v>5</v>
      </c>
      <c r="AG1713">
        <v>298</v>
      </c>
      <c r="AH1713" s="122">
        <v>1998</v>
      </c>
      <c r="AI1713" s="122">
        <v>62957</v>
      </c>
      <c r="AJ1713" s="122">
        <v>52464</v>
      </c>
      <c r="AK1713">
        <v>64</v>
      </c>
      <c r="AL1713" s="122">
        <v>13071</v>
      </c>
      <c r="AM1713" s="122">
        <v>11883</v>
      </c>
      <c r="AN1713" s="122">
        <v>5460</v>
      </c>
      <c r="AO1713" s="122">
        <v>2022</v>
      </c>
      <c r="AP1713" s="122">
        <v>1755</v>
      </c>
      <c r="AQ1713">
        <v>650</v>
      </c>
      <c r="AR1713" s="122">
        <v>24474</v>
      </c>
      <c r="AS1713" s="122">
        <v>20395</v>
      </c>
      <c r="AT1713" s="122">
        <v>11884</v>
      </c>
      <c r="AU1713" s="122">
        <v>4402</v>
      </c>
      <c r="AV1713" s="122">
        <v>91816</v>
      </c>
    </row>
    <row r="1714" spans="2:48" hidden="1">
      <c r="B1714" t="s">
        <v>376</v>
      </c>
      <c r="C1714" t="s">
        <v>58</v>
      </c>
      <c r="D1714" t="s">
        <v>407</v>
      </c>
      <c r="E1714" t="s">
        <v>137</v>
      </c>
      <c r="F1714" s="122">
        <v>3</v>
      </c>
      <c r="G1714" s="122">
        <v>273</v>
      </c>
      <c r="H1714" s="122">
        <v>702</v>
      </c>
      <c r="I1714" s="122">
        <v>27862</v>
      </c>
      <c r="J1714" s="122">
        <v>25329</v>
      </c>
      <c r="K1714" s="122">
        <v>76</v>
      </c>
      <c r="L1714" s="122">
        <v>8063</v>
      </c>
      <c r="M1714" s="122">
        <v>7126</v>
      </c>
      <c r="N1714" s="122">
        <v>6324</v>
      </c>
      <c r="O1714" s="122">
        <v>2342</v>
      </c>
      <c r="P1714" s="122">
        <v>1418</v>
      </c>
      <c r="Q1714" s="122">
        <v>525</v>
      </c>
      <c r="R1714" s="122">
        <v>17699</v>
      </c>
      <c r="S1714" s="122">
        <v>6555</v>
      </c>
      <c r="T1714" s="122">
        <v>2501</v>
      </c>
      <c r="U1714" s="122">
        <v>926</v>
      </c>
      <c r="V1714" s="122">
        <v>42804</v>
      </c>
      <c r="W1714" s="122">
        <f t="shared" si="54"/>
        <v>42803</v>
      </c>
      <c r="X1714" s="122">
        <f t="shared" si="55"/>
        <v>63867</v>
      </c>
      <c r="AA1714" t="s">
        <v>62</v>
      </c>
      <c r="AB1714" t="s">
        <v>579</v>
      </c>
      <c r="AC1714" t="s">
        <v>566</v>
      </c>
      <c r="AD1714" t="s">
        <v>137</v>
      </c>
      <c r="AE1714" t="s">
        <v>137</v>
      </c>
      <c r="AF1714">
        <v>2</v>
      </c>
      <c r="AG1714">
        <v>106</v>
      </c>
      <c r="AH1714">
        <v>766</v>
      </c>
      <c r="AI1714" s="122">
        <v>15739</v>
      </c>
      <c r="AJ1714" s="122">
        <v>13116</v>
      </c>
      <c r="AK1714">
        <v>65</v>
      </c>
      <c r="AL1714">
        <v>0</v>
      </c>
      <c r="AM1714">
        <v>0</v>
      </c>
      <c r="AN1714" s="122">
        <v>2583</v>
      </c>
      <c r="AO1714">
        <v>957</v>
      </c>
      <c r="AP1714">
        <v>702</v>
      </c>
      <c r="AQ1714">
        <v>260</v>
      </c>
      <c r="AR1714" s="122">
        <v>17973</v>
      </c>
      <c r="AS1714" s="122">
        <v>6657</v>
      </c>
      <c r="AT1714" s="122">
        <v>3580</v>
      </c>
      <c r="AU1714" s="122">
        <v>1326</v>
      </c>
      <c r="AV1714" s="122">
        <v>22315</v>
      </c>
    </row>
    <row r="1715" spans="2:48" hidden="1">
      <c r="B1715" t="s">
        <v>376</v>
      </c>
      <c r="C1715" t="s">
        <v>58</v>
      </c>
      <c r="D1715" t="s">
        <v>407</v>
      </c>
      <c r="E1715" t="s">
        <v>406</v>
      </c>
      <c r="F1715" s="122">
        <v>2</v>
      </c>
      <c r="G1715" s="122">
        <v>154</v>
      </c>
      <c r="H1715" s="122">
        <v>471</v>
      </c>
      <c r="I1715" s="122">
        <v>15274</v>
      </c>
      <c r="J1715" s="122">
        <v>13886</v>
      </c>
      <c r="K1715" s="122">
        <v>75</v>
      </c>
      <c r="L1715" s="122">
        <v>4372</v>
      </c>
      <c r="M1715" s="122">
        <v>3644</v>
      </c>
      <c r="N1715" s="122">
        <v>3154</v>
      </c>
      <c r="O1715" s="122">
        <v>1168</v>
      </c>
      <c r="P1715" s="122">
        <v>945</v>
      </c>
      <c r="Q1715" s="122">
        <v>350</v>
      </c>
      <c r="R1715" s="122">
        <v>10383</v>
      </c>
      <c r="S1715" s="122">
        <v>9439</v>
      </c>
      <c r="T1715" s="122">
        <v>2181</v>
      </c>
      <c r="U1715" s="122">
        <v>808</v>
      </c>
      <c r="V1715" s="122">
        <v>29295</v>
      </c>
      <c r="W1715" s="122">
        <f t="shared" si="54"/>
        <v>29295</v>
      </c>
      <c r="X1715" s="122">
        <f t="shared" si="55"/>
        <v>36309</v>
      </c>
      <c r="AA1715" t="s">
        <v>62</v>
      </c>
      <c r="AB1715" t="s">
        <v>579</v>
      </c>
      <c r="AC1715" t="s">
        <v>566</v>
      </c>
      <c r="AD1715" t="s">
        <v>137</v>
      </c>
      <c r="AE1715" t="s">
        <v>566</v>
      </c>
      <c r="AF1715">
        <v>5</v>
      </c>
      <c r="AG1715">
        <v>391</v>
      </c>
      <c r="AH1715" s="122">
        <v>2144</v>
      </c>
      <c r="AI1715" s="122">
        <v>123223</v>
      </c>
      <c r="AJ1715" s="122">
        <v>102686</v>
      </c>
      <c r="AK1715">
        <v>37</v>
      </c>
      <c r="AL1715">
        <v>0</v>
      </c>
      <c r="AM1715">
        <v>0</v>
      </c>
      <c r="AN1715" s="122">
        <v>7470</v>
      </c>
      <c r="AO1715" s="122">
        <v>2767</v>
      </c>
      <c r="AP1715">
        <v>351</v>
      </c>
      <c r="AQ1715">
        <v>130</v>
      </c>
      <c r="AR1715" s="122">
        <v>36844</v>
      </c>
      <c r="AS1715" s="122">
        <v>13646</v>
      </c>
      <c r="AT1715">
        <v>0</v>
      </c>
      <c r="AU1715">
        <v>0</v>
      </c>
      <c r="AV1715" s="122">
        <v>119229</v>
      </c>
    </row>
    <row r="1716" spans="2:48" hidden="1">
      <c r="B1716" t="s">
        <v>376</v>
      </c>
      <c r="C1716" t="s">
        <v>58</v>
      </c>
      <c r="D1716" t="s">
        <v>407</v>
      </c>
      <c r="E1716" t="s">
        <v>427</v>
      </c>
      <c r="F1716" s="122">
        <v>1</v>
      </c>
      <c r="G1716" s="122">
        <v>85</v>
      </c>
      <c r="H1716" s="122">
        <v>237</v>
      </c>
      <c r="I1716" s="122">
        <v>10724</v>
      </c>
      <c r="J1716" s="122">
        <v>9749</v>
      </c>
      <c r="K1716" s="122">
        <v>77</v>
      </c>
      <c r="L1716" s="122">
        <v>1579</v>
      </c>
      <c r="M1716" s="122">
        <v>1436</v>
      </c>
      <c r="N1716" s="122">
        <v>1508</v>
      </c>
      <c r="O1716" s="122">
        <v>559</v>
      </c>
      <c r="P1716" s="122">
        <v>473</v>
      </c>
      <c r="Q1716" s="122">
        <v>175</v>
      </c>
      <c r="R1716" s="122">
        <v>5846</v>
      </c>
      <c r="S1716" s="122">
        <v>5315</v>
      </c>
      <c r="T1716" s="122">
        <v>0</v>
      </c>
      <c r="U1716" s="122">
        <v>0</v>
      </c>
      <c r="V1716" s="122">
        <v>17233</v>
      </c>
      <c r="W1716" s="122">
        <f t="shared" si="54"/>
        <v>17234</v>
      </c>
      <c r="X1716" s="122">
        <f t="shared" si="55"/>
        <v>20130</v>
      </c>
      <c r="AA1716" t="s">
        <v>62</v>
      </c>
      <c r="AB1716" t="s">
        <v>579</v>
      </c>
      <c r="AC1716" t="s">
        <v>566</v>
      </c>
      <c r="AD1716" t="s">
        <v>579</v>
      </c>
      <c r="AE1716" t="s">
        <v>137</v>
      </c>
      <c r="AF1716">
        <v>166</v>
      </c>
      <c r="AG1716" s="122">
        <v>11273</v>
      </c>
      <c r="AH1716" s="122">
        <v>68380</v>
      </c>
      <c r="AI1716" s="122">
        <v>3125954</v>
      </c>
      <c r="AJ1716" s="122">
        <v>2604962</v>
      </c>
      <c r="AK1716">
        <v>55</v>
      </c>
      <c r="AL1716">
        <v>0</v>
      </c>
      <c r="AM1716" s="122">
        <v>15583</v>
      </c>
      <c r="AN1716" s="122">
        <v>225565</v>
      </c>
      <c r="AO1716" s="122">
        <v>83543</v>
      </c>
      <c r="AP1716" s="122">
        <v>59076</v>
      </c>
      <c r="AQ1716" s="122">
        <v>21880</v>
      </c>
      <c r="AR1716" s="122">
        <v>899485</v>
      </c>
      <c r="AS1716" s="122">
        <v>749570</v>
      </c>
      <c r="AT1716" s="122">
        <v>348249</v>
      </c>
      <c r="AU1716" s="122">
        <v>128981</v>
      </c>
      <c r="AV1716" s="122">
        <v>3604519</v>
      </c>
    </row>
    <row r="1717" spans="2:48" hidden="1">
      <c r="B1717" t="s">
        <v>376</v>
      </c>
      <c r="C1717" t="s">
        <v>58</v>
      </c>
      <c r="D1717" t="s">
        <v>407</v>
      </c>
      <c r="E1717" t="s">
        <v>407</v>
      </c>
      <c r="F1717" s="122">
        <v>1444</v>
      </c>
      <c r="G1717" s="122">
        <v>123617</v>
      </c>
      <c r="H1717" s="122">
        <v>369092</v>
      </c>
      <c r="I1717" s="122">
        <v>15788644</v>
      </c>
      <c r="J1717" s="122">
        <v>14353313</v>
      </c>
      <c r="K1717" s="122">
        <v>80</v>
      </c>
      <c r="L1717" s="122">
        <v>4636133</v>
      </c>
      <c r="M1717" s="122">
        <v>3980219</v>
      </c>
      <c r="N1717" s="122">
        <v>2472013</v>
      </c>
      <c r="O1717" s="122">
        <v>915560</v>
      </c>
      <c r="P1717" s="122">
        <v>686437</v>
      </c>
      <c r="Q1717" s="122">
        <v>254236</v>
      </c>
      <c r="R1717" s="122">
        <v>6655341</v>
      </c>
      <c r="S1717" s="122">
        <v>6050310</v>
      </c>
      <c r="T1717" s="122">
        <v>1405947</v>
      </c>
      <c r="U1717" s="122">
        <v>520721</v>
      </c>
      <c r="V1717" s="122">
        <v>26074359</v>
      </c>
      <c r="W1717" s="122">
        <f t="shared" si="54"/>
        <v>26074359</v>
      </c>
      <c r="X1717" s="122">
        <f t="shared" si="55"/>
        <v>31644515</v>
      </c>
      <c r="AA1717" t="s">
        <v>62</v>
      </c>
      <c r="AB1717" t="s">
        <v>579</v>
      </c>
      <c r="AC1717" t="s">
        <v>566</v>
      </c>
      <c r="AD1717" t="s">
        <v>579</v>
      </c>
      <c r="AE1717" t="s">
        <v>566</v>
      </c>
      <c r="AF1717">
        <v>12</v>
      </c>
      <c r="AG1717">
        <v>736</v>
      </c>
      <c r="AH1717" s="122">
        <v>5038</v>
      </c>
      <c r="AI1717" s="122">
        <v>208475</v>
      </c>
      <c r="AJ1717" s="122">
        <v>173729</v>
      </c>
      <c r="AK1717">
        <v>60</v>
      </c>
      <c r="AL1717">
        <v>0</v>
      </c>
      <c r="AM1717" s="122">
        <v>4484</v>
      </c>
      <c r="AN1717" s="122">
        <v>13268</v>
      </c>
      <c r="AO1717" s="122">
        <v>4914</v>
      </c>
      <c r="AP1717" s="122">
        <v>3510</v>
      </c>
      <c r="AQ1717" s="122">
        <v>1300</v>
      </c>
      <c r="AR1717" s="122">
        <v>81961</v>
      </c>
      <c r="AS1717" s="122">
        <v>68301</v>
      </c>
      <c r="AT1717">
        <v>0</v>
      </c>
      <c r="AU1717">
        <v>0</v>
      </c>
      <c r="AV1717" s="122">
        <v>252728</v>
      </c>
    </row>
    <row r="1718" spans="2:48" hidden="1">
      <c r="B1718" t="s">
        <v>376</v>
      </c>
      <c r="C1718" t="s">
        <v>58</v>
      </c>
      <c r="D1718" t="s">
        <v>556</v>
      </c>
      <c r="E1718" t="s">
        <v>137</v>
      </c>
      <c r="F1718" s="122">
        <v>1</v>
      </c>
      <c r="G1718" s="122">
        <v>86</v>
      </c>
      <c r="H1718" s="122">
        <v>256</v>
      </c>
      <c r="I1718" s="122">
        <v>11982</v>
      </c>
      <c r="J1718" s="122">
        <v>9985</v>
      </c>
      <c r="K1718" s="122">
        <v>60</v>
      </c>
      <c r="L1718" s="122">
        <v>1797</v>
      </c>
      <c r="M1718" s="122">
        <v>666</v>
      </c>
      <c r="N1718" s="122">
        <v>1796</v>
      </c>
      <c r="O1718" s="122">
        <v>665</v>
      </c>
      <c r="P1718" s="122">
        <v>0</v>
      </c>
      <c r="Q1718" s="122">
        <v>0</v>
      </c>
      <c r="R1718" s="122">
        <v>6389</v>
      </c>
      <c r="S1718" s="122">
        <v>2366</v>
      </c>
      <c r="T1718" s="122">
        <v>0</v>
      </c>
      <c r="U1718" s="122">
        <v>0</v>
      </c>
      <c r="V1718" s="122">
        <v>13683</v>
      </c>
      <c r="W1718" s="122">
        <f t="shared" si="54"/>
        <v>13682</v>
      </c>
      <c r="X1718" s="122">
        <f t="shared" si="55"/>
        <v>21964</v>
      </c>
      <c r="AA1718" t="s">
        <v>62</v>
      </c>
      <c r="AB1718" t="s">
        <v>579</v>
      </c>
      <c r="AC1718" t="s">
        <v>433</v>
      </c>
      <c r="AD1718" t="s">
        <v>579</v>
      </c>
      <c r="AE1718" t="s">
        <v>137</v>
      </c>
      <c r="AF1718">
        <v>1</v>
      </c>
      <c r="AG1718">
        <v>80</v>
      </c>
      <c r="AH1718">
        <v>419</v>
      </c>
      <c r="AI1718" s="122">
        <v>21191</v>
      </c>
      <c r="AJ1718" s="122">
        <v>17659</v>
      </c>
      <c r="AK1718">
        <v>65</v>
      </c>
      <c r="AL1718" s="122">
        <v>4676</v>
      </c>
      <c r="AM1718" s="122">
        <v>4251</v>
      </c>
      <c r="AN1718" s="122">
        <v>1863</v>
      </c>
      <c r="AO1718">
        <v>690</v>
      </c>
      <c r="AP1718">
        <v>351</v>
      </c>
      <c r="AQ1718">
        <v>130</v>
      </c>
      <c r="AR1718" s="122">
        <v>3907</v>
      </c>
      <c r="AS1718" s="122">
        <v>3255</v>
      </c>
      <c r="AT1718" s="122">
        <v>1727</v>
      </c>
      <c r="AU1718">
        <v>640</v>
      </c>
      <c r="AV1718" s="122">
        <v>26626</v>
      </c>
    </row>
    <row r="1719" spans="2:48" hidden="1">
      <c r="B1719" t="s">
        <v>376</v>
      </c>
      <c r="C1719" t="s">
        <v>58</v>
      </c>
      <c r="D1719" t="s">
        <v>556</v>
      </c>
      <c r="E1719" t="s">
        <v>556</v>
      </c>
      <c r="F1719" s="122">
        <v>15</v>
      </c>
      <c r="G1719" s="122">
        <v>1240</v>
      </c>
      <c r="H1719" s="122">
        <v>4205</v>
      </c>
      <c r="I1719" s="122">
        <v>184411</v>
      </c>
      <c r="J1719" s="122">
        <v>153676</v>
      </c>
      <c r="K1719" s="122">
        <v>60</v>
      </c>
      <c r="L1719" s="122">
        <v>21588</v>
      </c>
      <c r="M1719" s="122">
        <v>16628</v>
      </c>
      <c r="N1719" s="122">
        <v>23500</v>
      </c>
      <c r="O1719" s="122">
        <v>8704</v>
      </c>
      <c r="P1719" s="122">
        <v>5535</v>
      </c>
      <c r="Q1719" s="122">
        <v>2050</v>
      </c>
      <c r="R1719" s="122">
        <v>84153</v>
      </c>
      <c r="S1719" s="122">
        <v>70128</v>
      </c>
      <c r="T1719" s="122">
        <v>29063</v>
      </c>
      <c r="U1719" s="122">
        <v>10764</v>
      </c>
      <c r="V1719" s="122">
        <v>261950</v>
      </c>
      <c r="W1719" s="122">
        <f t="shared" si="54"/>
        <v>261950</v>
      </c>
      <c r="X1719" s="122">
        <f t="shared" si="55"/>
        <v>348250</v>
      </c>
      <c r="AA1719" t="s">
        <v>62</v>
      </c>
      <c r="AB1719" t="s">
        <v>428</v>
      </c>
      <c r="AC1719" t="s">
        <v>137</v>
      </c>
      <c r="AD1719" t="s">
        <v>428</v>
      </c>
      <c r="AE1719" t="s">
        <v>137</v>
      </c>
      <c r="AF1719">
        <v>2</v>
      </c>
      <c r="AG1719">
        <v>97</v>
      </c>
      <c r="AH1719">
        <v>843</v>
      </c>
      <c r="AI1719" s="122">
        <v>14490</v>
      </c>
      <c r="AJ1719" s="122">
        <v>13173</v>
      </c>
      <c r="AK1719">
        <v>60</v>
      </c>
      <c r="AL1719" s="122">
        <v>5335</v>
      </c>
      <c r="AM1719" s="122">
        <v>1976</v>
      </c>
      <c r="AN1719" s="122">
        <v>2244</v>
      </c>
      <c r="AO1719">
        <v>831</v>
      </c>
      <c r="AP1719">
        <v>702</v>
      </c>
      <c r="AQ1719">
        <v>260</v>
      </c>
      <c r="AR1719" s="122">
        <v>11805</v>
      </c>
      <c r="AS1719" s="122">
        <v>10731</v>
      </c>
      <c r="AT1719" s="122">
        <v>6389</v>
      </c>
      <c r="AU1719" s="122">
        <v>2366</v>
      </c>
      <c r="AV1719" s="122">
        <v>29337</v>
      </c>
    </row>
    <row r="1720" spans="2:48" hidden="1">
      <c r="B1720" t="s">
        <v>376</v>
      </c>
      <c r="C1720" t="s">
        <v>58</v>
      </c>
      <c r="D1720" t="s">
        <v>426</v>
      </c>
      <c r="E1720" t="s">
        <v>426</v>
      </c>
      <c r="F1720" s="122">
        <v>35</v>
      </c>
      <c r="G1720" s="122">
        <v>3114</v>
      </c>
      <c r="H1720" s="122">
        <v>9360</v>
      </c>
      <c r="I1720" s="122">
        <v>424711</v>
      </c>
      <c r="J1720" s="122">
        <v>386101</v>
      </c>
      <c r="K1720" s="122">
        <v>57</v>
      </c>
      <c r="L1720" s="122">
        <v>53214</v>
      </c>
      <c r="M1720" s="122">
        <v>46341</v>
      </c>
      <c r="N1720" s="122">
        <v>60172</v>
      </c>
      <c r="O1720" s="122">
        <v>22286</v>
      </c>
      <c r="P1720" s="122">
        <v>12555</v>
      </c>
      <c r="Q1720" s="122">
        <v>4650</v>
      </c>
      <c r="R1720" s="122">
        <v>193555</v>
      </c>
      <c r="S1720" s="122">
        <v>175959</v>
      </c>
      <c r="T1720" s="122">
        <v>88355</v>
      </c>
      <c r="U1720" s="122">
        <v>32724</v>
      </c>
      <c r="V1720" s="122">
        <v>668061</v>
      </c>
      <c r="W1720" s="122">
        <f t="shared" si="54"/>
        <v>668061</v>
      </c>
      <c r="X1720" s="122">
        <f t="shared" si="55"/>
        <v>832562</v>
      </c>
      <c r="AA1720" t="s">
        <v>62</v>
      </c>
      <c r="AB1720" t="s">
        <v>428</v>
      </c>
      <c r="AC1720" t="s">
        <v>427</v>
      </c>
      <c r="AD1720" t="s">
        <v>428</v>
      </c>
      <c r="AE1720" t="s">
        <v>566</v>
      </c>
      <c r="AF1720">
        <v>1</v>
      </c>
      <c r="AG1720">
        <v>76</v>
      </c>
      <c r="AH1720">
        <v>443</v>
      </c>
      <c r="AI1720" s="122">
        <v>20854</v>
      </c>
      <c r="AJ1720" s="122">
        <v>18958</v>
      </c>
      <c r="AK1720">
        <v>45</v>
      </c>
      <c r="AL1720" s="122">
        <v>3476</v>
      </c>
      <c r="AM1720" s="122">
        <v>3160</v>
      </c>
      <c r="AN1720" s="122">
        <v>1720</v>
      </c>
      <c r="AO1720">
        <v>637</v>
      </c>
      <c r="AP1720">
        <v>351</v>
      </c>
      <c r="AQ1720">
        <v>130</v>
      </c>
      <c r="AR1720" s="122">
        <v>7419</v>
      </c>
      <c r="AS1720" s="122">
        <v>6745</v>
      </c>
      <c r="AT1720">
        <v>0</v>
      </c>
      <c r="AU1720">
        <v>0</v>
      </c>
      <c r="AV1720" s="122">
        <v>29629</v>
      </c>
    </row>
    <row r="1721" spans="2:48" hidden="1">
      <c r="B1721" t="s">
        <v>376</v>
      </c>
      <c r="C1721" t="s">
        <v>60</v>
      </c>
      <c r="D1721" t="s">
        <v>405</v>
      </c>
      <c r="E1721" t="s">
        <v>405</v>
      </c>
      <c r="F1721" s="122">
        <v>2</v>
      </c>
      <c r="G1721" s="122">
        <v>224</v>
      </c>
      <c r="H1721" s="122">
        <v>677</v>
      </c>
      <c r="I1721" s="122">
        <v>45953</v>
      </c>
      <c r="J1721" s="122">
        <v>41776</v>
      </c>
      <c r="K1721" s="122">
        <v>85</v>
      </c>
      <c r="L1721" s="122">
        <v>14361</v>
      </c>
      <c r="M1721" s="122">
        <v>13055</v>
      </c>
      <c r="N1721" s="122">
        <v>4708</v>
      </c>
      <c r="O1721" s="122">
        <v>1744</v>
      </c>
      <c r="P1721" s="122">
        <v>945</v>
      </c>
      <c r="Q1721" s="122">
        <v>350</v>
      </c>
      <c r="R1721" s="122">
        <v>9060</v>
      </c>
      <c r="S1721" s="122">
        <v>8237</v>
      </c>
      <c r="T1721" s="122">
        <v>0</v>
      </c>
      <c r="U1721" s="122">
        <v>0</v>
      </c>
      <c r="V1721" s="122">
        <v>65161</v>
      </c>
      <c r="W1721" s="122">
        <f t="shared" si="54"/>
        <v>65162</v>
      </c>
      <c r="X1721" s="122">
        <f t="shared" si="55"/>
        <v>75027</v>
      </c>
      <c r="AA1721" t="s">
        <v>62</v>
      </c>
      <c r="AB1721" t="s">
        <v>428</v>
      </c>
      <c r="AC1721" t="s">
        <v>428</v>
      </c>
      <c r="AD1721" t="s">
        <v>137</v>
      </c>
      <c r="AE1721" t="s">
        <v>566</v>
      </c>
      <c r="AF1721">
        <v>1</v>
      </c>
      <c r="AG1721">
        <v>92</v>
      </c>
      <c r="AH1721">
        <v>447</v>
      </c>
      <c r="AI1721" s="122">
        <v>25694</v>
      </c>
      <c r="AJ1721" s="122">
        <v>23358</v>
      </c>
      <c r="AK1721">
        <v>55</v>
      </c>
      <c r="AL1721" s="122">
        <v>5234</v>
      </c>
      <c r="AM1721" s="122">
        <v>4758</v>
      </c>
      <c r="AN1721" s="122">
        <v>1597</v>
      </c>
      <c r="AO1721">
        <v>591</v>
      </c>
      <c r="AP1721">
        <v>351</v>
      </c>
      <c r="AQ1721">
        <v>130</v>
      </c>
      <c r="AR1721" s="122">
        <v>8406</v>
      </c>
      <c r="AS1721" s="122">
        <v>3113</v>
      </c>
      <c r="AT1721">
        <v>0</v>
      </c>
      <c r="AU1721">
        <v>0</v>
      </c>
      <c r="AV1721" s="122">
        <v>31951</v>
      </c>
    </row>
    <row r="1722" spans="2:48" hidden="1">
      <c r="B1722" t="s">
        <v>376</v>
      </c>
      <c r="C1722" t="s">
        <v>60</v>
      </c>
      <c r="D1722" t="s">
        <v>137</v>
      </c>
      <c r="E1722" t="s">
        <v>137</v>
      </c>
      <c r="F1722" s="122">
        <v>23</v>
      </c>
      <c r="G1722" s="122">
        <v>1940</v>
      </c>
      <c r="H1722" s="122">
        <v>7964</v>
      </c>
      <c r="I1722" s="122">
        <v>406116</v>
      </c>
      <c r="J1722" s="122">
        <v>150413</v>
      </c>
      <c r="K1722" s="122">
        <v>100</v>
      </c>
      <c r="L1722" s="122">
        <v>60657</v>
      </c>
      <c r="M1722" s="122">
        <v>35453</v>
      </c>
      <c r="N1722" s="122">
        <v>42049</v>
      </c>
      <c r="O1722" s="122">
        <v>15574</v>
      </c>
      <c r="P1722" s="122">
        <v>0</v>
      </c>
      <c r="Q1722" s="122">
        <v>0</v>
      </c>
      <c r="R1722" s="122">
        <v>171358</v>
      </c>
      <c r="S1722" s="122">
        <v>63466</v>
      </c>
      <c r="T1722" s="122">
        <v>0</v>
      </c>
      <c r="U1722" s="122">
        <v>0</v>
      </c>
      <c r="V1722" s="122">
        <v>264906</v>
      </c>
      <c r="W1722" s="122">
        <f t="shared" si="54"/>
        <v>264906</v>
      </c>
      <c r="X1722" s="122">
        <f t="shared" si="55"/>
        <v>680180</v>
      </c>
      <c r="AA1722" t="s">
        <v>62</v>
      </c>
      <c r="AB1722" t="s">
        <v>428</v>
      </c>
      <c r="AC1722" t="s">
        <v>428</v>
      </c>
      <c r="AD1722" t="s">
        <v>428</v>
      </c>
      <c r="AE1722" t="s">
        <v>137</v>
      </c>
      <c r="AF1722">
        <v>8</v>
      </c>
      <c r="AG1722">
        <v>723</v>
      </c>
      <c r="AH1722" s="122">
        <v>3224</v>
      </c>
      <c r="AI1722" s="122">
        <v>169944</v>
      </c>
      <c r="AJ1722" s="122">
        <v>154494</v>
      </c>
      <c r="AK1722">
        <v>47</v>
      </c>
      <c r="AL1722" s="122">
        <v>23899</v>
      </c>
      <c r="AM1722" s="122">
        <v>21726</v>
      </c>
      <c r="AN1722" s="122">
        <v>15156</v>
      </c>
      <c r="AO1722" s="122">
        <v>5613</v>
      </c>
      <c r="AP1722" s="122">
        <v>2808</v>
      </c>
      <c r="AQ1722" s="122">
        <v>1040</v>
      </c>
      <c r="AR1722" s="122">
        <v>56324</v>
      </c>
      <c r="AS1722" s="122">
        <v>51203</v>
      </c>
      <c r="AT1722" s="122">
        <v>23492</v>
      </c>
      <c r="AU1722" s="122">
        <v>8701</v>
      </c>
      <c r="AV1722" s="122">
        <v>242778</v>
      </c>
    </row>
    <row r="1723" spans="2:48" hidden="1">
      <c r="B1723" t="s">
        <v>376</v>
      </c>
      <c r="C1723" t="s">
        <v>60</v>
      </c>
      <c r="D1723" t="s">
        <v>137</v>
      </c>
      <c r="E1723" t="s">
        <v>427</v>
      </c>
      <c r="F1723" s="122">
        <v>1</v>
      </c>
      <c r="G1723" s="122">
        <v>74</v>
      </c>
      <c r="H1723" s="122">
        <v>343</v>
      </c>
      <c r="I1723" s="122">
        <v>16372</v>
      </c>
      <c r="J1723" s="122">
        <v>6064</v>
      </c>
      <c r="K1723" s="122">
        <v>100</v>
      </c>
      <c r="L1723" s="122">
        <v>1482</v>
      </c>
      <c r="M1723" s="122">
        <v>1348</v>
      </c>
      <c r="N1723" s="122">
        <v>1397</v>
      </c>
      <c r="O1723" s="122">
        <v>518</v>
      </c>
      <c r="P1723" s="122">
        <v>0</v>
      </c>
      <c r="Q1723" s="122">
        <v>0</v>
      </c>
      <c r="R1723" s="122">
        <v>4510</v>
      </c>
      <c r="S1723" s="122">
        <v>4100</v>
      </c>
      <c r="T1723" s="122">
        <v>1639</v>
      </c>
      <c r="U1723" s="122">
        <v>607</v>
      </c>
      <c r="V1723" s="122">
        <v>12636</v>
      </c>
      <c r="W1723" s="122">
        <f t="shared" si="54"/>
        <v>12637</v>
      </c>
      <c r="X1723" s="122">
        <f t="shared" si="55"/>
        <v>25400</v>
      </c>
      <c r="AA1723" t="s">
        <v>62</v>
      </c>
      <c r="AB1723" t="s">
        <v>428</v>
      </c>
      <c r="AC1723" t="s">
        <v>431</v>
      </c>
      <c r="AD1723" t="s">
        <v>431</v>
      </c>
      <c r="AE1723" t="s">
        <v>566</v>
      </c>
      <c r="AF1723">
        <v>1</v>
      </c>
      <c r="AG1723">
        <v>71</v>
      </c>
      <c r="AH1723">
        <v>384</v>
      </c>
      <c r="AI1723" s="122">
        <v>15616</v>
      </c>
      <c r="AJ1723" s="122">
        <v>14197</v>
      </c>
      <c r="AK1723">
        <v>45</v>
      </c>
      <c r="AL1723" s="122">
        <v>2603</v>
      </c>
      <c r="AM1723" s="122">
        <v>2366</v>
      </c>
      <c r="AN1723" s="122">
        <v>1488</v>
      </c>
      <c r="AO1723">
        <v>551</v>
      </c>
      <c r="AP1723">
        <v>351</v>
      </c>
      <c r="AQ1723">
        <v>130</v>
      </c>
      <c r="AR1723" s="122">
        <v>7082</v>
      </c>
      <c r="AS1723" s="122">
        <v>6438</v>
      </c>
      <c r="AT1723">
        <v>0</v>
      </c>
      <c r="AU1723">
        <v>0</v>
      </c>
      <c r="AV1723" s="122">
        <v>23682</v>
      </c>
    </row>
    <row r="1724" spans="2:48" hidden="1">
      <c r="B1724" t="s">
        <v>376</v>
      </c>
      <c r="C1724" t="s">
        <v>60</v>
      </c>
      <c r="D1724" t="s">
        <v>137</v>
      </c>
      <c r="E1724" t="s">
        <v>556</v>
      </c>
      <c r="F1724" s="122">
        <v>1</v>
      </c>
      <c r="G1724" s="122">
        <v>73</v>
      </c>
      <c r="H1724" s="122">
        <v>370</v>
      </c>
      <c r="I1724" s="122">
        <v>15834</v>
      </c>
      <c r="J1724" s="122">
        <v>5865</v>
      </c>
      <c r="K1724" s="122">
        <v>100</v>
      </c>
      <c r="L1724" s="122">
        <v>1564</v>
      </c>
      <c r="M1724" s="122">
        <v>1303</v>
      </c>
      <c r="N1724" s="122">
        <v>1279</v>
      </c>
      <c r="O1724" s="122">
        <v>474</v>
      </c>
      <c r="P1724" s="122">
        <v>351</v>
      </c>
      <c r="Q1724" s="122">
        <v>130</v>
      </c>
      <c r="R1724" s="122">
        <v>5617</v>
      </c>
      <c r="S1724" s="122">
        <v>4681</v>
      </c>
      <c r="T1724" s="122">
        <v>2337</v>
      </c>
      <c r="U1724" s="122">
        <v>865</v>
      </c>
      <c r="V1724" s="122">
        <v>13318</v>
      </c>
      <c r="W1724" s="122">
        <f t="shared" si="54"/>
        <v>13318</v>
      </c>
      <c r="X1724" s="122">
        <f t="shared" si="55"/>
        <v>26982</v>
      </c>
      <c r="AA1724" t="s">
        <v>62</v>
      </c>
      <c r="AB1724" t="s">
        <v>428</v>
      </c>
      <c r="AC1724" t="s">
        <v>426</v>
      </c>
      <c r="AD1724" t="s">
        <v>428</v>
      </c>
      <c r="AE1724" t="s">
        <v>137</v>
      </c>
      <c r="AF1724">
        <v>2</v>
      </c>
      <c r="AG1724">
        <v>133</v>
      </c>
      <c r="AH1724">
        <v>856</v>
      </c>
      <c r="AI1724" s="122">
        <v>32586</v>
      </c>
      <c r="AJ1724" s="122">
        <v>29623</v>
      </c>
      <c r="AK1724">
        <v>45</v>
      </c>
      <c r="AL1724" s="122">
        <v>5431</v>
      </c>
      <c r="AM1724" s="122">
        <v>4937</v>
      </c>
      <c r="AN1724" s="122">
        <v>2738</v>
      </c>
      <c r="AO1724" s="122">
        <v>1014</v>
      </c>
      <c r="AP1724">
        <v>972</v>
      </c>
      <c r="AQ1724">
        <v>360</v>
      </c>
      <c r="AR1724" s="122">
        <v>11283</v>
      </c>
      <c r="AS1724" s="122">
        <v>10257</v>
      </c>
      <c r="AT1724" s="122">
        <v>3964</v>
      </c>
      <c r="AU1724" s="122">
        <v>1468</v>
      </c>
      <c r="AV1724" s="122">
        <v>47660</v>
      </c>
    </row>
    <row r="1725" spans="2:48" hidden="1">
      <c r="B1725" t="s">
        <v>376</v>
      </c>
      <c r="C1725" t="s">
        <v>60</v>
      </c>
      <c r="D1725" t="s">
        <v>406</v>
      </c>
      <c r="E1725" t="s">
        <v>137</v>
      </c>
      <c r="F1725" s="122">
        <v>6</v>
      </c>
      <c r="G1725" s="122">
        <v>705</v>
      </c>
      <c r="H1725" s="122">
        <v>2061</v>
      </c>
      <c r="I1725" s="122">
        <v>154458</v>
      </c>
      <c r="J1725" s="122">
        <v>140417</v>
      </c>
      <c r="K1725" s="122">
        <v>80</v>
      </c>
      <c r="L1725" s="122">
        <v>42329</v>
      </c>
      <c r="M1725" s="122">
        <v>37078</v>
      </c>
      <c r="N1725" s="122">
        <v>12001</v>
      </c>
      <c r="O1725" s="122">
        <v>4445</v>
      </c>
      <c r="P1725" s="122">
        <v>3726</v>
      </c>
      <c r="Q1725" s="122">
        <v>1380</v>
      </c>
      <c r="R1725" s="122">
        <v>33097</v>
      </c>
      <c r="S1725" s="122">
        <v>12258</v>
      </c>
      <c r="T1725" s="122">
        <v>0</v>
      </c>
      <c r="U1725" s="122">
        <v>0</v>
      </c>
      <c r="V1725" s="122">
        <v>195578</v>
      </c>
      <c r="W1725" s="122">
        <f t="shared" si="54"/>
        <v>195578</v>
      </c>
      <c r="X1725" s="122">
        <f t="shared" si="55"/>
        <v>245611</v>
      </c>
      <c r="AA1725" t="s">
        <v>62</v>
      </c>
      <c r="AB1725" t="s">
        <v>428</v>
      </c>
      <c r="AC1725" t="s">
        <v>566</v>
      </c>
      <c r="AD1725" t="s">
        <v>428</v>
      </c>
      <c r="AE1725" t="s">
        <v>137</v>
      </c>
      <c r="AF1725">
        <v>2</v>
      </c>
      <c r="AG1725">
        <v>106</v>
      </c>
      <c r="AH1725">
        <v>857</v>
      </c>
      <c r="AI1725" s="122">
        <v>27114</v>
      </c>
      <c r="AJ1725" s="122">
        <v>24650</v>
      </c>
      <c r="AK1725">
        <v>45</v>
      </c>
      <c r="AL1725">
        <v>0</v>
      </c>
      <c r="AM1725">
        <v>0</v>
      </c>
      <c r="AN1725" s="122">
        <v>2355</v>
      </c>
      <c r="AO1725">
        <v>872</v>
      </c>
      <c r="AP1725">
        <v>702</v>
      </c>
      <c r="AQ1725">
        <v>260</v>
      </c>
      <c r="AR1725" s="122">
        <v>11212</v>
      </c>
      <c r="AS1725" s="122">
        <v>10193</v>
      </c>
      <c r="AT1725" s="122">
        <v>3926</v>
      </c>
      <c r="AU1725" s="122">
        <v>1454</v>
      </c>
      <c r="AV1725" s="122">
        <v>37429</v>
      </c>
    </row>
    <row r="1726" spans="2:48" hidden="1">
      <c r="B1726" t="s">
        <v>376</v>
      </c>
      <c r="C1726" t="s">
        <v>60</v>
      </c>
      <c r="D1726" t="s">
        <v>406</v>
      </c>
      <c r="E1726" t="s">
        <v>406</v>
      </c>
      <c r="F1726" s="122">
        <v>524</v>
      </c>
      <c r="G1726" s="122">
        <v>47467</v>
      </c>
      <c r="H1726" s="122">
        <v>176804</v>
      </c>
      <c r="I1726" s="122">
        <v>9225281</v>
      </c>
      <c r="J1726" s="122">
        <v>8386619</v>
      </c>
      <c r="K1726" s="122">
        <v>76</v>
      </c>
      <c r="L1726" s="122">
        <v>2035291</v>
      </c>
      <c r="M1726" s="122">
        <v>1682242</v>
      </c>
      <c r="N1726" s="122">
        <v>989969</v>
      </c>
      <c r="O1726" s="122">
        <v>366655</v>
      </c>
      <c r="P1726" s="122">
        <v>334859</v>
      </c>
      <c r="Q1726" s="122">
        <v>124022</v>
      </c>
      <c r="R1726" s="122">
        <v>2456795</v>
      </c>
      <c r="S1726" s="122">
        <v>2233450</v>
      </c>
      <c r="T1726" s="122">
        <v>1057346</v>
      </c>
      <c r="U1726" s="122">
        <v>391609</v>
      </c>
      <c r="V1726" s="122">
        <v>13184598</v>
      </c>
      <c r="W1726" s="122">
        <f t="shared" si="54"/>
        <v>13184597</v>
      </c>
      <c r="X1726" s="122">
        <f t="shared" si="55"/>
        <v>16099541</v>
      </c>
      <c r="AA1726" t="s">
        <v>62</v>
      </c>
      <c r="AB1726" t="s">
        <v>431</v>
      </c>
      <c r="AC1726" t="s">
        <v>137</v>
      </c>
      <c r="AD1726" t="s">
        <v>137</v>
      </c>
      <c r="AE1726" t="s">
        <v>566</v>
      </c>
      <c r="AF1726">
        <v>1</v>
      </c>
      <c r="AG1726">
        <v>76</v>
      </c>
      <c r="AH1726">
        <v>417</v>
      </c>
      <c r="AI1726" s="122">
        <v>22751</v>
      </c>
      <c r="AJ1726" s="122">
        <v>20683</v>
      </c>
      <c r="AK1726">
        <v>30</v>
      </c>
      <c r="AL1726" s="122">
        <v>1861</v>
      </c>
      <c r="AM1726">
        <v>689</v>
      </c>
      <c r="AN1726" s="122">
        <v>1842</v>
      </c>
      <c r="AO1726">
        <v>682</v>
      </c>
      <c r="AP1726">
        <v>0</v>
      </c>
      <c r="AQ1726">
        <v>0</v>
      </c>
      <c r="AR1726" s="122">
        <v>5033</v>
      </c>
      <c r="AS1726" s="122">
        <v>1864</v>
      </c>
      <c r="AT1726">
        <v>0</v>
      </c>
      <c r="AU1726">
        <v>0</v>
      </c>
      <c r="AV1726" s="122">
        <v>23918</v>
      </c>
    </row>
    <row r="1727" spans="2:48" hidden="1">
      <c r="B1727" t="s">
        <v>376</v>
      </c>
      <c r="C1727" t="s">
        <v>60</v>
      </c>
      <c r="D1727" t="s">
        <v>406</v>
      </c>
      <c r="E1727" t="s">
        <v>427</v>
      </c>
      <c r="F1727" s="122">
        <v>2</v>
      </c>
      <c r="G1727" s="122">
        <v>202</v>
      </c>
      <c r="H1727" s="122">
        <v>732</v>
      </c>
      <c r="I1727" s="122">
        <v>42741</v>
      </c>
      <c r="J1727" s="122">
        <v>38856</v>
      </c>
      <c r="K1727" s="122">
        <v>63</v>
      </c>
      <c r="L1727" s="122">
        <v>9373</v>
      </c>
      <c r="M1727" s="122">
        <v>4830</v>
      </c>
      <c r="N1727" s="122">
        <v>3937</v>
      </c>
      <c r="O1727" s="122">
        <v>1458</v>
      </c>
      <c r="P1727" s="122">
        <v>1323</v>
      </c>
      <c r="Q1727" s="122">
        <v>490</v>
      </c>
      <c r="R1727" s="122">
        <v>10797</v>
      </c>
      <c r="S1727" s="122">
        <v>9816</v>
      </c>
      <c r="T1727" s="122">
        <v>5748</v>
      </c>
      <c r="U1727" s="122">
        <v>2129</v>
      </c>
      <c r="V1727" s="122">
        <v>57579</v>
      </c>
      <c r="W1727" s="122">
        <f t="shared" si="54"/>
        <v>57579</v>
      </c>
      <c r="X1727" s="122">
        <f t="shared" si="55"/>
        <v>73919</v>
      </c>
      <c r="AA1727" t="s">
        <v>62</v>
      </c>
      <c r="AB1727" t="s">
        <v>431</v>
      </c>
      <c r="AC1727" t="s">
        <v>137</v>
      </c>
      <c r="AD1727" t="s">
        <v>431</v>
      </c>
      <c r="AE1727" t="s">
        <v>137</v>
      </c>
      <c r="AF1727">
        <v>4</v>
      </c>
      <c r="AG1727">
        <v>267</v>
      </c>
      <c r="AH1727" s="122">
        <v>1592</v>
      </c>
      <c r="AI1727" s="122">
        <v>68479</v>
      </c>
      <c r="AJ1727" s="122">
        <v>62253</v>
      </c>
      <c r="AK1727">
        <v>50</v>
      </c>
      <c r="AL1727" s="122">
        <v>16395</v>
      </c>
      <c r="AM1727" s="122">
        <v>6072</v>
      </c>
      <c r="AN1727" s="122">
        <v>5898</v>
      </c>
      <c r="AO1727" s="122">
        <v>2185</v>
      </c>
      <c r="AP1727" s="122">
        <v>1404</v>
      </c>
      <c r="AQ1727">
        <v>520</v>
      </c>
      <c r="AR1727" s="122">
        <v>18118</v>
      </c>
      <c r="AS1727" s="122">
        <v>16471</v>
      </c>
      <c r="AT1727" s="122">
        <v>8828</v>
      </c>
      <c r="AU1727" s="122">
        <v>3270</v>
      </c>
      <c r="AV1727" s="122">
        <v>90770</v>
      </c>
    </row>
    <row r="1728" spans="2:48" hidden="1">
      <c r="B1728" t="s">
        <v>376</v>
      </c>
      <c r="C1728" t="s">
        <v>60</v>
      </c>
      <c r="D1728" t="s">
        <v>427</v>
      </c>
      <c r="E1728" t="s">
        <v>427</v>
      </c>
      <c r="F1728" s="122">
        <v>27</v>
      </c>
      <c r="G1728" s="122">
        <v>2318</v>
      </c>
      <c r="H1728" s="122">
        <v>8733</v>
      </c>
      <c r="I1728" s="122">
        <v>385915</v>
      </c>
      <c r="J1728" s="122">
        <v>350832</v>
      </c>
      <c r="K1728" s="122">
        <v>54</v>
      </c>
      <c r="L1728" s="122">
        <v>69553</v>
      </c>
      <c r="M1728" s="122">
        <v>62076</v>
      </c>
      <c r="N1728" s="122">
        <v>50445</v>
      </c>
      <c r="O1728" s="122">
        <v>18683</v>
      </c>
      <c r="P1728" s="122">
        <v>9477</v>
      </c>
      <c r="Q1728" s="122">
        <v>3510</v>
      </c>
      <c r="R1728" s="122">
        <v>160210</v>
      </c>
      <c r="S1728" s="122">
        <v>145646</v>
      </c>
      <c r="T1728" s="122">
        <v>72975</v>
      </c>
      <c r="U1728" s="122">
        <v>27028</v>
      </c>
      <c r="V1728" s="122">
        <v>607775</v>
      </c>
      <c r="W1728" s="122">
        <f t="shared" si="54"/>
        <v>607775</v>
      </c>
      <c r="X1728" s="122">
        <f t="shared" si="55"/>
        <v>748575</v>
      </c>
      <c r="AA1728" t="s">
        <v>62</v>
      </c>
      <c r="AB1728" t="s">
        <v>431</v>
      </c>
      <c r="AC1728" t="s">
        <v>137</v>
      </c>
      <c r="AD1728" t="s">
        <v>431</v>
      </c>
      <c r="AE1728" t="s">
        <v>566</v>
      </c>
      <c r="AF1728">
        <v>1</v>
      </c>
      <c r="AG1728">
        <v>85</v>
      </c>
      <c r="AH1728">
        <v>438</v>
      </c>
      <c r="AI1728" s="122">
        <v>22360</v>
      </c>
      <c r="AJ1728" s="122">
        <v>20328</v>
      </c>
      <c r="AK1728">
        <v>45</v>
      </c>
      <c r="AL1728" s="122">
        <v>2744</v>
      </c>
      <c r="AM1728" s="122">
        <v>1016</v>
      </c>
      <c r="AN1728" s="122">
        <v>1593</v>
      </c>
      <c r="AO1728">
        <v>590</v>
      </c>
      <c r="AP1728">
        <v>351</v>
      </c>
      <c r="AQ1728">
        <v>130</v>
      </c>
      <c r="AR1728" s="122">
        <v>10346</v>
      </c>
      <c r="AS1728" s="122">
        <v>9405</v>
      </c>
      <c r="AT1728">
        <v>0</v>
      </c>
      <c r="AU1728">
        <v>0</v>
      </c>
      <c r="AV1728" s="122">
        <v>31470</v>
      </c>
    </row>
    <row r="1729" spans="2:48" hidden="1">
      <c r="B1729" t="s">
        <v>376</v>
      </c>
      <c r="C1729" t="s">
        <v>60</v>
      </c>
      <c r="D1729" t="s">
        <v>407</v>
      </c>
      <c r="E1729" t="s">
        <v>137</v>
      </c>
      <c r="F1729" s="122">
        <v>2</v>
      </c>
      <c r="G1729" s="122">
        <v>194</v>
      </c>
      <c r="H1729" s="122">
        <v>699</v>
      </c>
      <c r="I1729" s="122">
        <v>44572</v>
      </c>
      <c r="J1729" s="122">
        <v>40520</v>
      </c>
      <c r="K1729" s="122">
        <v>79</v>
      </c>
      <c r="L1729" s="122">
        <v>5864</v>
      </c>
      <c r="M1729" s="122">
        <v>5331</v>
      </c>
      <c r="N1729" s="122">
        <v>4556</v>
      </c>
      <c r="O1729" s="122">
        <v>1687</v>
      </c>
      <c r="P1729" s="122">
        <v>945</v>
      </c>
      <c r="Q1729" s="122">
        <v>350</v>
      </c>
      <c r="R1729" s="122">
        <v>10647</v>
      </c>
      <c r="S1729" s="122">
        <v>3943</v>
      </c>
      <c r="T1729" s="122">
        <v>0</v>
      </c>
      <c r="U1729" s="122">
        <v>0</v>
      </c>
      <c r="V1729" s="122">
        <v>51831</v>
      </c>
      <c r="W1729" s="122">
        <f t="shared" si="54"/>
        <v>51831</v>
      </c>
      <c r="X1729" s="122">
        <f t="shared" si="55"/>
        <v>66584</v>
      </c>
      <c r="AA1729" t="s">
        <v>62</v>
      </c>
      <c r="AB1729" t="s">
        <v>431</v>
      </c>
      <c r="AC1729" t="s">
        <v>580</v>
      </c>
      <c r="AD1729" t="s">
        <v>431</v>
      </c>
      <c r="AE1729" t="s">
        <v>137</v>
      </c>
      <c r="AF1729">
        <v>1</v>
      </c>
      <c r="AG1729">
        <v>166</v>
      </c>
      <c r="AH1729">
        <v>430</v>
      </c>
      <c r="AI1729" s="122">
        <v>54452</v>
      </c>
      <c r="AJ1729" s="122">
        <v>49502</v>
      </c>
      <c r="AK1729">
        <v>55</v>
      </c>
      <c r="AL1729" s="122">
        <v>3716</v>
      </c>
      <c r="AM1729" s="122">
        <v>3378</v>
      </c>
      <c r="AN1729" s="122">
        <v>2026</v>
      </c>
      <c r="AO1729">
        <v>750</v>
      </c>
      <c r="AP1729">
        <v>621</v>
      </c>
      <c r="AQ1729">
        <v>230</v>
      </c>
      <c r="AR1729" s="122">
        <v>10745</v>
      </c>
      <c r="AS1729" s="122">
        <v>9769</v>
      </c>
      <c r="AT1729">
        <v>0</v>
      </c>
      <c r="AU1729">
        <v>0</v>
      </c>
      <c r="AV1729" s="122">
        <v>63629</v>
      </c>
    </row>
    <row r="1730" spans="2:48" hidden="1">
      <c r="B1730" t="s">
        <v>376</v>
      </c>
      <c r="C1730" t="s">
        <v>60</v>
      </c>
      <c r="D1730" t="s">
        <v>407</v>
      </c>
      <c r="E1730" t="s">
        <v>407</v>
      </c>
      <c r="F1730" s="122">
        <v>415</v>
      </c>
      <c r="G1730" s="122">
        <v>33930</v>
      </c>
      <c r="H1730" s="122">
        <v>138810</v>
      </c>
      <c r="I1730" s="122">
        <v>6416378</v>
      </c>
      <c r="J1730" s="122">
        <v>5833071</v>
      </c>
      <c r="K1730" s="122">
        <v>79</v>
      </c>
      <c r="L1730" s="122">
        <v>1787137</v>
      </c>
      <c r="M1730" s="122">
        <v>1516789</v>
      </c>
      <c r="N1730" s="122">
        <v>710616</v>
      </c>
      <c r="O1730" s="122">
        <v>263191</v>
      </c>
      <c r="P1730" s="122">
        <v>197056</v>
      </c>
      <c r="Q1730" s="122">
        <v>72984</v>
      </c>
      <c r="R1730" s="122">
        <v>1850275</v>
      </c>
      <c r="S1730" s="122">
        <v>1682068</v>
      </c>
      <c r="T1730" s="122">
        <v>479926</v>
      </c>
      <c r="U1730" s="122">
        <v>177750</v>
      </c>
      <c r="V1730" s="122">
        <v>9545853</v>
      </c>
      <c r="W1730" s="122">
        <f t="shared" si="54"/>
        <v>9545853</v>
      </c>
      <c r="X1730" s="122">
        <f t="shared" si="55"/>
        <v>11441388</v>
      </c>
      <c r="AA1730" t="s">
        <v>62</v>
      </c>
      <c r="AB1730" t="s">
        <v>431</v>
      </c>
      <c r="AC1730" t="s">
        <v>427</v>
      </c>
      <c r="AD1730" t="s">
        <v>431</v>
      </c>
      <c r="AE1730" t="s">
        <v>137</v>
      </c>
      <c r="AF1730">
        <v>1</v>
      </c>
      <c r="AG1730">
        <v>82</v>
      </c>
      <c r="AH1730">
        <v>383</v>
      </c>
      <c r="AI1730" s="122">
        <v>18269</v>
      </c>
      <c r="AJ1730" s="122">
        <v>16608</v>
      </c>
      <c r="AK1730">
        <v>45</v>
      </c>
      <c r="AL1730" s="122">
        <v>3045</v>
      </c>
      <c r="AM1730" s="122">
        <v>2768</v>
      </c>
      <c r="AN1730" s="122">
        <v>1917</v>
      </c>
      <c r="AO1730">
        <v>710</v>
      </c>
      <c r="AP1730">
        <v>351</v>
      </c>
      <c r="AQ1730">
        <v>130</v>
      </c>
      <c r="AR1730" s="122">
        <v>7773</v>
      </c>
      <c r="AS1730" s="122">
        <v>7066</v>
      </c>
      <c r="AT1730">
        <v>0</v>
      </c>
      <c r="AU1730">
        <v>0</v>
      </c>
      <c r="AV1730" s="122">
        <v>27283</v>
      </c>
    </row>
    <row r="1731" spans="2:48" hidden="1">
      <c r="B1731" t="s">
        <v>376</v>
      </c>
      <c r="C1731" t="s">
        <v>60</v>
      </c>
      <c r="D1731" t="s">
        <v>407</v>
      </c>
      <c r="E1731" t="s">
        <v>556</v>
      </c>
      <c r="F1731" s="122">
        <v>1</v>
      </c>
      <c r="G1731" s="122">
        <v>76</v>
      </c>
      <c r="H1731" s="122">
        <v>326</v>
      </c>
      <c r="I1731" s="122">
        <v>11561</v>
      </c>
      <c r="J1731" s="122">
        <v>10510</v>
      </c>
      <c r="K1731" s="122">
        <v>68</v>
      </c>
      <c r="L1731" s="122">
        <v>2766</v>
      </c>
      <c r="M1731" s="122">
        <v>2515</v>
      </c>
      <c r="N1731" s="122">
        <v>1645</v>
      </c>
      <c r="O1731" s="122">
        <v>609</v>
      </c>
      <c r="P1731" s="122">
        <v>473</v>
      </c>
      <c r="Q1731" s="122">
        <v>175</v>
      </c>
      <c r="R1731" s="122">
        <v>5460</v>
      </c>
      <c r="S1731" s="122">
        <v>4550</v>
      </c>
      <c r="T1731" s="122">
        <v>2822</v>
      </c>
      <c r="U1731" s="122">
        <v>1045</v>
      </c>
      <c r="V1731" s="122">
        <v>19404</v>
      </c>
      <c r="W1731" s="122">
        <f t="shared" si="54"/>
        <v>19404</v>
      </c>
      <c r="X1731" s="122">
        <f t="shared" si="55"/>
        <v>24727</v>
      </c>
      <c r="AA1731" t="s">
        <v>62</v>
      </c>
      <c r="AB1731" t="s">
        <v>431</v>
      </c>
      <c r="AC1731" t="s">
        <v>427</v>
      </c>
      <c r="AD1731" t="s">
        <v>431</v>
      </c>
      <c r="AE1731" t="s">
        <v>566</v>
      </c>
      <c r="AF1731">
        <v>1</v>
      </c>
      <c r="AG1731">
        <v>105</v>
      </c>
      <c r="AH1731">
        <v>437</v>
      </c>
      <c r="AI1731" s="122">
        <v>29026</v>
      </c>
      <c r="AJ1731" s="122">
        <v>26387</v>
      </c>
      <c r="AK1731">
        <v>60</v>
      </c>
      <c r="AL1731" s="122">
        <v>6450</v>
      </c>
      <c r="AM1731" s="122">
        <v>5864</v>
      </c>
      <c r="AN1731" s="122">
        <v>1910</v>
      </c>
      <c r="AO1731">
        <v>707</v>
      </c>
      <c r="AP1731">
        <v>351</v>
      </c>
      <c r="AQ1731">
        <v>130</v>
      </c>
      <c r="AR1731" s="122">
        <v>7898</v>
      </c>
      <c r="AS1731" s="122">
        <v>7180</v>
      </c>
      <c r="AT1731">
        <v>0</v>
      </c>
      <c r="AU1731">
        <v>0</v>
      </c>
      <c r="AV1731" s="122">
        <v>40269</v>
      </c>
    </row>
    <row r="1732" spans="2:48" hidden="1">
      <c r="B1732" t="s">
        <v>376</v>
      </c>
      <c r="C1732" t="s">
        <v>60</v>
      </c>
      <c r="D1732" t="s">
        <v>556</v>
      </c>
      <c r="E1732" t="s">
        <v>556</v>
      </c>
      <c r="F1732" s="122">
        <v>24</v>
      </c>
      <c r="G1732" s="122">
        <v>2006</v>
      </c>
      <c r="H1732" s="122">
        <v>8203</v>
      </c>
      <c r="I1732" s="122">
        <v>392167</v>
      </c>
      <c r="J1732" s="122">
        <v>326806</v>
      </c>
      <c r="K1732" s="122">
        <v>55</v>
      </c>
      <c r="L1732" s="122">
        <v>44320</v>
      </c>
      <c r="M1732" s="122">
        <v>32646</v>
      </c>
      <c r="N1732" s="122">
        <v>44089</v>
      </c>
      <c r="O1732" s="122">
        <v>16329</v>
      </c>
      <c r="P1732" s="122">
        <v>8424</v>
      </c>
      <c r="Q1732" s="122">
        <v>3120</v>
      </c>
      <c r="R1732" s="122">
        <v>149058</v>
      </c>
      <c r="S1732" s="122">
        <v>124215</v>
      </c>
      <c r="T1732" s="122">
        <v>49733</v>
      </c>
      <c r="U1732" s="122">
        <v>18420</v>
      </c>
      <c r="V1732" s="122">
        <v>521536</v>
      </c>
      <c r="W1732" s="122">
        <f t="shared" si="54"/>
        <v>521536</v>
      </c>
      <c r="X1732" s="122">
        <f t="shared" si="55"/>
        <v>687791</v>
      </c>
      <c r="AA1732" t="s">
        <v>62</v>
      </c>
      <c r="AB1732" t="s">
        <v>431</v>
      </c>
      <c r="AC1732" t="s">
        <v>428</v>
      </c>
      <c r="AD1732" t="s">
        <v>431</v>
      </c>
      <c r="AE1732" t="s">
        <v>137</v>
      </c>
      <c r="AF1732">
        <v>1</v>
      </c>
      <c r="AG1732">
        <v>83</v>
      </c>
      <c r="AH1732">
        <v>438</v>
      </c>
      <c r="AI1732" s="122">
        <v>21958</v>
      </c>
      <c r="AJ1732" s="122">
        <v>19962</v>
      </c>
      <c r="AK1732">
        <v>45</v>
      </c>
      <c r="AL1732" s="122">
        <v>3660</v>
      </c>
      <c r="AM1732" s="122">
        <v>3327</v>
      </c>
      <c r="AN1732" s="122">
        <v>1719</v>
      </c>
      <c r="AO1732">
        <v>637</v>
      </c>
      <c r="AP1732">
        <v>351</v>
      </c>
      <c r="AQ1732">
        <v>130</v>
      </c>
      <c r="AR1732" s="122">
        <v>6299</v>
      </c>
      <c r="AS1732" s="122">
        <v>5726</v>
      </c>
      <c r="AT1732" s="122">
        <v>2340</v>
      </c>
      <c r="AU1732">
        <v>867</v>
      </c>
      <c r="AV1732" s="122">
        <v>30649</v>
      </c>
    </row>
    <row r="1733" spans="2:48" hidden="1">
      <c r="B1733" t="s">
        <v>376</v>
      </c>
      <c r="C1733" t="s">
        <v>60</v>
      </c>
      <c r="D1733" t="s">
        <v>431</v>
      </c>
      <c r="E1733" t="s">
        <v>431</v>
      </c>
      <c r="F1733" s="122">
        <v>1</v>
      </c>
      <c r="G1733" s="122">
        <v>102</v>
      </c>
      <c r="H1733" s="122">
        <v>349</v>
      </c>
      <c r="I1733" s="122">
        <v>19958</v>
      </c>
      <c r="J1733" s="122">
        <v>18144</v>
      </c>
      <c r="K1733" s="122">
        <v>55</v>
      </c>
      <c r="L1733" s="122">
        <v>4066</v>
      </c>
      <c r="M1733" s="122">
        <v>3696</v>
      </c>
      <c r="N1733" s="122">
        <v>1614</v>
      </c>
      <c r="O1733" s="122">
        <v>598</v>
      </c>
      <c r="P1733" s="122">
        <v>351</v>
      </c>
      <c r="Q1733" s="122">
        <v>130</v>
      </c>
      <c r="R1733" s="122">
        <v>6394</v>
      </c>
      <c r="S1733" s="122">
        <v>5813</v>
      </c>
      <c r="T1733" s="122">
        <v>3165</v>
      </c>
      <c r="U1733" s="122">
        <v>1172</v>
      </c>
      <c r="V1733" s="122">
        <v>29552</v>
      </c>
      <c r="W1733" s="122">
        <f t="shared" si="54"/>
        <v>29553</v>
      </c>
      <c r="X1733" s="122">
        <f t="shared" si="55"/>
        <v>35548</v>
      </c>
      <c r="AA1733" t="s">
        <v>62</v>
      </c>
      <c r="AB1733" t="s">
        <v>431</v>
      </c>
      <c r="AC1733" t="s">
        <v>431</v>
      </c>
      <c r="AD1733" t="s">
        <v>427</v>
      </c>
      <c r="AE1733" t="s">
        <v>137</v>
      </c>
      <c r="AF1733">
        <v>1</v>
      </c>
      <c r="AG1733">
        <v>46</v>
      </c>
      <c r="AH1733">
        <v>410</v>
      </c>
      <c r="AI1733" s="122">
        <v>18943</v>
      </c>
      <c r="AJ1733" s="122">
        <v>17221</v>
      </c>
      <c r="AK1733">
        <v>45</v>
      </c>
      <c r="AL1733" s="122">
        <v>3157</v>
      </c>
      <c r="AM1733" s="122">
        <v>2870</v>
      </c>
      <c r="AN1733" s="122">
        <v>1717</v>
      </c>
      <c r="AO1733">
        <v>636</v>
      </c>
      <c r="AP1733">
        <v>351</v>
      </c>
      <c r="AQ1733">
        <v>130</v>
      </c>
      <c r="AR1733" s="122">
        <v>6326</v>
      </c>
      <c r="AS1733" s="122">
        <v>5751</v>
      </c>
      <c r="AT1733" s="122">
        <v>2898</v>
      </c>
      <c r="AU1733" s="122">
        <v>1073</v>
      </c>
      <c r="AV1733" s="122">
        <v>27682</v>
      </c>
    </row>
    <row r="1734" spans="2:48" hidden="1">
      <c r="B1734" t="s">
        <v>376</v>
      </c>
      <c r="C1734" t="s">
        <v>60</v>
      </c>
      <c r="D1734" t="s">
        <v>426</v>
      </c>
      <c r="E1734" t="s">
        <v>426</v>
      </c>
      <c r="F1734" s="122">
        <v>31</v>
      </c>
      <c r="G1734" s="122">
        <v>2143</v>
      </c>
      <c r="H1734" s="122">
        <v>10666</v>
      </c>
      <c r="I1734" s="122">
        <v>402470</v>
      </c>
      <c r="J1734" s="122">
        <v>365882</v>
      </c>
      <c r="K1734" s="122">
        <v>57</v>
      </c>
      <c r="L1734" s="122">
        <v>50848</v>
      </c>
      <c r="M1734" s="122">
        <v>29601</v>
      </c>
      <c r="N1734" s="122">
        <v>42919</v>
      </c>
      <c r="O1734" s="122">
        <v>15896</v>
      </c>
      <c r="P1734" s="122">
        <v>11543</v>
      </c>
      <c r="Q1734" s="122">
        <v>4275</v>
      </c>
      <c r="R1734" s="122">
        <v>161689</v>
      </c>
      <c r="S1734" s="122">
        <v>146990</v>
      </c>
      <c r="T1734" s="122">
        <v>61192</v>
      </c>
      <c r="U1734" s="122">
        <v>22664</v>
      </c>
      <c r="V1734" s="122">
        <v>585307</v>
      </c>
      <c r="W1734" s="122">
        <f t="shared" si="54"/>
        <v>585308</v>
      </c>
      <c r="X1734" s="122">
        <f t="shared" si="55"/>
        <v>730661</v>
      </c>
      <c r="AA1734" t="s">
        <v>62</v>
      </c>
      <c r="AB1734" t="s">
        <v>431</v>
      </c>
      <c r="AC1734" t="s">
        <v>431</v>
      </c>
      <c r="AD1734" t="s">
        <v>431</v>
      </c>
      <c r="AE1734" t="s">
        <v>137</v>
      </c>
      <c r="AF1734">
        <v>59</v>
      </c>
      <c r="AG1734" s="122">
        <v>4874</v>
      </c>
      <c r="AH1734" s="122">
        <v>24063</v>
      </c>
      <c r="AI1734" s="122">
        <v>1180673</v>
      </c>
      <c r="AJ1734" s="122">
        <v>1073339</v>
      </c>
      <c r="AK1734">
        <v>47</v>
      </c>
      <c r="AL1734" s="122">
        <v>197469</v>
      </c>
      <c r="AM1734" s="122">
        <v>179517</v>
      </c>
      <c r="AN1734" s="122">
        <v>99818</v>
      </c>
      <c r="AO1734" s="122">
        <v>36970</v>
      </c>
      <c r="AP1734" s="122">
        <v>19656</v>
      </c>
      <c r="AQ1734" s="122">
        <v>7280</v>
      </c>
      <c r="AR1734" s="122">
        <v>355529</v>
      </c>
      <c r="AS1734" s="122">
        <v>323208</v>
      </c>
      <c r="AT1734" s="122">
        <v>132781</v>
      </c>
      <c r="AU1734" s="122">
        <v>49178</v>
      </c>
      <c r="AV1734" s="122">
        <v>1669492</v>
      </c>
    </row>
    <row r="1735" spans="2:48" hidden="1">
      <c r="B1735" t="s">
        <v>376</v>
      </c>
      <c r="C1735" t="s">
        <v>60</v>
      </c>
      <c r="D1735" t="s">
        <v>429</v>
      </c>
      <c r="E1735" t="s">
        <v>429</v>
      </c>
      <c r="F1735" s="122">
        <v>1</v>
      </c>
      <c r="G1735" s="122">
        <v>102</v>
      </c>
      <c r="H1735" s="122">
        <v>319</v>
      </c>
      <c r="I1735" s="122">
        <v>26586</v>
      </c>
      <c r="J1735" s="122">
        <v>24169</v>
      </c>
      <c r="K1735" s="122">
        <v>85</v>
      </c>
      <c r="L1735" s="122">
        <v>0</v>
      </c>
      <c r="M1735" s="122">
        <v>0</v>
      </c>
      <c r="N1735" s="122">
        <v>1385</v>
      </c>
      <c r="O1735" s="122">
        <v>513</v>
      </c>
      <c r="P1735" s="122">
        <v>351</v>
      </c>
      <c r="Q1735" s="122">
        <v>130</v>
      </c>
      <c r="R1735" s="122">
        <v>4386</v>
      </c>
      <c r="S1735" s="122">
        <v>3987</v>
      </c>
      <c r="T1735" s="122">
        <v>0</v>
      </c>
      <c r="U1735" s="122">
        <v>0</v>
      </c>
      <c r="V1735" s="122">
        <v>28799</v>
      </c>
      <c r="W1735" s="122">
        <f t="shared" si="54"/>
        <v>28799</v>
      </c>
      <c r="X1735" s="122">
        <f t="shared" si="55"/>
        <v>32708</v>
      </c>
      <c r="AA1735" t="s">
        <v>62</v>
      </c>
      <c r="AB1735" t="s">
        <v>431</v>
      </c>
      <c r="AC1735" t="s">
        <v>431</v>
      </c>
      <c r="AD1735" t="s">
        <v>431</v>
      </c>
      <c r="AE1735" t="s">
        <v>566</v>
      </c>
      <c r="AF1735">
        <v>10</v>
      </c>
      <c r="AG1735">
        <v>743</v>
      </c>
      <c r="AH1735" s="122">
        <v>4136</v>
      </c>
      <c r="AI1735" s="122">
        <v>196401</v>
      </c>
      <c r="AJ1735" s="122">
        <v>178547</v>
      </c>
      <c r="AK1735">
        <v>49</v>
      </c>
      <c r="AL1735" s="122">
        <v>26619</v>
      </c>
      <c r="AM1735" s="122">
        <v>24199</v>
      </c>
      <c r="AN1735" s="122">
        <v>13637</v>
      </c>
      <c r="AO1735" s="122">
        <v>5051</v>
      </c>
      <c r="AP1735" s="122">
        <v>3780</v>
      </c>
      <c r="AQ1735" s="122">
        <v>1400</v>
      </c>
      <c r="AR1735" s="122">
        <v>83275</v>
      </c>
      <c r="AS1735" s="122">
        <v>75705</v>
      </c>
      <c r="AT1735">
        <v>0</v>
      </c>
      <c r="AU1735">
        <v>0</v>
      </c>
      <c r="AV1735" s="122">
        <v>284902</v>
      </c>
    </row>
    <row r="1736" spans="2:48" hidden="1">
      <c r="B1736" t="s">
        <v>376</v>
      </c>
      <c r="C1736" t="s">
        <v>62</v>
      </c>
      <c r="D1736" t="s">
        <v>425</v>
      </c>
      <c r="E1736" t="s">
        <v>425</v>
      </c>
      <c r="F1736" s="122">
        <v>1</v>
      </c>
      <c r="G1736" s="122">
        <v>71</v>
      </c>
      <c r="H1736" s="122">
        <v>391</v>
      </c>
      <c r="I1736" s="122">
        <v>17858</v>
      </c>
      <c r="J1736" s="122">
        <v>16235</v>
      </c>
      <c r="K1736" s="122">
        <v>81</v>
      </c>
      <c r="L1736" s="122">
        <v>5060</v>
      </c>
      <c r="M1736" s="122">
        <v>4600</v>
      </c>
      <c r="N1736" s="122">
        <v>1725</v>
      </c>
      <c r="O1736" s="122">
        <v>639</v>
      </c>
      <c r="P1736" s="122">
        <v>473</v>
      </c>
      <c r="Q1736" s="122">
        <v>175</v>
      </c>
      <c r="R1736" s="122">
        <v>2575</v>
      </c>
      <c r="S1736" s="122">
        <v>2341</v>
      </c>
      <c r="T1736" s="122">
        <v>0</v>
      </c>
      <c r="U1736" s="122">
        <v>0</v>
      </c>
      <c r="V1736" s="122">
        <v>23990</v>
      </c>
      <c r="W1736" s="122">
        <f t="shared" si="54"/>
        <v>23990</v>
      </c>
      <c r="X1736" s="122">
        <f t="shared" si="55"/>
        <v>27691</v>
      </c>
      <c r="AA1736" t="s">
        <v>62</v>
      </c>
      <c r="AB1736" t="s">
        <v>431</v>
      </c>
      <c r="AC1736" t="s">
        <v>566</v>
      </c>
      <c r="AD1736" t="s">
        <v>431</v>
      </c>
      <c r="AE1736" t="s">
        <v>137</v>
      </c>
      <c r="AF1736">
        <v>7</v>
      </c>
      <c r="AG1736">
        <v>481</v>
      </c>
      <c r="AH1736" s="122">
        <v>2866</v>
      </c>
      <c r="AI1736" s="122">
        <v>134594</v>
      </c>
      <c r="AJ1736" s="122">
        <v>122358</v>
      </c>
      <c r="AK1736">
        <v>56</v>
      </c>
      <c r="AL1736">
        <v>0</v>
      </c>
      <c r="AM1736" s="122">
        <v>2825</v>
      </c>
      <c r="AN1736" s="122">
        <v>8962</v>
      </c>
      <c r="AO1736" s="122">
        <v>3319</v>
      </c>
      <c r="AP1736" s="122">
        <v>2457</v>
      </c>
      <c r="AQ1736">
        <v>910</v>
      </c>
      <c r="AR1736" s="122">
        <v>38379</v>
      </c>
      <c r="AS1736" s="122">
        <v>34890</v>
      </c>
      <c r="AT1736" s="122">
        <v>12108</v>
      </c>
      <c r="AU1736" s="122">
        <v>4485</v>
      </c>
      <c r="AV1736" s="122">
        <v>168786</v>
      </c>
    </row>
    <row r="1737" spans="2:48" hidden="1">
      <c r="B1737" t="s">
        <v>376</v>
      </c>
      <c r="C1737" t="s">
        <v>62</v>
      </c>
      <c r="D1737" t="s">
        <v>137</v>
      </c>
      <c r="E1737" t="s">
        <v>137</v>
      </c>
      <c r="F1737" s="122">
        <v>16</v>
      </c>
      <c r="G1737" s="122">
        <v>1498</v>
      </c>
      <c r="H1737" s="122">
        <v>6452</v>
      </c>
      <c r="I1737" s="122">
        <v>403321</v>
      </c>
      <c r="J1737" s="122">
        <v>149378</v>
      </c>
      <c r="K1737" s="122">
        <v>100</v>
      </c>
      <c r="L1737" s="122">
        <v>55681</v>
      </c>
      <c r="M1737" s="122">
        <v>42963</v>
      </c>
      <c r="N1737" s="122">
        <v>33414</v>
      </c>
      <c r="O1737" s="122">
        <v>12376</v>
      </c>
      <c r="P1737" s="122">
        <v>1053</v>
      </c>
      <c r="Q1737" s="122">
        <v>390</v>
      </c>
      <c r="R1737" s="122">
        <v>110605</v>
      </c>
      <c r="S1737" s="122">
        <v>40965</v>
      </c>
      <c r="T1737" s="122">
        <v>0</v>
      </c>
      <c r="U1737" s="122">
        <v>0</v>
      </c>
      <c r="V1737" s="122">
        <v>246072</v>
      </c>
      <c r="W1737" s="122">
        <f t="shared" si="54"/>
        <v>246072</v>
      </c>
      <c r="X1737" s="122">
        <f t="shared" si="55"/>
        <v>604074</v>
      </c>
      <c r="AA1737" t="s">
        <v>62</v>
      </c>
      <c r="AB1737" t="s">
        <v>431</v>
      </c>
      <c r="AC1737" t="s">
        <v>566</v>
      </c>
      <c r="AD1737" t="s">
        <v>431</v>
      </c>
      <c r="AE1737" t="s">
        <v>566</v>
      </c>
      <c r="AF1737">
        <v>2</v>
      </c>
      <c r="AG1737">
        <v>118</v>
      </c>
      <c r="AH1737">
        <v>836</v>
      </c>
      <c r="AI1737" s="122">
        <v>35373</v>
      </c>
      <c r="AJ1737" s="122">
        <v>32157</v>
      </c>
      <c r="AK1737">
        <v>60</v>
      </c>
      <c r="AL1737">
        <v>0</v>
      </c>
      <c r="AM1737">
        <v>0</v>
      </c>
      <c r="AN1737" s="122">
        <v>1979</v>
      </c>
      <c r="AO1737">
        <v>733</v>
      </c>
      <c r="AP1737">
        <v>702</v>
      </c>
      <c r="AQ1737">
        <v>260</v>
      </c>
      <c r="AR1737" s="122">
        <v>11124</v>
      </c>
      <c r="AS1737" s="122">
        <v>10113</v>
      </c>
      <c r="AT1737">
        <v>0</v>
      </c>
      <c r="AU1737">
        <v>0</v>
      </c>
      <c r="AV1737" s="122">
        <v>43263</v>
      </c>
    </row>
    <row r="1738" spans="2:48" hidden="1">
      <c r="B1738" t="s">
        <v>376</v>
      </c>
      <c r="C1738" t="s">
        <v>62</v>
      </c>
      <c r="D1738" t="s">
        <v>137</v>
      </c>
      <c r="E1738" t="s">
        <v>556</v>
      </c>
      <c r="F1738" s="122">
        <v>2</v>
      </c>
      <c r="G1738" s="122">
        <v>197</v>
      </c>
      <c r="H1738" s="122">
        <v>793</v>
      </c>
      <c r="I1738" s="122">
        <v>55315</v>
      </c>
      <c r="J1738" s="122">
        <v>20487</v>
      </c>
      <c r="K1738" s="122">
        <v>100</v>
      </c>
      <c r="L1738" s="122">
        <v>4967</v>
      </c>
      <c r="M1738" s="122">
        <v>4139</v>
      </c>
      <c r="N1738" s="122">
        <v>3744</v>
      </c>
      <c r="O1738" s="122">
        <v>1387</v>
      </c>
      <c r="P1738" s="122">
        <v>0</v>
      </c>
      <c r="Q1738" s="122">
        <v>0</v>
      </c>
      <c r="R1738" s="122">
        <v>9836</v>
      </c>
      <c r="S1738" s="122">
        <v>8197</v>
      </c>
      <c r="T1738" s="122">
        <v>4365</v>
      </c>
      <c r="U1738" s="122">
        <v>1617</v>
      </c>
      <c r="V1738" s="122">
        <v>35826</v>
      </c>
      <c r="W1738" s="122">
        <f t="shared" si="54"/>
        <v>35827</v>
      </c>
      <c r="X1738" s="122">
        <f t="shared" si="55"/>
        <v>78227</v>
      </c>
      <c r="AA1738" t="s">
        <v>62</v>
      </c>
      <c r="AB1738" t="s">
        <v>431</v>
      </c>
      <c r="AC1738" t="s">
        <v>433</v>
      </c>
      <c r="AD1738" t="s">
        <v>431</v>
      </c>
      <c r="AE1738" t="s">
        <v>137</v>
      </c>
      <c r="AF1738">
        <v>1</v>
      </c>
      <c r="AG1738">
        <v>104</v>
      </c>
      <c r="AH1738">
        <v>388</v>
      </c>
      <c r="AI1738" s="122">
        <v>20997</v>
      </c>
      <c r="AJ1738" s="122">
        <v>19088</v>
      </c>
      <c r="AK1738">
        <v>45</v>
      </c>
      <c r="AL1738" s="122">
        <v>1750</v>
      </c>
      <c r="AM1738" s="122">
        <v>1591</v>
      </c>
      <c r="AN1738" s="122">
        <v>1793</v>
      </c>
      <c r="AO1738">
        <v>664</v>
      </c>
      <c r="AP1738">
        <v>351</v>
      </c>
      <c r="AQ1738">
        <v>130</v>
      </c>
      <c r="AR1738" s="122">
        <v>10640</v>
      </c>
      <c r="AS1738" s="122">
        <v>9673</v>
      </c>
      <c r="AT1738" s="122">
        <v>4701</v>
      </c>
      <c r="AU1738" s="122">
        <v>1741</v>
      </c>
      <c r="AV1738" s="122">
        <v>32887</v>
      </c>
    </row>
    <row r="1739" spans="2:48" hidden="1">
      <c r="B1739" t="s">
        <v>376</v>
      </c>
      <c r="C1739" t="s">
        <v>62</v>
      </c>
      <c r="D1739" t="s">
        <v>137</v>
      </c>
      <c r="E1739" t="s">
        <v>426</v>
      </c>
      <c r="F1739" s="122">
        <v>1</v>
      </c>
      <c r="G1739" s="122">
        <v>79</v>
      </c>
      <c r="H1739" s="122">
        <v>398</v>
      </c>
      <c r="I1739" s="122">
        <v>14552</v>
      </c>
      <c r="J1739" s="122">
        <v>5390</v>
      </c>
      <c r="K1739" s="122">
        <v>100</v>
      </c>
      <c r="L1739" s="122">
        <v>1317</v>
      </c>
      <c r="M1739" s="122">
        <v>1198</v>
      </c>
      <c r="N1739" s="122">
        <v>1932</v>
      </c>
      <c r="O1739" s="122">
        <v>716</v>
      </c>
      <c r="P1739" s="122">
        <v>351</v>
      </c>
      <c r="Q1739" s="122">
        <v>130</v>
      </c>
      <c r="R1739" s="122">
        <v>9050</v>
      </c>
      <c r="S1739" s="122">
        <v>8228</v>
      </c>
      <c r="T1739" s="122">
        <v>4384</v>
      </c>
      <c r="U1739" s="122">
        <v>1624</v>
      </c>
      <c r="V1739" s="122">
        <v>17284</v>
      </c>
      <c r="W1739" s="122">
        <f t="shared" si="54"/>
        <v>17286</v>
      </c>
      <c r="X1739" s="122">
        <f t="shared" si="55"/>
        <v>31586</v>
      </c>
      <c r="AA1739" t="s">
        <v>62</v>
      </c>
      <c r="AB1739" t="s">
        <v>426</v>
      </c>
      <c r="AC1739" t="s">
        <v>425</v>
      </c>
      <c r="AD1739" t="s">
        <v>137</v>
      </c>
      <c r="AE1739" t="s">
        <v>137</v>
      </c>
      <c r="AF1739">
        <v>1</v>
      </c>
      <c r="AG1739">
        <v>81</v>
      </c>
      <c r="AH1739">
        <v>386</v>
      </c>
      <c r="AI1739" s="122">
        <v>19273</v>
      </c>
      <c r="AJ1739" s="122">
        <v>17520</v>
      </c>
      <c r="AK1739">
        <v>30</v>
      </c>
      <c r="AL1739">
        <v>714</v>
      </c>
      <c r="AM1739">
        <v>649</v>
      </c>
      <c r="AN1739" s="122">
        <v>1785</v>
      </c>
      <c r="AO1739">
        <v>661</v>
      </c>
      <c r="AP1739">
        <v>0</v>
      </c>
      <c r="AQ1739">
        <v>0</v>
      </c>
      <c r="AR1739" s="122">
        <v>9618</v>
      </c>
      <c r="AS1739" s="122">
        <v>3562</v>
      </c>
      <c r="AT1739">
        <v>0</v>
      </c>
      <c r="AU1739">
        <v>0</v>
      </c>
      <c r="AV1739" s="122">
        <v>22393</v>
      </c>
    </row>
    <row r="1740" spans="2:48" hidden="1">
      <c r="B1740" t="s">
        <v>376</v>
      </c>
      <c r="C1740" t="s">
        <v>62</v>
      </c>
      <c r="D1740" t="s">
        <v>406</v>
      </c>
      <c r="E1740" t="s">
        <v>425</v>
      </c>
      <c r="F1740" s="122">
        <v>1</v>
      </c>
      <c r="G1740" s="122">
        <v>74</v>
      </c>
      <c r="H1740" s="122">
        <v>411</v>
      </c>
      <c r="I1740" s="122">
        <v>17064</v>
      </c>
      <c r="J1740" s="122">
        <v>15512</v>
      </c>
      <c r="K1740" s="122">
        <v>70</v>
      </c>
      <c r="L1740" s="122">
        <v>4585</v>
      </c>
      <c r="M1740" s="122">
        <v>3821</v>
      </c>
      <c r="N1740" s="122">
        <v>1804</v>
      </c>
      <c r="O1740" s="122">
        <v>668</v>
      </c>
      <c r="P1740" s="122">
        <v>621</v>
      </c>
      <c r="Q1740" s="122">
        <v>230</v>
      </c>
      <c r="R1740" s="122">
        <v>4111</v>
      </c>
      <c r="S1740" s="122">
        <v>3738</v>
      </c>
      <c r="T1740" s="122">
        <v>2218</v>
      </c>
      <c r="U1740" s="122">
        <v>822</v>
      </c>
      <c r="V1740" s="122">
        <v>24790</v>
      </c>
      <c r="W1740" s="122">
        <f t="shared" si="54"/>
        <v>24791</v>
      </c>
      <c r="X1740" s="122">
        <f t="shared" si="55"/>
        <v>30403</v>
      </c>
      <c r="AA1740" t="s">
        <v>62</v>
      </c>
      <c r="AB1740" t="s">
        <v>426</v>
      </c>
      <c r="AC1740" t="s">
        <v>425</v>
      </c>
      <c r="AD1740" t="s">
        <v>426</v>
      </c>
      <c r="AE1740" t="s">
        <v>137</v>
      </c>
      <c r="AF1740">
        <v>1</v>
      </c>
      <c r="AG1740">
        <v>60</v>
      </c>
      <c r="AH1740">
        <v>388</v>
      </c>
      <c r="AI1740" s="122">
        <v>10869</v>
      </c>
      <c r="AJ1740" s="122">
        <v>9881</v>
      </c>
      <c r="AK1740">
        <v>65</v>
      </c>
      <c r="AL1740" s="122">
        <v>3925</v>
      </c>
      <c r="AM1740" s="122">
        <v>3568</v>
      </c>
      <c r="AN1740">
        <v>726</v>
      </c>
      <c r="AO1740">
        <v>269</v>
      </c>
      <c r="AP1740">
        <v>351</v>
      </c>
      <c r="AQ1740">
        <v>130</v>
      </c>
      <c r="AR1740" s="122">
        <v>4688</v>
      </c>
      <c r="AS1740" s="122">
        <v>4262</v>
      </c>
      <c r="AT1740" s="122">
        <v>2597</v>
      </c>
      <c r="AU1740">
        <v>962</v>
      </c>
      <c r="AV1740" s="122">
        <v>19072</v>
      </c>
    </row>
    <row r="1741" spans="2:48" hidden="1">
      <c r="B1741" t="s">
        <v>376</v>
      </c>
      <c r="C1741" t="s">
        <v>62</v>
      </c>
      <c r="D1741" t="s">
        <v>406</v>
      </c>
      <c r="E1741" t="s">
        <v>137</v>
      </c>
      <c r="F1741" s="122">
        <v>5</v>
      </c>
      <c r="G1741" s="122">
        <v>402</v>
      </c>
      <c r="H1741" s="122">
        <v>2061</v>
      </c>
      <c r="I1741" s="122">
        <v>95404</v>
      </c>
      <c r="J1741" s="122">
        <v>86731</v>
      </c>
      <c r="K1741" s="122">
        <v>81</v>
      </c>
      <c r="L1741" s="122">
        <v>24819</v>
      </c>
      <c r="M1741" s="122">
        <v>21322</v>
      </c>
      <c r="N1741" s="122">
        <v>9377</v>
      </c>
      <c r="O1741" s="122">
        <v>3473</v>
      </c>
      <c r="P1741" s="122">
        <v>3105</v>
      </c>
      <c r="Q1741" s="122">
        <v>1150</v>
      </c>
      <c r="R1741" s="122">
        <v>31035</v>
      </c>
      <c r="S1741" s="122">
        <v>11494</v>
      </c>
      <c r="T1741" s="122">
        <v>0</v>
      </c>
      <c r="U1741" s="122">
        <v>0</v>
      </c>
      <c r="V1741" s="122">
        <v>124171</v>
      </c>
      <c r="W1741" s="122">
        <f t="shared" si="54"/>
        <v>124170</v>
      </c>
      <c r="X1741" s="122">
        <f t="shared" si="55"/>
        <v>163740</v>
      </c>
      <c r="AA1741" t="s">
        <v>62</v>
      </c>
      <c r="AB1741" t="s">
        <v>426</v>
      </c>
      <c r="AC1741" t="s">
        <v>137</v>
      </c>
      <c r="AD1741" t="s">
        <v>137</v>
      </c>
      <c r="AE1741" t="s">
        <v>566</v>
      </c>
      <c r="AF1741">
        <v>25</v>
      </c>
      <c r="AG1741" s="122">
        <v>1636</v>
      </c>
      <c r="AH1741" s="122">
        <v>10654</v>
      </c>
      <c r="AI1741" s="122">
        <v>437345</v>
      </c>
      <c r="AJ1741" s="122">
        <v>397587</v>
      </c>
      <c r="AK1741">
        <v>48</v>
      </c>
      <c r="AL1741" s="122">
        <v>64565</v>
      </c>
      <c r="AM1741" s="122">
        <v>23913</v>
      </c>
      <c r="AN1741" s="122">
        <v>36731</v>
      </c>
      <c r="AO1741" s="122">
        <v>13604</v>
      </c>
      <c r="AP1741" s="122">
        <v>2106</v>
      </c>
      <c r="AQ1741">
        <v>780</v>
      </c>
      <c r="AR1741" s="122">
        <v>192411</v>
      </c>
      <c r="AS1741" s="122">
        <v>71263</v>
      </c>
      <c r="AT1741">
        <v>0</v>
      </c>
      <c r="AU1741">
        <v>0</v>
      </c>
      <c r="AV1741" s="122">
        <v>507147</v>
      </c>
    </row>
    <row r="1742" spans="2:48" hidden="1">
      <c r="B1742" t="s">
        <v>376</v>
      </c>
      <c r="C1742" t="s">
        <v>62</v>
      </c>
      <c r="D1742" t="s">
        <v>406</v>
      </c>
      <c r="E1742" t="s">
        <v>406</v>
      </c>
      <c r="F1742" s="122">
        <v>258</v>
      </c>
      <c r="G1742" s="122">
        <v>22628</v>
      </c>
      <c r="H1742" s="122">
        <v>106252</v>
      </c>
      <c r="I1742" s="122">
        <v>5769991</v>
      </c>
      <c r="J1742" s="122">
        <v>5245447</v>
      </c>
      <c r="K1742" s="122">
        <v>75</v>
      </c>
      <c r="L1742" s="122">
        <v>1319481</v>
      </c>
      <c r="M1742" s="122">
        <v>1112169</v>
      </c>
      <c r="N1742" s="122">
        <v>479160</v>
      </c>
      <c r="O1742" s="122">
        <v>177467</v>
      </c>
      <c r="P1742" s="122">
        <v>162527</v>
      </c>
      <c r="Q1742" s="122">
        <v>60195</v>
      </c>
      <c r="R1742" s="122">
        <v>1238228</v>
      </c>
      <c r="S1742" s="122">
        <v>1125662</v>
      </c>
      <c r="T1742" s="122">
        <v>478463</v>
      </c>
      <c r="U1742" s="122">
        <v>177208</v>
      </c>
      <c r="V1742" s="122">
        <v>7898147</v>
      </c>
      <c r="W1742" s="122">
        <f t="shared" si="54"/>
        <v>7898148</v>
      </c>
      <c r="X1742" s="122">
        <f t="shared" si="55"/>
        <v>9447850</v>
      </c>
      <c r="AA1742" t="s">
        <v>62</v>
      </c>
      <c r="AB1742" t="s">
        <v>426</v>
      </c>
      <c r="AC1742" t="s">
        <v>137</v>
      </c>
      <c r="AD1742" t="s">
        <v>407</v>
      </c>
      <c r="AE1742" t="s">
        <v>566</v>
      </c>
      <c r="AF1742">
        <v>1</v>
      </c>
      <c r="AG1742">
        <v>74</v>
      </c>
      <c r="AH1742">
        <v>415</v>
      </c>
      <c r="AI1742" s="122">
        <v>18906</v>
      </c>
      <c r="AJ1742" s="122">
        <v>17187</v>
      </c>
      <c r="AK1742">
        <v>50</v>
      </c>
      <c r="AL1742" s="122">
        <v>5801</v>
      </c>
      <c r="AM1742" s="122">
        <v>2148</v>
      </c>
      <c r="AN1742" s="122">
        <v>1602</v>
      </c>
      <c r="AO1742">
        <v>593</v>
      </c>
      <c r="AP1742">
        <v>122</v>
      </c>
      <c r="AQ1742">
        <v>45</v>
      </c>
      <c r="AR1742" s="122">
        <v>4380</v>
      </c>
      <c r="AS1742" s="122">
        <v>3982</v>
      </c>
      <c r="AT1742">
        <v>0</v>
      </c>
      <c r="AU1742">
        <v>0</v>
      </c>
      <c r="AV1742" s="122">
        <v>23956</v>
      </c>
    </row>
    <row r="1743" spans="2:48" hidden="1">
      <c r="B1743" t="s">
        <v>376</v>
      </c>
      <c r="C1743" t="s">
        <v>62</v>
      </c>
      <c r="D1743" t="s">
        <v>427</v>
      </c>
      <c r="E1743" t="s">
        <v>137</v>
      </c>
      <c r="F1743" s="122">
        <v>1</v>
      </c>
      <c r="G1743" s="122">
        <v>79</v>
      </c>
      <c r="H1743" s="122">
        <v>386</v>
      </c>
      <c r="I1743" s="122">
        <v>19691</v>
      </c>
      <c r="J1743" s="122">
        <v>17901</v>
      </c>
      <c r="K1743" s="122">
        <v>55</v>
      </c>
      <c r="L1743" s="122">
        <v>0</v>
      </c>
      <c r="M1743" s="122">
        <v>0</v>
      </c>
      <c r="N1743" s="122">
        <v>1923</v>
      </c>
      <c r="O1743" s="122">
        <v>712</v>
      </c>
      <c r="P1743" s="122">
        <v>351</v>
      </c>
      <c r="Q1743" s="122">
        <v>130</v>
      </c>
      <c r="R1743" s="122">
        <v>8463</v>
      </c>
      <c r="S1743" s="122">
        <v>3134</v>
      </c>
      <c r="T1743" s="122">
        <v>0</v>
      </c>
      <c r="U1743" s="122">
        <v>0</v>
      </c>
      <c r="V1743" s="122">
        <v>21878</v>
      </c>
      <c r="W1743" s="122">
        <f t="shared" si="54"/>
        <v>21877</v>
      </c>
      <c r="X1743" s="122">
        <f t="shared" si="55"/>
        <v>30428</v>
      </c>
      <c r="AA1743" t="s">
        <v>62</v>
      </c>
      <c r="AB1743" t="s">
        <v>426</v>
      </c>
      <c r="AC1743" t="s">
        <v>137</v>
      </c>
      <c r="AD1743" t="s">
        <v>579</v>
      </c>
      <c r="AE1743" t="s">
        <v>137</v>
      </c>
      <c r="AF1743">
        <v>1</v>
      </c>
      <c r="AG1743">
        <v>78</v>
      </c>
      <c r="AH1743">
        <v>431</v>
      </c>
      <c r="AI1743" s="122">
        <v>21029</v>
      </c>
      <c r="AJ1743" s="122">
        <v>19117</v>
      </c>
      <c r="AK1743">
        <v>65</v>
      </c>
      <c r="AL1743" s="122">
        <v>3728</v>
      </c>
      <c r="AM1743" s="122">
        <v>1381</v>
      </c>
      <c r="AN1743" s="122">
        <v>1498</v>
      </c>
      <c r="AO1743">
        <v>555</v>
      </c>
      <c r="AP1743">
        <v>351</v>
      </c>
      <c r="AQ1743">
        <v>130</v>
      </c>
      <c r="AR1743" s="122">
        <v>4661</v>
      </c>
      <c r="AS1743" s="122">
        <v>3884</v>
      </c>
      <c r="AT1743" s="122">
        <v>2270</v>
      </c>
      <c r="AU1743">
        <v>841</v>
      </c>
      <c r="AV1743" s="122">
        <v>25907</v>
      </c>
    </row>
    <row r="1744" spans="2:48" hidden="1">
      <c r="B1744" t="s">
        <v>376</v>
      </c>
      <c r="C1744" t="s">
        <v>62</v>
      </c>
      <c r="D1744" t="s">
        <v>427</v>
      </c>
      <c r="E1744" t="s">
        <v>406</v>
      </c>
      <c r="F1744" s="122">
        <v>1</v>
      </c>
      <c r="G1744" s="122">
        <v>77</v>
      </c>
      <c r="H1744" s="122">
        <v>383</v>
      </c>
      <c r="I1744" s="122">
        <v>14517</v>
      </c>
      <c r="J1744" s="122">
        <v>13197</v>
      </c>
      <c r="K1744" s="122">
        <v>55</v>
      </c>
      <c r="L1744" s="122">
        <v>0</v>
      </c>
      <c r="M1744" s="122">
        <v>0</v>
      </c>
      <c r="N1744" s="122">
        <v>1793</v>
      </c>
      <c r="O1744" s="122">
        <v>664</v>
      </c>
      <c r="P1744" s="122">
        <v>351</v>
      </c>
      <c r="Q1744" s="122">
        <v>130</v>
      </c>
      <c r="R1744" s="122">
        <v>8622</v>
      </c>
      <c r="S1744" s="122">
        <v>7838</v>
      </c>
      <c r="T1744" s="122">
        <v>4359</v>
      </c>
      <c r="U1744" s="122">
        <v>1614</v>
      </c>
      <c r="V1744" s="122">
        <v>23443</v>
      </c>
      <c r="W1744" s="122">
        <f t="shared" si="54"/>
        <v>23443</v>
      </c>
      <c r="X1744" s="122">
        <f t="shared" si="55"/>
        <v>29642</v>
      </c>
      <c r="AA1744" t="s">
        <v>62</v>
      </c>
      <c r="AB1744" t="s">
        <v>426</v>
      </c>
      <c r="AC1744" t="s">
        <v>137</v>
      </c>
      <c r="AD1744" t="s">
        <v>426</v>
      </c>
      <c r="AE1744" t="s">
        <v>137</v>
      </c>
      <c r="AF1744">
        <v>370</v>
      </c>
      <c r="AG1744" s="122">
        <v>23223</v>
      </c>
      <c r="AH1744" s="122">
        <v>153152</v>
      </c>
      <c r="AI1744" s="122">
        <v>5451359</v>
      </c>
      <c r="AJ1744" s="122">
        <v>4955781</v>
      </c>
      <c r="AK1744">
        <v>54</v>
      </c>
      <c r="AL1744" s="122">
        <v>968573</v>
      </c>
      <c r="AM1744" s="122">
        <v>358731</v>
      </c>
      <c r="AN1744" s="122">
        <v>461657</v>
      </c>
      <c r="AO1744" s="122">
        <v>170984</v>
      </c>
      <c r="AP1744" s="122">
        <v>120690</v>
      </c>
      <c r="AQ1744" s="122">
        <v>44700</v>
      </c>
      <c r="AR1744" s="122">
        <v>1932099</v>
      </c>
      <c r="AS1744" s="122">
        <v>1756454</v>
      </c>
      <c r="AT1744" s="122">
        <v>766617</v>
      </c>
      <c r="AU1744" s="122">
        <v>283932</v>
      </c>
      <c r="AV1744" s="122">
        <v>7570582</v>
      </c>
    </row>
    <row r="1745" spans="2:48" hidden="1">
      <c r="B1745" t="s">
        <v>376</v>
      </c>
      <c r="C1745" t="s">
        <v>62</v>
      </c>
      <c r="D1745" t="s">
        <v>427</v>
      </c>
      <c r="E1745" t="s">
        <v>427</v>
      </c>
      <c r="F1745" s="122">
        <v>2</v>
      </c>
      <c r="G1745" s="122">
        <v>111</v>
      </c>
      <c r="H1745" s="122">
        <v>820</v>
      </c>
      <c r="I1745" s="122">
        <v>36028</v>
      </c>
      <c r="J1745" s="122">
        <v>32752</v>
      </c>
      <c r="K1745" s="122">
        <v>65</v>
      </c>
      <c r="L1745" s="122">
        <v>1514</v>
      </c>
      <c r="M1745" s="122">
        <v>561</v>
      </c>
      <c r="N1745" s="122">
        <v>1540</v>
      </c>
      <c r="O1745" s="122">
        <v>570</v>
      </c>
      <c r="P1745" s="122">
        <v>702</v>
      </c>
      <c r="Q1745" s="122">
        <v>260</v>
      </c>
      <c r="R1745" s="122">
        <v>8937</v>
      </c>
      <c r="S1745" s="122">
        <v>8124</v>
      </c>
      <c r="T1745" s="122">
        <v>1538</v>
      </c>
      <c r="U1745" s="122">
        <v>570</v>
      </c>
      <c r="V1745" s="122">
        <v>42838</v>
      </c>
      <c r="W1745" s="122">
        <f t="shared" si="54"/>
        <v>42837</v>
      </c>
      <c r="X1745" s="122">
        <f t="shared" si="55"/>
        <v>50259</v>
      </c>
      <c r="AA1745" t="s">
        <v>62</v>
      </c>
      <c r="AB1745" t="s">
        <v>426</v>
      </c>
      <c r="AC1745" t="s">
        <v>137</v>
      </c>
      <c r="AD1745" t="s">
        <v>426</v>
      </c>
      <c r="AE1745" t="s">
        <v>566</v>
      </c>
      <c r="AF1745">
        <v>31</v>
      </c>
      <c r="AG1745" s="122">
        <v>2029</v>
      </c>
      <c r="AH1745" s="122">
        <v>12764</v>
      </c>
      <c r="AI1745" s="122">
        <v>495015</v>
      </c>
      <c r="AJ1745" s="122">
        <v>450014</v>
      </c>
      <c r="AK1745">
        <v>54</v>
      </c>
      <c r="AL1745" s="122">
        <v>79061</v>
      </c>
      <c r="AM1745" s="122">
        <v>29282</v>
      </c>
      <c r="AN1745" s="122">
        <v>44235</v>
      </c>
      <c r="AO1745" s="122">
        <v>16383</v>
      </c>
      <c r="AP1745" s="122">
        <v>8262</v>
      </c>
      <c r="AQ1745" s="122">
        <v>3060</v>
      </c>
      <c r="AR1745" s="122">
        <v>232770</v>
      </c>
      <c r="AS1745" s="122">
        <v>211609</v>
      </c>
      <c r="AT1745">
        <v>0</v>
      </c>
      <c r="AU1745">
        <v>0</v>
      </c>
      <c r="AV1745" s="122">
        <v>710349</v>
      </c>
    </row>
    <row r="1746" spans="2:48" hidden="1">
      <c r="B1746" t="s">
        <v>376</v>
      </c>
      <c r="C1746" t="s">
        <v>62</v>
      </c>
      <c r="D1746" t="s">
        <v>407</v>
      </c>
      <c r="E1746" t="s">
        <v>137</v>
      </c>
      <c r="F1746" s="122">
        <v>5</v>
      </c>
      <c r="G1746" s="122">
        <v>511</v>
      </c>
      <c r="H1746" s="122">
        <v>2098</v>
      </c>
      <c r="I1746" s="122">
        <v>149435</v>
      </c>
      <c r="J1746" s="122">
        <v>135850</v>
      </c>
      <c r="K1746" s="122">
        <v>77</v>
      </c>
      <c r="L1746" s="122">
        <v>20236</v>
      </c>
      <c r="M1746" s="122">
        <v>15688</v>
      </c>
      <c r="N1746" s="122">
        <v>11866</v>
      </c>
      <c r="O1746" s="122">
        <v>4395</v>
      </c>
      <c r="P1746" s="122">
        <v>2363</v>
      </c>
      <c r="Q1746" s="122">
        <v>875</v>
      </c>
      <c r="R1746" s="122">
        <v>30552</v>
      </c>
      <c r="S1746" s="122">
        <v>11316</v>
      </c>
      <c r="T1746" s="122">
        <v>0</v>
      </c>
      <c r="U1746" s="122">
        <v>0</v>
      </c>
      <c r="V1746" s="122">
        <v>168123</v>
      </c>
      <c r="W1746" s="122">
        <f t="shared" si="54"/>
        <v>168124</v>
      </c>
      <c r="X1746" s="122">
        <f t="shared" si="55"/>
        <v>214452</v>
      </c>
      <c r="AA1746" t="s">
        <v>62</v>
      </c>
      <c r="AB1746" t="s">
        <v>426</v>
      </c>
      <c r="AC1746" t="s">
        <v>137</v>
      </c>
      <c r="AD1746" t="s">
        <v>481</v>
      </c>
      <c r="AE1746" t="s">
        <v>137</v>
      </c>
      <c r="AF1746">
        <v>1</v>
      </c>
      <c r="AG1746">
        <v>53</v>
      </c>
      <c r="AH1746">
        <v>446</v>
      </c>
      <c r="AI1746" s="122">
        <v>11233</v>
      </c>
      <c r="AJ1746" s="122">
        <v>10212</v>
      </c>
      <c r="AK1746">
        <v>45</v>
      </c>
      <c r="AL1746" s="122">
        <v>3102</v>
      </c>
      <c r="AM1746" s="122">
        <v>1149</v>
      </c>
      <c r="AN1746">
        <v>647</v>
      </c>
      <c r="AO1746">
        <v>240</v>
      </c>
      <c r="AP1746">
        <v>351</v>
      </c>
      <c r="AQ1746">
        <v>130</v>
      </c>
      <c r="AR1746" s="122">
        <v>6109</v>
      </c>
      <c r="AS1746" s="122">
        <v>5554</v>
      </c>
      <c r="AT1746" s="122">
        <v>2237</v>
      </c>
      <c r="AU1746">
        <v>828</v>
      </c>
      <c r="AV1746" s="122">
        <v>18112</v>
      </c>
    </row>
    <row r="1747" spans="2:48" hidden="1">
      <c r="B1747" t="s">
        <v>376</v>
      </c>
      <c r="C1747" t="s">
        <v>62</v>
      </c>
      <c r="D1747" t="s">
        <v>407</v>
      </c>
      <c r="E1747" t="s">
        <v>406</v>
      </c>
      <c r="F1747" s="122">
        <v>1</v>
      </c>
      <c r="G1747" s="122">
        <v>120</v>
      </c>
      <c r="H1747" s="122">
        <v>427</v>
      </c>
      <c r="I1747" s="122">
        <v>30885</v>
      </c>
      <c r="J1747" s="122">
        <v>28077</v>
      </c>
      <c r="K1747" s="122">
        <v>79</v>
      </c>
      <c r="L1747" s="122">
        <v>8591</v>
      </c>
      <c r="M1747" s="122">
        <v>7810</v>
      </c>
      <c r="N1747" s="122">
        <v>2844</v>
      </c>
      <c r="O1747" s="122">
        <v>1053</v>
      </c>
      <c r="P1747" s="122">
        <v>473</v>
      </c>
      <c r="Q1747" s="122">
        <v>175</v>
      </c>
      <c r="R1747" s="122">
        <v>4922</v>
      </c>
      <c r="S1747" s="122">
        <v>4474</v>
      </c>
      <c r="T1747" s="122">
        <v>3384</v>
      </c>
      <c r="U1747" s="122">
        <v>1253</v>
      </c>
      <c r="V1747" s="122">
        <v>42843</v>
      </c>
      <c r="W1747" s="122">
        <f t="shared" si="54"/>
        <v>42842</v>
      </c>
      <c r="X1747" s="122">
        <f t="shared" si="55"/>
        <v>51099</v>
      </c>
      <c r="AA1747" t="s">
        <v>62</v>
      </c>
      <c r="AB1747" t="s">
        <v>426</v>
      </c>
      <c r="AC1747" t="s">
        <v>580</v>
      </c>
      <c r="AD1747" t="s">
        <v>426</v>
      </c>
      <c r="AE1747" t="s">
        <v>137</v>
      </c>
      <c r="AF1747">
        <v>33</v>
      </c>
      <c r="AG1747" s="122">
        <v>3031</v>
      </c>
      <c r="AH1747" s="122">
        <v>13588</v>
      </c>
      <c r="AI1747" s="122">
        <v>841079</v>
      </c>
      <c r="AJ1747" s="122">
        <v>764617</v>
      </c>
      <c r="AK1747">
        <v>61</v>
      </c>
      <c r="AL1747" s="122">
        <v>84018</v>
      </c>
      <c r="AM1747" s="122">
        <v>76380</v>
      </c>
      <c r="AN1747" s="122">
        <v>58550</v>
      </c>
      <c r="AO1747" s="122">
        <v>21685</v>
      </c>
      <c r="AP1747" s="122">
        <v>22572</v>
      </c>
      <c r="AQ1747" s="122">
        <v>8360</v>
      </c>
      <c r="AR1747" s="122">
        <v>160761</v>
      </c>
      <c r="AS1747" s="122">
        <v>146146</v>
      </c>
      <c r="AT1747" s="122">
        <v>81147</v>
      </c>
      <c r="AU1747" s="122">
        <v>30054</v>
      </c>
      <c r="AV1747" s="122">
        <v>1047243</v>
      </c>
    </row>
    <row r="1748" spans="2:48" hidden="1">
      <c r="B1748" t="s">
        <v>376</v>
      </c>
      <c r="C1748" t="s">
        <v>62</v>
      </c>
      <c r="D1748" t="s">
        <v>407</v>
      </c>
      <c r="E1748" t="s">
        <v>407</v>
      </c>
      <c r="F1748" s="122">
        <v>154</v>
      </c>
      <c r="G1748" s="122">
        <v>12775</v>
      </c>
      <c r="H1748" s="122">
        <v>63752</v>
      </c>
      <c r="I1748" s="122">
        <v>3209602</v>
      </c>
      <c r="J1748" s="122">
        <v>2917820</v>
      </c>
      <c r="K1748" s="122">
        <v>77</v>
      </c>
      <c r="L1748" s="122">
        <v>856305</v>
      </c>
      <c r="M1748" s="122">
        <v>720385</v>
      </c>
      <c r="N1748" s="122">
        <v>271542</v>
      </c>
      <c r="O1748" s="122">
        <v>100571</v>
      </c>
      <c r="P1748" s="122">
        <v>72873</v>
      </c>
      <c r="Q1748" s="122">
        <v>26990</v>
      </c>
      <c r="R1748" s="122">
        <v>687979</v>
      </c>
      <c r="S1748" s="122">
        <v>625435</v>
      </c>
      <c r="T1748" s="122">
        <v>205877</v>
      </c>
      <c r="U1748" s="122">
        <v>76251</v>
      </c>
      <c r="V1748" s="122">
        <v>4467452</v>
      </c>
      <c r="W1748" s="122">
        <f t="shared" si="54"/>
        <v>4467452</v>
      </c>
      <c r="X1748" s="122">
        <f t="shared" si="55"/>
        <v>5304178</v>
      </c>
      <c r="AA1748" t="s">
        <v>62</v>
      </c>
      <c r="AB1748" t="s">
        <v>426</v>
      </c>
      <c r="AC1748" t="s">
        <v>580</v>
      </c>
      <c r="AD1748" t="s">
        <v>426</v>
      </c>
      <c r="AE1748" t="s">
        <v>566</v>
      </c>
      <c r="AF1748">
        <v>1</v>
      </c>
      <c r="AG1748">
        <v>81</v>
      </c>
      <c r="AH1748">
        <v>441</v>
      </c>
      <c r="AI1748" s="122">
        <v>23774</v>
      </c>
      <c r="AJ1748" s="122">
        <v>21613</v>
      </c>
      <c r="AK1748">
        <v>55</v>
      </c>
      <c r="AL1748" s="122">
        <v>2421</v>
      </c>
      <c r="AM1748" s="122">
        <v>2201</v>
      </c>
      <c r="AN1748" s="122">
        <v>1422</v>
      </c>
      <c r="AO1748">
        <v>527</v>
      </c>
      <c r="AP1748">
        <v>972</v>
      </c>
      <c r="AQ1748">
        <v>360</v>
      </c>
      <c r="AR1748" s="122">
        <v>7133</v>
      </c>
      <c r="AS1748" s="122">
        <v>6485</v>
      </c>
      <c r="AT1748">
        <v>0</v>
      </c>
      <c r="AU1748">
        <v>0</v>
      </c>
      <c r="AV1748" s="122">
        <v>31185</v>
      </c>
    </row>
    <row r="1749" spans="2:48" hidden="1">
      <c r="B1749" t="s">
        <v>376</v>
      </c>
      <c r="C1749" t="s">
        <v>62</v>
      </c>
      <c r="D1749" t="s">
        <v>556</v>
      </c>
      <c r="E1749" t="s">
        <v>137</v>
      </c>
      <c r="F1749" s="122">
        <v>1</v>
      </c>
      <c r="G1749" s="122">
        <v>72</v>
      </c>
      <c r="H1749" s="122">
        <v>440</v>
      </c>
      <c r="I1749" s="122">
        <v>24134</v>
      </c>
      <c r="J1749" s="122">
        <v>20111</v>
      </c>
      <c r="K1749" s="122">
        <v>30</v>
      </c>
      <c r="L1749" s="122">
        <v>0</v>
      </c>
      <c r="M1749" s="122">
        <v>0</v>
      </c>
      <c r="N1749" s="122">
        <v>1370</v>
      </c>
      <c r="O1749" s="122">
        <v>508</v>
      </c>
      <c r="P1749" s="122">
        <v>0</v>
      </c>
      <c r="Q1749" s="122">
        <v>0</v>
      </c>
      <c r="R1749" s="122">
        <v>6238</v>
      </c>
      <c r="S1749" s="122">
        <v>2310</v>
      </c>
      <c r="T1749" s="122">
        <v>0</v>
      </c>
      <c r="U1749" s="122">
        <v>0</v>
      </c>
      <c r="V1749" s="122">
        <v>22929</v>
      </c>
      <c r="W1749" s="122">
        <f t="shared" si="54"/>
        <v>22929</v>
      </c>
      <c r="X1749" s="122">
        <f t="shared" si="55"/>
        <v>31742</v>
      </c>
      <c r="AA1749" t="s">
        <v>62</v>
      </c>
      <c r="AB1749" t="s">
        <v>426</v>
      </c>
      <c r="AC1749" t="s">
        <v>427</v>
      </c>
      <c r="AD1749" t="s">
        <v>426</v>
      </c>
      <c r="AE1749" t="s">
        <v>137</v>
      </c>
      <c r="AF1749">
        <v>17</v>
      </c>
      <c r="AG1749" s="122">
        <v>1436</v>
      </c>
      <c r="AH1749" s="122">
        <v>7139</v>
      </c>
      <c r="AI1749" s="122">
        <v>345829</v>
      </c>
      <c r="AJ1749" s="122">
        <v>314390</v>
      </c>
      <c r="AK1749">
        <v>50</v>
      </c>
      <c r="AL1749" s="122">
        <v>65387</v>
      </c>
      <c r="AM1749" s="122">
        <v>59443</v>
      </c>
      <c r="AN1749" s="122">
        <v>30501</v>
      </c>
      <c r="AO1749" s="122">
        <v>11297</v>
      </c>
      <c r="AP1749" s="122">
        <v>6237</v>
      </c>
      <c r="AQ1749" s="122">
        <v>2310</v>
      </c>
      <c r="AR1749" s="122">
        <v>110091</v>
      </c>
      <c r="AS1749" s="122">
        <v>100083</v>
      </c>
      <c r="AT1749" s="122">
        <v>46936</v>
      </c>
      <c r="AU1749" s="122">
        <v>17384</v>
      </c>
      <c r="AV1749" s="122">
        <v>504906</v>
      </c>
    </row>
    <row r="1750" spans="2:48" hidden="1">
      <c r="B1750" t="s">
        <v>376</v>
      </c>
      <c r="C1750" t="s">
        <v>62</v>
      </c>
      <c r="D1750" t="s">
        <v>556</v>
      </c>
      <c r="E1750" t="s">
        <v>556</v>
      </c>
      <c r="F1750" s="122">
        <v>20</v>
      </c>
      <c r="G1750" s="122">
        <v>1658</v>
      </c>
      <c r="H1750" s="122">
        <v>8218</v>
      </c>
      <c r="I1750" s="122">
        <v>440722</v>
      </c>
      <c r="J1750" s="122">
        <v>367268</v>
      </c>
      <c r="K1750" s="122">
        <v>55</v>
      </c>
      <c r="L1750" s="122">
        <v>40633</v>
      </c>
      <c r="M1750" s="122">
        <v>34025</v>
      </c>
      <c r="N1750" s="122">
        <v>33936</v>
      </c>
      <c r="O1750" s="122">
        <v>12569</v>
      </c>
      <c r="P1750" s="122">
        <v>7479</v>
      </c>
      <c r="Q1750" s="122">
        <v>2770</v>
      </c>
      <c r="R1750" s="122">
        <v>116659</v>
      </c>
      <c r="S1750" s="122">
        <v>97216</v>
      </c>
      <c r="T1750" s="122">
        <v>43297</v>
      </c>
      <c r="U1750" s="122">
        <v>16036</v>
      </c>
      <c r="V1750" s="122">
        <v>529884</v>
      </c>
      <c r="W1750" s="122">
        <f t="shared" si="54"/>
        <v>529884</v>
      </c>
      <c r="X1750" s="122">
        <f t="shared" si="55"/>
        <v>682726</v>
      </c>
      <c r="AA1750" t="s">
        <v>62</v>
      </c>
      <c r="AB1750" t="s">
        <v>426</v>
      </c>
      <c r="AC1750" t="s">
        <v>427</v>
      </c>
      <c r="AD1750" t="s">
        <v>426</v>
      </c>
      <c r="AE1750" t="s">
        <v>566</v>
      </c>
      <c r="AF1750">
        <v>3</v>
      </c>
      <c r="AG1750">
        <v>253</v>
      </c>
      <c r="AH1750" s="122">
        <v>1227</v>
      </c>
      <c r="AI1750" s="122">
        <v>55835</v>
      </c>
      <c r="AJ1750" s="122">
        <v>50759</v>
      </c>
      <c r="AK1750">
        <v>45</v>
      </c>
      <c r="AL1750" s="122">
        <v>7505</v>
      </c>
      <c r="AM1750" s="122">
        <v>6823</v>
      </c>
      <c r="AN1750" s="122">
        <v>4258</v>
      </c>
      <c r="AO1750" s="122">
        <v>1577</v>
      </c>
      <c r="AP1750">
        <v>972</v>
      </c>
      <c r="AQ1750">
        <v>360</v>
      </c>
      <c r="AR1750" s="122">
        <v>35054</v>
      </c>
      <c r="AS1750" s="122">
        <v>31867</v>
      </c>
      <c r="AT1750">
        <v>0</v>
      </c>
      <c r="AU1750">
        <v>0</v>
      </c>
      <c r="AV1750" s="122">
        <v>91386</v>
      </c>
    </row>
    <row r="1751" spans="2:48" hidden="1">
      <c r="B1751" t="s">
        <v>376</v>
      </c>
      <c r="C1751" t="s">
        <v>62</v>
      </c>
      <c r="D1751" t="s">
        <v>426</v>
      </c>
      <c r="E1751" t="s">
        <v>426</v>
      </c>
      <c r="F1751" s="122">
        <v>9</v>
      </c>
      <c r="G1751" s="122">
        <v>554</v>
      </c>
      <c r="H1751" s="122">
        <v>3624</v>
      </c>
      <c r="I1751" s="122">
        <v>130636</v>
      </c>
      <c r="J1751" s="122">
        <v>118760</v>
      </c>
      <c r="K1751" s="122">
        <v>56</v>
      </c>
      <c r="L1751" s="122">
        <v>12485</v>
      </c>
      <c r="M1751" s="122">
        <v>13588</v>
      </c>
      <c r="N1751" s="122">
        <v>10967</v>
      </c>
      <c r="O1751" s="122">
        <v>4062</v>
      </c>
      <c r="P1751" s="122">
        <v>3429</v>
      </c>
      <c r="Q1751" s="122">
        <v>1270</v>
      </c>
      <c r="R1751" s="122">
        <v>44367</v>
      </c>
      <c r="S1751" s="122">
        <v>40334</v>
      </c>
      <c r="T1751" s="122">
        <v>20531</v>
      </c>
      <c r="U1751" s="122">
        <v>7604</v>
      </c>
      <c r="V1751" s="122">
        <v>185617</v>
      </c>
      <c r="W1751" s="122">
        <f t="shared" si="54"/>
        <v>185618</v>
      </c>
      <c r="X1751" s="122">
        <f t="shared" si="55"/>
        <v>222415</v>
      </c>
      <c r="AA1751" t="s">
        <v>62</v>
      </c>
      <c r="AB1751" t="s">
        <v>426</v>
      </c>
      <c r="AC1751" t="s">
        <v>407</v>
      </c>
      <c r="AD1751" t="s">
        <v>426</v>
      </c>
      <c r="AE1751" t="s">
        <v>137</v>
      </c>
      <c r="AF1751">
        <v>1</v>
      </c>
      <c r="AG1751">
        <v>87</v>
      </c>
      <c r="AH1751">
        <v>385</v>
      </c>
      <c r="AI1751" s="122">
        <v>17461</v>
      </c>
      <c r="AJ1751" s="122">
        <v>15874</v>
      </c>
      <c r="AK1751">
        <v>45</v>
      </c>
      <c r="AL1751" s="122">
        <v>4365</v>
      </c>
      <c r="AM1751" s="122">
        <v>3968</v>
      </c>
      <c r="AN1751" s="122">
        <v>1777</v>
      </c>
      <c r="AO1751">
        <v>658</v>
      </c>
      <c r="AP1751">
        <v>351</v>
      </c>
      <c r="AQ1751">
        <v>130</v>
      </c>
      <c r="AR1751" s="122">
        <v>6977</v>
      </c>
      <c r="AS1751" s="122">
        <v>6343</v>
      </c>
      <c r="AT1751" s="122">
        <v>2709</v>
      </c>
      <c r="AU1751" s="122">
        <v>1003</v>
      </c>
      <c r="AV1751" s="122">
        <v>27976</v>
      </c>
    </row>
    <row r="1752" spans="2:48" hidden="1">
      <c r="B1752" t="s">
        <v>376</v>
      </c>
      <c r="C1752" t="s">
        <v>64</v>
      </c>
      <c r="D1752" t="s">
        <v>405</v>
      </c>
      <c r="E1752" t="s">
        <v>405</v>
      </c>
      <c r="F1752" s="122">
        <v>1</v>
      </c>
      <c r="G1752" s="122">
        <v>85</v>
      </c>
      <c r="H1752" s="122">
        <v>491</v>
      </c>
      <c r="I1752" s="122">
        <v>25682</v>
      </c>
      <c r="J1752" s="122">
        <v>23347</v>
      </c>
      <c r="K1752" s="122">
        <v>73</v>
      </c>
      <c r="L1752" s="122">
        <v>6601</v>
      </c>
      <c r="M1752" s="122">
        <v>6001</v>
      </c>
      <c r="N1752" s="122">
        <v>1933</v>
      </c>
      <c r="O1752" s="122">
        <v>716</v>
      </c>
      <c r="P1752" s="122">
        <v>473</v>
      </c>
      <c r="Q1752" s="122">
        <v>175</v>
      </c>
      <c r="R1752" s="122">
        <v>4382</v>
      </c>
      <c r="S1752" s="122">
        <v>3984</v>
      </c>
      <c r="T1752" s="122">
        <v>2587</v>
      </c>
      <c r="U1752" s="122">
        <v>958</v>
      </c>
      <c r="V1752" s="122">
        <v>35181</v>
      </c>
      <c r="W1752" s="122">
        <f t="shared" si="54"/>
        <v>35181</v>
      </c>
      <c r="X1752" s="122">
        <f t="shared" si="55"/>
        <v>41658</v>
      </c>
      <c r="AA1752" t="s">
        <v>62</v>
      </c>
      <c r="AB1752" t="s">
        <v>426</v>
      </c>
      <c r="AC1752" t="s">
        <v>579</v>
      </c>
      <c r="AD1752" t="s">
        <v>426</v>
      </c>
      <c r="AE1752" t="s">
        <v>137</v>
      </c>
      <c r="AF1752">
        <v>12</v>
      </c>
      <c r="AG1752">
        <v>915</v>
      </c>
      <c r="AH1752" s="122">
        <v>4900</v>
      </c>
      <c r="AI1752" s="122">
        <v>212208</v>
      </c>
      <c r="AJ1752" s="122">
        <v>192916</v>
      </c>
      <c r="AK1752">
        <v>45</v>
      </c>
      <c r="AL1752" s="122">
        <v>39032</v>
      </c>
      <c r="AM1752" s="122">
        <v>32527</v>
      </c>
      <c r="AN1752" s="122">
        <v>20176</v>
      </c>
      <c r="AO1752" s="122">
        <v>7473</v>
      </c>
      <c r="AP1752" s="122">
        <v>4212</v>
      </c>
      <c r="AQ1752" s="122">
        <v>1560</v>
      </c>
      <c r="AR1752" s="122">
        <v>71988</v>
      </c>
      <c r="AS1752" s="122">
        <v>65443</v>
      </c>
      <c r="AT1752" s="122">
        <v>26400</v>
      </c>
      <c r="AU1752" s="122">
        <v>9778</v>
      </c>
      <c r="AV1752" s="122">
        <v>309697</v>
      </c>
    </row>
    <row r="1753" spans="2:48" hidden="1">
      <c r="B1753" t="s">
        <v>376</v>
      </c>
      <c r="C1753" t="s">
        <v>64</v>
      </c>
      <c r="D1753" t="s">
        <v>137</v>
      </c>
      <c r="E1753" t="s">
        <v>137</v>
      </c>
      <c r="F1753" s="122">
        <v>123</v>
      </c>
      <c r="G1753" s="122">
        <v>9258</v>
      </c>
      <c r="H1753" s="122">
        <v>88828</v>
      </c>
      <c r="I1753" s="122">
        <v>4690819</v>
      </c>
      <c r="J1753" s="122">
        <v>1737340</v>
      </c>
      <c r="K1753" s="122">
        <v>100</v>
      </c>
      <c r="L1753" s="122">
        <v>894008</v>
      </c>
      <c r="M1753" s="122">
        <v>714823</v>
      </c>
      <c r="N1753" s="122">
        <v>208114</v>
      </c>
      <c r="O1753" s="122">
        <v>77079</v>
      </c>
      <c r="P1753" s="122">
        <v>1404</v>
      </c>
      <c r="Q1753" s="122">
        <v>520</v>
      </c>
      <c r="R1753" s="122">
        <v>802011</v>
      </c>
      <c r="S1753" s="122">
        <v>297041</v>
      </c>
      <c r="T1753" s="122">
        <v>3449</v>
      </c>
      <c r="U1753" s="122">
        <v>1277</v>
      </c>
      <c r="V1753" s="122">
        <v>2828081</v>
      </c>
      <c r="W1753" s="122">
        <f t="shared" si="54"/>
        <v>2828080</v>
      </c>
      <c r="X1753" s="122">
        <f t="shared" si="55"/>
        <v>6599805</v>
      </c>
      <c r="AA1753" t="s">
        <v>62</v>
      </c>
      <c r="AB1753" t="s">
        <v>426</v>
      </c>
      <c r="AC1753" t="s">
        <v>431</v>
      </c>
      <c r="AD1753" t="s">
        <v>426</v>
      </c>
      <c r="AE1753" t="s">
        <v>137</v>
      </c>
      <c r="AF1753">
        <v>1</v>
      </c>
      <c r="AG1753">
        <v>94</v>
      </c>
      <c r="AH1753">
        <v>381</v>
      </c>
      <c r="AI1753" s="122">
        <v>17292</v>
      </c>
      <c r="AJ1753" s="122">
        <v>15720</v>
      </c>
      <c r="AK1753">
        <v>65</v>
      </c>
      <c r="AL1753" s="122">
        <v>4163</v>
      </c>
      <c r="AM1753" s="122">
        <v>3784</v>
      </c>
      <c r="AN1753" s="122">
        <v>2189</v>
      </c>
      <c r="AO1753">
        <v>811</v>
      </c>
      <c r="AP1753">
        <v>351</v>
      </c>
      <c r="AQ1753">
        <v>130</v>
      </c>
      <c r="AR1753" s="122">
        <v>7210</v>
      </c>
      <c r="AS1753" s="122">
        <v>6554</v>
      </c>
      <c r="AT1753" s="122">
        <v>4579</v>
      </c>
      <c r="AU1753" s="122">
        <v>1696</v>
      </c>
      <c r="AV1753" s="122">
        <v>28695</v>
      </c>
    </row>
    <row r="1754" spans="2:48" hidden="1">
      <c r="B1754" t="s">
        <v>376</v>
      </c>
      <c r="C1754" t="s">
        <v>64</v>
      </c>
      <c r="D1754" t="s">
        <v>137</v>
      </c>
      <c r="E1754" t="s">
        <v>406</v>
      </c>
      <c r="F1754" s="122">
        <v>2</v>
      </c>
      <c r="G1754" s="122">
        <v>286</v>
      </c>
      <c r="H1754" s="122">
        <v>1089</v>
      </c>
      <c r="I1754" s="122">
        <v>119867</v>
      </c>
      <c r="J1754" s="122">
        <v>44395</v>
      </c>
      <c r="K1754" s="122">
        <v>100</v>
      </c>
      <c r="L1754" s="122">
        <v>15725</v>
      </c>
      <c r="M1754" s="122">
        <v>14295</v>
      </c>
      <c r="N1754" s="122">
        <v>6288</v>
      </c>
      <c r="O1754" s="122">
        <v>2329</v>
      </c>
      <c r="P1754" s="122">
        <v>621</v>
      </c>
      <c r="Q1754" s="122">
        <v>230</v>
      </c>
      <c r="R1754" s="122">
        <v>15313</v>
      </c>
      <c r="S1754" s="122">
        <v>13921</v>
      </c>
      <c r="T1754" s="122">
        <v>3197</v>
      </c>
      <c r="U1754" s="122">
        <v>1184</v>
      </c>
      <c r="V1754" s="122">
        <v>76354</v>
      </c>
      <c r="W1754" s="122">
        <f t="shared" si="54"/>
        <v>76354</v>
      </c>
      <c r="X1754" s="122">
        <f t="shared" si="55"/>
        <v>161011</v>
      </c>
      <c r="AA1754" t="s">
        <v>62</v>
      </c>
      <c r="AB1754" t="s">
        <v>426</v>
      </c>
      <c r="AC1754" t="s">
        <v>426</v>
      </c>
      <c r="AD1754" t="s">
        <v>137</v>
      </c>
      <c r="AE1754" t="s">
        <v>137</v>
      </c>
      <c r="AF1754">
        <v>4</v>
      </c>
      <c r="AG1754">
        <v>369</v>
      </c>
      <c r="AH1754" s="122">
        <v>1666</v>
      </c>
      <c r="AI1754" s="122">
        <v>85079</v>
      </c>
      <c r="AJ1754" s="122">
        <v>77345</v>
      </c>
      <c r="AK1754">
        <v>56</v>
      </c>
      <c r="AL1754" s="122">
        <v>17715</v>
      </c>
      <c r="AM1754" s="122">
        <v>16105</v>
      </c>
      <c r="AN1754" s="122">
        <v>8105</v>
      </c>
      <c r="AO1754" s="122">
        <v>3002</v>
      </c>
      <c r="AP1754">
        <v>702</v>
      </c>
      <c r="AQ1754">
        <v>260</v>
      </c>
      <c r="AR1754" s="122">
        <v>29924</v>
      </c>
      <c r="AS1754" s="122">
        <v>11083</v>
      </c>
      <c r="AT1754" s="122">
        <v>12423</v>
      </c>
      <c r="AU1754" s="122">
        <v>4601</v>
      </c>
      <c r="AV1754" s="122">
        <v>112395</v>
      </c>
    </row>
    <row r="1755" spans="2:48" hidden="1">
      <c r="B1755" t="s">
        <v>376</v>
      </c>
      <c r="C1755" t="s">
        <v>64</v>
      </c>
      <c r="D1755" t="s">
        <v>137</v>
      </c>
      <c r="E1755" t="s">
        <v>427</v>
      </c>
      <c r="F1755" s="122">
        <v>1</v>
      </c>
      <c r="G1755" s="122">
        <v>64</v>
      </c>
      <c r="H1755" s="122">
        <v>756</v>
      </c>
      <c r="I1755" s="122">
        <v>37896</v>
      </c>
      <c r="J1755" s="122">
        <v>14035</v>
      </c>
      <c r="K1755" s="122">
        <v>100</v>
      </c>
      <c r="L1755" s="122">
        <v>3431</v>
      </c>
      <c r="M1755" s="122">
        <v>3119</v>
      </c>
      <c r="N1755" s="122">
        <v>1569</v>
      </c>
      <c r="O1755" s="122">
        <v>581</v>
      </c>
      <c r="P1755" s="122">
        <v>0</v>
      </c>
      <c r="Q1755" s="122">
        <v>0</v>
      </c>
      <c r="R1755" s="122">
        <v>4290</v>
      </c>
      <c r="S1755" s="122">
        <v>3900</v>
      </c>
      <c r="T1755" s="122">
        <v>1506</v>
      </c>
      <c r="U1755" s="122">
        <v>558</v>
      </c>
      <c r="V1755" s="122">
        <v>22193</v>
      </c>
      <c r="W1755" s="122">
        <f t="shared" si="54"/>
        <v>22193</v>
      </c>
      <c r="X1755" s="122">
        <f t="shared" si="55"/>
        <v>48692</v>
      </c>
      <c r="AA1755" t="s">
        <v>62</v>
      </c>
      <c r="AB1755" t="s">
        <v>426</v>
      </c>
      <c r="AC1755" t="s">
        <v>426</v>
      </c>
      <c r="AD1755" t="s">
        <v>137</v>
      </c>
      <c r="AE1755" t="s">
        <v>566</v>
      </c>
      <c r="AF1755">
        <v>13</v>
      </c>
      <c r="AG1755" s="122">
        <v>1035</v>
      </c>
      <c r="AH1755" s="122">
        <v>5353</v>
      </c>
      <c r="AI1755" s="122">
        <v>267109</v>
      </c>
      <c r="AJ1755" s="122">
        <v>242826</v>
      </c>
      <c r="AK1755">
        <v>56</v>
      </c>
      <c r="AL1755" s="122">
        <v>47895</v>
      </c>
      <c r="AM1755" s="122">
        <v>43541</v>
      </c>
      <c r="AN1755" s="122">
        <v>21384</v>
      </c>
      <c r="AO1755" s="122">
        <v>7920</v>
      </c>
      <c r="AP1755" s="122">
        <v>2808</v>
      </c>
      <c r="AQ1755" s="122">
        <v>1040</v>
      </c>
      <c r="AR1755" s="122">
        <v>95720</v>
      </c>
      <c r="AS1755" s="122">
        <v>35452</v>
      </c>
      <c r="AT1755">
        <v>0</v>
      </c>
      <c r="AU1755">
        <v>0</v>
      </c>
      <c r="AV1755" s="122">
        <v>330779</v>
      </c>
    </row>
    <row r="1756" spans="2:48" hidden="1">
      <c r="B1756" t="s">
        <v>376</v>
      </c>
      <c r="C1756" t="s">
        <v>64</v>
      </c>
      <c r="D1756" t="s">
        <v>137</v>
      </c>
      <c r="E1756" t="s">
        <v>556</v>
      </c>
      <c r="F1756" s="122">
        <v>10</v>
      </c>
      <c r="G1756" s="122">
        <v>614</v>
      </c>
      <c r="H1756" s="122">
        <v>5901</v>
      </c>
      <c r="I1756" s="122">
        <v>232195</v>
      </c>
      <c r="J1756" s="122">
        <v>85998</v>
      </c>
      <c r="K1756" s="122">
        <v>100</v>
      </c>
      <c r="L1756" s="122">
        <v>44029</v>
      </c>
      <c r="M1756" s="122">
        <v>36691</v>
      </c>
      <c r="N1756" s="122">
        <v>13987</v>
      </c>
      <c r="O1756" s="122">
        <v>5180</v>
      </c>
      <c r="P1756" s="122">
        <v>1404</v>
      </c>
      <c r="Q1756" s="122">
        <v>520</v>
      </c>
      <c r="R1756" s="122">
        <v>53756</v>
      </c>
      <c r="S1756" s="122">
        <v>44796</v>
      </c>
      <c r="T1756" s="122">
        <v>19189</v>
      </c>
      <c r="U1756" s="122">
        <v>7107</v>
      </c>
      <c r="V1756" s="122">
        <v>180293</v>
      </c>
      <c r="W1756" s="122">
        <f t="shared" si="54"/>
        <v>180292</v>
      </c>
      <c r="X1756" s="122">
        <f t="shared" si="55"/>
        <v>364560</v>
      </c>
      <c r="AA1756" t="s">
        <v>62</v>
      </c>
      <c r="AB1756" t="s">
        <v>426</v>
      </c>
      <c r="AC1756" t="s">
        <v>426</v>
      </c>
      <c r="AD1756" t="s">
        <v>426</v>
      </c>
      <c r="AE1756" t="s">
        <v>137</v>
      </c>
      <c r="AF1756" s="122">
        <v>1192</v>
      </c>
      <c r="AG1756" s="122">
        <v>94923</v>
      </c>
      <c r="AH1756" s="122">
        <v>486611</v>
      </c>
      <c r="AI1756" s="122">
        <v>22982377</v>
      </c>
      <c r="AJ1756" s="122">
        <v>20893070</v>
      </c>
      <c r="AK1756">
        <v>48</v>
      </c>
      <c r="AL1756" s="122">
        <v>3750847</v>
      </c>
      <c r="AM1756" s="122">
        <v>3409861</v>
      </c>
      <c r="AN1756" s="122">
        <v>1854862</v>
      </c>
      <c r="AO1756" s="122">
        <v>686986</v>
      </c>
      <c r="AP1756" s="122">
        <v>421502</v>
      </c>
      <c r="AQ1756" s="122">
        <v>156112</v>
      </c>
      <c r="AR1756" s="122">
        <v>7104011</v>
      </c>
      <c r="AS1756" s="122">
        <v>6458192</v>
      </c>
      <c r="AT1756" s="122">
        <v>2711584</v>
      </c>
      <c r="AU1756" s="122">
        <v>1004291</v>
      </c>
      <c r="AV1756" s="122">
        <v>32608511</v>
      </c>
    </row>
    <row r="1757" spans="2:48" hidden="1">
      <c r="B1757" t="s">
        <v>376</v>
      </c>
      <c r="C1757" t="s">
        <v>64</v>
      </c>
      <c r="D1757" t="s">
        <v>137</v>
      </c>
      <c r="E1757" t="s">
        <v>426</v>
      </c>
      <c r="F1757" s="122">
        <v>1</v>
      </c>
      <c r="G1757" s="122">
        <v>73</v>
      </c>
      <c r="H1757" s="122">
        <v>511</v>
      </c>
      <c r="I1757" s="122">
        <v>28975</v>
      </c>
      <c r="J1757" s="122">
        <v>10732</v>
      </c>
      <c r="K1757" s="122">
        <v>100</v>
      </c>
      <c r="L1757" s="122">
        <v>2623</v>
      </c>
      <c r="M1757" s="122">
        <v>2385</v>
      </c>
      <c r="N1757" s="122">
        <v>1786</v>
      </c>
      <c r="O1757" s="122">
        <v>662</v>
      </c>
      <c r="P1757" s="122">
        <v>0</v>
      </c>
      <c r="Q1757" s="122">
        <v>0</v>
      </c>
      <c r="R1757" s="122">
        <v>2450</v>
      </c>
      <c r="S1757" s="122">
        <v>2228</v>
      </c>
      <c r="T1757" s="122">
        <v>1629</v>
      </c>
      <c r="U1757" s="122">
        <v>603</v>
      </c>
      <c r="V1757" s="122">
        <v>16609</v>
      </c>
      <c r="W1757" s="122">
        <f t="shared" si="54"/>
        <v>16610</v>
      </c>
      <c r="X1757" s="122">
        <f t="shared" si="55"/>
        <v>37463</v>
      </c>
      <c r="AA1757" t="s">
        <v>62</v>
      </c>
      <c r="AB1757" t="s">
        <v>426</v>
      </c>
      <c r="AC1757" t="s">
        <v>426</v>
      </c>
      <c r="AD1757" t="s">
        <v>426</v>
      </c>
      <c r="AE1757" t="s">
        <v>566</v>
      </c>
      <c r="AF1757">
        <v>68</v>
      </c>
      <c r="AG1757" s="122">
        <v>5485</v>
      </c>
      <c r="AH1757" s="122">
        <v>28194</v>
      </c>
      <c r="AI1757" s="122">
        <v>1348047</v>
      </c>
      <c r="AJ1757" s="122">
        <v>1225497</v>
      </c>
      <c r="AK1757">
        <v>51</v>
      </c>
      <c r="AL1757" s="122">
        <v>234432</v>
      </c>
      <c r="AM1757" s="122">
        <v>213120</v>
      </c>
      <c r="AN1757" s="122">
        <v>104125</v>
      </c>
      <c r="AO1757" s="122">
        <v>38565</v>
      </c>
      <c r="AP1757" s="122">
        <v>22681</v>
      </c>
      <c r="AQ1757" s="122">
        <v>8401</v>
      </c>
      <c r="AR1757" s="122">
        <v>570117</v>
      </c>
      <c r="AS1757" s="122">
        <v>518288</v>
      </c>
      <c r="AT1757">
        <v>0</v>
      </c>
      <c r="AU1757">
        <v>0</v>
      </c>
      <c r="AV1757" s="122">
        <v>2003871</v>
      </c>
    </row>
    <row r="1758" spans="2:48" hidden="1">
      <c r="B1758" t="s">
        <v>376</v>
      </c>
      <c r="C1758" t="s">
        <v>64</v>
      </c>
      <c r="D1758" t="s">
        <v>406</v>
      </c>
      <c r="E1758" t="s">
        <v>137</v>
      </c>
      <c r="F1758" s="122">
        <v>6</v>
      </c>
      <c r="G1758" s="122">
        <v>389</v>
      </c>
      <c r="H1758" s="122">
        <v>3612</v>
      </c>
      <c r="I1758" s="122">
        <v>148758</v>
      </c>
      <c r="J1758" s="122">
        <v>135235</v>
      </c>
      <c r="K1758" s="122">
        <v>69</v>
      </c>
      <c r="L1758" s="122">
        <v>33189</v>
      </c>
      <c r="M1758" s="122">
        <v>29182</v>
      </c>
      <c r="N1758" s="122">
        <v>8240</v>
      </c>
      <c r="O1758" s="122">
        <v>3052</v>
      </c>
      <c r="P1758" s="122">
        <v>3726</v>
      </c>
      <c r="Q1758" s="122">
        <v>1380</v>
      </c>
      <c r="R1758" s="122">
        <v>40319</v>
      </c>
      <c r="S1758" s="122">
        <v>14933</v>
      </c>
      <c r="T1758" s="122">
        <v>0</v>
      </c>
      <c r="U1758" s="122">
        <v>0</v>
      </c>
      <c r="V1758" s="122">
        <v>183782</v>
      </c>
      <c r="W1758" s="122">
        <f t="shared" si="54"/>
        <v>183782</v>
      </c>
      <c r="X1758" s="122">
        <f t="shared" si="55"/>
        <v>234232</v>
      </c>
      <c r="AA1758" t="s">
        <v>62</v>
      </c>
      <c r="AB1758" t="s">
        <v>426</v>
      </c>
      <c r="AC1758" t="s">
        <v>426</v>
      </c>
      <c r="AD1758" t="s">
        <v>481</v>
      </c>
      <c r="AE1758" t="s">
        <v>137</v>
      </c>
      <c r="AF1758">
        <v>1</v>
      </c>
      <c r="AG1758">
        <v>61</v>
      </c>
      <c r="AH1758">
        <v>448</v>
      </c>
      <c r="AI1758" s="122">
        <v>16701</v>
      </c>
      <c r="AJ1758" s="122">
        <v>15183</v>
      </c>
      <c r="AK1758">
        <v>45</v>
      </c>
      <c r="AL1758" s="122">
        <v>2641</v>
      </c>
      <c r="AM1758" s="122">
        <v>2401</v>
      </c>
      <c r="AN1758" s="122">
        <v>1122</v>
      </c>
      <c r="AO1758">
        <v>416</v>
      </c>
      <c r="AP1758">
        <v>351</v>
      </c>
      <c r="AQ1758">
        <v>130</v>
      </c>
      <c r="AR1758" s="122">
        <v>4746</v>
      </c>
      <c r="AS1758" s="122">
        <v>4315</v>
      </c>
      <c r="AT1758" s="122">
        <v>1909</v>
      </c>
      <c r="AU1758">
        <v>707</v>
      </c>
      <c r="AV1758" s="122">
        <v>23151</v>
      </c>
    </row>
    <row r="1759" spans="2:48" hidden="1">
      <c r="B1759" t="s">
        <v>376</v>
      </c>
      <c r="C1759" t="s">
        <v>64</v>
      </c>
      <c r="D1759" t="s">
        <v>406</v>
      </c>
      <c r="E1759" t="s">
        <v>406</v>
      </c>
      <c r="F1759" s="122">
        <v>287</v>
      </c>
      <c r="G1759" s="122">
        <v>24140</v>
      </c>
      <c r="H1759" s="122">
        <v>154650</v>
      </c>
      <c r="I1759" s="122">
        <v>8558975</v>
      </c>
      <c r="J1759" s="122">
        <v>7780887</v>
      </c>
      <c r="K1759" s="122">
        <v>72</v>
      </c>
      <c r="L1759" s="122">
        <v>1894257</v>
      </c>
      <c r="M1759" s="122">
        <v>1624123</v>
      </c>
      <c r="N1759" s="122">
        <v>531254</v>
      </c>
      <c r="O1759" s="122">
        <v>196761</v>
      </c>
      <c r="P1759" s="122">
        <v>178781</v>
      </c>
      <c r="Q1759" s="122">
        <v>66215</v>
      </c>
      <c r="R1759" s="122">
        <v>1335106</v>
      </c>
      <c r="S1759" s="122">
        <v>1213733</v>
      </c>
      <c r="T1759" s="122">
        <v>580948</v>
      </c>
      <c r="U1759" s="122">
        <v>215166</v>
      </c>
      <c r="V1759" s="122">
        <v>11096885</v>
      </c>
      <c r="W1759" s="122">
        <f t="shared" si="54"/>
        <v>11096885</v>
      </c>
      <c r="X1759" s="122">
        <f t="shared" si="55"/>
        <v>13079321</v>
      </c>
      <c r="AA1759" t="s">
        <v>62</v>
      </c>
      <c r="AB1759" t="s">
        <v>426</v>
      </c>
      <c r="AC1759" t="s">
        <v>566</v>
      </c>
      <c r="AD1759" t="s">
        <v>137</v>
      </c>
      <c r="AE1759" t="s">
        <v>137</v>
      </c>
      <c r="AF1759">
        <v>2</v>
      </c>
      <c r="AG1759">
        <v>159</v>
      </c>
      <c r="AH1759">
        <v>797</v>
      </c>
      <c r="AI1759" s="122">
        <v>29697</v>
      </c>
      <c r="AJ1759" s="122">
        <v>26997</v>
      </c>
      <c r="AK1759">
        <v>55</v>
      </c>
      <c r="AL1759">
        <v>0</v>
      </c>
      <c r="AM1759">
        <v>0</v>
      </c>
      <c r="AN1759" s="122">
        <v>3277</v>
      </c>
      <c r="AO1759" s="122">
        <v>1214</v>
      </c>
      <c r="AP1759">
        <v>702</v>
      </c>
      <c r="AQ1759">
        <v>260</v>
      </c>
      <c r="AR1759" s="122">
        <v>24938</v>
      </c>
      <c r="AS1759" s="122">
        <v>9236</v>
      </c>
      <c r="AT1759" s="122">
        <v>4582</v>
      </c>
      <c r="AU1759" s="122">
        <v>1697</v>
      </c>
      <c r="AV1759" s="122">
        <v>39404</v>
      </c>
    </row>
    <row r="1760" spans="2:48" hidden="1">
      <c r="B1760" t="s">
        <v>376</v>
      </c>
      <c r="C1760" t="s">
        <v>64</v>
      </c>
      <c r="D1760" t="s">
        <v>406</v>
      </c>
      <c r="E1760" t="s">
        <v>407</v>
      </c>
      <c r="F1760" s="122">
        <v>1</v>
      </c>
      <c r="G1760" s="122">
        <v>69</v>
      </c>
      <c r="H1760" s="122">
        <v>536</v>
      </c>
      <c r="I1760" s="122">
        <v>27013</v>
      </c>
      <c r="J1760" s="122">
        <v>24557</v>
      </c>
      <c r="K1760" s="122">
        <v>65</v>
      </c>
      <c r="L1760" s="122">
        <v>3091</v>
      </c>
      <c r="M1760" s="122">
        <v>2810</v>
      </c>
      <c r="N1760" s="122">
        <v>1203</v>
      </c>
      <c r="O1760" s="122">
        <v>446</v>
      </c>
      <c r="P1760" s="122">
        <v>621</v>
      </c>
      <c r="Q1760" s="122">
        <v>230</v>
      </c>
      <c r="R1760" s="122">
        <v>5119</v>
      </c>
      <c r="S1760" s="122">
        <v>4654</v>
      </c>
      <c r="T1760" s="122">
        <v>0</v>
      </c>
      <c r="U1760" s="122">
        <v>0</v>
      </c>
      <c r="V1760" s="122">
        <v>32697</v>
      </c>
      <c r="W1760" s="122">
        <f t="shared" si="54"/>
        <v>32697</v>
      </c>
      <c r="X1760" s="122">
        <f t="shared" si="55"/>
        <v>37047</v>
      </c>
      <c r="AA1760" t="s">
        <v>62</v>
      </c>
      <c r="AB1760" t="s">
        <v>426</v>
      </c>
      <c r="AC1760" t="s">
        <v>566</v>
      </c>
      <c r="AD1760" t="s">
        <v>137</v>
      </c>
      <c r="AE1760" t="s">
        <v>566</v>
      </c>
      <c r="AF1760">
        <v>14</v>
      </c>
      <c r="AG1760">
        <v>966</v>
      </c>
      <c r="AH1760" s="122">
        <v>5817</v>
      </c>
      <c r="AI1760" s="122">
        <v>275182</v>
      </c>
      <c r="AJ1760" s="122">
        <v>250165</v>
      </c>
      <c r="AK1760">
        <v>56</v>
      </c>
      <c r="AL1760">
        <v>0</v>
      </c>
      <c r="AM1760" s="122">
        <v>9071</v>
      </c>
      <c r="AN1760" s="122">
        <v>19553</v>
      </c>
      <c r="AO1760" s="122">
        <v>7242</v>
      </c>
      <c r="AP1760" s="122">
        <v>3159</v>
      </c>
      <c r="AQ1760" s="122">
        <v>1170</v>
      </c>
      <c r="AR1760" s="122">
        <v>103128</v>
      </c>
      <c r="AS1760" s="122">
        <v>38195</v>
      </c>
      <c r="AT1760">
        <v>0</v>
      </c>
      <c r="AU1760">
        <v>0</v>
      </c>
      <c r="AV1760" s="122">
        <v>305844</v>
      </c>
    </row>
    <row r="1761" spans="2:48" hidden="1">
      <c r="B1761" t="s">
        <v>376</v>
      </c>
      <c r="C1761" t="s">
        <v>64</v>
      </c>
      <c r="D1761" t="s">
        <v>427</v>
      </c>
      <c r="E1761" t="s">
        <v>425</v>
      </c>
      <c r="F1761" s="122">
        <v>1</v>
      </c>
      <c r="G1761" s="122">
        <v>79</v>
      </c>
      <c r="H1761" s="122">
        <v>975</v>
      </c>
      <c r="I1761" s="122">
        <v>70164</v>
      </c>
      <c r="J1761" s="122">
        <v>63786</v>
      </c>
      <c r="K1761" s="122">
        <v>30</v>
      </c>
      <c r="L1761" s="122">
        <v>0</v>
      </c>
      <c r="M1761" s="122">
        <v>0</v>
      </c>
      <c r="N1761" s="122">
        <v>1745</v>
      </c>
      <c r="O1761" s="122">
        <v>646</v>
      </c>
      <c r="P1761" s="122">
        <v>0</v>
      </c>
      <c r="Q1761" s="122">
        <v>0</v>
      </c>
      <c r="R1761" s="122">
        <v>4814</v>
      </c>
      <c r="S1761" s="122">
        <v>4376</v>
      </c>
      <c r="T1761" s="122">
        <v>0</v>
      </c>
      <c r="U1761" s="122">
        <v>0</v>
      </c>
      <c r="V1761" s="122">
        <v>68808</v>
      </c>
      <c r="W1761" s="122">
        <f t="shared" si="54"/>
        <v>68808</v>
      </c>
      <c r="X1761" s="122">
        <f t="shared" si="55"/>
        <v>76723</v>
      </c>
      <c r="AA1761" t="s">
        <v>62</v>
      </c>
      <c r="AB1761" t="s">
        <v>426</v>
      </c>
      <c r="AC1761" t="s">
        <v>566</v>
      </c>
      <c r="AD1761" t="s">
        <v>406</v>
      </c>
      <c r="AE1761" t="s">
        <v>137</v>
      </c>
      <c r="AF1761">
        <v>1</v>
      </c>
      <c r="AG1761">
        <v>47</v>
      </c>
      <c r="AH1761">
        <v>429</v>
      </c>
      <c r="AI1761" s="122">
        <v>9725</v>
      </c>
      <c r="AJ1761" s="122">
        <v>8841</v>
      </c>
      <c r="AK1761">
        <v>45</v>
      </c>
      <c r="AL1761">
        <v>0</v>
      </c>
      <c r="AM1761">
        <v>0</v>
      </c>
      <c r="AN1761">
        <v>956</v>
      </c>
      <c r="AO1761">
        <v>354</v>
      </c>
      <c r="AP1761">
        <v>621</v>
      </c>
      <c r="AQ1761">
        <v>230</v>
      </c>
      <c r="AR1761" s="122">
        <v>6438</v>
      </c>
      <c r="AS1761" s="122">
        <v>5853</v>
      </c>
      <c r="AT1761" s="122">
        <v>2416</v>
      </c>
      <c r="AU1761">
        <v>895</v>
      </c>
      <c r="AV1761" s="122">
        <v>16173</v>
      </c>
    </row>
    <row r="1762" spans="2:48" hidden="1">
      <c r="B1762" t="s">
        <v>376</v>
      </c>
      <c r="C1762" t="s">
        <v>64</v>
      </c>
      <c r="D1762" t="s">
        <v>427</v>
      </c>
      <c r="E1762" t="s">
        <v>137</v>
      </c>
      <c r="F1762" s="122">
        <v>9</v>
      </c>
      <c r="G1762" s="122">
        <v>657</v>
      </c>
      <c r="H1762" s="122">
        <v>9242</v>
      </c>
      <c r="I1762" s="122">
        <v>521884</v>
      </c>
      <c r="J1762" s="122">
        <v>474440</v>
      </c>
      <c r="K1762" s="122">
        <v>33</v>
      </c>
      <c r="L1762" s="122">
        <v>45494</v>
      </c>
      <c r="M1762" s="122">
        <v>20505</v>
      </c>
      <c r="N1762" s="122">
        <v>14980</v>
      </c>
      <c r="O1762" s="122">
        <v>5548</v>
      </c>
      <c r="P1762" s="122">
        <v>0</v>
      </c>
      <c r="Q1762" s="122">
        <v>0</v>
      </c>
      <c r="R1762" s="122">
        <v>56784</v>
      </c>
      <c r="S1762" s="122">
        <v>21031</v>
      </c>
      <c r="T1762" s="122">
        <v>0</v>
      </c>
      <c r="U1762" s="122">
        <v>0</v>
      </c>
      <c r="V1762" s="122">
        <v>521524</v>
      </c>
      <c r="W1762" s="122">
        <f t="shared" si="54"/>
        <v>521524</v>
      </c>
      <c r="X1762" s="122">
        <f t="shared" si="55"/>
        <v>639142</v>
      </c>
      <c r="AA1762" t="s">
        <v>62</v>
      </c>
      <c r="AB1762" t="s">
        <v>426</v>
      </c>
      <c r="AC1762" t="s">
        <v>566</v>
      </c>
      <c r="AD1762" t="s">
        <v>426</v>
      </c>
      <c r="AE1762" t="s">
        <v>137</v>
      </c>
      <c r="AF1762">
        <v>797</v>
      </c>
      <c r="AG1762" s="122">
        <v>44177</v>
      </c>
      <c r="AH1762" s="122">
        <v>328683</v>
      </c>
      <c r="AI1762" s="122">
        <v>11552506</v>
      </c>
      <c r="AJ1762" s="122">
        <v>10502278</v>
      </c>
      <c r="AK1762">
        <v>53</v>
      </c>
      <c r="AL1762">
        <v>0</v>
      </c>
      <c r="AM1762" s="122">
        <v>45679</v>
      </c>
      <c r="AN1762" s="122">
        <v>896103</v>
      </c>
      <c r="AO1762" s="122">
        <v>331890</v>
      </c>
      <c r="AP1762" s="122">
        <v>280706</v>
      </c>
      <c r="AQ1762" s="122">
        <v>103965</v>
      </c>
      <c r="AR1762" s="122">
        <v>3929609</v>
      </c>
      <c r="AS1762" s="122">
        <v>3572372</v>
      </c>
      <c r="AT1762" s="122">
        <v>1600346</v>
      </c>
      <c r="AU1762" s="122">
        <v>592721</v>
      </c>
      <c r="AV1762" s="122">
        <v>15148905</v>
      </c>
    </row>
    <row r="1763" spans="2:48" hidden="1">
      <c r="B1763" t="s">
        <v>376</v>
      </c>
      <c r="C1763" t="s">
        <v>64</v>
      </c>
      <c r="D1763" t="s">
        <v>427</v>
      </c>
      <c r="E1763" t="s">
        <v>427</v>
      </c>
      <c r="F1763" s="122">
        <v>22</v>
      </c>
      <c r="G1763" s="122">
        <v>1464</v>
      </c>
      <c r="H1763" s="122">
        <v>16567</v>
      </c>
      <c r="I1763" s="122">
        <v>791378</v>
      </c>
      <c r="J1763" s="122">
        <v>719435</v>
      </c>
      <c r="K1763" s="122">
        <v>51</v>
      </c>
      <c r="L1763" s="122">
        <v>92802</v>
      </c>
      <c r="M1763" s="122">
        <v>58366</v>
      </c>
      <c r="N1763" s="122">
        <v>31942</v>
      </c>
      <c r="O1763" s="122">
        <v>11830</v>
      </c>
      <c r="P1763" s="122">
        <v>4914</v>
      </c>
      <c r="Q1763" s="122">
        <v>1820</v>
      </c>
      <c r="R1763" s="122">
        <v>132572</v>
      </c>
      <c r="S1763" s="122">
        <v>120520</v>
      </c>
      <c r="T1763" s="122">
        <v>36164</v>
      </c>
      <c r="U1763" s="122">
        <v>13394</v>
      </c>
      <c r="V1763" s="122">
        <v>925366</v>
      </c>
      <c r="W1763" s="122">
        <f t="shared" si="54"/>
        <v>925365</v>
      </c>
      <c r="X1763" s="122">
        <f t="shared" si="55"/>
        <v>1089772</v>
      </c>
      <c r="AA1763" t="s">
        <v>62</v>
      </c>
      <c r="AB1763" t="s">
        <v>426</v>
      </c>
      <c r="AC1763" t="s">
        <v>566</v>
      </c>
      <c r="AD1763" t="s">
        <v>426</v>
      </c>
      <c r="AE1763" t="s">
        <v>566</v>
      </c>
      <c r="AF1763">
        <v>21</v>
      </c>
      <c r="AG1763" s="122">
        <v>1479</v>
      </c>
      <c r="AH1763" s="122">
        <v>8582</v>
      </c>
      <c r="AI1763" s="122">
        <v>399632</v>
      </c>
      <c r="AJ1763" s="122">
        <v>363302</v>
      </c>
      <c r="AK1763">
        <v>55</v>
      </c>
      <c r="AL1763">
        <v>0</v>
      </c>
      <c r="AM1763">
        <v>0</v>
      </c>
      <c r="AN1763" s="122">
        <v>28223</v>
      </c>
      <c r="AO1763" s="122">
        <v>10453</v>
      </c>
      <c r="AP1763" s="122">
        <v>6507</v>
      </c>
      <c r="AQ1763" s="122">
        <v>2410</v>
      </c>
      <c r="AR1763" s="122">
        <v>169702</v>
      </c>
      <c r="AS1763" s="122">
        <v>154274</v>
      </c>
      <c r="AT1763">
        <v>0</v>
      </c>
      <c r="AU1763">
        <v>0</v>
      </c>
      <c r="AV1763" s="122">
        <v>530439</v>
      </c>
    </row>
    <row r="1764" spans="2:48" hidden="1">
      <c r="B1764" t="s">
        <v>376</v>
      </c>
      <c r="C1764" t="s">
        <v>64</v>
      </c>
      <c r="D1764" t="s">
        <v>407</v>
      </c>
      <c r="E1764" t="s">
        <v>137</v>
      </c>
      <c r="F1764" s="122">
        <v>1</v>
      </c>
      <c r="G1764" s="122">
        <v>78</v>
      </c>
      <c r="H1764" s="122">
        <v>575</v>
      </c>
      <c r="I1764" s="122">
        <v>30353</v>
      </c>
      <c r="J1764" s="122">
        <v>27593</v>
      </c>
      <c r="K1764" s="122">
        <v>72</v>
      </c>
      <c r="L1764" s="122">
        <v>3662</v>
      </c>
      <c r="M1764" s="122">
        <v>3329</v>
      </c>
      <c r="N1764" s="122">
        <v>1890</v>
      </c>
      <c r="O1764" s="122">
        <v>700</v>
      </c>
      <c r="P1764" s="122">
        <v>473</v>
      </c>
      <c r="Q1764" s="122">
        <v>175</v>
      </c>
      <c r="R1764" s="122">
        <v>8225</v>
      </c>
      <c r="S1764" s="122">
        <v>3046</v>
      </c>
      <c r="T1764" s="122">
        <v>0</v>
      </c>
      <c r="U1764" s="122">
        <v>0</v>
      </c>
      <c r="V1764" s="122">
        <v>34843</v>
      </c>
      <c r="W1764" s="122">
        <f t="shared" si="54"/>
        <v>34843</v>
      </c>
      <c r="X1764" s="122">
        <f t="shared" si="55"/>
        <v>44603</v>
      </c>
      <c r="AA1764" t="s">
        <v>62</v>
      </c>
      <c r="AB1764" t="s">
        <v>426</v>
      </c>
      <c r="AC1764" t="s">
        <v>481</v>
      </c>
      <c r="AD1764" t="s">
        <v>426</v>
      </c>
      <c r="AE1764" t="s">
        <v>137</v>
      </c>
      <c r="AF1764">
        <v>1</v>
      </c>
      <c r="AG1764">
        <v>96</v>
      </c>
      <c r="AH1764">
        <v>399</v>
      </c>
      <c r="AI1764" s="122">
        <v>22260</v>
      </c>
      <c r="AJ1764" s="122">
        <v>20236</v>
      </c>
      <c r="AK1764">
        <v>45</v>
      </c>
      <c r="AL1764" s="122">
        <v>3710</v>
      </c>
      <c r="AM1764" s="122">
        <v>3373</v>
      </c>
      <c r="AN1764" s="122">
        <v>1168</v>
      </c>
      <c r="AO1764">
        <v>432</v>
      </c>
      <c r="AP1764">
        <v>351</v>
      </c>
      <c r="AQ1764">
        <v>130</v>
      </c>
      <c r="AR1764" s="122">
        <v>7673</v>
      </c>
      <c r="AS1764" s="122">
        <v>6975</v>
      </c>
      <c r="AT1764" s="122">
        <v>3087</v>
      </c>
      <c r="AU1764" s="122">
        <v>1143</v>
      </c>
      <c r="AV1764" s="122">
        <v>32290</v>
      </c>
    </row>
    <row r="1765" spans="2:48" hidden="1">
      <c r="B1765" t="s">
        <v>376</v>
      </c>
      <c r="C1765" t="s">
        <v>64</v>
      </c>
      <c r="D1765" t="s">
        <v>407</v>
      </c>
      <c r="E1765" t="s">
        <v>407</v>
      </c>
      <c r="F1765" s="122">
        <v>106</v>
      </c>
      <c r="G1765" s="122">
        <v>7741</v>
      </c>
      <c r="H1765" s="122">
        <v>56381</v>
      </c>
      <c r="I1765" s="122">
        <v>2580193</v>
      </c>
      <c r="J1765" s="122">
        <v>2345630</v>
      </c>
      <c r="K1765" s="122">
        <v>75</v>
      </c>
      <c r="L1765" s="122">
        <v>754366</v>
      </c>
      <c r="M1765" s="122">
        <v>641718</v>
      </c>
      <c r="N1765" s="122">
        <v>169993</v>
      </c>
      <c r="O1765" s="122">
        <v>62960</v>
      </c>
      <c r="P1765" s="122">
        <v>49842</v>
      </c>
      <c r="Q1765" s="122">
        <v>18460</v>
      </c>
      <c r="R1765" s="122">
        <v>443219</v>
      </c>
      <c r="S1765" s="122">
        <v>402927</v>
      </c>
      <c r="T1765" s="122">
        <v>144927</v>
      </c>
      <c r="U1765" s="122">
        <v>53677</v>
      </c>
      <c r="V1765" s="122">
        <v>3525372</v>
      </c>
      <c r="W1765" s="122">
        <f t="shared" si="54"/>
        <v>3525372</v>
      </c>
      <c r="X1765" s="122">
        <f t="shared" si="55"/>
        <v>4142540</v>
      </c>
      <c r="AA1765" t="s">
        <v>62</v>
      </c>
      <c r="AB1765" t="s">
        <v>426</v>
      </c>
      <c r="AC1765" t="s">
        <v>433</v>
      </c>
      <c r="AD1765" t="s">
        <v>426</v>
      </c>
      <c r="AE1765" t="s">
        <v>137</v>
      </c>
      <c r="AF1765">
        <v>1</v>
      </c>
      <c r="AG1765">
        <v>87</v>
      </c>
      <c r="AH1765">
        <v>438</v>
      </c>
      <c r="AI1765" s="122">
        <v>27367</v>
      </c>
      <c r="AJ1765" s="122">
        <v>24879</v>
      </c>
      <c r="AK1765">
        <v>45</v>
      </c>
      <c r="AL1765" s="122">
        <v>1845</v>
      </c>
      <c r="AM1765" s="122">
        <v>1677</v>
      </c>
      <c r="AN1765" s="122">
        <v>1599</v>
      </c>
      <c r="AO1765">
        <v>592</v>
      </c>
      <c r="AP1765">
        <v>351</v>
      </c>
      <c r="AQ1765">
        <v>130</v>
      </c>
      <c r="AR1765" s="122">
        <v>5343</v>
      </c>
      <c r="AS1765" s="122">
        <v>4857</v>
      </c>
      <c r="AT1765" s="122">
        <v>1820</v>
      </c>
      <c r="AU1765">
        <v>674</v>
      </c>
      <c r="AV1765" s="122">
        <v>32810</v>
      </c>
    </row>
    <row r="1766" spans="2:48" hidden="1">
      <c r="B1766" t="s">
        <v>376</v>
      </c>
      <c r="C1766" t="s">
        <v>64</v>
      </c>
      <c r="D1766" t="s">
        <v>556</v>
      </c>
      <c r="E1766" t="s">
        <v>137</v>
      </c>
      <c r="F1766" s="122">
        <v>30</v>
      </c>
      <c r="G1766" s="122">
        <v>1944</v>
      </c>
      <c r="H1766" s="122">
        <v>34349</v>
      </c>
      <c r="I1766" s="122">
        <v>1808518</v>
      </c>
      <c r="J1766" s="122">
        <v>1507098</v>
      </c>
      <c r="K1766" s="122">
        <v>31</v>
      </c>
      <c r="L1766" s="122">
        <v>121830</v>
      </c>
      <c r="M1766" s="122">
        <v>64140</v>
      </c>
      <c r="N1766" s="122">
        <v>43235</v>
      </c>
      <c r="O1766" s="122">
        <v>16013</v>
      </c>
      <c r="P1766" s="122">
        <v>351</v>
      </c>
      <c r="Q1766" s="122">
        <v>130</v>
      </c>
      <c r="R1766" s="122">
        <v>164490</v>
      </c>
      <c r="S1766" s="122">
        <v>60922</v>
      </c>
      <c r="T1766" s="122">
        <v>0</v>
      </c>
      <c r="U1766" s="122">
        <v>0</v>
      </c>
      <c r="V1766" s="122">
        <v>1648304</v>
      </c>
      <c r="W1766" s="122">
        <f t="shared" si="54"/>
        <v>1648303</v>
      </c>
      <c r="X1766" s="122">
        <f t="shared" si="55"/>
        <v>2138424</v>
      </c>
      <c r="AA1766" t="s">
        <v>62</v>
      </c>
      <c r="AB1766" t="s">
        <v>433</v>
      </c>
      <c r="AC1766" t="s">
        <v>137</v>
      </c>
      <c r="AD1766" t="s">
        <v>433</v>
      </c>
      <c r="AE1766" t="s">
        <v>137</v>
      </c>
      <c r="AF1766">
        <v>3</v>
      </c>
      <c r="AG1766">
        <v>180</v>
      </c>
      <c r="AH1766" s="122">
        <v>1250</v>
      </c>
      <c r="AI1766" s="122">
        <v>48382</v>
      </c>
      <c r="AJ1766" s="122">
        <v>43984</v>
      </c>
      <c r="AK1766">
        <v>64</v>
      </c>
      <c r="AL1766" s="122">
        <v>5595</v>
      </c>
      <c r="AM1766" s="122">
        <v>2072</v>
      </c>
      <c r="AN1766" s="122">
        <v>3535</v>
      </c>
      <c r="AO1766" s="122">
        <v>1309</v>
      </c>
      <c r="AP1766" s="122">
        <v>1053</v>
      </c>
      <c r="AQ1766">
        <v>390</v>
      </c>
      <c r="AR1766" s="122">
        <v>10669</v>
      </c>
      <c r="AS1766" s="122">
        <v>9699</v>
      </c>
      <c r="AT1766" s="122">
        <v>6498</v>
      </c>
      <c r="AU1766" s="122">
        <v>2407</v>
      </c>
      <c r="AV1766" s="122">
        <v>59861</v>
      </c>
    </row>
    <row r="1767" spans="2:48" hidden="1">
      <c r="B1767" t="s">
        <v>376</v>
      </c>
      <c r="C1767" t="s">
        <v>64</v>
      </c>
      <c r="D1767" t="s">
        <v>556</v>
      </c>
      <c r="E1767" t="s">
        <v>556</v>
      </c>
      <c r="F1767" s="122">
        <v>53</v>
      </c>
      <c r="G1767" s="122">
        <v>3914</v>
      </c>
      <c r="H1767" s="122">
        <v>35200</v>
      </c>
      <c r="I1767" s="122">
        <v>1868526</v>
      </c>
      <c r="J1767" s="122">
        <v>1557105</v>
      </c>
      <c r="K1767" s="122">
        <v>53</v>
      </c>
      <c r="L1767" s="122">
        <v>232986</v>
      </c>
      <c r="M1767" s="122">
        <v>167538</v>
      </c>
      <c r="N1767" s="122">
        <v>84521</v>
      </c>
      <c r="O1767" s="122">
        <v>31304</v>
      </c>
      <c r="P1767" s="122">
        <v>14391</v>
      </c>
      <c r="Q1767" s="122">
        <v>5330</v>
      </c>
      <c r="R1767" s="122">
        <v>294667</v>
      </c>
      <c r="S1767" s="122">
        <v>245556</v>
      </c>
      <c r="T1767" s="122">
        <v>98513</v>
      </c>
      <c r="U1767" s="122">
        <v>36486</v>
      </c>
      <c r="V1767" s="122">
        <v>2043319</v>
      </c>
      <c r="W1767" s="122">
        <f t="shared" si="54"/>
        <v>2043319</v>
      </c>
      <c r="X1767" s="122">
        <f t="shared" si="55"/>
        <v>2593604</v>
      </c>
      <c r="AA1767" t="s">
        <v>62</v>
      </c>
      <c r="AB1767" t="s">
        <v>433</v>
      </c>
      <c r="AC1767" t="s">
        <v>137</v>
      </c>
      <c r="AD1767" t="s">
        <v>433</v>
      </c>
      <c r="AE1767" t="s">
        <v>566</v>
      </c>
      <c r="AF1767">
        <v>1</v>
      </c>
      <c r="AG1767">
        <v>34</v>
      </c>
      <c r="AH1767">
        <v>387</v>
      </c>
      <c r="AI1767" s="122">
        <v>6207</v>
      </c>
      <c r="AJ1767" s="122">
        <v>5643</v>
      </c>
      <c r="AK1767">
        <v>65</v>
      </c>
      <c r="AL1767" s="122">
        <v>1100</v>
      </c>
      <c r="AM1767">
        <v>408</v>
      </c>
      <c r="AN1767">
        <v>409</v>
      </c>
      <c r="AO1767">
        <v>152</v>
      </c>
      <c r="AP1767">
        <v>351</v>
      </c>
      <c r="AQ1767">
        <v>130</v>
      </c>
      <c r="AR1767" s="122">
        <v>4921</v>
      </c>
      <c r="AS1767" s="122">
        <v>4474</v>
      </c>
      <c r="AT1767">
        <v>0</v>
      </c>
      <c r="AU1767">
        <v>0</v>
      </c>
      <c r="AV1767" s="122">
        <v>10806</v>
      </c>
    </row>
    <row r="1768" spans="2:48" hidden="1">
      <c r="B1768" t="s">
        <v>376</v>
      </c>
      <c r="C1768" t="s">
        <v>64</v>
      </c>
      <c r="D1768" t="s">
        <v>426</v>
      </c>
      <c r="E1768" t="s">
        <v>137</v>
      </c>
      <c r="F1768" s="122">
        <v>19</v>
      </c>
      <c r="G1768" s="122">
        <v>1350</v>
      </c>
      <c r="H1768" s="122">
        <v>19128</v>
      </c>
      <c r="I1768" s="122">
        <v>1064876</v>
      </c>
      <c r="J1768" s="122">
        <v>968069</v>
      </c>
      <c r="K1768" s="122">
        <v>32</v>
      </c>
      <c r="L1768" s="122">
        <v>113851</v>
      </c>
      <c r="M1768" s="122">
        <v>46303</v>
      </c>
      <c r="N1768" s="122">
        <v>32709</v>
      </c>
      <c r="O1768" s="122">
        <v>12115</v>
      </c>
      <c r="P1768" s="122">
        <v>0</v>
      </c>
      <c r="Q1768" s="122">
        <v>0</v>
      </c>
      <c r="R1768" s="122">
        <v>102143</v>
      </c>
      <c r="S1768" s="122">
        <v>37831</v>
      </c>
      <c r="T1768" s="122">
        <v>1347</v>
      </c>
      <c r="U1768" s="122">
        <v>499</v>
      </c>
      <c r="V1768" s="122">
        <v>1064816</v>
      </c>
      <c r="W1768" s="122">
        <f t="shared" si="54"/>
        <v>1064817</v>
      </c>
      <c r="X1768" s="122">
        <f t="shared" si="55"/>
        <v>1314926</v>
      </c>
      <c r="AA1768" t="s">
        <v>62</v>
      </c>
      <c r="AB1768" t="s">
        <v>433</v>
      </c>
      <c r="AC1768" t="s">
        <v>427</v>
      </c>
      <c r="AD1768" t="s">
        <v>433</v>
      </c>
      <c r="AE1768" t="s">
        <v>137</v>
      </c>
      <c r="AF1768">
        <v>3</v>
      </c>
      <c r="AG1768">
        <v>348</v>
      </c>
      <c r="AH1768" s="122">
        <v>1302</v>
      </c>
      <c r="AI1768" s="122">
        <v>99021</v>
      </c>
      <c r="AJ1768" s="122">
        <v>90019</v>
      </c>
      <c r="AK1768">
        <v>55</v>
      </c>
      <c r="AL1768" s="122">
        <v>18329</v>
      </c>
      <c r="AM1768" s="122">
        <v>16663</v>
      </c>
      <c r="AN1768" s="122">
        <v>5411</v>
      </c>
      <c r="AO1768" s="122">
        <v>2004</v>
      </c>
      <c r="AP1768" s="122">
        <v>1053</v>
      </c>
      <c r="AQ1768">
        <v>390</v>
      </c>
      <c r="AR1768" s="122">
        <v>17203</v>
      </c>
      <c r="AS1768" s="122">
        <v>15639</v>
      </c>
      <c r="AT1768" s="122">
        <v>8102</v>
      </c>
      <c r="AU1768" s="122">
        <v>3001</v>
      </c>
      <c r="AV1768" s="122">
        <v>127715</v>
      </c>
    </row>
    <row r="1769" spans="2:48" hidden="1">
      <c r="B1769" t="s">
        <v>376</v>
      </c>
      <c r="C1769" t="s">
        <v>64</v>
      </c>
      <c r="D1769" t="s">
        <v>426</v>
      </c>
      <c r="E1769" t="s">
        <v>426</v>
      </c>
      <c r="F1769" s="122">
        <v>30</v>
      </c>
      <c r="G1769" s="122">
        <v>1962</v>
      </c>
      <c r="H1769" s="122">
        <v>21225</v>
      </c>
      <c r="I1769" s="122">
        <v>961540</v>
      </c>
      <c r="J1769" s="122">
        <v>874128</v>
      </c>
      <c r="K1769" s="122">
        <v>54</v>
      </c>
      <c r="L1769" s="122">
        <v>137039</v>
      </c>
      <c r="M1769" s="122">
        <v>101692</v>
      </c>
      <c r="N1769" s="122">
        <v>43403</v>
      </c>
      <c r="O1769" s="122">
        <v>16075</v>
      </c>
      <c r="P1769" s="122">
        <v>9936</v>
      </c>
      <c r="Q1769" s="122">
        <v>3680</v>
      </c>
      <c r="R1769" s="122">
        <v>150574</v>
      </c>
      <c r="S1769" s="122">
        <v>136885</v>
      </c>
      <c r="T1769" s="122">
        <v>61890</v>
      </c>
      <c r="U1769" s="122">
        <v>22922</v>
      </c>
      <c r="V1769" s="122">
        <v>1155382</v>
      </c>
      <c r="W1769" s="122">
        <f t="shared" si="54"/>
        <v>1155382</v>
      </c>
      <c r="X1769" s="122">
        <f t="shared" si="55"/>
        <v>1364382</v>
      </c>
      <c r="AA1769" t="s">
        <v>62</v>
      </c>
      <c r="AB1769" t="s">
        <v>433</v>
      </c>
      <c r="AC1769" t="s">
        <v>428</v>
      </c>
      <c r="AD1769" t="s">
        <v>433</v>
      </c>
      <c r="AE1769" t="s">
        <v>137</v>
      </c>
      <c r="AF1769">
        <v>1</v>
      </c>
      <c r="AG1769">
        <v>67</v>
      </c>
      <c r="AH1769">
        <v>421</v>
      </c>
      <c r="AI1769" s="122">
        <v>16949</v>
      </c>
      <c r="AJ1769" s="122">
        <v>15408</v>
      </c>
      <c r="AK1769">
        <v>65</v>
      </c>
      <c r="AL1769" s="122">
        <v>4080</v>
      </c>
      <c r="AM1769" s="122">
        <v>3709</v>
      </c>
      <c r="AN1769">
        <v>812</v>
      </c>
      <c r="AO1769">
        <v>301</v>
      </c>
      <c r="AP1769">
        <v>351</v>
      </c>
      <c r="AQ1769">
        <v>130</v>
      </c>
      <c r="AR1769" s="122">
        <v>3907</v>
      </c>
      <c r="AS1769" s="122">
        <v>3552</v>
      </c>
      <c r="AT1769" s="122">
        <v>1984</v>
      </c>
      <c r="AU1769">
        <v>735</v>
      </c>
      <c r="AV1769" s="122">
        <v>23835</v>
      </c>
    </row>
    <row r="1770" spans="2:48" hidden="1">
      <c r="B1770" t="s">
        <v>377</v>
      </c>
      <c r="C1770" t="s">
        <v>48</v>
      </c>
      <c r="D1770" t="s">
        <v>405</v>
      </c>
      <c r="E1770" t="s">
        <v>405</v>
      </c>
      <c r="F1770" s="122">
        <v>34</v>
      </c>
      <c r="G1770" s="122">
        <v>3828</v>
      </c>
      <c r="H1770" s="122">
        <v>2414</v>
      </c>
      <c r="I1770" s="122">
        <v>116471</v>
      </c>
      <c r="J1770" s="122">
        <v>105882</v>
      </c>
      <c r="K1770" s="122">
        <v>90</v>
      </c>
      <c r="L1770" s="122">
        <v>19039</v>
      </c>
      <c r="M1770" s="122">
        <v>17309</v>
      </c>
      <c r="N1770" s="122">
        <v>46638</v>
      </c>
      <c r="O1770" s="122">
        <v>17273</v>
      </c>
      <c r="P1770" s="122">
        <v>16065</v>
      </c>
      <c r="Q1770" s="122">
        <v>5950</v>
      </c>
      <c r="R1770" s="122">
        <v>73029</v>
      </c>
      <c r="S1770" s="122">
        <v>66390</v>
      </c>
      <c r="T1770" s="122">
        <v>0</v>
      </c>
      <c r="U1770" s="122">
        <v>0</v>
      </c>
      <c r="V1770" s="122">
        <v>212805</v>
      </c>
      <c r="W1770" s="122">
        <f t="shared" si="54"/>
        <v>212804</v>
      </c>
      <c r="X1770" s="122">
        <f t="shared" si="55"/>
        <v>271242</v>
      </c>
      <c r="AA1770" t="s">
        <v>62</v>
      </c>
      <c r="AB1770" t="s">
        <v>433</v>
      </c>
      <c r="AC1770" t="s">
        <v>566</v>
      </c>
      <c r="AD1770" t="s">
        <v>433</v>
      </c>
      <c r="AE1770" t="s">
        <v>137</v>
      </c>
      <c r="AF1770">
        <v>5</v>
      </c>
      <c r="AG1770">
        <v>269</v>
      </c>
      <c r="AH1770" s="122">
        <v>2039</v>
      </c>
      <c r="AI1770" s="122">
        <v>73641</v>
      </c>
      <c r="AJ1770" s="122">
        <v>66946</v>
      </c>
      <c r="AK1770">
        <v>63</v>
      </c>
      <c r="AL1770">
        <v>0</v>
      </c>
      <c r="AM1770">
        <v>0</v>
      </c>
      <c r="AN1770" s="122">
        <v>4902</v>
      </c>
      <c r="AO1770" s="122">
        <v>1816</v>
      </c>
      <c r="AP1770" s="122">
        <v>1755</v>
      </c>
      <c r="AQ1770">
        <v>650</v>
      </c>
      <c r="AR1770" s="122">
        <v>23356</v>
      </c>
      <c r="AS1770" s="122">
        <v>21233</v>
      </c>
      <c r="AT1770" s="122">
        <v>7779</v>
      </c>
      <c r="AU1770" s="122">
        <v>2881</v>
      </c>
      <c r="AV1770" s="122">
        <v>93526</v>
      </c>
    </row>
    <row r="1771" spans="2:48" hidden="1">
      <c r="B1771" t="s">
        <v>377</v>
      </c>
      <c r="C1771" t="s">
        <v>48</v>
      </c>
      <c r="D1771" t="s">
        <v>137</v>
      </c>
      <c r="E1771" t="s">
        <v>137</v>
      </c>
      <c r="F1771" s="122">
        <v>102</v>
      </c>
      <c r="G1771" s="122">
        <v>9231</v>
      </c>
      <c r="H1771" s="122">
        <v>6567</v>
      </c>
      <c r="I1771" s="122">
        <v>-9800</v>
      </c>
      <c r="J1771" s="122">
        <v>-3630</v>
      </c>
      <c r="K1771" s="122">
        <v>472</v>
      </c>
      <c r="L1771" s="122">
        <v>-11863</v>
      </c>
      <c r="M1771" s="122">
        <v>-11061</v>
      </c>
      <c r="N1771" s="122">
        <v>127198</v>
      </c>
      <c r="O1771" s="122">
        <v>47110</v>
      </c>
      <c r="P1771" s="122">
        <v>79252</v>
      </c>
      <c r="Q1771" s="122">
        <v>29353</v>
      </c>
      <c r="R1771" s="122">
        <v>402012</v>
      </c>
      <c r="S1771" s="122">
        <v>148893</v>
      </c>
      <c r="T1771" s="122">
        <v>0</v>
      </c>
      <c r="U1771" s="122">
        <v>0</v>
      </c>
      <c r="V1771" s="122">
        <v>210665</v>
      </c>
      <c r="W1771" s="122">
        <f t="shared" ref="W1771:W1834" si="56">SUM(ABS(J1771),ABS(M1771),ABS(O1771),ABS(Q1771),ABS(S1771),ABS(U1771))</f>
        <v>240047</v>
      </c>
      <c r="X1771" s="122">
        <f t="shared" ref="X1771:X1834" si="57">SUM(ABS(I1771),ABS(N1771),ABS(P1771),ABS(R1771),ABS(T1771),ABS(L1771))</f>
        <v>630125</v>
      </c>
      <c r="AA1771" t="s">
        <v>62</v>
      </c>
      <c r="AB1771" t="s">
        <v>433</v>
      </c>
      <c r="AC1771" t="s">
        <v>433</v>
      </c>
      <c r="AD1771" t="s">
        <v>433</v>
      </c>
      <c r="AE1771" t="s">
        <v>137</v>
      </c>
      <c r="AF1771">
        <v>3</v>
      </c>
      <c r="AG1771">
        <v>221</v>
      </c>
      <c r="AH1771" s="122">
        <v>1215</v>
      </c>
      <c r="AI1771" s="122">
        <v>51228</v>
      </c>
      <c r="AJ1771" s="122">
        <v>46571</v>
      </c>
      <c r="AK1771">
        <v>55</v>
      </c>
      <c r="AL1771" s="122">
        <v>8012</v>
      </c>
      <c r="AM1771" s="122">
        <v>7284</v>
      </c>
      <c r="AN1771" s="122">
        <v>5257</v>
      </c>
      <c r="AO1771" s="122">
        <v>1947</v>
      </c>
      <c r="AP1771" s="122">
        <v>1175</v>
      </c>
      <c r="AQ1771">
        <v>435</v>
      </c>
      <c r="AR1771" s="122">
        <v>18086</v>
      </c>
      <c r="AS1771" s="122">
        <v>16441</v>
      </c>
      <c r="AT1771" s="122">
        <v>5492</v>
      </c>
      <c r="AU1771" s="122">
        <v>2034</v>
      </c>
      <c r="AV1771" s="122">
        <v>74712</v>
      </c>
    </row>
    <row r="1772" spans="2:48" hidden="1">
      <c r="B1772" t="s">
        <v>377</v>
      </c>
      <c r="C1772" t="s">
        <v>48</v>
      </c>
      <c r="D1772" t="s">
        <v>406</v>
      </c>
      <c r="E1772" t="s">
        <v>406</v>
      </c>
      <c r="F1772" s="122">
        <v>25</v>
      </c>
      <c r="G1772" s="122">
        <v>2389</v>
      </c>
      <c r="H1772" s="122">
        <v>1491</v>
      </c>
      <c r="I1772" s="122">
        <v>-2033</v>
      </c>
      <c r="J1772" s="122">
        <v>-1848</v>
      </c>
      <c r="K1772" s="122">
        <v>95</v>
      </c>
      <c r="L1772" s="122">
        <v>-328</v>
      </c>
      <c r="M1772" s="122">
        <v>-298</v>
      </c>
      <c r="N1772" s="122">
        <v>33589</v>
      </c>
      <c r="O1772" s="122">
        <v>12440</v>
      </c>
      <c r="P1772" s="122">
        <v>25342</v>
      </c>
      <c r="Q1772" s="122">
        <v>9386</v>
      </c>
      <c r="R1772" s="122">
        <v>84431</v>
      </c>
      <c r="S1772" s="122">
        <v>76755</v>
      </c>
      <c r="T1772" s="122">
        <v>0</v>
      </c>
      <c r="U1772" s="122">
        <v>0</v>
      </c>
      <c r="V1772" s="122">
        <v>96435</v>
      </c>
      <c r="W1772" s="122">
        <f t="shared" si="56"/>
        <v>100727</v>
      </c>
      <c r="X1772" s="122">
        <f t="shared" si="57"/>
        <v>145723</v>
      </c>
      <c r="AA1772" t="s">
        <v>62</v>
      </c>
      <c r="AB1772" t="s">
        <v>408</v>
      </c>
      <c r="AC1772" t="s">
        <v>137</v>
      </c>
      <c r="AD1772" t="s">
        <v>408</v>
      </c>
      <c r="AE1772" t="s">
        <v>137</v>
      </c>
      <c r="AF1772">
        <v>1</v>
      </c>
      <c r="AG1772">
        <v>76</v>
      </c>
      <c r="AH1772">
        <v>400</v>
      </c>
      <c r="AI1772" s="122">
        <v>20121</v>
      </c>
      <c r="AJ1772" s="122">
        <v>18292</v>
      </c>
      <c r="AK1772">
        <v>65</v>
      </c>
      <c r="AL1772" s="122">
        <v>3567</v>
      </c>
      <c r="AM1772" s="122">
        <v>1321</v>
      </c>
      <c r="AN1772" s="122">
        <v>1852</v>
      </c>
      <c r="AO1772">
        <v>686</v>
      </c>
      <c r="AP1772">
        <v>351</v>
      </c>
      <c r="AQ1772">
        <v>130</v>
      </c>
      <c r="AR1772" s="122">
        <v>2812</v>
      </c>
      <c r="AS1772" s="122">
        <v>2556</v>
      </c>
      <c r="AT1772" s="122">
        <v>1666</v>
      </c>
      <c r="AU1772">
        <v>617</v>
      </c>
      <c r="AV1772" s="122">
        <v>23602</v>
      </c>
    </row>
    <row r="1773" spans="2:48" hidden="1">
      <c r="B1773" t="s">
        <v>377</v>
      </c>
      <c r="C1773" t="s">
        <v>48</v>
      </c>
      <c r="D1773" t="s">
        <v>407</v>
      </c>
      <c r="E1773" t="s">
        <v>407</v>
      </c>
      <c r="F1773" s="122">
        <v>48</v>
      </c>
      <c r="G1773" s="122">
        <v>5411</v>
      </c>
      <c r="H1773" s="122">
        <v>2664</v>
      </c>
      <c r="I1773" s="122">
        <v>70777</v>
      </c>
      <c r="J1773" s="122">
        <v>64343</v>
      </c>
      <c r="K1773" s="122">
        <v>90</v>
      </c>
      <c r="L1773" s="122">
        <v>8614</v>
      </c>
      <c r="M1773" s="122">
        <v>7831</v>
      </c>
      <c r="N1773" s="122">
        <v>65923</v>
      </c>
      <c r="O1773" s="122">
        <v>24416</v>
      </c>
      <c r="P1773" s="122">
        <v>37784</v>
      </c>
      <c r="Q1773" s="122">
        <v>13994</v>
      </c>
      <c r="R1773" s="122">
        <v>116497</v>
      </c>
      <c r="S1773" s="122">
        <v>105906</v>
      </c>
      <c r="T1773" s="122">
        <v>0</v>
      </c>
      <c r="U1773" s="122">
        <v>0</v>
      </c>
      <c r="V1773" s="122">
        <v>216490</v>
      </c>
      <c r="W1773" s="122">
        <f t="shared" si="56"/>
        <v>216490</v>
      </c>
      <c r="X1773" s="122">
        <f t="shared" si="57"/>
        <v>299595</v>
      </c>
      <c r="AA1773" t="s">
        <v>62</v>
      </c>
      <c r="AB1773" t="s">
        <v>408</v>
      </c>
      <c r="AC1773" t="s">
        <v>579</v>
      </c>
      <c r="AD1773" t="s">
        <v>408</v>
      </c>
      <c r="AE1773" t="s">
        <v>137</v>
      </c>
      <c r="AF1773">
        <v>2</v>
      </c>
      <c r="AG1773">
        <v>173</v>
      </c>
      <c r="AH1773">
        <v>838</v>
      </c>
      <c r="AI1773" s="122">
        <v>42988</v>
      </c>
      <c r="AJ1773" s="122">
        <v>39080</v>
      </c>
      <c r="AK1773">
        <v>65</v>
      </c>
      <c r="AL1773" s="122">
        <v>11290</v>
      </c>
      <c r="AM1773" s="122">
        <v>9408</v>
      </c>
      <c r="AN1773" s="122">
        <v>3639</v>
      </c>
      <c r="AO1773" s="122">
        <v>1348</v>
      </c>
      <c r="AP1773">
        <v>702</v>
      </c>
      <c r="AQ1773">
        <v>260</v>
      </c>
      <c r="AR1773" s="122">
        <v>8835</v>
      </c>
      <c r="AS1773" s="122">
        <v>8032</v>
      </c>
      <c r="AT1773" s="122">
        <v>4769</v>
      </c>
      <c r="AU1773" s="122">
        <v>1766</v>
      </c>
      <c r="AV1773" s="122">
        <v>59894</v>
      </c>
    </row>
    <row r="1774" spans="2:48" hidden="1">
      <c r="B1774" t="s">
        <v>377</v>
      </c>
      <c r="C1774" t="s">
        <v>50</v>
      </c>
      <c r="F1774" s="122">
        <v>6</v>
      </c>
      <c r="G1774" s="122">
        <v>434</v>
      </c>
      <c r="H1774" s="122">
        <v>473</v>
      </c>
      <c r="I1774" s="122"/>
      <c r="J1774" s="122">
        <v>0</v>
      </c>
      <c r="K1774" s="122"/>
      <c r="L1774" s="122"/>
      <c r="M1774" s="122">
        <v>0</v>
      </c>
      <c r="N1774" s="122">
        <v>10574</v>
      </c>
      <c r="O1774" s="122">
        <v>3916</v>
      </c>
      <c r="P1774" s="122">
        <v>2106</v>
      </c>
      <c r="Q1774" s="122">
        <v>780</v>
      </c>
      <c r="R1774" s="122"/>
      <c r="S1774" s="122">
        <v>0</v>
      </c>
      <c r="T1774" s="122">
        <v>0</v>
      </c>
      <c r="U1774" s="122">
        <v>0</v>
      </c>
      <c r="V1774" s="122">
        <v>4696</v>
      </c>
      <c r="W1774" s="122">
        <f t="shared" si="56"/>
        <v>4696</v>
      </c>
      <c r="X1774" s="122">
        <f t="shared" si="57"/>
        <v>12680</v>
      </c>
      <c r="AA1774" t="s">
        <v>62</v>
      </c>
      <c r="AB1774" t="s">
        <v>408</v>
      </c>
      <c r="AC1774" t="s">
        <v>579</v>
      </c>
      <c r="AD1774" t="s">
        <v>408</v>
      </c>
      <c r="AE1774" t="s">
        <v>566</v>
      </c>
      <c r="AF1774">
        <v>2</v>
      </c>
      <c r="AG1774">
        <v>340</v>
      </c>
      <c r="AH1774">
        <v>838</v>
      </c>
      <c r="AI1774" s="122">
        <v>90400</v>
      </c>
      <c r="AJ1774" s="122">
        <v>82182</v>
      </c>
      <c r="AK1774">
        <v>75</v>
      </c>
      <c r="AL1774" s="122">
        <v>24509</v>
      </c>
      <c r="AM1774" s="122">
        <v>20424</v>
      </c>
      <c r="AN1774" s="122">
        <v>7667</v>
      </c>
      <c r="AO1774" s="122">
        <v>2840</v>
      </c>
      <c r="AP1774">
        <v>702</v>
      </c>
      <c r="AQ1774">
        <v>260</v>
      </c>
      <c r="AR1774" s="122">
        <v>13582</v>
      </c>
      <c r="AS1774" s="122">
        <v>12347</v>
      </c>
      <c r="AT1774">
        <v>0</v>
      </c>
      <c r="AU1774">
        <v>0</v>
      </c>
      <c r="AV1774" s="122">
        <v>118053</v>
      </c>
    </row>
    <row r="1775" spans="2:48" hidden="1">
      <c r="B1775" t="s">
        <v>377</v>
      </c>
      <c r="C1775" t="s">
        <v>50</v>
      </c>
      <c r="D1775" t="s">
        <v>405</v>
      </c>
      <c r="E1775" t="s">
        <v>405</v>
      </c>
      <c r="F1775" s="122">
        <v>12</v>
      </c>
      <c r="G1775" s="122">
        <v>950</v>
      </c>
      <c r="H1775" s="122">
        <v>1108</v>
      </c>
      <c r="I1775" s="122">
        <v>38082</v>
      </c>
      <c r="J1775" s="122">
        <v>34620</v>
      </c>
      <c r="K1775" s="122">
        <v>90</v>
      </c>
      <c r="L1775" s="122">
        <v>6368</v>
      </c>
      <c r="M1775" s="122">
        <v>5789</v>
      </c>
      <c r="N1775" s="122">
        <v>11576</v>
      </c>
      <c r="O1775" s="122">
        <v>4287</v>
      </c>
      <c r="P1775" s="122">
        <v>5670</v>
      </c>
      <c r="Q1775" s="122">
        <v>2100</v>
      </c>
      <c r="R1775" s="122">
        <v>25039</v>
      </c>
      <c r="S1775" s="122">
        <v>22763</v>
      </c>
      <c r="T1775" s="122">
        <v>0</v>
      </c>
      <c r="U1775" s="122">
        <v>0</v>
      </c>
      <c r="V1775" s="122">
        <v>69560</v>
      </c>
      <c r="W1775" s="122">
        <f t="shared" si="56"/>
        <v>69559</v>
      </c>
      <c r="X1775" s="122">
        <f t="shared" si="57"/>
        <v>86735</v>
      </c>
      <c r="AA1775" t="s">
        <v>62</v>
      </c>
      <c r="AB1775" t="s">
        <v>408</v>
      </c>
      <c r="AC1775" t="s">
        <v>426</v>
      </c>
      <c r="AD1775" t="s">
        <v>408</v>
      </c>
      <c r="AE1775" t="s">
        <v>137</v>
      </c>
      <c r="AF1775">
        <v>3</v>
      </c>
      <c r="AG1775">
        <v>239</v>
      </c>
      <c r="AH1775" s="122">
        <v>1241</v>
      </c>
      <c r="AI1775" s="122">
        <v>56457</v>
      </c>
      <c r="AJ1775" s="122">
        <v>51324</v>
      </c>
      <c r="AK1775">
        <v>70</v>
      </c>
      <c r="AL1775" s="122">
        <v>14790</v>
      </c>
      <c r="AM1775" s="122">
        <v>13446</v>
      </c>
      <c r="AN1775" s="122">
        <v>5320</v>
      </c>
      <c r="AO1775" s="122">
        <v>1970</v>
      </c>
      <c r="AP1775" s="122">
        <v>1053</v>
      </c>
      <c r="AQ1775">
        <v>390</v>
      </c>
      <c r="AR1775" s="122">
        <v>13357</v>
      </c>
      <c r="AS1775" s="122">
        <v>12143</v>
      </c>
      <c r="AT1775" s="122">
        <v>7904</v>
      </c>
      <c r="AU1775" s="122">
        <v>2927</v>
      </c>
      <c r="AV1775" s="122">
        <v>82200</v>
      </c>
    </row>
    <row r="1776" spans="2:48" hidden="1">
      <c r="B1776" t="s">
        <v>377</v>
      </c>
      <c r="C1776" t="s">
        <v>50</v>
      </c>
      <c r="D1776" t="s">
        <v>137</v>
      </c>
      <c r="E1776" t="s">
        <v>137</v>
      </c>
      <c r="F1776" s="122">
        <v>13</v>
      </c>
      <c r="G1776" s="122">
        <v>1069</v>
      </c>
      <c r="H1776" s="122">
        <v>1134</v>
      </c>
      <c r="I1776" s="122">
        <v>23822</v>
      </c>
      <c r="J1776" s="122">
        <v>8823</v>
      </c>
      <c r="K1776" s="122">
        <v>412</v>
      </c>
      <c r="L1776" s="122">
        <v>5410</v>
      </c>
      <c r="M1776" s="122">
        <v>4919</v>
      </c>
      <c r="N1776" s="122">
        <v>17732</v>
      </c>
      <c r="O1776" s="122">
        <v>6567</v>
      </c>
      <c r="P1776" s="122">
        <v>6998</v>
      </c>
      <c r="Q1776" s="122">
        <v>2592</v>
      </c>
      <c r="R1776" s="122">
        <v>41323</v>
      </c>
      <c r="S1776" s="122">
        <v>15305</v>
      </c>
      <c r="T1776" s="122">
        <v>0</v>
      </c>
      <c r="U1776" s="122">
        <v>0</v>
      </c>
      <c r="V1776" s="122">
        <v>38206</v>
      </c>
      <c r="W1776" s="122">
        <f t="shared" si="56"/>
        <v>38206</v>
      </c>
      <c r="X1776" s="122">
        <f t="shared" si="57"/>
        <v>95285</v>
      </c>
      <c r="AA1776" t="s">
        <v>62</v>
      </c>
      <c r="AB1776" t="s">
        <v>408</v>
      </c>
      <c r="AC1776" t="s">
        <v>426</v>
      </c>
      <c r="AD1776" t="s">
        <v>408</v>
      </c>
      <c r="AE1776" t="s">
        <v>566</v>
      </c>
      <c r="AF1776">
        <v>8</v>
      </c>
      <c r="AG1776">
        <v>782</v>
      </c>
      <c r="AH1776" s="122">
        <v>3294</v>
      </c>
      <c r="AI1776" s="122">
        <v>204812</v>
      </c>
      <c r="AJ1776" s="122">
        <v>186193</v>
      </c>
      <c r="AK1776">
        <v>79</v>
      </c>
      <c r="AL1776" s="122">
        <v>55677</v>
      </c>
      <c r="AM1776" s="122">
        <v>50615</v>
      </c>
      <c r="AN1776" s="122">
        <v>14175</v>
      </c>
      <c r="AO1776" s="122">
        <v>5250</v>
      </c>
      <c r="AP1776" s="122">
        <v>2808</v>
      </c>
      <c r="AQ1776" s="122">
        <v>1040</v>
      </c>
      <c r="AR1776" s="122">
        <v>44007</v>
      </c>
      <c r="AS1776" s="122">
        <v>40006</v>
      </c>
      <c r="AT1776">
        <v>0</v>
      </c>
      <c r="AU1776">
        <v>0</v>
      </c>
      <c r="AV1776" s="122">
        <v>283104</v>
      </c>
    </row>
    <row r="1777" spans="2:48" hidden="1">
      <c r="B1777" t="s">
        <v>377</v>
      </c>
      <c r="C1777" t="s">
        <v>50</v>
      </c>
      <c r="D1777" t="s">
        <v>406</v>
      </c>
      <c r="E1777" t="s">
        <v>406</v>
      </c>
      <c r="F1777" s="122">
        <v>21</v>
      </c>
      <c r="G1777" s="122">
        <v>2116</v>
      </c>
      <c r="H1777" s="122">
        <v>1950</v>
      </c>
      <c r="I1777" s="122">
        <v>102475</v>
      </c>
      <c r="J1777" s="122">
        <v>93159</v>
      </c>
      <c r="K1777" s="122">
        <v>95</v>
      </c>
      <c r="L1777" s="122">
        <v>14566</v>
      </c>
      <c r="M1777" s="122">
        <v>13195</v>
      </c>
      <c r="N1777" s="122">
        <v>26839</v>
      </c>
      <c r="O1777" s="122">
        <v>9940</v>
      </c>
      <c r="P1777" s="122">
        <v>15039</v>
      </c>
      <c r="Q1777" s="122">
        <v>5570</v>
      </c>
      <c r="R1777" s="122">
        <v>38675</v>
      </c>
      <c r="S1777" s="122">
        <v>35159</v>
      </c>
      <c r="T1777" s="122">
        <v>0</v>
      </c>
      <c r="U1777" s="122">
        <v>0</v>
      </c>
      <c r="V1777" s="122">
        <v>157024</v>
      </c>
      <c r="W1777" s="122">
        <f t="shared" si="56"/>
        <v>157023</v>
      </c>
      <c r="X1777" s="122">
        <f t="shared" si="57"/>
        <v>197594</v>
      </c>
      <c r="AA1777" t="s">
        <v>62</v>
      </c>
      <c r="AB1777" t="s">
        <v>408</v>
      </c>
      <c r="AC1777" t="s">
        <v>566</v>
      </c>
      <c r="AD1777" t="s">
        <v>137</v>
      </c>
      <c r="AE1777" t="s">
        <v>566</v>
      </c>
      <c r="AF1777">
        <v>1</v>
      </c>
      <c r="AG1777">
        <v>78</v>
      </c>
      <c r="AH1777">
        <v>432</v>
      </c>
      <c r="AI1777" s="122">
        <v>27424</v>
      </c>
      <c r="AJ1777" s="122">
        <v>24931</v>
      </c>
      <c r="AK1777">
        <v>65</v>
      </c>
      <c r="AL1777">
        <v>0</v>
      </c>
      <c r="AM1777">
        <v>0</v>
      </c>
      <c r="AN1777" s="122">
        <v>1080</v>
      </c>
      <c r="AO1777">
        <v>400</v>
      </c>
      <c r="AP1777">
        <v>0</v>
      </c>
      <c r="AQ1777">
        <v>0</v>
      </c>
      <c r="AR1777" s="122">
        <v>5123</v>
      </c>
      <c r="AS1777" s="122">
        <v>1897</v>
      </c>
      <c r="AT1777">
        <v>0</v>
      </c>
      <c r="AU1777">
        <v>0</v>
      </c>
      <c r="AV1777" s="122">
        <v>27228</v>
      </c>
    </row>
    <row r="1778" spans="2:48" hidden="1">
      <c r="B1778" t="s">
        <v>377</v>
      </c>
      <c r="C1778" t="s">
        <v>50</v>
      </c>
      <c r="D1778" t="s">
        <v>407</v>
      </c>
      <c r="E1778" t="s">
        <v>407</v>
      </c>
      <c r="F1778" s="122">
        <v>34</v>
      </c>
      <c r="G1778" s="122">
        <v>2811</v>
      </c>
      <c r="H1778" s="122">
        <v>3111</v>
      </c>
      <c r="I1778" s="122">
        <v>100428</v>
      </c>
      <c r="J1778" s="122">
        <v>91298</v>
      </c>
      <c r="K1778" s="122">
        <v>90</v>
      </c>
      <c r="L1778" s="122">
        <v>12130</v>
      </c>
      <c r="M1778" s="122">
        <v>10940</v>
      </c>
      <c r="N1778" s="122">
        <v>36319</v>
      </c>
      <c r="O1778" s="122">
        <v>13451</v>
      </c>
      <c r="P1778" s="122">
        <v>29021</v>
      </c>
      <c r="Q1778" s="122">
        <v>10748</v>
      </c>
      <c r="R1778" s="122">
        <v>77984</v>
      </c>
      <c r="S1778" s="122">
        <v>70894</v>
      </c>
      <c r="T1778" s="122">
        <v>0</v>
      </c>
      <c r="U1778" s="122">
        <v>0</v>
      </c>
      <c r="V1778" s="122">
        <v>197332</v>
      </c>
      <c r="W1778" s="122">
        <f t="shared" si="56"/>
        <v>197331</v>
      </c>
      <c r="X1778" s="122">
        <f t="shared" si="57"/>
        <v>255882</v>
      </c>
      <c r="AA1778" t="s">
        <v>62</v>
      </c>
      <c r="AB1778" t="s">
        <v>408</v>
      </c>
      <c r="AC1778" t="s">
        <v>566</v>
      </c>
      <c r="AD1778" t="s">
        <v>408</v>
      </c>
      <c r="AE1778" t="s">
        <v>566</v>
      </c>
      <c r="AF1778">
        <v>1</v>
      </c>
      <c r="AG1778">
        <v>77</v>
      </c>
      <c r="AH1778">
        <v>415</v>
      </c>
      <c r="AI1778" s="122">
        <v>26121</v>
      </c>
      <c r="AJ1778" s="122">
        <v>23746</v>
      </c>
      <c r="AK1778">
        <v>91</v>
      </c>
      <c r="AL1778">
        <v>0</v>
      </c>
      <c r="AM1778">
        <v>0</v>
      </c>
      <c r="AN1778" s="122">
        <v>1469</v>
      </c>
      <c r="AO1778">
        <v>544</v>
      </c>
      <c r="AP1778">
        <v>351</v>
      </c>
      <c r="AQ1778">
        <v>130</v>
      </c>
      <c r="AR1778" s="122">
        <v>4100</v>
      </c>
      <c r="AS1778" s="122">
        <v>3728</v>
      </c>
      <c r="AT1778">
        <v>0</v>
      </c>
      <c r="AU1778">
        <v>0</v>
      </c>
      <c r="AV1778" s="122">
        <v>28148</v>
      </c>
    </row>
    <row r="1779" spans="2:48" hidden="1">
      <c r="B1779" t="s">
        <v>377</v>
      </c>
      <c r="C1779" t="s">
        <v>52</v>
      </c>
      <c r="D1779" t="s">
        <v>405</v>
      </c>
      <c r="E1779" t="s">
        <v>405</v>
      </c>
      <c r="F1779" s="122">
        <v>12</v>
      </c>
      <c r="G1779" s="122">
        <v>1060</v>
      </c>
      <c r="H1779" s="122">
        <v>1333</v>
      </c>
      <c r="I1779" s="122">
        <v>58724</v>
      </c>
      <c r="J1779" s="122">
        <v>53385</v>
      </c>
      <c r="K1779" s="122">
        <v>91</v>
      </c>
      <c r="L1779" s="122">
        <v>10827</v>
      </c>
      <c r="M1779" s="122">
        <v>9842</v>
      </c>
      <c r="N1779" s="122">
        <v>14242</v>
      </c>
      <c r="O1779" s="122">
        <v>5275</v>
      </c>
      <c r="P1779" s="122">
        <v>5670</v>
      </c>
      <c r="Q1779" s="122">
        <v>2100</v>
      </c>
      <c r="R1779" s="122">
        <v>35643</v>
      </c>
      <c r="S1779" s="122">
        <v>32403</v>
      </c>
      <c r="T1779" s="122">
        <v>0</v>
      </c>
      <c r="U1779" s="122">
        <v>0</v>
      </c>
      <c r="V1779" s="122">
        <v>103005</v>
      </c>
      <c r="W1779" s="122">
        <f t="shared" si="56"/>
        <v>103005</v>
      </c>
      <c r="X1779" s="122">
        <f t="shared" si="57"/>
        <v>125106</v>
      </c>
      <c r="AA1779" t="s">
        <v>62</v>
      </c>
      <c r="AB1779" t="s">
        <v>408</v>
      </c>
      <c r="AC1779" t="s">
        <v>433</v>
      </c>
      <c r="AD1779" t="s">
        <v>408</v>
      </c>
      <c r="AE1779" t="s">
        <v>137</v>
      </c>
      <c r="AF1779">
        <v>1</v>
      </c>
      <c r="AG1779">
        <v>121</v>
      </c>
      <c r="AH1779">
        <v>395</v>
      </c>
      <c r="AI1779" s="122">
        <v>34086</v>
      </c>
      <c r="AJ1779" s="122">
        <v>30987</v>
      </c>
      <c r="AK1779">
        <v>65</v>
      </c>
      <c r="AL1779" s="122">
        <v>4103</v>
      </c>
      <c r="AM1779" s="122">
        <v>3730</v>
      </c>
      <c r="AN1779" s="122">
        <v>1968</v>
      </c>
      <c r="AO1779">
        <v>729</v>
      </c>
      <c r="AP1779">
        <v>351</v>
      </c>
      <c r="AQ1779">
        <v>130</v>
      </c>
      <c r="AR1779" s="122">
        <v>4809</v>
      </c>
      <c r="AS1779" s="122">
        <v>4372</v>
      </c>
      <c r="AT1779" s="122">
        <v>2692</v>
      </c>
      <c r="AU1779">
        <v>997</v>
      </c>
      <c r="AV1779" s="122">
        <v>40945</v>
      </c>
    </row>
    <row r="1780" spans="2:48" hidden="1">
      <c r="B1780" t="s">
        <v>377</v>
      </c>
      <c r="C1780" t="s">
        <v>52</v>
      </c>
      <c r="D1780" t="s">
        <v>137</v>
      </c>
      <c r="E1780" t="s">
        <v>137</v>
      </c>
      <c r="F1780" s="122">
        <v>17</v>
      </c>
      <c r="G1780" s="122">
        <v>1594</v>
      </c>
      <c r="H1780" s="122">
        <v>1963</v>
      </c>
      <c r="I1780" s="122">
        <v>60831</v>
      </c>
      <c r="J1780" s="122">
        <v>22530</v>
      </c>
      <c r="K1780" s="122">
        <v>360</v>
      </c>
      <c r="L1780" s="122">
        <v>24654</v>
      </c>
      <c r="M1780" s="122">
        <v>20890</v>
      </c>
      <c r="N1780" s="122">
        <v>30522</v>
      </c>
      <c r="O1780" s="122">
        <v>11305</v>
      </c>
      <c r="P1780" s="122">
        <v>10457</v>
      </c>
      <c r="Q1780" s="122">
        <v>3873</v>
      </c>
      <c r="R1780" s="122">
        <v>56899</v>
      </c>
      <c r="S1780" s="122">
        <v>21074</v>
      </c>
      <c r="T1780" s="122">
        <v>0</v>
      </c>
      <c r="U1780" s="122">
        <v>0</v>
      </c>
      <c r="V1780" s="122">
        <v>79671</v>
      </c>
      <c r="W1780" s="122">
        <f t="shared" si="56"/>
        <v>79672</v>
      </c>
      <c r="X1780" s="122">
        <f t="shared" si="57"/>
        <v>183363</v>
      </c>
      <c r="AA1780" t="s">
        <v>62</v>
      </c>
      <c r="AB1780" t="s">
        <v>429</v>
      </c>
      <c r="AC1780" t="s">
        <v>566</v>
      </c>
      <c r="AD1780" t="s">
        <v>429</v>
      </c>
      <c r="AE1780" t="s">
        <v>137</v>
      </c>
      <c r="AF1780">
        <v>1</v>
      </c>
      <c r="AG1780">
        <v>85</v>
      </c>
      <c r="AH1780">
        <v>416</v>
      </c>
      <c r="AI1780" s="122">
        <v>27473</v>
      </c>
      <c r="AJ1780" s="122">
        <v>24976</v>
      </c>
      <c r="AK1780">
        <v>65</v>
      </c>
      <c r="AL1780">
        <v>0</v>
      </c>
      <c r="AM1780">
        <v>0</v>
      </c>
      <c r="AN1780" s="122">
        <v>1905</v>
      </c>
      <c r="AO1780">
        <v>706</v>
      </c>
      <c r="AP1780">
        <v>351</v>
      </c>
      <c r="AQ1780">
        <v>130</v>
      </c>
      <c r="AR1780" s="122">
        <v>3649</v>
      </c>
      <c r="AS1780" s="122">
        <v>3318</v>
      </c>
      <c r="AT1780" s="122">
        <v>1781</v>
      </c>
      <c r="AU1780">
        <v>660</v>
      </c>
      <c r="AV1780" s="122">
        <v>29789</v>
      </c>
    </row>
    <row r="1781" spans="2:48" hidden="1">
      <c r="B1781" t="s">
        <v>377</v>
      </c>
      <c r="C1781" t="s">
        <v>52</v>
      </c>
      <c r="D1781" t="s">
        <v>406</v>
      </c>
      <c r="E1781" t="s">
        <v>406</v>
      </c>
      <c r="F1781" s="122">
        <v>47</v>
      </c>
      <c r="G1781" s="122">
        <v>5427</v>
      </c>
      <c r="H1781" s="122">
        <v>5496</v>
      </c>
      <c r="I1781" s="122">
        <v>305284</v>
      </c>
      <c r="J1781" s="122">
        <v>277531</v>
      </c>
      <c r="K1781" s="122">
        <v>93</v>
      </c>
      <c r="L1781" s="122">
        <v>49602</v>
      </c>
      <c r="M1781" s="122">
        <v>47920</v>
      </c>
      <c r="N1781" s="122">
        <v>77394</v>
      </c>
      <c r="O1781" s="122">
        <v>28664</v>
      </c>
      <c r="P1781" s="122">
        <v>29349</v>
      </c>
      <c r="Q1781" s="122">
        <v>10870</v>
      </c>
      <c r="R1781" s="122">
        <v>170146</v>
      </c>
      <c r="S1781" s="122">
        <v>154678</v>
      </c>
      <c r="T1781" s="122">
        <v>1087</v>
      </c>
      <c r="U1781" s="122">
        <v>403</v>
      </c>
      <c r="V1781" s="122">
        <v>520066</v>
      </c>
      <c r="W1781" s="122">
        <f t="shared" si="56"/>
        <v>520066</v>
      </c>
      <c r="X1781" s="122">
        <f t="shared" si="57"/>
        <v>632862</v>
      </c>
      <c r="AA1781" t="s">
        <v>64</v>
      </c>
      <c r="AC1781" t="s">
        <v>566</v>
      </c>
      <c r="AE1781" t="s">
        <v>566</v>
      </c>
      <c r="AF1781">
        <v>59</v>
      </c>
      <c r="AG1781" s="122">
        <v>5477</v>
      </c>
      <c r="AH1781" s="122">
        <v>32969</v>
      </c>
      <c r="AJ1781">
        <v>0</v>
      </c>
      <c r="AM1781">
        <v>0</v>
      </c>
      <c r="AN1781" s="122">
        <v>116435</v>
      </c>
      <c r="AO1781" s="122">
        <v>43124</v>
      </c>
      <c r="AP1781" s="122">
        <v>24680</v>
      </c>
      <c r="AQ1781" s="122">
        <v>9141</v>
      </c>
      <c r="AS1781">
        <v>0</v>
      </c>
      <c r="AT1781" s="122">
        <v>30340</v>
      </c>
      <c r="AU1781" s="122">
        <v>11237</v>
      </c>
      <c r="AV1781" s="122">
        <v>63502</v>
      </c>
    </row>
    <row r="1782" spans="2:48">
      <c r="B1782" t="s">
        <v>377</v>
      </c>
      <c r="C1782" t="s">
        <v>52</v>
      </c>
      <c r="D1782" t="s">
        <v>407</v>
      </c>
      <c r="E1782" t="s">
        <v>407</v>
      </c>
      <c r="F1782" s="122">
        <v>68</v>
      </c>
      <c r="G1782" s="122">
        <v>5904</v>
      </c>
      <c r="H1782" s="122">
        <v>7670</v>
      </c>
      <c r="I1782" s="122">
        <v>276957</v>
      </c>
      <c r="J1782" s="122">
        <v>251779</v>
      </c>
      <c r="K1782" s="122">
        <v>90</v>
      </c>
      <c r="L1782" s="122">
        <v>56793</v>
      </c>
      <c r="M1782" s="122">
        <v>51028</v>
      </c>
      <c r="N1782" s="122">
        <v>86601</v>
      </c>
      <c r="O1782" s="122">
        <v>32075</v>
      </c>
      <c r="P1782" s="122">
        <v>46136</v>
      </c>
      <c r="Q1782" s="122">
        <v>17087</v>
      </c>
      <c r="R1782" s="122">
        <v>208997</v>
      </c>
      <c r="S1782" s="122">
        <v>189997</v>
      </c>
      <c r="T1782" s="122">
        <v>2568</v>
      </c>
      <c r="U1782" s="122">
        <v>951</v>
      </c>
      <c r="V1782" s="122">
        <v>542917</v>
      </c>
      <c r="W1782" s="122">
        <f t="shared" si="56"/>
        <v>542917</v>
      </c>
      <c r="X1782" s="122">
        <f t="shared" si="57"/>
        <v>678052</v>
      </c>
      <c r="AA1782" t="s">
        <v>64</v>
      </c>
      <c r="AB1782" t="s">
        <v>578</v>
      </c>
      <c r="AC1782" t="s">
        <v>578</v>
      </c>
      <c r="AD1782" t="s">
        <v>578</v>
      </c>
      <c r="AE1782" t="s">
        <v>137</v>
      </c>
      <c r="AF1782">
        <v>1</v>
      </c>
      <c r="AG1782">
        <v>82</v>
      </c>
      <c r="AH1782">
        <v>675</v>
      </c>
      <c r="AI1782" s="122">
        <v>40025</v>
      </c>
      <c r="AJ1782" s="122">
        <v>36387</v>
      </c>
      <c r="AK1782">
        <v>45</v>
      </c>
      <c r="AL1782" s="122">
        <v>6671</v>
      </c>
      <c r="AM1782" s="122">
        <v>6064</v>
      </c>
      <c r="AN1782" s="122">
        <v>1834</v>
      </c>
      <c r="AO1782">
        <v>679</v>
      </c>
      <c r="AP1782">
        <v>0</v>
      </c>
      <c r="AQ1782">
        <v>0</v>
      </c>
      <c r="AR1782" s="122">
        <v>5215</v>
      </c>
      <c r="AS1782" s="122">
        <v>4741</v>
      </c>
      <c r="AT1782" s="122">
        <v>1750</v>
      </c>
      <c r="AU1782">
        <v>648</v>
      </c>
      <c r="AV1782" s="122">
        <v>48520</v>
      </c>
    </row>
    <row r="1783" spans="2:48">
      <c r="B1783" t="s">
        <v>377</v>
      </c>
      <c r="C1783" t="s">
        <v>54</v>
      </c>
      <c r="D1783" t="s">
        <v>425</v>
      </c>
      <c r="E1783" t="s">
        <v>425</v>
      </c>
      <c r="F1783" s="122">
        <v>3</v>
      </c>
      <c r="G1783" s="122">
        <v>320</v>
      </c>
      <c r="H1783" s="122">
        <v>400</v>
      </c>
      <c r="I1783" s="122">
        <v>17775</v>
      </c>
      <c r="J1783" s="122">
        <v>16159</v>
      </c>
      <c r="K1783" s="122">
        <v>87</v>
      </c>
      <c r="L1783" s="122">
        <v>4006</v>
      </c>
      <c r="M1783" s="122">
        <v>3642</v>
      </c>
      <c r="N1783" s="122">
        <v>4693</v>
      </c>
      <c r="O1783" s="122">
        <v>1738</v>
      </c>
      <c r="P1783" s="122">
        <v>1418</v>
      </c>
      <c r="Q1783" s="122">
        <v>525</v>
      </c>
      <c r="R1783" s="122">
        <v>15101</v>
      </c>
      <c r="S1783" s="122">
        <v>13728</v>
      </c>
      <c r="T1783" s="122">
        <v>0</v>
      </c>
      <c r="U1783" s="122">
        <v>0</v>
      </c>
      <c r="V1783" s="122">
        <v>35792</v>
      </c>
      <c r="W1783" s="122">
        <f t="shared" si="56"/>
        <v>35792</v>
      </c>
      <c r="X1783" s="122">
        <f t="shared" si="57"/>
        <v>42993</v>
      </c>
      <c r="AA1783" t="s">
        <v>64</v>
      </c>
      <c r="AB1783" t="s">
        <v>578</v>
      </c>
      <c r="AC1783" t="s">
        <v>578</v>
      </c>
      <c r="AD1783" t="s">
        <v>579</v>
      </c>
      <c r="AE1783" t="s">
        <v>137</v>
      </c>
      <c r="AF1783">
        <v>1</v>
      </c>
      <c r="AG1783">
        <v>71</v>
      </c>
      <c r="AH1783" s="122">
        <v>1246</v>
      </c>
      <c r="AI1783" s="122">
        <v>68073</v>
      </c>
      <c r="AJ1783" s="122">
        <v>61885</v>
      </c>
      <c r="AK1783">
        <v>30</v>
      </c>
      <c r="AL1783" s="122">
        <v>7564</v>
      </c>
      <c r="AM1783" s="122">
        <v>6876</v>
      </c>
      <c r="AN1783">
        <v>971</v>
      </c>
      <c r="AO1783">
        <v>360</v>
      </c>
      <c r="AP1783">
        <v>0</v>
      </c>
      <c r="AQ1783">
        <v>0</v>
      </c>
      <c r="AR1783" s="122">
        <v>12066</v>
      </c>
      <c r="AS1783" s="122">
        <v>10055</v>
      </c>
      <c r="AT1783">
        <v>0</v>
      </c>
      <c r="AU1783">
        <v>0</v>
      </c>
      <c r="AV1783" s="122">
        <v>79176</v>
      </c>
    </row>
    <row r="1784" spans="2:48" hidden="1">
      <c r="B1784" t="s">
        <v>377</v>
      </c>
      <c r="C1784" t="s">
        <v>54</v>
      </c>
      <c r="D1784" t="s">
        <v>405</v>
      </c>
      <c r="E1784" t="s">
        <v>405</v>
      </c>
      <c r="F1784" s="122">
        <v>36</v>
      </c>
      <c r="G1784" s="122">
        <v>2827</v>
      </c>
      <c r="H1784" s="122">
        <v>4932</v>
      </c>
      <c r="I1784" s="122">
        <v>201358</v>
      </c>
      <c r="J1784" s="122">
        <v>183053</v>
      </c>
      <c r="K1784" s="122">
        <v>90</v>
      </c>
      <c r="L1784" s="122">
        <v>21071</v>
      </c>
      <c r="M1784" s="122">
        <v>17878</v>
      </c>
      <c r="N1784" s="122">
        <v>51054</v>
      </c>
      <c r="O1784" s="122">
        <v>18909</v>
      </c>
      <c r="P1784" s="122">
        <v>17361</v>
      </c>
      <c r="Q1784" s="122">
        <v>6430</v>
      </c>
      <c r="R1784" s="122">
        <v>97753</v>
      </c>
      <c r="S1784" s="122">
        <v>88866</v>
      </c>
      <c r="T1784" s="122">
        <v>0</v>
      </c>
      <c r="U1784" s="122">
        <v>0</v>
      </c>
      <c r="V1784" s="122">
        <v>315136</v>
      </c>
      <c r="W1784" s="122">
        <f t="shared" si="56"/>
        <v>315136</v>
      </c>
      <c r="X1784" s="122">
        <f t="shared" si="57"/>
        <v>388597</v>
      </c>
      <c r="AA1784" t="s">
        <v>64</v>
      </c>
      <c r="AB1784" t="s">
        <v>578</v>
      </c>
      <c r="AC1784" t="s">
        <v>137</v>
      </c>
      <c r="AD1784" t="s">
        <v>578</v>
      </c>
      <c r="AE1784" t="s">
        <v>137</v>
      </c>
      <c r="AF1784">
        <v>1</v>
      </c>
      <c r="AG1784">
        <v>57</v>
      </c>
      <c r="AH1784">
        <v>461</v>
      </c>
      <c r="AI1784" s="122">
        <v>15899</v>
      </c>
      <c r="AJ1784" s="122">
        <v>14454</v>
      </c>
      <c r="AK1784">
        <v>50</v>
      </c>
      <c r="AL1784" s="122">
        <v>3443</v>
      </c>
      <c r="AM1784" s="122">
        <v>1275</v>
      </c>
      <c r="AN1784">
        <v>763</v>
      </c>
      <c r="AO1784">
        <v>282</v>
      </c>
      <c r="AP1784">
        <v>351</v>
      </c>
      <c r="AQ1784">
        <v>130</v>
      </c>
      <c r="AR1784" s="122">
        <v>3953</v>
      </c>
      <c r="AS1784" s="122">
        <v>3593</v>
      </c>
      <c r="AT1784" s="122">
        <v>1846</v>
      </c>
      <c r="AU1784">
        <v>684</v>
      </c>
      <c r="AV1784" s="122">
        <v>20419</v>
      </c>
    </row>
    <row r="1785" spans="2:48" hidden="1">
      <c r="B1785" t="s">
        <v>377</v>
      </c>
      <c r="C1785" t="s">
        <v>54</v>
      </c>
      <c r="D1785" t="s">
        <v>137</v>
      </c>
      <c r="E1785" t="s">
        <v>137</v>
      </c>
      <c r="F1785" s="122">
        <v>5</v>
      </c>
      <c r="G1785" s="122">
        <v>557</v>
      </c>
      <c r="H1785" s="122">
        <v>693</v>
      </c>
      <c r="I1785" s="122">
        <v>32501</v>
      </c>
      <c r="J1785" s="122">
        <v>12037</v>
      </c>
      <c r="K1785" s="122">
        <v>350</v>
      </c>
      <c r="L1785" s="122">
        <v>12766</v>
      </c>
      <c r="M1785" s="122">
        <v>11605</v>
      </c>
      <c r="N1785" s="122">
        <v>9659</v>
      </c>
      <c r="O1785" s="122">
        <v>3577</v>
      </c>
      <c r="P1785" s="122">
        <v>4563</v>
      </c>
      <c r="Q1785" s="122">
        <v>1690</v>
      </c>
      <c r="R1785" s="122">
        <v>17778</v>
      </c>
      <c r="S1785" s="122">
        <v>6584</v>
      </c>
      <c r="T1785" s="122">
        <v>0</v>
      </c>
      <c r="U1785" s="122">
        <v>0</v>
      </c>
      <c r="V1785" s="122">
        <v>35495</v>
      </c>
      <c r="W1785" s="122">
        <f t="shared" si="56"/>
        <v>35493</v>
      </c>
      <c r="X1785" s="122">
        <f t="shared" si="57"/>
        <v>77267</v>
      </c>
      <c r="AA1785" t="s">
        <v>64</v>
      </c>
      <c r="AB1785" t="s">
        <v>578</v>
      </c>
      <c r="AC1785" t="s">
        <v>137</v>
      </c>
      <c r="AD1785" t="s">
        <v>137</v>
      </c>
      <c r="AE1785" t="s">
        <v>566</v>
      </c>
      <c r="AF1785">
        <v>1</v>
      </c>
      <c r="AG1785">
        <v>50</v>
      </c>
      <c r="AH1785">
        <v>646</v>
      </c>
      <c r="AI1785" s="122">
        <v>13612</v>
      </c>
      <c r="AJ1785" s="122">
        <v>12375</v>
      </c>
      <c r="AK1785">
        <v>55</v>
      </c>
      <c r="AL1785" s="122">
        <v>2042</v>
      </c>
      <c r="AM1785">
        <v>756</v>
      </c>
      <c r="AN1785" s="122">
        <v>1090</v>
      </c>
      <c r="AO1785">
        <v>404</v>
      </c>
      <c r="AP1785">
        <v>351</v>
      </c>
      <c r="AQ1785">
        <v>130</v>
      </c>
      <c r="AR1785" s="122">
        <v>15347</v>
      </c>
      <c r="AS1785" s="122">
        <v>5684</v>
      </c>
      <c r="AT1785">
        <v>0</v>
      </c>
      <c r="AU1785">
        <v>0</v>
      </c>
      <c r="AV1785" s="122">
        <v>19349</v>
      </c>
    </row>
    <row r="1786" spans="2:48" hidden="1">
      <c r="B1786" t="s">
        <v>377</v>
      </c>
      <c r="C1786" t="s">
        <v>54</v>
      </c>
      <c r="D1786" t="s">
        <v>406</v>
      </c>
      <c r="E1786" t="s">
        <v>406</v>
      </c>
      <c r="F1786" s="122">
        <v>208</v>
      </c>
      <c r="G1786" s="122">
        <v>23160</v>
      </c>
      <c r="H1786" s="122">
        <v>29446</v>
      </c>
      <c r="I1786" s="122">
        <v>1491681</v>
      </c>
      <c r="J1786" s="122">
        <v>1356074</v>
      </c>
      <c r="K1786" s="122">
        <v>91</v>
      </c>
      <c r="L1786" s="122">
        <v>318949</v>
      </c>
      <c r="M1786" s="122">
        <v>285663</v>
      </c>
      <c r="N1786" s="122">
        <v>406550</v>
      </c>
      <c r="O1786" s="122">
        <v>150574</v>
      </c>
      <c r="P1786" s="122">
        <v>134354</v>
      </c>
      <c r="Q1786" s="122">
        <v>49761</v>
      </c>
      <c r="R1786" s="122">
        <v>871181</v>
      </c>
      <c r="S1786" s="122">
        <v>791983</v>
      </c>
      <c r="T1786" s="122">
        <v>101345</v>
      </c>
      <c r="U1786" s="122">
        <v>37535</v>
      </c>
      <c r="V1786" s="122">
        <v>2671590</v>
      </c>
      <c r="W1786" s="122">
        <f t="shared" si="56"/>
        <v>2671590</v>
      </c>
      <c r="X1786" s="122">
        <f t="shared" si="57"/>
        <v>3324060</v>
      </c>
      <c r="AA1786" t="s">
        <v>64</v>
      </c>
      <c r="AB1786" t="s">
        <v>578</v>
      </c>
      <c r="AC1786" t="s">
        <v>427</v>
      </c>
      <c r="AD1786" t="s">
        <v>578</v>
      </c>
      <c r="AE1786" t="s">
        <v>137</v>
      </c>
      <c r="AF1786">
        <v>1</v>
      </c>
      <c r="AG1786">
        <v>105</v>
      </c>
      <c r="AH1786">
        <v>565</v>
      </c>
      <c r="AI1786" s="122">
        <v>46075</v>
      </c>
      <c r="AJ1786" s="122">
        <v>41886</v>
      </c>
      <c r="AK1786">
        <v>45</v>
      </c>
      <c r="AL1786" s="122">
        <v>3840</v>
      </c>
      <c r="AM1786" s="122">
        <v>3491</v>
      </c>
      <c r="AN1786" s="122">
        <v>1399</v>
      </c>
      <c r="AO1786">
        <v>518</v>
      </c>
      <c r="AP1786">
        <v>351</v>
      </c>
      <c r="AQ1786">
        <v>130</v>
      </c>
      <c r="AR1786" s="122">
        <v>5766</v>
      </c>
      <c r="AS1786" s="122">
        <v>5242</v>
      </c>
      <c r="AT1786" s="122">
        <v>2050</v>
      </c>
      <c r="AU1786">
        <v>759</v>
      </c>
      <c r="AV1786" s="122">
        <v>52026</v>
      </c>
    </row>
    <row r="1787" spans="2:48" hidden="1">
      <c r="B1787" t="s">
        <v>377</v>
      </c>
      <c r="C1787" t="s">
        <v>54</v>
      </c>
      <c r="D1787" t="s">
        <v>407</v>
      </c>
      <c r="E1787" t="s">
        <v>407</v>
      </c>
      <c r="F1787" s="122">
        <v>72</v>
      </c>
      <c r="G1787" s="122">
        <v>7227</v>
      </c>
      <c r="H1787" s="122">
        <v>10230</v>
      </c>
      <c r="I1787" s="122">
        <v>491740</v>
      </c>
      <c r="J1787" s="122">
        <v>447037</v>
      </c>
      <c r="K1787" s="122">
        <v>90</v>
      </c>
      <c r="L1787" s="122">
        <v>119212</v>
      </c>
      <c r="M1787" s="122">
        <v>107428</v>
      </c>
      <c r="N1787" s="122">
        <v>117151</v>
      </c>
      <c r="O1787" s="122">
        <v>43389</v>
      </c>
      <c r="P1787" s="122">
        <v>43719</v>
      </c>
      <c r="Q1787" s="122">
        <v>16192</v>
      </c>
      <c r="R1787" s="122">
        <v>251306</v>
      </c>
      <c r="S1787" s="122">
        <v>228460</v>
      </c>
      <c r="T1787" s="122">
        <v>4539</v>
      </c>
      <c r="U1787" s="122">
        <v>1681</v>
      </c>
      <c r="V1787" s="122">
        <v>844187</v>
      </c>
      <c r="W1787" s="122">
        <f t="shared" si="56"/>
        <v>844187</v>
      </c>
      <c r="X1787" s="122">
        <f t="shared" si="57"/>
        <v>1027667</v>
      </c>
      <c r="AA1787" t="s">
        <v>64</v>
      </c>
      <c r="AB1787" t="s">
        <v>578</v>
      </c>
      <c r="AC1787" t="s">
        <v>566</v>
      </c>
      <c r="AD1787" t="s">
        <v>578</v>
      </c>
      <c r="AE1787" t="s">
        <v>566</v>
      </c>
      <c r="AF1787">
        <v>1</v>
      </c>
      <c r="AG1787">
        <v>69</v>
      </c>
      <c r="AH1787">
        <v>528</v>
      </c>
      <c r="AI1787" s="122">
        <v>27958</v>
      </c>
      <c r="AJ1787" s="122">
        <v>25416</v>
      </c>
      <c r="AK1787">
        <v>50</v>
      </c>
      <c r="AL1787">
        <v>0</v>
      </c>
      <c r="AM1787" s="122">
        <v>4707</v>
      </c>
      <c r="AN1787" s="122">
        <v>1686</v>
      </c>
      <c r="AO1787">
        <v>625</v>
      </c>
      <c r="AP1787">
        <v>351</v>
      </c>
      <c r="AQ1787">
        <v>130</v>
      </c>
      <c r="AR1787" s="122">
        <v>6568</v>
      </c>
      <c r="AS1787" s="122">
        <v>5971</v>
      </c>
      <c r="AT1787">
        <v>0</v>
      </c>
      <c r="AU1787">
        <v>0</v>
      </c>
      <c r="AV1787" s="122">
        <v>36849</v>
      </c>
    </row>
    <row r="1788" spans="2:48" hidden="1">
      <c r="B1788" t="s">
        <v>377</v>
      </c>
      <c r="C1788" t="s">
        <v>56</v>
      </c>
      <c r="F1788" s="122">
        <v>1</v>
      </c>
      <c r="G1788" s="122">
        <v>109</v>
      </c>
      <c r="H1788" s="122">
        <v>221</v>
      </c>
      <c r="I1788" s="122"/>
      <c r="J1788" s="122">
        <v>0</v>
      </c>
      <c r="K1788" s="122"/>
      <c r="L1788" s="122"/>
      <c r="M1788" s="122">
        <v>0</v>
      </c>
      <c r="N1788" s="122">
        <v>1331</v>
      </c>
      <c r="O1788" s="122">
        <v>493</v>
      </c>
      <c r="P1788" s="122">
        <v>621</v>
      </c>
      <c r="Q1788" s="122">
        <v>230</v>
      </c>
      <c r="R1788" s="122"/>
      <c r="S1788" s="122">
        <v>0</v>
      </c>
      <c r="T1788" s="122">
        <v>0</v>
      </c>
      <c r="U1788" s="122">
        <v>0</v>
      </c>
      <c r="V1788" s="122">
        <v>723</v>
      </c>
      <c r="W1788" s="122">
        <f t="shared" si="56"/>
        <v>723</v>
      </c>
      <c r="X1788" s="122">
        <f t="shared" si="57"/>
        <v>1952</v>
      </c>
      <c r="AA1788" t="s">
        <v>64</v>
      </c>
      <c r="AB1788" t="s">
        <v>425</v>
      </c>
      <c r="AC1788" t="s">
        <v>425</v>
      </c>
      <c r="AD1788" t="s">
        <v>425</v>
      </c>
      <c r="AE1788" t="s">
        <v>137</v>
      </c>
      <c r="AF1788">
        <v>3</v>
      </c>
      <c r="AG1788">
        <v>276</v>
      </c>
      <c r="AH1788" s="122">
        <v>1419</v>
      </c>
      <c r="AI1788" s="122">
        <v>84862</v>
      </c>
      <c r="AJ1788" s="122">
        <v>77148</v>
      </c>
      <c r="AK1788">
        <v>65</v>
      </c>
      <c r="AL1788" s="122">
        <v>14681</v>
      </c>
      <c r="AM1788" s="122">
        <v>13347</v>
      </c>
      <c r="AN1788" s="122">
        <v>5535</v>
      </c>
      <c r="AO1788" s="122">
        <v>2050</v>
      </c>
      <c r="AP1788" s="122">
        <v>1296</v>
      </c>
      <c r="AQ1788">
        <v>480</v>
      </c>
      <c r="AR1788" s="122">
        <v>18304</v>
      </c>
      <c r="AS1788" s="122">
        <v>16640</v>
      </c>
      <c r="AT1788" s="122">
        <v>5410</v>
      </c>
      <c r="AU1788" s="122">
        <v>2004</v>
      </c>
      <c r="AV1788" s="122">
        <v>111668</v>
      </c>
    </row>
    <row r="1789" spans="2:48" hidden="1">
      <c r="B1789" t="s">
        <v>377</v>
      </c>
      <c r="C1789" t="s">
        <v>56</v>
      </c>
      <c r="D1789" t="s">
        <v>425</v>
      </c>
      <c r="E1789" t="s">
        <v>425</v>
      </c>
      <c r="F1789" s="122">
        <v>4</v>
      </c>
      <c r="G1789" s="122">
        <v>403</v>
      </c>
      <c r="H1789" s="122">
        <v>729</v>
      </c>
      <c r="I1789" s="122">
        <v>37250</v>
      </c>
      <c r="J1789" s="122">
        <v>33864</v>
      </c>
      <c r="K1789" s="122">
        <v>81</v>
      </c>
      <c r="L1789" s="122">
        <v>7877</v>
      </c>
      <c r="M1789" s="122">
        <v>5136</v>
      </c>
      <c r="N1789" s="122">
        <v>7883</v>
      </c>
      <c r="O1789" s="122">
        <v>2920</v>
      </c>
      <c r="P1789" s="122">
        <v>1769</v>
      </c>
      <c r="Q1789" s="122">
        <v>655</v>
      </c>
      <c r="R1789" s="122">
        <v>17326</v>
      </c>
      <c r="S1789" s="122">
        <v>15751</v>
      </c>
      <c r="T1789" s="122">
        <v>0</v>
      </c>
      <c r="U1789" s="122">
        <v>0</v>
      </c>
      <c r="V1789" s="122">
        <v>58326</v>
      </c>
      <c r="W1789" s="122">
        <f t="shared" si="56"/>
        <v>58326</v>
      </c>
      <c r="X1789" s="122">
        <f t="shared" si="57"/>
        <v>72105</v>
      </c>
      <c r="AA1789" t="s">
        <v>64</v>
      </c>
      <c r="AB1789" t="s">
        <v>425</v>
      </c>
      <c r="AC1789" t="s">
        <v>425</v>
      </c>
      <c r="AD1789" t="s">
        <v>425</v>
      </c>
      <c r="AE1789" t="s">
        <v>566</v>
      </c>
      <c r="AF1789">
        <v>1</v>
      </c>
      <c r="AG1789">
        <v>69</v>
      </c>
      <c r="AH1789">
        <v>516</v>
      </c>
      <c r="AI1789" s="122">
        <v>24329</v>
      </c>
      <c r="AJ1789" s="122">
        <v>22117</v>
      </c>
      <c r="AK1789">
        <v>65</v>
      </c>
      <c r="AL1789" s="122">
        <v>2652</v>
      </c>
      <c r="AM1789" s="122">
        <v>2411</v>
      </c>
      <c r="AN1789" s="122">
        <v>1337</v>
      </c>
      <c r="AO1789">
        <v>495</v>
      </c>
      <c r="AP1789">
        <v>351</v>
      </c>
      <c r="AQ1789">
        <v>130</v>
      </c>
      <c r="AR1789" s="122">
        <v>6726</v>
      </c>
      <c r="AS1789" s="122">
        <v>6114</v>
      </c>
      <c r="AT1789">
        <v>0</v>
      </c>
      <c r="AU1789">
        <v>0</v>
      </c>
      <c r="AV1789" s="122">
        <v>31267</v>
      </c>
    </row>
    <row r="1790" spans="2:48" hidden="1">
      <c r="B1790" t="s">
        <v>377</v>
      </c>
      <c r="C1790" t="s">
        <v>56</v>
      </c>
      <c r="D1790" t="s">
        <v>425</v>
      </c>
      <c r="E1790" t="s">
        <v>406</v>
      </c>
      <c r="F1790" s="122">
        <v>3</v>
      </c>
      <c r="G1790" s="122">
        <v>292</v>
      </c>
      <c r="H1790" s="122">
        <v>628</v>
      </c>
      <c r="I1790" s="122">
        <v>29102</v>
      </c>
      <c r="J1790" s="122">
        <v>26456</v>
      </c>
      <c r="K1790" s="122">
        <v>83</v>
      </c>
      <c r="L1790" s="122">
        <v>6274</v>
      </c>
      <c r="M1790" s="122">
        <v>5703</v>
      </c>
      <c r="N1790" s="122">
        <v>6362</v>
      </c>
      <c r="O1790" s="122">
        <v>2356</v>
      </c>
      <c r="P1790" s="122">
        <v>1863</v>
      </c>
      <c r="Q1790" s="122">
        <v>690</v>
      </c>
      <c r="R1790" s="122">
        <v>13451</v>
      </c>
      <c r="S1790" s="122">
        <v>12228</v>
      </c>
      <c r="T1790" s="122">
        <v>2758</v>
      </c>
      <c r="U1790" s="122">
        <v>1022</v>
      </c>
      <c r="V1790" s="122">
        <v>48456</v>
      </c>
      <c r="W1790" s="122">
        <f t="shared" si="56"/>
        <v>48455</v>
      </c>
      <c r="X1790" s="122">
        <f t="shared" si="57"/>
        <v>59810</v>
      </c>
      <c r="AA1790" t="s">
        <v>64</v>
      </c>
      <c r="AB1790" t="s">
        <v>425</v>
      </c>
      <c r="AC1790" t="s">
        <v>425</v>
      </c>
      <c r="AD1790" t="s">
        <v>137</v>
      </c>
      <c r="AE1790" t="s">
        <v>137</v>
      </c>
      <c r="AF1790">
        <v>1</v>
      </c>
      <c r="AG1790">
        <v>78</v>
      </c>
      <c r="AH1790">
        <v>690</v>
      </c>
      <c r="AI1790" s="122">
        <v>24679</v>
      </c>
      <c r="AJ1790" s="122">
        <v>22435</v>
      </c>
      <c r="AK1790">
        <v>50</v>
      </c>
      <c r="AL1790" s="122">
        <v>2176</v>
      </c>
      <c r="AM1790" s="122">
        <v>1978</v>
      </c>
      <c r="AN1790" s="122">
        <v>1897</v>
      </c>
      <c r="AO1790">
        <v>702</v>
      </c>
      <c r="AP1790">
        <v>0</v>
      </c>
      <c r="AQ1790">
        <v>0</v>
      </c>
      <c r="AR1790" s="122">
        <v>24911</v>
      </c>
      <c r="AS1790" s="122">
        <v>9226</v>
      </c>
      <c r="AT1790">
        <v>0</v>
      </c>
      <c r="AU1790">
        <v>0</v>
      </c>
      <c r="AV1790" s="122">
        <v>34343</v>
      </c>
    </row>
    <row r="1791" spans="2:48" hidden="1">
      <c r="B1791" t="s">
        <v>377</v>
      </c>
      <c r="C1791" t="s">
        <v>56</v>
      </c>
      <c r="D1791" t="s">
        <v>405</v>
      </c>
      <c r="E1791" t="s">
        <v>425</v>
      </c>
      <c r="F1791" s="122">
        <v>1</v>
      </c>
      <c r="G1791" s="122">
        <v>115</v>
      </c>
      <c r="H1791" s="122">
        <v>197</v>
      </c>
      <c r="I1791" s="122">
        <v>11885</v>
      </c>
      <c r="J1791" s="122">
        <v>10804</v>
      </c>
      <c r="K1791" s="122">
        <v>70</v>
      </c>
      <c r="L1791" s="122">
        <v>2927</v>
      </c>
      <c r="M1791" s="122">
        <v>2661</v>
      </c>
      <c r="N1791" s="122">
        <v>1403</v>
      </c>
      <c r="O1791" s="122">
        <v>520</v>
      </c>
      <c r="P1791" s="122">
        <v>473</v>
      </c>
      <c r="Q1791" s="122">
        <v>175</v>
      </c>
      <c r="R1791" s="122">
        <v>5949</v>
      </c>
      <c r="S1791" s="122">
        <v>5409</v>
      </c>
      <c r="T1791" s="122">
        <v>0</v>
      </c>
      <c r="U1791" s="122">
        <v>0</v>
      </c>
      <c r="V1791" s="122">
        <v>19569</v>
      </c>
      <c r="W1791" s="122">
        <f t="shared" si="56"/>
        <v>19569</v>
      </c>
      <c r="X1791" s="122">
        <f t="shared" si="57"/>
        <v>22637</v>
      </c>
      <c r="AA1791" t="s">
        <v>64</v>
      </c>
      <c r="AB1791" t="s">
        <v>425</v>
      </c>
      <c r="AC1791" t="s">
        <v>137</v>
      </c>
      <c r="AD1791" t="s">
        <v>425</v>
      </c>
      <c r="AE1791" t="s">
        <v>137</v>
      </c>
      <c r="AF1791">
        <v>1</v>
      </c>
      <c r="AG1791">
        <v>74</v>
      </c>
      <c r="AH1791">
        <v>513</v>
      </c>
      <c r="AI1791" s="122">
        <v>24683</v>
      </c>
      <c r="AJ1791" s="122">
        <v>22439</v>
      </c>
      <c r="AK1791">
        <v>65</v>
      </c>
      <c r="AL1791" s="122">
        <v>4160</v>
      </c>
      <c r="AM1791" s="122">
        <v>1541</v>
      </c>
      <c r="AN1791" s="122">
        <v>1794</v>
      </c>
      <c r="AO1791">
        <v>665</v>
      </c>
      <c r="AP1791">
        <v>473</v>
      </c>
      <c r="AQ1791">
        <v>175</v>
      </c>
      <c r="AR1791" s="122">
        <v>4421</v>
      </c>
      <c r="AS1791" s="122">
        <v>4019</v>
      </c>
      <c r="AT1791" s="122">
        <v>2213</v>
      </c>
      <c r="AU1791">
        <v>820</v>
      </c>
      <c r="AV1791" s="122">
        <v>29658</v>
      </c>
    </row>
    <row r="1792" spans="2:48" hidden="1">
      <c r="B1792" t="s">
        <v>377</v>
      </c>
      <c r="C1792" t="s">
        <v>56</v>
      </c>
      <c r="D1792" t="s">
        <v>405</v>
      </c>
      <c r="E1792" t="s">
        <v>405</v>
      </c>
      <c r="F1792" s="122">
        <v>53</v>
      </c>
      <c r="G1792" s="122">
        <v>5264</v>
      </c>
      <c r="H1792" s="122">
        <v>9729</v>
      </c>
      <c r="I1792" s="122">
        <v>491288</v>
      </c>
      <c r="J1792" s="122">
        <v>446625</v>
      </c>
      <c r="K1792" s="122">
        <v>84</v>
      </c>
      <c r="L1792" s="122">
        <v>118217</v>
      </c>
      <c r="M1792" s="122">
        <v>101781</v>
      </c>
      <c r="N1792" s="122">
        <v>103941</v>
      </c>
      <c r="O1792" s="122">
        <v>38497</v>
      </c>
      <c r="P1792" s="122">
        <v>26204</v>
      </c>
      <c r="Q1792" s="122">
        <v>9705</v>
      </c>
      <c r="R1792" s="122">
        <v>211715</v>
      </c>
      <c r="S1792" s="122">
        <v>192468</v>
      </c>
      <c r="T1792" s="122">
        <v>24490</v>
      </c>
      <c r="U1792" s="122">
        <v>9070</v>
      </c>
      <c r="V1792" s="122">
        <v>798147</v>
      </c>
      <c r="W1792" s="122">
        <f t="shared" si="56"/>
        <v>798146</v>
      </c>
      <c r="X1792" s="122">
        <f t="shared" si="57"/>
        <v>975855</v>
      </c>
      <c r="AA1792" t="s">
        <v>64</v>
      </c>
      <c r="AB1792" t="s">
        <v>425</v>
      </c>
      <c r="AC1792" t="s">
        <v>137</v>
      </c>
      <c r="AD1792" t="s">
        <v>137</v>
      </c>
      <c r="AE1792" t="s">
        <v>566</v>
      </c>
      <c r="AF1792">
        <v>1</v>
      </c>
      <c r="AG1792">
        <v>69</v>
      </c>
      <c r="AH1792">
        <v>665</v>
      </c>
      <c r="AI1792" s="122">
        <v>35805</v>
      </c>
      <c r="AJ1792" s="122">
        <v>32550</v>
      </c>
      <c r="AK1792">
        <v>20</v>
      </c>
      <c r="AL1792" s="122">
        <v>1953</v>
      </c>
      <c r="AM1792">
        <v>723</v>
      </c>
      <c r="AN1792" s="122">
        <v>1684</v>
      </c>
      <c r="AO1792">
        <v>624</v>
      </c>
      <c r="AP1792">
        <v>0</v>
      </c>
      <c r="AQ1792">
        <v>0</v>
      </c>
      <c r="AR1792" s="122">
        <v>6519</v>
      </c>
      <c r="AS1792" s="122">
        <v>2414</v>
      </c>
      <c r="AT1792">
        <v>0</v>
      </c>
      <c r="AU1792">
        <v>0</v>
      </c>
      <c r="AV1792" s="122">
        <v>36312</v>
      </c>
    </row>
    <row r="1793" spans="2:48" hidden="1">
      <c r="B1793" t="s">
        <v>377</v>
      </c>
      <c r="C1793" t="s">
        <v>56</v>
      </c>
      <c r="D1793" t="s">
        <v>137</v>
      </c>
      <c r="E1793" t="s">
        <v>137</v>
      </c>
      <c r="F1793" s="122">
        <v>22</v>
      </c>
      <c r="G1793" s="122">
        <v>1882</v>
      </c>
      <c r="H1793" s="122">
        <v>4517</v>
      </c>
      <c r="I1793" s="122">
        <v>171902</v>
      </c>
      <c r="J1793" s="122">
        <v>63667</v>
      </c>
      <c r="K1793" s="122">
        <v>107</v>
      </c>
      <c r="L1793" s="122">
        <v>30789</v>
      </c>
      <c r="M1793" s="122">
        <v>17921</v>
      </c>
      <c r="N1793" s="122">
        <v>40626</v>
      </c>
      <c r="O1793" s="122">
        <v>15047</v>
      </c>
      <c r="P1793" s="122">
        <v>702</v>
      </c>
      <c r="Q1793" s="122">
        <v>260</v>
      </c>
      <c r="R1793" s="122">
        <v>157540</v>
      </c>
      <c r="S1793" s="122">
        <v>58348</v>
      </c>
      <c r="T1793" s="122">
        <v>0</v>
      </c>
      <c r="U1793" s="122">
        <v>0</v>
      </c>
      <c r="V1793" s="122">
        <v>155244</v>
      </c>
      <c r="W1793" s="122">
        <f t="shared" si="56"/>
        <v>155243</v>
      </c>
      <c r="X1793" s="122">
        <f t="shared" si="57"/>
        <v>401559</v>
      </c>
      <c r="AA1793" t="s">
        <v>64</v>
      </c>
      <c r="AB1793" t="s">
        <v>425</v>
      </c>
      <c r="AC1793" t="s">
        <v>579</v>
      </c>
      <c r="AD1793" t="s">
        <v>425</v>
      </c>
      <c r="AE1793" t="s">
        <v>137</v>
      </c>
      <c r="AF1793">
        <v>2</v>
      </c>
      <c r="AG1793">
        <v>153</v>
      </c>
      <c r="AH1793" s="122">
        <v>1103</v>
      </c>
      <c r="AI1793" s="122">
        <v>55264</v>
      </c>
      <c r="AJ1793" s="122">
        <v>50240</v>
      </c>
      <c r="AK1793">
        <v>76</v>
      </c>
      <c r="AL1793" s="122">
        <v>15903</v>
      </c>
      <c r="AM1793" s="122">
        <v>13252</v>
      </c>
      <c r="AN1793" s="122">
        <v>3521</v>
      </c>
      <c r="AO1793" s="122">
        <v>1304</v>
      </c>
      <c r="AP1793">
        <v>824</v>
      </c>
      <c r="AQ1793">
        <v>305</v>
      </c>
      <c r="AR1793" s="122">
        <v>6989</v>
      </c>
      <c r="AS1793" s="122">
        <v>6354</v>
      </c>
      <c r="AT1793" s="122">
        <v>1763</v>
      </c>
      <c r="AU1793">
        <v>653</v>
      </c>
      <c r="AV1793" s="122">
        <v>72108</v>
      </c>
    </row>
    <row r="1794" spans="2:48" hidden="1">
      <c r="B1794" t="s">
        <v>377</v>
      </c>
      <c r="C1794" t="s">
        <v>56</v>
      </c>
      <c r="D1794" t="s">
        <v>137</v>
      </c>
      <c r="E1794" t="s">
        <v>426</v>
      </c>
      <c r="F1794" s="122">
        <v>2</v>
      </c>
      <c r="G1794" s="122">
        <v>172</v>
      </c>
      <c r="H1794" s="122">
        <v>429</v>
      </c>
      <c r="I1794" s="122">
        <v>21331</v>
      </c>
      <c r="J1794" s="122">
        <v>7901</v>
      </c>
      <c r="K1794" s="122">
        <v>100</v>
      </c>
      <c r="L1794" s="122">
        <v>3598</v>
      </c>
      <c r="M1794" s="122">
        <v>2377</v>
      </c>
      <c r="N1794" s="122">
        <v>2094</v>
      </c>
      <c r="O1794" s="122">
        <v>775</v>
      </c>
      <c r="P1794" s="122">
        <v>0</v>
      </c>
      <c r="Q1794" s="122">
        <v>0</v>
      </c>
      <c r="R1794" s="122">
        <v>7575</v>
      </c>
      <c r="S1794" s="122">
        <v>6886</v>
      </c>
      <c r="T1794" s="122">
        <v>2579</v>
      </c>
      <c r="U1794" s="122">
        <v>955</v>
      </c>
      <c r="V1794" s="122">
        <v>18894</v>
      </c>
      <c r="W1794" s="122">
        <f t="shared" si="56"/>
        <v>18894</v>
      </c>
      <c r="X1794" s="122">
        <f t="shared" si="57"/>
        <v>37177</v>
      </c>
      <c r="AA1794" t="s">
        <v>64</v>
      </c>
      <c r="AB1794" t="s">
        <v>425</v>
      </c>
      <c r="AC1794" t="s">
        <v>579</v>
      </c>
      <c r="AD1794" t="s">
        <v>425</v>
      </c>
      <c r="AE1794" t="s">
        <v>566</v>
      </c>
      <c r="AF1794">
        <v>1</v>
      </c>
      <c r="AG1794">
        <v>92</v>
      </c>
      <c r="AH1794">
        <v>458</v>
      </c>
      <c r="AI1794" s="122">
        <v>26649</v>
      </c>
      <c r="AJ1794" s="122">
        <v>24227</v>
      </c>
      <c r="AK1794">
        <v>73</v>
      </c>
      <c r="AL1794" s="122">
        <v>7473</v>
      </c>
      <c r="AM1794" s="122">
        <v>6227</v>
      </c>
      <c r="AN1794" s="122">
        <v>2196</v>
      </c>
      <c r="AO1794">
        <v>813</v>
      </c>
      <c r="AP1794">
        <v>473</v>
      </c>
      <c r="AQ1794">
        <v>175</v>
      </c>
      <c r="AR1794" s="122">
        <v>5279</v>
      </c>
      <c r="AS1794" s="122">
        <v>4799</v>
      </c>
      <c r="AT1794">
        <v>0</v>
      </c>
      <c r="AU1794">
        <v>0</v>
      </c>
      <c r="AV1794" s="122">
        <v>36241</v>
      </c>
    </row>
    <row r="1795" spans="2:48" hidden="1">
      <c r="B1795" t="s">
        <v>377</v>
      </c>
      <c r="C1795" t="s">
        <v>56</v>
      </c>
      <c r="D1795" t="s">
        <v>406</v>
      </c>
      <c r="E1795" t="s">
        <v>425</v>
      </c>
      <c r="F1795" s="122">
        <v>2</v>
      </c>
      <c r="G1795" s="122">
        <v>184</v>
      </c>
      <c r="H1795" s="122">
        <v>369</v>
      </c>
      <c r="I1795" s="122">
        <v>16966</v>
      </c>
      <c r="J1795" s="122">
        <v>15423</v>
      </c>
      <c r="K1795" s="122">
        <v>88</v>
      </c>
      <c r="L1795" s="122">
        <v>2763</v>
      </c>
      <c r="M1795" s="122">
        <v>2393</v>
      </c>
      <c r="N1795" s="122">
        <v>3350</v>
      </c>
      <c r="O1795" s="122">
        <v>1241</v>
      </c>
      <c r="P1795" s="122">
        <v>1242</v>
      </c>
      <c r="Q1795" s="122">
        <v>460</v>
      </c>
      <c r="R1795" s="122">
        <v>7364</v>
      </c>
      <c r="S1795" s="122">
        <v>6695</v>
      </c>
      <c r="T1795" s="122">
        <v>2307</v>
      </c>
      <c r="U1795" s="122">
        <v>854</v>
      </c>
      <c r="V1795" s="122">
        <v>27066</v>
      </c>
      <c r="W1795" s="122">
        <f t="shared" si="56"/>
        <v>27066</v>
      </c>
      <c r="X1795" s="122">
        <f t="shared" si="57"/>
        <v>33992</v>
      </c>
      <c r="AA1795" t="s">
        <v>64</v>
      </c>
      <c r="AB1795" t="s">
        <v>425</v>
      </c>
      <c r="AC1795" t="s">
        <v>579</v>
      </c>
      <c r="AD1795" t="s">
        <v>137</v>
      </c>
      <c r="AE1795" t="s">
        <v>566</v>
      </c>
      <c r="AF1795">
        <v>1</v>
      </c>
      <c r="AG1795">
        <v>82</v>
      </c>
      <c r="AH1795">
        <v>487</v>
      </c>
      <c r="AI1795" s="122">
        <v>24021</v>
      </c>
      <c r="AJ1795" s="122">
        <v>21837</v>
      </c>
      <c r="AK1795">
        <v>90</v>
      </c>
      <c r="AL1795" s="122">
        <v>8735</v>
      </c>
      <c r="AM1795" s="122">
        <v>7279</v>
      </c>
      <c r="AN1795" s="122">
        <v>2006</v>
      </c>
      <c r="AO1795">
        <v>743</v>
      </c>
      <c r="AP1795">
        <v>0</v>
      </c>
      <c r="AQ1795">
        <v>0</v>
      </c>
      <c r="AR1795" s="122">
        <v>5308</v>
      </c>
      <c r="AS1795" s="122">
        <v>1966</v>
      </c>
      <c r="AT1795">
        <v>0</v>
      </c>
      <c r="AU1795">
        <v>0</v>
      </c>
      <c r="AV1795" s="122">
        <v>31825</v>
      </c>
    </row>
    <row r="1796" spans="2:48" hidden="1">
      <c r="B1796" t="s">
        <v>377</v>
      </c>
      <c r="C1796" t="s">
        <v>56</v>
      </c>
      <c r="D1796" t="s">
        <v>406</v>
      </c>
      <c r="E1796" t="s">
        <v>137</v>
      </c>
      <c r="F1796" s="122">
        <v>4</v>
      </c>
      <c r="G1796" s="122">
        <v>373</v>
      </c>
      <c r="H1796" s="122">
        <v>876</v>
      </c>
      <c r="I1796" s="122">
        <v>40571</v>
      </c>
      <c r="J1796" s="122">
        <v>36883</v>
      </c>
      <c r="K1796" s="122">
        <v>80</v>
      </c>
      <c r="L1796" s="122">
        <v>8344</v>
      </c>
      <c r="M1796" s="122">
        <v>7428</v>
      </c>
      <c r="N1796" s="122">
        <v>7562</v>
      </c>
      <c r="O1796" s="122">
        <v>2801</v>
      </c>
      <c r="P1796" s="122">
        <v>2484</v>
      </c>
      <c r="Q1796" s="122">
        <v>920</v>
      </c>
      <c r="R1796" s="122">
        <v>21085</v>
      </c>
      <c r="S1796" s="122">
        <v>7809</v>
      </c>
      <c r="T1796" s="122">
        <v>1353</v>
      </c>
      <c r="U1796" s="122">
        <v>501</v>
      </c>
      <c r="V1796" s="122">
        <v>56342</v>
      </c>
      <c r="W1796" s="122">
        <f t="shared" si="56"/>
        <v>56342</v>
      </c>
      <c r="X1796" s="122">
        <f t="shared" si="57"/>
        <v>81399</v>
      </c>
      <c r="AA1796" t="s">
        <v>64</v>
      </c>
      <c r="AB1796" t="s">
        <v>425</v>
      </c>
      <c r="AC1796" t="s">
        <v>579</v>
      </c>
      <c r="AD1796" t="s">
        <v>407</v>
      </c>
      <c r="AE1796" t="s">
        <v>137</v>
      </c>
      <c r="AF1796">
        <v>1</v>
      </c>
      <c r="AG1796">
        <v>119</v>
      </c>
      <c r="AH1796">
        <v>457</v>
      </c>
      <c r="AI1796" s="122">
        <v>33732</v>
      </c>
      <c r="AJ1796" s="122">
        <v>30666</v>
      </c>
      <c r="AK1796">
        <v>65</v>
      </c>
      <c r="AL1796" s="122">
        <v>8423</v>
      </c>
      <c r="AM1796" s="122">
        <v>7019</v>
      </c>
      <c r="AN1796" s="122">
        <v>2700</v>
      </c>
      <c r="AO1796" s="122">
        <v>1000</v>
      </c>
      <c r="AP1796">
        <v>621</v>
      </c>
      <c r="AQ1796">
        <v>230</v>
      </c>
      <c r="AR1796" s="122">
        <v>5612</v>
      </c>
      <c r="AS1796" s="122">
        <v>5102</v>
      </c>
      <c r="AT1796" s="122">
        <v>3103</v>
      </c>
      <c r="AU1796" s="122">
        <v>1149</v>
      </c>
      <c r="AV1796" s="122">
        <v>45166</v>
      </c>
    </row>
    <row r="1797" spans="2:48" hidden="1">
      <c r="B1797" t="s">
        <v>377</v>
      </c>
      <c r="C1797" t="s">
        <v>56</v>
      </c>
      <c r="D1797" t="s">
        <v>406</v>
      </c>
      <c r="E1797" t="s">
        <v>406</v>
      </c>
      <c r="F1797" s="122">
        <v>3000</v>
      </c>
      <c r="G1797" s="122">
        <v>313918</v>
      </c>
      <c r="H1797" s="122">
        <v>587185</v>
      </c>
      <c r="I1797" s="122">
        <v>29114426</v>
      </c>
      <c r="J1797" s="122">
        <v>26467660</v>
      </c>
      <c r="K1797" s="122">
        <v>85</v>
      </c>
      <c r="L1797" s="122">
        <v>7162329</v>
      </c>
      <c r="M1797" s="122">
        <v>6426997</v>
      </c>
      <c r="N1797" s="122">
        <v>6176089</v>
      </c>
      <c r="O1797" s="122">
        <v>2287440</v>
      </c>
      <c r="P1797" s="122">
        <v>1926638</v>
      </c>
      <c r="Q1797" s="122">
        <v>713569</v>
      </c>
      <c r="R1797" s="122">
        <v>13288403</v>
      </c>
      <c r="S1797" s="122">
        <v>12080366</v>
      </c>
      <c r="T1797" s="122">
        <v>4362127</v>
      </c>
      <c r="U1797" s="122">
        <v>1615603</v>
      </c>
      <c r="V1797" s="122">
        <v>49591636</v>
      </c>
      <c r="W1797" s="122">
        <f t="shared" si="56"/>
        <v>49591635</v>
      </c>
      <c r="X1797" s="122">
        <f t="shared" si="57"/>
        <v>62030012</v>
      </c>
      <c r="AA1797" t="s">
        <v>64</v>
      </c>
      <c r="AB1797" t="s">
        <v>425</v>
      </c>
      <c r="AC1797" t="s">
        <v>426</v>
      </c>
      <c r="AD1797" t="s">
        <v>425</v>
      </c>
      <c r="AE1797" t="s">
        <v>137</v>
      </c>
      <c r="AF1797">
        <v>2</v>
      </c>
      <c r="AG1797">
        <v>219</v>
      </c>
      <c r="AH1797">
        <v>999</v>
      </c>
      <c r="AI1797" s="122">
        <v>74310</v>
      </c>
      <c r="AJ1797" s="122">
        <v>67555</v>
      </c>
      <c r="AK1797">
        <v>65</v>
      </c>
      <c r="AL1797" s="122">
        <v>20752</v>
      </c>
      <c r="AM1797" s="122">
        <v>18866</v>
      </c>
      <c r="AN1797" s="122">
        <v>3972</v>
      </c>
      <c r="AO1797" s="122">
        <v>1471</v>
      </c>
      <c r="AP1797">
        <v>824</v>
      </c>
      <c r="AQ1797">
        <v>305</v>
      </c>
      <c r="AR1797" s="122">
        <v>11087</v>
      </c>
      <c r="AS1797" s="122">
        <v>10079</v>
      </c>
      <c r="AT1797" s="122">
        <v>6103</v>
      </c>
      <c r="AU1797" s="122">
        <v>2260</v>
      </c>
      <c r="AV1797" s="122">
        <v>100536</v>
      </c>
    </row>
    <row r="1798" spans="2:48" hidden="1">
      <c r="B1798" t="s">
        <v>377</v>
      </c>
      <c r="C1798" t="s">
        <v>56</v>
      </c>
      <c r="D1798" t="s">
        <v>406</v>
      </c>
      <c r="E1798" t="s">
        <v>427</v>
      </c>
      <c r="F1798" s="122">
        <v>2</v>
      </c>
      <c r="G1798" s="122">
        <v>210</v>
      </c>
      <c r="H1798" s="122">
        <v>368</v>
      </c>
      <c r="I1798" s="122">
        <v>18999</v>
      </c>
      <c r="J1798" s="122">
        <v>17272</v>
      </c>
      <c r="K1798" s="122">
        <v>91</v>
      </c>
      <c r="L1798" s="122">
        <v>4524</v>
      </c>
      <c r="M1798" s="122">
        <v>4113</v>
      </c>
      <c r="N1798" s="122">
        <v>3961</v>
      </c>
      <c r="O1798" s="122">
        <v>1467</v>
      </c>
      <c r="P1798" s="122">
        <v>1242</v>
      </c>
      <c r="Q1798" s="122">
        <v>460</v>
      </c>
      <c r="R1798" s="122">
        <v>7159</v>
      </c>
      <c r="S1798" s="122">
        <v>6508</v>
      </c>
      <c r="T1798" s="122">
        <v>2831</v>
      </c>
      <c r="U1798" s="122">
        <v>1049</v>
      </c>
      <c r="V1798" s="122">
        <v>30868</v>
      </c>
      <c r="W1798" s="122">
        <f t="shared" si="56"/>
        <v>30869</v>
      </c>
      <c r="X1798" s="122">
        <f t="shared" si="57"/>
        <v>38716</v>
      </c>
      <c r="AA1798" t="s">
        <v>64</v>
      </c>
      <c r="AB1798" t="s">
        <v>425</v>
      </c>
      <c r="AC1798" t="s">
        <v>426</v>
      </c>
      <c r="AD1798" t="s">
        <v>425</v>
      </c>
      <c r="AE1798" t="s">
        <v>566</v>
      </c>
      <c r="AF1798">
        <v>4</v>
      </c>
      <c r="AG1798">
        <v>345</v>
      </c>
      <c r="AH1798" s="122">
        <v>2217</v>
      </c>
      <c r="AI1798" s="122">
        <v>140300</v>
      </c>
      <c r="AJ1798" s="122">
        <v>127545</v>
      </c>
      <c r="AK1798">
        <v>75</v>
      </c>
      <c r="AL1798" s="122">
        <v>37260</v>
      </c>
      <c r="AM1798" s="122">
        <v>33873</v>
      </c>
      <c r="AN1798" s="122">
        <v>7893</v>
      </c>
      <c r="AO1798" s="122">
        <v>2923</v>
      </c>
      <c r="AP1798" s="122">
        <v>1890</v>
      </c>
      <c r="AQ1798">
        <v>700</v>
      </c>
      <c r="AR1798" s="122">
        <v>17724</v>
      </c>
      <c r="AS1798" s="122">
        <v>16113</v>
      </c>
      <c r="AT1798">
        <v>0</v>
      </c>
      <c r="AU1798">
        <v>0</v>
      </c>
      <c r="AV1798" s="122">
        <v>181154</v>
      </c>
    </row>
    <row r="1799" spans="2:48" hidden="1">
      <c r="B1799" t="s">
        <v>377</v>
      </c>
      <c r="C1799" t="s">
        <v>56</v>
      </c>
      <c r="D1799" t="s">
        <v>406</v>
      </c>
      <c r="E1799" t="s">
        <v>407</v>
      </c>
      <c r="F1799" s="122">
        <v>1</v>
      </c>
      <c r="G1799" s="122">
        <v>80</v>
      </c>
      <c r="H1799" s="122">
        <v>215</v>
      </c>
      <c r="I1799" s="122">
        <v>8798</v>
      </c>
      <c r="J1799" s="122">
        <v>7998</v>
      </c>
      <c r="K1799" s="122">
        <v>79</v>
      </c>
      <c r="L1799" s="122">
        <v>4049</v>
      </c>
      <c r="M1799" s="122">
        <v>1500</v>
      </c>
      <c r="N1799" s="122">
        <v>978</v>
      </c>
      <c r="O1799" s="122">
        <v>362</v>
      </c>
      <c r="P1799" s="122">
        <v>621</v>
      </c>
      <c r="Q1799" s="122">
        <v>230</v>
      </c>
      <c r="R1799" s="122">
        <v>2383</v>
      </c>
      <c r="S1799" s="122">
        <v>2166</v>
      </c>
      <c r="T1799" s="122">
        <v>419</v>
      </c>
      <c r="U1799" s="122">
        <v>155</v>
      </c>
      <c r="V1799" s="122">
        <v>12411</v>
      </c>
      <c r="W1799" s="122">
        <f t="shared" si="56"/>
        <v>12411</v>
      </c>
      <c r="X1799" s="122">
        <f t="shared" si="57"/>
        <v>17248</v>
      </c>
      <c r="AA1799" t="s">
        <v>64</v>
      </c>
      <c r="AB1799" t="s">
        <v>425</v>
      </c>
      <c r="AC1799" t="s">
        <v>426</v>
      </c>
      <c r="AD1799" t="s">
        <v>405</v>
      </c>
      <c r="AE1799" t="s">
        <v>566</v>
      </c>
      <c r="AF1799">
        <v>1</v>
      </c>
      <c r="AG1799">
        <v>54</v>
      </c>
      <c r="AH1799">
        <v>544</v>
      </c>
      <c r="AI1799" s="122">
        <v>19559</v>
      </c>
      <c r="AJ1799" s="122">
        <v>17781</v>
      </c>
      <c r="AK1799">
        <v>75</v>
      </c>
      <c r="AL1799" s="122">
        <v>2829</v>
      </c>
      <c r="AM1799" s="122">
        <v>2572</v>
      </c>
      <c r="AN1799" s="122">
        <v>1328</v>
      </c>
      <c r="AO1799">
        <v>492</v>
      </c>
      <c r="AP1799">
        <v>473</v>
      </c>
      <c r="AQ1799">
        <v>175</v>
      </c>
      <c r="AR1799" s="122">
        <v>5456</v>
      </c>
      <c r="AS1799" s="122">
        <v>4960</v>
      </c>
      <c r="AT1799">
        <v>0</v>
      </c>
      <c r="AU1799">
        <v>0</v>
      </c>
      <c r="AV1799" s="122">
        <v>25979</v>
      </c>
    </row>
    <row r="1800" spans="2:48" hidden="1">
      <c r="B1800" t="s">
        <v>377</v>
      </c>
      <c r="C1800" t="s">
        <v>56</v>
      </c>
      <c r="D1800" t="s">
        <v>406</v>
      </c>
      <c r="E1800" t="s">
        <v>426</v>
      </c>
      <c r="F1800" s="122">
        <v>3</v>
      </c>
      <c r="G1800" s="122">
        <v>330</v>
      </c>
      <c r="H1800" s="122">
        <v>596</v>
      </c>
      <c r="I1800" s="122">
        <v>30670</v>
      </c>
      <c r="J1800" s="122">
        <v>27882</v>
      </c>
      <c r="K1800" s="122">
        <v>83</v>
      </c>
      <c r="L1800" s="122">
        <v>7913</v>
      </c>
      <c r="M1800" s="122">
        <v>7193</v>
      </c>
      <c r="N1800" s="122">
        <v>7786</v>
      </c>
      <c r="O1800" s="122">
        <v>2884</v>
      </c>
      <c r="P1800" s="122">
        <v>1863</v>
      </c>
      <c r="Q1800" s="122">
        <v>690</v>
      </c>
      <c r="R1800" s="122">
        <v>13767</v>
      </c>
      <c r="S1800" s="122">
        <v>12516</v>
      </c>
      <c r="T1800" s="122">
        <v>2708</v>
      </c>
      <c r="U1800" s="122">
        <v>1003</v>
      </c>
      <c r="V1800" s="122">
        <v>52167</v>
      </c>
      <c r="W1800" s="122">
        <f t="shared" si="56"/>
        <v>52168</v>
      </c>
      <c r="X1800" s="122">
        <f t="shared" si="57"/>
        <v>64707</v>
      </c>
      <c r="AA1800" t="s">
        <v>64</v>
      </c>
      <c r="AB1800" t="s">
        <v>425</v>
      </c>
      <c r="AC1800" t="s">
        <v>426</v>
      </c>
      <c r="AD1800" t="s">
        <v>137</v>
      </c>
      <c r="AE1800" t="s">
        <v>566</v>
      </c>
      <c r="AF1800">
        <v>3</v>
      </c>
      <c r="AG1800">
        <v>297</v>
      </c>
      <c r="AH1800" s="122">
        <v>1563</v>
      </c>
      <c r="AI1800" s="122">
        <v>94169</v>
      </c>
      <c r="AJ1800" s="122">
        <v>85608</v>
      </c>
      <c r="AK1800">
        <v>74</v>
      </c>
      <c r="AL1800" s="122">
        <v>24941</v>
      </c>
      <c r="AM1800" s="122">
        <v>22674</v>
      </c>
      <c r="AN1800" s="122">
        <v>5889</v>
      </c>
      <c r="AO1800" s="122">
        <v>2181</v>
      </c>
      <c r="AP1800" s="122">
        <v>1175</v>
      </c>
      <c r="AQ1800">
        <v>435</v>
      </c>
      <c r="AR1800" s="122">
        <v>26258</v>
      </c>
      <c r="AS1800" s="122">
        <v>9725</v>
      </c>
      <c r="AT1800">
        <v>0</v>
      </c>
      <c r="AU1800">
        <v>0</v>
      </c>
      <c r="AV1800" s="122">
        <v>120623</v>
      </c>
    </row>
    <row r="1801" spans="2:48" hidden="1">
      <c r="B1801" t="s">
        <v>377</v>
      </c>
      <c r="C1801" t="s">
        <v>56</v>
      </c>
      <c r="D1801" t="s">
        <v>407</v>
      </c>
      <c r="E1801" t="s">
        <v>407</v>
      </c>
      <c r="F1801" s="122">
        <v>108</v>
      </c>
      <c r="G1801" s="122">
        <v>10859</v>
      </c>
      <c r="H1801" s="122">
        <v>19589</v>
      </c>
      <c r="I1801" s="122">
        <v>1035604</v>
      </c>
      <c r="J1801" s="122">
        <v>941458</v>
      </c>
      <c r="K1801" s="122">
        <v>85</v>
      </c>
      <c r="L1801" s="122">
        <v>224120</v>
      </c>
      <c r="M1801" s="122">
        <v>198213</v>
      </c>
      <c r="N1801" s="122">
        <v>212515</v>
      </c>
      <c r="O1801" s="122">
        <v>78709</v>
      </c>
      <c r="P1801" s="122">
        <v>57589</v>
      </c>
      <c r="Q1801" s="122">
        <v>21329</v>
      </c>
      <c r="R1801" s="122">
        <v>434851</v>
      </c>
      <c r="S1801" s="122">
        <v>395319</v>
      </c>
      <c r="T1801" s="122">
        <v>21530</v>
      </c>
      <c r="U1801" s="122">
        <v>7974</v>
      </c>
      <c r="V1801" s="122">
        <v>1643003</v>
      </c>
      <c r="W1801" s="122">
        <f t="shared" si="56"/>
        <v>1643002</v>
      </c>
      <c r="X1801" s="122">
        <f t="shared" si="57"/>
        <v>1986209</v>
      </c>
      <c r="AA1801" t="s">
        <v>64</v>
      </c>
      <c r="AB1801" t="s">
        <v>425</v>
      </c>
      <c r="AC1801" t="s">
        <v>426</v>
      </c>
      <c r="AD1801" t="s">
        <v>406</v>
      </c>
      <c r="AE1801" t="s">
        <v>137</v>
      </c>
      <c r="AF1801">
        <v>2</v>
      </c>
      <c r="AG1801">
        <v>304</v>
      </c>
      <c r="AH1801" s="122">
        <v>1113</v>
      </c>
      <c r="AI1801" s="122">
        <v>111050</v>
      </c>
      <c r="AJ1801" s="122">
        <v>100955</v>
      </c>
      <c r="AK1801">
        <v>70</v>
      </c>
      <c r="AL1801" s="122">
        <v>27351</v>
      </c>
      <c r="AM1801" s="122">
        <v>24865</v>
      </c>
      <c r="AN1801" s="122">
        <v>7211</v>
      </c>
      <c r="AO1801" s="122">
        <v>2671</v>
      </c>
      <c r="AP1801" s="122">
        <v>1242</v>
      </c>
      <c r="AQ1801">
        <v>460</v>
      </c>
      <c r="AR1801" s="122">
        <v>16600</v>
      </c>
      <c r="AS1801" s="122">
        <v>15091</v>
      </c>
      <c r="AT1801" s="122">
        <v>4436</v>
      </c>
      <c r="AU1801" s="122">
        <v>1643</v>
      </c>
      <c r="AV1801" s="122">
        <v>145684</v>
      </c>
    </row>
    <row r="1802" spans="2:48" hidden="1">
      <c r="B1802" t="s">
        <v>377</v>
      </c>
      <c r="C1802" t="s">
        <v>56</v>
      </c>
      <c r="D1802" t="s">
        <v>556</v>
      </c>
      <c r="E1802" t="s">
        <v>556</v>
      </c>
      <c r="F1802" s="122">
        <v>1</v>
      </c>
      <c r="G1802" s="122">
        <v>106</v>
      </c>
      <c r="H1802" s="122">
        <v>197</v>
      </c>
      <c r="I1802" s="122">
        <v>10534</v>
      </c>
      <c r="J1802" s="122">
        <v>8778</v>
      </c>
      <c r="K1802" s="122">
        <v>79</v>
      </c>
      <c r="L1802" s="122">
        <v>0</v>
      </c>
      <c r="M1802" s="122">
        <v>0</v>
      </c>
      <c r="N1802" s="122">
        <v>2571</v>
      </c>
      <c r="O1802" s="122">
        <v>952</v>
      </c>
      <c r="P1802" s="122">
        <v>351</v>
      </c>
      <c r="Q1802" s="122">
        <v>130</v>
      </c>
      <c r="R1802" s="122">
        <v>4478</v>
      </c>
      <c r="S1802" s="122">
        <v>3732</v>
      </c>
      <c r="T1802" s="122">
        <v>2854</v>
      </c>
      <c r="U1802" s="122">
        <v>1057</v>
      </c>
      <c r="V1802" s="122">
        <v>14649</v>
      </c>
      <c r="W1802" s="122">
        <f t="shared" si="56"/>
        <v>14649</v>
      </c>
      <c r="X1802" s="122">
        <f t="shared" si="57"/>
        <v>20788</v>
      </c>
      <c r="AA1802" t="s">
        <v>64</v>
      </c>
      <c r="AB1802" t="s">
        <v>425</v>
      </c>
      <c r="AC1802" t="s">
        <v>433</v>
      </c>
      <c r="AD1802" t="s">
        <v>425</v>
      </c>
      <c r="AE1802" t="s">
        <v>566</v>
      </c>
      <c r="AF1802">
        <v>2</v>
      </c>
      <c r="AG1802">
        <v>176</v>
      </c>
      <c r="AH1802" s="122">
        <v>1219</v>
      </c>
      <c r="AI1802" s="122">
        <v>70432</v>
      </c>
      <c r="AJ1802" s="122">
        <v>64029</v>
      </c>
      <c r="AK1802">
        <v>80</v>
      </c>
      <c r="AL1802" s="122">
        <v>19799</v>
      </c>
      <c r="AM1802" s="122">
        <v>17999</v>
      </c>
      <c r="AN1802" s="122">
        <v>4299</v>
      </c>
      <c r="AO1802" s="122">
        <v>1592</v>
      </c>
      <c r="AP1802">
        <v>945</v>
      </c>
      <c r="AQ1802">
        <v>350</v>
      </c>
      <c r="AR1802" s="122">
        <v>9428</v>
      </c>
      <c r="AS1802" s="122">
        <v>8571</v>
      </c>
      <c r="AT1802">
        <v>0</v>
      </c>
      <c r="AU1802">
        <v>0</v>
      </c>
      <c r="AV1802" s="122">
        <v>92542</v>
      </c>
    </row>
    <row r="1803" spans="2:48" hidden="1">
      <c r="B1803" t="s">
        <v>377</v>
      </c>
      <c r="C1803" t="s">
        <v>56</v>
      </c>
      <c r="D1803" t="s">
        <v>428</v>
      </c>
      <c r="E1803" t="s">
        <v>433</v>
      </c>
      <c r="F1803" s="122">
        <v>1</v>
      </c>
      <c r="G1803" s="122">
        <v>98</v>
      </c>
      <c r="H1803" s="122">
        <v>191</v>
      </c>
      <c r="I1803" s="122">
        <v>8698</v>
      </c>
      <c r="J1803" s="122">
        <v>7908</v>
      </c>
      <c r="K1803" s="122">
        <v>95</v>
      </c>
      <c r="L1803" s="122">
        <v>0</v>
      </c>
      <c r="M1803" s="122">
        <v>1257</v>
      </c>
      <c r="N1803" s="122">
        <v>2394</v>
      </c>
      <c r="O1803" s="122">
        <v>887</v>
      </c>
      <c r="P1803" s="122">
        <v>621</v>
      </c>
      <c r="Q1803" s="122">
        <v>230</v>
      </c>
      <c r="R1803" s="122">
        <v>7084</v>
      </c>
      <c r="S1803" s="122">
        <v>6440</v>
      </c>
      <c r="T1803" s="122">
        <v>0</v>
      </c>
      <c r="U1803" s="122">
        <v>0</v>
      </c>
      <c r="V1803" s="122">
        <v>16721</v>
      </c>
      <c r="W1803" s="122">
        <f t="shared" si="56"/>
        <v>16722</v>
      </c>
      <c r="X1803" s="122">
        <f t="shared" si="57"/>
        <v>18797</v>
      </c>
      <c r="AA1803" t="s">
        <v>64</v>
      </c>
      <c r="AB1803" t="s">
        <v>405</v>
      </c>
      <c r="AC1803" t="s">
        <v>405</v>
      </c>
      <c r="AD1803" t="s">
        <v>405</v>
      </c>
      <c r="AE1803" t="s">
        <v>137</v>
      </c>
      <c r="AF1803">
        <v>1</v>
      </c>
      <c r="AG1803">
        <v>157</v>
      </c>
      <c r="AH1803">
        <v>458</v>
      </c>
      <c r="AI1803" s="122">
        <v>52103</v>
      </c>
      <c r="AJ1803" s="122">
        <v>47367</v>
      </c>
      <c r="AK1803">
        <v>55</v>
      </c>
      <c r="AL1803" s="122">
        <v>6044</v>
      </c>
      <c r="AM1803" s="122">
        <v>5495</v>
      </c>
      <c r="AN1803" s="122">
        <v>3778</v>
      </c>
      <c r="AO1803" s="122">
        <v>1399</v>
      </c>
      <c r="AP1803">
        <v>473</v>
      </c>
      <c r="AQ1803">
        <v>175</v>
      </c>
      <c r="AR1803" s="122">
        <v>6629</v>
      </c>
      <c r="AS1803" s="122">
        <v>6026</v>
      </c>
      <c r="AT1803" s="122">
        <v>3100</v>
      </c>
      <c r="AU1803" s="122">
        <v>1148</v>
      </c>
      <c r="AV1803" s="122">
        <v>61610</v>
      </c>
    </row>
    <row r="1804" spans="2:48" hidden="1">
      <c r="B1804" t="s">
        <v>377</v>
      </c>
      <c r="C1804" t="s">
        <v>56</v>
      </c>
      <c r="D1804" t="s">
        <v>426</v>
      </c>
      <c r="E1804" t="s">
        <v>137</v>
      </c>
      <c r="F1804" s="122">
        <v>1</v>
      </c>
      <c r="G1804" s="122">
        <v>79</v>
      </c>
      <c r="H1804" s="122">
        <v>219</v>
      </c>
      <c r="I1804" s="122">
        <v>6320</v>
      </c>
      <c r="J1804" s="122">
        <v>5746</v>
      </c>
      <c r="K1804" s="122">
        <v>100</v>
      </c>
      <c r="L1804" s="122">
        <v>2519</v>
      </c>
      <c r="M1804" s="122">
        <v>933</v>
      </c>
      <c r="N1804" s="122">
        <v>1206</v>
      </c>
      <c r="O1804" s="122">
        <v>447</v>
      </c>
      <c r="P1804" s="122">
        <v>0</v>
      </c>
      <c r="Q1804" s="122">
        <v>0</v>
      </c>
      <c r="R1804" s="122">
        <v>7299</v>
      </c>
      <c r="S1804" s="122">
        <v>2703</v>
      </c>
      <c r="T1804" s="122">
        <v>0</v>
      </c>
      <c r="U1804" s="122">
        <v>0</v>
      </c>
      <c r="V1804" s="122">
        <v>9829</v>
      </c>
      <c r="W1804" s="122">
        <f t="shared" si="56"/>
        <v>9829</v>
      </c>
      <c r="X1804" s="122">
        <f t="shared" si="57"/>
        <v>17344</v>
      </c>
      <c r="AA1804" t="s">
        <v>64</v>
      </c>
      <c r="AB1804" t="s">
        <v>405</v>
      </c>
      <c r="AC1804" t="s">
        <v>405</v>
      </c>
      <c r="AD1804" t="s">
        <v>137</v>
      </c>
      <c r="AE1804" t="s">
        <v>566</v>
      </c>
      <c r="AF1804">
        <v>1</v>
      </c>
      <c r="AG1804">
        <v>83</v>
      </c>
      <c r="AH1804">
        <v>515</v>
      </c>
      <c r="AI1804" s="122">
        <v>24655</v>
      </c>
      <c r="AJ1804" s="122">
        <v>22413</v>
      </c>
      <c r="AK1804">
        <v>92</v>
      </c>
      <c r="AL1804" s="122">
        <v>11903</v>
      </c>
      <c r="AM1804" s="122">
        <v>10821</v>
      </c>
      <c r="AN1804" s="122">
        <v>1381</v>
      </c>
      <c r="AO1804">
        <v>511</v>
      </c>
      <c r="AP1804">
        <v>473</v>
      </c>
      <c r="AQ1804">
        <v>175</v>
      </c>
      <c r="AR1804" s="122">
        <v>4546</v>
      </c>
      <c r="AS1804" s="122">
        <v>1684</v>
      </c>
      <c r="AT1804">
        <v>0</v>
      </c>
      <c r="AU1804">
        <v>0</v>
      </c>
      <c r="AV1804" s="122">
        <v>35604</v>
      </c>
    </row>
    <row r="1805" spans="2:48" hidden="1">
      <c r="B1805" t="s">
        <v>377</v>
      </c>
      <c r="C1805" t="s">
        <v>56</v>
      </c>
      <c r="D1805" t="s">
        <v>426</v>
      </c>
      <c r="E1805" t="s">
        <v>426</v>
      </c>
      <c r="F1805" s="122">
        <v>10</v>
      </c>
      <c r="G1805" s="122">
        <v>982</v>
      </c>
      <c r="H1805" s="122">
        <v>2188</v>
      </c>
      <c r="I1805" s="122">
        <v>116063</v>
      </c>
      <c r="J1805" s="122">
        <v>105512</v>
      </c>
      <c r="K1805" s="122">
        <v>64</v>
      </c>
      <c r="L1805" s="122">
        <v>17043</v>
      </c>
      <c r="M1805" s="122">
        <v>14737</v>
      </c>
      <c r="N1805" s="122">
        <v>17513</v>
      </c>
      <c r="O1805" s="122">
        <v>6486</v>
      </c>
      <c r="P1805" s="122">
        <v>4590</v>
      </c>
      <c r="Q1805" s="122">
        <v>1700</v>
      </c>
      <c r="R1805" s="122">
        <v>51068</v>
      </c>
      <c r="S1805" s="122">
        <v>46426</v>
      </c>
      <c r="T1805" s="122">
        <v>13436</v>
      </c>
      <c r="U1805" s="122">
        <v>4976</v>
      </c>
      <c r="V1805" s="122">
        <v>179837</v>
      </c>
      <c r="W1805" s="122">
        <f t="shared" si="56"/>
        <v>179837</v>
      </c>
      <c r="X1805" s="122">
        <f t="shared" si="57"/>
        <v>219713</v>
      </c>
      <c r="AA1805" t="s">
        <v>64</v>
      </c>
      <c r="AB1805" t="s">
        <v>405</v>
      </c>
      <c r="AC1805" t="s">
        <v>137</v>
      </c>
      <c r="AD1805" t="s">
        <v>137</v>
      </c>
      <c r="AE1805" t="s">
        <v>566</v>
      </c>
      <c r="AF1805">
        <v>3</v>
      </c>
      <c r="AG1805">
        <v>155</v>
      </c>
      <c r="AH1805" s="122">
        <v>1882</v>
      </c>
      <c r="AI1805" s="122">
        <v>64981</v>
      </c>
      <c r="AJ1805" s="122">
        <v>59073</v>
      </c>
      <c r="AK1805">
        <v>57</v>
      </c>
      <c r="AL1805" s="122">
        <v>12295</v>
      </c>
      <c r="AM1805" s="122">
        <v>4554</v>
      </c>
      <c r="AN1805" s="122">
        <v>3306</v>
      </c>
      <c r="AO1805" s="122">
        <v>1224</v>
      </c>
      <c r="AP1805">
        <v>122</v>
      </c>
      <c r="AQ1805">
        <v>45</v>
      </c>
      <c r="AR1805" s="122">
        <v>14297</v>
      </c>
      <c r="AS1805" s="122">
        <v>5295</v>
      </c>
      <c r="AT1805">
        <v>0</v>
      </c>
      <c r="AU1805">
        <v>0</v>
      </c>
      <c r="AV1805" s="122">
        <v>70191</v>
      </c>
    </row>
    <row r="1806" spans="2:48" hidden="1">
      <c r="B1806" t="s">
        <v>377</v>
      </c>
      <c r="C1806" t="s">
        <v>58</v>
      </c>
      <c r="F1806" s="122">
        <v>2</v>
      </c>
      <c r="G1806" s="122">
        <v>140</v>
      </c>
      <c r="H1806" s="122">
        <v>531</v>
      </c>
      <c r="I1806" s="122"/>
      <c r="J1806" s="122">
        <v>0</v>
      </c>
      <c r="K1806" s="122"/>
      <c r="L1806" s="122"/>
      <c r="M1806" s="122">
        <v>0</v>
      </c>
      <c r="N1806" s="122">
        <v>3321</v>
      </c>
      <c r="O1806" s="122">
        <v>1230</v>
      </c>
      <c r="P1806" s="122">
        <v>0</v>
      </c>
      <c r="Q1806" s="122">
        <v>0</v>
      </c>
      <c r="R1806" s="122"/>
      <c r="S1806" s="122">
        <v>0</v>
      </c>
      <c r="T1806" s="122">
        <v>4763</v>
      </c>
      <c r="U1806" s="122">
        <v>1764</v>
      </c>
      <c r="V1806" s="122">
        <v>2994</v>
      </c>
      <c r="W1806" s="122">
        <f t="shared" si="56"/>
        <v>2994</v>
      </c>
      <c r="X1806" s="122">
        <f t="shared" si="57"/>
        <v>8084</v>
      </c>
      <c r="AA1806" t="s">
        <v>64</v>
      </c>
      <c r="AB1806" t="s">
        <v>405</v>
      </c>
      <c r="AC1806" t="s">
        <v>427</v>
      </c>
      <c r="AD1806" t="s">
        <v>405</v>
      </c>
      <c r="AE1806" t="s">
        <v>137</v>
      </c>
      <c r="AF1806">
        <v>2</v>
      </c>
      <c r="AG1806">
        <v>219</v>
      </c>
      <c r="AH1806" s="122">
        <v>1107</v>
      </c>
      <c r="AI1806" s="122">
        <v>83636</v>
      </c>
      <c r="AJ1806" s="122">
        <v>76033</v>
      </c>
      <c r="AK1806">
        <v>72</v>
      </c>
      <c r="AL1806" s="122">
        <v>14955</v>
      </c>
      <c r="AM1806" s="122">
        <v>13596</v>
      </c>
      <c r="AN1806" s="122">
        <v>5128</v>
      </c>
      <c r="AO1806" s="122">
        <v>1899</v>
      </c>
      <c r="AP1806">
        <v>824</v>
      </c>
      <c r="AQ1806">
        <v>305</v>
      </c>
      <c r="AR1806" s="122">
        <v>13414</v>
      </c>
      <c r="AS1806" s="122">
        <v>12195</v>
      </c>
      <c r="AT1806" s="122">
        <v>3268</v>
      </c>
      <c r="AU1806" s="122">
        <v>1210</v>
      </c>
      <c r="AV1806" s="122">
        <v>105238</v>
      </c>
    </row>
    <row r="1807" spans="2:48" hidden="1">
      <c r="B1807" t="s">
        <v>377</v>
      </c>
      <c r="C1807" t="s">
        <v>58</v>
      </c>
      <c r="D1807" t="s">
        <v>425</v>
      </c>
      <c r="E1807" t="s">
        <v>425</v>
      </c>
      <c r="F1807" s="122">
        <v>7</v>
      </c>
      <c r="G1807" s="122">
        <v>864</v>
      </c>
      <c r="H1807" s="122">
        <v>1867</v>
      </c>
      <c r="I1807" s="122">
        <v>133522</v>
      </c>
      <c r="J1807" s="122">
        <v>121384</v>
      </c>
      <c r="K1807" s="122">
        <v>74</v>
      </c>
      <c r="L1807" s="122">
        <v>28458</v>
      </c>
      <c r="M1807" s="122">
        <v>25871</v>
      </c>
      <c r="N1807" s="122">
        <v>18177</v>
      </c>
      <c r="O1807" s="122">
        <v>6732</v>
      </c>
      <c r="P1807" s="122">
        <v>4806</v>
      </c>
      <c r="Q1807" s="122">
        <v>1780</v>
      </c>
      <c r="R1807" s="122">
        <v>39690</v>
      </c>
      <c r="S1807" s="122">
        <v>36082</v>
      </c>
      <c r="T1807" s="122">
        <v>8713</v>
      </c>
      <c r="U1807" s="122">
        <v>3227</v>
      </c>
      <c r="V1807" s="122">
        <v>195075</v>
      </c>
      <c r="W1807" s="122">
        <f t="shared" si="56"/>
        <v>195076</v>
      </c>
      <c r="X1807" s="122">
        <f t="shared" si="57"/>
        <v>233366</v>
      </c>
      <c r="AA1807" t="s">
        <v>64</v>
      </c>
      <c r="AB1807" t="s">
        <v>405</v>
      </c>
      <c r="AC1807" t="s">
        <v>427</v>
      </c>
      <c r="AD1807" t="s">
        <v>137</v>
      </c>
      <c r="AE1807" t="s">
        <v>566</v>
      </c>
      <c r="AF1807">
        <v>1</v>
      </c>
      <c r="AG1807">
        <v>290</v>
      </c>
      <c r="AH1807">
        <v>474</v>
      </c>
      <c r="AI1807" s="122">
        <v>95254</v>
      </c>
      <c r="AJ1807" s="122">
        <v>86595</v>
      </c>
      <c r="AK1807">
        <v>55</v>
      </c>
      <c r="AL1807" s="122">
        <v>18416</v>
      </c>
      <c r="AM1807" s="122">
        <v>16742</v>
      </c>
      <c r="AN1807" s="122">
        <v>6888</v>
      </c>
      <c r="AO1807" s="122">
        <v>2551</v>
      </c>
      <c r="AP1807">
        <v>473</v>
      </c>
      <c r="AQ1807">
        <v>175</v>
      </c>
      <c r="AR1807" s="122">
        <v>16253</v>
      </c>
      <c r="AS1807" s="122">
        <v>6020</v>
      </c>
      <c r="AT1807">
        <v>0</v>
      </c>
      <c r="AU1807">
        <v>0</v>
      </c>
      <c r="AV1807" s="122">
        <v>112082</v>
      </c>
    </row>
    <row r="1808" spans="2:48" hidden="1">
      <c r="B1808" t="s">
        <v>377</v>
      </c>
      <c r="C1808" t="s">
        <v>58</v>
      </c>
      <c r="D1808" t="s">
        <v>405</v>
      </c>
      <c r="E1808" t="s">
        <v>405</v>
      </c>
      <c r="F1808" s="122">
        <v>32</v>
      </c>
      <c r="G1808" s="122">
        <v>3152</v>
      </c>
      <c r="H1808" s="122">
        <v>8311</v>
      </c>
      <c r="I1808" s="122">
        <v>455534</v>
      </c>
      <c r="J1808" s="122">
        <v>414122</v>
      </c>
      <c r="K1808" s="122">
        <v>78</v>
      </c>
      <c r="L1808" s="122">
        <v>96221</v>
      </c>
      <c r="M1808" s="122">
        <v>84651</v>
      </c>
      <c r="N1808" s="122">
        <v>66156</v>
      </c>
      <c r="O1808" s="122">
        <v>24502</v>
      </c>
      <c r="P1808" s="122">
        <v>15431</v>
      </c>
      <c r="Q1808" s="122">
        <v>5715</v>
      </c>
      <c r="R1808" s="122">
        <v>145272</v>
      </c>
      <c r="S1808" s="122">
        <v>132065</v>
      </c>
      <c r="T1808" s="122">
        <v>38649</v>
      </c>
      <c r="U1808" s="122">
        <v>14315</v>
      </c>
      <c r="V1808" s="122">
        <v>675370</v>
      </c>
      <c r="W1808" s="122">
        <f t="shared" si="56"/>
        <v>675370</v>
      </c>
      <c r="X1808" s="122">
        <f t="shared" si="57"/>
        <v>817263</v>
      </c>
      <c r="AA1808" t="s">
        <v>64</v>
      </c>
      <c r="AB1808" t="s">
        <v>405</v>
      </c>
      <c r="AC1808" t="s">
        <v>579</v>
      </c>
      <c r="AD1808" t="s">
        <v>405</v>
      </c>
      <c r="AE1808" t="s">
        <v>566</v>
      </c>
      <c r="AF1808">
        <v>1</v>
      </c>
      <c r="AG1808">
        <v>248</v>
      </c>
      <c r="AH1808">
        <v>465</v>
      </c>
      <c r="AI1808" s="122">
        <v>115885</v>
      </c>
      <c r="AJ1808" s="122">
        <v>105350</v>
      </c>
      <c r="AK1808">
        <v>68</v>
      </c>
      <c r="AL1808" s="122">
        <v>30247</v>
      </c>
      <c r="AM1808" s="122">
        <v>25206</v>
      </c>
      <c r="AN1808" s="122">
        <v>8128</v>
      </c>
      <c r="AO1808" s="122">
        <v>3010</v>
      </c>
      <c r="AP1808" s="122">
        <v>1053</v>
      </c>
      <c r="AQ1808">
        <v>390</v>
      </c>
      <c r="AR1808" s="122">
        <v>10460</v>
      </c>
      <c r="AS1808" s="122">
        <v>9509</v>
      </c>
      <c r="AT1808">
        <v>0</v>
      </c>
      <c r="AU1808">
        <v>0</v>
      </c>
      <c r="AV1808" s="122">
        <v>143465</v>
      </c>
    </row>
    <row r="1809" spans="2:48" hidden="1">
      <c r="B1809" t="s">
        <v>377</v>
      </c>
      <c r="C1809" t="s">
        <v>58</v>
      </c>
      <c r="D1809" t="s">
        <v>137</v>
      </c>
      <c r="E1809" t="s">
        <v>137</v>
      </c>
      <c r="F1809" s="122">
        <v>147</v>
      </c>
      <c r="G1809" s="122">
        <v>13392</v>
      </c>
      <c r="H1809" s="122">
        <v>39329</v>
      </c>
      <c r="I1809" s="122">
        <v>2002671</v>
      </c>
      <c r="J1809" s="122">
        <v>741730</v>
      </c>
      <c r="K1809" s="122">
        <v>100</v>
      </c>
      <c r="L1809" s="122">
        <v>286743</v>
      </c>
      <c r="M1809" s="122">
        <v>203229</v>
      </c>
      <c r="N1809" s="122">
        <v>275076</v>
      </c>
      <c r="O1809" s="122">
        <v>101880</v>
      </c>
      <c r="P1809" s="122">
        <v>1526</v>
      </c>
      <c r="Q1809" s="122">
        <v>565</v>
      </c>
      <c r="R1809" s="122">
        <v>1054447</v>
      </c>
      <c r="S1809" s="122">
        <v>390536</v>
      </c>
      <c r="T1809" s="122">
        <v>2141</v>
      </c>
      <c r="U1809" s="122">
        <v>793</v>
      </c>
      <c r="V1809" s="122">
        <v>1438732</v>
      </c>
      <c r="W1809" s="122">
        <f t="shared" si="56"/>
        <v>1438733</v>
      </c>
      <c r="X1809" s="122">
        <f t="shared" si="57"/>
        <v>3622604</v>
      </c>
      <c r="AA1809" t="s">
        <v>64</v>
      </c>
      <c r="AB1809" t="s">
        <v>405</v>
      </c>
      <c r="AC1809" t="s">
        <v>426</v>
      </c>
      <c r="AD1809" t="s">
        <v>405</v>
      </c>
      <c r="AE1809" t="s">
        <v>137</v>
      </c>
      <c r="AF1809">
        <v>8</v>
      </c>
      <c r="AG1809">
        <v>715</v>
      </c>
      <c r="AH1809" s="122">
        <v>4238</v>
      </c>
      <c r="AI1809" s="122">
        <v>255711</v>
      </c>
      <c r="AJ1809" s="122">
        <v>232465</v>
      </c>
      <c r="AK1809">
        <v>71</v>
      </c>
      <c r="AL1809" s="122">
        <v>57335</v>
      </c>
      <c r="AM1809" s="122">
        <v>52123</v>
      </c>
      <c r="AN1809" s="122">
        <v>17731</v>
      </c>
      <c r="AO1809" s="122">
        <v>6567</v>
      </c>
      <c r="AP1809" s="122">
        <v>3915</v>
      </c>
      <c r="AQ1809" s="122">
        <v>1450</v>
      </c>
      <c r="AR1809" s="122">
        <v>37376</v>
      </c>
      <c r="AS1809" s="122">
        <v>33979</v>
      </c>
      <c r="AT1809" s="122">
        <v>20925</v>
      </c>
      <c r="AU1809" s="122">
        <v>7750</v>
      </c>
      <c r="AV1809" s="122">
        <v>334333</v>
      </c>
    </row>
    <row r="1810" spans="2:48" hidden="1">
      <c r="B1810" t="s">
        <v>377</v>
      </c>
      <c r="C1810" t="s">
        <v>58</v>
      </c>
      <c r="D1810" t="s">
        <v>137</v>
      </c>
      <c r="E1810" t="s">
        <v>406</v>
      </c>
      <c r="F1810" s="122">
        <v>4</v>
      </c>
      <c r="G1810" s="122">
        <v>298</v>
      </c>
      <c r="H1810" s="122">
        <v>1122</v>
      </c>
      <c r="I1810" s="122">
        <v>50616</v>
      </c>
      <c r="J1810" s="122">
        <v>18747</v>
      </c>
      <c r="K1810" s="122">
        <v>100</v>
      </c>
      <c r="L1810" s="122">
        <v>8293</v>
      </c>
      <c r="M1810" s="122">
        <v>7539</v>
      </c>
      <c r="N1810" s="122">
        <v>4756</v>
      </c>
      <c r="O1810" s="122">
        <v>1762</v>
      </c>
      <c r="P1810" s="122">
        <v>891</v>
      </c>
      <c r="Q1810" s="122">
        <v>330</v>
      </c>
      <c r="R1810" s="122">
        <v>17806</v>
      </c>
      <c r="S1810" s="122">
        <v>16188</v>
      </c>
      <c r="T1810" s="122">
        <v>4153</v>
      </c>
      <c r="U1810" s="122">
        <v>1538</v>
      </c>
      <c r="V1810" s="122">
        <v>46104</v>
      </c>
      <c r="W1810" s="122">
        <f t="shared" si="56"/>
        <v>46104</v>
      </c>
      <c r="X1810" s="122">
        <f t="shared" si="57"/>
        <v>86515</v>
      </c>
      <c r="AA1810" t="s">
        <v>64</v>
      </c>
      <c r="AB1810" t="s">
        <v>405</v>
      </c>
      <c r="AC1810" t="s">
        <v>426</v>
      </c>
      <c r="AD1810" t="s">
        <v>405</v>
      </c>
      <c r="AE1810" t="s">
        <v>566</v>
      </c>
      <c r="AF1810">
        <v>4</v>
      </c>
      <c r="AG1810">
        <v>438</v>
      </c>
      <c r="AH1810" s="122">
        <v>1976</v>
      </c>
      <c r="AI1810" s="122">
        <v>149571</v>
      </c>
      <c r="AJ1810" s="122">
        <v>135974</v>
      </c>
      <c r="AK1810">
        <v>65</v>
      </c>
      <c r="AL1810" s="122">
        <v>30315</v>
      </c>
      <c r="AM1810" s="122">
        <v>27559</v>
      </c>
      <c r="AN1810" s="122">
        <v>9612</v>
      </c>
      <c r="AO1810" s="122">
        <v>3560</v>
      </c>
      <c r="AP1810" s="122">
        <v>1647</v>
      </c>
      <c r="AQ1810">
        <v>610</v>
      </c>
      <c r="AR1810" s="122">
        <v>25934</v>
      </c>
      <c r="AS1810" s="122">
        <v>23576</v>
      </c>
      <c r="AT1810">
        <v>0</v>
      </c>
      <c r="AU1810">
        <v>0</v>
      </c>
      <c r="AV1810" s="122">
        <v>191280</v>
      </c>
    </row>
    <row r="1811" spans="2:48" hidden="1">
      <c r="B1811" t="s">
        <v>377</v>
      </c>
      <c r="C1811" t="s">
        <v>58</v>
      </c>
      <c r="D1811" t="s">
        <v>137</v>
      </c>
      <c r="E1811" t="s">
        <v>427</v>
      </c>
      <c r="F1811" s="122">
        <v>1</v>
      </c>
      <c r="G1811" s="122">
        <v>90</v>
      </c>
      <c r="H1811" s="122">
        <v>283</v>
      </c>
      <c r="I1811" s="122">
        <v>14179</v>
      </c>
      <c r="J1811" s="122">
        <v>5251</v>
      </c>
      <c r="K1811" s="122">
        <v>100</v>
      </c>
      <c r="L1811" s="122">
        <v>1167</v>
      </c>
      <c r="M1811" s="122">
        <v>1061</v>
      </c>
      <c r="N1811" s="122">
        <v>2203</v>
      </c>
      <c r="O1811" s="122">
        <v>816</v>
      </c>
      <c r="P1811" s="122">
        <v>0</v>
      </c>
      <c r="Q1811" s="122">
        <v>0</v>
      </c>
      <c r="R1811" s="122">
        <v>5501</v>
      </c>
      <c r="S1811" s="122">
        <v>5001</v>
      </c>
      <c r="T1811" s="122">
        <v>2571</v>
      </c>
      <c r="U1811" s="122">
        <v>952</v>
      </c>
      <c r="V1811" s="122">
        <v>13082</v>
      </c>
      <c r="W1811" s="122">
        <f t="shared" si="56"/>
        <v>13081</v>
      </c>
      <c r="X1811" s="122">
        <f t="shared" si="57"/>
        <v>25621</v>
      </c>
      <c r="AA1811" t="s">
        <v>64</v>
      </c>
      <c r="AB1811" t="s">
        <v>405</v>
      </c>
      <c r="AC1811" t="s">
        <v>566</v>
      </c>
      <c r="AD1811" t="s">
        <v>405</v>
      </c>
      <c r="AE1811" t="s">
        <v>137</v>
      </c>
      <c r="AF1811">
        <v>1</v>
      </c>
      <c r="AG1811">
        <v>51</v>
      </c>
      <c r="AH1811">
        <v>705</v>
      </c>
      <c r="AI1811" s="122">
        <v>29232</v>
      </c>
      <c r="AJ1811" s="122">
        <v>26574</v>
      </c>
      <c r="AK1811">
        <v>65</v>
      </c>
      <c r="AL1811">
        <v>0</v>
      </c>
      <c r="AM1811">
        <v>0</v>
      </c>
      <c r="AN1811" s="122">
        <v>1126</v>
      </c>
      <c r="AO1811">
        <v>417</v>
      </c>
      <c r="AP1811">
        <v>473</v>
      </c>
      <c r="AQ1811">
        <v>175</v>
      </c>
      <c r="AR1811" s="122">
        <v>4789</v>
      </c>
      <c r="AS1811" s="122">
        <v>4354</v>
      </c>
      <c r="AT1811">
        <v>0</v>
      </c>
      <c r="AU1811">
        <v>0</v>
      </c>
      <c r="AV1811" s="122">
        <v>31521</v>
      </c>
    </row>
    <row r="1812" spans="2:48" hidden="1">
      <c r="B1812" t="s">
        <v>377</v>
      </c>
      <c r="C1812" t="s">
        <v>58</v>
      </c>
      <c r="D1812" t="s">
        <v>137</v>
      </c>
      <c r="E1812" t="s">
        <v>428</v>
      </c>
      <c r="F1812" s="122">
        <v>1</v>
      </c>
      <c r="G1812" s="122">
        <v>79</v>
      </c>
      <c r="H1812" s="122">
        <v>292</v>
      </c>
      <c r="I1812" s="122">
        <v>12438</v>
      </c>
      <c r="J1812" s="122">
        <v>4607</v>
      </c>
      <c r="K1812" s="122">
        <v>100</v>
      </c>
      <c r="L1812" s="122">
        <v>1126</v>
      </c>
      <c r="M1812" s="122">
        <v>1024</v>
      </c>
      <c r="N1812" s="122">
        <v>1922</v>
      </c>
      <c r="O1812" s="122">
        <v>712</v>
      </c>
      <c r="P1812" s="122">
        <v>0</v>
      </c>
      <c r="Q1812" s="122">
        <v>0</v>
      </c>
      <c r="R1812" s="122">
        <v>5356</v>
      </c>
      <c r="S1812" s="122">
        <v>4869</v>
      </c>
      <c r="T1812" s="122">
        <v>2151</v>
      </c>
      <c r="U1812" s="122">
        <v>797</v>
      </c>
      <c r="V1812" s="122">
        <v>12008</v>
      </c>
      <c r="W1812" s="122">
        <f t="shared" si="56"/>
        <v>12009</v>
      </c>
      <c r="X1812" s="122">
        <f t="shared" si="57"/>
        <v>22993</v>
      </c>
      <c r="AA1812" t="s">
        <v>64</v>
      </c>
      <c r="AB1812" t="s">
        <v>405</v>
      </c>
      <c r="AC1812" t="s">
        <v>566</v>
      </c>
      <c r="AD1812" t="s">
        <v>407</v>
      </c>
      <c r="AE1812" t="s">
        <v>137</v>
      </c>
      <c r="AF1812">
        <v>1</v>
      </c>
      <c r="AG1812">
        <v>36</v>
      </c>
      <c r="AH1812">
        <v>555</v>
      </c>
      <c r="AI1812" s="122">
        <v>15122</v>
      </c>
      <c r="AJ1812" s="122">
        <v>13748</v>
      </c>
      <c r="AK1812">
        <v>79</v>
      </c>
      <c r="AL1812">
        <v>0</v>
      </c>
      <c r="AM1812">
        <v>0</v>
      </c>
      <c r="AN1812">
        <v>836</v>
      </c>
      <c r="AO1812">
        <v>310</v>
      </c>
      <c r="AP1812">
        <v>473</v>
      </c>
      <c r="AQ1812">
        <v>175</v>
      </c>
      <c r="AR1812" s="122">
        <v>2400</v>
      </c>
      <c r="AS1812" s="122">
        <v>2182</v>
      </c>
      <c r="AT1812" s="122">
        <v>1093</v>
      </c>
      <c r="AU1812">
        <v>405</v>
      </c>
      <c r="AV1812" s="122">
        <v>16819</v>
      </c>
    </row>
    <row r="1813" spans="2:48" hidden="1">
      <c r="B1813" t="s">
        <v>377</v>
      </c>
      <c r="C1813" t="s">
        <v>58</v>
      </c>
      <c r="D1813" t="s">
        <v>137</v>
      </c>
      <c r="E1813" t="s">
        <v>431</v>
      </c>
      <c r="F1813" s="122">
        <v>1</v>
      </c>
      <c r="G1813" s="122">
        <v>81</v>
      </c>
      <c r="H1813" s="122">
        <v>254</v>
      </c>
      <c r="I1813" s="122">
        <v>11072</v>
      </c>
      <c r="J1813" s="122">
        <v>4101</v>
      </c>
      <c r="K1813" s="122">
        <v>100</v>
      </c>
      <c r="L1813" s="122">
        <v>911</v>
      </c>
      <c r="M1813" s="122">
        <v>828</v>
      </c>
      <c r="N1813" s="122">
        <v>1417</v>
      </c>
      <c r="O1813" s="122">
        <v>525</v>
      </c>
      <c r="P1813" s="122">
        <v>0</v>
      </c>
      <c r="Q1813" s="122">
        <v>0</v>
      </c>
      <c r="R1813" s="122">
        <v>4907</v>
      </c>
      <c r="S1813" s="122">
        <v>4461</v>
      </c>
      <c r="T1813" s="122">
        <v>2176</v>
      </c>
      <c r="U1813" s="122">
        <v>806</v>
      </c>
      <c r="V1813" s="122">
        <v>10721</v>
      </c>
      <c r="W1813" s="122">
        <f t="shared" si="56"/>
        <v>10721</v>
      </c>
      <c r="X1813" s="122">
        <f t="shared" si="57"/>
        <v>20483</v>
      </c>
      <c r="AA1813" t="s">
        <v>64</v>
      </c>
      <c r="AB1813" t="s">
        <v>405</v>
      </c>
      <c r="AC1813" t="s">
        <v>566</v>
      </c>
      <c r="AD1813" t="s">
        <v>579</v>
      </c>
      <c r="AE1813" t="s">
        <v>137</v>
      </c>
      <c r="AF1813">
        <v>1</v>
      </c>
      <c r="AG1813">
        <v>100</v>
      </c>
      <c r="AH1813">
        <v>612</v>
      </c>
      <c r="AI1813" s="122">
        <v>51779</v>
      </c>
      <c r="AJ1813" s="122">
        <v>47072</v>
      </c>
      <c r="AK1813">
        <v>65</v>
      </c>
      <c r="AL1813">
        <v>0</v>
      </c>
      <c r="AM1813" s="122">
        <v>10774</v>
      </c>
      <c r="AN1813" s="122">
        <v>2430</v>
      </c>
      <c r="AO1813">
        <v>900</v>
      </c>
      <c r="AP1813">
        <v>351</v>
      </c>
      <c r="AQ1813">
        <v>130</v>
      </c>
      <c r="AR1813" s="122">
        <v>4480</v>
      </c>
      <c r="AS1813" s="122">
        <v>3733</v>
      </c>
      <c r="AT1813" s="122">
        <v>1979</v>
      </c>
      <c r="AU1813">
        <v>733</v>
      </c>
      <c r="AV1813" s="122">
        <v>63342</v>
      </c>
    </row>
    <row r="1814" spans="2:48">
      <c r="B1814" t="s">
        <v>377</v>
      </c>
      <c r="C1814" t="s">
        <v>58</v>
      </c>
      <c r="D1814" t="s">
        <v>137</v>
      </c>
      <c r="E1814" t="s">
        <v>426</v>
      </c>
      <c r="F1814" s="122">
        <v>8</v>
      </c>
      <c r="G1814" s="122">
        <v>634</v>
      </c>
      <c r="H1814" s="122">
        <v>2254</v>
      </c>
      <c r="I1814" s="122">
        <v>100357</v>
      </c>
      <c r="J1814" s="122">
        <v>37169</v>
      </c>
      <c r="K1814" s="122">
        <v>100</v>
      </c>
      <c r="L1814" s="122">
        <v>9920</v>
      </c>
      <c r="M1814" s="122">
        <v>9019</v>
      </c>
      <c r="N1814" s="122">
        <v>11594</v>
      </c>
      <c r="O1814" s="122">
        <v>4294</v>
      </c>
      <c r="P1814" s="122">
        <v>972</v>
      </c>
      <c r="Q1814" s="122">
        <v>360</v>
      </c>
      <c r="R1814" s="122">
        <v>38165</v>
      </c>
      <c r="S1814" s="122">
        <v>34696</v>
      </c>
      <c r="T1814" s="122">
        <v>17604</v>
      </c>
      <c r="U1814" s="122">
        <v>6520</v>
      </c>
      <c r="V1814" s="122">
        <v>92057</v>
      </c>
      <c r="W1814" s="122">
        <f t="shared" si="56"/>
        <v>92058</v>
      </c>
      <c r="X1814" s="122">
        <f t="shared" si="57"/>
        <v>178612</v>
      </c>
      <c r="AA1814" t="s">
        <v>64</v>
      </c>
      <c r="AB1814" t="s">
        <v>137</v>
      </c>
      <c r="AC1814" t="s">
        <v>578</v>
      </c>
      <c r="AD1814" t="s">
        <v>137</v>
      </c>
      <c r="AE1814" t="s">
        <v>566</v>
      </c>
      <c r="AF1814">
        <v>8</v>
      </c>
      <c r="AG1814">
        <v>697</v>
      </c>
      <c r="AH1814" s="122">
        <v>5220</v>
      </c>
      <c r="AI1814" s="122">
        <v>311755</v>
      </c>
      <c r="AJ1814" s="122">
        <v>115465</v>
      </c>
      <c r="AK1814">
        <v>100</v>
      </c>
      <c r="AL1814" s="122">
        <v>46344</v>
      </c>
      <c r="AM1814" s="122">
        <v>42131</v>
      </c>
      <c r="AN1814" s="122">
        <v>16536</v>
      </c>
      <c r="AO1814" s="122">
        <v>6124</v>
      </c>
      <c r="AP1814">
        <v>500</v>
      </c>
      <c r="AQ1814">
        <v>185</v>
      </c>
      <c r="AR1814" s="122">
        <v>67508</v>
      </c>
      <c r="AS1814" s="122">
        <v>25003</v>
      </c>
      <c r="AT1814">
        <v>0</v>
      </c>
      <c r="AU1814">
        <v>0</v>
      </c>
      <c r="AV1814" s="122">
        <v>188908</v>
      </c>
    </row>
    <row r="1815" spans="2:48" hidden="1">
      <c r="B1815" t="s">
        <v>377</v>
      </c>
      <c r="C1815" t="s">
        <v>58</v>
      </c>
      <c r="D1815" t="s">
        <v>406</v>
      </c>
      <c r="E1815" t="s">
        <v>137</v>
      </c>
      <c r="F1815" s="122">
        <v>2</v>
      </c>
      <c r="G1815" s="122">
        <v>221</v>
      </c>
      <c r="H1815" s="122">
        <v>544</v>
      </c>
      <c r="I1815" s="122">
        <v>20134</v>
      </c>
      <c r="J1815" s="122">
        <v>18304</v>
      </c>
      <c r="K1815" s="122">
        <v>85</v>
      </c>
      <c r="L1815" s="122">
        <v>6036</v>
      </c>
      <c r="M1815" s="122">
        <v>5487</v>
      </c>
      <c r="N1815" s="122">
        <v>4624</v>
      </c>
      <c r="O1815" s="122">
        <v>1712</v>
      </c>
      <c r="P1815" s="122">
        <v>1242</v>
      </c>
      <c r="Q1815" s="122">
        <v>460</v>
      </c>
      <c r="R1815" s="122">
        <v>27766</v>
      </c>
      <c r="S1815" s="122">
        <v>10284</v>
      </c>
      <c r="T1815" s="122">
        <v>0</v>
      </c>
      <c r="U1815" s="122">
        <v>0</v>
      </c>
      <c r="V1815" s="122">
        <v>36247</v>
      </c>
      <c r="W1815" s="122">
        <f t="shared" si="56"/>
        <v>36247</v>
      </c>
      <c r="X1815" s="122">
        <f t="shared" si="57"/>
        <v>59802</v>
      </c>
      <c r="AA1815" t="s">
        <v>64</v>
      </c>
      <c r="AB1815" t="s">
        <v>137</v>
      </c>
      <c r="AC1815" t="s">
        <v>425</v>
      </c>
      <c r="AD1815" t="s">
        <v>137</v>
      </c>
      <c r="AE1815" t="s">
        <v>137</v>
      </c>
      <c r="AF1815">
        <v>1</v>
      </c>
      <c r="AG1815">
        <v>128</v>
      </c>
      <c r="AH1815">
        <v>833</v>
      </c>
      <c r="AI1815" s="122">
        <v>86019</v>
      </c>
      <c r="AJ1815" s="122">
        <v>31859</v>
      </c>
      <c r="AK1815">
        <v>100</v>
      </c>
      <c r="AL1815" s="122">
        <v>7788</v>
      </c>
      <c r="AM1815" s="122">
        <v>7080</v>
      </c>
      <c r="AN1815" s="122">
        <v>3119</v>
      </c>
      <c r="AO1815" s="122">
        <v>1155</v>
      </c>
      <c r="AP1815">
        <v>0</v>
      </c>
      <c r="AQ1815">
        <v>0</v>
      </c>
      <c r="AR1815" s="122">
        <v>6529</v>
      </c>
      <c r="AS1815" s="122">
        <v>2418</v>
      </c>
      <c r="AT1815" s="122">
        <v>3216</v>
      </c>
      <c r="AU1815" s="122">
        <v>1191</v>
      </c>
      <c r="AV1815" s="122">
        <v>43703</v>
      </c>
    </row>
    <row r="1816" spans="2:48" hidden="1">
      <c r="B1816" t="s">
        <v>377</v>
      </c>
      <c r="C1816" t="s">
        <v>58</v>
      </c>
      <c r="D1816" t="s">
        <v>406</v>
      </c>
      <c r="E1816" t="s">
        <v>406</v>
      </c>
      <c r="F1816" s="122">
        <v>1574</v>
      </c>
      <c r="G1816" s="122">
        <v>145224</v>
      </c>
      <c r="H1816" s="122">
        <v>404176</v>
      </c>
      <c r="I1816" s="122">
        <v>19171443</v>
      </c>
      <c r="J1816" s="122">
        <v>17428585</v>
      </c>
      <c r="K1816" s="122">
        <v>80</v>
      </c>
      <c r="L1816" s="122">
        <v>4469876</v>
      </c>
      <c r="M1816" s="122">
        <v>3965121</v>
      </c>
      <c r="N1816" s="122">
        <v>3006813</v>
      </c>
      <c r="O1816" s="122">
        <v>1113634</v>
      </c>
      <c r="P1816" s="122">
        <v>1012626</v>
      </c>
      <c r="Q1816" s="122">
        <v>375047</v>
      </c>
      <c r="R1816" s="122">
        <v>7009952</v>
      </c>
      <c r="S1816" s="122">
        <v>6372683</v>
      </c>
      <c r="T1816" s="122">
        <v>2831527</v>
      </c>
      <c r="U1816" s="122">
        <v>1048714</v>
      </c>
      <c r="V1816" s="122">
        <v>30303783</v>
      </c>
      <c r="W1816" s="122">
        <f t="shared" si="56"/>
        <v>30303784</v>
      </c>
      <c r="X1816" s="122">
        <f t="shared" si="57"/>
        <v>37502237</v>
      </c>
      <c r="AA1816" t="s">
        <v>64</v>
      </c>
      <c r="AB1816" t="s">
        <v>137</v>
      </c>
      <c r="AC1816" t="s">
        <v>425</v>
      </c>
      <c r="AD1816" t="s">
        <v>137</v>
      </c>
      <c r="AE1816" t="s">
        <v>566</v>
      </c>
      <c r="AF1816">
        <v>15</v>
      </c>
      <c r="AG1816" s="122">
        <v>1415</v>
      </c>
      <c r="AH1816" s="122">
        <v>9168</v>
      </c>
      <c r="AI1816" s="122">
        <v>608762</v>
      </c>
      <c r="AJ1816" s="122">
        <v>225467</v>
      </c>
      <c r="AK1816">
        <v>100</v>
      </c>
      <c r="AL1816" s="122">
        <v>125318</v>
      </c>
      <c r="AM1816" s="122">
        <v>113925</v>
      </c>
      <c r="AN1816" s="122">
        <v>31592</v>
      </c>
      <c r="AO1816" s="122">
        <v>11701</v>
      </c>
      <c r="AP1816">
        <v>0</v>
      </c>
      <c r="AQ1816">
        <v>0</v>
      </c>
      <c r="AR1816" s="122">
        <v>106087</v>
      </c>
      <c r="AS1816" s="122">
        <v>39292</v>
      </c>
      <c r="AT1816">
        <v>0</v>
      </c>
      <c r="AU1816">
        <v>0</v>
      </c>
      <c r="AV1816" s="122">
        <v>390385</v>
      </c>
    </row>
    <row r="1817" spans="2:48" hidden="1">
      <c r="B1817" t="s">
        <v>377</v>
      </c>
      <c r="C1817" t="s">
        <v>58</v>
      </c>
      <c r="D1817" t="s">
        <v>406</v>
      </c>
      <c r="E1817" t="s">
        <v>427</v>
      </c>
      <c r="F1817" s="122">
        <v>1</v>
      </c>
      <c r="G1817" s="122">
        <v>103</v>
      </c>
      <c r="H1817" s="122">
        <v>295</v>
      </c>
      <c r="I1817" s="122">
        <v>18342</v>
      </c>
      <c r="J1817" s="122">
        <v>16674</v>
      </c>
      <c r="K1817" s="122">
        <v>70</v>
      </c>
      <c r="L1817" s="122">
        <v>3012</v>
      </c>
      <c r="M1817" s="122">
        <v>2738</v>
      </c>
      <c r="N1817" s="122">
        <v>2511</v>
      </c>
      <c r="O1817" s="122">
        <v>930</v>
      </c>
      <c r="P1817" s="122">
        <v>621</v>
      </c>
      <c r="Q1817" s="122">
        <v>230</v>
      </c>
      <c r="R1817" s="122">
        <v>3865</v>
      </c>
      <c r="S1817" s="122">
        <v>3514</v>
      </c>
      <c r="T1817" s="122">
        <v>2021</v>
      </c>
      <c r="U1817" s="122">
        <v>748</v>
      </c>
      <c r="V1817" s="122">
        <v>24834</v>
      </c>
      <c r="W1817" s="122">
        <f t="shared" si="56"/>
        <v>24834</v>
      </c>
      <c r="X1817" s="122">
        <f t="shared" si="57"/>
        <v>30372</v>
      </c>
      <c r="AA1817" t="s">
        <v>64</v>
      </c>
      <c r="AB1817" t="s">
        <v>137</v>
      </c>
      <c r="AC1817" t="s">
        <v>405</v>
      </c>
      <c r="AD1817" t="s">
        <v>405</v>
      </c>
      <c r="AE1817" t="s">
        <v>137</v>
      </c>
      <c r="AF1817">
        <v>1</v>
      </c>
      <c r="AG1817">
        <v>245</v>
      </c>
      <c r="AH1817">
        <v>528</v>
      </c>
      <c r="AI1817" s="122">
        <v>109308</v>
      </c>
      <c r="AJ1817" s="122">
        <v>40484</v>
      </c>
      <c r="AK1817">
        <v>100</v>
      </c>
      <c r="AL1817" s="122">
        <v>6162</v>
      </c>
      <c r="AM1817" s="122">
        <v>5602</v>
      </c>
      <c r="AN1817" s="122">
        <v>3851</v>
      </c>
      <c r="AO1817" s="122">
        <v>1426</v>
      </c>
      <c r="AP1817">
        <v>473</v>
      </c>
      <c r="AQ1817">
        <v>175</v>
      </c>
      <c r="AR1817" s="122">
        <v>5552</v>
      </c>
      <c r="AS1817" s="122">
        <v>5048</v>
      </c>
      <c r="AT1817" s="122">
        <v>4034</v>
      </c>
      <c r="AU1817" s="122">
        <v>1494</v>
      </c>
      <c r="AV1817" s="122">
        <v>54229</v>
      </c>
    </row>
    <row r="1818" spans="2:48" hidden="1">
      <c r="B1818" t="s">
        <v>377</v>
      </c>
      <c r="C1818" t="s">
        <v>58</v>
      </c>
      <c r="D1818" t="s">
        <v>427</v>
      </c>
      <c r="E1818" t="s">
        <v>427</v>
      </c>
      <c r="F1818" s="122">
        <v>6</v>
      </c>
      <c r="G1818" s="122">
        <v>521</v>
      </c>
      <c r="H1818" s="122">
        <v>1601</v>
      </c>
      <c r="I1818" s="122">
        <v>76741</v>
      </c>
      <c r="J1818" s="122">
        <v>69765</v>
      </c>
      <c r="K1818" s="122">
        <v>58</v>
      </c>
      <c r="L1818" s="122">
        <v>9822</v>
      </c>
      <c r="M1818" s="122">
        <v>8023</v>
      </c>
      <c r="N1818" s="122">
        <v>9482</v>
      </c>
      <c r="O1818" s="122">
        <v>3512</v>
      </c>
      <c r="P1818" s="122">
        <v>2106</v>
      </c>
      <c r="Q1818" s="122">
        <v>780</v>
      </c>
      <c r="R1818" s="122">
        <v>33482</v>
      </c>
      <c r="S1818" s="122">
        <v>30438</v>
      </c>
      <c r="T1818" s="122">
        <v>6843</v>
      </c>
      <c r="U1818" s="122">
        <v>2534</v>
      </c>
      <c r="V1818" s="122">
        <v>115052</v>
      </c>
      <c r="W1818" s="122">
        <f t="shared" si="56"/>
        <v>115052</v>
      </c>
      <c r="X1818" s="122">
        <f t="shared" si="57"/>
        <v>138476</v>
      </c>
      <c r="AA1818" t="s">
        <v>64</v>
      </c>
      <c r="AB1818" t="s">
        <v>137</v>
      </c>
      <c r="AC1818" t="s">
        <v>405</v>
      </c>
      <c r="AD1818" t="s">
        <v>137</v>
      </c>
      <c r="AE1818" t="s">
        <v>566</v>
      </c>
      <c r="AF1818">
        <v>1</v>
      </c>
      <c r="AG1818">
        <v>37</v>
      </c>
      <c r="AH1818">
        <v>654</v>
      </c>
      <c r="AI1818" s="122">
        <v>19470</v>
      </c>
      <c r="AJ1818" s="122">
        <v>7211</v>
      </c>
      <c r="AK1818">
        <v>100</v>
      </c>
      <c r="AL1818">
        <v>979</v>
      </c>
      <c r="AM1818">
        <v>890</v>
      </c>
      <c r="AN1818">
        <v>452</v>
      </c>
      <c r="AO1818">
        <v>167</v>
      </c>
      <c r="AP1818">
        <v>0</v>
      </c>
      <c r="AQ1818">
        <v>0</v>
      </c>
      <c r="AR1818" s="122">
        <v>3367</v>
      </c>
      <c r="AS1818" s="122">
        <v>1247</v>
      </c>
      <c r="AT1818">
        <v>0</v>
      </c>
      <c r="AU1818">
        <v>0</v>
      </c>
      <c r="AV1818" s="122">
        <v>9516</v>
      </c>
    </row>
    <row r="1819" spans="2:48" hidden="1">
      <c r="B1819" t="s">
        <v>377</v>
      </c>
      <c r="C1819" t="s">
        <v>58</v>
      </c>
      <c r="D1819" t="s">
        <v>407</v>
      </c>
      <c r="E1819" t="s">
        <v>407</v>
      </c>
      <c r="F1819" s="122">
        <v>35</v>
      </c>
      <c r="G1819" s="122">
        <v>2940</v>
      </c>
      <c r="H1819" s="122">
        <v>8577</v>
      </c>
      <c r="I1819" s="122">
        <v>422492</v>
      </c>
      <c r="J1819" s="122">
        <v>384084</v>
      </c>
      <c r="K1819" s="122">
        <v>87</v>
      </c>
      <c r="L1819" s="122">
        <v>105709</v>
      </c>
      <c r="M1819" s="122">
        <v>93587</v>
      </c>
      <c r="N1819" s="122">
        <v>59103</v>
      </c>
      <c r="O1819" s="122">
        <v>21890</v>
      </c>
      <c r="P1819" s="122">
        <v>16767</v>
      </c>
      <c r="Q1819" s="122">
        <v>6210</v>
      </c>
      <c r="R1819" s="122">
        <v>126692</v>
      </c>
      <c r="S1819" s="122">
        <v>115174</v>
      </c>
      <c r="T1819" s="122">
        <v>14661</v>
      </c>
      <c r="U1819" s="122">
        <v>5430</v>
      </c>
      <c r="V1819" s="122">
        <v>626375</v>
      </c>
      <c r="W1819" s="122">
        <f t="shared" si="56"/>
        <v>626375</v>
      </c>
      <c r="X1819" s="122">
        <f t="shared" si="57"/>
        <v>745424</v>
      </c>
      <c r="AA1819" t="s">
        <v>64</v>
      </c>
      <c r="AB1819" t="s">
        <v>137</v>
      </c>
      <c r="AC1819" t="s">
        <v>137</v>
      </c>
      <c r="AD1819" t="s">
        <v>137</v>
      </c>
      <c r="AE1819" t="s">
        <v>137</v>
      </c>
      <c r="AF1819">
        <v>61</v>
      </c>
      <c r="AG1819" s="122">
        <v>5023</v>
      </c>
      <c r="AH1819" s="122">
        <v>39088</v>
      </c>
      <c r="AI1819" s="122">
        <v>2269469</v>
      </c>
      <c r="AJ1819" s="122">
        <v>840544</v>
      </c>
      <c r="AK1819">
        <v>100</v>
      </c>
      <c r="AL1819" s="122">
        <v>396433</v>
      </c>
      <c r="AM1819" s="122">
        <v>146827</v>
      </c>
      <c r="AN1819" s="122">
        <v>110457</v>
      </c>
      <c r="AO1819" s="122">
        <v>40910</v>
      </c>
      <c r="AP1819" s="122">
        <v>1404</v>
      </c>
      <c r="AQ1819">
        <v>520</v>
      </c>
      <c r="AR1819" s="122">
        <v>419538</v>
      </c>
      <c r="AS1819" s="122">
        <v>155384</v>
      </c>
      <c r="AT1819" s="122">
        <v>28008</v>
      </c>
      <c r="AU1819" s="122">
        <v>10373</v>
      </c>
      <c r="AV1819" s="122">
        <v>1194559</v>
      </c>
    </row>
    <row r="1820" spans="2:48" hidden="1">
      <c r="B1820" t="s">
        <v>377</v>
      </c>
      <c r="C1820" t="s">
        <v>58</v>
      </c>
      <c r="D1820" t="s">
        <v>556</v>
      </c>
      <c r="E1820" t="s">
        <v>556</v>
      </c>
      <c r="F1820" s="122">
        <v>11</v>
      </c>
      <c r="G1820" s="122">
        <v>1041</v>
      </c>
      <c r="H1820" s="122">
        <v>3120</v>
      </c>
      <c r="I1820" s="122">
        <v>161137</v>
      </c>
      <c r="J1820" s="122">
        <v>134281</v>
      </c>
      <c r="K1820" s="122">
        <v>70</v>
      </c>
      <c r="L1820" s="122">
        <v>31982</v>
      </c>
      <c r="M1820" s="122">
        <v>26805</v>
      </c>
      <c r="N1820" s="122">
        <v>21115</v>
      </c>
      <c r="O1820" s="122">
        <v>7821</v>
      </c>
      <c r="P1820" s="122">
        <v>4131</v>
      </c>
      <c r="Q1820" s="122">
        <v>1530</v>
      </c>
      <c r="R1820" s="122">
        <v>70887</v>
      </c>
      <c r="S1820" s="122">
        <v>59072</v>
      </c>
      <c r="T1820" s="122">
        <v>5196</v>
      </c>
      <c r="U1820" s="122">
        <v>1924</v>
      </c>
      <c r="V1820" s="122">
        <v>231433</v>
      </c>
      <c r="W1820" s="122">
        <f t="shared" si="56"/>
        <v>231433</v>
      </c>
      <c r="X1820" s="122">
        <f t="shared" si="57"/>
        <v>294448</v>
      </c>
      <c r="AA1820" t="s">
        <v>64</v>
      </c>
      <c r="AB1820" t="s">
        <v>137</v>
      </c>
      <c r="AC1820" t="s">
        <v>137</v>
      </c>
      <c r="AD1820" t="s">
        <v>137</v>
      </c>
      <c r="AE1820" t="s">
        <v>566</v>
      </c>
      <c r="AF1820">
        <v>915</v>
      </c>
      <c r="AG1820" s="122">
        <v>71115</v>
      </c>
      <c r="AH1820" s="122">
        <v>549652</v>
      </c>
      <c r="AI1820" s="122">
        <v>29347286</v>
      </c>
      <c r="AJ1820" s="122">
        <v>10869365</v>
      </c>
      <c r="AK1820">
        <v>100</v>
      </c>
      <c r="AL1820" s="122">
        <v>5444442</v>
      </c>
      <c r="AM1820" s="122">
        <v>2016460</v>
      </c>
      <c r="AN1820" s="122">
        <v>1547714</v>
      </c>
      <c r="AO1820" s="122">
        <v>573227</v>
      </c>
      <c r="AP1820" s="122">
        <v>7857</v>
      </c>
      <c r="AQ1820" s="122">
        <v>2910</v>
      </c>
      <c r="AR1820" s="122">
        <v>6280498</v>
      </c>
      <c r="AS1820" s="122">
        <v>2326110</v>
      </c>
      <c r="AT1820">
        <v>0</v>
      </c>
      <c r="AU1820">
        <v>0</v>
      </c>
      <c r="AV1820" s="122">
        <v>15788073</v>
      </c>
    </row>
    <row r="1821" spans="2:48" hidden="1">
      <c r="B1821" t="s">
        <v>377</v>
      </c>
      <c r="C1821" t="s">
        <v>58</v>
      </c>
      <c r="D1821" t="s">
        <v>428</v>
      </c>
      <c r="E1821" t="s">
        <v>406</v>
      </c>
      <c r="F1821" s="122">
        <v>1</v>
      </c>
      <c r="G1821" s="122">
        <v>147</v>
      </c>
      <c r="H1821" s="122">
        <v>234</v>
      </c>
      <c r="I1821" s="122">
        <v>19376</v>
      </c>
      <c r="J1821" s="122">
        <v>17615</v>
      </c>
      <c r="K1821" s="122">
        <v>79</v>
      </c>
      <c r="L1821" s="122">
        <v>5382</v>
      </c>
      <c r="M1821" s="122">
        <v>4893</v>
      </c>
      <c r="N1821" s="122">
        <v>3446</v>
      </c>
      <c r="O1821" s="122">
        <v>1276</v>
      </c>
      <c r="P1821" s="122">
        <v>621</v>
      </c>
      <c r="Q1821" s="122">
        <v>230</v>
      </c>
      <c r="R1821" s="122">
        <v>5666</v>
      </c>
      <c r="S1821" s="122">
        <v>5151</v>
      </c>
      <c r="T1821" s="122">
        <v>0</v>
      </c>
      <c r="U1821" s="122">
        <v>0</v>
      </c>
      <c r="V1821" s="122">
        <v>29165</v>
      </c>
      <c r="W1821" s="122">
        <f t="shared" si="56"/>
        <v>29165</v>
      </c>
      <c r="X1821" s="122">
        <f t="shared" si="57"/>
        <v>34491</v>
      </c>
      <c r="AA1821" t="s">
        <v>64</v>
      </c>
      <c r="AB1821" t="s">
        <v>137</v>
      </c>
      <c r="AC1821" t="s">
        <v>137</v>
      </c>
      <c r="AD1821" t="s">
        <v>406</v>
      </c>
      <c r="AE1821" t="s">
        <v>137</v>
      </c>
      <c r="AF1821">
        <v>2</v>
      </c>
      <c r="AG1821">
        <v>357</v>
      </c>
      <c r="AH1821" s="122">
        <v>1171</v>
      </c>
      <c r="AI1821" s="122">
        <v>161822</v>
      </c>
      <c r="AJ1821" s="122">
        <v>59934</v>
      </c>
      <c r="AK1821">
        <v>100</v>
      </c>
      <c r="AL1821" s="122">
        <v>22811</v>
      </c>
      <c r="AM1821" s="122">
        <v>8449</v>
      </c>
      <c r="AN1821" s="122">
        <v>9183</v>
      </c>
      <c r="AO1821" s="122">
        <v>3401</v>
      </c>
      <c r="AP1821">
        <v>351</v>
      </c>
      <c r="AQ1821">
        <v>130</v>
      </c>
      <c r="AR1821" s="122">
        <v>13446</v>
      </c>
      <c r="AS1821" s="122">
        <v>12224</v>
      </c>
      <c r="AT1821" s="122">
        <v>6251</v>
      </c>
      <c r="AU1821" s="122">
        <v>2315</v>
      </c>
      <c r="AV1821" s="122">
        <v>86453</v>
      </c>
    </row>
    <row r="1822" spans="2:48" hidden="1">
      <c r="B1822" t="s">
        <v>377</v>
      </c>
      <c r="C1822" t="s">
        <v>58</v>
      </c>
      <c r="D1822" t="s">
        <v>428</v>
      </c>
      <c r="E1822" t="s">
        <v>428</v>
      </c>
      <c r="F1822" s="122">
        <v>6</v>
      </c>
      <c r="G1822" s="122">
        <v>531</v>
      </c>
      <c r="H1822" s="122">
        <v>1652</v>
      </c>
      <c r="I1822" s="122">
        <v>78832</v>
      </c>
      <c r="J1822" s="122">
        <v>71666</v>
      </c>
      <c r="K1822" s="122">
        <v>57</v>
      </c>
      <c r="L1822" s="122">
        <v>12085</v>
      </c>
      <c r="M1822" s="122">
        <v>8503</v>
      </c>
      <c r="N1822" s="122">
        <v>11005</v>
      </c>
      <c r="O1822" s="122">
        <v>4076</v>
      </c>
      <c r="P1822" s="122">
        <v>1053</v>
      </c>
      <c r="Q1822" s="122">
        <v>390</v>
      </c>
      <c r="R1822" s="122">
        <v>31491</v>
      </c>
      <c r="S1822" s="122">
        <v>28628</v>
      </c>
      <c r="T1822" s="122">
        <v>11477</v>
      </c>
      <c r="U1822" s="122">
        <v>4251</v>
      </c>
      <c r="V1822" s="122">
        <v>117514</v>
      </c>
      <c r="W1822" s="122">
        <f t="shared" si="56"/>
        <v>117514</v>
      </c>
      <c r="X1822" s="122">
        <f t="shared" si="57"/>
        <v>145943</v>
      </c>
      <c r="AA1822" t="s">
        <v>64</v>
      </c>
      <c r="AB1822" t="s">
        <v>137</v>
      </c>
      <c r="AC1822" t="s">
        <v>137</v>
      </c>
      <c r="AD1822" t="s">
        <v>427</v>
      </c>
      <c r="AE1822" t="s">
        <v>137</v>
      </c>
      <c r="AF1822">
        <v>2</v>
      </c>
      <c r="AG1822">
        <v>167</v>
      </c>
      <c r="AH1822" s="122">
        <v>1136</v>
      </c>
      <c r="AI1822" s="122">
        <v>52360</v>
      </c>
      <c r="AJ1822" s="122">
        <v>19393</v>
      </c>
      <c r="AK1822">
        <v>100</v>
      </c>
      <c r="AL1822" s="122">
        <v>12608</v>
      </c>
      <c r="AM1822" s="122">
        <v>4670</v>
      </c>
      <c r="AN1822" s="122">
        <v>3648</v>
      </c>
      <c r="AO1822" s="122">
        <v>1351</v>
      </c>
      <c r="AP1822">
        <v>0</v>
      </c>
      <c r="AQ1822">
        <v>0</v>
      </c>
      <c r="AR1822" s="122">
        <v>22839</v>
      </c>
      <c r="AS1822" s="122">
        <v>20763</v>
      </c>
      <c r="AT1822" s="122">
        <v>4391</v>
      </c>
      <c r="AU1822" s="122">
        <v>1626</v>
      </c>
      <c r="AV1822" s="122">
        <v>47802</v>
      </c>
    </row>
    <row r="1823" spans="2:48" hidden="1">
      <c r="B1823" t="s">
        <v>377</v>
      </c>
      <c r="C1823" t="s">
        <v>58</v>
      </c>
      <c r="D1823" t="s">
        <v>431</v>
      </c>
      <c r="E1823" t="s">
        <v>431</v>
      </c>
      <c r="F1823" s="122">
        <v>3</v>
      </c>
      <c r="G1823" s="122">
        <v>289</v>
      </c>
      <c r="H1823" s="122">
        <v>856</v>
      </c>
      <c r="I1823" s="122">
        <v>40323</v>
      </c>
      <c r="J1823" s="122">
        <v>36658</v>
      </c>
      <c r="K1823" s="122">
        <v>62</v>
      </c>
      <c r="L1823" s="122">
        <v>10429</v>
      </c>
      <c r="M1823" s="122">
        <v>7551</v>
      </c>
      <c r="N1823" s="122">
        <v>6207</v>
      </c>
      <c r="O1823" s="122">
        <v>2299</v>
      </c>
      <c r="P1823" s="122">
        <v>702</v>
      </c>
      <c r="Q1823" s="122">
        <v>260</v>
      </c>
      <c r="R1823" s="122">
        <v>21737</v>
      </c>
      <c r="S1823" s="122">
        <v>19761</v>
      </c>
      <c r="T1823" s="122">
        <v>2702</v>
      </c>
      <c r="U1823" s="122">
        <v>1001</v>
      </c>
      <c r="V1823" s="122">
        <v>67529</v>
      </c>
      <c r="W1823" s="122">
        <f t="shared" si="56"/>
        <v>67530</v>
      </c>
      <c r="X1823" s="122">
        <f t="shared" si="57"/>
        <v>82100</v>
      </c>
      <c r="AA1823" t="s">
        <v>64</v>
      </c>
      <c r="AB1823" t="s">
        <v>137</v>
      </c>
      <c r="AC1823" t="s">
        <v>137</v>
      </c>
      <c r="AD1823" t="s">
        <v>407</v>
      </c>
      <c r="AE1823" t="s">
        <v>566</v>
      </c>
      <c r="AF1823">
        <v>1</v>
      </c>
      <c r="AG1823">
        <v>75</v>
      </c>
      <c r="AH1823">
        <v>485</v>
      </c>
      <c r="AI1823" s="122">
        <v>27116</v>
      </c>
      <c r="AJ1823" s="122">
        <v>10043</v>
      </c>
      <c r="AK1823">
        <v>100</v>
      </c>
      <c r="AL1823" s="122">
        <v>3013</v>
      </c>
      <c r="AM1823" s="122">
        <v>1116</v>
      </c>
      <c r="AN1823" s="122">
        <v>1133</v>
      </c>
      <c r="AO1823">
        <v>420</v>
      </c>
      <c r="AP1823">
        <v>473</v>
      </c>
      <c r="AQ1823">
        <v>175</v>
      </c>
      <c r="AR1823" s="122">
        <v>4633</v>
      </c>
      <c r="AS1823" s="122">
        <v>4212</v>
      </c>
      <c r="AT1823">
        <v>0</v>
      </c>
      <c r="AU1823">
        <v>0</v>
      </c>
      <c r="AV1823" s="122">
        <v>15965</v>
      </c>
    </row>
    <row r="1824" spans="2:48" hidden="1">
      <c r="B1824" t="s">
        <v>377</v>
      </c>
      <c r="C1824" t="s">
        <v>58</v>
      </c>
      <c r="D1824" t="s">
        <v>426</v>
      </c>
      <c r="E1824" t="s">
        <v>137</v>
      </c>
      <c r="F1824" s="122">
        <v>2</v>
      </c>
      <c r="G1824" s="122">
        <v>163</v>
      </c>
      <c r="H1824" s="122">
        <v>506</v>
      </c>
      <c r="I1824" s="122">
        <v>18949</v>
      </c>
      <c r="J1824" s="122">
        <v>17227</v>
      </c>
      <c r="K1824" s="122">
        <v>60</v>
      </c>
      <c r="L1824" s="122">
        <v>3572</v>
      </c>
      <c r="M1824" s="122">
        <v>2287</v>
      </c>
      <c r="N1824" s="122">
        <v>2806</v>
      </c>
      <c r="O1824" s="122">
        <v>1039</v>
      </c>
      <c r="P1824" s="122">
        <v>0</v>
      </c>
      <c r="Q1824" s="122">
        <v>0</v>
      </c>
      <c r="R1824" s="122">
        <v>15830</v>
      </c>
      <c r="S1824" s="122">
        <v>5863</v>
      </c>
      <c r="T1824" s="122">
        <v>0</v>
      </c>
      <c r="U1824" s="122">
        <v>0</v>
      </c>
      <c r="V1824" s="122">
        <v>26416</v>
      </c>
      <c r="W1824" s="122">
        <f t="shared" si="56"/>
        <v>26416</v>
      </c>
      <c r="X1824" s="122">
        <f t="shared" si="57"/>
        <v>41157</v>
      </c>
      <c r="AA1824" t="s">
        <v>64</v>
      </c>
      <c r="AB1824" t="s">
        <v>137</v>
      </c>
      <c r="AC1824" t="s">
        <v>137</v>
      </c>
      <c r="AD1824" t="s">
        <v>579</v>
      </c>
      <c r="AE1824" t="s">
        <v>137</v>
      </c>
      <c r="AF1824">
        <v>4</v>
      </c>
      <c r="AG1824">
        <v>378</v>
      </c>
      <c r="AH1824" s="122">
        <v>2140</v>
      </c>
      <c r="AI1824" s="122">
        <v>127358</v>
      </c>
      <c r="AJ1824" s="122">
        <v>47169</v>
      </c>
      <c r="AK1824">
        <v>100</v>
      </c>
      <c r="AL1824" s="122">
        <v>31839</v>
      </c>
      <c r="AM1824" s="122">
        <v>11792</v>
      </c>
      <c r="AN1824" s="122">
        <v>8066</v>
      </c>
      <c r="AO1824" s="122">
        <v>2987</v>
      </c>
      <c r="AP1824">
        <v>0</v>
      </c>
      <c r="AQ1824">
        <v>0</v>
      </c>
      <c r="AR1824" s="122">
        <v>25400</v>
      </c>
      <c r="AS1824" s="122">
        <v>21167</v>
      </c>
      <c r="AT1824" s="122">
        <v>9485</v>
      </c>
      <c r="AU1824" s="122">
        <v>3513</v>
      </c>
      <c r="AV1824" s="122">
        <v>86629</v>
      </c>
    </row>
    <row r="1825" spans="2:48" hidden="1">
      <c r="B1825" t="s">
        <v>377</v>
      </c>
      <c r="C1825" t="s">
        <v>58</v>
      </c>
      <c r="D1825" t="s">
        <v>426</v>
      </c>
      <c r="E1825" t="s">
        <v>426</v>
      </c>
      <c r="F1825" s="122">
        <v>93</v>
      </c>
      <c r="G1825" s="122">
        <v>7872</v>
      </c>
      <c r="H1825" s="122">
        <v>25212</v>
      </c>
      <c r="I1825" s="122">
        <v>1184979</v>
      </c>
      <c r="J1825" s="122">
        <v>1077254</v>
      </c>
      <c r="K1825" s="122">
        <v>61</v>
      </c>
      <c r="L1825" s="122">
        <v>147508</v>
      </c>
      <c r="M1825" s="122">
        <v>122196</v>
      </c>
      <c r="N1825" s="122">
        <v>162261</v>
      </c>
      <c r="O1825" s="122">
        <v>60097</v>
      </c>
      <c r="P1825" s="122">
        <v>37638</v>
      </c>
      <c r="Q1825" s="122">
        <v>13940</v>
      </c>
      <c r="R1825" s="122">
        <v>466552</v>
      </c>
      <c r="S1825" s="122">
        <v>424138</v>
      </c>
      <c r="T1825" s="122">
        <v>200650</v>
      </c>
      <c r="U1825" s="122">
        <v>74315</v>
      </c>
      <c r="V1825" s="122">
        <v>1771939</v>
      </c>
      <c r="W1825" s="122">
        <f t="shared" si="56"/>
        <v>1771940</v>
      </c>
      <c r="X1825" s="122">
        <f t="shared" si="57"/>
        <v>2199588</v>
      </c>
      <c r="AA1825" t="s">
        <v>64</v>
      </c>
      <c r="AB1825" t="s">
        <v>137</v>
      </c>
      <c r="AC1825" t="s">
        <v>137</v>
      </c>
      <c r="AD1825" t="s">
        <v>426</v>
      </c>
      <c r="AE1825" t="s">
        <v>137</v>
      </c>
      <c r="AF1825">
        <v>9</v>
      </c>
      <c r="AG1825">
        <v>764</v>
      </c>
      <c r="AH1825" s="122">
        <v>5708</v>
      </c>
      <c r="AI1825" s="122">
        <v>317332</v>
      </c>
      <c r="AJ1825" s="122">
        <v>117530</v>
      </c>
      <c r="AK1825">
        <v>100</v>
      </c>
      <c r="AL1825" s="122">
        <v>75301</v>
      </c>
      <c r="AM1825" s="122">
        <v>27889</v>
      </c>
      <c r="AN1825" s="122">
        <v>17447</v>
      </c>
      <c r="AO1825" s="122">
        <v>6462</v>
      </c>
      <c r="AP1825">
        <v>351</v>
      </c>
      <c r="AQ1825">
        <v>130</v>
      </c>
      <c r="AR1825" s="122">
        <v>45792</v>
      </c>
      <c r="AS1825" s="122">
        <v>41629</v>
      </c>
      <c r="AT1825" s="122">
        <v>20786</v>
      </c>
      <c r="AU1825" s="122">
        <v>7699</v>
      </c>
      <c r="AV1825" s="122">
        <v>201339</v>
      </c>
    </row>
    <row r="1826" spans="2:48" hidden="1">
      <c r="B1826" t="s">
        <v>377</v>
      </c>
      <c r="C1826" t="s">
        <v>58</v>
      </c>
      <c r="D1826" t="s">
        <v>433</v>
      </c>
      <c r="E1826" t="s">
        <v>433</v>
      </c>
      <c r="F1826" s="122">
        <v>1</v>
      </c>
      <c r="G1826" s="122">
        <v>65</v>
      </c>
      <c r="H1826" s="122">
        <v>254</v>
      </c>
      <c r="I1826" s="122">
        <v>14375</v>
      </c>
      <c r="J1826" s="122">
        <v>13068</v>
      </c>
      <c r="K1826" s="122">
        <v>55</v>
      </c>
      <c r="L1826" s="122">
        <v>0</v>
      </c>
      <c r="M1826" s="122">
        <v>0</v>
      </c>
      <c r="N1826" s="122">
        <v>1336</v>
      </c>
      <c r="O1826" s="122">
        <v>495</v>
      </c>
      <c r="P1826" s="122">
        <v>351</v>
      </c>
      <c r="Q1826" s="122">
        <v>130</v>
      </c>
      <c r="R1826" s="122">
        <v>4502</v>
      </c>
      <c r="S1826" s="122">
        <v>4093</v>
      </c>
      <c r="T1826" s="122">
        <v>2673</v>
      </c>
      <c r="U1826" s="122">
        <v>990</v>
      </c>
      <c r="V1826" s="122">
        <v>18776</v>
      </c>
      <c r="W1826" s="122">
        <f t="shared" si="56"/>
        <v>18776</v>
      </c>
      <c r="X1826" s="122">
        <f t="shared" si="57"/>
        <v>23237</v>
      </c>
      <c r="AA1826" t="s">
        <v>64</v>
      </c>
      <c r="AB1826" t="s">
        <v>137</v>
      </c>
      <c r="AC1826" t="s">
        <v>137</v>
      </c>
      <c r="AD1826" t="s">
        <v>426</v>
      </c>
      <c r="AE1826" t="s">
        <v>566</v>
      </c>
      <c r="AF1826">
        <v>5</v>
      </c>
      <c r="AG1826">
        <v>621</v>
      </c>
      <c r="AH1826" s="122">
        <v>2578</v>
      </c>
      <c r="AI1826" s="122">
        <v>219644</v>
      </c>
      <c r="AJ1826" s="122">
        <v>81350</v>
      </c>
      <c r="AK1826">
        <v>100</v>
      </c>
      <c r="AL1826" s="122">
        <v>54911</v>
      </c>
      <c r="AM1826" s="122">
        <v>20337</v>
      </c>
      <c r="AN1826" s="122">
        <v>13027</v>
      </c>
      <c r="AO1826" s="122">
        <v>4825</v>
      </c>
      <c r="AP1826">
        <v>351</v>
      </c>
      <c r="AQ1826">
        <v>130</v>
      </c>
      <c r="AR1826" s="122">
        <v>35611</v>
      </c>
      <c r="AS1826" s="122">
        <v>32374</v>
      </c>
      <c r="AT1826">
        <v>0</v>
      </c>
      <c r="AU1826">
        <v>0</v>
      </c>
      <c r="AV1826" s="122">
        <v>139016</v>
      </c>
    </row>
    <row r="1827" spans="2:48" hidden="1">
      <c r="B1827" t="s">
        <v>377</v>
      </c>
      <c r="C1827" t="s">
        <v>60</v>
      </c>
      <c r="F1827" s="122">
        <v>1</v>
      </c>
      <c r="G1827" s="122">
        <v>80</v>
      </c>
      <c r="H1827" s="122">
        <v>337</v>
      </c>
      <c r="I1827" s="122"/>
      <c r="J1827" s="122">
        <v>0</v>
      </c>
      <c r="K1827" s="122"/>
      <c r="L1827" s="122"/>
      <c r="M1827" s="122">
        <v>0</v>
      </c>
      <c r="N1827" s="122">
        <v>1313</v>
      </c>
      <c r="O1827" s="122">
        <v>486</v>
      </c>
      <c r="P1827" s="122">
        <v>621</v>
      </c>
      <c r="Q1827" s="122">
        <v>230</v>
      </c>
      <c r="R1827" s="122"/>
      <c r="S1827" s="122">
        <v>0</v>
      </c>
      <c r="T1827" s="122">
        <v>0</v>
      </c>
      <c r="U1827" s="122">
        <v>0</v>
      </c>
      <c r="V1827" s="122">
        <v>716</v>
      </c>
      <c r="W1827" s="122">
        <f t="shared" si="56"/>
        <v>716</v>
      </c>
      <c r="X1827" s="122">
        <f t="shared" si="57"/>
        <v>1934</v>
      </c>
      <c r="AA1827" t="s">
        <v>64</v>
      </c>
      <c r="AB1827" t="s">
        <v>137</v>
      </c>
      <c r="AC1827" t="s">
        <v>580</v>
      </c>
      <c r="AD1827" t="s">
        <v>137</v>
      </c>
      <c r="AE1827" t="s">
        <v>137</v>
      </c>
      <c r="AF1827">
        <v>1</v>
      </c>
      <c r="AG1827">
        <v>89</v>
      </c>
      <c r="AH1827">
        <v>608</v>
      </c>
      <c r="AI1827" s="122">
        <v>34318</v>
      </c>
      <c r="AJ1827" s="122">
        <v>12710</v>
      </c>
      <c r="AK1827">
        <v>100</v>
      </c>
      <c r="AL1827" s="122">
        <v>5178</v>
      </c>
      <c r="AM1827" s="122">
        <v>4708</v>
      </c>
      <c r="AN1827" s="122">
        <v>2178</v>
      </c>
      <c r="AO1827">
        <v>807</v>
      </c>
      <c r="AP1827">
        <v>0</v>
      </c>
      <c r="AQ1827">
        <v>0</v>
      </c>
      <c r="AR1827" s="122">
        <v>9209</v>
      </c>
      <c r="AS1827" s="122">
        <v>3411</v>
      </c>
      <c r="AT1827" s="122">
        <v>3449</v>
      </c>
      <c r="AU1827" s="122">
        <v>1277</v>
      </c>
      <c r="AV1827" s="122">
        <v>22913</v>
      </c>
    </row>
    <row r="1828" spans="2:48" hidden="1">
      <c r="B1828" t="s">
        <v>377</v>
      </c>
      <c r="C1828" t="s">
        <v>60</v>
      </c>
      <c r="D1828" t="s">
        <v>405</v>
      </c>
      <c r="E1828" t="s">
        <v>405</v>
      </c>
      <c r="F1828" s="122">
        <v>3</v>
      </c>
      <c r="G1828" s="122">
        <v>280</v>
      </c>
      <c r="H1828" s="122">
        <v>1010</v>
      </c>
      <c r="I1828" s="122">
        <v>40929</v>
      </c>
      <c r="J1828" s="122">
        <v>37208</v>
      </c>
      <c r="K1828" s="122">
        <v>76</v>
      </c>
      <c r="L1828" s="122">
        <v>27763</v>
      </c>
      <c r="M1828" s="122">
        <v>18406</v>
      </c>
      <c r="N1828" s="122">
        <v>5639</v>
      </c>
      <c r="O1828" s="122">
        <v>2089</v>
      </c>
      <c r="P1828" s="122">
        <v>1418</v>
      </c>
      <c r="Q1828" s="122">
        <v>525</v>
      </c>
      <c r="R1828" s="122">
        <v>18387</v>
      </c>
      <c r="S1828" s="122">
        <v>16716</v>
      </c>
      <c r="T1828" s="122">
        <v>0</v>
      </c>
      <c r="U1828" s="122">
        <v>0</v>
      </c>
      <c r="V1828" s="122">
        <v>74943</v>
      </c>
      <c r="W1828" s="122">
        <f t="shared" si="56"/>
        <v>74944</v>
      </c>
      <c r="X1828" s="122">
        <f t="shared" si="57"/>
        <v>94136</v>
      </c>
      <c r="AA1828" t="s">
        <v>64</v>
      </c>
      <c r="AB1828" t="s">
        <v>137</v>
      </c>
      <c r="AC1828" t="s">
        <v>580</v>
      </c>
      <c r="AD1828" t="s">
        <v>137</v>
      </c>
      <c r="AE1828" t="s">
        <v>566</v>
      </c>
      <c r="AF1828">
        <v>18</v>
      </c>
      <c r="AG1828" s="122">
        <v>1949</v>
      </c>
      <c r="AH1828" s="122">
        <v>10970</v>
      </c>
      <c r="AI1828" s="122">
        <v>881628</v>
      </c>
      <c r="AJ1828" s="122">
        <v>326529</v>
      </c>
      <c r="AK1828">
        <v>100</v>
      </c>
      <c r="AL1828" s="122">
        <v>90957</v>
      </c>
      <c r="AM1828" s="122">
        <v>82688</v>
      </c>
      <c r="AN1828" s="122">
        <v>43492</v>
      </c>
      <c r="AO1828" s="122">
        <v>16108</v>
      </c>
      <c r="AP1828" s="122">
        <v>1882</v>
      </c>
      <c r="AQ1828">
        <v>697</v>
      </c>
      <c r="AR1828" s="122">
        <v>139309</v>
      </c>
      <c r="AS1828" s="122">
        <v>51596</v>
      </c>
      <c r="AT1828">
        <v>0</v>
      </c>
      <c r="AU1828">
        <v>0</v>
      </c>
      <c r="AV1828" s="122">
        <v>477618</v>
      </c>
    </row>
    <row r="1829" spans="2:48" hidden="1">
      <c r="B1829" t="s">
        <v>377</v>
      </c>
      <c r="C1829" t="s">
        <v>60</v>
      </c>
      <c r="D1829" t="s">
        <v>137</v>
      </c>
      <c r="E1829" t="s">
        <v>137</v>
      </c>
      <c r="F1829" s="122">
        <v>148</v>
      </c>
      <c r="G1829" s="122">
        <v>10294</v>
      </c>
      <c r="H1829" s="122">
        <v>50288</v>
      </c>
      <c r="I1829" s="122">
        <v>2022509</v>
      </c>
      <c r="J1829" s="122">
        <v>749078</v>
      </c>
      <c r="K1829" s="122">
        <v>100</v>
      </c>
      <c r="L1829" s="122">
        <v>288725</v>
      </c>
      <c r="M1829" s="122">
        <v>212738</v>
      </c>
      <c r="N1829" s="122">
        <v>210538</v>
      </c>
      <c r="O1829" s="122">
        <v>77977</v>
      </c>
      <c r="P1829" s="122">
        <v>1323</v>
      </c>
      <c r="Q1829" s="122">
        <v>490</v>
      </c>
      <c r="R1829" s="122">
        <v>984848</v>
      </c>
      <c r="S1829" s="122">
        <v>364759</v>
      </c>
      <c r="T1829" s="122">
        <v>3182</v>
      </c>
      <c r="U1829" s="122">
        <v>1178</v>
      </c>
      <c r="V1829" s="122">
        <v>1406220</v>
      </c>
      <c r="W1829" s="122">
        <f t="shared" si="56"/>
        <v>1406220</v>
      </c>
      <c r="X1829" s="122">
        <f t="shared" si="57"/>
        <v>3511125</v>
      </c>
      <c r="AA1829" t="s">
        <v>64</v>
      </c>
      <c r="AB1829" t="s">
        <v>137</v>
      </c>
      <c r="AC1829" t="s">
        <v>580</v>
      </c>
      <c r="AD1829" t="s">
        <v>406</v>
      </c>
      <c r="AE1829" t="s">
        <v>137</v>
      </c>
      <c r="AF1829">
        <v>19</v>
      </c>
      <c r="AG1829" s="122">
        <v>2573</v>
      </c>
      <c r="AH1829" s="122">
        <v>11019</v>
      </c>
      <c r="AI1829" s="122">
        <v>1129517</v>
      </c>
      <c r="AJ1829" s="122">
        <v>418340</v>
      </c>
      <c r="AK1829">
        <v>100</v>
      </c>
      <c r="AL1829" s="122">
        <v>108116</v>
      </c>
      <c r="AM1829" s="122">
        <v>98287</v>
      </c>
      <c r="AN1829" s="122">
        <v>57886</v>
      </c>
      <c r="AO1829" s="122">
        <v>21439</v>
      </c>
      <c r="AP1829" s="122">
        <v>4185</v>
      </c>
      <c r="AQ1829" s="122">
        <v>1550</v>
      </c>
      <c r="AR1829" s="122">
        <v>111240</v>
      </c>
      <c r="AS1829" s="122">
        <v>101128</v>
      </c>
      <c r="AT1829" s="122">
        <v>46215</v>
      </c>
      <c r="AU1829" s="122">
        <v>17117</v>
      </c>
      <c r="AV1829" s="122">
        <v>657861</v>
      </c>
    </row>
    <row r="1830" spans="2:48" hidden="1">
      <c r="B1830" t="s">
        <v>377</v>
      </c>
      <c r="C1830" t="s">
        <v>60</v>
      </c>
      <c r="D1830" t="s">
        <v>137</v>
      </c>
      <c r="E1830" t="s">
        <v>427</v>
      </c>
      <c r="F1830" s="122">
        <v>1</v>
      </c>
      <c r="G1830" s="122">
        <v>124</v>
      </c>
      <c r="H1830" s="122">
        <v>375</v>
      </c>
      <c r="I1830" s="122">
        <v>30070</v>
      </c>
      <c r="J1830" s="122">
        <v>11137</v>
      </c>
      <c r="K1830" s="122">
        <v>100</v>
      </c>
      <c r="L1830" s="122">
        <v>2094</v>
      </c>
      <c r="M1830" s="122">
        <v>1904</v>
      </c>
      <c r="N1830" s="122">
        <v>2761</v>
      </c>
      <c r="O1830" s="122">
        <v>1023</v>
      </c>
      <c r="P1830" s="122">
        <v>0</v>
      </c>
      <c r="Q1830" s="122">
        <v>0</v>
      </c>
      <c r="R1830" s="122">
        <v>11463</v>
      </c>
      <c r="S1830" s="122">
        <v>10421</v>
      </c>
      <c r="T1830" s="122">
        <v>0</v>
      </c>
      <c r="U1830" s="122">
        <v>0</v>
      </c>
      <c r="V1830" s="122">
        <v>24484</v>
      </c>
      <c r="W1830" s="122">
        <f t="shared" si="56"/>
        <v>24485</v>
      </c>
      <c r="X1830" s="122">
        <f t="shared" si="57"/>
        <v>46388</v>
      </c>
      <c r="AA1830" t="s">
        <v>64</v>
      </c>
      <c r="AB1830" t="s">
        <v>137</v>
      </c>
      <c r="AC1830" t="s">
        <v>580</v>
      </c>
      <c r="AD1830" t="s">
        <v>406</v>
      </c>
      <c r="AE1830" t="s">
        <v>566</v>
      </c>
      <c r="AF1830">
        <v>3</v>
      </c>
      <c r="AG1830">
        <v>318</v>
      </c>
      <c r="AH1830" s="122">
        <v>1738</v>
      </c>
      <c r="AI1830" s="122">
        <v>141849</v>
      </c>
      <c r="AJ1830" s="122">
        <v>52537</v>
      </c>
      <c r="AK1830">
        <v>100</v>
      </c>
      <c r="AL1830" s="122">
        <v>8672</v>
      </c>
      <c r="AM1830" s="122">
        <v>7884</v>
      </c>
      <c r="AN1830" s="122">
        <v>6768</v>
      </c>
      <c r="AO1830" s="122">
        <v>2507</v>
      </c>
      <c r="AP1830">
        <v>891</v>
      </c>
      <c r="AQ1830">
        <v>330</v>
      </c>
      <c r="AR1830" s="122">
        <v>17546</v>
      </c>
      <c r="AS1830" s="122">
        <v>15951</v>
      </c>
      <c r="AT1830">
        <v>0</v>
      </c>
      <c r="AU1830">
        <v>0</v>
      </c>
      <c r="AV1830" s="122">
        <v>79208</v>
      </c>
    </row>
    <row r="1831" spans="2:48" hidden="1">
      <c r="B1831" t="s">
        <v>377</v>
      </c>
      <c r="C1831" t="s">
        <v>60</v>
      </c>
      <c r="D1831" t="s">
        <v>137</v>
      </c>
      <c r="E1831" t="s">
        <v>431</v>
      </c>
      <c r="F1831" s="122">
        <v>2</v>
      </c>
      <c r="G1831" s="122">
        <v>156</v>
      </c>
      <c r="H1831" s="122">
        <v>675</v>
      </c>
      <c r="I1831" s="122">
        <v>31255</v>
      </c>
      <c r="J1831" s="122">
        <v>11576</v>
      </c>
      <c r="K1831" s="122">
        <v>100</v>
      </c>
      <c r="L1831" s="122">
        <v>2856</v>
      </c>
      <c r="M1831" s="122">
        <v>2596</v>
      </c>
      <c r="N1831" s="122">
        <v>3638</v>
      </c>
      <c r="O1831" s="122">
        <v>1347</v>
      </c>
      <c r="P1831" s="122">
        <v>351</v>
      </c>
      <c r="Q1831" s="122">
        <v>130</v>
      </c>
      <c r="R1831" s="122">
        <v>10353</v>
      </c>
      <c r="S1831" s="122">
        <v>9412</v>
      </c>
      <c r="T1831" s="122">
        <v>4051</v>
      </c>
      <c r="U1831" s="122">
        <v>1500</v>
      </c>
      <c r="V1831" s="122">
        <v>26562</v>
      </c>
      <c r="W1831" s="122">
        <f t="shared" si="56"/>
        <v>26561</v>
      </c>
      <c r="X1831" s="122">
        <f t="shared" si="57"/>
        <v>52504</v>
      </c>
      <c r="AA1831" t="s">
        <v>64</v>
      </c>
      <c r="AB1831" t="s">
        <v>137</v>
      </c>
      <c r="AC1831" t="s">
        <v>427</v>
      </c>
      <c r="AD1831" t="s">
        <v>137</v>
      </c>
      <c r="AE1831" t="s">
        <v>137</v>
      </c>
      <c r="AF1831">
        <v>36</v>
      </c>
      <c r="AG1831" s="122">
        <v>2793</v>
      </c>
      <c r="AH1831" s="122">
        <v>25188</v>
      </c>
      <c r="AI1831" s="122">
        <v>1364561</v>
      </c>
      <c r="AJ1831" s="122">
        <v>505393</v>
      </c>
      <c r="AK1831">
        <v>100</v>
      </c>
      <c r="AL1831" s="122">
        <v>206166</v>
      </c>
      <c r="AM1831" s="122">
        <v>187424</v>
      </c>
      <c r="AN1831" s="122">
        <v>61662</v>
      </c>
      <c r="AO1831" s="122">
        <v>22838</v>
      </c>
      <c r="AP1831" s="122">
        <v>3573</v>
      </c>
      <c r="AQ1831" s="122">
        <v>1323</v>
      </c>
      <c r="AR1831" s="122">
        <v>270332</v>
      </c>
      <c r="AS1831" s="122">
        <v>100123</v>
      </c>
      <c r="AT1831" s="122">
        <v>13877</v>
      </c>
      <c r="AU1831" s="122">
        <v>5139</v>
      </c>
      <c r="AV1831" s="122">
        <v>822240</v>
      </c>
    </row>
    <row r="1832" spans="2:48" hidden="1">
      <c r="B1832" t="s">
        <v>377</v>
      </c>
      <c r="C1832" t="s">
        <v>60</v>
      </c>
      <c r="D1832" t="s">
        <v>137</v>
      </c>
      <c r="E1832" t="s">
        <v>426</v>
      </c>
      <c r="F1832" s="122">
        <v>10</v>
      </c>
      <c r="G1832" s="122">
        <v>600</v>
      </c>
      <c r="H1832" s="122">
        <v>3618</v>
      </c>
      <c r="I1832" s="122">
        <v>119214</v>
      </c>
      <c r="J1832" s="122">
        <v>44153</v>
      </c>
      <c r="K1832" s="122">
        <v>100</v>
      </c>
      <c r="L1832" s="122">
        <v>13625</v>
      </c>
      <c r="M1832" s="122">
        <v>12387</v>
      </c>
      <c r="N1832" s="122">
        <v>11433</v>
      </c>
      <c r="O1832" s="122">
        <v>4234</v>
      </c>
      <c r="P1832" s="122">
        <v>972</v>
      </c>
      <c r="Q1832" s="122">
        <v>360</v>
      </c>
      <c r="R1832" s="122">
        <v>49186</v>
      </c>
      <c r="S1832" s="122">
        <v>44714</v>
      </c>
      <c r="T1832" s="122">
        <v>20356</v>
      </c>
      <c r="U1832" s="122">
        <v>7539</v>
      </c>
      <c r="V1832" s="122">
        <v>113388</v>
      </c>
      <c r="W1832" s="122">
        <f t="shared" si="56"/>
        <v>113387</v>
      </c>
      <c r="X1832" s="122">
        <f t="shared" si="57"/>
        <v>214786</v>
      </c>
      <c r="AA1832" t="s">
        <v>64</v>
      </c>
      <c r="AB1832" t="s">
        <v>137</v>
      </c>
      <c r="AC1832" t="s">
        <v>427</v>
      </c>
      <c r="AD1832" t="s">
        <v>137</v>
      </c>
      <c r="AE1832" t="s">
        <v>566</v>
      </c>
      <c r="AF1832">
        <v>341</v>
      </c>
      <c r="AG1832" s="122">
        <v>27445</v>
      </c>
      <c r="AH1832" s="122">
        <v>224408</v>
      </c>
      <c r="AI1832" s="122">
        <v>12755546</v>
      </c>
      <c r="AJ1832" s="122">
        <v>4724276</v>
      </c>
      <c r="AK1832">
        <v>100</v>
      </c>
      <c r="AL1832" s="122">
        <v>2081591</v>
      </c>
      <c r="AM1832" s="122">
        <v>1892356</v>
      </c>
      <c r="AN1832" s="122">
        <v>606913</v>
      </c>
      <c r="AO1832" s="122">
        <v>224783</v>
      </c>
      <c r="AP1832" s="122">
        <v>6748</v>
      </c>
      <c r="AQ1832" s="122">
        <v>2499</v>
      </c>
      <c r="AR1832" s="122">
        <v>2649012</v>
      </c>
      <c r="AS1832" s="122">
        <v>981116</v>
      </c>
      <c r="AT1832">
        <v>0</v>
      </c>
      <c r="AU1832">
        <v>0</v>
      </c>
      <c r="AV1832" s="122">
        <v>7825029</v>
      </c>
    </row>
    <row r="1833" spans="2:48" hidden="1">
      <c r="B1833" t="s">
        <v>377</v>
      </c>
      <c r="C1833" t="s">
        <v>60</v>
      </c>
      <c r="D1833" t="s">
        <v>406</v>
      </c>
      <c r="E1833" t="s">
        <v>137</v>
      </c>
      <c r="F1833" s="122">
        <v>5</v>
      </c>
      <c r="G1833" s="122">
        <v>513</v>
      </c>
      <c r="H1833" s="122">
        <v>1747</v>
      </c>
      <c r="I1833" s="122">
        <v>116538</v>
      </c>
      <c r="J1833" s="122">
        <v>105944</v>
      </c>
      <c r="K1833" s="122">
        <v>73</v>
      </c>
      <c r="L1833" s="122">
        <v>15649</v>
      </c>
      <c r="M1833" s="122">
        <v>13143</v>
      </c>
      <c r="N1833" s="122">
        <v>10553</v>
      </c>
      <c r="O1833" s="122">
        <v>3909</v>
      </c>
      <c r="P1833" s="122">
        <v>3105</v>
      </c>
      <c r="Q1833" s="122">
        <v>1150</v>
      </c>
      <c r="R1833" s="122">
        <v>40748</v>
      </c>
      <c r="S1833" s="122">
        <v>15092</v>
      </c>
      <c r="T1833" s="122">
        <v>0</v>
      </c>
      <c r="U1833" s="122">
        <v>0</v>
      </c>
      <c r="V1833" s="122">
        <v>139237</v>
      </c>
      <c r="W1833" s="122">
        <f t="shared" si="56"/>
        <v>139238</v>
      </c>
      <c r="X1833" s="122">
        <f t="shared" si="57"/>
        <v>186593</v>
      </c>
      <c r="AA1833" t="s">
        <v>64</v>
      </c>
      <c r="AB1833" t="s">
        <v>137</v>
      </c>
      <c r="AC1833" t="s">
        <v>427</v>
      </c>
      <c r="AD1833" t="s">
        <v>406</v>
      </c>
      <c r="AE1833" t="s">
        <v>137</v>
      </c>
      <c r="AF1833">
        <v>1</v>
      </c>
      <c r="AG1833">
        <v>73</v>
      </c>
      <c r="AH1833">
        <v>672</v>
      </c>
      <c r="AI1833" s="122">
        <v>34236</v>
      </c>
      <c r="AJ1833" s="122">
        <v>12680</v>
      </c>
      <c r="AK1833">
        <v>100</v>
      </c>
      <c r="AL1833" s="122">
        <v>5166</v>
      </c>
      <c r="AM1833" s="122">
        <v>4696</v>
      </c>
      <c r="AN1833" s="122">
        <v>1655</v>
      </c>
      <c r="AO1833">
        <v>613</v>
      </c>
      <c r="AP1833">
        <v>0</v>
      </c>
      <c r="AQ1833">
        <v>0</v>
      </c>
      <c r="AR1833" s="122">
        <v>5670</v>
      </c>
      <c r="AS1833" s="122">
        <v>5154</v>
      </c>
      <c r="AT1833" s="122">
        <v>2066</v>
      </c>
      <c r="AU1833">
        <v>765</v>
      </c>
      <c r="AV1833" s="122">
        <v>23908</v>
      </c>
    </row>
    <row r="1834" spans="2:48" hidden="1">
      <c r="B1834" t="s">
        <v>377</v>
      </c>
      <c r="C1834" t="s">
        <v>60</v>
      </c>
      <c r="D1834" t="s">
        <v>406</v>
      </c>
      <c r="E1834" t="s">
        <v>406</v>
      </c>
      <c r="F1834" s="122">
        <v>360</v>
      </c>
      <c r="G1834" s="122">
        <v>33257</v>
      </c>
      <c r="H1834" s="122">
        <v>121746</v>
      </c>
      <c r="I1834" s="122">
        <v>6818671</v>
      </c>
      <c r="J1834" s="122">
        <v>6198792</v>
      </c>
      <c r="K1834" s="122">
        <v>77</v>
      </c>
      <c r="L1834" s="122">
        <v>1308854</v>
      </c>
      <c r="M1834" s="122">
        <v>1162288</v>
      </c>
      <c r="N1834" s="122">
        <v>696814</v>
      </c>
      <c r="O1834" s="122">
        <v>258079</v>
      </c>
      <c r="P1834" s="122">
        <v>227651</v>
      </c>
      <c r="Q1834" s="122">
        <v>84315</v>
      </c>
      <c r="R1834" s="122">
        <v>1691187</v>
      </c>
      <c r="S1834" s="122">
        <v>1537443</v>
      </c>
      <c r="T1834" s="122">
        <v>626021</v>
      </c>
      <c r="U1834" s="122">
        <v>231859</v>
      </c>
      <c r="V1834" s="122">
        <v>9472776</v>
      </c>
      <c r="W1834" s="122">
        <f t="shared" si="56"/>
        <v>9472776</v>
      </c>
      <c r="X1834" s="122">
        <f t="shared" si="57"/>
        <v>11369198</v>
      </c>
      <c r="AA1834" t="s">
        <v>64</v>
      </c>
      <c r="AB1834" t="s">
        <v>137</v>
      </c>
      <c r="AC1834" t="s">
        <v>427</v>
      </c>
      <c r="AD1834" t="s">
        <v>406</v>
      </c>
      <c r="AE1834" t="s">
        <v>566</v>
      </c>
      <c r="AF1834">
        <v>2</v>
      </c>
      <c r="AG1834">
        <v>197</v>
      </c>
      <c r="AH1834" s="122">
        <v>1625</v>
      </c>
      <c r="AI1834" s="122">
        <v>134829</v>
      </c>
      <c r="AJ1834" s="122">
        <v>49937</v>
      </c>
      <c r="AK1834">
        <v>100</v>
      </c>
      <c r="AL1834" s="122">
        <v>20345</v>
      </c>
      <c r="AM1834" s="122">
        <v>18495</v>
      </c>
      <c r="AN1834" s="122">
        <v>3909</v>
      </c>
      <c r="AO1834" s="122">
        <v>1448</v>
      </c>
      <c r="AP1834">
        <v>0</v>
      </c>
      <c r="AQ1834">
        <v>0</v>
      </c>
      <c r="AR1834" s="122">
        <v>5554</v>
      </c>
      <c r="AS1834" s="122">
        <v>5049</v>
      </c>
      <c r="AT1834">
        <v>0</v>
      </c>
      <c r="AU1834">
        <v>0</v>
      </c>
      <c r="AV1834" s="122">
        <v>74928</v>
      </c>
    </row>
    <row r="1835" spans="2:48" hidden="1">
      <c r="B1835" t="s">
        <v>377</v>
      </c>
      <c r="C1835" t="s">
        <v>60</v>
      </c>
      <c r="D1835" t="s">
        <v>406</v>
      </c>
      <c r="E1835" t="s">
        <v>426</v>
      </c>
      <c r="F1835" s="122">
        <v>2</v>
      </c>
      <c r="G1835" s="122">
        <v>114</v>
      </c>
      <c r="H1835" s="122">
        <v>686</v>
      </c>
      <c r="I1835" s="122">
        <v>19642</v>
      </c>
      <c r="J1835" s="122">
        <v>17856</v>
      </c>
      <c r="K1835" s="122">
        <v>75</v>
      </c>
      <c r="L1835" s="122">
        <v>4862</v>
      </c>
      <c r="M1835" s="122">
        <v>3239</v>
      </c>
      <c r="N1835" s="122">
        <v>1975</v>
      </c>
      <c r="O1835" s="122">
        <v>731</v>
      </c>
      <c r="P1835" s="122">
        <v>972</v>
      </c>
      <c r="Q1835" s="122">
        <v>360</v>
      </c>
      <c r="R1835" s="122">
        <v>7067</v>
      </c>
      <c r="S1835" s="122">
        <v>6425</v>
      </c>
      <c r="T1835" s="122">
        <v>4051</v>
      </c>
      <c r="U1835" s="122">
        <v>1500</v>
      </c>
      <c r="V1835" s="122">
        <v>30112</v>
      </c>
      <c r="W1835" s="122">
        <f t="shared" ref="W1835:W1889" si="58">SUM(ABS(J1835),ABS(M1835),ABS(O1835),ABS(Q1835),ABS(S1835),ABS(U1835))</f>
        <v>30111</v>
      </c>
      <c r="X1835" s="122">
        <f t="shared" ref="X1835:X1889" si="59">SUM(ABS(I1835),ABS(N1835),ABS(P1835),ABS(R1835),ABS(T1835),ABS(L1835))</f>
        <v>38569</v>
      </c>
      <c r="AA1835" t="s">
        <v>64</v>
      </c>
      <c r="AB1835" t="s">
        <v>137</v>
      </c>
      <c r="AC1835" t="s">
        <v>427</v>
      </c>
      <c r="AD1835" t="s">
        <v>427</v>
      </c>
      <c r="AE1835" t="s">
        <v>137</v>
      </c>
      <c r="AF1835">
        <v>28</v>
      </c>
      <c r="AG1835" s="122">
        <v>1771</v>
      </c>
      <c r="AH1835" s="122">
        <v>16379</v>
      </c>
      <c r="AI1835" s="122">
        <v>759795</v>
      </c>
      <c r="AJ1835" s="122">
        <v>281406</v>
      </c>
      <c r="AK1835">
        <v>100</v>
      </c>
      <c r="AL1835" s="122">
        <v>76431</v>
      </c>
      <c r="AM1835" s="122">
        <v>69483</v>
      </c>
      <c r="AN1835" s="122">
        <v>37693</v>
      </c>
      <c r="AO1835" s="122">
        <v>13960</v>
      </c>
      <c r="AP1835" s="122">
        <v>1053</v>
      </c>
      <c r="AQ1835">
        <v>390</v>
      </c>
      <c r="AR1835" s="122">
        <v>156543</v>
      </c>
      <c r="AS1835" s="122">
        <v>142312</v>
      </c>
      <c r="AT1835" s="122">
        <v>55135</v>
      </c>
      <c r="AU1835" s="122">
        <v>20420</v>
      </c>
      <c r="AV1835" s="122">
        <v>527971</v>
      </c>
    </row>
    <row r="1836" spans="2:48" hidden="1">
      <c r="B1836" t="s">
        <v>377</v>
      </c>
      <c r="C1836" t="s">
        <v>60</v>
      </c>
      <c r="D1836" t="s">
        <v>427</v>
      </c>
      <c r="E1836" t="s">
        <v>427</v>
      </c>
      <c r="F1836" s="122">
        <v>7</v>
      </c>
      <c r="G1836" s="122">
        <v>534</v>
      </c>
      <c r="H1836" s="122">
        <v>2421</v>
      </c>
      <c r="I1836" s="122">
        <v>103512</v>
      </c>
      <c r="J1836" s="122">
        <v>94101</v>
      </c>
      <c r="K1836" s="122">
        <v>57</v>
      </c>
      <c r="L1836" s="122">
        <v>18567</v>
      </c>
      <c r="M1836" s="122">
        <v>9667</v>
      </c>
      <c r="N1836" s="122">
        <v>11429</v>
      </c>
      <c r="O1836" s="122">
        <v>4233</v>
      </c>
      <c r="P1836" s="122">
        <v>2376</v>
      </c>
      <c r="Q1836" s="122">
        <v>880</v>
      </c>
      <c r="R1836" s="122">
        <v>34473</v>
      </c>
      <c r="S1836" s="122">
        <v>31339</v>
      </c>
      <c r="T1836" s="122">
        <v>13961</v>
      </c>
      <c r="U1836" s="122">
        <v>5171</v>
      </c>
      <c r="V1836" s="122">
        <v>145392</v>
      </c>
      <c r="W1836" s="122">
        <f t="shared" si="58"/>
        <v>145391</v>
      </c>
      <c r="X1836" s="122">
        <f t="shared" si="59"/>
        <v>184318</v>
      </c>
      <c r="AA1836" t="s">
        <v>64</v>
      </c>
      <c r="AB1836" t="s">
        <v>137</v>
      </c>
      <c r="AC1836" t="s">
        <v>427</v>
      </c>
      <c r="AD1836" t="s">
        <v>427</v>
      </c>
      <c r="AE1836" t="s">
        <v>566</v>
      </c>
      <c r="AF1836">
        <v>1</v>
      </c>
      <c r="AG1836">
        <v>98</v>
      </c>
      <c r="AH1836">
        <v>679</v>
      </c>
      <c r="AI1836" s="122">
        <v>51883</v>
      </c>
      <c r="AJ1836" s="122">
        <v>19216</v>
      </c>
      <c r="AK1836">
        <v>100</v>
      </c>
      <c r="AL1836" s="122">
        <v>4270</v>
      </c>
      <c r="AM1836" s="122">
        <v>3882</v>
      </c>
      <c r="AN1836" s="122">
        <v>1734</v>
      </c>
      <c r="AO1836">
        <v>642</v>
      </c>
      <c r="AP1836">
        <v>351</v>
      </c>
      <c r="AQ1836">
        <v>130</v>
      </c>
      <c r="AR1836" s="122">
        <v>8436</v>
      </c>
      <c r="AS1836" s="122">
        <v>7669</v>
      </c>
      <c r="AT1836">
        <v>0</v>
      </c>
      <c r="AU1836">
        <v>0</v>
      </c>
      <c r="AV1836" s="122">
        <v>31539</v>
      </c>
    </row>
    <row r="1837" spans="2:48" hidden="1">
      <c r="B1837" t="s">
        <v>377</v>
      </c>
      <c r="C1837" t="s">
        <v>60</v>
      </c>
      <c r="D1837" t="s">
        <v>407</v>
      </c>
      <c r="E1837" t="s">
        <v>407</v>
      </c>
      <c r="F1837" s="122">
        <v>2</v>
      </c>
      <c r="G1837" s="122">
        <v>213</v>
      </c>
      <c r="H1837" s="122">
        <v>649</v>
      </c>
      <c r="I1837" s="122">
        <v>41242</v>
      </c>
      <c r="J1837" s="122">
        <v>37493</v>
      </c>
      <c r="K1837" s="122">
        <v>76</v>
      </c>
      <c r="L1837" s="122">
        <v>8885</v>
      </c>
      <c r="M1837" s="122">
        <v>8078</v>
      </c>
      <c r="N1837" s="122">
        <v>5183</v>
      </c>
      <c r="O1837" s="122">
        <v>1920</v>
      </c>
      <c r="P1837" s="122">
        <v>945</v>
      </c>
      <c r="Q1837" s="122">
        <v>350</v>
      </c>
      <c r="R1837" s="122">
        <v>7538</v>
      </c>
      <c r="S1837" s="122">
        <v>6853</v>
      </c>
      <c r="T1837" s="122">
        <v>5282</v>
      </c>
      <c r="U1837" s="122">
        <v>1956</v>
      </c>
      <c r="V1837" s="122">
        <v>56650</v>
      </c>
      <c r="W1837" s="122">
        <f t="shared" si="58"/>
        <v>56650</v>
      </c>
      <c r="X1837" s="122">
        <f t="shared" si="59"/>
        <v>69075</v>
      </c>
      <c r="AA1837" t="s">
        <v>64</v>
      </c>
      <c r="AB1837" t="s">
        <v>137</v>
      </c>
      <c r="AC1837" t="s">
        <v>427</v>
      </c>
      <c r="AD1837" t="s">
        <v>407</v>
      </c>
      <c r="AE1837" t="s">
        <v>566</v>
      </c>
      <c r="AF1837">
        <v>1</v>
      </c>
      <c r="AG1837">
        <v>70</v>
      </c>
      <c r="AH1837">
        <v>554</v>
      </c>
      <c r="AI1837" s="122">
        <v>30028</v>
      </c>
      <c r="AJ1837" s="122">
        <v>11121</v>
      </c>
      <c r="AK1837">
        <v>100</v>
      </c>
      <c r="AL1837" s="122">
        <v>4531</v>
      </c>
      <c r="AM1837" s="122">
        <v>4119</v>
      </c>
      <c r="AN1837" s="122">
        <v>1701</v>
      </c>
      <c r="AO1837">
        <v>630</v>
      </c>
      <c r="AP1837">
        <v>0</v>
      </c>
      <c r="AQ1837">
        <v>0</v>
      </c>
      <c r="AR1837" s="122">
        <v>2371</v>
      </c>
      <c r="AS1837" s="122">
        <v>2155</v>
      </c>
      <c r="AT1837">
        <v>0</v>
      </c>
      <c r="AU1837">
        <v>0</v>
      </c>
      <c r="AV1837" s="122">
        <v>18026</v>
      </c>
    </row>
    <row r="1838" spans="2:48" hidden="1">
      <c r="B1838" t="s">
        <v>377</v>
      </c>
      <c r="C1838" t="s">
        <v>60</v>
      </c>
      <c r="D1838" t="s">
        <v>556</v>
      </c>
      <c r="E1838" t="s">
        <v>556</v>
      </c>
      <c r="F1838" s="122">
        <v>1</v>
      </c>
      <c r="G1838" s="122">
        <v>112</v>
      </c>
      <c r="H1838" s="122">
        <v>303</v>
      </c>
      <c r="I1838" s="122">
        <v>16838</v>
      </c>
      <c r="J1838" s="122">
        <v>14032</v>
      </c>
      <c r="K1838" s="122">
        <v>45</v>
      </c>
      <c r="L1838" s="122">
        <v>2806</v>
      </c>
      <c r="M1838" s="122">
        <v>2339</v>
      </c>
      <c r="N1838" s="122">
        <v>2733</v>
      </c>
      <c r="O1838" s="122">
        <v>1012</v>
      </c>
      <c r="P1838" s="122">
        <v>351</v>
      </c>
      <c r="Q1838" s="122">
        <v>130</v>
      </c>
      <c r="R1838" s="122">
        <v>8246</v>
      </c>
      <c r="S1838" s="122">
        <v>6871</v>
      </c>
      <c r="T1838" s="122">
        <v>3025</v>
      </c>
      <c r="U1838" s="122">
        <v>1120</v>
      </c>
      <c r="V1838" s="122">
        <v>25504</v>
      </c>
      <c r="W1838" s="122">
        <f t="shared" si="58"/>
        <v>25504</v>
      </c>
      <c r="X1838" s="122">
        <f t="shared" si="59"/>
        <v>33999</v>
      </c>
      <c r="AA1838" t="s">
        <v>64</v>
      </c>
      <c r="AB1838" t="s">
        <v>137</v>
      </c>
      <c r="AC1838" t="s">
        <v>427</v>
      </c>
      <c r="AD1838" t="s">
        <v>431</v>
      </c>
      <c r="AE1838" t="s">
        <v>137</v>
      </c>
      <c r="AF1838">
        <v>1</v>
      </c>
      <c r="AG1838">
        <v>92</v>
      </c>
      <c r="AH1838">
        <v>691</v>
      </c>
      <c r="AI1838" s="122">
        <v>34514</v>
      </c>
      <c r="AJ1838" s="122">
        <v>12783</v>
      </c>
      <c r="AK1838">
        <v>100</v>
      </c>
      <c r="AL1838" s="122">
        <v>11718</v>
      </c>
      <c r="AM1838" s="122">
        <v>10652</v>
      </c>
      <c r="AN1838" s="122">
        <v>2234</v>
      </c>
      <c r="AO1838">
        <v>828</v>
      </c>
      <c r="AP1838">
        <v>0</v>
      </c>
      <c r="AQ1838">
        <v>0</v>
      </c>
      <c r="AR1838" s="122">
        <v>10358</v>
      </c>
      <c r="AS1838" s="122">
        <v>9416</v>
      </c>
      <c r="AT1838" s="122">
        <v>4548</v>
      </c>
      <c r="AU1838" s="122">
        <v>1684</v>
      </c>
      <c r="AV1838" s="122">
        <v>35364</v>
      </c>
    </row>
    <row r="1839" spans="2:48" hidden="1">
      <c r="B1839" t="s">
        <v>377</v>
      </c>
      <c r="C1839" t="s">
        <v>60</v>
      </c>
      <c r="D1839" t="s">
        <v>428</v>
      </c>
      <c r="E1839" t="s">
        <v>428</v>
      </c>
      <c r="F1839" s="122">
        <v>6</v>
      </c>
      <c r="G1839" s="122">
        <v>524</v>
      </c>
      <c r="H1839" s="122">
        <v>2044</v>
      </c>
      <c r="I1839" s="122">
        <v>105007</v>
      </c>
      <c r="J1839" s="122">
        <v>95461</v>
      </c>
      <c r="K1839" s="122">
        <v>52</v>
      </c>
      <c r="L1839" s="122">
        <v>15964</v>
      </c>
      <c r="M1839" s="122">
        <v>14513</v>
      </c>
      <c r="N1839" s="122">
        <v>10331</v>
      </c>
      <c r="O1839" s="122">
        <v>3826</v>
      </c>
      <c r="P1839" s="122">
        <v>1755</v>
      </c>
      <c r="Q1839" s="122">
        <v>650</v>
      </c>
      <c r="R1839" s="122">
        <v>30550</v>
      </c>
      <c r="S1839" s="122">
        <v>27773</v>
      </c>
      <c r="T1839" s="122">
        <v>13559</v>
      </c>
      <c r="U1839" s="122">
        <v>5022</v>
      </c>
      <c r="V1839" s="122">
        <v>147245</v>
      </c>
      <c r="W1839" s="122">
        <f t="shared" si="58"/>
        <v>147245</v>
      </c>
      <c r="X1839" s="122">
        <f t="shared" si="59"/>
        <v>177166</v>
      </c>
      <c r="AA1839" t="s">
        <v>64</v>
      </c>
      <c r="AB1839" t="s">
        <v>137</v>
      </c>
      <c r="AC1839" t="s">
        <v>427</v>
      </c>
      <c r="AD1839" t="s">
        <v>426</v>
      </c>
      <c r="AE1839" t="s">
        <v>137</v>
      </c>
      <c r="AF1839">
        <v>1</v>
      </c>
      <c r="AG1839">
        <v>173</v>
      </c>
      <c r="AH1839">
        <v>675</v>
      </c>
      <c r="AI1839" s="122">
        <v>91713</v>
      </c>
      <c r="AJ1839" s="122">
        <v>33968</v>
      </c>
      <c r="AK1839">
        <v>100</v>
      </c>
      <c r="AL1839" s="122">
        <v>9226</v>
      </c>
      <c r="AM1839" s="122">
        <v>8387</v>
      </c>
      <c r="AN1839" s="122">
        <v>4045</v>
      </c>
      <c r="AO1839" s="122">
        <v>1498</v>
      </c>
      <c r="AP1839">
        <v>0</v>
      </c>
      <c r="AQ1839">
        <v>0</v>
      </c>
      <c r="AR1839" s="122">
        <v>8414</v>
      </c>
      <c r="AS1839" s="122">
        <v>7649</v>
      </c>
      <c r="AT1839" s="122">
        <v>3262</v>
      </c>
      <c r="AU1839" s="122">
        <v>1208</v>
      </c>
      <c r="AV1839" s="122">
        <v>52710</v>
      </c>
    </row>
    <row r="1840" spans="2:48" hidden="1">
      <c r="B1840" t="s">
        <v>377</v>
      </c>
      <c r="C1840" t="s">
        <v>60</v>
      </c>
      <c r="D1840" t="s">
        <v>431</v>
      </c>
      <c r="E1840" t="s">
        <v>431</v>
      </c>
      <c r="F1840" s="122">
        <v>6</v>
      </c>
      <c r="G1840" s="122">
        <v>516</v>
      </c>
      <c r="H1840" s="122">
        <v>2001</v>
      </c>
      <c r="I1840" s="122">
        <v>109961</v>
      </c>
      <c r="J1840" s="122">
        <v>99965</v>
      </c>
      <c r="K1840" s="122">
        <v>57</v>
      </c>
      <c r="L1840" s="122">
        <v>17739</v>
      </c>
      <c r="M1840" s="122">
        <v>14703</v>
      </c>
      <c r="N1840" s="122">
        <v>11970</v>
      </c>
      <c r="O1840" s="122">
        <v>4433</v>
      </c>
      <c r="P1840" s="122">
        <v>2106</v>
      </c>
      <c r="Q1840" s="122">
        <v>780</v>
      </c>
      <c r="R1840" s="122">
        <v>33544</v>
      </c>
      <c r="S1840" s="122">
        <v>30494</v>
      </c>
      <c r="T1840" s="122">
        <v>13376</v>
      </c>
      <c r="U1840" s="122">
        <v>4954</v>
      </c>
      <c r="V1840" s="122">
        <v>155330</v>
      </c>
      <c r="W1840" s="122">
        <f t="shared" si="58"/>
        <v>155329</v>
      </c>
      <c r="X1840" s="122">
        <f t="shared" si="59"/>
        <v>188696</v>
      </c>
      <c r="AA1840" t="s">
        <v>64</v>
      </c>
      <c r="AB1840" t="s">
        <v>137</v>
      </c>
      <c r="AC1840" t="s">
        <v>407</v>
      </c>
      <c r="AD1840" t="s">
        <v>137</v>
      </c>
      <c r="AE1840" t="s">
        <v>137</v>
      </c>
      <c r="AF1840">
        <v>12</v>
      </c>
      <c r="AG1840" s="122">
        <v>1038</v>
      </c>
      <c r="AH1840" s="122">
        <v>6994</v>
      </c>
      <c r="AI1840" s="122">
        <v>415680</v>
      </c>
      <c r="AJ1840" s="122">
        <v>153956</v>
      </c>
      <c r="AK1840">
        <v>100</v>
      </c>
      <c r="AL1840" s="122">
        <v>81673</v>
      </c>
      <c r="AM1840" s="122">
        <v>74249</v>
      </c>
      <c r="AN1840" s="122">
        <v>22754</v>
      </c>
      <c r="AO1840" s="122">
        <v>8427</v>
      </c>
      <c r="AP1840">
        <v>0</v>
      </c>
      <c r="AQ1840">
        <v>0</v>
      </c>
      <c r="AR1840" s="122">
        <v>80698</v>
      </c>
      <c r="AS1840" s="122">
        <v>29888</v>
      </c>
      <c r="AT1840" s="122">
        <v>6619</v>
      </c>
      <c r="AU1840" s="122">
        <v>2451</v>
      </c>
      <c r="AV1840" s="122">
        <v>268971</v>
      </c>
    </row>
    <row r="1841" spans="2:48" hidden="1">
      <c r="B1841" t="s">
        <v>377</v>
      </c>
      <c r="C1841" t="s">
        <v>60</v>
      </c>
      <c r="D1841" t="s">
        <v>426</v>
      </c>
      <c r="E1841" t="s">
        <v>137</v>
      </c>
      <c r="F1841" s="122">
        <v>3</v>
      </c>
      <c r="G1841" s="122">
        <v>240</v>
      </c>
      <c r="H1841" s="122">
        <v>1070</v>
      </c>
      <c r="I1841" s="122">
        <v>46909</v>
      </c>
      <c r="J1841" s="122">
        <v>42644</v>
      </c>
      <c r="K1841" s="122">
        <v>64</v>
      </c>
      <c r="L1841" s="122">
        <v>12886</v>
      </c>
      <c r="M1841" s="122">
        <v>4773</v>
      </c>
      <c r="N1841" s="122">
        <v>4345</v>
      </c>
      <c r="O1841" s="122">
        <v>1609</v>
      </c>
      <c r="P1841" s="122">
        <v>351</v>
      </c>
      <c r="Q1841" s="122">
        <v>130</v>
      </c>
      <c r="R1841" s="122">
        <v>19435</v>
      </c>
      <c r="S1841" s="122">
        <v>7198</v>
      </c>
      <c r="T1841" s="122">
        <v>0</v>
      </c>
      <c r="U1841" s="122">
        <v>0</v>
      </c>
      <c r="V1841" s="122">
        <v>56355</v>
      </c>
      <c r="W1841" s="122">
        <f t="shared" si="58"/>
        <v>56354</v>
      </c>
      <c r="X1841" s="122">
        <f t="shared" si="59"/>
        <v>83926</v>
      </c>
      <c r="AA1841" t="s">
        <v>64</v>
      </c>
      <c r="AB1841" t="s">
        <v>137</v>
      </c>
      <c r="AC1841" t="s">
        <v>407</v>
      </c>
      <c r="AD1841" t="s">
        <v>137</v>
      </c>
      <c r="AE1841" t="s">
        <v>566</v>
      </c>
      <c r="AF1841">
        <v>132</v>
      </c>
      <c r="AG1841" s="122">
        <v>10458</v>
      </c>
      <c r="AH1841" s="122">
        <v>79076</v>
      </c>
      <c r="AI1841" s="122">
        <v>4431711</v>
      </c>
      <c r="AJ1841" s="122">
        <v>1641374</v>
      </c>
      <c r="AK1841">
        <v>100</v>
      </c>
      <c r="AL1841" s="122">
        <v>638219</v>
      </c>
      <c r="AM1841" s="122">
        <v>580199</v>
      </c>
      <c r="AN1841" s="122">
        <v>236289</v>
      </c>
      <c r="AO1841" s="122">
        <v>87515</v>
      </c>
      <c r="AP1841" s="122">
        <v>1775</v>
      </c>
      <c r="AQ1841">
        <v>657</v>
      </c>
      <c r="AR1841" s="122">
        <v>924577</v>
      </c>
      <c r="AS1841" s="122">
        <v>342436</v>
      </c>
      <c r="AT1841">
        <v>0</v>
      </c>
      <c r="AU1841">
        <v>0</v>
      </c>
      <c r="AV1841" s="122">
        <v>2652181</v>
      </c>
    </row>
    <row r="1842" spans="2:48" hidden="1">
      <c r="B1842" t="s">
        <v>377</v>
      </c>
      <c r="C1842" t="s">
        <v>60</v>
      </c>
      <c r="D1842" t="s">
        <v>426</v>
      </c>
      <c r="E1842" t="s">
        <v>426</v>
      </c>
      <c r="F1842" s="122">
        <v>183</v>
      </c>
      <c r="G1842" s="122">
        <v>13600</v>
      </c>
      <c r="H1842" s="122">
        <v>62538</v>
      </c>
      <c r="I1842" s="122">
        <v>2591473</v>
      </c>
      <c r="J1842" s="122">
        <v>2355885</v>
      </c>
      <c r="K1842" s="122">
        <v>55</v>
      </c>
      <c r="L1842" s="122">
        <v>361671</v>
      </c>
      <c r="M1842" s="122">
        <v>271528</v>
      </c>
      <c r="N1842" s="122">
        <v>273736</v>
      </c>
      <c r="O1842" s="122">
        <v>101384</v>
      </c>
      <c r="P1842" s="122">
        <v>63099</v>
      </c>
      <c r="Q1842" s="122">
        <v>23370</v>
      </c>
      <c r="R1842" s="122">
        <v>1040442</v>
      </c>
      <c r="S1842" s="122">
        <v>945857</v>
      </c>
      <c r="T1842" s="122">
        <v>355702</v>
      </c>
      <c r="U1842" s="122">
        <v>131741</v>
      </c>
      <c r="V1842" s="122">
        <v>3829765</v>
      </c>
      <c r="W1842" s="122">
        <f t="shared" si="58"/>
        <v>3829765</v>
      </c>
      <c r="X1842" s="122">
        <f t="shared" si="59"/>
        <v>4686123</v>
      </c>
      <c r="AA1842" t="s">
        <v>64</v>
      </c>
      <c r="AB1842" t="s">
        <v>137</v>
      </c>
      <c r="AC1842" t="s">
        <v>407</v>
      </c>
      <c r="AD1842" t="s">
        <v>407</v>
      </c>
      <c r="AE1842" t="s">
        <v>137</v>
      </c>
      <c r="AF1842">
        <v>4</v>
      </c>
      <c r="AG1842">
        <v>343</v>
      </c>
      <c r="AH1842" s="122">
        <v>2092</v>
      </c>
      <c r="AI1842" s="122">
        <v>128720</v>
      </c>
      <c r="AJ1842" s="122">
        <v>47674</v>
      </c>
      <c r="AK1842">
        <v>100</v>
      </c>
      <c r="AL1842" s="122">
        <v>15872</v>
      </c>
      <c r="AM1842" s="122">
        <v>14429</v>
      </c>
      <c r="AN1842" s="122">
        <v>7267</v>
      </c>
      <c r="AO1842" s="122">
        <v>2691</v>
      </c>
      <c r="AP1842">
        <v>473</v>
      </c>
      <c r="AQ1842">
        <v>175</v>
      </c>
      <c r="AR1842" s="122">
        <v>15692</v>
      </c>
      <c r="AS1842" s="122">
        <v>14266</v>
      </c>
      <c r="AT1842" s="122">
        <v>8265</v>
      </c>
      <c r="AU1842" s="122">
        <v>3061</v>
      </c>
      <c r="AV1842" s="122">
        <v>82297</v>
      </c>
    </row>
    <row r="1843" spans="2:48" hidden="1">
      <c r="B1843" t="s">
        <v>377</v>
      </c>
      <c r="C1843" t="s">
        <v>60</v>
      </c>
      <c r="D1843" t="s">
        <v>433</v>
      </c>
      <c r="E1843" t="s">
        <v>433</v>
      </c>
      <c r="F1843" s="122">
        <v>3</v>
      </c>
      <c r="G1843" s="122">
        <v>240</v>
      </c>
      <c r="H1843" s="122">
        <v>1014</v>
      </c>
      <c r="I1843" s="122">
        <v>50966</v>
      </c>
      <c r="J1843" s="122">
        <v>46333</v>
      </c>
      <c r="K1843" s="122">
        <v>52</v>
      </c>
      <c r="L1843" s="122">
        <v>4750</v>
      </c>
      <c r="M1843" s="122">
        <v>4318</v>
      </c>
      <c r="N1843" s="122">
        <v>5326</v>
      </c>
      <c r="O1843" s="122">
        <v>1973</v>
      </c>
      <c r="P1843" s="122">
        <v>1053</v>
      </c>
      <c r="Q1843" s="122">
        <v>390</v>
      </c>
      <c r="R1843" s="122">
        <v>13275</v>
      </c>
      <c r="S1843" s="122">
        <v>12068</v>
      </c>
      <c r="T1843" s="122">
        <v>5606</v>
      </c>
      <c r="U1843" s="122">
        <v>2076</v>
      </c>
      <c r="V1843" s="122">
        <v>67158</v>
      </c>
      <c r="W1843" s="122">
        <f t="shared" si="58"/>
        <v>67158</v>
      </c>
      <c r="X1843" s="122">
        <f t="shared" si="59"/>
        <v>80976</v>
      </c>
      <c r="AA1843" t="s">
        <v>64</v>
      </c>
      <c r="AB1843" t="s">
        <v>137</v>
      </c>
      <c r="AC1843" t="s">
        <v>407</v>
      </c>
      <c r="AD1843" t="s">
        <v>407</v>
      </c>
      <c r="AE1843" t="s">
        <v>566</v>
      </c>
      <c r="AF1843">
        <v>7</v>
      </c>
      <c r="AG1843">
        <v>527</v>
      </c>
      <c r="AH1843" s="122">
        <v>4323</v>
      </c>
      <c r="AI1843" s="122">
        <v>227235</v>
      </c>
      <c r="AJ1843" s="122">
        <v>84161</v>
      </c>
      <c r="AK1843">
        <v>100</v>
      </c>
      <c r="AL1843" s="122">
        <v>53510</v>
      </c>
      <c r="AM1843" s="122">
        <v>48645</v>
      </c>
      <c r="AN1843" s="122">
        <v>11187</v>
      </c>
      <c r="AO1843" s="122">
        <v>4143</v>
      </c>
      <c r="AP1843">
        <v>473</v>
      </c>
      <c r="AQ1843">
        <v>175</v>
      </c>
      <c r="AR1843" s="122">
        <v>34526</v>
      </c>
      <c r="AS1843" s="122">
        <v>31387</v>
      </c>
      <c r="AT1843">
        <v>0</v>
      </c>
      <c r="AU1843">
        <v>0</v>
      </c>
      <c r="AV1843" s="122">
        <v>168512</v>
      </c>
    </row>
    <row r="1844" spans="2:48" hidden="1">
      <c r="B1844" t="s">
        <v>377</v>
      </c>
      <c r="C1844" t="s">
        <v>62</v>
      </c>
      <c r="F1844" s="122">
        <v>4</v>
      </c>
      <c r="G1844" s="122">
        <v>400</v>
      </c>
      <c r="H1844" s="122">
        <v>1677</v>
      </c>
      <c r="I1844" s="122"/>
      <c r="J1844" s="122">
        <v>0</v>
      </c>
      <c r="K1844" s="122"/>
      <c r="L1844" s="122"/>
      <c r="M1844" s="122">
        <v>0</v>
      </c>
      <c r="N1844" s="122">
        <v>9298</v>
      </c>
      <c r="O1844" s="122">
        <v>3444</v>
      </c>
      <c r="P1844" s="122">
        <v>2484</v>
      </c>
      <c r="Q1844" s="122">
        <v>920</v>
      </c>
      <c r="R1844" s="122"/>
      <c r="S1844" s="122">
        <v>0</v>
      </c>
      <c r="T1844" s="122">
        <v>4698</v>
      </c>
      <c r="U1844" s="122">
        <v>1740</v>
      </c>
      <c r="V1844" s="122">
        <v>6104</v>
      </c>
      <c r="W1844" s="122">
        <f t="shared" si="58"/>
        <v>6104</v>
      </c>
      <c r="X1844" s="122">
        <f t="shared" si="59"/>
        <v>16480</v>
      </c>
      <c r="AA1844" t="s">
        <v>64</v>
      </c>
      <c r="AB1844" t="s">
        <v>137</v>
      </c>
      <c r="AC1844" t="s">
        <v>407</v>
      </c>
      <c r="AD1844" t="s">
        <v>579</v>
      </c>
      <c r="AE1844" t="s">
        <v>137</v>
      </c>
      <c r="AF1844">
        <v>1</v>
      </c>
      <c r="AG1844">
        <v>80</v>
      </c>
      <c r="AH1844">
        <v>600</v>
      </c>
      <c r="AI1844" s="122">
        <v>34404</v>
      </c>
      <c r="AJ1844" s="122">
        <v>12742</v>
      </c>
      <c r="AK1844">
        <v>100</v>
      </c>
      <c r="AL1844" s="122">
        <v>4947</v>
      </c>
      <c r="AM1844" s="122">
        <v>4497</v>
      </c>
      <c r="AN1844" s="122">
        <v>1955</v>
      </c>
      <c r="AO1844">
        <v>724</v>
      </c>
      <c r="AP1844">
        <v>0</v>
      </c>
      <c r="AQ1844">
        <v>0</v>
      </c>
      <c r="AR1844" s="122">
        <v>5072</v>
      </c>
      <c r="AS1844" s="122">
        <v>4227</v>
      </c>
      <c r="AT1844" s="122">
        <v>1724</v>
      </c>
      <c r="AU1844">
        <v>638</v>
      </c>
      <c r="AV1844" s="122">
        <v>22829</v>
      </c>
    </row>
    <row r="1845" spans="2:48" hidden="1">
      <c r="B1845" t="s">
        <v>377</v>
      </c>
      <c r="C1845" t="s">
        <v>62</v>
      </c>
      <c r="D1845" t="s">
        <v>405</v>
      </c>
      <c r="E1845" t="s">
        <v>405</v>
      </c>
      <c r="F1845" s="122">
        <v>1</v>
      </c>
      <c r="G1845" s="122">
        <v>144</v>
      </c>
      <c r="H1845" s="122">
        <v>424</v>
      </c>
      <c r="I1845" s="122">
        <v>45947</v>
      </c>
      <c r="J1845" s="122">
        <v>41770</v>
      </c>
      <c r="K1845" s="122">
        <v>73</v>
      </c>
      <c r="L1845" s="122">
        <v>4853</v>
      </c>
      <c r="M1845" s="122">
        <v>4412</v>
      </c>
      <c r="N1845" s="122">
        <v>2623</v>
      </c>
      <c r="O1845" s="122">
        <v>971</v>
      </c>
      <c r="P1845" s="122">
        <v>621</v>
      </c>
      <c r="Q1845" s="122">
        <v>230</v>
      </c>
      <c r="R1845" s="122">
        <v>4282</v>
      </c>
      <c r="S1845" s="122">
        <v>3892</v>
      </c>
      <c r="T1845" s="122">
        <v>2503</v>
      </c>
      <c r="U1845" s="122">
        <v>927</v>
      </c>
      <c r="V1845" s="122">
        <v>52202</v>
      </c>
      <c r="W1845" s="122">
        <f t="shared" si="58"/>
        <v>52202</v>
      </c>
      <c r="X1845" s="122">
        <f t="shared" si="59"/>
        <v>60829</v>
      </c>
      <c r="AA1845" t="s">
        <v>64</v>
      </c>
      <c r="AB1845" t="s">
        <v>137</v>
      </c>
      <c r="AC1845" t="s">
        <v>579</v>
      </c>
      <c r="AD1845" t="s">
        <v>137</v>
      </c>
      <c r="AE1845" t="s">
        <v>137</v>
      </c>
      <c r="AF1845">
        <v>78</v>
      </c>
      <c r="AG1845" s="122">
        <v>6664</v>
      </c>
      <c r="AH1845" s="122">
        <v>50617</v>
      </c>
      <c r="AI1845" s="122">
        <v>2975525</v>
      </c>
      <c r="AJ1845" s="122">
        <v>1102046</v>
      </c>
      <c r="AK1845">
        <v>100</v>
      </c>
      <c r="AL1845" s="122">
        <v>642197</v>
      </c>
      <c r="AM1845" s="122">
        <v>535164</v>
      </c>
      <c r="AN1845" s="122">
        <v>152439</v>
      </c>
      <c r="AO1845" s="122">
        <v>56459</v>
      </c>
      <c r="AP1845" s="122">
        <v>2781</v>
      </c>
      <c r="AQ1845" s="122">
        <v>1030</v>
      </c>
      <c r="AR1845" s="122">
        <v>514826</v>
      </c>
      <c r="AS1845" s="122">
        <v>190676</v>
      </c>
      <c r="AT1845" s="122">
        <v>23846</v>
      </c>
      <c r="AU1845" s="122">
        <v>8832</v>
      </c>
      <c r="AV1845" s="122">
        <v>1894207</v>
      </c>
    </row>
    <row r="1846" spans="2:48" hidden="1">
      <c r="B1846" t="s">
        <v>377</v>
      </c>
      <c r="C1846" t="s">
        <v>62</v>
      </c>
      <c r="D1846" t="s">
        <v>137</v>
      </c>
      <c r="E1846" t="s">
        <v>137</v>
      </c>
      <c r="F1846" s="122">
        <v>71</v>
      </c>
      <c r="G1846" s="122">
        <v>4389</v>
      </c>
      <c r="H1846" s="122">
        <v>29621</v>
      </c>
      <c r="I1846" s="122">
        <v>1135720</v>
      </c>
      <c r="J1846" s="122">
        <v>420637</v>
      </c>
      <c r="K1846" s="122">
        <v>100</v>
      </c>
      <c r="L1846" s="122">
        <v>162914</v>
      </c>
      <c r="M1846" s="122">
        <v>127907</v>
      </c>
      <c r="N1846" s="122">
        <v>92818</v>
      </c>
      <c r="O1846" s="122">
        <v>34377</v>
      </c>
      <c r="P1846" s="122">
        <v>1323</v>
      </c>
      <c r="Q1846" s="122">
        <v>490</v>
      </c>
      <c r="R1846" s="122">
        <v>437767</v>
      </c>
      <c r="S1846" s="122">
        <v>162136</v>
      </c>
      <c r="T1846" s="122">
        <v>0</v>
      </c>
      <c r="U1846" s="122">
        <v>0</v>
      </c>
      <c r="V1846" s="122">
        <v>745547</v>
      </c>
      <c r="W1846" s="122">
        <f t="shared" si="58"/>
        <v>745547</v>
      </c>
      <c r="X1846" s="122">
        <f t="shared" si="59"/>
        <v>1830542</v>
      </c>
      <c r="AA1846" t="s">
        <v>64</v>
      </c>
      <c r="AB1846" t="s">
        <v>137</v>
      </c>
      <c r="AC1846" t="s">
        <v>579</v>
      </c>
      <c r="AD1846" t="s">
        <v>137</v>
      </c>
      <c r="AE1846" t="s">
        <v>566</v>
      </c>
      <c r="AF1846" s="122">
        <v>1140</v>
      </c>
      <c r="AG1846" s="122">
        <v>96338</v>
      </c>
      <c r="AH1846" s="122">
        <v>723645</v>
      </c>
      <c r="AI1846" s="122">
        <v>41859327</v>
      </c>
      <c r="AJ1846" s="122">
        <v>15503454</v>
      </c>
      <c r="AK1846">
        <v>100</v>
      </c>
      <c r="AL1846" s="122">
        <v>8972708</v>
      </c>
      <c r="AM1846" s="122">
        <v>7477257</v>
      </c>
      <c r="AN1846" s="122">
        <v>2111098</v>
      </c>
      <c r="AO1846" s="122">
        <v>781888</v>
      </c>
      <c r="AP1846" s="122">
        <v>14099</v>
      </c>
      <c r="AQ1846" s="122">
        <v>5222</v>
      </c>
      <c r="AR1846" s="122">
        <v>7794130</v>
      </c>
      <c r="AS1846" s="122">
        <v>2886715</v>
      </c>
      <c r="AT1846">
        <v>0</v>
      </c>
      <c r="AU1846">
        <v>0</v>
      </c>
      <c r="AV1846" s="122">
        <v>26654536</v>
      </c>
    </row>
    <row r="1847" spans="2:48" hidden="1">
      <c r="B1847" t="s">
        <v>377</v>
      </c>
      <c r="C1847" t="s">
        <v>62</v>
      </c>
      <c r="D1847" t="s">
        <v>137</v>
      </c>
      <c r="E1847" t="s">
        <v>406</v>
      </c>
      <c r="F1847" s="122">
        <v>1</v>
      </c>
      <c r="G1847" s="122">
        <v>138</v>
      </c>
      <c r="H1847" s="122">
        <v>449</v>
      </c>
      <c r="I1847" s="122">
        <v>41180</v>
      </c>
      <c r="J1847" s="122">
        <v>15252</v>
      </c>
      <c r="K1847" s="122">
        <v>100</v>
      </c>
      <c r="L1847" s="122">
        <v>9869</v>
      </c>
      <c r="M1847" s="122">
        <v>8972</v>
      </c>
      <c r="N1847" s="122">
        <v>2875</v>
      </c>
      <c r="O1847" s="122">
        <v>1065</v>
      </c>
      <c r="P1847" s="122">
        <v>270</v>
      </c>
      <c r="Q1847" s="122">
        <v>100</v>
      </c>
      <c r="R1847" s="122">
        <v>7792</v>
      </c>
      <c r="S1847" s="122">
        <v>7084</v>
      </c>
      <c r="T1847" s="122">
        <v>0</v>
      </c>
      <c r="U1847" s="122">
        <v>0</v>
      </c>
      <c r="V1847" s="122">
        <v>32472</v>
      </c>
      <c r="W1847" s="122">
        <f t="shared" si="58"/>
        <v>32473</v>
      </c>
      <c r="X1847" s="122">
        <f t="shared" si="59"/>
        <v>61986</v>
      </c>
      <c r="AA1847" t="s">
        <v>64</v>
      </c>
      <c r="AB1847" t="s">
        <v>137</v>
      </c>
      <c r="AC1847" t="s">
        <v>579</v>
      </c>
      <c r="AD1847" t="s">
        <v>406</v>
      </c>
      <c r="AE1847" t="s">
        <v>137</v>
      </c>
      <c r="AF1847">
        <v>1</v>
      </c>
      <c r="AG1847">
        <v>68</v>
      </c>
      <c r="AH1847">
        <v>543</v>
      </c>
      <c r="AI1847" s="122">
        <v>26093</v>
      </c>
      <c r="AJ1847" s="122">
        <v>9664</v>
      </c>
      <c r="AK1847">
        <v>100</v>
      </c>
      <c r="AL1847" s="122">
        <v>4295</v>
      </c>
      <c r="AM1847" s="122">
        <v>3579</v>
      </c>
      <c r="AN1847" s="122">
        <v>1645</v>
      </c>
      <c r="AO1847">
        <v>609</v>
      </c>
      <c r="AP1847">
        <v>0</v>
      </c>
      <c r="AQ1847">
        <v>0</v>
      </c>
      <c r="AR1847" s="122">
        <v>4650</v>
      </c>
      <c r="AS1847" s="122">
        <v>4227</v>
      </c>
      <c r="AT1847">
        <v>0</v>
      </c>
      <c r="AU1847">
        <v>0</v>
      </c>
      <c r="AV1847" s="122">
        <v>18080</v>
      </c>
    </row>
    <row r="1848" spans="2:48" hidden="1">
      <c r="B1848" t="s">
        <v>377</v>
      </c>
      <c r="C1848" t="s">
        <v>62</v>
      </c>
      <c r="D1848" t="s">
        <v>137</v>
      </c>
      <c r="E1848" t="s">
        <v>427</v>
      </c>
      <c r="F1848" s="122">
        <v>1</v>
      </c>
      <c r="G1848" s="122">
        <v>81</v>
      </c>
      <c r="H1848" s="122">
        <v>395</v>
      </c>
      <c r="I1848" s="122">
        <v>23397</v>
      </c>
      <c r="J1848" s="122">
        <v>8665</v>
      </c>
      <c r="K1848" s="122">
        <v>100</v>
      </c>
      <c r="L1848" s="122">
        <v>2118</v>
      </c>
      <c r="M1848" s="122">
        <v>1926</v>
      </c>
      <c r="N1848" s="122">
        <v>1749</v>
      </c>
      <c r="O1848" s="122">
        <v>648</v>
      </c>
      <c r="P1848" s="122">
        <v>0</v>
      </c>
      <c r="Q1848" s="122">
        <v>0</v>
      </c>
      <c r="R1848" s="122">
        <v>2860</v>
      </c>
      <c r="S1848" s="122">
        <v>2600</v>
      </c>
      <c r="T1848" s="122">
        <v>1729</v>
      </c>
      <c r="U1848" s="122">
        <v>640</v>
      </c>
      <c r="V1848" s="122">
        <v>14479</v>
      </c>
      <c r="W1848" s="122">
        <f t="shared" si="58"/>
        <v>14479</v>
      </c>
      <c r="X1848" s="122">
        <f t="shared" si="59"/>
        <v>31853</v>
      </c>
      <c r="AA1848" t="s">
        <v>64</v>
      </c>
      <c r="AB1848" t="s">
        <v>137</v>
      </c>
      <c r="AC1848" t="s">
        <v>579</v>
      </c>
      <c r="AD1848" t="s">
        <v>406</v>
      </c>
      <c r="AE1848" t="s">
        <v>566</v>
      </c>
      <c r="AF1848">
        <v>2</v>
      </c>
      <c r="AG1848">
        <v>240</v>
      </c>
      <c r="AH1848" s="122">
        <v>1063</v>
      </c>
      <c r="AI1848" s="122">
        <v>87922</v>
      </c>
      <c r="AJ1848" s="122">
        <v>32564</v>
      </c>
      <c r="AK1848">
        <v>100</v>
      </c>
      <c r="AL1848" s="122">
        <v>20332</v>
      </c>
      <c r="AM1848" s="122">
        <v>16943</v>
      </c>
      <c r="AN1848" s="122">
        <v>4772</v>
      </c>
      <c r="AO1848" s="122">
        <v>1767</v>
      </c>
      <c r="AP1848">
        <v>270</v>
      </c>
      <c r="AQ1848">
        <v>100</v>
      </c>
      <c r="AR1848" s="122">
        <v>17096</v>
      </c>
      <c r="AS1848" s="122">
        <v>15542</v>
      </c>
      <c r="AT1848">
        <v>0</v>
      </c>
      <c r="AU1848">
        <v>0</v>
      </c>
      <c r="AV1848" s="122">
        <v>66916</v>
      </c>
    </row>
    <row r="1849" spans="2:48" hidden="1">
      <c r="B1849" t="s">
        <v>377</v>
      </c>
      <c r="C1849" t="s">
        <v>62</v>
      </c>
      <c r="D1849" t="s">
        <v>137</v>
      </c>
      <c r="E1849" t="s">
        <v>426</v>
      </c>
      <c r="F1849" s="122">
        <v>19</v>
      </c>
      <c r="G1849" s="122">
        <v>920</v>
      </c>
      <c r="H1849" s="122">
        <v>7779</v>
      </c>
      <c r="I1849" s="122">
        <v>201036</v>
      </c>
      <c r="J1849" s="122">
        <v>74458</v>
      </c>
      <c r="K1849" s="122">
        <v>100</v>
      </c>
      <c r="L1849" s="122">
        <v>20438</v>
      </c>
      <c r="M1849" s="122">
        <v>18580</v>
      </c>
      <c r="N1849" s="122">
        <v>19848</v>
      </c>
      <c r="O1849" s="122">
        <v>7351</v>
      </c>
      <c r="P1849" s="122">
        <v>4563</v>
      </c>
      <c r="Q1849" s="122">
        <v>1690</v>
      </c>
      <c r="R1849" s="122">
        <v>100792</v>
      </c>
      <c r="S1849" s="122">
        <v>91629</v>
      </c>
      <c r="T1849" s="122">
        <v>31525</v>
      </c>
      <c r="U1849" s="122">
        <v>11676</v>
      </c>
      <c r="V1849" s="122">
        <v>205384</v>
      </c>
      <c r="W1849" s="122">
        <f t="shared" si="58"/>
        <v>205384</v>
      </c>
      <c r="X1849" s="122">
        <f t="shared" si="59"/>
        <v>378202</v>
      </c>
      <c r="AA1849" t="s">
        <v>64</v>
      </c>
      <c r="AB1849" t="s">
        <v>137</v>
      </c>
      <c r="AC1849" t="s">
        <v>579</v>
      </c>
      <c r="AD1849" t="s">
        <v>407</v>
      </c>
      <c r="AE1849" t="s">
        <v>566</v>
      </c>
      <c r="AF1849">
        <v>9</v>
      </c>
      <c r="AG1849">
        <v>896</v>
      </c>
      <c r="AH1849" s="122">
        <v>5271</v>
      </c>
      <c r="AI1849" s="122">
        <v>357862</v>
      </c>
      <c r="AJ1849" s="122">
        <v>132542</v>
      </c>
      <c r="AK1849">
        <v>100</v>
      </c>
      <c r="AL1849" s="122">
        <v>101457</v>
      </c>
      <c r="AM1849" s="122">
        <v>84547</v>
      </c>
      <c r="AN1849" s="122">
        <v>20146</v>
      </c>
      <c r="AO1849" s="122">
        <v>7461</v>
      </c>
      <c r="AP1849">
        <v>365</v>
      </c>
      <c r="AQ1849">
        <v>135</v>
      </c>
      <c r="AR1849" s="122">
        <v>44101</v>
      </c>
      <c r="AS1849" s="122">
        <v>40092</v>
      </c>
      <c r="AT1849">
        <v>0</v>
      </c>
      <c r="AU1849">
        <v>0</v>
      </c>
      <c r="AV1849" s="122">
        <v>264777</v>
      </c>
    </row>
    <row r="1850" spans="2:48" hidden="1">
      <c r="B1850" t="s">
        <v>377</v>
      </c>
      <c r="C1850" t="s">
        <v>62</v>
      </c>
      <c r="D1850" t="s">
        <v>406</v>
      </c>
      <c r="E1850" t="s">
        <v>137</v>
      </c>
      <c r="F1850" s="122">
        <v>3</v>
      </c>
      <c r="G1850" s="122">
        <v>206</v>
      </c>
      <c r="H1850" s="122">
        <v>1308</v>
      </c>
      <c r="I1850" s="122">
        <v>49911</v>
      </c>
      <c r="J1850" s="122">
        <v>45374</v>
      </c>
      <c r="K1850" s="122">
        <v>78</v>
      </c>
      <c r="L1850" s="122">
        <v>10874</v>
      </c>
      <c r="M1850" s="122">
        <v>8351</v>
      </c>
      <c r="N1850" s="122">
        <v>4613</v>
      </c>
      <c r="O1850" s="122">
        <v>1709</v>
      </c>
      <c r="P1850" s="122">
        <v>1863</v>
      </c>
      <c r="Q1850" s="122">
        <v>690</v>
      </c>
      <c r="R1850" s="122">
        <v>22345</v>
      </c>
      <c r="S1850" s="122">
        <v>8276</v>
      </c>
      <c r="T1850" s="122">
        <v>0</v>
      </c>
      <c r="U1850" s="122">
        <v>0</v>
      </c>
      <c r="V1850" s="122">
        <v>64400</v>
      </c>
      <c r="W1850" s="122">
        <f t="shared" si="58"/>
        <v>64400</v>
      </c>
      <c r="X1850" s="122">
        <f t="shared" si="59"/>
        <v>89606</v>
      </c>
      <c r="AA1850" t="s">
        <v>64</v>
      </c>
      <c r="AB1850" t="s">
        <v>137</v>
      </c>
      <c r="AC1850" t="s">
        <v>579</v>
      </c>
      <c r="AD1850" t="s">
        <v>579</v>
      </c>
      <c r="AE1850" t="s">
        <v>137</v>
      </c>
      <c r="AF1850">
        <v>103</v>
      </c>
      <c r="AG1850" s="122">
        <v>7466</v>
      </c>
      <c r="AH1850" s="122">
        <v>62729</v>
      </c>
      <c r="AI1850" s="122">
        <v>3027755</v>
      </c>
      <c r="AJ1850" s="122">
        <v>1121391</v>
      </c>
      <c r="AK1850">
        <v>100</v>
      </c>
      <c r="AL1850" s="122">
        <v>495924</v>
      </c>
      <c r="AM1850" s="122">
        <v>413270</v>
      </c>
      <c r="AN1850" s="122">
        <v>160195</v>
      </c>
      <c r="AO1850" s="122">
        <v>59331</v>
      </c>
      <c r="AP1850" s="122">
        <v>7290</v>
      </c>
      <c r="AQ1850" s="122">
        <v>2700</v>
      </c>
      <c r="AR1850" s="122">
        <v>603143</v>
      </c>
      <c r="AS1850" s="122">
        <v>502619</v>
      </c>
      <c r="AT1850" s="122">
        <v>208630</v>
      </c>
      <c r="AU1850" s="122">
        <v>77270</v>
      </c>
      <c r="AV1850" s="122">
        <v>2176581</v>
      </c>
    </row>
    <row r="1851" spans="2:48" hidden="1">
      <c r="B1851" t="s">
        <v>377</v>
      </c>
      <c r="C1851" t="s">
        <v>62</v>
      </c>
      <c r="D1851" t="s">
        <v>406</v>
      </c>
      <c r="E1851" t="s">
        <v>406</v>
      </c>
      <c r="F1851" s="122">
        <v>167</v>
      </c>
      <c r="G1851" s="122">
        <v>14600</v>
      </c>
      <c r="H1851" s="122">
        <v>68905</v>
      </c>
      <c r="I1851" s="122">
        <v>3874992</v>
      </c>
      <c r="J1851" s="122">
        <v>3522720</v>
      </c>
      <c r="K1851" s="122">
        <v>77</v>
      </c>
      <c r="L1851" s="122">
        <v>795109</v>
      </c>
      <c r="M1851" s="122">
        <v>696528</v>
      </c>
      <c r="N1851" s="122">
        <v>309089</v>
      </c>
      <c r="O1851" s="122">
        <v>114477</v>
      </c>
      <c r="P1851" s="122">
        <v>105624</v>
      </c>
      <c r="Q1851" s="122">
        <v>39120</v>
      </c>
      <c r="R1851" s="122">
        <v>724211</v>
      </c>
      <c r="S1851" s="122">
        <v>658374</v>
      </c>
      <c r="T1851" s="122">
        <v>285708</v>
      </c>
      <c r="U1851" s="122">
        <v>105818</v>
      </c>
      <c r="V1851" s="122">
        <v>5137037</v>
      </c>
      <c r="W1851" s="122">
        <f t="shared" si="58"/>
        <v>5137037</v>
      </c>
      <c r="X1851" s="122">
        <f t="shared" si="59"/>
        <v>6094733</v>
      </c>
      <c r="AA1851" t="s">
        <v>64</v>
      </c>
      <c r="AB1851" t="s">
        <v>137</v>
      </c>
      <c r="AC1851" t="s">
        <v>579</v>
      </c>
      <c r="AD1851" t="s">
        <v>579</v>
      </c>
      <c r="AE1851" t="s">
        <v>566</v>
      </c>
      <c r="AF1851">
        <v>9</v>
      </c>
      <c r="AG1851">
        <v>642</v>
      </c>
      <c r="AH1851" s="122">
        <v>5357</v>
      </c>
      <c r="AI1851" s="122">
        <v>279284</v>
      </c>
      <c r="AJ1851" s="122">
        <v>103439</v>
      </c>
      <c r="AK1851">
        <v>100</v>
      </c>
      <c r="AL1851" s="122">
        <v>30872</v>
      </c>
      <c r="AM1851" s="122">
        <v>25726</v>
      </c>
      <c r="AN1851" s="122">
        <v>13999</v>
      </c>
      <c r="AO1851" s="122">
        <v>5185</v>
      </c>
      <c r="AP1851">
        <v>0</v>
      </c>
      <c r="AQ1851">
        <v>0</v>
      </c>
      <c r="AR1851" s="122">
        <v>59825</v>
      </c>
      <c r="AS1851" s="122">
        <v>49854</v>
      </c>
      <c r="AT1851">
        <v>0</v>
      </c>
      <c r="AU1851">
        <v>0</v>
      </c>
      <c r="AV1851" s="122">
        <v>184204</v>
      </c>
    </row>
    <row r="1852" spans="2:48" hidden="1">
      <c r="B1852" t="s">
        <v>377</v>
      </c>
      <c r="C1852" t="s">
        <v>62</v>
      </c>
      <c r="D1852" t="s">
        <v>406</v>
      </c>
      <c r="E1852" t="s">
        <v>426</v>
      </c>
      <c r="F1852" s="122">
        <v>2</v>
      </c>
      <c r="G1852" s="122">
        <v>206</v>
      </c>
      <c r="H1852" s="122">
        <v>856</v>
      </c>
      <c r="I1852" s="122">
        <v>46357</v>
      </c>
      <c r="J1852" s="122">
        <v>42143</v>
      </c>
      <c r="K1852" s="122">
        <v>77</v>
      </c>
      <c r="L1852" s="122">
        <v>12336</v>
      </c>
      <c r="M1852" s="122">
        <v>11215</v>
      </c>
      <c r="N1852" s="122">
        <v>5025</v>
      </c>
      <c r="O1852" s="122">
        <v>1861</v>
      </c>
      <c r="P1852" s="122">
        <v>1242</v>
      </c>
      <c r="Q1852" s="122">
        <v>460</v>
      </c>
      <c r="R1852" s="122">
        <v>15825</v>
      </c>
      <c r="S1852" s="122">
        <v>14386</v>
      </c>
      <c r="T1852" s="122">
        <v>7294</v>
      </c>
      <c r="U1852" s="122">
        <v>2701</v>
      </c>
      <c r="V1852" s="122">
        <v>72767</v>
      </c>
      <c r="W1852" s="122">
        <f t="shared" si="58"/>
        <v>72766</v>
      </c>
      <c r="X1852" s="122">
        <f t="shared" si="59"/>
        <v>88079</v>
      </c>
      <c r="AA1852" t="s">
        <v>64</v>
      </c>
      <c r="AB1852" t="s">
        <v>137</v>
      </c>
      <c r="AC1852" t="s">
        <v>579</v>
      </c>
      <c r="AD1852" t="s">
        <v>426</v>
      </c>
      <c r="AE1852" t="s">
        <v>137</v>
      </c>
      <c r="AF1852">
        <v>1</v>
      </c>
      <c r="AG1852">
        <v>44</v>
      </c>
      <c r="AH1852">
        <v>451</v>
      </c>
      <c r="AI1852" s="122">
        <v>11236</v>
      </c>
      <c r="AJ1852" s="122">
        <v>4161</v>
      </c>
      <c r="AK1852">
        <v>100</v>
      </c>
      <c r="AL1852" s="122">
        <v>1110</v>
      </c>
      <c r="AM1852">
        <v>925</v>
      </c>
      <c r="AN1852">
        <v>535</v>
      </c>
      <c r="AO1852">
        <v>198</v>
      </c>
      <c r="AP1852">
        <v>0</v>
      </c>
      <c r="AQ1852">
        <v>0</v>
      </c>
      <c r="AR1852" s="122">
        <v>4983</v>
      </c>
      <c r="AS1852" s="122">
        <v>4530</v>
      </c>
      <c r="AT1852" s="122">
        <v>1925</v>
      </c>
      <c r="AU1852">
        <v>713</v>
      </c>
      <c r="AV1852" s="122">
        <v>10527</v>
      </c>
    </row>
    <row r="1853" spans="2:48" hidden="1">
      <c r="B1853" t="s">
        <v>377</v>
      </c>
      <c r="C1853" t="s">
        <v>62</v>
      </c>
      <c r="D1853" t="s">
        <v>427</v>
      </c>
      <c r="E1853" t="s">
        <v>406</v>
      </c>
      <c r="F1853" s="122">
        <v>1</v>
      </c>
      <c r="G1853" s="122">
        <v>90</v>
      </c>
      <c r="H1853" s="122">
        <v>444</v>
      </c>
      <c r="I1853" s="122">
        <v>24108</v>
      </c>
      <c r="J1853" s="122">
        <v>21916</v>
      </c>
      <c r="K1853" s="122">
        <v>60</v>
      </c>
      <c r="L1853" s="122">
        <v>5089</v>
      </c>
      <c r="M1853" s="122">
        <v>4627</v>
      </c>
      <c r="N1853" s="122">
        <v>2087</v>
      </c>
      <c r="O1853" s="122">
        <v>773</v>
      </c>
      <c r="P1853" s="122">
        <v>621</v>
      </c>
      <c r="Q1853" s="122">
        <v>230</v>
      </c>
      <c r="R1853" s="122">
        <v>8109</v>
      </c>
      <c r="S1853" s="122">
        <v>7371</v>
      </c>
      <c r="T1853" s="122">
        <v>0</v>
      </c>
      <c r="U1853" s="122">
        <v>0</v>
      </c>
      <c r="V1853" s="122">
        <v>34917</v>
      </c>
      <c r="W1853" s="122">
        <f t="shared" si="58"/>
        <v>34917</v>
      </c>
      <c r="X1853" s="122">
        <f t="shared" si="59"/>
        <v>40014</v>
      </c>
      <c r="AA1853" t="s">
        <v>64</v>
      </c>
      <c r="AB1853" t="s">
        <v>137</v>
      </c>
      <c r="AC1853" t="s">
        <v>579</v>
      </c>
      <c r="AD1853" t="s">
        <v>426</v>
      </c>
      <c r="AE1853" t="s">
        <v>566</v>
      </c>
      <c r="AF1853">
        <v>1</v>
      </c>
      <c r="AG1853">
        <v>58</v>
      </c>
      <c r="AH1853">
        <v>682</v>
      </c>
      <c r="AI1853" s="122">
        <v>28328</v>
      </c>
      <c r="AJ1853" s="122">
        <v>10492</v>
      </c>
      <c r="AK1853">
        <v>100</v>
      </c>
      <c r="AL1853" s="122">
        <v>3109</v>
      </c>
      <c r="AM1853" s="122">
        <v>2591</v>
      </c>
      <c r="AN1853" s="122">
        <v>1236</v>
      </c>
      <c r="AO1853">
        <v>458</v>
      </c>
      <c r="AP1853">
        <v>0</v>
      </c>
      <c r="AQ1853">
        <v>0</v>
      </c>
      <c r="AR1853" s="122">
        <v>6866</v>
      </c>
      <c r="AS1853" s="122">
        <v>6242</v>
      </c>
      <c r="AT1853">
        <v>0</v>
      </c>
      <c r="AU1853">
        <v>0</v>
      </c>
      <c r="AV1853" s="122">
        <v>19782</v>
      </c>
    </row>
    <row r="1854" spans="2:48" hidden="1">
      <c r="B1854" t="s">
        <v>377</v>
      </c>
      <c r="C1854" t="s">
        <v>62</v>
      </c>
      <c r="D1854" t="s">
        <v>427</v>
      </c>
      <c r="E1854" t="s">
        <v>427</v>
      </c>
      <c r="F1854" s="122">
        <v>8</v>
      </c>
      <c r="G1854" s="122">
        <v>637</v>
      </c>
      <c r="H1854" s="122">
        <v>3209</v>
      </c>
      <c r="I1854" s="122">
        <v>163152</v>
      </c>
      <c r="J1854" s="122">
        <v>148320</v>
      </c>
      <c r="K1854" s="122">
        <v>53</v>
      </c>
      <c r="L1854" s="122">
        <v>23160</v>
      </c>
      <c r="M1854" s="122">
        <v>14831</v>
      </c>
      <c r="N1854" s="122">
        <v>11940</v>
      </c>
      <c r="O1854" s="122">
        <v>4422</v>
      </c>
      <c r="P1854" s="122">
        <v>2106</v>
      </c>
      <c r="Q1854" s="122">
        <v>780</v>
      </c>
      <c r="R1854" s="122">
        <v>38783</v>
      </c>
      <c r="S1854" s="122">
        <v>35258</v>
      </c>
      <c r="T1854" s="122">
        <v>16974</v>
      </c>
      <c r="U1854" s="122">
        <v>6287</v>
      </c>
      <c r="V1854" s="122">
        <v>209898</v>
      </c>
      <c r="W1854" s="122">
        <f t="shared" si="58"/>
        <v>209898</v>
      </c>
      <c r="X1854" s="122">
        <f t="shared" si="59"/>
        <v>256115</v>
      </c>
      <c r="AA1854" t="s">
        <v>64</v>
      </c>
      <c r="AB1854" t="s">
        <v>137</v>
      </c>
      <c r="AC1854" t="s">
        <v>579</v>
      </c>
      <c r="AD1854" t="s">
        <v>433</v>
      </c>
      <c r="AE1854" t="s">
        <v>137</v>
      </c>
      <c r="AF1854">
        <v>1</v>
      </c>
      <c r="AG1854">
        <v>270</v>
      </c>
      <c r="AH1854">
        <v>577</v>
      </c>
      <c r="AI1854" s="122">
        <v>120470</v>
      </c>
      <c r="AJ1854" s="122">
        <v>44619</v>
      </c>
      <c r="AK1854">
        <v>100</v>
      </c>
      <c r="AL1854" s="122">
        <v>19830</v>
      </c>
      <c r="AM1854" s="122">
        <v>16525</v>
      </c>
      <c r="AN1854" s="122">
        <v>3290</v>
      </c>
      <c r="AO1854" s="122">
        <v>1219</v>
      </c>
      <c r="AP1854">
        <v>0</v>
      </c>
      <c r="AQ1854">
        <v>0</v>
      </c>
      <c r="AR1854" s="122">
        <v>8676</v>
      </c>
      <c r="AS1854" s="122">
        <v>7888</v>
      </c>
      <c r="AT1854" s="122">
        <v>3633</v>
      </c>
      <c r="AU1854" s="122">
        <v>1346</v>
      </c>
      <c r="AV1854" s="122">
        <v>71596</v>
      </c>
    </row>
    <row r="1855" spans="2:48" hidden="1">
      <c r="B1855" t="s">
        <v>377</v>
      </c>
      <c r="C1855" t="s">
        <v>62</v>
      </c>
      <c r="D1855" t="s">
        <v>407</v>
      </c>
      <c r="E1855" t="s">
        <v>407</v>
      </c>
      <c r="F1855" s="122">
        <v>1</v>
      </c>
      <c r="G1855" s="122">
        <v>81</v>
      </c>
      <c r="H1855" s="122">
        <v>391</v>
      </c>
      <c r="I1855" s="122">
        <v>22911</v>
      </c>
      <c r="J1855" s="122">
        <v>20828</v>
      </c>
      <c r="K1855" s="122">
        <v>68</v>
      </c>
      <c r="L1855" s="122">
        <v>2990</v>
      </c>
      <c r="M1855" s="122">
        <v>2492</v>
      </c>
      <c r="N1855" s="122">
        <v>1974</v>
      </c>
      <c r="O1855" s="122">
        <v>731</v>
      </c>
      <c r="P1855" s="122">
        <v>473</v>
      </c>
      <c r="Q1855" s="122">
        <v>175</v>
      </c>
      <c r="R1855" s="122">
        <v>3314</v>
      </c>
      <c r="S1855" s="122">
        <v>3012</v>
      </c>
      <c r="T1855" s="122">
        <v>0</v>
      </c>
      <c r="U1855" s="122">
        <v>0</v>
      </c>
      <c r="V1855" s="122">
        <v>27239</v>
      </c>
      <c r="W1855" s="122">
        <f t="shared" si="58"/>
        <v>27238</v>
      </c>
      <c r="X1855" s="122">
        <f t="shared" si="59"/>
        <v>31662</v>
      </c>
      <c r="AA1855" t="s">
        <v>64</v>
      </c>
      <c r="AB1855" t="s">
        <v>137</v>
      </c>
      <c r="AC1855" t="s">
        <v>428</v>
      </c>
      <c r="AD1855" t="s">
        <v>137</v>
      </c>
      <c r="AE1855" t="s">
        <v>137</v>
      </c>
      <c r="AF1855">
        <v>2</v>
      </c>
      <c r="AG1855">
        <v>180</v>
      </c>
      <c r="AH1855" s="122">
        <v>1018</v>
      </c>
      <c r="AI1855" s="122">
        <v>61791</v>
      </c>
      <c r="AJ1855" s="122">
        <v>22886</v>
      </c>
      <c r="AK1855">
        <v>100</v>
      </c>
      <c r="AL1855" s="122">
        <v>6187</v>
      </c>
      <c r="AM1855" s="122">
        <v>5625</v>
      </c>
      <c r="AN1855" s="122">
        <v>4161</v>
      </c>
      <c r="AO1855" s="122">
        <v>1541</v>
      </c>
      <c r="AP1855">
        <v>0</v>
      </c>
      <c r="AQ1855">
        <v>0</v>
      </c>
      <c r="AR1855" s="122">
        <v>18440</v>
      </c>
      <c r="AS1855" s="122">
        <v>6830</v>
      </c>
      <c r="AT1855">
        <v>0</v>
      </c>
      <c r="AU1855">
        <v>0</v>
      </c>
      <c r="AV1855" s="122">
        <v>36881</v>
      </c>
    </row>
    <row r="1856" spans="2:48" hidden="1">
      <c r="B1856" t="s">
        <v>377</v>
      </c>
      <c r="C1856" t="s">
        <v>62</v>
      </c>
      <c r="D1856" t="s">
        <v>556</v>
      </c>
      <c r="E1856" t="s">
        <v>556</v>
      </c>
      <c r="F1856" s="122">
        <v>6</v>
      </c>
      <c r="G1856" s="122">
        <v>277</v>
      </c>
      <c r="H1856" s="122">
        <v>2483</v>
      </c>
      <c r="I1856" s="122">
        <v>61161</v>
      </c>
      <c r="J1856" s="122">
        <v>50967</v>
      </c>
      <c r="K1856" s="122">
        <v>65</v>
      </c>
      <c r="L1856" s="122">
        <v>6216</v>
      </c>
      <c r="M1856" s="122">
        <v>5180</v>
      </c>
      <c r="N1856" s="122">
        <v>5797</v>
      </c>
      <c r="O1856" s="122">
        <v>2147</v>
      </c>
      <c r="P1856" s="122">
        <v>2106</v>
      </c>
      <c r="Q1856" s="122">
        <v>780</v>
      </c>
      <c r="R1856" s="122">
        <v>35351</v>
      </c>
      <c r="S1856" s="122">
        <v>29459</v>
      </c>
      <c r="T1856" s="122">
        <v>2445</v>
      </c>
      <c r="U1856" s="122">
        <v>906</v>
      </c>
      <c r="V1856" s="122">
        <v>89439</v>
      </c>
      <c r="W1856" s="122">
        <f t="shared" si="58"/>
        <v>89439</v>
      </c>
      <c r="X1856" s="122">
        <f t="shared" si="59"/>
        <v>113076</v>
      </c>
      <c r="AA1856" t="s">
        <v>64</v>
      </c>
      <c r="AB1856" t="s">
        <v>137</v>
      </c>
      <c r="AC1856" t="s">
        <v>428</v>
      </c>
      <c r="AD1856" t="s">
        <v>137</v>
      </c>
      <c r="AE1856" t="s">
        <v>566</v>
      </c>
      <c r="AF1856">
        <v>17</v>
      </c>
      <c r="AG1856" s="122">
        <v>1370</v>
      </c>
      <c r="AH1856" s="122">
        <v>10613</v>
      </c>
      <c r="AI1856" s="122">
        <v>616752</v>
      </c>
      <c r="AJ1856" s="122">
        <v>228427</v>
      </c>
      <c r="AK1856">
        <v>100</v>
      </c>
      <c r="AL1856" s="122">
        <v>91596</v>
      </c>
      <c r="AM1856" s="122">
        <v>83269</v>
      </c>
      <c r="AN1856" s="122">
        <v>28811</v>
      </c>
      <c r="AO1856" s="122">
        <v>10671</v>
      </c>
      <c r="AP1856">
        <v>351</v>
      </c>
      <c r="AQ1856">
        <v>130</v>
      </c>
      <c r="AR1856" s="122">
        <v>117606</v>
      </c>
      <c r="AS1856" s="122">
        <v>43558</v>
      </c>
      <c r="AT1856">
        <v>0</v>
      </c>
      <c r="AU1856">
        <v>0</v>
      </c>
      <c r="AV1856" s="122">
        <v>366054</v>
      </c>
    </row>
    <row r="1857" spans="2:48" hidden="1">
      <c r="B1857" t="s">
        <v>377</v>
      </c>
      <c r="C1857" t="s">
        <v>62</v>
      </c>
      <c r="D1857" t="s">
        <v>556</v>
      </c>
      <c r="E1857" t="s">
        <v>431</v>
      </c>
      <c r="F1857" s="122">
        <v>1</v>
      </c>
      <c r="G1857" s="122">
        <v>79</v>
      </c>
      <c r="H1857" s="122">
        <v>404</v>
      </c>
      <c r="I1857" s="122">
        <v>19871</v>
      </c>
      <c r="J1857" s="122">
        <v>16559</v>
      </c>
      <c r="K1857" s="122">
        <v>65</v>
      </c>
      <c r="L1857" s="122">
        <v>4784</v>
      </c>
      <c r="M1857" s="122">
        <v>3986</v>
      </c>
      <c r="N1857" s="122">
        <v>1648</v>
      </c>
      <c r="O1857" s="122">
        <v>610</v>
      </c>
      <c r="P1857" s="122">
        <v>351</v>
      </c>
      <c r="Q1857" s="122">
        <v>130</v>
      </c>
      <c r="R1857" s="122">
        <v>3557</v>
      </c>
      <c r="S1857" s="122">
        <v>3234</v>
      </c>
      <c r="T1857" s="122">
        <v>1708</v>
      </c>
      <c r="U1857" s="122">
        <v>633</v>
      </c>
      <c r="V1857" s="122">
        <v>25152</v>
      </c>
      <c r="W1857" s="122">
        <f t="shared" si="58"/>
        <v>25152</v>
      </c>
      <c r="X1857" s="122">
        <f t="shared" si="59"/>
        <v>31919</v>
      </c>
      <c r="AA1857" t="s">
        <v>64</v>
      </c>
      <c r="AB1857" t="s">
        <v>137</v>
      </c>
      <c r="AC1857" t="s">
        <v>428</v>
      </c>
      <c r="AD1857" t="s">
        <v>428</v>
      </c>
      <c r="AE1857" t="s">
        <v>566</v>
      </c>
      <c r="AF1857">
        <v>1</v>
      </c>
      <c r="AG1857">
        <v>64</v>
      </c>
      <c r="AH1857">
        <v>892</v>
      </c>
      <c r="AI1857" s="122">
        <v>44191</v>
      </c>
      <c r="AJ1857" s="122">
        <v>16367</v>
      </c>
      <c r="AK1857">
        <v>100</v>
      </c>
      <c r="AL1857" s="122">
        <v>3078</v>
      </c>
      <c r="AM1857" s="122">
        <v>2798</v>
      </c>
      <c r="AN1857" s="122">
        <v>1562</v>
      </c>
      <c r="AO1857">
        <v>579</v>
      </c>
      <c r="AP1857">
        <v>0</v>
      </c>
      <c r="AQ1857">
        <v>0</v>
      </c>
      <c r="AR1857" s="122">
        <v>8325</v>
      </c>
      <c r="AS1857" s="122">
        <v>7568</v>
      </c>
      <c r="AT1857">
        <v>0</v>
      </c>
      <c r="AU1857">
        <v>0</v>
      </c>
      <c r="AV1857" s="122">
        <v>27311</v>
      </c>
    </row>
    <row r="1858" spans="2:48" hidden="1">
      <c r="B1858" t="s">
        <v>377</v>
      </c>
      <c r="C1858" t="s">
        <v>62</v>
      </c>
      <c r="D1858" t="s">
        <v>428</v>
      </c>
      <c r="E1858" t="s">
        <v>428</v>
      </c>
      <c r="F1858" s="122">
        <v>1</v>
      </c>
      <c r="G1858" s="122">
        <v>110</v>
      </c>
      <c r="H1858" s="122">
        <v>426</v>
      </c>
      <c r="I1858" s="122">
        <v>29589</v>
      </c>
      <c r="J1858" s="122">
        <v>26899</v>
      </c>
      <c r="K1858" s="122">
        <v>55</v>
      </c>
      <c r="L1858" s="122">
        <v>6027</v>
      </c>
      <c r="M1858" s="122">
        <v>5479</v>
      </c>
      <c r="N1858" s="122">
        <v>2668</v>
      </c>
      <c r="O1858" s="122">
        <v>988</v>
      </c>
      <c r="P1858" s="122">
        <v>351</v>
      </c>
      <c r="Q1858" s="122">
        <v>130</v>
      </c>
      <c r="R1858" s="122">
        <v>5465</v>
      </c>
      <c r="S1858" s="122">
        <v>4968</v>
      </c>
      <c r="T1858" s="122">
        <v>2547</v>
      </c>
      <c r="U1858" s="122">
        <v>943</v>
      </c>
      <c r="V1858" s="122">
        <v>39409</v>
      </c>
      <c r="W1858" s="122">
        <f t="shared" si="58"/>
        <v>39407</v>
      </c>
      <c r="X1858" s="122">
        <f t="shared" si="59"/>
        <v>46647</v>
      </c>
      <c r="AA1858" t="s">
        <v>64</v>
      </c>
      <c r="AB1858" t="s">
        <v>137</v>
      </c>
      <c r="AC1858" t="s">
        <v>431</v>
      </c>
      <c r="AD1858" t="s">
        <v>137</v>
      </c>
      <c r="AE1858" t="s">
        <v>566</v>
      </c>
      <c r="AF1858">
        <v>13</v>
      </c>
      <c r="AG1858">
        <v>836</v>
      </c>
      <c r="AH1858" s="122">
        <v>8189</v>
      </c>
      <c r="AI1858" s="122">
        <v>375568</v>
      </c>
      <c r="AJ1858" s="122">
        <v>139099</v>
      </c>
      <c r="AK1858">
        <v>100</v>
      </c>
      <c r="AL1858" s="122">
        <v>57407</v>
      </c>
      <c r="AM1858" s="122">
        <v>52188</v>
      </c>
      <c r="AN1858" s="122">
        <v>16617</v>
      </c>
      <c r="AO1858" s="122">
        <v>6155</v>
      </c>
      <c r="AP1858">
        <v>0</v>
      </c>
      <c r="AQ1858">
        <v>0</v>
      </c>
      <c r="AR1858" s="122">
        <v>86019</v>
      </c>
      <c r="AS1858" s="122">
        <v>31859</v>
      </c>
      <c r="AT1858">
        <v>0</v>
      </c>
      <c r="AU1858">
        <v>0</v>
      </c>
      <c r="AV1858" s="122">
        <v>229301</v>
      </c>
    </row>
    <row r="1859" spans="2:48" hidden="1">
      <c r="B1859" t="s">
        <v>377</v>
      </c>
      <c r="C1859" t="s">
        <v>62</v>
      </c>
      <c r="D1859" t="s">
        <v>431</v>
      </c>
      <c r="E1859" t="s">
        <v>427</v>
      </c>
      <c r="F1859" s="122">
        <v>1</v>
      </c>
      <c r="G1859" s="122">
        <v>46</v>
      </c>
      <c r="H1859" s="122">
        <v>410</v>
      </c>
      <c r="I1859" s="122">
        <v>18943</v>
      </c>
      <c r="J1859" s="122">
        <v>17221</v>
      </c>
      <c r="K1859" s="122">
        <v>45</v>
      </c>
      <c r="L1859" s="122">
        <v>3157</v>
      </c>
      <c r="M1859" s="122">
        <v>2870</v>
      </c>
      <c r="N1859" s="122">
        <v>1717</v>
      </c>
      <c r="O1859" s="122">
        <v>636</v>
      </c>
      <c r="P1859" s="122">
        <v>351</v>
      </c>
      <c r="Q1859" s="122">
        <v>130</v>
      </c>
      <c r="R1859" s="122">
        <v>6326</v>
      </c>
      <c r="S1859" s="122">
        <v>5751</v>
      </c>
      <c r="T1859" s="122">
        <v>2898</v>
      </c>
      <c r="U1859" s="122">
        <v>1073</v>
      </c>
      <c r="V1859" s="122">
        <v>27682</v>
      </c>
      <c r="W1859" s="122">
        <f t="shared" si="58"/>
        <v>27681</v>
      </c>
      <c r="X1859" s="122">
        <f t="shared" si="59"/>
        <v>33392</v>
      </c>
      <c r="AA1859" t="s">
        <v>64</v>
      </c>
      <c r="AB1859" t="s">
        <v>137</v>
      </c>
      <c r="AC1859" t="s">
        <v>431</v>
      </c>
      <c r="AD1859" t="s">
        <v>431</v>
      </c>
      <c r="AE1859" t="s">
        <v>137</v>
      </c>
      <c r="AF1859">
        <v>1</v>
      </c>
      <c r="AG1859">
        <v>86</v>
      </c>
      <c r="AH1859">
        <v>824</v>
      </c>
      <c r="AI1859" s="122">
        <v>59136</v>
      </c>
      <c r="AJ1859" s="122">
        <v>21902</v>
      </c>
      <c r="AK1859">
        <v>100</v>
      </c>
      <c r="AL1859" s="122">
        <v>4118</v>
      </c>
      <c r="AM1859" s="122">
        <v>3744</v>
      </c>
      <c r="AN1859" s="122">
        <v>1998</v>
      </c>
      <c r="AO1859">
        <v>740</v>
      </c>
      <c r="AP1859">
        <v>351</v>
      </c>
      <c r="AQ1859">
        <v>130</v>
      </c>
      <c r="AR1859" s="122">
        <v>5492</v>
      </c>
      <c r="AS1859" s="122">
        <v>4993</v>
      </c>
      <c r="AT1859">
        <v>0</v>
      </c>
      <c r="AU1859">
        <v>0</v>
      </c>
      <c r="AV1859" s="122">
        <v>31509</v>
      </c>
    </row>
    <row r="1860" spans="2:48" hidden="1">
      <c r="B1860" t="s">
        <v>377</v>
      </c>
      <c r="C1860" t="s">
        <v>62</v>
      </c>
      <c r="D1860" t="s">
        <v>431</v>
      </c>
      <c r="E1860" t="s">
        <v>431</v>
      </c>
      <c r="F1860" s="122">
        <v>3</v>
      </c>
      <c r="G1860" s="122">
        <v>237</v>
      </c>
      <c r="H1860" s="122">
        <v>1226</v>
      </c>
      <c r="I1860" s="122">
        <v>58673</v>
      </c>
      <c r="J1860" s="122">
        <v>53339</v>
      </c>
      <c r="K1860" s="122">
        <v>53</v>
      </c>
      <c r="L1860" s="122">
        <v>7084</v>
      </c>
      <c r="M1860" s="122">
        <v>6440</v>
      </c>
      <c r="N1860" s="122">
        <v>4357</v>
      </c>
      <c r="O1860" s="122">
        <v>1614</v>
      </c>
      <c r="P1860" s="122">
        <v>1053</v>
      </c>
      <c r="Q1860" s="122">
        <v>390</v>
      </c>
      <c r="R1860" s="122">
        <v>23194</v>
      </c>
      <c r="S1860" s="122">
        <v>21085</v>
      </c>
      <c r="T1860" s="122">
        <v>2207</v>
      </c>
      <c r="U1860" s="122">
        <v>817</v>
      </c>
      <c r="V1860" s="122">
        <v>83685</v>
      </c>
      <c r="W1860" s="122">
        <f t="shared" si="58"/>
        <v>83685</v>
      </c>
      <c r="X1860" s="122">
        <f t="shared" si="59"/>
        <v>96568</v>
      </c>
      <c r="AA1860" t="s">
        <v>64</v>
      </c>
      <c r="AB1860" t="s">
        <v>137</v>
      </c>
      <c r="AC1860" t="s">
        <v>426</v>
      </c>
      <c r="AD1860" t="s">
        <v>425</v>
      </c>
      <c r="AE1860" t="s">
        <v>566</v>
      </c>
      <c r="AF1860">
        <v>3</v>
      </c>
      <c r="AG1860">
        <v>358</v>
      </c>
      <c r="AH1860" s="122">
        <v>1935</v>
      </c>
      <c r="AI1860" s="122">
        <v>183011</v>
      </c>
      <c r="AJ1860" s="122">
        <v>67782</v>
      </c>
      <c r="AK1860">
        <v>100</v>
      </c>
      <c r="AL1860" s="122">
        <v>28655</v>
      </c>
      <c r="AM1860" s="122">
        <v>26050</v>
      </c>
      <c r="AN1860" s="122">
        <v>8071</v>
      </c>
      <c r="AO1860" s="122">
        <v>2989</v>
      </c>
      <c r="AP1860">
        <v>122</v>
      </c>
      <c r="AQ1860">
        <v>45</v>
      </c>
      <c r="AR1860" s="122">
        <v>12811</v>
      </c>
      <c r="AS1860" s="122">
        <v>11647</v>
      </c>
      <c r="AT1860">
        <v>0</v>
      </c>
      <c r="AU1860">
        <v>0</v>
      </c>
      <c r="AV1860" s="122">
        <v>108512</v>
      </c>
    </row>
    <row r="1861" spans="2:48" hidden="1">
      <c r="B1861" t="s">
        <v>377</v>
      </c>
      <c r="C1861" t="s">
        <v>62</v>
      </c>
      <c r="D1861" t="s">
        <v>426</v>
      </c>
      <c r="E1861" t="s">
        <v>137</v>
      </c>
      <c r="F1861" s="122">
        <v>5</v>
      </c>
      <c r="G1861" s="122">
        <v>378</v>
      </c>
      <c r="H1861" s="122">
        <v>2058</v>
      </c>
      <c r="I1861" s="122">
        <v>72023</v>
      </c>
      <c r="J1861" s="122">
        <v>65475</v>
      </c>
      <c r="K1861" s="122">
        <v>52</v>
      </c>
      <c r="L1861" s="122">
        <v>14344</v>
      </c>
      <c r="M1861" s="122">
        <v>9671</v>
      </c>
      <c r="N1861" s="122">
        <v>8434</v>
      </c>
      <c r="O1861" s="122">
        <v>3124</v>
      </c>
      <c r="P1861" s="122">
        <v>702</v>
      </c>
      <c r="Q1861" s="122">
        <v>260</v>
      </c>
      <c r="R1861" s="122">
        <v>51588</v>
      </c>
      <c r="S1861" s="122">
        <v>19107</v>
      </c>
      <c r="T1861" s="122">
        <v>7235</v>
      </c>
      <c r="U1861" s="122">
        <v>2680</v>
      </c>
      <c r="V1861" s="122">
        <v>100316</v>
      </c>
      <c r="W1861" s="122">
        <f t="shared" si="58"/>
        <v>100317</v>
      </c>
      <c r="X1861" s="122">
        <f t="shared" si="59"/>
        <v>154326</v>
      </c>
      <c r="AA1861" t="s">
        <v>64</v>
      </c>
      <c r="AB1861" t="s">
        <v>137</v>
      </c>
      <c r="AC1861" t="s">
        <v>426</v>
      </c>
      <c r="AD1861" t="s">
        <v>405</v>
      </c>
      <c r="AE1861" t="s">
        <v>566</v>
      </c>
      <c r="AF1861">
        <v>1</v>
      </c>
      <c r="AG1861">
        <v>63</v>
      </c>
      <c r="AH1861">
        <v>623</v>
      </c>
      <c r="AI1861" s="122">
        <v>30494</v>
      </c>
      <c r="AJ1861" s="122">
        <v>11294</v>
      </c>
      <c r="AK1861">
        <v>100</v>
      </c>
      <c r="AL1861" s="122">
        <v>4601</v>
      </c>
      <c r="AM1861" s="122">
        <v>4183</v>
      </c>
      <c r="AN1861" s="122">
        <v>1525</v>
      </c>
      <c r="AO1861">
        <v>565</v>
      </c>
      <c r="AP1861">
        <v>0</v>
      </c>
      <c r="AQ1861">
        <v>0</v>
      </c>
      <c r="AR1861" s="122">
        <v>2391</v>
      </c>
      <c r="AS1861" s="122">
        <v>2173</v>
      </c>
      <c r="AT1861">
        <v>0</v>
      </c>
      <c r="AU1861">
        <v>0</v>
      </c>
      <c r="AV1861" s="122">
        <v>18215</v>
      </c>
    </row>
    <row r="1862" spans="2:48" hidden="1">
      <c r="B1862" t="s">
        <v>377</v>
      </c>
      <c r="C1862" t="s">
        <v>62</v>
      </c>
      <c r="D1862" t="s">
        <v>426</v>
      </c>
      <c r="E1862" t="s">
        <v>426</v>
      </c>
      <c r="F1862" s="122">
        <v>97</v>
      </c>
      <c r="G1862" s="122">
        <v>7487</v>
      </c>
      <c r="H1862" s="122">
        <v>39649</v>
      </c>
      <c r="I1862" s="122">
        <v>1866977</v>
      </c>
      <c r="J1862" s="122">
        <v>1697252</v>
      </c>
      <c r="K1862" s="122">
        <v>52</v>
      </c>
      <c r="L1862" s="122">
        <v>247023</v>
      </c>
      <c r="M1862" s="122">
        <v>194397</v>
      </c>
      <c r="N1862" s="122">
        <v>160406</v>
      </c>
      <c r="O1862" s="122">
        <v>59410</v>
      </c>
      <c r="P1862" s="122">
        <v>33021</v>
      </c>
      <c r="Q1862" s="122">
        <v>12230</v>
      </c>
      <c r="R1862" s="122">
        <v>572667</v>
      </c>
      <c r="S1862" s="122">
        <v>520606</v>
      </c>
      <c r="T1862" s="122">
        <v>190608</v>
      </c>
      <c r="U1862" s="122">
        <v>70596</v>
      </c>
      <c r="V1862" s="122">
        <v>2554490</v>
      </c>
      <c r="W1862" s="122">
        <f t="shared" si="58"/>
        <v>2554491</v>
      </c>
      <c r="X1862" s="122">
        <f t="shared" si="59"/>
        <v>3070702</v>
      </c>
      <c r="AA1862" t="s">
        <v>64</v>
      </c>
      <c r="AB1862" t="s">
        <v>137</v>
      </c>
      <c r="AC1862" t="s">
        <v>426</v>
      </c>
      <c r="AD1862" t="s">
        <v>137</v>
      </c>
      <c r="AE1862" t="s">
        <v>137</v>
      </c>
      <c r="AF1862">
        <v>136</v>
      </c>
      <c r="AG1862" s="122">
        <v>10612</v>
      </c>
      <c r="AH1862" s="122">
        <v>88202</v>
      </c>
      <c r="AI1862" s="122">
        <v>4886985</v>
      </c>
      <c r="AJ1862" s="122">
        <v>1809995</v>
      </c>
      <c r="AK1862">
        <v>100</v>
      </c>
      <c r="AL1862" s="122">
        <v>796791</v>
      </c>
      <c r="AM1862" s="122">
        <v>724355</v>
      </c>
      <c r="AN1862" s="122">
        <v>240419</v>
      </c>
      <c r="AO1862" s="122">
        <v>89044</v>
      </c>
      <c r="AP1862" s="122">
        <v>5576</v>
      </c>
      <c r="AQ1862" s="122">
        <v>2065</v>
      </c>
      <c r="AR1862" s="122">
        <v>943412</v>
      </c>
      <c r="AS1862" s="122">
        <v>349412</v>
      </c>
      <c r="AT1862" s="122">
        <v>70640</v>
      </c>
      <c r="AU1862" s="122">
        <v>26163</v>
      </c>
      <c r="AV1862" s="122">
        <v>3001034</v>
      </c>
    </row>
    <row r="1863" spans="2:48" hidden="1">
      <c r="B1863" t="s">
        <v>377</v>
      </c>
      <c r="C1863" t="s">
        <v>64</v>
      </c>
      <c r="F1863" s="122">
        <v>5</v>
      </c>
      <c r="G1863" s="122">
        <v>296</v>
      </c>
      <c r="H1863" s="122">
        <v>3120</v>
      </c>
      <c r="I1863" s="122"/>
      <c r="J1863" s="122">
        <v>0</v>
      </c>
      <c r="K1863" s="122"/>
      <c r="L1863" s="122"/>
      <c r="M1863" s="122">
        <v>0</v>
      </c>
      <c r="N1863" s="122">
        <v>6029</v>
      </c>
      <c r="O1863" s="122">
        <v>2233</v>
      </c>
      <c r="P1863" s="122">
        <v>3105</v>
      </c>
      <c r="Q1863" s="122">
        <v>1150</v>
      </c>
      <c r="R1863" s="122"/>
      <c r="S1863" s="122">
        <v>0</v>
      </c>
      <c r="T1863" s="122">
        <v>2214</v>
      </c>
      <c r="U1863" s="122">
        <v>820</v>
      </c>
      <c r="V1863" s="122">
        <v>4203</v>
      </c>
      <c r="W1863" s="122">
        <f t="shared" si="58"/>
        <v>4203</v>
      </c>
      <c r="X1863" s="122">
        <f t="shared" si="59"/>
        <v>11348</v>
      </c>
      <c r="AA1863" t="s">
        <v>64</v>
      </c>
      <c r="AB1863" t="s">
        <v>137</v>
      </c>
      <c r="AC1863" t="s">
        <v>426</v>
      </c>
      <c r="AD1863" t="s">
        <v>137</v>
      </c>
      <c r="AE1863" t="s">
        <v>566</v>
      </c>
      <c r="AF1863" s="122">
        <v>1806</v>
      </c>
      <c r="AG1863" s="122">
        <v>148001</v>
      </c>
      <c r="AH1863" s="122">
        <v>1185260</v>
      </c>
      <c r="AI1863" s="122">
        <v>67149018</v>
      </c>
      <c r="AJ1863" s="122">
        <v>24870007</v>
      </c>
      <c r="AK1863">
        <v>100</v>
      </c>
      <c r="AL1863" s="122">
        <v>14556817</v>
      </c>
      <c r="AM1863" s="122">
        <v>13233470</v>
      </c>
      <c r="AN1863" s="122">
        <v>3304963</v>
      </c>
      <c r="AO1863" s="122">
        <v>1224060</v>
      </c>
      <c r="AP1863" s="122">
        <v>37397</v>
      </c>
      <c r="AQ1863" s="122">
        <v>13851</v>
      </c>
      <c r="AR1863" s="122">
        <v>12873306</v>
      </c>
      <c r="AS1863" s="122">
        <v>4767891</v>
      </c>
      <c r="AT1863">
        <v>0</v>
      </c>
      <c r="AU1863">
        <v>0</v>
      </c>
      <c r="AV1863" s="122">
        <v>44109278</v>
      </c>
    </row>
    <row r="1864" spans="2:48" hidden="1">
      <c r="B1864" t="s">
        <v>377</v>
      </c>
      <c r="C1864" t="s">
        <v>64</v>
      </c>
      <c r="D1864" t="s">
        <v>137</v>
      </c>
      <c r="E1864" t="s">
        <v>137</v>
      </c>
      <c r="F1864" s="122">
        <v>152</v>
      </c>
      <c r="G1864" s="122">
        <v>11194</v>
      </c>
      <c r="H1864" s="122">
        <v>94653</v>
      </c>
      <c r="I1864" s="122">
        <v>4976689</v>
      </c>
      <c r="J1864" s="122">
        <v>1843218</v>
      </c>
      <c r="K1864" s="122">
        <v>100</v>
      </c>
      <c r="L1864" s="122">
        <v>748164</v>
      </c>
      <c r="M1864" s="122">
        <v>597692</v>
      </c>
      <c r="N1864" s="122">
        <v>252476</v>
      </c>
      <c r="O1864" s="122">
        <v>93510</v>
      </c>
      <c r="P1864" s="122">
        <v>2288</v>
      </c>
      <c r="Q1864" s="122">
        <v>848</v>
      </c>
      <c r="R1864" s="122">
        <v>986604</v>
      </c>
      <c r="S1864" s="122">
        <v>365409</v>
      </c>
      <c r="T1864" s="122">
        <v>4419</v>
      </c>
      <c r="U1864" s="122">
        <v>1637</v>
      </c>
      <c r="V1864" s="122">
        <v>2902313</v>
      </c>
      <c r="W1864" s="122">
        <f t="shared" si="58"/>
        <v>2902314</v>
      </c>
      <c r="X1864" s="122">
        <f t="shared" si="59"/>
        <v>6970640</v>
      </c>
      <c r="AA1864" t="s">
        <v>64</v>
      </c>
      <c r="AB1864" t="s">
        <v>137</v>
      </c>
      <c r="AC1864" t="s">
        <v>426</v>
      </c>
      <c r="AD1864" t="s">
        <v>406</v>
      </c>
      <c r="AE1864" t="s">
        <v>137</v>
      </c>
      <c r="AF1864">
        <v>5</v>
      </c>
      <c r="AG1864">
        <v>612</v>
      </c>
      <c r="AH1864" s="122">
        <v>3143</v>
      </c>
      <c r="AI1864" s="122">
        <v>268966</v>
      </c>
      <c r="AJ1864" s="122">
        <v>99617</v>
      </c>
      <c r="AK1864">
        <v>100</v>
      </c>
      <c r="AL1864" s="122">
        <v>71008</v>
      </c>
      <c r="AM1864" s="122">
        <v>64552</v>
      </c>
      <c r="AN1864" s="122">
        <v>13984</v>
      </c>
      <c r="AO1864" s="122">
        <v>5179</v>
      </c>
      <c r="AP1864" s="122">
        <v>1782</v>
      </c>
      <c r="AQ1864">
        <v>660</v>
      </c>
      <c r="AR1864" s="122">
        <v>28003</v>
      </c>
      <c r="AS1864" s="122">
        <v>25457</v>
      </c>
      <c r="AT1864" s="122">
        <v>10876</v>
      </c>
      <c r="AU1864" s="122">
        <v>4028</v>
      </c>
      <c r="AV1864" s="122">
        <v>199494</v>
      </c>
    </row>
    <row r="1865" spans="2:48" hidden="1">
      <c r="B1865" t="s">
        <v>377</v>
      </c>
      <c r="C1865" t="s">
        <v>64</v>
      </c>
      <c r="D1865" t="s">
        <v>137</v>
      </c>
      <c r="E1865" t="s">
        <v>406</v>
      </c>
      <c r="F1865" s="122">
        <v>4</v>
      </c>
      <c r="G1865" s="122">
        <v>411</v>
      </c>
      <c r="H1865" s="122">
        <v>2508</v>
      </c>
      <c r="I1865" s="122">
        <v>186942</v>
      </c>
      <c r="J1865" s="122">
        <v>69238</v>
      </c>
      <c r="K1865" s="122">
        <v>100</v>
      </c>
      <c r="L1865" s="122">
        <v>32515</v>
      </c>
      <c r="M1865" s="122">
        <v>29559</v>
      </c>
      <c r="N1865" s="122">
        <v>9311</v>
      </c>
      <c r="O1865" s="122">
        <v>3449</v>
      </c>
      <c r="P1865" s="122">
        <v>621</v>
      </c>
      <c r="Q1865" s="122">
        <v>230</v>
      </c>
      <c r="R1865" s="122">
        <v>23475</v>
      </c>
      <c r="S1865" s="122">
        <v>21341</v>
      </c>
      <c r="T1865" s="122">
        <v>8344</v>
      </c>
      <c r="U1865" s="122">
        <v>3091</v>
      </c>
      <c r="V1865" s="122">
        <v>126907</v>
      </c>
      <c r="W1865" s="122">
        <f t="shared" si="58"/>
        <v>126908</v>
      </c>
      <c r="X1865" s="122">
        <f t="shared" si="59"/>
        <v>261208</v>
      </c>
      <c r="AA1865" t="s">
        <v>64</v>
      </c>
      <c r="AB1865" t="s">
        <v>137</v>
      </c>
      <c r="AC1865" t="s">
        <v>426</v>
      </c>
      <c r="AD1865" t="s">
        <v>406</v>
      </c>
      <c r="AE1865" t="s">
        <v>566</v>
      </c>
      <c r="AF1865">
        <v>4</v>
      </c>
      <c r="AG1865">
        <v>542</v>
      </c>
      <c r="AH1865" s="122">
        <v>2085</v>
      </c>
      <c r="AI1865" s="122">
        <v>215201</v>
      </c>
      <c r="AJ1865" s="122">
        <v>79704</v>
      </c>
      <c r="AK1865">
        <v>100</v>
      </c>
      <c r="AL1865" s="122">
        <v>32472</v>
      </c>
      <c r="AM1865" s="122">
        <v>29520</v>
      </c>
      <c r="AN1865" s="122">
        <v>11484</v>
      </c>
      <c r="AO1865" s="122">
        <v>4253</v>
      </c>
      <c r="AP1865">
        <v>891</v>
      </c>
      <c r="AQ1865">
        <v>330</v>
      </c>
      <c r="AR1865" s="122">
        <v>29320</v>
      </c>
      <c r="AS1865" s="122">
        <v>26654</v>
      </c>
      <c r="AT1865">
        <v>0</v>
      </c>
      <c r="AU1865">
        <v>0</v>
      </c>
      <c r="AV1865" s="122">
        <v>140461</v>
      </c>
    </row>
    <row r="1866" spans="2:48" hidden="1">
      <c r="B1866" t="s">
        <v>377</v>
      </c>
      <c r="C1866" t="s">
        <v>64</v>
      </c>
      <c r="D1866" t="s">
        <v>137</v>
      </c>
      <c r="E1866" t="s">
        <v>427</v>
      </c>
      <c r="F1866" s="122">
        <v>1</v>
      </c>
      <c r="G1866" s="122">
        <v>80</v>
      </c>
      <c r="H1866" s="122">
        <v>578</v>
      </c>
      <c r="I1866" s="122">
        <v>32316</v>
      </c>
      <c r="J1866" s="122">
        <v>11969</v>
      </c>
      <c r="K1866" s="122">
        <v>100</v>
      </c>
      <c r="L1866" s="122">
        <v>3251</v>
      </c>
      <c r="M1866" s="122">
        <v>2955</v>
      </c>
      <c r="N1866" s="122">
        <v>1805</v>
      </c>
      <c r="O1866" s="122">
        <v>669</v>
      </c>
      <c r="P1866" s="122">
        <v>0</v>
      </c>
      <c r="Q1866" s="122">
        <v>0</v>
      </c>
      <c r="R1866" s="122">
        <v>6473</v>
      </c>
      <c r="S1866" s="122">
        <v>5884</v>
      </c>
      <c r="T1866" s="122">
        <v>2434</v>
      </c>
      <c r="U1866" s="122">
        <v>902</v>
      </c>
      <c r="V1866" s="122">
        <v>22379</v>
      </c>
      <c r="W1866" s="122">
        <f t="shared" si="58"/>
        <v>22379</v>
      </c>
      <c r="X1866" s="122">
        <f t="shared" si="59"/>
        <v>46279</v>
      </c>
      <c r="AA1866" t="s">
        <v>64</v>
      </c>
      <c r="AB1866" t="s">
        <v>137</v>
      </c>
      <c r="AC1866" t="s">
        <v>426</v>
      </c>
      <c r="AD1866" t="s">
        <v>407</v>
      </c>
      <c r="AE1866" t="s">
        <v>566</v>
      </c>
      <c r="AF1866">
        <v>4</v>
      </c>
      <c r="AG1866">
        <v>446</v>
      </c>
      <c r="AH1866" s="122">
        <v>2674</v>
      </c>
      <c r="AI1866" s="122">
        <v>200323</v>
      </c>
      <c r="AJ1866" s="122">
        <v>74194</v>
      </c>
      <c r="AK1866">
        <v>100</v>
      </c>
      <c r="AL1866" s="122">
        <v>43503</v>
      </c>
      <c r="AM1866" s="122">
        <v>39548</v>
      </c>
      <c r="AN1866" s="122">
        <v>10772</v>
      </c>
      <c r="AO1866" s="122">
        <v>3989</v>
      </c>
      <c r="AP1866">
        <v>365</v>
      </c>
      <c r="AQ1866">
        <v>135</v>
      </c>
      <c r="AR1866" s="122">
        <v>18753</v>
      </c>
      <c r="AS1866" s="122">
        <v>17048</v>
      </c>
      <c r="AT1866">
        <v>0</v>
      </c>
      <c r="AU1866">
        <v>0</v>
      </c>
      <c r="AV1866" s="122">
        <v>134915</v>
      </c>
    </row>
    <row r="1867" spans="2:48" hidden="1">
      <c r="B1867" t="s">
        <v>377</v>
      </c>
      <c r="C1867" t="s">
        <v>64</v>
      </c>
      <c r="D1867" t="s">
        <v>137</v>
      </c>
      <c r="E1867" t="s">
        <v>431</v>
      </c>
      <c r="F1867" s="122">
        <v>1</v>
      </c>
      <c r="G1867" s="122">
        <v>86</v>
      </c>
      <c r="H1867" s="122">
        <v>824</v>
      </c>
      <c r="I1867" s="122">
        <v>59136</v>
      </c>
      <c r="J1867" s="122">
        <v>21902</v>
      </c>
      <c r="K1867" s="122">
        <v>100</v>
      </c>
      <c r="L1867" s="122">
        <v>4118</v>
      </c>
      <c r="M1867" s="122">
        <v>3744</v>
      </c>
      <c r="N1867" s="122">
        <v>1998</v>
      </c>
      <c r="O1867" s="122">
        <v>740</v>
      </c>
      <c r="P1867" s="122">
        <v>351</v>
      </c>
      <c r="Q1867" s="122">
        <v>130</v>
      </c>
      <c r="R1867" s="122">
        <v>5492</v>
      </c>
      <c r="S1867" s="122">
        <v>4993</v>
      </c>
      <c r="T1867" s="122">
        <v>0</v>
      </c>
      <c r="U1867" s="122">
        <v>0</v>
      </c>
      <c r="V1867" s="122">
        <v>31509</v>
      </c>
      <c r="W1867" s="122">
        <f t="shared" si="58"/>
        <v>31509</v>
      </c>
      <c r="X1867" s="122">
        <f t="shared" si="59"/>
        <v>71095</v>
      </c>
      <c r="AA1867" t="s">
        <v>64</v>
      </c>
      <c r="AB1867" t="s">
        <v>137</v>
      </c>
      <c r="AC1867" t="s">
        <v>426</v>
      </c>
      <c r="AD1867" t="s">
        <v>426</v>
      </c>
      <c r="AE1867" t="s">
        <v>137</v>
      </c>
      <c r="AF1867">
        <v>232</v>
      </c>
      <c r="AG1867" s="122">
        <v>17684</v>
      </c>
      <c r="AH1867" s="122">
        <v>144203</v>
      </c>
      <c r="AI1867" s="122">
        <v>7816677</v>
      </c>
      <c r="AJ1867" s="122">
        <v>2895066</v>
      </c>
      <c r="AK1867">
        <v>100</v>
      </c>
      <c r="AL1867" s="122">
        <v>1040110</v>
      </c>
      <c r="AM1867" s="122">
        <v>945555</v>
      </c>
      <c r="AN1867" s="122">
        <v>396159</v>
      </c>
      <c r="AO1867" s="122">
        <v>146726</v>
      </c>
      <c r="AP1867" s="122">
        <v>17028</v>
      </c>
      <c r="AQ1867" s="122">
        <v>6307</v>
      </c>
      <c r="AR1867" s="122">
        <v>1315856</v>
      </c>
      <c r="AS1867" s="122">
        <v>1196233</v>
      </c>
      <c r="AT1867" s="122">
        <v>514224</v>
      </c>
      <c r="AU1867" s="122">
        <v>190453</v>
      </c>
      <c r="AV1867" s="122">
        <v>5380339</v>
      </c>
    </row>
    <row r="1868" spans="2:48" hidden="1">
      <c r="B1868" t="s">
        <v>377</v>
      </c>
      <c r="C1868" t="s">
        <v>64</v>
      </c>
      <c r="D1868" t="s">
        <v>137</v>
      </c>
      <c r="E1868" t="s">
        <v>426</v>
      </c>
      <c r="F1868" s="122">
        <v>37</v>
      </c>
      <c r="G1868" s="122">
        <v>1979</v>
      </c>
      <c r="H1868" s="122">
        <v>21763</v>
      </c>
      <c r="I1868" s="122">
        <v>784729</v>
      </c>
      <c r="J1868" s="122">
        <v>290640</v>
      </c>
      <c r="K1868" s="122">
        <v>100</v>
      </c>
      <c r="L1868" s="122">
        <v>100187</v>
      </c>
      <c r="M1868" s="122">
        <v>87437</v>
      </c>
      <c r="N1868" s="122">
        <v>41224</v>
      </c>
      <c r="O1868" s="122">
        <v>15268</v>
      </c>
      <c r="P1868" s="122">
        <v>3159</v>
      </c>
      <c r="Q1868" s="122">
        <v>1170</v>
      </c>
      <c r="R1868" s="122">
        <v>218898</v>
      </c>
      <c r="S1868" s="122">
        <v>198998</v>
      </c>
      <c r="T1868" s="122">
        <v>54679</v>
      </c>
      <c r="U1868" s="122">
        <v>20251</v>
      </c>
      <c r="V1868" s="122">
        <v>613765</v>
      </c>
      <c r="W1868" s="122">
        <f t="shared" si="58"/>
        <v>613764</v>
      </c>
      <c r="X1868" s="122">
        <f t="shared" si="59"/>
        <v>1202876</v>
      </c>
      <c r="AA1868" t="s">
        <v>64</v>
      </c>
      <c r="AB1868" t="s">
        <v>137</v>
      </c>
      <c r="AC1868" t="s">
        <v>426</v>
      </c>
      <c r="AD1868" t="s">
        <v>426</v>
      </c>
      <c r="AE1868" t="s">
        <v>566</v>
      </c>
      <c r="AF1868">
        <v>41</v>
      </c>
      <c r="AG1868" s="122">
        <v>2609</v>
      </c>
      <c r="AH1868" s="122">
        <v>27351</v>
      </c>
      <c r="AI1868" s="122">
        <v>1187923</v>
      </c>
      <c r="AJ1868" s="122">
        <v>439972</v>
      </c>
      <c r="AK1868">
        <v>100</v>
      </c>
      <c r="AL1868" s="122">
        <v>160047</v>
      </c>
      <c r="AM1868" s="122">
        <v>145497</v>
      </c>
      <c r="AN1868" s="122">
        <v>54842</v>
      </c>
      <c r="AO1868" s="122">
        <v>20312</v>
      </c>
      <c r="AP1868" s="122">
        <v>1053</v>
      </c>
      <c r="AQ1868">
        <v>390</v>
      </c>
      <c r="AR1868" s="122">
        <v>324100</v>
      </c>
      <c r="AS1868" s="122">
        <v>294636</v>
      </c>
      <c r="AT1868">
        <v>0</v>
      </c>
      <c r="AU1868">
        <v>0</v>
      </c>
      <c r="AV1868" s="122">
        <v>900807</v>
      </c>
    </row>
    <row r="1869" spans="2:48" hidden="1">
      <c r="B1869" t="s">
        <v>377</v>
      </c>
      <c r="C1869" t="s">
        <v>64</v>
      </c>
      <c r="D1869" t="s">
        <v>137</v>
      </c>
      <c r="E1869" t="s">
        <v>433</v>
      </c>
      <c r="F1869" s="122">
        <v>1</v>
      </c>
      <c r="G1869" s="122">
        <v>82</v>
      </c>
      <c r="H1869" s="122">
        <v>771</v>
      </c>
      <c r="I1869" s="122">
        <v>41544</v>
      </c>
      <c r="J1869" s="122">
        <v>15387</v>
      </c>
      <c r="K1869" s="122">
        <v>100</v>
      </c>
      <c r="L1869" s="122">
        <v>6637</v>
      </c>
      <c r="M1869" s="122">
        <v>6034</v>
      </c>
      <c r="N1869" s="122">
        <v>1706</v>
      </c>
      <c r="O1869" s="122">
        <v>632</v>
      </c>
      <c r="P1869" s="122">
        <v>0</v>
      </c>
      <c r="Q1869" s="122">
        <v>0</v>
      </c>
      <c r="R1869" s="122">
        <v>13631</v>
      </c>
      <c r="S1869" s="122">
        <v>12392</v>
      </c>
      <c r="T1869" s="122">
        <v>0</v>
      </c>
      <c r="U1869" s="122">
        <v>0</v>
      </c>
      <c r="V1869" s="122">
        <v>34445</v>
      </c>
      <c r="W1869" s="122">
        <f t="shared" si="58"/>
        <v>34445</v>
      </c>
      <c r="X1869" s="122">
        <f t="shared" si="59"/>
        <v>63518</v>
      </c>
      <c r="AA1869" t="s">
        <v>64</v>
      </c>
      <c r="AB1869" t="s">
        <v>137</v>
      </c>
      <c r="AC1869" t="s">
        <v>566</v>
      </c>
      <c r="AD1869" t="s">
        <v>137</v>
      </c>
      <c r="AE1869" t="s">
        <v>137</v>
      </c>
      <c r="AF1869">
        <v>17</v>
      </c>
      <c r="AG1869" s="122">
        <v>1671</v>
      </c>
      <c r="AH1869" s="122">
        <v>9503</v>
      </c>
      <c r="AI1869" s="122">
        <v>818641</v>
      </c>
      <c r="AJ1869" s="122">
        <v>303200</v>
      </c>
      <c r="AK1869">
        <v>100</v>
      </c>
      <c r="AL1869">
        <v>0</v>
      </c>
      <c r="AM1869" s="122">
        <v>4285</v>
      </c>
      <c r="AN1869" s="122">
        <v>35121</v>
      </c>
      <c r="AO1869" s="122">
        <v>13008</v>
      </c>
      <c r="AP1869">
        <v>702</v>
      </c>
      <c r="AQ1869">
        <v>260</v>
      </c>
      <c r="AR1869" s="122">
        <v>109625</v>
      </c>
      <c r="AS1869" s="122">
        <v>40602</v>
      </c>
      <c r="AT1869" s="122">
        <v>7997</v>
      </c>
      <c r="AU1869" s="122">
        <v>2962</v>
      </c>
      <c r="AV1869" s="122">
        <v>364317</v>
      </c>
    </row>
    <row r="1870" spans="2:48" hidden="1">
      <c r="B1870" t="s">
        <v>377</v>
      </c>
      <c r="C1870" t="s">
        <v>64</v>
      </c>
      <c r="D1870" t="s">
        <v>406</v>
      </c>
      <c r="E1870" t="s">
        <v>555</v>
      </c>
      <c r="F1870" s="122">
        <v>1</v>
      </c>
      <c r="G1870" s="122">
        <v>54</v>
      </c>
      <c r="H1870" s="122">
        <v>516</v>
      </c>
      <c r="I1870" s="122">
        <v>36351</v>
      </c>
      <c r="J1870" s="122">
        <v>33047</v>
      </c>
      <c r="K1870" s="122">
        <v>70</v>
      </c>
      <c r="L1870" s="122">
        <v>6593</v>
      </c>
      <c r="M1870" s="122">
        <v>2442</v>
      </c>
      <c r="N1870" s="122">
        <v>1932</v>
      </c>
      <c r="O1870" s="122">
        <v>715</v>
      </c>
      <c r="P1870" s="122">
        <v>972</v>
      </c>
      <c r="Q1870" s="122">
        <v>360</v>
      </c>
      <c r="R1870" s="122">
        <v>7256</v>
      </c>
      <c r="S1870" s="122">
        <v>6596</v>
      </c>
      <c r="T1870" s="122">
        <v>0</v>
      </c>
      <c r="U1870" s="122">
        <v>0</v>
      </c>
      <c r="V1870" s="122">
        <v>43160</v>
      </c>
      <c r="W1870" s="122">
        <f t="shared" si="58"/>
        <v>43160</v>
      </c>
      <c r="X1870" s="122">
        <f t="shared" si="59"/>
        <v>53104</v>
      </c>
      <c r="AA1870" t="s">
        <v>64</v>
      </c>
      <c r="AB1870" t="s">
        <v>137</v>
      </c>
      <c r="AC1870" t="s">
        <v>566</v>
      </c>
      <c r="AD1870" t="s">
        <v>137</v>
      </c>
      <c r="AE1870" t="s">
        <v>566</v>
      </c>
      <c r="AF1870">
        <v>380</v>
      </c>
      <c r="AG1870" s="122">
        <v>30898</v>
      </c>
      <c r="AH1870" s="122">
        <v>228745</v>
      </c>
      <c r="AI1870" s="122">
        <v>15061464</v>
      </c>
      <c r="AJ1870" s="122">
        <v>5578320</v>
      </c>
      <c r="AK1870">
        <v>100</v>
      </c>
      <c r="AL1870">
        <v>0</v>
      </c>
      <c r="AM1870" s="122">
        <v>84533</v>
      </c>
      <c r="AN1870" s="122">
        <v>665093</v>
      </c>
      <c r="AO1870" s="122">
        <v>246331</v>
      </c>
      <c r="AP1870" s="122">
        <v>4534</v>
      </c>
      <c r="AQ1870" s="122">
        <v>1679</v>
      </c>
      <c r="AR1870" s="122">
        <v>2405668</v>
      </c>
      <c r="AS1870" s="122">
        <v>890988</v>
      </c>
      <c r="AT1870">
        <v>0</v>
      </c>
      <c r="AU1870">
        <v>0</v>
      </c>
      <c r="AV1870" s="122">
        <v>6801851</v>
      </c>
    </row>
    <row r="1871" spans="2:48" hidden="1">
      <c r="B1871" t="s">
        <v>377</v>
      </c>
      <c r="C1871" t="s">
        <v>64</v>
      </c>
      <c r="D1871" t="s">
        <v>406</v>
      </c>
      <c r="E1871" t="s">
        <v>137</v>
      </c>
      <c r="F1871" s="122">
        <v>6</v>
      </c>
      <c r="G1871" s="122">
        <v>654</v>
      </c>
      <c r="H1871" s="122">
        <v>3215</v>
      </c>
      <c r="I1871" s="122">
        <v>237386</v>
      </c>
      <c r="J1871" s="122">
        <v>215805</v>
      </c>
      <c r="K1871" s="122">
        <v>66</v>
      </c>
      <c r="L1871" s="122">
        <v>45551</v>
      </c>
      <c r="M1871" s="122">
        <v>39137</v>
      </c>
      <c r="N1871" s="122">
        <v>14369</v>
      </c>
      <c r="O1871" s="122">
        <v>5322</v>
      </c>
      <c r="P1871" s="122">
        <v>3726</v>
      </c>
      <c r="Q1871" s="122">
        <v>1380</v>
      </c>
      <c r="R1871" s="122">
        <v>33936</v>
      </c>
      <c r="S1871" s="122">
        <v>12569</v>
      </c>
      <c r="T1871" s="122">
        <v>0</v>
      </c>
      <c r="U1871" s="122">
        <v>0</v>
      </c>
      <c r="V1871" s="122">
        <v>274212</v>
      </c>
      <c r="W1871" s="122">
        <f t="shared" si="58"/>
        <v>274213</v>
      </c>
      <c r="X1871" s="122">
        <f t="shared" si="59"/>
        <v>334968</v>
      </c>
      <c r="AA1871" t="s">
        <v>64</v>
      </c>
      <c r="AB1871" t="s">
        <v>137</v>
      </c>
      <c r="AC1871" t="s">
        <v>566</v>
      </c>
      <c r="AD1871" t="s">
        <v>407</v>
      </c>
      <c r="AE1871" t="s">
        <v>566</v>
      </c>
      <c r="AF1871">
        <v>1</v>
      </c>
      <c r="AG1871">
        <v>105</v>
      </c>
      <c r="AH1871">
        <v>554</v>
      </c>
      <c r="AI1871" s="122">
        <v>50413</v>
      </c>
      <c r="AJ1871" s="122">
        <v>18671</v>
      </c>
      <c r="AK1871">
        <v>100</v>
      </c>
      <c r="AL1871">
        <v>0</v>
      </c>
      <c r="AM1871">
        <v>0</v>
      </c>
      <c r="AN1871" s="122">
        <v>2181</v>
      </c>
      <c r="AO1871">
        <v>808</v>
      </c>
      <c r="AP1871">
        <v>0</v>
      </c>
      <c r="AQ1871">
        <v>0</v>
      </c>
      <c r="AR1871" s="122">
        <v>5693</v>
      </c>
      <c r="AS1871" s="122">
        <v>5175</v>
      </c>
      <c r="AT1871">
        <v>0</v>
      </c>
      <c r="AU1871">
        <v>0</v>
      </c>
      <c r="AV1871" s="122">
        <v>24654</v>
      </c>
    </row>
    <row r="1872" spans="2:48" hidden="1">
      <c r="B1872" t="s">
        <v>377</v>
      </c>
      <c r="C1872" t="s">
        <v>64</v>
      </c>
      <c r="D1872" t="s">
        <v>406</v>
      </c>
      <c r="E1872" t="s">
        <v>406</v>
      </c>
      <c r="F1872" s="122">
        <v>144</v>
      </c>
      <c r="G1872" s="122">
        <v>12237</v>
      </c>
      <c r="H1872" s="122">
        <v>75443</v>
      </c>
      <c r="I1872" s="122">
        <v>4352289</v>
      </c>
      <c r="J1872" s="122">
        <v>3956627</v>
      </c>
      <c r="K1872" s="122">
        <v>72</v>
      </c>
      <c r="L1872" s="122">
        <v>882878</v>
      </c>
      <c r="M1872" s="122">
        <v>776104</v>
      </c>
      <c r="N1872" s="122">
        <v>274292</v>
      </c>
      <c r="O1872" s="122">
        <v>101590</v>
      </c>
      <c r="P1872" s="122">
        <v>93555</v>
      </c>
      <c r="Q1872" s="122">
        <v>34650</v>
      </c>
      <c r="R1872" s="122">
        <v>627804</v>
      </c>
      <c r="S1872" s="122">
        <v>570731</v>
      </c>
      <c r="T1872" s="122">
        <v>254534</v>
      </c>
      <c r="U1872" s="122">
        <v>94272</v>
      </c>
      <c r="V1872" s="122">
        <v>5533973</v>
      </c>
      <c r="W1872" s="122">
        <f t="shared" si="58"/>
        <v>5533974</v>
      </c>
      <c r="X1872" s="122">
        <f t="shared" si="59"/>
        <v>6485352</v>
      </c>
      <c r="AA1872" t="s">
        <v>64</v>
      </c>
      <c r="AB1872" t="s">
        <v>137</v>
      </c>
      <c r="AC1872" t="s">
        <v>566</v>
      </c>
      <c r="AD1872" t="s">
        <v>426</v>
      </c>
      <c r="AE1872" t="s">
        <v>137</v>
      </c>
      <c r="AF1872">
        <v>3</v>
      </c>
      <c r="AG1872">
        <v>239</v>
      </c>
      <c r="AH1872" s="122">
        <v>2063</v>
      </c>
      <c r="AI1872" s="122">
        <v>131531</v>
      </c>
      <c r="AJ1872" s="122">
        <v>48715</v>
      </c>
      <c r="AK1872">
        <v>100</v>
      </c>
      <c r="AL1872">
        <v>0</v>
      </c>
      <c r="AM1872">
        <v>0</v>
      </c>
      <c r="AN1872" s="122">
        <v>5141</v>
      </c>
      <c r="AO1872" s="122">
        <v>1904</v>
      </c>
      <c r="AP1872">
        <v>351</v>
      </c>
      <c r="AQ1872">
        <v>130</v>
      </c>
      <c r="AR1872" s="122">
        <v>13970</v>
      </c>
      <c r="AS1872" s="122">
        <v>12700</v>
      </c>
      <c r="AT1872" s="122">
        <v>5929</v>
      </c>
      <c r="AU1872" s="122">
        <v>2196</v>
      </c>
      <c r="AV1872" s="122">
        <v>65646</v>
      </c>
    </row>
    <row r="1873" spans="2:48" hidden="1">
      <c r="B1873" t="s">
        <v>377</v>
      </c>
      <c r="C1873" t="s">
        <v>64</v>
      </c>
      <c r="D1873" t="s">
        <v>427</v>
      </c>
      <c r="E1873" t="s">
        <v>137</v>
      </c>
      <c r="F1873" s="122">
        <v>3</v>
      </c>
      <c r="G1873" s="122">
        <v>338</v>
      </c>
      <c r="H1873" s="122">
        <v>2445</v>
      </c>
      <c r="I1873" s="122">
        <v>197968</v>
      </c>
      <c r="J1873" s="122">
        <v>179970</v>
      </c>
      <c r="K1873" s="122">
        <v>50</v>
      </c>
      <c r="L1873" s="122">
        <v>37680</v>
      </c>
      <c r="M1873" s="122">
        <v>34254</v>
      </c>
      <c r="N1873" s="122">
        <v>8244</v>
      </c>
      <c r="O1873" s="122">
        <v>3053</v>
      </c>
      <c r="P1873" s="122">
        <v>0</v>
      </c>
      <c r="Q1873" s="122">
        <v>0</v>
      </c>
      <c r="R1873" s="122">
        <v>18475</v>
      </c>
      <c r="S1873" s="122">
        <v>6843</v>
      </c>
      <c r="T1873" s="122">
        <v>0</v>
      </c>
      <c r="U1873" s="122">
        <v>0</v>
      </c>
      <c r="V1873" s="122">
        <v>224121</v>
      </c>
      <c r="W1873" s="122">
        <f t="shared" si="58"/>
        <v>224120</v>
      </c>
      <c r="X1873" s="122">
        <f t="shared" si="59"/>
        <v>262367</v>
      </c>
      <c r="AA1873" t="s">
        <v>64</v>
      </c>
      <c r="AB1873" t="s">
        <v>137</v>
      </c>
      <c r="AC1873" t="s">
        <v>566</v>
      </c>
      <c r="AD1873" t="s">
        <v>426</v>
      </c>
      <c r="AE1873" t="s">
        <v>566</v>
      </c>
      <c r="AF1873">
        <v>2</v>
      </c>
      <c r="AG1873">
        <v>163</v>
      </c>
      <c r="AH1873" s="122">
        <v>1234</v>
      </c>
      <c r="AI1873" s="122">
        <v>82822</v>
      </c>
      <c r="AJ1873" s="122">
        <v>30675</v>
      </c>
      <c r="AK1873">
        <v>100</v>
      </c>
      <c r="AL1873">
        <v>0</v>
      </c>
      <c r="AM1873">
        <v>0</v>
      </c>
      <c r="AN1873" s="122">
        <v>3530</v>
      </c>
      <c r="AO1873" s="122">
        <v>1308</v>
      </c>
      <c r="AP1873">
        <v>0</v>
      </c>
      <c r="AQ1873">
        <v>0</v>
      </c>
      <c r="AR1873" s="122">
        <v>14362</v>
      </c>
      <c r="AS1873" s="122">
        <v>13056</v>
      </c>
      <c r="AT1873">
        <v>0</v>
      </c>
      <c r="AU1873">
        <v>0</v>
      </c>
      <c r="AV1873" s="122">
        <v>45038</v>
      </c>
    </row>
    <row r="1874" spans="2:48" hidden="1">
      <c r="B1874" t="s">
        <v>377</v>
      </c>
      <c r="C1874" t="s">
        <v>64</v>
      </c>
      <c r="D1874" t="s">
        <v>427</v>
      </c>
      <c r="E1874" t="s">
        <v>406</v>
      </c>
      <c r="F1874" s="122">
        <v>1</v>
      </c>
      <c r="G1874" s="122">
        <v>78</v>
      </c>
      <c r="H1874" s="122">
        <v>728</v>
      </c>
      <c r="I1874" s="122">
        <v>46319</v>
      </c>
      <c r="J1874" s="122">
        <v>42109</v>
      </c>
      <c r="K1874" s="122">
        <v>45</v>
      </c>
      <c r="L1874" s="122">
        <v>0</v>
      </c>
      <c r="M1874" s="122">
        <v>0</v>
      </c>
      <c r="N1874" s="122">
        <v>1895</v>
      </c>
      <c r="O1874" s="122">
        <v>702</v>
      </c>
      <c r="P1874" s="122">
        <v>351</v>
      </c>
      <c r="Q1874" s="122">
        <v>130</v>
      </c>
      <c r="R1874" s="122">
        <v>5924</v>
      </c>
      <c r="S1874" s="122">
        <v>5386</v>
      </c>
      <c r="T1874" s="122">
        <v>2136</v>
      </c>
      <c r="U1874" s="122">
        <v>791</v>
      </c>
      <c r="V1874" s="122">
        <v>49117</v>
      </c>
      <c r="W1874" s="122">
        <f t="shared" si="58"/>
        <v>49118</v>
      </c>
      <c r="X1874" s="122">
        <f t="shared" si="59"/>
        <v>56625</v>
      </c>
      <c r="AA1874" t="s">
        <v>64</v>
      </c>
      <c r="AB1874" t="s">
        <v>137</v>
      </c>
      <c r="AC1874" t="s">
        <v>481</v>
      </c>
      <c r="AD1874" t="s">
        <v>137</v>
      </c>
      <c r="AE1874" t="s">
        <v>566</v>
      </c>
      <c r="AF1874">
        <v>2</v>
      </c>
      <c r="AG1874">
        <v>163</v>
      </c>
      <c r="AH1874" s="122">
        <v>1523</v>
      </c>
      <c r="AI1874" s="122">
        <v>87400</v>
      </c>
      <c r="AJ1874" s="122">
        <v>32370</v>
      </c>
      <c r="AK1874">
        <v>100</v>
      </c>
      <c r="AL1874" s="122">
        <v>20037</v>
      </c>
      <c r="AM1874" s="122">
        <v>18215</v>
      </c>
      <c r="AN1874" s="122">
        <v>3980</v>
      </c>
      <c r="AO1874" s="122">
        <v>1474</v>
      </c>
      <c r="AP1874">
        <v>0</v>
      </c>
      <c r="AQ1874">
        <v>0</v>
      </c>
      <c r="AR1874" s="122">
        <v>10534</v>
      </c>
      <c r="AS1874" s="122">
        <v>3901</v>
      </c>
      <c r="AT1874">
        <v>0</v>
      </c>
      <c r="AU1874">
        <v>0</v>
      </c>
      <c r="AV1874" s="122">
        <v>55961</v>
      </c>
    </row>
    <row r="1875" spans="2:48" hidden="1">
      <c r="B1875" t="s">
        <v>377</v>
      </c>
      <c r="C1875" t="s">
        <v>64</v>
      </c>
      <c r="D1875" t="s">
        <v>427</v>
      </c>
      <c r="E1875" t="s">
        <v>427</v>
      </c>
      <c r="F1875" s="122">
        <v>6</v>
      </c>
      <c r="G1875" s="122">
        <v>494</v>
      </c>
      <c r="H1875" s="122">
        <v>3568</v>
      </c>
      <c r="I1875" s="122">
        <v>178592</v>
      </c>
      <c r="J1875" s="122">
        <v>162357</v>
      </c>
      <c r="K1875" s="122">
        <v>53</v>
      </c>
      <c r="L1875" s="122">
        <v>26407</v>
      </c>
      <c r="M1875" s="122">
        <v>22336</v>
      </c>
      <c r="N1875" s="122">
        <v>10935</v>
      </c>
      <c r="O1875" s="122">
        <v>4050</v>
      </c>
      <c r="P1875" s="122">
        <v>2106</v>
      </c>
      <c r="Q1875" s="122">
        <v>780</v>
      </c>
      <c r="R1875" s="122">
        <v>41240</v>
      </c>
      <c r="S1875" s="122">
        <v>37491</v>
      </c>
      <c r="T1875" s="122">
        <v>16539</v>
      </c>
      <c r="U1875" s="122">
        <v>6126</v>
      </c>
      <c r="V1875" s="122">
        <v>233138</v>
      </c>
      <c r="W1875" s="122">
        <f t="shared" si="58"/>
        <v>233140</v>
      </c>
      <c r="X1875" s="122">
        <f t="shared" si="59"/>
        <v>275819</v>
      </c>
      <c r="AA1875" t="s">
        <v>64</v>
      </c>
      <c r="AB1875" t="s">
        <v>137</v>
      </c>
      <c r="AC1875" t="s">
        <v>433</v>
      </c>
      <c r="AD1875" t="s">
        <v>137</v>
      </c>
      <c r="AE1875" t="s">
        <v>137</v>
      </c>
      <c r="AF1875">
        <v>4</v>
      </c>
      <c r="AG1875">
        <v>308</v>
      </c>
      <c r="AH1875" s="122">
        <v>2147</v>
      </c>
      <c r="AI1875" s="122">
        <v>109222</v>
      </c>
      <c r="AJ1875" s="122">
        <v>40453</v>
      </c>
      <c r="AK1875">
        <v>100</v>
      </c>
      <c r="AL1875" s="122">
        <v>10498</v>
      </c>
      <c r="AM1875" s="122">
        <v>9543</v>
      </c>
      <c r="AN1875" s="122">
        <v>6522</v>
      </c>
      <c r="AO1875" s="122">
        <v>2415</v>
      </c>
      <c r="AP1875">
        <v>0</v>
      </c>
      <c r="AQ1875">
        <v>0</v>
      </c>
      <c r="AR1875" s="122">
        <v>36142</v>
      </c>
      <c r="AS1875" s="122">
        <v>13386</v>
      </c>
      <c r="AT1875" s="122">
        <v>2491</v>
      </c>
      <c r="AU1875">
        <v>923</v>
      </c>
      <c r="AV1875" s="122">
        <v>66720</v>
      </c>
    </row>
    <row r="1876" spans="2:48" hidden="1">
      <c r="B1876" t="s">
        <v>377</v>
      </c>
      <c r="C1876" t="s">
        <v>64</v>
      </c>
      <c r="D1876" t="s">
        <v>556</v>
      </c>
      <c r="E1876" t="s">
        <v>556</v>
      </c>
      <c r="F1876" s="122">
        <v>2</v>
      </c>
      <c r="G1876" s="122">
        <v>185</v>
      </c>
      <c r="H1876" s="122">
        <v>1238</v>
      </c>
      <c r="I1876" s="122">
        <v>84952</v>
      </c>
      <c r="J1876" s="122">
        <v>70793</v>
      </c>
      <c r="K1876" s="122">
        <v>55</v>
      </c>
      <c r="L1876" s="122">
        <v>6388</v>
      </c>
      <c r="M1876" s="122">
        <v>2366</v>
      </c>
      <c r="N1876" s="122">
        <v>4446</v>
      </c>
      <c r="O1876" s="122">
        <v>1647</v>
      </c>
      <c r="P1876" s="122">
        <v>702</v>
      </c>
      <c r="Q1876" s="122">
        <v>260</v>
      </c>
      <c r="R1876" s="122">
        <v>16111</v>
      </c>
      <c r="S1876" s="122">
        <v>13426</v>
      </c>
      <c r="T1876" s="122">
        <v>1862</v>
      </c>
      <c r="U1876" s="122">
        <v>690</v>
      </c>
      <c r="V1876" s="122">
        <v>89181</v>
      </c>
      <c r="W1876" s="122">
        <f t="shared" si="58"/>
        <v>89182</v>
      </c>
      <c r="X1876" s="122">
        <f t="shared" si="59"/>
        <v>114461</v>
      </c>
      <c r="AA1876" t="s">
        <v>64</v>
      </c>
      <c r="AB1876" t="s">
        <v>137</v>
      </c>
      <c r="AC1876" t="s">
        <v>433</v>
      </c>
      <c r="AD1876" t="s">
        <v>137</v>
      </c>
      <c r="AE1876" t="s">
        <v>566</v>
      </c>
      <c r="AF1876">
        <v>52</v>
      </c>
      <c r="AG1876" s="122">
        <v>4102</v>
      </c>
      <c r="AH1876" s="122">
        <v>33896</v>
      </c>
      <c r="AI1876" s="122">
        <v>1879484</v>
      </c>
      <c r="AJ1876" s="122">
        <v>696105</v>
      </c>
      <c r="AK1876">
        <v>100</v>
      </c>
      <c r="AL1876" s="122">
        <v>342032</v>
      </c>
      <c r="AM1876" s="122">
        <v>310938</v>
      </c>
      <c r="AN1876" s="122">
        <v>87886</v>
      </c>
      <c r="AO1876" s="122">
        <v>32550</v>
      </c>
      <c r="AP1876">
        <v>916</v>
      </c>
      <c r="AQ1876">
        <v>339</v>
      </c>
      <c r="AR1876" s="122">
        <v>382092</v>
      </c>
      <c r="AS1876" s="122">
        <v>141515</v>
      </c>
      <c r="AT1876">
        <v>0</v>
      </c>
      <c r="AU1876">
        <v>0</v>
      </c>
      <c r="AV1876" s="122">
        <v>1181448</v>
      </c>
    </row>
    <row r="1877" spans="2:48" hidden="1">
      <c r="B1877" t="s">
        <v>377</v>
      </c>
      <c r="C1877" t="s">
        <v>64</v>
      </c>
      <c r="D1877" t="s">
        <v>428</v>
      </c>
      <c r="E1877" t="s">
        <v>428</v>
      </c>
      <c r="F1877" s="122">
        <v>1</v>
      </c>
      <c r="G1877" s="122">
        <v>84</v>
      </c>
      <c r="H1877" s="122">
        <v>592</v>
      </c>
      <c r="I1877" s="122">
        <v>37566</v>
      </c>
      <c r="J1877" s="122">
        <v>34151</v>
      </c>
      <c r="K1877" s="122">
        <v>54</v>
      </c>
      <c r="L1877" s="122">
        <v>4113</v>
      </c>
      <c r="M1877" s="122">
        <v>3739</v>
      </c>
      <c r="N1877" s="122">
        <v>1587</v>
      </c>
      <c r="O1877" s="122">
        <v>588</v>
      </c>
      <c r="P1877" s="122">
        <v>351</v>
      </c>
      <c r="Q1877" s="122">
        <v>130</v>
      </c>
      <c r="R1877" s="122">
        <v>4366</v>
      </c>
      <c r="S1877" s="122">
        <v>3969</v>
      </c>
      <c r="T1877" s="122">
        <v>1774</v>
      </c>
      <c r="U1877" s="122">
        <v>657</v>
      </c>
      <c r="V1877" s="122">
        <v>43234</v>
      </c>
      <c r="W1877" s="122">
        <f t="shared" si="58"/>
        <v>43234</v>
      </c>
      <c r="X1877" s="122">
        <f t="shared" si="59"/>
        <v>49757</v>
      </c>
      <c r="AA1877" t="s">
        <v>64</v>
      </c>
      <c r="AB1877" t="s">
        <v>137</v>
      </c>
      <c r="AC1877" t="s">
        <v>433</v>
      </c>
      <c r="AD1877" t="s">
        <v>406</v>
      </c>
      <c r="AE1877" t="s">
        <v>137</v>
      </c>
      <c r="AF1877">
        <v>1</v>
      </c>
      <c r="AG1877">
        <v>300</v>
      </c>
      <c r="AH1877">
        <v>781</v>
      </c>
      <c r="AI1877" s="122">
        <v>184381</v>
      </c>
      <c r="AJ1877" s="122">
        <v>68289</v>
      </c>
      <c r="AK1877">
        <v>100</v>
      </c>
      <c r="AL1877" s="122">
        <v>27821</v>
      </c>
      <c r="AM1877" s="122">
        <v>25292</v>
      </c>
      <c r="AN1877" s="122">
        <v>7310</v>
      </c>
      <c r="AO1877" s="122">
        <v>2708</v>
      </c>
      <c r="AP1877">
        <v>270</v>
      </c>
      <c r="AQ1877">
        <v>100</v>
      </c>
      <c r="AR1877" s="122">
        <v>9386</v>
      </c>
      <c r="AS1877" s="122">
        <v>8533</v>
      </c>
      <c r="AT1877" s="122">
        <v>5154</v>
      </c>
      <c r="AU1877" s="122">
        <v>1909</v>
      </c>
      <c r="AV1877" s="122">
        <v>106831</v>
      </c>
    </row>
    <row r="1878" spans="2:48" hidden="1">
      <c r="B1878" t="s">
        <v>377</v>
      </c>
      <c r="C1878" t="s">
        <v>64</v>
      </c>
      <c r="D1878" t="s">
        <v>431</v>
      </c>
      <c r="E1878" t="s">
        <v>431</v>
      </c>
      <c r="F1878" s="122">
        <v>3</v>
      </c>
      <c r="G1878" s="122">
        <v>202</v>
      </c>
      <c r="H1878" s="122">
        <v>2391</v>
      </c>
      <c r="I1878" s="122">
        <v>124946</v>
      </c>
      <c r="J1878" s="122">
        <v>113587</v>
      </c>
      <c r="K1878" s="122">
        <v>59</v>
      </c>
      <c r="L1878" s="122">
        <v>10456</v>
      </c>
      <c r="M1878" s="122">
        <v>9506</v>
      </c>
      <c r="N1878" s="122">
        <v>3892</v>
      </c>
      <c r="O1878" s="122">
        <v>1442</v>
      </c>
      <c r="P1878" s="122">
        <v>1053</v>
      </c>
      <c r="Q1878" s="122">
        <v>390</v>
      </c>
      <c r="R1878" s="122">
        <v>15319</v>
      </c>
      <c r="S1878" s="122">
        <v>13927</v>
      </c>
      <c r="T1878" s="122">
        <v>4801</v>
      </c>
      <c r="U1878" s="122">
        <v>1778</v>
      </c>
      <c r="V1878" s="122">
        <v>140629</v>
      </c>
      <c r="W1878" s="122">
        <f t="shared" si="58"/>
        <v>140630</v>
      </c>
      <c r="X1878" s="122">
        <f t="shared" si="59"/>
        <v>160467</v>
      </c>
      <c r="AA1878" t="s">
        <v>64</v>
      </c>
      <c r="AB1878" t="s">
        <v>137</v>
      </c>
      <c r="AC1878" t="s">
        <v>433</v>
      </c>
      <c r="AD1878" t="s">
        <v>407</v>
      </c>
      <c r="AE1878" t="s">
        <v>566</v>
      </c>
      <c r="AF1878">
        <v>1</v>
      </c>
      <c r="AG1878">
        <v>44</v>
      </c>
      <c r="AH1878">
        <v>768</v>
      </c>
      <c r="AI1878" s="122">
        <v>23174</v>
      </c>
      <c r="AJ1878" s="122">
        <v>8583</v>
      </c>
      <c r="AK1878">
        <v>100</v>
      </c>
      <c r="AL1878" s="122">
        <v>7868</v>
      </c>
      <c r="AM1878" s="122">
        <v>7152</v>
      </c>
      <c r="AN1878" s="122">
        <v>1077</v>
      </c>
      <c r="AO1878">
        <v>399</v>
      </c>
      <c r="AP1878">
        <v>0</v>
      </c>
      <c r="AQ1878">
        <v>0</v>
      </c>
      <c r="AR1878" s="122">
        <v>1823</v>
      </c>
      <c r="AS1878" s="122">
        <v>1658</v>
      </c>
      <c r="AT1878">
        <v>0</v>
      </c>
      <c r="AU1878">
        <v>0</v>
      </c>
      <c r="AV1878" s="122">
        <v>17792</v>
      </c>
    </row>
    <row r="1879" spans="2:48" hidden="1">
      <c r="B1879" t="s">
        <v>377</v>
      </c>
      <c r="C1879" t="s">
        <v>64</v>
      </c>
      <c r="D1879" t="s">
        <v>426</v>
      </c>
      <c r="E1879" t="s">
        <v>137</v>
      </c>
      <c r="F1879" s="122">
        <v>37</v>
      </c>
      <c r="G1879" s="122">
        <v>3794</v>
      </c>
      <c r="H1879" s="122">
        <v>33964</v>
      </c>
      <c r="I1879" s="122">
        <v>2891258</v>
      </c>
      <c r="J1879" s="122">
        <v>2628417</v>
      </c>
      <c r="K1879" s="122">
        <v>37</v>
      </c>
      <c r="L1879" s="122">
        <v>215613</v>
      </c>
      <c r="M1879" s="122">
        <v>129477</v>
      </c>
      <c r="N1879" s="122">
        <v>89486</v>
      </c>
      <c r="O1879" s="122">
        <v>33143</v>
      </c>
      <c r="P1879" s="122">
        <v>1404</v>
      </c>
      <c r="Q1879" s="122">
        <v>520</v>
      </c>
      <c r="R1879" s="122">
        <v>268962</v>
      </c>
      <c r="S1879" s="122">
        <v>99615</v>
      </c>
      <c r="T1879" s="122">
        <v>0</v>
      </c>
      <c r="U1879" s="122">
        <v>0</v>
      </c>
      <c r="V1879" s="122">
        <v>2891172</v>
      </c>
      <c r="W1879" s="122">
        <f t="shared" si="58"/>
        <v>2891172</v>
      </c>
      <c r="X1879" s="122">
        <f t="shared" si="59"/>
        <v>3466723</v>
      </c>
      <c r="AA1879" t="s">
        <v>64</v>
      </c>
      <c r="AB1879" t="s">
        <v>137</v>
      </c>
      <c r="AC1879" t="s">
        <v>433</v>
      </c>
      <c r="AD1879" t="s">
        <v>433</v>
      </c>
      <c r="AE1879" t="s">
        <v>137</v>
      </c>
      <c r="AF1879">
        <v>1</v>
      </c>
      <c r="AG1879">
        <v>82</v>
      </c>
      <c r="AH1879">
        <v>771</v>
      </c>
      <c r="AI1879" s="122">
        <v>41544</v>
      </c>
      <c r="AJ1879" s="122">
        <v>15387</v>
      </c>
      <c r="AK1879">
        <v>100</v>
      </c>
      <c r="AL1879" s="122">
        <v>6637</v>
      </c>
      <c r="AM1879" s="122">
        <v>6034</v>
      </c>
      <c r="AN1879" s="122">
        <v>1706</v>
      </c>
      <c r="AO1879">
        <v>632</v>
      </c>
      <c r="AP1879">
        <v>0</v>
      </c>
      <c r="AQ1879">
        <v>0</v>
      </c>
      <c r="AR1879" s="122">
        <v>13631</v>
      </c>
      <c r="AS1879" s="122">
        <v>12392</v>
      </c>
      <c r="AT1879">
        <v>0</v>
      </c>
      <c r="AU1879">
        <v>0</v>
      </c>
      <c r="AV1879" s="122">
        <v>34445</v>
      </c>
    </row>
    <row r="1880" spans="2:48" hidden="1">
      <c r="B1880" t="s">
        <v>377</v>
      </c>
      <c r="C1880" t="s">
        <v>64</v>
      </c>
      <c r="D1880" t="s">
        <v>426</v>
      </c>
      <c r="E1880" t="s">
        <v>406</v>
      </c>
      <c r="F1880" s="122">
        <v>2</v>
      </c>
      <c r="G1880" s="122">
        <v>110</v>
      </c>
      <c r="H1880" s="122">
        <v>1568</v>
      </c>
      <c r="I1880" s="122">
        <v>54098</v>
      </c>
      <c r="J1880" s="122">
        <v>49180</v>
      </c>
      <c r="K1880" s="122">
        <v>45</v>
      </c>
      <c r="L1880" s="122">
        <v>6639</v>
      </c>
      <c r="M1880" s="122">
        <v>2459</v>
      </c>
      <c r="N1880" s="122">
        <v>1815</v>
      </c>
      <c r="O1880" s="122">
        <v>672</v>
      </c>
      <c r="P1880" s="122">
        <v>351</v>
      </c>
      <c r="Q1880" s="122">
        <v>130</v>
      </c>
      <c r="R1880" s="122">
        <v>12105</v>
      </c>
      <c r="S1880" s="122">
        <v>11004</v>
      </c>
      <c r="T1880" s="122">
        <v>2183</v>
      </c>
      <c r="U1880" s="122">
        <v>808</v>
      </c>
      <c r="V1880" s="122">
        <v>64254</v>
      </c>
      <c r="W1880" s="122">
        <f t="shared" si="58"/>
        <v>64253</v>
      </c>
      <c r="X1880" s="122">
        <f t="shared" si="59"/>
        <v>77191</v>
      </c>
      <c r="AA1880" t="s">
        <v>64</v>
      </c>
      <c r="AB1880" t="s">
        <v>137</v>
      </c>
      <c r="AC1880" t="s">
        <v>429</v>
      </c>
      <c r="AD1880" t="s">
        <v>137</v>
      </c>
      <c r="AE1880" t="s">
        <v>566</v>
      </c>
      <c r="AF1880">
        <v>3</v>
      </c>
      <c r="AG1880">
        <v>267</v>
      </c>
      <c r="AH1880" s="122">
        <v>2017</v>
      </c>
      <c r="AI1880" s="122">
        <v>137116</v>
      </c>
      <c r="AJ1880" s="122">
        <v>50784</v>
      </c>
      <c r="AK1880">
        <v>100</v>
      </c>
      <c r="AL1880" s="122">
        <v>9831</v>
      </c>
      <c r="AM1880" s="122">
        <v>8937</v>
      </c>
      <c r="AN1880" s="122">
        <v>5716</v>
      </c>
      <c r="AO1880" s="122">
        <v>2117</v>
      </c>
      <c r="AP1880">
        <v>395</v>
      </c>
      <c r="AQ1880">
        <v>146</v>
      </c>
      <c r="AR1880" s="122">
        <v>26975</v>
      </c>
      <c r="AS1880" s="122">
        <v>9991</v>
      </c>
      <c r="AT1880">
        <v>0</v>
      </c>
      <c r="AU1880">
        <v>0</v>
      </c>
      <c r="AV1880" s="122">
        <v>71975</v>
      </c>
    </row>
    <row r="1881" spans="2:48">
      <c r="B1881" t="s">
        <v>377</v>
      </c>
      <c r="C1881" t="s">
        <v>64</v>
      </c>
      <c r="D1881" t="s">
        <v>426</v>
      </c>
      <c r="E1881" t="s">
        <v>427</v>
      </c>
      <c r="F1881" s="122">
        <v>1</v>
      </c>
      <c r="G1881" s="122">
        <v>80</v>
      </c>
      <c r="H1881" s="122">
        <v>499</v>
      </c>
      <c r="I1881" s="122">
        <v>26649</v>
      </c>
      <c r="J1881" s="122">
        <v>24226</v>
      </c>
      <c r="K1881" s="122">
        <v>45</v>
      </c>
      <c r="L1881" s="122">
        <v>4442</v>
      </c>
      <c r="M1881" s="122">
        <v>4038</v>
      </c>
      <c r="N1881" s="122">
        <v>1710</v>
      </c>
      <c r="O1881" s="122">
        <v>633</v>
      </c>
      <c r="P1881" s="122">
        <v>351</v>
      </c>
      <c r="Q1881" s="122">
        <v>130</v>
      </c>
      <c r="R1881" s="122">
        <v>5165</v>
      </c>
      <c r="S1881" s="122">
        <v>4696</v>
      </c>
      <c r="T1881" s="122">
        <v>1723</v>
      </c>
      <c r="U1881" s="122">
        <v>638</v>
      </c>
      <c r="V1881" s="122">
        <v>34361</v>
      </c>
      <c r="W1881" s="122">
        <f t="shared" si="58"/>
        <v>34361</v>
      </c>
      <c r="X1881" s="122">
        <f t="shared" si="59"/>
        <v>40040</v>
      </c>
      <c r="AA1881" t="s">
        <v>64</v>
      </c>
      <c r="AB1881" t="s">
        <v>406</v>
      </c>
      <c r="AC1881" t="s">
        <v>578</v>
      </c>
      <c r="AD1881" t="s">
        <v>406</v>
      </c>
      <c r="AE1881" t="s">
        <v>137</v>
      </c>
      <c r="AF1881">
        <v>3</v>
      </c>
      <c r="AG1881">
        <v>240</v>
      </c>
      <c r="AH1881" s="122">
        <v>1432</v>
      </c>
      <c r="AI1881" s="122">
        <v>84437</v>
      </c>
      <c r="AJ1881" s="122">
        <v>76761</v>
      </c>
      <c r="AK1881">
        <v>65</v>
      </c>
      <c r="AL1881" s="122">
        <v>13022</v>
      </c>
      <c r="AM1881" s="122">
        <v>11838</v>
      </c>
      <c r="AN1881" s="122">
        <v>5823</v>
      </c>
      <c r="AO1881" s="122">
        <v>2157</v>
      </c>
      <c r="AP1881" s="122">
        <v>1863</v>
      </c>
      <c r="AQ1881">
        <v>690</v>
      </c>
      <c r="AR1881" s="122">
        <v>14367</v>
      </c>
      <c r="AS1881" s="122">
        <v>13061</v>
      </c>
      <c r="AT1881" s="122">
        <v>1884</v>
      </c>
      <c r="AU1881">
        <v>698</v>
      </c>
      <c r="AV1881" s="122">
        <v>105204</v>
      </c>
    </row>
    <row r="1882" spans="2:48">
      <c r="B1882" t="s">
        <v>377</v>
      </c>
      <c r="C1882" t="s">
        <v>64</v>
      </c>
      <c r="D1882" t="s">
        <v>426</v>
      </c>
      <c r="E1882" t="s">
        <v>426</v>
      </c>
      <c r="F1882" s="122">
        <v>151</v>
      </c>
      <c r="G1882" s="122">
        <v>10720</v>
      </c>
      <c r="H1882" s="122">
        <v>88881</v>
      </c>
      <c r="I1882" s="122">
        <v>4427216</v>
      </c>
      <c r="J1882" s="122">
        <v>4024741</v>
      </c>
      <c r="K1882" s="122">
        <v>50</v>
      </c>
      <c r="L1882" s="122">
        <v>581004</v>
      </c>
      <c r="M1882" s="122">
        <v>413696</v>
      </c>
      <c r="N1882" s="122">
        <v>236116</v>
      </c>
      <c r="O1882" s="122">
        <v>87450</v>
      </c>
      <c r="P1882" s="122">
        <v>42336</v>
      </c>
      <c r="Q1882" s="122">
        <v>15680</v>
      </c>
      <c r="R1882" s="122">
        <v>891870</v>
      </c>
      <c r="S1882" s="122">
        <v>810791</v>
      </c>
      <c r="T1882" s="122">
        <v>285679</v>
      </c>
      <c r="U1882" s="122">
        <v>105807</v>
      </c>
      <c r="V1882" s="122">
        <v>5458166</v>
      </c>
      <c r="W1882" s="122">
        <f t="shared" si="58"/>
        <v>5458165</v>
      </c>
      <c r="X1882" s="122">
        <f t="shared" si="59"/>
        <v>6464221</v>
      </c>
      <c r="AA1882" t="s">
        <v>64</v>
      </c>
      <c r="AB1882" t="s">
        <v>406</v>
      </c>
      <c r="AC1882" t="s">
        <v>578</v>
      </c>
      <c r="AD1882" t="s">
        <v>406</v>
      </c>
      <c r="AE1882" t="s">
        <v>566</v>
      </c>
      <c r="AF1882">
        <v>2</v>
      </c>
      <c r="AG1882">
        <v>240</v>
      </c>
      <c r="AH1882" s="122">
        <v>1056</v>
      </c>
      <c r="AI1882" s="122">
        <v>89535</v>
      </c>
      <c r="AJ1882" s="122">
        <v>81395</v>
      </c>
      <c r="AK1882">
        <v>65</v>
      </c>
      <c r="AL1882" s="122">
        <v>14270</v>
      </c>
      <c r="AM1882" s="122">
        <v>12972</v>
      </c>
      <c r="AN1882" s="122">
        <v>5404</v>
      </c>
      <c r="AO1882" s="122">
        <v>2001</v>
      </c>
      <c r="AP1882" s="122">
        <v>1242</v>
      </c>
      <c r="AQ1882">
        <v>460</v>
      </c>
      <c r="AR1882" s="122">
        <v>13019</v>
      </c>
      <c r="AS1882" s="122">
        <v>11836</v>
      </c>
      <c r="AT1882">
        <v>0</v>
      </c>
      <c r="AU1882">
        <v>0</v>
      </c>
      <c r="AV1882" s="122">
        <v>108665</v>
      </c>
    </row>
    <row r="1883" spans="2:48" hidden="1">
      <c r="B1883" t="s">
        <v>378</v>
      </c>
      <c r="C1883" t="s">
        <v>48</v>
      </c>
      <c r="D1883" t="s">
        <v>137</v>
      </c>
      <c r="E1883" t="s">
        <v>137</v>
      </c>
      <c r="F1883" s="122">
        <v>806</v>
      </c>
      <c r="G1883" s="122">
        <v>97446</v>
      </c>
      <c r="H1883" s="122">
        <v>43050</v>
      </c>
      <c r="I1883" s="122">
        <v>327087</v>
      </c>
      <c r="J1883" s="122">
        <v>121143</v>
      </c>
      <c r="K1883" s="122">
        <v>486</v>
      </c>
      <c r="L1883" s="122">
        <v>33754</v>
      </c>
      <c r="M1883" s="122">
        <v>24377</v>
      </c>
      <c r="N1883" s="122">
        <v>1229671</v>
      </c>
      <c r="O1883" s="122">
        <v>455434</v>
      </c>
      <c r="P1883" s="122">
        <v>310550</v>
      </c>
      <c r="Q1883" s="122">
        <v>115019</v>
      </c>
      <c r="R1883" s="122">
        <v>3316038</v>
      </c>
      <c r="S1883" s="122">
        <v>1228162</v>
      </c>
      <c r="T1883" s="122">
        <v>0</v>
      </c>
      <c r="U1883" s="122">
        <v>0</v>
      </c>
      <c r="V1883" s="122">
        <v>1944135</v>
      </c>
      <c r="W1883" s="122">
        <f t="shared" si="58"/>
        <v>1944135</v>
      </c>
      <c r="X1883" s="122">
        <f t="shared" si="59"/>
        <v>5217100</v>
      </c>
      <c r="AA1883" t="s">
        <v>64</v>
      </c>
      <c r="AB1883" t="s">
        <v>406</v>
      </c>
      <c r="AC1883" t="s">
        <v>425</v>
      </c>
      <c r="AD1883" t="s">
        <v>406</v>
      </c>
      <c r="AE1883" t="s">
        <v>137</v>
      </c>
      <c r="AF1883">
        <v>27</v>
      </c>
      <c r="AG1883" s="122">
        <v>2766</v>
      </c>
      <c r="AH1883" s="122">
        <v>14333</v>
      </c>
      <c r="AI1883" s="122">
        <v>930998</v>
      </c>
      <c r="AJ1883" s="122">
        <v>846362</v>
      </c>
      <c r="AK1883">
        <v>68</v>
      </c>
      <c r="AL1883" s="122">
        <v>268711</v>
      </c>
      <c r="AM1883" s="122">
        <v>244283</v>
      </c>
      <c r="AN1883" s="122">
        <v>59162</v>
      </c>
      <c r="AO1883" s="122">
        <v>21912</v>
      </c>
      <c r="AP1883" s="122">
        <v>16848</v>
      </c>
      <c r="AQ1883" s="122">
        <v>6240</v>
      </c>
      <c r="AR1883" s="122">
        <v>133356</v>
      </c>
      <c r="AS1883" s="122">
        <v>121232</v>
      </c>
      <c r="AT1883" s="122">
        <v>66495</v>
      </c>
      <c r="AU1883" s="122">
        <v>24628</v>
      </c>
      <c r="AV1883" s="122">
        <v>1264657</v>
      </c>
    </row>
    <row r="1884" spans="2:48" hidden="1">
      <c r="B1884" t="s">
        <v>378</v>
      </c>
      <c r="C1884" t="s">
        <v>48</v>
      </c>
      <c r="D1884" t="s">
        <v>406</v>
      </c>
      <c r="E1884" t="s">
        <v>406</v>
      </c>
      <c r="F1884" s="122">
        <v>6</v>
      </c>
      <c r="G1884" s="122">
        <v>737</v>
      </c>
      <c r="H1884" s="122">
        <v>410</v>
      </c>
      <c r="I1884" s="122">
        <v>15081</v>
      </c>
      <c r="J1884" s="122">
        <v>13710</v>
      </c>
      <c r="K1884" s="122">
        <v>94</v>
      </c>
      <c r="L1884" s="122">
        <v>1216</v>
      </c>
      <c r="M1884" s="122">
        <v>1106</v>
      </c>
      <c r="N1884" s="122">
        <v>8976</v>
      </c>
      <c r="O1884" s="122">
        <v>3324</v>
      </c>
      <c r="P1884" s="122">
        <v>3726</v>
      </c>
      <c r="Q1884" s="122">
        <v>1380</v>
      </c>
      <c r="R1884" s="122">
        <v>21726</v>
      </c>
      <c r="S1884" s="122">
        <v>19751</v>
      </c>
      <c r="T1884" s="122">
        <v>0</v>
      </c>
      <c r="U1884" s="122">
        <v>0</v>
      </c>
      <c r="V1884" s="122">
        <v>39271</v>
      </c>
      <c r="W1884" s="122">
        <f t="shared" si="58"/>
        <v>39271</v>
      </c>
      <c r="X1884" s="122">
        <f t="shared" si="59"/>
        <v>50725</v>
      </c>
      <c r="AA1884" t="s">
        <v>64</v>
      </c>
      <c r="AB1884" t="s">
        <v>406</v>
      </c>
      <c r="AC1884" t="s">
        <v>425</v>
      </c>
      <c r="AD1884" t="s">
        <v>406</v>
      </c>
      <c r="AE1884" t="s">
        <v>566</v>
      </c>
      <c r="AF1884">
        <v>5</v>
      </c>
      <c r="AG1884">
        <v>467</v>
      </c>
      <c r="AH1884" s="122">
        <v>2714</v>
      </c>
      <c r="AI1884" s="122">
        <v>146067</v>
      </c>
      <c r="AJ1884" s="122">
        <v>132788</v>
      </c>
      <c r="AK1884">
        <v>73</v>
      </c>
      <c r="AL1884" s="122">
        <v>54161</v>
      </c>
      <c r="AM1884" s="122">
        <v>49237</v>
      </c>
      <c r="AN1884" s="122">
        <v>10949</v>
      </c>
      <c r="AO1884" s="122">
        <v>4055</v>
      </c>
      <c r="AP1884" s="122">
        <v>3105</v>
      </c>
      <c r="AQ1884" s="122">
        <v>1150</v>
      </c>
      <c r="AR1884" s="122">
        <v>32541</v>
      </c>
      <c r="AS1884" s="122">
        <v>29583</v>
      </c>
      <c r="AT1884">
        <v>0</v>
      </c>
      <c r="AU1884">
        <v>0</v>
      </c>
      <c r="AV1884" s="122">
        <v>216814</v>
      </c>
    </row>
    <row r="1885" spans="2:48" hidden="1">
      <c r="B1885" t="s">
        <v>378</v>
      </c>
      <c r="C1885" t="s">
        <v>48</v>
      </c>
      <c r="D1885" t="s">
        <v>407</v>
      </c>
      <c r="E1885" t="s">
        <v>407</v>
      </c>
      <c r="F1885" s="122">
        <v>2390</v>
      </c>
      <c r="G1885" s="122">
        <v>280429</v>
      </c>
      <c r="H1885" s="122">
        <v>133999</v>
      </c>
      <c r="I1885" s="122">
        <v>1949499</v>
      </c>
      <c r="J1885" s="122">
        <v>1772272</v>
      </c>
      <c r="K1885" s="122">
        <v>91</v>
      </c>
      <c r="L1885" s="122">
        <v>54157</v>
      </c>
      <c r="M1885" s="122">
        <v>50145</v>
      </c>
      <c r="N1885" s="122">
        <v>3472106</v>
      </c>
      <c r="O1885" s="122">
        <v>1285965</v>
      </c>
      <c r="P1885" s="122">
        <v>1955740</v>
      </c>
      <c r="Q1885" s="122">
        <v>724348</v>
      </c>
      <c r="R1885" s="122">
        <v>8226074</v>
      </c>
      <c r="S1885" s="122">
        <v>7478249</v>
      </c>
      <c r="T1885" s="122">
        <v>0</v>
      </c>
      <c r="U1885" s="122">
        <v>0</v>
      </c>
      <c r="V1885" s="122">
        <v>11310979</v>
      </c>
      <c r="W1885" s="122">
        <f t="shared" si="58"/>
        <v>11310979</v>
      </c>
      <c r="X1885" s="122">
        <f t="shared" si="59"/>
        <v>15657576</v>
      </c>
      <c r="AA1885" t="s">
        <v>64</v>
      </c>
      <c r="AB1885" t="s">
        <v>406</v>
      </c>
      <c r="AC1885" t="s">
        <v>405</v>
      </c>
      <c r="AD1885" t="s">
        <v>406</v>
      </c>
      <c r="AE1885" t="s">
        <v>137</v>
      </c>
      <c r="AF1885">
        <v>2</v>
      </c>
      <c r="AG1885">
        <v>213</v>
      </c>
      <c r="AH1885">
        <v>938</v>
      </c>
      <c r="AI1885" s="122">
        <v>60860</v>
      </c>
      <c r="AJ1885" s="122">
        <v>55327</v>
      </c>
      <c r="AK1885">
        <v>65</v>
      </c>
      <c r="AL1885" s="122">
        <v>16096</v>
      </c>
      <c r="AM1885" s="122">
        <v>14632</v>
      </c>
      <c r="AN1885" s="122">
        <v>4782</v>
      </c>
      <c r="AO1885" s="122">
        <v>1771</v>
      </c>
      <c r="AP1885" s="122">
        <v>1242</v>
      </c>
      <c r="AQ1885">
        <v>460</v>
      </c>
      <c r="AR1885" s="122">
        <v>11488</v>
      </c>
      <c r="AS1885" s="122">
        <v>10444</v>
      </c>
      <c r="AT1885" s="122">
        <v>6402</v>
      </c>
      <c r="AU1885" s="122">
        <v>2371</v>
      </c>
      <c r="AV1885" s="122">
        <v>85006</v>
      </c>
    </row>
    <row r="1886" spans="2:48" hidden="1">
      <c r="B1886" t="s">
        <v>378</v>
      </c>
      <c r="C1886" t="s">
        <v>50</v>
      </c>
      <c r="D1886" t="s">
        <v>137</v>
      </c>
      <c r="E1886" t="s">
        <v>137</v>
      </c>
      <c r="F1886" s="122">
        <v>1</v>
      </c>
      <c r="G1886" s="122">
        <v>331</v>
      </c>
      <c r="H1886" s="122">
        <v>79</v>
      </c>
      <c r="I1886" s="122">
        <v>6699</v>
      </c>
      <c r="J1886" s="122">
        <v>2481</v>
      </c>
      <c r="K1886" s="122">
        <v>582</v>
      </c>
      <c r="L1886" s="122">
        <v>5883</v>
      </c>
      <c r="M1886" s="122">
        <v>5348</v>
      </c>
      <c r="N1886" s="122">
        <v>4997</v>
      </c>
      <c r="O1886" s="122">
        <v>1851</v>
      </c>
      <c r="P1886" s="122">
        <v>351</v>
      </c>
      <c r="Q1886" s="122">
        <v>130</v>
      </c>
      <c r="R1886" s="122">
        <v>8044</v>
      </c>
      <c r="S1886" s="122">
        <v>2979</v>
      </c>
      <c r="T1886" s="122">
        <v>0</v>
      </c>
      <c r="U1886" s="122">
        <v>0</v>
      </c>
      <c r="V1886" s="122">
        <v>12790</v>
      </c>
      <c r="W1886" s="122">
        <f t="shared" si="58"/>
        <v>12789</v>
      </c>
      <c r="X1886" s="122">
        <f t="shared" si="59"/>
        <v>25974</v>
      </c>
      <c r="AA1886" t="s">
        <v>64</v>
      </c>
      <c r="AB1886" t="s">
        <v>406</v>
      </c>
      <c r="AC1886" t="s">
        <v>137</v>
      </c>
      <c r="AD1886" t="s">
        <v>578</v>
      </c>
      <c r="AE1886" t="s">
        <v>566</v>
      </c>
      <c r="AF1886">
        <v>1</v>
      </c>
      <c r="AG1886">
        <v>54</v>
      </c>
      <c r="AH1886">
        <v>516</v>
      </c>
      <c r="AI1886" s="122">
        <v>36351</v>
      </c>
      <c r="AJ1886" s="122">
        <v>33047</v>
      </c>
      <c r="AK1886">
        <v>70</v>
      </c>
      <c r="AL1886" s="122">
        <v>6593</v>
      </c>
      <c r="AM1886" s="122">
        <v>2442</v>
      </c>
      <c r="AN1886" s="122">
        <v>1932</v>
      </c>
      <c r="AO1886">
        <v>715</v>
      </c>
      <c r="AP1886">
        <v>972</v>
      </c>
      <c r="AQ1886">
        <v>360</v>
      </c>
      <c r="AR1886" s="122">
        <v>7256</v>
      </c>
      <c r="AS1886" s="122">
        <v>6596</v>
      </c>
      <c r="AT1886">
        <v>0</v>
      </c>
      <c r="AU1886">
        <v>0</v>
      </c>
      <c r="AV1886" s="122">
        <v>43160</v>
      </c>
    </row>
    <row r="1887" spans="2:48" hidden="1">
      <c r="B1887" t="s">
        <v>378</v>
      </c>
      <c r="C1887" t="s">
        <v>50</v>
      </c>
      <c r="D1887" t="s">
        <v>406</v>
      </c>
      <c r="E1887" t="s">
        <v>406</v>
      </c>
      <c r="F1887" s="122">
        <v>1</v>
      </c>
      <c r="G1887" s="122">
        <v>112</v>
      </c>
      <c r="H1887" s="122">
        <v>79</v>
      </c>
      <c r="I1887" s="122">
        <v>2285</v>
      </c>
      <c r="J1887" s="122">
        <v>2077</v>
      </c>
      <c r="K1887" s="122">
        <v>95</v>
      </c>
      <c r="L1887" s="122">
        <v>804</v>
      </c>
      <c r="M1887" s="122">
        <v>731</v>
      </c>
      <c r="N1887" s="122">
        <v>1362</v>
      </c>
      <c r="O1887" s="122">
        <v>504</v>
      </c>
      <c r="P1887" s="122">
        <v>621</v>
      </c>
      <c r="Q1887" s="122">
        <v>230</v>
      </c>
      <c r="R1887" s="122">
        <v>3763</v>
      </c>
      <c r="S1887" s="122">
        <v>3421</v>
      </c>
      <c r="T1887" s="122">
        <v>0</v>
      </c>
      <c r="U1887" s="122">
        <v>0</v>
      </c>
      <c r="V1887" s="122">
        <v>6964</v>
      </c>
      <c r="W1887" s="122">
        <f t="shared" si="58"/>
        <v>6963</v>
      </c>
      <c r="X1887" s="122">
        <f t="shared" si="59"/>
        <v>8835</v>
      </c>
      <c r="AA1887" t="s">
        <v>64</v>
      </c>
      <c r="AB1887" t="s">
        <v>406</v>
      </c>
      <c r="AC1887" t="s">
        <v>137</v>
      </c>
      <c r="AD1887" t="s">
        <v>137</v>
      </c>
      <c r="AE1887" t="s">
        <v>137</v>
      </c>
      <c r="AF1887">
        <v>1</v>
      </c>
      <c r="AG1887">
        <v>97</v>
      </c>
      <c r="AH1887">
        <v>798</v>
      </c>
      <c r="AI1887" s="122">
        <v>36464</v>
      </c>
      <c r="AJ1887" s="122">
        <v>33149</v>
      </c>
      <c r="AK1887">
        <v>60</v>
      </c>
      <c r="AL1887" s="122">
        <v>18895</v>
      </c>
      <c r="AM1887" s="122">
        <v>6998</v>
      </c>
      <c r="AN1887" s="122">
        <v>2345</v>
      </c>
      <c r="AO1887">
        <v>869</v>
      </c>
      <c r="AP1887">
        <v>621</v>
      </c>
      <c r="AQ1887">
        <v>230</v>
      </c>
      <c r="AR1887" s="122">
        <v>15543</v>
      </c>
      <c r="AS1887" s="122">
        <v>5757</v>
      </c>
      <c r="AT1887" s="122">
        <v>3277</v>
      </c>
      <c r="AU1887" s="122">
        <v>1214</v>
      </c>
      <c r="AV1887" s="122">
        <v>48216</v>
      </c>
    </row>
    <row r="1888" spans="2:48" hidden="1">
      <c r="B1888" t="s">
        <v>378</v>
      </c>
      <c r="C1888" t="s">
        <v>50</v>
      </c>
      <c r="D1888" t="s">
        <v>407</v>
      </c>
      <c r="E1888" t="s">
        <v>407</v>
      </c>
      <c r="F1888" s="122">
        <v>178</v>
      </c>
      <c r="G1888" s="122">
        <v>21410</v>
      </c>
      <c r="H1888" s="122">
        <v>16159</v>
      </c>
      <c r="I1888" s="122">
        <v>895689</v>
      </c>
      <c r="J1888" s="122">
        <v>814263</v>
      </c>
      <c r="K1888" s="122">
        <v>91</v>
      </c>
      <c r="L1888" s="122">
        <v>102506</v>
      </c>
      <c r="M1888" s="122">
        <v>91947</v>
      </c>
      <c r="N1888" s="122">
        <v>291149</v>
      </c>
      <c r="O1888" s="122">
        <v>107833</v>
      </c>
      <c r="P1888" s="122">
        <v>85996</v>
      </c>
      <c r="Q1888" s="122">
        <v>31850</v>
      </c>
      <c r="R1888" s="122">
        <v>554479</v>
      </c>
      <c r="S1888" s="122">
        <v>504071</v>
      </c>
      <c r="T1888" s="122">
        <v>9897</v>
      </c>
      <c r="U1888" s="122">
        <v>3665</v>
      </c>
      <c r="V1888" s="122">
        <v>1553630</v>
      </c>
      <c r="W1888" s="122">
        <f t="shared" si="58"/>
        <v>1553629</v>
      </c>
      <c r="X1888" s="122">
        <f t="shared" si="59"/>
        <v>1939716</v>
      </c>
      <c r="AA1888" t="s">
        <v>64</v>
      </c>
      <c r="AB1888" t="s">
        <v>406</v>
      </c>
      <c r="AC1888" t="s">
        <v>137</v>
      </c>
      <c r="AD1888" t="s">
        <v>137</v>
      </c>
      <c r="AE1888" t="s">
        <v>566</v>
      </c>
      <c r="AF1888">
        <v>12</v>
      </c>
      <c r="AG1888">
        <v>857</v>
      </c>
      <c r="AH1888" s="122">
        <v>7748</v>
      </c>
      <c r="AI1888" s="122">
        <v>386358</v>
      </c>
      <c r="AJ1888" s="122">
        <v>351235</v>
      </c>
      <c r="AK1888">
        <v>60</v>
      </c>
      <c r="AL1888" s="122">
        <v>62106</v>
      </c>
      <c r="AM1888" s="122">
        <v>23002</v>
      </c>
      <c r="AN1888" s="122">
        <v>19948</v>
      </c>
      <c r="AO1888" s="122">
        <v>7388</v>
      </c>
      <c r="AP1888" s="122">
        <v>3996</v>
      </c>
      <c r="AQ1888" s="122">
        <v>1480</v>
      </c>
      <c r="AR1888" s="122">
        <v>117571</v>
      </c>
      <c r="AS1888" s="122">
        <v>43545</v>
      </c>
      <c r="AT1888">
        <v>0</v>
      </c>
      <c r="AU1888">
        <v>0</v>
      </c>
      <c r="AV1888" s="122">
        <v>426650</v>
      </c>
    </row>
    <row r="1889" spans="2:48" hidden="1">
      <c r="B1889" t="s">
        <v>378</v>
      </c>
      <c r="C1889" t="s">
        <v>52</v>
      </c>
      <c r="D1889" t="s">
        <v>406</v>
      </c>
      <c r="E1889" t="s">
        <v>406</v>
      </c>
      <c r="F1889" s="122">
        <v>21</v>
      </c>
      <c r="G1889" s="122">
        <v>2869</v>
      </c>
      <c r="H1889" s="122">
        <v>2487</v>
      </c>
      <c r="I1889" s="122">
        <v>162211</v>
      </c>
      <c r="J1889" s="122">
        <v>147465</v>
      </c>
      <c r="K1889" s="122">
        <v>91</v>
      </c>
      <c r="L1889" s="122">
        <v>28492</v>
      </c>
      <c r="M1889" s="122">
        <v>25356</v>
      </c>
      <c r="N1889" s="122">
        <v>45106</v>
      </c>
      <c r="O1889" s="122">
        <v>16706</v>
      </c>
      <c r="P1889" s="122">
        <v>14445</v>
      </c>
      <c r="Q1889" s="122">
        <v>5350</v>
      </c>
      <c r="R1889" s="122">
        <v>88852</v>
      </c>
      <c r="S1889" s="122">
        <v>80775</v>
      </c>
      <c r="T1889" s="122">
        <v>0</v>
      </c>
      <c r="U1889" s="122">
        <v>0</v>
      </c>
      <c r="V1889" s="122">
        <v>275651</v>
      </c>
      <c r="W1889" s="122">
        <f t="shared" si="58"/>
        <v>275652</v>
      </c>
      <c r="X1889" s="122">
        <f t="shared" si="59"/>
        <v>339106</v>
      </c>
      <c r="AA1889" t="s">
        <v>64</v>
      </c>
      <c r="AB1889" t="s">
        <v>406</v>
      </c>
      <c r="AC1889" t="s">
        <v>137</v>
      </c>
      <c r="AD1889" t="s">
        <v>406</v>
      </c>
      <c r="AE1889" t="s">
        <v>137</v>
      </c>
      <c r="AF1889">
        <v>179</v>
      </c>
      <c r="AG1889" s="122">
        <v>14324</v>
      </c>
      <c r="AH1889" s="122">
        <v>94640</v>
      </c>
      <c r="AI1889" s="122">
        <v>4809576</v>
      </c>
      <c r="AJ1889" s="122">
        <v>4372342</v>
      </c>
      <c r="AK1889">
        <v>70</v>
      </c>
      <c r="AL1889" s="122">
        <v>1106491</v>
      </c>
      <c r="AM1889" s="122">
        <v>409812</v>
      </c>
      <c r="AN1889" s="122">
        <v>316073</v>
      </c>
      <c r="AO1889" s="122">
        <v>117064</v>
      </c>
      <c r="AP1889" s="122">
        <v>110970</v>
      </c>
      <c r="AQ1889" s="122">
        <v>41100</v>
      </c>
      <c r="AR1889" s="122">
        <v>808678</v>
      </c>
      <c r="AS1889" s="122">
        <v>735161</v>
      </c>
      <c r="AT1889" s="122">
        <v>419598</v>
      </c>
      <c r="AU1889" s="122">
        <v>155407</v>
      </c>
      <c r="AV1889" s="122">
        <v>5830886</v>
      </c>
    </row>
    <row r="1890" spans="2:48" hidden="1">
      <c r="B1890" t="s">
        <v>378</v>
      </c>
      <c r="C1890" t="s">
        <v>52</v>
      </c>
      <c r="D1890" t="s">
        <v>407</v>
      </c>
      <c r="E1890" t="s">
        <v>407</v>
      </c>
      <c r="F1890" s="122">
        <v>328</v>
      </c>
      <c r="G1890" s="122">
        <v>38334</v>
      </c>
      <c r="H1890" s="122">
        <v>38130</v>
      </c>
      <c r="I1890" s="122">
        <v>2001894</v>
      </c>
      <c r="J1890" s="122">
        <v>1819904</v>
      </c>
      <c r="K1890" s="122">
        <v>88</v>
      </c>
      <c r="L1890" s="122">
        <v>297166</v>
      </c>
      <c r="M1890" s="122">
        <v>238356</v>
      </c>
      <c r="N1890" s="122">
        <v>665101</v>
      </c>
      <c r="O1890" s="122">
        <v>246334</v>
      </c>
      <c r="P1890" s="122">
        <v>160149</v>
      </c>
      <c r="Q1890" s="122">
        <v>59314</v>
      </c>
      <c r="R1890" s="122">
        <v>1366417</v>
      </c>
      <c r="S1890" s="122">
        <v>1242197</v>
      </c>
      <c r="T1890" s="122">
        <v>25597</v>
      </c>
      <c r="U1890" s="122">
        <v>9480</v>
      </c>
      <c r="V1890" s="122">
        <v>3615585</v>
      </c>
      <c r="W1890" s="122">
        <f t="shared" ref="W1890:W1953" si="60">SUM(ABS(J1890),ABS(M1890),ABS(O1890),ABS(Q1890),ABS(S1890),ABS(U1890))</f>
        <v>3615585</v>
      </c>
      <c r="X1890" s="122">
        <f t="shared" ref="X1890:X1953" si="61">SUM(ABS(I1890),ABS(N1890),ABS(P1890),ABS(R1890),ABS(T1890),ABS(L1890))</f>
        <v>4516324</v>
      </c>
      <c r="AA1890" t="s">
        <v>64</v>
      </c>
      <c r="AB1890" t="s">
        <v>406</v>
      </c>
      <c r="AC1890" t="s">
        <v>137</v>
      </c>
      <c r="AD1890" t="s">
        <v>406</v>
      </c>
      <c r="AE1890" t="s">
        <v>566</v>
      </c>
      <c r="AF1890">
        <v>44</v>
      </c>
      <c r="AG1890" s="122">
        <v>3634</v>
      </c>
      <c r="AH1890" s="122">
        <v>23012</v>
      </c>
      <c r="AI1890" s="122">
        <v>1276030</v>
      </c>
      <c r="AJ1890" s="122">
        <v>1160027</v>
      </c>
      <c r="AK1890">
        <v>69</v>
      </c>
      <c r="AL1890" s="122">
        <v>274017</v>
      </c>
      <c r="AM1890" s="122">
        <v>101488</v>
      </c>
      <c r="AN1890" s="122">
        <v>80789</v>
      </c>
      <c r="AO1890" s="122">
        <v>29922</v>
      </c>
      <c r="AP1890" s="122">
        <v>27324</v>
      </c>
      <c r="AQ1890" s="122">
        <v>10120</v>
      </c>
      <c r="AR1890" s="122">
        <v>293334</v>
      </c>
      <c r="AS1890" s="122">
        <v>266667</v>
      </c>
      <c r="AT1890">
        <v>0</v>
      </c>
      <c r="AU1890">
        <v>0</v>
      </c>
      <c r="AV1890" s="122">
        <v>1568224</v>
      </c>
    </row>
    <row r="1891" spans="2:48" hidden="1">
      <c r="B1891" t="s">
        <v>378</v>
      </c>
      <c r="C1891" t="s">
        <v>52</v>
      </c>
      <c r="D1891" t="s">
        <v>426</v>
      </c>
      <c r="E1891" t="s">
        <v>426</v>
      </c>
      <c r="F1891" s="122">
        <v>1</v>
      </c>
      <c r="G1891" s="122">
        <v>135</v>
      </c>
      <c r="H1891" s="122">
        <v>113</v>
      </c>
      <c r="I1891" s="122">
        <v>7248</v>
      </c>
      <c r="J1891" s="122">
        <v>6589</v>
      </c>
      <c r="K1891" s="122">
        <v>79</v>
      </c>
      <c r="L1891" s="122">
        <v>2121</v>
      </c>
      <c r="M1891" s="122">
        <v>1928</v>
      </c>
      <c r="N1891" s="122">
        <v>1648</v>
      </c>
      <c r="O1891" s="122">
        <v>611</v>
      </c>
      <c r="P1891" s="122">
        <v>351</v>
      </c>
      <c r="Q1891" s="122">
        <v>130</v>
      </c>
      <c r="R1891" s="122">
        <v>3925</v>
      </c>
      <c r="S1891" s="122">
        <v>3569</v>
      </c>
      <c r="T1891" s="122">
        <v>0</v>
      </c>
      <c r="U1891" s="122">
        <v>0</v>
      </c>
      <c r="V1891" s="122">
        <v>12826</v>
      </c>
      <c r="W1891" s="122">
        <f t="shared" si="60"/>
        <v>12827</v>
      </c>
      <c r="X1891" s="122">
        <f t="shared" si="61"/>
        <v>15293</v>
      </c>
      <c r="AA1891" t="s">
        <v>64</v>
      </c>
      <c r="AB1891" t="s">
        <v>406</v>
      </c>
      <c r="AC1891" t="s">
        <v>137</v>
      </c>
      <c r="AD1891" t="s">
        <v>426</v>
      </c>
      <c r="AE1891" t="s">
        <v>137</v>
      </c>
      <c r="AF1891">
        <v>2</v>
      </c>
      <c r="AG1891">
        <v>137</v>
      </c>
      <c r="AH1891" s="122">
        <v>1111</v>
      </c>
      <c r="AI1891" s="122">
        <v>42988</v>
      </c>
      <c r="AJ1891" s="122">
        <v>39080</v>
      </c>
      <c r="AK1891">
        <v>78</v>
      </c>
      <c r="AL1891" s="122">
        <v>8725</v>
      </c>
      <c r="AM1891" s="122">
        <v>3232</v>
      </c>
      <c r="AN1891" s="122">
        <v>3345</v>
      </c>
      <c r="AO1891" s="122">
        <v>1239</v>
      </c>
      <c r="AP1891" s="122">
        <v>1242</v>
      </c>
      <c r="AQ1891">
        <v>460</v>
      </c>
      <c r="AR1891" s="122">
        <v>9384</v>
      </c>
      <c r="AS1891" s="122">
        <v>8531</v>
      </c>
      <c r="AT1891" s="122">
        <v>6364</v>
      </c>
      <c r="AU1891" s="122">
        <v>2357</v>
      </c>
      <c r="AV1891" s="122">
        <v>54899</v>
      </c>
    </row>
    <row r="1892" spans="2:48" hidden="1">
      <c r="B1892" t="s">
        <v>378</v>
      </c>
      <c r="C1892" t="s">
        <v>52</v>
      </c>
      <c r="D1892" t="s">
        <v>408</v>
      </c>
      <c r="E1892" t="s">
        <v>408</v>
      </c>
      <c r="F1892" s="122">
        <v>1</v>
      </c>
      <c r="G1892" s="122">
        <v>260</v>
      </c>
      <c r="H1892" s="122">
        <v>123</v>
      </c>
      <c r="I1892" s="122">
        <v>18219</v>
      </c>
      <c r="J1892" s="122">
        <v>16563</v>
      </c>
      <c r="K1892" s="122">
        <v>87</v>
      </c>
      <c r="L1892" s="122">
        <v>2935</v>
      </c>
      <c r="M1892" s="122">
        <v>2668</v>
      </c>
      <c r="N1892" s="122">
        <v>4144</v>
      </c>
      <c r="O1892" s="122">
        <v>1535</v>
      </c>
      <c r="P1892" s="122">
        <v>351</v>
      </c>
      <c r="Q1892" s="122">
        <v>130</v>
      </c>
      <c r="R1892" s="122">
        <v>6190</v>
      </c>
      <c r="S1892" s="122">
        <v>5628</v>
      </c>
      <c r="T1892" s="122">
        <v>0</v>
      </c>
      <c r="U1892" s="122">
        <v>0</v>
      </c>
      <c r="V1892" s="122">
        <v>26524</v>
      </c>
      <c r="W1892" s="122">
        <f t="shared" si="60"/>
        <v>26524</v>
      </c>
      <c r="X1892" s="122">
        <f t="shared" si="61"/>
        <v>31839</v>
      </c>
      <c r="AA1892" t="s">
        <v>64</v>
      </c>
      <c r="AB1892" t="s">
        <v>406</v>
      </c>
      <c r="AC1892" t="s">
        <v>137</v>
      </c>
      <c r="AD1892" t="s">
        <v>426</v>
      </c>
      <c r="AE1892" t="s">
        <v>566</v>
      </c>
      <c r="AF1892">
        <v>1</v>
      </c>
      <c r="AG1892">
        <v>102</v>
      </c>
      <c r="AH1892">
        <v>466</v>
      </c>
      <c r="AI1892" s="122">
        <v>26134</v>
      </c>
      <c r="AJ1892" s="122">
        <v>23758</v>
      </c>
      <c r="AK1892">
        <v>86</v>
      </c>
      <c r="AL1892" s="122">
        <v>9646</v>
      </c>
      <c r="AM1892" s="122">
        <v>3573</v>
      </c>
      <c r="AN1892" s="122">
        <v>2490</v>
      </c>
      <c r="AO1892">
        <v>922</v>
      </c>
      <c r="AP1892">
        <v>621</v>
      </c>
      <c r="AQ1892">
        <v>230</v>
      </c>
      <c r="AR1892" s="122">
        <v>8770</v>
      </c>
      <c r="AS1892" s="122">
        <v>7973</v>
      </c>
      <c r="AT1892">
        <v>0</v>
      </c>
      <c r="AU1892">
        <v>0</v>
      </c>
      <c r="AV1892" s="122">
        <v>36456</v>
      </c>
    </row>
    <row r="1893" spans="2:48" hidden="1">
      <c r="B1893" t="s">
        <v>378</v>
      </c>
      <c r="C1893" t="s">
        <v>54</v>
      </c>
      <c r="F1893" s="122">
        <v>7</v>
      </c>
      <c r="G1893" s="122">
        <v>906</v>
      </c>
      <c r="H1893" s="122">
        <v>963</v>
      </c>
      <c r="I1893" s="122"/>
      <c r="J1893" s="122">
        <v>0</v>
      </c>
      <c r="K1893" s="122"/>
      <c r="L1893" s="122"/>
      <c r="M1893" s="122">
        <v>0</v>
      </c>
      <c r="N1893" s="122">
        <v>17198</v>
      </c>
      <c r="O1893" s="122">
        <v>6370</v>
      </c>
      <c r="P1893" s="122">
        <v>4347</v>
      </c>
      <c r="Q1893" s="122">
        <v>1610</v>
      </c>
      <c r="R1893" s="122"/>
      <c r="S1893" s="122">
        <v>0</v>
      </c>
      <c r="T1893" s="122">
        <v>0</v>
      </c>
      <c r="U1893" s="122">
        <v>0</v>
      </c>
      <c r="V1893" s="122">
        <v>7980</v>
      </c>
      <c r="W1893" s="122">
        <f t="shared" si="60"/>
        <v>7980</v>
      </c>
      <c r="X1893" s="122">
        <f t="shared" si="61"/>
        <v>21545</v>
      </c>
      <c r="AA1893" t="s">
        <v>64</v>
      </c>
      <c r="AB1893" t="s">
        <v>406</v>
      </c>
      <c r="AC1893" t="s">
        <v>580</v>
      </c>
      <c r="AD1893" t="s">
        <v>137</v>
      </c>
      <c r="AE1893" t="s">
        <v>137</v>
      </c>
      <c r="AF1893">
        <v>1</v>
      </c>
      <c r="AG1893">
        <v>74</v>
      </c>
      <c r="AH1893">
        <v>562</v>
      </c>
      <c r="AI1893" s="122">
        <v>24153</v>
      </c>
      <c r="AJ1893" s="122">
        <v>21957</v>
      </c>
      <c r="AK1893">
        <v>65</v>
      </c>
      <c r="AL1893" s="122">
        <v>5528</v>
      </c>
      <c r="AM1893" s="122">
        <v>5026</v>
      </c>
      <c r="AN1893">
        <v>902</v>
      </c>
      <c r="AO1893">
        <v>334</v>
      </c>
      <c r="AP1893">
        <v>621</v>
      </c>
      <c r="AQ1893">
        <v>230</v>
      </c>
      <c r="AR1893" s="122">
        <v>10423</v>
      </c>
      <c r="AS1893" s="122">
        <v>3860</v>
      </c>
      <c r="AT1893">
        <v>0</v>
      </c>
      <c r="AU1893">
        <v>0</v>
      </c>
      <c r="AV1893" s="122">
        <v>31407</v>
      </c>
    </row>
    <row r="1894" spans="2:48" hidden="1">
      <c r="B1894" t="s">
        <v>378</v>
      </c>
      <c r="C1894" t="s">
        <v>54</v>
      </c>
      <c r="D1894" t="s">
        <v>425</v>
      </c>
      <c r="E1894" t="s">
        <v>425</v>
      </c>
      <c r="F1894" s="122">
        <v>1</v>
      </c>
      <c r="G1894" s="122">
        <v>171</v>
      </c>
      <c r="H1894" s="122">
        <v>142</v>
      </c>
      <c r="I1894" s="122">
        <v>12918</v>
      </c>
      <c r="J1894" s="122">
        <v>11744</v>
      </c>
      <c r="K1894" s="122">
        <v>92</v>
      </c>
      <c r="L1894" s="122">
        <v>4182</v>
      </c>
      <c r="M1894" s="122">
        <v>3802</v>
      </c>
      <c r="N1894" s="122">
        <v>2672</v>
      </c>
      <c r="O1894" s="122">
        <v>990</v>
      </c>
      <c r="P1894" s="122">
        <v>473</v>
      </c>
      <c r="Q1894" s="122">
        <v>175</v>
      </c>
      <c r="R1894" s="122">
        <v>4085</v>
      </c>
      <c r="S1894" s="122">
        <v>3713</v>
      </c>
      <c r="T1894" s="122">
        <v>0</v>
      </c>
      <c r="U1894" s="122">
        <v>0</v>
      </c>
      <c r="V1894" s="122">
        <v>20423</v>
      </c>
      <c r="W1894" s="122">
        <f t="shared" si="60"/>
        <v>20424</v>
      </c>
      <c r="X1894" s="122">
        <f t="shared" si="61"/>
        <v>24330</v>
      </c>
      <c r="AA1894" t="s">
        <v>64</v>
      </c>
      <c r="AB1894" t="s">
        <v>406</v>
      </c>
      <c r="AC1894" t="s">
        <v>580</v>
      </c>
      <c r="AD1894" t="s">
        <v>137</v>
      </c>
      <c r="AE1894" t="s">
        <v>566</v>
      </c>
      <c r="AF1894">
        <v>2</v>
      </c>
      <c r="AG1894">
        <v>154</v>
      </c>
      <c r="AH1894" s="122">
        <v>1126</v>
      </c>
      <c r="AI1894" s="122">
        <v>64359</v>
      </c>
      <c r="AJ1894" s="122">
        <v>58508</v>
      </c>
      <c r="AK1894">
        <v>78</v>
      </c>
      <c r="AL1894" s="122">
        <v>8823</v>
      </c>
      <c r="AM1894" s="122">
        <v>8021</v>
      </c>
      <c r="AN1894" s="122">
        <v>2706</v>
      </c>
      <c r="AO1894" s="122">
        <v>1002</v>
      </c>
      <c r="AP1894" s="122">
        <v>1242</v>
      </c>
      <c r="AQ1894">
        <v>460</v>
      </c>
      <c r="AR1894" s="122">
        <v>9652</v>
      </c>
      <c r="AS1894" s="122">
        <v>3575</v>
      </c>
      <c r="AT1894">
        <v>0</v>
      </c>
      <c r="AU1894">
        <v>0</v>
      </c>
      <c r="AV1894" s="122">
        <v>71566</v>
      </c>
    </row>
    <row r="1895" spans="2:48" hidden="1">
      <c r="B1895" t="s">
        <v>378</v>
      </c>
      <c r="C1895" t="s">
        <v>54</v>
      </c>
      <c r="D1895" t="s">
        <v>425</v>
      </c>
      <c r="E1895" t="s">
        <v>405</v>
      </c>
      <c r="F1895" s="122">
        <v>1</v>
      </c>
      <c r="G1895" s="122">
        <v>109</v>
      </c>
      <c r="H1895" s="122">
        <v>149</v>
      </c>
      <c r="I1895" s="122">
        <v>7902</v>
      </c>
      <c r="J1895" s="122">
        <v>7184</v>
      </c>
      <c r="K1895" s="122">
        <v>91</v>
      </c>
      <c r="L1895" s="122">
        <v>1950</v>
      </c>
      <c r="M1895" s="122">
        <v>722</v>
      </c>
      <c r="N1895" s="122">
        <v>1857</v>
      </c>
      <c r="O1895" s="122">
        <v>688</v>
      </c>
      <c r="P1895" s="122">
        <v>122</v>
      </c>
      <c r="Q1895" s="122">
        <v>45</v>
      </c>
      <c r="R1895" s="122">
        <v>4387</v>
      </c>
      <c r="S1895" s="122">
        <v>3988</v>
      </c>
      <c r="T1895" s="122">
        <v>0</v>
      </c>
      <c r="U1895" s="122">
        <v>0</v>
      </c>
      <c r="V1895" s="122">
        <v>12627</v>
      </c>
      <c r="W1895" s="122">
        <f t="shared" si="60"/>
        <v>12627</v>
      </c>
      <c r="X1895" s="122">
        <f t="shared" si="61"/>
        <v>16218</v>
      </c>
      <c r="AA1895" t="s">
        <v>64</v>
      </c>
      <c r="AB1895" t="s">
        <v>406</v>
      </c>
      <c r="AC1895" t="s">
        <v>580</v>
      </c>
      <c r="AD1895" t="s">
        <v>406</v>
      </c>
      <c r="AE1895" t="s">
        <v>137</v>
      </c>
      <c r="AF1895">
        <v>32</v>
      </c>
      <c r="AG1895" s="122">
        <v>3234</v>
      </c>
      <c r="AH1895" s="122">
        <v>17590</v>
      </c>
      <c r="AI1895" s="122">
        <v>1131151</v>
      </c>
      <c r="AJ1895" s="122">
        <v>1028319</v>
      </c>
      <c r="AK1895">
        <v>71</v>
      </c>
      <c r="AL1895" s="122">
        <v>326009</v>
      </c>
      <c r="AM1895" s="122">
        <v>296371</v>
      </c>
      <c r="AN1895" s="122">
        <v>69190</v>
      </c>
      <c r="AO1895" s="122">
        <v>25626</v>
      </c>
      <c r="AP1895" s="122">
        <v>20763</v>
      </c>
      <c r="AQ1895" s="122">
        <v>7690</v>
      </c>
      <c r="AR1895" s="122">
        <v>156612</v>
      </c>
      <c r="AS1895" s="122">
        <v>142374</v>
      </c>
      <c r="AT1895" s="122">
        <v>91389</v>
      </c>
      <c r="AU1895" s="122">
        <v>33848</v>
      </c>
      <c r="AV1895" s="122">
        <v>1534228</v>
      </c>
    </row>
    <row r="1896" spans="2:48" hidden="1">
      <c r="B1896" t="s">
        <v>378</v>
      </c>
      <c r="C1896" t="s">
        <v>54</v>
      </c>
      <c r="D1896" t="s">
        <v>405</v>
      </c>
      <c r="E1896" t="s">
        <v>405</v>
      </c>
      <c r="F1896" s="122">
        <v>7</v>
      </c>
      <c r="G1896" s="122">
        <v>668</v>
      </c>
      <c r="H1896" s="122">
        <v>1006</v>
      </c>
      <c r="I1896" s="122">
        <v>44859</v>
      </c>
      <c r="J1896" s="122">
        <v>40781</v>
      </c>
      <c r="K1896" s="122">
        <v>86</v>
      </c>
      <c r="L1896" s="122">
        <v>11150</v>
      </c>
      <c r="M1896" s="122">
        <v>10136</v>
      </c>
      <c r="N1896" s="122">
        <v>11191</v>
      </c>
      <c r="O1896" s="122">
        <v>4145</v>
      </c>
      <c r="P1896" s="122">
        <v>3308</v>
      </c>
      <c r="Q1896" s="122">
        <v>1225</v>
      </c>
      <c r="R1896" s="122">
        <v>27210</v>
      </c>
      <c r="S1896" s="122">
        <v>24736</v>
      </c>
      <c r="T1896" s="122">
        <v>0</v>
      </c>
      <c r="U1896" s="122">
        <v>0</v>
      </c>
      <c r="V1896" s="122">
        <v>81023</v>
      </c>
      <c r="W1896" s="122">
        <f t="shared" si="60"/>
        <v>81023</v>
      </c>
      <c r="X1896" s="122">
        <f t="shared" si="61"/>
        <v>97718</v>
      </c>
      <c r="AA1896" t="s">
        <v>64</v>
      </c>
      <c r="AB1896" t="s">
        <v>406</v>
      </c>
      <c r="AC1896" t="s">
        <v>580</v>
      </c>
      <c r="AD1896" t="s">
        <v>406</v>
      </c>
      <c r="AE1896" t="s">
        <v>566</v>
      </c>
      <c r="AF1896">
        <v>15</v>
      </c>
      <c r="AG1896" s="122">
        <v>1681</v>
      </c>
      <c r="AH1896" s="122">
        <v>7393</v>
      </c>
      <c r="AI1896" s="122">
        <v>661887</v>
      </c>
      <c r="AJ1896" s="122">
        <v>601715</v>
      </c>
      <c r="AK1896">
        <v>68</v>
      </c>
      <c r="AL1896" s="122">
        <v>62349</v>
      </c>
      <c r="AM1896" s="122">
        <v>56681</v>
      </c>
      <c r="AN1896" s="122">
        <v>40030</v>
      </c>
      <c r="AO1896" s="122">
        <v>14826</v>
      </c>
      <c r="AP1896" s="122">
        <v>9315</v>
      </c>
      <c r="AQ1896" s="122">
        <v>3450</v>
      </c>
      <c r="AR1896" s="122">
        <v>112259</v>
      </c>
      <c r="AS1896" s="122">
        <v>102053</v>
      </c>
      <c r="AT1896">
        <v>0</v>
      </c>
      <c r="AU1896">
        <v>0</v>
      </c>
      <c r="AV1896" s="122">
        <v>778725</v>
      </c>
    </row>
    <row r="1897" spans="2:48" hidden="1">
      <c r="B1897" t="s">
        <v>378</v>
      </c>
      <c r="C1897" t="s">
        <v>54</v>
      </c>
      <c r="D1897" t="s">
        <v>405</v>
      </c>
      <c r="E1897" t="s">
        <v>407</v>
      </c>
      <c r="F1897" s="122">
        <v>1</v>
      </c>
      <c r="G1897" s="122">
        <v>82</v>
      </c>
      <c r="H1897" s="122">
        <v>143</v>
      </c>
      <c r="I1897" s="122">
        <v>4949</v>
      </c>
      <c r="J1897" s="122">
        <v>4499</v>
      </c>
      <c r="K1897" s="122">
        <v>80</v>
      </c>
      <c r="L1897" s="122">
        <v>1395</v>
      </c>
      <c r="M1897" s="122">
        <v>1268</v>
      </c>
      <c r="N1897" s="122">
        <v>995</v>
      </c>
      <c r="O1897" s="122">
        <v>369</v>
      </c>
      <c r="P1897" s="122">
        <v>473</v>
      </c>
      <c r="Q1897" s="122">
        <v>175</v>
      </c>
      <c r="R1897" s="122">
        <v>3855</v>
      </c>
      <c r="S1897" s="122">
        <v>3504</v>
      </c>
      <c r="T1897" s="122">
        <v>0</v>
      </c>
      <c r="U1897" s="122">
        <v>0</v>
      </c>
      <c r="V1897" s="122">
        <v>9815</v>
      </c>
      <c r="W1897" s="122">
        <f t="shared" si="60"/>
        <v>9815</v>
      </c>
      <c r="X1897" s="122">
        <f t="shared" si="61"/>
        <v>11667</v>
      </c>
      <c r="AA1897" t="s">
        <v>64</v>
      </c>
      <c r="AB1897" t="s">
        <v>406</v>
      </c>
      <c r="AC1897" t="s">
        <v>580</v>
      </c>
      <c r="AD1897" t="s">
        <v>426</v>
      </c>
      <c r="AE1897" t="s">
        <v>566</v>
      </c>
      <c r="AF1897">
        <v>1</v>
      </c>
      <c r="AG1897">
        <v>63</v>
      </c>
      <c r="AH1897">
        <v>555</v>
      </c>
      <c r="AI1897" s="122">
        <v>21276</v>
      </c>
      <c r="AJ1897" s="122">
        <v>19342</v>
      </c>
      <c r="AK1897">
        <v>85</v>
      </c>
      <c r="AL1897" s="122">
        <v>6359</v>
      </c>
      <c r="AM1897" s="122">
        <v>5781</v>
      </c>
      <c r="AN1897" s="122">
        <v>1535</v>
      </c>
      <c r="AO1897">
        <v>569</v>
      </c>
      <c r="AP1897">
        <v>621</v>
      </c>
      <c r="AQ1897">
        <v>230</v>
      </c>
      <c r="AR1897" s="122">
        <v>5147</v>
      </c>
      <c r="AS1897" s="122">
        <v>4679</v>
      </c>
      <c r="AT1897">
        <v>0</v>
      </c>
      <c r="AU1897">
        <v>0</v>
      </c>
      <c r="AV1897" s="122">
        <v>30601</v>
      </c>
    </row>
    <row r="1898" spans="2:48" hidden="1">
      <c r="B1898" t="s">
        <v>378</v>
      </c>
      <c r="C1898" t="s">
        <v>54</v>
      </c>
      <c r="D1898" t="s">
        <v>406</v>
      </c>
      <c r="E1898" t="s">
        <v>406</v>
      </c>
      <c r="F1898" s="122">
        <v>234</v>
      </c>
      <c r="G1898" s="122">
        <v>26769</v>
      </c>
      <c r="H1898" s="122">
        <v>32755</v>
      </c>
      <c r="I1898" s="122">
        <v>1750518</v>
      </c>
      <c r="J1898" s="122">
        <v>1591380</v>
      </c>
      <c r="K1898" s="122">
        <v>91</v>
      </c>
      <c r="L1898" s="122">
        <v>397293</v>
      </c>
      <c r="M1898" s="122">
        <v>340132</v>
      </c>
      <c r="N1898" s="122">
        <v>465025</v>
      </c>
      <c r="O1898" s="122">
        <v>172231</v>
      </c>
      <c r="P1898" s="122">
        <v>150660</v>
      </c>
      <c r="Q1898" s="122">
        <v>55800</v>
      </c>
      <c r="R1898" s="122">
        <v>1015368</v>
      </c>
      <c r="S1898" s="122">
        <v>923062</v>
      </c>
      <c r="T1898" s="122">
        <v>11694</v>
      </c>
      <c r="U1898" s="122">
        <v>4331</v>
      </c>
      <c r="V1898" s="122">
        <v>3086937</v>
      </c>
      <c r="W1898" s="122">
        <f t="shared" si="60"/>
        <v>3086936</v>
      </c>
      <c r="X1898" s="122">
        <f t="shared" si="61"/>
        <v>3790558</v>
      </c>
      <c r="AA1898" t="s">
        <v>64</v>
      </c>
      <c r="AB1898" t="s">
        <v>406</v>
      </c>
      <c r="AC1898" t="s">
        <v>427</v>
      </c>
      <c r="AD1898" t="s">
        <v>137</v>
      </c>
      <c r="AE1898" t="s">
        <v>566</v>
      </c>
      <c r="AF1898">
        <v>12</v>
      </c>
      <c r="AG1898">
        <v>912</v>
      </c>
      <c r="AH1898" s="122">
        <v>6648</v>
      </c>
      <c r="AI1898" s="122">
        <v>306076</v>
      </c>
      <c r="AJ1898" s="122">
        <v>278251</v>
      </c>
      <c r="AK1898">
        <v>75</v>
      </c>
      <c r="AL1898" s="122">
        <v>74855</v>
      </c>
      <c r="AM1898" s="122">
        <v>68050</v>
      </c>
      <c r="AN1898" s="122">
        <v>21183</v>
      </c>
      <c r="AO1898" s="122">
        <v>7846</v>
      </c>
      <c r="AP1898" s="122">
        <v>7101</v>
      </c>
      <c r="AQ1898" s="122">
        <v>2630</v>
      </c>
      <c r="AR1898" s="122">
        <v>91406</v>
      </c>
      <c r="AS1898" s="122">
        <v>33854</v>
      </c>
      <c r="AT1898">
        <v>0</v>
      </c>
      <c r="AU1898">
        <v>0</v>
      </c>
      <c r="AV1898" s="122">
        <v>390631</v>
      </c>
    </row>
    <row r="1899" spans="2:48" hidden="1">
      <c r="B1899" t="s">
        <v>378</v>
      </c>
      <c r="C1899" t="s">
        <v>54</v>
      </c>
      <c r="D1899" t="s">
        <v>407</v>
      </c>
      <c r="E1899" t="s">
        <v>406</v>
      </c>
      <c r="F1899" s="122">
        <v>1</v>
      </c>
      <c r="G1899" s="122">
        <v>122</v>
      </c>
      <c r="H1899" s="122">
        <v>146</v>
      </c>
      <c r="I1899" s="122">
        <v>12513</v>
      </c>
      <c r="J1899" s="122">
        <v>11375</v>
      </c>
      <c r="K1899" s="122">
        <v>73</v>
      </c>
      <c r="L1899" s="122">
        <v>2412</v>
      </c>
      <c r="M1899" s="122">
        <v>2193</v>
      </c>
      <c r="N1899" s="122">
        <v>1917</v>
      </c>
      <c r="O1899" s="122">
        <v>710</v>
      </c>
      <c r="P1899" s="122">
        <v>824</v>
      </c>
      <c r="Q1899" s="122">
        <v>305</v>
      </c>
      <c r="R1899" s="122">
        <v>164</v>
      </c>
      <c r="S1899" s="122">
        <v>149</v>
      </c>
      <c r="T1899" s="122">
        <v>0</v>
      </c>
      <c r="U1899" s="122">
        <v>0</v>
      </c>
      <c r="V1899" s="122">
        <v>14732</v>
      </c>
      <c r="W1899" s="122">
        <f t="shared" si="60"/>
        <v>14732</v>
      </c>
      <c r="X1899" s="122">
        <f t="shared" si="61"/>
        <v>17830</v>
      </c>
      <c r="AA1899" t="s">
        <v>64</v>
      </c>
      <c r="AB1899" t="s">
        <v>406</v>
      </c>
      <c r="AC1899" t="s">
        <v>427</v>
      </c>
      <c r="AD1899" t="s">
        <v>406</v>
      </c>
      <c r="AE1899" t="s">
        <v>137</v>
      </c>
      <c r="AF1899">
        <v>263</v>
      </c>
      <c r="AG1899" s="122">
        <v>23810</v>
      </c>
      <c r="AH1899" s="122">
        <v>143666</v>
      </c>
      <c r="AI1899" s="122">
        <v>8055906</v>
      </c>
      <c r="AJ1899" s="122">
        <v>7323551</v>
      </c>
      <c r="AK1899">
        <v>72</v>
      </c>
      <c r="AL1899" s="122">
        <v>2131889</v>
      </c>
      <c r="AM1899" s="122">
        <v>1938081</v>
      </c>
      <c r="AN1899" s="122">
        <v>530817</v>
      </c>
      <c r="AO1899" s="122">
        <v>196599</v>
      </c>
      <c r="AP1899" s="122">
        <v>165483</v>
      </c>
      <c r="AQ1899" s="122">
        <v>61290</v>
      </c>
      <c r="AR1899" s="122">
        <v>1888684</v>
      </c>
      <c r="AS1899" s="122">
        <v>1716985</v>
      </c>
      <c r="AT1899" s="122">
        <v>598927</v>
      </c>
      <c r="AU1899" s="122">
        <v>221825</v>
      </c>
      <c r="AV1899" s="122">
        <v>11458331</v>
      </c>
    </row>
    <row r="1900" spans="2:48" hidden="1">
      <c r="B1900" t="s">
        <v>378</v>
      </c>
      <c r="C1900" t="s">
        <v>54</v>
      </c>
      <c r="D1900" t="s">
        <v>407</v>
      </c>
      <c r="E1900" t="s">
        <v>407</v>
      </c>
      <c r="F1900" s="122">
        <v>1071</v>
      </c>
      <c r="G1900" s="122">
        <v>121790</v>
      </c>
      <c r="H1900" s="122">
        <v>150062</v>
      </c>
      <c r="I1900" s="122">
        <v>8052105</v>
      </c>
      <c r="J1900" s="122">
        <v>7320096</v>
      </c>
      <c r="K1900" s="122">
        <v>86</v>
      </c>
      <c r="L1900" s="122">
        <v>1487115</v>
      </c>
      <c r="M1900" s="122">
        <v>1249870</v>
      </c>
      <c r="N1900" s="122">
        <v>2155084</v>
      </c>
      <c r="O1900" s="122">
        <v>798179</v>
      </c>
      <c r="P1900" s="122">
        <v>528206</v>
      </c>
      <c r="Q1900" s="122">
        <v>195632</v>
      </c>
      <c r="R1900" s="122">
        <v>4893939</v>
      </c>
      <c r="S1900" s="122">
        <v>4449036</v>
      </c>
      <c r="T1900" s="122">
        <v>175866</v>
      </c>
      <c r="U1900" s="122">
        <v>65136</v>
      </c>
      <c r="V1900" s="122">
        <v>14077948</v>
      </c>
      <c r="W1900" s="122">
        <f t="shared" si="60"/>
        <v>14077949</v>
      </c>
      <c r="X1900" s="122">
        <f t="shared" si="61"/>
        <v>17292315</v>
      </c>
      <c r="AA1900" t="s">
        <v>64</v>
      </c>
      <c r="AB1900" t="s">
        <v>406</v>
      </c>
      <c r="AC1900" t="s">
        <v>427</v>
      </c>
      <c r="AD1900" t="s">
        <v>406</v>
      </c>
      <c r="AE1900" t="s">
        <v>566</v>
      </c>
      <c r="AF1900">
        <v>97</v>
      </c>
      <c r="AG1900" s="122">
        <v>8915</v>
      </c>
      <c r="AH1900" s="122">
        <v>52358</v>
      </c>
      <c r="AI1900" s="122">
        <v>3062986</v>
      </c>
      <c r="AJ1900" s="122">
        <v>2784533</v>
      </c>
      <c r="AK1900">
        <v>71</v>
      </c>
      <c r="AL1900" s="122">
        <v>694473</v>
      </c>
      <c r="AM1900" s="122">
        <v>631339</v>
      </c>
      <c r="AN1900" s="122">
        <v>199647</v>
      </c>
      <c r="AO1900" s="122">
        <v>73943</v>
      </c>
      <c r="AP1900" s="122">
        <v>61795</v>
      </c>
      <c r="AQ1900" s="122">
        <v>22887</v>
      </c>
      <c r="AR1900" s="122">
        <v>674127</v>
      </c>
      <c r="AS1900" s="122">
        <v>612843</v>
      </c>
      <c r="AT1900">
        <v>0</v>
      </c>
      <c r="AU1900">
        <v>0</v>
      </c>
      <c r="AV1900" s="122">
        <v>4125545</v>
      </c>
    </row>
    <row r="1901" spans="2:48" hidden="1">
      <c r="B1901" t="s">
        <v>378</v>
      </c>
      <c r="C1901" t="s">
        <v>54</v>
      </c>
      <c r="D1901" t="s">
        <v>556</v>
      </c>
      <c r="E1901" t="s">
        <v>407</v>
      </c>
      <c r="F1901" s="122">
        <v>1</v>
      </c>
      <c r="G1901" s="122">
        <v>127</v>
      </c>
      <c r="H1901" s="122">
        <v>139</v>
      </c>
      <c r="I1901" s="122">
        <v>8852</v>
      </c>
      <c r="J1901" s="122">
        <v>7377</v>
      </c>
      <c r="K1901" s="122">
        <v>90</v>
      </c>
      <c r="L1901" s="122">
        <v>1354</v>
      </c>
      <c r="M1901" s="122">
        <v>1231</v>
      </c>
      <c r="N1901" s="122">
        <v>2235</v>
      </c>
      <c r="O1901" s="122">
        <v>828</v>
      </c>
      <c r="P1901" s="122">
        <v>473</v>
      </c>
      <c r="Q1901" s="122">
        <v>175</v>
      </c>
      <c r="R1901" s="122">
        <v>4699</v>
      </c>
      <c r="S1901" s="122">
        <v>4272</v>
      </c>
      <c r="T1901" s="122">
        <v>0</v>
      </c>
      <c r="U1901" s="122">
        <v>0</v>
      </c>
      <c r="V1901" s="122">
        <v>13882</v>
      </c>
      <c r="W1901" s="122">
        <f t="shared" si="60"/>
        <v>13883</v>
      </c>
      <c r="X1901" s="122">
        <f t="shared" si="61"/>
        <v>17613</v>
      </c>
      <c r="AA1901" t="s">
        <v>64</v>
      </c>
      <c r="AB1901" t="s">
        <v>406</v>
      </c>
      <c r="AC1901" t="s">
        <v>427</v>
      </c>
      <c r="AD1901" t="s">
        <v>427</v>
      </c>
      <c r="AE1901" t="s">
        <v>137</v>
      </c>
      <c r="AF1901">
        <v>1</v>
      </c>
      <c r="AG1901">
        <v>98</v>
      </c>
      <c r="AH1901">
        <v>626</v>
      </c>
      <c r="AI1901" s="122">
        <v>45465</v>
      </c>
      <c r="AJ1901" s="122">
        <v>41331</v>
      </c>
      <c r="AK1901">
        <v>60</v>
      </c>
      <c r="AL1901" s="122">
        <v>5759</v>
      </c>
      <c r="AM1901" s="122">
        <v>5235</v>
      </c>
      <c r="AN1901" s="122">
        <v>2169</v>
      </c>
      <c r="AO1901">
        <v>803</v>
      </c>
      <c r="AP1901">
        <v>621</v>
      </c>
      <c r="AQ1901">
        <v>230</v>
      </c>
      <c r="AR1901" s="122">
        <v>5296</v>
      </c>
      <c r="AS1901" s="122">
        <v>4815</v>
      </c>
      <c r="AT1901" s="122">
        <v>1954</v>
      </c>
      <c r="AU1901">
        <v>724</v>
      </c>
      <c r="AV1901" s="122">
        <v>53139</v>
      </c>
    </row>
    <row r="1902" spans="2:48" hidden="1">
      <c r="B1902" t="s">
        <v>378</v>
      </c>
      <c r="C1902" t="s">
        <v>54</v>
      </c>
      <c r="D1902" t="s">
        <v>408</v>
      </c>
      <c r="E1902" t="s">
        <v>408</v>
      </c>
      <c r="F1902" s="122">
        <v>1</v>
      </c>
      <c r="G1902" s="122">
        <v>143</v>
      </c>
      <c r="H1902" s="122">
        <v>140</v>
      </c>
      <c r="I1902" s="122">
        <v>8854</v>
      </c>
      <c r="J1902" s="122">
        <v>8049</v>
      </c>
      <c r="K1902" s="122">
        <v>94</v>
      </c>
      <c r="L1902" s="122">
        <v>3373</v>
      </c>
      <c r="M1902" s="122">
        <v>2811</v>
      </c>
      <c r="N1902" s="122">
        <v>2708</v>
      </c>
      <c r="O1902" s="122">
        <v>1003</v>
      </c>
      <c r="P1902" s="122">
        <v>351</v>
      </c>
      <c r="Q1902" s="122">
        <v>130</v>
      </c>
      <c r="R1902" s="122">
        <v>4744</v>
      </c>
      <c r="S1902" s="122">
        <v>4313</v>
      </c>
      <c r="T1902" s="122">
        <v>0</v>
      </c>
      <c r="U1902" s="122">
        <v>0</v>
      </c>
      <c r="V1902" s="122">
        <v>16306</v>
      </c>
      <c r="W1902" s="122">
        <f t="shared" si="60"/>
        <v>16306</v>
      </c>
      <c r="X1902" s="122">
        <f t="shared" si="61"/>
        <v>20030</v>
      </c>
      <c r="AA1902" t="s">
        <v>64</v>
      </c>
      <c r="AB1902" t="s">
        <v>406</v>
      </c>
      <c r="AC1902" t="s">
        <v>427</v>
      </c>
      <c r="AD1902" t="s">
        <v>407</v>
      </c>
      <c r="AE1902" t="s">
        <v>137</v>
      </c>
      <c r="AF1902">
        <v>1</v>
      </c>
      <c r="AG1902">
        <v>72</v>
      </c>
      <c r="AH1902">
        <v>454</v>
      </c>
      <c r="AI1902" s="122">
        <v>18191</v>
      </c>
      <c r="AJ1902" s="122">
        <v>16537</v>
      </c>
      <c r="AK1902">
        <v>65</v>
      </c>
      <c r="AL1902" s="122">
        <v>4164</v>
      </c>
      <c r="AM1902" s="122">
        <v>3785</v>
      </c>
      <c r="AN1902" s="122">
        <v>1754</v>
      </c>
      <c r="AO1902">
        <v>650</v>
      </c>
      <c r="AP1902">
        <v>621</v>
      </c>
      <c r="AQ1902">
        <v>230</v>
      </c>
      <c r="AR1902" s="122">
        <v>5166</v>
      </c>
      <c r="AS1902" s="122">
        <v>4697</v>
      </c>
      <c r="AT1902" s="122">
        <v>2770</v>
      </c>
      <c r="AU1902" s="122">
        <v>1026</v>
      </c>
      <c r="AV1902" s="122">
        <v>26925</v>
      </c>
    </row>
    <row r="1903" spans="2:48" hidden="1">
      <c r="B1903" t="s">
        <v>378</v>
      </c>
      <c r="C1903" t="s">
        <v>56</v>
      </c>
      <c r="F1903" s="122">
        <v>5</v>
      </c>
      <c r="G1903" s="122">
        <v>805</v>
      </c>
      <c r="H1903" s="122">
        <v>875</v>
      </c>
      <c r="I1903" s="122"/>
      <c r="J1903" s="122">
        <v>0</v>
      </c>
      <c r="K1903" s="122"/>
      <c r="L1903" s="122"/>
      <c r="M1903" s="122">
        <v>0</v>
      </c>
      <c r="N1903" s="122">
        <v>16552</v>
      </c>
      <c r="O1903" s="122">
        <v>6130</v>
      </c>
      <c r="P1903" s="122">
        <v>2336</v>
      </c>
      <c r="Q1903" s="122">
        <v>865</v>
      </c>
      <c r="R1903" s="122"/>
      <c r="S1903" s="122">
        <v>0</v>
      </c>
      <c r="T1903" s="122">
        <v>3344</v>
      </c>
      <c r="U1903" s="122">
        <v>1239</v>
      </c>
      <c r="V1903" s="122">
        <v>8234</v>
      </c>
      <c r="W1903" s="122">
        <f t="shared" si="60"/>
        <v>8234</v>
      </c>
      <c r="X1903" s="122">
        <f t="shared" si="61"/>
        <v>22232</v>
      </c>
      <c r="AA1903" t="s">
        <v>64</v>
      </c>
      <c r="AB1903" t="s">
        <v>406</v>
      </c>
      <c r="AC1903" t="s">
        <v>407</v>
      </c>
      <c r="AD1903" t="s">
        <v>406</v>
      </c>
      <c r="AE1903" t="s">
        <v>137</v>
      </c>
      <c r="AF1903">
        <v>23</v>
      </c>
      <c r="AG1903" s="122">
        <v>2823</v>
      </c>
      <c r="AH1903" s="122">
        <v>11736</v>
      </c>
      <c r="AI1903" s="122">
        <v>936660</v>
      </c>
      <c r="AJ1903" s="122">
        <v>851509</v>
      </c>
      <c r="AK1903">
        <v>68</v>
      </c>
      <c r="AL1903" s="122">
        <v>267525</v>
      </c>
      <c r="AM1903" s="122">
        <v>243205</v>
      </c>
      <c r="AN1903" s="122">
        <v>60698</v>
      </c>
      <c r="AO1903" s="122">
        <v>22481</v>
      </c>
      <c r="AP1903" s="122">
        <v>14283</v>
      </c>
      <c r="AQ1903" s="122">
        <v>5290</v>
      </c>
      <c r="AR1903" s="122">
        <v>127719</v>
      </c>
      <c r="AS1903" s="122">
        <v>116108</v>
      </c>
      <c r="AT1903" s="122">
        <v>65882</v>
      </c>
      <c r="AU1903" s="122">
        <v>24401</v>
      </c>
      <c r="AV1903" s="122">
        <v>1262993</v>
      </c>
    </row>
    <row r="1904" spans="2:48" hidden="1">
      <c r="B1904" t="s">
        <v>378</v>
      </c>
      <c r="C1904" t="s">
        <v>56</v>
      </c>
      <c r="D1904" t="s">
        <v>425</v>
      </c>
      <c r="E1904" t="s">
        <v>407</v>
      </c>
      <c r="F1904" s="122">
        <v>1</v>
      </c>
      <c r="G1904" s="122">
        <v>91</v>
      </c>
      <c r="H1904" s="122">
        <v>194</v>
      </c>
      <c r="I1904" s="122">
        <v>8331</v>
      </c>
      <c r="J1904" s="122">
        <v>7573</v>
      </c>
      <c r="K1904" s="122">
        <v>91</v>
      </c>
      <c r="L1904" s="122">
        <v>2808</v>
      </c>
      <c r="M1904" s="122">
        <v>2552</v>
      </c>
      <c r="N1904" s="122">
        <v>1557</v>
      </c>
      <c r="O1904" s="122">
        <v>577</v>
      </c>
      <c r="P1904" s="122">
        <v>473</v>
      </c>
      <c r="Q1904" s="122">
        <v>175</v>
      </c>
      <c r="R1904" s="122">
        <v>2315</v>
      </c>
      <c r="S1904" s="122">
        <v>2105</v>
      </c>
      <c r="T1904" s="122">
        <v>2226</v>
      </c>
      <c r="U1904" s="122">
        <v>825</v>
      </c>
      <c r="V1904" s="122">
        <v>13807</v>
      </c>
      <c r="W1904" s="122">
        <f t="shared" si="60"/>
        <v>13807</v>
      </c>
      <c r="X1904" s="122">
        <f t="shared" si="61"/>
        <v>17710</v>
      </c>
      <c r="AA1904" t="s">
        <v>64</v>
      </c>
      <c r="AB1904" t="s">
        <v>406</v>
      </c>
      <c r="AC1904" t="s">
        <v>407</v>
      </c>
      <c r="AD1904" t="s">
        <v>406</v>
      </c>
      <c r="AE1904" t="s">
        <v>566</v>
      </c>
      <c r="AF1904">
        <v>10</v>
      </c>
      <c r="AG1904" s="122">
        <v>1249</v>
      </c>
      <c r="AH1904" s="122">
        <v>5097</v>
      </c>
      <c r="AI1904" s="122">
        <v>414362</v>
      </c>
      <c r="AJ1904" s="122">
        <v>376693</v>
      </c>
      <c r="AK1904">
        <v>68</v>
      </c>
      <c r="AL1904" s="122">
        <v>103223</v>
      </c>
      <c r="AM1904" s="122">
        <v>93839</v>
      </c>
      <c r="AN1904" s="122">
        <v>28758</v>
      </c>
      <c r="AO1904" s="122">
        <v>10651</v>
      </c>
      <c r="AP1904" s="122">
        <v>6683</v>
      </c>
      <c r="AQ1904" s="122">
        <v>2475</v>
      </c>
      <c r="AR1904" s="122">
        <v>83900</v>
      </c>
      <c r="AS1904" s="122">
        <v>76273</v>
      </c>
      <c r="AT1904">
        <v>0</v>
      </c>
      <c r="AU1904">
        <v>0</v>
      </c>
      <c r="AV1904" s="122">
        <v>559931</v>
      </c>
    </row>
    <row r="1905" spans="2:48" hidden="1">
      <c r="B1905" t="s">
        <v>378</v>
      </c>
      <c r="C1905" t="s">
        <v>56</v>
      </c>
      <c r="D1905" t="s">
        <v>405</v>
      </c>
      <c r="E1905" t="s">
        <v>425</v>
      </c>
      <c r="F1905" s="122">
        <v>2</v>
      </c>
      <c r="G1905" s="122">
        <v>216</v>
      </c>
      <c r="H1905" s="122">
        <v>393</v>
      </c>
      <c r="I1905" s="122">
        <v>20128</v>
      </c>
      <c r="J1905" s="122">
        <v>18298</v>
      </c>
      <c r="K1905" s="122">
        <v>86</v>
      </c>
      <c r="L1905" s="122">
        <v>6410</v>
      </c>
      <c r="M1905" s="122">
        <v>5827</v>
      </c>
      <c r="N1905" s="122">
        <v>4084</v>
      </c>
      <c r="O1905" s="122">
        <v>1513</v>
      </c>
      <c r="P1905" s="122">
        <v>945</v>
      </c>
      <c r="Q1905" s="122">
        <v>350</v>
      </c>
      <c r="R1905" s="122">
        <v>7684</v>
      </c>
      <c r="S1905" s="122">
        <v>6985</v>
      </c>
      <c r="T1905" s="122">
        <v>2489</v>
      </c>
      <c r="U1905" s="122">
        <v>922</v>
      </c>
      <c r="V1905" s="122">
        <v>33895</v>
      </c>
      <c r="W1905" s="122">
        <f t="shared" si="60"/>
        <v>33895</v>
      </c>
      <c r="X1905" s="122">
        <f t="shared" si="61"/>
        <v>41740</v>
      </c>
      <c r="AA1905" t="s">
        <v>64</v>
      </c>
      <c r="AB1905" t="s">
        <v>406</v>
      </c>
      <c r="AC1905" t="s">
        <v>579</v>
      </c>
      <c r="AD1905" t="s">
        <v>137</v>
      </c>
      <c r="AE1905" t="s">
        <v>137</v>
      </c>
      <c r="AF1905">
        <v>1</v>
      </c>
      <c r="AG1905">
        <v>66</v>
      </c>
      <c r="AH1905">
        <v>532</v>
      </c>
      <c r="AI1905" s="122">
        <v>22309</v>
      </c>
      <c r="AJ1905" s="122">
        <v>20281</v>
      </c>
      <c r="AK1905">
        <v>86</v>
      </c>
      <c r="AL1905" s="122">
        <v>7319</v>
      </c>
      <c r="AM1905" s="122">
        <v>6099</v>
      </c>
      <c r="AN1905">
        <v>801</v>
      </c>
      <c r="AO1905">
        <v>297</v>
      </c>
      <c r="AP1905">
        <v>621</v>
      </c>
      <c r="AQ1905">
        <v>230</v>
      </c>
      <c r="AR1905" s="122">
        <v>3928</v>
      </c>
      <c r="AS1905" s="122">
        <v>1455</v>
      </c>
      <c r="AT1905">
        <v>0</v>
      </c>
      <c r="AU1905">
        <v>0</v>
      </c>
      <c r="AV1905" s="122">
        <v>28361</v>
      </c>
    </row>
    <row r="1906" spans="2:48" hidden="1">
      <c r="B1906" t="s">
        <v>378</v>
      </c>
      <c r="C1906" t="s">
        <v>56</v>
      </c>
      <c r="D1906" t="s">
        <v>405</v>
      </c>
      <c r="E1906" t="s">
        <v>405</v>
      </c>
      <c r="F1906" s="122">
        <v>41</v>
      </c>
      <c r="G1906" s="122">
        <v>4423</v>
      </c>
      <c r="H1906" s="122">
        <v>7483</v>
      </c>
      <c r="I1906" s="122">
        <v>414289</v>
      </c>
      <c r="J1906" s="122">
        <v>376626</v>
      </c>
      <c r="K1906" s="122">
        <v>84</v>
      </c>
      <c r="L1906" s="122">
        <v>94170</v>
      </c>
      <c r="M1906" s="122">
        <v>83752</v>
      </c>
      <c r="N1906" s="122">
        <v>84926</v>
      </c>
      <c r="O1906" s="122">
        <v>31454</v>
      </c>
      <c r="P1906" s="122">
        <v>19251</v>
      </c>
      <c r="Q1906" s="122">
        <v>7130</v>
      </c>
      <c r="R1906" s="122">
        <v>195590</v>
      </c>
      <c r="S1906" s="122">
        <v>177809</v>
      </c>
      <c r="T1906" s="122">
        <v>12557</v>
      </c>
      <c r="U1906" s="122">
        <v>4651</v>
      </c>
      <c r="V1906" s="122">
        <v>681421</v>
      </c>
      <c r="W1906" s="122">
        <f t="shared" si="60"/>
        <v>681422</v>
      </c>
      <c r="X1906" s="122">
        <f t="shared" si="61"/>
        <v>820783</v>
      </c>
      <c r="AA1906" t="s">
        <v>64</v>
      </c>
      <c r="AB1906" t="s">
        <v>406</v>
      </c>
      <c r="AC1906" t="s">
        <v>579</v>
      </c>
      <c r="AD1906" t="s">
        <v>137</v>
      </c>
      <c r="AE1906" t="s">
        <v>566</v>
      </c>
      <c r="AF1906">
        <v>22</v>
      </c>
      <c r="AG1906" s="122">
        <v>2114</v>
      </c>
      <c r="AH1906" s="122">
        <v>12228</v>
      </c>
      <c r="AI1906" s="122">
        <v>760076</v>
      </c>
      <c r="AJ1906" s="122">
        <v>690978</v>
      </c>
      <c r="AK1906">
        <v>73</v>
      </c>
      <c r="AL1906" s="122">
        <v>204050</v>
      </c>
      <c r="AM1906" s="122">
        <v>170042</v>
      </c>
      <c r="AN1906" s="122">
        <v>48802</v>
      </c>
      <c r="AO1906" s="122">
        <v>18075</v>
      </c>
      <c r="AP1906" s="122">
        <v>13041</v>
      </c>
      <c r="AQ1906" s="122">
        <v>4830</v>
      </c>
      <c r="AR1906" s="122">
        <v>139912</v>
      </c>
      <c r="AS1906" s="122">
        <v>51819</v>
      </c>
      <c r="AT1906">
        <v>0</v>
      </c>
      <c r="AU1906">
        <v>0</v>
      </c>
      <c r="AV1906" s="122">
        <v>935744</v>
      </c>
    </row>
    <row r="1907" spans="2:48" hidden="1">
      <c r="B1907" t="s">
        <v>378</v>
      </c>
      <c r="C1907" t="s">
        <v>56</v>
      </c>
      <c r="D1907" t="s">
        <v>137</v>
      </c>
      <c r="E1907" t="s">
        <v>137</v>
      </c>
      <c r="F1907" s="122">
        <v>24</v>
      </c>
      <c r="G1907" s="122">
        <v>2469</v>
      </c>
      <c r="H1907" s="122">
        <v>4797</v>
      </c>
      <c r="I1907" s="122">
        <v>262420</v>
      </c>
      <c r="J1907" s="122">
        <v>97193</v>
      </c>
      <c r="K1907" s="122">
        <v>100</v>
      </c>
      <c r="L1907" s="122">
        <v>17554</v>
      </c>
      <c r="M1907" s="122">
        <v>7878</v>
      </c>
      <c r="N1907" s="122">
        <v>53223</v>
      </c>
      <c r="O1907" s="122">
        <v>19712</v>
      </c>
      <c r="P1907" s="122">
        <v>0</v>
      </c>
      <c r="Q1907" s="122">
        <v>0</v>
      </c>
      <c r="R1907" s="122">
        <v>158658</v>
      </c>
      <c r="S1907" s="122">
        <v>58762</v>
      </c>
      <c r="T1907" s="122">
        <v>0</v>
      </c>
      <c r="U1907" s="122">
        <v>0</v>
      </c>
      <c r="V1907" s="122">
        <v>183545</v>
      </c>
      <c r="W1907" s="122">
        <f t="shared" si="60"/>
        <v>183545</v>
      </c>
      <c r="X1907" s="122">
        <f t="shared" si="61"/>
        <v>491855</v>
      </c>
      <c r="AA1907" t="s">
        <v>64</v>
      </c>
      <c r="AB1907" t="s">
        <v>406</v>
      </c>
      <c r="AC1907" t="s">
        <v>579</v>
      </c>
      <c r="AD1907" t="s">
        <v>406</v>
      </c>
      <c r="AE1907" t="s">
        <v>137</v>
      </c>
      <c r="AF1907">
        <v>957</v>
      </c>
      <c r="AG1907" s="122">
        <v>93976</v>
      </c>
      <c r="AH1907" s="122">
        <v>495119</v>
      </c>
      <c r="AI1907" s="122">
        <v>31622123</v>
      </c>
      <c r="AJ1907" s="122">
        <v>28747384</v>
      </c>
      <c r="AK1907">
        <v>70</v>
      </c>
      <c r="AL1907" s="122">
        <v>7714262</v>
      </c>
      <c r="AM1907" s="122">
        <v>6428551</v>
      </c>
      <c r="AN1907" s="122">
        <v>2047727</v>
      </c>
      <c r="AO1907" s="122">
        <v>758417</v>
      </c>
      <c r="AP1907" s="122">
        <v>604739</v>
      </c>
      <c r="AQ1907" s="122">
        <v>223977</v>
      </c>
      <c r="AR1907" s="122">
        <v>4494107</v>
      </c>
      <c r="AS1907" s="122">
        <v>4085552</v>
      </c>
      <c r="AT1907" s="122">
        <v>2288714</v>
      </c>
      <c r="AU1907" s="122">
        <v>847672</v>
      </c>
      <c r="AV1907" s="122">
        <v>41091554</v>
      </c>
    </row>
    <row r="1908" spans="2:48" hidden="1">
      <c r="B1908" t="s">
        <v>378</v>
      </c>
      <c r="C1908" t="s">
        <v>56</v>
      </c>
      <c r="D1908" t="s">
        <v>406</v>
      </c>
      <c r="E1908" t="s">
        <v>425</v>
      </c>
      <c r="F1908" s="122">
        <v>2</v>
      </c>
      <c r="G1908" s="122">
        <v>241</v>
      </c>
      <c r="H1908" s="122">
        <v>327</v>
      </c>
      <c r="I1908" s="122">
        <v>18348</v>
      </c>
      <c r="J1908" s="122">
        <v>16680</v>
      </c>
      <c r="K1908" s="122">
        <v>87</v>
      </c>
      <c r="L1908" s="122">
        <v>3823</v>
      </c>
      <c r="M1908" s="122">
        <v>2098</v>
      </c>
      <c r="N1908" s="122">
        <v>5503</v>
      </c>
      <c r="O1908" s="122">
        <v>2038</v>
      </c>
      <c r="P1908" s="122">
        <v>1242</v>
      </c>
      <c r="Q1908" s="122">
        <v>460</v>
      </c>
      <c r="R1908" s="122">
        <v>10369</v>
      </c>
      <c r="S1908" s="122">
        <v>9426</v>
      </c>
      <c r="T1908" s="122">
        <v>0</v>
      </c>
      <c r="U1908" s="122">
        <v>0</v>
      </c>
      <c r="V1908" s="122">
        <v>30702</v>
      </c>
      <c r="W1908" s="122">
        <f t="shared" si="60"/>
        <v>30702</v>
      </c>
      <c r="X1908" s="122">
        <f t="shared" si="61"/>
        <v>39285</v>
      </c>
      <c r="AA1908" t="s">
        <v>64</v>
      </c>
      <c r="AB1908" t="s">
        <v>406</v>
      </c>
      <c r="AC1908" t="s">
        <v>579</v>
      </c>
      <c r="AD1908" t="s">
        <v>406</v>
      </c>
      <c r="AE1908" t="s">
        <v>566</v>
      </c>
      <c r="AF1908">
        <v>188</v>
      </c>
      <c r="AG1908" s="122">
        <v>18576</v>
      </c>
      <c r="AH1908" s="122">
        <v>96875</v>
      </c>
      <c r="AI1908" s="122">
        <v>6157428</v>
      </c>
      <c r="AJ1908" s="122">
        <v>5597661</v>
      </c>
      <c r="AK1908">
        <v>70</v>
      </c>
      <c r="AL1908" s="122">
        <v>1536445</v>
      </c>
      <c r="AM1908" s="122">
        <v>1280371</v>
      </c>
      <c r="AN1908" s="122">
        <v>398896</v>
      </c>
      <c r="AO1908" s="122">
        <v>147739</v>
      </c>
      <c r="AP1908" s="122">
        <v>117963</v>
      </c>
      <c r="AQ1908" s="122">
        <v>43690</v>
      </c>
      <c r="AR1908" s="122">
        <v>1305667</v>
      </c>
      <c r="AS1908" s="122">
        <v>1186970</v>
      </c>
      <c r="AT1908">
        <v>0</v>
      </c>
      <c r="AU1908">
        <v>0</v>
      </c>
      <c r="AV1908" s="122">
        <v>8256431</v>
      </c>
    </row>
    <row r="1909" spans="2:48" hidden="1">
      <c r="B1909" t="s">
        <v>378</v>
      </c>
      <c r="C1909" t="s">
        <v>56</v>
      </c>
      <c r="D1909" t="s">
        <v>406</v>
      </c>
      <c r="E1909" t="s">
        <v>406</v>
      </c>
      <c r="F1909" s="122">
        <v>1852</v>
      </c>
      <c r="G1909" s="122">
        <v>194189</v>
      </c>
      <c r="H1909" s="122">
        <v>346504</v>
      </c>
      <c r="I1909" s="122">
        <v>17460749</v>
      </c>
      <c r="J1909" s="122">
        <v>15873408</v>
      </c>
      <c r="K1909" s="122">
        <v>87</v>
      </c>
      <c r="L1909" s="122">
        <v>4450731</v>
      </c>
      <c r="M1909" s="122">
        <v>3891417</v>
      </c>
      <c r="N1909" s="122">
        <v>3682229</v>
      </c>
      <c r="O1909" s="122">
        <v>1363789</v>
      </c>
      <c r="P1909" s="122">
        <v>1162764</v>
      </c>
      <c r="Q1909" s="122">
        <v>430653</v>
      </c>
      <c r="R1909" s="122">
        <v>8365785</v>
      </c>
      <c r="S1909" s="122">
        <v>7605259</v>
      </c>
      <c r="T1909" s="122">
        <v>1471041</v>
      </c>
      <c r="U1909" s="122">
        <v>544830</v>
      </c>
      <c r="V1909" s="122">
        <v>29709355</v>
      </c>
      <c r="W1909" s="122">
        <f t="shared" si="60"/>
        <v>29709356</v>
      </c>
      <c r="X1909" s="122">
        <f t="shared" si="61"/>
        <v>36593299</v>
      </c>
      <c r="AA1909" t="s">
        <v>64</v>
      </c>
      <c r="AB1909" t="s">
        <v>406</v>
      </c>
      <c r="AC1909" t="s">
        <v>579</v>
      </c>
      <c r="AD1909" t="s">
        <v>407</v>
      </c>
      <c r="AE1909" t="s">
        <v>137</v>
      </c>
      <c r="AF1909">
        <v>3</v>
      </c>
      <c r="AG1909">
        <v>328</v>
      </c>
      <c r="AH1909" s="122">
        <v>1592</v>
      </c>
      <c r="AI1909" s="122">
        <v>115305</v>
      </c>
      <c r="AJ1909" s="122">
        <v>104823</v>
      </c>
      <c r="AK1909">
        <v>65</v>
      </c>
      <c r="AL1909" s="122">
        <v>24204</v>
      </c>
      <c r="AM1909" s="122">
        <v>20170</v>
      </c>
      <c r="AN1909" s="122">
        <v>7255</v>
      </c>
      <c r="AO1909" s="122">
        <v>2687</v>
      </c>
      <c r="AP1909" s="122">
        <v>1863</v>
      </c>
      <c r="AQ1909">
        <v>690</v>
      </c>
      <c r="AR1909" s="122">
        <v>16252</v>
      </c>
      <c r="AS1909" s="122">
        <v>14775</v>
      </c>
      <c r="AT1909" s="122">
        <v>8872</v>
      </c>
      <c r="AU1909" s="122">
        <v>3286</v>
      </c>
      <c r="AV1909" s="122">
        <v>146431</v>
      </c>
    </row>
    <row r="1910" spans="2:48" hidden="1">
      <c r="B1910" t="s">
        <v>378</v>
      </c>
      <c r="C1910" t="s">
        <v>56</v>
      </c>
      <c r="D1910" t="s">
        <v>406</v>
      </c>
      <c r="E1910" t="s">
        <v>407</v>
      </c>
      <c r="F1910" s="122">
        <v>1</v>
      </c>
      <c r="G1910" s="122">
        <v>123</v>
      </c>
      <c r="H1910" s="122">
        <v>179</v>
      </c>
      <c r="I1910" s="122">
        <v>11067</v>
      </c>
      <c r="J1910" s="122">
        <v>10061</v>
      </c>
      <c r="K1910" s="122">
        <v>86</v>
      </c>
      <c r="L1910" s="122">
        <v>3509</v>
      </c>
      <c r="M1910" s="122">
        <v>3190</v>
      </c>
      <c r="N1910" s="122">
        <v>1980</v>
      </c>
      <c r="O1910" s="122">
        <v>733</v>
      </c>
      <c r="P1910" s="122">
        <v>621</v>
      </c>
      <c r="Q1910" s="122">
        <v>230</v>
      </c>
      <c r="R1910" s="122">
        <v>4889</v>
      </c>
      <c r="S1910" s="122">
        <v>4445</v>
      </c>
      <c r="T1910" s="122">
        <v>0</v>
      </c>
      <c r="U1910" s="122">
        <v>0</v>
      </c>
      <c r="V1910" s="122">
        <v>18659</v>
      </c>
      <c r="W1910" s="122">
        <f t="shared" si="60"/>
        <v>18659</v>
      </c>
      <c r="X1910" s="122">
        <f t="shared" si="61"/>
        <v>22066</v>
      </c>
      <c r="AA1910" t="s">
        <v>64</v>
      </c>
      <c r="AB1910" t="s">
        <v>406</v>
      </c>
      <c r="AC1910" t="s">
        <v>579</v>
      </c>
      <c r="AD1910" t="s">
        <v>407</v>
      </c>
      <c r="AE1910" t="s">
        <v>566</v>
      </c>
      <c r="AF1910">
        <v>1</v>
      </c>
      <c r="AG1910">
        <v>97</v>
      </c>
      <c r="AH1910">
        <v>487</v>
      </c>
      <c r="AI1910" s="122">
        <v>29123</v>
      </c>
      <c r="AJ1910" s="122">
        <v>26476</v>
      </c>
      <c r="AK1910">
        <v>65</v>
      </c>
      <c r="AL1910" s="122">
        <v>7272</v>
      </c>
      <c r="AM1910" s="122">
        <v>6060</v>
      </c>
      <c r="AN1910" s="122">
        <v>2361</v>
      </c>
      <c r="AO1910">
        <v>875</v>
      </c>
      <c r="AP1910">
        <v>621</v>
      </c>
      <c r="AQ1910">
        <v>230</v>
      </c>
      <c r="AR1910" s="122">
        <v>7839</v>
      </c>
      <c r="AS1910" s="122">
        <v>7126</v>
      </c>
      <c r="AT1910">
        <v>0</v>
      </c>
      <c r="AU1910">
        <v>0</v>
      </c>
      <c r="AV1910" s="122">
        <v>40766</v>
      </c>
    </row>
    <row r="1911" spans="2:48" hidden="1">
      <c r="B1911" t="s">
        <v>378</v>
      </c>
      <c r="C1911" t="s">
        <v>56</v>
      </c>
      <c r="D1911" t="s">
        <v>406</v>
      </c>
      <c r="E1911" t="s">
        <v>426</v>
      </c>
      <c r="F1911" s="122">
        <v>1</v>
      </c>
      <c r="G1911" s="122">
        <v>163</v>
      </c>
      <c r="H1911" s="122">
        <v>215</v>
      </c>
      <c r="I1911" s="122">
        <v>15582</v>
      </c>
      <c r="J1911" s="122">
        <v>14166</v>
      </c>
      <c r="K1911" s="122">
        <v>95</v>
      </c>
      <c r="L1911" s="122">
        <v>3470</v>
      </c>
      <c r="M1911" s="122">
        <v>3155</v>
      </c>
      <c r="N1911" s="122">
        <v>3325</v>
      </c>
      <c r="O1911" s="122">
        <v>1232</v>
      </c>
      <c r="P1911" s="122">
        <v>621</v>
      </c>
      <c r="Q1911" s="122">
        <v>230</v>
      </c>
      <c r="R1911" s="122">
        <v>8742</v>
      </c>
      <c r="S1911" s="122">
        <v>7947</v>
      </c>
      <c r="T1911" s="122">
        <v>3431</v>
      </c>
      <c r="U1911" s="122">
        <v>1271</v>
      </c>
      <c r="V1911" s="122">
        <v>28000</v>
      </c>
      <c r="W1911" s="122">
        <f t="shared" si="60"/>
        <v>28001</v>
      </c>
      <c r="X1911" s="122">
        <f t="shared" si="61"/>
        <v>35171</v>
      </c>
      <c r="AA1911" t="s">
        <v>64</v>
      </c>
      <c r="AB1911" t="s">
        <v>406</v>
      </c>
      <c r="AC1911" t="s">
        <v>579</v>
      </c>
      <c r="AD1911" t="s">
        <v>579</v>
      </c>
      <c r="AE1911" t="s">
        <v>137</v>
      </c>
      <c r="AF1911">
        <v>1</v>
      </c>
      <c r="AG1911">
        <v>86</v>
      </c>
      <c r="AH1911">
        <v>469</v>
      </c>
      <c r="AI1911" s="122">
        <v>25188</v>
      </c>
      <c r="AJ1911" s="122">
        <v>22898</v>
      </c>
      <c r="AK1911">
        <v>65</v>
      </c>
      <c r="AL1911" s="122">
        <v>6289</v>
      </c>
      <c r="AM1911" s="122">
        <v>5241</v>
      </c>
      <c r="AN1911" s="122">
        <v>2091</v>
      </c>
      <c r="AO1911">
        <v>774</v>
      </c>
      <c r="AP1911">
        <v>621</v>
      </c>
      <c r="AQ1911">
        <v>230</v>
      </c>
      <c r="AR1911" s="122">
        <v>4216</v>
      </c>
      <c r="AS1911" s="122">
        <v>3513</v>
      </c>
      <c r="AT1911" s="122">
        <v>1798</v>
      </c>
      <c r="AU1911">
        <v>666</v>
      </c>
      <c r="AV1911" s="122">
        <v>33322</v>
      </c>
    </row>
    <row r="1912" spans="2:48" hidden="1">
      <c r="B1912" t="s">
        <v>378</v>
      </c>
      <c r="C1912" t="s">
        <v>56</v>
      </c>
      <c r="D1912" t="s">
        <v>427</v>
      </c>
      <c r="E1912" t="s">
        <v>427</v>
      </c>
      <c r="F1912" s="122">
        <v>1</v>
      </c>
      <c r="G1912" s="122">
        <v>133</v>
      </c>
      <c r="H1912" s="122">
        <v>224</v>
      </c>
      <c r="I1912" s="122">
        <v>16120</v>
      </c>
      <c r="J1912" s="122">
        <v>14655</v>
      </c>
      <c r="K1912" s="122">
        <v>65</v>
      </c>
      <c r="L1912" s="122">
        <v>1940</v>
      </c>
      <c r="M1912" s="122">
        <v>1764</v>
      </c>
      <c r="N1912" s="122">
        <v>3231</v>
      </c>
      <c r="O1912" s="122">
        <v>1197</v>
      </c>
      <c r="P1912" s="122">
        <v>351</v>
      </c>
      <c r="Q1912" s="122">
        <v>130</v>
      </c>
      <c r="R1912" s="122">
        <v>5147</v>
      </c>
      <c r="S1912" s="122">
        <v>4679</v>
      </c>
      <c r="T1912" s="122">
        <v>2957</v>
      </c>
      <c r="U1912" s="122">
        <v>1095</v>
      </c>
      <c r="V1912" s="122">
        <v>23520</v>
      </c>
      <c r="W1912" s="122">
        <f t="shared" si="60"/>
        <v>23520</v>
      </c>
      <c r="X1912" s="122">
        <f t="shared" si="61"/>
        <v>29746</v>
      </c>
      <c r="AA1912" t="s">
        <v>64</v>
      </c>
      <c r="AB1912" t="s">
        <v>406</v>
      </c>
      <c r="AC1912" t="s">
        <v>428</v>
      </c>
      <c r="AD1912" t="s">
        <v>406</v>
      </c>
      <c r="AE1912" t="s">
        <v>137</v>
      </c>
      <c r="AF1912">
        <v>21</v>
      </c>
      <c r="AG1912" s="122">
        <v>2061</v>
      </c>
      <c r="AH1912" s="122">
        <v>10458</v>
      </c>
      <c r="AI1912" s="122">
        <v>687227</v>
      </c>
      <c r="AJ1912" s="122">
        <v>624752</v>
      </c>
      <c r="AK1912">
        <v>72</v>
      </c>
      <c r="AL1912" s="122">
        <v>141563</v>
      </c>
      <c r="AM1912" s="122">
        <v>128694</v>
      </c>
      <c r="AN1912" s="122">
        <v>43706</v>
      </c>
      <c r="AO1912" s="122">
        <v>16187</v>
      </c>
      <c r="AP1912" s="122">
        <v>12771</v>
      </c>
      <c r="AQ1912" s="122">
        <v>4730</v>
      </c>
      <c r="AR1912" s="122">
        <v>96202</v>
      </c>
      <c r="AS1912" s="122">
        <v>87457</v>
      </c>
      <c r="AT1912" s="122">
        <v>44961</v>
      </c>
      <c r="AU1912" s="122">
        <v>16652</v>
      </c>
      <c r="AV1912" s="122">
        <v>878472</v>
      </c>
    </row>
    <row r="1913" spans="2:48" hidden="1">
      <c r="B1913" t="s">
        <v>378</v>
      </c>
      <c r="C1913" t="s">
        <v>56</v>
      </c>
      <c r="D1913" t="s">
        <v>407</v>
      </c>
      <c r="E1913" t="s">
        <v>405</v>
      </c>
      <c r="F1913" s="122">
        <v>1</v>
      </c>
      <c r="G1913" s="122">
        <v>99</v>
      </c>
      <c r="H1913" s="122">
        <v>168</v>
      </c>
      <c r="I1913" s="122">
        <v>7723</v>
      </c>
      <c r="J1913" s="122">
        <v>7021</v>
      </c>
      <c r="K1913" s="122">
        <v>91</v>
      </c>
      <c r="L1913" s="122">
        <v>1919</v>
      </c>
      <c r="M1913" s="122">
        <v>711</v>
      </c>
      <c r="N1913" s="122">
        <v>2400</v>
      </c>
      <c r="O1913" s="122">
        <v>889</v>
      </c>
      <c r="P1913" s="122">
        <v>473</v>
      </c>
      <c r="Q1913" s="122">
        <v>175</v>
      </c>
      <c r="R1913" s="122">
        <v>4000</v>
      </c>
      <c r="S1913" s="122">
        <v>3637</v>
      </c>
      <c r="T1913" s="122">
        <v>0</v>
      </c>
      <c r="U1913" s="122">
        <v>0</v>
      </c>
      <c r="V1913" s="122">
        <v>12432</v>
      </c>
      <c r="W1913" s="122">
        <f t="shared" si="60"/>
        <v>12433</v>
      </c>
      <c r="X1913" s="122">
        <f t="shared" si="61"/>
        <v>16515</v>
      </c>
      <c r="AA1913" t="s">
        <v>64</v>
      </c>
      <c r="AB1913" t="s">
        <v>406</v>
      </c>
      <c r="AC1913" t="s">
        <v>428</v>
      </c>
      <c r="AD1913" t="s">
        <v>406</v>
      </c>
      <c r="AE1913" t="s">
        <v>566</v>
      </c>
      <c r="AF1913">
        <v>12</v>
      </c>
      <c r="AG1913" s="122">
        <v>1078</v>
      </c>
      <c r="AH1913" s="122">
        <v>6221</v>
      </c>
      <c r="AI1913" s="122">
        <v>352579</v>
      </c>
      <c r="AJ1913" s="122">
        <v>320526</v>
      </c>
      <c r="AK1913">
        <v>68</v>
      </c>
      <c r="AL1913" s="122">
        <v>81711</v>
      </c>
      <c r="AM1913" s="122">
        <v>74282</v>
      </c>
      <c r="AN1913" s="122">
        <v>23516</v>
      </c>
      <c r="AO1913" s="122">
        <v>8710</v>
      </c>
      <c r="AP1913" s="122">
        <v>6561</v>
      </c>
      <c r="AQ1913" s="122">
        <v>2430</v>
      </c>
      <c r="AR1913" s="122">
        <v>85758</v>
      </c>
      <c r="AS1913" s="122">
        <v>77961</v>
      </c>
      <c r="AT1913">
        <v>0</v>
      </c>
      <c r="AU1913">
        <v>0</v>
      </c>
      <c r="AV1913" s="122">
        <v>483910</v>
      </c>
    </row>
    <row r="1914" spans="2:48" hidden="1">
      <c r="B1914" t="s">
        <v>378</v>
      </c>
      <c r="C1914" t="s">
        <v>56</v>
      </c>
      <c r="D1914" t="s">
        <v>407</v>
      </c>
      <c r="E1914" t="s">
        <v>406</v>
      </c>
      <c r="F1914" s="122">
        <v>1</v>
      </c>
      <c r="G1914" s="122">
        <v>119</v>
      </c>
      <c r="H1914" s="122">
        <v>191</v>
      </c>
      <c r="I1914" s="122">
        <v>10838</v>
      </c>
      <c r="J1914" s="122">
        <v>9853</v>
      </c>
      <c r="K1914" s="122">
        <v>79</v>
      </c>
      <c r="L1914" s="122">
        <v>3011</v>
      </c>
      <c r="M1914" s="122">
        <v>2737</v>
      </c>
      <c r="N1914" s="122">
        <v>2245</v>
      </c>
      <c r="O1914" s="122">
        <v>832</v>
      </c>
      <c r="P1914" s="122">
        <v>473</v>
      </c>
      <c r="Q1914" s="122">
        <v>175</v>
      </c>
      <c r="R1914" s="122">
        <v>6175</v>
      </c>
      <c r="S1914" s="122">
        <v>5614</v>
      </c>
      <c r="T1914" s="122">
        <v>0</v>
      </c>
      <c r="U1914" s="122">
        <v>0</v>
      </c>
      <c r="V1914" s="122">
        <v>19210</v>
      </c>
      <c r="W1914" s="122">
        <f t="shared" si="60"/>
        <v>19211</v>
      </c>
      <c r="X1914" s="122">
        <f t="shared" si="61"/>
        <v>22742</v>
      </c>
      <c r="AA1914" t="s">
        <v>64</v>
      </c>
      <c r="AB1914" t="s">
        <v>406</v>
      </c>
      <c r="AC1914" t="s">
        <v>431</v>
      </c>
      <c r="AD1914" t="s">
        <v>406</v>
      </c>
      <c r="AE1914" t="s">
        <v>137</v>
      </c>
      <c r="AF1914">
        <v>14</v>
      </c>
      <c r="AG1914" s="122">
        <v>1108</v>
      </c>
      <c r="AH1914" s="122">
        <v>7021</v>
      </c>
      <c r="AI1914" s="122">
        <v>360429</v>
      </c>
      <c r="AJ1914" s="122">
        <v>327663</v>
      </c>
      <c r="AK1914">
        <v>76</v>
      </c>
      <c r="AL1914" s="122">
        <v>67071</v>
      </c>
      <c r="AM1914" s="122">
        <v>60973</v>
      </c>
      <c r="AN1914" s="122">
        <v>24244</v>
      </c>
      <c r="AO1914" s="122">
        <v>8979</v>
      </c>
      <c r="AP1914" s="122">
        <v>9045</v>
      </c>
      <c r="AQ1914" s="122">
        <v>3350</v>
      </c>
      <c r="AR1914" s="122">
        <v>58842</v>
      </c>
      <c r="AS1914" s="122">
        <v>53493</v>
      </c>
      <c r="AT1914" s="122">
        <v>31638</v>
      </c>
      <c r="AU1914" s="122">
        <v>11718</v>
      </c>
      <c r="AV1914" s="122">
        <v>466176</v>
      </c>
    </row>
    <row r="1915" spans="2:48" hidden="1">
      <c r="B1915" t="s">
        <v>378</v>
      </c>
      <c r="C1915" t="s">
        <v>56</v>
      </c>
      <c r="D1915" t="s">
        <v>407</v>
      </c>
      <c r="E1915" t="s">
        <v>407</v>
      </c>
      <c r="F1915" s="122">
        <v>5340</v>
      </c>
      <c r="G1915" s="122">
        <v>562362</v>
      </c>
      <c r="H1915" s="122">
        <v>983431</v>
      </c>
      <c r="I1915" s="122">
        <v>48969234</v>
      </c>
      <c r="J1915" s="122">
        <v>44517486</v>
      </c>
      <c r="K1915" s="122">
        <v>82</v>
      </c>
      <c r="L1915" s="122">
        <v>13762685</v>
      </c>
      <c r="M1915" s="122">
        <v>11956990</v>
      </c>
      <c r="N1915" s="122">
        <v>10553248</v>
      </c>
      <c r="O1915" s="122">
        <v>3908610</v>
      </c>
      <c r="P1915" s="122">
        <v>2528167</v>
      </c>
      <c r="Q1915" s="122">
        <v>936358</v>
      </c>
      <c r="R1915" s="122">
        <v>25832289</v>
      </c>
      <c r="S1915" s="122">
        <v>23483899</v>
      </c>
      <c r="T1915" s="122">
        <v>2235505</v>
      </c>
      <c r="U1915" s="122">
        <v>827965</v>
      </c>
      <c r="V1915" s="122">
        <v>85631308</v>
      </c>
      <c r="W1915" s="122">
        <f t="shared" si="60"/>
        <v>85631308</v>
      </c>
      <c r="X1915" s="122">
        <f t="shared" si="61"/>
        <v>103881128</v>
      </c>
      <c r="AA1915" t="s">
        <v>64</v>
      </c>
      <c r="AB1915" t="s">
        <v>406</v>
      </c>
      <c r="AC1915" t="s">
        <v>431</v>
      </c>
      <c r="AD1915" t="s">
        <v>406</v>
      </c>
      <c r="AE1915" t="s">
        <v>566</v>
      </c>
      <c r="AF1915">
        <v>4</v>
      </c>
      <c r="AG1915">
        <v>297</v>
      </c>
      <c r="AH1915" s="122">
        <v>2135</v>
      </c>
      <c r="AI1915" s="122">
        <v>126085</v>
      </c>
      <c r="AJ1915" s="122">
        <v>114623</v>
      </c>
      <c r="AK1915">
        <v>78</v>
      </c>
      <c r="AL1915" s="122">
        <v>28168</v>
      </c>
      <c r="AM1915" s="122">
        <v>25608</v>
      </c>
      <c r="AN1915" s="122">
        <v>8174</v>
      </c>
      <c r="AO1915" s="122">
        <v>3027</v>
      </c>
      <c r="AP1915" s="122">
        <v>2835</v>
      </c>
      <c r="AQ1915" s="122">
        <v>1050</v>
      </c>
      <c r="AR1915" s="122">
        <v>24465</v>
      </c>
      <c r="AS1915" s="122">
        <v>22241</v>
      </c>
      <c r="AT1915">
        <v>0</v>
      </c>
      <c r="AU1915">
        <v>0</v>
      </c>
      <c r="AV1915" s="122">
        <v>166549</v>
      </c>
    </row>
    <row r="1916" spans="2:48" hidden="1">
      <c r="B1916" t="s">
        <v>378</v>
      </c>
      <c r="C1916" t="s">
        <v>56</v>
      </c>
      <c r="D1916" t="s">
        <v>407</v>
      </c>
      <c r="E1916" t="s">
        <v>556</v>
      </c>
      <c r="F1916" s="122">
        <v>3</v>
      </c>
      <c r="G1916" s="122">
        <v>342</v>
      </c>
      <c r="H1916" s="122">
        <v>600</v>
      </c>
      <c r="I1916" s="122">
        <v>32396</v>
      </c>
      <c r="J1916" s="122">
        <v>29451</v>
      </c>
      <c r="K1916" s="122">
        <v>79</v>
      </c>
      <c r="L1916" s="122">
        <v>10060</v>
      </c>
      <c r="M1916" s="122">
        <v>8383</v>
      </c>
      <c r="N1916" s="122">
        <v>4967</v>
      </c>
      <c r="O1916" s="122">
        <v>1839</v>
      </c>
      <c r="P1916" s="122">
        <v>1418</v>
      </c>
      <c r="Q1916" s="122">
        <v>525</v>
      </c>
      <c r="R1916" s="122">
        <v>13674</v>
      </c>
      <c r="S1916" s="122">
        <v>11395</v>
      </c>
      <c r="T1916" s="122">
        <v>5722</v>
      </c>
      <c r="U1916" s="122">
        <v>2119</v>
      </c>
      <c r="V1916" s="122">
        <v>53713</v>
      </c>
      <c r="W1916" s="122">
        <f t="shared" si="60"/>
        <v>53712</v>
      </c>
      <c r="X1916" s="122">
        <f t="shared" si="61"/>
        <v>68237</v>
      </c>
      <c r="AA1916" t="s">
        <v>64</v>
      </c>
      <c r="AB1916" t="s">
        <v>406</v>
      </c>
      <c r="AC1916" t="s">
        <v>431</v>
      </c>
      <c r="AD1916" t="s">
        <v>431</v>
      </c>
      <c r="AE1916" t="s">
        <v>137</v>
      </c>
      <c r="AF1916">
        <v>1</v>
      </c>
      <c r="AG1916">
        <v>59</v>
      </c>
      <c r="AH1916">
        <v>600</v>
      </c>
      <c r="AI1916" s="122">
        <v>20576</v>
      </c>
      <c r="AJ1916" s="122">
        <v>18706</v>
      </c>
      <c r="AK1916">
        <v>70</v>
      </c>
      <c r="AL1916" s="122">
        <v>5068</v>
      </c>
      <c r="AM1916" s="122">
        <v>4607</v>
      </c>
      <c r="AN1916" s="122">
        <v>1433</v>
      </c>
      <c r="AO1916">
        <v>531</v>
      </c>
      <c r="AP1916">
        <v>621</v>
      </c>
      <c r="AQ1916">
        <v>230</v>
      </c>
      <c r="AR1916" s="122">
        <v>5727</v>
      </c>
      <c r="AS1916" s="122">
        <v>5207</v>
      </c>
      <c r="AT1916" s="122">
        <v>1873</v>
      </c>
      <c r="AU1916">
        <v>694</v>
      </c>
      <c r="AV1916" s="122">
        <v>29974</v>
      </c>
    </row>
    <row r="1917" spans="2:48" hidden="1">
      <c r="B1917" t="s">
        <v>378</v>
      </c>
      <c r="C1917" t="s">
        <v>56</v>
      </c>
      <c r="D1917" t="s">
        <v>407</v>
      </c>
      <c r="E1917" t="s">
        <v>426</v>
      </c>
      <c r="F1917" s="122">
        <v>1</v>
      </c>
      <c r="G1917" s="122">
        <v>75</v>
      </c>
      <c r="H1917" s="122">
        <v>190</v>
      </c>
      <c r="I1917" s="122">
        <v>4651</v>
      </c>
      <c r="J1917" s="122">
        <v>4228</v>
      </c>
      <c r="K1917" s="122">
        <v>79</v>
      </c>
      <c r="L1917" s="122">
        <v>1363</v>
      </c>
      <c r="M1917" s="122">
        <v>1239</v>
      </c>
      <c r="N1917" s="122">
        <v>1770</v>
      </c>
      <c r="O1917" s="122">
        <v>656</v>
      </c>
      <c r="P1917" s="122">
        <v>473</v>
      </c>
      <c r="Q1917" s="122">
        <v>175</v>
      </c>
      <c r="R1917" s="122">
        <v>3609</v>
      </c>
      <c r="S1917" s="122">
        <v>3281</v>
      </c>
      <c r="T1917" s="122">
        <v>2364</v>
      </c>
      <c r="U1917" s="122">
        <v>876</v>
      </c>
      <c r="V1917" s="122">
        <v>10454</v>
      </c>
      <c r="W1917" s="122">
        <f t="shared" si="60"/>
        <v>10455</v>
      </c>
      <c r="X1917" s="122">
        <f t="shared" si="61"/>
        <v>14230</v>
      </c>
      <c r="AA1917" t="s">
        <v>64</v>
      </c>
      <c r="AB1917" t="s">
        <v>406</v>
      </c>
      <c r="AC1917" t="s">
        <v>426</v>
      </c>
      <c r="AD1917" t="s">
        <v>425</v>
      </c>
      <c r="AE1917" t="s">
        <v>137</v>
      </c>
      <c r="AF1917">
        <v>2</v>
      </c>
      <c r="AG1917">
        <v>178</v>
      </c>
      <c r="AH1917" s="122">
        <v>1102</v>
      </c>
      <c r="AI1917" s="122">
        <v>64069</v>
      </c>
      <c r="AJ1917" s="122">
        <v>58244</v>
      </c>
      <c r="AK1917">
        <v>70</v>
      </c>
      <c r="AL1917" s="122">
        <v>15444</v>
      </c>
      <c r="AM1917" s="122">
        <v>14040</v>
      </c>
      <c r="AN1917" s="122">
        <v>4033</v>
      </c>
      <c r="AO1917" s="122">
        <v>1494</v>
      </c>
      <c r="AP1917" s="122">
        <v>1242</v>
      </c>
      <c r="AQ1917">
        <v>460</v>
      </c>
      <c r="AR1917" s="122">
        <v>10326</v>
      </c>
      <c r="AS1917" s="122">
        <v>9387</v>
      </c>
      <c r="AT1917" s="122">
        <v>2880</v>
      </c>
      <c r="AU1917" s="122">
        <v>1067</v>
      </c>
      <c r="AV1917" s="122">
        <v>84692</v>
      </c>
    </row>
    <row r="1918" spans="2:48" hidden="1">
      <c r="B1918" t="s">
        <v>378</v>
      </c>
      <c r="C1918" t="s">
        <v>56</v>
      </c>
      <c r="D1918" t="s">
        <v>426</v>
      </c>
      <c r="E1918" t="s">
        <v>407</v>
      </c>
      <c r="F1918" s="122">
        <v>1</v>
      </c>
      <c r="G1918" s="122">
        <v>117</v>
      </c>
      <c r="H1918" s="122">
        <v>160</v>
      </c>
      <c r="I1918" s="122">
        <v>8279</v>
      </c>
      <c r="J1918" s="122">
        <v>7527</v>
      </c>
      <c r="K1918" s="122">
        <v>79</v>
      </c>
      <c r="L1918" s="122">
        <v>2413</v>
      </c>
      <c r="M1918" s="122">
        <v>2194</v>
      </c>
      <c r="N1918" s="122">
        <v>2541</v>
      </c>
      <c r="O1918" s="122">
        <v>941</v>
      </c>
      <c r="P1918" s="122">
        <v>473</v>
      </c>
      <c r="Q1918" s="122">
        <v>175</v>
      </c>
      <c r="R1918" s="122">
        <v>4983</v>
      </c>
      <c r="S1918" s="122">
        <v>4530</v>
      </c>
      <c r="T1918" s="122">
        <v>0</v>
      </c>
      <c r="U1918" s="122">
        <v>0</v>
      </c>
      <c r="V1918" s="122">
        <v>15366</v>
      </c>
      <c r="W1918" s="122">
        <f t="shared" si="60"/>
        <v>15367</v>
      </c>
      <c r="X1918" s="122">
        <f t="shared" si="61"/>
        <v>18689</v>
      </c>
      <c r="AA1918" t="s">
        <v>64</v>
      </c>
      <c r="AB1918" t="s">
        <v>406</v>
      </c>
      <c r="AC1918" t="s">
        <v>426</v>
      </c>
      <c r="AD1918" t="s">
        <v>137</v>
      </c>
      <c r="AE1918" t="s">
        <v>137</v>
      </c>
      <c r="AF1918">
        <v>4</v>
      </c>
      <c r="AG1918">
        <v>371</v>
      </c>
      <c r="AH1918" s="122">
        <v>2117</v>
      </c>
      <c r="AI1918" s="122">
        <v>129660</v>
      </c>
      <c r="AJ1918" s="122">
        <v>117873</v>
      </c>
      <c r="AK1918">
        <v>71</v>
      </c>
      <c r="AL1918" s="122">
        <v>32275</v>
      </c>
      <c r="AM1918" s="122">
        <v>29341</v>
      </c>
      <c r="AN1918" s="122">
        <v>8246</v>
      </c>
      <c r="AO1918" s="122">
        <v>3054</v>
      </c>
      <c r="AP1918" s="122">
        <v>2214</v>
      </c>
      <c r="AQ1918">
        <v>820</v>
      </c>
      <c r="AR1918" s="122">
        <v>23066</v>
      </c>
      <c r="AS1918" s="122">
        <v>8543</v>
      </c>
      <c r="AT1918" s="122">
        <v>3153</v>
      </c>
      <c r="AU1918" s="122">
        <v>1168</v>
      </c>
      <c r="AV1918" s="122">
        <v>160799</v>
      </c>
    </row>
    <row r="1919" spans="2:48" hidden="1">
      <c r="B1919" t="s">
        <v>378</v>
      </c>
      <c r="C1919" t="s">
        <v>56</v>
      </c>
      <c r="D1919" t="s">
        <v>426</v>
      </c>
      <c r="E1919" t="s">
        <v>426</v>
      </c>
      <c r="F1919" s="122">
        <v>3</v>
      </c>
      <c r="G1919" s="122">
        <v>293</v>
      </c>
      <c r="H1919" s="122">
        <v>639</v>
      </c>
      <c r="I1919" s="122">
        <v>33728</v>
      </c>
      <c r="J1919" s="122">
        <v>30662</v>
      </c>
      <c r="K1919" s="122">
        <v>63</v>
      </c>
      <c r="L1919" s="122">
        <v>4536</v>
      </c>
      <c r="M1919" s="122">
        <v>3096</v>
      </c>
      <c r="N1919" s="122">
        <v>4789</v>
      </c>
      <c r="O1919" s="122">
        <v>1774</v>
      </c>
      <c r="P1919" s="122">
        <v>1053</v>
      </c>
      <c r="Q1919" s="122">
        <v>390</v>
      </c>
      <c r="R1919" s="122">
        <v>11893</v>
      </c>
      <c r="S1919" s="122">
        <v>10812</v>
      </c>
      <c r="T1919" s="122">
        <v>6272</v>
      </c>
      <c r="U1919" s="122">
        <v>2323</v>
      </c>
      <c r="V1919" s="122">
        <v>49056</v>
      </c>
      <c r="W1919" s="122">
        <f t="shared" si="60"/>
        <v>49057</v>
      </c>
      <c r="X1919" s="122">
        <f t="shared" si="61"/>
        <v>62271</v>
      </c>
      <c r="AA1919" t="s">
        <v>64</v>
      </c>
      <c r="AB1919" t="s">
        <v>406</v>
      </c>
      <c r="AC1919" t="s">
        <v>426</v>
      </c>
      <c r="AD1919" t="s">
        <v>137</v>
      </c>
      <c r="AE1919" t="s">
        <v>566</v>
      </c>
      <c r="AF1919">
        <v>63</v>
      </c>
      <c r="AG1919" s="122">
        <v>5649</v>
      </c>
      <c r="AH1919" s="122">
        <v>34589</v>
      </c>
      <c r="AI1919" s="122">
        <v>2014340</v>
      </c>
      <c r="AJ1919" s="122">
        <v>1831219</v>
      </c>
      <c r="AK1919">
        <v>73</v>
      </c>
      <c r="AL1919" s="122">
        <v>472601</v>
      </c>
      <c r="AM1919" s="122">
        <v>429637</v>
      </c>
      <c r="AN1919" s="122">
        <v>123282</v>
      </c>
      <c r="AO1919" s="122">
        <v>45660</v>
      </c>
      <c r="AP1919" s="122">
        <v>39123</v>
      </c>
      <c r="AQ1919" s="122">
        <v>14490</v>
      </c>
      <c r="AR1919" s="122">
        <v>419446</v>
      </c>
      <c r="AS1919" s="122">
        <v>155350</v>
      </c>
      <c r="AT1919">
        <v>0</v>
      </c>
      <c r="AU1919">
        <v>0</v>
      </c>
      <c r="AV1919" s="122">
        <v>2476356</v>
      </c>
    </row>
    <row r="1920" spans="2:48" hidden="1">
      <c r="B1920" t="s">
        <v>378</v>
      </c>
      <c r="C1920" t="s">
        <v>58</v>
      </c>
      <c r="F1920" s="122">
        <v>3</v>
      </c>
      <c r="G1920" s="122">
        <v>319</v>
      </c>
      <c r="H1920" s="122">
        <v>806</v>
      </c>
      <c r="I1920" s="122"/>
      <c r="J1920" s="122">
        <v>0</v>
      </c>
      <c r="K1920" s="122"/>
      <c r="L1920" s="122"/>
      <c r="M1920" s="122">
        <v>0</v>
      </c>
      <c r="N1920" s="122">
        <v>5766</v>
      </c>
      <c r="O1920" s="122">
        <v>2136</v>
      </c>
      <c r="P1920" s="122">
        <v>621</v>
      </c>
      <c r="Q1920" s="122">
        <v>230</v>
      </c>
      <c r="R1920" s="122"/>
      <c r="S1920" s="122">
        <v>0</v>
      </c>
      <c r="T1920" s="122">
        <v>0</v>
      </c>
      <c r="U1920" s="122">
        <v>0</v>
      </c>
      <c r="V1920" s="122">
        <v>2366</v>
      </c>
      <c r="W1920" s="122">
        <f t="shared" si="60"/>
        <v>2366</v>
      </c>
      <c r="X1920" s="122">
        <f t="shared" si="61"/>
        <v>6387</v>
      </c>
      <c r="AA1920" t="s">
        <v>64</v>
      </c>
      <c r="AB1920" t="s">
        <v>406</v>
      </c>
      <c r="AC1920" t="s">
        <v>426</v>
      </c>
      <c r="AD1920" t="s">
        <v>406</v>
      </c>
      <c r="AE1920" t="s">
        <v>137</v>
      </c>
      <c r="AF1920" s="122">
        <v>1814</v>
      </c>
      <c r="AG1920" s="122">
        <v>164797</v>
      </c>
      <c r="AH1920" s="122">
        <v>974361</v>
      </c>
      <c r="AI1920" s="122">
        <v>58971289</v>
      </c>
      <c r="AJ1920" s="122">
        <v>53610263</v>
      </c>
      <c r="AK1920">
        <v>71</v>
      </c>
      <c r="AL1920" s="122">
        <v>12605357</v>
      </c>
      <c r="AM1920" s="122">
        <v>11459416</v>
      </c>
      <c r="AN1920" s="122">
        <v>3624526</v>
      </c>
      <c r="AO1920" s="122">
        <v>1342417</v>
      </c>
      <c r="AP1920" s="122">
        <v>1155680</v>
      </c>
      <c r="AQ1920" s="122">
        <v>428030</v>
      </c>
      <c r="AR1920" s="122">
        <v>8157026</v>
      </c>
      <c r="AS1920" s="122">
        <v>7415478</v>
      </c>
      <c r="AT1920" s="122">
        <v>4169776</v>
      </c>
      <c r="AU1920" s="122">
        <v>1544361</v>
      </c>
      <c r="AV1920" s="122">
        <v>75799964</v>
      </c>
    </row>
    <row r="1921" spans="2:48" hidden="1">
      <c r="B1921" t="s">
        <v>378</v>
      </c>
      <c r="C1921" t="s">
        <v>58</v>
      </c>
      <c r="D1921" t="s">
        <v>405</v>
      </c>
      <c r="E1921" t="s">
        <v>405</v>
      </c>
      <c r="F1921" s="122">
        <v>15</v>
      </c>
      <c r="G1921" s="122">
        <v>1652</v>
      </c>
      <c r="H1921" s="122">
        <v>3808</v>
      </c>
      <c r="I1921" s="122">
        <v>224471</v>
      </c>
      <c r="J1921" s="122">
        <v>204064</v>
      </c>
      <c r="K1921" s="122">
        <v>79</v>
      </c>
      <c r="L1921" s="122">
        <v>66532</v>
      </c>
      <c r="M1921" s="122">
        <v>59883</v>
      </c>
      <c r="N1921" s="122">
        <v>30589</v>
      </c>
      <c r="O1921" s="122">
        <v>11329</v>
      </c>
      <c r="P1921" s="122">
        <v>7587</v>
      </c>
      <c r="Q1921" s="122">
        <v>2810</v>
      </c>
      <c r="R1921" s="122">
        <v>81601</v>
      </c>
      <c r="S1921" s="122">
        <v>74183</v>
      </c>
      <c r="T1921" s="122">
        <v>17402</v>
      </c>
      <c r="U1921" s="122">
        <v>6445</v>
      </c>
      <c r="V1921" s="122">
        <v>358716</v>
      </c>
      <c r="W1921" s="122">
        <f t="shared" si="60"/>
        <v>358714</v>
      </c>
      <c r="X1921" s="122">
        <f t="shared" si="61"/>
        <v>428182</v>
      </c>
      <c r="AA1921" t="s">
        <v>64</v>
      </c>
      <c r="AB1921" t="s">
        <v>406</v>
      </c>
      <c r="AC1921" t="s">
        <v>426</v>
      </c>
      <c r="AD1921" t="s">
        <v>406</v>
      </c>
      <c r="AE1921" t="s">
        <v>566</v>
      </c>
      <c r="AF1921">
        <v>412</v>
      </c>
      <c r="AG1921" s="122">
        <v>37420</v>
      </c>
      <c r="AH1921" s="122">
        <v>219751</v>
      </c>
      <c r="AI1921" s="122">
        <v>13151766</v>
      </c>
      <c r="AJ1921" s="122">
        <v>11956151</v>
      </c>
      <c r="AK1921">
        <v>71</v>
      </c>
      <c r="AL1921" s="122">
        <v>3092207</v>
      </c>
      <c r="AM1921" s="122">
        <v>2811097</v>
      </c>
      <c r="AN1921" s="122">
        <v>821076</v>
      </c>
      <c r="AO1921" s="122">
        <v>304102</v>
      </c>
      <c r="AP1921" s="122">
        <v>257931</v>
      </c>
      <c r="AQ1921" s="122">
        <v>95530</v>
      </c>
      <c r="AR1921" s="122">
        <v>2705411</v>
      </c>
      <c r="AS1921" s="122">
        <v>2459464</v>
      </c>
      <c r="AT1921">
        <v>0</v>
      </c>
      <c r="AU1921">
        <v>0</v>
      </c>
      <c r="AV1921" s="122">
        <v>17626344</v>
      </c>
    </row>
    <row r="1922" spans="2:48" hidden="1">
      <c r="B1922" t="s">
        <v>378</v>
      </c>
      <c r="C1922" t="s">
        <v>58</v>
      </c>
      <c r="D1922" t="s">
        <v>137</v>
      </c>
      <c r="E1922" t="s">
        <v>137</v>
      </c>
      <c r="F1922" s="122">
        <v>85</v>
      </c>
      <c r="G1922" s="122">
        <v>8111</v>
      </c>
      <c r="H1922" s="122">
        <v>22459</v>
      </c>
      <c r="I1922" s="122">
        <v>1173655</v>
      </c>
      <c r="J1922" s="122">
        <v>434687</v>
      </c>
      <c r="K1922" s="122">
        <v>100</v>
      </c>
      <c r="L1922" s="122">
        <v>180678</v>
      </c>
      <c r="M1922" s="122">
        <v>125305</v>
      </c>
      <c r="N1922" s="122">
        <v>164666</v>
      </c>
      <c r="O1922" s="122">
        <v>60987</v>
      </c>
      <c r="P1922" s="122">
        <v>1948</v>
      </c>
      <c r="Q1922" s="122">
        <v>721</v>
      </c>
      <c r="R1922" s="122">
        <v>635392</v>
      </c>
      <c r="S1922" s="122">
        <v>235330</v>
      </c>
      <c r="T1922" s="122">
        <v>1793</v>
      </c>
      <c r="U1922" s="122">
        <v>664</v>
      </c>
      <c r="V1922" s="122">
        <v>857695</v>
      </c>
      <c r="W1922" s="122">
        <f t="shared" si="60"/>
        <v>857694</v>
      </c>
      <c r="X1922" s="122">
        <f t="shared" si="61"/>
        <v>2158132</v>
      </c>
      <c r="AA1922" t="s">
        <v>64</v>
      </c>
      <c r="AB1922" t="s">
        <v>406</v>
      </c>
      <c r="AC1922" t="s">
        <v>426</v>
      </c>
      <c r="AD1922" t="s">
        <v>427</v>
      </c>
      <c r="AE1922" t="s">
        <v>137</v>
      </c>
      <c r="AF1922">
        <v>1</v>
      </c>
      <c r="AG1922">
        <v>131</v>
      </c>
      <c r="AH1922">
        <v>494</v>
      </c>
      <c r="AI1922" s="122">
        <v>43295</v>
      </c>
      <c r="AJ1922" s="122">
        <v>39359</v>
      </c>
      <c r="AK1922">
        <v>65</v>
      </c>
      <c r="AL1922" s="122">
        <v>9910</v>
      </c>
      <c r="AM1922" s="122">
        <v>9009</v>
      </c>
      <c r="AN1922" s="122">
        <v>2769</v>
      </c>
      <c r="AO1922" s="122">
        <v>1026</v>
      </c>
      <c r="AP1922">
        <v>621</v>
      </c>
      <c r="AQ1922">
        <v>230</v>
      </c>
      <c r="AR1922" s="122">
        <v>5399</v>
      </c>
      <c r="AS1922" s="122">
        <v>4908</v>
      </c>
      <c r="AT1922" s="122">
        <v>2943</v>
      </c>
      <c r="AU1922" s="122">
        <v>1090</v>
      </c>
      <c r="AV1922" s="122">
        <v>55621</v>
      </c>
    </row>
    <row r="1923" spans="2:48" hidden="1">
      <c r="B1923" t="s">
        <v>378</v>
      </c>
      <c r="C1923" t="s">
        <v>58</v>
      </c>
      <c r="D1923" t="s">
        <v>137</v>
      </c>
      <c r="E1923" t="s">
        <v>556</v>
      </c>
      <c r="F1923" s="122">
        <v>1</v>
      </c>
      <c r="G1923" s="122">
        <v>86</v>
      </c>
      <c r="H1923" s="122">
        <v>286</v>
      </c>
      <c r="I1923" s="122">
        <v>11476</v>
      </c>
      <c r="J1923" s="122">
        <v>4251</v>
      </c>
      <c r="K1923" s="122">
        <v>100</v>
      </c>
      <c r="L1923" s="122">
        <v>2318</v>
      </c>
      <c r="M1923" s="122">
        <v>1932</v>
      </c>
      <c r="N1923" s="122">
        <v>2103</v>
      </c>
      <c r="O1923" s="122">
        <v>779</v>
      </c>
      <c r="P1923" s="122">
        <v>351</v>
      </c>
      <c r="Q1923" s="122">
        <v>130</v>
      </c>
      <c r="R1923" s="122">
        <v>5913</v>
      </c>
      <c r="S1923" s="122">
        <v>4928</v>
      </c>
      <c r="T1923" s="122">
        <v>2517</v>
      </c>
      <c r="U1923" s="122">
        <v>932</v>
      </c>
      <c r="V1923" s="122">
        <v>12951</v>
      </c>
      <c r="W1923" s="122">
        <f t="shared" si="60"/>
        <v>12952</v>
      </c>
      <c r="X1923" s="122">
        <f t="shared" si="61"/>
        <v>24678</v>
      </c>
      <c r="AA1923" t="s">
        <v>64</v>
      </c>
      <c r="AB1923" t="s">
        <v>406</v>
      </c>
      <c r="AC1923" t="s">
        <v>426</v>
      </c>
      <c r="AD1923" t="s">
        <v>407</v>
      </c>
      <c r="AE1923" t="s">
        <v>137</v>
      </c>
      <c r="AF1923">
        <v>3</v>
      </c>
      <c r="AG1923">
        <v>347</v>
      </c>
      <c r="AH1923" s="122">
        <v>1460</v>
      </c>
      <c r="AI1923" s="122">
        <v>110381</v>
      </c>
      <c r="AJ1923" s="122">
        <v>100346</v>
      </c>
      <c r="AK1923">
        <v>67</v>
      </c>
      <c r="AL1923" s="122">
        <v>22942</v>
      </c>
      <c r="AM1923" s="122">
        <v>20856</v>
      </c>
      <c r="AN1923" s="122">
        <v>7791</v>
      </c>
      <c r="AO1923" s="122">
        <v>2885</v>
      </c>
      <c r="AP1923" s="122">
        <v>1863</v>
      </c>
      <c r="AQ1923">
        <v>690</v>
      </c>
      <c r="AR1923" s="122">
        <v>15947</v>
      </c>
      <c r="AS1923" s="122">
        <v>14497</v>
      </c>
      <c r="AT1923" s="122">
        <v>6234</v>
      </c>
      <c r="AU1923" s="122">
        <v>2309</v>
      </c>
      <c r="AV1923" s="122">
        <v>141584</v>
      </c>
    </row>
    <row r="1924" spans="2:48" hidden="1">
      <c r="B1924" t="s">
        <v>378</v>
      </c>
      <c r="C1924" t="s">
        <v>58</v>
      </c>
      <c r="D1924" t="s">
        <v>137</v>
      </c>
      <c r="E1924" t="s">
        <v>426</v>
      </c>
      <c r="F1924" s="122">
        <v>3</v>
      </c>
      <c r="G1924" s="122">
        <v>260</v>
      </c>
      <c r="H1924" s="122">
        <v>867</v>
      </c>
      <c r="I1924" s="122">
        <v>39541</v>
      </c>
      <c r="J1924" s="122">
        <v>14645</v>
      </c>
      <c r="K1924" s="122">
        <v>100</v>
      </c>
      <c r="L1924" s="122">
        <v>4867</v>
      </c>
      <c r="M1924" s="122">
        <v>3700</v>
      </c>
      <c r="N1924" s="122">
        <v>5696</v>
      </c>
      <c r="O1924" s="122">
        <v>2110</v>
      </c>
      <c r="P1924" s="122">
        <v>351</v>
      </c>
      <c r="Q1924" s="122">
        <v>130</v>
      </c>
      <c r="R1924" s="122">
        <v>17266</v>
      </c>
      <c r="S1924" s="122">
        <v>15697</v>
      </c>
      <c r="T1924" s="122">
        <v>7209</v>
      </c>
      <c r="U1924" s="122">
        <v>2670</v>
      </c>
      <c r="V1924" s="122">
        <v>38951</v>
      </c>
      <c r="W1924" s="122">
        <f t="shared" si="60"/>
        <v>38952</v>
      </c>
      <c r="X1924" s="122">
        <f t="shared" si="61"/>
        <v>74930</v>
      </c>
      <c r="AA1924" t="s">
        <v>64</v>
      </c>
      <c r="AB1924" t="s">
        <v>406</v>
      </c>
      <c r="AC1924" t="s">
        <v>426</v>
      </c>
      <c r="AD1924" t="s">
        <v>426</v>
      </c>
      <c r="AE1924" t="s">
        <v>137</v>
      </c>
      <c r="AF1924">
        <v>4</v>
      </c>
      <c r="AG1924">
        <v>463</v>
      </c>
      <c r="AH1924" s="122">
        <v>1993</v>
      </c>
      <c r="AI1924" s="122">
        <v>163349</v>
      </c>
      <c r="AJ1924" s="122">
        <v>148499</v>
      </c>
      <c r="AK1924">
        <v>69</v>
      </c>
      <c r="AL1924" s="122">
        <v>24378</v>
      </c>
      <c r="AM1924" s="122">
        <v>22162</v>
      </c>
      <c r="AN1924" s="122">
        <v>9481</v>
      </c>
      <c r="AO1924" s="122">
        <v>3512</v>
      </c>
      <c r="AP1924" s="122">
        <v>2835</v>
      </c>
      <c r="AQ1924" s="122">
        <v>1050</v>
      </c>
      <c r="AR1924" s="122">
        <v>18730</v>
      </c>
      <c r="AS1924" s="122">
        <v>17027</v>
      </c>
      <c r="AT1924" s="122">
        <v>10937</v>
      </c>
      <c r="AU1924" s="122">
        <v>4051</v>
      </c>
      <c r="AV1924" s="122">
        <v>196300</v>
      </c>
    </row>
    <row r="1925" spans="2:48" hidden="1">
      <c r="B1925" t="s">
        <v>378</v>
      </c>
      <c r="C1925" t="s">
        <v>58</v>
      </c>
      <c r="D1925" t="s">
        <v>406</v>
      </c>
      <c r="E1925" t="s">
        <v>425</v>
      </c>
      <c r="F1925" s="122">
        <v>1</v>
      </c>
      <c r="G1925" s="122">
        <v>132</v>
      </c>
      <c r="H1925" s="122">
        <v>239</v>
      </c>
      <c r="I1925" s="122">
        <v>24333</v>
      </c>
      <c r="J1925" s="122">
        <v>22121</v>
      </c>
      <c r="K1925" s="122">
        <v>79</v>
      </c>
      <c r="L1925" s="122">
        <v>6759</v>
      </c>
      <c r="M1925" s="122">
        <v>6145</v>
      </c>
      <c r="N1925" s="122">
        <v>4474</v>
      </c>
      <c r="O1925" s="122">
        <v>1657</v>
      </c>
      <c r="P1925" s="122">
        <v>621</v>
      </c>
      <c r="Q1925" s="122">
        <v>230</v>
      </c>
      <c r="R1925" s="122">
        <v>7768</v>
      </c>
      <c r="S1925" s="122">
        <v>7061</v>
      </c>
      <c r="T1925" s="122">
        <v>0</v>
      </c>
      <c r="U1925" s="122">
        <v>0</v>
      </c>
      <c r="V1925" s="122">
        <v>37214</v>
      </c>
      <c r="W1925" s="122">
        <f t="shared" si="60"/>
        <v>37214</v>
      </c>
      <c r="X1925" s="122">
        <f t="shared" si="61"/>
        <v>43955</v>
      </c>
      <c r="AA1925" t="s">
        <v>64</v>
      </c>
      <c r="AB1925" t="s">
        <v>406</v>
      </c>
      <c r="AC1925" t="s">
        <v>426</v>
      </c>
      <c r="AD1925" t="s">
        <v>426</v>
      </c>
      <c r="AE1925" t="s">
        <v>566</v>
      </c>
      <c r="AF1925">
        <v>1</v>
      </c>
      <c r="AG1925">
        <v>86</v>
      </c>
      <c r="AH1925">
        <v>580</v>
      </c>
      <c r="AI1925" s="122">
        <v>32744</v>
      </c>
      <c r="AJ1925" s="122">
        <v>29768</v>
      </c>
      <c r="AK1925">
        <v>70</v>
      </c>
      <c r="AL1925" s="122">
        <v>8065</v>
      </c>
      <c r="AM1925" s="122">
        <v>7332</v>
      </c>
      <c r="AN1925" s="122">
        <v>1923</v>
      </c>
      <c r="AO1925">
        <v>712</v>
      </c>
      <c r="AP1925">
        <v>621</v>
      </c>
      <c r="AQ1925">
        <v>230</v>
      </c>
      <c r="AR1925" s="122">
        <v>6689</v>
      </c>
      <c r="AS1925" s="122">
        <v>6081</v>
      </c>
      <c r="AT1925">
        <v>0</v>
      </c>
      <c r="AU1925">
        <v>0</v>
      </c>
      <c r="AV1925" s="122">
        <v>44123</v>
      </c>
    </row>
    <row r="1926" spans="2:48" hidden="1">
      <c r="B1926" t="s">
        <v>378</v>
      </c>
      <c r="C1926" t="s">
        <v>58</v>
      </c>
      <c r="D1926" t="s">
        <v>406</v>
      </c>
      <c r="E1926" t="s">
        <v>137</v>
      </c>
      <c r="F1926" s="122">
        <v>1</v>
      </c>
      <c r="G1926" s="122">
        <v>143</v>
      </c>
      <c r="H1926" s="122">
        <v>241</v>
      </c>
      <c r="I1926" s="122">
        <v>24103</v>
      </c>
      <c r="J1926" s="122">
        <v>21912</v>
      </c>
      <c r="K1926" s="122">
        <v>79</v>
      </c>
      <c r="L1926" s="122">
        <v>0</v>
      </c>
      <c r="M1926" s="122">
        <v>0</v>
      </c>
      <c r="N1926" s="122">
        <v>3342</v>
      </c>
      <c r="O1926" s="122">
        <v>1238</v>
      </c>
      <c r="P1926" s="122">
        <v>621</v>
      </c>
      <c r="Q1926" s="122">
        <v>230</v>
      </c>
      <c r="R1926" s="122">
        <v>6427</v>
      </c>
      <c r="S1926" s="122">
        <v>2380</v>
      </c>
      <c r="T1926" s="122">
        <v>0</v>
      </c>
      <c r="U1926" s="122">
        <v>0</v>
      </c>
      <c r="V1926" s="122">
        <v>25760</v>
      </c>
      <c r="W1926" s="122">
        <f t="shared" si="60"/>
        <v>25760</v>
      </c>
      <c r="X1926" s="122">
        <f t="shared" si="61"/>
        <v>34493</v>
      </c>
      <c r="AA1926" t="s">
        <v>64</v>
      </c>
      <c r="AB1926" t="s">
        <v>406</v>
      </c>
      <c r="AC1926" t="s">
        <v>566</v>
      </c>
      <c r="AD1926" t="s">
        <v>137</v>
      </c>
      <c r="AE1926" t="s">
        <v>566</v>
      </c>
      <c r="AF1926">
        <v>7</v>
      </c>
      <c r="AG1926">
        <v>555</v>
      </c>
      <c r="AH1926" s="122">
        <v>4113</v>
      </c>
      <c r="AI1926" s="122">
        <v>275754</v>
      </c>
      <c r="AJ1926" s="122">
        <v>250686</v>
      </c>
      <c r="AK1926">
        <v>66</v>
      </c>
      <c r="AL1926">
        <v>0</v>
      </c>
      <c r="AM1926">
        <v>0</v>
      </c>
      <c r="AN1926" s="122">
        <v>11898</v>
      </c>
      <c r="AO1926" s="122">
        <v>4407</v>
      </c>
      <c r="AP1926" s="122">
        <v>4077</v>
      </c>
      <c r="AQ1926" s="122">
        <v>1510</v>
      </c>
      <c r="AR1926" s="122">
        <v>40924</v>
      </c>
      <c r="AS1926" s="122">
        <v>15157</v>
      </c>
      <c r="AT1926">
        <v>0</v>
      </c>
      <c r="AU1926">
        <v>0</v>
      </c>
      <c r="AV1926" s="122">
        <v>271759</v>
      </c>
    </row>
    <row r="1927" spans="2:48" hidden="1">
      <c r="B1927" t="s">
        <v>378</v>
      </c>
      <c r="C1927" t="s">
        <v>58</v>
      </c>
      <c r="D1927" t="s">
        <v>406</v>
      </c>
      <c r="E1927" t="s">
        <v>406</v>
      </c>
      <c r="F1927" s="122">
        <v>997</v>
      </c>
      <c r="G1927" s="122">
        <v>97831</v>
      </c>
      <c r="H1927" s="122">
        <v>257665</v>
      </c>
      <c r="I1927" s="122">
        <v>13534863</v>
      </c>
      <c r="J1927" s="122">
        <v>12304420</v>
      </c>
      <c r="K1927" s="122">
        <v>80</v>
      </c>
      <c r="L1927" s="122">
        <v>3093012</v>
      </c>
      <c r="M1927" s="122">
        <v>2689363</v>
      </c>
      <c r="N1927" s="122">
        <v>1948276</v>
      </c>
      <c r="O1927" s="122">
        <v>721584</v>
      </c>
      <c r="P1927" s="122">
        <v>633353</v>
      </c>
      <c r="Q1927" s="122">
        <v>234575</v>
      </c>
      <c r="R1927" s="122">
        <v>4655990</v>
      </c>
      <c r="S1927" s="122">
        <v>4232718</v>
      </c>
      <c r="T1927" s="122">
        <v>1539052</v>
      </c>
      <c r="U1927" s="122">
        <v>570019</v>
      </c>
      <c r="V1927" s="122">
        <v>20752679</v>
      </c>
      <c r="W1927" s="122">
        <f t="shared" si="60"/>
        <v>20752679</v>
      </c>
      <c r="X1927" s="122">
        <f t="shared" si="61"/>
        <v>25404546</v>
      </c>
      <c r="AA1927" t="s">
        <v>64</v>
      </c>
      <c r="AB1927" t="s">
        <v>406</v>
      </c>
      <c r="AC1927" t="s">
        <v>566</v>
      </c>
      <c r="AD1927" t="s">
        <v>406</v>
      </c>
      <c r="AE1927" t="s">
        <v>137</v>
      </c>
      <c r="AF1927">
        <v>124</v>
      </c>
      <c r="AG1927" s="122">
        <v>9573</v>
      </c>
      <c r="AH1927" s="122">
        <v>63746</v>
      </c>
      <c r="AI1927" s="122">
        <v>3889873</v>
      </c>
      <c r="AJ1927" s="122">
        <v>3536248</v>
      </c>
      <c r="AK1927">
        <v>71</v>
      </c>
      <c r="AL1927">
        <v>0</v>
      </c>
      <c r="AM1927" s="122">
        <v>36872</v>
      </c>
      <c r="AN1927" s="122">
        <v>209831</v>
      </c>
      <c r="AO1927" s="122">
        <v>77715</v>
      </c>
      <c r="AP1927" s="122">
        <v>76113</v>
      </c>
      <c r="AQ1927" s="122">
        <v>28190</v>
      </c>
      <c r="AR1927" s="122">
        <v>530861</v>
      </c>
      <c r="AS1927" s="122">
        <v>482601</v>
      </c>
      <c r="AT1927" s="122">
        <v>261514</v>
      </c>
      <c r="AU1927" s="122">
        <v>96857</v>
      </c>
      <c r="AV1927" s="122">
        <v>4258484</v>
      </c>
    </row>
    <row r="1928" spans="2:48" hidden="1">
      <c r="B1928" t="s">
        <v>378</v>
      </c>
      <c r="C1928" t="s">
        <v>58</v>
      </c>
      <c r="D1928" t="s">
        <v>406</v>
      </c>
      <c r="E1928" t="s">
        <v>427</v>
      </c>
      <c r="F1928" s="122">
        <v>1</v>
      </c>
      <c r="G1928" s="122">
        <v>82</v>
      </c>
      <c r="H1928" s="122">
        <v>274</v>
      </c>
      <c r="I1928" s="122">
        <v>11094</v>
      </c>
      <c r="J1928" s="122">
        <v>10086</v>
      </c>
      <c r="K1928" s="122">
        <v>79</v>
      </c>
      <c r="L1928" s="122">
        <v>3082</v>
      </c>
      <c r="M1928" s="122">
        <v>2802</v>
      </c>
      <c r="N1928" s="122">
        <v>2010</v>
      </c>
      <c r="O1928" s="122">
        <v>744</v>
      </c>
      <c r="P1928" s="122">
        <v>621</v>
      </c>
      <c r="Q1928" s="122">
        <v>230</v>
      </c>
      <c r="R1928" s="122">
        <v>3622</v>
      </c>
      <c r="S1928" s="122">
        <v>3293</v>
      </c>
      <c r="T1928" s="122">
        <v>2199</v>
      </c>
      <c r="U1928" s="122">
        <v>814</v>
      </c>
      <c r="V1928" s="122">
        <v>17969</v>
      </c>
      <c r="W1928" s="122">
        <f t="shared" si="60"/>
        <v>17969</v>
      </c>
      <c r="X1928" s="122">
        <f t="shared" si="61"/>
        <v>22628</v>
      </c>
      <c r="AA1928" t="s">
        <v>64</v>
      </c>
      <c r="AB1928" t="s">
        <v>406</v>
      </c>
      <c r="AC1928" t="s">
        <v>566</v>
      </c>
      <c r="AD1928" t="s">
        <v>406</v>
      </c>
      <c r="AE1928" t="s">
        <v>566</v>
      </c>
      <c r="AF1928">
        <v>19</v>
      </c>
      <c r="AG1928" s="122">
        <v>1409</v>
      </c>
      <c r="AH1928" s="122">
        <v>9476</v>
      </c>
      <c r="AI1928" s="122">
        <v>542034</v>
      </c>
      <c r="AJ1928" s="122">
        <v>492758</v>
      </c>
      <c r="AK1928">
        <v>68</v>
      </c>
      <c r="AL1928">
        <v>0</v>
      </c>
      <c r="AM1928" s="122">
        <v>6169</v>
      </c>
      <c r="AN1928" s="122">
        <v>31458</v>
      </c>
      <c r="AO1928" s="122">
        <v>11651</v>
      </c>
      <c r="AP1928" s="122">
        <v>11529</v>
      </c>
      <c r="AQ1928" s="122">
        <v>4270</v>
      </c>
      <c r="AR1928" s="122">
        <v>115705</v>
      </c>
      <c r="AS1928" s="122">
        <v>105186</v>
      </c>
      <c r="AT1928">
        <v>0</v>
      </c>
      <c r="AU1928">
        <v>0</v>
      </c>
      <c r="AV1928" s="122">
        <v>620035</v>
      </c>
    </row>
    <row r="1929" spans="2:48" hidden="1">
      <c r="B1929" t="s">
        <v>378</v>
      </c>
      <c r="C1929" t="s">
        <v>58</v>
      </c>
      <c r="D1929" t="s">
        <v>427</v>
      </c>
      <c r="E1929" t="s">
        <v>427</v>
      </c>
      <c r="F1929" s="122">
        <v>3</v>
      </c>
      <c r="G1929" s="122">
        <v>254</v>
      </c>
      <c r="H1929" s="122">
        <v>807</v>
      </c>
      <c r="I1929" s="122">
        <v>33425</v>
      </c>
      <c r="J1929" s="122">
        <v>30386</v>
      </c>
      <c r="K1929" s="122">
        <v>62</v>
      </c>
      <c r="L1929" s="122">
        <v>7619</v>
      </c>
      <c r="M1929" s="122">
        <v>6926</v>
      </c>
      <c r="N1929" s="122">
        <v>5430</v>
      </c>
      <c r="O1929" s="122">
        <v>2011</v>
      </c>
      <c r="P1929" s="122">
        <v>1053</v>
      </c>
      <c r="Q1929" s="122">
        <v>390</v>
      </c>
      <c r="R1929" s="122">
        <v>13752</v>
      </c>
      <c r="S1929" s="122">
        <v>12502</v>
      </c>
      <c r="T1929" s="122">
        <v>6948</v>
      </c>
      <c r="U1929" s="122">
        <v>2573</v>
      </c>
      <c r="V1929" s="122">
        <v>54789</v>
      </c>
      <c r="W1929" s="122">
        <f t="shared" si="60"/>
        <v>54788</v>
      </c>
      <c r="X1929" s="122">
        <f t="shared" si="61"/>
        <v>68227</v>
      </c>
      <c r="AA1929" t="s">
        <v>64</v>
      </c>
      <c r="AB1929" t="s">
        <v>406</v>
      </c>
      <c r="AC1929" t="s">
        <v>481</v>
      </c>
      <c r="AD1929" t="s">
        <v>406</v>
      </c>
      <c r="AE1929" t="s">
        <v>137</v>
      </c>
      <c r="AF1929">
        <v>2</v>
      </c>
      <c r="AG1929">
        <v>115</v>
      </c>
      <c r="AH1929" s="122">
        <v>1260</v>
      </c>
      <c r="AI1929" s="122">
        <v>47374</v>
      </c>
      <c r="AJ1929" s="122">
        <v>43067</v>
      </c>
      <c r="AK1929">
        <v>75</v>
      </c>
      <c r="AL1929" s="122">
        <v>9871</v>
      </c>
      <c r="AM1929" s="122">
        <v>8973</v>
      </c>
      <c r="AN1929" s="122">
        <v>2805</v>
      </c>
      <c r="AO1929" s="122">
        <v>1039</v>
      </c>
      <c r="AP1929" s="122">
        <v>1242</v>
      </c>
      <c r="AQ1929">
        <v>460</v>
      </c>
      <c r="AR1929" s="122">
        <v>7633</v>
      </c>
      <c r="AS1929" s="122">
        <v>6939</v>
      </c>
      <c r="AT1929" s="122">
        <v>4423</v>
      </c>
      <c r="AU1929" s="122">
        <v>1638</v>
      </c>
      <c r="AV1929" s="122">
        <v>62117</v>
      </c>
    </row>
    <row r="1930" spans="2:48" hidden="1">
      <c r="B1930" t="s">
        <v>378</v>
      </c>
      <c r="C1930" t="s">
        <v>58</v>
      </c>
      <c r="D1930" t="s">
        <v>407</v>
      </c>
      <c r="E1930" t="s">
        <v>137</v>
      </c>
      <c r="F1930" s="122">
        <v>1</v>
      </c>
      <c r="G1930" s="122">
        <v>37</v>
      </c>
      <c r="H1930" s="122">
        <v>265</v>
      </c>
      <c r="I1930" s="122">
        <v>5546</v>
      </c>
      <c r="J1930" s="122">
        <v>5042</v>
      </c>
      <c r="K1930" s="122">
        <v>79</v>
      </c>
      <c r="L1930" s="122">
        <v>0</v>
      </c>
      <c r="M1930" s="122">
        <v>0</v>
      </c>
      <c r="N1930" s="122">
        <v>899</v>
      </c>
      <c r="O1930" s="122">
        <v>333</v>
      </c>
      <c r="P1930" s="122">
        <v>473</v>
      </c>
      <c r="Q1930" s="122">
        <v>175</v>
      </c>
      <c r="R1930" s="122">
        <v>2853</v>
      </c>
      <c r="S1930" s="122">
        <v>1057</v>
      </c>
      <c r="T1930" s="122">
        <v>0</v>
      </c>
      <c r="U1930" s="122">
        <v>0</v>
      </c>
      <c r="V1930" s="122">
        <v>6606</v>
      </c>
      <c r="W1930" s="122">
        <f t="shared" si="60"/>
        <v>6607</v>
      </c>
      <c r="X1930" s="122">
        <f t="shared" si="61"/>
        <v>9771</v>
      </c>
      <c r="AA1930" t="s">
        <v>64</v>
      </c>
      <c r="AB1930" t="s">
        <v>406</v>
      </c>
      <c r="AC1930" t="s">
        <v>433</v>
      </c>
      <c r="AD1930" t="s">
        <v>137</v>
      </c>
      <c r="AE1930" t="s">
        <v>566</v>
      </c>
      <c r="AF1930">
        <v>2</v>
      </c>
      <c r="AG1930">
        <v>164</v>
      </c>
      <c r="AH1930" s="122">
        <v>1132</v>
      </c>
      <c r="AI1930" s="122">
        <v>55077</v>
      </c>
      <c r="AJ1930" s="122">
        <v>50070</v>
      </c>
      <c r="AK1930">
        <v>81</v>
      </c>
      <c r="AL1930" s="122">
        <v>15444</v>
      </c>
      <c r="AM1930" s="122">
        <v>14040</v>
      </c>
      <c r="AN1930" s="122">
        <v>3613</v>
      </c>
      <c r="AO1930" s="122">
        <v>1338</v>
      </c>
      <c r="AP1930" s="122">
        <v>1242</v>
      </c>
      <c r="AQ1930">
        <v>460</v>
      </c>
      <c r="AR1930" s="122">
        <v>18851</v>
      </c>
      <c r="AS1930" s="122">
        <v>6982</v>
      </c>
      <c r="AT1930">
        <v>0</v>
      </c>
      <c r="AU1930">
        <v>0</v>
      </c>
      <c r="AV1930" s="122">
        <v>72890</v>
      </c>
    </row>
    <row r="1931" spans="2:48" hidden="1">
      <c r="B1931" t="s">
        <v>378</v>
      </c>
      <c r="C1931" t="s">
        <v>58</v>
      </c>
      <c r="D1931" t="s">
        <v>407</v>
      </c>
      <c r="E1931" t="s">
        <v>406</v>
      </c>
      <c r="F1931" s="122">
        <v>3</v>
      </c>
      <c r="G1931" s="122">
        <v>258</v>
      </c>
      <c r="H1931" s="122">
        <v>771</v>
      </c>
      <c r="I1931" s="122">
        <v>31714</v>
      </c>
      <c r="J1931" s="122">
        <v>28831</v>
      </c>
      <c r="K1931" s="122">
        <v>74</v>
      </c>
      <c r="L1931" s="122">
        <v>8642</v>
      </c>
      <c r="M1931" s="122">
        <v>7407</v>
      </c>
      <c r="N1931" s="122">
        <v>4435</v>
      </c>
      <c r="O1931" s="122">
        <v>1643</v>
      </c>
      <c r="P1931" s="122">
        <v>1296</v>
      </c>
      <c r="Q1931" s="122">
        <v>480</v>
      </c>
      <c r="R1931" s="122">
        <v>12746</v>
      </c>
      <c r="S1931" s="122">
        <v>11587</v>
      </c>
      <c r="T1931" s="122">
        <v>7453</v>
      </c>
      <c r="U1931" s="122">
        <v>2760</v>
      </c>
      <c r="V1931" s="122">
        <v>52708</v>
      </c>
      <c r="W1931" s="122">
        <f t="shared" si="60"/>
        <v>52708</v>
      </c>
      <c r="X1931" s="122">
        <f t="shared" si="61"/>
        <v>66286</v>
      </c>
      <c r="AA1931" t="s">
        <v>64</v>
      </c>
      <c r="AB1931" t="s">
        <v>406</v>
      </c>
      <c r="AC1931" t="s">
        <v>433</v>
      </c>
      <c r="AD1931" t="s">
        <v>406</v>
      </c>
      <c r="AE1931" t="s">
        <v>137</v>
      </c>
      <c r="AF1931">
        <v>20</v>
      </c>
      <c r="AG1931" s="122">
        <v>1751</v>
      </c>
      <c r="AH1931" s="122">
        <v>11042</v>
      </c>
      <c r="AI1931" s="122">
        <v>615891</v>
      </c>
      <c r="AJ1931" s="122">
        <v>559901</v>
      </c>
      <c r="AK1931">
        <v>71</v>
      </c>
      <c r="AL1931" s="122">
        <v>127991</v>
      </c>
      <c r="AM1931" s="122">
        <v>116355</v>
      </c>
      <c r="AN1931" s="122">
        <v>40450</v>
      </c>
      <c r="AO1931" s="122">
        <v>14982</v>
      </c>
      <c r="AP1931" s="122">
        <v>11651</v>
      </c>
      <c r="AQ1931" s="122">
        <v>4315</v>
      </c>
      <c r="AR1931" s="122">
        <v>121636</v>
      </c>
      <c r="AS1931" s="122">
        <v>110578</v>
      </c>
      <c r="AT1931" s="122">
        <v>31944</v>
      </c>
      <c r="AU1931" s="122">
        <v>11831</v>
      </c>
      <c r="AV1931" s="122">
        <v>817962</v>
      </c>
    </row>
    <row r="1932" spans="2:48" hidden="1">
      <c r="B1932" t="s">
        <v>378</v>
      </c>
      <c r="C1932" t="s">
        <v>58</v>
      </c>
      <c r="D1932" t="s">
        <v>407</v>
      </c>
      <c r="E1932" t="s">
        <v>427</v>
      </c>
      <c r="F1932" s="122">
        <v>1</v>
      </c>
      <c r="G1932" s="122">
        <v>124</v>
      </c>
      <c r="H1932" s="122">
        <v>228</v>
      </c>
      <c r="I1932" s="122">
        <v>13535</v>
      </c>
      <c r="J1932" s="122">
        <v>12304</v>
      </c>
      <c r="K1932" s="122">
        <v>79</v>
      </c>
      <c r="L1932" s="122">
        <v>3765</v>
      </c>
      <c r="M1932" s="122">
        <v>3422</v>
      </c>
      <c r="N1932" s="122">
        <v>3009</v>
      </c>
      <c r="O1932" s="122">
        <v>1115</v>
      </c>
      <c r="P1932" s="122">
        <v>473</v>
      </c>
      <c r="Q1932" s="122">
        <v>175</v>
      </c>
      <c r="R1932" s="122">
        <v>7420</v>
      </c>
      <c r="S1932" s="122">
        <v>6746</v>
      </c>
      <c r="T1932" s="122">
        <v>0</v>
      </c>
      <c r="U1932" s="122">
        <v>0</v>
      </c>
      <c r="V1932" s="122">
        <v>23762</v>
      </c>
      <c r="W1932" s="122">
        <f t="shared" si="60"/>
        <v>23762</v>
      </c>
      <c r="X1932" s="122">
        <f t="shared" si="61"/>
        <v>28202</v>
      </c>
      <c r="AA1932" t="s">
        <v>64</v>
      </c>
      <c r="AB1932" t="s">
        <v>406</v>
      </c>
      <c r="AC1932" t="s">
        <v>433</v>
      </c>
      <c r="AD1932" t="s">
        <v>406</v>
      </c>
      <c r="AE1932" t="s">
        <v>566</v>
      </c>
      <c r="AF1932">
        <v>11</v>
      </c>
      <c r="AG1932" s="122">
        <v>1188</v>
      </c>
      <c r="AH1932" s="122">
        <v>5963</v>
      </c>
      <c r="AI1932" s="122">
        <v>440391</v>
      </c>
      <c r="AJ1932" s="122">
        <v>400356</v>
      </c>
      <c r="AK1932">
        <v>69</v>
      </c>
      <c r="AL1932" s="122">
        <v>97320</v>
      </c>
      <c r="AM1932" s="122">
        <v>88473</v>
      </c>
      <c r="AN1932" s="122">
        <v>27476</v>
      </c>
      <c r="AO1932" s="122">
        <v>10176</v>
      </c>
      <c r="AP1932" s="122">
        <v>6831</v>
      </c>
      <c r="AQ1932" s="122">
        <v>2530</v>
      </c>
      <c r="AR1932" s="122">
        <v>80731</v>
      </c>
      <c r="AS1932" s="122">
        <v>73392</v>
      </c>
      <c r="AT1932">
        <v>0</v>
      </c>
      <c r="AU1932">
        <v>0</v>
      </c>
      <c r="AV1932" s="122">
        <v>574927</v>
      </c>
    </row>
    <row r="1933" spans="2:48" hidden="1">
      <c r="B1933" t="s">
        <v>378</v>
      </c>
      <c r="C1933" t="s">
        <v>58</v>
      </c>
      <c r="D1933" t="s">
        <v>407</v>
      </c>
      <c r="E1933" t="s">
        <v>407</v>
      </c>
      <c r="F1933" s="122">
        <v>1021</v>
      </c>
      <c r="G1933" s="122">
        <v>96141</v>
      </c>
      <c r="H1933" s="122">
        <v>254438</v>
      </c>
      <c r="I1933" s="122">
        <v>11769981</v>
      </c>
      <c r="J1933" s="122">
        <v>10699983</v>
      </c>
      <c r="K1933" s="122">
        <v>79</v>
      </c>
      <c r="L1933" s="122">
        <v>3596060</v>
      </c>
      <c r="M1933" s="122">
        <v>3165896</v>
      </c>
      <c r="N1933" s="122">
        <v>1948715</v>
      </c>
      <c r="O1933" s="122">
        <v>721746</v>
      </c>
      <c r="P1933" s="122">
        <v>485486</v>
      </c>
      <c r="Q1933" s="122">
        <v>179810</v>
      </c>
      <c r="R1933" s="122">
        <v>4946319</v>
      </c>
      <c r="S1933" s="122">
        <v>4496653</v>
      </c>
      <c r="T1933" s="122">
        <v>1220010</v>
      </c>
      <c r="U1933" s="122">
        <v>451856</v>
      </c>
      <c r="V1933" s="122">
        <v>19715944</v>
      </c>
      <c r="W1933" s="122">
        <f t="shared" si="60"/>
        <v>19715944</v>
      </c>
      <c r="X1933" s="122">
        <f t="shared" si="61"/>
        <v>23966571</v>
      </c>
      <c r="AA1933" t="s">
        <v>64</v>
      </c>
      <c r="AB1933" t="s">
        <v>427</v>
      </c>
      <c r="AC1933" t="s">
        <v>425</v>
      </c>
      <c r="AD1933" t="s">
        <v>137</v>
      </c>
      <c r="AE1933" t="s">
        <v>566</v>
      </c>
      <c r="AF1933">
        <v>1</v>
      </c>
      <c r="AG1933">
        <v>96</v>
      </c>
      <c r="AH1933">
        <v>633</v>
      </c>
      <c r="AI1933" s="122">
        <v>42319</v>
      </c>
      <c r="AJ1933" s="122">
        <v>38472</v>
      </c>
      <c r="AK1933">
        <v>50</v>
      </c>
      <c r="AL1933" s="122">
        <v>2612</v>
      </c>
      <c r="AM1933" s="122">
        <v>2375</v>
      </c>
      <c r="AN1933" s="122">
        <v>1869</v>
      </c>
      <c r="AO1933">
        <v>692</v>
      </c>
      <c r="AP1933">
        <v>0</v>
      </c>
      <c r="AQ1933">
        <v>0</v>
      </c>
      <c r="AR1933" s="122">
        <v>13948</v>
      </c>
      <c r="AS1933" s="122">
        <v>5166</v>
      </c>
      <c r="AT1933">
        <v>0</v>
      </c>
      <c r="AU1933">
        <v>0</v>
      </c>
      <c r="AV1933" s="122">
        <v>46705</v>
      </c>
    </row>
    <row r="1934" spans="2:48" hidden="1">
      <c r="B1934" t="s">
        <v>378</v>
      </c>
      <c r="C1934" t="s">
        <v>58</v>
      </c>
      <c r="D1934" t="s">
        <v>407</v>
      </c>
      <c r="E1934" t="s">
        <v>426</v>
      </c>
      <c r="F1934" s="122">
        <v>1</v>
      </c>
      <c r="G1934" s="122">
        <v>82</v>
      </c>
      <c r="H1934" s="122">
        <v>248</v>
      </c>
      <c r="I1934" s="122">
        <v>9613</v>
      </c>
      <c r="J1934" s="122">
        <v>8739</v>
      </c>
      <c r="K1934" s="122">
        <v>80</v>
      </c>
      <c r="L1934" s="122">
        <v>6651</v>
      </c>
      <c r="M1934" s="122">
        <v>2463</v>
      </c>
      <c r="N1934" s="122">
        <v>1726</v>
      </c>
      <c r="O1934" s="122">
        <v>639</v>
      </c>
      <c r="P1934" s="122">
        <v>473</v>
      </c>
      <c r="Q1934" s="122">
        <v>175</v>
      </c>
      <c r="R1934" s="122">
        <v>1832</v>
      </c>
      <c r="S1934" s="122">
        <v>1665</v>
      </c>
      <c r="T1934" s="122">
        <v>0</v>
      </c>
      <c r="U1934" s="122">
        <v>0</v>
      </c>
      <c r="V1934" s="122">
        <v>13682</v>
      </c>
      <c r="W1934" s="122">
        <f t="shared" si="60"/>
        <v>13681</v>
      </c>
      <c r="X1934" s="122">
        <f t="shared" si="61"/>
        <v>20295</v>
      </c>
      <c r="AA1934" t="s">
        <v>64</v>
      </c>
      <c r="AB1934" t="s">
        <v>427</v>
      </c>
      <c r="AC1934" t="s">
        <v>425</v>
      </c>
      <c r="AD1934" t="s">
        <v>427</v>
      </c>
      <c r="AE1934" t="s">
        <v>137</v>
      </c>
      <c r="AF1934">
        <v>1</v>
      </c>
      <c r="AG1934">
        <v>80</v>
      </c>
      <c r="AH1934">
        <v>733</v>
      </c>
      <c r="AI1934" s="122">
        <v>44884</v>
      </c>
      <c r="AJ1934" s="122">
        <v>40803</v>
      </c>
      <c r="AK1934">
        <v>55</v>
      </c>
      <c r="AL1934" s="122">
        <v>5486</v>
      </c>
      <c r="AM1934" s="122">
        <v>4987</v>
      </c>
      <c r="AN1934" s="122">
        <v>1948</v>
      </c>
      <c r="AO1934">
        <v>722</v>
      </c>
      <c r="AP1934">
        <v>351</v>
      </c>
      <c r="AQ1934">
        <v>130</v>
      </c>
      <c r="AR1934" s="122">
        <v>4222</v>
      </c>
      <c r="AS1934" s="122">
        <v>3838</v>
      </c>
      <c r="AT1934" s="122">
        <v>1720</v>
      </c>
      <c r="AU1934">
        <v>637</v>
      </c>
      <c r="AV1934" s="122">
        <v>51117</v>
      </c>
    </row>
    <row r="1935" spans="2:48" hidden="1">
      <c r="B1935" t="s">
        <v>378</v>
      </c>
      <c r="C1935" t="s">
        <v>58</v>
      </c>
      <c r="D1935" t="s">
        <v>407</v>
      </c>
      <c r="E1935" t="s">
        <v>433</v>
      </c>
      <c r="F1935" s="122">
        <v>1</v>
      </c>
      <c r="G1935" s="122">
        <v>132</v>
      </c>
      <c r="H1935" s="122">
        <v>246</v>
      </c>
      <c r="I1935" s="122">
        <v>17796</v>
      </c>
      <c r="J1935" s="122">
        <v>16178</v>
      </c>
      <c r="K1935" s="122">
        <v>75</v>
      </c>
      <c r="L1935" s="122">
        <v>5127</v>
      </c>
      <c r="M1935" s="122">
        <v>4272</v>
      </c>
      <c r="N1935" s="122">
        <v>1614</v>
      </c>
      <c r="O1935" s="122">
        <v>598</v>
      </c>
      <c r="P1935" s="122">
        <v>473</v>
      </c>
      <c r="Q1935" s="122">
        <v>175</v>
      </c>
      <c r="R1935" s="122">
        <v>7545</v>
      </c>
      <c r="S1935" s="122">
        <v>6859</v>
      </c>
      <c r="T1935" s="122">
        <v>0</v>
      </c>
      <c r="U1935" s="122">
        <v>0</v>
      </c>
      <c r="V1935" s="122">
        <v>28082</v>
      </c>
      <c r="W1935" s="122">
        <f t="shared" si="60"/>
        <v>28082</v>
      </c>
      <c r="X1935" s="122">
        <f t="shared" si="61"/>
        <v>32555</v>
      </c>
      <c r="AA1935" t="s">
        <v>64</v>
      </c>
      <c r="AB1935" t="s">
        <v>427</v>
      </c>
      <c r="AC1935" t="s">
        <v>425</v>
      </c>
      <c r="AD1935" t="s">
        <v>427</v>
      </c>
      <c r="AE1935" t="s">
        <v>566</v>
      </c>
      <c r="AF1935">
        <v>1</v>
      </c>
      <c r="AG1935">
        <v>54</v>
      </c>
      <c r="AH1935">
        <v>475</v>
      </c>
      <c r="AI1935" s="122">
        <v>16580</v>
      </c>
      <c r="AJ1935" s="122">
        <v>15073</v>
      </c>
      <c r="AK1935">
        <v>60</v>
      </c>
      <c r="AL1935" s="122">
        <v>1228</v>
      </c>
      <c r="AM1935" s="122">
        <v>1116</v>
      </c>
      <c r="AN1935">
        <v>987</v>
      </c>
      <c r="AO1935">
        <v>366</v>
      </c>
      <c r="AP1935">
        <v>351</v>
      </c>
      <c r="AQ1935">
        <v>130</v>
      </c>
      <c r="AR1935" s="122">
        <v>6499</v>
      </c>
      <c r="AS1935" s="122">
        <v>5909</v>
      </c>
      <c r="AT1935">
        <v>0</v>
      </c>
      <c r="AU1935">
        <v>0</v>
      </c>
      <c r="AV1935" s="122">
        <v>22593</v>
      </c>
    </row>
    <row r="1936" spans="2:48" hidden="1">
      <c r="B1936" t="s">
        <v>378</v>
      </c>
      <c r="C1936" t="s">
        <v>58</v>
      </c>
      <c r="D1936" t="s">
        <v>556</v>
      </c>
      <c r="E1936" t="s">
        <v>556</v>
      </c>
      <c r="F1936" s="122">
        <v>13</v>
      </c>
      <c r="G1936" s="122">
        <v>1176</v>
      </c>
      <c r="H1936" s="122">
        <v>3690</v>
      </c>
      <c r="I1936" s="122">
        <v>172838</v>
      </c>
      <c r="J1936" s="122">
        <v>144031</v>
      </c>
      <c r="K1936" s="122">
        <v>58</v>
      </c>
      <c r="L1936" s="122">
        <v>25413</v>
      </c>
      <c r="M1936" s="122">
        <v>18846</v>
      </c>
      <c r="N1936" s="122">
        <v>23695</v>
      </c>
      <c r="O1936" s="122">
        <v>8776</v>
      </c>
      <c r="P1936" s="122">
        <v>6197</v>
      </c>
      <c r="Q1936" s="122">
        <v>2295</v>
      </c>
      <c r="R1936" s="122">
        <v>75658</v>
      </c>
      <c r="S1936" s="122">
        <v>63048</v>
      </c>
      <c r="T1936" s="122">
        <v>29568</v>
      </c>
      <c r="U1936" s="122">
        <v>10951</v>
      </c>
      <c r="V1936" s="122">
        <v>247947</v>
      </c>
      <c r="W1936" s="122">
        <f t="shared" si="60"/>
        <v>247947</v>
      </c>
      <c r="X1936" s="122">
        <f t="shared" si="61"/>
        <v>333369</v>
      </c>
      <c r="AA1936" t="s">
        <v>64</v>
      </c>
      <c r="AB1936" t="s">
        <v>427</v>
      </c>
      <c r="AC1936" t="s">
        <v>137</v>
      </c>
      <c r="AD1936" t="s">
        <v>137</v>
      </c>
      <c r="AE1936" t="s">
        <v>137</v>
      </c>
      <c r="AF1936">
        <v>3</v>
      </c>
      <c r="AG1936">
        <v>367</v>
      </c>
      <c r="AH1936" s="122">
        <v>2589</v>
      </c>
      <c r="AI1936" s="122">
        <v>247611</v>
      </c>
      <c r="AJ1936" s="122">
        <v>225100</v>
      </c>
      <c r="AK1936">
        <v>40</v>
      </c>
      <c r="AL1936" s="122">
        <v>35497</v>
      </c>
      <c r="AM1936" s="122">
        <v>13147</v>
      </c>
      <c r="AN1936" s="122">
        <v>8371</v>
      </c>
      <c r="AO1936" s="122">
        <v>3100</v>
      </c>
      <c r="AP1936">
        <v>0</v>
      </c>
      <c r="AQ1936">
        <v>0</v>
      </c>
      <c r="AR1936" s="122">
        <v>20011</v>
      </c>
      <c r="AS1936" s="122">
        <v>7411</v>
      </c>
      <c r="AT1936">
        <v>0</v>
      </c>
      <c r="AU1936">
        <v>0</v>
      </c>
      <c r="AV1936" s="122">
        <v>248759</v>
      </c>
    </row>
    <row r="1937" spans="2:48" hidden="1">
      <c r="B1937" t="s">
        <v>378</v>
      </c>
      <c r="C1937" t="s">
        <v>58</v>
      </c>
      <c r="D1937" t="s">
        <v>556</v>
      </c>
      <c r="E1937" t="s">
        <v>433</v>
      </c>
      <c r="F1937" s="122">
        <v>1</v>
      </c>
      <c r="G1937" s="122">
        <v>80</v>
      </c>
      <c r="H1937" s="122">
        <v>234</v>
      </c>
      <c r="I1937" s="122">
        <v>8374</v>
      </c>
      <c r="J1937" s="122">
        <v>6979</v>
      </c>
      <c r="K1937" s="122">
        <v>65</v>
      </c>
      <c r="L1937" s="122">
        <v>2016</v>
      </c>
      <c r="M1937" s="122">
        <v>1680</v>
      </c>
      <c r="N1937" s="122">
        <v>1470</v>
      </c>
      <c r="O1937" s="122">
        <v>544</v>
      </c>
      <c r="P1937" s="122">
        <v>351</v>
      </c>
      <c r="Q1937" s="122">
        <v>130</v>
      </c>
      <c r="R1937" s="122">
        <v>4317</v>
      </c>
      <c r="S1937" s="122">
        <v>3924</v>
      </c>
      <c r="T1937" s="122">
        <v>2305</v>
      </c>
      <c r="U1937" s="122">
        <v>854</v>
      </c>
      <c r="V1937" s="122">
        <v>14111</v>
      </c>
      <c r="W1937" s="122">
        <f t="shared" si="60"/>
        <v>14111</v>
      </c>
      <c r="X1937" s="122">
        <f t="shared" si="61"/>
        <v>18833</v>
      </c>
      <c r="AA1937" t="s">
        <v>64</v>
      </c>
      <c r="AB1937" t="s">
        <v>427</v>
      </c>
      <c r="AC1937" t="s">
        <v>137</v>
      </c>
      <c r="AD1937" t="s">
        <v>137</v>
      </c>
      <c r="AE1937" t="s">
        <v>566</v>
      </c>
      <c r="AF1937">
        <v>62</v>
      </c>
      <c r="AG1937" s="122">
        <v>5023</v>
      </c>
      <c r="AH1937" s="122">
        <v>63504</v>
      </c>
      <c r="AI1937" s="122">
        <v>3835478</v>
      </c>
      <c r="AJ1937" s="122">
        <v>3486798</v>
      </c>
      <c r="AK1937">
        <v>35</v>
      </c>
      <c r="AL1937" s="122">
        <v>448829</v>
      </c>
      <c r="AM1937" s="122">
        <v>166233</v>
      </c>
      <c r="AN1937" s="122">
        <v>116042</v>
      </c>
      <c r="AO1937" s="122">
        <v>42978</v>
      </c>
      <c r="AP1937" s="122">
        <v>2106</v>
      </c>
      <c r="AQ1937">
        <v>780</v>
      </c>
      <c r="AR1937" s="122">
        <v>642347</v>
      </c>
      <c r="AS1937" s="122">
        <v>237906</v>
      </c>
      <c r="AT1937">
        <v>0</v>
      </c>
      <c r="AU1937">
        <v>0</v>
      </c>
      <c r="AV1937" s="122">
        <v>3934696</v>
      </c>
    </row>
    <row r="1938" spans="2:48" hidden="1">
      <c r="B1938" t="s">
        <v>378</v>
      </c>
      <c r="C1938" t="s">
        <v>58</v>
      </c>
      <c r="D1938" t="s">
        <v>431</v>
      </c>
      <c r="E1938" t="s">
        <v>431</v>
      </c>
      <c r="F1938" s="122">
        <v>2</v>
      </c>
      <c r="G1938" s="122">
        <v>146</v>
      </c>
      <c r="H1938" s="122">
        <v>517</v>
      </c>
      <c r="I1938" s="122">
        <v>21150</v>
      </c>
      <c r="J1938" s="122">
        <v>19227</v>
      </c>
      <c r="K1938" s="122">
        <v>55</v>
      </c>
      <c r="L1938" s="122">
        <v>0</v>
      </c>
      <c r="M1938" s="122">
        <v>0</v>
      </c>
      <c r="N1938" s="122">
        <v>1783</v>
      </c>
      <c r="O1938" s="122">
        <v>660</v>
      </c>
      <c r="P1938" s="122">
        <v>702</v>
      </c>
      <c r="Q1938" s="122">
        <v>260</v>
      </c>
      <c r="R1938" s="122">
        <v>14188</v>
      </c>
      <c r="S1938" s="122">
        <v>12898</v>
      </c>
      <c r="T1938" s="122">
        <v>0</v>
      </c>
      <c r="U1938" s="122">
        <v>0</v>
      </c>
      <c r="V1938" s="122">
        <v>33045</v>
      </c>
      <c r="W1938" s="122">
        <f t="shared" si="60"/>
        <v>33045</v>
      </c>
      <c r="X1938" s="122">
        <f t="shared" si="61"/>
        <v>37823</v>
      </c>
      <c r="AA1938" t="s">
        <v>64</v>
      </c>
      <c r="AB1938" t="s">
        <v>427</v>
      </c>
      <c r="AC1938" t="s">
        <v>137</v>
      </c>
      <c r="AD1938" t="s">
        <v>406</v>
      </c>
      <c r="AE1938" t="s">
        <v>137</v>
      </c>
      <c r="AF1938">
        <v>1</v>
      </c>
      <c r="AG1938">
        <v>75</v>
      </c>
      <c r="AH1938">
        <v>543</v>
      </c>
      <c r="AI1938" s="122">
        <v>22752</v>
      </c>
      <c r="AJ1938" s="122">
        <v>20684</v>
      </c>
      <c r="AK1938">
        <v>55</v>
      </c>
      <c r="AL1938" s="122">
        <v>3413</v>
      </c>
      <c r="AM1938" s="122">
        <v>1264</v>
      </c>
      <c r="AN1938" s="122">
        <v>1471</v>
      </c>
      <c r="AO1938">
        <v>545</v>
      </c>
      <c r="AP1938">
        <v>351</v>
      </c>
      <c r="AQ1938">
        <v>130</v>
      </c>
      <c r="AR1938" s="122">
        <v>8131</v>
      </c>
      <c r="AS1938" s="122">
        <v>7392</v>
      </c>
      <c r="AT1938" s="122">
        <v>4320</v>
      </c>
      <c r="AU1938" s="122">
        <v>1600</v>
      </c>
      <c r="AV1938" s="122">
        <v>31614</v>
      </c>
    </row>
    <row r="1939" spans="2:48" hidden="1">
      <c r="B1939" t="s">
        <v>378</v>
      </c>
      <c r="C1939" t="s">
        <v>58</v>
      </c>
      <c r="D1939" t="s">
        <v>426</v>
      </c>
      <c r="E1939" t="s">
        <v>426</v>
      </c>
      <c r="F1939" s="122">
        <v>21</v>
      </c>
      <c r="G1939" s="122">
        <v>1747</v>
      </c>
      <c r="H1939" s="122">
        <v>5880</v>
      </c>
      <c r="I1939" s="122">
        <v>260744</v>
      </c>
      <c r="J1939" s="122">
        <v>237040</v>
      </c>
      <c r="K1939" s="122">
        <v>59</v>
      </c>
      <c r="L1939" s="122">
        <v>40946</v>
      </c>
      <c r="M1939" s="122">
        <v>36138</v>
      </c>
      <c r="N1939" s="122">
        <v>33166</v>
      </c>
      <c r="O1939" s="122">
        <v>12284</v>
      </c>
      <c r="P1939" s="122">
        <v>7911</v>
      </c>
      <c r="Q1939" s="122">
        <v>2930</v>
      </c>
      <c r="R1939" s="122">
        <v>102861</v>
      </c>
      <c r="S1939" s="122">
        <v>93510</v>
      </c>
      <c r="T1939" s="122">
        <v>43763</v>
      </c>
      <c r="U1939" s="122">
        <v>16208</v>
      </c>
      <c r="V1939" s="122">
        <v>398111</v>
      </c>
      <c r="W1939" s="122">
        <f t="shared" si="60"/>
        <v>398110</v>
      </c>
      <c r="X1939" s="122">
        <f t="shared" si="61"/>
        <v>489391</v>
      </c>
      <c r="AA1939" t="s">
        <v>64</v>
      </c>
      <c r="AB1939" t="s">
        <v>427</v>
      </c>
      <c r="AC1939" t="s">
        <v>137</v>
      </c>
      <c r="AD1939" t="s">
        <v>406</v>
      </c>
      <c r="AE1939" t="s">
        <v>566</v>
      </c>
      <c r="AF1939">
        <v>1</v>
      </c>
      <c r="AG1939">
        <v>74</v>
      </c>
      <c r="AH1939">
        <v>528</v>
      </c>
      <c r="AI1939" s="122">
        <v>20945</v>
      </c>
      <c r="AJ1939" s="122">
        <v>19040</v>
      </c>
      <c r="AK1939">
        <v>50</v>
      </c>
      <c r="AL1939" s="122">
        <v>2856</v>
      </c>
      <c r="AM1939" s="122">
        <v>1058</v>
      </c>
      <c r="AN1939" s="122">
        <v>1796</v>
      </c>
      <c r="AO1939">
        <v>665</v>
      </c>
      <c r="AP1939">
        <v>0</v>
      </c>
      <c r="AQ1939">
        <v>0</v>
      </c>
      <c r="AR1939" s="122">
        <v>13322</v>
      </c>
      <c r="AS1939" s="122">
        <v>12111</v>
      </c>
      <c r="AT1939">
        <v>0</v>
      </c>
      <c r="AU1939">
        <v>0</v>
      </c>
      <c r="AV1939" s="122">
        <v>32874</v>
      </c>
    </row>
    <row r="1940" spans="2:48" hidden="1">
      <c r="B1940" t="s">
        <v>378</v>
      </c>
      <c r="C1940" t="s">
        <v>58</v>
      </c>
      <c r="D1940" t="s">
        <v>408</v>
      </c>
      <c r="E1940" t="s">
        <v>408</v>
      </c>
      <c r="F1940" s="122">
        <v>1</v>
      </c>
      <c r="G1940" s="122">
        <v>298</v>
      </c>
      <c r="H1940" s="122">
        <v>294</v>
      </c>
      <c r="I1940" s="122">
        <v>64619</v>
      </c>
      <c r="J1940" s="122">
        <v>58745</v>
      </c>
      <c r="K1940" s="122">
        <v>60</v>
      </c>
      <c r="L1940" s="122">
        <v>6628</v>
      </c>
      <c r="M1940" s="122">
        <v>6025</v>
      </c>
      <c r="N1940" s="122">
        <v>5006</v>
      </c>
      <c r="O1940" s="122">
        <v>1854</v>
      </c>
      <c r="P1940" s="122">
        <v>621</v>
      </c>
      <c r="Q1940" s="122">
        <v>230</v>
      </c>
      <c r="R1940" s="122">
        <v>6744</v>
      </c>
      <c r="S1940" s="122">
        <v>6131</v>
      </c>
      <c r="T1940" s="122">
        <v>3805</v>
      </c>
      <c r="U1940" s="122">
        <v>1409</v>
      </c>
      <c r="V1940" s="122">
        <v>74394</v>
      </c>
      <c r="W1940" s="122">
        <f t="shared" si="60"/>
        <v>74394</v>
      </c>
      <c r="X1940" s="122">
        <f t="shared" si="61"/>
        <v>87423</v>
      </c>
      <c r="AA1940" t="s">
        <v>64</v>
      </c>
      <c r="AB1940" t="s">
        <v>427</v>
      </c>
      <c r="AC1940" t="s">
        <v>137</v>
      </c>
      <c r="AD1940" t="s">
        <v>427</v>
      </c>
      <c r="AE1940" t="s">
        <v>137</v>
      </c>
      <c r="AF1940">
        <v>103</v>
      </c>
      <c r="AG1940" s="122">
        <v>6937</v>
      </c>
      <c r="AH1940" s="122">
        <v>63473</v>
      </c>
      <c r="AI1940" s="122">
        <v>2921496</v>
      </c>
      <c r="AJ1940" s="122">
        <v>2655905</v>
      </c>
      <c r="AK1940">
        <v>50</v>
      </c>
      <c r="AL1940" s="122">
        <v>494265</v>
      </c>
      <c r="AM1940" s="122">
        <v>183061</v>
      </c>
      <c r="AN1940" s="122">
        <v>147270</v>
      </c>
      <c r="AO1940" s="122">
        <v>54545</v>
      </c>
      <c r="AP1940" s="122">
        <v>28080</v>
      </c>
      <c r="AQ1940" s="122">
        <v>10400</v>
      </c>
      <c r="AR1940" s="122">
        <v>559724</v>
      </c>
      <c r="AS1940" s="122">
        <v>508840</v>
      </c>
      <c r="AT1940" s="122">
        <v>214128</v>
      </c>
      <c r="AU1940" s="122">
        <v>79307</v>
      </c>
      <c r="AV1940" s="122">
        <v>3492057</v>
      </c>
    </row>
    <row r="1941" spans="2:48" hidden="1">
      <c r="B1941" t="s">
        <v>378</v>
      </c>
      <c r="C1941" t="s">
        <v>60</v>
      </c>
      <c r="D1941" t="s">
        <v>405</v>
      </c>
      <c r="E1941" t="s">
        <v>405</v>
      </c>
      <c r="F1941" s="122">
        <v>4</v>
      </c>
      <c r="G1941" s="122">
        <v>364</v>
      </c>
      <c r="H1941" s="122">
        <v>1265</v>
      </c>
      <c r="I1941" s="122">
        <v>68735</v>
      </c>
      <c r="J1941" s="122">
        <v>62486</v>
      </c>
      <c r="K1941" s="122">
        <v>81</v>
      </c>
      <c r="L1941" s="122">
        <v>18445</v>
      </c>
      <c r="M1941" s="122">
        <v>16276</v>
      </c>
      <c r="N1941" s="122">
        <v>7811</v>
      </c>
      <c r="O1941" s="122">
        <v>2893</v>
      </c>
      <c r="P1941" s="122">
        <v>1890</v>
      </c>
      <c r="Q1941" s="122">
        <v>700</v>
      </c>
      <c r="R1941" s="122">
        <v>14992</v>
      </c>
      <c r="S1941" s="122">
        <v>13629</v>
      </c>
      <c r="T1941" s="122">
        <v>2503</v>
      </c>
      <c r="U1941" s="122">
        <v>927</v>
      </c>
      <c r="V1941" s="122">
        <v>96911</v>
      </c>
      <c r="W1941" s="122">
        <f t="shared" si="60"/>
        <v>96911</v>
      </c>
      <c r="X1941" s="122">
        <f t="shared" si="61"/>
        <v>114376</v>
      </c>
      <c r="AA1941" t="s">
        <v>64</v>
      </c>
      <c r="AB1941" t="s">
        <v>427</v>
      </c>
      <c r="AC1941" t="s">
        <v>137</v>
      </c>
      <c r="AD1941" t="s">
        <v>427</v>
      </c>
      <c r="AE1941" t="s">
        <v>566</v>
      </c>
      <c r="AF1941">
        <v>19</v>
      </c>
      <c r="AG1941" s="122">
        <v>1399</v>
      </c>
      <c r="AH1941" s="122">
        <v>12350</v>
      </c>
      <c r="AI1941" s="122">
        <v>598419</v>
      </c>
      <c r="AJ1941" s="122">
        <v>544017</v>
      </c>
      <c r="AK1941">
        <v>51</v>
      </c>
      <c r="AL1941" s="122">
        <v>102739</v>
      </c>
      <c r="AM1941" s="122">
        <v>38051</v>
      </c>
      <c r="AN1941" s="122">
        <v>27466</v>
      </c>
      <c r="AO1941" s="122">
        <v>10172</v>
      </c>
      <c r="AP1941" s="122">
        <v>4563</v>
      </c>
      <c r="AQ1941" s="122">
        <v>1690</v>
      </c>
      <c r="AR1941" s="122">
        <v>136331</v>
      </c>
      <c r="AS1941" s="122">
        <v>123937</v>
      </c>
      <c r="AT1941">
        <v>0</v>
      </c>
      <c r="AU1941">
        <v>0</v>
      </c>
      <c r="AV1941" s="122">
        <v>717869</v>
      </c>
    </row>
    <row r="1942" spans="2:48" hidden="1">
      <c r="B1942" t="s">
        <v>378</v>
      </c>
      <c r="C1942" t="s">
        <v>60</v>
      </c>
      <c r="D1942" t="s">
        <v>137</v>
      </c>
      <c r="E1942" t="s">
        <v>137</v>
      </c>
      <c r="F1942" s="122">
        <v>48</v>
      </c>
      <c r="G1942" s="122">
        <v>3904</v>
      </c>
      <c r="H1942" s="122">
        <v>16387</v>
      </c>
      <c r="I1942" s="122">
        <v>827219</v>
      </c>
      <c r="J1942" s="122">
        <v>306378</v>
      </c>
      <c r="K1942" s="122">
        <v>100</v>
      </c>
      <c r="L1942" s="122">
        <v>122442</v>
      </c>
      <c r="M1942" s="122">
        <v>82692</v>
      </c>
      <c r="N1942" s="122">
        <v>80766</v>
      </c>
      <c r="O1942" s="122">
        <v>29913</v>
      </c>
      <c r="P1942" s="122">
        <v>1404</v>
      </c>
      <c r="Q1942" s="122">
        <v>520</v>
      </c>
      <c r="R1942" s="122">
        <v>327468</v>
      </c>
      <c r="S1942" s="122">
        <v>121284</v>
      </c>
      <c r="T1942" s="122">
        <v>2147</v>
      </c>
      <c r="U1942" s="122">
        <v>795</v>
      </c>
      <c r="V1942" s="122">
        <v>541583</v>
      </c>
      <c r="W1942" s="122">
        <f t="shared" si="60"/>
        <v>541582</v>
      </c>
      <c r="X1942" s="122">
        <f t="shared" si="61"/>
        <v>1361446</v>
      </c>
      <c r="AA1942" t="s">
        <v>64</v>
      </c>
      <c r="AB1942" t="s">
        <v>427</v>
      </c>
      <c r="AC1942" t="s">
        <v>137</v>
      </c>
      <c r="AD1942" t="s">
        <v>407</v>
      </c>
      <c r="AE1942" t="s">
        <v>566</v>
      </c>
      <c r="AF1942">
        <v>2</v>
      </c>
      <c r="AG1942">
        <v>313</v>
      </c>
      <c r="AH1942" s="122">
        <v>1579</v>
      </c>
      <c r="AI1942" s="122">
        <v>215007</v>
      </c>
      <c r="AJ1942" s="122">
        <v>195460</v>
      </c>
      <c r="AK1942">
        <v>30</v>
      </c>
      <c r="AL1942" s="122">
        <v>17591</v>
      </c>
      <c r="AM1942" s="122">
        <v>6515</v>
      </c>
      <c r="AN1942" s="122">
        <v>7200</v>
      </c>
      <c r="AO1942" s="122">
        <v>2667</v>
      </c>
      <c r="AP1942">
        <v>0</v>
      </c>
      <c r="AQ1942">
        <v>0</v>
      </c>
      <c r="AR1942" s="122">
        <v>12501</v>
      </c>
      <c r="AS1942" s="122">
        <v>11364</v>
      </c>
      <c r="AT1942">
        <v>0</v>
      </c>
      <c r="AU1942">
        <v>0</v>
      </c>
      <c r="AV1942" s="122">
        <v>216007</v>
      </c>
    </row>
    <row r="1943" spans="2:48" hidden="1">
      <c r="B1943" t="s">
        <v>378</v>
      </c>
      <c r="C1943" t="s">
        <v>60</v>
      </c>
      <c r="D1943" t="s">
        <v>137</v>
      </c>
      <c r="E1943" t="s">
        <v>426</v>
      </c>
      <c r="F1943" s="122">
        <v>2</v>
      </c>
      <c r="G1943" s="122">
        <v>152</v>
      </c>
      <c r="H1943" s="122">
        <v>724</v>
      </c>
      <c r="I1943" s="122">
        <v>31405</v>
      </c>
      <c r="J1943" s="122">
        <v>11632</v>
      </c>
      <c r="K1943" s="122">
        <v>100</v>
      </c>
      <c r="L1943" s="122">
        <v>6188</v>
      </c>
      <c r="M1943" s="122">
        <v>5625</v>
      </c>
      <c r="N1943" s="122">
        <v>2684</v>
      </c>
      <c r="O1943" s="122">
        <v>994</v>
      </c>
      <c r="P1943" s="122">
        <v>351</v>
      </c>
      <c r="Q1943" s="122">
        <v>130</v>
      </c>
      <c r="R1943" s="122">
        <v>9674</v>
      </c>
      <c r="S1943" s="122">
        <v>8794</v>
      </c>
      <c r="T1943" s="122">
        <v>4618</v>
      </c>
      <c r="U1943" s="122">
        <v>1710</v>
      </c>
      <c r="V1943" s="122">
        <v>28885</v>
      </c>
      <c r="W1943" s="122">
        <f t="shared" si="60"/>
        <v>28885</v>
      </c>
      <c r="X1943" s="122">
        <f t="shared" si="61"/>
        <v>54920</v>
      </c>
      <c r="AA1943" t="s">
        <v>64</v>
      </c>
      <c r="AB1943" t="s">
        <v>427</v>
      </c>
      <c r="AC1943" t="s">
        <v>580</v>
      </c>
      <c r="AD1943" t="s">
        <v>406</v>
      </c>
      <c r="AE1943" t="s">
        <v>137</v>
      </c>
      <c r="AF1943">
        <v>1</v>
      </c>
      <c r="AG1943">
        <v>329</v>
      </c>
      <c r="AH1943">
        <v>902</v>
      </c>
      <c r="AI1943" s="122">
        <v>262269</v>
      </c>
      <c r="AJ1943" s="122">
        <v>238426</v>
      </c>
      <c r="AK1943">
        <v>30</v>
      </c>
      <c r="AL1943" s="122">
        <v>13450</v>
      </c>
      <c r="AM1943" s="122">
        <v>12227</v>
      </c>
      <c r="AN1943" s="122">
        <v>6530</v>
      </c>
      <c r="AO1943" s="122">
        <v>2418</v>
      </c>
      <c r="AP1943">
        <v>270</v>
      </c>
      <c r="AQ1943">
        <v>100</v>
      </c>
      <c r="AR1943" s="122">
        <v>8807</v>
      </c>
      <c r="AS1943" s="122">
        <v>8006</v>
      </c>
      <c r="AT1943" s="122">
        <v>5301</v>
      </c>
      <c r="AU1943" s="122">
        <v>1963</v>
      </c>
      <c r="AV1943" s="122">
        <v>263141</v>
      </c>
    </row>
    <row r="1944" spans="2:48" hidden="1">
      <c r="B1944" t="s">
        <v>378</v>
      </c>
      <c r="C1944" t="s">
        <v>60</v>
      </c>
      <c r="D1944" t="s">
        <v>406</v>
      </c>
      <c r="E1944" t="s">
        <v>425</v>
      </c>
      <c r="F1944" s="122">
        <v>1</v>
      </c>
      <c r="G1944" s="122">
        <v>120</v>
      </c>
      <c r="H1944" s="122">
        <v>350</v>
      </c>
      <c r="I1944" s="122">
        <v>24797</v>
      </c>
      <c r="J1944" s="122">
        <v>22543</v>
      </c>
      <c r="K1944" s="122">
        <v>65</v>
      </c>
      <c r="L1944" s="122">
        <v>5676</v>
      </c>
      <c r="M1944" s="122">
        <v>5160</v>
      </c>
      <c r="N1944" s="122">
        <v>2665</v>
      </c>
      <c r="O1944" s="122">
        <v>987</v>
      </c>
      <c r="P1944" s="122">
        <v>621</v>
      </c>
      <c r="Q1944" s="122">
        <v>230</v>
      </c>
      <c r="R1944" s="122">
        <v>5400</v>
      </c>
      <c r="S1944" s="122">
        <v>4909</v>
      </c>
      <c r="T1944" s="122">
        <v>2945</v>
      </c>
      <c r="U1944" s="122">
        <v>1091</v>
      </c>
      <c r="V1944" s="122">
        <v>34920</v>
      </c>
      <c r="W1944" s="122">
        <f t="shared" si="60"/>
        <v>34920</v>
      </c>
      <c r="X1944" s="122">
        <f t="shared" si="61"/>
        <v>42104</v>
      </c>
      <c r="AA1944" t="s">
        <v>64</v>
      </c>
      <c r="AB1944" t="s">
        <v>427</v>
      </c>
      <c r="AC1944" t="s">
        <v>580</v>
      </c>
      <c r="AD1944" t="s">
        <v>427</v>
      </c>
      <c r="AE1944" t="s">
        <v>137</v>
      </c>
      <c r="AF1944">
        <v>1</v>
      </c>
      <c r="AG1944">
        <v>44</v>
      </c>
      <c r="AH1944">
        <v>672</v>
      </c>
      <c r="AI1944" s="122">
        <v>19088</v>
      </c>
      <c r="AJ1944" s="122">
        <v>17353</v>
      </c>
      <c r="AK1944">
        <v>45</v>
      </c>
      <c r="AL1944" s="122">
        <v>3019</v>
      </c>
      <c r="AM1944" s="122">
        <v>2744</v>
      </c>
      <c r="AN1944" s="122">
        <v>1080</v>
      </c>
      <c r="AO1944">
        <v>400</v>
      </c>
      <c r="AP1944">
        <v>351</v>
      </c>
      <c r="AQ1944">
        <v>130</v>
      </c>
      <c r="AR1944" s="122">
        <v>6246</v>
      </c>
      <c r="AS1944" s="122">
        <v>5678</v>
      </c>
      <c r="AT1944">
        <v>0</v>
      </c>
      <c r="AU1944">
        <v>0</v>
      </c>
      <c r="AV1944" s="122">
        <v>26305</v>
      </c>
    </row>
    <row r="1945" spans="2:48" hidden="1">
      <c r="B1945" t="s">
        <v>378</v>
      </c>
      <c r="C1945" t="s">
        <v>60</v>
      </c>
      <c r="D1945" t="s">
        <v>406</v>
      </c>
      <c r="E1945" t="s">
        <v>137</v>
      </c>
      <c r="F1945" s="122">
        <v>1</v>
      </c>
      <c r="G1945" s="122">
        <v>47</v>
      </c>
      <c r="H1945" s="122">
        <v>305</v>
      </c>
      <c r="I1945" s="122">
        <v>8320</v>
      </c>
      <c r="J1945" s="122">
        <v>7563</v>
      </c>
      <c r="K1945" s="122">
        <v>94</v>
      </c>
      <c r="L1945" s="122">
        <v>0</v>
      </c>
      <c r="M1945" s="122">
        <v>0</v>
      </c>
      <c r="N1945" s="122">
        <v>855</v>
      </c>
      <c r="O1945" s="122">
        <v>317</v>
      </c>
      <c r="P1945" s="122">
        <v>621</v>
      </c>
      <c r="Q1945" s="122">
        <v>230</v>
      </c>
      <c r="R1945" s="122">
        <v>4476</v>
      </c>
      <c r="S1945" s="122">
        <v>1658</v>
      </c>
      <c r="T1945" s="122">
        <v>0</v>
      </c>
      <c r="U1945" s="122">
        <v>0</v>
      </c>
      <c r="V1945" s="122">
        <v>9768</v>
      </c>
      <c r="W1945" s="122">
        <f t="shared" si="60"/>
        <v>9768</v>
      </c>
      <c r="X1945" s="122">
        <f t="shared" si="61"/>
        <v>14272</v>
      </c>
      <c r="AA1945" t="s">
        <v>64</v>
      </c>
      <c r="AB1945" t="s">
        <v>427</v>
      </c>
      <c r="AC1945" t="s">
        <v>427</v>
      </c>
      <c r="AD1945" t="s">
        <v>137</v>
      </c>
      <c r="AE1945" t="s">
        <v>137</v>
      </c>
      <c r="AF1945">
        <v>4</v>
      </c>
      <c r="AG1945">
        <v>411</v>
      </c>
      <c r="AH1945" s="122">
        <v>3793</v>
      </c>
      <c r="AI1945" s="122">
        <v>285652</v>
      </c>
      <c r="AJ1945" s="122">
        <v>259683</v>
      </c>
      <c r="AK1945">
        <v>48</v>
      </c>
      <c r="AL1945" s="122">
        <v>34952</v>
      </c>
      <c r="AM1945" s="122">
        <v>31774</v>
      </c>
      <c r="AN1945" s="122">
        <v>9580</v>
      </c>
      <c r="AO1945" s="122">
        <v>3548</v>
      </c>
      <c r="AP1945">
        <v>0</v>
      </c>
      <c r="AQ1945">
        <v>0</v>
      </c>
      <c r="AR1945" s="122">
        <v>76791</v>
      </c>
      <c r="AS1945" s="122">
        <v>28441</v>
      </c>
      <c r="AT1945" s="122">
        <v>11179</v>
      </c>
      <c r="AU1945" s="122">
        <v>4141</v>
      </c>
      <c r="AV1945" s="122">
        <v>327587</v>
      </c>
    </row>
    <row r="1946" spans="2:48" hidden="1">
      <c r="B1946" t="s">
        <v>378</v>
      </c>
      <c r="C1946" t="s">
        <v>60</v>
      </c>
      <c r="D1946" t="s">
        <v>406</v>
      </c>
      <c r="E1946" t="s">
        <v>406</v>
      </c>
      <c r="F1946" s="122">
        <v>386</v>
      </c>
      <c r="G1946" s="122">
        <v>36661</v>
      </c>
      <c r="H1946" s="122">
        <v>129326</v>
      </c>
      <c r="I1946" s="122">
        <v>7241615</v>
      </c>
      <c r="J1946" s="122">
        <v>6583286</v>
      </c>
      <c r="K1946" s="122">
        <v>78</v>
      </c>
      <c r="L1946" s="122">
        <v>1631130</v>
      </c>
      <c r="M1946" s="122">
        <v>1414806</v>
      </c>
      <c r="N1946" s="122">
        <v>743863</v>
      </c>
      <c r="O1946" s="122">
        <v>275505</v>
      </c>
      <c r="P1946" s="122">
        <v>245174</v>
      </c>
      <c r="Q1946" s="122">
        <v>90805</v>
      </c>
      <c r="R1946" s="122">
        <v>1871963</v>
      </c>
      <c r="S1946" s="122">
        <v>1701784</v>
      </c>
      <c r="T1946" s="122">
        <v>683287</v>
      </c>
      <c r="U1946" s="122">
        <v>253069</v>
      </c>
      <c r="V1946" s="122">
        <v>10319256</v>
      </c>
      <c r="W1946" s="122">
        <f t="shared" si="60"/>
        <v>10319255</v>
      </c>
      <c r="X1946" s="122">
        <f t="shared" si="61"/>
        <v>12417032</v>
      </c>
      <c r="AA1946" t="s">
        <v>64</v>
      </c>
      <c r="AB1946" t="s">
        <v>427</v>
      </c>
      <c r="AC1946" t="s">
        <v>427</v>
      </c>
      <c r="AD1946" t="s">
        <v>137</v>
      </c>
      <c r="AE1946" t="s">
        <v>566</v>
      </c>
      <c r="AF1946">
        <v>31</v>
      </c>
      <c r="AG1946" s="122">
        <v>2435</v>
      </c>
      <c r="AH1946" s="122">
        <v>30080</v>
      </c>
      <c r="AI1946" s="122">
        <v>1774055</v>
      </c>
      <c r="AJ1946" s="122">
        <v>1612777</v>
      </c>
      <c r="AK1946">
        <v>37</v>
      </c>
      <c r="AL1946" s="122">
        <v>225314</v>
      </c>
      <c r="AM1946" s="122">
        <v>204831</v>
      </c>
      <c r="AN1946" s="122">
        <v>57055</v>
      </c>
      <c r="AO1946" s="122">
        <v>21131</v>
      </c>
      <c r="AP1946" s="122">
        <v>3510</v>
      </c>
      <c r="AQ1946" s="122">
        <v>1300</v>
      </c>
      <c r="AR1946" s="122">
        <v>218909</v>
      </c>
      <c r="AS1946" s="122">
        <v>81077</v>
      </c>
      <c r="AT1946">
        <v>0</v>
      </c>
      <c r="AU1946">
        <v>0</v>
      </c>
      <c r="AV1946" s="122">
        <v>1921117</v>
      </c>
    </row>
    <row r="1947" spans="2:48" hidden="1">
      <c r="B1947" t="s">
        <v>378</v>
      </c>
      <c r="C1947" t="s">
        <v>60</v>
      </c>
      <c r="D1947" t="s">
        <v>427</v>
      </c>
      <c r="E1947" t="s">
        <v>427</v>
      </c>
      <c r="F1947" s="122">
        <v>37</v>
      </c>
      <c r="G1947" s="122">
        <v>2992</v>
      </c>
      <c r="H1947" s="122">
        <v>12995</v>
      </c>
      <c r="I1947" s="122">
        <v>571463</v>
      </c>
      <c r="J1947" s="122">
        <v>519512</v>
      </c>
      <c r="K1947" s="122">
        <v>49</v>
      </c>
      <c r="L1947" s="122">
        <v>82694</v>
      </c>
      <c r="M1947" s="122">
        <v>73170</v>
      </c>
      <c r="N1947" s="122">
        <v>61612</v>
      </c>
      <c r="O1947" s="122">
        <v>22819</v>
      </c>
      <c r="P1947" s="122">
        <v>13797</v>
      </c>
      <c r="Q1947" s="122">
        <v>5110</v>
      </c>
      <c r="R1947" s="122">
        <v>241499</v>
      </c>
      <c r="S1947" s="122">
        <v>219545</v>
      </c>
      <c r="T1947" s="122">
        <v>77107</v>
      </c>
      <c r="U1947" s="122">
        <v>28558</v>
      </c>
      <c r="V1947" s="122">
        <v>868714</v>
      </c>
      <c r="W1947" s="122">
        <f t="shared" si="60"/>
        <v>868714</v>
      </c>
      <c r="X1947" s="122">
        <f t="shared" si="61"/>
        <v>1048172</v>
      </c>
      <c r="AA1947" t="s">
        <v>64</v>
      </c>
      <c r="AB1947" t="s">
        <v>427</v>
      </c>
      <c r="AC1947" t="s">
        <v>427</v>
      </c>
      <c r="AD1947" t="s">
        <v>406</v>
      </c>
      <c r="AE1947" t="s">
        <v>137</v>
      </c>
      <c r="AF1947">
        <v>2</v>
      </c>
      <c r="AG1947">
        <v>85</v>
      </c>
      <c r="AH1947">
        <v>930</v>
      </c>
      <c r="AI1947" s="122">
        <v>21672</v>
      </c>
      <c r="AJ1947" s="122">
        <v>19702</v>
      </c>
      <c r="AK1947">
        <v>55</v>
      </c>
      <c r="AL1947" s="122">
        <v>4415</v>
      </c>
      <c r="AM1947" s="122">
        <v>4013</v>
      </c>
      <c r="AN1947" s="122">
        <v>1227</v>
      </c>
      <c r="AO1947">
        <v>454</v>
      </c>
      <c r="AP1947">
        <v>702</v>
      </c>
      <c r="AQ1947">
        <v>260</v>
      </c>
      <c r="AR1947" s="122">
        <v>8192</v>
      </c>
      <c r="AS1947" s="122">
        <v>7448</v>
      </c>
      <c r="AT1947" s="122">
        <v>3273</v>
      </c>
      <c r="AU1947" s="122">
        <v>1212</v>
      </c>
      <c r="AV1947" s="122">
        <v>33090</v>
      </c>
    </row>
    <row r="1948" spans="2:48" hidden="1">
      <c r="B1948" t="s">
        <v>378</v>
      </c>
      <c r="C1948" t="s">
        <v>60</v>
      </c>
      <c r="D1948" t="s">
        <v>407</v>
      </c>
      <c r="E1948" t="s">
        <v>407</v>
      </c>
      <c r="F1948" s="122">
        <v>157</v>
      </c>
      <c r="G1948" s="122">
        <v>12658</v>
      </c>
      <c r="H1948" s="122">
        <v>51967</v>
      </c>
      <c r="I1948" s="122">
        <v>2344043</v>
      </c>
      <c r="J1948" s="122">
        <v>2130948</v>
      </c>
      <c r="K1948" s="122">
        <v>80</v>
      </c>
      <c r="L1948" s="122">
        <v>642112</v>
      </c>
      <c r="M1948" s="122">
        <v>550224</v>
      </c>
      <c r="N1948" s="122">
        <v>253610</v>
      </c>
      <c r="O1948" s="122">
        <v>93930</v>
      </c>
      <c r="P1948" s="122">
        <v>74412</v>
      </c>
      <c r="Q1948" s="122">
        <v>27560</v>
      </c>
      <c r="R1948" s="122">
        <v>717092</v>
      </c>
      <c r="S1948" s="122">
        <v>651902</v>
      </c>
      <c r="T1948" s="122">
        <v>176034</v>
      </c>
      <c r="U1948" s="122">
        <v>65198</v>
      </c>
      <c r="V1948" s="122">
        <v>3519761</v>
      </c>
      <c r="W1948" s="122">
        <f t="shared" si="60"/>
        <v>3519762</v>
      </c>
      <c r="X1948" s="122">
        <f t="shared" si="61"/>
        <v>4207303</v>
      </c>
      <c r="AA1948" t="s">
        <v>64</v>
      </c>
      <c r="AB1948" t="s">
        <v>427</v>
      </c>
      <c r="AC1948" t="s">
        <v>427</v>
      </c>
      <c r="AD1948" t="s">
        <v>427</v>
      </c>
      <c r="AE1948" t="s">
        <v>137</v>
      </c>
      <c r="AF1948">
        <v>116</v>
      </c>
      <c r="AG1948" s="122">
        <v>8918</v>
      </c>
      <c r="AH1948" s="122">
        <v>68608</v>
      </c>
      <c r="AI1948" s="122">
        <v>3520854</v>
      </c>
      <c r="AJ1948" s="122">
        <v>3200776</v>
      </c>
      <c r="AK1948">
        <v>51</v>
      </c>
      <c r="AL1948" s="122">
        <v>619755</v>
      </c>
      <c r="AM1948" s="122">
        <v>563414</v>
      </c>
      <c r="AN1948" s="122">
        <v>194869</v>
      </c>
      <c r="AO1948" s="122">
        <v>72174</v>
      </c>
      <c r="AP1948" s="122">
        <v>37476</v>
      </c>
      <c r="AQ1948" s="122">
        <v>13880</v>
      </c>
      <c r="AR1948" s="122">
        <v>668519</v>
      </c>
      <c r="AS1948" s="122">
        <v>607745</v>
      </c>
      <c r="AT1948" s="122">
        <v>279299</v>
      </c>
      <c r="AU1948" s="122">
        <v>103444</v>
      </c>
      <c r="AV1948" s="122">
        <v>4561432</v>
      </c>
    </row>
    <row r="1949" spans="2:48" hidden="1">
      <c r="B1949" t="s">
        <v>378</v>
      </c>
      <c r="C1949" t="s">
        <v>60</v>
      </c>
      <c r="D1949" t="s">
        <v>556</v>
      </c>
      <c r="E1949" t="s">
        <v>556</v>
      </c>
      <c r="F1949" s="122">
        <v>23</v>
      </c>
      <c r="G1949" s="122">
        <v>1816</v>
      </c>
      <c r="H1949" s="122">
        <v>7590</v>
      </c>
      <c r="I1949" s="122">
        <v>327635</v>
      </c>
      <c r="J1949" s="122">
        <v>273029</v>
      </c>
      <c r="K1949" s="122">
        <v>58</v>
      </c>
      <c r="L1949" s="122">
        <v>46958</v>
      </c>
      <c r="M1949" s="122">
        <v>39505</v>
      </c>
      <c r="N1949" s="122">
        <v>37051</v>
      </c>
      <c r="O1949" s="122">
        <v>13722</v>
      </c>
      <c r="P1949" s="122">
        <v>8883</v>
      </c>
      <c r="Q1949" s="122">
        <v>3290</v>
      </c>
      <c r="R1949" s="122">
        <v>120743</v>
      </c>
      <c r="S1949" s="122">
        <v>100619</v>
      </c>
      <c r="T1949" s="122">
        <v>52830</v>
      </c>
      <c r="U1949" s="122">
        <v>19567</v>
      </c>
      <c r="V1949" s="122">
        <v>449733</v>
      </c>
      <c r="W1949" s="122">
        <f t="shared" si="60"/>
        <v>449732</v>
      </c>
      <c r="X1949" s="122">
        <f t="shared" si="61"/>
        <v>594100</v>
      </c>
      <c r="AA1949" t="s">
        <v>64</v>
      </c>
      <c r="AB1949" t="s">
        <v>427</v>
      </c>
      <c r="AC1949" t="s">
        <v>427</v>
      </c>
      <c r="AD1949" t="s">
        <v>427</v>
      </c>
      <c r="AE1949" t="s">
        <v>566</v>
      </c>
      <c r="AF1949">
        <v>30</v>
      </c>
      <c r="AG1949" s="122">
        <v>2706</v>
      </c>
      <c r="AH1949" s="122">
        <v>18411</v>
      </c>
      <c r="AI1949" s="122">
        <v>1161721</v>
      </c>
      <c r="AJ1949" s="122">
        <v>1056110</v>
      </c>
      <c r="AK1949">
        <v>53</v>
      </c>
      <c r="AL1949" s="122">
        <v>188431</v>
      </c>
      <c r="AM1949" s="122">
        <v>171301</v>
      </c>
      <c r="AN1949" s="122">
        <v>60959</v>
      </c>
      <c r="AO1949" s="122">
        <v>22578</v>
      </c>
      <c r="AP1949" s="122">
        <v>9248</v>
      </c>
      <c r="AQ1949" s="122">
        <v>3425</v>
      </c>
      <c r="AR1949" s="122">
        <v>237597</v>
      </c>
      <c r="AS1949" s="122">
        <v>215997</v>
      </c>
      <c r="AT1949">
        <v>0</v>
      </c>
      <c r="AU1949">
        <v>0</v>
      </c>
      <c r="AV1949" s="122">
        <v>1469411</v>
      </c>
    </row>
    <row r="1950" spans="2:48" hidden="1">
      <c r="B1950" t="s">
        <v>378</v>
      </c>
      <c r="C1950" t="s">
        <v>60</v>
      </c>
      <c r="D1950" t="s">
        <v>556</v>
      </c>
      <c r="E1950" t="s">
        <v>428</v>
      </c>
      <c r="F1950" s="122">
        <v>1</v>
      </c>
      <c r="G1950" s="122">
        <v>81</v>
      </c>
      <c r="H1950" s="122">
        <v>303</v>
      </c>
      <c r="I1950" s="122">
        <v>15759</v>
      </c>
      <c r="J1950" s="122">
        <v>13133</v>
      </c>
      <c r="K1950" s="122">
        <v>65</v>
      </c>
      <c r="L1950" s="122">
        <v>0</v>
      </c>
      <c r="M1950" s="122">
        <v>0</v>
      </c>
      <c r="N1950" s="122">
        <v>984</v>
      </c>
      <c r="O1950" s="122">
        <v>365</v>
      </c>
      <c r="P1950" s="122">
        <v>473</v>
      </c>
      <c r="Q1950" s="122">
        <v>175</v>
      </c>
      <c r="R1950" s="122">
        <v>4368</v>
      </c>
      <c r="S1950" s="122">
        <v>3971</v>
      </c>
      <c r="T1950" s="122">
        <v>2889</v>
      </c>
      <c r="U1950" s="122">
        <v>1070</v>
      </c>
      <c r="V1950" s="122">
        <v>18714</v>
      </c>
      <c r="W1950" s="122">
        <f t="shared" si="60"/>
        <v>18714</v>
      </c>
      <c r="X1950" s="122">
        <f t="shared" si="61"/>
        <v>24473</v>
      </c>
      <c r="AA1950" t="s">
        <v>64</v>
      </c>
      <c r="AB1950" t="s">
        <v>427</v>
      </c>
      <c r="AC1950" t="s">
        <v>427</v>
      </c>
      <c r="AD1950" t="s">
        <v>431</v>
      </c>
      <c r="AE1950" t="s">
        <v>566</v>
      </c>
      <c r="AF1950">
        <v>1</v>
      </c>
      <c r="AG1950">
        <v>75</v>
      </c>
      <c r="AH1950">
        <v>505</v>
      </c>
      <c r="AI1950" s="122">
        <v>25202</v>
      </c>
      <c r="AJ1950" s="122">
        <v>22911</v>
      </c>
      <c r="AK1950">
        <v>65</v>
      </c>
      <c r="AL1950" s="122">
        <v>5200</v>
      </c>
      <c r="AM1950" s="122">
        <v>4728</v>
      </c>
      <c r="AN1950" s="122">
        <v>1208</v>
      </c>
      <c r="AO1950">
        <v>447</v>
      </c>
      <c r="AP1950">
        <v>0</v>
      </c>
      <c r="AQ1950">
        <v>0</v>
      </c>
      <c r="AR1950" s="122">
        <v>6038</v>
      </c>
      <c r="AS1950" s="122">
        <v>5489</v>
      </c>
      <c r="AT1950">
        <v>0</v>
      </c>
      <c r="AU1950">
        <v>0</v>
      </c>
      <c r="AV1950" s="122">
        <v>33576</v>
      </c>
    </row>
    <row r="1951" spans="2:48" hidden="1">
      <c r="B1951" t="s">
        <v>378</v>
      </c>
      <c r="C1951" t="s">
        <v>60</v>
      </c>
      <c r="D1951" t="s">
        <v>431</v>
      </c>
      <c r="E1951" t="s">
        <v>431</v>
      </c>
      <c r="F1951" s="122">
        <v>2</v>
      </c>
      <c r="G1951" s="122">
        <v>159</v>
      </c>
      <c r="H1951" s="122">
        <v>729</v>
      </c>
      <c r="I1951" s="122">
        <v>28712</v>
      </c>
      <c r="J1951" s="122">
        <v>26102</v>
      </c>
      <c r="K1951" s="122">
        <v>55</v>
      </c>
      <c r="L1951" s="122">
        <v>6826</v>
      </c>
      <c r="M1951" s="122">
        <v>6206</v>
      </c>
      <c r="N1951" s="122">
        <v>3364</v>
      </c>
      <c r="O1951" s="122">
        <v>1246</v>
      </c>
      <c r="P1951" s="122">
        <v>702</v>
      </c>
      <c r="Q1951" s="122">
        <v>260</v>
      </c>
      <c r="R1951" s="122">
        <v>12559</v>
      </c>
      <c r="S1951" s="122">
        <v>11417</v>
      </c>
      <c r="T1951" s="122">
        <v>5926</v>
      </c>
      <c r="U1951" s="122">
        <v>2195</v>
      </c>
      <c r="V1951" s="122">
        <v>47426</v>
      </c>
      <c r="W1951" s="122">
        <f t="shared" si="60"/>
        <v>47426</v>
      </c>
      <c r="X1951" s="122">
        <f t="shared" si="61"/>
        <v>58089</v>
      </c>
      <c r="AA1951" t="s">
        <v>64</v>
      </c>
      <c r="AB1951" t="s">
        <v>427</v>
      </c>
      <c r="AC1951" t="s">
        <v>427</v>
      </c>
      <c r="AD1951" t="s">
        <v>426</v>
      </c>
      <c r="AE1951" t="s">
        <v>137</v>
      </c>
      <c r="AF1951">
        <v>1</v>
      </c>
      <c r="AG1951">
        <v>68</v>
      </c>
      <c r="AH1951">
        <v>624</v>
      </c>
      <c r="AI1951" s="122">
        <v>24475</v>
      </c>
      <c r="AJ1951" s="122">
        <v>22250</v>
      </c>
      <c r="AK1951">
        <v>55</v>
      </c>
      <c r="AL1951" s="122">
        <v>4732</v>
      </c>
      <c r="AM1951" s="122">
        <v>4302</v>
      </c>
      <c r="AN1951" s="122">
        <v>1667</v>
      </c>
      <c r="AO1951">
        <v>617</v>
      </c>
      <c r="AP1951">
        <v>351</v>
      </c>
      <c r="AQ1951">
        <v>130</v>
      </c>
      <c r="AR1951" s="122">
        <v>7187</v>
      </c>
      <c r="AS1951" s="122">
        <v>6533</v>
      </c>
      <c r="AT1951" s="122">
        <v>4235</v>
      </c>
      <c r="AU1951" s="122">
        <v>1569</v>
      </c>
      <c r="AV1951" s="122">
        <v>35401</v>
      </c>
    </row>
    <row r="1952" spans="2:48" hidden="1">
      <c r="B1952" t="s">
        <v>378</v>
      </c>
      <c r="C1952" t="s">
        <v>60</v>
      </c>
      <c r="D1952" t="s">
        <v>426</v>
      </c>
      <c r="E1952" t="s">
        <v>426</v>
      </c>
      <c r="F1952" s="122">
        <v>100</v>
      </c>
      <c r="G1952" s="122">
        <v>7983</v>
      </c>
      <c r="H1952" s="122">
        <v>34411</v>
      </c>
      <c r="I1952" s="122">
        <v>1550226</v>
      </c>
      <c r="J1952" s="122">
        <v>1409297</v>
      </c>
      <c r="K1952" s="122">
        <v>55</v>
      </c>
      <c r="L1952" s="122">
        <v>240959</v>
      </c>
      <c r="M1952" s="122">
        <v>207517</v>
      </c>
      <c r="N1952" s="122">
        <v>155573</v>
      </c>
      <c r="O1952" s="122">
        <v>57620</v>
      </c>
      <c r="P1952" s="122">
        <v>37068</v>
      </c>
      <c r="Q1952" s="122">
        <v>13729</v>
      </c>
      <c r="R1952" s="122">
        <v>536517</v>
      </c>
      <c r="S1952" s="122">
        <v>487743</v>
      </c>
      <c r="T1952" s="122">
        <v>226346</v>
      </c>
      <c r="U1952" s="122">
        <v>83832</v>
      </c>
      <c r="V1952" s="122">
        <v>2259737</v>
      </c>
      <c r="W1952" s="122">
        <f t="shared" si="60"/>
        <v>2259738</v>
      </c>
      <c r="X1952" s="122">
        <f t="shared" si="61"/>
        <v>2746689</v>
      </c>
      <c r="AA1952" t="s">
        <v>64</v>
      </c>
      <c r="AB1952" t="s">
        <v>427</v>
      </c>
      <c r="AC1952" t="s">
        <v>407</v>
      </c>
      <c r="AD1952" t="s">
        <v>137</v>
      </c>
      <c r="AE1952" t="s">
        <v>566</v>
      </c>
      <c r="AF1952">
        <v>3</v>
      </c>
      <c r="AG1952">
        <v>297</v>
      </c>
      <c r="AH1952" s="122">
        <v>1827</v>
      </c>
      <c r="AI1952" s="122">
        <v>137713</v>
      </c>
      <c r="AJ1952" s="122">
        <v>125193</v>
      </c>
      <c r="AK1952">
        <v>30</v>
      </c>
      <c r="AL1952" s="122">
        <v>6953</v>
      </c>
      <c r="AM1952" s="122">
        <v>6321</v>
      </c>
      <c r="AN1952" s="122">
        <v>6886</v>
      </c>
      <c r="AO1952" s="122">
        <v>2550</v>
      </c>
      <c r="AP1952">
        <v>0</v>
      </c>
      <c r="AQ1952">
        <v>0</v>
      </c>
      <c r="AR1952" s="122">
        <v>27293</v>
      </c>
      <c r="AS1952" s="122">
        <v>10109</v>
      </c>
      <c r="AT1952">
        <v>0</v>
      </c>
      <c r="AU1952">
        <v>0</v>
      </c>
      <c r="AV1952" s="122">
        <v>144173</v>
      </c>
    </row>
    <row r="1953" spans="2:48" hidden="1">
      <c r="B1953" t="s">
        <v>378</v>
      </c>
      <c r="C1953" t="s">
        <v>62</v>
      </c>
      <c r="D1953" t="s">
        <v>405</v>
      </c>
      <c r="E1953" t="s">
        <v>405</v>
      </c>
      <c r="F1953" s="122">
        <v>2</v>
      </c>
      <c r="G1953" s="122">
        <v>201</v>
      </c>
      <c r="H1953" s="122">
        <v>810</v>
      </c>
      <c r="I1953" s="122">
        <v>41219</v>
      </c>
      <c r="J1953" s="122">
        <v>37471</v>
      </c>
      <c r="K1953" s="122">
        <v>79</v>
      </c>
      <c r="L1953" s="122">
        <v>22736</v>
      </c>
      <c r="M1953" s="122">
        <v>20669</v>
      </c>
      <c r="N1953" s="122">
        <v>4600</v>
      </c>
      <c r="O1953" s="122">
        <v>1704</v>
      </c>
      <c r="P1953" s="122">
        <v>945</v>
      </c>
      <c r="Q1953" s="122">
        <v>350</v>
      </c>
      <c r="R1953" s="122">
        <v>9127</v>
      </c>
      <c r="S1953" s="122">
        <v>8297</v>
      </c>
      <c r="T1953" s="122">
        <v>2541</v>
      </c>
      <c r="U1953" s="122">
        <v>941</v>
      </c>
      <c r="V1953" s="122">
        <v>69433</v>
      </c>
      <c r="W1953" s="122">
        <f t="shared" si="60"/>
        <v>69432</v>
      </c>
      <c r="X1953" s="122">
        <f t="shared" si="61"/>
        <v>81168</v>
      </c>
      <c r="AA1953" t="s">
        <v>64</v>
      </c>
      <c r="AB1953" t="s">
        <v>427</v>
      </c>
      <c r="AC1953" t="s">
        <v>407</v>
      </c>
      <c r="AD1953" t="s">
        <v>427</v>
      </c>
      <c r="AE1953" t="s">
        <v>566</v>
      </c>
      <c r="AF1953">
        <v>1</v>
      </c>
      <c r="AG1953">
        <v>59</v>
      </c>
      <c r="AH1953">
        <v>765</v>
      </c>
      <c r="AI1953" s="122">
        <v>29575</v>
      </c>
      <c r="AJ1953" s="122">
        <v>26886</v>
      </c>
      <c r="AK1953">
        <v>50</v>
      </c>
      <c r="AL1953" s="122">
        <v>8215</v>
      </c>
      <c r="AM1953" s="122">
        <v>7468</v>
      </c>
      <c r="AN1953" s="122">
        <v>1150</v>
      </c>
      <c r="AO1953">
        <v>426</v>
      </c>
      <c r="AP1953">
        <v>0</v>
      </c>
      <c r="AQ1953">
        <v>0</v>
      </c>
      <c r="AR1953" s="122">
        <v>6216</v>
      </c>
      <c r="AS1953" s="122">
        <v>5651</v>
      </c>
      <c r="AT1953">
        <v>0</v>
      </c>
      <c r="AU1953">
        <v>0</v>
      </c>
      <c r="AV1953" s="122">
        <v>40432</v>
      </c>
    </row>
    <row r="1954" spans="2:48" hidden="1">
      <c r="B1954" t="s">
        <v>378</v>
      </c>
      <c r="C1954" t="s">
        <v>62</v>
      </c>
      <c r="D1954" t="s">
        <v>137</v>
      </c>
      <c r="E1954" t="s">
        <v>137</v>
      </c>
      <c r="F1954" s="122">
        <v>29</v>
      </c>
      <c r="G1954" s="122">
        <v>1749</v>
      </c>
      <c r="H1954" s="122">
        <v>11849</v>
      </c>
      <c r="I1954" s="122">
        <v>443224</v>
      </c>
      <c r="J1954" s="122">
        <v>164157</v>
      </c>
      <c r="K1954" s="122">
        <v>100</v>
      </c>
      <c r="L1954" s="122">
        <v>72660</v>
      </c>
      <c r="M1954" s="122">
        <v>48856</v>
      </c>
      <c r="N1954" s="122">
        <v>36977</v>
      </c>
      <c r="O1954" s="122">
        <v>13695</v>
      </c>
      <c r="P1954" s="122">
        <v>0</v>
      </c>
      <c r="Q1954" s="122">
        <v>0</v>
      </c>
      <c r="R1954" s="122">
        <v>158505</v>
      </c>
      <c r="S1954" s="122">
        <v>58706</v>
      </c>
      <c r="T1954" s="122">
        <v>1821</v>
      </c>
      <c r="U1954" s="122">
        <v>675</v>
      </c>
      <c r="V1954" s="122">
        <v>286089</v>
      </c>
      <c r="W1954" s="122">
        <f t="shared" ref="W1954:W2017" si="62">SUM(ABS(J1954),ABS(M1954),ABS(O1954),ABS(Q1954),ABS(S1954),ABS(U1954))</f>
        <v>286089</v>
      </c>
      <c r="X1954" s="122">
        <f t="shared" ref="X1954:X2017" si="63">SUM(ABS(I1954),ABS(N1954),ABS(P1954),ABS(R1954),ABS(T1954),ABS(L1954))</f>
        <v>713187</v>
      </c>
      <c r="AA1954" t="s">
        <v>64</v>
      </c>
      <c r="AB1954" t="s">
        <v>427</v>
      </c>
      <c r="AC1954" t="s">
        <v>579</v>
      </c>
      <c r="AD1954" t="s">
        <v>406</v>
      </c>
      <c r="AE1954" t="s">
        <v>137</v>
      </c>
      <c r="AF1954">
        <v>1</v>
      </c>
      <c r="AG1954">
        <v>98</v>
      </c>
      <c r="AH1954">
        <v>527</v>
      </c>
      <c r="AI1954" s="122">
        <v>32560</v>
      </c>
      <c r="AJ1954" s="122">
        <v>29600</v>
      </c>
      <c r="AK1954">
        <v>65</v>
      </c>
      <c r="AL1954" s="122">
        <v>8130</v>
      </c>
      <c r="AM1954" s="122">
        <v>6775</v>
      </c>
      <c r="AN1954" s="122">
        <v>2233</v>
      </c>
      <c r="AO1954">
        <v>827</v>
      </c>
      <c r="AP1954">
        <v>621</v>
      </c>
      <c r="AQ1954">
        <v>230</v>
      </c>
      <c r="AR1954" s="122">
        <v>5270</v>
      </c>
      <c r="AS1954" s="122">
        <v>4791</v>
      </c>
      <c r="AT1954" s="122">
        <v>2847</v>
      </c>
      <c r="AU1954" s="122">
        <v>1055</v>
      </c>
      <c r="AV1954" s="122">
        <v>43278</v>
      </c>
    </row>
    <row r="1955" spans="2:48" hidden="1">
      <c r="B1955" t="s">
        <v>378</v>
      </c>
      <c r="C1955" t="s">
        <v>62</v>
      </c>
      <c r="D1955" t="s">
        <v>406</v>
      </c>
      <c r="E1955" t="s">
        <v>137</v>
      </c>
      <c r="F1955" s="122">
        <v>2</v>
      </c>
      <c r="G1955" s="122">
        <v>139</v>
      </c>
      <c r="H1955" s="122">
        <v>833</v>
      </c>
      <c r="I1955" s="122">
        <v>35866</v>
      </c>
      <c r="J1955" s="122">
        <v>32605</v>
      </c>
      <c r="K1955" s="122">
        <v>75</v>
      </c>
      <c r="L1955" s="122">
        <v>8076</v>
      </c>
      <c r="M1955" s="122">
        <v>5211</v>
      </c>
      <c r="N1955" s="122">
        <v>2520</v>
      </c>
      <c r="O1955" s="122">
        <v>933</v>
      </c>
      <c r="P1955" s="122">
        <v>1242</v>
      </c>
      <c r="Q1955" s="122">
        <v>460</v>
      </c>
      <c r="R1955" s="122">
        <v>10060</v>
      </c>
      <c r="S1955" s="122">
        <v>3726</v>
      </c>
      <c r="T1955" s="122">
        <v>0</v>
      </c>
      <c r="U1955" s="122">
        <v>0</v>
      </c>
      <c r="V1955" s="122">
        <v>42935</v>
      </c>
      <c r="W1955" s="122">
        <f t="shared" si="62"/>
        <v>42935</v>
      </c>
      <c r="X1955" s="122">
        <f t="shared" si="63"/>
        <v>57764</v>
      </c>
      <c r="AA1955" t="s">
        <v>64</v>
      </c>
      <c r="AB1955" t="s">
        <v>427</v>
      </c>
      <c r="AC1955" t="s">
        <v>579</v>
      </c>
      <c r="AD1955" t="s">
        <v>427</v>
      </c>
      <c r="AE1955" t="s">
        <v>137</v>
      </c>
      <c r="AF1955">
        <v>1</v>
      </c>
      <c r="AG1955">
        <v>83</v>
      </c>
      <c r="AH1955">
        <v>626</v>
      </c>
      <c r="AI1955" s="122">
        <v>36478</v>
      </c>
      <c r="AJ1955" s="122">
        <v>33162</v>
      </c>
      <c r="AK1955">
        <v>55</v>
      </c>
      <c r="AL1955" s="122">
        <v>4422</v>
      </c>
      <c r="AM1955" s="122">
        <v>3685</v>
      </c>
      <c r="AN1955" s="122">
        <v>2032</v>
      </c>
      <c r="AO1955">
        <v>753</v>
      </c>
      <c r="AP1955">
        <v>351</v>
      </c>
      <c r="AQ1955">
        <v>130</v>
      </c>
      <c r="AR1955" s="122">
        <v>6033</v>
      </c>
      <c r="AS1955" s="122">
        <v>5484</v>
      </c>
      <c r="AT1955" s="122">
        <v>2924</v>
      </c>
      <c r="AU1955" s="122">
        <v>1083</v>
      </c>
      <c r="AV1955" s="122">
        <v>44296</v>
      </c>
    </row>
    <row r="1956" spans="2:48" hidden="1">
      <c r="B1956" t="s">
        <v>378</v>
      </c>
      <c r="C1956" t="s">
        <v>62</v>
      </c>
      <c r="D1956" t="s">
        <v>406</v>
      </c>
      <c r="E1956" t="s">
        <v>406</v>
      </c>
      <c r="F1956" s="122">
        <v>176</v>
      </c>
      <c r="G1956" s="122">
        <v>16699</v>
      </c>
      <c r="H1956" s="122">
        <v>72835</v>
      </c>
      <c r="I1956" s="122">
        <v>4397542</v>
      </c>
      <c r="J1956" s="122">
        <v>3997766</v>
      </c>
      <c r="K1956" s="122">
        <v>73</v>
      </c>
      <c r="L1956" s="122">
        <v>876929</v>
      </c>
      <c r="M1956" s="122">
        <v>759325</v>
      </c>
      <c r="N1956" s="122">
        <v>343793</v>
      </c>
      <c r="O1956" s="122">
        <v>127331</v>
      </c>
      <c r="P1956" s="122">
        <v>112455</v>
      </c>
      <c r="Q1956" s="122">
        <v>41650</v>
      </c>
      <c r="R1956" s="122">
        <v>915839</v>
      </c>
      <c r="S1956" s="122">
        <v>832581</v>
      </c>
      <c r="T1956" s="122">
        <v>304153</v>
      </c>
      <c r="U1956" s="122">
        <v>112649</v>
      </c>
      <c r="V1956" s="122">
        <v>5871301</v>
      </c>
      <c r="W1956" s="122">
        <f t="shared" si="62"/>
        <v>5871302</v>
      </c>
      <c r="X1956" s="122">
        <f t="shared" si="63"/>
        <v>6950711</v>
      </c>
      <c r="AA1956" t="s">
        <v>64</v>
      </c>
      <c r="AB1956" t="s">
        <v>427</v>
      </c>
      <c r="AC1956" t="s">
        <v>428</v>
      </c>
      <c r="AD1956" t="s">
        <v>427</v>
      </c>
      <c r="AE1956" t="s">
        <v>137</v>
      </c>
      <c r="AF1956">
        <v>1</v>
      </c>
      <c r="AG1956">
        <v>83</v>
      </c>
      <c r="AH1956">
        <v>491</v>
      </c>
      <c r="AI1956" s="122">
        <v>27284</v>
      </c>
      <c r="AJ1956" s="122">
        <v>24804</v>
      </c>
      <c r="AK1956">
        <v>65</v>
      </c>
      <c r="AL1956" s="122">
        <v>5630</v>
      </c>
      <c r="AM1956" s="122">
        <v>5118</v>
      </c>
      <c r="AN1956" s="122">
        <v>1609</v>
      </c>
      <c r="AO1956">
        <v>596</v>
      </c>
      <c r="AP1956">
        <v>351</v>
      </c>
      <c r="AQ1956">
        <v>130</v>
      </c>
      <c r="AR1956" s="122">
        <v>3491</v>
      </c>
      <c r="AS1956" s="122">
        <v>3173</v>
      </c>
      <c r="AT1956" s="122">
        <v>2200</v>
      </c>
      <c r="AU1956">
        <v>815</v>
      </c>
      <c r="AV1956" s="122">
        <v>34636</v>
      </c>
    </row>
    <row r="1957" spans="2:48" hidden="1">
      <c r="B1957" t="s">
        <v>378</v>
      </c>
      <c r="C1957" t="s">
        <v>62</v>
      </c>
      <c r="D1957" t="s">
        <v>427</v>
      </c>
      <c r="E1957" t="s">
        <v>406</v>
      </c>
      <c r="F1957" s="122">
        <v>2</v>
      </c>
      <c r="G1957" s="122">
        <v>81</v>
      </c>
      <c r="H1957" s="122">
        <v>853</v>
      </c>
      <c r="I1957" s="122">
        <v>17548</v>
      </c>
      <c r="J1957" s="122">
        <v>15952</v>
      </c>
      <c r="K1957" s="122">
        <v>55</v>
      </c>
      <c r="L1957" s="122">
        <v>3575</v>
      </c>
      <c r="M1957" s="122">
        <v>3250</v>
      </c>
      <c r="N1957" s="122">
        <v>1428</v>
      </c>
      <c r="O1957" s="122">
        <v>529</v>
      </c>
      <c r="P1957" s="122">
        <v>702</v>
      </c>
      <c r="Q1957" s="122">
        <v>260</v>
      </c>
      <c r="R1957" s="122">
        <v>8106</v>
      </c>
      <c r="S1957" s="122">
        <v>7369</v>
      </c>
      <c r="T1957" s="122">
        <v>3216</v>
      </c>
      <c r="U1957" s="122">
        <v>1191</v>
      </c>
      <c r="V1957" s="122">
        <v>28551</v>
      </c>
      <c r="W1957" s="122">
        <f t="shared" si="62"/>
        <v>28551</v>
      </c>
      <c r="X1957" s="122">
        <f t="shared" si="63"/>
        <v>34575</v>
      </c>
      <c r="AA1957" t="s">
        <v>64</v>
      </c>
      <c r="AB1957" t="s">
        <v>427</v>
      </c>
      <c r="AC1957" t="s">
        <v>431</v>
      </c>
      <c r="AD1957" t="s">
        <v>427</v>
      </c>
      <c r="AE1957" t="s">
        <v>137</v>
      </c>
      <c r="AF1957">
        <v>1</v>
      </c>
      <c r="AG1957">
        <v>82</v>
      </c>
      <c r="AH1957">
        <v>511</v>
      </c>
      <c r="AI1957" s="122">
        <v>22459</v>
      </c>
      <c r="AJ1957" s="122">
        <v>20418</v>
      </c>
      <c r="AK1957">
        <v>55</v>
      </c>
      <c r="AL1957" s="122">
        <v>4575</v>
      </c>
      <c r="AM1957" s="122">
        <v>4159</v>
      </c>
      <c r="AN1957" s="122">
        <v>2009</v>
      </c>
      <c r="AO1957">
        <v>744</v>
      </c>
      <c r="AP1957">
        <v>351</v>
      </c>
      <c r="AQ1957">
        <v>130</v>
      </c>
      <c r="AR1957" s="122">
        <v>8291</v>
      </c>
      <c r="AS1957" s="122">
        <v>7538</v>
      </c>
      <c r="AT1957" s="122">
        <v>4426</v>
      </c>
      <c r="AU1957" s="122">
        <v>1639</v>
      </c>
      <c r="AV1957" s="122">
        <v>34628</v>
      </c>
    </row>
    <row r="1958" spans="2:48" hidden="1">
      <c r="B1958" t="s">
        <v>378</v>
      </c>
      <c r="C1958" t="s">
        <v>62</v>
      </c>
      <c r="D1958" t="s">
        <v>427</v>
      </c>
      <c r="E1958" t="s">
        <v>427</v>
      </c>
      <c r="F1958" s="122">
        <v>16</v>
      </c>
      <c r="G1958" s="122">
        <v>1139</v>
      </c>
      <c r="H1958" s="122">
        <v>6452</v>
      </c>
      <c r="I1958" s="122">
        <v>257771</v>
      </c>
      <c r="J1958" s="122">
        <v>234337</v>
      </c>
      <c r="K1958" s="122">
        <v>49</v>
      </c>
      <c r="L1958" s="122">
        <v>36958</v>
      </c>
      <c r="M1958" s="122">
        <v>33598</v>
      </c>
      <c r="N1958" s="122">
        <v>25201</v>
      </c>
      <c r="O1958" s="122">
        <v>9334</v>
      </c>
      <c r="P1958" s="122">
        <v>5616</v>
      </c>
      <c r="Q1958" s="122">
        <v>2080</v>
      </c>
      <c r="R1958" s="122">
        <v>117886</v>
      </c>
      <c r="S1958" s="122">
        <v>107169</v>
      </c>
      <c r="T1958" s="122">
        <v>16554</v>
      </c>
      <c r="U1958" s="122">
        <v>6131</v>
      </c>
      <c r="V1958" s="122">
        <v>392649</v>
      </c>
      <c r="W1958" s="122">
        <f t="shared" si="62"/>
        <v>392649</v>
      </c>
      <c r="X1958" s="122">
        <f t="shared" si="63"/>
        <v>459986</v>
      </c>
      <c r="AA1958" t="s">
        <v>64</v>
      </c>
      <c r="AB1958" t="s">
        <v>427</v>
      </c>
      <c r="AC1958" t="s">
        <v>431</v>
      </c>
      <c r="AD1958" t="s">
        <v>431</v>
      </c>
      <c r="AE1958" t="s">
        <v>566</v>
      </c>
      <c r="AF1958">
        <v>1</v>
      </c>
      <c r="AG1958">
        <v>150</v>
      </c>
      <c r="AH1958">
        <v>642</v>
      </c>
      <c r="AI1958" s="122">
        <v>70204</v>
      </c>
      <c r="AJ1958" s="122">
        <v>63822</v>
      </c>
      <c r="AK1958">
        <v>30</v>
      </c>
      <c r="AL1958" s="122">
        <v>5200</v>
      </c>
      <c r="AM1958" s="122">
        <v>4728</v>
      </c>
      <c r="AN1958" s="122">
        <v>3662</v>
      </c>
      <c r="AO1958" s="122">
        <v>1356</v>
      </c>
      <c r="AP1958">
        <v>0</v>
      </c>
      <c r="AQ1958">
        <v>0</v>
      </c>
      <c r="AR1958" s="122">
        <v>17387</v>
      </c>
      <c r="AS1958" s="122">
        <v>15807</v>
      </c>
      <c r="AT1958">
        <v>0</v>
      </c>
      <c r="AU1958">
        <v>0</v>
      </c>
      <c r="AV1958" s="122">
        <v>85712</v>
      </c>
    </row>
    <row r="1959" spans="2:48" hidden="1">
      <c r="B1959" t="s">
        <v>378</v>
      </c>
      <c r="C1959" t="s">
        <v>62</v>
      </c>
      <c r="D1959" t="s">
        <v>407</v>
      </c>
      <c r="E1959" t="s">
        <v>407</v>
      </c>
      <c r="F1959" s="122">
        <v>52</v>
      </c>
      <c r="G1959" s="122">
        <v>4503</v>
      </c>
      <c r="H1959" s="122">
        <v>21098</v>
      </c>
      <c r="I1959" s="122">
        <v>1076661</v>
      </c>
      <c r="J1959" s="122">
        <v>978783</v>
      </c>
      <c r="K1959" s="122">
        <v>77</v>
      </c>
      <c r="L1959" s="122">
        <v>313540</v>
      </c>
      <c r="M1959" s="122">
        <v>276792</v>
      </c>
      <c r="N1959" s="122">
        <v>95360</v>
      </c>
      <c r="O1959" s="122">
        <v>35319</v>
      </c>
      <c r="P1959" s="122">
        <v>24327</v>
      </c>
      <c r="Q1959" s="122">
        <v>9010</v>
      </c>
      <c r="R1959" s="122">
        <v>260295</v>
      </c>
      <c r="S1959" s="122">
        <v>236632</v>
      </c>
      <c r="T1959" s="122">
        <v>58473</v>
      </c>
      <c r="U1959" s="122">
        <v>21657</v>
      </c>
      <c r="V1959" s="122">
        <v>1558192</v>
      </c>
      <c r="W1959" s="122">
        <f t="shared" si="62"/>
        <v>1558193</v>
      </c>
      <c r="X1959" s="122">
        <f t="shared" si="63"/>
        <v>1828656</v>
      </c>
      <c r="AA1959" t="s">
        <v>64</v>
      </c>
      <c r="AB1959" t="s">
        <v>427</v>
      </c>
      <c r="AC1959" t="s">
        <v>426</v>
      </c>
      <c r="AD1959" t="s">
        <v>137</v>
      </c>
      <c r="AE1959" t="s">
        <v>137</v>
      </c>
      <c r="AF1959">
        <v>1</v>
      </c>
      <c r="AG1959">
        <v>63</v>
      </c>
      <c r="AH1959">
        <v>788</v>
      </c>
      <c r="AI1959" s="122">
        <v>41927</v>
      </c>
      <c r="AJ1959" s="122">
        <v>38116</v>
      </c>
      <c r="AK1959">
        <v>30</v>
      </c>
      <c r="AL1959" s="122">
        <v>2329</v>
      </c>
      <c r="AM1959" s="122">
        <v>2118</v>
      </c>
      <c r="AN1959" s="122">
        <v>1535</v>
      </c>
      <c r="AO1959">
        <v>569</v>
      </c>
      <c r="AP1959">
        <v>0</v>
      </c>
      <c r="AQ1959">
        <v>0</v>
      </c>
      <c r="AR1959" s="122">
        <v>3829</v>
      </c>
      <c r="AS1959" s="122">
        <v>1418</v>
      </c>
      <c r="AT1959">
        <v>0</v>
      </c>
      <c r="AU1959">
        <v>0</v>
      </c>
      <c r="AV1959" s="122">
        <v>42220</v>
      </c>
    </row>
    <row r="1960" spans="2:48" hidden="1">
      <c r="B1960" t="s">
        <v>378</v>
      </c>
      <c r="C1960" t="s">
        <v>62</v>
      </c>
      <c r="D1960" t="s">
        <v>556</v>
      </c>
      <c r="E1960" t="s">
        <v>556</v>
      </c>
      <c r="F1960" s="122">
        <v>15</v>
      </c>
      <c r="G1960" s="122">
        <v>1075</v>
      </c>
      <c r="H1960" s="122">
        <v>6188</v>
      </c>
      <c r="I1960" s="122">
        <v>252117</v>
      </c>
      <c r="J1960" s="122">
        <v>210097</v>
      </c>
      <c r="K1960" s="122">
        <v>51</v>
      </c>
      <c r="L1960" s="122">
        <v>36125</v>
      </c>
      <c r="M1960" s="122">
        <v>28693</v>
      </c>
      <c r="N1960" s="122">
        <v>21178</v>
      </c>
      <c r="O1960" s="122">
        <v>7844</v>
      </c>
      <c r="P1960" s="122">
        <v>5184</v>
      </c>
      <c r="Q1960" s="122">
        <v>1920</v>
      </c>
      <c r="R1960" s="122">
        <v>99762</v>
      </c>
      <c r="S1960" s="122">
        <v>83135</v>
      </c>
      <c r="T1960" s="122">
        <v>28750</v>
      </c>
      <c r="U1960" s="122">
        <v>10648</v>
      </c>
      <c r="V1960" s="122">
        <v>342338</v>
      </c>
      <c r="W1960" s="122">
        <f t="shared" si="62"/>
        <v>342337</v>
      </c>
      <c r="X1960" s="122">
        <f t="shared" si="63"/>
        <v>443116</v>
      </c>
      <c r="AA1960" t="s">
        <v>64</v>
      </c>
      <c r="AB1960" t="s">
        <v>427</v>
      </c>
      <c r="AC1960" t="s">
        <v>426</v>
      </c>
      <c r="AD1960" t="s">
        <v>137</v>
      </c>
      <c r="AE1960" t="s">
        <v>566</v>
      </c>
      <c r="AF1960">
        <v>1</v>
      </c>
      <c r="AG1960">
        <v>171</v>
      </c>
      <c r="AH1960">
        <v>677</v>
      </c>
      <c r="AI1960" s="122">
        <v>84332</v>
      </c>
      <c r="AJ1960" s="122">
        <v>76665</v>
      </c>
      <c r="AK1960">
        <v>60</v>
      </c>
      <c r="AL1960" s="122">
        <v>18740</v>
      </c>
      <c r="AM1960" s="122">
        <v>17037</v>
      </c>
      <c r="AN1960" s="122">
        <v>4169</v>
      </c>
      <c r="AO1960" s="122">
        <v>1544</v>
      </c>
      <c r="AP1960">
        <v>0</v>
      </c>
      <c r="AQ1960">
        <v>0</v>
      </c>
      <c r="AR1960" s="122">
        <v>8477</v>
      </c>
      <c r="AS1960" s="122">
        <v>3139</v>
      </c>
      <c r="AT1960">
        <v>0</v>
      </c>
      <c r="AU1960">
        <v>0</v>
      </c>
      <c r="AV1960" s="122">
        <v>98385</v>
      </c>
    </row>
    <row r="1961" spans="2:48" hidden="1">
      <c r="B1961" t="s">
        <v>378</v>
      </c>
      <c r="C1961" t="s">
        <v>62</v>
      </c>
      <c r="D1961" t="s">
        <v>431</v>
      </c>
      <c r="E1961" t="s">
        <v>431</v>
      </c>
      <c r="F1961" s="122">
        <v>2</v>
      </c>
      <c r="G1961" s="122">
        <v>167</v>
      </c>
      <c r="H1961" s="122">
        <v>793</v>
      </c>
      <c r="I1961" s="122">
        <v>38758</v>
      </c>
      <c r="J1961" s="122">
        <v>35234</v>
      </c>
      <c r="K1961" s="122">
        <v>45</v>
      </c>
      <c r="L1961" s="122">
        <v>6460</v>
      </c>
      <c r="M1961" s="122">
        <v>5872</v>
      </c>
      <c r="N1961" s="122">
        <v>3264</v>
      </c>
      <c r="O1961" s="122">
        <v>1209</v>
      </c>
      <c r="P1961" s="122">
        <v>351</v>
      </c>
      <c r="Q1961" s="122">
        <v>130</v>
      </c>
      <c r="R1961" s="122">
        <v>12619</v>
      </c>
      <c r="S1961" s="122">
        <v>11472</v>
      </c>
      <c r="T1961" s="122">
        <v>4691</v>
      </c>
      <c r="U1961" s="122">
        <v>1737</v>
      </c>
      <c r="V1961" s="122">
        <v>55655</v>
      </c>
      <c r="W1961" s="122">
        <f t="shared" si="62"/>
        <v>55654</v>
      </c>
      <c r="X1961" s="122">
        <f t="shared" si="63"/>
        <v>66143</v>
      </c>
      <c r="AA1961" t="s">
        <v>64</v>
      </c>
      <c r="AB1961" t="s">
        <v>427</v>
      </c>
      <c r="AC1961" t="s">
        <v>426</v>
      </c>
      <c r="AD1961" t="s">
        <v>406</v>
      </c>
      <c r="AE1961" t="s">
        <v>566</v>
      </c>
      <c r="AF1961">
        <v>1</v>
      </c>
      <c r="AG1961">
        <v>60</v>
      </c>
      <c r="AH1961">
        <v>707</v>
      </c>
      <c r="AI1961" s="122">
        <v>27357</v>
      </c>
      <c r="AJ1961" s="122">
        <v>24870</v>
      </c>
      <c r="AK1961">
        <v>70</v>
      </c>
      <c r="AL1961" s="122">
        <v>6738</v>
      </c>
      <c r="AM1961" s="122">
        <v>6125</v>
      </c>
      <c r="AN1961" s="122">
        <v>1467</v>
      </c>
      <c r="AO1961">
        <v>543</v>
      </c>
      <c r="AP1961">
        <v>621</v>
      </c>
      <c r="AQ1961">
        <v>230</v>
      </c>
      <c r="AR1961" s="122">
        <v>6359</v>
      </c>
      <c r="AS1961" s="122">
        <v>5781</v>
      </c>
      <c r="AT1961">
        <v>0</v>
      </c>
      <c r="AU1961">
        <v>0</v>
      </c>
      <c r="AV1961" s="122">
        <v>37550</v>
      </c>
    </row>
    <row r="1962" spans="2:48" hidden="1">
      <c r="B1962" t="s">
        <v>378</v>
      </c>
      <c r="C1962" t="s">
        <v>62</v>
      </c>
      <c r="D1962" t="s">
        <v>426</v>
      </c>
      <c r="E1962" t="s">
        <v>137</v>
      </c>
      <c r="F1962" s="122">
        <v>1</v>
      </c>
      <c r="G1962" s="122">
        <v>72</v>
      </c>
      <c r="H1962" s="122">
        <v>407</v>
      </c>
      <c r="I1962" s="122">
        <v>17567</v>
      </c>
      <c r="J1962" s="122">
        <v>15970</v>
      </c>
      <c r="K1962" s="122">
        <v>65</v>
      </c>
      <c r="L1962" s="122">
        <v>1952</v>
      </c>
      <c r="M1962" s="122">
        <v>1774</v>
      </c>
      <c r="N1962" s="122">
        <v>1742</v>
      </c>
      <c r="O1962" s="122">
        <v>645</v>
      </c>
      <c r="P1962" s="122">
        <v>351</v>
      </c>
      <c r="Q1962" s="122">
        <v>130</v>
      </c>
      <c r="R1962" s="122">
        <v>7481</v>
      </c>
      <c r="S1962" s="122">
        <v>2771</v>
      </c>
      <c r="T1962" s="122">
        <v>0</v>
      </c>
      <c r="U1962" s="122">
        <v>0</v>
      </c>
      <c r="V1962" s="122">
        <v>21291</v>
      </c>
      <c r="W1962" s="122">
        <f t="shared" si="62"/>
        <v>21290</v>
      </c>
      <c r="X1962" s="122">
        <f t="shared" si="63"/>
        <v>29093</v>
      </c>
      <c r="AA1962" t="s">
        <v>64</v>
      </c>
      <c r="AB1962" t="s">
        <v>427</v>
      </c>
      <c r="AC1962" t="s">
        <v>426</v>
      </c>
      <c r="AD1962" t="s">
        <v>427</v>
      </c>
      <c r="AE1962" t="s">
        <v>137</v>
      </c>
      <c r="AF1962">
        <v>1</v>
      </c>
      <c r="AG1962">
        <v>71</v>
      </c>
      <c r="AH1962">
        <v>455</v>
      </c>
      <c r="AI1962" s="122">
        <v>14257</v>
      </c>
      <c r="AJ1962" s="122">
        <v>12961</v>
      </c>
      <c r="AK1962">
        <v>55</v>
      </c>
      <c r="AL1962" s="122">
        <v>2756</v>
      </c>
      <c r="AM1962" s="122">
        <v>2506</v>
      </c>
      <c r="AN1962" s="122">
        <v>1719</v>
      </c>
      <c r="AO1962">
        <v>637</v>
      </c>
      <c r="AP1962">
        <v>621</v>
      </c>
      <c r="AQ1962">
        <v>230</v>
      </c>
      <c r="AR1962" s="122">
        <v>8472</v>
      </c>
      <c r="AS1962" s="122">
        <v>7702</v>
      </c>
      <c r="AT1962" s="122">
        <v>4265</v>
      </c>
      <c r="AU1962" s="122">
        <v>1580</v>
      </c>
      <c r="AV1962" s="122">
        <v>25615</v>
      </c>
    </row>
    <row r="1963" spans="2:48" hidden="1">
      <c r="B1963" t="s">
        <v>378</v>
      </c>
      <c r="C1963" t="s">
        <v>62</v>
      </c>
      <c r="D1963" t="s">
        <v>426</v>
      </c>
      <c r="E1963" t="s">
        <v>426</v>
      </c>
      <c r="F1963" s="122">
        <v>77</v>
      </c>
      <c r="G1963" s="122">
        <v>5913</v>
      </c>
      <c r="H1963" s="122">
        <v>31514</v>
      </c>
      <c r="I1963" s="122">
        <v>1439199</v>
      </c>
      <c r="J1963" s="122">
        <v>1308362</v>
      </c>
      <c r="K1963" s="122">
        <v>48</v>
      </c>
      <c r="L1963" s="122">
        <v>221494</v>
      </c>
      <c r="M1963" s="122">
        <v>192403</v>
      </c>
      <c r="N1963" s="122">
        <v>115801</v>
      </c>
      <c r="O1963" s="122">
        <v>42889</v>
      </c>
      <c r="P1963" s="122">
        <v>27586</v>
      </c>
      <c r="Q1963" s="122">
        <v>10217</v>
      </c>
      <c r="R1963" s="122">
        <v>462966</v>
      </c>
      <c r="S1963" s="122">
        <v>420878</v>
      </c>
      <c r="T1963" s="122">
        <v>168592</v>
      </c>
      <c r="U1963" s="122">
        <v>62442</v>
      </c>
      <c r="V1963" s="122">
        <v>2037191</v>
      </c>
      <c r="W1963" s="122">
        <f t="shared" si="62"/>
        <v>2037191</v>
      </c>
      <c r="X1963" s="122">
        <f t="shared" si="63"/>
        <v>2435638</v>
      </c>
      <c r="AA1963" t="s">
        <v>64</v>
      </c>
      <c r="AB1963" t="s">
        <v>427</v>
      </c>
      <c r="AC1963" t="s">
        <v>426</v>
      </c>
      <c r="AD1963" t="s">
        <v>427</v>
      </c>
      <c r="AE1963" t="s">
        <v>566</v>
      </c>
      <c r="AF1963">
        <v>1</v>
      </c>
      <c r="AG1963">
        <v>71</v>
      </c>
      <c r="AH1963">
        <v>764</v>
      </c>
      <c r="AI1963" s="122">
        <v>41294</v>
      </c>
      <c r="AJ1963" s="122">
        <v>37540</v>
      </c>
      <c r="AK1963">
        <v>55</v>
      </c>
      <c r="AL1963" s="122">
        <v>8412</v>
      </c>
      <c r="AM1963" s="122">
        <v>7647</v>
      </c>
      <c r="AN1963" s="122">
        <v>1738</v>
      </c>
      <c r="AO1963">
        <v>644</v>
      </c>
      <c r="AP1963">
        <v>0</v>
      </c>
      <c r="AQ1963">
        <v>0</v>
      </c>
      <c r="AR1963" s="122">
        <v>3058</v>
      </c>
      <c r="AS1963" s="122">
        <v>2780</v>
      </c>
      <c r="AT1963">
        <v>0</v>
      </c>
      <c r="AU1963">
        <v>0</v>
      </c>
      <c r="AV1963" s="122">
        <v>48611</v>
      </c>
    </row>
    <row r="1964" spans="2:48" hidden="1">
      <c r="B1964" t="s">
        <v>378</v>
      </c>
      <c r="C1964" t="s">
        <v>64</v>
      </c>
      <c r="D1964" t="s">
        <v>137</v>
      </c>
      <c r="E1964" t="s">
        <v>137</v>
      </c>
      <c r="F1964" s="122">
        <v>74</v>
      </c>
      <c r="G1964" s="122">
        <v>5443</v>
      </c>
      <c r="H1964" s="122">
        <v>49880</v>
      </c>
      <c r="I1964" s="122">
        <v>2612473</v>
      </c>
      <c r="J1964" s="122">
        <v>967583</v>
      </c>
      <c r="K1964" s="122">
        <v>100</v>
      </c>
      <c r="L1964" s="122">
        <v>409950</v>
      </c>
      <c r="M1964" s="122">
        <v>347244</v>
      </c>
      <c r="N1964" s="122">
        <v>118228</v>
      </c>
      <c r="O1964" s="122">
        <v>43788</v>
      </c>
      <c r="P1964" s="122">
        <v>1755</v>
      </c>
      <c r="Q1964" s="122">
        <v>650</v>
      </c>
      <c r="R1964" s="122">
        <v>491854</v>
      </c>
      <c r="S1964" s="122">
        <v>182168</v>
      </c>
      <c r="T1964" s="122">
        <v>3603</v>
      </c>
      <c r="U1964" s="122">
        <v>1335</v>
      </c>
      <c r="V1964" s="122">
        <v>1542767</v>
      </c>
      <c r="W1964" s="122">
        <f t="shared" si="62"/>
        <v>1542768</v>
      </c>
      <c r="X1964" s="122">
        <f t="shared" si="63"/>
        <v>3637863</v>
      </c>
      <c r="AA1964" t="s">
        <v>64</v>
      </c>
      <c r="AB1964" t="s">
        <v>427</v>
      </c>
      <c r="AC1964" t="s">
        <v>566</v>
      </c>
      <c r="AD1964" t="s">
        <v>425</v>
      </c>
      <c r="AE1964" t="s">
        <v>566</v>
      </c>
      <c r="AF1964">
        <v>1</v>
      </c>
      <c r="AG1964">
        <v>79</v>
      </c>
      <c r="AH1964">
        <v>975</v>
      </c>
      <c r="AI1964" s="122">
        <v>70164</v>
      </c>
      <c r="AJ1964" s="122">
        <v>63786</v>
      </c>
      <c r="AK1964">
        <v>30</v>
      </c>
      <c r="AL1964">
        <v>0</v>
      </c>
      <c r="AM1964">
        <v>0</v>
      </c>
      <c r="AN1964" s="122">
        <v>1745</v>
      </c>
      <c r="AO1964">
        <v>646</v>
      </c>
      <c r="AP1964">
        <v>0</v>
      </c>
      <c r="AQ1964">
        <v>0</v>
      </c>
      <c r="AR1964" s="122">
        <v>4814</v>
      </c>
      <c r="AS1964" s="122">
        <v>4376</v>
      </c>
      <c r="AT1964">
        <v>0</v>
      </c>
      <c r="AU1964">
        <v>0</v>
      </c>
      <c r="AV1964" s="122">
        <v>68808</v>
      </c>
    </row>
    <row r="1965" spans="2:48" hidden="1">
      <c r="B1965" t="s">
        <v>378</v>
      </c>
      <c r="C1965" t="s">
        <v>64</v>
      </c>
      <c r="D1965" t="s">
        <v>137</v>
      </c>
      <c r="E1965" t="s">
        <v>556</v>
      </c>
      <c r="F1965" s="122">
        <v>1</v>
      </c>
      <c r="G1965" s="122">
        <v>73</v>
      </c>
      <c r="H1965" s="122">
        <v>508</v>
      </c>
      <c r="I1965" s="122">
        <v>24670</v>
      </c>
      <c r="J1965" s="122">
        <v>9137</v>
      </c>
      <c r="K1965" s="122">
        <v>100</v>
      </c>
      <c r="L1965" s="122">
        <v>3870</v>
      </c>
      <c r="M1965" s="122">
        <v>3225</v>
      </c>
      <c r="N1965" s="122">
        <v>1676</v>
      </c>
      <c r="O1965" s="122">
        <v>621</v>
      </c>
      <c r="P1965" s="122">
        <v>0</v>
      </c>
      <c r="Q1965" s="122">
        <v>0</v>
      </c>
      <c r="R1965" s="122">
        <v>5148</v>
      </c>
      <c r="S1965" s="122">
        <v>4290</v>
      </c>
      <c r="T1965" s="122">
        <v>1623</v>
      </c>
      <c r="U1965" s="122">
        <v>601</v>
      </c>
      <c r="V1965" s="122">
        <v>17874</v>
      </c>
      <c r="W1965" s="122">
        <f t="shared" si="62"/>
        <v>17874</v>
      </c>
      <c r="X1965" s="122">
        <f t="shared" si="63"/>
        <v>36987</v>
      </c>
      <c r="AA1965" t="s">
        <v>64</v>
      </c>
      <c r="AB1965" t="s">
        <v>427</v>
      </c>
      <c r="AC1965" t="s">
        <v>566</v>
      </c>
      <c r="AD1965" t="s">
        <v>137</v>
      </c>
      <c r="AE1965" t="s">
        <v>137</v>
      </c>
      <c r="AF1965">
        <v>1</v>
      </c>
      <c r="AG1965">
        <v>102</v>
      </c>
      <c r="AH1965" s="122">
        <v>1165</v>
      </c>
      <c r="AI1965" s="122">
        <v>110499</v>
      </c>
      <c r="AJ1965" s="122">
        <v>100454</v>
      </c>
      <c r="AK1965">
        <v>30</v>
      </c>
      <c r="AL1965">
        <v>0</v>
      </c>
      <c r="AM1965">
        <v>0</v>
      </c>
      <c r="AN1965" s="122">
        <v>1937</v>
      </c>
      <c r="AO1965">
        <v>717</v>
      </c>
      <c r="AP1965">
        <v>0</v>
      </c>
      <c r="AQ1965">
        <v>0</v>
      </c>
      <c r="AR1965" s="122">
        <v>4288</v>
      </c>
      <c r="AS1965" s="122">
        <v>1588</v>
      </c>
      <c r="AT1965" s="122">
        <v>2006</v>
      </c>
      <c r="AU1965">
        <v>743</v>
      </c>
      <c r="AV1965" s="122">
        <v>103502</v>
      </c>
    </row>
    <row r="1966" spans="2:48" hidden="1">
      <c r="B1966" t="s">
        <v>378</v>
      </c>
      <c r="C1966" t="s">
        <v>64</v>
      </c>
      <c r="D1966" t="s">
        <v>137</v>
      </c>
      <c r="E1966" t="s">
        <v>426</v>
      </c>
      <c r="F1966" s="122">
        <v>7</v>
      </c>
      <c r="G1966" s="122">
        <v>542</v>
      </c>
      <c r="H1966" s="122">
        <v>4978</v>
      </c>
      <c r="I1966" s="122">
        <v>270701</v>
      </c>
      <c r="J1966" s="122">
        <v>100260</v>
      </c>
      <c r="K1966" s="122">
        <v>100</v>
      </c>
      <c r="L1966" s="122">
        <v>28270</v>
      </c>
      <c r="M1966" s="122">
        <v>25700</v>
      </c>
      <c r="N1966" s="122">
        <v>12551</v>
      </c>
      <c r="O1966" s="122">
        <v>4648</v>
      </c>
      <c r="P1966" s="122">
        <v>1053</v>
      </c>
      <c r="Q1966" s="122">
        <v>390</v>
      </c>
      <c r="R1966" s="122">
        <v>37357</v>
      </c>
      <c r="S1966" s="122">
        <v>33961</v>
      </c>
      <c r="T1966" s="122">
        <v>8842</v>
      </c>
      <c r="U1966" s="122">
        <v>3275</v>
      </c>
      <c r="V1966" s="122">
        <v>168234</v>
      </c>
      <c r="W1966" s="122">
        <f t="shared" si="62"/>
        <v>168234</v>
      </c>
      <c r="X1966" s="122">
        <f t="shared" si="63"/>
        <v>358774</v>
      </c>
      <c r="AA1966" t="s">
        <v>64</v>
      </c>
      <c r="AB1966" t="s">
        <v>427</v>
      </c>
      <c r="AC1966" t="s">
        <v>566</v>
      </c>
      <c r="AD1966" t="s">
        <v>137</v>
      </c>
      <c r="AE1966" t="s">
        <v>566</v>
      </c>
      <c r="AF1966">
        <v>32</v>
      </c>
      <c r="AG1966" s="122">
        <v>2378</v>
      </c>
      <c r="AH1966" s="122">
        <v>33914</v>
      </c>
      <c r="AI1966" s="122">
        <v>2101424</v>
      </c>
      <c r="AJ1966" s="122">
        <v>1910386</v>
      </c>
      <c r="AK1966">
        <v>35</v>
      </c>
      <c r="AL1966">
        <v>0</v>
      </c>
      <c r="AM1966" s="122">
        <v>18435</v>
      </c>
      <c r="AN1966" s="122">
        <v>54138</v>
      </c>
      <c r="AO1966" s="122">
        <v>20051</v>
      </c>
      <c r="AP1966" s="122">
        <v>1755</v>
      </c>
      <c r="AQ1966">
        <v>650</v>
      </c>
      <c r="AR1966" s="122">
        <v>287527</v>
      </c>
      <c r="AS1966" s="122">
        <v>106492</v>
      </c>
      <c r="AT1966">
        <v>0</v>
      </c>
      <c r="AU1966">
        <v>0</v>
      </c>
      <c r="AV1966" s="122">
        <v>2056013</v>
      </c>
    </row>
    <row r="1967" spans="2:48" hidden="1">
      <c r="B1967" t="s">
        <v>378</v>
      </c>
      <c r="C1967" t="s">
        <v>64</v>
      </c>
      <c r="D1967" t="s">
        <v>406</v>
      </c>
      <c r="E1967" t="s">
        <v>137</v>
      </c>
      <c r="F1967" s="122">
        <v>1</v>
      </c>
      <c r="G1967" s="122">
        <v>82</v>
      </c>
      <c r="H1967" s="122">
        <v>614</v>
      </c>
      <c r="I1967" s="122">
        <v>32940</v>
      </c>
      <c r="J1967" s="122">
        <v>29945</v>
      </c>
      <c r="K1967" s="122">
        <v>86</v>
      </c>
      <c r="L1967" s="122">
        <v>10807</v>
      </c>
      <c r="M1967" s="122">
        <v>9006</v>
      </c>
      <c r="N1967" s="122">
        <v>1395</v>
      </c>
      <c r="O1967" s="122">
        <v>517</v>
      </c>
      <c r="P1967" s="122">
        <v>621</v>
      </c>
      <c r="Q1967" s="122">
        <v>230</v>
      </c>
      <c r="R1967" s="122">
        <v>4494</v>
      </c>
      <c r="S1967" s="122">
        <v>1664</v>
      </c>
      <c r="T1967" s="122">
        <v>0</v>
      </c>
      <c r="U1967" s="122">
        <v>0</v>
      </c>
      <c r="V1967" s="122">
        <v>41362</v>
      </c>
      <c r="W1967" s="122">
        <f t="shared" si="62"/>
        <v>41362</v>
      </c>
      <c r="X1967" s="122">
        <f t="shared" si="63"/>
        <v>50257</v>
      </c>
      <c r="AA1967" t="s">
        <v>64</v>
      </c>
      <c r="AB1967" t="s">
        <v>427</v>
      </c>
      <c r="AC1967" t="s">
        <v>566</v>
      </c>
      <c r="AD1967" t="s">
        <v>406</v>
      </c>
      <c r="AE1967" t="s">
        <v>137</v>
      </c>
      <c r="AF1967">
        <v>3</v>
      </c>
      <c r="AG1967">
        <v>227</v>
      </c>
      <c r="AH1967" s="122">
        <v>1950</v>
      </c>
      <c r="AI1967" s="122">
        <v>121833</v>
      </c>
      <c r="AJ1967" s="122">
        <v>110757</v>
      </c>
      <c r="AK1967">
        <v>48</v>
      </c>
      <c r="AL1967">
        <v>0</v>
      </c>
      <c r="AM1967">
        <v>0</v>
      </c>
      <c r="AN1967" s="122">
        <v>5543</v>
      </c>
      <c r="AO1967" s="122">
        <v>2053</v>
      </c>
      <c r="AP1967">
        <v>702</v>
      </c>
      <c r="AQ1967">
        <v>260</v>
      </c>
      <c r="AR1967" s="122">
        <v>18819</v>
      </c>
      <c r="AS1967" s="122">
        <v>17108</v>
      </c>
      <c r="AT1967" s="122">
        <v>8444</v>
      </c>
      <c r="AU1967" s="122">
        <v>3127</v>
      </c>
      <c r="AV1967" s="122">
        <v>133306</v>
      </c>
    </row>
    <row r="1968" spans="2:48" hidden="1">
      <c r="B1968" t="s">
        <v>378</v>
      </c>
      <c r="C1968" t="s">
        <v>64</v>
      </c>
      <c r="D1968" t="s">
        <v>406</v>
      </c>
      <c r="E1968" t="s">
        <v>406</v>
      </c>
      <c r="F1968" s="122">
        <v>127</v>
      </c>
      <c r="G1968" s="122">
        <v>11620</v>
      </c>
      <c r="H1968" s="122">
        <v>69142</v>
      </c>
      <c r="I1968" s="122">
        <v>4114921</v>
      </c>
      <c r="J1968" s="122">
        <v>3740837</v>
      </c>
      <c r="K1968" s="122">
        <v>70</v>
      </c>
      <c r="L1968" s="122">
        <v>1043874</v>
      </c>
      <c r="M1968" s="122">
        <v>912538</v>
      </c>
      <c r="N1968" s="122">
        <v>246438</v>
      </c>
      <c r="O1968" s="122">
        <v>91273</v>
      </c>
      <c r="P1968" s="122">
        <v>80042</v>
      </c>
      <c r="Q1968" s="122">
        <v>29645</v>
      </c>
      <c r="R1968" s="122">
        <v>639056</v>
      </c>
      <c r="S1968" s="122">
        <v>580960</v>
      </c>
      <c r="T1968" s="122">
        <v>213729</v>
      </c>
      <c r="U1968" s="122">
        <v>79159</v>
      </c>
      <c r="V1968" s="122">
        <v>5434412</v>
      </c>
      <c r="W1968" s="122">
        <f t="shared" si="62"/>
        <v>5434412</v>
      </c>
      <c r="X1968" s="122">
        <f t="shared" si="63"/>
        <v>6338060</v>
      </c>
      <c r="AA1968" t="s">
        <v>64</v>
      </c>
      <c r="AB1968" t="s">
        <v>427</v>
      </c>
      <c r="AC1968" t="s">
        <v>566</v>
      </c>
      <c r="AD1968" t="s">
        <v>427</v>
      </c>
      <c r="AE1968" t="s">
        <v>137</v>
      </c>
      <c r="AF1968">
        <v>73</v>
      </c>
      <c r="AG1968" s="122">
        <v>4661</v>
      </c>
      <c r="AH1968" s="122">
        <v>41057</v>
      </c>
      <c r="AI1968" s="122">
        <v>1947388</v>
      </c>
      <c r="AJ1968" s="122">
        <v>1770352</v>
      </c>
      <c r="AK1968">
        <v>53</v>
      </c>
      <c r="AL1968">
        <v>0</v>
      </c>
      <c r="AM1968" s="122">
        <v>144992</v>
      </c>
      <c r="AN1968" s="122">
        <v>98447</v>
      </c>
      <c r="AO1968" s="122">
        <v>36462</v>
      </c>
      <c r="AP1968" s="122">
        <v>22032</v>
      </c>
      <c r="AQ1968" s="122">
        <v>8160</v>
      </c>
      <c r="AR1968" s="122">
        <v>413106</v>
      </c>
      <c r="AS1968" s="122">
        <v>375551</v>
      </c>
      <c r="AT1968" s="122">
        <v>175047</v>
      </c>
      <c r="AU1968" s="122">
        <v>64832</v>
      </c>
      <c r="AV1968" s="122">
        <v>2400350</v>
      </c>
    </row>
    <row r="1969" spans="2:48" hidden="1">
      <c r="B1969" t="s">
        <v>378</v>
      </c>
      <c r="C1969" t="s">
        <v>64</v>
      </c>
      <c r="D1969" t="s">
        <v>427</v>
      </c>
      <c r="E1969" t="s">
        <v>137</v>
      </c>
      <c r="F1969" s="122">
        <v>3</v>
      </c>
      <c r="G1969" s="122">
        <v>206</v>
      </c>
      <c r="H1969" s="122">
        <v>2571</v>
      </c>
      <c r="I1969" s="122">
        <v>124500</v>
      </c>
      <c r="J1969" s="122">
        <v>113181</v>
      </c>
      <c r="K1969" s="122">
        <v>38</v>
      </c>
      <c r="L1969" s="122">
        <v>5297</v>
      </c>
      <c r="M1969" s="122">
        <v>7352</v>
      </c>
      <c r="N1969" s="122">
        <v>5013</v>
      </c>
      <c r="O1969" s="122">
        <v>1857</v>
      </c>
      <c r="P1969" s="122">
        <v>351</v>
      </c>
      <c r="Q1969" s="122">
        <v>130</v>
      </c>
      <c r="R1969" s="122">
        <v>38110</v>
      </c>
      <c r="S1969" s="122">
        <v>14115</v>
      </c>
      <c r="T1969" s="122">
        <v>0</v>
      </c>
      <c r="U1969" s="122">
        <v>0</v>
      </c>
      <c r="V1969" s="122">
        <v>136635</v>
      </c>
      <c r="W1969" s="122">
        <f t="shared" si="62"/>
        <v>136635</v>
      </c>
      <c r="X1969" s="122">
        <f t="shared" si="63"/>
        <v>173271</v>
      </c>
      <c r="AA1969" t="s">
        <v>64</v>
      </c>
      <c r="AB1969" t="s">
        <v>427</v>
      </c>
      <c r="AC1969" t="s">
        <v>566</v>
      </c>
      <c r="AD1969" t="s">
        <v>427</v>
      </c>
      <c r="AE1969" t="s">
        <v>566</v>
      </c>
      <c r="AF1969">
        <v>17</v>
      </c>
      <c r="AG1969" s="122">
        <v>1136</v>
      </c>
      <c r="AH1969" s="122">
        <v>11793</v>
      </c>
      <c r="AI1969" s="122">
        <v>610370</v>
      </c>
      <c r="AJ1969" s="122">
        <v>554882</v>
      </c>
      <c r="AK1969">
        <v>52</v>
      </c>
      <c r="AL1969">
        <v>0</v>
      </c>
      <c r="AM1969" s="122">
        <v>196990</v>
      </c>
      <c r="AN1969" s="122">
        <v>24533</v>
      </c>
      <c r="AO1969" s="122">
        <v>9086</v>
      </c>
      <c r="AP1969" s="122">
        <v>4482</v>
      </c>
      <c r="AQ1969" s="122">
        <v>1660</v>
      </c>
      <c r="AR1969" s="122">
        <v>135743</v>
      </c>
      <c r="AS1969" s="122">
        <v>123403</v>
      </c>
      <c r="AT1969">
        <v>0</v>
      </c>
      <c r="AU1969">
        <v>0</v>
      </c>
      <c r="AV1969" s="122">
        <v>886020</v>
      </c>
    </row>
    <row r="1970" spans="2:48" hidden="1">
      <c r="B1970" t="s">
        <v>378</v>
      </c>
      <c r="C1970" t="s">
        <v>64</v>
      </c>
      <c r="D1970" t="s">
        <v>427</v>
      </c>
      <c r="E1970" t="s">
        <v>406</v>
      </c>
      <c r="F1970" s="122">
        <v>2</v>
      </c>
      <c r="G1970" s="122">
        <v>85</v>
      </c>
      <c r="H1970" s="122">
        <v>930</v>
      </c>
      <c r="I1970" s="122">
        <v>21672</v>
      </c>
      <c r="J1970" s="122">
        <v>19702</v>
      </c>
      <c r="K1970" s="122">
        <v>55</v>
      </c>
      <c r="L1970" s="122">
        <v>4415</v>
      </c>
      <c r="M1970" s="122">
        <v>4013</v>
      </c>
      <c r="N1970" s="122">
        <v>1227</v>
      </c>
      <c r="O1970" s="122">
        <v>454</v>
      </c>
      <c r="P1970" s="122">
        <v>702</v>
      </c>
      <c r="Q1970" s="122">
        <v>260</v>
      </c>
      <c r="R1970" s="122">
        <v>8192</v>
      </c>
      <c r="S1970" s="122">
        <v>7448</v>
      </c>
      <c r="T1970" s="122">
        <v>3273</v>
      </c>
      <c r="U1970" s="122">
        <v>1212</v>
      </c>
      <c r="V1970" s="122">
        <v>33090</v>
      </c>
      <c r="W1970" s="122">
        <f t="shared" si="62"/>
        <v>33089</v>
      </c>
      <c r="X1970" s="122">
        <f t="shared" si="63"/>
        <v>39481</v>
      </c>
      <c r="AA1970" t="s">
        <v>64</v>
      </c>
      <c r="AB1970" t="s">
        <v>427</v>
      </c>
      <c r="AC1970" t="s">
        <v>566</v>
      </c>
      <c r="AD1970" t="s">
        <v>407</v>
      </c>
      <c r="AE1970" t="s">
        <v>566</v>
      </c>
      <c r="AF1970">
        <v>1</v>
      </c>
      <c r="AG1970">
        <v>186</v>
      </c>
      <c r="AH1970">
        <v>785</v>
      </c>
      <c r="AI1970" s="122">
        <v>135930</v>
      </c>
      <c r="AJ1970" s="122">
        <v>123573</v>
      </c>
      <c r="AK1970">
        <v>30</v>
      </c>
      <c r="AL1970">
        <v>0</v>
      </c>
      <c r="AM1970" s="122">
        <v>9268</v>
      </c>
      <c r="AN1970" s="122">
        <v>4532</v>
      </c>
      <c r="AO1970" s="122">
        <v>1679</v>
      </c>
      <c r="AP1970">
        <v>0</v>
      </c>
      <c r="AQ1970">
        <v>0</v>
      </c>
      <c r="AR1970" s="122">
        <v>5620</v>
      </c>
      <c r="AS1970" s="122">
        <v>5109</v>
      </c>
      <c r="AT1970">
        <v>0</v>
      </c>
      <c r="AU1970">
        <v>0</v>
      </c>
      <c r="AV1970" s="122">
        <v>139629</v>
      </c>
    </row>
    <row r="1971" spans="2:48" hidden="1">
      <c r="B1971" t="s">
        <v>378</v>
      </c>
      <c r="C1971" t="s">
        <v>64</v>
      </c>
      <c r="D1971" t="s">
        <v>427</v>
      </c>
      <c r="E1971" t="s">
        <v>427</v>
      </c>
      <c r="F1971" s="122">
        <v>7</v>
      </c>
      <c r="G1971" s="122">
        <v>540</v>
      </c>
      <c r="H1971" s="122">
        <v>4262</v>
      </c>
      <c r="I1971" s="122">
        <v>207419</v>
      </c>
      <c r="J1971" s="122">
        <v>188562</v>
      </c>
      <c r="K1971" s="122">
        <v>52</v>
      </c>
      <c r="L1971" s="122">
        <v>40134</v>
      </c>
      <c r="M1971" s="122">
        <v>29571</v>
      </c>
      <c r="N1971" s="122">
        <v>12100</v>
      </c>
      <c r="O1971" s="122">
        <v>4482</v>
      </c>
      <c r="P1971" s="122">
        <v>2106</v>
      </c>
      <c r="Q1971" s="122">
        <v>780</v>
      </c>
      <c r="R1971" s="122">
        <v>48806</v>
      </c>
      <c r="S1971" s="122">
        <v>44369</v>
      </c>
      <c r="T1971" s="122">
        <v>10772</v>
      </c>
      <c r="U1971" s="122">
        <v>3990</v>
      </c>
      <c r="V1971" s="122">
        <v>271754</v>
      </c>
      <c r="W1971" s="122">
        <f t="shared" si="62"/>
        <v>271754</v>
      </c>
      <c r="X1971" s="122">
        <f t="shared" si="63"/>
        <v>321337</v>
      </c>
      <c r="AA1971" t="s">
        <v>64</v>
      </c>
      <c r="AB1971" t="s">
        <v>427</v>
      </c>
      <c r="AC1971" t="s">
        <v>481</v>
      </c>
      <c r="AD1971" t="s">
        <v>137</v>
      </c>
      <c r="AE1971" t="s">
        <v>566</v>
      </c>
      <c r="AF1971">
        <v>1</v>
      </c>
      <c r="AG1971">
        <v>71</v>
      </c>
      <c r="AH1971" s="122">
        <v>1021</v>
      </c>
      <c r="AI1971" s="122">
        <v>44366</v>
      </c>
      <c r="AJ1971" s="122">
        <v>40332</v>
      </c>
      <c r="AK1971">
        <v>30</v>
      </c>
      <c r="AL1971" s="122">
        <v>1479</v>
      </c>
      <c r="AM1971" s="122">
        <v>1344</v>
      </c>
      <c r="AN1971" s="122">
        <v>1179</v>
      </c>
      <c r="AO1971">
        <v>437</v>
      </c>
      <c r="AP1971">
        <v>0</v>
      </c>
      <c r="AQ1971">
        <v>0</v>
      </c>
      <c r="AR1971" s="122">
        <v>25089</v>
      </c>
      <c r="AS1971" s="122">
        <v>9292</v>
      </c>
      <c r="AT1971">
        <v>0</v>
      </c>
      <c r="AU1971">
        <v>0</v>
      </c>
      <c r="AV1971" s="122">
        <v>51406</v>
      </c>
    </row>
    <row r="1972" spans="2:48">
      <c r="B1972" t="s">
        <v>378</v>
      </c>
      <c r="C1972" t="s">
        <v>64</v>
      </c>
      <c r="D1972" t="s">
        <v>407</v>
      </c>
      <c r="E1972" t="s">
        <v>407</v>
      </c>
      <c r="F1972" s="122">
        <v>28</v>
      </c>
      <c r="G1972" s="122">
        <v>2162</v>
      </c>
      <c r="H1972" s="122">
        <v>14374</v>
      </c>
      <c r="I1972" s="122">
        <v>704116</v>
      </c>
      <c r="J1972" s="122">
        <v>640105</v>
      </c>
      <c r="K1972" s="122">
        <v>75</v>
      </c>
      <c r="L1972" s="122">
        <v>181213</v>
      </c>
      <c r="M1972" s="122">
        <v>156236</v>
      </c>
      <c r="N1972" s="122">
        <v>45012</v>
      </c>
      <c r="O1972" s="122">
        <v>16671</v>
      </c>
      <c r="P1972" s="122">
        <v>13109</v>
      </c>
      <c r="Q1972" s="122">
        <v>4855</v>
      </c>
      <c r="R1972" s="122">
        <v>130579</v>
      </c>
      <c r="S1972" s="122">
        <v>118708</v>
      </c>
      <c r="T1972" s="122">
        <v>33196</v>
      </c>
      <c r="U1972" s="122">
        <v>12295</v>
      </c>
      <c r="V1972" s="122">
        <v>948871</v>
      </c>
      <c r="W1972" s="122">
        <f t="shared" si="62"/>
        <v>948870</v>
      </c>
      <c r="X1972" s="122">
        <f t="shared" si="63"/>
        <v>1107225</v>
      </c>
      <c r="AA1972" t="s">
        <v>64</v>
      </c>
      <c r="AB1972" t="s">
        <v>407</v>
      </c>
      <c r="AC1972" t="s">
        <v>578</v>
      </c>
      <c r="AD1972" t="s">
        <v>407</v>
      </c>
      <c r="AE1972" t="s">
        <v>137</v>
      </c>
      <c r="AF1972">
        <v>6</v>
      </c>
      <c r="AG1972">
        <v>506</v>
      </c>
      <c r="AH1972" s="122">
        <v>3348</v>
      </c>
      <c r="AI1972" s="122">
        <v>187916</v>
      </c>
      <c r="AJ1972" s="122">
        <v>170832</v>
      </c>
      <c r="AK1972">
        <v>71</v>
      </c>
      <c r="AL1972" s="122">
        <v>42694</v>
      </c>
      <c r="AM1972" s="122">
        <v>38813</v>
      </c>
      <c r="AN1972" s="122">
        <v>11361</v>
      </c>
      <c r="AO1972" s="122">
        <v>4208</v>
      </c>
      <c r="AP1972" s="122">
        <v>2835</v>
      </c>
      <c r="AQ1972" s="122">
        <v>1050</v>
      </c>
      <c r="AR1972" s="122">
        <v>28700</v>
      </c>
      <c r="AS1972" s="122">
        <v>26091</v>
      </c>
      <c r="AT1972" s="122">
        <v>7989</v>
      </c>
      <c r="AU1972" s="122">
        <v>2959</v>
      </c>
      <c r="AV1972" s="122">
        <v>243953</v>
      </c>
    </row>
    <row r="1973" spans="2:48">
      <c r="B1973" t="s">
        <v>378</v>
      </c>
      <c r="C1973" t="s">
        <v>64</v>
      </c>
      <c r="D1973" t="s">
        <v>556</v>
      </c>
      <c r="E1973" t="s">
        <v>137</v>
      </c>
      <c r="F1973" s="122">
        <v>6</v>
      </c>
      <c r="G1973" s="122">
        <v>481</v>
      </c>
      <c r="H1973" s="122">
        <v>6722</v>
      </c>
      <c r="I1973" s="122">
        <v>444685</v>
      </c>
      <c r="J1973" s="122">
        <v>370570</v>
      </c>
      <c r="K1973" s="122">
        <v>35</v>
      </c>
      <c r="L1973" s="122">
        <v>48049</v>
      </c>
      <c r="M1973" s="122">
        <v>20957</v>
      </c>
      <c r="N1973" s="122">
        <v>10446</v>
      </c>
      <c r="O1973" s="122">
        <v>3869</v>
      </c>
      <c r="P1973" s="122">
        <v>0</v>
      </c>
      <c r="Q1973" s="122">
        <v>0</v>
      </c>
      <c r="R1973" s="122">
        <v>42039</v>
      </c>
      <c r="S1973" s="122">
        <v>15570</v>
      </c>
      <c r="T1973" s="122">
        <v>0</v>
      </c>
      <c r="U1973" s="122">
        <v>0</v>
      </c>
      <c r="V1973" s="122">
        <v>410966</v>
      </c>
      <c r="W1973" s="122">
        <f t="shared" si="62"/>
        <v>410966</v>
      </c>
      <c r="X1973" s="122">
        <f t="shared" si="63"/>
        <v>545219</v>
      </c>
      <c r="AA1973" t="s">
        <v>64</v>
      </c>
      <c r="AB1973" t="s">
        <v>407</v>
      </c>
      <c r="AC1973" t="s">
        <v>578</v>
      </c>
      <c r="AD1973" t="s">
        <v>407</v>
      </c>
      <c r="AE1973" t="s">
        <v>566</v>
      </c>
      <c r="AF1973">
        <v>3</v>
      </c>
      <c r="AG1973">
        <v>179</v>
      </c>
      <c r="AH1973" s="122">
        <v>1783</v>
      </c>
      <c r="AI1973" s="122">
        <v>59869</v>
      </c>
      <c r="AJ1973" s="122">
        <v>54426</v>
      </c>
      <c r="AK1973">
        <v>75</v>
      </c>
      <c r="AL1973" s="122">
        <v>15884</v>
      </c>
      <c r="AM1973" s="122">
        <v>14440</v>
      </c>
      <c r="AN1973" s="122">
        <v>3899</v>
      </c>
      <c r="AO1973" s="122">
        <v>1444</v>
      </c>
      <c r="AP1973" s="122">
        <v>1418</v>
      </c>
      <c r="AQ1973">
        <v>525</v>
      </c>
      <c r="AR1973" s="122">
        <v>19489</v>
      </c>
      <c r="AS1973" s="122">
        <v>17718</v>
      </c>
      <c r="AT1973">
        <v>0</v>
      </c>
      <c r="AU1973">
        <v>0</v>
      </c>
      <c r="AV1973" s="122">
        <v>88553</v>
      </c>
    </row>
    <row r="1974" spans="2:48" hidden="1">
      <c r="B1974" t="s">
        <v>378</v>
      </c>
      <c r="C1974" t="s">
        <v>64</v>
      </c>
      <c r="D1974" t="s">
        <v>556</v>
      </c>
      <c r="E1974" t="s">
        <v>556</v>
      </c>
      <c r="F1974" s="122">
        <v>27</v>
      </c>
      <c r="G1974" s="122">
        <v>1738</v>
      </c>
      <c r="H1974" s="122">
        <v>16037</v>
      </c>
      <c r="I1974" s="122">
        <v>703836</v>
      </c>
      <c r="J1974" s="122">
        <v>586530</v>
      </c>
      <c r="K1974" s="122">
        <v>54</v>
      </c>
      <c r="L1974" s="122">
        <v>104080</v>
      </c>
      <c r="M1974" s="122">
        <v>84479</v>
      </c>
      <c r="N1974" s="122">
        <v>34524</v>
      </c>
      <c r="O1974" s="122">
        <v>12787</v>
      </c>
      <c r="P1974" s="122">
        <v>9720</v>
      </c>
      <c r="Q1974" s="122">
        <v>3600</v>
      </c>
      <c r="R1974" s="122">
        <v>151391</v>
      </c>
      <c r="S1974" s="122">
        <v>126159</v>
      </c>
      <c r="T1974" s="122">
        <v>55521</v>
      </c>
      <c r="U1974" s="122">
        <v>20563</v>
      </c>
      <c r="V1974" s="122">
        <v>834118</v>
      </c>
      <c r="W1974" s="122">
        <f t="shared" si="62"/>
        <v>834118</v>
      </c>
      <c r="X1974" s="122">
        <f t="shared" si="63"/>
        <v>1059072</v>
      </c>
      <c r="AA1974" t="s">
        <v>64</v>
      </c>
      <c r="AB1974" t="s">
        <v>407</v>
      </c>
      <c r="AC1974" t="s">
        <v>425</v>
      </c>
      <c r="AD1974" t="s">
        <v>407</v>
      </c>
      <c r="AE1974" t="s">
        <v>137</v>
      </c>
      <c r="AF1974">
        <v>1</v>
      </c>
      <c r="AG1974">
        <v>60</v>
      </c>
      <c r="AH1974">
        <v>679</v>
      </c>
      <c r="AI1974" s="122">
        <v>26341</v>
      </c>
      <c r="AJ1974" s="122">
        <v>23946</v>
      </c>
      <c r="AK1974">
        <v>65</v>
      </c>
      <c r="AL1974" s="122">
        <v>2010</v>
      </c>
      <c r="AM1974" s="122">
        <v>1827</v>
      </c>
      <c r="AN1974">
        <v>727</v>
      </c>
      <c r="AO1974">
        <v>269</v>
      </c>
      <c r="AP1974">
        <v>351</v>
      </c>
      <c r="AQ1974">
        <v>130</v>
      </c>
      <c r="AR1974" s="122">
        <v>6965</v>
      </c>
      <c r="AS1974" s="122">
        <v>6332</v>
      </c>
      <c r="AT1974" s="122">
        <v>4112</v>
      </c>
      <c r="AU1974" s="122">
        <v>1523</v>
      </c>
      <c r="AV1974" s="122">
        <v>34027</v>
      </c>
    </row>
    <row r="1975" spans="2:48" hidden="1">
      <c r="B1975" t="s">
        <v>378</v>
      </c>
      <c r="C1975" t="s">
        <v>64</v>
      </c>
      <c r="D1975" t="s">
        <v>431</v>
      </c>
      <c r="E1975" t="s">
        <v>431</v>
      </c>
      <c r="F1975" s="122">
        <v>2</v>
      </c>
      <c r="G1975" s="122">
        <v>184</v>
      </c>
      <c r="H1975" s="122">
        <v>1171</v>
      </c>
      <c r="I1975" s="122">
        <v>82112</v>
      </c>
      <c r="J1975" s="122">
        <v>74647</v>
      </c>
      <c r="K1975" s="122">
        <v>53</v>
      </c>
      <c r="L1975" s="122">
        <v>16155</v>
      </c>
      <c r="M1975" s="122">
        <v>14687</v>
      </c>
      <c r="N1975" s="122">
        <v>5061</v>
      </c>
      <c r="O1975" s="122">
        <v>1874</v>
      </c>
      <c r="P1975" s="122">
        <v>702</v>
      </c>
      <c r="Q1975" s="122">
        <v>260</v>
      </c>
      <c r="R1975" s="122">
        <v>15183</v>
      </c>
      <c r="S1975" s="122">
        <v>13803</v>
      </c>
      <c r="T1975" s="122">
        <v>7553</v>
      </c>
      <c r="U1975" s="122">
        <v>2798</v>
      </c>
      <c r="V1975" s="122">
        <v>108069</v>
      </c>
      <c r="W1975" s="122">
        <f t="shared" si="62"/>
        <v>108069</v>
      </c>
      <c r="X1975" s="122">
        <f t="shared" si="63"/>
        <v>126766</v>
      </c>
      <c r="AA1975" t="s">
        <v>64</v>
      </c>
      <c r="AB1975" t="s">
        <v>407</v>
      </c>
      <c r="AC1975" t="s">
        <v>405</v>
      </c>
      <c r="AD1975" t="s">
        <v>407</v>
      </c>
      <c r="AE1975" t="s">
        <v>566</v>
      </c>
      <c r="AF1975">
        <v>1</v>
      </c>
      <c r="AG1975">
        <v>84</v>
      </c>
      <c r="AH1975">
        <v>604</v>
      </c>
      <c r="AI1975" s="122">
        <v>32276</v>
      </c>
      <c r="AJ1975" s="122">
        <v>29342</v>
      </c>
      <c r="AK1975">
        <v>72</v>
      </c>
      <c r="AL1975" s="122">
        <v>8177</v>
      </c>
      <c r="AM1975" s="122">
        <v>7433</v>
      </c>
      <c r="AN1975" s="122">
        <v>2040</v>
      </c>
      <c r="AO1975">
        <v>756</v>
      </c>
      <c r="AP1975">
        <v>473</v>
      </c>
      <c r="AQ1975">
        <v>175</v>
      </c>
      <c r="AR1975" s="122">
        <v>7570</v>
      </c>
      <c r="AS1975" s="122">
        <v>6882</v>
      </c>
      <c r="AT1975">
        <v>0</v>
      </c>
      <c r="AU1975">
        <v>0</v>
      </c>
      <c r="AV1975" s="122">
        <v>44587</v>
      </c>
    </row>
    <row r="1976" spans="2:48" hidden="1">
      <c r="B1976" t="s">
        <v>378</v>
      </c>
      <c r="C1976" t="s">
        <v>64</v>
      </c>
      <c r="D1976" t="s">
        <v>426</v>
      </c>
      <c r="E1976" t="s">
        <v>137</v>
      </c>
      <c r="F1976" s="122">
        <v>10</v>
      </c>
      <c r="G1976" s="122">
        <v>798</v>
      </c>
      <c r="H1976" s="122">
        <v>9581</v>
      </c>
      <c r="I1976" s="122">
        <v>631029</v>
      </c>
      <c r="J1976" s="122">
        <v>573662</v>
      </c>
      <c r="K1976" s="122">
        <v>35</v>
      </c>
      <c r="L1976" s="122">
        <v>50284</v>
      </c>
      <c r="M1976" s="122">
        <v>23974</v>
      </c>
      <c r="N1976" s="122">
        <v>18071</v>
      </c>
      <c r="O1976" s="122">
        <v>6693</v>
      </c>
      <c r="P1976" s="122">
        <v>351</v>
      </c>
      <c r="Q1976" s="122">
        <v>130</v>
      </c>
      <c r="R1976" s="122">
        <v>66577</v>
      </c>
      <c r="S1976" s="122">
        <v>24658</v>
      </c>
      <c r="T1976" s="122">
        <v>0</v>
      </c>
      <c r="U1976" s="122">
        <v>0</v>
      </c>
      <c r="V1976" s="122">
        <v>629118</v>
      </c>
      <c r="W1976" s="122">
        <f t="shared" si="62"/>
        <v>629117</v>
      </c>
      <c r="X1976" s="122">
        <f t="shared" si="63"/>
        <v>766312</v>
      </c>
      <c r="AA1976" t="s">
        <v>64</v>
      </c>
      <c r="AB1976" t="s">
        <v>407</v>
      </c>
      <c r="AC1976" t="s">
        <v>137</v>
      </c>
      <c r="AD1976" t="s">
        <v>137</v>
      </c>
      <c r="AE1976" t="s">
        <v>137</v>
      </c>
      <c r="AF1976">
        <v>2</v>
      </c>
      <c r="AG1976">
        <v>155</v>
      </c>
      <c r="AH1976" s="122">
        <v>1021</v>
      </c>
      <c r="AI1976" s="122">
        <v>51951</v>
      </c>
      <c r="AJ1976" s="122">
        <v>47228</v>
      </c>
      <c r="AK1976">
        <v>62</v>
      </c>
      <c r="AL1976" s="122">
        <v>10445</v>
      </c>
      <c r="AM1976" s="122">
        <v>3869</v>
      </c>
      <c r="AN1976" s="122">
        <v>3296</v>
      </c>
      <c r="AO1976" s="122">
        <v>1221</v>
      </c>
      <c r="AP1976">
        <v>473</v>
      </c>
      <c r="AQ1976">
        <v>175</v>
      </c>
      <c r="AR1976" s="122">
        <v>10126</v>
      </c>
      <c r="AS1976" s="122">
        <v>3750</v>
      </c>
      <c r="AT1976" s="122">
        <v>2829</v>
      </c>
      <c r="AU1976" s="122">
        <v>1048</v>
      </c>
      <c r="AV1976" s="122">
        <v>57291</v>
      </c>
    </row>
    <row r="1977" spans="2:48" hidden="1">
      <c r="B1977" t="s">
        <v>378</v>
      </c>
      <c r="C1977" t="s">
        <v>64</v>
      </c>
      <c r="D1977" t="s">
        <v>426</v>
      </c>
      <c r="E1977" t="s">
        <v>426</v>
      </c>
      <c r="F1977" s="122">
        <v>57</v>
      </c>
      <c r="G1977" s="122">
        <v>4208</v>
      </c>
      <c r="H1977" s="122">
        <v>35365</v>
      </c>
      <c r="I1977" s="122">
        <v>1809185</v>
      </c>
      <c r="J1977" s="122">
        <v>1644714</v>
      </c>
      <c r="K1977" s="122">
        <v>51</v>
      </c>
      <c r="L1977" s="122">
        <v>277551</v>
      </c>
      <c r="M1977" s="122">
        <v>224230</v>
      </c>
      <c r="N1977" s="122">
        <v>89710</v>
      </c>
      <c r="O1977" s="122">
        <v>33226</v>
      </c>
      <c r="P1977" s="122">
        <v>17820</v>
      </c>
      <c r="Q1977" s="122">
        <v>6600</v>
      </c>
      <c r="R1977" s="122">
        <v>335030</v>
      </c>
      <c r="S1977" s="122">
        <v>304572</v>
      </c>
      <c r="T1977" s="122">
        <v>104730</v>
      </c>
      <c r="U1977" s="122">
        <v>38789</v>
      </c>
      <c r="V1977" s="122">
        <v>2252131</v>
      </c>
      <c r="W1977" s="122">
        <f t="shared" si="62"/>
        <v>2252131</v>
      </c>
      <c r="X1977" s="122">
        <f t="shared" si="63"/>
        <v>2634026</v>
      </c>
      <c r="AA1977" t="s">
        <v>64</v>
      </c>
      <c r="AB1977" t="s">
        <v>407</v>
      </c>
      <c r="AC1977" t="s">
        <v>137</v>
      </c>
      <c r="AD1977" t="s">
        <v>137</v>
      </c>
      <c r="AE1977" t="s">
        <v>566</v>
      </c>
      <c r="AF1977">
        <v>36</v>
      </c>
      <c r="AG1977" s="122">
        <v>2796</v>
      </c>
      <c r="AH1977" s="122">
        <v>22575</v>
      </c>
      <c r="AI1977" s="122">
        <v>1175064</v>
      </c>
      <c r="AJ1977" s="122">
        <v>1068240</v>
      </c>
      <c r="AK1977">
        <v>55</v>
      </c>
      <c r="AL1977" s="122">
        <v>182894</v>
      </c>
      <c r="AM1977" s="122">
        <v>67739</v>
      </c>
      <c r="AN1977" s="122">
        <v>60299</v>
      </c>
      <c r="AO1977" s="122">
        <v>22333</v>
      </c>
      <c r="AP1977" s="122">
        <v>3794</v>
      </c>
      <c r="AQ1977" s="122">
        <v>1405</v>
      </c>
      <c r="AR1977" s="122">
        <v>272874</v>
      </c>
      <c r="AS1977" s="122">
        <v>101064</v>
      </c>
      <c r="AT1977">
        <v>0</v>
      </c>
      <c r="AU1977">
        <v>0</v>
      </c>
      <c r="AV1977" s="122">
        <v>1260781</v>
      </c>
    </row>
    <row r="1978" spans="2:48" hidden="1">
      <c r="B1978" t="s">
        <v>378</v>
      </c>
      <c r="C1978" t="s">
        <v>64</v>
      </c>
      <c r="D1978" t="s">
        <v>433</v>
      </c>
      <c r="E1978" t="s">
        <v>433</v>
      </c>
      <c r="F1978" s="122">
        <v>1</v>
      </c>
      <c r="G1978" s="122">
        <v>65</v>
      </c>
      <c r="H1978" s="122">
        <v>662</v>
      </c>
      <c r="I1978" s="122">
        <v>31881</v>
      </c>
      <c r="J1978" s="122">
        <v>28983</v>
      </c>
      <c r="K1978" s="122">
        <v>45</v>
      </c>
      <c r="L1978" s="122">
        <v>5313</v>
      </c>
      <c r="M1978" s="122">
        <v>4830</v>
      </c>
      <c r="N1978" s="122">
        <v>794</v>
      </c>
      <c r="O1978" s="122">
        <v>294</v>
      </c>
      <c r="P1978" s="122">
        <v>351</v>
      </c>
      <c r="Q1978" s="122">
        <v>130</v>
      </c>
      <c r="R1978" s="122">
        <v>3898</v>
      </c>
      <c r="S1978" s="122">
        <v>3544</v>
      </c>
      <c r="T1978" s="122">
        <v>918</v>
      </c>
      <c r="U1978" s="122">
        <v>340</v>
      </c>
      <c r="V1978" s="122">
        <v>38120</v>
      </c>
      <c r="W1978" s="122">
        <f t="shared" si="62"/>
        <v>38121</v>
      </c>
      <c r="X1978" s="122">
        <f t="shared" si="63"/>
        <v>43155</v>
      </c>
      <c r="AA1978" t="s">
        <v>64</v>
      </c>
      <c r="AB1978" t="s">
        <v>407</v>
      </c>
      <c r="AC1978" t="s">
        <v>137</v>
      </c>
      <c r="AD1978" t="s">
        <v>407</v>
      </c>
      <c r="AE1978" t="s">
        <v>137</v>
      </c>
      <c r="AF1978">
        <v>124</v>
      </c>
      <c r="AG1978" s="122">
        <v>9982</v>
      </c>
      <c r="AH1978" s="122">
        <v>64087</v>
      </c>
      <c r="AI1978" s="122">
        <v>3186153</v>
      </c>
      <c r="AJ1978" s="122">
        <v>2896503</v>
      </c>
      <c r="AK1978">
        <v>71</v>
      </c>
      <c r="AL1978" s="122">
        <v>849367</v>
      </c>
      <c r="AM1978" s="122">
        <v>314580</v>
      </c>
      <c r="AN1978" s="122">
        <v>218391</v>
      </c>
      <c r="AO1978" s="122">
        <v>80886</v>
      </c>
      <c r="AP1978" s="122">
        <v>59739</v>
      </c>
      <c r="AQ1978" s="122">
        <v>22126</v>
      </c>
      <c r="AR1978" s="122">
        <v>558919</v>
      </c>
      <c r="AS1978" s="122">
        <v>508108</v>
      </c>
      <c r="AT1978" s="122">
        <v>272090</v>
      </c>
      <c r="AU1978" s="122">
        <v>100774</v>
      </c>
      <c r="AV1978" s="122">
        <v>3922977</v>
      </c>
    </row>
    <row r="1979" spans="2:48" hidden="1">
      <c r="B1979" t="s">
        <v>379</v>
      </c>
      <c r="C1979" t="s">
        <v>48</v>
      </c>
      <c r="D1979" t="s">
        <v>137</v>
      </c>
      <c r="E1979" t="s">
        <v>137</v>
      </c>
      <c r="F1979" s="122">
        <v>49</v>
      </c>
      <c r="G1979" s="122">
        <v>4788</v>
      </c>
      <c r="H1979" s="122">
        <v>2751</v>
      </c>
      <c r="I1979" s="122">
        <v>3940</v>
      </c>
      <c r="J1979" s="122">
        <v>1459</v>
      </c>
      <c r="K1979" s="122">
        <v>472</v>
      </c>
      <c r="L1979" s="122">
        <v>194</v>
      </c>
      <c r="M1979" s="122">
        <v>176</v>
      </c>
      <c r="N1979" s="122">
        <v>58339</v>
      </c>
      <c r="O1979" s="122">
        <v>21607</v>
      </c>
      <c r="P1979" s="122">
        <v>24157</v>
      </c>
      <c r="Q1979" s="122">
        <v>8947</v>
      </c>
      <c r="R1979" s="122">
        <v>182889</v>
      </c>
      <c r="S1979" s="122">
        <v>67737</v>
      </c>
      <c r="T1979" s="122">
        <v>0</v>
      </c>
      <c r="U1979" s="122">
        <v>0</v>
      </c>
      <c r="V1979" s="122">
        <v>99926</v>
      </c>
      <c r="W1979" s="122">
        <f t="shared" si="62"/>
        <v>99926</v>
      </c>
      <c r="X1979" s="122">
        <f t="shared" si="63"/>
        <v>269519</v>
      </c>
      <c r="AA1979" t="s">
        <v>64</v>
      </c>
      <c r="AB1979" t="s">
        <v>407</v>
      </c>
      <c r="AC1979" t="s">
        <v>137</v>
      </c>
      <c r="AD1979" t="s">
        <v>407</v>
      </c>
      <c r="AE1979" t="s">
        <v>566</v>
      </c>
      <c r="AF1979">
        <v>52</v>
      </c>
      <c r="AG1979" s="122">
        <v>3519</v>
      </c>
      <c r="AH1979" s="122">
        <v>34749</v>
      </c>
      <c r="AI1979" s="122">
        <v>1279466</v>
      </c>
      <c r="AJ1979" s="122">
        <v>1163151</v>
      </c>
      <c r="AK1979">
        <v>70</v>
      </c>
      <c r="AL1979" s="122">
        <v>938248</v>
      </c>
      <c r="AM1979" s="122">
        <v>347499</v>
      </c>
      <c r="AN1979" s="122">
        <v>79445</v>
      </c>
      <c r="AO1979" s="122">
        <v>29424</v>
      </c>
      <c r="AP1979" s="122">
        <v>21965</v>
      </c>
      <c r="AQ1979" s="122">
        <v>8135</v>
      </c>
      <c r="AR1979" s="122">
        <v>262835</v>
      </c>
      <c r="AS1979" s="122">
        <v>238941</v>
      </c>
      <c r="AT1979">
        <v>0</v>
      </c>
      <c r="AU1979">
        <v>0</v>
      </c>
      <c r="AV1979" s="122">
        <v>1787151</v>
      </c>
    </row>
    <row r="1980" spans="2:48" hidden="1">
      <c r="B1980" t="s">
        <v>379</v>
      </c>
      <c r="C1980" t="s">
        <v>48</v>
      </c>
      <c r="D1980" t="s">
        <v>406</v>
      </c>
      <c r="E1980" t="s">
        <v>406</v>
      </c>
      <c r="F1980" s="122">
        <v>22</v>
      </c>
      <c r="G1980" s="122">
        <v>2262</v>
      </c>
      <c r="H1980" s="122">
        <v>1181</v>
      </c>
      <c r="I1980" s="122">
        <v>-7906</v>
      </c>
      <c r="J1980" s="122">
        <v>-7187</v>
      </c>
      <c r="K1980" s="122">
        <v>94</v>
      </c>
      <c r="L1980" s="122">
        <v>-874</v>
      </c>
      <c r="M1980" s="122">
        <v>-795</v>
      </c>
      <c r="N1980" s="122">
        <v>27554</v>
      </c>
      <c r="O1980" s="122">
        <v>10205</v>
      </c>
      <c r="P1980" s="122">
        <v>14356</v>
      </c>
      <c r="Q1980" s="122">
        <v>5317</v>
      </c>
      <c r="R1980" s="122">
        <v>87775</v>
      </c>
      <c r="S1980" s="122">
        <v>79796</v>
      </c>
      <c r="T1980" s="122">
        <v>0</v>
      </c>
      <c r="U1980" s="122">
        <v>0</v>
      </c>
      <c r="V1980" s="122">
        <v>87336</v>
      </c>
      <c r="W1980" s="122">
        <f t="shared" si="62"/>
        <v>103300</v>
      </c>
      <c r="X1980" s="122">
        <f t="shared" si="63"/>
        <v>138465</v>
      </c>
      <c r="AA1980" t="s">
        <v>64</v>
      </c>
      <c r="AB1980" t="s">
        <v>407</v>
      </c>
      <c r="AC1980" t="s">
        <v>137</v>
      </c>
      <c r="AD1980" t="s">
        <v>579</v>
      </c>
      <c r="AE1980" t="s">
        <v>137</v>
      </c>
      <c r="AF1980">
        <v>1</v>
      </c>
      <c r="AG1980">
        <v>47</v>
      </c>
      <c r="AH1980">
        <v>735</v>
      </c>
      <c r="AI1980" s="122">
        <v>15791</v>
      </c>
      <c r="AJ1980" s="122">
        <v>14355</v>
      </c>
      <c r="AK1980">
        <v>79</v>
      </c>
      <c r="AL1980" s="122">
        <v>10738</v>
      </c>
      <c r="AM1980" s="122">
        <v>3977</v>
      </c>
      <c r="AN1980" s="122">
        <v>1155</v>
      </c>
      <c r="AO1980">
        <v>428</v>
      </c>
      <c r="AP1980">
        <v>473</v>
      </c>
      <c r="AQ1980">
        <v>175</v>
      </c>
      <c r="AR1980" s="122">
        <v>4234</v>
      </c>
      <c r="AS1980" s="122">
        <v>3529</v>
      </c>
      <c r="AT1980" s="122">
        <v>2421</v>
      </c>
      <c r="AU1980">
        <v>897</v>
      </c>
      <c r="AV1980" s="122">
        <v>23361</v>
      </c>
    </row>
    <row r="1981" spans="2:48" hidden="1">
      <c r="B1981" t="s">
        <v>379</v>
      </c>
      <c r="C1981" t="s">
        <v>48</v>
      </c>
      <c r="D1981" t="s">
        <v>407</v>
      </c>
      <c r="E1981" t="s">
        <v>555</v>
      </c>
      <c r="F1981" s="122">
        <v>1</v>
      </c>
      <c r="G1981" s="122">
        <v>140</v>
      </c>
      <c r="H1981" s="122">
        <v>69</v>
      </c>
      <c r="I1981" s="122">
        <v>4081</v>
      </c>
      <c r="J1981" s="122">
        <v>3710</v>
      </c>
      <c r="K1981" s="122">
        <v>90</v>
      </c>
      <c r="L1981" s="122">
        <v>532</v>
      </c>
      <c r="M1981" s="122">
        <v>484</v>
      </c>
      <c r="N1981" s="122">
        <v>1706</v>
      </c>
      <c r="O1981" s="122">
        <v>632</v>
      </c>
      <c r="P1981" s="122">
        <v>473</v>
      </c>
      <c r="Q1981" s="122">
        <v>175</v>
      </c>
      <c r="R1981" s="122">
        <v>2799</v>
      </c>
      <c r="S1981" s="122">
        <v>2544</v>
      </c>
      <c r="T1981" s="122">
        <v>0</v>
      </c>
      <c r="U1981" s="122">
        <v>0</v>
      </c>
      <c r="V1981" s="122">
        <v>7545</v>
      </c>
      <c r="W1981" s="122">
        <f t="shared" si="62"/>
        <v>7545</v>
      </c>
      <c r="X1981" s="122">
        <f t="shared" si="63"/>
        <v>9591</v>
      </c>
      <c r="AA1981" t="s">
        <v>64</v>
      </c>
      <c r="AB1981" t="s">
        <v>407</v>
      </c>
      <c r="AC1981" t="s">
        <v>580</v>
      </c>
      <c r="AD1981" t="s">
        <v>407</v>
      </c>
      <c r="AE1981" t="s">
        <v>137</v>
      </c>
      <c r="AF1981">
        <v>2</v>
      </c>
      <c r="AG1981">
        <v>200</v>
      </c>
      <c r="AH1981" s="122">
        <v>1006</v>
      </c>
      <c r="AI1981" s="122">
        <v>66644</v>
      </c>
      <c r="AJ1981" s="122">
        <v>60586</v>
      </c>
      <c r="AK1981">
        <v>79</v>
      </c>
      <c r="AL1981" s="122">
        <v>12552</v>
      </c>
      <c r="AM1981" s="122">
        <v>11411</v>
      </c>
      <c r="AN1981" s="122">
        <v>4696</v>
      </c>
      <c r="AO1981" s="122">
        <v>1739</v>
      </c>
      <c r="AP1981">
        <v>945</v>
      </c>
      <c r="AQ1981">
        <v>350</v>
      </c>
      <c r="AR1981" s="122">
        <v>9335</v>
      </c>
      <c r="AS1981" s="122">
        <v>8487</v>
      </c>
      <c r="AT1981" s="122">
        <v>6274</v>
      </c>
      <c r="AU1981" s="122">
        <v>2324</v>
      </c>
      <c r="AV1981" s="122">
        <v>84896</v>
      </c>
    </row>
    <row r="1982" spans="2:48" hidden="1">
      <c r="B1982" t="s">
        <v>379</v>
      </c>
      <c r="C1982" t="s">
        <v>48</v>
      </c>
      <c r="D1982" t="s">
        <v>407</v>
      </c>
      <c r="E1982" t="s">
        <v>407</v>
      </c>
      <c r="F1982" s="122">
        <v>91</v>
      </c>
      <c r="G1982" s="122">
        <v>10562</v>
      </c>
      <c r="H1982" s="122">
        <v>5139</v>
      </c>
      <c r="I1982" s="122">
        <v>94526</v>
      </c>
      <c r="J1982" s="122">
        <v>85933</v>
      </c>
      <c r="K1982" s="122">
        <v>90</v>
      </c>
      <c r="L1982" s="122">
        <v>7102</v>
      </c>
      <c r="M1982" s="122">
        <v>6575</v>
      </c>
      <c r="N1982" s="122">
        <v>128680</v>
      </c>
      <c r="O1982" s="122">
        <v>47659</v>
      </c>
      <c r="P1982" s="122">
        <v>47702</v>
      </c>
      <c r="Q1982" s="122">
        <v>17667</v>
      </c>
      <c r="R1982" s="122">
        <v>313032</v>
      </c>
      <c r="S1982" s="122">
        <v>284575</v>
      </c>
      <c r="T1982" s="122">
        <v>0</v>
      </c>
      <c r="U1982" s="122">
        <v>0</v>
      </c>
      <c r="V1982" s="122">
        <v>442410</v>
      </c>
      <c r="W1982" s="122">
        <f t="shared" si="62"/>
        <v>442409</v>
      </c>
      <c r="X1982" s="122">
        <f t="shared" si="63"/>
        <v>591042</v>
      </c>
      <c r="AA1982" t="s">
        <v>64</v>
      </c>
      <c r="AB1982" t="s">
        <v>407</v>
      </c>
      <c r="AC1982" t="s">
        <v>580</v>
      </c>
      <c r="AD1982" t="s">
        <v>407</v>
      </c>
      <c r="AE1982" t="s">
        <v>566</v>
      </c>
      <c r="AF1982">
        <v>1</v>
      </c>
      <c r="AG1982">
        <v>61</v>
      </c>
      <c r="AH1982">
        <v>460</v>
      </c>
      <c r="AI1982" s="122">
        <v>15545</v>
      </c>
      <c r="AJ1982" s="122">
        <v>14132</v>
      </c>
      <c r="AK1982">
        <v>78</v>
      </c>
      <c r="AL1982" s="122">
        <v>4272</v>
      </c>
      <c r="AM1982" s="122">
        <v>3884</v>
      </c>
      <c r="AN1982" s="122">
        <v>1497</v>
      </c>
      <c r="AO1982">
        <v>554</v>
      </c>
      <c r="AP1982">
        <v>473</v>
      </c>
      <c r="AQ1982">
        <v>175</v>
      </c>
      <c r="AR1982" s="122">
        <v>6469</v>
      </c>
      <c r="AS1982" s="122">
        <v>5881</v>
      </c>
      <c r="AT1982">
        <v>0</v>
      </c>
      <c r="AU1982">
        <v>0</v>
      </c>
      <c r="AV1982" s="122">
        <v>24626</v>
      </c>
    </row>
    <row r="1983" spans="2:48" hidden="1">
      <c r="B1983" t="s">
        <v>379</v>
      </c>
      <c r="C1983" t="s">
        <v>48</v>
      </c>
      <c r="D1983" t="s">
        <v>407</v>
      </c>
      <c r="E1983" t="s">
        <v>429</v>
      </c>
      <c r="F1983" s="122">
        <v>2</v>
      </c>
      <c r="G1983" s="122">
        <v>297</v>
      </c>
      <c r="H1983" s="122">
        <v>145</v>
      </c>
      <c r="I1983" s="122">
        <v>8004</v>
      </c>
      <c r="J1983" s="122">
        <v>7276</v>
      </c>
      <c r="K1983" s="122">
        <v>91</v>
      </c>
      <c r="L1983" s="122">
        <v>1238</v>
      </c>
      <c r="M1983" s="122">
        <v>1126</v>
      </c>
      <c r="N1983" s="122">
        <v>3615</v>
      </c>
      <c r="O1983" s="122">
        <v>1339</v>
      </c>
      <c r="P1983" s="122">
        <v>945</v>
      </c>
      <c r="Q1983" s="122">
        <v>350</v>
      </c>
      <c r="R1983" s="122">
        <v>7641</v>
      </c>
      <c r="S1983" s="122">
        <v>6946</v>
      </c>
      <c r="T1983" s="122">
        <v>0</v>
      </c>
      <c r="U1983" s="122">
        <v>0</v>
      </c>
      <c r="V1983" s="122">
        <v>17037</v>
      </c>
      <c r="W1983" s="122">
        <f t="shared" si="62"/>
        <v>17037</v>
      </c>
      <c r="X1983" s="122">
        <f t="shared" si="63"/>
        <v>21443</v>
      </c>
      <c r="AA1983" t="s">
        <v>64</v>
      </c>
      <c r="AB1983" t="s">
        <v>407</v>
      </c>
      <c r="AC1983" t="s">
        <v>427</v>
      </c>
      <c r="AD1983" t="s">
        <v>405</v>
      </c>
      <c r="AE1983" t="s">
        <v>566</v>
      </c>
      <c r="AF1983">
        <v>1</v>
      </c>
      <c r="AG1983">
        <v>74</v>
      </c>
      <c r="AH1983">
        <v>452</v>
      </c>
      <c r="AI1983" s="122">
        <v>17726</v>
      </c>
      <c r="AJ1983" s="122">
        <v>16114</v>
      </c>
      <c r="AK1983">
        <v>77</v>
      </c>
      <c r="AL1983" s="122">
        <v>4786</v>
      </c>
      <c r="AM1983" s="122">
        <v>4351</v>
      </c>
      <c r="AN1983" s="122">
        <v>1467</v>
      </c>
      <c r="AO1983">
        <v>544</v>
      </c>
      <c r="AP1983">
        <v>473</v>
      </c>
      <c r="AQ1983">
        <v>175</v>
      </c>
      <c r="AR1983" s="122">
        <v>9156</v>
      </c>
      <c r="AS1983" s="122">
        <v>8324</v>
      </c>
      <c r="AT1983">
        <v>0</v>
      </c>
      <c r="AU1983">
        <v>0</v>
      </c>
      <c r="AV1983" s="122">
        <v>29508</v>
      </c>
    </row>
    <row r="1984" spans="2:48" hidden="1">
      <c r="B1984" t="s">
        <v>379</v>
      </c>
      <c r="C1984" t="s">
        <v>50</v>
      </c>
      <c r="D1984" t="s">
        <v>405</v>
      </c>
      <c r="E1984" t="s">
        <v>405</v>
      </c>
      <c r="F1984" s="122">
        <v>2</v>
      </c>
      <c r="G1984" s="122">
        <v>197</v>
      </c>
      <c r="H1984" s="122">
        <v>190</v>
      </c>
      <c r="I1984" s="122">
        <v>10303</v>
      </c>
      <c r="J1984" s="122">
        <v>9367</v>
      </c>
      <c r="K1984" s="122">
        <v>92</v>
      </c>
      <c r="L1984" s="122">
        <v>0</v>
      </c>
      <c r="M1984" s="122">
        <v>0</v>
      </c>
      <c r="N1984" s="122">
        <v>3040</v>
      </c>
      <c r="O1984" s="122">
        <v>1126</v>
      </c>
      <c r="P1984" s="122">
        <v>945</v>
      </c>
      <c r="Q1984" s="122">
        <v>350</v>
      </c>
      <c r="R1984" s="122">
        <v>4482</v>
      </c>
      <c r="S1984" s="122">
        <v>4074</v>
      </c>
      <c r="T1984" s="122">
        <v>0</v>
      </c>
      <c r="U1984" s="122">
        <v>0</v>
      </c>
      <c r="V1984" s="122">
        <v>14917</v>
      </c>
      <c r="W1984" s="122">
        <f t="shared" si="62"/>
        <v>14917</v>
      </c>
      <c r="X1984" s="122">
        <f t="shared" si="63"/>
        <v>18770</v>
      </c>
      <c r="AA1984" t="s">
        <v>64</v>
      </c>
      <c r="AB1984" t="s">
        <v>407</v>
      </c>
      <c r="AC1984" t="s">
        <v>427</v>
      </c>
      <c r="AD1984" t="s">
        <v>137</v>
      </c>
      <c r="AE1984" t="s">
        <v>566</v>
      </c>
      <c r="AF1984">
        <v>11</v>
      </c>
      <c r="AG1984">
        <v>837</v>
      </c>
      <c r="AH1984" s="122">
        <v>6697</v>
      </c>
      <c r="AI1984" s="122">
        <v>327558</v>
      </c>
      <c r="AJ1984" s="122">
        <v>297780</v>
      </c>
      <c r="AK1984">
        <v>66</v>
      </c>
      <c r="AL1984" s="122">
        <v>69486</v>
      </c>
      <c r="AM1984" s="122">
        <v>63169</v>
      </c>
      <c r="AN1984" s="122">
        <v>19133</v>
      </c>
      <c r="AO1984" s="122">
        <v>7086</v>
      </c>
      <c r="AP1984" s="122">
        <v>3780</v>
      </c>
      <c r="AQ1984" s="122">
        <v>1400</v>
      </c>
      <c r="AR1984" s="122">
        <v>84709</v>
      </c>
      <c r="AS1984" s="122">
        <v>31374</v>
      </c>
      <c r="AT1984">
        <v>0</v>
      </c>
      <c r="AU1984">
        <v>0</v>
      </c>
      <c r="AV1984" s="122">
        <v>400809</v>
      </c>
    </row>
    <row r="1985" spans="2:48" hidden="1">
      <c r="B1985" t="s">
        <v>379</v>
      </c>
      <c r="C1985" t="s">
        <v>50</v>
      </c>
      <c r="D1985" t="s">
        <v>137</v>
      </c>
      <c r="E1985" t="s">
        <v>137</v>
      </c>
      <c r="F1985" s="122">
        <v>8</v>
      </c>
      <c r="G1985" s="122">
        <v>591</v>
      </c>
      <c r="H1985" s="122">
        <v>681</v>
      </c>
      <c r="I1985" s="122">
        <v>7017</v>
      </c>
      <c r="J1985" s="122">
        <v>2599</v>
      </c>
      <c r="K1985" s="122">
        <v>450</v>
      </c>
      <c r="L1985" s="122">
        <v>1731</v>
      </c>
      <c r="M1985" s="122">
        <v>1574</v>
      </c>
      <c r="N1985" s="122">
        <v>9376</v>
      </c>
      <c r="O1985" s="122">
        <v>3473</v>
      </c>
      <c r="P1985" s="122">
        <v>3510</v>
      </c>
      <c r="Q1985" s="122">
        <v>1300</v>
      </c>
      <c r="R1985" s="122">
        <v>28929</v>
      </c>
      <c r="S1985" s="122">
        <v>10714</v>
      </c>
      <c r="T1985" s="122">
        <v>0</v>
      </c>
      <c r="U1985" s="122">
        <v>0</v>
      </c>
      <c r="V1985" s="122">
        <v>19660</v>
      </c>
      <c r="W1985" s="122">
        <f t="shared" si="62"/>
        <v>19660</v>
      </c>
      <c r="X1985" s="122">
        <f t="shared" si="63"/>
        <v>50563</v>
      </c>
      <c r="AA1985" t="s">
        <v>64</v>
      </c>
      <c r="AB1985" t="s">
        <v>407</v>
      </c>
      <c r="AC1985" t="s">
        <v>427</v>
      </c>
      <c r="AD1985" t="s">
        <v>407</v>
      </c>
      <c r="AE1985" t="s">
        <v>137</v>
      </c>
      <c r="AF1985">
        <v>143</v>
      </c>
      <c r="AG1985" s="122">
        <v>12287</v>
      </c>
      <c r="AH1985" s="122">
        <v>74550</v>
      </c>
      <c r="AI1985" s="122">
        <v>4010655</v>
      </c>
      <c r="AJ1985" s="122">
        <v>3646050</v>
      </c>
      <c r="AK1985">
        <v>72</v>
      </c>
      <c r="AL1985" s="122">
        <v>991557</v>
      </c>
      <c r="AM1985" s="122">
        <v>901416</v>
      </c>
      <c r="AN1985" s="122">
        <v>267938</v>
      </c>
      <c r="AO1985" s="122">
        <v>99236</v>
      </c>
      <c r="AP1985" s="122">
        <v>66717</v>
      </c>
      <c r="AQ1985" s="122">
        <v>24710</v>
      </c>
      <c r="AR1985" s="122">
        <v>707911</v>
      </c>
      <c r="AS1985" s="122">
        <v>643556</v>
      </c>
      <c r="AT1985" s="122">
        <v>346798</v>
      </c>
      <c r="AU1985" s="122">
        <v>128444</v>
      </c>
      <c r="AV1985" s="122">
        <v>5443411</v>
      </c>
    </row>
    <row r="1986" spans="2:48" hidden="1">
      <c r="B1986" t="s">
        <v>379</v>
      </c>
      <c r="C1986" t="s">
        <v>50</v>
      </c>
      <c r="D1986" t="s">
        <v>406</v>
      </c>
      <c r="E1986" t="s">
        <v>137</v>
      </c>
      <c r="F1986" s="122">
        <v>8</v>
      </c>
      <c r="G1986" s="122">
        <v>570</v>
      </c>
      <c r="H1986" s="122">
        <v>785</v>
      </c>
      <c r="I1986" s="122">
        <v>-703</v>
      </c>
      <c r="J1986" s="122">
        <v>-639</v>
      </c>
      <c r="K1986" s="122">
        <v>94</v>
      </c>
      <c r="L1986" s="122">
        <v>-171</v>
      </c>
      <c r="M1986" s="122">
        <v>-63</v>
      </c>
      <c r="N1986" s="122">
        <v>6939</v>
      </c>
      <c r="O1986" s="122">
        <v>2570</v>
      </c>
      <c r="P1986" s="122">
        <v>4968</v>
      </c>
      <c r="Q1986" s="122">
        <v>1840</v>
      </c>
      <c r="R1986" s="122">
        <v>44794</v>
      </c>
      <c r="S1986" s="122">
        <v>16590</v>
      </c>
      <c r="T1986" s="122">
        <v>0</v>
      </c>
      <c r="U1986" s="122">
        <v>0</v>
      </c>
      <c r="V1986" s="122">
        <v>20298</v>
      </c>
      <c r="W1986" s="122">
        <f t="shared" si="62"/>
        <v>21702</v>
      </c>
      <c r="X1986" s="122">
        <f t="shared" si="63"/>
        <v>57575</v>
      </c>
      <c r="AA1986" t="s">
        <v>64</v>
      </c>
      <c r="AB1986" t="s">
        <v>407</v>
      </c>
      <c r="AC1986" t="s">
        <v>427</v>
      </c>
      <c r="AD1986" t="s">
        <v>407</v>
      </c>
      <c r="AE1986" t="s">
        <v>566</v>
      </c>
      <c r="AF1986">
        <v>87</v>
      </c>
      <c r="AG1986" s="122">
        <v>7074</v>
      </c>
      <c r="AH1986" s="122">
        <v>45253</v>
      </c>
      <c r="AI1986" s="122">
        <v>2220116</v>
      </c>
      <c r="AJ1986" s="122">
        <v>2018287</v>
      </c>
      <c r="AK1986">
        <v>73</v>
      </c>
      <c r="AL1986" s="122">
        <v>684151</v>
      </c>
      <c r="AM1986" s="122">
        <v>621955</v>
      </c>
      <c r="AN1986" s="122">
        <v>163601</v>
      </c>
      <c r="AO1986" s="122">
        <v>60593</v>
      </c>
      <c r="AP1986" s="122">
        <v>40851</v>
      </c>
      <c r="AQ1986" s="122">
        <v>15130</v>
      </c>
      <c r="AR1986" s="122">
        <v>630403</v>
      </c>
      <c r="AS1986" s="122">
        <v>573093</v>
      </c>
      <c r="AT1986">
        <v>0</v>
      </c>
      <c r="AU1986">
        <v>0</v>
      </c>
      <c r="AV1986" s="122">
        <v>3289059</v>
      </c>
    </row>
    <row r="1987" spans="2:48" hidden="1">
      <c r="B1987" t="s">
        <v>379</v>
      </c>
      <c r="C1987" t="s">
        <v>50</v>
      </c>
      <c r="D1987" t="s">
        <v>406</v>
      </c>
      <c r="E1987" t="s">
        <v>406</v>
      </c>
      <c r="F1987" s="122">
        <v>3</v>
      </c>
      <c r="G1987" s="122">
        <v>315</v>
      </c>
      <c r="H1987" s="122">
        <v>267</v>
      </c>
      <c r="I1987" s="122">
        <v>10448</v>
      </c>
      <c r="J1987" s="122">
        <v>9498</v>
      </c>
      <c r="K1987" s="122">
        <v>91</v>
      </c>
      <c r="L1987" s="122">
        <v>1894</v>
      </c>
      <c r="M1987" s="122">
        <v>1265</v>
      </c>
      <c r="N1987" s="122">
        <v>4935</v>
      </c>
      <c r="O1987" s="122">
        <v>1828</v>
      </c>
      <c r="P1987" s="122">
        <v>3335</v>
      </c>
      <c r="Q1987" s="122">
        <v>1235</v>
      </c>
      <c r="R1987" s="122">
        <v>7053</v>
      </c>
      <c r="S1987" s="122">
        <v>6412</v>
      </c>
      <c r="T1987" s="122">
        <v>0</v>
      </c>
      <c r="U1987" s="122">
        <v>0</v>
      </c>
      <c r="V1987" s="122">
        <v>20238</v>
      </c>
      <c r="W1987" s="122">
        <f t="shared" si="62"/>
        <v>20238</v>
      </c>
      <c r="X1987" s="122">
        <f t="shared" si="63"/>
        <v>27665</v>
      </c>
      <c r="AA1987" t="s">
        <v>64</v>
      </c>
      <c r="AB1987" t="s">
        <v>407</v>
      </c>
      <c r="AC1987" t="s">
        <v>407</v>
      </c>
      <c r="AD1987" t="s">
        <v>137</v>
      </c>
      <c r="AE1987" t="s">
        <v>137</v>
      </c>
      <c r="AF1987">
        <v>2</v>
      </c>
      <c r="AG1987">
        <v>166</v>
      </c>
      <c r="AH1987">
        <v>975</v>
      </c>
      <c r="AI1987" s="122">
        <v>53394</v>
      </c>
      <c r="AJ1987" s="122">
        <v>48540</v>
      </c>
      <c r="AK1987">
        <v>58</v>
      </c>
      <c r="AL1987" s="122">
        <v>11303</v>
      </c>
      <c r="AM1987" s="122">
        <v>10276</v>
      </c>
      <c r="AN1987" s="122">
        <v>3525</v>
      </c>
      <c r="AO1987" s="122">
        <v>1306</v>
      </c>
      <c r="AP1987">
        <v>473</v>
      </c>
      <c r="AQ1987">
        <v>175</v>
      </c>
      <c r="AR1987" s="122">
        <v>12089</v>
      </c>
      <c r="AS1987" s="122">
        <v>4477</v>
      </c>
      <c r="AT1987">
        <v>0</v>
      </c>
      <c r="AU1987">
        <v>0</v>
      </c>
      <c r="AV1987" s="122">
        <v>64773</v>
      </c>
    </row>
    <row r="1988" spans="2:48" hidden="1">
      <c r="B1988" t="s">
        <v>379</v>
      </c>
      <c r="C1988" t="s">
        <v>50</v>
      </c>
      <c r="D1988" t="s">
        <v>407</v>
      </c>
      <c r="E1988" t="s">
        <v>407</v>
      </c>
      <c r="F1988" s="122">
        <v>34</v>
      </c>
      <c r="G1988" s="122">
        <v>2981</v>
      </c>
      <c r="H1988" s="122">
        <v>3161</v>
      </c>
      <c r="I1988" s="122">
        <v>119378</v>
      </c>
      <c r="J1988" s="122">
        <v>108525</v>
      </c>
      <c r="K1988" s="122">
        <v>90</v>
      </c>
      <c r="L1988" s="122">
        <v>11623</v>
      </c>
      <c r="M1988" s="122">
        <v>10566</v>
      </c>
      <c r="N1988" s="122">
        <v>41293</v>
      </c>
      <c r="O1988" s="122">
        <v>15294</v>
      </c>
      <c r="P1988" s="122">
        <v>20633</v>
      </c>
      <c r="Q1988" s="122">
        <v>7642</v>
      </c>
      <c r="R1988" s="122">
        <v>83149</v>
      </c>
      <c r="S1988" s="122">
        <v>75590</v>
      </c>
      <c r="T1988" s="122">
        <v>0</v>
      </c>
      <c r="U1988" s="122">
        <v>0</v>
      </c>
      <c r="V1988" s="122">
        <v>217617</v>
      </c>
      <c r="W1988" s="122">
        <f t="shared" si="62"/>
        <v>217617</v>
      </c>
      <c r="X1988" s="122">
        <f t="shared" si="63"/>
        <v>276076</v>
      </c>
      <c r="AA1988" t="s">
        <v>64</v>
      </c>
      <c r="AB1988" t="s">
        <v>407</v>
      </c>
      <c r="AC1988" t="s">
        <v>407</v>
      </c>
      <c r="AD1988" t="s">
        <v>137</v>
      </c>
      <c r="AE1988" t="s">
        <v>566</v>
      </c>
      <c r="AF1988">
        <v>46</v>
      </c>
      <c r="AG1988" s="122">
        <v>3133</v>
      </c>
      <c r="AH1988" s="122">
        <v>26169</v>
      </c>
      <c r="AI1988" s="122">
        <v>1104020</v>
      </c>
      <c r="AJ1988" s="122">
        <v>1003655</v>
      </c>
      <c r="AK1988">
        <v>69</v>
      </c>
      <c r="AL1988" s="122">
        <v>254048</v>
      </c>
      <c r="AM1988" s="122">
        <v>230953</v>
      </c>
      <c r="AN1988" s="122">
        <v>69623</v>
      </c>
      <c r="AO1988" s="122">
        <v>25786</v>
      </c>
      <c r="AP1988" s="122">
        <v>18127</v>
      </c>
      <c r="AQ1988" s="122">
        <v>6714</v>
      </c>
      <c r="AR1988" s="122">
        <v>313274</v>
      </c>
      <c r="AS1988" s="122">
        <v>116027</v>
      </c>
      <c r="AT1988">
        <v>0</v>
      </c>
      <c r="AU1988">
        <v>0</v>
      </c>
      <c r="AV1988" s="122">
        <v>1383135</v>
      </c>
    </row>
    <row r="1989" spans="2:48" hidden="1">
      <c r="B1989" t="s">
        <v>379</v>
      </c>
      <c r="C1989" t="s">
        <v>52</v>
      </c>
      <c r="F1989" s="122">
        <v>14</v>
      </c>
      <c r="G1989" s="122">
        <v>986</v>
      </c>
      <c r="H1989" s="122">
        <v>1693</v>
      </c>
      <c r="I1989" s="122"/>
      <c r="J1989" s="122">
        <v>0</v>
      </c>
      <c r="K1989" s="122"/>
      <c r="L1989" s="122"/>
      <c r="M1989" s="122">
        <v>0</v>
      </c>
      <c r="N1989" s="122">
        <v>22671</v>
      </c>
      <c r="O1989" s="122">
        <v>8397</v>
      </c>
      <c r="P1989" s="122">
        <v>0</v>
      </c>
      <c r="Q1989" s="122">
        <v>0</v>
      </c>
      <c r="R1989" s="122"/>
      <c r="S1989" s="122">
        <v>0</v>
      </c>
      <c r="T1989" s="122">
        <v>0</v>
      </c>
      <c r="U1989" s="122">
        <v>0</v>
      </c>
      <c r="V1989" s="122">
        <v>8397</v>
      </c>
      <c r="W1989" s="122">
        <f t="shared" si="62"/>
        <v>8397</v>
      </c>
      <c r="X1989" s="122">
        <f t="shared" si="63"/>
        <v>22671</v>
      </c>
      <c r="AA1989" t="s">
        <v>64</v>
      </c>
      <c r="AB1989" t="s">
        <v>407</v>
      </c>
      <c r="AC1989" t="s">
        <v>407</v>
      </c>
      <c r="AD1989" t="s">
        <v>407</v>
      </c>
      <c r="AE1989" t="s">
        <v>137</v>
      </c>
      <c r="AF1989" s="122">
        <v>1270</v>
      </c>
      <c r="AG1989" s="122">
        <v>103625</v>
      </c>
      <c r="AH1989" s="122">
        <v>665790</v>
      </c>
      <c r="AI1989" s="122">
        <v>33765461</v>
      </c>
      <c r="AJ1989" s="122">
        <v>30695874</v>
      </c>
      <c r="AK1989">
        <v>70</v>
      </c>
      <c r="AL1989" s="122">
        <v>8961596</v>
      </c>
      <c r="AM1989" s="122">
        <v>8146905</v>
      </c>
      <c r="AN1989" s="122">
        <v>2268799</v>
      </c>
      <c r="AO1989" s="122">
        <v>840296</v>
      </c>
      <c r="AP1989" s="122">
        <v>572036</v>
      </c>
      <c r="AQ1989" s="122">
        <v>211865</v>
      </c>
      <c r="AR1989" s="122">
        <v>5876347</v>
      </c>
      <c r="AS1989" s="122">
        <v>5342134</v>
      </c>
      <c r="AT1989" s="122">
        <v>3036627</v>
      </c>
      <c r="AU1989" s="122">
        <v>1124677</v>
      </c>
      <c r="AV1989" s="122">
        <v>46361750</v>
      </c>
    </row>
    <row r="1990" spans="2:48" hidden="1">
      <c r="B1990" t="s">
        <v>379</v>
      </c>
      <c r="C1990" t="s">
        <v>52</v>
      </c>
      <c r="D1990" t="s">
        <v>405</v>
      </c>
      <c r="E1990" t="s">
        <v>405</v>
      </c>
      <c r="F1990" s="122">
        <v>5</v>
      </c>
      <c r="G1990" s="122">
        <v>474</v>
      </c>
      <c r="H1990" s="122">
        <v>558</v>
      </c>
      <c r="I1990" s="122">
        <v>26188</v>
      </c>
      <c r="J1990" s="122">
        <v>23807</v>
      </c>
      <c r="K1990" s="122">
        <v>90</v>
      </c>
      <c r="L1990" s="122">
        <v>998</v>
      </c>
      <c r="M1990" s="122">
        <v>370</v>
      </c>
      <c r="N1990" s="122">
        <v>10929</v>
      </c>
      <c r="O1990" s="122">
        <v>4048</v>
      </c>
      <c r="P1990" s="122">
        <v>2241</v>
      </c>
      <c r="Q1990" s="122">
        <v>830</v>
      </c>
      <c r="R1990" s="122">
        <v>12339</v>
      </c>
      <c r="S1990" s="122">
        <v>11218</v>
      </c>
      <c r="T1990" s="122">
        <v>0</v>
      </c>
      <c r="U1990" s="122">
        <v>0</v>
      </c>
      <c r="V1990" s="122">
        <v>40273</v>
      </c>
      <c r="W1990" s="122">
        <f t="shared" si="62"/>
        <v>40273</v>
      </c>
      <c r="X1990" s="122">
        <f t="shared" si="63"/>
        <v>52695</v>
      </c>
      <c r="AA1990" t="s">
        <v>64</v>
      </c>
      <c r="AB1990" t="s">
        <v>407</v>
      </c>
      <c r="AC1990" t="s">
        <v>407</v>
      </c>
      <c r="AD1990" t="s">
        <v>407</v>
      </c>
      <c r="AE1990" t="s">
        <v>566</v>
      </c>
      <c r="AF1990">
        <v>455</v>
      </c>
      <c r="AG1990" s="122">
        <v>36061</v>
      </c>
      <c r="AH1990" s="122">
        <v>235900</v>
      </c>
      <c r="AI1990" s="122">
        <v>11833094</v>
      </c>
      <c r="AJ1990" s="122">
        <v>10757358</v>
      </c>
      <c r="AK1990">
        <v>71</v>
      </c>
      <c r="AL1990" s="122">
        <v>3021382</v>
      </c>
      <c r="AM1990" s="122">
        <v>2746711</v>
      </c>
      <c r="AN1990" s="122">
        <v>787353</v>
      </c>
      <c r="AO1990" s="122">
        <v>291612</v>
      </c>
      <c r="AP1990" s="122">
        <v>206564</v>
      </c>
      <c r="AQ1990" s="122">
        <v>76505</v>
      </c>
      <c r="AR1990" s="122">
        <v>2934052</v>
      </c>
      <c r="AS1990" s="122">
        <v>2667320</v>
      </c>
      <c r="AT1990">
        <v>0</v>
      </c>
      <c r="AU1990">
        <v>0</v>
      </c>
      <c r="AV1990" s="122">
        <v>16539506</v>
      </c>
    </row>
    <row r="1991" spans="2:48" hidden="1">
      <c r="B1991" t="s">
        <v>379</v>
      </c>
      <c r="C1991" t="s">
        <v>52</v>
      </c>
      <c r="D1991" t="s">
        <v>137</v>
      </c>
      <c r="E1991" t="s">
        <v>137</v>
      </c>
      <c r="F1991" s="122">
        <v>2</v>
      </c>
      <c r="G1991" s="122">
        <v>167</v>
      </c>
      <c r="H1991" s="122">
        <v>247</v>
      </c>
      <c r="I1991" s="122">
        <v>9547</v>
      </c>
      <c r="J1991" s="122">
        <v>3536</v>
      </c>
      <c r="K1991" s="122">
        <v>279</v>
      </c>
      <c r="L1991" s="122">
        <v>0</v>
      </c>
      <c r="M1991" s="122">
        <v>0</v>
      </c>
      <c r="N1991" s="122">
        <v>2034</v>
      </c>
      <c r="O1991" s="122">
        <v>753</v>
      </c>
      <c r="P1991" s="122">
        <v>702</v>
      </c>
      <c r="Q1991" s="122">
        <v>260</v>
      </c>
      <c r="R1991" s="122">
        <v>8380</v>
      </c>
      <c r="S1991" s="122">
        <v>3104</v>
      </c>
      <c r="T1991" s="122">
        <v>0</v>
      </c>
      <c r="U1991" s="122">
        <v>0</v>
      </c>
      <c r="V1991" s="122">
        <v>7653</v>
      </c>
      <c r="W1991" s="122">
        <f t="shared" si="62"/>
        <v>7653</v>
      </c>
      <c r="X1991" s="122">
        <f t="shared" si="63"/>
        <v>20663</v>
      </c>
      <c r="AA1991" t="s">
        <v>64</v>
      </c>
      <c r="AB1991" t="s">
        <v>407</v>
      </c>
      <c r="AC1991" t="s">
        <v>407</v>
      </c>
      <c r="AD1991" t="s">
        <v>426</v>
      </c>
      <c r="AE1991" t="s">
        <v>137</v>
      </c>
      <c r="AF1991">
        <v>1</v>
      </c>
      <c r="AG1991">
        <v>59</v>
      </c>
      <c r="AH1991">
        <v>460</v>
      </c>
      <c r="AI1991" s="122">
        <v>15892</v>
      </c>
      <c r="AJ1991" s="122">
        <v>14447</v>
      </c>
      <c r="AK1991">
        <v>91</v>
      </c>
      <c r="AL1991" s="122">
        <v>5091</v>
      </c>
      <c r="AM1991" s="122">
        <v>4628</v>
      </c>
      <c r="AN1991" s="122">
        <v>1158</v>
      </c>
      <c r="AO1991">
        <v>429</v>
      </c>
      <c r="AP1991">
        <v>473</v>
      </c>
      <c r="AQ1991">
        <v>175</v>
      </c>
      <c r="AR1991" s="122">
        <v>2841</v>
      </c>
      <c r="AS1991" s="122">
        <v>2582</v>
      </c>
      <c r="AT1991" s="122">
        <v>1882</v>
      </c>
      <c r="AU1991">
        <v>697</v>
      </c>
      <c r="AV1991" s="122">
        <v>22959</v>
      </c>
    </row>
    <row r="1992" spans="2:48" hidden="1">
      <c r="B1992" t="s">
        <v>379</v>
      </c>
      <c r="C1992" t="s">
        <v>52</v>
      </c>
      <c r="D1992" t="s">
        <v>406</v>
      </c>
      <c r="E1992" t="s">
        <v>137</v>
      </c>
      <c r="F1992" s="122">
        <v>2</v>
      </c>
      <c r="G1992" s="122">
        <v>138</v>
      </c>
      <c r="H1992" s="122">
        <v>202</v>
      </c>
      <c r="I1992" s="122">
        <v>-395</v>
      </c>
      <c r="J1992" s="122">
        <v>-359</v>
      </c>
      <c r="K1992" s="122">
        <v>94</v>
      </c>
      <c r="L1992" s="122">
        <v>-96</v>
      </c>
      <c r="M1992" s="122">
        <v>-36</v>
      </c>
      <c r="N1992" s="122">
        <v>1681</v>
      </c>
      <c r="O1992" s="122">
        <v>622</v>
      </c>
      <c r="P1992" s="122">
        <v>1242</v>
      </c>
      <c r="Q1992" s="122">
        <v>460</v>
      </c>
      <c r="R1992" s="122">
        <v>11506</v>
      </c>
      <c r="S1992" s="122">
        <v>4261</v>
      </c>
      <c r="T1992" s="122">
        <v>0</v>
      </c>
      <c r="U1992" s="122">
        <v>0</v>
      </c>
      <c r="V1992" s="122">
        <v>4949</v>
      </c>
      <c r="W1992" s="122">
        <f t="shared" si="62"/>
        <v>5738</v>
      </c>
      <c r="X1992" s="122">
        <f t="shared" si="63"/>
        <v>14920</v>
      </c>
      <c r="AA1992" t="s">
        <v>64</v>
      </c>
      <c r="AB1992" t="s">
        <v>407</v>
      </c>
      <c r="AC1992" t="s">
        <v>407</v>
      </c>
      <c r="AD1992" t="s">
        <v>433</v>
      </c>
      <c r="AE1992" t="s">
        <v>566</v>
      </c>
      <c r="AF1992">
        <v>1</v>
      </c>
      <c r="AG1992">
        <v>107</v>
      </c>
      <c r="AH1992">
        <v>473</v>
      </c>
      <c r="AI1992" s="122">
        <v>32648</v>
      </c>
      <c r="AJ1992" s="122">
        <v>29680</v>
      </c>
      <c r="AK1992">
        <v>68</v>
      </c>
      <c r="AL1992" s="122">
        <v>7811</v>
      </c>
      <c r="AM1992" s="122">
        <v>7101</v>
      </c>
      <c r="AN1992" s="122">
        <v>2617</v>
      </c>
      <c r="AO1992">
        <v>969</v>
      </c>
      <c r="AP1992">
        <v>473</v>
      </c>
      <c r="AQ1992">
        <v>175</v>
      </c>
      <c r="AR1992" s="122">
        <v>7218</v>
      </c>
      <c r="AS1992" s="122">
        <v>6561</v>
      </c>
      <c r="AT1992">
        <v>0</v>
      </c>
      <c r="AU1992">
        <v>0</v>
      </c>
      <c r="AV1992" s="122">
        <v>44486</v>
      </c>
    </row>
    <row r="1993" spans="2:48" hidden="1">
      <c r="B1993" t="s">
        <v>379</v>
      </c>
      <c r="C1993" t="s">
        <v>52</v>
      </c>
      <c r="D1993" t="s">
        <v>406</v>
      </c>
      <c r="E1993" t="s">
        <v>406</v>
      </c>
      <c r="F1993" s="122">
        <v>36</v>
      </c>
      <c r="G1993" s="122">
        <v>4344</v>
      </c>
      <c r="H1993" s="122">
        <v>4185</v>
      </c>
      <c r="I1993" s="122">
        <v>225414</v>
      </c>
      <c r="J1993" s="122">
        <v>204922</v>
      </c>
      <c r="K1993" s="122">
        <v>91</v>
      </c>
      <c r="L1993" s="122">
        <v>44830</v>
      </c>
      <c r="M1993" s="122">
        <v>35918</v>
      </c>
      <c r="N1993" s="122">
        <v>67920</v>
      </c>
      <c r="O1993" s="122">
        <v>25156</v>
      </c>
      <c r="P1993" s="122">
        <v>28679</v>
      </c>
      <c r="Q1993" s="122">
        <v>10622</v>
      </c>
      <c r="R1993" s="122">
        <v>138368</v>
      </c>
      <c r="S1993" s="122">
        <v>125789</v>
      </c>
      <c r="T1993" s="122">
        <v>0</v>
      </c>
      <c r="U1993" s="122">
        <v>0</v>
      </c>
      <c r="V1993" s="122">
        <v>402406</v>
      </c>
      <c r="W1993" s="122">
        <f t="shared" si="62"/>
        <v>402407</v>
      </c>
      <c r="X1993" s="122">
        <f t="shared" si="63"/>
        <v>505211</v>
      </c>
      <c r="AA1993" t="s">
        <v>64</v>
      </c>
      <c r="AB1993" t="s">
        <v>407</v>
      </c>
      <c r="AC1993" t="s">
        <v>579</v>
      </c>
      <c r="AD1993" t="s">
        <v>137</v>
      </c>
      <c r="AE1993" t="s">
        <v>137</v>
      </c>
      <c r="AF1993">
        <v>1</v>
      </c>
      <c r="AG1993">
        <v>34</v>
      </c>
      <c r="AH1993">
        <v>517</v>
      </c>
      <c r="AI1993" s="122">
        <v>3508</v>
      </c>
      <c r="AJ1993" s="122">
        <v>3189</v>
      </c>
      <c r="AK1993">
        <v>78</v>
      </c>
      <c r="AL1993" s="122">
        <v>1052</v>
      </c>
      <c r="AM1993">
        <v>876</v>
      </c>
      <c r="AN1993">
        <v>580</v>
      </c>
      <c r="AO1993">
        <v>215</v>
      </c>
      <c r="AP1993">
        <v>473</v>
      </c>
      <c r="AQ1993">
        <v>175</v>
      </c>
      <c r="AR1993" s="122">
        <v>11978</v>
      </c>
      <c r="AS1993" s="122">
        <v>4436</v>
      </c>
      <c r="AT1993">
        <v>0</v>
      </c>
      <c r="AU1993">
        <v>0</v>
      </c>
      <c r="AV1993" s="122">
        <v>8892</v>
      </c>
    </row>
    <row r="1994" spans="2:48" hidden="1">
      <c r="B1994" t="s">
        <v>379</v>
      </c>
      <c r="C1994" t="s">
        <v>52</v>
      </c>
      <c r="D1994" t="s">
        <v>407</v>
      </c>
      <c r="E1994" t="s">
        <v>407</v>
      </c>
      <c r="F1994" s="122">
        <v>16</v>
      </c>
      <c r="G1994" s="122">
        <v>1963</v>
      </c>
      <c r="H1994" s="122">
        <v>1778</v>
      </c>
      <c r="I1994" s="122">
        <v>103154</v>
      </c>
      <c r="J1994" s="122">
        <v>93776</v>
      </c>
      <c r="K1994" s="122">
        <v>90</v>
      </c>
      <c r="L1994" s="122">
        <v>30196</v>
      </c>
      <c r="M1994" s="122">
        <v>27451</v>
      </c>
      <c r="N1994" s="122">
        <v>24803</v>
      </c>
      <c r="O1994" s="122">
        <v>9186</v>
      </c>
      <c r="P1994" s="122">
        <v>7560</v>
      </c>
      <c r="Q1994" s="122">
        <v>2800</v>
      </c>
      <c r="R1994" s="122">
        <v>51731</v>
      </c>
      <c r="S1994" s="122">
        <v>47029</v>
      </c>
      <c r="T1994" s="122">
        <v>0</v>
      </c>
      <c r="U1994" s="122">
        <v>0</v>
      </c>
      <c r="V1994" s="122">
        <v>180242</v>
      </c>
      <c r="W1994" s="122">
        <f t="shared" si="62"/>
        <v>180242</v>
      </c>
      <c r="X1994" s="122">
        <f t="shared" si="63"/>
        <v>217444</v>
      </c>
      <c r="AA1994" t="s">
        <v>64</v>
      </c>
      <c r="AB1994" t="s">
        <v>407</v>
      </c>
      <c r="AC1994" t="s">
        <v>579</v>
      </c>
      <c r="AD1994" t="s">
        <v>137</v>
      </c>
      <c r="AE1994" t="s">
        <v>566</v>
      </c>
      <c r="AF1994">
        <v>69</v>
      </c>
      <c r="AG1994" s="122">
        <v>6341</v>
      </c>
      <c r="AH1994" s="122">
        <v>38075</v>
      </c>
      <c r="AI1994" s="122">
        <v>2442534</v>
      </c>
      <c r="AJ1994" s="122">
        <v>2220486</v>
      </c>
      <c r="AK1994">
        <v>66</v>
      </c>
      <c r="AL1994" s="122">
        <v>540524</v>
      </c>
      <c r="AM1994" s="122">
        <v>450437</v>
      </c>
      <c r="AN1994" s="122">
        <v>141476</v>
      </c>
      <c r="AO1994" s="122">
        <v>52398</v>
      </c>
      <c r="AP1994" s="122">
        <v>21961</v>
      </c>
      <c r="AQ1994" s="122">
        <v>8134</v>
      </c>
      <c r="AR1994" s="122">
        <v>470264</v>
      </c>
      <c r="AS1994" s="122">
        <v>174172</v>
      </c>
      <c r="AT1994">
        <v>0</v>
      </c>
      <c r="AU1994">
        <v>0</v>
      </c>
      <c r="AV1994" s="122">
        <v>2905627</v>
      </c>
    </row>
    <row r="1995" spans="2:48" hidden="1">
      <c r="B1995" t="s">
        <v>379</v>
      </c>
      <c r="C1995" t="s">
        <v>54</v>
      </c>
      <c r="D1995" t="s">
        <v>425</v>
      </c>
      <c r="E1995" t="s">
        <v>425</v>
      </c>
      <c r="F1995" s="122">
        <v>1</v>
      </c>
      <c r="G1995" s="122">
        <v>89</v>
      </c>
      <c r="H1995" s="122">
        <v>150</v>
      </c>
      <c r="I1995" s="122">
        <v>5026</v>
      </c>
      <c r="J1995" s="122">
        <v>4569</v>
      </c>
      <c r="K1995" s="122">
        <v>92</v>
      </c>
      <c r="L1995" s="122">
        <v>1631</v>
      </c>
      <c r="M1995" s="122">
        <v>1482</v>
      </c>
      <c r="N1995" s="122">
        <v>1084</v>
      </c>
      <c r="O1995" s="122">
        <v>402</v>
      </c>
      <c r="P1995" s="122">
        <v>473</v>
      </c>
      <c r="Q1995" s="122">
        <v>175</v>
      </c>
      <c r="R1995" s="122">
        <v>5130</v>
      </c>
      <c r="S1995" s="122">
        <v>4664</v>
      </c>
      <c r="T1995" s="122">
        <v>0</v>
      </c>
      <c r="U1995" s="122">
        <v>0</v>
      </c>
      <c r="V1995" s="122">
        <v>11292</v>
      </c>
      <c r="W1995" s="122">
        <f t="shared" si="62"/>
        <v>11292</v>
      </c>
      <c r="X1995" s="122">
        <f t="shared" si="63"/>
        <v>13344</v>
      </c>
      <c r="AA1995" t="s">
        <v>64</v>
      </c>
      <c r="AB1995" t="s">
        <v>407</v>
      </c>
      <c r="AC1995" t="s">
        <v>579</v>
      </c>
      <c r="AD1995" t="s">
        <v>407</v>
      </c>
      <c r="AE1995" t="s">
        <v>137</v>
      </c>
      <c r="AF1995" s="122">
        <v>1421</v>
      </c>
      <c r="AG1995" s="122">
        <v>121650</v>
      </c>
      <c r="AH1995" s="122">
        <v>739885</v>
      </c>
      <c r="AI1995" s="122">
        <v>39857649</v>
      </c>
      <c r="AJ1995" s="122">
        <v>36234226</v>
      </c>
      <c r="AK1995">
        <v>72</v>
      </c>
      <c r="AL1995" s="122">
        <v>10603625</v>
      </c>
      <c r="AM1995" s="122">
        <v>8836354</v>
      </c>
      <c r="AN1995" s="122">
        <v>2635145</v>
      </c>
      <c r="AO1995" s="122">
        <v>975980</v>
      </c>
      <c r="AP1995" s="122">
        <v>665906</v>
      </c>
      <c r="AQ1995" s="122">
        <v>246632</v>
      </c>
      <c r="AR1995" s="122">
        <v>6216701</v>
      </c>
      <c r="AS1995" s="122">
        <v>5651546</v>
      </c>
      <c r="AT1995" s="122">
        <v>3236666</v>
      </c>
      <c r="AU1995" s="122">
        <v>1198765</v>
      </c>
      <c r="AV1995" s="122">
        <v>53143503</v>
      </c>
    </row>
    <row r="1996" spans="2:48" hidden="1">
      <c r="B1996" t="s">
        <v>379</v>
      </c>
      <c r="C1996" t="s">
        <v>54</v>
      </c>
      <c r="D1996" t="s">
        <v>405</v>
      </c>
      <c r="E1996" t="s">
        <v>405</v>
      </c>
      <c r="F1996" s="122">
        <v>30</v>
      </c>
      <c r="G1996" s="122">
        <v>3760</v>
      </c>
      <c r="H1996" s="122">
        <v>4259</v>
      </c>
      <c r="I1996" s="122">
        <v>246688</v>
      </c>
      <c r="J1996" s="122">
        <v>224262</v>
      </c>
      <c r="K1996" s="122">
        <v>84</v>
      </c>
      <c r="L1996" s="122">
        <v>55744</v>
      </c>
      <c r="M1996" s="122">
        <v>48823</v>
      </c>
      <c r="N1996" s="122">
        <v>76507</v>
      </c>
      <c r="O1996" s="122">
        <v>28336</v>
      </c>
      <c r="P1996" s="122">
        <v>16312</v>
      </c>
      <c r="Q1996" s="122">
        <v>6042</v>
      </c>
      <c r="R1996" s="122">
        <v>138911</v>
      </c>
      <c r="S1996" s="122">
        <v>126283</v>
      </c>
      <c r="T1996" s="122">
        <v>0</v>
      </c>
      <c r="U1996" s="122">
        <v>0</v>
      </c>
      <c r="V1996" s="122">
        <v>433746</v>
      </c>
      <c r="W1996" s="122">
        <f t="shared" si="62"/>
        <v>433746</v>
      </c>
      <c r="X1996" s="122">
        <f t="shared" si="63"/>
        <v>534162</v>
      </c>
      <c r="AA1996" t="s">
        <v>64</v>
      </c>
      <c r="AB1996" t="s">
        <v>407</v>
      </c>
      <c r="AC1996" t="s">
        <v>579</v>
      </c>
      <c r="AD1996" t="s">
        <v>407</v>
      </c>
      <c r="AE1996" t="s">
        <v>566</v>
      </c>
      <c r="AF1996">
        <v>439</v>
      </c>
      <c r="AG1996" s="122">
        <v>34311</v>
      </c>
      <c r="AH1996" s="122">
        <v>233801</v>
      </c>
      <c r="AI1996" s="122">
        <v>11195523</v>
      </c>
      <c r="AJ1996" s="122">
        <v>10177748</v>
      </c>
      <c r="AK1996">
        <v>74</v>
      </c>
      <c r="AL1996" s="122">
        <v>3874276</v>
      </c>
      <c r="AM1996" s="122">
        <v>3228563</v>
      </c>
      <c r="AN1996" s="122">
        <v>737856</v>
      </c>
      <c r="AO1996" s="122">
        <v>273280</v>
      </c>
      <c r="AP1996" s="122">
        <v>202271</v>
      </c>
      <c r="AQ1996" s="122">
        <v>74915</v>
      </c>
      <c r="AR1996" s="122">
        <v>2451466</v>
      </c>
      <c r="AS1996" s="122">
        <v>2228605</v>
      </c>
      <c r="AT1996">
        <v>0</v>
      </c>
      <c r="AU1996">
        <v>0</v>
      </c>
      <c r="AV1996" s="122">
        <v>15983111</v>
      </c>
    </row>
    <row r="1997" spans="2:48" hidden="1">
      <c r="B1997" t="s">
        <v>379</v>
      </c>
      <c r="C1997" t="s">
        <v>54</v>
      </c>
      <c r="D1997" t="s">
        <v>406</v>
      </c>
      <c r="E1997" t="s">
        <v>137</v>
      </c>
      <c r="F1997" s="122">
        <v>1</v>
      </c>
      <c r="G1997" s="122">
        <v>116</v>
      </c>
      <c r="H1997" s="122">
        <v>140</v>
      </c>
      <c r="I1997" s="122">
        <v>7778</v>
      </c>
      <c r="J1997" s="122">
        <v>7071</v>
      </c>
      <c r="K1997" s="122">
        <v>94</v>
      </c>
      <c r="L1997" s="122">
        <v>2774</v>
      </c>
      <c r="M1997" s="122">
        <v>2522</v>
      </c>
      <c r="N1997" s="122">
        <v>1712</v>
      </c>
      <c r="O1997" s="122">
        <v>634</v>
      </c>
      <c r="P1997" s="122">
        <v>972</v>
      </c>
      <c r="Q1997" s="122">
        <v>360</v>
      </c>
      <c r="R1997" s="122">
        <v>3038</v>
      </c>
      <c r="S1997" s="122">
        <v>1125</v>
      </c>
      <c r="T1997" s="122">
        <v>0</v>
      </c>
      <c r="U1997" s="122">
        <v>0</v>
      </c>
      <c r="V1997" s="122">
        <v>11711</v>
      </c>
      <c r="W1997" s="122">
        <f t="shared" si="62"/>
        <v>11712</v>
      </c>
      <c r="X1997" s="122">
        <f t="shared" si="63"/>
        <v>16274</v>
      </c>
      <c r="AA1997" t="s">
        <v>64</v>
      </c>
      <c r="AB1997" t="s">
        <v>407</v>
      </c>
      <c r="AC1997" t="s">
        <v>579</v>
      </c>
      <c r="AD1997" t="s">
        <v>579</v>
      </c>
      <c r="AE1997" t="s">
        <v>137</v>
      </c>
      <c r="AF1997">
        <v>1</v>
      </c>
      <c r="AG1997">
        <v>107</v>
      </c>
      <c r="AH1997">
        <v>458</v>
      </c>
      <c r="AI1997" s="122">
        <v>30771</v>
      </c>
      <c r="AJ1997" s="122">
        <v>27974</v>
      </c>
      <c r="AK1997">
        <v>91</v>
      </c>
      <c r="AL1997" s="122">
        <v>10767</v>
      </c>
      <c r="AM1997" s="122">
        <v>8972</v>
      </c>
      <c r="AN1997" s="122">
        <v>2111</v>
      </c>
      <c r="AO1997">
        <v>782</v>
      </c>
      <c r="AP1997">
        <v>473</v>
      </c>
      <c r="AQ1997">
        <v>175</v>
      </c>
      <c r="AR1997" s="122">
        <v>4907</v>
      </c>
      <c r="AS1997" s="122">
        <v>4090</v>
      </c>
      <c r="AT1997">
        <v>0</v>
      </c>
      <c r="AU1997">
        <v>0</v>
      </c>
      <c r="AV1997" s="122">
        <v>41992</v>
      </c>
    </row>
    <row r="1998" spans="2:48" hidden="1">
      <c r="B1998" t="s">
        <v>379</v>
      </c>
      <c r="C1998" t="s">
        <v>54</v>
      </c>
      <c r="D1998" t="s">
        <v>406</v>
      </c>
      <c r="E1998" t="s">
        <v>406</v>
      </c>
      <c r="F1998" s="122">
        <v>215</v>
      </c>
      <c r="G1998" s="122">
        <v>21905</v>
      </c>
      <c r="H1998" s="122">
        <v>30084</v>
      </c>
      <c r="I1998" s="122">
        <v>1418380</v>
      </c>
      <c r="J1998" s="122">
        <v>1289436</v>
      </c>
      <c r="K1998" s="122">
        <v>90</v>
      </c>
      <c r="L1998" s="122">
        <v>324115</v>
      </c>
      <c r="M1998" s="122">
        <v>289063</v>
      </c>
      <c r="N1998" s="122">
        <v>355095</v>
      </c>
      <c r="O1998" s="122">
        <v>131517</v>
      </c>
      <c r="P1998" s="122">
        <v>143809</v>
      </c>
      <c r="Q1998" s="122">
        <v>53263</v>
      </c>
      <c r="R1998" s="122">
        <v>872768</v>
      </c>
      <c r="S1998" s="122">
        <v>793425</v>
      </c>
      <c r="T1998" s="122">
        <v>37898</v>
      </c>
      <c r="U1998" s="122">
        <v>14036</v>
      </c>
      <c r="V1998" s="122">
        <v>2570741</v>
      </c>
      <c r="W1998" s="122">
        <f t="shared" si="62"/>
        <v>2570740</v>
      </c>
      <c r="X1998" s="122">
        <f t="shared" si="63"/>
        <v>3152065</v>
      </c>
      <c r="AA1998" t="s">
        <v>64</v>
      </c>
      <c r="AB1998" t="s">
        <v>407</v>
      </c>
      <c r="AC1998" t="s">
        <v>428</v>
      </c>
      <c r="AD1998" t="s">
        <v>407</v>
      </c>
      <c r="AE1998" t="s">
        <v>137</v>
      </c>
      <c r="AF1998">
        <v>9</v>
      </c>
      <c r="AG1998">
        <v>762</v>
      </c>
      <c r="AH1998" s="122">
        <v>4417</v>
      </c>
      <c r="AI1998" s="122">
        <v>246513</v>
      </c>
      <c r="AJ1998" s="122">
        <v>224103</v>
      </c>
      <c r="AK1998">
        <v>77</v>
      </c>
      <c r="AL1998" s="122">
        <v>56054</v>
      </c>
      <c r="AM1998" s="122">
        <v>50958</v>
      </c>
      <c r="AN1998" s="122">
        <v>18472</v>
      </c>
      <c r="AO1998" s="122">
        <v>6841</v>
      </c>
      <c r="AP1998" s="122">
        <v>4010</v>
      </c>
      <c r="AQ1998" s="122">
        <v>1485</v>
      </c>
      <c r="AR1998" s="122">
        <v>42425</v>
      </c>
      <c r="AS1998" s="122">
        <v>38568</v>
      </c>
      <c r="AT1998" s="122">
        <v>24629</v>
      </c>
      <c r="AU1998" s="122">
        <v>9122</v>
      </c>
      <c r="AV1998" s="122">
        <v>331078</v>
      </c>
    </row>
    <row r="1999" spans="2:48" hidden="1">
      <c r="B1999" t="s">
        <v>379</v>
      </c>
      <c r="C1999" t="s">
        <v>54</v>
      </c>
      <c r="D1999" t="s">
        <v>407</v>
      </c>
      <c r="E1999" t="s">
        <v>407</v>
      </c>
      <c r="F1999" s="122">
        <v>53</v>
      </c>
      <c r="G1999" s="122">
        <v>6574</v>
      </c>
      <c r="H1999" s="122">
        <v>7461</v>
      </c>
      <c r="I1999" s="122">
        <v>437536</v>
      </c>
      <c r="J1999" s="122">
        <v>397760</v>
      </c>
      <c r="K1999" s="122">
        <v>87</v>
      </c>
      <c r="L1999" s="122">
        <v>105712</v>
      </c>
      <c r="M1999" s="122">
        <v>94829</v>
      </c>
      <c r="N1999" s="122">
        <v>116028</v>
      </c>
      <c r="O1999" s="122">
        <v>42973</v>
      </c>
      <c r="P1999" s="122">
        <v>26447</v>
      </c>
      <c r="Q1999" s="122">
        <v>9795</v>
      </c>
      <c r="R1999" s="122">
        <v>243043</v>
      </c>
      <c r="S1999" s="122">
        <v>220948</v>
      </c>
      <c r="T1999" s="122">
        <v>669</v>
      </c>
      <c r="U1999" s="122">
        <v>248</v>
      </c>
      <c r="V1999" s="122">
        <v>766554</v>
      </c>
      <c r="W1999" s="122">
        <f t="shared" si="62"/>
        <v>766553</v>
      </c>
      <c r="X1999" s="122">
        <f t="shared" si="63"/>
        <v>929435</v>
      </c>
      <c r="AA1999" t="s">
        <v>64</v>
      </c>
      <c r="AB1999" t="s">
        <v>407</v>
      </c>
      <c r="AC1999" t="s">
        <v>428</v>
      </c>
      <c r="AD1999" t="s">
        <v>407</v>
      </c>
      <c r="AE1999" t="s">
        <v>566</v>
      </c>
      <c r="AF1999">
        <v>13</v>
      </c>
      <c r="AG1999" s="122">
        <v>1067</v>
      </c>
      <c r="AH1999" s="122">
        <v>6908</v>
      </c>
      <c r="AI1999" s="122">
        <v>352742</v>
      </c>
      <c r="AJ1999" s="122">
        <v>320674</v>
      </c>
      <c r="AK1999">
        <v>70</v>
      </c>
      <c r="AL1999" s="122">
        <v>82377</v>
      </c>
      <c r="AM1999" s="122">
        <v>74888</v>
      </c>
      <c r="AN1999" s="122">
        <v>23919</v>
      </c>
      <c r="AO1999" s="122">
        <v>8859</v>
      </c>
      <c r="AP1999" s="122">
        <v>5900</v>
      </c>
      <c r="AQ1999" s="122">
        <v>2185</v>
      </c>
      <c r="AR1999" s="122">
        <v>87658</v>
      </c>
      <c r="AS1999" s="122">
        <v>79689</v>
      </c>
      <c r="AT1999">
        <v>0</v>
      </c>
      <c r="AU1999">
        <v>0</v>
      </c>
      <c r="AV1999" s="122">
        <v>486295</v>
      </c>
    </row>
    <row r="2000" spans="2:48" hidden="1">
      <c r="B2000" t="s">
        <v>379</v>
      </c>
      <c r="C2000" t="s">
        <v>56</v>
      </c>
      <c r="D2000" t="s">
        <v>425</v>
      </c>
      <c r="E2000" t="s">
        <v>425</v>
      </c>
      <c r="F2000" s="122">
        <v>1</v>
      </c>
      <c r="G2000" s="122">
        <v>109</v>
      </c>
      <c r="H2000" s="122">
        <v>191</v>
      </c>
      <c r="I2000" s="122">
        <v>13935</v>
      </c>
      <c r="J2000" s="122">
        <v>12668</v>
      </c>
      <c r="K2000" s="122">
        <v>93</v>
      </c>
      <c r="L2000" s="122">
        <v>0</v>
      </c>
      <c r="M2000" s="122">
        <v>0</v>
      </c>
      <c r="N2000" s="122">
        <v>1984</v>
      </c>
      <c r="O2000" s="122">
        <v>735</v>
      </c>
      <c r="P2000" s="122">
        <v>473</v>
      </c>
      <c r="Q2000" s="122">
        <v>175</v>
      </c>
      <c r="R2000" s="122">
        <v>4325</v>
      </c>
      <c r="S2000" s="122">
        <v>3932</v>
      </c>
      <c r="T2000" s="122">
        <v>0</v>
      </c>
      <c r="U2000" s="122">
        <v>0</v>
      </c>
      <c r="V2000" s="122">
        <v>17510</v>
      </c>
      <c r="W2000" s="122">
        <f t="shared" si="62"/>
        <v>17510</v>
      </c>
      <c r="X2000" s="122">
        <f t="shared" si="63"/>
        <v>20717</v>
      </c>
      <c r="AA2000" t="s">
        <v>64</v>
      </c>
      <c r="AB2000" t="s">
        <v>407</v>
      </c>
      <c r="AC2000" t="s">
        <v>426</v>
      </c>
      <c r="AD2000" t="s">
        <v>137</v>
      </c>
      <c r="AE2000" t="s">
        <v>137</v>
      </c>
      <c r="AF2000">
        <v>3</v>
      </c>
      <c r="AG2000">
        <v>221</v>
      </c>
      <c r="AH2000" s="122">
        <v>2049</v>
      </c>
      <c r="AI2000" s="122">
        <v>82788</v>
      </c>
      <c r="AJ2000" s="122">
        <v>75262</v>
      </c>
      <c r="AK2000">
        <v>56</v>
      </c>
      <c r="AL2000" s="122">
        <v>12731</v>
      </c>
      <c r="AM2000" s="122">
        <v>11574</v>
      </c>
      <c r="AN2000" s="122">
        <v>5018</v>
      </c>
      <c r="AO2000" s="122">
        <v>1859</v>
      </c>
      <c r="AP2000">
        <v>473</v>
      </c>
      <c r="AQ2000">
        <v>175</v>
      </c>
      <c r="AR2000" s="122">
        <v>49442</v>
      </c>
      <c r="AS2000" s="122">
        <v>18312</v>
      </c>
      <c r="AT2000">
        <v>0</v>
      </c>
      <c r="AU2000">
        <v>0</v>
      </c>
      <c r="AV2000" s="122">
        <v>107180</v>
      </c>
    </row>
    <row r="2001" spans="2:48" hidden="1">
      <c r="B2001" t="s">
        <v>379</v>
      </c>
      <c r="C2001" t="s">
        <v>56</v>
      </c>
      <c r="D2001" t="s">
        <v>425</v>
      </c>
      <c r="E2001" t="s">
        <v>406</v>
      </c>
      <c r="F2001" s="122">
        <v>1</v>
      </c>
      <c r="G2001" s="122">
        <v>105</v>
      </c>
      <c r="H2001" s="122">
        <v>180</v>
      </c>
      <c r="I2001" s="122">
        <v>9296</v>
      </c>
      <c r="J2001" s="122">
        <v>8451</v>
      </c>
      <c r="K2001" s="122">
        <v>85</v>
      </c>
      <c r="L2001" s="122">
        <v>2782</v>
      </c>
      <c r="M2001" s="122">
        <v>2529</v>
      </c>
      <c r="N2001" s="122">
        <v>1277</v>
      </c>
      <c r="O2001" s="122">
        <v>473</v>
      </c>
      <c r="P2001" s="122">
        <v>621</v>
      </c>
      <c r="Q2001" s="122">
        <v>230</v>
      </c>
      <c r="R2001" s="122">
        <v>4834</v>
      </c>
      <c r="S2001" s="122">
        <v>4394</v>
      </c>
      <c r="T2001" s="122">
        <v>0</v>
      </c>
      <c r="U2001" s="122">
        <v>0</v>
      </c>
      <c r="V2001" s="122">
        <v>16077</v>
      </c>
      <c r="W2001" s="122">
        <f t="shared" si="62"/>
        <v>16077</v>
      </c>
      <c r="X2001" s="122">
        <f t="shared" si="63"/>
        <v>18810</v>
      </c>
      <c r="AA2001" t="s">
        <v>64</v>
      </c>
      <c r="AB2001" t="s">
        <v>407</v>
      </c>
      <c r="AC2001" t="s">
        <v>426</v>
      </c>
      <c r="AD2001" t="s">
        <v>137</v>
      </c>
      <c r="AE2001" t="s">
        <v>566</v>
      </c>
      <c r="AF2001">
        <v>26</v>
      </c>
      <c r="AG2001" s="122">
        <v>1912</v>
      </c>
      <c r="AH2001" s="122">
        <v>14454</v>
      </c>
      <c r="AI2001" s="122">
        <v>655692</v>
      </c>
      <c r="AJ2001" s="122">
        <v>596084</v>
      </c>
      <c r="AK2001">
        <v>68</v>
      </c>
      <c r="AL2001" s="122">
        <v>153601</v>
      </c>
      <c r="AM2001" s="122">
        <v>139637</v>
      </c>
      <c r="AN2001" s="122">
        <v>43806</v>
      </c>
      <c r="AO2001" s="122">
        <v>16224</v>
      </c>
      <c r="AP2001" s="122">
        <v>8080</v>
      </c>
      <c r="AQ2001" s="122">
        <v>2993</v>
      </c>
      <c r="AR2001" s="122">
        <v>179267</v>
      </c>
      <c r="AS2001" s="122">
        <v>66395</v>
      </c>
      <c r="AT2001">
        <v>0</v>
      </c>
      <c r="AU2001">
        <v>0</v>
      </c>
      <c r="AV2001" s="122">
        <v>821333</v>
      </c>
    </row>
    <row r="2002" spans="2:48" hidden="1">
      <c r="B2002" t="s">
        <v>379</v>
      </c>
      <c r="C2002" t="s">
        <v>56</v>
      </c>
      <c r="D2002" t="s">
        <v>405</v>
      </c>
      <c r="E2002" t="s">
        <v>405</v>
      </c>
      <c r="F2002" s="122">
        <v>31</v>
      </c>
      <c r="G2002" s="122">
        <v>3270</v>
      </c>
      <c r="H2002" s="122">
        <v>5629</v>
      </c>
      <c r="I2002" s="122">
        <v>276097</v>
      </c>
      <c r="J2002" s="122">
        <v>250997</v>
      </c>
      <c r="K2002" s="122">
        <v>81</v>
      </c>
      <c r="L2002" s="122">
        <v>71341</v>
      </c>
      <c r="M2002" s="122">
        <v>62154</v>
      </c>
      <c r="N2002" s="122">
        <v>66800</v>
      </c>
      <c r="O2002" s="122">
        <v>24741</v>
      </c>
      <c r="P2002" s="122">
        <v>14796</v>
      </c>
      <c r="Q2002" s="122">
        <v>5480</v>
      </c>
      <c r="R2002" s="122">
        <v>135782</v>
      </c>
      <c r="S2002" s="122">
        <v>123439</v>
      </c>
      <c r="T2002" s="122">
        <v>13612</v>
      </c>
      <c r="U2002" s="122">
        <v>5042</v>
      </c>
      <c r="V2002" s="122">
        <v>471852</v>
      </c>
      <c r="W2002" s="122">
        <f t="shared" si="62"/>
        <v>471853</v>
      </c>
      <c r="X2002" s="122">
        <f t="shared" si="63"/>
        <v>578428</v>
      </c>
      <c r="AA2002" t="s">
        <v>64</v>
      </c>
      <c r="AB2002" t="s">
        <v>407</v>
      </c>
      <c r="AC2002" t="s">
        <v>426</v>
      </c>
      <c r="AD2002" t="s">
        <v>406</v>
      </c>
      <c r="AE2002" t="s">
        <v>137</v>
      </c>
      <c r="AF2002">
        <v>1</v>
      </c>
      <c r="AG2002">
        <v>71</v>
      </c>
      <c r="AH2002">
        <v>530</v>
      </c>
      <c r="AI2002" s="122">
        <v>24454</v>
      </c>
      <c r="AJ2002" s="122">
        <v>22231</v>
      </c>
      <c r="AK2002">
        <v>68</v>
      </c>
      <c r="AL2002" s="122">
        <v>5851</v>
      </c>
      <c r="AM2002" s="122">
        <v>5319</v>
      </c>
      <c r="AN2002" s="122">
        <v>1627</v>
      </c>
      <c r="AO2002">
        <v>603</v>
      </c>
      <c r="AP2002">
        <v>473</v>
      </c>
      <c r="AQ2002">
        <v>175</v>
      </c>
      <c r="AR2002" s="122">
        <v>3432</v>
      </c>
      <c r="AS2002" s="122">
        <v>3120</v>
      </c>
      <c r="AT2002" s="122">
        <v>1593</v>
      </c>
      <c r="AU2002">
        <v>590</v>
      </c>
      <c r="AV2002" s="122">
        <v>32038</v>
      </c>
    </row>
    <row r="2003" spans="2:48" hidden="1">
      <c r="B2003" t="s">
        <v>379</v>
      </c>
      <c r="C2003" t="s">
        <v>56</v>
      </c>
      <c r="D2003" t="s">
        <v>137</v>
      </c>
      <c r="E2003" t="s">
        <v>137</v>
      </c>
      <c r="F2003" s="122">
        <v>18</v>
      </c>
      <c r="G2003" s="122">
        <v>1588</v>
      </c>
      <c r="H2003" s="122">
        <v>3588</v>
      </c>
      <c r="I2003" s="122">
        <v>142872</v>
      </c>
      <c r="J2003" s="122">
        <v>52916</v>
      </c>
      <c r="K2003" s="122">
        <v>108</v>
      </c>
      <c r="L2003" s="122">
        <v>15055</v>
      </c>
      <c r="M2003" s="122">
        <v>12953</v>
      </c>
      <c r="N2003" s="122">
        <v>33447</v>
      </c>
      <c r="O2003" s="122">
        <v>12388</v>
      </c>
      <c r="P2003" s="122">
        <v>3026</v>
      </c>
      <c r="Q2003" s="122">
        <v>1121</v>
      </c>
      <c r="R2003" s="122">
        <v>131527</v>
      </c>
      <c r="S2003" s="122">
        <v>48714</v>
      </c>
      <c r="T2003" s="122">
        <v>0</v>
      </c>
      <c r="U2003" s="122">
        <v>0</v>
      </c>
      <c r="V2003" s="122">
        <v>128091</v>
      </c>
      <c r="W2003" s="122">
        <f t="shared" si="62"/>
        <v>128092</v>
      </c>
      <c r="X2003" s="122">
        <f t="shared" si="63"/>
        <v>325927</v>
      </c>
      <c r="AA2003" t="s">
        <v>64</v>
      </c>
      <c r="AB2003" t="s">
        <v>407</v>
      </c>
      <c r="AC2003" t="s">
        <v>426</v>
      </c>
      <c r="AD2003" t="s">
        <v>407</v>
      </c>
      <c r="AE2003" t="s">
        <v>137</v>
      </c>
      <c r="AF2003">
        <v>423</v>
      </c>
      <c r="AG2003" s="122">
        <v>34851</v>
      </c>
      <c r="AH2003" s="122">
        <v>219575</v>
      </c>
      <c r="AI2003" s="122">
        <v>11293553</v>
      </c>
      <c r="AJ2003" s="122">
        <v>10266866</v>
      </c>
      <c r="AK2003">
        <v>72</v>
      </c>
      <c r="AL2003" s="122">
        <v>2790958</v>
      </c>
      <c r="AM2003" s="122">
        <v>2537235</v>
      </c>
      <c r="AN2003" s="122">
        <v>777646</v>
      </c>
      <c r="AO2003" s="122">
        <v>288017</v>
      </c>
      <c r="AP2003" s="122">
        <v>199912</v>
      </c>
      <c r="AQ2003" s="122">
        <v>74041</v>
      </c>
      <c r="AR2003" s="122">
        <v>2031366</v>
      </c>
      <c r="AS2003" s="122">
        <v>1846697</v>
      </c>
      <c r="AT2003" s="122">
        <v>971253</v>
      </c>
      <c r="AU2003" s="122">
        <v>359723</v>
      </c>
      <c r="AV2003" s="122">
        <v>15372579</v>
      </c>
    </row>
    <row r="2004" spans="2:48" hidden="1">
      <c r="B2004" t="s">
        <v>379</v>
      </c>
      <c r="C2004" t="s">
        <v>56</v>
      </c>
      <c r="D2004" t="s">
        <v>406</v>
      </c>
      <c r="E2004" t="s">
        <v>137</v>
      </c>
      <c r="F2004" s="122">
        <v>1</v>
      </c>
      <c r="G2004" s="122">
        <v>72</v>
      </c>
      <c r="H2004" s="122">
        <v>224</v>
      </c>
      <c r="I2004" s="122">
        <v>8864</v>
      </c>
      <c r="J2004" s="122">
        <v>8058</v>
      </c>
      <c r="K2004" s="122">
        <v>93</v>
      </c>
      <c r="L2004" s="122">
        <v>2889</v>
      </c>
      <c r="M2004" s="122">
        <v>2626</v>
      </c>
      <c r="N2004" s="122">
        <v>2109</v>
      </c>
      <c r="O2004" s="122">
        <v>781</v>
      </c>
      <c r="P2004" s="122">
        <v>621</v>
      </c>
      <c r="Q2004" s="122">
        <v>230</v>
      </c>
      <c r="R2004" s="122">
        <v>4902</v>
      </c>
      <c r="S2004" s="122">
        <v>1815</v>
      </c>
      <c r="T2004" s="122">
        <v>0</v>
      </c>
      <c r="U2004" s="122">
        <v>0</v>
      </c>
      <c r="V2004" s="122">
        <v>13511</v>
      </c>
      <c r="W2004" s="122">
        <f t="shared" si="62"/>
        <v>13510</v>
      </c>
      <c r="X2004" s="122">
        <f t="shared" si="63"/>
        <v>19385</v>
      </c>
      <c r="AA2004" t="s">
        <v>64</v>
      </c>
      <c r="AB2004" t="s">
        <v>407</v>
      </c>
      <c r="AC2004" t="s">
        <v>426</v>
      </c>
      <c r="AD2004" t="s">
        <v>407</v>
      </c>
      <c r="AE2004" t="s">
        <v>566</v>
      </c>
      <c r="AF2004">
        <v>188</v>
      </c>
      <c r="AG2004" s="122">
        <v>15395</v>
      </c>
      <c r="AH2004" s="122">
        <v>97675</v>
      </c>
      <c r="AI2004" s="122">
        <v>5062373</v>
      </c>
      <c r="AJ2004" s="122">
        <v>4602157</v>
      </c>
      <c r="AK2004">
        <v>73</v>
      </c>
      <c r="AL2004" s="122">
        <v>1283963</v>
      </c>
      <c r="AM2004" s="122">
        <v>1167239</v>
      </c>
      <c r="AN2004" s="122">
        <v>348945</v>
      </c>
      <c r="AO2004" s="122">
        <v>129239</v>
      </c>
      <c r="AP2004" s="122">
        <v>86562</v>
      </c>
      <c r="AQ2004" s="122">
        <v>32060</v>
      </c>
      <c r="AR2004" s="122">
        <v>1190189</v>
      </c>
      <c r="AS2004" s="122">
        <v>1081990</v>
      </c>
      <c r="AT2004">
        <v>0</v>
      </c>
      <c r="AU2004">
        <v>0</v>
      </c>
      <c r="AV2004" s="122">
        <v>7012685</v>
      </c>
    </row>
    <row r="2005" spans="2:48" hidden="1">
      <c r="B2005" t="s">
        <v>379</v>
      </c>
      <c r="C2005" t="s">
        <v>56</v>
      </c>
      <c r="D2005" t="s">
        <v>406</v>
      </c>
      <c r="E2005" t="s">
        <v>406</v>
      </c>
      <c r="F2005" s="122">
        <v>1082</v>
      </c>
      <c r="G2005" s="122">
        <v>104874</v>
      </c>
      <c r="H2005" s="122">
        <v>202365</v>
      </c>
      <c r="I2005" s="122">
        <v>9120596</v>
      </c>
      <c r="J2005" s="122">
        <v>8291451</v>
      </c>
      <c r="K2005" s="122">
        <v>86</v>
      </c>
      <c r="L2005" s="122">
        <v>2216393</v>
      </c>
      <c r="M2005" s="122">
        <v>1956281</v>
      </c>
      <c r="N2005" s="122">
        <v>1968140</v>
      </c>
      <c r="O2005" s="122">
        <v>728941</v>
      </c>
      <c r="P2005" s="122">
        <v>705117</v>
      </c>
      <c r="Q2005" s="122">
        <v>261155</v>
      </c>
      <c r="R2005" s="122">
        <v>4611228</v>
      </c>
      <c r="S2005" s="122">
        <v>4192025</v>
      </c>
      <c r="T2005" s="122">
        <v>1067128</v>
      </c>
      <c r="U2005" s="122">
        <v>395233</v>
      </c>
      <c r="V2005" s="122">
        <v>15825085</v>
      </c>
      <c r="W2005" s="122">
        <f t="shared" si="62"/>
        <v>15825086</v>
      </c>
      <c r="X2005" s="122">
        <f t="shared" si="63"/>
        <v>19688602</v>
      </c>
      <c r="AA2005" t="s">
        <v>64</v>
      </c>
      <c r="AB2005" t="s">
        <v>407</v>
      </c>
      <c r="AC2005" t="s">
        <v>426</v>
      </c>
      <c r="AD2005" t="s">
        <v>426</v>
      </c>
      <c r="AE2005" t="s">
        <v>566</v>
      </c>
      <c r="AF2005">
        <v>1</v>
      </c>
      <c r="AG2005">
        <v>72</v>
      </c>
      <c r="AH2005">
        <v>635</v>
      </c>
      <c r="AI2005" s="122">
        <v>30478</v>
      </c>
      <c r="AJ2005" s="122">
        <v>27707</v>
      </c>
      <c r="AK2005">
        <v>50</v>
      </c>
      <c r="AL2005" s="122">
        <v>3386</v>
      </c>
      <c r="AM2005" s="122">
        <v>3079</v>
      </c>
      <c r="AN2005" s="122">
        <v>1750</v>
      </c>
      <c r="AO2005">
        <v>648</v>
      </c>
      <c r="AP2005">
        <v>0</v>
      </c>
      <c r="AQ2005">
        <v>0</v>
      </c>
      <c r="AR2005" s="122">
        <v>9957</v>
      </c>
      <c r="AS2005" s="122">
        <v>9052</v>
      </c>
      <c r="AT2005">
        <v>0</v>
      </c>
      <c r="AU2005">
        <v>0</v>
      </c>
      <c r="AV2005" s="122">
        <v>40486</v>
      </c>
    </row>
    <row r="2006" spans="2:48" hidden="1">
      <c r="B2006" t="s">
        <v>379</v>
      </c>
      <c r="C2006" t="s">
        <v>56</v>
      </c>
      <c r="D2006" t="s">
        <v>406</v>
      </c>
      <c r="E2006" t="s">
        <v>426</v>
      </c>
      <c r="F2006" s="122">
        <v>15</v>
      </c>
      <c r="G2006" s="122">
        <v>1280</v>
      </c>
      <c r="H2006" s="122">
        <v>2733</v>
      </c>
      <c r="I2006" s="122">
        <v>80396</v>
      </c>
      <c r="J2006" s="122">
        <v>73087</v>
      </c>
      <c r="K2006" s="122">
        <v>81</v>
      </c>
      <c r="L2006" s="122">
        <v>12077</v>
      </c>
      <c r="M2006" s="122">
        <v>10979</v>
      </c>
      <c r="N2006" s="122">
        <v>24485</v>
      </c>
      <c r="O2006" s="122">
        <v>9069</v>
      </c>
      <c r="P2006" s="122">
        <v>9315</v>
      </c>
      <c r="Q2006" s="122">
        <v>3450</v>
      </c>
      <c r="R2006" s="122">
        <v>69854</v>
      </c>
      <c r="S2006" s="122">
        <v>63503</v>
      </c>
      <c r="T2006" s="122">
        <v>35591</v>
      </c>
      <c r="U2006" s="122">
        <v>13182</v>
      </c>
      <c r="V2006" s="122">
        <v>173270</v>
      </c>
      <c r="W2006" s="122">
        <f t="shared" si="62"/>
        <v>173270</v>
      </c>
      <c r="X2006" s="122">
        <f t="shared" si="63"/>
        <v>231718</v>
      </c>
      <c r="AA2006" t="s">
        <v>64</v>
      </c>
      <c r="AB2006" t="s">
        <v>407</v>
      </c>
      <c r="AC2006" t="s">
        <v>566</v>
      </c>
      <c r="AD2006" t="s">
        <v>405</v>
      </c>
      <c r="AE2006" t="s">
        <v>566</v>
      </c>
      <c r="AF2006">
        <v>1</v>
      </c>
      <c r="AG2006">
        <v>78</v>
      </c>
      <c r="AH2006">
        <v>623</v>
      </c>
      <c r="AI2006" s="122">
        <v>42799</v>
      </c>
      <c r="AJ2006" s="122">
        <v>38908</v>
      </c>
      <c r="AK2006">
        <v>72</v>
      </c>
      <c r="AL2006">
        <v>0</v>
      </c>
      <c r="AM2006">
        <v>0</v>
      </c>
      <c r="AN2006">
        <v>952</v>
      </c>
      <c r="AO2006">
        <v>353</v>
      </c>
      <c r="AP2006">
        <v>473</v>
      </c>
      <c r="AQ2006">
        <v>175</v>
      </c>
      <c r="AR2006" s="122">
        <v>4443</v>
      </c>
      <c r="AS2006" s="122">
        <v>4039</v>
      </c>
      <c r="AT2006">
        <v>0</v>
      </c>
      <c r="AU2006">
        <v>0</v>
      </c>
      <c r="AV2006" s="122">
        <v>43475</v>
      </c>
    </row>
    <row r="2007" spans="2:48" hidden="1">
      <c r="B2007" t="s">
        <v>379</v>
      </c>
      <c r="C2007" t="s">
        <v>56</v>
      </c>
      <c r="D2007" t="s">
        <v>427</v>
      </c>
      <c r="E2007" t="s">
        <v>406</v>
      </c>
      <c r="F2007" s="122">
        <v>2</v>
      </c>
      <c r="G2007" s="122">
        <v>225</v>
      </c>
      <c r="H2007" s="122">
        <v>379</v>
      </c>
      <c r="I2007" s="122">
        <v>18994</v>
      </c>
      <c r="J2007" s="122">
        <v>17267</v>
      </c>
      <c r="K2007" s="122">
        <v>85</v>
      </c>
      <c r="L2007" s="122">
        <v>3997</v>
      </c>
      <c r="M2007" s="122">
        <v>3633</v>
      </c>
      <c r="N2007" s="122">
        <v>5278</v>
      </c>
      <c r="O2007" s="122">
        <v>1955</v>
      </c>
      <c r="P2007" s="122">
        <v>1242</v>
      </c>
      <c r="Q2007" s="122">
        <v>460</v>
      </c>
      <c r="R2007" s="122">
        <v>13436</v>
      </c>
      <c r="S2007" s="122">
        <v>12215</v>
      </c>
      <c r="T2007" s="122">
        <v>0</v>
      </c>
      <c r="U2007" s="122">
        <v>0</v>
      </c>
      <c r="V2007" s="122">
        <v>35530</v>
      </c>
      <c r="W2007" s="122">
        <f t="shared" si="62"/>
        <v>35530</v>
      </c>
      <c r="X2007" s="122">
        <f t="shared" si="63"/>
        <v>42947</v>
      </c>
      <c r="AA2007" t="s">
        <v>64</v>
      </c>
      <c r="AB2007" t="s">
        <v>407</v>
      </c>
      <c r="AC2007" t="s">
        <v>566</v>
      </c>
      <c r="AD2007" t="s">
        <v>137</v>
      </c>
      <c r="AE2007" t="s">
        <v>137</v>
      </c>
      <c r="AF2007">
        <v>2</v>
      </c>
      <c r="AG2007">
        <v>138</v>
      </c>
      <c r="AH2007" s="122">
        <v>1271</v>
      </c>
      <c r="AI2007" s="122">
        <v>63216</v>
      </c>
      <c r="AJ2007" s="122">
        <v>57469</v>
      </c>
      <c r="AK2007">
        <v>57</v>
      </c>
      <c r="AL2007">
        <v>0</v>
      </c>
      <c r="AM2007">
        <v>0</v>
      </c>
      <c r="AN2007" s="122">
        <v>3351</v>
      </c>
      <c r="AO2007" s="122">
        <v>1241</v>
      </c>
      <c r="AP2007">
        <v>473</v>
      </c>
      <c r="AQ2007">
        <v>175</v>
      </c>
      <c r="AR2007" s="122">
        <v>14112</v>
      </c>
      <c r="AS2007" s="122">
        <v>5227</v>
      </c>
      <c r="AT2007" s="122">
        <v>5567</v>
      </c>
      <c r="AU2007" s="122">
        <v>2062</v>
      </c>
      <c r="AV2007" s="122">
        <v>66174</v>
      </c>
    </row>
    <row r="2008" spans="2:48" hidden="1">
      <c r="B2008" t="s">
        <v>379</v>
      </c>
      <c r="C2008" t="s">
        <v>56</v>
      </c>
      <c r="D2008" t="s">
        <v>427</v>
      </c>
      <c r="E2008" t="s">
        <v>427</v>
      </c>
      <c r="F2008" s="122">
        <v>1</v>
      </c>
      <c r="G2008" s="122">
        <v>111</v>
      </c>
      <c r="H2008" s="122">
        <v>218</v>
      </c>
      <c r="I2008" s="122">
        <v>13951</v>
      </c>
      <c r="J2008" s="122">
        <v>12683</v>
      </c>
      <c r="K2008" s="122">
        <v>65</v>
      </c>
      <c r="L2008" s="122">
        <v>1439</v>
      </c>
      <c r="M2008" s="122">
        <v>1309</v>
      </c>
      <c r="N2008" s="122">
        <v>1349</v>
      </c>
      <c r="O2008" s="122">
        <v>500</v>
      </c>
      <c r="P2008" s="122">
        <v>621</v>
      </c>
      <c r="Q2008" s="122">
        <v>230</v>
      </c>
      <c r="R2008" s="122">
        <v>6762</v>
      </c>
      <c r="S2008" s="122">
        <v>6147</v>
      </c>
      <c r="T2008" s="122">
        <v>0</v>
      </c>
      <c r="U2008" s="122">
        <v>0</v>
      </c>
      <c r="V2008" s="122">
        <v>20869</v>
      </c>
      <c r="W2008" s="122">
        <f t="shared" si="62"/>
        <v>20869</v>
      </c>
      <c r="X2008" s="122">
        <f t="shared" si="63"/>
        <v>24122</v>
      </c>
      <c r="AA2008" t="s">
        <v>64</v>
      </c>
      <c r="AB2008" t="s">
        <v>407</v>
      </c>
      <c r="AC2008" t="s">
        <v>566</v>
      </c>
      <c r="AD2008" t="s">
        <v>137</v>
      </c>
      <c r="AE2008" t="s">
        <v>566</v>
      </c>
      <c r="AF2008">
        <v>22</v>
      </c>
      <c r="AG2008" s="122">
        <v>1412</v>
      </c>
      <c r="AH2008" s="122">
        <v>12876</v>
      </c>
      <c r="AI2008" s="122">
        <v>601987</v>
      </c>
      <c r="AJ2008" s="122">
        <v>547261</v>
      </c>
      <c r="AK2008">
        <v>68</v>
      </c>
      <c r="AL2008">
        <v>0</v>
      </c>
      <c r="AM2008" s="122">
        <v>5052</v>
      </c>
      <c r="AN2008" s="122">
        <v>31123</v>
      </c>
      <c r="AO2008" s="122">
        <v>11527</v>
      </c>
      <c r="AP2008" s="122">
        <v>6035</v>
      </c>
      <c r="AQ2008" s="122">
        <v>2235</v>
      </c>
      <c r="AR2008" s="122">
        <v>138545</v>
      </c>
      <c r="AS2008" s="122">
        <v>51313</v>
      </c>
      <c r="AT2008">
        <v>0</v>
      </c>
      <c r="AU2008">
        <v>0</v>
      </c>
      <c r="AV2008" s="122">
        <v>617388</v>
      </c>
    </row>
    <row r="2009" spans="2:48" hidden="1">
      <c r="B2009" t="s">
        <v>379</v>
      </c>
      <c r="C2009" t="s">
        <v>56</v>
      </c>
      <c r="D2009" t="s">
        <v>407</v>
      </c>
      <c r="E2009" t="s">
        <v>407</v>
      </c>
      <c r="F2009" s="122">
        <v>237</v>
      </c>
      <c r="G2009" s="122">
        <v>24260</v>
      </c>
      <c r="H2009" s="122">
        <v>44735</v>
      </c>
      <c r="I2009" s="122">
        <v>2187786</v>
      </c>
      <c r="J2009" s="122">
        <v>1988897</v>
      </c>
      <c r="K2009" s="122">
        <v>81</v>
      </c>
      <c r="L2009" s="122">
        <v>510337</v>
      </c>
      <c r="M2009" s="122">
        <v>423216</v>
      </c>
      <c r="N2009" s="122">
        <v>464818</v>
      </c>
      <c r="O2009" s="122">
        <v>172155</v>
      </c>
      <c r="P2009" s="122">
        <v>116451</v>
      </c>
      <c r="Q2009" s="122">
        <v>43130</v>
      </c>
      <c r="R2009" s="122">
        <v>1120378</v>
      </c>
      <c r="S2009" s="122">
        <v>1018525</v>
      </c>
      <c r="T2009" s="122">
        <v>130344</v>
      </c>
      <c r="U2009" s="122">
        <v>48276</v>
      </c>
      <c r="V2009" s="122">
        <v>3694199</v>
      </c>
      <c r="W2009" s="122">
        <f t="shared" si="62"/>
        <v>3694199</v>
      </c>
      <c r="X2009" s="122">
        <f t="shared" si="63"/>
        <v>4530114</v>
      </c>
      <c r="AA2009" t="s">
        <v>64</v>
      </c>
      <c r="AB2009" t="s">
        <v>407</v>
      </c>
      <c r="AC2009" t="s">
        <v>566</v>
      </c>
      <c r="AD2009" t="s">
        <v>407</v>
      </c>
      <c r="AE2009" t="s">
        <v>137</v>
      </c>
      <c r="AF2009">
        <v>116</v>
      </c>
      <c r="AG2009" s="122">
        <v>8390</v>
      </c>
      <c r="AH2009" s="122">
        <v>59550</v>
      </c>
      <c r="AI2009" s="122">
        <v>3272485</v>
      </c>
      <c r="AJ2009" s="122">
        <v>2974986</v>
      </c>
      <c r="AK2009">
        <v>72</v>
      </c>
      <c r="AL2009">
        <v>0</v>
      </c>
      <c r="AM2009" s="122">
        <v>11206</v>
      </c>
      <c r="AN2009" s="122">
        <v>183124</v>
      </c>
      <c r="AO2009" s="122">
        <v>67824</v>
      </c>
      <c r="AP2009" s="122">
        <v>52772</v>
      </c>
      <c r="AQ2009" s="122">
        <v>19545</v>
      </c>
      <c r="AR2009" s="122">
        <v>483530</v>
      </c>
      <c r="AS2009" s="122">
        <v>439572</v>
      </c>
      <c r="AT2009" s="122">
        <v>247892</v>
      </c>
      <c r="AU2009" s="122">
        <v>91812</v>
      </c>
      <c r="AV2009" s="122">
        <v>3604945</v>
      </c>
    </row>
    <row r="2010" spans="2:48" hidden="1">
      <c r="B2010" t="s">
        <v>379</v>
      </c>
      <c r="C2010" t="s">
        <v>56</v>
      </c>
      <c r="D2010" t="s">
        <v>426</v>
      </c>
      <c r="E2010" t="s">
        <v>426</v>
      </c>
      <c r="F2010" s="122">
        <v>2</v>
      </c>
      <c r="G2010" s="122">
        <v>154</v>
      </c>
      <c r="H2010" s="122">
        <v>444</v>
      </c>
      <c r="I2010" s="122">
        <v>15767</v>
      </c>
      <c r="J2010" s="122">
        <v>14334</v>
      </c>
      <c r="K2010" s="122">
        <v>70</v>
      </c>
      <c r="L2010" s="122">
        <v>2089</v>
      </c>
      <c r="M2010" s="122">
        <v>1202</v>
      </c>
      <c r="N2010" s="122">
        <v>2978</v>
      </c>
      <c r="O2010" s="122">
        <v>1103</v>
      </c>
      <c r="P2010" s="122">
        <v>972</v>
      </c>
      <c r="Q2010" s="122">
        <v>360</v>
      </c>
      <c r="R2010" s="122">
        <v>7624</v>
      </c>
      <c r="S2010" s="122">
        <v>6931</v>
      </c>
      <c r="T2010" s="122">
        <v>4734</v>
      </c>
      <c r="U2010" s="122">
        <v>1753</v>
      </c>
      <c r="V2010" s="122">
        <v>25683</v>
      </c>
      <c r="W2010" s="122">
        <f t="shared" si="62"/>
        <v>25683</v>
      </c>
      <c r="X2010" s="122">
        <f t="shared" si="63"/>
        <v>34164</v>
      </c>
      <c r="AA2010" t="s">
        <v>64</v>
      </c>
      <c r="AB2010" t="s">
        <v>407</v>
      </c>
      <c r="AC2010" t="s">
        <v>566</v>
      </c>
      <c r="AD2010" t="s">
        <v>407</v>
      </c>
      <c r="AE2010" t="s">
        <v>566</v>
      </c>
      <c r="AF2010">
        <v>69</v>
      </c>
      <c r="AG2010" s="122">
        <v>4192</v>
      </c>
      <c r="AH2010" s="122">
        <v>35952</v>
      </c>
      <c r="AI2010" s="122">
        <v>1684230</v>
      </c>
      <c r="AJ2010" s="122">
        <v>1531118</v>
      </c>
      <c r="AK2010">
        <v>68</v>
      </c>
      <c r="AL2010">
        <v>0</v>
      </c>
      <c r="AM2010" s="122">
        <v>21804</v>
      </c>
      <c r="AN2010" s="122">
        <v>95082</v>
      </c>
      <c r="AO2010" s="122">
        <v>35216</v>
      </c>
      <c r="AP2010" s="122">
        <v>29970</v>
      </c>
      <c r="AQ2010" s="122">
        <v>11100</v>
      </c>
      <c r="AR2010" s="122">
        <v>410138</v>
      </c>
      <c r="AS2010" s="122">
        <v>372853</v>
      </c>
      <c r="AT2010">
        <v>0</v>
      </c>
      <c r="AU2010">
        <v>0</v>
      </c>
      <c r="AV2010" s="122">
        <v>1972090</v>
      </c>
    </row>
    <row r="2011" spans="2:48" hidden="1">
      <c r="B2011" t="s">
        <v>379</v>
      </c>
      <c r="C2011" t="s">
        <v>58</v>
      </c>
      <c r="D2011" t="s">
        <v>425</v>
      </c>
      <c r="E2011" t="s">
        <v>425</v>
      </c>
      <c r="F2011" s="122">
        <v>2</v>
      </c>
      <c r="G2011" s="122">
        <v>221</v>
      </c>
      <c r="H2011" s="122">
        <v>521</v>
      </c>
      <c r="I2011" s="122">
        <v>32172</v>
      </c>
      <c r="J2011" s="122">
        <v>29247</v>
      </c>
      <c r="K2011" s="122">
        <v>74</v>
      </c>
      <c r="L2011" s="122">
        <v>7069</v>
      </c>
      <c r="M2011" s="122">
        <v>6426</v>
      </c>
      <c r="N2011" s="122">
        <v>5096</v>
      </c>
      <c r="O2011" s="122">
        <v>1888</v>
      </c>
      <c r="P2011" s="122">
        <v>824</v>
      </c>
      <c r="Q2011" s="122">
        <v>305</v>
      </c>
      <c r="R2011" s="122">
        <v>12669</v>
      </c>
      <c r="S2011" s="122">
        <v>11518</v>
      </c>
      <c r="T2011" s="122">
        <v>0</v>
      </c>
      <c r="U2011" s="122">
        <v>0</v>
      </c>
      <c r="V2011" s="122">
        <v>49384</v>
      </c>
      <c r="W2011" s="122">
        <f t="shared" si="62"/>
        <v>49384</v>
      </c>
      <c r="X2011" s="122">
        <f t="shared" si="63"/>
        <v>57830</v>
      </c>
      <c r="AA2011" t="s">
        <v>64</v>
      </c>
      <c r="AB2011" t="s">
        <v>407</v>
      </c>
      <c r="AC2011" t="s">
        <v>433</v>
      </c>
      <c r="AD2011" t="s">
        <v>137</v>
      </c>
      <c r="AE2011" t="s">
        <v>566</v>
      </c>
      <c r="AF2011">
        <v>1</v>
      </c>
      <c r="AG2011">
        <v>52</v>
      </c>
      <c r="AH2011">
        <v>478</v>
      </c>
      <c r="AI2011" s="122">
        <v>15559</v>
      </c>
      <c r="AJ2011" s="122">
        <v>14144</v>
      </c>
      <c r="AK2011">
        <v>78</v>
      </c>
      <c r="AL2011" s="122">
        <v>2033</v>
      </c>
      <c r="AM2011" s="122">
        <v>1849</v>
      </c>
      <c r="AN2011">
        <v>948</v>
      </c>
      <c r="AO2011">
        <v>351</v>
      </c>
      <c r="AP2011">
        <v>473</v>
      </c>
      <c r="AQ2011">
        <v>175</v>
      </c>
      <c r="AR2011" s="122">
        <v>5748</v>
      </c>
      <c r="AS2011" s="122">
        <v>2129</v>
      </c>
      <c r="AT2011">
        <v>0</v>
      </c>
      <c r="AU2011">
        <v>0</v>
      </c>
      <c r="AV2011" s="122">
        <v>18648</v>
      </c>
    </row>
    <row r="2012" spans="2:48" hidden="1">
      <c r="B2012" t="s">
        <v>379</v>
      </c>
      <c r="C2012" t="s">
        <v>58</v>
      </c>
      <c r="D2012" t="s">
        <v>405</v>
      </c>
      <c r="E2012" t="s">
        <v>405</v>
      </c>
      <c r="F2012" s="122">
        <v>4</v>
      </c>
      <c r="G2012" s="122">
        <v>575</v>
      </c>
      <c r="H2012" s="122">
        <v>1012</v>
      </c>
      <c r="I2012" s="122">
        <v>93308</v>
      </c>
      <c r="J2012" s="122">
        <v>84826</v>
      </c>
      <c r="K2012" s="122">
        <v>84</v>
      </c>
      <c r="L2012" s="122">
        <v>17421</v>
      </c>
      <c r="M2012" s="122">
        <v>15837</v>
      </c>
      <c r="N2012" s="122">
        <v>10482</v>
      </c>
      <c r="O2012" s="122">
        <v>3882</v>
      </c>
      <c r="P2012" s="122">
        <v>2039</v>
      </c>
      <c r="Q2012" s="122">
        <v>755</v>
      </c>
      <c r="R2012" s="122">
        <v>25049</v>
      </c>
      <c r="S2012" s="122">
        <v>22772</v>
      </c>
      <c r="T2012" s="122">
        <v>0</v>
      </c>
      <c r="U2012" s="122">
        <v>0</v>
      </c>
      <c r="V2012" s="122">
        <v>128072</v>
      </c>
      <c r="W2012" s="122">
        <f t="shared" si="62"/>
        <v>128072</v>
      </c>
      <c r="X2012" s="122">
        <f t="shared" si="63"/>
        <v>148299</v>
      </c>
      <c r="AA2012" t="s">
        <v>64</v>
      </c>
      <c r="AB2012" t="s">
        <v>407</v>
      </c>
      <c r="AC2012" t="s">
        <v>433</v>
      </c>
      <c r="AD2012" t="s">
        <v>407</v>
      </c>
      <c r="AE2012" t="s">
        <v>137</v>
      </c>
      <c r="AF2012">
        <v>9</v>
      </c>
      <c r="AG2012">
        <v>757</v>
      </c>
      <c r="AH2012" s="122">
        <v>4714</v>
      </c>
      <c r="AI2012" s="122">
        <v>243025</v>
      </c>
      <c r="AJ2012" s="122">
        <v>220932</v>
      </c>
      <c r="AK2012">
        <v>75</v>
      </c>
      <c r="AL2012" s="122">
        <v>58996</v>
      </c>
      <c r="AM2012" s="122">
        <v>53633</v>
      </c>
      <c r="AN2012" s="122">
        <v>15675</v>
      </c>
      <c r="AO2012" s="122">
        <v>5805</v>
      </c>
      <c r="AP2012" s="122">
        <v>4253</v>
      </c>
      <c r="AQ2012" s="122">
        <v>1575</v>
      </c>
      <c r="AR2012" s="122">
        <v>46968</v>
      </c>
      <c r="AS2012" s="122">
        <v>42698</v>
      </c>
      <c r="AT2012" s="122">
        <v>13276</v>
      </c>
      <c r="AU2012" s="122">
        <v>4917</v>
      </c>
      <c r="AV2012" s="122">
        <v>329560</v>
      </c>
    </row>
    <row r="2013" spans="2:48" hidden="1">
      <c r="B2013" t="s">
        <v>379</v>
      </c>
      <c r="C2013" t="s">
        <v>58</v>
      </c>
      <c r="D2013" t="s">
        <v>137</v>
      </c>
      <c r="E2013" t="s">
        <v>137</v>
      </c>
      <c r="F2013" s="122">
        <v>47</v>
      </c>
      <c r="G2013" s="122">
        <v>4916</v>
      </c>
      <c r="H2013" s="122">
        <v>12061</v>
      </c>
      <c r="I2013" s="122">
        <v>742069</v>
      </c>
      <c r="J2013" s="122">
        <v>274840</v>
      </c>
      <c r="K2013" s="122">
        <v>100</v>
      </c>
      <c r="L2013" s="122">
        <v>64258</v>
      </c>
      <c r="M2013" s="122">
        <v>55845</v>
      </c>
      <c r="N2013" s="122">
        <v>101096</v>
      </c>
      <c r="O2013" s="122">
        <v>37443</v>
      </c>
      <c r="P2013" s="122">
        <v>2106</v>
      </c>
      <c r="Q2013" s="122">
        <v>780</v>
      </c>
      <c r="R2013" s="122">
        <v>347214</v>
      </c>
      <c r="S2013" s="122">
        <v>128598</v>
      </c>
      <c r="T2013" s="122">
        <v>0</v>
      </c>
      <c r="U2013" s="122">
        <v>0</v>
      </c>
      <c r="V2013" s="122">
        <v>497506</v>
      </c>
      <c r="W2013" s="122">
        <f t="shared" si="62"/>
        <v>497506</v>
      </c>
      <c r="X2013" s="122">
        <f t="shared" si="63"/>
        <v>1256743</v>
      </c>
      <c r="AA2013" t="s">
        <v>64</v>
      </c>
      <c r="AB2013" t="s">
        <v>407</v>
      </c>
      <c r="AC2013" t="s">
        <v>433</v>
      </c>
      <c r="AD2013" t="s">
        <v>407</v>
      </c>
      <c r="AE2013" t="s">
        <v>566</v>
      </c>
      <c r="AF2013">
        <v>12</v>
      </c>
      <c r="AG2013">
        <v>942</v>
      </c>
      <c r="AH2013" s="122">
        <v>6486</v>
      </c>
      <c r="AI2013" s="122">
        <v>336243</v>
      </c>
      <c r="AJ2013" s="122">
        <v>305675</v>
      </c>
      <c r="AK2013">
        <v>73</v>
      </c>
      <c r="AL2013" s="122">
        <v>88085</v>
      </c>
      <c r="AM2013" s="122">
        <v>80077</v>
      </c>
      <c r="AN2013" s="122">
        <v>23831</v>
      </c>
      <c r="AO2013" s="122">
        <v>8826</v>
      </c>
      <c r="AP2013" s="122">
        <v>5549</v>
      </c>
      <c r="AQ2013" s="122">
        <v>2055</v>
      </c>
      <c r="AR2013" s="122">
        <v>67812</v>
      </c>
      <c r="AS2013" s="122">
        <v>61647</v>
      </c>
      <c r="AT2013">
        <v>0</v>
      </c>
      <c r="AU2013">
        <v>0</v>
      </c>
      <c r="AV2013" s="122">
        <v>458281</v>
      </c>
    </row>
    <row r="2014" spans="2:48" hidden="1">
      <c r="B2014" t="s">
        <v>379</v>
      </c>
      <c r="C2014" t="s">
        <v>58</v>
      </c>
      <c r="D2014" t="s">
        <v>137</v>
      </c>
      <c r="E2014" t="s">
        <v>426</v>
      </c>
      <c r="F2014" s="122">
        <v>1</v>
      </c>
      <c r="G2014" s="122">
        <v>80</v>
      </c>
      <c r="H2014" s="122">
        <v>254</v>
      </c>
      <c r="I2014" s="122">
        <v>8216</v>
      </c>
      <c r="J2014" s="122">
        <v>3043</v>
      </c>
      <c r="K2014" s="122">
        <v>100</v>
      </c>
      <c r="L2014" s="122">
        <v>1450</v>
      </c>
      <c r="M2014" s="122">
        <v>537</v>
      </c>
      <c r="N2014" s="122">
        <v>1956</v>
      </c>
      <c r="O2014" s="122">
        <v>725</v>
      </c>
      <c r="P2014" s="122">
        <v>0</v>
      </c>
      <c r="Q2014" s="122">
        <v>0</v>
      </c>
      <c r="R2014" s="122">
        <v>6124</v>
      </c>
      <c r="S2014" s="122">
        <v>5568</v>
      </c>
      <c r="T2014" s="122">
        <v>2615</v>
      </c>
      <c r="U2014" s="122">
        <v>969</v>
      </c>
      <c r="V2014" s="122">
        <v>10841</v>
      </c>
      <c r="W2014" s="122">
        <f t="shared" si="62"/>
        <v>10842</v>
      </c>
      <c r="X2014" s="122">
        <f t="shared" si="63"/>
        <v>20361</v>
      </c>
      <c r="AA2014" t="s">
        <v>64</v>
      </c>
      <c r="AB2014" t="s">
        <v>579</v>
      </c>
      <c r="AC2014" t="s">
        <v>425</v>
      </c>
      <c r="AD2014" t="s">
        <v>425</v>
      </c>
      <c r="AE2014" t="s">
        <v>137</v>
      </c>
      <c r="AF2014">
        <v>1</v>
      </c>
      <c r="AG2014">
        <v>76</v>
      </c>
      <c r="AH2014" s="122">
        <v>1056</v>
      </c>
      <c r="AI2014" s="122">
        <v>67004</v>
      </c>
      <c r="AJ2014" s="122">
        <v>55837</v>
      </c>
      <c r="AK2014">
        <v>30</v>
      </c>
      <c r="AL2014" s="122">
        <v>6398</v>
      </c>
      <c r="AM2014" s="122">
        <v>5816</v>
      </c>
      <c r="AN2014" s="122">
        <v>1509</v>
      </c>
      <c r="AO2014">
        <v>559</v>
      </c>
      <c r="AP2014">
        <v>0</v>
      </c>
      <c r="AQ2014">
        <v>0</v>
      </c>
      <c r="AR2014" s="122">
        <v>3682</v>
      </c>
      <c r="AS2014" s="122">
        <v>3347</v>
      </c>
      <c r="AT2014" s="122">
        <v>2118</v>
      </c>
      <c r="AU2014">
        <v>784</v>
      </c>
      <c r="AV2014" s="122">
        <v>66344</v>
      </c>
    </row>
    <row r="2015" spans="2:48" hidden="1">
      <c r="B2015" t="s">
        <v>379</v>
      </c>
      <c r="C2015" t="s">
        <v>58</v>
      </c>
      <c r="D2015" t="s">
        <v>406</v>
      </c>
      <c r="E2015" t="s">
        <v>137</v>
      </c>
      <c r="F2015" s="122">
        <v>2</v>
      </c>
      <c r="G2015" s="122">
        <v>176</v>
      </c>
      <c r="H2015" s="122">
        <v>506</v>
      </c>
      <c r="I2015" s="122">
        <v>27195</v>
      </c>
      <c r="J2015" s="122">
        <v>24723</v>
      </c>
      <c r="K2015" s="122">
        <v>78</v>
      </c>
      <c r="L2015" s="122">
        <v>2313</v>
      </c>
      <c r="M2015" s="122">
        <v>2102</v>
      </c>
      <c r="N2015" s="122">
        <v>3579</v>
      </c>
      <c r="O2015" s="122">
        <v>1325</v>
      </c>
      <c r="P2015" s="122">
        <v>1242</v>
      </c>
      <c r="Q2015" s="122">
        <v>460</v>
      </c>
      <c r="R2015" s="122">
        <v>10423</v>
      </c>
      <c r="S2015" s="122">
        <v>3860</v>
      </c>
      <c r="T2015" s="122">
        <v>0</v>
      </c>
      <c r="U2015" s="122">
        <v>0</v>
      </c>
      <c r="V2015" s="122">
        <v>32471</v>
      </c>
      <c r="W2015" s="122">
        <f t="shared" si="62"/>
        <v>32470</v>
      </c>
      <c r="X2015" s="122">
        <f t="shared" si="63"/>
        <v>44752</v>
      </c>
      <c r="AA2015" t="s">
        <v>64</v>
      </c>
      <c r="AB2015" t="s">
        <v>579</v>
      </c>
      <c r="AC2015" t="s">
        <v>137</v>
      </c>
      <c r="AD2015" t="s">
        <v>137</v>
      </c>
      <c r="AE2015" t="s">
        <v>137</v>
      </c>
      <c r="AF2015">
        <v>16</v>
      </c>
      <c r="AG2015" s="122">
        <v>1479</v>
      </c>
      <c r="AH2015" s="122">
        <v>14903</v>
      </c>
      <c r="AI2015" s="122">
        <v>1108194</v>
      </c>
      <c r="AJ2015" s="122">
        <v>923495</v>
      </c>
      <c r="AK2015">
        <v>34</v>
      </c>
      <c r="AL2015" s="122">
        <v>112939</v>
      </c>
      <c r="AM2015" s="122">
        <v>41829</v>
      </c>
      <c r="AN2015" s="122">
        <v>33644</v>
      </c>
      <c r="AO2015" s="122">
        <v>12461</v>
      </c>
      <c r="AP2015">
        <v>351</v>
      </c>
      <c r="AQ2015">
        <v>130</v>
      </c>
      <c r="AR2015" s="122">
        <v>103733</v>
      </c>
      <c r="AS2015" s="122">
        <v>38420</v>
      </c>
      <c r="AT2015" s="122">
        <v>11995</v>
      </c>
      <c r="AU2015" s="122">
        <v>4443</v>
      </c>
      <c r="AV2015" s="122">
        <v>1020777</v>
      </c>
    </row>
    <row r="2016" spans="2:48" hidden="1">
      <c r="B2016" t="s">
        <v>379</v>
      </c>
      <c r="C2016" t="s">
        <v>58</v>
      </c>
      <c r="D2016" t="s">
        <v>406</v>
      </c>
      <c r="E2016" t="s">
        <v>406</v>
      </c>
      <c r="F2016" s="122">
        <v>658</v>
      </c>
      <c r="G2016" s="122">
        <v>55411</v>
      </c>
      <c r="H2016" s="122">
        <v>170538</v>
      </c>
      <c r="I2016" s="122">
        <v>7208713</v>
      </c>
      <c r="J2016" s="122">
        <v>6553375</v>
      </c>
      <c r="K2016" s="122">
        <v>81</v>
      </c>
      <c r="L2016" s="122">
        <v>1563818</v>
      </c>
      <c r="M2016" s="122">
        <v>1362378</v>
      </c>
      <c r="N2016" s="122">
        <v>1103717</v>
      </c>
      <c r="O2016" s="122">
        <v>408784</v>
      </c>
      <c r="P2016" s="122">
        <v>417389</v>
      </c>
      <c r="Q2016" s="122">
        <v>154588</v>
      </c>
      <c r="R2016" s="122">
        <v>2856237</v>
      </c>
      <c r="S2016" s="122">
        <v>2596579</v>
      </c>
      <c r="T2016" s="122">
        <v>1226951</v>
      </c>
      <c r="U2016" s="122">
        <v>454426</v>
      </c>
      <c r="V2016" s="122">
        <v>11530132</v>
      </c>
      <c r="W2016" s="122">
        <f t="shared" si="62"/>
        <v>11530130</v>
      </c>
      <c r="X2016" s="122">
        <f t="shared" si="63"/>
        <v>14376825</v>
      </c>
      <c r="AA2016" t="s">
        <v>64</v>
      </c>
      <c r="AB2016" t="s">
        <v>579</v>
      </c>
      <c r="AC2016" t="s">
        <v>137</v>
      </c>
      <c r="AD2016" t="s">
        <v>137</v>
      </c>
      <c r="AE2016" t="s">
        <v>566</v>
      </c>
      <c r="AF2016">
        <v>330</v>
      </c>
      <c r="AG2016" s="122">
        <v>29229</v>
      </c>
      <c r="AH2016" s="122">
        <v>316854</v>
      </c>
      <c r="AI2016" s="122">
        <v>23054463</v>
      </c>
      <c r="AJ2016" s="122">
        <v>19212053</v>
      </c>
      <c r="AK2016">
        <v>33</v>
      </c>
      <c r="AL2016" s="122">
        <v>1859941</v>
      </c>
      <c r="AM2016" s="122">
        <v>688867</v>
      </c>
      <c r="AN2016" s="122">
        <v>656404</v>
      </c>
      <c r="AO2016" s="122">
        <v>243113</v>
      </c>
      <c r="AP2016" s="122">
        <v>4766</v>
      </c>
      <c r="AQ2016" s="122">
        <v>1765</v>
      </c>
      <c r="AR2016" s="122">
        <v>2435696</v>
      </c>
      <c r="AS2016" s="122">
        <v>902110</v>
      </c>
      <c r="AT2016">
        <v>0</v>
      </c>
      <c r="AU2016">
        <v>0</v>
      </c>
      <c r="AV2016" s="122">
        <v>21047907</v>
      </c>
    </row>
    <row r="2017" spans="2:48" hidden="1">
      <c r="B2017" t="s">
        <v>379</v>
      </c>
      <c r="C2017" t="s">
        <v>58</v>
      </c>
      <c r="D2017" t="s">
        <v>406</v>
      </c>
      <c r="E2017" t="s">
        <v>426</v>
      </c>
      <c r="F2017" s="122">
        <v>3</v>
      </c>
      <c r="G2017" s="122">
        <v>184</v>
      </c>
      <c r="H2017" s="122">
        <v>746</v>
      </c>
      <c r="I2017" s="122">
        <v>17589</v>
      </c>
      <c r="J2017" s="122">
        <v>15990</v>
      </c>
      <c r="K2017" s="122">
        <v>85</v>
      </c>
      <c r="L2017" s="122">
        <v>2815</v>
      </c>
      <c r="M2017" s="122">
        <v>2559</v>
      </c>
      <c r="N2017" s="122">
        <v>2776</v>
      </c>
      <c r="O2017" s="122">
        <v>1028</v>
      </c>
      <c r="P2017" s="122">
        <v>1863</v>
      </c>
      <c r="Q2017" s="122">
        <v>690</v>
      </c>
      <c r="R2017" s="122">
        <v>13594</v>
      </c>
      <c r="S2017" s="122">
        <v>12358</v>
      </c>
      <c r="T2017" s="122">
        <v>6335</v>
      </c>
      <c r="U2017" s="122">
        <v>2346</v>
      </c>
      <c r="V2017" s="122">
        <v>34972</v>
      </c>
      <c r="W2017" s="122">
        <f t="shared" si="62"/>
        <v>34971</v>
      </c>
      <c r="X2017" s="122">
        <f t="shared" si="63"/>
        <v>44972</v>
      </c>
      <c r="AA2017" t="s">
        <v>64</v>
      </c>
      <c r="AB2017" t="s">
        <v>579</v>
      </c>
      <c r="AC2017" t="s">
        <v>137</v>
      </c>
      <c r="AD2017" t="s">
        <v>406</v>
      </c>
      <c r="AE2017" t="s">
        <v>137</v>
      </c>
      <c r="AF2017">
        <v>2</v>
      </c>
      <c r="AG2017">
        <v>268</v>
      </c>
      <c r="AH2017" s="122">
        <v>1615</v>
      </c>
      <c r="AI2017" s="122">
        <v>180911</v>
      </c>
      <c r="AJ2017" s="122">
        <v>150759</v>
      </c>
      <c r="AK2017">
        <v>30</v>
      </c>
      <c r="AL2017" s="122">
        <v>13568</v>
      </c>
      <c r="AM2017" s="122">
        <v>5025</v>
      </c>
      <c r="AN2017" s="122">
        <v>6079</v>
      </c>
      <c r="AO2017" s="122">
        <v>2252</v>
      </c>
      <c r="AP2017">
        <v>270</v>
      </c>
      <c r="AQ2017">
        <v>100</v>
      </c>
      <c r="AR2017" s="122">
        <v>10819</v>
      </c>
      <c r="AS2017" s="122">
        <v>9835</v>
      </c>
      <c r="AT2017" s="122">
        <v>5674</v>
      </c>
      <c r="AU2017" s="122">
        <v>2101</v>
      </c>
      <c r="AV2017" s="122">
        <v>170073</v>
      </c>
    </row>
    <row r="2018" spans="2:48" hidden="1">
      <c r="B2018" t="s">
        <v>379</v>
      </c>
      <c r="C2018" t="s">
        <v>58</v>
      </c>
      <c r="D2018" t="s">
        <v>407</v>
      </c>
      <c r="E2018" t="s">
        <v>407</v>
      </c>
      <c r="F2018" s="122">
        <v>100</v>
      </c>
      <c r="G2018" s="122">
        <v>8171</v>
      </c>
      <c r="H2018" s="122">
        <v>24176</v>
      </c>
      <c r="I2018" s="122">
        <v>949913</v>
      </c>
      <c r="J2018" s="122">
        <v>863557</v>
      </c>
      <c r="K2018" s="122">
        <v>80</v>
      </c>
      <c r="L2018" s="122">
        <v>263092</v>
      </c>
      <c r="M2018" s="122">
        <v>233835</v>
      </c>
      <c r="N2018" s="122">
        <v>161466</v>
      </c>
      <c r="O2018" s="122">
        <v>59802</v>
      </c>
      <c r="P2018" s="122">
        <v>47601</v>
      </c>
      <c r="Q2018" s="122">
        <v>17630</v>
      </c>
      <c r="R2018" s="122">
        <v>410412</v>
      </c>
      <c r="S2018" s="122">
        <v>373102</v>
      </c>
      <c r="T2018" s="122">
        <v>132891</v>
      </c>
      <c r="U2018" s="122">
        <v>49219</v>
      </c>
      <c r="V2018" s="122">
        <v>1597145</v>
      </c>
      <c r="W2018" s="122">
        <f t="shared" ref="W2018:W2081" si="64">SUM(ABS(J2018),ABS(M2018),ABS(O2018),ABS(Q2018),ABS(S2018),ABS(U2018))</f>
        <v>1597145</v>
      </c>
      <c r="X2018" s="122">
        <f t="shared" ref="X2018:X2081" si="65">SUM(ABS(I2018),ABS(N2018),ABS(P2018),ABS(R2018),ABS(T2018),ABS(L2018))</f>
        <v>1965375</v>
      </c>
      <c r="AA2018" t="s">
        <v>64</v>
      </c>
      <c r="AB2018" t="s">
        <v>579</v>
      </c>
      <c r="AC2018" t="s">
        <v>137</v>
      </c>
      <c r="AD2018" t="s">
        <v>407</v>
      </c>
      <c r="AE2018" t="s">
        <v>566</v>
      </c>
      <c r="AF2018">
        <v>4</v>
      </c>
      <c r="AG2018">
        <v>349</v>
      </c>
      <c r="AH2018" s="122">
        <v>3326</v>
      </c>
      <c r="AI2018" s="122">
        <v>251024</v>
      </c>
      <c r="AJ2018" s="122">
        <v>209187</v>
      </c>
      <c r="AK2018">
        <v>30</v>
      </c>
      <c r="AL2018" s="122">
        <v>18827</v>
      </c>
      <c r="AM2018" s="122">
        <v>6973</v>
      </c>
      <c r="AN2018" s="122">
        <v>8433</v>
      </c>
      <c r="AO2018" s="122">
        <v>3123</v>
      </c>
      <c r="AP2018">
        <v>473</v>
      </c>
      <c r="AQ2018">
        <v>175</v>
      </c>
      <c r="AR2018" s="122">
        <v>13522</v>
      </c>
      <c r="AS2018" s="122">
        <v>12293</v>
      </c>
      <c r="AT2018">
        <v>0</v>
      </c>
      <c r="AU2018">
        <v>0</v>
      </c>
      <c r="AV2018" s="122">
        <v>231751</v>
      </c>
    </row>
    <row r="2019" spans="2:48" hidden="1">
      <c r="B2019" t="s">
        <v>379</v>
      </c>
      <c r="C2019" t="s">
        <v>58</v>
      </c>
      <c r="D2019" t="s">
        <v>426</v>
      </c>
      <c r="E2019" t="s">
        <v>137</v>
      </c>
      <c r="F2019" s="122">
        <v>2</v>
      </c>
      <c r="G2019" s="122">
        <v>156</v>
      </c>
      <c r="H2019" s="122">
        <v>512</v>
      </c>
      <c r="I2019" s="122">
        <v>23453</v>
      </c>
      <c r="J2019" s="122">
        <v>21321</v>
      </c>
      <c r="K2019" s="122">
        <v>63</v>
      </c>
      <c r="L2019" s="122">
        <v>3946</v>
      </c>
      <c r="M2019" s="122">
        <v>1462</v>
      </c>
      <c r="N2019" s="122">
        <v>3811</v>
      </c>
      <c r="O2019" s="122">
        <v>1411</v>
      </c>
      <c r="P2019" s="122">
        <v>351</v>
      </c>
      <c r="Q2019" s="122">
        <v>130</v>
      </c>
      <c r="R2019" s="122">
        <v>8733</v>
      </c>
      <c r="S2019" s="122">
        <v>3234</v>
      </c>
      <c r="T2019" s="122">
        <v>0</v>
      </c>
      <c r="U2019" s="122">
        <v>0</v>
      </c>
      <c r="V2019" s="122">
        <v>27558</v>
      </c>
      <c r="W2019" s="122">
        <f t="shared" si="64"/>
        <v>27558</v>
      </c>
      <c r="X2019" s="122">
        <f t="shared" si="65"/>
        <v>40294</v>
      </c>
      <c r="AA2019" t="s">
        <v>64</v>
      </c>
      <c r="AB2019" t="s">
        <v>579</v>
      </c>
      <c r="AC2019" t="s">
        <v>137</v>
      </c>
      <c r="AD2019" t="s">
        <v>579</v>
      </c>
      <c r="AE2019" t="s">
        <v>137</v>
      </c>
      <c r="AF2019">
        <v>179</v>
      </c>
      <c r="AG2019" s="122">
        <v>13781</v>
      </c>
      <c r="AH2019" s="122">
        <v>116081</v>
      </c>
      <c r="AI2019" s="122">
        <v>6439416</v>
      </c>
      <c r="AJ2019" s="122">
        <v>5366180</v>
      </c>
      <c r="AK2019">
        <v>51</v>
      </c>
      <c r="AL2019" s="122">
        <v>907995</v>
      </c>
      <c r="AM2019" s="122">
        <v>336295</v>
      </c>
      <c r="AN2019" s="122">
        <v>297177</v>
      </c>
      <c r="AO2019" s="122">
        <v>110066</v>
      </c>
      <c r="AP2019" s="122">
        <v>43833</v>
      </c>
      <c r="AQ2019" s="122">
        <v>16234</v>
      </c>
      <c r="AR2019" s="122">
        <v>1037801</v>
      </c>
      <c r="AS2019" s="122">
        <v>864834</v>
      </c>
      <c r="AT2019" s="122">
        <v>377841</v>
      </c>
      <c r="AU2019" s="122">
        <v>139941</v>
      </c>
      <c r="AV2019" s="122">
        <v>6833550</v>
      </c>
    </row>
    <row r="2020" spans="2:48" hidden="1">
      <c r="B2020" t="s">
        <v>379</v>
      </c>
      <c r="C2020" t="s">
        <v>58</v>
      </c>
      <c r="D2020" t="s">
        <v>426</v>
      </c>
      <c r="E2020" t="s">
        <v>426</v>
      </c>
      <c r="F2020" s="122">
        <v>114</v>
      </c>
      <c r="G2020" s="122">
        <v>9580</v>
      </c>
      <c r="H2020" s="122">
        <v>30774</v>
      </c>
      <c r="I2020" s="122">
        <v>1361856</v>
      </c>
      <c r="J2020" s="122">
        <v>1238051</v>
      </c>
      <c r="K2020" s="122">
        <v>60</v>
      </c>
      <c r="L2020" s="122">
        <v>176196</v>
      </c>
      <c r="M2020" s="122">
        <v>155385</v>
      </c>
      <c r="N2020" s="122">
        <v>188653</v>
      </c>
      <c r="O2020" s="122">
        <v>69871</v>
      </c>
      <c r="P2020" s="122">
        <v>58577</v>
      </c>
      <c r="Q2020" s="122">
        <v>21695</v>
      </c>
      <c r="R2020" s="122">
        <v>560458</v>
      </c>
      <c r="S2020" s="122">
        <v>509508</v>
      </c>
      <c r="T2020" s="122">
        <v>276923</v>
      </c>
      <c r="U2020" s="122">
        <v>102564</v>
      </c>
      <c r="V2020" s="122">
        <v>2097074</v>
      </c>
      <c r="W2020" s="122">
        <f t="shared" si="64"/>
        <v>2097074</v>
      </c>
      <c r="X2020" s="122">
        <f t="shared" si="65"/>
        <v>2622663</v>
      </c>
      <c r="AA2020" t="s">
        <v>64</v>
      </c>
      <c r="AB2020" t="s">
        <v>579</v>
      </c>
      <c r="AC2020" t="s">
        <v>137</v>
      </c>
      <c r="AD2020" t="s">
        <v>579</v>
      </c>
      <c r="AE2020" t="s">
        <v>566</v>
      </c>
      <c r="AF2020">
        <v>21</v>
      </c>
      <c r="AG2020" s="122">
        <v>1859</v>
      </c>
      <c r="AH2020" s="122">
        <v>15737</v>
      </c>
      <c r="AI2020" s="122">
        <v>1139277</v>
      </c>
      <c r="AJ2020" s="122">
        <v>949398</v>
      </c>
      <c r="AK2020">
        <v>45</v>
      </c>
      <c r="AL2020" s="122">
        <v>140416</v>
      </c>
      <c r="AM2020" s="122">
        <v>52006</v>
      </c>
      <c r="AN2020" s="122">
        <v>39915</v>
      </c>
      <c r="AO2020" s="122">
        <v>14783</v>
      </c>
      <c r="AP2020" s="122">
        <v>3510</v>
      </c>
      <c r="AQ2020" s="122">
        <v>1300</v>
      </c>
      <c r="AR2020" s="122">
        <v>160480</v>
      </c>
      <c r="AS2020" s="122">
        <v>133733</v>
      </c>
      <c r="AT2020">
        <v>0</v>
      </c>
      <c r="AU2020">
        <v>0</v>
      </c>
      <c r="AV2020" s="122">
        <v>1151220</v>
      </c>
    </row>
    <row r="2021" spans="2:48" hidden="1">
      <c r="B2021" t="s">
        <v>379</v>
      </c>
      <c r="C2021" t="s">
        <v>60</v>
      </c>
      <c r="F2021" s="122">
        <v>1</v>
      </c>
      <c r="G2021" s="122">
        <v>159</v>
      </c>
      <c r="H2021" s="122">
        <v>366</v>
      </c>
      <c r="I2021" s="122"/>
      <c r="J2021" s="122">
        <v>0</v>
      </c>
      <c r="K2021" s="122"/>
      <c r="L2021" s="122"/>
      <c r="M2021" s="122">
        <v>0</v>
      </c>
      <c r="N2021" s="122">
        <v>3133</v>
      </c>
      <c r="O2021" s="122">
        <v>1161</v>
      </c>
      <c r="P2021" s="122">
        <v>621</v>
      </c>
      <c r="Q2021" s="122">
        <v>230</v>
      </c>
      <c r="R2021" s="122"/>
      <c r="S2021" s="122">
        <v>0</v>
      </c>
      <c r="T2021" s="122">
        <v>0</v>
      </c>
      <c r="U2021" s="122">
        <v>0</v>
      </c>
      <c r="V2021" s="122">
        <v>1391</v>
      </c>
      <c r="W2021" s="122">
        <f t="shared" si="64"/>
        <v>1391</v>
      </c>
      <c r="X2021" s="122">
        <f t="shared" si="65"/>
        <v>3754</v>
      </c>
      <c r="AA2021" t="s">
        <v>64</v>
      </c>
      <c r="AB2021" t="s">
        <v>579</v>
      </c>
      <c r="AC2021" t="s">
        <v>137</v>
      </c>
      <c r="AD2021" t="s">
        <v>426</v>
      </c>
      <c r="AE2021" t="s">
        <v>137</v>
      </c>
      <c r="AF2021">
        <v>1</v>
      </c>
      <c r="AG2021">
        <v>76</v>
      </c>
      <c r="AH2021">
        <v>616</v>
      </c>
      <c r="AI2021" s="122">
        <v>33411</v>
      </c>
      <c r="AJ2021" s="122">
        <v>27843</v>
      </c>
      <c r="AK2021">
        <v>55</v>
      </c>
      <c r="AL2021" s="122">
        <v>4594</v>
      </c>
      <c r="AM2021" s="122">
        <v>1702</v>
      </c>
      <c r="AN2021" s="122">
        <v>1488</v>
      </c>
      <c r="AO2021">
        <v>551</v>
      </c>
      <c r="AP2021">
        <v>351</v>
      </c>
      <c r="AQ2021">
        <v>130</v>
      </c>
      <c r="AR2021" s="122">
        <v>4951</v>
      </c>
      <c r="AS2021" s="122">
        <v>4501</v>
      </c>
      <c r="AT2021" s="122">
        <v>2205</v>
      </c>
      <c r="AU2021">
        <v>817</v>
      </c>
      <c r="AV2021" s="122">
        <v>35543</v>
      </c>
    </row>
    <row r="2022" spans="2:48" hidden="1">
      <c r="B2022" t="s">
        <v>379</v>
      </c>
      <c r="C2022" t="s">
        <v>60</v>
      </c>
      <c r="D2022" t="s">
        <v>137</v>
      </c>
      <c r="E2022" t="s">
        <v>137</v>
      </c>
      <c r="F2022" s="122">
        <v>36</v>
      </c>
      <c r="G2022" s="122">
        <v>2847</v>
      </c>
      <c r="H2022" s="122">
        <v>12470</v>
      </c>
      <c r="I2022" s="122">
        <v>599080</v>
      </c>
      <c r="J2022" s="122">
        <v>221882</v>
      </c>
      <c r="K2022" s="122">
        <v>100</v>
      </c>
      <c r="L2022" s="122">
        <v>76604</v>
      </c>
      <c r="M2022" s="122">
        <v>52886</v>
      </c>
      <c r="N2022" s="122">
        <v>63254</v>
      </c>
      <c r="O2022" s="122">
        <v>23427</v>
      </c>
      <c r="P2022" s="122">
        <v>0</v>
      </c>
      <c r="Q2022" s="122">
        <v>0</v>
      </c>
      <c r="R2022" s="122">
        <v>242983</v>
      </c>
      <c r="S2022" s="122">
        <v>89994</v>
      </c>
      <c r="T2022" s="122">
        <v>2462</v>
      </c>
      <c r="U2022" s="122">
        <v>912</v>
      </c>
      <c r="V2022" s="122">
        <v>389100</v>
      </c>
      <c r="W2022" s="122">
        <f t="shared" si="64"/>
        <v>389101</v>
      </c>
      <c r="X2022" s="122">
        <f t="shared" si="65"/>
        <v>984383</v>
      </c>
      <c r="AA2022" t="s">
        <v>64</v>
      </c>
      <c r="AB2022" t="s">
        <v>579</v>
      </c>
      <c r="AC2022" t="s">
        <v>580</v>
      </c>
      <c r="AD2022" t="s">
        <v>137</v>
      </c>
      <c r="AE2022" t="s">
        <v>566</v>
      </c>
      <c r="AF2022">
        <v>1</v>
      </c>
      <c r="AG2022">
        <v>112</v>
      </c>
      <c r="AH2022">
        <v>888</v>
      </c>
      <c r="AI2022" s="122">
        <v>83651</v>
      </c>
      <c r="AJ2022" s="122">
        <v>69709</v>
      </c>
      <c r="AK2022">
        <v>30</v>
      </c>
      <c r="AL2022" s="122">
        <v>4647</v>
      </c>
      <c r="AM2022" s="122">
        <v>4225</v>
      </c>
      <c r="AN2022" s="122">
        <v>2728</v>
      </c>
      <c r="AO2022" s="122">
        <v>1010</v>
      </c>
      <c r="AP2022">
        <v>0</v>
      </c>
      <c r="AQ2022">
        <v>0</v>
      </c>
      <c r="AR2022" s="122">
        <v>8349</v>
      </c>
      <c r="AS2022" s="122">
        <v>3092</v>
      </c>
      <c r="AT2022">
        <v>0</v>
      </c>
      <c r="AU2022">
        <v>0</v>
      </c>
      <c r="AV2022" s="122">
        <v>78037</v>
      </c>
    </row>
    <row r="2023" spans="2:48" hidden="1">
      <c r="B2023" t="s">
        <v>379</v>
      </c>
      <c r="C2023" t="s">
        <v>60</v>
      </c>
      <c r="D2023" t="s">
        <v>406</v>
      </c>
      <c r="E2023" t="s">
        <v>137</v>
      </c>
      <c r="F2023" s="122">
        <v>6</v>
      </c>
      <c r="G2023" s="122">
        <v>616</v>
      </c>
      <c r="H2023" s="122">
        <v>1988</v>
      </c>
      <c r="I2023" s="122">
        <v>116334</v>
      </c>
      <c r="J2023" s="122">
        <v>105758</v>
      </c>
      <c r="K2023" s="122">
        <v>83</v>
      </c>
      <c r="L2023" s="122">
        <v>27675</v>
      </c>
      <c r="M2023" s="122">
        <v>25159</v>
      </c>
      <c r="N2023" s="122">
        <v>13506</v>
      </c>
      <c r="O2023" s="122">
        <v>5002</v>
      </c>
      <c r="P2023" s="122">
        <v>3726</v>
      </c>
      <c r="Q2023" s="122">
        <v>1380</v>
      </c>
      <c r="R2023" s="122">
        <v>45369</v>
      </c>
      <c r="S2023" s="122">
        <v>16803</v>
      </c>
      <c r="T2023" s="122">
        <v>1635</v>
      </c>
      <c r="U2023" s="122">
        <v>606</v>
      </c>
      <c r="V2023" s="122">
        <v>154708</v>
      </c>
      <c r="W2023" s="122">
        <f t="shared" si="64"/>
        <v>154708</v>
      </c>
      <c r="X2023" s="122">
        <f t="shared" si="65"/>
        <v>208245</v>
      </c>
      <c r="AA2023" t="s">
        <v>64</v>
      </c>
      <c r="AB2023" t="s">
        <v>579</v>
      </c>
      <c r="AC2023" t="s">
        <v>580</v>
      </c>
      <c r="AD2023" t="s">
        <v>579</v>
      </c>
      <c r="AE2023" t="s">
        <v>137</v>
      </c>
      <c r="AF2023">
        <v>22</v>
      </c>
      <c r="AG2023" s="122">
        <v>2325</v>
      </c>
      <c r="AH2023" s="122">
        <v>11417</v>
      </c>
      <c r="AI2023" s="122">
        <v>881178</v>
      </c>
      <c r="AJ2023" s="122">
        <v>734315</v>
      </c>
      <c r="AK2023">
        <v>58</v>
      </c>
      <c r="AL2023" s="122">
        <v>81480</v>
      </c>
      <c r="AM2023" s="122">
        <v>74073</v>
      </c>
      <c r="AN2023" s="122">
        <v>48282</v>
      </c>
      <c r="AO2023" s="122">
        <v>17882</v>
      </c>
      <c r="AP2023" s="122">
        <v>11853</v>
      </c>
      <c r="AQ2023" s="122">
        <v>4390</v>
      </c>
      <c r="AR2023" s="122">
        <v>127949</v>
      </c>
      <c r="AS2023" s="122">
        <v>106624</v>
      </c>
      <c r="AT2023" s="122">
        <v>58409</v>
      </c>
      <c r="AU2023" s="122">
        <v>21633</v>
      </c>
      <c r="AV2023" s="122">
        <v>958917</v>
      </c>
    </row>
    <row r="2024" spans="2:48" hidden="1">
      <c r="B2024" t="s">
        <v>379</v>
      </c>
      <c r="C2024" t="s">
        <v>60</v>
      </c>
      <c r="D2024" t="s">
        <v>406</v>
      </c>
      <c r="E2024" t="s">
        <v>406</v>
      </c>
      <c r="F2024" s="122">
        <v>245</v>
      </c>
      <c r="G2024" s="122">
        <v>20748</v>
      </c>
      <c r="H2024" s="122">
        <v>82057</v>
      </c>
      <c r="I2024" s="122">
        <v>4025277</v>
      </c>
      <c r="J2024" s="122">
        <v>3659342</v>
      </c>
      <c r="K2024" s="122">
        <v>77</v>
      </c>
      <c r="L2024" s="122">
        <v>805375</v>
      </c>
      <c r="M2024" s="122">
        <v>688669</v>
      </c>
      <c r="N2024" s="122">
        <v>434084</v>
      </c>
      <c r="O2024" s="122">
        <v>160772</v>
      </c>
      <c r="P2024" s="122">
        <v>152928</v>
      </c>
      <c r="Q2024" s="122">
        <v>56640</v>
      </c>
      <c r="R2024" s="122">
        <v>1089242</v>
      </c>
      <c r="S2024" s="122">
        <v>990220</v>
      </c>
      <c r="T2024" s="122">
        <v>514307</v>
      </c>
      <c r="U2024" s="122">
        <v>190484</v>
      </c>
      <c r="V2024" s="122">
        <v>5746128</v>
      </c>
      <c r="W2024" s="122">
        <f t="shared" si="64"/>
        <v>5746127</v>
      </c>
      <c r="X2024" s="122">
        <f t="shared" si="65"/>
        <v>7021213</v>
      </c>
      <c r="AA2024" t="s">
        <v>64</v>
      </c>
      <c r="AB2024" t="s">
        <v>579</v>
      </c>
      <c r="AC2024" t="s">
        <v>580</v>
      </c>
      <c r="AD2024" t="s">
        <v>579</v>
      </c>
      <c r="AE2024" t="s">
        <v>566</v>
      </c>
      <c r="AF2024">
        <v>1</v>
      </c>
      <c r="AG2024">
        <v>99</v>
      </c>
      <c r="AH2024">
        <v>483</v>
      </c>
      <c r="AI2024" s="122">
        <v>33904</v>
      </c>
      <c r="AJ2024" s="122">
        <v>28253</v>
      </c>
      <c r="AK2024">
        <v>65</v>
      </c>
      <c r="AL2024" s="122">
        <v>3453</v>
      </c>
      <c r="AM2024" s="122">
        <v>3139</v>
      </c>
      <c r="AN2024" s="122">
        <v>2189</v>
      </c>
      <c r="AO2024">
        <v>811</v>
      </c>
      <c r="AP2024">
        <v>621</v>
      </c>
      <c r="AQ2024">
        <v>230</v>
      </c>
      <c r="AR2024" s="122">
        <v>7524</v>
      </c>
      <c r="AS2024" s="122">
        <v>6270</v>
      </c>
      <c r="AT2024">
        <v>0</v>
      </c>
      <c r="AU2024">
        <v>0</v>
      </c>
      <c r="AV2024" s="122">
        <v>38703</v>
      </c>
    </row>
    <row r="2025" spans="2:48" hidden="1">
      <c r="B2025" t="s">
        <v>379</v>
      </c>
      <c r="C2025" t="s">
        <v>60</v>
      </c>
      <c r="D2025" t="s">
        <v>406</v>
      </c>
      <c r="E2025" t="s">
        <v>426</v>
      </c>
      <c r="F2025" s="122">
        <v>1</v>
      </c>
      <c r="G2025" s="122">
        <v>150</v>
      </c>
      <c r="H2025" s="122">
        <v>369</v>
      </c>
      <c r="I2025" s="122">
        <v>33721</v>
      </c>
      <c r="J2025" s="122">
        <v>30656</v>
      </c>
      <c r="K2025" s="122">
        <v>85</v>
      </c>
      <c r="L2025" s="122">
        <v>10079</v>
      </c>
      <c r="M2025" s="122">
        <v>9163</v>
      </c>
      <c r="N2025" s="122">
        <v>3658</v>
      </c>
      <c r="O2025" s="122">
        <v>1355</v>
      </c>
      <c r="P2025" s="122">
        <v>621</v>
      </c>
      <c r="Q2025" s="122">
        <v>230</v>
      </c>
      <c r="R2025" s="122">
        <v>7371</v>
      </c>
      <c r="S2025" s="122">
        <v>6701</v>
      </c>
      <c r="T2025" s="122">
        <v>0</v>
      </c>
      <c r="U2025" s="122">
        <v>0</v>
      </c>
      <c r="V2025" s="122">
        <v>48104</v>
      </c>
      <c r="W2025" s="122">
        <f t="shared" si="64"/>
        <v>48105</v>
      </c>
      <c r="X2025" s="122">
        <f t="shared" si="65"/>
        <v>55450</v>
      </c>
      <c r="AA2025" t="s">
        <v>64</v>
      </c>
      <c r="AB2025" t="s">
        <v>579</v>
      </c>
      <c r="AC2025" t="s">
        <v>407</v>
      </c>
      <c r="AD2025" t="s">
        <v>137</v>
      </c>
      <c r="AE2025" t="s">
        <v>566</v>
      </c>
      <c r="AF2025">
        <v>35</v>
      </c>
      <c r="AG2025" s="122">
        <v>3595</v>
      </c>
      <c r="AH2025" s="122">
        <v>35050</v>
      </c>
      <c r="AI2025" s="122">
        <v>2904702</v>
      </c>
      <c r="AJ2025" s="122">
        <v>2420585</v>
      </c>
      <c r="AK2025">
        <v>30</v>
      </c>
      <c r="AL2025" s="122">
        <v>231928</v>
      </c>
      <c r="AM2025" s="122">
        <v>210844</v>
      </c>
      <c r="AN2025" s="122">
        <v>77329</v>
      </c>
      <c r="AO2025" s="122">
        <v>28640</v>
      </c>
      <c r="AP2025">
        <v>0</v>
      </c>
      <c r="AQ2025">
        <v>0</v>
      </c>
      <c r="AR2025" s="122">
        <v>272997</v>
      </c>
      <c r="AS2025" s="122">
        <v>101110</v>
      </c>
      <c r="AT2025">
        <v>0</v>
      </c>
      <c r="AU2025">
        <v>0</v>
      </c>
      <c r="AV2025" s="122">
        <v>2761179</v>
      </c>
    </row>
    <row r="2026" spans="2:48" hidden="1">
      <c r="B2026" t="s">
        <v>379</v>
      </c>
      <c r="C2026" t="s">
        <v>60</v>
      </c>
      <c r="D2026" t="s">
        <v>407</v>
      </c>
      <c r="E2026" t="s">
        <v>407</v>
      </c>
      <c r="F2026" s="122">
        <v>16</v>
      </c>
      <c r="G2026" s="122">
        <v>975</v>
      </c>
      <c r="H2026" s="122">
        <v>5342</v>
      </c>
      <c r="I2026" s="122">
        <v>179961</v>
      </c>
      <c r="J2026" s="122">
        <v>163601</v>
      </c>
      <c r="K2026" s="122">
        <v>78</v>
      </c>
      <c r="L2026" s="122">
        <v>47139</v>
      </c>
      <c r="M2026" s="122">
        <v>40123</v>
      </c>
      <c r="N2026" s="122">
        <v>19162</v>
      </c>
      <c r="O2026" s="122">
        <v>7097</v>
      </c>
      <c r="P2026" s="122">
        <v>7911</v>
      </c>
      <c r="Q2026" s="122">
        <v>2930</v>
      </c>
      <c r="R2026" s="122">
        <v>58927</v>
      </c>
      <c r="S2026" s="122">
        <v>53570</v>
      </c>
      <c r="T2026" s="122">
        <v>10544</v>
      </c>
      <c r="U2026" s="122">
        <v>3905</v>
      </c>
      <c r="V2026" s="122">
        <v>271225</v>
      </c>
      <c r="W2026" s="122">
        <f t="shared" si="64"/>
        <v>271226</v>
      </c>
      <c r="X2026" s="122">
        <f t="shared" si="65"/>
        <v>323644</v>
      </c>
      <c r="AA2026" t="s">
        <v>64</v>
      </c>
      <c r="AB2026" t="s">
        <v>579</v>
      </c>
      <c r="AC2026" t="s">
        <v>407</v>
      </c>
      <c r="AD2026" t="s">
        <v>407</v>
      </c>
      <c r="AE2026" t="s">
        <v>137</v>
      </c>
      <c r="AF2026">
        <v>2</v>
      </c>
      <c r="AG2026">
        <v>211</v>
      </c>
      <c r="AH2026" s="122">
        <v>2451</v>
      </c>
      <c r="AI2026" s="122">
        <v>227119</v>
      </c>
      <c r="AJ2026" s="122">
        <v>189266</v>
      </c>
      <c r="AK2026">
        <v>30</v>
      </c>
      <c r="AL2026" s="122">
        <v>9761</v>
      </c>
      <c r="AM2026" s="122">
        <v>8873</v>
      </c>
      <c r="AN2026" s="122">
        <v>4863</v>
      </c>
      <c r="AO2026" s="122">
        <v>1801</v>
      </c>
      <c r="AP2026">
        <v>473</v>
      </c>
      <c r="AQ2026">
        <v>175</v>
      </c>
      <c r="AR2026" s="122">
        <v>10737</v>
      </c>
      <c r="AS2026" s="122">
        <v>9760</v>
      </c>
      <c r="AT2026" s="122">
        <v>6857</v>
      </c>
      <c r="AU2026" s="122">
        <v>2539</v>
      </c>
      <c r="AV2026" s="122">
        <v>212416</v>
      </c>
    </row>
    <row r="2027" spans="2:48" hidden="1">
      <c r="B2027" t="s">
        <v>379</v>
      </c>
      <c r="C2027" t="s">
        <v>60</v>
      </c>
      <c r="D2027" t="s">
        <v>426</v>
      </c>
      <c r="E2027" t="s">
        <v>426</v>
      </c>
      <c r="F2027" s="122">
        <v>62</v>
      </c>
      <c r="G2027" s="122">
        <v>4420</v>
      </c>
      <c r="H2027" s="122">
        <v>20735</v>
      </c>
      <c r="I2027" s="122">
        <v>872556</v>
      </c>
      <c r="J2027" s="122">
        <v>793233</v>
      </c>
      <c r="K2027" s="122">
        <v>59</v>
      </c>
      <c r="L2027" s="122">
        <v>98222</v>
      </c>
      <c r="M2027" s="122">
        <v>82887</v>
      </c>
      <c r="N2027" s="122">
        <v>93407</v>
      </c>
      <c r="O2027" s="122">
        <v>34595</v>
      </c>
      <c r="P2027" s="122">
        <v>30713</v>
      </c>
      <c r="Q2027" s="122">
        <v>11375</v>
      </c>
      <c r="R2027" s="122">
        <v>310686</v>
      </c>
      <c r="S2027" s="122">
        <v>282442</v>
      </c>
      <c r="T2027" s="122">
        <v>147519</v>
      </c>
      <c r="U2027" s="122">
        <v>54637</v>
      </c>
      <c r="V2027" s="122">
        <v>1259169</v>
      </c>
      <c r="W2027" s="122">
        <f t="shared" si="64"/>
        <v>1259169</v>
      </c>
      <c r="X2027" s="122">
        <f t="shared" si="65"/>
        <v>1553103</v>
      </c>
      <c r="AA2027" t="s">
        <v>64</v>
      </c>
      <c r="AB2027" t="s">
        <v>579</v>
      </c>
      <c r="AC2027" t="s">
        <v>407</v>
      </c>
      <c r="AD2027" t="s">
        <v>407</v>
      </c>
      <c r="AE2027" t="s">
        <v>566</v>
      </c>
      <c r="AF2027">
        <v>5</v>
      </c>
      <c r="AG2027">
        <v>672</v>
      </c>
      <c r="AH2027" s="122">
        <v>4547</v>
      </c>
      <c r="AI2027" s="122">
        <v>527481</v>
      </c>
      <c r="AJ2027" s="122">
        <v>439568</v>
      </c>
      <c r="AK2027">
        <v>34</v>
      </c>
      <c r="AL2027" s="122">
        <v>37303</v>
      </c>
      <c r="AM2027" s="122">
        <v>33912</v>
      </c>
      <c r="AN2027" s="122">
        <v>15057</v>
      </c>
      <c r="AO2027" s="122">
        <v>5577</v>
      </c>
      <c r="AP2027" s="122">
        <v>1067</v>
      </c>
      <c r="AQ2027">
        <v>395</v>
      </c>
      <c r="AR2027" s="122">
        <v>24365</v>
      </c>
      <c r="AS2027" s="122">
        <v>22150</v>
      </c>
      <c r="AT2027">
        <v>0</v>
      </c>
      <c r="AU2027">
        <v>0</v>
      </c>
      <c r="AV2027" s="122">
        <v>501601</v>
      </c>
    </row>
    <row r="2028" spans="2:48" hidden="1">
      <c r="B2028" t="s">
        <v>379</v>
      </c>
      <c r="C2028" t="s">
        <v>62</v>
      </c>
      <c r="D2028" t="s">
        <v>405</v>
      </c>
      <c r="E2028" t="s">
        <v>405</v>
      </c>
      <c r="F2028" s="122">
        <v>1</v>
      </c>
      <c r="G2028" s="122">
        <v>113</v>
      </c>
      <c r="H2028" s="122">
        <v>387</v>
      </c>
      <c r="I2028" s="122">
        <v>26792</v>
      </c>
      <c r="J2028" s="122">
        <v>24357</v>
      </c>
      <c r="K2028" s="122">
        <v>73</v>
      </c>
      <c r="L2028" s="122">
        <v>6887</v>
      </c>
      <c r="M2028" s="122">
        <v>6261</v>
      </c>
      <c r="N2028" s="122">
        <v>2564</v>
      </c>
      <c r="O2028" s="122">
        <v>950</v>
      </c>
      <c r="P2028" s="122">
        <v>351</v>
      </c>
      <c r="Q2028" s="122">
        <v>130</v>
      </c>
      <c r="R2028" s="122">
        <v>4379</v>
      </c>
      <c r="S2028" s="122">
        <v>3981</v>
      </c>
      <c r="T2028" s="122">
        <v>2585</v>
      </c>
      <c r="U2028" s="122">
        <v>957</v>
      </c>
      <c r="V2028" s="122">
        <v>36635</v>
      </c>
      <c r="W2028" s="122">
        <f t="shared" si="64"/>
        <v>36636</v>
      </c>
      <c r="X2028" s="122">
        <f t="shared" si="65"/>
        <v>43558</v>
      </c>
      <c r="AA2028" t="s">
        <v>64</v>
      </c>
      <c r="AB2028" t="s">
        <v>579</v>
      </c>
      <c r="AC2028" t="s">
        <v>407</v>
      </c>
      <c r="AD2028" t="s">
        <v>579</v>
      </c>
      <c r="AE2028" t="s">
        <v>137</v>
      </c>
      <c r="AF2028">
        <v>5</v>
      </c>
      <c r="AG2028">
        <v>427</v>
      </c>
      <c r="AH2028" s="122">
        <v>3659</v>
      </c>
      <c r="AI2028" s="122">
        <v>233793</v>
      </c>
      <c r="AJ2028" s="122">
        <v>194827</v>
      </c>
      <c r="AK2028">
        <v>49</v>
      </c>
      <c r="AL2028" s="122">
        <v>21052</v>
      </c>
      <c r="AM2028" s="122">
        <v>19138</v>
      </c>
      <c r="AN2028" s="122">
        <v>9479</v>
      </c>
      <c r="AO2028" s="122">
        <v>3511</v>
      </c>
      <c r="AP2028" s="122">
        <v>1053</v>
      </c>
      <c r="AQ2028">
        <v>390</v>
      </c>
      <c r="AR2028" s="122">
        <v>28967</v>
      </c>
      <c r="AS2028" s="122">
        <v>24139</v>
      </c>
      <c r="AT2028" s="122">
        <v>11544</v>
      </c>
      <c r="AU2028" s="122">
        <v>4276</v>
      </c>
      <c r="AV2028" s="122">
        <v>246281</v>
      </c>
    </row>
    <row r="2029" spans="2:48" hidden="1">
      <c r="B2029" t="s">
        <v>379</v>
      </c>
      <c r="C2029" t="s">
        <v>62</v>
      </c>
      <c r="D2029" t="s">
        <v>137</v>
      </c>
      <c r="E2029" t="s">
        <v>137</v>
      </c>
      <c r="F2029" s="122">
        <v>12</v>
      </c>
      <c r="G2029" s="122">
        <v>969</v>
      </c>
      <c r="H2029" s="122">
        <v>4843</v>
      </c>
      <c r="I2029" s="122">
        <v>271414</v>
      </c>
      <c r="J2029" s="122">
        <v>100524</v>
      </c>
      <c r="K2029" s="122">
        <v>100</v>
      </c>
      <c r="L2029" s="122">
        <v>42310</v>
      </c>
      <c r="M2029" s="122">
        <v>28766</v>
      </c>
      <c r="N2029" s="122">
        <v>23145</v>
      </c>
      <c r="O2029" s="122">
        <v>8572</v>
      </c>
      <c r="P2029" s="122">
        <v>0</v>
      </c>
      <c r="Q2029" s="122">
        <v>0</v>
      </c>
      <c r="R2029" s="122">
        <v>71903</v>
      </c>
      <c r="S2029" s="122">
        <v>26631</v>
      </c>
      <c r="T2029" s="122">
        <v>0</v>
      </c>
      <c r="U2029" s="122">
        <v>0</v>
      </c>
      <c r="V2029" s="122">
        <v>164492</v>
      </c>
      <c r="W2029" s="122">
        <f t="shared" si="64"/>
        <v>164493</v>
      </c>
      <c r="X2029" s="122">
        <f t="shared" si="65"/>
        <v>408772</v>
      </c>
      <c r="AA2029" t="s">
        <v>64</v>
      </c>
      <c r="AB2029" t="s">
        <v>579</v>
      </c>
      <c r="AC2029" t="s">
        <v>407</v>
      </c>
      <c r="AD2029" t="s">
        <v>579</v>
      </c>
      <c r="AE2029" t="s">
        <v>566</v>
      </c>
      <c r="AF2029">
        <v>1</v>
      </c>
      <c r="AG2029">
        <v>97</v>
      </c>
      <c r="AH2029" s="122">
        <v>1082</v>
      </c>
      <c r="AI2029" s="122">
        <v>81606</v>
      </c>
      <c r="AJ2029" s="122">
        <v>68005</v>
      </c>
      <c r="AK2029">
        <v>30</v>
      </c>
      <c r="AL2029" s="122">
        <v>12468</v>
      </c>
      <c r="AM2029" s="122">
        <v>11334</v>
      </c>
      <c r="AN2029" s="122">
        <v>2369</v>
      </c>
      <c r="AO2029">
        <v>877</v>
      </c>
      <c r="AP2029">
        <v>0</v>
      </c>
      <c r="AQ2029">
        <v>0</v>
      </c>
      <c r="AR2029" s="122">
        <v>8737</v>
      </c>
      <c r="AS2029" s="122">
        <v>7280</v>
      </c>
      <c r="AT2029">
        <v>0</v>
      </c>
      <c r="AU2029">
        <v>0</v>
      </c>
      <c r="AV2029" s="122">
        <v>87497</v>
      </c>
    </row>
    <row r="2030" spans="2:48" hidden="1">
      <c r="B2030" t="s">
        <v>379</v>
      </c>
      <c r="C2030" t="s">
        <v>62</v>
      </c>
      <c r="D2030" t="s">
        <v>137</v>
      </c>
      <c r="E2030" t="s">
        <v>406</v>
      </c>
      <c r="F2030" s="122">
        <v>1</v>
      </c>
      <c r="G2030" s="122">
        <v>180</v>
      </c>
      <c r="H2030" s="122">
        <v>438</v>
      </c>
      <c r="I2030" s="122">
        <v>61807</v>
      </c>
      <c r="J2030" s="122">
        <v>22891</v>
      </c>
      <c r="K2030" s="122">
        <v>100</v>
      </c>
      <c r="L2030" s="122">
        <v>4663</v>
      </c>
      <c r="M2030" s="122">
        <v>4239</v>
      </c>
      <c r="N2030" s="122">
        <v>3976</v>
      </c>
      <c r="O2030" s="122">
        <v>1473</v>
      </c>
      <c r="P2030" s="122">
        <v>0</v>
      </c>
      <c r="Q2030" s="122">
        <v>0</v>
      </c>
      <c r="R2030" s="122">
        <v>8614</v>
      </c>
      <c r="S2030" s="122">
        <v>7831</v>
      </c>
      <c r="T2030" s="122">
        <v>0</v>
      </c>
      <c r="U2030" s="122">
        <v>0</v>
      </c>
      <c r="V2030" s="122">
        <v>36434</v>
      </c>
      <c r="W2030" s="122">
        <f t="shared" si="64"/>
        <v>36434</v>
      </c>
      <c r="X2030" s="122">
        <f t="shared" si="65"/>
        <v>79060</v>
      </c>
      <c r="AA2030" t="s">
        <v>64</v>
      </c>
      <c r="AB2030" t="s">
        <v>579</v>
      </c>
      <c r="AC2030" t="s">
        <v>579</v>
      </c>
      <c r="AD2030" t="s">
        <v>137</v>
      </c>
      <c r="AE2030" t="s">
        <v>137</v>
      </c>
      <c r="AF2030">
        <v>4</v>
      </c>
      <c r="AG2030">
        <v>427</v>
      </c>
      <c r="AH2030" s="122">
        <v>2878</v>
      </c>
      <c r="AI2030" s="122">
        <v>256061</v>
      </c>
      <c r="AJ2030" s="122">
        <v>213385</v>
      </c>
      <c r="AK2030">
        <v>49</v>
      </c>
      <c r="AL2030" s="122">
        <v>28242</v>
      </c>
      <c r="AM2030" s="122">
        <v>23535</v>
      </c>
      <c r="AN2030" s="122">
        <v>9703</v>
      </c>
      <c r="AO2030" s="122">
        <v>3594</v>
      </c>
      <c r="AP2030" s="122">
        <v>1053</v>
      </c>
      <c r="AQ2030">
        <v>390</v>
      </c>
      <c r="AR2030" s="122">
        <v>44025</v>
      </c>
      <c r="AS2030" s="122">
        <v>16306</v>
      </c>
      <c r="AT2030" s="122">
        <v>2822</v>
      </c>
      <c r="AU2030" s="122">
        <v>1045</v>
      </c>
      <c r="AV2030" s="122">
        <v>258254</v>
      </c>
    </row>
    <row r="2031" spans="2:48" hidden="1">
      <c r="B2031" t="s">
        <v>379</v>
      </c>
      <c r="C2031" t="s">
        <v>62</v>
      </c>
      <c r="D2031" t="s">
        <v>137</v>
      </c>
      <c r="E2031" t="s">
        <v>426</v>
      </c>
      <c r="F2031" s="122">
        <v>1</v>
      </c>
      <c r="G2031" s="122">
        <v>75</v>
      </c>
      <c r="H2031" s="122">
        <v>408</v>
      </c>
      <c r="I2031" s="122">
        <v>17516</v>
      </c>
      <c r="J2031" s="122">
        <v>6487</v>
      </c>
      <c r="K2031" s="122">
        <v>100</v>
      </c>
      <c r="L2031" s="122">
        <v>1586</v>
      </c>
      <c r="M2031" s="122">
        <v>1442</v>
      </c>
      <c r="N2031" s="122">
        <v>1834</v>
      </c>
      <c r="O2031" s="122">
        <v>679</v>
      </c>
      <c r="P2031" s="122">
        <v>0</v>
      </c>
      <c r="Q2031" s="122">
        <v>0</v>
      </c>
      <c r="R2031" s="122">
        <v>6750</v>
      </c>
      <c r="S2031" s="122">
        <v>6136</v>
      </c>
      <c r="T2031" s="122">
        <v>2993</v>
      </c>
      <c r="U2031" s="122">
        <v>1108</v>
      </c>
      <c r="V2031" s="122">
        <v>15853</v>
      </c>
      <c r="W2031" s="122">
        <f t="shared" si="64"/>
        <v>15852</v>
      </c>
      <c r="X2031" s="122">
        <f t="shared" si="65"/>
        <v>30679</v>
      </c>
      <c r="AA2031" t="s">
        <v>64</v>
      </c>
      <c r="AB2031" t="s">
        <v>579</v>
      </c>
      <c r="AC2031" t="s">
        <v>579</v>
      </c>
      <c r="AD2031" t="s">
        <v>137</v>
      </c>
      <c r="AE2031" t="s">
        <v>566</v>
      </c>
      <c r="AF2031">
        <v>71</v>
      </c>
      <c r="AG2031" s="122">
        <v>6046</v>
      </c>
      <c r="AH2031" s="122">
        <v>63175</v>
      </c>
      <c r="AI2031" s="122">
        <v>4150306</v>
      </c>
      <c r="AJ2031" s="122">
        <v>3458588</v>
      </c>
      <c r="AK2031">
        <v>39</v>
      </c>
      <c r="AL2031" s="122">
        <v>486467</v>
      </c>
      <c r="AM2031" s="122">
        <v>405389</v>
      </c>
      <c r="AN2031" s="122">
        <v>137519</v>
      </c>
      <c r="AO2031" s="122">
        <v>50933</v>
      </c>
      <c r="AP2031" s="122">
        <v>3861</v>
      </c>
      <c r="AQ2031" s="122">
        <v>1430</v>
      </c>
      <c r="AR2031" s="122">
        <v>516481</v>
      </c>
      <c r="AS2031" s="122">
        <v>191289</v>
      </c>
      <c r="AT2031">
        <v>0</v>
      </c>
      <c r="AU2031">
        <v>0</v>
      </c>
      <c r="AV2031" s="122">
        <v>4107630</v>
      </c>
    </row>
    <row r="2032" spans="2:48" hidden="1">
      <c r="B2032" t="s">
        <v>379</v>
      </c>
      <c r="C2032" t="s">
        <v>62</v>
      </c>
      <c r="D2032" t="s">
        <v>406</v>
      </c>
      <c r="E2032" t="s">
        <v>406</v>
      </c>
      <c r="F2032" s="122">
        <v>101</v>
      </c>
      <c r="G2032" s="122">
        <v>9377</v>
      </c>
      <c r="H2032" s="122">
        <v>41894</v>
      </c>
      <c r="I2032" s="122">
        <v>2495019</v>
      </c>
      <c r="J2032" s="122">
        <v>2268199</v>
      </c>
      <c r="K2032" s="122">
        <v>74</v>
      </c>
      <c r="L2032" s="122">
        <v>488367</v>
      </c>
      <c r="M2032" s="122">
        <v>406864</v>
      </c>
      <c r="N2032" s="122">
        <v>199225</v>
      </c>
      <c r="O2032" s="122">
        <v>73787</v>
      </c>
      <c r="P2032" s="122">
        <v>62802</v>
      </c>
      <c r="Q2032" s="122">
        <v>23260</v>
      </c>
      <c r="R2032" s="122">
        <v>480813</v>
      </c>
      <c r="S2032" s="122">
        <v>437103</v>
      </c>
      <c r="T2032" s="122">
        <v>201000</v>
      </c>
      <c r="U2032" s="122">
        <v>74445</v>
      </c>
      <c r="V2032" s="122">
        <v>3283658</v>
      </c>
      <c r="W2032" s="122">
        <f t="shared" si="64"/>
        <v>3283658</v>
      </c>
      <c r="X2032" s="122">
        <f t="shared" si="65"/>
        <v>3927226</v>
      </c>
      <c r="AA2032" t="s">
        <v>64</v>
      </c>
      <c r="AB2032" t="s">
        <v>579</v>
      </c>
      <c r="AC2032" t="s">
        <v>579</v>
      </c>
      <c r="AD2032" t="s">
        <v>579</v>
      </c>
      <c r="AE2032" t="s">
        <v>137</v>
      </c>
      <c r="AF2032">
        <v>452</v>
      </c>
      <c r="AG2032" s="122">
        <v>37420</v>
      </c>
      <c r="AH2032" s="122">
        <v>290331</v>
      </c>
      <c r="AI2032" s="122">
        <v>16932854</v>
      </c>
      <c r="AJ2032" s="122">
        <v>14110712</v>
      </c>
      <c r="AK2032">
        <v>52</v>
      </c>
      <c r="AL2032" s="122">
        <v>2724011</v>
      </c>
      <c r="AM2032" s="122">
        <v>2270009</v>
      </c>
      <c r="AN2032" s="122">
        <v>809957</v>
      </c>
      <c r="AO2032" s="122">
        <v>299984</v>
      </c>
      <c r="AP2032" s="122">
        <v>141143</v>
      </c>
      <c r="AQ2032" s="122">
        <v>52275</v>
      </c>
      <c r="AR2032" s="122">
        <v>2698758</v>
      </c>
      <c r="AS2032" s="122">
        <v>2248965</v>
      </c>
      <c r="AT2032" s="122">
        <v>1022855</v>
      </c>
      <c r="AU2032" s="122">
        <v>378835</v>
      </c>
      <c r="AV2032" s="122">
        <v>19360780</v>
      </c>
    </row>
    <row r="2033" spans="2:48" hidden="1">
      <c r="B2033" t="s">
        <v>379</v>
      </c>
      <c r="C2033" t="s">
        <v>62</v>
      </c>
      <c r="D2033" t="s">
        <v>406</v>
      </c>
      <c r="E2033" t="s">
        <v>426</v>
      </c>
      <c r="F2033" s="122">
        <v>2</v>
      </c>
      <c r="G2033" s="122">
        <v>160</v>
      </c>
      <c r="H2033" s="122">
        <v>856</v>
      </c>
      <c r="I2033" s="122">
        <v>44463</v>
      </c>
      <c r="J2033" s="122">
        <v>40421</v>
      </c>
      <c r="K2033" s="122">
        <v>80</v>
      </c>
      <c r="L2033" s="122">
        <v>5709</v>
      </c>
      <c r="M2033" s="122">
        <v>5190</v>
      </c>
      <c r="N2033" s="122">
        <v>3454</v>
      </c>
      <c r="O2033" s="122">
        <v>1279</v>
      </c>
      <c r="P2033" s="122">
        <v>1242</v>
      </c>
      <c r="Q2033" s="122">
        <v>460</v>
      </c>
      <c r="R2033" s="122">
        <v>9363</v>
      </c>
      <c r="S2033" s="122">
        <v>8512</v>
      </c>
      <c r="T2033" s="122">
        <v>4586</v>
      </c>
      <c r="U2033" s="122">
        <v>1699</v>
      </c>
      <c r="V2033" s="122">
        <v>57561</v>
      </c>
      <c r="W2033" s="122">
        <f t="shared" si="64"/>
        <v>57561</v>
      </c>
      <c r="X2033" s="122">
        <f t="shared" si="65"/>
        <v>68817</v>
      </c>
      <c r="AA2033" t="s">
        <v>64</v>
      </c>
      <c r="AB2033" t="s">
        <v>579</v>
      </c>
      <c r="AC2033" t="s">
        <v>579</v>
      </c>
      <c r="AD2033" t="s">
        <v>579</v>
      </c>
      <c r="AE2033" t="s">
        <v>566</v>
      </c>
      <c r="AF2033">
        <v>32</v>
      </c>
      <c r="AG2033" s="122">
        <v>2396</v>
      </c>
      <c r="AH2033" s="122">
        <v>21206</v>
      </c>
      <c r="AI2033" s="122">
        <v>1102941</v>
      </c>
      <c r="AJ2033" s="122">
        <v>919118</v>
      </c>
      <c r="AK2033">
        <v>50</v>
      </c>
      <c r="AL2033" s="122">
        <v>171166</v>
      </c>
      <c r="AM2033" s="122">
        <v>142638</v>
      </c>
      <c r="AN2033" s="122">
        <v>49355</v>
      </c>
      <c r="AO2033" s="122">
        <v>18280</v>
      </c>
      <c r="AP2033" s="122">
        <v>7020</v>
      </c>
      <c r="AQ2033" s="122">
        <v>2600</v>
      </c>
      <c r="AR2033" s="122">
        <v>264352</v>
      </c>
      <c r="AS2033" s="122">
        <v>220293</v>
      </c>
      <c r="AT2033">
        <v>0</v>
      </c>
      <c r="AU2033">
        <v>0</v>
      </c>
      <c r="AV2033" s="122">
        <v>1302929</v>
      </c>
    </row>
    <row r="2034" spans="2:48" hidden="1">
      <c r="B2034" t="s">
        <v>379</v>
      </c>
      <c r="C2034" t="s">
        <v>62</v>
      </c>
      <c r="D2034" t="s">
        <v>427</v>
      </c>
      <c r="E2034" t="s">
        <v>427</v>
      </c>
      <c r="F2034" s="122">
        <v>3</v>
      </c>
      <c r="G2034" s="122">
        <v>244</v>
      </c>
      <c r="H2034" s="122">
        <v>1188</v>
      </c>
      <c r="I2034" s="122">
        <v>59036</v>
      </c>
      <c r="J2034" s="122">
        <v>53669</v>
      </c>
      <c r="K2034" s="122">
        <v>53</v>
      </c>
      <c r="L2034" s="122">
        <v>3334</v>
      </c>
      <c r="M2034" s="122">
        <v>3031</v>
      </c>
      <c r="N2034" s="122">
        <v>5501</v>
      </c>
      <c r="O2034" s="122">
        <v>2037</v>
      </c>
      <c r="P2034" s="122">
        <v>1053</v>
      </c>
      <c r="Q2034" s="122">
        <v>390</v>
      </c>
      <c r="R2034" s="122">
        <v>23682</v>
      </c>
      <c r="S2034" s="122">
        <v>21529</v>
      </c>
      <c r="T2034" s="122">
        <v>12441</v>
      </c>
      <c r="U2034" s="122">
        <v>4608</v>
      </c>
      <c r="V2034" s="122">
        <v>85264</v>
      </c>
      <c r="W2034" s="122">
        <f t="shared" si="64"/>
        <v>85264</v>
      </c>
      <c r="X2034" s="122">
        <f t="shared" si="65"/>
        <v>105047</v>
      </c>
      <c r="AA2034" t="s">
        <v>64</v>
      </c>
      <c r="AB2034" t="s">
        <v>579</v>
      </c>
      <c r="AC2034" t="s">
        <v>426</v>
      </c>
      <c r="AD2034" t="s">
        <v>137</v>
      </c>
      <c r="AE2034" t="s">
        <v>566</v>
      </c>
      <c r="AF2034">
        <v>1</v>
      </c>
      <c r="AG2034">
        <v>70</v>
      </c>
      <c r="AH2034">
        <v>879</v>
      </c>
      <c r="AI2034" s="122">
        <v>51871</v>
      </c>
      <c r="AJ2034" s="122">
        <v>43226</v>
      </c>
      <c r="AK2034">
        <v>30</v>
      </c>
      <c r="AL2034" s="122">
        <v>1585</v>
      </c>
      <c r="AM2034" s="122">
        <v>1441</v>
      </c>
      <c r="AN2034" s="122">
        <v>1432</v>
      </c>
      <c r="AO2034">
        <v>531</v>
      </c>
      <c r="AP2034">
        <v>0</v>
      </c>
      <c r="AQ2034">
        <v>0</v>
      </c>
      <c r="AR2034" s="122">
        <v>6978</v>
      </c>
      <c r="AS2034" s="122">
        <v>2584</v>
      </c>
      <c r="AT2034">
        <v>0</v>
      </c>
      <c r="AU2034">
        <v>0</v>
      </c>
      <c r="AV2034" s="122">
        <v>47782</v>
      </c>
    </row>
    <row r="2035" spans="2:48" hidden="1">
      <c r="B2035" t="s">
        <v>379</v>
      </c>
      <c r="C2035" t="s">
        <v>62</v>
      </c>
      <c r="D2035" t="s">
        <v>426</v>
      </c>
      <c r="E2035" t="s">
        <v>137</v>
      </c>
      <c r="F2035" s="122">
        <v>1</v>
      </c>
      <c r="G2035" s="122">
        <v>82</v>
      </c>
      <c r="H2035" s="122">
        <v>437</v>
      </c>
      <c r="I2035" s="122">
        <v>28329</v>
      </c>
      <c r="J2035" s="122">
        <v>25754</v>
      </c>
      <c r="K2035" s="122">
        <v>65</v>
      </c>
      <c r="L2035" s="122">
        <v>0</v>
      </c>
      <c r="M2035" s="122">
        <v>0</v>
      </c>
      <c r="N2035" s="122">
        <v>1965</v>
      </c>
      <c r="O2035" s="122">
        <v>728</v>
      </c>
      <c r="P2035" s="122">
        <v>351</v>
      </c>
      <c r="Q2035" s="122">
        <v>130</v>
      </c>
      <c r="R2035" s="122">
        <v>5307</v>
      </c>
      <c r="S2035" s="122">
        <v>1965</v>
      </c>
      <c r="T2035" s="122">
        <v>0</v>
      </c>
      <c r="U2035" s="122">
        <v>0</v>
      </c>
      <c r="V2035" s="122">
        <v>28577</v>
      </c>
      <c r="W2035" s="122">
        <f t="shared" si="64"/>
        <v>28577</v>
      </c>
      <c r="X2035" s="122">
        <f t="shared" si="65"/>
        <v>35952</v>
      </c>
      <c r="AA2035" t="s">
        <v>64</v>
      </c>
      <c r="AB2035" t="s">
        <v>579</v>
      </c>
      <c r="AC2035" t="s">
        <v>426</v>
      </c>
      <c r="AD2035" t="s">
        <v>579</v>
      </c>
      <c r="AE2035" t="s">
        <v>137</v>
      </c>
      <c r="AF2035">
        <v>2</v>
      </c>
      <c r="AG2035">
        <v>170</v>
      </c>
      <c r="AH2035" s="122">
        <v>1744</v>
      </c>
      <c r="AI2035" s="122">
        <v>100887</v>
      </c>
      <c r="AJ2035" s="122">
        <v>84072</v>
      </c>
      <c r="AK2035">
        <v>43</v>
      </c>
      <c r="AL2035" s="122">
        <v>11245</v>
      </c>
      <c r="AM2035" s="122">
        <v>10223</v>
      </c>
      <c r="AN2035" s="122">
        <v>3868</v>
      </c>
      <c r="AO2035" s="122">
        <v>1433</v>
      </c>
      <c r="AP2035">
        <v>351</v>
      </c>
      <c r="AQ2035">
        <v>130</v>
      </c>
      <c r="AR2035" s="122">
        <v>11809</v>
      </c>
      <c r="AS2035" s="122">
        <v>9841</v>
      </c>
      <c r="AT2035" s="122">
        <v>4453</v>
      </c>
      <c r="AU2035" s="122">
        <v>1649</v>
      </c>
      <c r="AV2035" s="122">
        <v>107348</v>
      </c>
    </row>
    <row r="2036" spans="2:48" hidden="1">
      <c r="B2036" t="s">
        <v>379</v>
      </c>
      <c r="C2036" t="s">
        <v>62</v>
      </c>
      <c r="D2036" t="s">
        <v>426</v>
      </c>
      <c r="E2036" t="s">
        <v>426</v>
      </c>
      <c r="F2036" s="122">
        <v>41</v>
      </c>
      <c r="G2036" s="122">
        <v>2404</v>
      </c>
      <c r="H2036" s="122">
        <v>17214</v>
      </c>
      <c r="I2036" s="122">
        <v>586428</v>
      </c>
      <c r="J2036" s="122">
        <v>533117</v>
      </c>
      <c r="K2036" s="122">
        <v>50</v>
      </c>
      <c r="L2036" s="122">
        <v>35015</v>
      </c>
      <c r="M2036" s="122">
        <v>28717</v>
      </c>
      <c r="N2036" s="122">
        <v>50166</v>
      </c>
      <c r="O2036" s="122">
        <v>18580</v>
      </c>
      <c r="P2036" s="122">
        <v>15930</v>
      </c>
      <c r="Q2036" s="122">
        <v>5900</v>
      </c>
      <c r="R2036" s="122">
        <v>231531</v>
      </c>
      <c r="S2036" s="122">
        <v>210482</v>
      </c>
      <c r="T2036" s="122">
        <v>93971</v>
      </c>
      <c r="U2036" s="122">
        <v>34804</v>
      </c>
      <c r="V2036" s="122">
        <v>831600</v>
      </c>
      <c r="W2036" s="122">
        <f t="shared" si="64"/>
        <v>831600</v>
      </c>
      <c r="X2036" s="122">
        <f t="shared" si="65"/>
        <v>1013041</v>
      </c>
      <c r="AA2036" t="s">
        <v>64</v>
      </c>
      <c r="AB2036" t="s">
        <v>579</v>
      </c>
      <c r="AC2036" t="s">
        <v>566</v>
      </c>
      <c r="AD2036" t="s">
        <v>137</v>
      </c>
      <c r="AE2036" t="s">
        <v>137</v>
      </c>
      <c r="AF2036">
        <v>2</v>
      </c>
      <c r="AG2036">
        <v>121</v>
      </c>
      <c r="AH2036" s="122">
        <v>1762</v>
      </c>
      <c r="AI2036" s="122">
        <v>103128</v>
      </c>
      <c r="AJ2036" s="122">
        <v>85940</v>
      </c>
      <c r="AK2036">
        <v>30</v>
      </c>
      <c r="AL2036">
        <v>0</v>
      </c>
      <c r="AM2036">
        <v>0</v>
      </c>
      <c r="AN2036" s="122">
        <v>2160</v>
      </c>
      <c r="AO2036">
        <v>800</v>
      </c>
      <c r="AP2036">
        <v>0</v>
      </c>
      <c r="AQ2036">
        <v>0</v>
      </c>
      <c r="AR2036" s="122">
        <v>8319</v>
      </c>
      <c r="AS2036" s="122">
        <v>3081</v>
      </c>
      <c r="AT2036" s="122">
        <v>1437</v>
      </c>
      <c r="AU2036">
        <v>532</v>
      </c>
      <c r="AV2036" s="122">
        <v>90353</v>
      </c>
    </row>
    <row r="2037" spans="2:48" hidden="1">
      <c r="B2037" t="s">
        <v>379</v>
      </c>
      <c r="C2037" t="s">
        <v>64</v>
      </c>
      <c r="D2037" t="s">
        <v>137</v>
      </c>
      <c r="E2037" t="s">
        <v>137</v>
      </c>
      <c r="F2037" s="122">
        <v>37</v>
      </c>
      <c r="G2037" s="122">
        <v>2766</v>
      </c>
      <c r="H2037" s="122">
        <v>21039</v>
      </c>
      <c r="I2037" s="122">
        <v>1085034</v>
      </c>
      <c r="J2037" s="122">
        <v>401865</v>
      </c>
      <c r="K2037" s="122">
        <v>100</v>
      </c>
      <c r="L2037" s="122">
        <v>175746</v>
      </c>
      <c r="M2037" s="122">
        <v>145565</v>
      </c>
      <c r="N2037" s="122">
        <v>60801</v>
      </c>
      <c r="O2037" s="122">
        <v>22519</v>
      </c>
      <c r="P2037" s="122">
        <v>1053</v>
      </c>
      <c r="Q2037" s="122">
        <v>390</v>
      </c>
      <c r="R2037" s="122">
        <v>264352</v>
      </c>
      <c r="S2037" s="122">
        <v>97908</v>
      </c>
      <c r="T2037" s="122">
        <v>0</v>
      </c>
      <c r="U2037" s="122">
        <v>0</v>
      </c>
      <c r="V2037" s="122">
        <v>668247</v>
      </c>
      <c r="W2037" s="122">
        <f t="shared" si="64"/>
        <v>668247</v>
      </c>
      <c r="X2037" s="122">
        <f t="shared" si="65"/>
        <v>1586986</v>
      </c>
      <c r="AA2037" t="s">
        <v>64</v>
      </c>
      <c r="AB2037" t="s">
        <v>579</v>
      </c>
      <c r="AC2037" t="s">
        <v>566</v>
      </c>
      <c r="AD2037" t="s">
        <v>137</v>
      </c>
      <c r="AE2037" t="s">
        <v>566</v>
      </c>
      <c r="AF2037">
        <v>124</v>
      </c>
      <c r="AG2037" s="122">
        <v>11500</v>
      </c>
      <c r="AH2037" s="122">
        <v>135042</v>
      </c>
      <c r="AI2037" s="122">
        <v>10773994</v>
      </c>
      <c r="AJ2037" s="122">
        <v>8978328</v>
      </c>
      <c r="AK2037">
        <v>31</v>
      </c>
      <c r="AL2037">
        <v>0</v>
      </c>
      <c r="AM2037" s="122">
        <v>25453</v>
      </c>
      <c r="AN2037" s="122">
        <v>256321</v>
      </c>
      <c r="AO2037" s="122">
        <v>94934</v>
      </c>
      <c r="AP2037" s="122">
        <v>1404</v>
      </c>
      <c r="AQ2037">
        <v>520</v>
      </c>
      <c r="AR2037" s="122">
        <v>970263</v>
      </c>
      <c r="AS2037" s="122">
        <v>359357</v>
      </c>
      <c r="AT2037">
        <v>0</v>
      </c>
      <c r="AU2037">
        <v>0</v>
      </c>
      <c r="AV2037" s="122">
        <v>9458592</v>
      </c>
    </row>
    <row r="2038" spans="2:48" hidden="1">
      <c r="B2038" t="s">
        <v>379</v>
      </c>
      <c r="C2038" t="s">
        <v>64</v>
      </c>
      <c r="D2038" t="s">
        <v>137</v>
      </c>
      <c r="E2038" t="s">
        <v>406</v>
      </c>
      <c r="F2038" s="122">
        <v>1</v>
      </c>
      <c r="G2038" s="122">
        <v>98</v>
      </c>
      <c r="H2038" s="122">
        <v>452</v>
      </c>
      <c r="I2038" s="122">
        <v>31561</v>
      </c>
      <c r="J2038" s="122">
        <v>11689</v>
      </c>
      <c r="K2038" s="122">
        <v>100</v>
      </c>
      <c r="L2038" s="122">
        <v>4762</v>
      </c>
      <c r="M2038" s="122">
        <v>4329</v>
      </c>
      <c r="N2038" s="122">
        <v>2111</v>
      </c>
      <c r="O2038" s="122">
        <v>782</v>
      </c>
      <c r="P2038" s="122">
        <v>0</v>
      </c>
      <c r="Q2038" s="122">
        <v>0</v>
      </c>
      <c r="R2038" s="122">
        <v>5779</v>
      </c>
      <c r="S2038" s="122">
        <v>5253</v>
      </c>
      <c r="T2038" s="122">
        <v>0</v>
      </c>
      <c r="U2038" s="122">
        <v>0</v>
      </c>
      <c r="V2038" s="122">
        <v>22054</v>
      </c>
      <c r="W2038" s="122">
        <f t="shared" si="64"/>
        <v>22053</v>
      </c>
      <c r="X2038" s="122">
        <f t="shared" si="65"/>
        <v>44213</v>
      </c>
      <c r="AA2038" t="s">
        <v>64</v>
      </c>
      <c r="AB2038" t="s">
        <v>579</v>
      </c>
      <c r="AC2038" t="s">
        <v>566</v>
      </c>
      <c r="AD2038" t="s">
        <v>407</v>
      </c>
      <c r="AE2038" t="s">
        <v>566</v>
      </c>
      <c r="AF2038">
        <v>2</v>
      </c>
      <c r="AG2038">
        <v>214</v>
      </c>
      <c r="AH2038" s="122">
        <v>1741</v>
      </c>
      <c r="AI2038" s="122">
        <v>171533</v>
      </c>
      <c r="AJ2038" s="122">
        <v>142944</v>
      </c>
      <c r="AK2038">
        <v>30</v>
      </c>
      <c r="AL2038">
        <v>0</v>
      </c>
      <c r="AM2038">
        <v>0</v>
      </c>
      <c r="AN2038" s="122">
        <v>5216</v>
      </c>
      <c r="AO2038" s="122">
        <v>1932</v>
      </c>
      <c r="AP2038">
        <v>0</v>
      </c>
      <c r="AQ2038">
        <v>0</v>
      </c>
      <c r="AR2038" s="122">
        <v>7306</v>
      </c>
      <c r="AS2038" s="122">
        <v>6642</v>
      </c>
      <c r="AT2038">
        <v>0</v>
      </c>
      <c r="AU2038">
        <v>0</v>
      </c>
      <c r="AV2038" s="122">
        <v>151518</v>
      </c>
    </row>
    <row r="2039" spans="2:48" hidden="1">
      <c r="B2039" t="s">
        <v>379</v>
      </c>
      <c r="C2039" t="s">
        <v>64</v>
      </c>
      <c r="D2039" t="s">
        <v>137</v>
      </c>
      <c r="E2039" t="s">
        <v>427</v>
      </c>
      <c r="F2039" s="122">
        <v>2</v>
      </c>
      <c r="G2039" s="122">
        <v>181</v>
      </c>
      <c r="H2039" s="122">
        <v>1431</v>
      </c>
      <c r="I2039" s="122">
        <v>101242</v>
      </c>
      <c r="J2039" s="122">
        <v>37497</v>
      </c>
      <c r="K2039" s="122">
        <v>100</v>
      </c>
      <c r="L2039" s="122">
        <v>12594</v>
      </c>
      <c r="M2039" s="122">
        <v>11449</v>
      </c>
      <c r="N2039" s="122">
        <v>4595</v>
      </c>
      <c r="O2039" s="122">
        <v>1702</v>
      </c>
      <c r="P2039" s="122">
        <v>0</v>
      </c>
      <c r="Q2039" s="122">
        <v>0</v>
      </c>
      <c r="R2039" s="122">
        <v>14846</v>
      </c>
      <c r="S2039" s="122">
        <v>13496</v>
      </c>
      <c r="T2039" s="122">
        <v>5233</v>
      </c>
      <c r="U2039" s="122">
        <v>1938</v>
      </c>
      <c r="V2039" s="122">
        <v>66083</v>
      </c>
      <c r="W2039" s="122">
        <f t="shared" si="64"/>
        <v>66082</v>
      </c>
      <c r="X2039" s="122">
        <f t="shared" si="65"/>
        <v>138510</v>
      </c>
      <c r="AA2039" t="s">
        <v>64</v>
      </c>
      <c r="AB2039" t="s">
        <v>579</v>
      </c>
      <c r="AC2039" t="s">
        <v>566</v>
      </c>
      <c r="AD2039" t="s">
        <v>579</v>
      </c>
      <c r="AE2039" t="s">
        <v>137</v>
      </c>
      <c r="AF2039">
        <v>257</v>
      </c>
      <c r="AG2039" s="122">
        <v>17618</v>
      </c>
      <c r="AH2039" s="122">
        <v>151171</v>
      </c>
      <c r="AI2039" s="122">
        <v>8031189</v>
      </c>
      <c r="AJ2039" s="122">
        <v>6692657</v>
      </c>
      <c r="AK2039">
        <v>54</v>
      </c>
      <c r="AL2039">
        <v>0</v>
      </c>
      <c r="AM2039" s="122">
        <v>46208</v>
      </c>
      <c r="AN2039" s="122">
        <v>375237</v>
      </c>
      <c r="AO2039" s="122">
        <v>138977</v>
      </c>
      <c r="AP2039" s="122">
        <v>83268</v>
      </c>
      <c r="AQ2039" s="122">
        <v>30840</v>
      </c>
      <c r="AR2039" s="122">
        <v>1394461</v>
      </c>
      <c r="AS2039" s="122">
        <v>1162051</v>
      </c>
      <c r="AT2039" s="122">
        <v>541792</v>
      </c>
      <c r="AU2039" s="122">
        <v>200664</v>
      </c>
      <c r="AV2039" s="122">
        <v>8271396</v>
      </c>
    </row>
    <row r="2040" spans="2:48" hidden="1">
      <c r="B2040" t="s">
        <v>379</v>
      </c>
      <c r="C2040" t="s">
        <v>64</v>
      </c>
      <c r="D2040" t="s">
        <v>137</v>
      </c>
      <c r="E2040" t="s">
        <v>426</v>
      </c>
      <c r="F2040" s="122">
        <v>2</v>
      </c>
      <c r="G2040" s="122">
        <v>186</v>
      </c>
      <c r="H2040" s="122">
        <v>1161</v>
      </c>
      <c r="I2040" s="122">
        <v>83570</v>
      </c>
      <c r="J2040" s="122">
        <v>30952</v>
      </c>
      <c r="K2040" s="122">
        <v>100</v>
      </c>
      <c r="L2040" s="122">
        <v>8048</v>
      </c>
      <c r="M2040" s="122">
        <v>7316</v>
      </c>
      <c r="N2040" s="122">
        <v>4319</v>
      </c>
      <c r="O2040" s="122">
        <v>1600</v>
      </c>
      <c r="P2040" s="122">
        <v>0</v>
      </c>
      <c r="Q2040" s="122">
        <v>0</v>
      </c>
      <c r="R2040" s="122">
        <v>8771</v>
      </c>
      <c r="S2040" s="122">
        <v>7974</v>
      </c>
      <c r="T2040" s="122">
        <v>3779</v>
      </c>
      <c r="U2040" s="122">
        <v>1400</v>
      </c>
      <c r="V2040" s="122">
        <v>49241</v>
      </c>
      <c r="W2040" s="122">
        <f t="shared" si="64"/>
        <v>49242</v>
      </c>
      <c r="X2040" s="122">
        <f t="shared" si="65"/>
        <v>108487</v>
      </c>
      <c r="AA2040" t="s">
        <v>64</v>
      </c>
      <c r="AB2040" t="s">
        <v>579</v>
      </c>
      <c r="AC2040" t="s">
        <v>566</v>
      </c>
      <c r="AD2040" t="s">
        <v>579</v>
      </c>
      <c r="AE2040" t="s">
        <v>566</v>
      </c>
      <c r="AF2040">
        <v>25</v>
      </c>
      <c r="AG2040" s="122">
        <v>1803</v>
      </c>
      <c r="AH2040" s="122">
        <v>17456</v>
      </c>
      <c r="AI2040" s="122">
        <v>1028814</v>
      </c>
      <c r="AJ2040" s="122">
        <v>857345</v>
      </c>
      <c r="AK2040">
        <v>51</v>
      </c>
      <c r="AL2040">
        <v>0</v>
      </c>
      <c r="AM2040" s="122">
        <v>20066</v>
      </c>
      <c r="AN2040" s="122">
        <v>36151</v>
      </c>
      <c r="AO2040" s="122">
        <v>13389</v>
      </c>
      <c r="AP2040" s="122">
        <v>4914</v>
      </c>
      <c r="AQ2040" s="122">
        <v>1820</v>
      </c>
      <c r="AR2040" s="122">
        <v>183731</v>
      </c>
      <c r="AS2040" s="122">
        <v>153109</v>
      </c>
      <c r="AT2040">
        <v>0</v>
      </c>
      <c r="AU2040">
        <v>0</v>
      </c>
      <c r="AV2040" s="122">
        <v>1045730</v>
      </c>
    </row>
    <row r="2041" spans="2:48" hidden="1">
      <c r="B2041" t="s">
        <v>379</v>
      </c>
      <c r="C2041" t="s">
        <v>64</v>
      </c>
      <c r="D2041" t="s">
        <v>406</v>
      </c>
      <c r="E2041" t="s">
        <v>137</v>
      </c>
      <c r="F2041" s="122">
        <v>1</v>
      </c>
      <c r="G2041" s="122">
        <v>135</v>
      </c>
      <c r="H2041" s="122">
        <v>466</v>
      </c>
      <c r="I2041" s="122">
        <v>43318</v>
      </c>
      <c r="J2041" s="122">
        <v>39380</v>
      </c>
      <c r="K2041" s="122">
        <v>70</v>
      </c>
      <c r="L2041" s="122">
        <v>10669</v>
      </c>
      <c r="M2041" s="122">
        <v>9699</v>
      </c>
      <c r="N2041" s="122">
        <v>2275</v>
      </c>
      <c r="O2041" s="122">
        <v>842</v>
      </c>
      <c r="P2041" s="122">
        <v>621</v>
      </c>
      <c r="Q2041" s="122">
        <v>230</v>
      </c>
      <c r="R2041" s="122">
        <v>6205</v>
      </c>
      <c r="S2041" s="122">
        <v>2298</v>
      </c>
      <c r="T2041" s="122">
        <v>0</v>
      </c>
      <c r="U2041" s="122">
        <v>0</v>
      </c>
      <c r="V2041" s="122">
        <v>52450</v>
      </c>
      <c r="W2041" s="122">
        <f t="shared" si="64"/>
        <v>52449</v>
      </c>
      <c r="X2041" s="122">
        <f t="shared" si="65"/>
        <v>63088</v>
      </c>
      <c r="AA2041" t="s">
        <v>64</v>
      </c>
      <c r="AB2041" t="s">
        <v>579</v>
      </c>
      <c r="AC2041" t="s">
        <v>566</v>
      </c>
      <c r="AD2041" t="s">
        <v>426</v>
      </c>
      <c r="AE2041" t="s">
        <v>566</v>
      </c>
      <c r="AF2041">
        <v>1</v>
      </c>
      <c r="AG2041">
        <v>63</v>
      </c>
      <c r="AH2041">
        <v>504</v>
      </c>
      <c r="AI2041" s="122">
        <v>28323</v>
      </c>
      <c r="AJ2041" s="122">
        <v>23603</v>
      </c>
      <c r="AK2041">
        <v>30</v>
      </c>
      <c r="AL2041">
        <v>0</v>
      </c>
      <c r="AM2041">
        <v>0</v>
      </c>
      <c r="AN2041" s="122">
        <v>1533</v>
      </c>
      <c r="AO2041">
        <v>568</v>
      </c>
      <c r="AP2041">
        <v>0</v>
      </c>
      <c r="AQ2041">
        <v>0</v>
      </c>
      <c r="AR2041" s="122">
        <v>1834</v>
      </c>
      <c r="AS2041" s="122">
        <v>1667</v>
      </c>
      <c r="AT2041">
        <v>0</v>
      </c>
      <c r="AU2041">
        <v>0</v>
      </c>
      <c r="AV2041" s="122">
        <v>25838</v>
      </c>
    </row>
    <row r="2042" spans="2:48" hidden="1">
      <c r="B2042" t="s">
        <v>379</v>
      </c>
      <c r="C2042" t="s">
        <v>64</v>
      </c>
      <c r="D2042" t="s">
        <v>406</v>
      </c>
      <c r="E2042" t="s">
        <v>406</v>
      </c>
      <c r="F2042" s="122">
        <v>87</v>
      </c>
      <c r="G2042" s="122">
        <v>7777</v>
      </c>
      <c r="H2042" s="122">
        <v>45741</v>
      </c>
      <c r="I2042" s="122">
        <v>2717456</v>
      </c>
      <c r="J2042" s="122">
        <v>2470414</v>
      </c>
      <c r="K2042" s="122">
        <v>70</v>
      </c>
      <c r="L2042" s="122">
        <v>536588</v>
      </c>
      <c r="M2042" s="122">
        <v>477992</v>
      </c>
      <c r="N2042" s="122">
        <v>172572</v>
      </c>
      <c r="O2042" s="122">
        <v>63916</v>
      </c>
      <c r="P2042" s="122">
        <v>55161</v>
      </c>
      <c r="Q2042" s="122">
        <v>20430</v>
      </c>
      <c r="R2042" s="122">
        <v>401440</v>
      </c>
      <c r="S2042" s="122">
        <v>364946</v>
      </c>
      <c r="T2042" s="122">
        <v>191905</v>
      </c>
      <c r="U2042" s="122">
        <v>71076</v>
      </c>
      <c r="V2042" s="122">
        <v>3468774</v>
      </c>
      <c r="W2042" s="122">
        <f t="shared" si="64"/>
        <v>3468774</v>
      </c>
      <c r="X2042" s="122">
        <f t="shared" si="65"/>
        <v>4075122</v>
      </c>
      <c r="AA2042" t="s">
        <v>64</v>
      </c>
      <c r="AB2042" t="s">
        <v>428</v>
      </c>
      <c r="AC2042" t="s">
        <v>137</v>
      </c>
      <c r="AD2042" t="s">
        <v>137</v>
      </c>
      <c r="AE2042" t="s">
        <v>566</v>
      </c>
      <c r="AF2042">
        <v>1</v>
      </c>
      <c r="AG2042">
        <v>142</v>
      </c>
      <c r="AH2042">
        <v>900</v>
      </c>
      <c r="AI2042" s="122">
        <v>104701</v>
      </c>
      <c r="AJ2042" s="122">
        <v>95182</v>
      </c>
      <c r="AK2042">
        <v>30</v>
      </c>
      <c r="AL2042" s="122">
        <v>8566</v>
      </c>
      <c r="AM2042" s="122">
        <v>3173</v>
      </c>
      <c r="AN2042" s="122">
        <v>3460</v>
      </c>
      <c r="AO2042" s="122">
        <v>1282</v>
      </c>
      <c r="AP2042">
        <v>0</v>
      </c>
      <c r="AQ2042">
        <v>0</v>
      </c>
      <c r="AR2042" s="122">
        <v>11042</v>
      </c>
      <c r="AS2042" s="122">
        <v>4089</v>
      </c>
      <c r="AT2042">
        <v>0</v>
      </c>
      <c r="AU2042">
        <v>0</v>
      </c>
      <c r="AV2042" s="122">
        <v>103726</v>
      </c>
    </row>
    <row r="2043" spans="2:48" hidden="1">
      <c r="B2043" t="s">
        <v>379</v>
      </c>
      <c r="C2043" t="s">
        <v>64</v>
      </c>
      <c r="D2043" t="s">
        <v>406</v>
      </c>
      <c r="E2043" t="s">
        <v>426</v>
      </c>
      <c r="F2043" s="122">
        <v>1</v>
      </c>
      <c r="G2043" s="122">
        <v>131</v>
      </c>
      <c r="H2043" s="122">
        <v>515</v>
      </c>
      <c r="I2043" s="122">
        <v>51803</v>
      </c>
      <c r="J2043" s="122">
        <v>47094</v>
      </c>
      <c r="K2043" s="122">
        <v>65</v>
      </c>
      <c r="L2043" s="122">
        <v>5473</v>
      </c>
      <c r="M2043" s="122">
        <v>4975</v>
      </c>
      <c r="N2043" s="122">
        <v>2908</v>
      </c>
      <c r="O2043" s="122">
        <v>1077</v>
      </c>
      <c r="P2043" s="122">
        <v>621</v>
      </c>
      <c r="Q2043" s="122">
        <v>230</v>
      </c>
      <c r="R2043" s="122">
        <v>4388</v>
      </c>
      <c r="S2043" s="122">
        <v>3989</v>
      </c>
      <c r="T2043" s="122">
        <v>2361</v>
      </c>
      <c r="U2043" s="122">
        <v>874</v>
      </c>
      <c r="V2043" s="122">
        <v>58239</v>
      </c>
      <c r="W2043" s="122">
        <f t="shared" si="64"/>
        <v>58239</v>
      </c>
      <c r="X2043" s="122">
        <f t="shared" si="65"/>
        <v>67554</v>
      </c>
      <c r="AA2043" t="s">
        <v>64</v>
      </c>
      <c r="AB2043" t="s">
        <v>428</v>
      </c>
      <c r="AC2043" t="s">
        <v>137</v>
      </c>
      <c r="AD2043" t="s">
        <v>428</v>
      </c>
      <c r="AE2043" t="s">
        <v>137</v>
      </c>
      <c r="AF2043">
        <v>3</v>
      </c>
      <c r="AG2043">
        <v>243</v>
      </c>
      <c r="AH2043" s="122">
        <v>1872</v>
      </c>
      <c r="AI2043" s="122">
        <v>102616</v>
      </c>
      <c r="AJ2043" s="122">
        <v>93287</v>
      </c>
      <c r="AK2043">
        <v>53</v>
      </c>
      <c r="AL2043" s="122">
        <v>15042</v>
      </c>
      <c r="AM2043" s="122">
        <v>5571</v>
      </c>
      <c r="AN2043" s="122">
        <v>5149</v>
      </c>
      <c r="AO2043" s="122">
        <v>1907</v>
      </c>
      <c r="AP2043">
        <v>351</v>
      </c>
      <c r="AQ2043">
        <v>130</v>
      </c>
      <c r="AR2043" s="122">
        <v>16057</v>
      </c>
      <c r="AS2043" s="122">
        <v>14597</v>
      </c>
      <c r="AT2043" s="122">
        <v>8092</v>
      </c>
      <c r="AU2043" s="122">
        <v>2997</v>
      </c>
      <c r="AV2043" s="122">
        <v>118490</v>
      </c>
    </row>
    <row r="2044" spans="2:48" hidden="1">
      <c r="B2044" t="s">
        <v>379</v>
      </c>
      <c r="C2044" t="s">
        <v>64</v>
      </c>
      <c r="D2044" t="s">
        <v>427</v>
      </c>
      <c r="E2044" t="s">
        <v>137</v>
      </c>
      <c r="F2044" s="122">
        <v>1</v>
      </c>
      <c r="G2044" s="122">
        <v>60</v>
      </c>
      <c r="H2044" s="122">
        <v>1530</v>
      </c>
      <c r="I2044" s="122">
        <v>79618</v>
      </c>
      <c r="J2044" s="122">
        <v>72380</v>
      </c>
      <c r="K2044" s="122">
        <v>30</v>
      </c>
      <c r="L2044" s="122">
        <v>6514</v>
      </c>
      <c r="M2044" s="122">
        <v>2413</v>
      </c>
      <c r="N2044" s="122">
        <v>1328</v>
      </c>
      <c r="O2044" s="122">
        <v>492</v>
      </c>
      <c r="P2044" s="122">
        <v>0</v>
      </c>
      <c r="Q2044" s="122">
        <v>0</v>
      </c>
      <c r="R2044" s="122">
        <v>3705</v>
      </c>
      <c r="S2044" s="122">
        <v>1372</v>
      </c>
      <c r="T2044" s="122">
        <v>0</v>
      </c>
      <c r="U2044" s="122">
        <v>0</v>
      </c>
      <c r="V2044" s="122">
        <v>76656</v>
      </c>
      <c r="W2044" s="122">
        <f t="shared" si="64"/>
        <v>76657</v>
      </c>
      <c r="X2044" s="122">
        <f t="shared" si="65"/>
        <v>91165</v>
      </c>
      <c r="AA2044" t="s">
        <v>64</v>
      </c>
      <c r="AB2044" t="s">
        <v>428</v>
      </c>
      <c r="AC2044" t="s">
        <v>137</v>
      </c>
      <c r="AD2044" t="s">
        <v>428</v>
      </c>
      <c r="AE2044" t="s">
        <v>566</v>
      </c>
      <c r="AF2044">
        <v>2</v>
      </c>
      <c r="AG2044">
        <v>167</v>
      </c>
      <c r="AH2044" s="122">
        <v>1339</v>
      </c>
      <c r="AI2044" s="122">
        <v>70945</v>
      </c>
      <c r="AJ2044" s="122">
        <v>64495</v>
      </c>
      <c r="AK2044">
        <v>40</v>
      </c>
      <c r="AL2044" s="122">
        <v>7559</v>
      </c>
      <c r="AM2044" s="122">
        <v>2800</v>
      </c>
      <c r="AN2044" s="122">
        <v>4080</v>
      </c>
      <c r="AO2044" s="122">
        <v>1511</v>
      </c>
      <c r="AP2044">
        <v>0</v>
      </c>
      <c r="AQ2044">
        <v>0</v>
      </c>
      <c r="AR2044" s="122">
        <v>28065</v>
      </c>
      <c r="AS2044" s="122">
        <v>25514</v>
      </c>
      <c r="AT2044">
        <v>0</v>
      </c>
      <c r="AU2044">
        <v>0</v>
      </c>
      <c r="AV2044" s="122">
        <v>94320</v>
      </c>
    </row>
    <row r="2045" spans="2:48" hidden="1">
      <c r="B2045" t="s">
        <v>379</v>
      </c>
      <c r="C2045" t="s">
        <v>64</v>
      </c>
      <c r="D2045" t="s">
        <v>427</v>
      </c>
      <c r="E2045" t="s">
        <v>427</v>
      </c>
      <c r="F2045" s="122">
        <v>17</v>
      </c>
      <c r="G2045" s="122">
        <v>917</v>
      </c>
      <c r="H2045" s="122">
        <v>10527</v>
      </c>
      <c r="I2045" s="122">
        <v>362825</v>
      </c>
      <c r="J2045" s="122">
        <v>329841</v>
      </c>
      <c r="K2045" s="122">
        <v>53</v>
      </c>
      <c r="L2045" s="122">
        <v>67709</v>
      </c>
      <c r="M2045" s="122">
        <v>40267</v>
      </c>
      <c r="N2045" s="122">
        <v>20401</v>
      </c>
      <c r="O2045" s="122">
        <v>7556</v>
      </c>
      <c r="P2045" s="122">
        <v>5265</v>
      </c>
      <c r="Q2045" s="122">
        <v>1950</v>
      </c>
      <c r="R2045" s="122">
        <v>95182</v>
      </c>
      <c r="S2045" s="122">
        <v>86529</v>
      </c>
      <c r="T2045" s="122">
        <v>34464</v>
      </c>
      <c r="U2045" s="122">
        <v>12765</v>
      </c>
      <c r="V2045" s="122">
        <v>478907</v>
      </c>
      <c r="W2045" s="122">
        <f t="shared" si="64"/>
        <v>478908</v>
      </c>
      <c r="X2045" s="122">
        <f t="shared" si="65"/>
        <v>585846</v>
      </c>
      <c r="AA2045" t="s">
        <v>64</v>
      </c>
      <c r="AB2045" t="s">
        <v>428</v>
      </c>
      <c r="AC2045" t="s">
        <v>427</v>
      </c>
      <c r="AD2045" t="s">
        <v>428</v>
      </c>
      <c r="AE2045" t="s">
        <v>137</v>
      </c>
      <c r="AF2045">
        <v>1</v>
      </c>
      <c r="AG2045">
        <v>75</v>
      </c>
      <c r="AH2045">
        <v>469</v>
      </c>
      <c r="AI2045" s="122">
        <v>22768</v>
      </c>
      <c r="AJ2045" s="122">
        <v>20698</v>
      </c>
      <c r="AK2045">
        <v>65</v>
      </c>
      <c r="AL2045" s="122">
        <v>5211</v>
      </c>
      <c r="AM2045" s="122">
        <v>4738</v>
      </c>
      <c r="AN2045" s="122">
        <v>1407</v>
      </c>
      <c r="AO2045">
        <v>521</v>
      </c>
      <c r="AP2045">
        <v>621</v>
      </c>
      <c r="AQ2045">
        <v>230</v>
      </c>
      <c r="AR2045" s="122">
        <v>2802</v>
      </c>
      <c r="AS2045" s="122">
        <v>2547</v>
      </c>
      <c r="AT2045" s="122">
        <v>2092</v>
      </c>
      <c r="AU2045">
        <v>775</v>
      </c>
      <c r="AV2045" s="122">
        <v>29509</v>
      </c>
    </row>
    <row r="2046" spans="2:48" hidden="1">
      <c r="B2046" t="s">
        <v>379</v>
      </c>
      <c r="C2046" t="s">
        <v>64</v>
      </c>
      <c r="D2046" t="s">
        <v>407</v>
      </c>
      <c r="E2046" t="s">
        <v>137</v>
      </c>
      <c r="F2046" s="122">
        <v>1</v>
      </c>
      <c r="G2046" s="122">
        <v>77</v>
      </c>
      <c r="H2046" s="122">
        <v>754</v>
      </c>
      <c r="I2046" s="122">
        <v>26174</v>
      </c>
      <c r="J2046" s="122">
        <v>23795</v>
      </c>
      <c r="K2046" s="122">
        <v>65</v>
      </c>
      <c r="L2046" s="122">
        <v>2995</v>
      </c>
      <c r="M2046" s="122">
        <v>2723</v>
      </c>
      <c r="N2046" s="122">
        <v>1774</v>
      </c>
      <c r="O2046" s="122">
        <v>657</v>
      </c>
      <c r="P2046" s="122">
        <v>473</v>
      </c>
      <c r="Q2046" s="122">
        <v>175</v>
      </c>
      <c r="R2046" s="122">
        <v>26697</v>
      </c>
      <c r="S2046" s="122">
        <v>9888</v>
      </c>
      <c r="T2046" s="122">
        <v>0</v>
      </c>
      <c r="U2046" s="122">
        <v>0</v>
      </c>
      <c r="V2046" s="122">
        <v>37237</v>
      </c>
      <c r="W2046" s="122">
        <f t="shared" si="64"/>
        <v>37238</v>
      </c>
      <c r="X2046" s="122">
        <f t="shared" si="65"/>
        <v>58113</v>
      </c>
      <c r="AA2046" t="s">
        <v>64</v>
      </c>
      <c r="AB2046" t="s">
        <v>428</v>
      </c>
      <c r="AC2046" t="s">
        <v>427</v>
      </c>
      <c r="AD2046" t="s">
        <v>428</v>
      </c>
      <c r="AE2046" t="s">
        <v>566</v>
      </c>
      <c r="AF2046">
        <v>1</v>
      </c>
      <c r="AG2046">
        <v>81</v>
      </c>
      <c r="AH2046">
        <v>625</v>
      </c>
      <c r="AI2046" s="122">
        <v>34308</v>
      </c>
      <c r="AJ2046" s="122">
        <v>31189</v>
      </c>
      <c r="AK2046">
        <v>45</v>
      </c>
      <c r="AL2046" s="122">
        <v>5718</v>
      </c>
      <c r="AM2046" s="122">
        <v>5198</v>
      </c>
      <c r="AN2046" s="122">
        <v>1201</v>
      </c>
      <c r="AO2046">
        <v>445</v>
      </c>
      <c r="AP2046">
        <v>351</v>
      </c>
      <c r="AQ2046">
        <v>130</v>
      </c>
      <c r="AR2046" s="122">
        <v>8955</v>
      </c>
      <c r="AS2046" s="122">
        <v>8141</v>
      </c>
      <c r="AT2046">
        <v>0</v>
      </c>
      <c r="AU2046">
        <v>0</v>
      </c>
      <c r="AV2046" s="122">
        <v>45102</v>
      </c>
    </row>
    <row r="2047" spans="2:48" hidden="1">
      <c r="B2047" t="s">
        <v>379</v>
      </c>
      <c r="C2047" t="s">
        <v>64</v>
      </c>
      <c r="D2047" t="s">
        <v>407</v>
      </c>
      <c r="E2047" t="s">
        <v>407</v>
      </c>
      <c r="F2047" s="122">
        <v>2</v>
      </c>
      <c r="G2047" s="122">
        <v>160</v>
      </c>
      <c r="H2047" s="122">
        <v>1223</v>
      </c>
      <c r="I2047" s="122">
        <v>64047</v>
      </c>
      <c r="J2047" s="122">
        <v>58224</v>
      </c>
      <c r="K2047" s="122">
        <v>76</v>
      </c>
      <c r="L2047" s="122">
        <v>12377</v>
      </c>
      <c r="M2047" s="122">
        <v>11252</v>
      </c>
      <c r="N2047" s="122">
        <v>3693</v>
      </c>
      <c r="O2047" s="122">
        <v>1368</v>
      </c>
      <c r="P2047" s="122">
        <v>945</v>
      </c>
      <c r="Q2047" s="122">
        <v>350</v>
      </c>
      <c r="R2047" s="122">
        <v>9389</v>
      </c>
      <c r="S2047" s="122">
        <v>8536</v>
      </c>
      <c r="T2047" s="122">
        <v>6107</v>
      </c>
      <c r="U2047" s="122">
        <v>2262</v>
      </c>
      <c r="V2047" s="122">
        <v>81992</v>
      </c>
      <c r="W2047" s="122">
        <f t="shared" si="64"/>
        <v>81992</v>
      </c>
      <c r="X2047" s="122">
        <f t="shared" si="65"/>
        <v>96558</v>
      </c>
      <c r="AA2047" t="s">
        <v>64</v>
      </c>
      <c r="AB2047" t="s">
        <v>428</v>
      </c>
      <c r="AC2047" t="s">
        <v>428</v>
      </c>
      <c r="AD2047" t="s">
        <v>428</v>
      </c>
      <c r="AE2047" t="s">
        <v>137</v>
      </c>
      <c r="AF2047">
        <v>11</v>
      </c>
      <c r="AG2047">
        <v>848</v>
      </c>
      <c r="AH2047" s="122">
        <v>6359</v>
      </c>
      <c r="AI2047" s="122">
        <v>332428</v>
      </c>
      <c r="AJ2047" s="122">
        <v>302207</v>
      </c>
      <c r="AK2047">
        <v>56</v>
      </c>
      <c r="AL2047" s="122">
        <v>54177</v>
      </c>
      <c r="AM2047" s="122">
        <v>49252</v>
      </c>
      <c r="AN2047" s="122">
        <v>17648</v>
      </c>
      <c r="AO2047" s="122">
        <v>6536</v>
      </c>
      <c r="AP2047" s="122">
        <v>3510</v>
      </c>
      <c r="AQ2047" s="122">
        <v>1300</v>
      </c>
      <c r="AR2047" s="122">
        <v>56833</v>
      </c>
      <c r="AS2047" s="122">
        <v>51667</v>
      </c>
      <c r="AT2047" s="122">
        <v>20343</v>
      </c>
      <c r="AU2047" s="122">
        <v>7535</v>
      </c>
      <c r="AV2047" s="122">
        <v>418497</v>
      </c>
    </row>
    <row r="2048" spans="2:48" hidden="1">
      <c r="B2048" t="s">
        <v>379</v>
      </c>
      <c r="C2048" t="s">
        <v>64</v>
      </c>
      <c r="D2048" t="s">
        <v>556</v>
      </c>
      <c r="E2048" t="s">
        <v>556</v>
      </c>
      <c r="F2048" s="122">
        <v>1</v>
      </c>
      <c r="G2048" s="122">
        <v>99</v>
      </c>
      <c r="H2048" s="122">
        <v>739</v>
      </c>
      <c r="I2048" s="122">
        <v>50749</v>
      </c>
      <c r="J2048" s="122">
        <v>42291</v>
      </c>
      <c r="K2048" s="122">
        <v>55</v>
      </c>
      <c r="L2048" s="122">
        <v>10338</v>
      </c>
      <c r="M2048" s="122">
        <v>8615</v>
      </c>
      <c r="N2048" s="122">
        <v>2115</v>
      </c>
      <c r="O2048" s="122">
        <v>783</v>
      </c>
      <c r="P2048" s="122">
        <v>0</v>
      </c>
      <c r="Q2048" s="122">
        <v>0</v>
      </c>
      <c r="R2048" s="122">
        <v>6919</v>
      </c>
      <c r="S2048" s="122">
        <v>5766</v>
      </c>
      <c r="T2048" s="122">
        <v>3130</v>
      </c>
      <c r="U2048" s="122">
        <v>1159</v>
      </c>
      <c r="V2048" s="122">
        <v>58614</v>
      </c>
      <c r="W2048" s="122">
        <f t="shared" si="64"/>
        <v>58614</v>
      </c>
      <c r="X2048" s="122">
        <f t="shared" si="65"/>
        <v>73251</v>
      </c>
      <c r="AA2048" t="s">
        <v>64</v>
      </c>
      <c r="AB2048" t="s">
        <v>428</v>
      </c>
      <c r="AC2048" t="s">
        <v>428</v>
      </c>
      <c r="AD2048" t="s">
        <v>428</v>
      </c>
      <c r="AE2048" t="s">
        <v>566</v>
      </c>
      <c r="AF2048">
        <v>7</v>
      </c>
      <c r="AG2048">
        <v>493</v>
      </c>
      <c r="AH2048" s="122">
        <v>4798</v>
      </c>
      <c r="AI2048" s="122">
        <v>233236</v>
      </c>
      <c r="AJ2048" s="122">
        <v>212033</v>
      </c>
      <c r="AK2048">
        <v>51</v>
      </c>
      <c r="AL2048" s="122">
        <v>33456</v>
      </c>
      <c r="AM2048" s="122">
        <v>30415</v>
      </c>
      <c r="AN2048" s="122">
        <v>11779</v>
      </c>
      <c r="AO2048" s="122">
        <v>4363</v>
      </c>
      <c r="AP2048" s="122">
        <v>2106</v>
      </c>
      <c r="AQ2048">
        <v>780</v>
      </c>
      <c r="AR2048" s="122">
        <v>51831</v>
      </c>
      <c r="AS2048" s="122">
        <v>47119</v>
      </c>
      <c r="AT2048">
        <v>0</v>
      </c>
      <c r="AU2048">
        <v>0</v>
      </c>
      <c r="AV2048" s="122">
        <v>294709</v>
      </c>
    </row>
    <row r="2049" spans="2:48" hidden="1">
      <c r="B2049" t="s">
        <v>379</v>
      </c>
      <c r="C2049" t="s">
        <v>64</v>
      </c>
      <c r="D2049" t="s">
        <v>426</v>
      </c>
      <c r="E2049" t="s">
        <v>137</v>
      </c>
      <c r="F2049" s="122">
        <v>4</v>
      </c>
      <c r="G2049" s="122">
        <v>286</v>
      </c>
      <c r="H2049" s="122">
        <v>3664</v>
      </c>
      <c r="I2049" s="122">
        <v>216926</v>
      </c>
      <c r="J2049" s="122">
        <v>197206</v>
      </c>
      <c r="K2049" s="122">
        <v>30</v>
      </c>
      <c r="L2049" s="122">
        <v>17749</v>
      </c>
      <c r="M2049" s="122">
        <v>6574</v>
      </c>
      <c r="N2049" s="122">
        <v>6614</v>
      </c>
      <c r="O2049" s="122">
        <v>2450</v>
      </c>
      <c r="P2049" s="122">
        <v>0</v>
      </c>
      <c r="Q2049" s="122">
        <v>0</v>
      </c>
      <c r="R2049" s="122">
        <v>22093</v>
      </c>
      <c r="S2049" s="122">
        <v>8183</v>
      </c>
      <c r="T2049" s="122">
        <v>0</v>
      </c>
      <c r="U2049" s="122">
        <v>0</v>
      </c>
      <c r="V2049" s="122">
        <v>214412</v>
      </c>
      <c r="W2049" s="122">
        <f t="shared" si="64"/>
        <v>214413</v>
      </c>
      <c r="X2049" s="122">
        <f t="shared" si="65"/>
        <v>263382</v>
      </c>
      <c r="AA2049" t="s">
        <v>64</v>
      </c>
      <c r="AB2049" t="s">
        <v>428</v>
      </c>
      <c r="AC2049" t="s">
        <v>426</v>
      </c>
      <c r="AD2049" t="s">
        <v>428</v>
      </c>
      <c r="AE2049" t="s">
        <v>137</v>
      </c>
      <c r="AF2049">
        <v>5</v>
      </c>
      <c r="AG2049">
        <v>402</v>
      </c>
      <c r="AH2049" s="122">
        <v>2882</v>
      </c>
      <c r="AI2049" s="122">
        <v>160443</v>
      </c>
      <c r="AJ2049" s="122">
        <v>145857</v>
      </c>
      <c r="AK2049">
        <v>45</v>
      </c>
      <c r="AL2049" s="122">
        <v>23538</v>
      </c>
      <c r="AM2049" s="122">
        <v>21398</v>
      </c>
      <c r="AN2049" s="122">
        <v>7643</v>
      </c>
      <c r="AO2049" s="122">
        <v>2831</v>
      </c>
      <c r="AP2049" s="122">
        <v>1755</v>
      </c>
      <c r="AQ2049">
        <v>650</v>
      </c>
      <c r="AR2049" s="122">
        <v>30499</v>
      </c>
      <c r="AS2049" s="122">
        <v>27726</v>
      </c>
      <c r="AT2049" s="122">
        <v>10979</v>
      </c>
      <c r="AU2049" s="122">
        <v>4066</v>
      </c>
      <c r="AV2049" s="122">
        <v>202529</v>
      </c>
    </row>
    <row r="2050" spans="2:48" hidden="1">
      <c r="B2050" t="s">
        <v>379</v>
      </c>
      <c r="C2050" t="s">
        <v>64</v>
      </c>
      <c r="D2050" t="s">
        <v>426</v>
      </c>
      <c r="E2050" t="s">
        <v>406</v>
      </c>
      <c r="F2050" s="122">
        <v>1</v>
      </c>
      <c r="G2050" s="122">
        <v>132</v>
      </c>
      <c r="H2050" s="122">
        <v>807</v>
      </c>
      <c r="I2050" s="122">
        <v>91397</v>
      </c>
      <c r="J2050" s="122">
        <v>83089</v>
      </c>
      <c r="K2050" s="122">
        <v>30</v>
      </c>
      <c r="L2050" s="122">
        <v>5078</v>
      </c>
      <c r="M2050" s="122">
        <v>4616</v>
      </c>
      <c r="N2050" s="122">
        <v>3094</v>
      </c>
      <c r="O2050" s="122">
        <v>1146</v>
      </c>
      <c r="P2050" s="122">
        <v>0</v>
      </c>
      <c r="Q2050" s="122">
        <v>0</v>
      </c>
      <c r="R2050" s="122">
        <v>4772</v>
      </c>
      <c r="S2050" s="122">
        <v>4338</v>
      </c>
      <c r="T2050" s="122">
        <v>2374</v>
      </c>
      <c r="U2050" s="122">
        <v>879</v>
      </c>
      <c r="V2050" s="122">
        <v>94068</v>
      </c>
      <c r="W2050" s="122">
        <f t="shared" si="64"/>
        <v>94068</v>
      </c>
      <c r="X2050" s="122">
        <f t="shared" si="65"/>
        <v>106715</v>
      </c>
      <c r="AA2050" t="s">
        <v>64</v>
      </c>
      <c r="AB2050" t="s">
        <v>428</v>
      </c>
      <c r="AC2050" t="s">
        <v>566</v>
      </c>
      <c r="AD2050" t="s">
        <v>137</v>
      </c>
      <c r="AE2050" t="s">
        <v>566</v>
      </c>
      <c r="AF2050">
        <v>1</v>
      </c>
      <c r="AG2050">
        <v>87</v>
      </c>
      <c r="AH2050">
        <v>753</v>
      </c>
      <c r="AI2050" s="122">
        <v>51623</v>
      </c>
      <c r="AJ2050" s="122">
        <v>46930</v>
      </c>
      <c r="AK2050">
        <v>30</v>
      </c>
      <c r="AL2050">
        <v>0</v>
      </c>
      <c r="AM2050">
        <v>0</v>
      </c>
      <c r="AN2050" s="122">
        <v>1917</v>
      </c>
      <c r="AO2050">
        <v>710</v>
      </c>
      <c r="AP2050">
        <v>0</v>
      </c>
      <c r="AQ2050">
        <v>0</v>
      </c>
      <c r="AR2050" s="122">
        <v>12317</v>
      </c>
      <c r="AS2050" s="122">
        <v>4562</v>
      </c>
      <c r="AT2050">
        <v>0</v>
      </c>
      <c r="AU2050">
        <v>0</v>
      </c>
      <c r="AV2050" s="122">
        <v>52201</v>
      </c>
    </row>
    <row r="2051" spans="2:48" hidden="1">
      <c r="B2051" t="s">
        <v>379</v>
      </c>
      <c r="C2051" t="s">
        <v>64</v>
      </c>
      <c r="D2051" t="s">
        <v>426</v>
      </c>
      <c r="E2051" t="s">
        <v>426</v>
      </c>
      <c r="F2051" s="122">
        <v>16</v>
      </c>
      <c r="G2051" s="122">
        <v>1368</v>
      </c>
      <c r="H2051" s="122">
        <v>9695</v>
      </c>
      <c r="I2051" s="122">
        <v>600254</v>
      </c>
      <c r="J2051" s="122">
        <v>545686</v>
      </c>
      <c r="K2051" s="122">
        <v>51</v>
      </c>
      <c r="L2051" s="122">
        <v>72490</v>
      </c>
      <c r="M2051" s="122">
        <v>47471</v>
      </c>
      <c r="N2051" s="122">
        <v>31116</v>
      </c>
      <c r="O2051" s="122">
        <v>11525</v>
      </c>
      <c r="P2051" s="122">
        <v>5103</v>
      </c>
      <c r="Q2051" s="122">
        <v>1890</v>
      </c>
      <c r="R2051" s="122">
        <v>87183</v>
      </c>
      <c r="S2051" s="122">
        <v>79258</v>
      </c>
      <c r="T2051" s="122">
        <v>38603</v>
      </c>
      <c r="U2051" s="122">
        <v>14297</v>
      </c>
      <c r="V2051" s="122">
        <v>700126</v>
      </c>
      <c r="W2051" s="122">
        <f t="shared" si="64"/>
        <v>700127</v>
      </c>
      <c r="X2051" s="122">
        <f t="shared" si="65"/>
        <v>834749</v>
      </c>
      <c r="AA2051" t="s">
        <v>64</v>
      </c>
      <c r="AB2051" t="s">
        <v>428</v>
      </c>
      <c r="AC2051" t="s">
        <v>566</v>
      </c>
      <c r="AD2051" t="s">
        <v>407</v>
      </c>
      <c r="AE2051" t="s">
        <v>566</v>
      </c>
      <c r="AF2051">
        <v>1</v>
      </c>
      <c r="AG2051">
        <v>52</v>
      </c>
      <c r="AH2051" s="122">
        <v>1057</v>
      </c>
      <c r="AI2051" s="122">
        <v>48862</v>
      </c>
      <c r="AJ2051" s="122">
        <v>44420</v>
      </c>
      <c r="AK2051">
        <v>30</v>
      </c>
      <c r="AL2051">
        <v>0</v>
      </c>
      <c r="AM2051">
        <v>0</v>
      </c>
      <c r="AN2051" s="122">
        <v>1257</v>
      </c>
      <c r="AO2051">
        <v>466</v>
      </c>
      <c r="AP2051">
        <v>0</v>
      </c>
      <c r="AQ2051">
        <v>0</v>
      </c>
      <c r="AR2051" s="122">
        <v>4424</v>
      </c>
      <c r="AS2051" s="122">
        <v>4022</v>
      </c>
      <c r="AT2051">
        <v>0</v>
      </c>
      <c r="AU2051">
        <v>0</v>
      </c>
      <c r="AV2051" s="122">
        <v>48907</v>
      </c>
    </row>
    <row r="2052" spans="2:48" hidden="1">
      <c r="B2052" t="s">
        <v>380</v>
      </c>
      <c r="C2052" t="s">
        <v>48</v>
      </c>
      <c r="D2052" t="s">
        <v>137</v>
      </c>
      <c r="E2052" t="s">
        <v>137</v>
      </c>
      <c r="F2052" s="122">
        <v>34</v>
      </c>
      <c r="G2052" s="122">
        <v>3347</v>
      </c>
      <c r="H2052" s="122">
        <v>1838</v>
      </c>
      <c r="I2052" s="122">
        <v>-13890</v>
      </c>
      <c r="J2052" s="122">
        <v>-5144</v>
      </c>
      <c r="K2052" s="122">
        <v>477</v>
      </c>
      <c r="L2052" s="122">
        <v>-2821</v>
      </c>
      <c r="M2052" s="122">
        <v>-2573</v>
      </c>
      <c r="N2052" s="122">
        <v>46471</v>
      </c>
      <c r="O2052" s="122">
        <v>17212</v>
      </c>
      <c r="P2052" s="122">
        <v>29132</v>
      </c>
      <c r="Q2052" s="122">
        <v>10790</v>
      </c>
      <c r="R2052" s="122">
        <v>128478</v>
      </c>
      <c r="S2052" s="122">
        <v>47584</v>
      </c>
      <c r="T2052" s="122">
        <v>0</v>
      </c>
      <c r="U2052" s="122">
        <v>0</v>
      </c>
      <c r="V2052" s="122">
        <v>67869</v>
      </c>
      <c r="W2052" s="122">
        <f t="shared" si="64"/>
        <v>83303</v>
      </c>
      <c r="X2052" s="122">
        <f t="shared" si="65"/>
        <v>220792</v>
      </c>
      <c r="AA2052" t="s">
        <v>64</v>
      </c>
      <c r="AB2052" t="s">
        <v>428</v>
      </c>
      <c r="AC2052" t="s">
        <v>566</v>
      </c>
      <c r="AD2052" t="s">
        <v>428</v>
      </c>
      <c r="AE2052" t="s">
        <v>137</v>
      </c>
      <c r="AF2052">
        <v>5</v>
      </c>
      <c r="AG2052">
        <v>323</v>
      </c>
      <c r="AH2052" s="122">
        <v>2926</v>
      </c>
      <c r="AI2052" s="122">
        <v>154680</v>
      </c>
      <c r="AJ2052" s="122">
        <v>140619</v>
      </c>
      <c r="AK2052">
        <v>55</v>
      </c>
      <c r="AL2052">
        <v>0</v>
      </c>
      <c r="AM2052" s="122">
        <v>5469</v>
      </c>
      <c r="AN2052" s="122">
        <v>7665</v>
      </c>
      <c r="AO2052" s="122">
        <v>2839</v>
      </c>
      <c r="AP2052" s="122">
        <v>1404</v>
      </c>
      <c r="AQ2052">
        <v>520</v>
      </c>
      <c r="AR2052" s="122">
        <v>25366</v>
      </c>
      <c r="AS2052" s="122">
        <v>23060</v>
      </c>
      <c r="AT2052" s="122">
        <v>12821</v>
      </c>
      <c r="AU2052" s="122">
        <v>4749</v>
      </c>
      <c r="AV2052" s="122">
        <v>177255</v>
      </c>
    </row>
    <row r="2053" spans="2:48" hidden="1">
      <c r="B2053" t="s">
        <v>380</v>
      </c>
      <c r="C2053" t="s">
        <v>48</v>
      </c>
      <c r="D2053" t="s">
        <v>406</v>
      </c>
      <c r="E2053" t="s">
        <v>406</v>
      </c>
      <c r="F2053" s="122">
        <v>36</v>
      </c>
      <c r="G2053" s="122">
        <v>3226</v>
      </c>
      <c r="H2053" s="122">
        <v>2470</v>
      </c>
      <c r="I2053" s="122">
        <v>58355</v>
      </c>
      <c r="J2053" s="122">
        <v>53050</v>
      </c>
      <c r="K2053" s="122">
        <v>94</v>
      </c>
      <c r="L2053" s="122">
        <v>7422</v>
      </c>
      <c r="M2053" s="122">
        <v>6021</v>
      </c>
      <c r="N2053" s="122">
        <v>40586</v>
      </c>
      <c r="O2053" s="122">
        <v>15032</v>
      </c>
      <c r="P2053" s="122">
        <v>41078</v>
      </c>
      <c r="Q2053" s="122">
        <v>15214</v>
      </c>
      <c r="R2053" s="122">
        <v>73011</v>
      </c>
      <c r="S2053" s="122">
        <v>66373</v>
      </c>
      <c r="T2053" s="122">
        <v>0</v>
      </c>
      <c r="U2053" s="122">
        <v>0</v>
      </c>
      <c r="V2053" s="122">
        <v>155690</v>
      </c>
      <c r="W2053" s="122">
        <f t="shared" si="64"/>
        <v>155690</v>
      </c>
      <c r="X2053" s="122">
        <f t="shared" si="65"/>
        <v>220452</v>
      </c>
      <c r="AA2053" t="s">
        <v>64</v>
      </c>
      <c r="AB2053" t="s">
        <v>431</v>
      </c>
      <c r="AC2053" t="s">
        <v>137</v>
      </c>
      <c r="AD2053" t="s">
        <v>137</v>
      </c>
      <c r="AE2053" t="s">
        <v>566</v>
      </c>
      <c r="AF2053">
        <v>1</v>
      </c>
      <c r="AG2053">
        <v>65</v>
      </c>
      <c r="AH2053">
        <v>522</v>
      </c>
      <c r="AI2053" s="122">
        <v>24019</v>
      </c>
      <c r="AJ2053" s="122">
        <v>21835</v>
      </c>
      <c r="AK2053">
        <v>65</v>
      </c>
      <c r="AL2053" s="122">
        <v>4258</v>
      </c>
      <c r="AM2053" s="122">
        <v>1577</v>
      </c>
      <c r="AN2053" s="122">
        <v>1574</v>
      </c>
      <c r="AO2053">
        <v>583</v>
      </c>
      <c r="AP2053">
        <v>0</v>
      </c>
      <c r="AQ2053">
        <v>0</v>
      </c>
      <c r="AR2053" s="122">
        <v>3888</v>
      </c>
      <c r="AS2053" s="122">
        <v>1440</v>
      </c>
      <c r="AT2053">
        <v>0</v>
      </c>
      <c r="AU2053">
        <v>0</v>
      </c>
      <c r="AV2053" s="122">
        <v>25435</v>
      </c>
    </row>
    <row r="2054" spans="2:48" hidden="1">
      <c r="B2054" t="s">
        <v>380</v>
      </c>
      <c r="C2054" t="s">
        <v>48</v>
      </c>
      <c r="D2054" t="s">
        <v>429</v>
      </c>
      <c r="E2054" t="s">
        <v>429</v>
      </c>
      <c r="F2054" s="122">
        <v>1</v>
      </c>
      <c r="G2054" s="122">
        <v>115</v>
      </c>
      <c r="H2054" s="122">
        <v>73</v>
      </c>
      <c r="I2054" s="122">
        <v>2754</v>
      </c>
      <c r="J2054" s="122">
        <v>2504</v>
      </c>
      <c r="K2054" s="122">
        <v>82</v>
      </c>
      <c r="L2054" s="122">
        <v>0</v>
      </c>
      <c r="M2054" s="122">
        <v>0</v>
      </c>
      <c r="N2054" s="122">
        <v>1404</v>
      </c>
      <c r="O2054" s="122">
        <v>520</v>
      </c>
      <c r="P2054" s="122">
        <v>1865</v>
      </c>
      <c r="Q2054" s="122">
        <v>691</v>
      </c>
      <c r="R2054" s="122">
        <v>2332</v>
      </c>
      <c r="S2054" s="122">
        <v>2120</v>
      </c>
      <c r="T2054" s="122">
        <v>0</v>
      </c>
      <c r="U2054" s="122">
        <v>0</v>
      </c>
      <c r="V2054" s="122">
        <v>5835</v>
      </c>
      <c r="W2054" s="122">
        <f t="shared" si="64"/>
        <v>5835</v>
      </c>
      <c r="X2054" s="122">
        <f t="shared" si="65"/>
        <v>8355</v>
      </c>
      <c r="AA2054" t="s">
        <v>64</v>
      </c>
      <c r="AB2054" t="s">
        <v>431</v>
      </c>
      <c r="AC2054" t="s">
        <v>137</v>
      </c>
      <c r="AD2054" t="s">
        <v>431</v>
      </c>
      <c r="AE2054" t="s">
        <v>137</v>
      </c>
      <c r="AF2054">
        <v>10</v>
      </c>
      <c r="AG2054">
        <v>766</v>
      </c>
      <c r="AH2054" s="122">
        <v>5392</v>
      </c>
      <c r="AI2054" s="122">
        <v>265438</v>
      </c>
      <c r="AJ2054" s="122">
        <v>241308</v>
      </c>
      <c r="AK2054">
        <v>53</v>
      </c>
      <c r="AL2054" s="122">
        <v>60268</v>
      </c>
      <c r="AM2054" s="122">
        <v>22321</v>
      </c>
      <c r="AN2054" s="122">
        <v>15806</v>
      </c>
      <c r="AO2054" s="122">
        <v>5854</v>
      </c>
      <c r="AP2054" s="122">
        <v>2457</v>
      </c>
      <c r="AQ2054">
        <v>910</v>
      </c>
      <c r="AR2054" s="122">
        <v>55036</v>
      </c>
      <c r="AS2054" s="122">
        <v>50033</v>
      </c>
      <c r="AT2054" s="122">
        <v>18882</v>
      </c>
      <c r="AU2054" s="122">
        <v>6993</v>
      </c>
      <c r="AV2054" s="122">
        <v>327419</v>
      </c>
    </row>
    <row r="2055" spans="2:48" hidden="1">
      <c r="B2055" t="s">
        <v>380</v>
      </c>
      <c r="C2055" t="s">
        <v>50</v>
      </c>
      <c r="F2055" s="122">
        <v>12</v>
      </c>
      <c r="G2055" s="122">
        <v>787</v>
      </c>
      <c r="H2055" s="122">
        <v>1155</v>
      </c>
      <c r="I2055" s="122"/>
      <c r="J2055" s="122">
        <v>0</v>
      </c>
      <c r="K2055" s="122"/>
      <c r="L2055" s="122"/>
      <c r="M2055" s="122">
        <v>0</v>
      </c>
      <c r="N2055" s="122">
        <v>16457</v>
      </c>
      <c r="O2055" s="122">
        <v>6095</v>
      </c>
      <c r="P2055" s="122">
        <v>0</v>
      </c>
      <c r="Q2055" s="122">
        <v>0</v>
      </c>
      <c r="R2055" s="122"/>
      <c r="S2055" s="122">
        <v>0</v>
      </c>
      <c r="T2055" s="122">
        <v>0</v>
      </c>
      <c r="U2055" s="122">
        <v>0</v>
      </c>
      <c r="V2055" s="122">
        <v>6095</v>
      </c>
      <c r="W2055" s="122">
        <f t="shared" si="64"/>
        <v>6095</v>
      </c>
      <c r="X2055" s="122">
        <f t="shared" si="65"/>
        <v>16457</v>
      </c>
      <c r="AA2055" t="s">
        <v>64</v>
      </c>
      <c r="AB2055" t="s">
        <v>431</v>
      </c>
      <c r="AC2055" t="s">
        <v>137</v>
      </c>
      <c r="AD2055" t="s">
        <v>431</v>
      </c>
      <c r="AE2055" t="s">
        <v>566</v>
      </c>
      <c r="AF2055">
        <v>1</v>
      </c>
      <c r="AG2055">
        <v>81</v>
      </c>
      <c r="AH2055">
        <v>498</v>
      </c>
      <c r="AI2055" s="122">
        <v>23625</v>
      </c>
      <c r="AJ2055" s="122">
        <v>21477</v>
      </c>
      <c r="AK2055">
        <v>55</v>
      </c>
      <c r="AL2055" s="122">
        <v>7973</v>
      </c>
      <c r="AM2055" s="122">
        <v>2953</v>
      </c>
      <c r="AN2055">
        <v>984</v>
      </c>
      <c r="AO2055">
        <v>364</v>
      </c>
      <c r="AP2055">
        <v>351</v>
      </c>
      <c r="AQ2055">
        <v>130</v>
      </c>
      <c r="AR2055" s="122">
        <v>7325</v>
      </c>
      <c r="AS2055" s="122">
        <v>6659</v>
      </c>
      <c r="AT2055">
        <v>0</v>
      </c>
      <c r="AU2055">
        <v>0</v>
      </c>
      <c r="AV2055" s="122">
        <v>31584</v>
      </c>
    </row>
    <row r="2056" spans="2:48" hidden="1">
      <c r="B2056" t="s">
        <v>380</v>
      </c>
      <c r="C2056" t="s">
        <v>50</v>
      </c>
      <c r="D2056" t="s">
        <v>406</v>
      </c>
      <c r="E2056" t="s">
        <v>406</v>
      </c>
      <c r="F2056" s="122">
        <v>2</v>
      </c>
      <c r="G2056" s="122">
        <v>198</v>
      </c>
      <c r="H2056" s="122">
        <v>187</v>
      </c>
      <c r="I2056" s="122">
        <v>8857</v>
      </c>
      <c r="J2056" s="122">
        <v>8051</v>
      </c>
      <c r="K2056" s="122">
        <v>92</v>
      </c>
      <c r="L2056" s="122">
        <v>1515</v>
      </c>
      <c r="M2056" s="122">
        <v>1378</v>
      </c>
      <c r="N2056" s="122">
        <v>2412</v>
      </c>
      <c r="O2056" s="122">
        <v>893</v>
      </c>
      <c r="P2056" s="122">
        <v>1242</v>
      </c>
      <c r="Q2056" s="122">
        <v>460</v>
      </c>
      <c r="R2056" s="122">
        <v>4434</v>
      </c>
      <c r="S2056" s="122">
        <v>4031</v>
      </c>
      <c r="T2056" s="122">
        <v>0</v>
      </c>
      <c r="U2056" s="122">
        <v>0</v>
      </c>
      <c r="V2056" s="122">
        <v>14813</v>
      </c>
      <c r="W2056" s="122">
        <f t="shared" si="64"/>
        <v>14813</v>
      </c>
      <c r="X2056" s="122">
        <f t="shared" si="65"/>
        <v>18460</v>
      </c>
      <c r="AA2056" t="s">
        <v>64</v>
      </c>
      <c r="AB2056" t="s">
        <v>431</v>
      </c>
      <c r="AC2056" t="s">
        <v>580</v>
      </c>
      <c r="AD2056" t="s">
        <v>431</v>
      </c>
      <c r="AE2056" t="s">
        <v>137</v>
      </c>
      <c r="AF2056">
        <v>1</v>
      </c>
      <c r="AG2056">
        <v>108</v>
      </c>
      <c r="AH2056">
        <v>590</v>
      </c>
      <c r="AI2056" s="122">
        <v>44204</v>
      </c>
      <c r="AJ2056" s="122">
        <v>40186</v>
      </c>
      <c r="AK2056">
        <v>55</v>
      </c>
      <c r="AL2056" s="122">
        <v>4156</v>
      </c>
      <c r="AM2056" s="122">
        <v>3778</v>
      </c>
      <c r="AN2056" s="122">
        <v>1556</v>
      </c>
      <c r="AO2056">
        <v>576</v>
      </c>
      <c r="AP2056">
        <v>351</v>
      </c>
      <c r="AQ2056">
        <v>130</v>
      </c>
      <c r="AR2056" s="122">
        <v>8792</v>
      </c>
      <c r="AS2056" s="122">
        <v>7992</v>
      </c>
      <c r="AT2056" s="122">
        <v>4759</v>
      </c>
      <c r="AU2056" s="122">
        <v>1762</v>
      </c>
      <c r="AV2056" s="122">
        <v>54425</v>
      </c>
    </row>
    <row r="2057" spans="2:48" hidden="1">
      <c r="B2057" t="s">
        <v>380</v>
      </c>
      <c r="C2057" t="s">
        <v>50</v>
      </c>
      <c r="D2057" t="s">
        <v>407</v>
      </c>
      <c r="E2057" t="s">
        <v>407</v>
      </c>
      <c r="F2057" s="122">
        <v>4</v>
      </c>
      <c r="G2057" s="122">
        <v>441</v>
      </c>
      <c r="H2057" s="122">
        <v>378</v>
      </c>
      <c r="I2057" s="122">
        <v>15882</v>
      </c>
      <c r="J2057" s="122">
        <v>14438</v>
      </c>
      <c r="K2057" s="122">
        <v>90</v>
      </c>
      <c r="L2057" s="122">
        <v>2747</v>
      </c>
      <c r="M2057" s="122">
        <v>2498</v>
      </c>
      <c r="N2057" s="122">
        <v>5376</v>
      </c>
      <c r="O2057" s="122">
        <v>1991</v>
      </c>
      <c r="P2057" s="122">
        <v>1890</v>
      </c>
      <c r="Q2057" s="122">
        <v>700</v>
      </c>
      <c r="R2057" s="122">
        <v>15736</v>
      </c>
      <c r="S2057" s="122">
        <v>14305</v>
      </c>
      <c r="T2057" s="122">
        <v>0</v>
      </c>
      <c r="U2057" s="122">
        <v>0</v>
      </c>
      <c r="V2057" s="122">
        <v>33932</v>
      </c>
      <c r="W2057" s="122">
        <f t="shared" si="64"/>
        <v>33932</v>
      </c>
      <c r="X2057" s="122">
        <f t="shared" si="65"/>
        <v>41631</v>
      </c>
      <c r="AA2057" t="s">
        <v>64</v>
      </c>
      <c r="AB2057" t="s">
        <v>431</v>
      </c>
      <c r="AC2057" t="s">
        <v>427</v>
      </c>
      <c r="AD2057" t="s">
        <v>431</v>
      </c>
      <c r="AE2057" t="s">
        <v>137</v>
      </c>
      <c r="AF2057">
        <v>1</v>
      </c>
      <c r="AG2057">
        <v>100</v>
      </c>
      <c r="AH2057">
        <v>455</v>
      </c>
      <c r="AI2057" s="122">
        <v>29996</v>
      </c>
      <c r="AJ2057" s="122">
        <v>27269</v>
      </c>
      <c r="AK2057">
        <v>55</v>
      </c>
      <c r="AL2057" s="122">
        <v>6110</v>
      </c>
      <c r="AM2057" s="122">
        <v>5555</v>
      </c>
      <c r="AN2057" s="122">
        <v>1828</v>
      </c>
      <c r="AO2057">
        <v>677</v>
      </c>
      <c r="AP2057">
        <v>351</v>
      </c>
      <c r="AQ2057">
        <v>130</v>
      </c>
      <c r="AR2057" s="122">
        <v>4321</v>
      </c>
      <c r="AS2057" s="122">
        <v>3928</v>
      </c>
      <c r="AT2057" s="122">
        <v>2873</v>
      </c>
      <c r="AU2057" s="122">
        <v>1064</v>
      </c>
      <c r="AV2057" s="122">
        <v>38623</v>
      </c>
    </row>
    <row r="2058" spans="2:48" hidden="1">
      <c r="B2058" t="s">
        <v>380</v>
      </c>
      <c r="C2058" t="s">
        <v>50</v>
      </c>
      <c r="D2058" t="s">
        <v>429</v>
      </c>
      <c r="E2058" t="s">
        <v>429</v>
      </c>
      <c r="F2058" s="122">
        <v>1</v>
      </c>
      <c r="G2058" s="122">
        <v>114</v>
      </c>
      <c r="H2058" s="122">
        <v>90</v>
      </c>
      <c r="I2058" s="122">
        <v>3983</v>
      </c>
      <c r="J2058" s="122">
        <v>3621</v>
      </c>
      <c r="K2058" s="122">
        <v>80</v>
      </c>
      <c r="L2058" s="122">
        <v>0</v>
      </c>
      <c r="M2058" s="122">
        <v>0</v>
      </c>
      <c r="N2058" s="122">
        <v>1384</v>
      </c>
      <c r="O2058" s="122">
        <v>513</v>
      </c>
      <c r="P2058" s="122">
        <v>1847</v>
      </c>
      <c r="Q2058" s="122">
        <v>684</v>
      </c>
      <c r="R2058" s="122">
        <v>2977</v>
      </c>
      <c r="S2058" s="122">
        <v>2707</v>
      </c>
      <c r="T2058" s="122">
        <v>0</v>
      </c>
      <c r="U2058" s="122">
        <v>0</v>
      </c>
      <c r="V2058" s="122">
        <v>7524</v>
      </c>
      <c r="W2058" s="122">
        <f t="shared" si="64"/>
        <v>7525</v>
      </c>
      <c r="X2058" s="122">
        <f t="shared" si="65"/>
        <v>10191</v>
      </c>
      <c r="AA2058" t="s">
        <v>64</v>
      </c>
      <c r="AB2058" t="s">
        <v>431</v>
      </c>
      <c r="AC2058" t="s">
        <v>431</v>
      </c>
      <c r="AD2058" t="s">
        <v>137</v>
      </c>
      <c r="AE2058" t="s">
        <v>566</v>
      </c>
      <c r="AF2058">
        <v>1</v>
      </c>
      <c r="AG2058">
        <v>85</v>
      </c>
      <c r="AH2058">
        <v>525</v>
      </c>
      <c r="AI2058" s="122">
        <v>26707</v>
      </c>
      <c r="AJ2058" s="122">
        <v>24279</v>
      </c>
      <c r="AK2058">
        <v>60</v>
      </c>
      <c r="AL2058" s="122">
        <v>5935</v>
      </c>
      <c r="AM2058" s="122">
        <v>5395</v>
      </c>
      <c r="AN2058" s="122">
        <v>2081</v>
      </c>
      <c r="AO2058">
        <v>771</v>
      </c>
      <c r="AP2058">
        <v>0</v>
      </c>
      <c r="AQ2058">
        <v>0</v>
      </c>
      <c r="AR2058" s="122">
        <v>10076</v>
      </c>
      <c r="AS2058" s="122">
        <v>3732</v>
      </c>
      <c r="AT2058">
        <v>0</v>
      </c>
      <c r="AU2058">
        <v>0</v>
      </c>
      <c r="AV2058" s="122">
        <v>34177</v>
      </c>
    </row>
    <row r="2059" spans="2:48" hidden="1">
      <c r="B2059" t="s">
        <v>380</v>
      </c>
      <c r="C2059" t="s">
        <v>52</v>
      </c>
      <c r="F2059" s="122">
        <v>4</v>
      </c>
      <c r="G2059" s="122">
        <v>262</v>
      </c>
      <c r="H2059" s="122">
        <v>407</v>
      </c>
      <c r="I2059" s="122"/>
      <c r="J2059" s="122">
        <v>0</v>
      </c>
      <c r="K2059" s="122"/>
      <c r="L2059" s="122"/>
      <c r="M2059" s="122">
        <v>0</v>
      </c>
      <c r="N2059" s="122">
        <v>5491</v>
      </c>
      <c r="O2059" s="122">
        <v>2034</v>
      </c>
      <c r="P2059" s="122">
        <v>0</v>
      </c>
      <c r="Q2059" s="122">
        <v>0</v>
      </c>
      <c r="R2059" s="122"/>
      <c r="S2059" s="122">
        <v>0</v>
      </c>
      <c r="T2059" s="122">
        <v>0</v>
      </c>
      <c r="U2059" s="122">
        <v>0</v>
      </c>
      <c r="V2059" s="122">
        <v>2034</v>
      </c>
      <c r="W2059" s="122">
        <f t="shared" si="64"/>
        <v>2034</v>
      </c>
      <c r="X2059" s="122">
        <f t="shared" si="65"/>
        <v>5491</v>
      </c>
      <c r="AA2059" t="s">
        <v>64</v>
      </c>
      <c r="AB2059" t="s">
        <v>431</v>
      </c>
      <c r="AC2059" t="s">
        <v>431</v>
      </c>
      <c r="AD2059" t="s">
        <v>431</v>
      </c>
      <c r="AE2059" t="s">
        <v>137</v>
      </c>
      <c r="AF2059">
        <v>53</v>
      </c>
      <c r="AG2059" s="122">
        <v>4376</v>
      </c>
      <c r="AH2059" s="122">
        <v>31576</v>
      </c>
      <c r="AI2059" s="122">
        <v>1745419</v>
      </c>
      <c r="AJ2059" s="122">
        <v>1586745</v>
      </c>
      <c r="AK2059">
        <v>47</v>
      </c>
      <c r="AL2059" s="122">
        <v>284337</v>
      </c>
      <c r="AM2059" s="122">
        <v>258488</v>
      </c>
      <c r="AN2059" s="122">
        <v>90367</v>
      </c>
      <c r="AO2059" s="122">
        <v>33469</v>
      </c>
      <c r="AP2059" s="122">
        <v>18522</v>
      </c>
      <c r="AQ2059" s="122">
        <v>6860</v>
      </c>
      <c r="AR2059" s="122">
        <v>327002</v>
      </c>
      <c r="AS2059" s="122">
        <v>297275</v>
      </c>
      <c r="AT2059" s="122">
        <v>121468</v>
      </c>
      <c r="AU2059" s="122">
        <v>44988</v>
      </c>
      <c r="AV2059" s="122">
        <v>2227826</v>
      </c>
    </row>
    <row r="2060" spans="2:48" hidden="1">
      <c r="B2060" t="s">
        <v>380</v>
      </c>
      <c r="C2060" t="s">
        <v>52</v>
      </c>
      <c r="D2060" t="s">
        <v>137</v>
      </c>
      <c r="E2060" t="s">
        <v>137</v>
      </c>
      <c r="F2060" s="122">
        <v>24</v>
      </c>
      <c r="G2060" s="122">
        <v>2384</v>
      </c>
      <c r="H2060" s="122">
        <v>2808</v>
      </c>
      <c r="I2060" s="122">
        <v>106560</v>
      </c>
      <c r="J2060" s="122">
        <v>39467</v>
      </c>
      <c r="K2060" s="122">
        <v>297</v>
      </c>
      <c r="L2060" s="122">
        <v>20677</v>
      </c>
      <c r="M2060" s="122">
        <v>18797</v>
      </c>
      <c r="N2060" s="122">
        <v>32174</v>
      </c>
      <c r="O2060" s="122">
        <v>11916</v>
      </c>
      <c r="P2060" s="122">
        <v>15629</v>
      </c>
      <c r="Q2060" s="122">
        <v>5789</v>
      </c>
      <c r="R2060" s="122">
        <v>101784</v>
      </c>
      <c r="S2060" s="122">
        <v>37698</v>
      </c>
      <c r="T2060" s="122">
        <v>0</v>
      </c>
      <c r="U2060" s="122">
        <v>0</v>
      </c>
      <c r="V2060" s="122">
        <v>113667</v>
      </c>
      <c r="W2060" s="122">
        <f t="shared" si="64"/>
        <v>113667</v>
      </c>
      <c r="X2060" s="122">
        <f t="shared" si="65"/>
        <v>276824</v>
      </c>
      <c r="AA2060" t="s">
        <v>64</v>
      </c>
      <c r="AB2060" t="s">
        <v>431</v>
      </c>
      <c r="AC2060" t="s">
        <v>431</v>
      </c>
      <c r="AD2060" t="s">
        <v>431</v>
      </c>
      <c r="AE2060" t="s">
        <v>566</v>
      </c>
      <c r="AF2060">
        <v>13</v>
      </c>
      <c r="AG2060" s="122">
        <v>1133</v>
      </c>
      <c r="AH2060" s="122">
        <v>8792</v>
      </c>
      <c r="AI2060" s="122">
        <v>537427</v>
      </c>
      <c r="AJ2060" s="122">
        <v>488570</v>
      </c>
      <c r="AK2060">
        <v>47</v>
      </c>
      <c r="AL2060" s="122">
        <v>80744</v>
      </c>
      <c r="AM2060" s="122">
        <v>73403</v>
      </c>
      <c r="AN2060" s="122">
        <v>23543</v>
      </c>
      <c r="AO2060" s="122">
        <v>8720</v>
      </c>
      <c r="AP2060" s="122">
        <v>4212</v>
      </c>
      <c r="AQ2060" s="122">
        <v>1560</v>
      </c>
      <c r="AR2060" s="122">
        <v>127833</v>
      </c>
      <c r="AS2060" s="122">
        <v>116212</v>
      </c>
      <c r="AT2060">
        <v>0</v>
      </c>
      <c r="AU2060">
        <v>0</v>
      </c>
      <c r="AV2060" s="122">
        <v>688465</v>
      </c>
    </row>
    <row r="2061" spans="2:48" hidden="1">
      <c r="B2061" t="s">
        <v>380</v>
      </c>
      <c r="C2061" t="s">
        <v>52</v>
      </c>
      <c r="D2061" t="s">
        <v>406</v>
      </c>
      <c r="E2061" t="s">
        <v>406</v>
      </c>
      <c r="F2061" s="122">
        <v>28</v>
      </c>
      <c r="G2061" s="122">
        <v>2899</v>
      </c>
      <c r="H2061" s="122">
        <v>3296</v>
      </c>
      <c r="I2061" s="122">
        <v>148031</v>
      </c>
      <c r="J2061" s="122">
        <v>134573</v>
      </c>
      <c r="K2061" s="122">
        <v>93</v>
      </c>
      <c r="L2061" s="122">
        <v>32018</v>
      </c>
      <c r="M2061" s="122">
        <v>29107</v>
      </c>
      <c r="N2061" s="122">
        <v>41382</v>
      </c>
      <c r="O2061" s="122">
        <v>15327</v>
      </c>
      <c r="P2061" s="122">
        <v>17739</v>
      </c>
      <c r="Q2061" s="122">
        <v>6570</v>
      </c>
      <c r="R2061" s="122">
        <v>101693</v>
      </c>
      <c r="S2061" s="122">
        <v>92448</v>
      </c>
      <c r="T2061" s="122">
        <v>0</v>
      </c>
      <c r="U2061" s="122">
        <v>0</v>
      </c>
      <c r="V2061" s="122">
        <v>278026</v>
      </c>
      <c r="W2061" s="122">
        <f t="shared" si="64"/>
        <v>278025</v>
      </c>
      <c r="X2061" s="122">
        <f t="shared" si="65"/>
        <v>340863</v>
      </c>
      <c r="AA2061" t="s">
        <v>64</v>
      </c>
      <c r="AB2061" t="s">
        <v>431</v>
      </c>
      <c r="AC2061" t="s">
        <v>426</v>
      </c>
      <c r="AD2061" t="s">
        <v>428</v>
      </c>
      <c r="AE2061" t="s">
        <v>137</v>
      </c>
      <c r="AF2061">
        <v>1</v>
      </c>
      <c r="AG2061">
        <v>92</v>
      </c>
      <c r="AH2061">
        <v>549</v>
      </c>
      <c r="AI2061" s="122">
        <v>33879</v>
      </c>
      <c r="AJ2061" s="122">
        <v>30799</v>
      </c>
      <c r="AK2061">
        <v>45</v>
      </c>
      <c r="AL2061" s="122">
        <v>5647</v>
      </c>
      <c r="AM2061" s="122">
        <v>5133</v>
      </c>
      <c r="AN2061" s="122">
        <v>1995</v>
      </c>
      <c r="AO2061">
        <v>739</v>
      </c>
      <c r="AP2061">
        <v>351</v>
      </c>
      <c r="AQ2061">
        <v>130</v>
      </c>
      <c r="AR2061" s="122">
        <v>6271</v>
      </c>
      <c r="AS2061" s="122">
        <v>5701</v>
      </c>
      <c r="AT2061" s="122">
        <v>2324</v>
      </c>
      <c r="AU2061">
        <v>861</v>
      </c>
      <c r="AV2061" s="122">
        <v>43363</v>
      </c>
    </row>
    <row r="2062" spans="2:48" hidden="1">
      <c r="B2062" t="s">
        <v>380</v>
      </c>
      <c r="C2062" t="s">
        <v>52</v>
      </c>
      <c r="D2062" t="s">
        <v>407</v>
      </c>
      <c r="E2062" t="s">
        <v>407</v>
      </c>
      <c r="F2062" s="122">
        <v>18</v>
      </c>
      <c r="G2062" s="122">
        <v>2096</v>
      </c>
      <c r="H2062" s="122">
        <v>2183</v>
      </c>
      <c r="I2062" s="122">
        <v>127849</v>
      </c>
      <c r="J2062" s="122">
        <v>116226</v>
      </c>
      <c r="K2062" s="122">
        <v>91</v>
      </c>
      <c r="L2062" s="122">
        <v>14699</v>
      </c>
      <c r="M2062" s="122">
        <v>13363</v>
      </c>
      <c r="N2062" s="122">
        <v>29497</v>
      </c>
      <c r="O2062" s="122">
        <v>10925</v>
      </c>
      <c r="P2062" s="122">
        <v>8033</v>
      </c>
      <c r="Q2062" s="122">
        <v>2975</v>
      </c>
      <c r="R2062" s="122">
        <v>74193</v>
      </c>
      <c r="S2062" s="122">
        <v>67449</v>
      </c>
      <c r="T2062" s="122">
        <v>0</v>
      </c>
      <c r="U2062" s="122">
        <v>0</v>
      </c>
      <c r="V2062" s="122">
        <v>210938</v>
      </c>
      <c r="W2062" s="122">
        <f t="shared" si="64"/>
        <v>210938</v>
      </c>
      <c r="X2062" s="122">
        <f t="shared" si="65"/>
        <v>254271</v>
      </c>
      <c r="AA2062" t="s">
        <v>64</v>
      </c>
      <c r="AB2062" t="s">
        <v>431</v>
      </c>
      <c r="AC2062" t="s">
        <v>566</v>
      </c>
      <c r="AD2062" t="s">
        <v>431</v>
      </c>
      <c r="AE2062" t="s">
        <v>137</v>
      </c>
      <c r="AF2062">
        <v>4</v>
      </c>
      <c r="AG2062">
        <v>263</v>
      </c>
      <c r="AH2062" s="122">
        <v>2287</v>
      </c>
      <c r="AI2062" s="122">
        <v>118616</v>
      </c>
      <c r="AJ2062" s="122">
        <v>107833</v>
      </c>
      <c r="AK2062">
        <v>48</v>
      </c>
      <c r="AL2062">
        <v>0</v>
      </c>
      <c r="AM2062">
        <v>0</v>
      </c>
      <c r="AN2062" s="122">
        <v>4519</v>
      </c>
      <c r="AO2062" s="122">
        <v>1674</v>
      </c>
      <c r="AP2062" s="122">
        <v>1404</v>
      </c>
      <c r="AQ2062">
        <v>520</v>
      </c>
      <c r="AR2062" s="122">
        <v>23376</v>
      </c>
      <c r="AS2062" s="122">
        <v>21251</v>
      </c>
      <c r="AT2062" s="122">
        <v>9016</v>
      </c>
      <c r="AU2062" s="122">
        <v>3339</v>
      </c>
      <c r="AV2062" s="122">
        <v>134616</v>
      </c>
    </row>
    <row r="2063" spans="2:48" hidden="1">
      <c r="B2063" t="s">
        <v>380</v>
      </c>
      <c r="C2063" t="s">
        <v>54</v>
      </c>
      <c r="F2063" s="122">
        <v>5</v>
      </c>
      <c r="G2063" s="122">
        <v>274</v>
      </c>
      <c r="H2063" s="122">
        <v>691</v>
      </c>
      <c r="I2063" s="122"/>
      <c r="J2063" s="122">
        <v>0</v>
      </c>
      <c r="K2063" s="122"/>
      <c r="L2063" s="122"/>
      <c r="M2063" s="122">
        <v>0</v>
      </c>
      <c r="N2063" s="122">
        <v>3942</v>
      </c>
      <c r="O2063" s="122">
        <v>1460</v>
      </c>
      <c r="P2063" s="122">
        <v>1755</v>
      </c>
      <c r="Q2063" s="122">
        <v>650</v>
      </c>
      <c r="R2063" s="122"/>
      <c r="S2063" s="122">
        <v>0</v>
      </c>
      <c r="T2063" s="122">
        <v>1498</v>
      </c>
      <c r="U2063" s="122">
        <v>555</v>
      </c>
      <c r="V2063" s="122">
        <v>2665</v>
      </c>
      <c r="W2063" s="122">
        <f t="shared" si="64"/>
        <v>2665</v>
      </c>
      <c r="X2063" s="122">
        <f t="shared" si="65"/>
        <v>7195</v>
      </c>
      <c r="AA2063" t="s">
        <v>64</v>
      </c>
      <c r="AB2063" t="s">
        <v>431</v>
      </c>
      <c r="AC2063" t="s">
        <v>566</v>
      </c>
      <c r="AD2063" t="s">
        <v>431</v>
      </c>
      <c r="AE2063" t="s">
        <v>566</v>
      </c>
      <c r="AF2063">
        <v>3</v>
      </c>
      <c r="AG2063">
        <v>142</v>
      </c>
      <c r="AH2063" s="122">
        <v>2063</v>
      </c>
      <c r="AI2063" s="122">
        <v>85185</v>
      </c>
      <c r="AJ2063" s="122">
        <v>77441</v>
      </c>
      <c r="AK2063">
        <v>47</v>
      </c>
      <c r="AL2063">
        <v>0</v>
      </c>
      <c r="AM2063">
        <v>0</v>
      </c>
      <c r="AN2063" s="122">
        <v>2764</v>
      </c>
      <c r="AO2063" s="122">
        <v>1024</v>
      </c>
      <c r="AP2063" s="122">
        <v>1053</v>
      </c>
      <c r="AQ2063">
        <v>390</v>
      </c>
      <c r="AR2063" s="122">
        <v>21013</v>
      </c>
      <c r="AS2063" s="122">
        <v>19102</v>
      </c>
      <c r="AT2063">
        <v>0</v>
      </c>
      <c r="AU2063">
        <v>0</v>
      </c>
      <c r="AV2063" s="122">
        <v>97957</v>
      </c>
    </row>
    <row r="2064" spans="2:48" hidden="1">
      <c r="B2064" t="s">
        <v>380</v>
      </c>
      <c r="C2064" t="s">
        <v>54</v>
      </c>
      <c r="D2064" t="s">
        <v>405</v>
      </c>
      <c r="E2064" t="s">
        <v>405</v>
      </c>
      <c r="F2064" s="122">
        <v>4</v>
      </c>
      <c r="G2064" s="122">
        <v>537</v>
      </c>
      <c r="H2064" s="122">
        <v>568</v>
      </c>
      <c r="I2064" s="122">
        <v>41810</v>
      </c>
      <c r="J2064" s="122">
        <v>38009</v>
      </c>
      <c r="K2064" s="122">
        <v>90</v>
      </c>
      <c r="L2064" s="122">
        <v>9575</v>
      </c>
      <c r="M2064" s="122">
        <v>8705</v>
      </c>
      <c r="N2064" s="122">
        <v>10796</v>
      </c>
      <c r="O2064" s="122">
        <v>3998</v>
      </c>
      <c r="P2064" s="122">
        <v>1769</v>
      </c>
      <c r="Q2064" s="122">
        <v>655</v>
      </c>
      <c r="R2064" s="122">
        <v>15499</v>
      </c>
      <c r="S2064" s="122">
        <v>14090</v>
      </c>
      <c r="T2064" s="122">
        <v>0</v>
      </c>
      <c r="U2064" s="122">
        <v>0</v>
      </c>
      <c r="V2064" s="122">
        <v>65457</v>
      </c>
      <c r="W2064" s="122">
        <f t="shared" si="64"/>
        <v>65457</v>
      </c>
      <c r="X2064" s="122">
        <f t="shared" si="65"/>
        <v>79449</v>
      </c>
      <c r="AA2064" t="s">
        <v>64</v>
      </c>
      <c r="AB2064" t="s">
        <v>426</v>
      </c>
      <c r="AC2064" t="s">
        <v>425</v>
      </c>
      <c r="AD2064" t="s">
        <v>137</v>
      </c>
      <c r="AE2064" t="s">
        <v>137</v>
      </c>
      <c r="AF2064">
        <v>1</v>
      </c>
      <c r="AG2064">
        <v>158</v>
      </c>
      <c r="AH2064">
        <v>534</v>
      </c>
      <c r="AI2064" s="122">
        <v>60593</v>
      </c>
      <c r="AJ2064" s="122">
        <v>55085</v>
      </c>
      <c r="AK2064">
        <v>30</v>
      </c>
      <c r="AL2064" s="122">
        <v>9594</v>
      </c>
      <c r="AM2064" s="122">
        <v>8722</v>
      </c>
      <c r="AN2064" s="122">
        <v>3226</v>
      </c>
      <c r="AO2064" s="122">
        <v>1195</v>
      </c>
      <c r="AP2064">
        <v>0</v>
      </c>
      <c r="AQ2064">
        <v>0</v>
      </c>
      <c r="AR2064" s="122">
        <v>10748</v>
      </c>
      <c r="AS2064" s="122">
        <v>3981</v>
      </c>
      <c r="AT2064">
        <v>0</v>
      </c>
      <c r="AU2064">
        <v>0</v>
      </c>
      <c r="AV2064" s="122">
        <v>68982</v>
      </c>
    </row>
    <row r="2065" spans="2:48" hidden="1">
      <c r="B2065" t="s">
        <v>380</v>
      </c>
      <c r="C2065" t="s">
        <v>54</v>
      </c>
      <c r="D2065" t="s">
        <v>137</v>
      </c>
      <c r="E2065" t="s">
        <v>137</v>
      </c>
      <c r="F2065" s="122">
        <v>5</v>
      </c>
      <c r="G2065" s="122">
        <v>415</v>
      </c>
      <c r="H2065" s="122">
        <v>668</v>
      </c>
      <c r="I2065" s="122">
        <v>23055</v>
      </c>
      <c r="J2065" s="122">
        <v>8539</v>
      </c>
      <c r="K2065" s="122">
        <v>336</v>
      </c>
      <c r="L2065" s="122">
        <v>6790</v>
      </c>
      <c r="M2065" s="122">
        <v>5937</v>
      </c>
      <c r="N2065" s="122">
        <v>6177</v>
      </c>
      <c r="O2065" s="122">
        <v>2288</v>
      </c>
      <c r="P2065" s="122">
        <v>2596</v>
      </c>
      <c r="Q2065" s="122">
        <v>961</v>
      </c>
      <c r="R2065" s="122">
        <v>16964</v>
      </c>
      <c r="S2065" s="122">
        <v>6283</v>
      </c>
      <c r="T2065" s="122">
        <v>0</v>
      </c>
      <c r="U2065" s="122">
        <v>0</v>
      </c>
      <c r="V2065" s="122">
        <v>24008</v>
      </c>
      <c r="W2065" s="122">
        <f t="shared" si="64"/>
        <v>24008</v>
      </c>
      <c r="X2065" s="122">
        <f t="shared" si="65"/>
        <v>55582</v>
      </c>
      <c r="AA2065" t="s">
        <v>64</v>
      </c>
      <c r="AB2065" t="s">
        <v>426</v>
      </c>
      <c r="AC2065" t="s">
        <v>425</v>
      </c>
      <c r="AD2065" t="s">
        <v>137</v>
      </c>
      <c r="AE2065" t="s">
        <v>566</v>
      </c>
      <c r="AF2065">
        <v>1</v>
      </c>
      <c r="AG2065">
        <v>74</v>
      </c>
      <c r="AH2065" s="122">
        <v>1013</v>
      </c>
      <c r="AI2065" s="122">
        <v>66634</v>
      </c>
      <c r="AJ2065" s="122">
        <v>60576</v>
      </c>
      <c r="AK2065">
        <v>30</v>
      </c>
      <c r="AL2065" s="122">
        <v>2468</v>
      </c>
      <c r="AM2065" s="122">
        <v>2244</v>
      </c>
      <c r="AN2065" s="122">
        <v>1807</v>
      </c>
      <c r="AO2065">
        <v>669</v>
      </c>
      <c r="AP2065">
        <v>0</v>
      </c>
      <c r="AQ2065">
        <v>0</v>
      </c>
      <c r="AR2065" s="122">
        <v>4227</v>
      </c>
      <c r="AS2065" s="122">
        <v>1566</v>
      </c>
      <c r="AT2065">
        <v>0</v>
      </c>
      <c r="AU2065">
        <v>0</v>
      </c>
      <c r="AV2065" s="122">
        <v>65055</v>
      </c>
    </row>
    <row r="2066" spans="2:48" hidden="1">
      <c r="B2066" t="s">
        <v>380</v>
      </c>
      <c r="C2066" t="s">
        <v>54</v>
      </c>
      <c r="D2066" t="s">
        <v>406</v>
      </c>
      <c r="E2066" t="s">
        <v>406</v>
      </c>
      <c r="F2066" s="122">
        <v>91</v>
      </c>
      <c r="G2066" s="122">
        <v>9611</v>
      </c>
      <c r="H2066" s="122">
        <v>12790</v>
      </c>
      <c r="I2066" s="122">
        <v>623317</v>
      </c>
      <c r="J2066" s="122">
        <v>566651</v>
      </c>
      <c r="K2066" s="122">
        <v>89</v>
      </c>
      <c r="L2066" s="122">
        <v>118245</v>
      </c>
      <c r="M2066" s="122">
        <v>105298</v>
      </c>
      <c r="N2066" s="122">
        <v>163588</v>
      </c>
      <c r="O2066" s="122">
        <v>60588</v>
      </c>
      <c r="P2066" s="122">
        <v>57564</v>
      </c>
      <c r="Q2066" s="122">
        <v>21320</v>
      </c>
      <c r="R2066" s="122">
        <v>384765</v>
      </c>
      <c r="S2066" s="122">
        <v>349786</v>
      </c>
      <c r="T2066" s="122">
        <v>8274</v>
      </c>
      <c r="U2066" s="122">
        <v>3064</v>
      </c>
      <c r="V2066" s="122">
        <v>1106708</v>
      </c>
      <c r="W2066" s="122">
        <f t="shared" si="64"/>
        <v>1106707</v>
      </c>
      <c r="X2066" s="122">
        <f t="shared" si="65"/>
        <v>1355753</v>
      </c>
      <c r="AA2066" t="s">
        <v>64</v>
      </c>
      <c r="AB2066" t="s">
        <v>426</v>
      </c>
      <c r="AC2066" t="s">
        <v>425</v>
      </c>
      <c r="AD2066" t="s">
        <v>426</v>
      </c>
      <c r="AE2066" t="s">
        <v>137</v>
      </c>
      <c r="AF2066">
        <v>6</v>
      </c>
      <c r="AG2066">
        <v>441</v>
      </c>
      <c r="AH2066" s="122">
        <v>3503</v>
      </c>
      <c r="AI2066" s="122">
        <v>167271</v>
      </c>
      <c r="AJ2066" s="122">
        <v>152064</v>
      </c>
      <c r="AK2066">
        <v>53</v>
      </c>
      <c r="AL2066" s="122">
        <v>33086</v>
      </c>
      <c r="AM2066" s="122">
        <v>30079</v>
      </c>
      <c r="AN2066" s="122">
        <v>7859</v>
      </c>
      <c r="AO2066" s="122">
        <v>2911</v>
      </c>
      <c r="AP2066" s="122">
        <v>2106</v>
      </c>
      <c r="AQ2066">
        <v>780</v>
      </c>
      <c r="AR2066" s="122">
        <v>30266</v>
      </c>
      <c r="AS2066" s="122">
        <v>27515</v>
      </c>
      <c r="AT2066" s="122">
        <v>13165</v>
      </c>
      <c r="AU2066" s="122">
        <v>4876</v>
      </c>
      <c r="AV2066" s="122">
        <v>218225</v>
      </c>
    </row>
    <row r="2067" spans="2:48" hidden="1">
      <c r="B2067" t="s">
        <v>380</v>
      </c>
      <c r="C2067" t="s">
        <v>54</v>
      </c>
      <c r="D2067" t="s">
        <v>407</v>
      </c>
      <c r="E2067" t="s">
        <v>407</v>
      </c>
      <c r="F2067" s="122">
        <v>103</v>
      </c>
      <c r="G2067" s="122">
        <v>11245</v>
      </c>
      <c r="H2067" s="122">
        <v>14574</v>
      </c>
      <c r="I2067" s="122">
        <v>735022</v>
      </c>
      <c r="J2067" s="122">
        <v>668202</v>
      </c>
      <c r="K2067" s="122">
        <v>87</v>
      </c>
      <c r="L2067" s="122">
        <v>149646</v>
      </c>
      <c r="M2067" s="122">
        <v>131335</v>
      </c>
      <c r="N2067" s="122">
        <v>198259</v>
      </c>
      <c r="O2067" s="122">
        <v>73429</v>
      </c>
      <c r="P2067" s="122">
        <v>47682</v>
      </c>
      <c r="Q2067" s="122">
        <v>17660</v>
      </c>
      <c r="R2067" s="122">
        <v>470554</v>
      </c>
      <c r="S2067" s="122">
        <v>427776</v>
      </c>
      <c r="T2067" s="122">
        <v>2466</v>
      </c>
      <c r="U2067" s="122">
        <v>913</v>
      </c>
      <c r="V2067" s="122">
        <v>1319316</v>
      </c>
      <c r="W2067" s="122">
        <f t="shared" si="64"/>
        <v>1319315</v>
      </c>
      <c r="X2067" s="122">
        <f t="shared" si="65"/>
        <v>1603629</v>
      </c>
      <c r="AA2067" t="s">
        <v>64</v>
      </c>
      <c r="AB2067" t="s">
        <v>426</v>
      </c>
      <c r="AC2067" t="s">
        <v>405</v>
      </c>
      <c r="AD2067" t="s">
        <v>426</v>
      </c>
      <c r="AE2067" t="s">
        <v>137</v>
      </c>
      <c r="AF2067">
        <v>1</v>
      </c>
      <c r="AG2067">
        <v>73</v>
      </c>
      <c r="AH2067">
        <v>478</v>
      </c>
      <c r="AI2067" s="122">
        <v>25362</v>
      </c>
      <c r="AJ2067" s="122">
        <v>23057</v>
      </c>
      <c r="AK2067">
        <v>55</v>
      </c>
      <c r="AL2067" s="122">
        <v>1550</v>
      </c>
      <c r="AM2067" s="122">
        <v>1409</v>
      </c>
      <c r="AN2067" s="122">
        <v>1778</v>
      </c>
      <c r="AO2067">
        <v>659</v>
      </c>
      <c r="AP2067">
        <v>351</v>
      </c>
      <c r="AQ2067">
        <v>130</v>
      </c>
      <c r="AR2067" s="122">
        <v>3516</v>
      </c>
      <c r="AS2067" s="122">
        <v>3197</v>
      </c>
      <c r="AT2067" s="122">
        <v>2338</v>
      </c>
      <c r="AU2067">
        <v>866</v>
      </c>
      <c r="AV2067" s="122">
        <v>29317</v>
      </c>
    </row>
    <row r="2068" spans="2:48" hidden="1">
      <c r="B2068" t="s">
        <v>380</v>
      </c>
      <c r="C2068" t="s">
        <v>56</v>
      </c>
      <c r="F2068" s="122">
        <v>16</v>
      </c>
      <c r="G2068" s="122">
        <v>1120</v>
      </c>
      <c r="H2068" s="122">
        <v>2642</v>
      </c>
      <c r="I2068" s="122"/>
      <c r="J2068" s="122">
        <v>0</v>
      </c>
      <c r="K2068" s="122"/>
      <c r="L2068" s="122"/>
      <c r="M2068" s="122">
        <v>0</v>
      </c>
      <c r="N2068" s="122">
        <v>16088</v>
      </c>
      <c r="O2068" s="122">
        <v>5959</v>
      </c>
      <c r="P2068" s="122">
        <v>5886</v>
      </c>
      <c r="Q2068" s="122">
        <v>2180</v>
      </c>
      <c r="R2068" s="122"/>
      <c r="S2068" s="122">
        <v>0</v>
      </c>
      <c r="T2068" s="122">
        <v>16315</v>
      </c>
      <c r="U2068" s="122">
        <v>6042</v>
      </c>
      <c r="V2068" s="122">
        <v>14181</v>
      </c>
      <c r="W2068" s="122">
        <f t="shared" si="64"/>
        <v>14181</v>
      </c>
      <c r="X2068" s="122">
        <f t="shared" si="65"/>
        <v>38289</v>
      </c>
      <c r="AA2068" t="s">
        <v>64</v>
      </c>
      <c r="AB2068" t="s">
        <v>426</v>
      </c>
      <c r="AC2068" t="s">
        <v>137</v>
      </c>
      <c r="AD2068" t="s">
        <v>137</v>
      </c>
      <c r="AE2068" t="s">
        <v>137</v>
      </c>
      <c r="AF2068">
        <v>29</v>
      </c>
      <c r="AG2068" s="122">
        <v>2407</v>
      </c>
      <c r="AH2068" s="122">
        <v>23325</v>
      </c>
      <c r="AI2068" s="122">
        <v>1494468</v>
      </c>
      <c r="AJ2068" s="122">
        <v>1358608</v>
      </c>
      <c r="AK2068">
        <v>43</v>
      </c>
      <c r="AL2068" s="122">
        <v>171638</v>
      </c>
      <c r="AM2068" s="122">
        <v>63569</v>
      </c>
      <c r="AN2068" s="122">
        <v>54923</v>
      </c>
      <c r="AO2068" s="122">
        <v>20342</v>
      </c>
      <c r="AP2068" s="122">
        <v>2376</v>
      </c>
      <c r="AQ2068">
        <v>880</v>
      </c>
      <c r="AR2068" s="122">
        <v>251944</v>
      </c>
      <c r="AS2068" s="122">
        <v>93312</v>
      </c>
      <c r="AT2068" s="122">
        <v>14042</v>
      </c>
      <c r="AU2068" s="122">
        <v>5201</v>
      </c>
      <c r="AV2068" s="122">
        <v>1541912</v>
      </c>
    </row>
    <row r="2069" spans="2:48" hidden="1">
      <c r="B2069" t="s">
        <v>380</v>
      </c>
      <c r="C2069" t="s">
        <v>56</v>
      </c>
      <c r="D2069" t="s">
        <v>425</v>
      </c>
      <c r="E2069" t="s">
        <v>425</v>
      </c>
      <c r="F2069" s="122">
        <v>1</v>
      </c>
      <c r="G2069" s="122">
        <v>154</v>
      </c>
      <c r="H2069" s="122">
        <v>175</v>
      </c>
      <c r="I2069" s="122">
        <v>16734</v>
      </c>
      <c r="J2069" s="122">
        <v>15213</v>
      </c>
      <c r="K2069" s="122">
        <v>90</v>
      </c>
      <c r="L2069" s="122">
        <v>2795</v>
      </c>
      <c r="M2069" s="122">
        <v>2541</v>
      </c>
      <c r="N2069" s="122">
        <v>2107</v>
      </c>
      <c r="O2069" s="122">
        <v>780</v>
      </c>
      <c r="P2069" s="122">
        <v>473</v>
      </c>
      <c r="Q2069" s="122">
        <v>175</v>
      </c>
      <c r="R2069" s="122">
        <v>4942</v>
      </c>
      <c r="S2069" s="122">
        <v>4493</v>
      </c>
      <c r="T2069" s="122">
        <v>0</v>
      </c>
      <c r="U2069" s="122">
        <v>0</v>
      </c>
      <c r="V2069" s="122">
        <v>23202</v>
      </c>
      <c r="W2069" s="122">
        <f t="shared" si="64"/>
        <v>23202</v>
      </c>
      <c r="X2069" s="122">
        <f t="shared" si="65"/>
        <v>27051</v>
      </c>
      <c r="AA2069" t="s">
        <v>64</v>
      </c>
      <c r="AB2069" t="s">
        <v>426</v>
      </c>
      <c r="AC2069" t="s">
        <v>137</v>
      </c>
      <c r="AD2069" t="s">
        <v>137</v>
      </c>
      <c r="AE2069" t="s">
        <v>566</v>
      </c>
      <c r="AF2069">
        <v>362</v>
      </c>
      <c r="AG2069" s="122">
        <v>33330</v>
      </c>
      <c r="AH2069" s="122">
        <v>337590</v>
      </c>
      <c r="AI2069" s="122">
        <v>24531827</v>
      </c>
      <c r="AJ2069" s="122">
        <v>22301661</v>
      </c>
      <c r="AK2069">
        <v>34</v>
      </c>
      <c r="AL2069" s="122">
        <v>2512546</v>
      </c>
      <c r="AM2069" s="122">
        <v>930573</v>
      </c>
      <c r="AN2069" s="122">
        <v>779869</v>
      </c>
      <c r="AO2069" s="122">
        <v>288840</v>
      </c>
      <c r="AP2069" s="122">
        <v>9811</v>
      </c>
      <c r="AQ2069" s="122">
        <v>3634</v>
      </c>
      <c r="AR2069" s="122">
        <v>2717705</v>
      </c>
      <c r="AS2069" s="122">
        <v>1006557</v>
      </c>
      <c r="AT2069">
        <v>0</v>
      </c>
      <c r="AU2069">
        <v>0</v>
      </c>
      <c r="AV2069" s="122">
        <v>24531265</v>
      </c>
    </row>
    <row r="2070" spans="2:48" hidden="1">
      <c r="B2070" t="s">
        <v>380</v>
      </c>
      <c r="C2070" t="s">
        <v>56</v>
      </c>
      <c r="D2070" t="s">
        <v>405</v>
      </c>
      <c r="E2070" t="s">
        <v>405</v>
      </c>
      <c r="F2070" s="122">
        <v>42</v>
      </c>
      <c r="G2070" s="122">
        <v>3952</v>
      </c>
      <c r="H2070" s="122">
        <v>7738</v>
      </c>
      <c r="I2070" s="122">
        <v>293489</v>
      </c>
      <c r="J2070" s="122">
        <v>266808</v>
      </c>
      <c r="K2070" s="122">
        <v>83</v>
      </c>
      <c r="L2070" s="122">
        <v>103260</v>
      </c>
      <c r="M2070" s="122">
        <v>73034</v>
      </c>
      <c r="N2070" s="122">
        <v>87686</v>
      </c>
      <c r="O2070" s="122">
        <v>32476</v>
      </c>
      <c r="P2070" s="122">
        <v>20844</v>
      </c>
      <c r="Q2070" s="122">
        <v>7720</v>
      </c>
      <c r="R2070" s="122">
        <v>179170</v>
      </c>
      <c r="S2070" s="122">
        <v>162882</v>
      </c>
      <c r="T2070" s="122">
        <v>47442</v>
      </c>
      <c r="U2070" s="122">
        <v>17571</v>
      </c>
      <c r="V2070" s="122">
        <v>560492</v>
      </c>
      <c r="W2070" s="122">
        <f t="shared" si="64"/>
        <v>560491</v>
      </c>
      <c r="X2070" s="122">
        <f t="shared" si="65"/>
        <v>731891</v>
      </c>
      <c r="AA2070" t="s">
        <v>64</v>
      </c>
      <c r="AB2070" t="s">
        <v>426</v>
      </c>
      <c r="AC2070" t="s">
        <v>137</v>
      </c>
      <c r="AD2070" t="s">
        <v>406</v>
      </c>
      <c r="AE2070" t="s">
        <v>137</v>
      </c>
      <c r="AF2070">
        <v>2</v>
      </c>
      <c r="AG2070">
        <v>184</v>
      </c>
      <c r="AH2070" s="122">
        <v>1343</v>
      </c>
      <c r="AI2070" s="122">
        <v>101608</v>
      </c>
      <c r="AJ2070" s="122">
        <v>92371</v>
      </c>
      <c r="AK2070">
        <v>38</v>
      </c>
      <c r="AL2070" s="122">
        <v>9285</v>
      </c>
      <c r="AM2070" s="122">
        <v>3439</v>
      </c>
      <c r="AN2070" s="122">
        <v>3672</v>
      </c>
      <c r="AO2070" s="122">
        <v>1360</v>
      </c>
      <c r="AP2070">
        <v>621</v>
      </c>
      <c r="AQ2070">
        <v>230</v>
      </c>
      <c r="AR2070" s="122">
        <v>10450</v>
      </c>
      <c r="AS2070" s="122">
        <v>9500</v>
      </c>
      <c r="AT2070" s="122">
        <v>4316</v>
      </c>
      <c r="AU2070" s="122">
        <v>1599</v>
      </c>
      <c r="AV2070" s="122">
        <v>108498</v>
      </c>
    </row>
    <row r="2071" spans="2:48" hidden="1">
      <c r="B2071" t="s">
        <v>380</v>
      </c>
      <c r="C2071" t="s">
        <v>56</v>
      </c>
      <c r="D2071" t="s">
        <v>405</v>
      </c>
      <c r="E2071" t="s">
        <v>426</v>
      </c>
      <c r="F2071" s="122">
        <v>1</v>
      </c>
      <c r="G2071" s="122">
        <v>93</v>
      </c>
      <c r="H2071" s="122">
        <v>187</v>
      </c>
      <c r="I2071" s="122">
        <v>8934</v>
      </c>
      <c r="J2071" s="122">
        <v>8122</v>
      </c>
      <c r="K2071" s="122">
        <v>87</v>
      </c>
      <c r="L2071" s="122">
        <v>2743</v>
      </c>
      <c r="M2071" s="122">
        <v>2494</v>
      </c>
      <c r="N2071" s="122">
        <v>1135</v>
      </c>
      <c r="O2071" s="122">
        <v>420</v>
      </c>
      <c r="P2071" s="122">
        <v>473</v>
      </c>
      <c r="Q2071" s="122">
        <v>175</v>
      </c>
      <c r="R2071" s="122">
        <v>4159</v>
      </c>
      <c r="S2071" s="122">
        <v>3781</v>
      </c>
      <c r="T2071" s="122">
        <v>0</v>
      </c>
      <c r="U2071" s="122">
        <v>0</v>
      </c>
      <c r="V2071" s="122">
        <v>14992</v>
      </c>
      <c r="W2071" s="122">
        <f t="shared" si="64"/>
        <v>14992</v>
      </c>
      <c r="X2071" s="122">
        <f t="shared" si="65"/>
        <v>17444</v>
      </c>
      <c r="AA2071" t="s">
        <v>64</v>
      </c>
      <c r="AB2071" t="s">
        <v>426</v>
      </c>
      <c r="AC2071" t="s">
        <v>137</v>
      </c>
      <c r="AD2071" t="s">
        <v>406</v>
      </c>
      <c r="AE2071" t="s">
        <v>566</v>
      </c>
      <c r="AF2071">
        <v>1</v>
      </c>
      <c r="AG2071">
        <v>39</v>
      </c>
      <c r="AH2071" s="122">
        <v>1062</v>
      </c>
      <c r="AI2071" s="122">
        <v>30353</v>
      </c>
      <c r="AJ2071" s="122">
        <v>27594</v>
      </c>
      <c r="AK2071">
        <v>45</v>
      </c>
      <c r="AL2071" s="122">
        <v>3725</v>
      </c>
      <c r="AM2071" s="122">
        <v>1380</v>
      </c>
      <c r="AN2071">
        <v>876</v>
      </c>
      <c r="AO2071">
        <v>324</v>
      </c>
      <c r="AP2071">
        <v>0</v>
      </c>
      <c r="AQ2071">
        <v>0</v>
      </c>
      <c r="AR2071" s="122">
        <v>6094</v>
      </c>
      <c r="AS2071" s="122">
        <v>5540</v>
      </c>
      <c r="AT2071">
        <v>0</v>
      </c>
      <c r="AU2071">
        <v>0</v>
      </c>
      <c r="AV2071" s="122">
        <v>34838</v>
      </c>
    </row>
    <row r="2072" spans="2:48" hidden="1">
      <c r="B2072" t="s">
        <v>380</v>
      </c>
      <c r="C2072" t="s">
        <v>56</v>
      </c>
      <c r="D2072" t="s">
        <v>137</v>
      </c>
      <c r="E2072" t="s">
        <v>137</v>
      </c>
      <c r="F2072" s="122">
        <v>28</v>
      </c>
      <c r="G2072" s="122">
        <v>2348</v>
      </c>
      <c r="H2072" s="122">
        <v>5589</v>
      </c>
      <c r="I2072" s="122">
        <v>208609</v>
      </c>
      <c r="J2072" s="122">
        <v>77263</v>
      </c>
      <c r="K2072" s="122">
        <v>112</v>
      </c>
      <c r="L2072" s="122">
        <v>32182</v>
      </c>
      <c r="M2072" s="122">
        <v>16503</v>
      </c>
      <c r="N2072" s="122">
        <v>39539</v>
      </c>
      <c r="O2072" s="122">
        <v>14644</v>
      </c>
      <c r="P2072" s="122">
        <v>3095</v>
      </c>
      <c r="Q2072" s="122">
        <v>1146</v>
      </c>
      <c r="R2072" s="122">
        <v>185343</v>
      </c>
      <c r="S2072" s="122">
        <v>68646</v>
      </c>
      <c r="T2072" s="122">
        <v>0</v>
      </c>
      <c r="U2072" s="122">
        <v>0</v>
      </c>
      <c r="V2072" s="122">
        <v>178202</v>
      </c>
      <c r="W2072" s="122">
        <f t="shared" si="64"/>
        <v>178202</v>
      </c>
      <c r="X2072" s="122">
        <f t="shared" si="65"/>
        <v>468768</v>
      </c>
      <c r="AA2072" t="s">
        <v>64</v>
      </c>
      <c r="AB2072" t="s">
        <v>426</v>
      </c>
      <c r="AC2072" t="s">
        <v>137</v>
      </c>
      <c r="AD2072" t="s">
        <v>407</v>
      </c>
      <c r="AE2072" t="s">
        <v>566</v>
      </c>
      <c r="AF2072">
        <v>3</v>
      </c>
      <c r="AG2072">
        <v>272</v>
      </c>
      <c r="AH2072" s="122">
        <v>2722</v>
      </c>
      <c r="AI2072" s="122">
        <v>215262</v>
      </c>
      <c r="AJ2072" s="122">
        <v>195693</v>
      </c>
      <c r="AK2072">
        <v>30</v>
      </c>
      <c r="AL2072" s="122">
        <v>17612</v>
      </c>
      <c r="AM2072" s="122">
        <v>6523</v>
      </c>
      <c r="AN2072" s="122">
        <v>5861</v>
      </c>
      <c r="AO2072" s="122">
        <v>2171</v>
      </c>
      <c r="AP2072">
        <v>122</v>
      </c>
      <c r="AQ2072">
        <v>45</v>
      </c>
      <c r="AR2072" s="122">
        <v>8713</v>
      </c>
      <c r="AS2072" s="122">
        <v>7921</v>
      </c>
      <c r="AT2072">
        <v>0</v>
      </c>
      <c r="AU2072">
        <v>0</v>
      </c>
      <c r="AV2072" s="122">
        <v>212352</v>
      </c>
    </row>
    <row r="2073" spans="2:48" hidden="1">
      <c r="B2073" t="s">
        <v>380</v>
      </c>
      <c r="C2073" t="s">
        <v>56</v>
      </c>
      <c r="D2073" t="s">
        <v>406</v>
      </c>
      <c r="E2073" t="s">
        <v>137</v>
      </c>
      <c r="F2073" s="122">
        <v>2</v>
      </c>
      <c r="G2073" s="122">
        <v>158</v>
      </c>
      <c r="H2073" s="122">
        <v>411</v>
      </c>
      <c r="I2073" s="122">
        <v>13210</v>
      </c>
      <c r="J2073" s="122">
        <v>12009</v>
      </c>
      <c r="K2073" s="122">
        <v>90</v>
      </c>
      <c r="L2073" s="122">
        <v>3326</v>
      </c>
      <c r="M2073" s="122">
        <v>3024</v>
      </c>
      <c r="N2073" s="122">
        <v>3757</v>
      </c>
      <c r="O2073" s="122">
        <v>1392</v>
      </c>
      <c r="P2073" s="122">
        <v>1242</v>
      </c>
      <c r="Q2073" s="122">
        <v>460</v>
      </c>
      <c r="R2073" s="122">
        <v>10810</v>
      </c>
      <c r="S2073" s="122">
        <v>4004</v>
      </c>
      <c r="T2073" s="122">
        <v>0</v>
      </c>
      <c r="U2073" s="122">
        <v>0</v>
      </c>
      <c r="V2073" s="122">
        <v>20888</v>
      </c>
      <c r="W2073" s="122">
        <f t="shared" si="64"/>
        <v>20889</v>
      </c>
      <c r="X2073" s="122">
        <f t="shared" si="65"/>
        <v>32345</v>
      </c>
      <c r="AA2073" t="s">
        <v>64</v>
      </c>
      <c r="AB2073" t="s">
        <v>426</v>
      </c>
      <c r="AC2073" t="s">
        <v>137</v>
      </c>
      <c r="AD2073" t="s">
        <v>426</v>
      </c>
      <c r="AE2073" t="s">
        <v>137</v>
      </c>
      <c r="AF2073">
        <v>585</v>
      </c>
      <c r="AG2073" s="122">
        <v>40082</v>
      </c>
      <c r="AH2073" s="122">
        <v>351248</v>
      </c>
      <c r="AI2073" s="122">
        <v>16415715</v>
      </c>
      <c r="AJ2073" s="122">
        <v>14923377</v>
      </c>
      <c r="AK2073">
        <v>52</v>
      </c>
      <c r="AL2073" s="122">
        <v>2692964</v>
      </c>
      <c r="AM2073" s="122">
        <v>997394</v>
      </c>
      <c r="AN2073" s="122">
        <v>866661</v>
      </c>
      <c r="AO2073" s="122">
        <v>320986</v>
      </c>
      <c r="AP2073" s="122">
        <v>159072</v>
      </c>
      <c r="AQ2073" s="122">
        <v>58916</v>
      </c>
      <c r="AR2073" s="122">
        <v>3182401</v>
      </c>
      <c r="AS2073" s="122">
        <v>2893092</v>
      </c>
      <c r="AT2073" s="122">
        <v>1256155</v>
      </c>
      <c r="AU2073" s="122">
        <v>465243</v>
      </c>
      <c r="AV2073" s="122">
        <v>19659007</v>
      </c>
    </row>
    <row r="2074" spans="2:48" hidden="1">
      <c r="B2074" t="s">
        <v>380</v>
      </c>
      <c r="C2074" t="s">
        <v>56</v>
      </c>
      <c r="D2074" t="s">
        <v>406</v>
      </c>
      <c r="E2074" t="s">
        <v>406</v>
      </c>
      <c r="F2074" s="122">
        <v>1052</v>
      </c>
      <c r="G2074" s="122">
        <v>108674</v>
      </c>
      <c r="H2074" s="122">
        <v>201508</v>
      </c>
      <c r="I2074" s="122">
        <v>9948725</v>
      </c>
      <c r="J2074" s="122">
        <v>9044295</v>
      </c>
      <c r="K2074" s="122">
        <v>85</v>
      </c>
      <c r="L2074" s="122">
        <v>2360159</v>
      </c>
      <c r="M2074" s="122">
        <v>2121263</v>
      </c>
      <c r="N2074" s="122">
        <v>2124834</v>
      </c>
      <c r="O2074" s="122">
        <v>786976</v>
      </c>
      <c r="P2074" s="122">
        <v>683393</v>
      </c>
      <c r="Q2074" s="122">
        <v>253109</v>
      </c>
      <c r="R2074" s="122">
        <v>4819768</v>
      </c>
      <c r="S2074" s="122">
        <v>4381607</v>
      </c>
      <c r="T2074" s="122">
        <v>990251</v>
      </c>
      <c r="U2074" s="122">
        <v>366760</v>
      </c>
      <c r="V2074" s="122">
        <v>16954010</v>
      </c>
      <c r="W2074" s="122">
        <f t="shared" si="64"/>
        <v>16954010</v>
      </c>
      <c r="X2074" s="122">
        <f t="shared" si="65"/>
        <v>20927130</v>
      </c>
      <c r="AA2074" t="s">
        <v>64</v>
      </c>
      <c r="AB2074" t="s">
        <v>426</v>
      </c>
      <c r="AC2074" t="s">
        <v>137</v>
      </c>
      <c r="AD2074" t="s">
        <v>426</v>
      </c>
      <c r="AE2074" t="s">
        <v>566</v>
      </c>
      <c r="AF2074">
        <v>72</v>
      </c>
      <c r="AG2074" s="122">
        <v>4730</v>
      </c>
      <c r="AH2074" s="122">
        <v>51550</v>
      </c>
      <c r="AI2074" s="122">
        <v>2425845</v>
      </c>
      <c r="AJ2074" s="122">
        <v>2205314</v>
      </c>
      <c r="AK2074">
        <v>48</v>
      </c>
      <c r="AL2074" s="122">
        <v>418747</v>
      </c>
      <c r="AM2074" s="122">
        <v>155092</v>
      </c>
      <c r="AN2074" s="122">
        <v>105530</v>
      </c>
      <c r="AO2074" s="122">
        <v>39085</v>
      </c>
      <c r="AP2074" s="122">
        <v>17368</v>
      </c>
      <c r="AQ2074" s="122">
        <v>6433</v>
      </c>
      <c r="AR2074" s="122">
        <v>518568</v>
      </c>
      <c r="AS2074" s="122">
        <v>471426</v>
      </c>
      <c r="AT2074">
        <v>0</v>
      </c>
      <c r="AU2074">
        <v>0</v>
      </c>
      <c r="AV2074" s="122">
        <v>2877349</v>
      </c>
    </row>
    <row r="2075" spans="2:48" hidden="1">
      <c r="B2075" t="s">
        <v>380</v>
      </c>
      <c r="C2075" t="s">
        <v>56</v>
      </c>
      <c r="D2075" t="s">
        <v>406</v>
      </c>
      <c r="E2075" t="s">
        <v>427</v>
      </c>
      <c r="F2075" s="122">
        <v>1</v>
      </c>
      <c r="G2075" s="122">
        <v>74</v>
      </c>
      <c r="H2075" s="122">
        <v>210</v>
      </c>
      <c r="I2075" s="122">
        <v>7085</v>
      </c>
      <c r="J2075" s="122">
        <v>6441</v>
      </c>
      <c r="K2075" s="122">
        <v>83</v>
      </c>
      <c r="L2075" s="122">
        <v>1242</v>
      </c>
      <c r="M2075" s="122">
        <v>1129</v>
      </c>
      <c r="N2075" s="122">
        <v>902</v>
      </c>
      <c r="O2075" s="122">
        <v>334</v>
      </c>
      <c r="P2075" s="122">
        <v>621</v>
      </c>
      <c r="Q2075" s="122">
        <v>230</v>
      </c>
      <c r="R2075" s="122">
        <v>3463</v>
      </c>
      <c r="S2075" s="122">
        <v>3148</v>
      </c>
      <c r="T2075" s="122">
        <v>2218</v>
      </c>
      <c r="U2075" s="122">
        <v>822</v>
      </c>
      <c r="V2075" s="122">
        <v>12104</v>
      </c>
      <c r="W2075" s="122">
        <f t="shared" si="64"/>
        <v>12104</v>
      </c>
      <c r="X2075" s="122">
        <f t="shared" si="65"/>
        <v>15531</v>
      </c>
      <c r="AA2075" t="s">
        <v>64</v>
      </c>
      <c r="AB2075" t="s">
        <v>426</v>
      </c>
      <c r="AC2075" t="s">
        <v>580</v>
      </c>
      <c r="AD2075" t="s">
        <v>137</v>
      </c>
      <c r="AE2075" t="s">
        <v>566</v>
      </c>
      <c r="AF2075">
        <v>1</v>
      </c>
      <c r="AG2075">
        <v>68</v>
      </c>
      <c r="AH2075">
        <v>915</v>
      </c>
      <c r="AI2075" s="122">
        <v>51525</v>
      </c>
      <c r="AJ2075" s="122">
        <v>46841</v>
      </c>
      <c r="AK2075">
        <v>30</v>
      </c>
      <c r="AL2075" s="122">
        <v>2642</v>
      </c>
      <c r="AM2075" s="122">
        <v>2402</v>
      </c>
      <c r="AN2075" s="122">
        <v>1140</v>
      </c>
      <c r="AO2075">
        <v>422</v>
      </c>
      <c r="AP2075">
        <v>270</v>
      </c>
      <c r="AQ2075">
        <v>100</v>
      </c>
      <c r="AR2075" s="122">
        <v>6888</v>
      </c>
      <c r="AS2075" s="122">
        <v>2551</v>
      </c>
      <c r="AT2075">
        <v>0</v>
      </c>
      <c r="AU2075">
        <v>0</v>
      </c>
      <c r="AV2075" s="122">
        <v>52316</v>
      </c>
    </row>
    <row r="2076" spans="2:48" hidden="1">
      <c r="B2076" t="s">
        <v>380</v>
      </c>
      <c r="C2076" t="s">
        <v>56</v>
      </c>
      <c r="D2076" t="s">
        <v>406</v>
      </c>
      <c r="E2076" t="s">
        <v>426</v>
      </c>
      <c r="F2076" s="122">
        <v>1</v>
      </c>
      <c r="G2076" s="122">
        <v>104</v>
      </c>
      <c r="H2076" s="122">
        <v>201</v>
      </c>
      <c r="I2076" s="122">
        <v>10716</v>
      </c>
      <c r="J2076" s="122">
        <v>9742</v>
      </c>
      <c r="K2076" s="122">
        <v>85</v>
      </c>
      <c r="L2076" s="122">
        <v>1747</v>
      </c>
      <c r="M2076" s="122">
        <v>1588</v>
      </c>
      <c r="N2076" s="122">
        <v>2364</v>
      </c>
      <c r="O2076" s="122">
        <v>875</v>
      </c>
      <c r="P2076" s="122">
        <v>621</v>
      </c>
      <c r="Q2076" s="122">
        <v>230</v>
      </c>
      <c r="R2076" s="122">
        <v>5446</v>
      </c>
      <c r="S2076" s="122">
        <v>4951</v>
      </c>
      <c r="T2076" s="122">
        <v>0</v>
      </c>
      <c r="U2076" s="122">
        <v>0</v>
      </c>
      <c r="V2076" s="122">
        <v>17386</v>
      </c>
      <c r="W2076" s="122">
        <f t="shared" si="64"/>
        <v>17386</v>
      </c>
      <c r="X2076" s="122">
        <f t="shared" si="65"/>
        <v>20894</v>
      </c>
      <c r="AA2076" t="s">
        <v>64</v>
      </c>
      <c r="AB2076" t="s">
        <v>426</v>
      </c>
      <c r="AC2076" t="s">
        <v>580</v>
      </c>
      <c r="AD2076" t="s">
        <v>406</v>
      </c>
      <c r="AE2076" t="s">
        <v>137</v>
      </c>
      <c r="AF2076">
        <v>3</v>
      </c>
      <c r="AG2076">
        <v>310</v>
      </c>
      <c r="AH2076" s="122">
        <v>2477</v>
      </c>
      <c r="AI2076" s="122">
        <v>219779</v>
      </c>
      <c r="AJ2076" s="122">
        <v>199799</v>
      </c>
      <c r="AK2076">
        <v>38</v>
      </c>
      <c r="AL2076" s="122">
        <v>13271</v>
      </c>
      <c r="AM2076" s="122">
        <v>12065</v>
      </c>
      <c r="AN2076" s="122">
        <v>7254</v>
      </c>
      <c r="AO2076" s="122">
        <v>2687</v>
      </c>
      <c r="AP2076">
        <v>621</v>
      </c>
      <c r="AQ2076">
        <v>230</v>
      </c>
      <c r="AR2076" s="122">
        <v>16682</v>
      </c>
      <c r="AS2076" s="122">
        <v>15166</v>
      </c>
      <c r="AT2076" s="122">
        <v>6017</v>
      </c>
      <c r="AU2076" s="122">
        <v>2229</v>
      </c>
      <c r="AV2076" s="122">
        <v>232175</v>
      </c>
    </row>
    <row r="2077" spans="2:48" hidden="1">
      <c r="B2077" t="s">
        <v>380</v>
      </c>
      <c r="C2077" t="s">
        <v>56</v>
      </c>
      <c r="D2077" t="s">
        <v>407</v>
      </c>
      <c r="E2077" t="s">
        <v>137</v>
      </c>
      <c r="F2077" s="122">
        <v>1</v>
      </c>
      <c r="G2077" s="122">
        <v>83</v>
      </c>
      <c r="H2077" s="122">
        <v>196</v>
      </c>
      <c r="I2077" s="122">
        <v>7546</v>
      </c>
      <c r="J2077" s="122">
        <v>6860</v>
      </c>
      <c r="K2077" s="122">
        <v>80</v>
      </c>
      <c r="L2077" s="122">
        <v>2127</v>
      </c>
      <c r="M2077" s="122">
        <v>1933</v>
      </c>
      <c r="N2077" s="122">
        <v>1510</v>
      </c>
      <c r="O2077" s="122">
        <v>559</v>
      </c>
      <c r="P2077" s="122">
        <v>473</v>
      </c>
      <c r="Q2077" s="122">
        <v>175</v>
      </c>
      <c r="R2077" s="122">
        <v>4523</v>
      </c>
      <c r="S2077" s="122">
        <v>1675</v>
      </c>
      <c r="T2077" s="122">
        <v>0</v>
      </c>
      <c r="U2077" s="122">
        <v>0</v>
      </c>
      <c r="V2077" s="122">
        <v>11203</v>
      </c>
      <c r="W2077" s="122">
        <f t="shared" si="64"/>
        <v>11202</v>
      </c>
      <c r="X2077" s="122">
        <f t="shared" si="65"/>
        <v>16179</v>
      </c>
      <c r="AA2077" t="s">
        <v>64</v>
      </c>
      <c r="AB2077" t="s">
        <v>426</v>
      </c>
      <c r="AC2077" t="s">
        <v>580</v>
      </c>
      <c r="AD2077" t="s">
        <v>406</v>
      </c>
      <c r="AE2077" t="s">
        <v>566</v>
      </c>
      <c r="AF2077">
        <v>1</v>
      </c>
      <c r="AG2077">
        <v>147</v>
      </c>
      <c r="AH2077">
        <v>550</v>
      </c>
      <c r="AI2077" s="122">
        <v>62618</v>
      </c>
      <c r="AJ2077" s="122">
        <v>56925</v>
      </c>
      <c r="AK2077">
        <v>55</v>
      </c>
      <c r="AL2077" s="122">
        <v>5887</v>
      </c>
      <c r="AM2077" s="122">
        <v>5352</v>
      </c>
      <c r="AN2077" s="122">
        <v>3169</v>
      </c>
      <c r="AO2077" s="122">
        <v>1174</v>
      </c>
      <c r="AP2077">
        <v>621</v>
      </c>
      <c r="AQ2077">
        <v>230</v>
      </c>
      <c r="AR2077" s="122">
        <v>8582</v>
      </c>
      <c r="AS2077" s="122">
        <v>7802</v>
      </c>
      <c r="AT2077">
        <v>0</v>
      </c>
      <c r="AU2077">
        <v>0</v>
      </c>
      <c r="AV2077" s="122">
        <v>71483</v>
      </c>
    </row>
    <row r="2078" spans="2:48" hidden="1">
      <c r="B2078" t="s">
        <v>380</v>
      </c>
      <c r="C2078" t="s">
        <v>56</v>
      </c>
      <c r="D2078" t="s">
        <v>407</v>
      </c>
      <c r="E2078" t="s">
        <v>406</v>
      </c>
      <c r="F2078" s="122">
        <v>1</v>
      </c>
      <c r="G2078" s="122">
        <v>103</v>
      </c>
      <c r="H2078" s="122">
        <v>187</v>
      </c>
      <c r="I2078" s="122">
        <v>9351</v>
      </c>
      <c r="J2078" s="122">
        <v>8501</v>
      </c>
      <c r="K2078" s="122">
        <v>80</v>
      </c>
      <c r="L2078" s="122">
        <v>2635</v>
      </c>
      <c r="M2078" s="122">
        <v>2396</v>
      </c>
      <c r="N2078" s="122">
        <v>1973</v>
      </c>
      <c r="O2078" s="122">
        <v>731</v>
      </c>
      <c r="P2078" s="122">
        <v>473</v>
      </c>
      <c r="Q2078" s="122">
        <v>175</v>
      </c>
      <c r="R2078" s="122">
        <v>4884</v>
      </c>
      <c r="S2078" s="122">
        <v>4440</v>
      </c>
      <c r="T2078" s="122">
        <v>0</v>
      </c>
      <c r="U2078" s="122">
        <v>0</v>
      </c>
      <c r="V2078" s="122">
        <v>16242</v>
      </c>
      <c r="W2078" s="122">
        <f t="shared" si="64"/>
        <v>16243</v>
      </c>
      <c r="X2078" s="122">
        <f t="shared" si="65"/>
        <v>19316</v>
      </c>
      <c r="AA2078" t="s">
        <v>64</v>
      </c>
      <c r="AB2078" t="s">
        <v>426</v>
      </c>
      <c r="AC2078" t="s">
        <v>580</v>
      </c>
      <c r="AD2078" t="s">
        <v>426</v>
      </c>
      <c r="AE2078" t="s">
        <v>137</v>
      </c>
      <c r="AF2078">
        <v>30</v>
      </c>
      <c r="AG2078" s="122">
        <v>2524</v>
      </c>
      <c r="AH2078" s="122">
        <v>16573</v>
      </c>
      <c r="AI2078" s="122">
        <v>1001098</v>
      </c>
      <c r="AJ2078" s="122">
        <v>910089</v>
      </c>
      <c r="AK2078">
        <v>56</v>
      </c>
      <c r="AL2078" s="122">
        <v>94746</v>
      </c>
      <c r="AM2078" s="122">
        <v>86133</v>
      </c>
      <c r="AN2078" s="122">
        <v>51489</v>
      </c>
      <c r="AO2078" s="122">
        <v>19070</v>
      </c>
      <c r="AP2078" s="122">
        <v>18144</v>
      </c>
      <c r="AQ2078" s="122">
        <v>6720</v>
      </c>
      <c r="AR2078" s="122">
        <v>154024</v>
      </c>
      <c r="AS2078" s="122">
        <v>140021</v>
      </c>
      <c r="AT2078" s="122">
        <v>68150</v>
      </c>
      <c r="AU2078" s="122">
        <v>25241</v>
      </c>
      <c r="AV2078" s="122">
        <v>1187275</v>
      </c>
    </row>
    <row r="2079" spans="2:48" hidden="1">
      <c r="B2079" t="s">
        <v>380</v>
      </c>
      <c r="C2079" t="s">
        <v>56</v>
      </c>
      <c r="D2079" t="s">
        <v>407</v>
      </c>
      <c r="E2079" t="s">
        <v>407</v>
      </c>
      <c r="F2079" s="122">
        <v>784</v>
      </c>
      <c r="G2079" s="122">
        <v>81152</v>
      </c>
      <c r="H2079" s="122">
        <v>144799</v>
      </c>
      <c r="I2079" s="122">
        <v>6891796</v>
      </c>
      <c r="J2079" s="122">
        <v>6265269</v>
      </c>
      <c r="K2079" s="122">
        <v>81</v>
      </c>
      <c r="L2079" s="122">
        <v>1932279</v>
      </c>
      <c r="M2079" s="122">
        <v>1736810</v>
      </c>
      <c r="N2079" s="122">
        <v>1647852</v>
      </c>
      <c r="O2079" s="122">
        <v>610315</v>
      </c>
      <c r="P2079" s="122">
        <v>372843</v>
      </c>
      <c r="Q2079" s="122">
        <v>138090</v>
      </c>
      <c r="R2079" s="122">
        <v>3823342</v>
      </c>
      <c r="S2079" s="122">
        <v>3475766</v>
      </c>
      <c r="T2079" s="122">
        <v>347253</v>
      </c>
      <c r="U2079" s="122">
        <v>128612</v>
      </c>
      <c r="V2079" s="122">
        <v>12354862</v>
      </c>
      <c r="W2079" s="122">
        <f t="shared" si="64"/>
        <v>12354862</v>
      </c>
      <c r="X2079" s="122">
        <f t="shared" si="65"/>
        <v>15015365</v>
      </c>
      <c r="AA2079" t="s">
        <v>64</v>
      </c>
      <c r="AB2079" t="s">
        <v>426</v>
      </c>
      <c r="AC2079" t="s">
        <v>580</v>
      </c>
      <c r="AD2079" t="s">
        <v>426</v>
      </c>
      <c r="AE2079" t="s">
        <v>566</v>
      </c>
      <c r="AF2079">
        <v>2</v>
      </c>
      <c r="AG2079">
        <v>187</v>
      </c>
      <c r="AH2079" s="122">
        <v>1272</v>
      </c>
      <c r="AI2079" s="122">
        <v>85077</v>
      </c>
      <c r="AJ2079" s="122">
        <v>77343</v>
      </c>
      <c r="AK2079">
        <v>53</v>
      </c>
      <c r="AL2079" s="122">
        <v>7536</v>
      </c>
      <c r="AM2079" s="122">
        <v>6851</v>
      </c>
      <c r="AN2079" s="122">
        <v>3838</v>
      </c>
      <c r="AO2079" s="122">
        <v>1421</v>
      </c>
      <c r="AP2079">
        <v>621</v>
      </c>
      <c r="AQ2079">
        <v>230</v>
      </c>
      <c r="AR2079" s="122">
        <v>20553</v>
      </c>
      <c r="AS2079" s="122">
        <v>18684</v>
      </c>
      <c r="AT2079">
        <v>0</v>
      </c>
      <c r="AU2079">
        <v>0</v>
      </c>
      <c r="AV2079" s="122">
        <v>104530</v>
      </c>
    </row>
    <row r="2080" spans="2:48" hidden="1">
      <c r="B2080" t="s">
        <v>380</v>
      </c>
      <c r="C2080" t="s">
        <v>56</v>
      </c>
      <c r="D2080" t="s">
        <v>407</v>
      </c>
      <c r="E2080" t="s">
        <v>428</v>
      </c>
      <c r="F2080" s="122">
        <v>1</v>
      </c>
      <c r="G2080" s="122">
        <v>124</v>
      </c>
      <c r="H2080" s="122">
        <v>172</v>
      </c>
      <c r="I2080" s="122">
        <v>9697</v>
      </c>
      <c r="J2080" s="122">
        <v>8815</v>
      </c>
      <c r="K2080" s="122">
        <v>73</v>
      </c>
      <c r="L2080" s="122">
        <v>2492</v>
      </c>
      <c r="M2080" s="122">
        <v>2266</v>
      </c>
      <c r="N2080" s="122">
        <v>3029</v>
      </c>
      <c r="O2080" s="122">
        <v>1122</v>
      </c>
      <c r="P2080" s="122">
        <v>473</v>
      </c>
      <c r="Q2080" s="122">
        <v>175</v>
      </c>
      <c r="R2080" s="122">
        <v>5663</v>
      </c>
      <c r="S2080" s="122">
        <v>5148</v>
      </c>
      <c r="T2080" s="122">
        <v>0</v>
      </c>
      <c r="U2080" s="122">
        <v>0</v>
      </c>
      <c r="V2080" s="122">
        <v>17526</v>
      </c>
      <c r="W2080" s="122">
        <f t="shared" si="64"/>
        <v>17526</v>
      </c>
      <c r="X2080" s="122">
        <f t="shared" si="65"/>
        <v>21354</v>
      </c>
      <c r="AA2080" t="s">
        <v>64</v>
      </c>
      <c r="AB2080" t="s">
        <v>426</v>
      </c>
      <c r="AC2080" t="s">
        <v>427</v>
      </c>
      <c r="AD2080" t="s">
        <v>137</v>
      </c>
      <c r="AE2080" t="s">
        <v>566</v>
      </c>
      <c r="AF2080">
        <v>2</v>
      </c>
      <c r="AG2080">
        <v>140</v>
      </c>
      <c r="AH2080" s="122">
        <v>1384</v>
      </c>
      <c r="AI2080" s="122">
        <v>68618</v>
      </c>
      <c r="AJ2080" s="122">
        <v>62380</v>
      </c>
      <c r="AK2080">
        <v>43</v>
      </c>
      <c r="AL2080" s="122">
        <v>10744</v>
      </c>
      <c r="AM2080" s="122">
        <v>9768</v>
      </c>
      <c r="AN2080" s="122">
        <v>3259</v>
      </c>
      <c r="AO2080" s="122">
        <v>1207</v>
      </c>
      <c r="AP2080">
        <v>0</v>
      </c>
      <c r="AQ2080">
        <v>0</v>
      </c>
      <c r="AR2080" s="122">
        <v>8715</v>
      </c>
      <c r="AS2080" s="122">
        <v>3228</v>
      </c>
      <c r="AT2080">
        <v>0</v>
      </c>
      <c r="AU2080">
        <v>0</v>
      </c>
      <c r="AV2080" s="122">
        <v>76583</v>
      </c>
    </row>
    <row r="2081" spans="2:48" hidden="1">
      <c r="B2081" t="s">
        <v>380</v>
      </c>
      <c r="C2081" t="s">
        <v>56</v>
      </c>
      <c r="D2081" t="s">
        <v>407</v>
      </c>
      <c r="E2081" t="s">
        <v>426</v>
      </c>
      <c r="F2081" s="122">
        <v>1</v>
      </c>
      <c r="G2081" s="122">
        <v>126</v>
      </c>
      <c r="H2081" s="122">
        <v>224</v>
      </c>
      <c r="I2081" s="122">
        <v>14148</v>
      </c>
      <c r="J2081" s="122">
        <v>12862</v>
      </c>
      <c r="K2081" s="122">
        <v>78</v>
      </c>
      <c r="L2081" s="122">
        <v>3888</v>
      </c>
      <c r="M2081" s="122">
        <v>3535</v>
      </c>
      <c r="N2081" s="122">
        <v>3067</v>
      </c>
      <c r="O2081" s="122">
        <v>1136</v>
      </c>
      <c r="P2081" s="122">
        <v>473</v>
      </c>
      <c r="Q2081" s="122">
        <v>175</v>
      </c>
      <c r="R2081" s="122">
        <v>6598</v>
      </c>
      <c r="S2081" s="122">
        <v>5999</v>
      </c>
      <c r="T2081" s="122">
        <v>0</v>
      </c>
      <c r="U2081" s="122">
        <v>0</v>
      </c>
      <c r="V2081" s="122">
        <v>23706</v>
      </c>
      <c r="W2081" s="122">
        <f t="shared" si="64"/>
        <v>23707</v>
      </c>
      <c r="X2081" s="122">
        <f t="shared" si="65"/>
        <v>28174</v>
      </c>
      <c r="AA2081" t="s">
        <v>64</v>
      </c>
      <c r="AB2081" t="s">
        <v>426</v>
      </c>
      <c r="AC2081" t="s">
        <v>427</v>
      </c>
      <c r="AD2081" t="s">
        <v>427</v>
      </c>
      <c r="AE2081" t="s">
        <v>137</v>
      </c>
      <c r="AF2081">
        <v>1</v>
      </c>
      <c r="AG2081">
        <v>80</v>
      </c>
      <c r="AH2081">
        <v>499</v>
      </c>
      <c r="AI2081" s="122">
        <v>26649</v>
      </c>
      <c r="AJ2081" s="122">
        <v>24226</v>
      </c>
      <c r="AK2081">
        <v>45</v>
      </c>
      <c r="AL2081" s="122">
        <v>4442</v>
      </c>
      <c r="AM2081" s="122">
        <v>4038</v>
      </c>
      <c r="AN2081" s="122">
        <v>1710</v>
      </c>
      <c r="AO2081">
        <v>633</v>
      </c>
      <c r="AP2081">
        <v>351</v>
      </c>
      <c r="AQ2081">
        <v>130</v>
      </c>
      <c r="AR2081" s="122">
        <v>5165</v>
      </c>
      <c r="AS2081" s="122">
        <v>4696</v>
      </c>
      <c r="AT2081" s="122">
        <v>1723</v>
      </c>
      <c r="AU2081">
        <v>638</v>
      </c>
      <c r="AV2081" s="122">
        <v>34361</v>
      </c>
    </row>
    <row r="2082" spans="2:48" hidden="1">
      <c r="B2082" t="s">
        <v>380</v>
      </c>
      <c r="C2082" t="s">
        <v>56</v>
      </c>
      <c r="D2082" t="s">
        <v>426</v>
      </c>
      <c r="E2082" t="s">
        <v>426</v>
      </c>
      <c r="F2082" s="122">
        <v>12</v>
      </c>
      <c r="G2082" s="122">
        <v>1222</v>
      </c>
      <c r="H2082" s="122">
        <v>2513</v>
      </c>
      <c r="I2082" s="122">
        <v>150848</v>
      </c>
      <c r="J2082" s="122">
        <v>137134</v>
      </c>
      <c r="K2082" s="122">
        <v>71</v>
      </c>
      <c r="L2082" s="122">
        <v>14478</v>
      </c>
      <c r="M2082" s="122">
        <v>10506</v>
      </c>
      <c r="N2082" s="122">
        <v>27498</v>
      </c>
      <c r="O2082" s="122">
        <v>10185</v>
      </c>
      <c r="P2082" s="122">
        <v>5994</v>
      </c>
      <c r="Q2082" s="122">
        <v>2220</v>
      </c>
      <c r="R2082" s="122">
        <v>53604</v>
      </c>
      <c r="S2082" s="122">
        <v>48731</v>
      </c>
      <c r="T2082" s="122">
        <v>29427</v>
      </c>
      <c r="U2082" s="122">
        <v>10899</v>
      </c>
      <c r="V2082" s="122">
        <v>219674</v>
      </c>
      <c r="W2082" s="122">
        <f t="shared" ref="W2082:W2145" si="66">SUM(ABS(J2082),ABS(M2082),ABS(O2082),ABS(Q2082),ABS(S2082),ABS(U2082))</f>
        <v>219675</v>
      </c>
      <c r="X2082" s="122">
        <f t="shared" ref="X2082:X2145" si="67">SUM(ABS(I2082),ABS(N2082),ABS(P2082),ABS(R2082),ABS(T2082),ABS(L2082))</f>
        <v>281849</v>
      </c>
      <c r="AA2082" t="s">
        <v>64</v>
      </c>
      <c r="AB2082" t="s">
        <v>426</v>
      </c>
      <c r="AC2082" t="s">
        <v>427</v>
      </c>
      <c r="AD2082" t="s">
        <v>426</v>
      </c>
      <c r="AE2082" t="s">
        <v>137</v>
      </c>
      <c r="AF2082">
        <v>16</v>
      </c>
      <c r="AG2082" s="122">
        <v>1447</v>
      </c>
      <c r="AH2082" s="122">
        <v>7877</v>
      </c>
      <c r="AI2082" s="122">
        <v>473681</v>
      </c>
      <c r="AJ2082" s="122">
        <v>430620</v>
      </c>
      <c r="AK2082">
        <v>49</v>
      </c>
      <c r="AL2082" s="122">
        <v>93866</v>
      </c>
      <c r="AM2082" s="122">
        <v>85333</v>
      </c>
      <c r="AN2082" s="122">
        <v>30619</v>
      </c>
      <c r="AO2082" s="122">
        <v>11341</v>
      </c>
      <c r="AP2082" s="122">
        <v>6156</v>
      </c>
      <c r="AQ2082" s="122">
        <v>2280</v>
      </c>
      <c r="AR2082" s="122">
        <v>87612</v>
      </c>
      <c r="AS2082" s="122">
        <v>79648</v>
      </c>
      <c r="AT2082" s="122">
        <v>35717</v>
      </c>
      <c r="AU2082" s="122">
        <v>13228</v>
      </c>
      <c r="AV2082" s="122">
        <v>622449</v>
      </c>
    </row>
    <row r="2083" spans="2:48" hidden="1">
      <c r="B2083" t="s">
        <v>380</v>
      </c>
      <c r="C2083" t="s">
        <v>56</v>
      </c>
      <c r="D2083" t="s">
        <v>433</v>
      </c>
      <c r="E2083" t="s">
        <v>433</v>
      </c>
      <c r="F2083" s="122">
        <v>1</v>
      </c>
      <c r="G2083" s="122">
        <v>90</v>
      </c>
      <c r="H2083" s="122">
        <v>211</v>
      </c>
      <c r="I2083" s="122">
        <v>9224</v>
      </c>
      <c r="J2083" s="122">
        <v>8386</v>
      </c>
      <c r="K2083" s="122">
        <v>78</v>
      </c>
      <c r="L2083" s="122">
        <v>1025</v>
      </c>
      <c r="M2083" s="122">
        <v>932</v>
      </c>
      <c r="N2083" s="122">
        <v>2188</v>
      </c>
      <c r="O2083" s="122">
        <v>810</v>
      </c>
      <c r="P2083" s="122">
        <v>351</v>
      </c>
      <c r="Q2083" s="122">
        <v>130</v>
      </c>
      <c r="R2083" s="122">
        <v>3729</v>
      </c>
      <c r="S2083" s="122">
        <v>3390</v>
      </c>
      <c r="T2083" s="122">
        <v>2429</v>
      </c>
      <c r="U2083" s="122">
        <v>900</v>
      </c>
      <c r="V2083" s="122">
        <v>14548</v>
      </c>
      <c r="W2083" s="122">
        <f t="shared" si="66"/>
        <v>14548</v>
      </c>
      <c r="X2083" s="122">
        <f t="shared" si="67"/>
        <v>18946</v>
      </c>
      <c r="AA2083" t="s">
        <v>64</v>
      </c>
      <c r="AB2083" t="s">
        <v>426</v>
      </c>
      <c r="AC2083" t="s">
        <v>427</v>
      </c>
      <c r="AD2083" t="s">
        <v>426</v>
      </c>
      <c r="AE2083" t="s">
        <v>566</v>
      </c>
      <c r="AF2083">
        <v>2</v>
      </c>
      <c r="AG2083">
        <v>194</v>
      </c>
      <c r="AH2083" s="122">
        <v>1214</v>
      </c>
      <c r="AI2083" s="122">
        <v>79202</v>
      </c>
      <c r="AJ2083" s="122">
        <v>72001</v>
      </c>
      <c r="AK2083">
        <v>55</v>
      </c>
      <c r="AL2083" s="122">
        <v>16542</v>
      </c>
      <c r="AM2083" s="122">
        <v>15038</v>
      </c>
      <c r="AN2083" s="122">
        <v>4236</v>
      </c>
      <c r="AO2083" s="122">
        <v>1569</v>
      </c>
      <c r="AP2083">
        <v>702</v>
      </c>
      <c r="AQ2083">
        <v>260</v>
      </c>
      <c r="AR2083" s="122">
        <v>16332</v>
      </c>
      <c r="AS2083" s="122">
        <v>14847</v>
      </c>
      <c r="AT2083">
        <v>0</v>
      </c>
      <c r="AU2083">
        <v>0</v>
      </c>
      <c r="AV2083" s="122">
        <v>103716</v>
      </c>
    </row>
    <row r="2084" spans="2:48" hidden="1">
      <c r="B2084" t="s">
        <v>380</v>
      </c>
      <c r="C2084" t="s">
        <v>56</v>
      </c>
      <c r="D2084" t="s">
        <v>408</v>
      </c>
      <c r="E2084" t="s">
        <v>408</v>
      </c>
      <c r="F2084" s="122">
        <v>2</v>
      </c>
      <c r="G2084" s="122">
        <v>206</v>
      </c>
      <c r="H2084" s="122">
        <v>413</v>
      </c>
      <c r="I2084" s="122">
        <v>20187</v>
      </c>
      <c r="J2084" s="122">
        <v>18352</v>
      </c>
      <c r="K2084" s="122">
        <v>86</v>
      </c>
      <c r="L2084" s="122">
        <v>6459</v>
      </c>
      <c r="M2084" s="122">
        <v>5872</v>
      </c>
      <c r="N2084" s="122">
        <v>3051</v>
      </c>
      <c r="O2084" s="122">
        <v>1130</v>
      </c>
      <c r="P2084" s="122">
        <v>702</v>
      </c>
      <c r="Q2084" s="122">
        <v>260</v>
      </c>
      <c r="R2084" s="122">
        <v>6869</v>
      </c>
      <c r="S2084" s="122">
        <v>6245</v>
      </c>
      <c r="T2084" s="122">
        <v>4997</v>
      </c>
      <c r="U2084" s="122">
        <v>1851</v>
      </c>
      <c r="V2084" s="122">
        <v>33709</v>
      </c>
      <c r="W2084" s="122">
        <f t="shared" si="66"/>
        <v>33710</v>
      </c>
      <c r="X2084" s="122">
        <f t="shared" si="67"/>
        <v>42265</v>
      </c>
      <c r="AA2084" t="s">
        <v>64</v>
      </c>
      <c r="AB2084" t="s">
        <v>426</v>
      </c>
      <c r="AC2084" t="s">
        <v>407</v>
      </c>
      <c r="AD2084" t="s">
        <v>137</v>
      </c>
      <c r="AE2084" t="s">
        <v>566</v>
      </c>
      <c r="AF2084">
        <v>6</v>
      </c>
      <c r="AG2084">
        <v>508</v>
      </c>
      <c r="AH2084" s="122">
        <v>5437</v>
      </c>
      <c r="AI2084" s="122">
        <v>349383</v>
      </c>
      <c r="AJ2084" s="122">
        <v>317621</v>
      </c>
      <c r="AK2084">
        <v>33</v>
      </c>
      <c r="AL2084" s="122">
        <v>39339</v>
      </c>
      <c r="AM2084" s="122">
        <v>35763</v>
      </c>
      <c r="AN2084" s="122">
        <v>11653</v>
      </c>
      <c r="AO2084" s="122">
        <v>4316</v>
      </c>
      <c r="AP2084">
        <v>0</v>
      </c>
      <c r="AQ2084">
        <v>0</v>
      </c>
      <c r="AR2084" s="122">
        <v>53637</v>
      </c>
      <c r="AS2084" s="122">
        <v>19866</v>
      </c>
      <c r="AT2084">
        <v>0</v>
      </c>
      <c r="AU2084">
        <v>0</v>
      </c>
      <c r="AV2084" s="122">
        <v>377565</v>
      </c>
    </row>
    <row r="2085" spans="2:48" hidden="1">
      <c r="B2085" t="s">
        <v>380</v>
      </c>
      <c r="C2085" t="s">
        <v>56</v>
      </c>
      <c r="D2085" t="s">
        <v>429</v>
      </c>
      <c r="E2085" t="s">
        <v>429</v>
      </c>
      <c r="F2085" s="122">
        <v>8</v>
      </c>
      <c r="G2085" s="122">
        <v>731</v>
      </c>
      <c r="H2085" s="122">
        <v>1562</v>
      </c>
      <c r="I2085" s="122">
        <v>84940</v>
      </c>
      <c r="J2085" s="122">
        <v>77218</v>
      </c>
      <c r="K2085" s="122">
        <v>85</v>
      </c>
      <c r="L2085" s="122">
        <v>8842</v>
      </c>
      <c r="M2085" s="122">
        <v>12247</v>
      </c>
      <c r="N2085" s="122">
        <v>9274</v>
      </c>
      <c r="O2085" s="122">
        <v>3435</v>
      </c>
      <c r="P2085" s="122">
        <v>3429</v>
      </c>
      <c r="Q2085" s="122">
        <v>1270</v>
      </c>
      <c r="R2085" s="122">
        <v>35279</v>
      </c>
      <c r="S2085" s="122">
        <v>32072</v>
      </c>
      <c r="T2085" s="122">
        <v>4657</v>
      </c>
      <c r="U2085" s="122">
        <v>1725</v>
      </c>
      <c r="V2085" s="122">
        <v>127967</v>
      </c>
      <c r="W2085" s="122">
        <f t="shared" si="66"/>
        <v>127967</v>
      </c>
      <c r="X2085" s="122">
        <f t="shared" si="67"/>
        <v>146421</v>
      </c>
      <c r="AA2085" t="s">
        <v>64</v>
      </c>
      <c r="AB2085" t="s">
        <v>426</v>
      </c>
      <c r="AC2085" t="s">
        <v>407</v>
      </c>
      <c r="AD2085" t="s">
        <v>407</v>
      </c>
      <c r="AE2085" t="s">
        <v>137</v>
      </c>
      <c r="AF2085">
        <v>3</v>
      </c>
      <c r="AG2085">
        <v>423</v>
      </c>
      <c r="AH2085" s="122">
        <v>2472</v>
      </c>
      <c r="AI2085" s="122">
        <v>329122</v>
      </c>
      <c r="AJ2085" s="122">
        <v>299202</v>
      </c>
      <c r="AK2085">
        <v>30</v>
      </c>
      <c r="AL2085" s="122">
        <v>15251</v>
      </c>
      <c r="AM2085" s="122">
        <v>13865</v>
      </c>
      <c r="AN2085" s="122">
        <v>9234</v>
      </c>
      <c r="AO2085" s="122">
        <v>3420</v>
      </c>
      <c r="AP2085">
        <v>945</v>
      </c>
      <c r="AQ2085">
        <v>350</v>
      </c>
      <c r="AR2085" s="122">
        <v>19063</v>
      </c>
      <c r="AS2085" s="122">
        <v>17330</v>
      </c>
      <c r="AT2085" s="122">
        <v>6238</v>
      </c>
      <c r="AU2085" s="122">
        <v>2311</v>
      </c>
      <c r="AV2085" s="122">
        <v>336477</v>
      </c>
    </row>
    <row r="2086" spans="2:48" hidden="1">
      <c r="B2086" t="s">
        <v>380</v>
      </c>
      <c r="C2086" t="s">
        <v>58</v>
      </c>
      <c r="F2086" s="122">
        <v>9</v>
      </c>
      <c r="G2086" s="122">
        <v>394</v>
      </c>
      <c r="H2086" s="122">
        <v>2447</v>
      </c>
      <c r="I2086" s="122"/>
      <c r="J2086" s="122">
        <v>0</v>
      </c>
      <c r="K2086" s="122"/>
      <c r="L2086" s="122"/>
      <c r="M2086" s="122">
        <v>0</v>
      </c>
      <c r="N2086" s="122">
        <v>4882</v>
      </c>
      <c r="O2086" s="122">
        <v>1808</v>
      </c>
      <c r="P2086" s="122">
        <v>2457</v>
      </c>
      <c r="Q2086" s="122">
        <v>910</v>
      </c>
      <c r="R2086" s="122"/>
      <c r="S2086" s="122">
        <v>0</v>
      </c>
      <c r="T2086" s="122">
        <v>0</v>
      </c>
      <c r="U2086" s="122">
        <v>0</v>
      </c>
      <c r="V2086" s="122">
        <v>2718</v>
      </c>
      <c r="W2086" s="122">
        <f t="shared" si="66"/>
        <v>2718</v>
      </c>
      <c r="X2086" s="122">
        <f t="shared" si="67"/>
        <v>7339</v>
      </c>
      <c r="AA2086" t="s">
        <v>64</v>
      </c>
      <c r="AB2086" t="s">
        <v>426</v>
      </c>
      <c r="AC2086" t="s">
        <v>407</v>
      </c>
      <c r="AD2086" t="s">
        <v>426</v>
      </c>
      <c r="AE2086" t="s">
        <v>137</v>
      </c>
      <c r="AF2086">
        <v>2</v>
      </c>
      <c r="AG2086">
        <v>263</v>
      </c>
      <c r="AH2086">
        <v>991</v>
      </c>
      <c r="AI2086" s="122">
        <v>89885</v>
      </c>
      <c r="AJ2086" s="122">
        <v>81714</v>
      </c>
      <c r="AK2086">
        <v>45</v>
      </c>
      <c r="AL2086" s="122">
        <v>13019</v>
      </c>
      <c r="AM2086" s="122">
        <v>11836</v>
      </c>
      <c r="AN2086" s="122">
        <v>6402</v>
      </c>
      <c r="AO2086" s="122">
        <v>2371</v>
      </c>
      <c r="AP2086" s="122">
        <v>1175</v>
      </c>
      <c r="AQ2086">
        <v>435</v>
      </c>
      <c r="AR2086" s="122">
        <v>14160</v>
      </c>
      <c r="AS2086" s="122">
        <v>12873</v>
      </c>
      <c r="AT2086" s="122">
        <v>5529</v>
      </c>
      <c r="AU2086" s="122">
        <v>2048</v>
      </c>
      <c r="AV2086" s="122">
        <v>111276</v>
      </c>
    </row>
    <row r="2087" spans="2:48" hidden="1">
      <c r="B2087" t="s">
        <v>380</v>
      </c>
      <c r="C2087" t="s">
        <v>58</v>
      </c>
      <c r="D2087" t="s">
        <v>425</v>
      </c>
      <c r="E2087" t="s">
        <v>425</v>
      </c>
      <c r="F2087" s="122">
        <v>1</v>
      </c>
      <c r="G2087" s="122">
        <v>84</v>
      </c>
      <c r="H2087" s="122">
        <v>282</v>
      </c>
      <c r="I2087" s="122">
        <v>10127</v>
      </c>
      <c r="J2087" s="122">
        <v>9206</v>
      </c>
      <c r="K2087" s="122">
        <v>65</v>
      </c>
      <c r="L2087" s="122">
        <v>3840</v>
      </c>
      <c r="M2087" s="122">
        <v>1422</v>
      </c>
      <c r="N2087" s="122">
        <v>1818</v>
      </c>
      <c r="O2087" s="122">
        <v>673</v>
      </c>
      <c r="P2087" s="122">
        <v>351</v>
      </c>
      <c r="Q2087" s="122">
        <v>130</v>
      </c>
      <c r="R2087" s="122">
        <v>7497</v>
      </c>
      <c r="S2087" s="122">
        <v>6816</v>
      </c>
      <c r="T2087" s="122">
        <v>0</v>
      </c>
      <c r="U2087" s="122">
        <v>0</v>
      </c>
      <c r="V2087" s="122">
        <v>18247</v>
      </c>
      <c r="W2087" s="122">
        <f t="shared" si="66"/>
        <v>18247</v>
      </c>
      <c r="X2087" s="122">
        <f t="shared" si="67"/>
        <v>23633</v>
      </c>
      <c r="AA2087" t="s">
        <v>64</v>
      </c>
      <c r="AB2087" t="s">
        <v>426</v>
      </c>
      <c r="AC2087" t="s">
        <v>407</v>
      </c>
      <c r="AD2087" t="s">
        <v>426</v>
      </c>
      <c r="AE2087" t="s">
        <v>566</v>
      </c>
      <c r="AF2087">
        <v>1</v>
      </c>
      <c r="AG2087">
        <v>64</v>
      </c>
      <c r="AH2087" s="122">
        <v>1152</v>
      </c>
      <c r="AI2087" s="122">
        <v>53519</v>
      </c>
      <c r="AJ2087" s="122">
        <v>48653</v>
      </c>
      <c r="AK2087">
        <v>45</v>
      </c>
      <c r="AL2087" s="122">
        <v>4248</v>
      </c>
      <c r="AM2087" s="122">
        <v>3861</v>
      </c>
      <c r="AN2087" s="122">
        <v>1170</v>
      </c>
      <c r="AO2087">
        <v>433</v>
      </c>
      <c r="AP2087">
        <v>351</v>
      </c>
      <c r="AQ2087">
        <v>130</v>
      </c>
      <c r="AR2087" s="122">
        <v>14434</v>
      </c>
      <c r="AS2087" s="122">
        <v>13121</v>
      </c>
      <c r="AT2087">
        <v>0</v>
      </c>
      <c r="AU2087">
        <v>0</v>
      </c>
      <c r="AV2087" s="122">
        <v>66199</v>
      </c>
    </row>
    <row r="2088" spans="2:48" hidden="1">
      <c r="B2088" t="s">
        <v>380</v>
      </c>
      <c r="C2088" t="s">
        <v>58</v>
      </c>
      <c r="D2088" t="s">
        <v>405</v>
      </c>
      <c r="E2088" t="s">
        <v>405</v>
      </c>
      <c r="F2088" s="122">
        <v>6</v>
      </c>
      <c r="G2088" s="122">
        <v>631</v>
      </c>
      <c r="H2088" s="122">
        <v>1409</v>
      </c>
      <c r="I2088" s="122">
        <v>71463</v>
      </c>
      <c r="J2088" s="122">
        <v>64967</v>
      </c>
      <c r="K2088" s="122">
        <v>81</v>
      </c>
      <c r="L2088" s="122">
        <v>25981</v>
      </c>
      <c r="M2088" s="122">
        <v>23619</v>
      </c>
      <c r="N2088" s="122">
        <v>14085</v>
      </c>
      <c r="O2088" s="122">
        <v>5217</v>
      </c>
      <c r="P2088" s="122">
        <v>2835</v>
      </c>
      <c r="Q2088" s="122">
        <v>1050</v>
      </c>
      <c r="R2088" s="122">
        <v>26271</v>
      </c>
      <c r="S2088" s="122">
        <v>23883</v>
      </c>
      <c r="T2088" s="122">
        <v>7649</v>
      </c>
      <c r="U2088" s="122">
        <v>2833</v>
      </c>
      <c r="V2088" s="122">
        <v>121568</v>
      </c>
      <c r="W2088" s="122">
        <f t="shared" si="66"/>
        <v>121569</v>
      </c>
      <c r="X2088" s="122">
        <f t="shared" si="67"/>
        <v>148284</v>
      </c>
      <c r="AA2088" t="s">
        <v>64</v>
      </c>
      <c r="AB2088" t="s">
        <v>426</v>
      </c>
      <c r="AC2088" t="s">
        <v>579</v>
      </c>
      <c r="AD2088" t="s">
        <v>137</v>
      </c>
      <c r="AE2088" t="s">
        <v>566</v>
      </c>
      <c r="AF2088">
        <v>3</v>
      </c>
      <c r="AG2088">
        <v>239</v>
      </c>
      <c r="AH2088" s="122">
        <v>2600</v>
      </c>
      <c r="AI2088" s="122">
        <v>169021</v>
      </c>
      <c r="AJ2088" s="122">
        <v>153656</v>
      </c>
      <c r="AK2088">
        <v>53</v>
      </c>
      <c r="AL2088" s="122">
        <v>19867</v>
      </c>
      <c r="AM2088" s="122">
        <v>16556</v>
      </c>
      <c r="AN2088" s="122">
        <v>5336</v>
      </c>
      <c r="AO2088" s="122">
        <v>1976</v>
      </c>
      <c r="AP2088">
        <v>0</v>
      </c>
      <c r="AQ2088">
        <v>0</v>
      </c>
      <c r="AR2088" s="122">
        <v>18899</v>
      </c>
      <c r="AS2088" s="122">
        <v>7000</v>
      </c>
      <c r="AT2088">
        <v>0</v>
      </c>
      <c r="AU2088">
        <v>0</v>
      </c>
      <c r="AV2088" s="122">
        <v>179188</v>
      </c>
    </row>
    <row r="2089" spans="2:48" hidden="1">
      <c r="B2089" t="s">
        <v>380</v>
      </c>
      <c r="C2089" t="s">
        <v>58</v>
      </c>
      <c r="D2089" t="s">
        <v>137</v>
      </c>
      <c r="E2089" t="s">
        <v>137</v>
      </c>
      <c r="F2089" s="122">
        <v>71</v>
      </c>
      <c r="G2089" s="122">
        <v>6676</v>
      </c>
      <c r="H2089" s="122">
        <v>18853</v>
      </c>
      <c r="I2089" s="122">
        <v>955275</v>
      </c>
      <c r="J2089" s="122">
        <v>353805</v>
      </c>
      <c r="K2089" s="122">
        <v>100</v>
      </c>
      <c r="L2089" s="122">
        <v>177171</v>
      </c>
      <c r="M2089" s="122">
        <v>110502</v>
      </c>
      <c r="N2089" s="122">
        <v>135268</v>
      </c>
      <c r="O2089" s="122">
        <v>50099</v>
      </c>
      <c r="P2089" s="122">
        <v>1674</v>
      </c>
      <c r="Q2089" s="122">
        <v>620</v>
      </c>
      <c r="R2089" s="122">
        <v>511385</v>
      </c>
      <c r="S2089" s="122">
        <v>189402</v>
      </c>
      <c r="T2089" s="122">
        <v>0</v>
      </c>
      <c r="U2089" s="122">
        <v>0</v>
      </c>
      <c r="V2089" s="122">
        <v>704428</v>
      </c>
      <c r="W2089" s="122">
        <f t="shared" si="66"/>
        <v>704428</v>
      </c>
      <c r="X2089" s="122">
        <f t="shared" si="67"/>
        <v>1780773</v>
      </c>
      <c r="AA2089" t="s">
        <v>64</v>
      </c>
      <c r="AB2089" t="s">
        <v>426</v>
      </c>
      <c r="AC2089" t="s">
        <v>579</v>
      </c>
      <c r="AD2089" t="s">
        <v>426</v>
      </c>
      <c r="AE2089" t="s">
        <v>137</v>
      </c>
      <c r="AF2089">
        <v>6</v>
      </c>
      <c r="AG2089">
        <v>361</v>
      </c>
      <c r="AH2089" s="122">
        <v>3436</v>
      </c>
      <c r="AI2089" s="122">
        <v>128589</v>
      </c>
      <c r="AJ2089" s="122">
        <v>116899</v>
      </c>
      <c r="AK2089">
        <v>50</v>
      </c>
      <c r="AL2089" s="122">
        <v>26137</v>
      </c>
      <c r="AM2089" s="122">
        <v>21780</v>
      </c>
      <c r="AN2089" s="122">
        <v>7370</v>
      </c>
      <c r="AO2089" s="122">
        <v>2730</v>
      </c>
      <c r="AP2089" s="122">
        <v>2106</v>
      </c>
      <c r="AQ2089">
        <v>780</v>
      </c>
      <c r="AR2089" s="122">
        <v>28401</v>
      </c>
      <c r="AS2089" s="122">
        <v>25819</v>
      </c>
      <c r="AT2089" s="122">
        <v>10403</v>
      </c>
      <c r="AU2089" s="122">
        <v>3853</v>
      </c>
      <c r="AV2089" s="122">
        <v>171861</v>
      </c>
    </row>
    <row r="2090" spans="2:48" hidden="1">
      <c r="B2090" t="s">
        <v>380</v>
      </c>
      <c r="C2090" t="s">
        <v>58</v>
      </c>
      <c r="D2090" t="s">
        <v>137</v>
      </c>
      <c r="E2090" t="s">
        <v>427</v>
      </c>
      <c r="F2090" s="122">
        <v>1</v>
      </c>
      <c r="G2090" s="122">
        <v>112</v>
      </c>
      <c r="H2090" s="122">
        <v>296</v>
      </c>
      <c r="I2090" s="122">
        <v>18942</v>
      </c>
      <c r="J2090" s="122">
        <v>7015</v>
      </c>
      <c r="K2090" s="122">
        <v>100</v>
      </c>
      <c r="L2090" s="122">
        <v>1429</v>
      </c>
      <c r="M2090" s="122">
        <v>1299</v>
      </c>
      <c r="N2090" s="122">
        <v>2390</v>
      </c>
      <c r="O2090" s="122">
        <v>885</v>
      </c>
      <c r="P2090" s="122">
        <v>0</v>
      </c>
      <c r="Q2090" s="122">
        <v>0</v>
      </c>
      <c r="R2090" s="122">
        <v>10425</v>
      </c>
      <c r="S2090" s="122">
        <v>9477</v>
      </c>
      <c r="T2090" s="122">
        <v>0</v>
      </c>
      <c r="U2090" s="122">
        <v>0</v>
      </c>
      <c r="V2090" s="122">
        <v>18677</v>
      </c>
      <c r="W2090" s="122">
        <f t="shared" si="66"/>
        <v>18676</v>
      </c>
      <c r="X2090" s="122">
        <f t="shared" si="67"/>
        <v>33186</v>
      </c>
      <c r="AA2090" t="s">
        <v>64</v>
      </c>
      <c r="AB2090" t="s">
        <v>426</v>
      </c>
      <c r="AC2090" t="s">
        <v>428</v>
      </c>
      <c r="AD2090" t="s">
        <v>406</v>
      </c>
      <c r="AE2090" t="s">
        <v>566</v>
      </c>
      <c r="AF2090">
        <v>1</v>
      </c>
      <c r="AG2090">
        <v>80</v>
      </c>
      <c r="AH2090">
        <v>741</v>
      </c>
      <c r="AI2090" s="122">
        <v>41718</v>
      </c>
      <c r="AJ2090" s="122">
        <v>37925</v>
      </c>
      <c r="AK2090">
        <v>45</v>
      </c>
      <c r="AL2090" s="122">
        <v>6598</v>
      </c>
      <c r="AM2090" s="122">
        <v>5998</v>
      </c>
      <c r="AN2090" s="122">
        <v>1429</v>
      </c>
      <c r="AO2090">
        <v>529</v>
      </c>
      <c r="AP2090">
        <v>351</v>
      </c>
      <c r="AQ2090">
        <v>130</v>
      </c>
      <c r="AR2090" s="122">
        <v>9406</v>
      </c>
      <c r="AS2090" s="122">
        <v>8551</v>
      </c>
      <c r="AT2090">
        <v>0</v>
      </c>
      <c r="AU2090">
        <v>0</v>
      </c>
      <c r="AV2090" s="122">
        <v>53133</v>
      </c>
    </row>
    <row r="2091" spans="2:48" hidden="1">
      <c r="B2091" t="s">
        <v>380</v>
      </c>
      <c r="C2091" t="s">
        <v>58</v>
      </c>
      <c r="D2091" t="s">
        <v>137</v>
      </c>
      <c r="E2091" t="s">
        <v>426</v>
      </c>
      <c r="F2091" s="122">
        <v>1</v>
      </c>
      <c r="G2091" s="122">
        <v>115</v>
      </c>
      <c r="H2091" s="122">
        <v>251</v>
      </c>
      <c r="I2091" s="122">
        <v>17341</v>
      </c>
      <c r="J2091" s="122">
        <v>6423</v>
      </c>
      <c r="K2091" s="122">
        <v>100</v>
      </c>
      <c r="L2091" s="122">
        <v>1208</v>
      </c>
      <c r="M2091" s="122">
        <v>1098</v>
      </c>
      <c r="N2091" s="122">
        <v>2536</v>
      </c>
      <c r="O2091" s="122">
        <v>939</v>
      </c>
      <c r="P2091" s="122">
        <v>0</v>
      </c>
      <c r="Q2091" s="122">
        <v>0</v>
      </c>
      <c r="R2091" s="122">
        <v>4937</v>
      </c>
      <c r="S2091" s="122">
        <v>4488</v>
      </c>
      <c r="T2091" s="122">
        <v>2793</v>
      </c>
      <c r="U2091" s="122">
        <v>1034</v>
      </c>
      <c r="V2091" s="122">
        <v>13983</v>
      </c>
      <c r="W2091" s="122">
        <f t="shared" si="66"/>
        <v>13982</v>
      </c>
      <c r="X2091" s="122">
        <f t="shared" si="67"/>
        <v>28815</v>
      </c>
      <c r="AA2091" t="s">
        <v>64</v>
      </c>
      <c r="AB2091" t="s">
        <v>426</v>
      </c>
      <c r="AC2091" t="s">
        <v>431</v>
      </c>
      <c r="AD2091" t="s">
        <v>426</v>
      </c>
      <c r="AE2091" t="s">
        <v>566</v>
      </c>
      <c r="AF2091">
        <v>1</v>
      </c>
      <c r="AG2091">
        <v>88</v>
      </c>
      <c r="AH2091">
        <v>480</v>
      </c>
      <c r="AI2091" s="122">
        <v>26321</v>
      </c>
      <c r="AJ2091" s="122">
        <v>23928</v>
      </c>
      <c r="AK2091">
        <v>45</v>
      </c>
      <c r="AL2091" s="122">
        <v>4387</v>
      </c>
      <c r="AM2091" s="122">
        <v>3988</v>
      </c>
      <c r="AN2091" s="122">
        <v>2017</v>
      </c>
      <c r="AO2091">
        <v>747</v>
      </c>
      <c r="AP2091">
        <v>351</v>
      </c>
      <c r="AQ2091">
        <v>130</v>
      </c>
      <c r="AR2091" s="122">
        <v>9219</v>
      </c>
      <c r="AS2091" s="122">
        <v>8381</v>
      </c>
      <c r="AT2091">
        <v>0</v>
      </c>
      <c r="AU2091">
        <v>0</v>
      </c>
      <c r="AV2091" s="122">
        <v>37174</v>
      </c>
    </row>
    <row r="2092" spans="2:48" hidden="1">
      <c r="B2092" t="s">
        <v>380</v>
      </c>
      <c r="C2092" t="s">
        <v>58</v>
      </c>
      <c r="D2092" t="s">
        <v>406</v>
      </c>
      <c r="E2092" t="s">
        <v>137</v>
      </c>
      <c r="F2092" s="122">
        <v>4</v>
      </c>
      <c r="G2092" s="122">
        <v>376</v>
      </c>
      <c r="H2092" s="122">
        <v>1093</v>
      </c>
      <c r="I2092" s="122">
        <v>54761</v>
      </c>
      <c r="J2092" s="122">
        <v>49783</v>
      </c>
      <c r="K2092" s="122">
        <v>84</v>
      </c>
      <c r="L2092" s="122">
        <v>10196</v>
      </c>
      <c r="M2092" s="122">
        <v>5462</v>
      </c>
      <c r="N2092" s="122">
        <v>8172</v>
      </c>
      <c r="O2092" s="122">
        <v>3027</v>
      </c>
      <c r="P2092" s="122">
        <v>3105</v>
      </c>
      <c r="Q2092" s="122">
        <v>1150</v>
      </c>
      <c r="R2092" s="122">
        <v>22289</v>
      </c>
      <c r="S2092" s="122">
        <v>8255</v>
      </c>
      <c r="T2092" s="122">
        <v>0</v>
      </c>
      <c r="U2092" s="122">
        <v>0</v>
      </c>
      <c r="V2092" s="122">
        <v>67677</v>
      </c>
      <c r="W2092" s="122">
        <f t="shared" si="66"/>
        <v>67677</v>
      </c>
      <c r="X2092" s="122">
        <f t="shared" si="67"/>
        <v>98523</v>
      </c>
      <c r="AA2092" t="s">
        <v>64</v>
      </c>
      <c r="AB2092" t="s">
        <v>426</v>
      </c>
      <c r="AC2092" t="s">
        <v>426</v>
      </c>
      <c r="AD2092" t="s">
        <v>578</v>
      </c>
      <c r="AE2092" t="s">
        <v>137</v>
      </c>
      <c r="AF2092">
        <v>1</v>
      </c>
      <c r="AG2092">
        <v>120</v>
      </c>
      <c r="AH2092" s="122">
        <v>1508</v>
      </c>
      <c r="AI2092" s="122">
        <v>145906</v>
      </c>
      <c r="AJ2092" s="122">
        <v>132642</v>
      </c>
      <c r="AK2092">
        <v>30</v>
      </c>
      <c r="AL2092" s="122">
        <v>16212</v>
      </c>
      <c r="AM2092" s="122">
        <v>14738</v>
      </c>
      <c r="AN2092" s="122">
        <v>2634</v>
      </c>
      <c r="AO2092">
        <v>976</v>
      </c>
      <c r="AP2092">
        <v>0</v>
      </c>
      <c r="AQ2092">
        <v>0</v>
      </c>
      <c r="AR2092" s="122">
        <v>12833</v>
      </c>
      <c r="AS2092" s="122">
        <v>11666</v>
      </c>
      <c r="AT2092" s="122">
        <v>3567</v>
      </c>
      <c r="AU2092" s="122">
        <v>1321</v>
      </c>
      <c r="AV2092" s="122">
        <v>161343</v>
      </c>
    </row>
    <row r="2093" spans="2:48" hidden="1">
      <c r="B2093" t="s">
        <v>380</v>
      </c>
      <c r="C2093" t="s">
        <v>58</v>
      </c>
      <c r="D2093" t="s">
        <v>406</v>
      </c>
      <c r="E2093" t="s">
        <v>406</v>
      </c>
      <c r="F2093" s="122">
        <v>584</v>
      </c>
      <c r="G2093" s="122">
        <v>55075</v>
      </c>
      <c r="H2093" s="122">
        <v>150471</v>
      </c>
      <c r="I2093" s="122">
        <v>7675817</v>
      </c>
      <c r="J2093" s="122">
        <v>6978015</v>
      </c>
      <c r="K2093" s="122">
        <v>83</v>
      </c>
      <c r="L2093" s="122">
        <v>1594036</v>
      </c>
      <c r="M2093" s="122">
        <v>1421300</v>
      </c>
      <c r="N2093" s="122">
        <v>1116757</v>
      </c>
      <c r="O2093" s="122">
        <v>413614</v>
      </c>
      <c r="P2093" s="122">
        <v>387765</v>
      </c>
      <c r="Q2093" s="122">
        <v>143617</v>
      </c>
      <c r="R2093" s="122">
        <v>2598027</v>
      </c>
      <c r="S2093" s="122">
        <v>2361843</v>
      </c>
      <c r="T2093" s="122">
        <v>947909</v>
      </c>
      <c r="U2093" s="122">
        <v>351077</v>
      </c>
      <c r="V2093" s="122">
        <v>11669466</v>
      </c>
      <c r="W2093" s="122">
        <f t="shared" si="66"/>
        <v>11669466</v>
      </c>
      <c r="X2093" s="122">
        <f t="shared" si="67"/>
        <v>14320311</v>
      </c>
      <c r="AA2093" t="s">
        <v>64</v>
      </c>
      <c r="AB2093" t="s">
        <v>426</v>
      </c>
      <c r="AC2093" t="s">
        <v>426</v>
      </c>
      <c r="AD2093" t="s">
        <v>425</v>
      </c>
      <c r="AE2093" t="s">
        <v>566</v>
      </c>
      <c r="AF2093">
        <v>1</v>
      </c>
      <c r="AG2093">
        <v>45</v>
      </c>
      <c r="AH2093">
        <v>781</v>
      </c>
      <c r="AI2093" s="122">
        <v>26315</v>
      </c>
      <c r="AJ2093" s="122">
        <v>23923</v>
      </c>
      <c r="AK2093">
        <v>60</v>
      </c>
      <c r="AL2093" s="122">
        <v>5848</v>
      </c>
      <c r="AM2093" s="122">
        <v>5316</v>
      </c>
      <c r="AN2093" s="122">
        <v>1097</v>
      </c>
      <c r="AO2093">
        <v>406</v>
      </c>
      <c r="AP2093">
        <v>0</v>
      </c>
      <c r="AQ2093">
        <v>0</v>
      </c>
      <c r="AR2093" s="122">
        <v>1870</v>
      </c>
      <c r="AS2093" s="122">
        <v>1700</v>
      </c>
      <c r="AT2093">
        <v>0</v>
      </c>
      <c r="AU2093">
        <v>0</v>
      </c>
      <c r="AV2093" s="122">
        <v>31345</v>
      </c>
    </row>
    <row r="2094" spans="2:48" hidden="1">
      <c r="B2094" t="s">
        <v>380</v>
      </c>
      <c r="C2094" t="s">
        <v>58</v>
      </c>
      <c r="D2094" t="s">
        <v>406</v>
      </c>
      <c r="E2094" t="s">
        <v>427</v>
      </c>
      <c r="F2094" s="122">
        <v>1</v>
      </c>
      <c r="G2094" s="122">
        <v>74</v>
      </c>
      <c r="H2094" s="122">
        <v>234</v>
      </c>
      <c r="I2094" s="122">
        <v>6642</v>
      </c>
      <c r="J2094" s="122">
        <v>6038</v>
      </c>
      <c r="K2094" s="122">
        <v>85</v>
      </c>
      <c r="L2094" s="122">
        <v>1196</v>
      </c>
      <c r="M2094" s="122">
        <v>1087</v>
      </c>
      <c r="N2094" s="122">
        <v>1695</v>
      </c>
      <c r="O2094" s="122">
        <v>628</v>
      </c>
      <c r="P2094" s="122">
        <v>621</v>
      </c>
      <c r="Q2094" s="122">
        <v>230</v>
      </c>
      <c r="R2094" s="122">
        <v>4971</v>
      </c>
      <c r="S2094" s="122">
        <v>4519</v>
      </c>
      <c r="T2094" s="122">
        <v>2218</v>
      </c>
      <c r="U2094" s="122">
        <v>822</v>
      </c>
      <c r="V2094" s="122">
        <v>13324</v>
      </c>
      <c r="W2094" s="122">
        <f t="shared" si="66"/>
        <v>13324</v>
      </c>
      <c r="X2094" s="122">
        <f t="shared" si="67"/>
        <v>17343</v>
      </c>
      <c r="AA2094" t="s">
        <v>64</v>
      </c>
      <c r="AB2094" t="s">
        <v>426</v>
      </c>
      <c r="AC2094" t="s">
        <v>426</v>
      </c>
      <c r="AD2094" t="s">
        <v>137</v>
      </c>
      <c r="AE2094" t="s">
        <v>137</v>
      </c>
      <c r="AF2094">
        <v>15</v>
      </c>
      <c r="AG2094" s="122">
        <v>1550</v>
      </c>
      <c r="AH2094" s="122">
        <v>11635</v>
      </c>
      <c r="AI2094" s="122">
        <v>874788</v>
      </c>
      <c r="AJ2094" s="122">
        <v>795262</v>
      </c>
      <c r="AK2094">
        <v>47</v>
      </c>
      <c r="AL2094" s="122">
        <v>129445</v>
      </c>
      <c r="AM2094" s="122">
        <v>117678</v>
      </c>
      <c r="AN2094" s="122">
        <v>34694</v>
      </c>
      <c r="AO2094" s="122">
        <v>12850</v>
      </c>
      <c r="AP2094" s="122">
        <v>1404</v>
      </c>
      <c r="AQ2094">
        <v>520</v>
      </c>
      <c r="AR2094" s="122">
        <v>147560</v>
      </c>
      <c r="AS2094" s="122">
        <v>54652</v>
      </c>
      <c r="AT2094" s="122">
        <v>23838</v>
      </c>
      <c r="AU2094" s="122">
        <v>8829</v>
      </c>
      <c r="AV2094" s="122">
        <v>989790</v>
      </c>
    </row>
    <row r="2095" spans="2:48" hidden="1">
      <c r="B2095" t="s">
        <v>380</v>
      </c>
      <c r="C2095" t="s">
        <v>58</v>
      </c>
      <c r="D2095" t="s">
        <v>406</v>
      </c>
      <c r="E2095" t="s">
        <v>426</v>
      </c>
      <c r="F2095" s="122">
        <v>1</v>
      </c>
      <c r="G2095" s="122">
        <v>86</v>
      </c>
      <c r="H2095" s="122">
        <v>246</v>
      </c>
      <c r="I2095" s="122">
        <v>11478</v>
      </c>
      <c r="J2095" s="122">
        <v>10434</v>
      </c>
      <c r="K2095" s="122">
        <v>85</v>
      </c>
      <c r="L2095" s="122">
        <v>1715</v>
      </c>
      <c r="M2095" s="122">
        <v>1559</v>
      </c>
      <c r="N2095" s="122">
        <v>1565</v>
      </c>
      <c r="O2095" s="122">
        <v>579</v>
      </c>
      <c r="P2095" s="122">
        <v>621</v>
      </c>
      <c r="Q2095" s="122">
        <v>230</v>
      </c>
      <c r="R2095" s="122">
        <v>3409</v>
      </c>
      <c r="S2095" s="122">
        <v>3099</v>
      </c>
      <c r="T2095" s="122">
        <v>2241</v>
      </c>
      <c r="U2095" s="122">
        <v>830</v>
      </c>
      <c r="V2095" s="122">
        <v>16732</v>
      </c>
      <c r="W2095" s="122">
        <f t="shared" si="66"/>
        <v>16731</v>
      </c>
      <c r="X2095" s="122">
        <f t="shared" si="67"/>
        <v>21029</v>
      </c>
      <c r="AA2095" t="s">
        <v>64</v>
      </c>
      <c r="AB2095" t="s">
        <v>426</v>
      </c>
      <c r="AC2095" t="s">
        <v>426</v>
      </c>
      <c r="AD2095" t="s">
        <v>137</v>
      </c>
      <c r="AE2095" t="s">
        <v>566</v>
      </c>
      <c r="AF2095">
        <v>145</v>
      </c>
      <c r="AG2095" s="122">
        <v>12131</v>
      </c>
      <c r="AH2095" s="122">
        <v>130126</v>
      </c>
      <c r="AI2095" s="122">
        <v>8390046</v>
      </c>
      <c r="AJ2095" s="122">
        <v>7627315</v>
      </c>
      <c r="AK2095">
        <v>43</v>
      </c>
      <c r="AL2095" s="122">
        <v>1055779</v>
      </c>
      <c r="AM2095" s="122">
        <v>959800</v>
      </c>
      <c r="AN2095" s="122">
        <v>280548</v>
      </c>
      <c r="AO2095" s="122">
        <v>103907</v>
      </c>
      <c r="AP2095" s="122">
        <v>10530</v>
      </c>
      <c r="AQ2095" s="122">
        <v>3900</v>
      </c>
      <c r="AR2095" s="122">
        <v>1061094</v>
      </c>
      <c r="AS2095" s="122">
        <v>392998</v>
      </c>
      <c r="AT2095">
        <v>0</v>
      </c>
      <c r="AU2095">
        <v>0</v>
      </c>
      <c r="AV2095" s="122">
        <v>9087919</v>
      </c>
    </row>
    <row r="2096" spans="2:48" hidden="1">
      <c r="B2096" t="s">
        <v>380</v>
      </c>
      <c r="C2096" t="s">
        <v>58</v>
      </c>
      <c r="D2096" t="s">
        <v>427</v>
      </c>
      <c r="E2096" t="s">
        <v>406</v>
      </c>
      <c r="F2096" s="122">
        <v>1</v>
      </c>
      <c r="G2096" s="122">
        <v>83</v>
      </c>
      <c r="H2096" s="122">
        <v>281</v>
      </c>
      <c r="I2096" s="122">
        <v>12311</v>
      </c>
      <c r="J2096" s="122">
        <v>11192</v>
      </c>
      <c r="K2096" s="122">
        <v>65</v>
      </c>
      <c r="L2096" s="122">
        <v>2540</v>
      </c>
      <c r="M2096" s="122">
        <v>2309</v>
      </c>
      <c r="N2096" s="122">
        <v>1568</v>
      </c>
      <c r="O2096" s="122">
        <v>581</v>
      </c>
      <c r="P2096" s="122">
        <v>351</v>
      </c>
      <c r="Q2096" s="122">
        <v>130</v>
      </c>
      <c r="R2096" s="122">
        <v>4182</v>
      </c>
      <c r="S2096" s="122">
        <v>3802</v>
      </c>
      <c r="T2096" s="122">
        <v>2199</v>
      </c>
      <c r="U2096" s="122">
        <v>814</v>
      </c>
      <c r="V2096" s="122">
        <v>18828</v>
      </c>
      <c r="W2096" s="122">
        <f t="shared" si="66"/>
        <v>18828</v>
      </c>
      <c r="X2096" s="122">
        <f t="shared" si="67"/>
        <v>23151</v>
      </c>
      <c r="AA2096" t="s">
        <v>64</v>
      </c>
      <c r="AB2096" t="s">
        <v>426</v>
      </c>
      <c r="AC2096" t="s">
        <v>426</v>
      </c>
      <c r="AD2096" t="s">
        <v>406</v>
      </c>
      <c r="AE2096" t="s">
        <v>137</v>
      </c>
      <c r="AF2096">
        <v>3</v>
      </c>
      <c r="AG2096">
        <v>226</v>
      </c>
      <c r="AH2096" s="122">
        <v>3413</v>
      </c>
      <c r="AI2096" s="122">
        <v>199341</v>
      </c>
      <c r="AJ2096" s="122">
        <v>181219</v>
      </c>
      <c r="AK2096">
        <v>35</v>
      </c>
      <c r="AL2096" s="122">
        <v>23530</v>
      </c>
      <c r="AM2096" s="122">
        <v>21391</v>
      </c>
      <c r="AN2096" s="122">
        <v>4595</v>
      </c>
      <c r="AO2096" s="122">
        <v>1702</v>
      </c>
      <c r="AP2096">
        <v>621</v>
      </c>
      <c r="AQ2096">
        <v>230</v>
      </c>
      <c r="AR2096" s="122">
        <v>17077</v>
      </c>
      <c r="AS2096" s="122">
        <v>15525</v>
      </c>
      <c r="AT2096" s="122">
        <v>8216</v>
      </c>
      <c r="AU2096" s="122">
        <v>3043</v>
      </c>
      <c r="AV2096" s="122">
        <v>223110</v>
      </c>
    </row>
    <row r="2097" spans="2:48" hidden="1">
      <c r="B2097" t="s">
        <v>380</v>
      </c>
      <c r="C2097" t="s">
        <v>58</v>
      </c>
      <c r="D2097" t="s">
        <v>427</v>
      </c>
      <c r="E2097" t="s">
        <v>427</v>
      </c>
      <c r="F2097" s="122">
        <v>31</v>
      </c>
      <c r="G2097" s="122">
        <v>2593</v>
      </c>
      <c r="H2097" s="122">
        <v>8574</v>
      </c>
      <c r="I2097" s="122">
        <v>404639</v>
      </c>
      <c r="J2097" s="122">
        <v>367854</v>
      </c>
      <c r="K2097" s="122">
        <v>58</v>
      </c>
      <c r="L2097" s="122">
        <v>22374</v>
      </c>
      <c r="M2097" s="122">
        <v>20340</v>
      </c>
      <c r="N2097" s="122">
        <v>52013</v>
      </c>
      <c r="O2097" s="122">
        <v>19264</v>
      </c>
      <c r="P2097" s="122">
        <v>10530</v>
      </c>
      <c r="Q2097" s="122">
        <v>3900</v>
      </c>
      <c r="R2097" s="122">
        <v>163077</v>
      </c>
      <c r="S2097" s="122">
        <v>148252</v>
      </c>
      <c r="T2097" s="122">
        <v>64480</v>
      </c>
      <c r="U2097" s="122">
        <v>23881</v>
      </c>
      <c r="V2097" s="122">
        <v>583491</v>
      </c>
      <c r="W2097" s="122">
        <f t="shared" si="66"/>
        <v>583491</v>
      </c>
      <c r="X2097" s="122">
        <f t="shared" si="67"/>
        <v>717113</v>
      </c>
      <c r="AA2097" t="s">
        <v>64</v>
      </c>
      <c r="AB2097" t="s">
        <v>426</v>
      </c>
      <c r="AC2097" t="s">
        <v>426</v>
      </c>
      <c r="AD2097" t="s">
        <v>406</v>
      </c>
      <c r="AE2097" t="s">
        <v>566</v>
      </c>
      <c r="AF2097">
        <v>1</v>
      </c>
      <c r="AG2097">
        <v>90</v>
      </c>
      <c r="AH2097">
        <v>582</v>
      </c>
      <c r="AI2097" s="122">
        <v>36669</v>
      </c>
      <c r="AJ2097" s="122">
        <v>33336</v>
      </c>
      <c r="AK2097">
        <v>45</v>
      </c>
      <c r="AL2097" s="122">
        <v>6112</v>
      </c>
      <c r="AM2097" s="122">
        <v>5556</v>
      </c>
      <c r="AN2097" s="122">
        <v>1561</v>
      </c>
      <c r="AO2097">
        <v>578</v>
      </c>
      <c r="AP2097">
        <v>351</v>
      </c>
      <c r="AQ2097">
        <v>130</v>
      </c>
      <c r="AR2097" s="122">
        <v>7806</v>
      </c>
      <c r="AS2097" s="122">
        <v>7096</v>
      </c>
      <c r="AT2097">
        <v>0</v>
      </c>
      <c r="AU2097">
        <v>0</v>
      </c>
      <c r="AV2097" s="122">
        <v>46696</v>
      </c>
    </row>
    <row r="2098" spans="2:48" hidden="1">
      <c r="B2098" t="s">
        <v>380</v>
      </c>
      <c r="C2098" t="s">
        <v>58</v>
      </c>
      <c r="D2098" t="s">
        <v>407</v>
      </c>
      <c r="E2098" t="s">
        <v>407</v>
      </c>
      <c r="F2098" s="122">
        <v>41</v>
      </c>
      <c r="G2098" s="122">
        <v>4250</v>
      </c>
      <c r="H2098" s="122">
        <v>10040</v>
      </c>
      <c r="I2098" s="122">
        <v>518864</v>
      </c>
      <c r="J2098" s="122">
        <v>471694</v>
      </c>
      <c r="K2098" s="122">
        <v>78</v>
      </c>
      <c r="L2098" s="122">
        <v>163352</v>
      </c>
      <c r="M2098" s="122">
        <v>148136</v>
      </c>
      <c r="N2098" s="122">
        <v>87977</v>
      </c>
      <c r="O2098" s="122">
        <v>32584</v>
      </c>
      <c r="P2098" s="122">
        <v>19251</v>
      </c>
      <c r="Q2098" s="122">
        <v>7130</v>
      </c>
      <c r="R2098" s="122">
        <v>220582</v>
      </c>
      <c r="S2098" s="122">
        <v>200530</v>
      </c>
      <c r="T2098" s="122">
        <v>30000</v>
      </c>
      <c r="U2098" s="122">
        <v>11111</v>
      </c>
      <c r="V2098" s="122">
        <v>871185</v>
      </c>
      <c r="W2098" s="122">
        <f t="shared" si="66"/>
        <v>871185</v>
      </c>
      <c r="X2098" s="122">
        <f t="shared" si="67"/>
        <v>1040026</v>
      </c>
      <c r="AA2098" t="s">
        <v>64</v>
      </c>
      <c r="AB2098" t="s">
        <v>426</v>
      </c>
      <c r="AC2098" t="s">
        <v>426</v>
      </c>
      <c r="AD2098" t="s">
        <v>407</v>
      </c>
      <c r="AE2098" t="s">
        <v>137</v>
      </c>
      <c r="AF2098">
        <v>1</v>
      </c>
      <c r="AG2098">
        <v>65</v>
      </c>
      <c r="AH2098">
        <v>846</v>
      </c>
      <c r="AI2098" s="122">
        <v>43228</v>
      </c>
      <c r="AJ2098" s="122">
        <v>39298</v>
      </c>
      <c r="AK2098">
        <v>30</v>
      </c>
      <c r="AL2098" s="122">
        <v>4803</v>
      </c>
      <c r="AM2098" s="122">
        <v>4366</v>
      </c>
      <c r="AN2098" s="122">
        <v>1578</v>
      </c>
      <c r="AO2098">
        <v>584</v>
      </c>
      <c r="AP2098">
        <v>473</v>
      </c>
      <c r="AQ2098">
        <v>175</v>
      </c>
      <c r="AR2098" s="122">
        <v>3161</v>
      </c>
      <c r="AS2098" s="122">
        <v>2873</v>
      </c>
      <c r="AT2098" s="122">
        <v>1511</v>
      </c>
      <c r="AU2098">
        <v>560</v>
      </c>
      <c r="AV2098" s="122">
        <v>47857</v>
      </c>
    </row>
    <row r="2099" spans="2:48" hidden="1">
      <c r="B2099" t="s">
        <v>380</v>
      </c>
      <c r="C2099" t="s">
        <v>58</v>
      </c>
      <c r="D2099" t="s">
        <v>407</v>
      </c>
      <c r="E2099" t="s">
        <v>426</v>
      </c>
      <c r="F2099" s="122">
        <v>1</v>
      </c>
      <c r="G2099" s="122">
        <v>105</v>
      </c>
      <c r="H2099" s="122">
        <v>238</v>
      </c>
      <c r="I2099" s="122">
        <v>10974</v>
      </c>
      <c r="J2099" s="122">
        <v>9976</v>
      </c>
      <c r="K2099" s="122">
        <v>78</v>
      </c>
      <c r="L2099" s="122">
        <v>1807</v>
      </c>
      <c r="M2099" s="122">
        <v>1643</v>
      </c>
      <c r="N2099" s="122">
        <v>2441</v>
      </c>
      <c r="O2099" s="122">
        <v>904</v>
      </c>
      <c r="P2099" s="122">
        <v>473</v>
      </c>
      <c r="Q2099" s="122">
        <v>175</v>
      </c>
      <c r="R2099" s="122">
        <v>9295</v>
      </c>
      <c r="S2099" s="122">
        <v>8450</v>
      </c>
      <c r="T2099" s="122">
        <v>0</v>
      </c>
      <c r="U2099" s="122">
        <v>0</v>
      </c>
      <c r="V2099" s="122">
        <v>21148</v>
      </c>
      <c r="W2099" s="122">
        <f t="shared" si="66"/>
        <v>21148</v>
      </c>
      <c r="X2099" s="122">
        <f t="shared" si="67"/>
        <v>24990</v>
      </c>
      <c r="AA2099" t="s">
        <v>64</v>
      </c>
      <c r="AB2099" t="s">
        <v>426</v>
      </c>
      <c r="AC2099" t="s">
        <v>426</v>
      </c>
      <c r="AD2099" t="s">
        <v>407</v>
      </c>
      <c r="AE2099" t="s">
        <v>566</v>
      </c>
      <c r="AF2099">
        <v>1</v>
      </c>
      <c r="AG2099">
        <v>84</v>
      </c>
      <c r="AH2099">
        <v>660</v>
      </c>
      <c r="AI2099" s="122">
        <v>40992</v>
      </c>
      <c r="AJ2099" s="122">
        <v>37266</v>
      </c>
      <c r="AK2099">
        <v>50</v>
      </c>
      <c r="AL2099" s="122">
        <v>7591</v>
      </c>
      <c r="AM2099" s="122">
        <v>6901</v>
      </c>
      <c r="AN2099" s="122">
        <v>1749</v>
      </c>
      <c r="AO2099">
        <v>648</v>
      </c>
      <c r="AP2099">
        <v>0</v>
      </c>
      <c r="AQ2099">
        <v>0</v>
      </c>
      <c r="AR2099" s="122">
        <v>5445</v>
      </c>
      <c r="AS2099" s="122">
        <v>4950</v>
      </c>
      <c r="AT2099">
        <v>0</v>
      </c>
      <c r="AU2099">
        <v>0</v>
      </c>
      <c r="AV2099" s="122">
        <v>49765</v>
      </c>
    </row>
    <row r="2100" spans="2:48" hidden="1">
      <c r="B2100" t="s">
        <v>380</v>
      </c>
      <c r="C2100" t="s">
        <v>58</v>
      </c>
      <c r="D2100" t="s">
        <v>556</v>
      </c>
      <c r="E2100" t="s">
        <v>431</v>
      </c>
      <c r="F2100" s="122">
        <v>1</v>
      </c>
      <c r="G2100" s="122">
        <v>75</v>
      </c>
      <c r="H2100" s="122">
        <v>259</v>
      </c>
      <c r="I2100" s="122">
        <v>12107</v>
      </c>
      <c r="J2100" s="122">
        <v>10089</v>
      </c>
      <c r="K2100" s="122">
        <v>65</v>
      </c>
      <c r="L2100" s="122">
        <v>0</v>
      </c>
      <c r="M2100" s="122">
        <v>1121</v>
      </c>
      <c r="N2100" s="122">
        <v>1722</v>
      </c>
      <c r="O2100" s="122">
        <v>638</v>
      </c>
      <c r="P2100" s="122">
        <v>351</v>
      </c>
      <c r="Q2100" s="122">
        <v>130</v>
      </c>
      <c r="R2100" s="122">
        <v>3100</v>
      </c>
      <c r="S2100" s="122">
        <v>2818</v>
      </c>
      <c r="T2100" s="122">
        <v>2115</v>
      </c>
      <c r="U2100" s="122">
        <v>783</v>
      </c>
      <c r="V2100" s="122">
        <v>15580</v>
      </c>
      <c r="W2100" s="122">
        <f t="shared" si="66"/>
        <v>15579</v>
      </c>
      <c r="X2100" s="122">
        <f t="shared" si="67"/>
        <v>19395</v>
      </c>
      <c r="AA2100" t="s">
        <v>64</v>
      </c>
      <c r="AB2100" t="s">
        <v>426</v>
      </c>
      <c r="AC2100" t="s">
        <v>426</v>
      </c>
      <c r="AD2100" t="s">
        <v>426</v>
      </c>
      <c r="AE2100" t="s">
        <v>137</v>
      </c>
      <c r="AF2100" s="122">
        <v>1102</v>
      </c>
      <c r="AG2100" s="122">
        <v>91547</v>
      </c>
      <c r="AH2100" s="122">
        <v>696863</v>
      </c>
      <c r="AI2100" s="122">
        <v>40207714</v>
      </c>
      <c r="AJ2100" s="122">
        <v>36552468</v>
      </c>
      <c r="AK2100">
        <v>50</v>
      </c>
      <c r="AL2100" s="122">
        <v>6498512</v>
      </c>
      <c r="AM2100" s="122">
        <v>5907738</v>
      </c>
      <c r="AN2100" s="122">
        <v>1964346</v>
      </c>
      <c r="AO2100" s="122">
        <v>727535</v>
      </c>
      <c r="AP2100" s="122">
        <v>360876</v>
      </c>
      <c r="AQ2100" s="122">
        <v>133658</v>
      </c>
      <c r="AR2100" s="122">
        <v>6402880</v>
      </c>
      <c r="AS2100" s="122">
        <v>5820800</v>
      </c>
      <c r="AT2100" s="122">
        <v>2535162</v>
      </c>
      <c r="AU2100" s="122">
        <v>938949</v>
      </c>
      <c r="AV2100" s="122">
        <v>50081148</v>
      </c>
    </row>
    <row r="2101" spans="2:48" hidden="1">
      <c r="B2101" t="s">
        <v>380</v>
      </c>
      <c r="C2101" t="s">
        <v>58</v>
      </c>
      <c r="D2101" t="s">
        <v>428</v>
      </c>
      <c r="E2101" t="s">
        <v>428</v>
      </c>
      <c r="F2101" s="122">
        <v>6</v>
      </c>
      <c r="G2101" s="122">
        <v>546</v>
      </c>
      <c r="H2101" s="122">
        <v>1684</v>
      </c>
      <c r="I2101" s="122">
        <v>79342</v>
      </c>
      <c r="J2101" s="122">
        <v>72129</v>
      </c>
      <c r="K2101" s="122">
        <v>59</v>
      </c>
      <c r="L2101" s="122">
        <v>13450</v>
      </c>
      <c r="M2101" s="122">
        <v>12227</v>
      </c>
      <c r="N2101" s="122">
        <v>10634</v>
      </c>
      <c r="O2101" s="122">
        <v>3938</v>
      </c>
      <c r="P2101" s="122">
        <v>1755</v>
      </c>
      <c r="Q2101" s="122">
        <v>650</v>
      </c>
      <c r="R2101" s="122">
        <v>33517</v>
      </c>
      <c r="S2101" s="122">
        <v>30470</v>
      </c>
      <c r="T2101" s="122">
        <v>14321</v>
      </c>
      <c r="U2101" s="122">
        <v>5304</v>
      </c>
      <c r="V2101" s="122">
        <v>124718</v>
      </c>
      <c r="W2101" s="122">
        <f t="shared" si="66"/>
        <v>124718</v>
      </c>
      <c r="X2101" s="122">
        <f t="shared" si="67"/>
        <v>153019</v>
      </c>
      <c r="AA2101" t="s">
        <v>64</v>
      </c>
      <c r="AB2101" t="s">
        <v>426</v>
      </c>
      <c r="AC2101" t="s">
        <v>426</v>
      </c>
      <c r="AD2101" t="s">
        <v>426</v>
      </c>
      <c r="AE2101" t="s">
        <v>566</v>
      </c>
      <c r="AF2101">
        <v>159</v>
      </c>
      <c r="AG2101" s="122">
        <v>13036</v>
      </c>
      <c r="AH2101" s="122">
        <v>112142</v>
      </c>
      <c r="AI2101" s="122">
        <v>6535308</v>
      </c>
      <c r="AJ2101" s="122">
        <v>5941189</v>
      </c>
      <c r="AK2101">
        <v>50</v>
      </c>
      <c r="AL2101" s="122">
        <v>1066445</v>
      </c>
      <c r="AM2101" s="122">
        <v>969496</v>
      </c>
      <c r="AN2101" s="122">
        <v>285407</v>
      </c>
      <c r="AO2101" s="122">
        <v>105706</v>
      </c>
      <c r="AP2101" s="122">
        <v>43389</v>
      </c>
      <c r="AQ2101" s="122">
        <v>16070</v>
      </c>
      <c r="AR2101" s="122">
        <v>1350174</v>
      </c>
      <c r="AS2101" s="122">
        <v>1227431</v>
      </c>
      <c r="AT2101">
        <v>0</v>
      </c>
      <c r="AU2101">
        <v>0</v>
      </c>
      <c r="AV2101" s="122">
        <v>8259892</v>
      </c>
    </row>
    <row r="2102" spans="2:48" hidden="1">
      <c r="B2102" t="s">
        <v>380</v>
      </c>
      <c r="C2102" t="s">
        <v>58</v>
      </c>
      <c r="D2102" t="s">
        <v>431</v>
      </c>
      <c r="E2102" t="s">
        <v>431</v>
      </c>
      <c r="F2102" s="122">
        <v>20</v>
      </c>
      <c r="G2102" s="122">
        <v>1794</v>
      </c>
      <c r="H2102" s="122">
        <v>5732</v>
      </c>
      <c r="I2102" s="122">
        <v>285890</v>
      </c>
      <c r="J2102" s="122">
        <v>259900</v>
      </c>
      <c r="K2102" s="122">
        <v>51</v>
      </c>
      <c r="L2102" s="122">
        <v>42578</v>
      </c>
      <c r="M2102" s="122">
        <v>36635</v>
      </c>
      <c r="N2102" s="122">
        <v>35857</v>
      </c>
      <c r="O2102" s="122">
        <v>13280</v>
      </c>
      <c r="P2102" s="122">
        <v>7020</v>
      </c>
      <c r="Q2102" s="122">
        <v>2600</v>
      </c>
      <c r="R2102" s="122">
        <v>109929</v>
      </c>
      <c r="S2102" s="122">
        <v>99935</v>
      </c>
      <c r="T2102" s="122">
        <v>31879</v>
      </c>
      <c r="U2102" s="122">
        <v>11807</v>
      </c>
      <c r="V2102" s="122">
        <v>424159</v>
      </c>
      <c r="W2102" s="122">
        <f t="shared" si="66"/>
        <v>424157</v>
      </c>
      <c r="X2102" s="122">
        <f t="shared" si="67"/>
        <v>513153</v>
      </c>
      <c r="AA2102" t="s">
        <v>64</v>
      </c>
      <c r="AB2102" t="s">
        <v>426</v>
      </c>
      <c r="AC2102" t="s">
        <v>426</v>
      </c>
      <c r="AD2102" t="s">
        <v>481</v>
      </c>
      <c r="AE2102" t="s">
        <v>137</v>
      </c>
      <c r="AF2102">
        <v>1</v>
      </c>
      <c r="AG2102">
        <v>78</v>
      </c>
      <c r="AH2102">
        <v>633</v>
      </c>
      <c r="AI2102" s="122">
        <v>31143</v>
      </c>
      <c r="AJ2102" s="122">
        <v>28312</v>
      </c>
      <c r="AK2102">
        <v>45</v>
      </c>
      <c r="AL2102" s="122">
        <v>5190</v>
      </c>
      <c r="AM2102" s="122">
        <v>4719</v>
      </c>
      <c r="AN2102" s="122">
        <v>1526</v>
      </c>
      <c r="AO2102">
        <v>565</v>
      </c>
      <c r="AP2102">
        <v>351</v>
      </c>
      <c r="AQ2102">
        <v>130</v>
      </c>
      <c r="AR2102" s="122">
        <v>11304</v>
      </c>
      <c r="AS2102" s="122">
        <v>10277</v>
      </c>
      <c r="AT2102">
        <v>0</v>
      </c>
      <c r="AU2102">
        <v>0</v>
      </c>
      <c r="AV2102" s="122">
        <v>44002</v>
      </c>
    </row>
    <row r="2103" spans="2:48" hidden="1">
      <c r="B2103" t="s">
        <v>380</v>
      </c>
      <c r="C2103" t="s">
        <v>58</v>
      </c>
      <c r="D2103" t="s">
        <v>426</v>
      </c>
      <c r="E2103" t="s">
        <v>426</v>
      </c>
      <c r="F2103" s="122">
        <v>133</v>
      </c>
      <c r="G2103" s="122">
        <v>11701</v>
      </c>
      <c r="H2103" s="122">
        <v>36374</v>
      </c>
      <c r="I2103" s="122">
        <v>1685575</v>
      </c>
      <c r="J2103" s="122">
        <v>1532341</v>
      </c>
      <c r="K2103" s="122">
        <v>56</v>
      </c>
      <c r="L2103" s="122">
        <v>243543</v>
      </c>
      <c r="M2103" s="122">
        <v>209524</v>
      </c>
      <c r="N2103" s="122">
        <v>205260</v>
      </c>
      <c r="O2103" s="122">
        <v>76022</v>
      </c>
      <c r="P2103" s="122">
        <v>50065</v>
      </c>
      <c r="Q2103" s="122">
        <v>18543</v>
      </c>
      <c r="R2103" s="122">
        <v>727746</v>
      </c>
      <c r="S2103" s="122">
        <v>661588</v>
      </c>
      <c r="T2103" s="122">
        <v>283253</v>
      </c>
      <c r="U2103" s="122">
        <v>104908</v>
      </c>
      <c r="V2103" s="122">
        <v>2602926</v>
      </c>
      <c r="W2103" s="122">
        <f t="shared" si="66"/>
        <v>2602926</v>
      </c>
      <c r="X2103" s="122">
        <f t="shared" si="67"/>
        <v>3195442</v>
      </c>
      <c r="AA2103" t="s">
        <v>64</v>
      </c>
      <c r="AB2103" t="s">
        <v>426</v>
      </c>
      <c r="AC2103" t="s">
        <v>566</v>
      </c>
      <c r="AD2103" t="s">
        <v>137</v>
      </c>
      <c r="AE2103" t="s">
        <v>137</v>
      </c>
      <c r="AF2103">
        <v>9</v>
      </c>
      <c r="AG2103">
        <v>640</v>
      </c>
      <c r="AH2103" s="122">
        <v>7994</v>
      </c>
      <c r="AI2103" s="122">
        <v>477731</v>
      </c>
      <c r="AJ2103" s="122">
        <v>434301</v>
      </c>
      <c r="AK2103">
        <v>35</v>
      </c>
      <c r="AL2103">
        <v>0</v>
      </c>
      <c r="AM2103" s="122">
        <v>72291</v>
      </c>
      <c r="AN2103" s="122">
        <v>15155</v>
      </c>
      <c r="AO2103" s="122">
        <v>5613</v>
      </c>
      <c r="AP2103">
        <v>0</v>
      </c>
      <c r="AQ2103">
        <v>0</v>
      </c>
      <c r="AR2103" s="122">
        <v>81633</v>
      </c>
      <c r="AS2103" s="122">
        <v>30235</v>
      </c>
      <c r="AT2103" s="122">
        <v>1984</v>
      </c>
      <c r="AU2103">
        <v>735</v>
      </c>
      <c r="AV2103" s="122">
        <v>543174</v>
      </c>
    </row>
    <row r="2104" spans="2:48" hidden="1">
      <c r="B2104" t="s">
        <v>380</v>
      </c>
      <c r="C2104" t="s">
        <v>58</v>
      </c>
      <c r="D2104" t="s">
        <v>426</v>
      </c>
      <c r="E2104" t="s">
        <v>481</v>
      </c>
      <c r="F2104" s="122">
        <v>1</v>
      </c>
      <c r="G2104" s="122">
        <v>109</v>
      </c>
      <c r="H2104" s="122">
        <v>261</v>
      </c>
      <c r="I2104" s="122">
        <v>18896</v>
      </c>
      <c r="J2104" s="122">
        <v>17178</v>
      </c>
      <c r="K2104" s="122">
        <v>55</v>
      </c>
      <c r="L2104" s="122">
        <v>0</v>
      </c>
      <c r="M2104" s="122">
        <v>0</v>
      </c>
      <c r="N2104" s="122">
        <v>2079</v>
      </c>
      <c r="O2104" s="122">
        <v>770</v>
      </c>
      <c r="P2104" s="122">
        <v>351</v>
      </c>
      <c r="Q2104" s="122">
        <v>130</v>
      </c>
      <c r="R2104" s="122">
        <v>4646</v>
      </c>
      <c r="S2104" s="122">
        <v>4223</v>
      </c>
      <c r="T2104" s="122">
        <v>2546</v>
      </c>
      <c r="U2104" s="122">
        <v>943</v>
      </c>
      <c r="V2104" s="122">
        <v>23244</v>
      </c>
      <c r="W2104" s="122">
        <f t="shared" si="66"/>
        <v>23244</v>
      </c>
      <c r="X2104" s="122">
        <f t="shared" si="67"/>
        <v>28518</v>
      </c>
      <c r="AA2104" t="s">
        <v>64</v>
      </c>
      <c r="AB2104" t="s">
        <v>426</v>
      </c>
      <c r="AC2104" t="s">
        <v>566</v>
      </c>
      <c r="AD2104" t="s">
        <v>137</v>
      </c>
      <c r="AE2104" t="s">
        <v>566</v>
      </c>
      <c r="AF2104">
        <v>136</v>
      </c>
      <c r="AG2104" s="122">
        <v>12178</v>
      </c>
      <c r="AH2104" s="122">
        <v>139774</v>
      </c>
      <c r="AI2104" s="122">
        <v>11054106</v>
      </c>
      <c r="AJ2104" s="122">
        <v>10049187</v>
      </c>
      <c r="AK2104">
        <v>34</v>
      </c>
      <c r="AL2104">
        <v>0</v>
      </c>
      <c r="AM2104" s="122">
        <v>59481</v>
      </c>
      <c r="AN2104" s="122">
        <v>283240</v>
      </c>
      <c r="AO2104" s="122">
        <v>104904</v>
      </c>
      <c r="AP2104" s="122">
        <v>5738</v>
      </c>
      <c r="AQ2104" s="122">
        <v>2125</v>
      </c>
      <c r="AR2104" s="122">
        <v>999669</v>
      </c>
      <c r="AS2104" s="122">
        <v>370248</v>
      </c>
      <c r="AT2104">
        <v>0</v>
      </c>
      <c r="AU2104">
        <v>0</v>
      </c>
      <c r="AV2104" s="122">
        <v>10585944</v>
      </c>
    </row>
    <row r="2105" spans="2:48" hidden="1">
      <c r="B2105" t="s">
        <v>380</v>
      </c>
      <c r="C2105" t="s">
        <v>58</v>
      </c>
      <c r="D2105" t="s">
        <v>433</v>
      </c>
      <c r="E2105" t="s">
        <v>433</v>
      </c>
      <c r="F2105" s="122">
        <v>1</v>
      </c>
      <c r="G2105" s="122">
        <v>90</v>
      </c>
      <c r="H2105" s="122">
        <v>299</v>
      </c>
      <c r="I2105" s="122">
        <v>11401</v>
      </c>
      <c r="J2105" s="122">
        <v>10364</v>
      </c>
      <c r="K2105" s="122">
        <v>65</v>
      </c>
      <c r="L2105" s="122">
        <v>1267</v>
      </c>
      <c r="M2105" s="122">
        <v>1152</v>
      </c>
      <c r="N2105" s="122">
        <v>2188</v>
      </c>
      <c r="O2105" s="122">
        <v>810</v>
      </c>
      <c r="P2105" s="122">
        <v>351</v>
      </c>
      <c r="Q2105" s="122">
        <v>130</v>
      </c>
      <c r="R2105" s="122">
        <v>7139</v>
      </c>
      <c r="S2105" s="122">
        <v>6490</v>
      </c>
      <c r="T2105" s="122">
        <v>4523</v>
      </c>
      <c r="U2105" s="122">
        <v>1675</v>
      </c>
      <c r="V2105" s="122">
        <v>20622</v>
      </c>
      <c r="W2105" s="122">
        <f t="shared" si="66"/>
        <v>20621</v>
      </c>
      <c r="X2105" s="122">
        <f t="shared" si="67"/>
        <v>26869</v>
      </c>
      <c r="AA2105" t="s">
        <v>64</v>
      </c>
      <c r="AB2105" t="s">
        <v>426</v>
      </c>
      <c r="AC2105" t="s">
        <v>566</v>
      </c>
      <c r="AD2105" t="s">
        <v>407</v>
      </c>
      <c r="AE2105" t="s">
        <v>566</v>
      </c>
      <c r="AF2105">
        <v>2</v>
      </c>
      <c r="AG2105">
        <v>93</v>
      </c>
      <c r="AH2105" s="122">
        <v>2203</v>
      </c>
      <c r="AI2105" s="122">
        <v>97010</v>
      </c>
      <c r="AJ2105" s="122">
        <v>88191</v>
      </c>
      <c r="AK2105">
        <v>30</v>
      </c>
      <c r="AL2105">
        <v>0</v>
      </c>
      <c r="AM2105">
        <v>0</v>
      </c>
      <c r="AN2105" s="122">
        <v>2145</v>
      </c>
      <c r="AO2105">
        <v>794</v>
      </c>
      <c r="AP2105">
        <v>0</v>
      </c>
      <c r="AQ2105">
        <v>0</v>
      </c>
      <c r="AR2105" s="122">
        <v>3154</v>
      </c>
      <c r="AS2105" s="122">
        <v>2867</v>
      </c>
      <c r="AT2105">
        <v>0</v>
      </c>
      <c r="AU2105">
        <v>0</v>
      </c>
      <c r="AV2105" s="122">
        <v>91853</v>
      </c>
    </row>
    <row r="2106" spans="2:48" hidden="1">
      <c r="B2106" t="s">
        <v>380</v>
      </c>
      <c r="C2106" t="s">
        <v>58</v>
      </c>
      <c r="D2106" t="s">
        <v>408</v>
      </c>
      <c r="E2106" t="s">
        <v>408</v>
      </c>
      <c r="F2106" s="122">
        <v>4</v>
      </c>
      <c r="G2106" s="122">
        <v>265</v>
      </c>
      <c r="H2106" s="122">
        <v>1059</v>
      </c>
      <c r="I2106" s="122">
        <v>44034</v>
      </c>
      <c r="J2106" s="122">
        <v>40031</v>
      </c>
      <c r="K2106" s="122">
        <v>80</v>
      </c>
      <c r="L2106" s="122">
        <v>8205</v>
      </c>
      <c r="M2106" s="122">
        <v>6110</v>
      </c>
      <c r="N2106" s="122">
        <v>5183</v>
      </c>
      <c r="O2106" s="122">
        <v>1920</v>
      </c>
      <c r="P2106" s="122">
        <v>1404</v>
      </c>
      <c r="Q2106" s="122">
        <v>520</v>
      </c>
      <c r="R2106" s="122">
        <v>14257</v>
      </c>
      <c r="S2106" s="122">
        <v>12961</v>
      </c>
      <c r="T2106" s="122">
        <v>6017</v>
      </c>
      <c r="U2106" s="122">
        <v>2228</v>
      </c>
      <c r="V2106" s="122">
        <v>63770</v>
      </c>
      <c r="W2106" s="122">
        <f t="shared" si="66"/>
        <v>63770</v>
      </c>
      <c r="X2106" s="122">
        <f t="shared" si="67"/>
        <v>79100</v>
      </c>
      <c r="AA2106" t="s">
        <v>64</v>
      </c>
      <c r="AB2106" t="s">
        <v>426</v>
      </c>
      <c r="AC2106" t="s">
        <v>566</v>
      </c>
      <c r="AD2106" t="s">
        <v>579</v>
      </c>
      <c r="AE2106" t="s">
        <v>137</v>
      </c>
      <c r="AF2106">
        <v>1</v>
      </c>
      <c r="AG2106">
        <v>82</v>
      </c>
      <c r="AH2106">
        <v>607</v>
      </c>
      <c r="AI2106" s="122">
        <v>40262</v>
      </c>
      <c r="AJ2106" s="122">
        <v>36602</v>
      </c>
      <c r="AK2106">
        <v>55</v>
      </c>
      <c r="AL2106">
        <v>0</v>
      </c>
      <c r="AM2106">
        <v>0</v>
      </c>
      <c r="AN2106" s="122">
        <v>1640</v>
      </c>
      <c r="AO2106">
        <v>607</v>
      </c>
      <c r="AP2106">
        <v>351</v>
      </c>
      <c r="AQ2106">
        <v>130</v>
      </c>
      <c r="AR2106" s="122">
        <v>5383</v>
      </c>
      <c r="AS2106" s="122">
        <v>4485</v>
      </c>
      <c r="AT2106" s="122">
        <v>2194</v>
      </c>
      <c r="AU2106">
        <v>812</v>
      </c>
      <c r="AV2106" s="122">
        <v>42637</v>
      </c>
    </row>
    <row r="2107" spans="2:48" hidden="1">
      <c r="B2107" t="s">
        <v>380</v>
      </c>
      <c r="C2107" t="s">
        <v>58</v>
      </c>
      <c r="D2107" t="s">
        <v>429</v>
      </c>
      <c r="E2107" t="s">
        <v>429</v>
      </c>
      <c r="F2107" s="122">
        <v>3</v>
      </c>
      <c r="G2107" s="122">
        <v>317</v>
      </c>
      <c r="H2107" s="122">
        <v>808</v>
      </c>
      <c r="I2107" s="122">
        <v>46450</v>
      </c>
      <c r="J2107" s="122">
        <v>42227</v>
      </c>
      <c r="K2107" s="122">
        <v>85</v>
      </c>
      <c r="L2107" s="122">
        <v>14694</v>
      </c>
      <c r="M2107" s="122">
        <v>13358</v>
      </c>
      <c r="N2107" s="122">
        <v>5622</v>
      </c>
      <c r="O2107" s="122">
        <v>2082</v>
      </c>
      <c r="P2107" s="122">
        <v>1053</v>
      </c>
      <c r="Q2107" s="122">
        <v>390</v>
      </c>
      <c r="R2107" s="122">
        <v>10158</v>
      </c>
      <c r="S2107" s="122">
        <v>9234</v>
      </c>
      <c r="T2107" s="122">
        <v>7224</v>
      </c>
      <c r="U2107" s="122">
        <v>2675</v>
      </c>
      <c r="V2107" s="122">
        <v>69967</v>
      </c>
      <c r="W2107" s="122">
        <f t="shared" si="66"/>
        <v>69966</v>
      </c>
      <c r="X2107" s="122">
        <f t="shared" si="67"/>
        <v>85201</v>
      </c>
      <c r="AA2107" t="s">
        <v>64</v>
      </c>
      <c r="AB2107" t="s">
        <v>426</v>
      </c>
      <c r="AC2107" t="s">
        <v>566</v>
      </c>
      <c r="AD2107" t="s">
        <v>426</v>
      </c>
      <c r="AE2107" t="s">
        <v>137</v>
      </c>
      <c r="AF2107">
        <v>792</v>
      </c>
      <c r="AG2107" s="122">
        <v>44089</v>
      </c>
      <c r="AH2107" s="122">
        <v>441556</v>
      </c>
      <c r="AI2107" s="122">
        <v>17913674</v>
      </c>
      <c r="AJ2107" s="122">
        <v>16285158</v>
      </c>
      <c r="AK2107">
        <v>50</v>
      </c>
      <c r="AL2107">
        <v>0</v>
      </c>
      <c r="AM2107" s="122">
        <v>57140</v>
      </c>
      <c r="AN2107" s="122">
        <v>919506</v>
      </c>
      <c r="AO2107" s="122">
        <v>340558</v>
      </c>
      <c r="AP2107" s="122">
        <v>271997</v>
      </c>
      <c r="AQ2107" s="122">
        <v>100740</v>
      </c>
      <c r="AR2107" s="122">
        <v>4184753</v>
      </c>
      <c r="AS2107" s="122">
        <v>3804321</v>
      </c>
      <c r="AT2107" s="122">
        <v>1591577</v>
      </c>
      <c r="AU2107" s="122">
        <v>589473</v>
      </c>
      <c r="AV2107" s="122">
        <v>21177390</v>
      </c>
    </row>
    <row r="2108" spans="2:48" hidden="1">
      <c r="B2108" t="s">
        <v>380</v>
      </c>
      <c r="C2108" t="s">
        <v>60</v>
      </c>
      <c r="D2108" t="s">
        <v>137</v>
      </c>
      <c r="E2108" t="s">
        <v>137</v>
      </c>
      <c r="F2108" s="122">
        <v>53</v>
      </c>
      <c r="G2108" s="122">
        <v>4799</v>
      </c>
      <c r="H2108" s="122">
        <v>17931</v>
      </c>
      <c r="I2108" s="122">
        <v>1012284</v>
      </c>
      <c r="J2108" s="122">
        <v>374920</v>
      </c>
      <c r="K2108" s="122">
        <v>100</v>
      </c>
      <c r="L2108" s="122">
        <v>153497</v>
      </c>
      <c r="M2108" s="122">
        <v>122041</v>
      </c>
      <c r="N2108" s="122">
        <v>106464</v>
      </c>
      <c r="O2108" s="122">
        <v>39431</v>
      </c>
      <c r="P2108" s="122">
        <v>3861</v>
      </c>
      <c r="Q2108" s="122">
        <v>1430</v>
      </c>
      <c r="R2108" s="122">
        <v>393102</v>
      </c>
      <c r="S2108" s="122">
        <v>145593</v>
      </c>
      <c r="T2108" s="122">
        <v>0</v>
      </c>
      <c r="U2108" s="122">
        <v>0</v>
      </c>
      <c r="V2108" s="122">
        <v>683415</v>
      </c>
      <c r="W2108" s="122">
        <f t="shared" si="66"/>
        <v>683415</v>
      </c>
      <c r="X2108" s="122">
        <f t="shared" si="67"/>
        <v>1669208</v>
      </c>
      <c r="AA2108" t="s">
        <v>64</v>
      </c>
      <c r="AB2108" t="s">
        <v>426</v>
      </c>
      <c r="AC2108" t="s">
        <v>566</v>
      </c>
      <c r="AD2108" t="s">
        <v>426</v>
      </c>
      <c r="AE2108" t="s">
        <v>566</v>
      </c>
      <c r="AF2108">
        <v>43</v>
      </c>
      <c r="AG2108" s="122">
        <v>3248</v>
      </c>
      <c r="AH2108" s="122">
        <v>25915</v>
      </c>
      <c r="AI2108" s="122">
        <v>1483966</v>
      </c>
      <c r="AJ2108" s="122">
        <v>1349060</v>
      </c>
      <c r="AK2108">
        <v>52</v>
      </c>
      <c r="AL2108">
        <v>0</v>
      </c>
      <c r="AM2108" s="122">
        <v>23132</v>
      </c>
      <c r="AN2108" s="122">
        <v>68964</v>
      </c>
      <c r="AO2108" s="122">
        <v>25542</v>
      </c>
      <c r="AP2108" s="122">
        <v>12285</v>
      </c>
      <c r="AQ2108" s="122">
        <v>4550</v>
      </c>
      <c r="AR2108" s="122">
        <v>361268</v>
      </c>
      <c r="AS2108" s="122">
        <v>328425</v>
      </c>
      <c r="AT2108">
        <v>0</v>
      </c>
      <c r="AU2108">
        <v>0</v>
      </c>
      <c r="AV2108" s="122">
        <v>1730710</v>
      </c>
    </row>
    <row r="2109" spans="2:48" hidden="1">
      <c r="B2109" t="s">
        <v>380</v>
      </c>
      <c r="C2109" t="s">
        <v>60</v>
      </c>
      <c r="D2109" t="s">
        <v>137</v>
      </c>
      <c r="E2109" t="s">
        <v>427</v>
      </c>
      <c r="F2109" s="122">
        <v>1</v>
      </c>
      <c r="G2109" s="122">
        <v>81</v>
      </c>
      <c r="H2109" s="122">
        <v>332</v>
      </c>
      <c r="I2109" s="122">
        <v>13960</v>
      </c>
      <c r="J2109" s="122">
        <v>5170</v>
      </c>
      <c r="K2109" s="122">
        <v>100</v>
      </c>
      <c r="L2109" s="122">
        <v>2106</v>
      </c>
      <c r="M2109" s="122">
        <v>1915</v>
      </c>
      <c r="N2109" s="122">
        <v>1768</v>
      </c>
      <c r="O2109" s="122">
        <v>655</v>
      </c>
      <c r="P2109" s="122">
        <v>0</v>
      </c>
      <c r="Q2109" s="122">
        <v>0</v>
      </c>
      <c r="R2109" s="122">
        <v>8946</v>
      </c>
      <c r="S2109" s="122">
        <v>8133</v>
      </c>
      <c r="T2109" s="122">
        <v>0</v>
      </c>
      <c r="U2109" s="122">
        <v>0</v>
      </c>
      <c r="V2109" s="122">
        <v>15873</v>
      </c>
      <c r="W2109" s="122">
        <f t="shared" si="66"/>
        <v>15873</v>
      </c>
      <c r="X2109" s="122">
        <f t="shared" si="67"/>
        <v>26780</v>
      </c>
      <c r="AA2109" t="s">
        <v>64</v>
      </c>
      <c r="AB2109" t="s">
        <v>426</v>
      </c>
      <c r="AC2109" t="s">
        <v>566</v>
      </c>
      <c r="AD2109" t="s">
        <v>481</v>
      </c>
      <c r="AE2109" t="s">
        <v>137</v>
      </c>
      <c r="AF2109">
        <v>1</v>
      </c>
      <c r="AG2109">
        <v>39</v>
      </c>
      <c r="AH2109">
        <v>485</v>
      </c>
      <c r="AI2109" s="122">
        <v>9999</v>
      </c>
      <c r="AJ2109" s="122">
        <v>9090</v>
      </c>
      <c r="AK2109">
        <v>45</v>
      </c>
      <c r="AL2109">
        <v>0</v>
      </c>
      <c r="AM2109">
        <v>0</v>
      </c>
      <c r="AN2109">
        <v>657</v>
      </c>
      <c r="AO2109">
        <v>243</v>
      </c>
      <c r="AP2109">
        <v>351</v>
      </c>
      <c r="AQ2109">
        <v>130</v>
      </c>
      <c r="AR2109" s="122">
        <v>7676</v>
      </c>
      <c r="AS2109" s="122">
        <v>6979</v>
      </c>
      <c r="AT2109">
        <v>0</v>
      </c>
      <c r="AU2109">
        <v>0</v>
      </c>
      <c r="AV2109" s="122">
        <v>16442</v>
      </c>
    </row>
    <row r="2110" spans="2:48" hidden="1">
      <c r="B2110" t="s">
        <v>380</v>
      </c>
      <c r="C2110" t="s">
        <v>60</v>
      </c>
      <c r="D2110" t="s">
        <v>137</v>
      </c>
      <c r="E2110" t="s">
        <v>426</v>
      </c>
      <c r="F2110" s="122">
        <v>5</v>
      </c>
      <c r="G2110" s="122">
        <v>434</v>
      </c>
      <c r="H2110" s="122">
        <v>1709</v>
      </c>
      <c r="I2110" s="122">
        <v>90973</v>
      </c>
      <c r="J2110" s="122">
        <v>33694</v>
      </c>
      <c r="K2110" s="122">
        <v>100</v>
      </c>
      <c r="L2110" s="122">
        <v>9829</v>
      </c>
      <c r="M2110" s="122">
        <v>8935</v>
      </c>
      <c r="N2110" s="122">
        <v>9548</v>
      </c>
      <c r="O2110" s="122">
        <v>3536</v>
      </c>
      <c r="P2110" s="122">
        <v>1053</v>
      </c>
      <c r="Q2110" s="122">
        <v>390</v>
      </c>
      <c r="R2110" s="122">
        <v>27483</v>
      </c>
      <c r="S2110" s="122">
        <v>24984</v>
      </c>
      <c r="T2110" s="122">
        <v>10469</v>
      </c>
      <c r="U2110" s="122">
        <v>3877</v>
      </c>
      <c r="V2110" s="122">
        <v>75417</v>
      </c>
      <c r="W2110" s="122">
        <f t="shared" si="66"/>
        <v>75416</v>
      </c>
      <c r="X2110" s="122">
        <f t="shared" si="67"/>
        <v>149355</v>
      </c>
      <c r="AA2110" t="s">
        <v>64</v>
      </c>
      <c r="AB2110" t="s">
        <v>426</v>
      </c>
      <c r="AC2110" t="s">
        <v>481</v>
      </c>
      <c r="AD2110" t="s">
        <v>426</v>
      </c>
      <c r="AE2110" t="s">
        <v>137</v>
      </c>
      <c r="AF2110">
        <v>3</v>
      </c>
      <c r="AG2110">
        <v>229</v>
      </c>
      <c r="AH2110" s="122">
        <v>1750</v>
      </c>
      <c r="AI2110" s="122">
        <v>93886</v>
      </c>
      <c r="AJ2110" s="122">
        <v>85351</v>
      </c>
      <c r="AK2110">
        <v>58</v>
      </c>
      <c r="AL2110" s="122">
        <v>12685</v>
      </c>
      <c r="AM2110" s="122">
        <v>11531</v>
      </c>
      <c r="AN2110" s="122">
        <v>4181</v>
      </c>
      <c r="AO2110" s="122">
        <v>1548</v>
      </c>
      <c r="AP2110" s="122">
        <v>1053</v>
      </c>
      <c r="AQ2110">
        <v>390</v>
      </c>
      <c r="AR2110" s="122">
        <v>14550</v>
      </c>
      <c r="AS2110" s="122">
        <v>13227</v>
      </c>
      <c r="AT2110" s="122">
        <v>6925</v>
      </c>
      <c r="AU2110" s="122">
        <v>2565</v>
      </c>
      <c r="AV2110" s="122">
        <v>114612</v>
      </c>
    </row>
    <row r="2111" spans="2:48" hidden="1">
      <c r="B2111" t="s">
        <v>380</v>
      </c>
      <c r="C2111" t="s">
        <v>60</v>
      </c>
      <c r="D2111" t="s">
        <v>406</v>
      </c>
      <c r="E2111" t="s">
        <v>425</v>
      </c>
      <c r="F2111" s="122">
        <v>1</v>
      </c>
      <c r="G2111" s="122">
        <v>131</v>
      </c>
      <c r="H2111" s="122">
        <v>376</v>
      </c>
      <c r="I2111" s="122">
        <v>31939</v>
      </c>
      <c r="J2111" s="122">
        <v>29035</v>
      </c>
      <c r="K2111" s="122">
        <v>60</v>
      </c>
      <c r="L2111" s="122">
        <v>6743</v>
      </c>
      <c r="M2111" s="122">
        <v>6130</v>
      </c>
      <c r="N2111" s="122">
        <v>2882</v>
      </c>
      <c r="O2111" s="122">
        <v>1067</v>
      </c>
      <c r="P2111" s="122">
        <v>621</v>
      </c>
      <c r="Q2111" s="122">
        <v>230</v>
      </c>
      <c r="R2111" s="122">
        <v>7263</v>
      </c>
      <c r="S2111" s="122">
        <v>6603</v>
      </c>
      <c r="T2111" s="122">
        <v>0</v>
      </c>
      <c r="U2111" s="122">
        <v>0</v>
      </c>
      <c r="V2111" s="122">
        <v>43065</v>
      </c>
      <c r="W2111" s="122">
        <f t="shared" si="66"/>
        <v>43065</v>
      </c>
      <c r="X2111" s="122">
        <f t="shared" si="67"/>
        <v>49448</v>
      </c>
      <c r="AA2111" t="s">
        <v>64</v>
      </c>
      <c r="AB2111" t="s">
        <v>426</v>
      </c>
      <c r="AC2111" t="s">
        <v>433</v>
      </c>
      <c r="AD2111" t="s">
        <v>137</v>
      </c>
      <c r="AE2111" t="s">
        <v>137</v>
      </c>
      <c r="AF2111">
        <v>1</v>
      </c>
      <c r="AG2111">
        <v>106</v>
      </c>
      <c r="AH2111">
        <v>578</v>
      </c>
      <c r="AI2111" s="122">
        <v>39852</v>
      </c>
      <c r="AJ2111" s="122">
        <v>36229</v>
      </c>
      <c r="AK2111">
        <v>45</v>
      </c>
      <c r="AL2111" s="122">
        <v>3066</v>
      </c>
      <c r="AM2111" s="122">
        <v>2787</v>
      </c>
      <c r="AN2111" s="122">
        <v>2583</v>
      </c>
      <c r="AO2111">
        <v>957</v>
      </c>
      <c r="AP2111">
        <v>351</v>
      </c>
      <c r="AQ2111">
        <v>130</v>
      </c>
      <c r="AR2111" s="122">
        <v>10709</v>
      </c>
      <c r="AS2111" s="122">
        <v>3966</v>
      </c>
      <c r="AT2111" s="122">
        <v>4731</v>
      </c>
      <c r="AU2111" s="122">
        <v>1752</v>
      </c>
      <c r="AV2111" s="122">
        <v>45821</v>
      </c>
    </row>
    <row r="2112" spans="2:48" hidden="1">
      <c r="B2112" t="s">
        <v>380</v>
      </c>
      <c r="C2112" t="s">
        <v>60</v>
      </c>
      <c r="D2112" t="s">
        <v>406</v>
      </c>
      <c r="E2112" t="s">
        <v>137</v>
      </c>
      <c r="F2112" s="122">
        <v>1</v>
      </c>
      <c r="G2112" s="122">
        <v>61</v>
      </c>
      <c r="H2112" s="122">
        <v>308</v>
      </c>
      <c r="I2112" s="122">
        <v>18715</v>
      </c>
      <c r="J2112" s="122">
        <v>17013</v>
      </c>
      <c r="K2112" s="122">
        <v>86</v>
      </c>
      <c r="L2112" s="122">
        <v>0</v>
      </c>
      <c r="M2112" s="122">
        <v>0</v>
      </c>
      <c r="N2112" s="122">
        <v>2042</v>
      </c>
      <c r="O2112" s="122">
        <v>756</v>
      </c>
      <c r="P2112" s="122">
        <v>621</v>
      </c>
      <c r="Q2112" s="122">
        <v>230</v>
      </c>
      <c r="R2112" s="122">
        <v>4848</v>
      </c>
      <c r="S2112" s="122">
        <v>1796</v>
      </c>
      <c r="T2112" s="122">
        <v>0</v>
      </c>
      <c r="U2112" s="122">
        <v>0</v>
      </c>
      <c r="V2112" s="122">
        <v>19795</v>
      </c>
      <c r="W2112" s="122">
        <f t="shared" si="66"/>
        <v>19795</v>
      </c>
      <c r="X2112" s="122">
        <f t="shared" si="67"/>
        <v>26226</v>
      </c>
      <c r="AA2112" t="s">
        <v>64</v>
      </c>
      <c r="AB2112" t="s">
        <v>426</v>
      </c>
      <c r="AC2112" t="s">
        <v>433</v>
      </c>
      <c r="AD2112" t="s">
        <v>137</v>
      </c>
      <c r="AE2112" t="s">
        <v>566</v>
      </c>
      <c r="AF2112">
        <v>1</v>
      </c>
      <c r="AG2112">
        <v>160</v>
      </c>
      <c r="AH2112">
        <v>803</v>
      </c>
      <c r="AI2112" s="122">
        <v>88433</v>
      </c>
      <c r="AJ2112" s="122">
        <v>80393</v>
      </c>
      <c r="AK2112">
        <v>45</v>
      </c>
      <c r="AL2112" s="122">
        <v>14739</v>
      </c>
      <c r="AM2112" s="122">
        <v>13399</v>
      </c>
      <c r="AN2112" s="122">
        <v>3899</v>
      </c>
      <c r="AO2112" s="122">
        <v>1444</v>
      </c>
      <c r="AP2112">
        <v>351</v>
      </c>
      <c r="AQ2112">
        <v>130</v>
      </c>
      <c r="AR2112" s="122">
        <v>21062</v>
      </c>
      <c r="AS2112" s="122">
        <v>7801</v>
      </c>
      <c r="AT2112">
        <v>0</v>
      </c>
      <c r="AU2112">
        <v>0</v>
      </c>
      <c r="AV2112" s="122">
        <v>103167</v>
      </c>
    </row>
    <row r="2113" spans="2:48" hidden="1">
      <c r="B2113" t="s">
        <v>380</v>
      </c>
      <c r="C2113" t="s">
        <v>60</v>
      </c>
      <c r="D2113" t="s">
        <v>406</v>
      </c>
      <c r="E2113" t="s">
        <v>406</v>
      </c>
      <c r="F2113" s="122">
        <v>239</v>
      </c>
      <c r="G2113" s="122">
        <v>21695</v>
      </c>
      <c r="H2113" s="122">
        <v>81227</v>
      </c>
      <c r="I2113" s="122">
        <v>4516627</v>
      </c>
      <c r="J2113" s="122">
        <v>4106025</v>
      </c>
      <c r="K2113" s="122">
        <v>80</v>
      </c>
      <c r="L2113" s="122">
        <v>876532</v>
      </c>
      <c r="M2113" s="122">
        <v>772776</v>
      </c>
      <c r="N2113" s="122">
        <v>445835</v>
      </c>
      <c r="O2113" s="122">
        <v>165124</v>
      </c>
      <c r="P2113" s="122">
        <v>163195</v>
      </c>
      <c r="Q2113" s="122">
        <v>60443</v>
      </c>
      <c r="R2113" s="122">
        <v>1066603</v>
      </c>
      <c r="S2113" s="122">
        <v>969639</v>
      </c>
      <c r="T2113" s="122">
        <v>359105</v>
      </c>
      <c r="U2113" s="122">
        <v>133002</v>
      </c>
      <c r="V2113" s="122">
        <v>6207008</v>
      </c>
      <c r="W2113" s="122">
        <f t="shared" si="66"/>
        <v>6207009</v>
      </c>
      <c r="X2113" s="122">
        <f t="shared" si="67"/>
        <v>7427897</v>
      </c>
      <c r="AA2113" t="s">
        <v>64</v>
      </c>
      <c r="AB2113" t="s">
        <v>426</v>
      </c>
      <c r="AC2113" t="s">
        <v>433</v>
      </c>
      <c r="AD2113" t="s">
        <v>426</v>
      </c>
      <c r="AE2113" t="s">
        <v>137</v>
      </c>
      <c r="AF2113">
        <v>2</v>
      </c>
      <c r="AG2113">
        <v>197</v>
      </c>
      <c r="AH2113" s="122">
        <v>1022</v>
      </c>
      <c r="AI2113" s="122">
        <v>77234</v>
      </c>
      <c r="AJ2113" s="122">
        <v>70212</v>
      </c>
      <c r="AK2113">
        <v>45</v>
      </c>
      <c r="AL2113" s="122">
        <v>5275</v>
      </c>
      <c r="AM2113" s="122">
        <v>4796</v>
      </c>
      <c r="AN2113" s="122">
        <v>4053</v>
      </c>
      <c r="AO2113" s="122">
        <v>1501</v>
      </c>
      <c r="AP2113">
        <v>702</v>
      </c>
      <c r="AQ2113">
        <v>260</v>
      </c>
      <c r="AR2113" s="122">
        <v>12754</v>
      </c>
      <c r="AS2113" s="122">
        <v>11594</v>
      </c>
      <c r="AT2113" s="122">
        <v>4764</v>
      </c>
      <c r="AU2113" s="122">
        <v>1765</v>
      </c>
      <c r="AV2113" s="122">
        <v>90128</v>
      </c>
    </row>
    <row r="2114" spans="2:48" hidden="1">
      <c r="B2114" t="s">
        <v>380</v>
      </c>
      <c r="C2114" t="s">
        <v>60</v>
      </c>
      <c r="D2114" t="s">
        <v>406</v>
      </c>
      <c r="E2114" t="s">
        <v>431</v>
      </c>
      <c r="F2114" s="122">
        <v>1</v>
      </c>
      <c r="G2114" s="122">
        <v>68</v>
      </c>
      <c r="H2114" s="122">
        <v>337</v>
      </c>
      <c r="I2114" s="122">
        <v>23108</v>
      </c>
      <c r="J2114" s="122">
        <v>21008</v>
      </c>
      <c r="K2114" s="122">
        <v>81</v>
      </c>
      <c r="L2114" s="122">
        <v>3057</v>
      </c>
      <c r="M2114" s="122">
        <v>2779</v>
      </c>
      <c r="N2114" s="122">
        <v>2213</v>
      </c>
      <c r="O2114" s="122">
        <v>820</v>
      </c>
      <c r="P2114" s="122">
        <v>621</v>
      </c>
      <c r="Q2114" s="122">
        <v>230</v>
      </c>
      <c r="R2114" s="122">
        <v>4450</v>
      </c>
      <c r="S2114" s="122">
        <v>4045</v>
      </c>
      <c r="T2114" s="122">
        <v>0</v>
      </c>
      <c r="U2114" s="122">
        <v>0</v>
      </c>
      <c r="V2114" s="122">
        <v>28882</v>
      </c>
      <c r="W2114" s="122">
        <f t="shared" si="66"/>
        <v>28882</v>
      </c>
      <c r="X2114" s="122">
        <f t="shared" si="67"/>
        <v>33449</v>
      </c>
      <c r="AA2114" t="s">
        <v>64</v>
      </c>
      <c r="AB2114" t="s">
        <v>481</v>
      </c>
      <c r="AC2114" t="s">
        <v>137</v>
      </c>
      <c r="AD2114" t="s">
        <v>426</v>
      </c>
      <c r="AE2114" t="s">
        <v>137</v>
      </c>
      <c r="AF2114">
        <v>1</v>
      </c>
      <c r="AG2114">
        <v>85</v>
      </c>
      <c r="AH2114">
        <v>499</v>
      </c>
      <c r="AI2114" s="122">
        <v>27803</v>
      </c>
      <c r="AJ2114" s="122">
        <v>25275</v>
      </c>
      <c r="AK2114">
        <v>55</v>
      </c>
      <c r="AL2114" s="122">
        <v>4170</v>
      </c>
      <c r="AM2114" s="122">
        <v>1545</v>
      </c>
      <c r="AN2114" s="122">
        <v>1814</v>
      </c>
      <c r="AO2114">
        <v>672</v>
      </c>
      <c r="AP2114">
        <v>351</v>
      </c>
      <c r="AQ2114">
        <v>130</v>
      </c>
      <c r="AR2114" s="122">
        <v>5664</v>
      </c>
      <c r="AS2114" s="122">
        <v>5149</v>
      </c>
      <c r="AT2114" s="122">
        <v>2679</v>
      </c>
      <c r="AU2114">
        <v>992</v>
      </c>
      <c r="AV2114" s="122">
        <v>33763</v>
      </c>
    </row>
    <row r="2115" spans="2:48" hidden="1">
      <c r="B2115" t="s">
        <v>380</v>
      </c>
      <c r="C2115" t="s">
        <v>60</v>
      </c>
      <c r="D2115" t="s">
        <v>406</v>
      </c>
      <c r="E2115" t="s">
        <v>426</v>
      </c>
      <c r="F2115" s="122">
        <v>2</v>
      </c>
      <c r="G2115" s="122">
        <v>251</v>
      </c>
      <c r="H2115" s="122">
        <v>644</v>
      </c>
      <c r="I2115" s="122">
        <v>47796</v>
      </c>
      <c r="J2115" s="122">
        <v>43450</v>
      </c>
      <c r="K2115" s="122">
        <v>78</v>
      </c>
      <c r="L2115" s="122">
        <v>9174</v>
      </c>
      <c r="M2115" s="122">
        <v>8340</v>
      </c>
      <c r="N2115" s="122">
        <v>5474</v>
      </c>
      <c r="O2115" s="122">
        <v>2028</v>
      </c>
      <c r="P2115" s="122">
        <v>1242</v>
      </c>
      <c r="Q2115" s="122">
        <v>460</v>
      </c>
      <c r="R2115" s="122">
        <v>10954</v>
      </c>
      <c r="S2115" s="122">
        <v>9958</v>
      </c>
      <c r="T2115" s="122">
        <v>6331</v>
      </c>
      <c r="U2115" s="122">
        <v>2345</v>
      </c>
      <c r="V2115" s="122">
        <v>66581</v>
      </c>
      <c r="W2115" s="122">
        <f t="shared" si="66"/>
        <v>66581</v>
      </c>
      <c r="X2115" s="122">
        <f t="shared" si="67"/>
        <v>80971</v>
      </c>
      <c r="AA2115" t="s">
        <v>64</v>
      </c>
      <c r="AB2115" t="s">
        <v>481</v>
      </c>
      <c r="AC2115" t="s">
        <v>426</v>
      </c>
      <c r="AD2115" t="s">
        <v>137</v>
      </c>
      <c r="AE2115" t="s">
        <v>137</v>
      </c>
      <c r="AF2115">
        <v>1</v>
      </c>
      <c r="AG2115">
        <v>74</v>
      </c>
      <c r="AH2115">
        <v>699</v>
      </c>
      <c r="AI2115" s="122">
        <v>37650</v>
      </c>
      <c r="AJ2115" s="122">
        <v>34228</v>
      </c>
      <c r="AK2115">
        <v>60</v>
      </c>
      <c r="AL2115" s="122">
        <v>8367</v>
      </c>
      <c r="AM2115" s="122">
        <v>7606</v>
      </c>
      <c r="AN2115" s="122">
        <v>1814</v>
      </c>
      <c r="AO2115">
        <v>672</v>
      </c>
      <c r="AP2115">
        <v>0</v>
      </c>
      <c r="AQ2115">
        <v>0</v>
      </c>
      <c r="AR2115" s="122">
        <v>2839</v>
      </c>
      <c r="AS2115" s="122">
        <v>1051</v>
      </c>
      <c r="AT2115" s="122">
        <v>1398</v>
      </c>
      <c r="AU2115">
        <v>518</v>
      </c>
      <c r="AV2115" s="122">
        <v>44075</v>
      </c>
    </row>
    <row r="2116" spans="2:48" hidden="1">
      <c r="B2116" t="s">
        <v>380</v>
      </c>
      <c r="C2116" t="s">
        <v>60</v>
      </c>
      <c r="D2116" t="s">
        <v>427</v>
      </c>
      <c r="E2116" t="s">
        <v>427</v>
      </c>
      <c r="F2116" s="122">
        <v>115</v>
      </c>
      <c r="G2116" s="122">
        <v>9739</v>
      </c>
      <c r="H2116" s="122">
        <v>39826</v>
      </c>
      <c r="I2116" s="122">
        <v>1854837</v>
      </c>
      <c r="J2116" s="122">
        <v>1686216</v>
      </c>
      <c r="K2116" s="122">
        <v>48</v>
      </c>
      <c r="L2116" s="122">
        <v>294881</v>
      </c>
      <c r="M2116" s="122">
        <v>268074</v>
      </c>
      <c r="N2116" s="122">
        <v>166239</v>
      </c>
      <c r="O2116" s="122">
        <v>61570</v>
      </c>
      <c r="P2116" s="122">
        <v>40635</v>
      </c>
      <c r="Q2116" s="122">
        <v>15050</v>
      </c>
      <c r="R2116" s="122">
        <v>702228</v>
      </c>
      <c r="S2116" s="122">
        <v>638389</v>
      </c>
      <c r="T2116" s="122">
        <v>308648</v>
      </c>
      <c r="U2116" s="122">
        <v>114314</v>
      </c>
      <c r="V2116" s="122">
        <v>2783613</v>
      </c>
      <c r="W2116" s="122">
        <f t="shared" si="66"/>
        <v>2783613</v>
      </c>
      <c r="X2116" s="122">
        <f t="shared" si="67"/>
        <v>3367468</v>
      </c>
      <c r="AA2116" t="s">
        <v>64</v>
      </c>
      <c r="AB2116" t="s">
        <v>481</v>
      </c>
      <c r="AC2116" t="s">
        <v>426</v>
      </c>
      <c r="AD2116" t="s">
        <v>426</v>
      </c>
      <c r="AE2116" t="s">
        <v>137</v>
      </c>
      <c r="AF2116">
        <v>1</v>
      </c>
      <c r="AG2116">
        <v>65</v>
      </c>
      <c r="AH2116">
        <v>574</v>
      </c>
      <c r="AI2116" s="122">
        <v>23623</v>
      </c>
      <c r="AJ2116" s="122">
        <v>21476</v>
      </c>
      <c r="AK2116">
        <v>65</v>
      </c>
      <c r="AL2116" s="122">
        <v>5687</v>
      </c>
      <c r="AM2116" s="122">
        <v>5170</v>
      </c>
      <c r="AN2116" s="122">
        <v>1162</v>
      </c>
      <c r="AO2116">
        <v>430</v>
      </c>
      <c r="AP2116">
        <v>351</v>
      </c>
      <c r="AQ2116">
        <v>130</v>
      </c>
      <c r="AR2116" s="122">
        <v>4336</v>
      </c>
      <c r="AS2116" s="122">
        <v>3942</v>
      </c>
      <c r="AT2116" s="122">
        <v>2321</v>
      </c>
      <c r="AU2116">
        <v>860</v>
      </c>
      <c r="AV2116" s="122">
        <v>32008</v>
      </c>
    </row>
    <row r="2117" spans="2:48" hidden="1">
      <c r="B2117" t="s">
        <v>380</v>
      </c>
      <c r="C2117" t="s">
        <v>60</v>
      </c>
      <c r="D2117" t="s">
        <v>407</v>
      </c>
      <c r="E2117" t="s">
        <v>407</v>
      </c>
      <c r="F2117" s="122">
        <v>2</v>
      </c>
      <c r="G2117" s="122">
        <v>161</v>
      </c>
      <c r="H2117" s="122">
        <v>677</v>
      </c>
      <c r="I2117" s="122">
        <v>32583</v>
      </c>
      <c r="J2117" s="122">
        <v>29621</v>
      </c>
      <c r="K2117" s="122">
        <v>84</v>
      </c>
      <c r="L2117" s="122">
        <v>6775</v>
      </c>
      <c r="M2117" s="122">
        <v>6159</v>
      </c>
      <c r="N2117" s="122">
        <v>2977</v>
      </c>
      <c r="O2117" s="122">
        <v>1102</v>
      </c>
      <c r="P2117" s="122">
        <v>945</v>
      </c>
      <c r="Q2117" s="122">
        <v>350</v>
      </c>
      <c r="R2117" s="122">
        <v>6844</v>
      </c>
      <c r="S2117" s="122">
        <v>6222</v>
      </c>
      <c r="T2117" s="122">
        <v>4435</v>
      </c>
      <c r="U2117" s="122">
        <v>1642</v>
      </c>
      <c r="V2117" s="122">
        <v>45097</v>
      </c>
      <c r="W2117" s="122">
        <f t="shared" si="66"/>
        <v>45096</v>
      </c>
      <c r="X2117" s="122">
        <f t="shared" si="67"/>
        <v>54559</v>
      </c>
      <c r="AA2117" t="s">
        <v>64</v>
      </c>
      <c r="AB2117" t="s">
        <v>433</v>
      </c>
      <c r="AC2117" t="s">
        <v>137</v>
      </c>
      <c r="AD2117" t="s">
        <v>137</v>
      </c>
      <c r="AE2117" t="s">
        <v>566</v>
      </c>
      <c r="AF2117">
        <v>2</v>
      </c>
      <c r="AG2117">
        <v>117</v>
      </c>
      <c r="AH2117" s="122">
        <v>1826</v>
      </c>
      <c r="AI2117" s="122">
        <v>80858</v>
      </c>
      <c r="AJ2117" s="122">
        <v>73508</v>
      </c>
      <c r="AK2117">
        <v>48</v>
      </c>
      <c r="AL2117" s="122">
        <v>9827</v>
      </c>
      <c r="AM2117" s="122">
        <v>3640</v>
      </c>
      <c r="AN2117" s="122">
        <v>2853</v>
      </c>
      <c r="AO2117" s="122">
        <v>1057</v>
      </c>
      <c r="AP2117">
        <v>0</v>
      </c>
      <c r="AQ2117">
        <v>0</v>
      </c>
      <c r="AR2117" s="122">
        <v>11920</v>
      </c>
      <c r="AS2117" s="122">
        <v>4415</v>
      </c>
      <c r="AT2117">
        <v>0</v>
      </c>
      <c r="AU2117">
        <v>0</v>
      </c>
      <c r="AV2117" s="122">
        <v>82619</v>
      </c>
    </row>
    <row r="2118" spans="2:48" hidden="1">
      <c r="B2118" t="s">
        <v>380</v>
      </c>
      <c r="C2118" t="s">
        <v>60</v>
      </c>
      <c r="D2118" t="s">
        <v>556</v>
      </c>
      <c r="E2118" t="s">
        <v>556</v>
      </c>
      <c r="F2118" s="122">
        <v>9</v>
      </c>
      <c r="G2118" s="122">
        <v>803</v>
      </c>
      <c r="H2118" s="122">
        <v>3011</v>
      </c>
      <c r="I2118" s="122">
        <v>161928</v>
      </c>
      <c r="J2118" s="122">
        <v>134940</v>
      </c>
      <c r="K2118" s="122">
        <v>51</v>
      </c>
      <c r="L2118" s="122">
        <v>12354</v>
      </c>
      <c r="M2118" s="122">
        <v>16827</v>
      </c>
      <c r="N2118" s="122">
        <v>14963</v>
      </c>
      <c r="O2118" s="122">
        <v>5542</v>
      </c>
      <c r="P2118" s="122">
        <v>3429</v>
      </c>
      <c r="Q2118" s="122">
        <v>1270</v>
      </c>
      <c r="R2118" s="122">
        <v>57472</v>
      </c>
      <c r="S2118" s="122">
        <v>47893</v>
      </c>
      <c r="T2118" s="122">
        <v>19002</v>
      </c>
      <c r="U2118" s="122">
        <v>7038</v>
      </c>
      <c r="V2118" s="122">
        <v>213509</v>
      </c>
      <c r="W2118" s="122">
        <f t="shared" si="66"/>
        <v>213510</v>
      </c>
      <c r="X2118" s="122">
        <f t="shared" si="67"/>
        <v>269148</v>
      </c>
      <c r="AA2118" t="s">
        <v>64</v>
      </c>
      <c r="AB2118" t="s">
        <v>433</v>
      </c>
      <c r="AC2118" t="s">
        <v>137</v>
      </c>
      <c r="AD2118" t="s">
        <v>407</v>
      </c>
      <c r="AE2118" t="s">
        <v>566</v>
      </c>
      <c r="AF2118">
        <v>1</v>
      </c>
      <c r="AG2118">
        <v>35</v>
      </c>
      <c r="AH2118" s="122">
        <v>1246</v>
      </c>
      <c r="AI2118" s="122">
        <v>37847</v>
      </c>
      <c r="AJ2118" s="122">
        <v>34406</v>
      </c>
      <c r="AK2118">
        <v>30</v>
      </c>
      <c r="AL2118" s="122">
        <v>3097</v>
      </c>
      <c r="AM2118" s="122">
        <v>1147</v>
      </c>
      <c r="AN2118">
        <v>849</v>
      </c>
      <c r="AO2118">
        <v>315</v>
      </c>
      <c r="AP2118">
        <v>0</v>
      </c>
      <c r="AQ2118">
        <v>0</v>
      </c>
      <c r="AR2118" s="122">
        <v>1615</v>
      </c>
      <c r="AS2118" s="122">
        <v>1468</v>
      </c>
      <c r="AT2118">
        <v>0</v>
      </c>
      <c r="AU2118">
        <v>0</v>
      </c>
      <c r="AV2118" s="122">
        <v>37336</v>
      </c>
    </row>
    <row r="2119" spans="2:48" hidden="1">
      <c r="B2119" t="s">
        <v>380</v>
      </c>
      <c r="C2119" t="s">
        <v>60</v>
      </c>
      <c r="D2119" t="s">
        <v>556</v>
      </c>
      <c r="E2119" t="s">
        <v>426</v>
      </c>
      <c r="F2119" s="122">
        <v>1</v>
      </c>
      <c r="G2119" s="122">
        <v>78</v>
      </c>
      <c r="H2119" s="122">
        <v>340</v>
      </c>
      <c r="I2119" s="122">
        <v>19354</v>
      </c>
      <c r="J2119" s="122">
        <v>16128</v>
      </c>
      <c r="K2119" s="122">
        <v>55</v>
      </c>
      <c r="L2119" s="122">
        <v>0</v>
      </c>
      <c r="M2119" s="122">
        <v>3285</v>
      </c>
      <c r="N2119" s="122">
        <v>950</v>
      </c>
      <c r="O2119" s="122">
        <v>352</v>
      </c>
      <c r="P2119" s="122">
        <v>351</v>
      </c>
      <c r="Q2119" s="122">
        <v>130</v>
      </c>
      <c r="R2119" s="122">
        <v>3719</v>
      </c>
      <c r="S2119" s="122">
        <v>3381</v>
      </c>
      <c r="T2119" s="122">
        <v>2152</v>
      </c>
      <c r="U2119" s="122">
        <v>797</v>
      </c>
      <c r="V2119" s="122">
        <v>24074</v>
      </c>
      <c r="W2119" s="122">
        <f t="shared" si="66"/>
        <v>24073</v>
      </c>
      <c r="X2119" s="122">
        <f t="shared" si="67"/>
        <v>26526</v>
      </c>
      <c r="AA2119" t="s">
        <v>64</v>
      </c>
      <c r="AB2119" t="s">
        <v>433</v>
      </c>
      <c r="AC2119" t="s">
        <v>137</v>
      </c>
      <c r="AD2119" t="s">
        <v>433</v>
      </c>
      <c r="AE2119" t="s">
        <v>137</v>
      </c>
      <c r="AF2119">
        <v>8</v>
      </c>
      <c r="AG2119">
        <v>523</v>
      </c>
      <c r="AH2119" s="122">
        <v>5444</v>
      </c>
      <c r="AI2119" s="122">
        <v>240113</v>
      </c>
      <c r="AJ2119" s="122">
        <v>218284</v>
      </c>
      <c r="AK2119">
        <v>49</v>
      </c>
      <c r="AL2119" s="122">
        <v>43515</v>
      </c>
      <c r="AM2119" s="122">
        <v>16117</v>
      </c>
      <c r="AN2119" s="122">
        <v>10830</v>
      </c>
      <c r="AO2119" s="122">
        <v>4011</v>
      </c>
      <c r="AP2119" s="122">
        <v>2808</v>
      </c>
      <c r="AQ2119" s="122">
        <v>1040</v>
      </c>
      <c r="AR2119" s="122">
        <v>41634</v>
      </c>
      <c r="AS2119" s="122">
        <v>37849</v>
      </c>
      <c r="AT2119" s="122">
        <v>15474</v>
      </c>
      <c r="AU2119" s="122">
        <v>5731</v>
      </c>
      <c r="AV2119" s="122">
        <v>283032</v>
      </c>
    </row>
    <row r="2120" spans="2:48" hidden="1">
      <c r="B2120" t="s">
        <v>380</v>
      </c>
      <c r="C2120" t="s">
        <v>60</v>
      </c>
      <c r="D2120" t="s">
        <v>428</v>
      </c>
      <c r="E2120" t="s">
        <v>428</v>
      </c>
      <c r="F2120" s="122">
        <v>7</v>
      </c>
      <c r="G2120" s="122">
        <v>639</v>
      </c>
      <c r="H2120" s="122">
        <v>2334</v>
      </c>
      <c r="I2120" s="122">
        <v>108732</v>
      </c>
      <c r="J2120" s="122">
        <v>98847</v>
      </c>
      <c r="K2120" s="122">
        <v>56</v>
      </c>
      <c r="L2120" s="122">
        <v>25155</v>
      </c>
      <c r="M2120" s="122">
        <v>19243</v>
      </c>
      <c r="N2120" s="122">
        <v>14901</v>
      </c>
      <c r="O2120" s="122">
        <v>5519</v>
      </c>
      <c r="P2120" s="122">
        <v>2457</v>
      </c>
      <c r="Q2120" s="122">
        <v>910</v>
      </c>
      <c r="R2120" s="122">
        <v>40853</v>
      </c>
      <c r="S2120" s="122">
        <v>37139</v>
      </c>
      <c r="T2120" s="122">
        <v>20855</v>
      </c>
      <c r="U2120" s="122">
        <v>7724</v>
      </c>
      <c r="V2120" s="122">
        <v>169382</v>
      </c>
      <c r="W2120" s="122">
        <f t="shared" si="66"/>
        <v>169382</v>
      </c>
      <c r="X2120" s="122">
        <f t="shared" si="67"/>
        <v>212953</v>
      </c>
      <c r="AA2120" t="s">
        <v>64</v>
      </c>
      <c r="AB2120" t="s">
        <v>433</v>
      </c>
      <c r="AC2120" t="s">
        <v>427</v>
      </c>
      <c r="AD2120" t="s">
        <v>433</v>
      </c>
      <c r="AE2120" t="s">
        <v>137</v>
      </c>
      <c r="AF2120">
        <v>1</v>
      </c>
      <c r="AG2120">
        <v>80</v>
      </c>
      <c r="AH2120">
        <v>471</v>
      </c>
      <c r="AI2120" s="122">
        <v>18737</v>
      </c>
      <c r="AJ2120" s="122">
        <v>17034</v>
      </c>
      <c r="AK2120">
        <v>55</v>
      </c>
      <c r="AL2120" s="122">
        <v>3817</v>
      </c>
      <c r="AM2120" s="122">
        <v>3470</v>
      </c>
      <c r="AN2120" s="122">
        <v>1940</v>
      </c>
      <c r="AO2120">
        <v>718</v>
      </c>
      <c r="AP2120">
        <v>351</v>
      </c>
      <c r="AQ2120">
        <v>130</v>
      </c>
      <c r="AR2120" s="122">
        <v>8234</v>
      </c>
      <c r="AS2120" s="122">
        <v>7486</v>
      </c>
      <c r="AT2120" s="122">
        <v>4388</v>
      </c>
      <c r="AU2120" s="122">
        <v>1625</v>
      </c>
      <c r="AV2120" s="122">
        <v>30463</v>
      </c>
    </row>
    <row r="2121" spans="2:48" hidden="1">
      <c r="B2121" t="s">
        <v>380</v>
      </c>
      <c r="C2121" t="s">
        <v>60</v>
      </c>
      <c r="D2121" t="s">
        <v>431</v>
      </c>
      <c r="E2121" t="s">
        <v>137</v>
      </c>
      <c r="F2121" s="122">
        <v>1</v>
      </c>
      <c r="G2121" s="122">
        <v>75</v>
      </c>
      <c r="H2121" s="122">
        <v>368</v>
      </c>
      <c r="I2121" s="122">
        <v>15272</v>
      </c>
      <c r="J2121" s="122">
        <v>13884</v>
      </c>
      <c r="K2121" s="122">
        <v>60</v>
      </c>
      <c r="L2121" s="122">
        <v>2499</v>
      </c>
      <c r="M2121" s="122">
        <v>926</v>
      </c>
      <c r="N2121" s="122">
        <v>1372</v>
      </c>
      <c r="O2121" s="122">
        <v>508</v>
      </c>
      <c r="P2121" s="122">
        <v>0</v>
      </c>
      <c r="Q2121" s="122">
        <v>0</v>
      </c>
      <c r="R2121" s="122">
        <v>8522</v>
      </c>
      <c r="S2121" s="122">
        <v>3156</v>
      </c>
      <c r="T2121" s="122">
        <v>0</v>
      </c>
      <c r="U2121" s="122">
        <v>0</v>
      </c>
      <c r="V2121" s="122">
        <v>18474</v>
      </c>
      <c r="W2121" s="122">
        <f t="shared" si="66"/>
        <v>18474</v>
      </c>
      <c r="X2121" s="122">
        <f t="shared" si="67"/>
        <v>27665</v>
      </c>
      <c r="AA2121" t="s">
        <v>64</v>
      </c>
      <c r="AB2121" t="s">
        <v>433</v>
      </c>
      <c r="AC2121" t="s">
        <v>579</v>
      </c>
      <c r="AD2121" t="s">
        <v>433</v>
      </c>
      <c r="AE2121" t="s">
        <v>137</v>
      </c>
      <c r="AF2121">
        <v>1</v>
      </c>
      <c r="AG2121">
        <v>76</v>
      </c>
      <c r="AH2121">
        <v>870</v>
      </c>
      <c r="AI2121" s="122">
        <v>47289</v>
      </c>
      <c r="AJ2121" s="122">
        <v>42990</v>
      </c>
      <c r="AK2121">
        <v>45</v>
      </c>
      <c r="AL2121" s="122">
        <v>8598</v>
      </c>
      <c r="AM2121" s="122">
        <v>7165</v>
      </c>
      <c r="AN2121" s="122">
        <v>1852</v>
      </c>
      <c r="AO2121">
        <v>686</v>
      </c>
      <c r="AP2121">
        <v>351</v>
      </c>
      <c r="AQ2121">
        <v>130</v>
      </c>
      <c r="AR2121" s="122">
        <v>5880</v>
      </c>
      <c r="AS2121" s="122">
        <v>5345</v>
      </c>
      <c r="AT2121" s="122">
        <v>2112</v>
      </c>
      <c r="AU2121">
        <v>782</v>
      </c>
      <c r="AV2121" s="122">
        <v>57099</v>
      </c>
    </row>
    <row r="2122" spans="2:48" hidden="1">
      <c r="B2122" t="s">
        <v>380</v>
      </c>
      <c r="C2122" t="s">
        <v>60</v>
      </c>
      <c r="D2122" t="s">
        <v>431</v>
      </c>
      <c r="E2122" t="s">
        <v>431</v>
      </c>
      <c r="F2122" s="122">
        <v>48</v>
      </c>
      <c r="G2122" s="122">
        <v>4320</v>
      </c>
      <c r="H2122" s="122">
        <v>15767</v>
      </c>
      <c r="I2122" s="122">
        <v>776602</v>
      </c>
      <c r="J2122" s="122">
        <v>706002</v>
      </c>
      <c r="K2122" s="122">
        <v>48</v>
      </c>
      <c r="L2122" s="122">
        <v>125268</v>
      </c>
      <c r="M2122" s="122">
        <v>113880</v>
      </c>
      <c r="N2122" s="122">
        <v>83669</v>
      </c>
      <c r="O2122" s="122">
        <v>30989</v>
      </c>
      <c r="P2122" s="122">
        <v>16497</v>
      </c>
      <c r="Q2122" s="122">
        <v>6110</v>
      </c>
      <c r="R2122" s="122">
        <v>310251</v>
      </c>
      <c r="S2122" s="122">
        <v>282047</v>
      </c>
      <c r="T2122" s="122">
        <v>110826</v>
      </c>
      <c r="U2122" s="122">
        <v>41047</v>
      </c>
      <c r="V2122" s="122">
        <v>1180073</v>
      </c>
      <c r="W2122" s="122">
        <f t="shared" si="66"/>
        <v>1180075</v>
      </c>
      <c r="X2122" s="122">
        <f t="shared" si="67"/>
        <v>1423113</v>
      </c>
      <c r="AA2122" t="s">
        <v>64</v>
      </c>
      <c r="AB2122" t="s">
        <v>433</v>
      </c>
      <c r="AC2122" t="s">
        <v>426</v>
      </c>
      <c r="AD2122" t="s">
        <v>433</v>
      </c>
      <c r="AE2122" t="s">
        <v>137</v>
      </c>
      <c r="AF2122">
        <v>4</v>
      </c>
      <c r="AG2122">
        <v>323</v>
      </c>
      <c r="AH2122" s="122">
        <v>2441</v>
      </c>
      <c r="AI2122" s="122">
        <v>126557</v>
      </c>
      <c r="AJ2122" s="122">
        <v>115052</v>
      </c>
      <c r="AK2122">
        <v>58</v>
      </c>
      <c r="AL2122" s="122">
        <v>23879</v>
      </c>
      <c r="AM2122" s="122">
        <v>21708</v>
      </c>
      <c r="AN2122" s="122">
        <v>7192</v>
      </c>
      <c r="AO2122" s="122">
        <v>2664</v>
      </c>
      <c r="AP2122" s="122">
        <v>1404</v>
      </c>
      <c r="AQ2122">
        <v>520</v>
      </c>
      <c r="AR2122" s="122">
        <v>21932</v>
      </c>
      <c r="AS2122" s="122">
        <v>19938</v>
      </c>
      <c r="AT2122" s="122">
        <v>11316</v>
      </c>
      <c r="AU2122" s="122">
        <v>4191</v>
      </c>
      <c r="AV2122" s="122">
        <v>164073</v>
      </c>
    </row>
    <row r="2123" spans="2:48" hidden="1">
      <c r="B2123" t="s">
        <v>380</v>
      </c>
      <c r="C2123" t="s">
        <v>60</v>
      </c>
      <c r="D2123" t="s">
        <v>426</v>
      </c>
      <c r="E2123" t="s">
        <v>426</v>
      </c>
      <c r="F2123" s="122">
        <v>597</v>
      </c>
      <c r="G2123" s="122">
        <v>48972</v>
      </c>
      <c r="H2123" s="122">
        <v>204739</v>
      </c>
      <c r="I2123" s="122">
        <v>9273670</v>
      </c>
      <c r="J2123" s="122">
        <v>8430609</v>
      </c>
      <c r="K2123" s="122">
        <v>48</v>
      </c>
      <c r="L2123" s="122">
        <v>1366694</v>
      </c>
      <c r="M2123" s="122">
        <v>1210759</v>
      </c>
      <c r="N2123" s="122">
        <v>862535</v>
      </c>
      <c r="O2123" s="122">
        <v>319458</v>
      </c>
      <c r="P2123" s="122">
        <v>211316</v>
      </c>
      <c r="Q2123" s="122">
        <v>78265</v>
      </c>
      <c r="R2123" s="122">
        <v>3692014</v>
      </c>
      <c r="S2123" s="122">
        <v>3356376</v>
      </c>
      <c r="T2123" s="122">
        <v>1368098</v>
      </c>
      <c r="U2123" s="122">
        <v>506703</v>
      </c>
      <c r="V2123" s="122">
        <v>13902170</v>
      </c>
      <c r="W2123" s="122">
        <f t="shared" si="66"/>
        <v>13902170</v>
      </c>
      <c r="X2123" s="122">
        <f t="shared" si="67"/>
        <v>16774327</v>
      </c>
      <c r="AA2123" t="s">
        <v>64</v>
      </c>
      <c r="AB2123" t="s">
        <v>433</v>
      </c>
      <c r="AC2123" t="s">
        <v>566</v>
      </c>
      <c r="AD2123" t="s">
        <v>137</v>
      </c>
      <c r="AE2123" t="s">
        <v>566</v>
      </c>
      <c r="AF2123">
        <v>1</v>
      </c>
      <c r="AG2123">
        <v>69</v>
      </c>
      <c r="AH2123">
        <v>964</v>
      </c>
      <c r="AI2123" s="122">
        <v>59598</v>
      </c>
      <c r="AJ2123" s="122">
        <v>54180</v>
      </c>
      <c r="AK2123">
        <v>30</v>
      </c>
      <c r="AL2123">
        <v>0</v>
      </c>
      <c r="AM2123">
        <v>0</v>
      </c>
      <c r="AN2123" s="122">
        <v>1682</v>
      </c>
      <c r="AO2123">
        <v>623</v>
      </c>
      <c r="AP2123">
        <v>0</v>
      </c>
      <c r="AQ2123">
        <v>0</v>
      </c>
      <c r="AR2123" s="122">
        <v>5262</v>
      </c>
      <c r="AS2123" s="122">
        <v>1949</v>
      </c>
      <c r="AT2123">
        <v>0</v>
      </c>
      <c r="AU2123">
        <v>0</v>
      </c>
      <c r="AV2123" s="122">
        <v>56751</v>
      </c>
    </row>
    <row r="2124" spans="2:48" hidden="1">
      <c r="B2124" t="s">
        <v>380</v>
      </c>
      <c r="C2124" t="s">
        <v>60</v>
      </c>
      <c r="D2124" t="s">
        <v>481</v>
      </c>
      <c r="E2124" t="s">
        <v>426</v>
      </c>
      <c r="F2124" s="122">
        <v>2</v>
      </c>
      <c r="G2124" s="122">
        <v>165</v>
      </c>
      <c r="H2124" s="122">
        <v>664</v>
      </c>
      <c r="I2124" s="122">
        <v>29074</v>
      </c>
      <c r="J2124" s="122">
        <v>26431</v>
      </c>
      <c r="K2124" s="122">
        <v>45</v>
      </c>
      <c r="L2124" s="122">
        <v>4846</v>
      </c>
      <c r="M2124" s="122">
        <v>4405</v>
      </c>
      <c r="N2124" s="122">
        <v>2217</v>
      </c>
      <c r="O2124" s="122">
        <v>821</v>
      </c>
      <c r="P2124" s="122">
        <v>702</v>
      </c>
      <c r="Q2124" s="122">
        <v>260</v>
      </c>
      <c r="R2124" s="122">
        <v>13054</v>
      </c>
      <c r="S2124" s="122">
        <v>11868</v>
      </c>
      <c r="T2124" s="122">
        <v>4928</v>
      </c>
      <c r="U2124" s="122">
        <v>1825</v>
      </c>
      <c r="V2124" s="122">
        <v>45610</v>
      </c>
      <c r="W2124" s="122">
        <f t="shared" si="66"/>
        <v>45610</v>
      </c>
      <c r="X2124" s="122">
        <f t="shared" si="67"/>
        <v>54821</v>
      </c>
      <c r="AA2124" t="s">
        <v>64</v>
      </c>
      <c r="AB2124" t="s">
        <v>433</v>
      </c>
      <c r="AC2124" t="s">
        <v>566</v>
      </c>
      <c r="AD2124" t="s">
        <v>433</v>
      </c>
      <c r="AE2124" t="s">
        <v>137</v>
      </c>
      <c r="AF2124">
        <v>8</v>
      </c>
      <c r="AG2124">
        <v>579</v>
      </c>
      <c r="AH2124" s="122">
        <v>4187</v>
      </c>
      <c r="AI2124" s="122">
        <v>241244</v>
      </c>
      <c r="AJ2124" s="122">
        <v>219313</v>
      </c>
      <c r="AK2124">
        <v>59</v>
      </c>
      <c r="AL2124">
        <v>0</v>
      </c>
      <c r="AM2124">
        <v>0</v>
      </c>
      <c r="AN2124" s="122">
        <v>12370</v>
      </c>
      <c r="AO2124" s="122">
        <v>4581</v>
      </c>
      <c r="AP2124" s="122">
        <v>2808</v>
      </c>
      <c r="AQ2124" s="122">
        <v>1040</v>
      </c>
      <c r="AR2124" s="122">
        <v>34216</v>
      </c>
      <c r="AS2124" s="122">
        <v>31105</v>
      </c>
      <c r="AT2124" s="122">
        <v>15491</v>
      </c>
      <c r="AU2124" s="122">
        <v>5737</v>
      </c>
      <c r="AV2124" s="122">
        <v>261777</v>
      </c>
    </row>
    <row r="2125" spans="2:48" hidden="1">
      <c r="B2125" t="s">
        <v>380</v>
      </c>
      <c r="C2125" t="s">
        <v>60</v>
      </c>
      <c r="D2125" t="s">
        <v>408</v>
      </c>
      <c r="E2125" t="s">
        <v>408</v>
      </c>
      <c r="F2125" s="122">
        <v>1</v>
      </c>
      <c r="G2125" s="122">
        <v>194</v>
      </c>
      <c r="H2125" s="122">
        <v>334</v>
      </c>
      <c r="I2125" s="122">
        <v>46129</v>
      </c>
      <c r="J2125" s="122">
        <v>41935</v>
      </c>
      <c r="K2125" s="122">
        <v>82</v>
      </c>
      <c r="L2125" s="122">
        <v>6019</v>
      </c>
      <c r="M2125" s="122">
        <v>5472</v>
      </c>
      <c r="N2125" s="122">
        <v>4715</v>
      </c>
      <c r="O2125" s="122">
        <v>1746</v>
      </c>
      <c r="P2125" s="122">
        <v>972</v>
      </c>
      <c r="Q2125" s="122">
        <v>360</v>
      </c>
      <c r="R2125" s="122">
        <v>6836</v>
      </c>
      <c r="S2125" s="122">
        <v>6214</v>
      </c>
      <c r="T2125" s="122">
        <v>0</v>
      </c>
      <c r="U2125" s="122">
        <v>0</v>
      </c>
      <c r="V2125" s="122">
        <v>55727</v>
      </c>
      <c r="W2125" s="122">
        <f t="shared" si="66"/>
        <v>55727</v>
      </c>
      <c r="X2125" s="122">
        <f t="shared" si="67"/>
        <v>64671</v>
      </c>
      <c r="AA2125" t="s">
        <v>64</v>
      </c>
      <c r="AB2125" t="s">
        <v>433</v>
      </c>
      <c r="AC2125" t="s">
        <v>433</v>
      </c>
      <c r="AD2125" t="s">
        <v>137</v>
      </c>
      <c r="AE2125" t="s">
        <v>566</v>
      </c>
      <c r="AF2125">
        <v>3</v>
      </c>
      <c r="AG2125">
        <v>336</v>
      </c>
      <c r="AH2125" s="122">
        <v>1870</v>
      </c>
      <c r="AI2125" s="122">
        <v>178657</v>
      </c>
      <c r="AJ2125" s="122">
        <v>162415</v>
      </c>
      <c r="AK2125">
        <v>48</v>
      </c>
      <c r="AL2125" s="122">
        <v>19851</v>
      </c>
      <c r="AM2125" s="122">
        <v>18046</v>
      </c>
      <c r="AN2125" s="122">
        <v>8184</v>
      </c>
      <c r="AO2125" s="122">
        <v>3031</v>
      </c>
      <c r="AP2125">
        <v>351</v>
      </c>
      <c r="AQ2125">
        <v>130</v>
      </c>
      <c r="AR2125" s="122">
        <v>20452</v>
      </c>
      <c r="AS2125" s="122">
        <v>7575</v>
      </c>
      <c r="AT2125">
        <v>0</v>
      </c>
      <c r="AU2125">
        <v>0</v>
      </c>
      <c r="AV2125" s="122">
        <v>191197</v>
      </c>
    </row>
    <row r="2126" spans="2:48" hidden="1">
      <c r="B2126" t="s">
        <v>380</v>
      </c>
      <c r="C2126" t="s">
        <v>60</v>
      </c>
      <c r="D2126" t="s">
        <v>429</v>
      </c>
      <c r="E2126" t="s">
        <v>429</v>
      </c>
      <c r="F2126" s="122">
        <v>1</v>
      </c>
      <c r="G2126" s="122">
        <v>97</v>
      </c>
      <c r="H2126" s="122">
        <v>348</v>
      </c>
      <c r="I2126" s="122">
        <v>22271</v>
      </c>
      <c r="J2126" s="122">
        <v>20246</v>
      </c>
      <c r="K2126" s="122">
        <v>65</v>
      </c>
      <c r="L2126" s="122">
        <v>2132</v>
      </c>
      <c r="M2126" s="122">
        <v>1938</v>
      </c>
      <c r="N2126" s="122">
        <v>1540</v>
      </c>
      <c r="O2126" s="122">
        <v>570</v>
      </c>
      <c r="P2126" s="122">
        <v>351</v>
      </c>
      <c r="Q2126" s="122">
        <v>130</v>
      </c>
      <c r="R2126" s="122">
        <v>7267</v>
      </c>
      <c r="S2126" s="122">
        <v>6606</v>
      </c>
      <c r="T2126" s="122">
        <v>0</v>
      </c>
      <c r="U2126" s="122">
        <v>0</v>
      </c>
      <c r="V2126" s="122">
        <v>29491</v>
      </c>
      <c r="W2126" s="122">
        <f t="shared" si="66"/>
        <v>29490</v>
      </c>
      <c r="X2126" s="122">
        <f t="shared" si="67"/>
        <v>33561</v>
      </c>
      <c r="AA2126" t="s">
        <v>64</v>
      </c>
      <c r="AB2126" t="s">
        <v>433</v>
      </c>
      <c r="AC2126" t="s">
        <v>433</v>
      </c>
      <c r="AD2126" t="s">
        <v>433</v>
      </c>
      <c r="AE2126" t="s">
        <v>137</v>
      </c>
      <c r="AF2126">
        <v>7</v>
      </c>
      <c r="AG2126">
        <v>541</v>
      </c>
      <c r="AH2126" s="122">
        <v>4681</v>
      </c>
      <c r="AI2126" s="122">
        <v>255021</v>
      </c>
      <c r="AJ2126" s="122">
        <v>231838</v>
      </c>
      <c r="AK2126">
        <v>48</v>
      </c>
      <c r="AL2126" s="122">
        <v>41228</v>
      </c>
      <c r="AM2126" s="122">
        <v>37480</v>
      </c>
      <c r="AN2126" s="122">
        <v>11451</v>
      </c>
      <c r="AO2126" s="122">
        <v>4241</v>
      </c>
      <c r="AP2126" s="122">
        <v>2457</v>
      </c>
      <c r="AQ2126">
        <v>910</v>
      </c>
      <c r="AR2126" s="122">
        <v>36397</v>
      </c>
      <c r="AS2126" s="122">
        <v>33089</v>
      </c>
      <c r="AT2126" s="122">
        <v>13360</v>
      </c>
      <c r="AU2126" s="122">
        <v>4948</v>
      </c>
      <c r="AV2126" s="122">
        <v>312506</v>
      </c>
    </row>
    <row r="2127" spans="2:48" hidden="1">
      <c r="B2127" t="s">
        <v>380</v>
      </c>
      <c r="C2127" t="s">
        <v>62</v>
      </c>
      <c r="D2127" t="s">
        <v>137</v>
      </c>
      <c r="E2127" t="s">
        <v>137</v>
      </c>
      <c r="F2127" s="122">
        <v>14</v>
      </c>
      <c r="G2127" s="122">
        <v>1138</v>
      </c>
      <c r="H2127" s="122">
        <v>5686</v>
      </c>
      <c r="I2127" s="122">
        <v>301502</v>
      </c>
      <c r="J2127" s="122">
        <v>111668</v>
      </c>
      <c r="K2127" s="122">
        <v>100</v>
      </c>
      <c r="L2127" s="122">
        <v>46017</v>
      </c>
      <c r="M2127" s="122">
        <v>37702</v>
      </c>
      <c r="N2127" s="122">
        <v>23651</v>
      </c>
      <c r="O2127" s="122">
        <v>8760</v>
      </c>
      <c r="P2127" s="122">
        <v>0</v>
      </c>
      <c r="Q2127" s="122">
        <v>0</v>
      </c>
      <c r="R2127" s="122">
        <v>91688</v>
      </c>
      <c r="S2127" s="122">
        <v>33959</v>
      </c>
      <c r="T2127" s="122">
        <v>0</v>
      </c>
      <c r="U2127" s="122">
        <v>0</v>
      </c>
      <c r="V2127" s="122">
        <v>192088</v>
      </c>
      <c r="W2127" s="122">
        <f t="shared" si="66"/>
        <v>192089</v>
      </c>
      <c r="X2127" s="122">
        <f t="shared" si="67"/>
        <v>462858</v>
      </c>
      <c r="AA2127" t="s">
        <v>64</v>
      </c>
      <c r="AB2127" t="s">
        <v>433</v>
      </c>
      <c r="AC2127" t="s">
        <v>433</v>
      </c>
      <c r="AD2127" t="s">
        <v>433</v>
      </c>
      <c r="AE2127" t="s">
        <v>566</v>
      </c>
      <c r="AF2127">
        <v>1</v>
      </c>
      <c r="AG2127">
        <v>61</v>
      </c>
      <c r="AH2127" s="122">
        <v>1114</v>
      </c>
      <c r="AI2127" s="122">
        <v>50754</v>
      </c>
      <c r="AJ2127" s="122">
        <v>46140</v>
      </c>
      <c r="AK2127">
        <v>45</v>
      </c>
      <c r="AL2127" s="122">
        <v>8459</v>
      </c>
      <c r="AM2127" s="122">
        <v>7690</v>
      </c>
      <c r="AN2127" s="122">
        <v>1481</v>
      </c>
      <c r="AO2127">
        <v>548</v>
      </c>
      <c r="AP2127">
        <v>0</v>
      </c>
      <c r="AQ2127">
        <v>0</v>
      </c>
      <c r="AR2127" s="122">
        <v>6974</v>
      </c>
      <c r="AS2127" s="122">
        <v>6340</v>
      </c>
      <c r="AT2127">
        <v>0</v>
      </c>
      <c r="AU2127">
        <v>0</v>
      </c>
      <c r="AV2127" s="122">
        <v>60718</v>
      </c>
    </row>
    <row r="2128" spans="2:48" hidden="1">
      <c r="B2128" t="s">
        <v>380</v>
      </c>
      <c r="C2128" t="s">
        <v>62</v>
      </c>
      <c r="D2128" t="s">
        <v>137</v>
      </c>
      <c r="E2128" t="s">
        <v>431</v>
      </c>
      <c r="F2128" s="122">
        <v>3</v>
      </c>
      <c r="G2128" s="122">
        <v>335</v>
      </c>
      <c r="H2128" s="122">
        <v>1240</v>
      </c>
      <c r="I2128" s="122">
        <v>85671</v>
      </c>
      <c r="J2128" s="122">
        <v>31730</v>
      </c>
      <c r="K2128" s="122">
        <v>100</v>
      </c>
      <c r="L2128" s="122">
        <v>18767</v>
      </c>
      <c r="M2128" s="122">
        <v>17061</v>
      </c>
      <c r="N2128" s="122">
        <v>6938</v>
      </c>
      <c r="O2128" s="122">
        <v>2570</v>
      </c>
      <c r="P2128" s="122">
        <v>351</v>
      </c>
      <c r="Q2128" s="122">
        <v>130</v>
      </c>
      <c r="R2128" s="122">
        <v>21295</v>
      </c>
      <c r="S2128" s="122">
        <v>19359</v>
      </c>
      <c r="T2128" s="122">
        <v>5734</v>
      </c>
      <c r="U2128" s="122">
        <v>2124</v>
      </c>
      <c r="V2128" s="122">
        <v>72973</v>
      </c>
      <c r="W2128" s="122">
        <f t="shared" si="66"/>
        <v>72974</v>
      </c>
      <c r="X2128" s="122">
        <f t="shared" si="67"/>
        <v>138756</v>
      </c>
      <c r="AA2128" t="s">
        <v>64</v>
      </c>
      <c r="AB2128" t="s">
        <v>408</v>
      </c>
      <c r="AC2128" t="s">
        <v>137</v>
      </c>
      <c r="AD2128" t="s">
        <v>137</v>
      </c>
      <c r="AE2128" t="s">
        <v>566</v>
      </c>
      <c r="AF2128">
        <v>1</v>
      </c>
      <c r="AG2128">
        <v>172</v>
      </c>
      <c r="AH2128">
        <v>559</v>
      </c>
      <c r="AI2128" s="122">
        <v>66836</v>
      </c>
      <c r="AJ2128" s="122">
        <v>60760</v>
      </c>
      <c r="AK2128">
        <v>65</v>
      </c>
      <c r="AL2128" s="122">
        <v>26659</v>
      </c>
      <c r="AM2128" s="122">
        <v>9874</v>
      </c>
      <c r="AN2128" s="122">
        <v>4365</v>
      </c>
      <c r="AO2128" s="122">
        <v>1617</v>
      </c>
      <c r="AP2128">
        <v>0</v>
      </c>
      <c r="AQ2128">
        <v>0</v>
      </c>
      <c r="AR2128" s="122">
        <v>12778</v>
      </c>
      <c r="AS2128" s="122">
        <v>4732</v>
      </c>
      <c r="AT2128">
        <v>0</v>
      </c>
      <c r="AU2128">
        <v>0</v>
      </c>
      <c r="AV2128" s="122">
        <v>76983</v>
      </c>
    </row>
    <row r="2129" spans="2:48" hidden="1">
      <c r="B2129" t="s">
        <v>380</v>
      </c>
      <c r="C2129" t="s">
        <v>62</v>
      </c>
      <c r="D2129" t="s">
        <v>137</v>
      </c>
      <c r="E2129" t="s">
        <v>426</v>
      </c>
      <c r="F2129" s="122">
        <v>4</v>
      </c>
      <c r="G2129" s="122">
        <v>323</v>
      </c>
      <c r="H2129" s="122">
        <v>1650</v>
      </c>
      <c r="I2129" s="122">
        <v>82358</v>
      </c>
      <c r="J2129" s="122">
        <v>30503</v>
      </c>
      <c r="K2129" s="122">
        <v>100</v>
      </c>
      <c r="L2129" s="122">
        <v>11049</v>
      </c>
      <c r="M2129" s="122">
        <v>10045</v>
      </c>
      <c r="N2129" s="122">
        <v>6161</v>
      </c>
      <c r="O2129" s="122">
        <v>2282</v>
      </c>
      <c r="P2129" s="122">
        <v>0</v>
      </c>
      <c r="Q2129" s="122">
        <v>0</v>
      </c>
      <c r="R2129" s="122">
        <v>23545</v>
      </c>
      <c r="S2129" s="122">
        <v>21405</v>
      </c>
      <c r="T2129" s="122">
        <v>10486</v>
      </c>
      <c r="U2129" s="122">
        <v>3884</v>
      </c>
      <c r="V2129" s="122">
        <v>68118</v>
      </c>
      <c r="W2129" s="122">
        <f t="shared" si="66"/>
        <v>68119</v>
      </c>
      <c r="X2129" s="122">
        <f t="shared" si="67"/>
        <v>133599</v>
      </c>
      <c r="AA2129" t="s">
        <v>64</v>
      </c>
      <c r="AB2129" t="s">
        <v>408</v>
      </c>
      <c r="AC2129" t="s">
        <v>426</v>
      </c>
      <c r="AD2129" t="s">
        <v>408</v>
      </c>
      <c r="AE2129" t="s">
        <v>137</v>
      </c>
      <c r="AF2129">
        <v>1</v>
      </c>
      <c r="AG2129">
        <v>75</v>
      </c>
      <c r="AH2129">
        <v>459</v>
      </c>
      <c r="AI2129" s="122">
        <v>22232</v>
      </c>
      <c r="AJ2129" s="122">
        <v>20211</v>
      </c>
      <c r="AK2129">
        <v>65</v>
      </c>
      <c r="AL2129" s="122">
        <v>3568</v>
      </c>
      <c r="AM2129" s="122">
        <v>3244</v>
      </c>
      <c r="AN2129" s="122">
        <v>1590</v>
      </c>
      <c r="AO2129">
        <v>589</v>
      </c>
      <c r="AP2129">
        <v>702</v>
      </c>
      <c r="AQ2129">
        <v>260</v>
      </c>
      <c r="AR2129" s="122">
        <v>4046</v>
      </c>
      <c r="AS2129" s="122">
        <v>3678</v>
      </c>
      <c r="AT2129" s="122">
        <v>2093</v>
      </c>
      <c r="AU2129">
        <v>775</v>
      </c>
      <c r="AV2129" s="122">
        <v>28758</v>
      </c>
    </row>
    <row r="2130" spans="2:48">
      <c r="B2130" t="s">
        <v>380</v>
      </c>
      <c r="C2130" t="s">
        <v>62</v>
      </c>
      <c r="D2130" t="s">
        <v>406</v>
      </c>
      <c r="E2130" t="s">
        <v>137</v>
      </c>
      <c r="F2130" s="122">
        <v>2</v>
      </c>
      <c r="G2130" s="122">
        <v>242</v>
      </c>
      <c r="H2130" s="122">
        <v>850</v>
      </c>
      <c r="I2130" s="122">
        <v>73706</v>
      </c>
      <c r="J2130" s="122">
        <v>67005</v>
      </c>
      <c r="K2130" s="122">
        <v>90</v>
      </c>
      <c r="L2130" s="122">
        <v>9394</v>
      </c>
      <c r="M2130" s="122">
        <v>8540</v>
      </c>
      <c r="N2130" s="122">
        <v>5813</v>
      </c>
      <c r="O2130" s="122">
        <v>2153</v>
      </c>
      <c r="P2130" s="122">
        <v>1242</v>
      </c>
      <c r="Q2130" s="122">
        <v>460</v>
      </c>
      <c r="R2130" s="122">
        <v>12489</v>
      </c>
      <c r="S2130" s="122">
        <v>4626</v>
      </c>
      <c r="T2130" s="122">
        <v>0</v>
      </c>
      <c r="U2130" s="122">
        <v>0</v>
      </c>
      <c r="V2130" s="122">
        <v>82784</v>
      </c>
      <c r="W2130" s="122">
        <f t="shared" si="66"/>
        <v>82784</v>
      </c>
      <c r="X2130" s="122">
        <f t="shared" si="67"/>
        <v>102644</v>
      </c>
    </row>
    <row r="2131" spans="2:48">
      <c r="B2131" t="s">
        <v>380</v>
      </c>
      <c r="C2131" t="s">
        <v>62</v>
      </c>
      <c r="D2131" t="s">
        <v>406</v>
      </c>
      <c r="E2131" t="s">
        <v>406</v>
      </c>
      <c r="F2131" s="122">
        <v>110</v>
      </c>
      <c r="G2131" s="122">
        <v>10106</v>
      </c>
      <c r="H2131" s="122">
        <v>45651</v>
      </c>
      <c r="I2131" s="122">
        <v>2725698</v>
      </c>
      <c r="J2131" s="122">
        <v>2477907</v>
      </c>
      <c r="K2131" s="122">
        <v>77</v>
      </c>
      <c r="L2131" s="122">
        <v>496958</v>
      </c>
      <c r="M2131" s="122">
        <v>440538</v>
      </c>
      <c r="N2131" s="122">
        <v>213227</v>
      </c>
      <c r="O2131" s="122">
        <v>78973</v>
      </c>
      <c r="P2131" s="122">
        <v>74277</v>
      </c>
      <c r="Q2131" s="122">
        <v>27510</v>
      </c>
      <c r="R2131" s="122">
        <v>512108</v>
      </c>
      <c r="S2131" s="122">
        <v>465553</v>
      </c>
      <c r="T2131" s="122">
        <v>182782</v>
      </c>
      <c r="U2131" s="122">
        <v>67697</v>
      </c>
      <c r="V2131" s="122">
        <v>3558178</v>
      </c>
      <c r="W2131" s="122">
        <f t="shared" si="66"/>
        <v>3558178</v>
      </c>
      <c r="X2131" s="122">
        <f t="shared" si="67"/>
        <v>4205050</v>
      </c>
    </row>
    <row r="2132" spans="2:48">
      <c r="B2132" t="s">
        <v>380</v>
      </c>
      <c r="C2132" t="s">
        <v>62</v>
      </c>
      <c r="D2132" t="s">
        <v>427</v>
      </c>
      <c r="E2132" t="s">
        <v>427</v>
      </c>
      <c r="F2132" s="122">
        <v>72</v>
      </c>
      <c r="G2132" s="122">
        <v>5871</v>
      </c>
      <c r="H2132" s="122">
        <v>28924</v>
      </c>
      <c r="I2132" s="122">
        <v>1371710</v>
      </c>
      <c r="J2132" s="122">
        <v>1247009</v>
      </c>
      <c r="K2132" s="122">
        <v>45</v>
      </c>
      <c r="L2132" s="122">
        <v>217347</v>
      </c>
      <c r="M2132" s="122">
        <v>196165</v>
      </c>
      <c r="N2132" s="122">
        <v>93143</v>
      </c>
      <c r="O2132" s="122">
        <v>34497</v>
      </c>
      <c r="P2132" s="122">
        <v>25893</v>
      </c>
      <c r="Q2132" s="122">
        <v>9590</v>
      </c>
      <c r="R2132" s="122">
        <v>465596</v>
      </c>
      <c r="S2132" s="122">
        <v>423269</v>
      </c>
      <c r="T2132" s="122">
        <v>183523</v>
      </c>
      <c r="U2132" s="122">
        <v>67972</v>
      </c>
      <c r="V2132" s="122">
        <v>1978502</v>
      </c>
      <c r="W2132" s="122">
        <f t="shared" si="66"/>
        <v>1978502</v>
      </c>
      <c r="X2132" s="122">
        <f t="shared" si="67"/>
        <v>2357212</v>
      </c>
    </row>
    <row r="2133" spans="2:48">
      <c r="B2133" t="s">
        <v>380</v>
      </c>
      <c r="C2133" t="s">
        <v>62</v>
      </c>
      <c r="D2133" t="s">
        <v>407</v>
      </c>
      <c r="E2133" t="s">
        <v>407</v>
      </c>
      <c r="F2133" s="122">
        <v>1</v>
      </c>
      <c r="G2133" s="122">
        <v>129</v>
      </c>
      <c r="H2133" s="122">
        <v>432</v>
      </c>
      <c r="I2133" s="122">
        <v>35303</v>
      </c>
      <c r="J2133" s="122">
        <v>32094</v>
      </c>
      <c r="K2133" s="122">
        <v>90</v>
      </c>
      <c r="L2133" s="122">
        <v>11232</v>
      </c>
      <c r="M2133" s="122">
        <v>10211</v>
      </c>
      <c r="N2133" s="122">
        <v>2849</v>
      </c>
      <c r="O2133" s="122">
        <v>1055</v>
      </c>
      <c r="P2133" s="122">
        <v>473</v>
      </c>
      <c r="Q2133" s="122">
        <v>175</v>
      </c>
      <c r="R2133" s="122">
        <v>3292</v>
      </c>
      <c r="S2133" s="122">
        <v>2992</v>
      </c>
      <c r="T2133" s="122">
        <v>2330</v>
      </c>
      <c r="U2133" s="122">
        <v>863</v>
      </c>
      <c r="V2133" s="122">
        <v>47390</v>
      </c>
      <c r="W2133" s="122">
        <f t="shared" si="66"/>
        <v>47390</v>
      </c>
      <c r="X2133" s="122">
        <f t="shared" si="67"/>
        <v>55479</v>
      </c>
    </row>
    <row r="2134" spans="2:48">
      <c r="B2134" t="s">
        <v>380</v>
      </c>
      <c r="C2134" t="s">
        <v>62</v>
      </c>
      <c r="D2134" t="s">
        <v>556</v>
      </c>
      <c r="E2134" t="s">
        <v>556</v>
      </c>
      <c r="F2134" s="122">
        <v>5</v>
      </c>
      <c r="G2134" s="122">
        <v>405</v>
      </c>
      <c r="H2134" s="122">
        <v>2030</v>
      </c>
      <c r="I2134" s="122">
        <v>93666</v>
      </c>
      <c r="J2134" s="122">
        <v>78055</v>
      </c>
      <c r="K2134" s="122">
        <v>47</v>
      </c>
      <c r="L2134" s="122">
        <v>13975</v>
      </c>
      <c r="M2134" s="122">
        <v>11646</v>
      </c>
      <c r="N2134" s="122">
        <v>8202</v>
      </c>
      <c r="O2134" s="122">
        <v>3038</v>
      </c>
      <c r="P2134" s="122">
        <v>1404</v>
      </c>
      <c r="Q2134" s="122">
        <v>520</v>
      </c>
      <c r="R2134" s="122">
        <v>37940</v>
      </c>
      <c r="S2134" s="122">
        <v>31616</v>
      </c>
      <c r="T2134" s="122">
        <v>9266</v>
      </c>
      <c r="U2134" s="122">
        <v>3432</v>
      </c>
      <c r="V2134" s="122">
        <v>128307</v>
      </c>
      <c r="W2134" s="122">
        <f t="shared" si="66"/>
        <v>128307</v>
      </c>
      <c r="X2134" s="122">
        <f t="shared" si="67"/>
        <v>164453</v>
      </c>
    </row>
    <row r="2135" spans="2:48">
      <c r="B2135" t="s">
        <v>380</v>
      </c>
      <c r="C2135" t="s">
        <v>62</v>
      </c>
      <c r="D2135" t="s">
        <v>428</v>
      </c>
      <c r="E2135" t="s">
        <v>428</v>
      </c>
      <c r="F2135" s="122">
        <v>5</v>
      </c>
      <c r="G2135" s="122">
        <v>441</v>
      </c>
      <c r="H2135" s="122">
        <v>1943</v>
      </c>
      <c r="I2135" s="122">
        <v>91570</v>
      </c>
      <c r="J2135" s="122">
        <v>83245</v>
      </c>
      <c r="K2135" s="122">
        <v>45</v>
      </c>
      <c r="L2135" s="122">
        <v>12209</v>
      </c>
      <c r="M2135" s="122">
        <v>11099</v>
      </c>
      <c r="N2135" s="122">
        <v>8929</v>
      </c>
      <c r="O2135" s="122">
        <v>3307</v>
      </c>
      <c r="P2135" s="122">
        <v>1755</v>
      </c>
      <c r="Q2135" s="122">
        <v>650</v>
      </c>
      <c r="R2135" s="122">
        <v>40394</v>
      </c>
      <c r="S2135" s="122">
        <v>36722</v>
      </c>
      <c r="T2135" s="122">
        <v>16540</v>
      </c>
      <c r="U2135" s="122">
        <v>6126</v>
      </c>
      <c r="V2135" s="122">
        <v>141149</v>
      </c>
      <c r="W2135" s="122">
        <f t="shared" si="66"/>
        <v>141149</v>
      </c>
      <c r="X2135" s="122">
        <f t="shared" si="67"/>
        <v>171397</v>
      </c>
    </row>
    <row r="2136" spans="2:48">
      <c r="B2136" t="s">
        <v>380</v>
      </c>
      <c r="C2136" t="s">
        <v>62</v>
      </c>
      <c r="D2136" t="s">
        <v>428</v>
      </c>
      <c r="E2136" t="s">
        <v>431</v>
      </c>
      <c r="F2136" s="122">
        <v>1</v>
      </c>
      <c r="G2136" s="122">
        <v>71</v>
      </c>
      <c r="H2136" s="122">
        <v>384</v>
      </c>
      <c r="I2136" s="122">
        <v>15616</v>
      </c>
      <c r="J2136" s="122">
        <v>14197</v>
      </c>
      <c r="K2136" s="122">
        <v>45</v>
      </c>
      <c r="L2136" s="122">
        <v>2603</v>
      </c>
      <c r="M2136" s="122">
        <v>2366</v>
      </c>
      <c r="N2136" s="122">
        <v>1488</v>
      </c>
      <c r="O2136" s="122">
        <v>551</v>
      </c>
      <c r="P2136" s="122">
        <v>351</v>
      </c>
      <c r="Q2136" s="122">
        <v>130</v>
      </c>
      <c r="R2136" s="122">
        <v>7082</v>
      </c>
      <c r="S2136" s="122">
        <v>6438</v>
      </c>
      <c r="T2136" s="122">
        <v>0</v>
      </c>
      <c r="U2136" s="122">
        <v>0</v>
      </c>
      <c r="V2136" s="122">
        <v>23682</v>
      </c>
      <c r="W2136" s="122">
        <f t="shared" si="66"/>
        <v>23682</v>
      </c>
      <c r="X2136" s="122">
        <f t="shared" si="67"/>
        <v>27140</v>
      </c>
    </row>
    <row r="2137" spans="2:48">
      <c r="B2137" t="s">
        <v>380</v>
      </c>
      <c r="C2137" t="s">
        <v>62</v>
      </c>
      <c r="D2137" t="s">
        <v>431</v>
      </c>
      <c r="E2137" t="s">
        <v>431</v>
      </c>
      <c r="F2137" s="122">
        <v>17</v>
      </c>
      <c r="G2137" s="122">
        <v>1454</v>
      </c>
      <c r="H2137" s="122">
        <v>7091</v>
      </c>
      <c r="I2137" s="122">
        <v>386343</v>
      </c>
      <c r="J2137" s="122">
        <v>351221</v>
      </c>
      <c r="K2137" s="122">
        <v>49</v>
      </c>
      <c r="L2137" s="122">
        <v>54966</v>
      </c>
      <c r="M2137" s="122">
        <v>46129</v>
      </c>
      <c r="N2137" s="122">
        <v>26194</v>
      </c>
      <c r="O2137" s="122">
        <v>9701</v>
      </c>
      <c r="P2137" s="122">
        <v>6237</v>
      </c>
      <c r="Q2137" s="122">
        <v>2310</v>
      </c>
      <c r="R2137" s="122">
        <v>102996</v>
      </c>
      <c r="S2137" s="122">
        <v>93633</v>
      </c>
      <c r="T2137" s="122">
        <v>29303</v>
      </c>
      <c r="U2137" s="122">
        <v>10853</v>
      </c>
      <c r="V2137" s="122">
        <v>513847</v>
      </c>
      <c r="W2137" s="122">
        <f t="shared" si="66"/>
        <v>513847</v>
      </c>
      <c r="X2137" s="122">
        <f t="shared" si="67"/>
        <v>606039</v>
      </c>
    </row>
    <row r="2138" spans="2:48">
      <c r="B2138" t="s">
        <v>380</v>
      </c>
      <c r="C2138" t="s">
        <v>62</v>
      </c>
      <c r="D2138" t="s">
        <v>426</v>
      </c>
      <c r="E2138" t="s">
        <v>426</v>
      </c>
      <c r="F2138" s="122">
        <v>288</v>
      </c>
      <c r="G2138" s="122">
        <v>23244</v>
      </c>
      <c r="H2138" s="122">
        <v>118068</v>
      </c>
      <c r="I2138" s="122">
        <v>5695125</v>
      </c>
      <c r="J2138" s="122">
        <v>5177386</v>
      </c>
      <c r="K2138" s="122">
        <v>47</v>
      </c>
      <c r="L2138" s="122">
        <v>866357</v>
      </c>
      <c r="M2138" s="122">
        <v>776213</v>
      </c>
      <c r="N2138" s="122">
        <v>426313</v>
      </c>
      <c r="O2138" s="122">
        <v>157894</v>
      </c>
      <c r="P2138" s="122">
        <v>102209</v>
      </c>
      <c r="Q2138" s="122">
        <v>37855</v>
      </c>
      <c r="R2138" s="122">
        <v>1793330</v>
      </c>
      <c r="S2138" s="122">
        <v>1630300</v>
      </c>
      <c r="T2138" s="122">
        <v>639775</v>
      </c>
      <c r="U2138" s="122">
        <v>236954</v>
      </c>
      <c r="V2138" s="122">
        <v>8016602</v>
      </c>
      <c r="W2138" s="122">
        <f t="shared" si="66"/>
        <v>8016602</v>
      </c>
      <c r="X2138" s="122">
        <f t="shared" si="67"/>
        <v>9523109</v>
      </c>
    </row>
    <row r="2139" spans="2:48">
      <c r="B2139" t="s">
        <v>380</v>
      </c>
      <c r="C2139" t="s">
        <v>62</v>
      </c>
      <c r="D2139" t="s">
        <v>408</v>
      </c>
      <c r="E2139" t="s">
        <v>137</v>
      </c>
      <c r="F2139" s="122">
        <v>1</v>
      </c>
      <c r="G2139" s="122">
        <v>78</v>
      </c>
      <c r="H2139" s="122">
        <v>432</v>
      </c>
      <c r="I2139" s="122">
        <v>27424</v>
      </c>
      <c r="J2139" s="122">
        <v>24931</v>
      </c>
      <c r="K2139" s="122">
        <v>65</v>
      </c>
      <c r="L2139" s="122">
        <v>0</v>
      </c>
      <c r="M2139" s="122">
        <v>0</v>
      </c>
      <c r="N2139" s="122">
        <v>1080</v>
      </c>
      <c r="O2139" s="122">
        <v>400</v>
      </c>
      <c r="P2139" s="122">
        <v>0</v>
      </c>
      <c r="Q2139" s="122">
        <v>0</v>
      </c>
      <c r="R2139" s="122">
        <v>5123</v>
      </c>
      <c r="S2139" s="122">
        <v>1897</v>
      </c>
      <c r="T2139" s="122">
        <v>0</v>
      </c>
      <c r="U2139" s="122">
        <v>0</v>
      </c>
      <c r="V2139" s="122">
        <v>27228</v>
      </c>
      <c r="W2139" s="122">
        <f t="shared" si="66"/>
        <v>27228</v>
      </c>
      <c r="X2139" s="122">
        <f t="shared" si="67"/>
        <v>33627</v>
      </c>
    </row>
    <row r="2140" spans="2:48">
      <c r="B2140" t="s">
        <v>380</v>
      </c>
      <c r="C2140" t="s">
        <v>62</v>
      </c>
      <c r="D2140" t="s">
        <v>408</v>
      </c>
      <c r="E2140" t="s">
        <v>408</v>
      </c>
      <c r="F2140" s="122">
        <v>2</v>
      </c>
      <c r="G2140" s="122">
        <v>162</v>
      </c>
      <c r="H2140" s="122">
        <v>845</v>
      </c>
      <c r="I2140" s="122">
        <v>40149</v>
      </c>
      <c r="J2140" s="122">
        <v>36499</v>
      </c>
      <c r="K2140" s="122">
        <v>72</v>
      </c>
      <c r="L2140" s="122">
        <v>10864</v>
      </c>
      <c r="M2140" s="122">
        <v>9877</v>
      </c>
      <c r="N2140" s="122">
        <v>3877</v>
      </c>
      <c r="O2140" s="122">
        <v>1436</v>
      </c>
      <c r="P2140" s="122">
        <v>702</v>
      </c>
      <c r="Q2140" s="122">
        <v>260</v>
      </c>
      <c r="R2140" s="122">
        <v>8146</v>
      </c>
      <c r="S2140" s="122">
        <v>7405</v>
      </c>
      <c r="T2140" s="122">
        <v>4895</v>
      </c>
      <c r="U2140" s="122">
        <v>1813</v>
      </c>
      <c r="V2140" s="122">
        <v>57290</v>
      </c>
      <c r="W2140" s="122">
        <f t="shared" si="66"/>
        <v>57290</v>
      </c>
      <c r="X2140" s="122">
        <f t="shared" si="67"/>
        <v>68633</v>
      </c>
    </row>
    <row r="2141" spans="2:48">
      <c r="B2141" t="s">
        <v>380</v>
      </c>
      <c r="C2141" t="s">
        <v>64</v>
      </c>
      <c r="D2141" t="s">
        <v>137</v>
      </c>
      <c r="E2141" t="s">
        <v>137</v>
      </c>
      <c r="F2141" s="122">
        <v>49</v>
      </c>
      <c r="G2141" s="122">
        <v>3678</v>
      </c>
      <c r="H2141" s="122">
        <v>29052</v>
      </c>
      <c r="I2141" s="122">
        <v>1504246</v>
      </c>
      <c r="J2141" s="122">
        <v>557128</v>
      </c>
      <c r="K2141" s="122">
        <v>100</v>
      </c>
      <c r="L2141" s="122">
        <v>200545</v>
      </c>
      <c r="M2141" s="122">
        <v>174208</v>
      </c>
      <c r="N2141" s="122">
        <v>77297</v>
      </c>
      <c r="O2141" s="122">
        <v>28628</v>
      </c>
      <c r="P2141" s="122">
        <v>1053</v>
      </c>
      <c r="Q2141" s="122">
        <v>390</v>
      </c>
      <c r="R2141" s="122">
        <v>363220</v>
      </c>
      <c r="S2141" s="122">
        <v>134526</v>
      </c>
      <c r="T2141" s="122">
        <v>0</v>
      </c>
      <c r="U2141" s="122">
        <v>0</v>
      </c>
      <c r="V2141" s="122">
        <v>894880</v>
      </c>
      <c r="W2141" s="122">
        <f t="shared" si="66"/>
        <v>894880</v>
      </c>
      <c r="X2141" s="122">
        <f t="shared" si="67"/>
        <v>2146361</v>
      </c>
    </row>
    <row r="2142" spans="2:48">
      <c r="B2142" t="s">
        <v>380</v>
      </c>
      <c r="C2142" t="s">
        <v>64</v>
      </c>
      <c r="D2142" t="s">
        <v>137</v>
      </c>
      <c r="E2142" t="s">
        <v>426</v>
      </c>
      <c r="F2142" s="122">
        <v>12</v>
      </c>
      <c r="G2142" s="122">
        <v>1063</v>
      </c>
      <c r="H2142" s="122">
        <v>7826</v>
      </c>
      <c r="I2142" s="122">
        <v>478141</v>
      </c>
      <c r="J2142" s="122">
        <v>177089</v>
      </c>
      <c r="K2142" s="122">
        <v>100</v>
      </c>
      <c r="L2142" s="122">
        <v>71683</v>
      </c>
      <c r="M2142" s="122">
        <v>52689</v>
      </c>
      <c r="N2142" s="122">
        <v>22419</v>
      </c>
      <c r="O2142" s="122">
        <v>8303</v>
      </c>
      <c r="P2142" s="122">
        <v>1053</v>
      </c>
      <c r="Q2142" s="122">
        <v>390</v>
      </c>
      <c r="R2142" s="122">
        <v>71438</v>
      </c>
      <c r="S2142" s="122">
        <v>64943</v>
      </c>
      <c r="T2142" s="122">
        <v>20124</v>
      </c>
      <c r="U2142" s="122">
        <v>7453</v>
      </c>
      <c r="V2142" s="122">
        <v>310869</v>
      </c>
      <c r="W2142" s="122">
        <f t="shared" si="66"/>
        <v>310867</v>
      </c>
      <c r="X2142" s="122">
        <f t="shared" si="67"/>
        <v>664858</v>
      </c>
    </row>
    <row r="2143" spans="2:48">
      <c r="B2143" t="s">
        <v>380</v>
      </c>
      <c r="C2143" t="s">
        <v>64</v>
      </c>
      <c r="D2143" t="s">
        <v>406</v>
      </c>
      <c r="E2143" t="s">
        <v>137</v>
      </c>
      <c r="F2143" s="122">
        <v>2</v>
      </c>
      <c r="G2143" s="122">
        <v>156</v>
      </c>
      <c r="H2143" s="122">
        <v>1000</v>
      </c>
      <c r="I2143" s="122">
        <v>55452</v>
      </c>
      <c r="J2143" s="122">
        <v>50410</v>
      </c>
      <c r="K2143" s="122">
        <v>77</v>
      </c>
      <c r="L2143" s="122">
        <v>15077</v>
      </c>
      <c r="M2143" s="122">
        <v>13706</v>
      </c>
      <c r="N2143" s="122">
        <v>3962</v>
      </c>
      <c r="O2143" s="122">
        <v>1467</v>
      </c>
      <c r="P2143" s="122">
        <v>1242</v>
      </c>
      <c r="Q2143" s="122">
        <v>460</v>
      </c>
      <c r="R2143" s="122">
        <v>9447</v>
      </c>
      <c r="S2143" s="122">
        <v>3499</v>
      </c>
      <c r="T2143" s="122">
        <v>0</v>
      </c>
      <c r="U2143" s="122">
        <v>0</v>
      </c>
      <c r="V2143" s="122">
        <v>69543</v>
      </c>
      <c r="W2143" s="122">
        <f t="shared" si="66"/>
        <v>69542</v>
      </c>
      <c r="X2143" s="122">
        <f t="shared" si="67"/>
        <v>85180</v>
      </c>
    </row>
    <row r="2144" spans="2:48">
      <c r="B2144" t="s">
        <v>380</v>
      </c>
      <c r="C2144" t="s">
        <v>64</v>
      </c>
      <c r="D2144" t="s">
        <v>406</v>
      </c>
      <c r="E2144" t="s">
        <v>406</v>
      </c>
      <c r="F2144" s="122">
        <v>102</v>
      </c>
      <c r="G2144" s="122">
        <v>8997</v>
      </c>
      <c r="H2144" s="122">
        <v>55486</v>
      </c>
      <c r="I2144" s="122">
        <v>3196011</v>
      </c>
      <c r="J2144" s="122">
        <v>2905464</v>
      </c>
      <c r="K2144" s="122">
        <v>73</v>
      </c>
      <c r="L2144" s="122">
        <v>879481</v>
      </c>
      <c r="M2144" s="122">
        <v>781846</v>
      </c>
      <c r="N2144" s="122">
        <v>199864</v>
      </c>
      <c r="O2144" s="122">
        <v>74024</v>
      </c>
      <c r="P2144" s="122">
        <v>66501</v>
      </c>
      <c r="Q2144" s="122">
        <v>24630</v>
      </c>
      <c r="R2144" s="122">
        <v>485385</v>
      </c>
      <c r="S2144" s="122">
        <v>441259</v>
      </c>
      <c r="T2144" s="122">
        <v>186667</v>
      </c>
      <c r="U2144" s="122">
        <v>69136</v>
      </c>
      <c r="V2144" s="122">
        <v>4296359</v>
      </c>
      <c r="W2144" s="122">
        <f t="shared" si="66"/>
        <v>4296359</v>
      </c>
      <c r="X2144" s="122">
        <f t="shared" si="67"/>
        <v>5013909</v>
      </c>
    </row>
    <row r="2145" spans="2:24">
      <c r="B2145" t="s">
        <v>380</v>
      </c>
      <c r="C2145" t="s">
        <v>64</v>
      </c>
      <c r="D2145" t="s">
        <v>427</v>
      </c>
      <c r="E2145" t="s">
        <v>427</v>
      </c>
      <c r="F2145" s="122">
        <v>18</v>
      </c>
      <c r="G2145" s="122">
        <v>1179</v>
      </c>
      <c r="H2145" s="122">
        <v>9728</v>
      </c>
      <c r="I2145" s="122">
        <v>464261</v>
      </c>
      <c r="J2145" s="122">
        <v>422055</v>
      </c>
      <c r="K2145" s="122">
        <v>49</v>
      </c>
      <c r="L2145" s="122">
        <v>57542</v>
      </c>
      <c r="M2145" s="122">
        <v>51420</v>
      </c>
      <c r="N2145" s="122">
        <v>20290</v>
      </c>
      <c r="O2145" s="122">
        <v>7515</v>
      </c>
      <c r="P2145" s="122">
        <v>6318</v>
      </c>
      <c r="Q2145" s="122">
        <v>2340</v>
      </c>
      <c r="R2145" s="122">
        <v>96358</v>
      </c>
      <c r="S2145" s="122">
        <v>87599</v>
      </c>
      <c r="T2145" s="122">
        <v>39353</v>
      </c>
      <c r="U2145" s="122">
        <v>14575</v>
      </c>
      <c r="V2145" s="122">
        <v>585504</v>
      </c>
      <c r="W2145" s="122">
        <f t="shared" si="66"/>
        <v>585504</v>
      </c>
      <c r="X2145" s="122">
        <f t="shared" si="67"/>
        <v>684122</v>
      </c>
    </row>
    <row r="2146" spans="2:24">
      <c r="B2146" t="s">
        <v>380</v>
      </c>
      <c r="C2146" t="s">
        <v>64</v>
      </c>
      <c r="D2146" t="s">
        <v>556</v>
      </c>
      <c r="E2146" t="s">
        <v>556</v>
      </c>
      <c r="F2146" s="122">
        <v>2</v>
      </c>
      <c r="G2146" s="122">
        <v>147</v>
      </c>
      <c r="H2146" s="122">
        <v>1154</v>
      </c>
      <c r="I2146" s="122">
        <v>58705</v>
      </c>
      <c r="J2146" s="122">
        <v>48921</v>
      </c>
      <c r="K2146" s="122">
        <v>50</v>
      </c>
      <c r="L2146" s="122">
        <v>8784</v>
      </c>
      <c r="M2146" s="122">
        <v>5138</v>
      </c>
      <c r="N2146" s="122">
        <v>3137</v>
      </c>
      <c r="O2146" s="122">
        <v>1162</v>
      </c>
      <c r="P2146" s="122">
        <v>702</v>
      </c>
      <c r="Q2146" s="122">
        <v>260</v>
      </c>
      <c r="R2146" s="122">
        <v>9915</v>
      </c>
      <c r="S2146" s="122">
        <v>8262</v>
      </c>
      <c r="T2146" s="122">
        <v>3262</v>
      </c>
      <c r="U2146" s="122">
        <v>1208</v>
      </c>
      <c r="V2146" s="122">
        <v>64951</v>
      </c>
      <c r="W2146" s="122">
        <f t="shared" ref="W2146:W2209" si="68">SUM(ABS(J2146),ABS(M2146),ABS(O2146),ABS(Q2146),ABS(S2146),ABS(U2146))</f>
        <v>64951</v>
      </c>
      <c r="X2146" s="122">
        <f t="shared" ref="X2146:X2209" si="69">SUM(ABS(I2146),ABS(N2146),ABS(P2146),ABS(R2146),ABS(T2146),ABS(L2146))</f>
        <v>84505</v>
      </c>
    </row>
    <row r="2147" spans="2:24">
      <c r="B2147" t="s">
        <v>380</v>
      </c>
      <c r="C2147" t="s">
        <v>64</v>
      </c>
      <c r="D2147" t="s">
        <v>428</v>
      </c>
      <c r="E2147" t="s">
        <v>428</v>
      </c>
      <c r="F2147" s="122">
        <v>4</v>
      </c>
      <c r="G2147" s="122">
        <v>300</v>
      </c>
      <c r="H2147" s="122">
        <v>2556</v>
      </c>
      <c r="I2147" s="122">
        <v>129821</v>
      </c>
      <c r="J2147" s="122">
        <v>118020</v>
      </c>
      <c r="K2147" s="122">
        <v>45</v>
      </c>
      <c r="L2147" s="122">
        <v>21637</v>
      </c>
      <c r="M2147" s="122">
        <v>19670</v>
      </c>
      <c r="N2147" s="122">
        <v>6069</v>
      </c>
      <c r="O2147" s="122">
        <v>2248</v>
      </c>
      <c r="P2147" s="122">
        <v>1404</v>
      </c>
      <c r="Q2147" s="122">
        <v>520</v>
      </c>
      <c r="R2147" s="122">
        <v>29065</v>
      </c>
      <c r="S2147" s="122">
        <v>26423</v>
      </c>
      <c r="T2147" s="122">
        <v>2111</v>
      </c>
      <c r="U2147" s="122">
        <v>782</v>
      </c>
      <c r="V2147" s="122">
        <v>167662</v>
      </c>
      <c r="W2147" s="122">
        <f t="shared" si="68"/>
        <v>167663</v>
      </c>
      <c r="X2147" s="122">
        <f t="shared" si="69"/>
        <v>190107</v>
      </c>
    </row>
    <row r="2148" spans="2:24">
      <c r="B2148" t="s">
        <v>380</v>
      </c>
      <c r="C2148" t="s">
        <v>64</v>
      </c>
      <c r="D2148" t="s">
        <v>431</v>
      </c>
      <c r="E2148" t="s">
        <v>431</v>
      </c>
      <c r="F2148" s="122">
        <v>30</v>
      </c>
      <c r="G2148" s="122">
        <v>2458</v>
      </c>
      <c r="H2148" s="122">
        <v>18460</v>
      </c>
      <c r="I2148" s="122">
        <v>1052084</v>
      </c>
      <c r="J2148" s="122">
        <v>956440</v>
      </c>
      <c r="K2148" s="122">
        <v>47</v>
      </c>
      <c r="L2148" s="122">
        <v>159663</v>
      </c>
      <c r="M2148" s="122">
        <v>129615</v>
      </c>
      <c r="N2148" s="122">
        <v>48128</v>
      </c>
      <c r="O2148" s="122">
        <v>17825</v>
      </c>
      <c r="P2148" s="122">
        <v>9828</v>
      </c>
      <c r="Q2148" s="122">
        <v>3640</v>
      </c>
      <c r="R2148" s="122">
        <v>210531</v>
      </c>
      <c r="S2148" s="122">
        <v>191391</v>
      </c>
      <c r="T2148" s="122">
        <v>55939</v>
      </c>
      <c r="U2148" s="122">
        <v>20718</v>
      </c>
      <c r="V2148" s="122">
        <v>1319630</v>
      </c>
      <c r="W2148" s="122">
        <f t="shared" si="68"/>
        <v>1319629</v>
      </c>
      <c r="X2148" s="122">
        <f t="shared" si="69"/>
        <v>1536173</v>
      </c>
    </row>
    <row r="2149" spans="2:24">
      <c r="B2149" t="s">
        <v>380</v>
      </c>
      <c r="C2149" t="s">
        <v>64</v>
      </c>
      <c r="D2149" t="s">
        <v>426</v>
      </c>
      <c r="E2149" t="s">
        <v>137</v>
      </c>
      <c r="F2149" s="122">
        <v>21</v>
      </c>
      <c r="G2149" s="122">
        <v>1917</v>
      </c>
      <c r="H2149" s="122">
        <v>20614</v>
      </c>
      <c r="I2149" s="122">
        <v>1560215</v>
      </c>
      <c r="J2149" s="122">
        <v>1418377</v>
      </c>
      <c r="K2149" s="122">
        <v>40</v>
      </c>
      <c r="L2149" s="122">
        <v>116532</v>
      </c>
      <c r="M2149" s="122">
        <v>84238</v>
      </c>
      <c r="N2149" s="122">
        <v>42751</v>
      </c>
      <c r="O2149" s="122">
        <v>15834</v>
      </c>
      <c r="P2149" s="122">
        <v>702</v>
      </c>
      <c r="Q2149" s="122">
        <v>260</v>
      </c>
      <c r="R2149" s="122">
        <v>163115</v>
      </c>
      <c r="S2149" s="122">
        <v>60413</v>
      </c>
      <c r="T2149" s="122">
        <v>0</v>
      </c>
      <c r="U2149" s="122">
        <v>0</v>
      </c>
      <c r="V2149" s="122">
        <v>1579122</v>
      </c>
      <c r="W2149" s="122">
        <f t="shared" si="68"/>
        <v>1579122</v>
      </c>
      <c r="X2149" s="122">
        <f t="shared" si="69"/>
        <v>1883315</v>
      </c>
    </row>
    <row r="2150" spans="2:24">
      <c r="B2150" t="s">
        <v>380</v>
      </c>
      <c r="C2150" t="s">
        <v>64</v>
      </c>
      <c r="D2150" t="s">
        <v>426</v>
      </c>
      <c r="E2150" t="s">
        <v>406</v>
      </c>
      <c r="F2150" s="122">
        <v>2</v>
      </c>
      <c r="G2150" s="122">
        <v>171</v>
      </c>
      <c r="H2150" s="122">
        <v>1323</v>
      </c>
      <c r="I2150" s="122">
        <v>78387</v>
      </c>
      <c r="J2150" s="122">
        <v>71261</v>
      </c>
      <c r="K2150" s="122">
        <v>45</v>
      </c>
      <c r="L2150" s="122">
        <v>12709</v>
      </c>
      <c r="M2150" s="122">
        <v>11554</v>
      </c>
      <c r="N2150" s="122">
        <v>2990</v>
      </c>
      <c r="O2150" s="122">
        <v>1107</v>
      </c>
      <c r="P2150" s="122">
        <v>702</v>
      </c>
      <c r="Q2150" s="122">
        <v>260</v>
      </c>
      <c r="R2150" s="122">
        <v>17212</v>
      </c>
      <c r="S2150" s="122">
        <v>15647</v>
      </c>
      <c r="T2150" s="122">
        <v>0</v>
      </c>
      <c r="U2150" s="122">
        <v>0</v>
      </c>
      <c r="V2150" s="122">
        <v>99829</v>
      </c>
      <c r="W2150" s="122">
        <f t="shared" si="68"/>
        <v>99829</v>
      </c>
      <c r="X2150" s="122">
        <f t="shared" si="69"/>
        <v>112000</v>
      </c>
    </row>
    <row r="2151" spans="2:24">
      <c r="B2151" t="s">
        <v>380</v>
      </c>
      <c r="C2151" t="s">
        <v>64</v>
      </c>
      <c r="D2151" t="s">
        <v>426</v>
      </c>
      <c r="E2151" t="s">
        <v>426</v>
      </c>
      <c r="F2151" s="122">
        <v>264</v>
      </c>
      <c r="G2151" s="122">
        <v>19277</v>
      </c>
      <c r="H2151" s="122">
        <v>160504</v>
      </c>
      <c r="I2151" s="122">
        <v>7999305</v>
      </c>
      <c r="J2151" s="122">
        <v>7272095</v>
      </c>
      <c r="K2151" s="122">
        <v>49</v>
      </c>
      <c r="L2151" s="122">
        <v>1097909</v>
      </c>
      <c r="M2151" s="122">
        <v>945409</v>
      </c>
      <c r="N2151" s="122">
        <v>384140</v>
      </c>
      <c r="O2151" s="122">
        <v>142274</v>
      </c>
      <c r="P2151" s="122">
        <v>89964</v>
      </c>
      <c r="Q2151" s="122">
        <v>33320</v>
      </c>
      <c r="R2151" s="122">
        <v>1550646</v>
      </c>
      <c r="S2151" s="122">
        <v>1409678</v>
      </c>
      <c r="T2151" s="122">
        <v>510652</v>
      </c>
      <c r="U2151" s="122">
        <v>189130</v>
      </c>
      <c r="V2151" s="122">
        <v>9991907</v>
      </c>
      <c r="W2151" s="122">
        <f t="shared" si="68"/>
        <v>9991906</v>
      </c>
      <c r="X2151" s="122">
        <f t="shared" si="69"/>
        <v>11632616</v>
      </c>
    </row>
    <row r="2152" spans="2:24">
      <c r="B2152" t="s">
        <v>380</v>
      </c>
      <c r="C2152" t="s">
        <v>64</v>
      </c>
      <c r="D2152" t="s">
        <v>433</v>
      </c>
      <c r="E2152" t="s">
        <v>433</v>
      </c>
      <c r="F2152" s="122">
        <v>1</v>
      </c>
      <c r="G2152" s="122">
        <v>85</v>
      </c>
      <c r="H2152" s="122">
        <v>483</v>
      </c>
      <c r="I2152" s="122">
        <v>28784</v>
      </c>
      <c r="J2152" s="122">
        <v>26167</v>
      </c>
      <c r="K2152" s="122">
        <v>67</v>
      </c>
      <c r="L2152" s="122">
        <v>3561</v>
      </c>
      <c r="M2152" s="122">
        <v>3237</v>
      </c>
      <c r="N2152" s="122">
        <v>1728</v>
      </c>
      <c r="O2152" s="122">
        <v>640</v>
      </c>
      <c r="P2152" s="122">
        <v>351</v>
      </c>
      <c r="Q2152" s="122">
        <v>130</v>
      </c>
      <c r="R2152" s="122">
        <v>4275</v>
      </c>
      <c r="S2152" s="122">
        <v>3886</v>
      </c>
      <c r="T2152" s="122">
        <v>2365</v>
      </c>
      <c r="U2152" s="122">
        <v>876</v>
      </c>
      <c r="V2152" s="122">
        <v>34936</v>
      </c>
      <c r="W2152" s="122">
        <f t="shared" si="68"/>
        <v>34936</v>
      </c>
      <c r="X2152" s="122">
        <f t="shared" si="69"/>
        <v>41064</v>
      </c>
    </row>
    <row r="2153" spans="2:24">
      <c r="B2153" t="s">
        <v>381</v>
      </c>
      <c r="C2153" t="s">
        <v>48</v>
      </c>
      <c r="D2153" t="s">
        <v>137</v>
      </c>
      <c r="E2153" t="s">
        <v>137</v>
      </c>
      <c r="F2153" s="122">
        <v>27</v>
      </c>
      <c r="G2153" s="122">
        <v>2951</v>
      </c>
      <c r="H2153" s="122">
        <v>1622</v>
      </c>
      <c r="I2153" s="122">
        <v>21226</v>
      </c>
      <c r="J2153" s="122">
        <v>7861</v>
      </c>
      <c r="K2153" s="122">
        <v>475</v>
      </c>
      <c r="L2153" s="122">
        <v>3838</v>
      </c>
      <c r="M2153" s="122">
        <v>3489</v>
      </c>
      <c r="N2153" s="122">
        <v>38378</v>
      </c>
      <c r="O2153" s="122">
        <v>14214</v>
      </c>
      <c r="P2153" s="122">
        <v>9828</v>
      </c>
      <c r="Q2153" s="122">
        <v>3640</v>
      </c>
      <c r="R2153" s="122">
        <v>102147</v>
      </c>
      <c r="S2153" s="122">
        <v>37832</v>
      </c>
      <c r="T2153" s="122">
        <v>0</v>
      </c>
      <c r="U2153" s="122">
        <v>0</v>
      </c>
      <c r="V2153" s="122">
        <v>67037</v>
      </c>
      <c r="W2153" s="122">
        <f t="shared" si="68"/>
        <v>67036</v>
      </c>
      <c r="X2153" s="122">
        <f t="shared" si="69"/>
        <v>175417</v>
      </c>
    </row>
    <row r="2154" spans="2:24">
      <c r="B2154" t="s">
        <v>381</v>
      </c>
      <c r="C2154" t="s">
        <v>48</v>
      </c>
      <c r="D2154" t="s">
        <v>407</v>
      </c>
      <c r="E2154" t="s">
        <v>407</v>
      </c>
      <c r="F2154" s="122">
        <v>15</v>
      </c>
      <c r="G2154" s="122">
        <v>1676</v>
      </c>
      <c r="H2154" s="122">
        <v>877</v>
      </c>
      <c r="I2154" s="122">
        <v>-92</v>
      </c>
      <c r="J2154" s="122">
        <v>-83</v>
      </c>
      <c r="K2154" s="122">
        <v>90</v>
      </c>
      <c r="L2154" s="122">
        <v>-668</v>
      </c>
      <c r="M2154" s="122">
        <v>-10</v>
      </c>
      <c r="N2154" s="122">
        <v>20424</v>
      </c>
      <c r="O2154" s="122">
        <v>7565</v>
      </c>
      <c r="P2154" s="122">
        <v>7088</v>
      </c>
      <c r="Q2154" s="122">
        <v>2625</v>
      </c>
      <c r="R2154" s="122">
        <v>71134</v>
      </c>
      <c r="S2154" s="122">
        <v>64668</v>
      </c>
      <c r="T2154" s="122">
        <v>0</v>
      </c>
      <c r="U2154" s="122">
        <v>0</v>
      </c>
      <c r="V2154" s="122">
        <v>74764</v>
      </c>
      <c r="W2154" s="122">
        <f t="shared" si="68"/>
        <v>74951</v>
      </c>
      <c r="X2154" s="122">
        <f t="shared" si="69"/>
        <v>99406</v>
      </c>
    </row>
    <row r="2155" spans="2:24">
      <c r="B2155" t="s">
        <v>381</v>
      </c>
      <c r="C2155" t="s">
        <v>50</v>
      </c>
      <c r="D2155" t="s">
        <v>137</v>
      </c>
      <c r="E2155" t="s">
        <v>137</v>
      </c>
      <c r="F2155" s="122">
        <v>11</v>
      </c>
      <c r="G2155" s="122">
        <v>836</v>
      </c>
      <c r="H2155" s="122">
        <v>915</v>
      </c>
      <c r="I2155" s="122">
        <v>17696</v>
      </c>
      <c r="J2155" s="122">
        <v>6554</v>
      </c>
      <c r="K2155" s="122">
        <v>411</v>
      </c>
      <c r="L2155" s="122">
        <v>4818</v>
      </c>
      <c r="M2155" s="122">
        <v>4380</v>
      </c>
      <c r="N2155" s="122">
        <v>17931</v>
      </c>
      <c r="O2155" s="122">
        <v>6641</v>
      </c>
      <c r="P2155" s="122">
        <v>4212</v>
      </c>
      <c r="Q2155" s="122">
        <v>1560</v>
      </c>
      <c r="R2155" s="122">
        <v>27340</v>
      </c>
      <c r="S2155" s="122">
        <v>10126</v>
      </c>
      <c r="T2155" s="122">
        <v>0</v>
      </c>
      <c r="U2155" s="122">
        <v>0</v>
      </c>
      <c r="V2155" s="122">
        <v>29261</v>
      </c>
      <c r="W2155" s="122">
        <f t="shared" si="68"/>
        <v>29261</v>
      </c>
      <c r="X2155" s="122">
        <f t="shared" si="69"/>
        <v>71997</v>
      </c>
    </row>
    <row r="2156" spans="2:24">
      <c r="B2156" t="s">
        <v>381</v>
      </c>
      <c r="C2156" t="s">
        <v>52</v>
      </c>
      <c r="D2156" t="s">
        <v>405</v>
      </c>
      <c r="E2156" t="s">
        <v>405</v>
      </c>
      <c r="F2156" s="122">
        <v>5</v>
      </c>
      <c r="G2156" s="122">
        <v>642</v>
      </c>
      <c r="H2156" s="122">
        <v>604</v>
      </c>
      <c r="I2156" s="122">
        <v>34105</v>
      </c>
      <c r="J2156" s="122">
        <v>31005</v>
      </c>
      <c r="K2156" s="122">
        <v>91</v>
      </c>
      <c r="L2156" s="122">
        <v>10128</v>
      </c>
      <c r="M2156" s="122">
        <v>9207</v>
      </c>
      <c r="N2156" s="122">
        <v>9745</v>
      </c>
      <c r="O2156" s="122">
        <v>3609</v>
      </c>
      <c r="P2156" s="122">
        <v>2363</v>
      </c>
      <c r="Q2156" s="122">
        <v>875</v>
      </c>
      <c r="R2156" s="122">
        <v>20927</v>
      </c>
      <c r="S2156" s="122">
        <v>19025</v>
      </c>
      <c r="T2156" s="122">
        <v>0</v>
      </c>
      <c r="U2156" s="122">
        <v>0</v>
      </c>
      <c r="V2156" s="122">
        <v>63721</v>
      </c>
      <c r="W2156" s="122">
        <f t="shared" si="68"/>
        <v>63721</v>
      </c>
      <c r="X2156" s="122">
        <f t="shared" si="69"/>
        <v>77268</v>
      </c>
    </row>
    <row r="2157" spans="2:24">
      <c r="B2157" t="s">
        <v>381</v>
      </c>
      <c r="C2157" t="s">
        <v>52</v>
      </c>
      <c r="D2157" t="s">
        <v>137</v>
      </c>
      <c r="E2157" t="s">
        <v>137</v>
      </c>
      <c r="F2157" s="122">
        <v>2</v>
      </c>
      <c r="G2157" s="122">
        <v>191</v>
      </c>
      <c r="H2157" s="122">
        <v>217</v>
      </c>
      <c r="I2157" s="122">
        <v>5783</v>
      </c>
      <c r="J2157" s="122">
        <v>2142</v>
      </c>
      <c r="K2157" s="122">
        <v>393</v>
      </c>
      <c r="L2157" s="122">
        <v>2046</v>
      </c>
      <c r="M2157" s="122">
        <v>1860</v>
      </c>
      <c r="N2157" s="122">
        <v>4489</v>
      </c>
      <c r="O2157" s="122">
        <v>1662</v>
      </c>
      <c r="P2157" s="122">
        <v>1053</v>
      </c>
      <c r="Q2157" s="122">
        <v>390</v>
      </c>
      <c r="R2157" s="122">
        <v>7094</v>
      </c>
      <c r="S2157" s="122">
        <v>2627</v>
      </c>
      <c r="T2157" s="122">
        <v>0</v>
      </c>
      <c r="U2157" s="122">
        <v>0</v>
      </c>
      <c r="V2157" s="122">
        <v>8682</v>
      </c>
      <c r="W2157" s="122">
        <f t="shared" si="68"/>
        <v>8681</v>
      </c>
      <c r="X2157" s="122">
        <f t="shared" si="69"/>
        <v>20465</v>
      </c>
    </row>
    <row r="2158" spans="2:24">
      <c r="B2158" t="s">
        <v>381</v>
      </c>
      <c r="C2158" t="s">
        <v>52</v>
      </c>
      <c r="D2158" t="s">
        <v>406</v>
      </c>
      <c r="E2158" t="s">
        <v>406</v>
      </c>
      <c r="F2158" s="122">
        <v>5</v>
      </c>
      <c r="G2158" s="122">
        <v>679</v>
      </c>
      <c r="H2158" s="122">
        <v>612</v>
      </c>
      <c r="I2158" s="122">
        <v>33830</v>
      </c>
      <c r="J2158" s="122">
        <v>30755</v>
      </c>
      <c r="K2158" s="122">
        <v>89</v>
      </c>
      <c r="L2158" s="122">
        <v>8739</v>
      </c>
      <c r="M2158" s="122">
        <v>7945</v>
      </c>
      <c r="N2158" s="122">
        <v>12660</v>
      </c>
      <c r="O2158" s="122">
        <v>4689</v>
      </c>
      <c r="P2158" s="122">
        <v>3105</v>
      </c>
      <c r="Q2158" s="122">
        <v>1150</v>
      </c>
      <c r="R2158" s="122">
        <v>24599</v>
      </c>
      <c r="S2158" s="122">
        <v>22362</v>
      </c>
      <c r="T2158" s="122">
        <v>0</v>
      </c>
      <c r="U2158" s="122">
        <v>0</v>
      </c>
      <c r="V2158" s="122">
        <v>66901</v>
      </c>
      <c r="W2158" s="122">
        <f t="shared" si="68"/>
        <v>66901</v>
      </c>
      <c r="X2158" s="122">
        <f t="shared" si="69"/>
        <v>82933</v>
      </c>
    </row>
    <row r="2159" spans="2:24">
      <c r="B2159" t="s">
        <v>381</v>
      </c>
      <c r="C2159" t="s">
        <v>54</v>
      </c>
      <c r="D2159" t="s">
        <v>405</v>
      </c>
      <c r="E2159" t="s">
        <v>405</v>
      </c>
      <c r="F2159" s="122">
        <v>8</v>
      </c>
      <c r="G2159" s="122">
        <v>912</v>
      </c>
      <c r="H2159" s="122">
        <v>1145</v>
      </c>
      <c r="I2159" s="122">
        <v>57154</v>
      </c>
      <c r="J2159" s="122">
        <v>51958</v>
      </c>
      <c r="K2159" s="122">
        <v>84</v>
      </c>
      <c r="L2159" s="122">
        <v>15542</v>
      </c>
      <c r="M2159" s="122">
        <v>14129</v>
      </c>
      <c r="N2159" s="122">
        <v>18595</v>
      </c>
      <c r="O2159" s="122">
        <v>6887</v>
      </c>
      <c r="P2159" s="122">
        <v>3659</v>
      </c>
      <c r="Q2159" s="122">
        <v>1355</v>
      </c>
      <c r="R2159" s="122">
        <v>35222</v>
      </c>
      <c r="S2159" s="122">
        <v>32020</v>
      </c>
      <c r="T2159" s="122">
        <v>0</v>
      </c>
      <c r="U2159" s="122">
        <v>0</v>
      </c>
      <c r="V2159" s="122">
        <v>106349</v>
      </c>
      <c r="W2159" s="122">
        <f t="shared" si="68"/>
        <v>106349</v>
      </c>
      <c r="X2159" s="122">
        <f t="shared" si="69"/>
        <v>130172</v>
      </c>
    </row>
    <row r="2160" spans="2:24">
      <c r="B2160" t="s">
        <v>381</v>
      </c>
      <c r="C2160" t="s">
        <v>54</v>
      </c>
      <c r="D2160" t="s">
        <v>406</v>
      </c>
      <c r="E2160" t="s">
        <v>406</v>
      </c>
      <c r="F2160" s="122">
        <v>56</v>
      </c>
      <c r="G2160" s="122">
        <v>6676</v>
      </c>
      <c r="H2160" s="122">
        <v>7949</v>
      </c>
      <c r="I2160" s="122">
        <v>433224</v>
      </c>
      <c r="J2160" s="122">
        <v>393840</v>
      </c>
      <c r="K2160" s="122">
        <v>90</v>
      </c>
      <c r="L2160" s="122">
        <v>110225</v>
      </c>
      <c r="M2160" s="122">
        <v>97878</v>
      </c>
      <c r="N2160" s="122">
        <v>123501</v>
      </c>
      <c r="O2160" s="122">
        <v>45741</v>
      </c>
      <c r="P2160" s="122">
        <v>34898</v>
      </c>
      <c r="Q2160" s="122">
        <v>12925</v>
      </c>
      <c r="R2160" s="122">
        <v>252627</v>
      </c>
      <c r="S2160" s="122">
        <v>229661</v>
      </c>
      <c r="T2160" s="122">
        <v>11388</v>
      </c>
      <c r="U2160" s="122">
        <v>4218</v>
      </c>
      <c r="V2160" s="122">
        <v>784264</v>
      </c>
      <c r="W2160" s="122">
        <f t="shared" si="68"/>
        <v>784263</v>
      </c>
      <c r="X2160" s="122">
        <f t="shared" si="69"/>
        <v>965863</v>
      </c>
    </row>
    <row r="2161" spans="2:24">
      <c r="B2161" t="s">
        <v>381</v>
      </c>
      <c r="C2161" t="s">
        <v>54</v>
      </c>
      <c r="D2161" t="s">
        <v>407</v>
      </c>
      <c r="E2161" t="s">
        <v>407</v>
      </c>
      <c r="F2161" s="122">
        <v>43</v>
      </c>
      <c r="G2161" s="122">
        <v>4684</v>
      </c>
      <c r="H2161" s="122">
        <v>6197</v>
      </c>
      <c r="I2161" s="122">
        <v>321728</v>
      </c>
      <c r="J2161" s="122">
        <v>292480</v>
      </c>
      <c r="K2161" s="122">
        <v>81</v>
      </c>
      <c r="L2161" s="122">
        <v>47055</v>
      </c>
      <c r="M2161" s="122">
        <v>96281</v>
      </c>
      <c r="N2161" s="122">
        <v>76823</v>
      </c>
      <c r="O2161" s="122">
        <v>28453</v>
      </c>
      <c r="P2161" s="122">
        <v>21722</v>
      </c>
      <c r="Q2161" s="122">
        <v>8045</v>
      </c>
      <c r="R2161" s="122">
        <v>169023</v>
      </c>
      <c r="S2161" s="122">
        <v>153657</v>
      </c>
      <c r="T2161" s="122">
        <v>42852</v>
      </c>
      <c r="U2161" s="122">
        <v>15871</v>
      </c>
      <c r="V2161" s="122">
        <v>594787</v>
      </c>
      <c r="W2161" s="122">
        <f t="shared" si="68"/>
        <v>594787</v>
      </c>
      <c r="X2161" s="122">
        <f t="shared" si="69"/>
        <v>679203</v>
      </c>
    </row>
    <row r="2162" spans="2:24">
      <c r="B2162" t="s">
        <v>381</v>
      </c>
      <c r="C2162" t="s">
        <v>56</v>
      </c>
      <c r="D2162" t="s">
        <v>405</v>
      </c>
      <c r="E2162" t="s">
        <v>405</v>
      </c>
      <c r="F2162" s="122">
        <v>125</v>
      </c>
      <c r="G2162" s="122">
        <v>13673</v>
      </c>
      <c r="H2162" s="122">
        <v>22330</v>
      </c>
      <c r="I2162" s="122">
        <v>1089342</v>
      </c>
      <c r="J2162" s="122">
        <v>990311</v>
      </c>
      <c r="K2162" s="122">
        <v>82</v>
      </c>
      <c r="L2162" s="122">
        <v>336913</v>
      </c>
      <c r="M2162" s="122">
        <v>303172</v>
      </c>
      <c r="N2162" s="122">
        <v>273765</v>
      </c>
      <c r="O2162" s="122">
        <v>101394</v>
      </c>
      <c r="P2162" s="122">
        <v>58604</v>
      </c>
      <c r="Q2162" s="122">
        <v>21705</v>
      </c>
      <c r="R2162" s="122">
        <v>625690</v>
      </c>
      <c r="S2162" s="122">
        <v>568809</v>
      </c>
      <c r="T2162" s="122">
        <v>40959</v>
      </c>
      <c r="U2162" s="122">
        <v>15170</v>
      </c>
      <c r="V2162" s="122">
        <v>2000561</v>
      </c>
      <c r="W2162" s="122">
        <f t="shared" si="68"/>
        <v>2000561</v>
      </c>
      <c r="X2162" s="122">
        <f t="shared" si="69"/>
        <v>2425273</v>
      </c>
    </row>
    <row r="2163" spans="2:24">
      <c r="B2163" t="s">
        <v>381</v>
      </c>
      <c r="C2163" t="s">
        <v>56</v>
      </c>
      <c r="D2163" t="s">
        <v>137</v>
      </c>
      <c r="E2163" t="s">
        <v>137</v>
      </c>
      <c r="F2163" s="122">
        <v>15</v>
      </c>
      <c r="G2163" s="122">
        <v>1674</v>
      </c>
      <c r="H2163" s="122">
        <v>3124</v>
      </c>
      <c r="I2163" s="122">
        <v>182637</v>
      </c>
      <c r="J2163" s="122">
        <v>67643</v>
      </c>
      <c r="K2163" s="122">
        <v>100</v>
      </c>
      <c r="L2163" s="122">
        <v>29527</v>
      </c>
      <c r="M2163" s="122">
        <v>22091</v>
      </c>
      <c r="N2163" s="122">
        <v>36994</v>
      </c>
      <c r="O2163" s="122">
        <v>13702</v>
      </c>
      <c r="P2163" s="122">
        <v>0</v>
      </c>
      <c r="Q2163" s="122">
        <v>0</v>
      </c>
      <c r="R2163" s="122">
        <v>98399</v>
      </c>
      <c r="S2163" s="122">
        <v>36444</v>
      </c>
      <c r="T2163" s="122">
        <v>0</v>
      </c>
      <c r="U2163" s="122">
        <v>0</v>
      </c>
      <c r="V2163" s="122">
        <v>139880</v>
      </c>
      <c r="W2163" s="122">
        <f t="shared" si="68"/>
        <v>139880</v>
      </c>
      <c r="X2163" s="122">
        <f t="shared" si="69"/>
        <v>347557</v>
      </c>
    </row>
    <row r="2164" spans="2:24">
      <c r="B2164" t="s">
        <v>381</v>
      </c>
      <c r="C2164" t="s">
        <v>56</v>
      </c>
      <c r="D2164" t="s">
        <v>137</v>
      </c>
      <c r="E2164" t="s">
        <v>406</v>
      </c>
      <c r="F2164" s="122">
        <v>1</v>
      </c>
      <c r="G2164" s="122">
        <v>74</v>
      </c>
      <c r="H2164" s="122">
        <v>215</v>
      </c>
      <c r="I2164" s="122">
        <v>9632</v>
      </c>
      <c r="J2164" s="122">
        <v>3567</v>
      </c>
      <c r="K2164" s="122">
        <v>100</v>
      </c>
      <c r="L2164" s="122">
        <v>2308</v>
      </c>
      <c r="M2164" s="122">
        <v>2099</v>
      </c>
      <c r="N2164" s="122">
        <v>1415</v>
      </c>
      <c r="O2164" s="122">
        <v>524</v>
      </c>
      <c r="P2164" s="122">
        <v>0</v>
      </c>
      <c r="Q2164" s="122">
        <v>0</v>
      </c>
      <c r="R2164" s="122">
        <v>2659</v>
      </c>
      <c r="S2164" s="122">
        <v>2417</v>
      </c>
      <c r="T2164" s="122">
        <v>0</v>
      </c>
      <c r="U2164" s="122">
        <v>0</v>
      </c>
      <c r="V2164" s="122">
        <v>8607</v>
      </c>
      <c r="W2164" s="122">
        <f t="shared" si="68"/>
        <v>8607</v>
      </c>
      <c r="X2164" s="122">
        <f t="shared" si="69"/>
        <v>16014</v>
      </c>
    </row>
    <row r="2165" spans="2:24">
      <c r="B2165" t="s">
        <v>381</v>
      </c>
      <c r="C2165" t="s">
        <v>56</v>
      </c>
      <c r="D2165" t="s">
        <v>406</v>
      </c>
      <c r="E2165" t="s">
        <v>137</v>
      </c>
      <c r="F2165" s="122">
        <v>19</v>
      </c>
      <c r="G2165" s="122">
        <v>2006</v>
      </c>
      <c r="H2165" s="122">
        <v>3646</v>
      </c>
      <c r="I2165" s="122">
        <v>174351</v>
      </c>
      <c r="J2165" s="122">
        <v>158501</v>
      </c>
      <c r="K2165" s="122">
        <v>84</v>
      </c>
      <c r="L2165" s="122">
        <v>48237</v>
      </c>
      <c r="M2165" s="122">
        <v>43851</v>
      </c>
      <c r="N2165" s="122">
        <v>48716</v>
      </c>
      <c r="O2165" s="122">
        <v>18043</v>
      </c>
      <c r="P2165" s="122">
        <v>12150</v>
      </c>
      <c r="Q2165" s="122">
        <v>4500</v>
      </c>
      <c r="R2165" s="122">
        <v>100654</v>
      </c>
      <c r="S2165" s="122">
        <v>37279</v>
      </c>
      <c r="T2165" s="122">
        <v>0</v>
      </c>
      <c r="U2165" s="122">
        <v>0</v>
      </c>
      <c r="V2165" s="122">
        <v>262175</v>
      </c>
      <c r="W2165" s="122">
        <f t="shared" si="68"/>
        <v>262174</v>
      </c>
      <c r="X2165" s="122">
        <f t="shared" si="69"/>
        <v>384108</v>
      </c>
    </row>
    <row r="2166" spans="2:24">
      <c r="B2166" t="s">
        <v>381</v>
      </c>
      <c r="C2166" t="s">
        <v>56</v>
      </c>
      <c r="D2166" t="s">
        <v>406</v>
      </c>
      <c r="E2166" t="s">
        <v>406</v>
      </c>
      <c r="F2166" s="122">
        <v>1404</v>
      </c>
      <c r="G2166" s="122">
        <v>150363</v>
      </c>
      <c r="H2166" s="122">
        <v>271242</v>
      </c>
      <c r="I2166" s="122">
        <v>13385503</v>
      </c>
      <c r="J2166" s="122">
        <v>12168639</v>
      </c>
      <c r="K2166" s="122">
        <v>85</v>
      </c>
      <c r="L2166" s="122">
        <v>3486640</v>
      </c>
      <c r="M2166" s="122">
        <v>3108396</v>
      </c>
      <c r="N2166" s="122">
        <v>3109506</v>
      </c>
      <c r="O2166" s="122">
        <v>1151669</v>
      </c>
      <c r="P2166" s="122">
        <v>880815</v>
      </c>
      <c r="Q2166" s="122">
        <v>326228</v>
      </c>
      <c r="R2166" s="122">
        <v>6157221</v>
      </c>
      <c r="S2166" s="122">
        <v>5597474</v>
      </c>
      <c r="T2166" s="122">
        <v>2216349</v>
      </c>
      <c r="U2166" s="122">
        <v>820870</v>
      </c>
      <c r="V2166" s="122">
        <v>23173275</v>
      </c>
      <c r="W2166" s="122">
        <f t="shared" si="68"/>
        <v>23173276</v>
      </c>
      <c r="X2166" s="122">
        <f t="shared" si="69"/>
        <v>29236034</v>
      </c>
    </row>
    <row r="2167" spans="2:24">
      <c r="B2167" t="s">
        <v>381</v>
      </c>
      <c r="C2167" t="s">
        <v>56</v>
      </c>
      <c r="D2167" t="s">
        <v>406</v>
      </c>
      <c r="E2167" t="s">
        <v>427</v>
      </c>
      <c r="F2167" s="122">
        <v>1</v>
      </c>
      <c r="G2167" s="122">
        <v>129</v>
      </c>
      <c r="H2167" s="122">
        <v>206</v>
      </c>
      <c r="I2167" s="122">
        <v>13093</v>
      </c>
      <c r="J2167" s="122">
        <v>11903</v>
      </c>
      <c r="K2167" s="122">
        <v>79</v>
      </c>
      <c r="L2167" s="122">
        <v>3637</v>
      </c>
      <c r="M2167" s="122">
        <v>3306</v>
      </c>
      <c r="N2167" s="122">
        <v>2880</v>
      </c>
      <c r="O2167" s="122">
        <v>1067</v>
      </c>
      <c r="P2167" s="122">
        <v>621</v>
      </c>
      <c r="Q2167" s="122">
        <v>230</v>
      </c>
      <c r="R2167" s="122">
        <v>6368</v>
      </c>
      <c r="S2167" s="122">
        <v>5789</v>
      </c>
      <c r="T2167" s="122">
        <v>0</v>
      </c>
      <c r="U2167" s="122">
        <v>0</v>
      </c>
      <c r="V2167" s="122">
        <v>22294</v>
      </c>
      <c r="W2167" s="122">
        <f t="shared" si="68"/>
        <v>22295</v>
      </c>
      <c r="X2167" s="122">
        <f t="shared" si="69"/>
        <v>26599</v>
      </c>
    </row>
    <row r="2168" spans="2:24">
      <c r="B2168" t="s">
        <v>381</v>
      </c>
      <c r="C2168" t="s">
        <v>56</v>
      </c>
      <c r="D2168" t="s">
        <v>406</v>
      </c>
      <c r="E2168" t="s">
        <v>426</v>
      </c>
      <c r="F2168" s="122">
        <v>2</v>
      </c>
      <c r="G2168" s="122">
        <v>192</v>
      </c>
      <c r="H2168" s="122">
        <v>405</v>
      </c>
      <c r="I2168" s="122">
        <v>18653</v>
      </c>
      <c r="J2168" s="122">
        <v>16958</v>
      </c>
      <c r="K2168" s="122">
        <v>90</v>
      </c>
      <c r="L2168" s="122">
        <v>4906</v>
      </c>
      <c r="M2168" s="122">
        <v>4460</v>
      </c>
      <c r="N2168" s="122">
        <v>4311</v>
      </c>
      <c r="O2168" s="122">
        <v>1597</v>
      </c>
      <c r="P2168" s="122">
        <v>1635</v>
      </c>
      <c r="Q2168" s="122">
        <v>606</v>
      </c>
      <c r="R2168" s="122">
        <v>9298</v>
      </c>
      <c r="S2168" s="122">
        <v>8453</v>
      </c>
      <c r="T2168" s="122">
        <v>0</v>
      </c>
      <c r="U2168" s="122">
        <v>0</v>
      </c>
      <c r="V2168" s="122">
        <v>32073</v>
      </c>
      <c r="W2168" s="122">
        <f t="shared" si="68"/>
        <v>32074</v>
      </c>
      <c r="X2168" s="122">
        <f t="shared" si="69"/>
        <v>38803</v>
      </c>
    </row>
    <row r="2169" spans="2:24">
      <c r="B2169" t="s">
        <v>381</v>
      </c>
      <c r="C2169" t="s">
        <v>56</v>
      </c>
      <c r="D2169" t="s">
        <v>407</v>
      </c>
      <c r="E2169" t="s">
        <v>407</v>
      </c>
      <c r="F2169" s="122">
        <v>185</v>
      </c>
      <c r="G2169" s="122">
        <v>18082</v>
      </c>
      <c r="H2169" s="122">
        <v>33915</v>
      </c>
      <c r="I2169" s="122">
        <v>1520845</v>
      </c>
      <c r="J2169" s="122">
        <v>1382586</v>
      </c>
      <c r="K2169" s="122">
        <v>82</v>
      </c>
      <c r="L2169" s="122">
        <v>409170</v>
      </c>
      <c r="M2169" s="122">
        <v>361428</v>
      </c>
      <c r="N2169" s="122">
        <v>345975</v>
      </c>
      <c r="O2169" s="122">
        <v>128139</v>
      </c>
      <c r="P2169" s="122">
        <v>92381</v>
      </c>
      <c r="Q2169" s="122">
        <v>34215</v>
      </c>
      <c r="R2169" s="122">
        <v>888896</v>
      </c>
      <c r="S2169" s="122">
        <v>808087</v>
      </c>
      <c r="T2169" s="122">
        <v>68261</v>
      </c>
      <c r="U2169" s="122">
        <v>25282</v>
      </c>
      <c r="V2169" s="122">
        <v>2739737</v>
      </c>
      <c r="W2169" s="122">
        <f t="shared" si="68"/>
        <v>2739737</v>
      </c>
      <c r="X2169" s="122">
        <f t="shared" si="69"/>
        <v>3325528</v>
      </c>
    </row>
    <row r="2170" spans="2:24">
      <c r="B2170" t="s">
        <v>381</v>
      </c>
      <c r="C2170" t="s">
        <v>56</v>
      </c>
      <c r="D2170" t="s">
        <v>431</v>
      </c>
      <c r="E2170" t="s">
        <v>431</v>
      </c>
      <c r="F2170" s="122">
        <v>1</v>
      </c>
      <c r="G2170" s="122">
        <v>108</v>
      </c>
      <c r="H2170" s="122">
        <v>181</v>
      </c>
      <c r="I2170" s="122">
        <v>11879</v>
      </c>
      <c r="J2170" s="122">
        <v>10799</v>
      </c>
      <c r="K2170" s="122">
        <v>77</v>
      </c>
      <c r="L2170" s="122">
        <v>0</v>
      </c>
      <c r="M2170" s="122">
        <v>0</v>
      </c>
      <c r="N2170" s="122">
        <v>1417</v>
      </c>
      <c r="O2170" s="122">
        <v>525</v>
      </c>
      <c r="P2170" s="122">
        <v>351</v>
      </c>
      <c r="Q2170" s="122">
        <v>130</v>
      </c>
      <c r="R2170" s="122">
        <v>5791</v>
      </c>
      <c r="S2170" s="122">
        <v>5265</v>
      </c>
      <c r="T2170" s="122">
        <v>0</v>
      </c>
      <c r="U2170" s="122">
        <v>0</v>
      </c>
      <c r="V2170" s="122">
        <v>16718</v>
      </c>
      <c r="W2170" s="122">
        <f t="shared" si="68"/>
        <v>16719</v>
      </c>
      <c r="X2170" s="122">
        <f t="shared" si="69"/>
        <v>19438</v>
      </c>
    </row>
    <row r="2171" spans="2:24">
      <c r="B2171" t="s">
        <v>381</v>
      </c>
      <c r="C2171" t="s">
        <v>56</v>
      </c>
      <c r="D2171" t="s">
        <v>426</v>
      </c>
      <c r="E2171" t="s">
        <v>426</v>
      </c>
      <c r="F2171" s="122">
        <v>1</v>
      </c>
      <c r="G2171" s="122">
        <v>112</v>
      </c>
      <c r="H2171" s="122">
        <v>209</v>
      </c>
      <c r="I2171" s="122">
        <v>11695</v>
      </c>
      <c r="J2171" s="122">
        <v>10631</v>
      </c>
      <c r="K2171" s="122">
        <v>65</v>
      </c>
      <c r="L2171" s="122">
        <v>1299</v>
      </c>
      <c r="M2171" s="122">
        <v>1181</v>
      </c>
      <c r="N2171" s="122">
        <v>2525</v>
      </c>
      <c r="O2171" s="122">
        <v>935</v>
      </c>
      <c r="P2171" s="122">
        <v>702</v>
      </c>
      <c r="Q2171" s="122">
        <v>260</v>
      </c>
      <c r="R2171" s="122">
        <v>4664</v>
      </c>
      <c r="S2171" s="122">
        <v>4240</v>
      </c>
      <c r="T2171" s="122">
        <v>2578</v>
      </c>
      <c r="U2171" s="122">
        <v>955</v>
      </c>
      <c r="V2171" s="122">
        <v>18203</v>
      </c>
      <c r="W2171" s="122">
        <f t="shared" si="68"/>
        <v>18202</v>
      </c>
      <c r="X2171" s="122">
        <f t="shared" si="69"/>
        <v>23463</v>
      </c>
    </row>
    <row r="2172" spans="2:24">
      <c r="B2172" t="s">
        <v>381</v>
      </c>
      <c r="C2172" t="s">
        <v>58</v>
      </c>
      <c r="D2172" t="s">
        <v>405</v>
      </c>
      <c r="E2172" t="s">
        <v>555</v>
      </c>
      <c r="F2172" s="122">
        <v>1</v>
      </c>
      <c r="G2172" s="122">
        <v>122</v>
      </c>
      <c r="H2172" s="122">
        <v>249</v>
      </c>
      <c r="I2172" s="122">
        <v>14466</v>
      </c>
      <c r="J2172" s="122">
        <v>13151</v>
      </c>
      <c r="K2172" s="122">
        <v>78</v>
      </c>
      <c r="L2172" s="122">
        <v>6305</v>
      </c>
      <c r="M2172" s="122">
        <v>5732</v>
      </c>
      <c r="N2172" s="122">
        <v>2563</v>
      </c>
      <c r="O2172" s="122">
        <v>949</v>
      </c>
      <c r="P2172" s="122">
        <v>473</v>
      </c>
      <c r="Q2172" s="122">
        <v>175</v>
      </c>
      <c r="R2172" s="122">
        <v>3773</v>
      </c>
      <c r="S2172" s="122">
        <v>3430</v>
      </c>
      <c r="T2172" s="122">
        <v>2836</v>
      </c>
      <c r="U2172" s="122">
        <v>1050</v>
      </c>
      <c r="V2172" s="122">
        <v>24487</v>
      </c>
      <c r="W2172" s="122">
        <f t="shared" si="68"/>
        <v>24487</v>
      </c>
      <c r="X2172" s="122">
        <f t="shared" si="69"/>
        <v>30416</v>
      </c>
    </row>
    <row r="2173" spans="2:24">
      <c r="B2173" t="s">
        <v>381</v>
      </c>
      <c r="C2173" t="s">
        <v>58</v>
      </c>
      <c r="D2173" t="s">
        <v>405</v>
      </c>
      <c r="E2173" t="s">
        <v>405</v>
      </c>
      <c r="F2173" s="122">
        <v>9</v>
      </c>
      <c r="G2173" s="122">
        <v>800</v>
      </c>
      <c r="H2173" s="122">
        <v>2339</v>
      </c>
      <c r="I2173" s="122">
        <v>106559</v>
      </c>
      <c r="J2173" s="122">
        <v>96871</v>
      </c>
      <c r="K2173" s="122">
        <v>75</v>
      </c>
      <c r="L2173" s="122">
        <v>32075</v>
      </c>
      <c r="M2173" s="122">
        <v>28802</v>
      </c>
      <c r="N2173" s="122">
        <v>16961</v>
      </c>
      <c r="O2173" s="122">
        <v>6282</v>
      </c>
      <c r="P2173" s="122">
        <v>4712</v>
      </c>
      <c r="Q2173" s="122">
        <v>1745</v>
      </c>
      <c r="R2173" s="122">
        <v>43955</v>
      </c>
      <c r="S2173" s="122">
        <v>39959</v>
      </c>
      <c r="T2173" s="122">
        <v>2544</v>
      </c>
      <c r="U2173" s="122">
        <v>942</v>
      </c>
      <c r="V2173" s="122">
        <v>174602</v>
      </c>
      <c r="W2173" s="122">
        <f t="shared" si="68"/>
        <v>174601</v>
      </c>
      <c r="X2173" s="122">
        <f t="shared" si="69"/>
        <v>206806</v>
      </c>
    </row>
    <row r="2174" spans="2:24">
      <c r="B2174" t="s">
        <v>381</v>
      </c>
      <c r="C2174" t="s">
        <v>58</v>
      </c>
      <c r="D2174" t="s">
        <v>137</v>
      </c>
      <c r="E2174" t="s">
        <v>137</v>
      </c>
      <c r="F2174" s="122">
        <v>117</v>
      </c>
      <c r="G2174" s="122">
        <v>10812</v>
      </c>
      <c r="H2174" s="122">
        <v>31568</v>
      </c>
      <c r="I2174" s="122">
        <v>1576715</v>
      </c>
      <c r="J2174" s="122">
        <v>583968</v>
      </c>
      <c r="K2174" s="122">
        <v>100</v>
      </c>
      <c r="L2174" s="122">
        <v>286796</v>
      </c>
      <c r="M2174" s="122">
        <v>223908</v>
      </c>
      <c r="N2174" s="122">
        <v>240429</v>
      </c>
      <c r="O2174" s="122">
        <v>89048</v>
      </c>
      <c r="P2174" s="122">
        <v>1301</v>
      </c>
      <c r="Q2174" s="122">
        <v>482</v>
      </c>
      <c r="R2174" s="122">
        <v>806109</v>
      </c>
      <c r="S2174" s="122">
        <v>298559</v>
      </c>
      <c r="T2174" s="122">
        <v>0</v>
      </c>
      <c r="U2174" s="122">
        <v>0</v>
      </c>
      <c r="V2174" s="122">
        <v>1195965</v>
      </c>
      <c r="W2174" s="122">
        <f t="shared" si="68"/>
        <v>1195965</v>
      </c>
      <c r="X2174" s="122">
        <f t="shared" si="69"/>
        <v>2911350</v>
      </c>
    </row>
    <row r="2175" spans="2:24">
      <c r="B2175" t="s">
        <v>381</v>
      </c>
      <c r="C2175" t="s">
        <v>58</v>
      </c>
      <c r="D2175" t="s">
        <v>406</v>
      </c>
      <c r="E2175" t="s">
        <v>137</v>
      </c>
      <c r="F2175" s="122">
        <v>4</v>
      </c>
      <c r="G2175" s="122">
        <v>419</v>
      </c>
      <c r="H2175" s="122">
        <v>991</v>
      </c>
      <c r="I2175" s="122">
        <v>47773</v>
      </c>
      <c r="J2175" s="122">
        <v>43430</v>
      </c>
      <c r="K2175" s="122">
        <v>82</v>
      </c>
      <c r="L2175" s="122">
        <v>9622</v>
      </c>
      <c r="M2175" s="122">
        <v>8747</v>
      </c>
      <c r="N2175" s="122">
        <v>8874</v>
      </c>
      <c r="O2175" s="122">
        <v>3287</v>
      </c>
      <c r="P2175" s="122">
        <v>2484</v>
      </c>
      <c r="Q2175" s="122">
        <v>920</v>
      </c>
      <c r="R2175" s="122">
        <v>34008</v>
      </c>
      <c r="S2175" s="122">
        <v>12595</v>
      </c>
      <c r="T2175" s="122">
        <v>0</v>
      </c>
      <c r="U2175" s="122">
        <v>0</v>
      </c>
      <c r="V2175" s="122">
        <v>68979</v>
      </c>
      <c r="W2175" s="122">
        <f t="shared" si="68"/>
        <v>68979</v>
      </c>
      <c r="X2175" s="122">
        <f t="shared" si="69"/>
        <v>102761</v>
      </c>
    </row>
    <row r="2176" spans="2:24">
      <c r="B2176" t="s">
        <v>381</v>
      </c>
      <c r="C2176" t="s">
        <v>58</v>
      </c>
      <c r="D2176" t="s">
        <v>406</v>
      </c>
      <c r="E2176" t="s">
        <v>406</v>
      </c>
      <c r="F2176" s="122">
        <v>398</v>
      </c>
      <c r="G2176" s="122">
        <v>36473</v>
      </c>
      <c r="H2176" s="122">
        <v>100943</v>
      </c>
      <c r="I2176" s="122">
        <v>4851780</v>
      </c>
      <c r="J2176" s="122">
        <v>4410709</v>
      </c>
      <c r="K2176" s="122">
        <v>82</v>
      </c>
      <c r="L2176" s="122">
        <v>1130301</v>
      </c>
      <c r="M2176" s="122">
        <v>1012409</v>
      </c>
      <c r="N2176" s="122">
        <v>772002</v>
      </c>
      <c r="O2176" s="122">
        <v>285927</v>
      </c>
      <c r="P2176" s="122">
        <v>252626</v>
      </c>
      <c r="Q2176" s="122">
        <v>93565</v>
      </c>
      <c r="R2176" s="122">
        <v>1654834</v>
      </c>
      <c r="S2176" s="122">
        <v>1504394</v>
      </c>
      <c r="T2176" s="122">
        <v>689943</v>
      </c>
      <c r="U2176" s="122">
        <v>255534</v>
      </c>
      <c r="V2176" s="122">
        <v>7562538</v>
      </c>
      <c r="W2176" s="122">
        <f t="shared" si="68"/>
        <v>7562538</v>
      </c>
      <c r="X2176" s="122">
        <f t="shared" si="69"/>
        <v>9351486</v>
      </c>
    </row>
    <row r="2177" spans="2:24">
      <c r="B2177" t="s">
        <v>381</v>
      </c>
      <c r="C2177" t="s">
        <v>58</v>
      </c>
      <c r="D2177" t="s">
        <v>406</v>
      </c>
      <c r="E2177" t="s">
        <v>431</v>
      </c>
      <c r="F2177" s="122">
        <v>1</v>
      </c>
      <c r="G2177" s="122">
        <v>80</v>
      </c>
      <c r="H2177" s="122">
        <v>240</v>
      </c>
      <c r="I2177" s="122">
        <v>9833</v>
      </c>
      <c r="J2177" s="122">
        <v>8939</v>
      </c>
      <c r="K2177" s="122">
        <v>84</v>
      </c>
      <c r="L2177" s="122">
        <v>1928</v>
      </c>
      <c r="M2177" s="122">
        <v>1752</v>
      </c>
      <c r="N2177" s="122">
        <v>975</v>
      </c>
      <c r="O2177" s="122">
        <v>361</v>
      </c>
      <c r="P2177" s="122">
        <v>621</v>
      </c>
      <c r="Q2177" s="122">
        <v>230</v>
      </c>
      <c r="R2177" s="122">
        <v>3527</v>
      </c>
      <c r="S2177" s="122">
        <v>3207</v>
      </c>
      <c r="T2177" s="122">
        <v>2300</v>
      </c>
      <c r="U2177" s="122">
        <v>852</v>
      </c>
      <c r="V2177" s="122">
        <v>15341</v>
      </c>
      <c r="W2177" s="122">
        <f t="shared" si="68"/>
        <v>15341</v>
      </c>
      <c r="X2177" s="122">
        <f t="shared" si="69"/>
        <v>19184</v>
      </c>
    </row>
    <row r="2178" spans="2:24">
      <c r="B2178" t="s">
        <v>381</v>
      </c>
      <c r="C2178" t="s">
        <v>58</v>
      </c>
      <c r="D2178" t="s">
        <v>427</v>
      </c>
      <c r="E2178" t="s">
        <v>137</v>
      </c>
      <c r="F2178" s="122">
        <v>1</v>
      </c>
      <c r="G2178" s="122">
        <v>135</v>
      </c>
      <c r="H2178" s="122">
        <v>255</v>
      </c>
      <c r="I2178" s="122">
        <v>22510</v>
      </c>
      <c r="J2178" s="122">
        <v>20463</v>
      </c>
      <c r="K2178" s="122">
        <v>55</v>
      </c>
      <c r="L2178" s="122">
        <v>2501</v>
      </c>
      <c r="M2178" s="122">
        <v>2274</v>
      </c>
      <c r="N2178" s="122">
        <v>3300</v>
      </c>
      <c r="O2178" s="122">
        <v>1222</v>
      </c>
      <c r="P2178" s="122">
        <v>0</v>
      </c>
      <c r="Q2178" s="122">
        <v>0</v>
      </c>
      <c r="R2178" s="122">
        <v>6210</v>
      </c>
      <c r="S2178" s="122">
        <v>2300</v>
      </c>
      <c r="T2178" s="122">
        <v>0</v>
      </c>
      <c r="U2178" s="122">
        <v>0</v>
      </c>
      <c r="V2178" s="122">
        <v>26259</v>
      </c>
      <c r="W2178" s="122">
        <f t="shared" si="68"/>
        <v>26259</v>
      </c>
      <c r="X2178" s="122">
        <f t="shared" si="69"/>
        <v>34521</v>
      </c>
    </row>
    <row r="2179" spans="2:24">
      <c r="B2179" t="s">
        <v>381</v>
      </c>
      <c r="C2179" t="s">
        <v>58</v>
      </c>
      <c r="D2179" t="s">
        <v>427</v>
      </c>
      <c r="E2179" t="s">
        <v>427</v>
      </c>
      <c r="F2179" s="122">
        <v>7</v>
      </c>
      <c r="G2179" s="122">
        <v>422</v>
      </c>
      <c r="H2179" s="122">
        <v>2017</v>
      </c>
      <c r="I2179" s="122">
        <v>67927</v>
      </c>
      <c r="J2179" s="122">
        <v>61751</v>
      </c>
      <c r="K2179" s="122">
        <v>64</v>
      </c>
      <c r="L2179" s="122">
        <v>2663</v>
      </c>
      <c r="M2179" s="122">
        <v>2421</v>
      </c>
      <c r="N2179" s="122">
        <v>8496</v>
      </c>
      <c r="O2179" s="122">
        <v>3147</v>
      </c>
      <c r="P2179" s="122">
        <v>2457</v>
      </c>
      <c r="Q2179" s="122">
        <v>910</v>
      </c>
      <c r="R2179" s="122">
        <v>25772</v>
      </c>
      <c r="S2179" s="122">
        <v>23429</v>
      </c>
      <c r="T2179" s="122">
        <v>14664</v>
      </c>
      <c r="U2179" s="122">
        <v>5431</v>
      </c>
      <c r="V2179" s="122">
        <v>97090</v>
      </c>
      <c r="W2179" s="122">
        <f t="shared" si="68"/>
        <v>97089</v>
      </c>
      <c r="X2179" s="122">
        <f t="shared" si="69"/>
        <v>121979</v>
      </c>
    </row>
    <row r="2180" spans="2:24">
      <c r="B2180" t="s">
        <v>381</v>
      </c>
      <c r="C2180" t="s">
        <v>58</v>
      </c>
      <c r="D2180" t="s">
        <v>407</v>
      </c>
      <c r="E2180" t="s">
        <v>407</v>
      </c>
      <c r="F2180" s="122">
        <v>26</v>
      </c>
      <c r="G2180" s="122">
        <v>1993</v>
      </c>
      <c r="H2180" s="122">
        <v>6224</v>
      </c>
      <c r="I2180" s="122">
        <v>223585</v>
      </c>
      <c r="J2180" s="122">
        <v>203259</v>
      </c>
      <c r="K2180" s="122">
        <v>80</v>
      </c>
      <c r="L2180" s="122">
        <v>67820</v>
      </c>
      <c r="M2180" s="122">
        <v>58404</v>
      </c>
      <c r="N2180" s="122">
        <v>38331</v>
      </c>
      <c r="O2180" s="122">
        <v>14197</v>
      </c>
      <c r="P2180" s="122">
        <v>12285</v>
      </c>
      <c r="Q2180" s="122">
        <v>4550</v>
      </c>
      <c r="R2180" s="122">
        <v>109248</v>
      </c>
      <c r="S2180" s="122">
        <v>99316</v>
      </c>
      <c r="T2180" s="122">
        <v>22006</v>
      </c>
      <c r="U2180" s="122">
        <v>8150</v>
      </c>
      <c r="V2180" s="122">
        <v>387877</v>
      </c>
      <c r="W2180" s="122">
        <f t="shared" si="68"/>
        <v>387876</v>
      </c>
      <c r="X2180" s="122">
        <f t="shared" si="69"/>
        <v>473275</v>
      </c>
    </row>
    <row r="2181" spans="2:24">
      <c r="B2181" t="s">
        <v>381</v>
      </c>
      <c r="C2181" t="s">
        <v>58</v>
      </c>
      <c r="D2181" t="s">
        <v>556</v>
      </c>
      <c r="E2181" t="s">
        <v>556</v>
      </c>
      <c r="F2181" s="122">
        <v>6</v>
      </c>
      <c r="G2181" s="122">
        <v>591</v>
      </c>
      <c r="H2181" s="122">
        <v>1661</v>
      </c>
      <c r="I2181" s="122">
        <v>89104</v>
      </c>
      <c r="J2181" s="122">
        <v>74253</v>
      </c>
      <c r="K2181" s="122">
        <v>65</v>
      </c>
      <c r="L2181" s="122">
        <v>17263</v>
      </c>
      <c r="M2181" s="122">
        <v>15222</v>
      </c>
      <c r="N2181" s="122">
        <v>11877</v>
      </c>
      <c r="O2181" s="122">
        <v>4399</v>
      </c>
      <c r="P2181" s="122">
        <v>1877</v>
      </c>
      <c r="Q2181" s="122">
        <v>695</v>
      </c>
      <c r="R2181" s="122">
        <v>27929</v>
      </c>
      <c r="S2181" s="122">
        <v>23274</v>
      </c>
      <c r="T2181" s="122">
        <v>16129</v>
      </c>
      <c r="U2181" s="122">
        <v>5974</v>
      </c>
      <c r="V2181" s="122">
        <v>123817</v>
      </c>
      <c r="W2181" s="122">
        <f t="shared" si="68"/>
        <v>123817</v>
      </c>
      <c r="X2181" s="122">
        <f t="shared" si="69"/>
        <v>164179</v>
      </c>
    </row>
    <row r="2182" spans="2:24">
      <c r="B2182" t="s">
        <v>381</v>
      </c>
      <c r="C2182" t="s">
        <v>58</v>
      </c>
      <c r="D2182" t="s">
        <v>431</v>
      </c>
      <c r="E2182" t="s">
        <v>431</v>
      </c>
      <c r="F2182" s="122">
        <v>2</v>
      </c>
      <c r="G2182" s="122">
        <v>188</v>
      </c>
      <c r="H2182" s="122">
        <v>531</v>
      </c>
      <c r="I2182" s="122">
        <v>26677</v>
      </c>
      <c r="J2182" s="122">
        <v>24252</v>
      </c>
      <c r="K2182" s="122">
        <v>68</v>
      </c>
      <c r="L2182" s="122">
        <v>6517</v>
      </c>
      <c r="M2182" s="122">
        <v>5924</v>
      </c>
      <c r="N2182" s="122">
        <v>3344</v>
      </c>
      <c r="O2182" s="122">
        <v>1239</v>
      </c>
      <c r="P2182" s="122">
        <v>702</v>
      </c>
      <c r="Q2182" s="122">
        <v>260</v>
      </c>
      <c r="R2182" s="122">
        <v>7449</v>
      </c>
      <c r="S2182" s="122">
        <v>6772</v>
      </c>
      <c r="T2182" s="122">
        <v>4831</v>
      </c>
      <c r="U2182" s="122">
        <v>1789</v>
      </c>
      <c r="V2182" s="122">
        <v>40236</v>
      </c>
      <c r="W2182" s="122">
        <f t="shared" si="68"/>
        <v>40236</v>
      </c>
      <c r="X2182" s="122">
        <f t="shared" si="69"/>
        <v>49520</v>
      </c>
    </row>
    <row r="2183" spans="2:24">
      <c r="B2183" t="s">
        <v>381</v>
      </c>
      <c r="C2183" t="s">
        <v>58</v>
      </c>
      <c r="D2183" t="s">
        <v>426</v>
      </c>
      <c r="E2183" t="s">
        <v>426</v>
      </c>
      <c r="F2183" s="122">
        <v>19</v>
      </c>
      <c r="G2183" s="122">
        <v>1708</v>
      </c>
      <c r="H2183" s="122">
        <v>5039</v>
      </c>
      <c r="I2183" s="122">
        <v>244720</v>
      </c>
      <c r="J2183" s="122">
        <v>222472</v>
      </c>
      <c r="K2183" s="122">
        <v>63</v>
      </c>
      <c r="L2183" s="122">
        <v>29944</v>
      </c>
      <c r="M2183" s="122">
        <v>25293</v>
      </c>
      <c r="N2183" s="122">
        <v>34034</v>
      </c>
      <c r="O2183" s="122">
        <v>12605</v>
      </c>
      <c r="P2183" s="122">
        <v>7290</v>
      </c>
      <c r="Q2183" s="122">
        <v>2700</v>
      </c>
      <c r="R2183" s="122">
        <v>96576</v>
      </c>
      <c r="S2183" s="122">
        <v>87796</v>
      </c>
      <c r="T2183" s="122">
        <v>37318</v>
      </c>
      <c r="U2183" s="122">
        <v>13821</v>
      </c>
      <c r="V2183" s="122">
        <v>364688</v>
      </c>
      <c r="W2183" s="122">
        <f t="shared" si="68"/>
        <v>364687</v>
      </c>
      <c r="X2183" s="122">
        <f t="shared" si="69"/>
        <v>449882</v>
      </c>
    </row>
    <row r="2184" spans="2:24">
      <c r="B2184" t="s">
        <v>381</v>
      </c>
      <c r="C2184" t="s">
        <v>58</v>
      </c>
      <c r="D2184" t="s">
        <v>408</v>
      </c>
      <c r="E2184" t="s">
        <v>408</v>
      </c>
      <c r="F2184" s="122">
        <v>1</v>
      </c>
      <c r="G2184" s="122">
        <v>179</v>
      </c>
      <c r="H2184" s="122">
        <v>256</v>
      </c>
      <c r="I2184" s="122">
        <v>38494</v>
      </c>
      <c r="J2184" s="122">
        <v>34995</v>
      </c>
      <c r="K2184" s="122">
        <v>88</v>
      </c>
      <c r="L2184" s="122">
        <v>6238</v>
      </c>
      <c r="M2184" s="122">
        <v>5670</v>
      </c>
      <c r="N2184" s="122">
        <v>2467</v>
      </c>
      <c r="O2184" s="122">
        <v>914</v>
      </c>
      <c r="P2184" s="122">
        <v>351</v>
      </c>
      <c r="Q2184" s="122">
        <v>130</v>
      </c>
      <c r="R2184" s="122">
        <v>4396</v>
      </c>
      <c r="S2184" s="122">
        <v>3996</v>
      </c>
      <c r="T2184" s="122">
        <v>0</v>
      </c>
      <c r="U2184" s="122">
        <v>0</v>
      </c>
      <c r="V2184" s="122">
        <v>45705</v>
      </c>
      <c r="W2184" s="122">
        <f t="shared" si="68"/>
        <v>45705</v>
      </c>
      <c r="X2184" s="122">
        <f t="shared" si="69"/>
        <v>51946</v>
      </c>
    </row>
    <row r="2185" spans="2:24">
      <c r="B2185" t="s">
        <v>381</v>
      </c>
      <c r="C2185" t="s">
        <v>60</v>
      </c>
      <c r="D2185" t="s">
        <v>555</v>
      </c>
      <c r="E2185" t="s">
        <v>555</v>
      </c>
      <c r="F2185" s="122">
        <v>2</v>
      </c>
      <c r="G2185" s="122">
        <v>111</v>
      </c>
      <c r="H2185" s="122">
        <v>688</v>
      </c>
      <c r="I2185" s="122">
        <v>24582</v>
      </c>
      <c r="J2185" s="122">
        <v>22347</v>
      </c>
      <c r="K2185" s="122">
        <v>65</v>
      </c>
      <c r="L2185" s="122">
        <v>0</v>
      </c>
      <c r="M2185" s="122">
        <v>0</v>
      </c>
      <c r="N2185" s="122">
        <v>2530</v>
      </c>
      <c r="O2185" s="122">
        <v>937</v>
      </c>
      <c r="P2185" s="122">
        <v>702</v>
      </c>
      <c r="Q2185" s="122">
        <v>260</v>
      </c>
      <c r="R2185" s="122">
        <v>6367</v>
      </c>
      <c r="S2185" s="122">
        <v>5788</v>
      </c>
      <c r="T2185" s="122">
        <v>3916</v>
      </c>
      <c r="U2185" s="122">
        <v>1450</v>
      </c>
      <c r="V2185" s="122">
        <v>30782</v>
      </c>
      <c r="W2185" s="122">
        <f t="shared" si="68"/>
        <v>30782</v>
      </c>
      <c r="X2185" s="122">
        <f t="shared" si="69"/>
        <v>38097</v>
      </c>
    </row>
    <row r="2186" spans="2:24">
      <c r="B2186" t="s">
        <v>381</v>
      </c>
      <c r="C2186" t="s">
        <v>60</v>
      </c>
      <c r="D2186" t="s">
        <v>405</v>
      </c>
      <c r="E2186" t="s">
        <v>405</v>
      </c>
      <c r="F2186" s="122">
        <v>2</v>
      </c>
      <c r="G2186" s="122">
        <v>133</v>
      </c>
      <c r="H2186" s="122">
        <v>657</v>
      </c>
      <c r="I2186" s="122">
        <v>29668</v>
      </c>
      <c r="J2186" s="122">
        <v>26971</v>
      </c>
      <c r="K2186" s="122">
        <v>79</v>
      </c>
      <c r="L2186" s="122">
        <v>3637</v>
      </c>
      <c r="M2186" s="122">
        <v>3307</v>
      </c>
      <c r="N2186" s="122">
        <v>2162</v>
      </c>
      <c r="O2186" s="122">
        <v>801</v>
      </c>
      <c r="P2186" s="122">
        <v>945</v>
      </c>
      <c r="Q2186" s="122">
        <v>350</v>
      </c>
      <c r="R2186" s="122">
        <v>7417</v>
      </c>
      <c r="S2186" s="122">
        <v>6743</v>
      </c>
      <c r="T2186" s="122">
        <v>0</v>
      </c>
      <c r="U2186" s="122">
        <v>0</v>
      </c>
      <c r="V2186" s="122">
        <v>38172</v>
      </c>
      <c r="W2186" s="122">
        <f t="shared" si="68"/>
        <v>38172</v>
      </c>
      <c r="X2186" s="122">
        <f t="shared" si="69"/>
        <v>43829</v>
      </c>
    </row>
    <row r="2187" spans="2:24">
      <c r="B2187" t="s">
        <v>381</v>
      </c>
      <c r="C2187" t="s">
        <v>60</v>
      </c>
      <c r="D2187" t="s">
        <v>137</v>
      </c>
      <c r="E2187" t="s">
        <v>137</v>
      </c>
      <c r="F2187" s="122">
        <v>131</v>
      </c>
      <c r="G2187" s="122">
        <v>8682</v>
      </c>
      <c r="H2187" s="122">
        <v>44263</v>
      </c>
      <c r="I2187" s="122">
        <v>1706900</v>
      </c>
      <c r="J2187" s="122">
        <v>632185</v>
      </c>
      <c r="K2187" s="122">
        <v>100</v>
      </c>
      <c r="L2187" s="122">
        <v>268014</v>
      </c>
      <c r="M2187" s="122">
        <v>215296</v>
      </c>
      <c r="N2187" s="122">
        <v>170755</v>
      </c>
      <c r="O2187" s="122">
        <v>63242</v>
      </c>
      <c r="P2187" s="122">
        <v>6534</v>
      </c>
      <c r="Q2187" s="122">
        <v>2420</v>
      </c>
      <c r="R2187" s="122">
        <v>807749</v>
      </c>
      <c r="S2187" s="122">
        <v>299166</v>
      </c>
      <c r="T2187" s="122">
        <v>15402</v>
      </c>
      <c r="U2187" s="122">
        <v>5704</v>
      </c>
      <c r="V2187" s="122">
        <v>1218014</v>
      </c>
      <c r="W2187" s="122">
        <f t="shared" si="68"/>
        <v>1218013</v>
      </c>
      <c r="X2187" s="122">
        <f t="shared" si="69"/>
        <v>2975354</v>
      </c>
    </row>
    <row r="2188" spans="2:24">
      <c r="B2188" t="s">
        <v>381</v>
      </c>
      <c r="C2188" t="s">
        <v>60</v>
      </c>
      <c r="D2188" t="s">
        <v>137</v>
      </c>
      <c r="E2188" t="s">
        <v>426</v>
      </c>
      <c r="F2188" s="122">
        <v>1</v>
      </c>
      <c r="G2188" s="122">
        <v>81</v>
      </c>
      <c r="H2188" s="122">
        <v>331</v>
      </c>
      <c r="I2188" s="122">
        <v>15142</v>
      </c>
      <c r="J2188" s="122">
        <v>5608</v>
      </c>
      <c r="K2188" s="122">
        <v>100</v>
      </c>
      <c r="L2188" s="122">
        <v>1523</v>
      </c>
      <c r="M2188" s="122">
        <v>1385</v>
      </c>
      <c r="N2188" s="122">
        <v>1160</v>
      </c>
      <c r="O2188" s="122">
        <v>430</v>
      </c>
      <c r="P2188" s="122">
        <v>0</v>
      </c>
      <c r="Q2188" s="122">
        <v>0</v>
      </c>
      <c r="R2188" s="122">
        <v>6488</v>
      </c>
      <c r="S2188" s="122">
        <v>5898</v>
      </c>
      <c r="T2188" s="122">
        <v>2443</v>
      </c>
      <c r="U2188" s="122">
        <v>905</v>
      </c>
      <c r="V2188" s="122">
        <v>14226</v>
      </c>
      <c r="W2188" s="122">
        <f t="shared" si="68"/>
        <v>14226</v>
      </c>
      <c r="X2188" s="122">
        <f t="shared" si="69"/>
        <v>26756</v>
      </c>
    </row>
    <row r="2189" spans="2:24">
      <c r="B2189" t="s">
        <v>381</v>
      </c>
      <c r="C2189" t="s">
        <v>60</v>
      </c>
      <c r="D2189" t="s">
        <v>406</v>
      </c>
      <c r="E2189" t="s">
        <v>425</v>
      </c>
      <c r="F2189" s="122">
        <v>1</v>
      </c>
      <c r="G2189" s="122">
        <v>101</v>
      </c>
      <c r="H2189" s="122">
        <v>347</v>
      </c>
      <c r="I2189" s="122">
        <v>22983</v>
      </c>
      <c r="J2189" s="122">
        <v>20894</v>
      </c>
      <c r="K2189" s="122">
        <v>65</v>
      </c>
      <c r="L2189" s="122">
        <v>2869</v>
      </c>
      <c r="M2189" s="122">
        <v>2609</v>
      </c>
      <c r="N2189" s="122">
        <v>2331</v>
      </c>
      <c r="O2189" s="122">
        <v>863</v>
      </c>
      <c r="P2189" s="122">
        <v>621</v>
      </c>
      <c r="Q2189" s="122">
        <v>230</v>
      </c>
      <c r="R2189" s="122">
        <v>4123</v>
      </c>
      <c r="S2189" s="122">
        <v>3748</v>
      </c>
      <c r="T2189" s="122">
        <v>1991</v>
      </c>
      <c r="U2189" s="122">
        <v>737</v>
      </c>
      <c r="V2189" s="122">
        <v>29082</v>
      </c>
      <c r="W2189" s="122">
        <f t="shared" si="68"/>
        <v>29081</v>
      </c>
      <c r="X2189" s="122">
        <f t="shared" si="69"/>
        <v>34918</v>
      </c>
    </row>
    <row r="2190" spans="2:24">
      <c r="B2190" t="s">
        <v>381</v>
      </c>
      <c r="C2190" t="s">
        <v>60</v>
      </c>
      <c r="D2190" t="s">
        <v>406</v>
      </c>
      <c r="E2190" t="s">
        <v>406</v>
      </c>
      <c r="F2190" s="122">
        <v>121</v>
      </c>
      <c r="G2190" s="122">
        <v>11526</v>
      </c>
      <c r="H2190" s="122">
        <v>41006</v>
      </c>
      <c r="I2190" s="122">
        <v>2384508</v>
      </c>
      <c r="J2190" s="122">
        <v>2167734</v>
      </c>
      <c r="K2190" s="122">
        <v>78</v>
      </c>
      <c r="L2190" s="122">
        <v>451942</v>
      </c>
      <c r="M2190" s="122">
        <v>398901</v>
      </c>
      <c r="N2190" s="122">
        <v>243420</v>
      </c>
      <c r="O2190" s="122">
        <v>90156</v>
      </c>
      <c r="P2190" s="122">
        <v>76545</v>
      </c>
      <c r="Q2190" s="122">
        <v>28350</v>
      </c>
      <c r="R2190" s="122">
        <v>551633</v>
      </c>
      <c r="S2190" s="122">
        <v>501484</v>
      </c>
      <c r="T2190" s="122">
        <v>218018</v>
      </c>
      <c r="U2190" s="122">
        <v>80747</v>
      </c>
      <c r="V2190" s="122">
        <v>3267373</v>
      </c>
      <c r="W2190" s="122">
        <f t="shared" si="68"/>
        <v>3267372</v>
      </c>
      <c r="X2190" s="122">
        <f t="shared" si="69"/>
        <v>3926066</v>
      </c>
    </row>
    <row r="2191" spans="2:24">
      <c r="B2191" t="s">
        <v>381</v>
      </c>
      <c r="C2191" t="s">
        <v>60</v>
      </c>
      <c r="D2191" t="s">
        <v>427</v>
      </c>
      <c r="E2191" t="s">
        <v>427</v>
      </c>
      <c r="F2191" s="122">
        <v>26</v>
      </c>
      <c r="G2191" s="122">
        <v>2151</v>
      </c>
      <c r="H2191" s="122">
        <v>9067</v>
      </c>
      <c r="I2191" s="122">
        <v>421772</v>
      </c>
      <c r="J2191" s="122">
        <v>383429</v>
      </c>
      <c r="K2191" s="122">
        <v>49</v>
      </c>
      <c r="L2191" s="122">
        <v>62859</v>
      </c>
      <c r="M2191" s="122">
        <v>56229</v>
      </c>
      <c r="N2191" s="122">
        <v>45687</v>
      </c>
      <c r="O2191" s="122">
        <v>16921</v>
      </c>
      <c r="P2191" s="122">
        <v>9126</v>
      </c>
      <c r="Q2191" s="122">
        <v>3380</v>
      </c>
      <c r="R2191" s="122">
        <v>144220</v>
      </c>
      <c r="S2191" s="122">
        <v>131109</v>
      </c>
      <c r="T2191" s="122">
        <v>67266</v>
      </c>
      <c r="U2191" s="122">
        <v>24913</v>
      </c>
      <c r="V2191" s="122">
        <v>615981</v>
      </c>
      <c r="W2191" s="122">
        <f t="shared" si="68"/>
        <v>615981</v>
      </c>
      <c r="X2191" s="122">
        <f t="shared" si="69"/>
        <v>750930</v>
      </c>
    </row>
    <row r="2192" spans="2:24">
      <c r="B2192" t="s">
        <v>381</v>
      </c>
      <c r="C2192" t="s">
        <v>60</v>
      </c>
      <c r="D2192" t="s">
        <v>407</v>
      </c>
      <c r="E2192" t="s">
        <v>407</v>
      </c>
      <c r="F2192" s="122">
        <v>1</v>
      </c>
      <c r="G2192" s="122">
        <v>184</v>
      </c>
      <c r="H2192" s="122">
        <v>305</v>
      </c>
      <c r="I2192" s="122">
        <v>36496</v>
      </c>
      <c r="J2192" s="122">
        <v>33178</v>
      </c>
      <c r="K2192" s="122">
        <v>65</v>
      </c>
      <c r="L2192" s="122">
        <v>3855</v>
      </c>
      <c r="M2192" s="122">
        <v>3505</v>
      </c>
      <c r="N2192" s="122">
        <v>4477</v>
      </c>
      <c r="O2192" s="122">
        <v>1658</v>
      </c>
      <c r="P2192" s="122">
        <v>473</v>
      </c>
      <c r="Q2192" s="122">
        <v>175</v>
      </c>
      <c r="R2192" s="122">
        <v>10690</v>
      </c>
      <c r="S2192" s="122">
        <v>9719</v>
      </c>
      <c r="T2192" s="122">
        <v>0</v>
      </c>
      <c r="U2192" s="122">
        <v>0</v>
      </c>
      <c r="V2192" s="122">
        <v>48235</v>
      </c>
      <c r="W2192" s="122">
        <f t="shared" si="68"/>
        <v>48235</v>
      </c>
      <c r="X2192" s="122">
        <f t="shared" si="69"/>
        <v>55991</v>
      </c>
    </row>
    <row r="2193" spans="2:24">
      <c r="B2193" t="s">
        <v>381</v>
      </c>
      <c r="C2193" t="s">
        <v>60</v>
      </c>
      <c r="D2193" t="s">
        <v>556</v>
      </c>
      <c r="E2193" t="s">
        <v>137</v>
      </c>
      <c r="F2193" s="122">
        <v>2</v>
      </c>
      <c r="G2193" s="122">
        <v>117</v>
      </c>
      <c r="H2193" s="122">
        <v>647</v>
      </c>
      <c r="I2193" s="122">
        <v>12316</v>
      </c>
      <c r="J2193" s="122">
        <v>10263</v>
      </c>
      <c r="K2193" s="122">
        <v>70</v>
      </c>
      <c r="L2193" s="122">
        <v>4849</v>
      </c>
      <c r="M2193" s="122">
        <v>1796</v>
      </c>
      <c r="N2193" s="122">
        <v>2141</v>
      </c>
      <c r="O2193" s="122">
        <v>793</v>
      </c>
      <c r="P2193" s="122">
        <v>702</v>
      </c>
      <c r="Q2193" s="122">
        <v>260</v>
      </c>
      <c r="R2193" s="122">
        <v>17920</v>
      </c>
      <c r="S2193" s="122">
        <v>6637</v>
      </c>
      <c r="T2193" s="122">
        <v>0</v>
      </c>
      <c r="U2193" s="122">
        <v>0</v>
      </c>
      <c r="V2193" s="122">
        <v>19749</v>
      </c>
      <c r="W2193" s="122">
        <f t="shared" si="68"/>
        <v>19749</v>
      </c>
      <c r="X2193" s="122">
        <f t="shared" si="69"/>
        <v>37928</v>
      </c>
    </row>
    <row r="2194" spans="2:24">
      <c r="B2194" t="s">
        <v>381</v>
      </c>
      <c r="C2194" t="s">
        <v>60</v>
      </c>
      <c r="D2194" t="s">
        <v>556</v>
      </c>
      <c r="E2194" t="s">
        <v>556</v>
      </c>
      <c r="F2194" s="122">
        <v>42</v>
      </c>
      <c r="G2194" s="122">
        <v>2100</v>
      </c>
      <c r="H2194" s="122">
        <v>14298</v>
      </c>
      <c r="I2194" s="122">
        <v>399709</v>
      </c>
      <c r="J2194" s="122">
        <v>333091</v>
      </c>
      <c r="K2194" s="122">
        <v>63</v>
      </c>
      <c r="L2194" s="122">
        <v>13328</v>
      </c>
      <c r="M2194" s="122">
        <v>7742</v>
      </c>
      <c r="N2194" s="122">
        <v>45997</v>
      </c>
      <c r="O2194" s="122">
        <v>17036</v>
      </c>
      <c r="P2194" s="122">
        <v>14985</v>
      </c>
      <c r="Q2194" s="122">
        <v>5550</v>
      </c>
      <c r="R2194" s="122">
        <v>159532</v>
      </c>
      <c r="S2194" s="122">
        <v>132943</v>
      </c>
      <c r="T2194" s="122">
        <v>78119</v>
      </c>
      <c r="U2194" s="122">
        <v>28933</v>
      </c>
      <c r="V2194" s="122">
        <v>525294</v>
      </c>
      <c r="W2194" s="122">
        <f t="shared" si="68"/>
        <v>525295</v>
      </c>
      <c r="X2194" s="122">
        <f t="shared" si="69"/>
        <v>711670</v>
      </c>
    </row>
    <row r="2195" spans="2:24">
      <c r="B2195" t="s">
        <v>381</v>
      </c>
      <c r="C2195" t="s">
        <v>60</v>
      </c>
      <c r="D2195" t="s">
        <v>431</v>
      </c>
      <c r="E2195" t="s">
        <v>431</v>
      </c>
      <c r="F2195" s="122">
        <v>7</v>
      </c>
      <c r="G2195" s="122">
        <v>515</v>
      </c>
      <c r="H2195" s="122">
        <v>2470</v>
      </c>
      <c r="I2195" s="122">
        <v>108258</v>
      </c>
      <c r="J2195" s="122">
        <v>98417</v>
      </c>
      <c r="K2195" s="122">
        <v>53</v>
      </c>
      <c r="L2195" s="122">
        <v>11267</v>
      </c>
      <c r="M2195" s="122">
        <v>9332</v>
      </c>
      <c r="N2195" s="122">
        <v>10697</v>
      </c>
      <c r="O2195" s="122">
        <v>3962</v>
      </c>
      <c r="P2195" s="122">
        <v>2457</v>
      </c>
      <c r="Q2195" s="122">
        <v>910</v>
      </c>
      <c r="R2195" s="122">
        <v>34985</v>
      </c>
      <c r="S2195" s="122">
        <v>31805</v>
      </c>
      <c r="T2195" s="122">
        <v>14825</v>
      </c>
      <c r="U2195" s="122">
        <v>5491</v>
      </c>
      <c r="V2195" s="122">
        <v>149916</v>
      </c>
      <c r="W2195" s="122">
        <f t="shared" si="68"/>
        <v>149917</v>
      </c>
      <c r="X2195" s="122">
        <f t="shared" si="69"/>
        <v>182489</v>
      </c>
    </row>
    <row r="2196" spans="2:24">
      <c r="B2196" t="s">
        <v>381</v>
      </c>
      <c r="C2196" t="s">
        <v>60</v>
      </c>
      <c r="D2196" t="s">
        <v>426</v>
      </c>
      <c r="E2196" t="s">
        <v>137</v>
      </c>
      <c r="F2196" s="122">
        <v>2</v>
      </c>
      <c r="G2196" s="122">
        <v>157</v>
      </c>
      <c r="H2196" s="122">
        <v>729</v>
      </c>
      <c r="I2196" s="122">
        <v>38025</v>
      </c>
      <c r="J2196" s="122">
        <v>34568</v>
      </c>
      <c r="K2196" s="122">
        <v>45</v>
      </c>
      <c r="L2196" s="122">
        <v>3360</v>
      </c>
      <c r="M2196" s="122">
        <v>3054</v>
      </c>
      <c r="N2196" s="122">
        <v>3822</v>
      </c>
      <c r="O2196" s="122">
        <v>1415</v>
      </c>
      <c r="P2196" s="122">
        <v>351</v>
      </c>
      <c r="Q2196" s="122">
        <v>130</v>
      </c>
      <c r="R2196" s="122">
        <v>11484</v>
      </c>
      <c r="S2196" s="122">
        <v>4253</v>
      </c>
      <c r="T2196" s="122">
        <v>0</v>
      </c>
      <c r="U2196" s="122">
        <v>0</v>
      </c>
      <c r="V2196" s="122">
        <v>43421</v>
      </c>
      <c r="W2196" s="122">
        <f t="shared" si="68"/>
        <v>43420</v>
      </c>
      <c r="X2196" s="122">
        <f t="shared" si="69"/>
        <v>57042</v>
      </c>
    </row>
    <row r="2197" spans="2:24">
      <c r="B2197" t="s">
        <v>381</v>
      </c>
      <c r="C2197" t="s">
        <v>60</v>
      </c>
      <c r="D2197" t="s">
        <v>426</v>
      </c>
      <c r="E2197" t="s">
        <v>426</v>
      </c>
      <c r="F2197" s="122">
        <v>74</v>
      </c>
      <c r="G2197" s="122">
        <v>5862</v>
      </c>
      <c r="H2197" s="122">
        <v>25410</v>
      </c>
      <c r="I2197" s="122">
        <v>1131962</v>
      </c>
      <c r="J2197" s="122">
        <v>1029057</v>
      </c>
      <c r="K2197" s="122">
        <v>51</v>
      </c>
      <c r="L2197" s="122">
        <v>136810</v>
      </c>
      <c r="M2197" s="122">
        <v>122610</v>
      </c>
      <c r="N2197" s="122">
        <v>117563</v>
      </c>
      <c r="O2197" s="122">
        <v>43542</v>
      </c>
      <c r="P2197" s="122">
        <v>26514</v>
      </c>
      <c r="Q2197" s="122">
        <v>9820</v>
      </c>
      <c r="R2197" s="122">
        <v>429891</v>
      </c>
      <c r="S2197" s="122">
        <v>390810</v>
      </c>
      <c r="T2197" s="122">
        <v>172020</v>
      </c>
      <c r="U2197" s="122">
        <v>63711</v>
      </c>
      <c r="V2197" s="122">
        <v>1659550</v>
      </c>
      <c r="W2197" s="122">
        <f t="shared" si="68"/>
        <v>1659550</v>
      </c>
      <c r="X2197" s="122">
        <f t="shared" si="69"/>
        <v>2014760</v>
      </c>
    </row>
    <row r="2198" spans="2:24">
      <c r="B2198" t="s">
        <v>381</v>
      </c>
      <c r="C2198" t="s">
        <v>60</v>
      </c>
      <c r="D2198" t="s">
        <v>433</v>
      </c>
      <c r="E2198" t="s">
        <v>137</v>
      </c>
      <c r="F2198" s="122">
        <v>1</v>
      </c>
      <c r="G2198" s="122">
        <v>57</v>
      </c>
      <c r="H2198" s="122">
        <v>309</v>
      </c>
      <c r="I2198" s="122">
        <v>4891</v>
      </c>
      <c r="J2198" s="122">
        <v>4447</v>
      </c>
      <c r="K2198" s="122">
        <v>75</v>
      </c>
      <c r="L2198" s="122">
        <v>2257</v>
      </c>
      <c r="M2198" s="122">
        <v>836</v>
      </c>
      <c r="N2198" s="122">
        <v>1176</v>
      </c>
      <c r="O2198" s="122">
        <v>435</v>
      </c>
      <c r="P2198" s="122">
        <v>351</v>
      </c>
      <c r="Q2198" s="122">
        <v>130</v>
      </c>
      <c r="R2198" s="122">
        <v>8881</v>
      </c>
      <c r="S2198" s="122">
        <v>3289</v>
      </c>
      <c r="T2198" s="122">
        <v>0</v>
      </c>
      <c r="U2198" s="122">
        <v>0</v>
      </c>
      <c r="V2198" s="122">
        <v>9138</v>
      </c>
      <c r="W2198" s="122">
        <f t="shared" si="68"/>
        <v>9137</v>
      </c>
      <c r="X2198" s="122">
        <f t="shared" si="69"/>
        <v>17556</v>
      </c>
    </row>
    <row r="2199" spans="2:24">
      <c r="B2199" t="s">
        <v>381</v>
      </c>
      <c r="C2199" t="s">
        <v>60</v>
      </c>
      <c r="D2199" t="s">
        <v>433</v>
      </c>
      <c r="E2199" t="s">
        <v>433</v>
      </c>
      <c r="F2199" s="122">
        <v>1</v>
      </c>
      <c r="G2199" s="122">
        <v>45</v>
      </c>
      <c r="H2199" s="122">
        <v>308</v>
      </c>
      <c r="I2199" s="122">
        <v>4480</v>
      </c>
      <c r="J2199" s="122">
        <v>4073</v>
      </c>
      <c r="K2199" s="122">
        <v>60</v>
      </c>
      <c r="L2199" s="122">
        <v>1649</v>
      </c>
      <c r="M2199" s="122">
        <v>611</v>
      </c>
      <c r="N2199" s="122">
        <v>1051</v>
      </c>
      <c r="O2199" s="122">
        <v>389</v>
      </c>
      <c r="P2199" s="122">
        <v>351</v>
      </c>
      <c r="Q2199" s="122">
        <v>130</v>
      </c>
      <c r="R2199" s="122">
        <v>4047</v>
      </c>
      <c r="S2199" s="122">
        <v>3679</v>
      </c>
      <c r="T2199" s="122">
        <v>2392</v>
      </c>
      <c r="U2199" s="122">
        <v>886</v>
      </c>
      <c r="V2199" s="122">
        <v>9767</v>
      </c>
      <c r="W2199" s="122">
        <f t="shared" si="68"/>
        <v>9768</v>
      </c>
      <c r="X2199" s="122">
        <f t="shared" si="69"/>
        <v>13970</v>
      </c>
    </row>
    <row r="2200" spans="2:24">
      <c r="B2200" t="s">
        <v>381</v>
      </c>
      <c r="C2200" t="s">
        <v>62</v>
      </c>
      <c r="D2200" t="s">
        <v>405</v>
      </c>
      <c r="E2200" t="s">
        <v>405</v>
      </c>
      <c r="F2200" s="122">
        <v>2</v>
      </c>
      <c r="G2200" s="122">
        <v>171</v>
      </c>
      <c r="H2200" s="122">
        <v>820</v>
      </c>
      <c r="I2200" s="122">
        <v>48105</v>
      </c>
      <c r="J2200" s="122">
        <v>43731</v>
      </c>
      <c r="K2200" s="122">
        <v>69</v>
      </c>
      <c r="L2200" s="122">
        <v>5849</v>
      </c>
      <c r="M2200" s="122">
        <v>5317</v>
      </c>
      <c r="N2200" s="122">
        <v>2639</v>
      </c>
      <c r="O2200" s="122">
        <v>977</v>
      </c>
      <c r="P2200" s="122">
        <v>945</v>
      </c>
      <c r="Q2200" s="122">
        <v>350</v>
      </c>
      <c r="R2200" s="122">
        <v>10111</v>
      </c>
      <c r="S2200" s="122">
        <v>9192</v>
      </c>
      <c r="T2200" s="122">
        <v>2570</v>
      </c>
      <c r="U2200" s="122">
        <v>952</v>
      </c>
      <c r="V2200" s="122">
        <v>60520</v>
      </c>
      <c r="W2200" s="122">
        <f t="shared" si="68"/>
        <v>60519</v>
      </c>
      <c r="X2200" s="122">
        <f t="shared" si="69"/>
        <v>70219</v>
      </c>
    </row>
    <row r="2201" spans="2:24">
      <c r="B2201" t="s">
        <v>381</v>
      </c>
      <c r="C2201" t="s">
        <v>62</v>
      </c>
      <c r="D2201" t="s">
        <v>137</v>
      </c>
      <c r="E2201" t="s">
        <v>137</v>
      </c>
      <c r="F2201" s="122">
        <v>68</v>
      </c>
      <c r="G2201" s="122">
        <v>4577</v>
      </c>
      <c r="H2201" s="122">
        <v>28519</v>
      </c>
      <c r="I2201" s="122">
        <v>1081273</v>
      </c>
      <c r="J2201" s="122">
        <v>400472</v>
      </c>
      <c r="K2201" s="122">
        <v>100</v>
      </c>
      <c r="L2201" s="122">
        <v>199558</v>
      </c>
      <c r="M2201" s="122">
        <v>171642</v>
      </c>
      <c r="N2201" s="122">
        <v>105847</v>
      </c>
      <c r="O2201" s="122">
        <v>39203</v>
      </c>
      <c r="P2201" s="122">
        <v>1674</v>
      </c>
      <c r="Q2201" s="122">
        <v>620</v>
      </c>
      <c r="R2201" s="122">
        <v>530178</v>
      </c>
      <c r="S2201" s="122">
        <v>196362</v>
      </c>
      <c r="T2201" s="122">
        <v>0</v>
      </c>
      <c r="U2201" s="122">
        <v>0</v>
      </c>
      <c r="V2201" s="122">
        <v>808299</v>
      </c>
      <c r="W2201" s="122">
        <f t="shared" si="68"/>
        <v>808299</v>
      </c>
      <c r="X2201" s="122">
        <f t="shared" si="69"/>
        <v>1918530</v>
      </c>
    </row>
    <row r="2202" spans="2:24">
      <c r="B2202" t="s">
        <v>381</v>
      </c>
      <c r="C2202" t="s">
        <v>62</v>
      </c>
      <c r="D2202" t="s">
        <v>137</v>
      </c>
      <c r="E2202" t="s">
        <v>426</v>
      </c>
      <c r="F2202" s="122">
        <v>2</v>
      </c>
      <c r="G2202" s="122">
        <v>150</v>
      </c>
      <c r="H2202" s="122">
        <v>805</v>
      </c>
      <c r="I2202" s="122">
        <v>43043</v>
      </c>
      <c r="J2202" s="122">
        <v>15942</v>
      </c>
      <c r="K2202" s="122">
        <v>100</v>
      </c>
      <c r="L2202" s="122">
        <v>3213</v>
      </c>
      <c r="M2202" s="122">
        <v>2921</v>
      </c>
      <c r="N2202" s="122">
        <v>3304</v>
      </c>
      <c r="O2202" s="122">
        <v>1224</v>
      </c>
      <c r="P2202" s="122">
        <v>0</v>
      </c>
      <c r="Q2202" s="122">
        <v>0</v>
      </c>
      <c r="R2202" s="122">
        <v>7160</v>
      </c>
      <c r="S2202" s="122">
        <v>6509</v>
      </c>
      <c r="T2202" s="122">
        <v>4112</v>
      </c>
      <c r="U2202" s="122">
        <v>1523</v>
      </c>
      <c r="V2202" s="122">
        <v>28119</v>
      </c>
      <c r="W2202" s="122">
        <f t="shared" si="68"/>
        <v>28119</v>
      </c>
      <c r="X2202" s="122">
        <f t="shared" si="69"/>
        <v>60832</v>
      </c>
    </row>
    <row r="2203" spans="2:24">
      <c r="B2203" t="s">
        <v>381</v>
      </c>
      <c r="C2203" t="s">
        <v>62</v>
      </c>
      <c r="D2203" t="s">
        <v>406</v>
      </c>
      <c r="E2203" t="s">
        <v>137</v>
      </c>
      <c r="F2203" s="122">
        <v>2</v>
      </c>
      <c r="G2203" s="122">
        <v>246</v>
      </c>
      <c r="H2203" s="122">
        <v>830</v>
      </c>
      <c r="I2203" s="122">
        <v>65934</v>
      </c>
      <c r="J2203" s="122">
        <v>59940</v>
      </c>
      <c r="K2203" s="122">
        <v>82</v>
      </c>
      <c r="L2203" s="122">
        <v>15932</v>
      </c>
      <c r="M2203" s="122">
        <v>14483</v>
      </c>
      <c r="N2203" s="122">
        <v>5492</v>
      </c>
      <c r="O2203" s="122">
        <v>2034</v>
      </c>
      <c r="P2203" s="122">
        <v>1242</v>
      </c>
      <c r="Q2203" s="122">
        <v>460</v>
      </c>
      <c r="R2203" s="122">
        <v>13854</v>
      </c>
      <c r="S2203" s="122">
        <v>5131</v>
      </c>
      <c r="T2203" s="122">
        <v>0</v>
      </c>
      <c r="U2203" s="122">
        <v>0</v>
      </c>
      <c r="V2203" s="122">
        <v>82048</v>
      </c>
      <c r="W2203" s="122">
        <f t="shared" si="68"/>
        <v>82048</v>
      </c>
      <c r="X2203" s="122">
        <f t="shared" si="69"/>
        <v>102454</v>
      </c>
    </row>
    <row r="2204" spans="2:24">
      <c r="B2204" t="s">
        <v>381</v>
      </c>
      <c r="C2204" t="s">
        <v>62</v>
      </c>
      <c r="D2204" t="s">
        <v>406</v>
      </c>
      <c r="E2204" t="s">
        <v>406</v>
      </c>
      <c r="F2204" s="122">
        <v>56</v>
      </c>
      <c r="G2204" s="122">
        <v>5899</v>
      </c>
      <c r="H2204" s="122">
        <v>23366</v>
      </c>
      <c r="I2204" s="122">
        <v>1638270</v>
      </c>
      <c r="J2204" s="122">
        <v>1489336</v>
      </c>
      <c r="K2204" s="122">
        <v>75</v>
      </c>
      <c r="L2204" s="122">
        <v>314370</v>
      </c>
      <c r="M2204" s="122">
        <v>284609</v>
      </c>
      <c r="N2204" s="122">
        <v>129544</v>
      </c>
      <c r="O2204" s="122">
        <v>47979</v>
      </c>
      <c r="P2204" s="122">
        <v>36450</v>
      </c>
      <c r="Q2204" s="122">
        <v>13500</v>
      </c>
      <c r="R2204" s="122">
        <v>262965</v>
      </c>
      <c r="S2204" s="122">
        <v>239059</v>
      </c>
      <c r="T2204" s="122">
        <v>104728</v>
      </c>
      <c r="U2204" s="122">
        <v>38788</v>
      </c>
      <c r="V2204" s="122">
        <v>2113272</v>
      </c>
      <c r="W2204" s="122">
        <f t="shared" si="68"/>
        <v>2113271</v>
      </c>
      <c r="X2204" s="122">
        <f t="shared" si="69"/>
        <v>2486327</v>
      </c>
    </row>
    <row r="2205" spans="2:24">
      <c r="B2205" t="s">
        <v>381</v>
      </c>
      <c r="C2205" t="s">
        <v>62</v>
      </c>
      <c r="D2205" t="s">
        <v>427</v>
      </c>
      <c r="E2205" t="s">
        <v>427</v>
      </c>
      <c r="F2205" s="122">
        <v>29</v>
      </c>
      <c r="G2205" s="122">
        <v>1809</v>
      </c>
      <c r="H2205" s="122">
        <v>11994</v>
      </c>
      <c r="I2205" s="122">
        <v>457077</v>
      </c>
      <c r="J2205" s="122">
        <v>415524</v>
      </c>
      <c r="K2205" s="122">
        <v>46</v>
      </c>
      <c r="L2205" s="122">
        <v>29707</v>
      </c>
      <c r="M2205" s="122">
        <v>25189</v>
      </c>
      <c r="N2205" s="122">
        <v>37197</v>
      </c>
      <c r="O2205" s="122">
        <v>13777</v>
      </c>
      <c r="P2205" s="122">
        <v>10179</v>
      </c>
      <c r="Q2205" s="122">
        <v>3770</v>
      </c>
      <c r="R2205" s="122">
        <v>149653</v>
      </c>
      <c r="S2205" s="122">
        <v>136048</v>
      </c>
      <c r="T2205" s="122">
        <v>62837</v>
      </c>
      <c r="U2205" s="122">
        <v>23273</v>
      </c>
      <c r="V2205" s="122">
        <v>617581</v>
      </c>
      <c r="W2205" s="122">
        <f t="shared" si="68"/>
        <v>617581</v>
      </c>
      <c r="X2205" s="122">
        <f t="shared" si="69"/>
        <v>746650</v>
      </c>
    </row>
    <row r="2206" spans="2:24">
      <c r="B2206" t="s">
        <v>381</v>
      </c>
      <c r="C2206" t="s">
        <v>62</v>
      </c>
      <c r="D2206" t="s">
        <v>556</v>
      </c>
      <c r="E2206" t="s">
        <v>556</v>
      </c>
      <c r="F2206" s="122">
        <v>7</v>
      </c>
      <c r="G2206" s="122">
        <v>421</v>
      </c>
      <c r="H2206" s="122">
        <v>2914</v>
      </c>
      <c r="I2206" s="122">
        <v>100584</v>
      </c>
      <c r="J2206" s="122">
        <v>83820</v>
      </c>
      <c r="K2206" s="122">
        <v>53</v>
      </c>
      <c r="L2206" s="122">
        <v>10085</v>
      </c>
      <c r="M2206" s="122">
        <v>8616</v>
      </c>
      <c r="N2206" s="122">
        <v>7857</v>
      </c>
      <c r="O2206" s="122">
        <v>2910</v>
      </c>
      <c r="P2206" s="122">
        <v>2457</v>
      </c>
      <c r="Q2206" s="122">
        <v>910</v>
      </c>
      <c r="R2206" s="122">
        <v>42784</v>
      </c>
      <c r="S2206" s="122">
        <v>35654</v>
      </c>
      <c r="T2206" s="122">
        <v>11288</v>
      </c>
      <c r="U2206" s="122">
        <v>4181</v>
      </c>
      <c r="V2206" s="122">
        <v>136090</v>
      </c>
      <c r="W2206" s="122">
        <f t="shared" si="68"/>
        <v>136091</v>
      </c>
      <c r="X2206" s="122">
        <f t="shared" si="69"/>
        <v>175055</v>
      </c>
    </row>
    <row r="2207" spans="2:24">
      <c r="B2207" t="s">
        <v>381</v>
      </c>
      <c r="C2207" t="s">
        <v>62</v>
      </c>
      <c r="D2207" t="s">
        <v>428</v>
      </c>
      <c r="E2207" t="s">
        <v>428</v>
      </c>
      <c r="F2207" s="122">
        <v>1</v>
      </c>
      <c r="G2207" s="122">
        <v>40</v>
      </c>
      <c r="H2207" s="122">
        <v>428</v>
      </c>
      <c r="I2207" s="122">
        <v>8197</v>
      </c>
      <c r="J2207" s="122">
        <v>7452</v>
      </c>
      <c r="K2207" s="122">
        <v>45</v>
      </c>
      <c r="L2207" s="122">
        <v>0</v>
      </c>
      <c r="M2207" s="122">
        <v>0</v>
      </c>
      <c r="N2207" s="122">
        <v>823</v>
      </c>
      <c r="O2207" s="122">
        <v>305</v>
      </c>
      <c r="P2207" s="122">
        <v>351</v>
      </c>
      <c r="Q2207" s="122">
        <v>130</v>
      </c>
      <c r="R2207" s="122">
        <v>5580</v>
      </c>
      <c r="S2207" s="122">
        <v>5073</v>
      </c>
      <c r="T2207" s="122">
        <v>1949</v>
      </c>
      <c r="U2207" s="122">
        <v>722</v>
      </c>
      <c r="V2207" s="122">
        <v>13681</v>
      </c>
      <c r="W2207" s="122">
        <f t="shared" si="68"/>
        <v>13682</v>
      </c>
      <c r="X2207" s="122">
        <f t="shared" si="69"/>
        <v>16900</v>
      </c>
    </row>
    <row r="2208" spans="2:24">
      <c r="B2208" t="s">
        <v>381</v>
      </c>
      <c r="C2208" t="s">
        <v>62</v>
      </c>
      <c r="D2208" t="s">
        <v>431</v>
      </c>
      <c r="E2208" t="s">
        <v>431</v>
      </c>
      <c r="F2208" s="122">
        <v>2</v>
      </c>
      <c r="G2208" s="122">
        <v>115</v>
      </c>
      <c r="H2208" s="122">
        <v>787</v>
      </c>
      <c r="I2208" s="122">
        <v>24529</v>
      </c>
      <c r="J2208" s="122">
        <v>22299</v>
      </c>
      <c r="K2208" s="122">
        <v>53</v>
      </c>
      <c r="L2208" s="122">
        <v>1259</v>
      </c>
      <c r="M2208" s="122">
        <v>1145</v>
      </c>
      <c r="N2208" s="122">
        <v>2790</v>
      </c>
      <c r="O2208" s="122">
        <v>1033</v>
      </c>
      <c r="P2208" s="122">
        <v>702</v>
      </c>
      <c r="Q2208" s="122">
        <v>260</v>
      </c>
      <c r="R2208" s="122">
        <v>10951</v>
      </c>
      <c r="S2208" s="122">
        <v>9956</v>
      </c>
      <c r="T2208" s="122">
        <v>4842</v>
      </c>
      <c r="U2208" s="122">
        <v>1793</v>
      </c>
      <c r="V2208" s="122">
        <v>36486</v>
      </c>
      <c r="W2208" s="122">
        <f t="shared" si="68"/>
        <v>36486</v>
      </c>
      <c r="X2208" s="122">
        <f t="shared" si="69"/>
        <v>45073</v>
      </c>
    </row>
    <row r="2209" spans="2:24">
      <c r="B2209" t="s">
        <v>381</v>
      </c>
      <c r="C2209" t="s">
        <v>62</v>
      </c>
      <c r="D2209" t="s">
        <v>426</v>
      </c>
      <c r="E2209" t="s">
        <v>426</v>
      </c>
      <c r="F2209" s="122">
        <v>50</v>
      </c>
      <c r="G2209" s="122">
        <v>3666</v>
      </c>
      <c r="H2209" s="122">
        <v>20453</v>
      </c>
      <c r="I2209" s="122">
        <v>894956</v>
      </c>
      <c r="J2209" s="122">
        <v>813596</v>
      </c>
      <c r="K2209" s="122">
        <v>47</v>
      </c>
      <c r="L2209" s="122">
        <v>97942</v>
      </c>
      <c r="M2209" s="122">
        <v>87369</v>
      </c>
      <c r="N2209" s="122">
        <v>76177</v>
      </c>
      <c r="O2209" s="122">
        <v>28214</v>
      </c>
      <c r="P2209" s="122">
        <v>18171</v>
      </c>
      <c r="Q2209" s="122">
        <v>6730</v>
      </c>
      <c r="R2209" s="122">
        <v>299449</v>
      </c>
      <c r="S2209" s="122">
        <v>272226</v>
      </c>
      <c r="T2209" s="122">
        <v>106540</v>
      </c>
      <c r="U2209" s="122">
        <v>39459</v>
      </c>
      <c r="V2209" s="122">
        <v>1247594</v>
      </c>
      <c r="W2209" s="122">
        <f t="shared" si="68"/>
        <v>1247594</v>
      </c>
      <c r="X2209" s="122">
        <f t="shared" si="69"/>
        <v>1493235</v>
      </c>
    </row>
    <row r="2210" spans="2:24">
      <c r="B2210" t="s">
        <v>381</v>
      </c>
      <c r="C2210" t="s">
        <v>64</v>
      </c>
      <c r="D2210" t="s">
        <v>137</v>
      </c>
      <c r="E2210" t="s">
        <v>137</v>
      </c>
      <c r="F2210" s="122">
        <v>47</v>
      </c>
      <c r="G2210" s="122">
        <v>3799</v>
      </c>
      <c r="H2210" s="122">
        <v>27634</v>
      </c>
      <c r="I2210" s="122">
        <v>1577025</v>
      </c>
      <c r="J2210" s="122">
        <v>584083</v>
      </c>
      <c r="K2210" s="122">
        <v>100</v>
      </c>
      <c r="L2210" s="122">
        <v>282386</v>
      </c>
      <c r="M2210" s="122">
        <v>218400</v>
      </c>
      <c r="N2210" s="122">
        <v>86220</v>
      </c>
      <c r="O2210" s="122">
        <v>31933</v>
      </c>
      <c r="P2210" s="122">
        <v>1593</v>
      </c>
      <c r="Q2210" s="122">
        <v>590</v>
      </c>
      <c r="R2210" s="122">
        <v>309876</v>
      </c>
      <c r="S2210" s="122">
        <v>114769</v>
      </c>
      <c r="T2210" s="122">
        <v>0</v>
      </c>
      <c r="U2210" s="122">
        <v>0</v>
      </c>
      <c r="V2210" s="122">
        <v>949775</v>
      </c>
      <c r="W2210" s="122">
        <f t="shared" ref="W2210:W2273" si="70">SUM(ABS(J2210),ABS(M2210),ABS(O2210),ABS(Q2210),ABS(S2210),ABS(U2210))</f>
        <v>949775</v>
      </c>
      <c r="X2210" s="122">
        <f t="shared" ref="X2210:X2273" si="71">SUM(ABS(I2210),ABS(N2210),ABS(P2210),ABS(R2210),ABS(T2210),ABS(L2210))</f>
        <v>2257100</v>
      </c>
    </row>
    <row r="2211" spans="2:24">
      <c r="B2211" t="s">
        <v>381</v>
      </c>
      <c r="C2211" t="s">
        <v>64</v>
      </c>
      <c r="D2211" t="s">
        <v>137</v>
      </c>
      <c r="E2211" t="s">
        <v>426</v>
      </c>
      <c r="F2211" s="122">
        <v>1</v>
      </c>
      <c r="G2211" s="122">
        <v>101</v>
      </c>
      <c r="H2211" s="122">
        <v>703</v>
      </c>
      <c r="I2211" s="122">
        <v>54684</v>
      </c>
      <c r="J2211" s="122">
        <v>20253</v>
      </c>
      <c r="K2211" s="122">
        <v>100</v>
      </c>
      <c r="L2211" s="122">
        <v>3808</v>
      </c>
      <c r="M2211" s="122">
        <v>3462</v>
      </c>
      <c r="N2211" s="122">
        <v>2206</v>
      </c>
      <c r="O2211" s="122">
        <v>817</v>
      </c>
      <c r="P2211" s="122">
        <v>351</v>
      </c>
      <c r="Q2211" s="122">
        <v>130</v>
      </c>
      <c r="R2211" s="122">
        <v>6965</v>
      </c>
      <c r="S2211" s="122">
        <v>6332</v>
      </c>
      <c r="T2211" s="122">
        <v>2702</v>
      </c>
      <c r="U2211" s="122">
        <v>1001</v>
      </c>
      <c r="V2211" s="122">
        <v>31995</v>
      </c>
      <c r="W2211" s="122">
        <f t="shared" si="70"/>
        <v>31995</v>
      </c>
      <c r="X2211" s="122">
        <f t="shared" si="71"/>
        <v>70716</v>
      </c>
    </row>
    <row r="2212" spans="2:24">
      <c r="B2212" t="s">
        <v>381</v>
      </c>
      <c r="C2212" t="s">
        <v>64</v>
      </c>
      <c r="D2212" t="s">
        <v>406</v>
      </c>
      <c r="E2212" t="s">
        <v>137</v>
      </c>
      <c r="F2212" s="122">
        <v>4</v>
      </c>
      <c r="G2212" s="122">
        <v>314</v>
      </c>
      <c r="H2212" s="122">
        <v>2442</v>
      </c>
      <c r="I2212" s="122">
        <v>132404</v>
      </c>
      <c r="J2212" s="122">
        <v>120367</v>
      </c>
      <c r="K2212" s="122">
        <v>70</v>
      </c>
      <c r="L2212" s="122">
        <v>31086</v>
      </c>
      <c r="M2212" s="122">
        <v>27300</v>
      </c>
      <c r="N2212" s="122">
        <v>6417</v>
      </c>
      <c r="O2212" s="122">
        <v>2377</v>
      </c>
      <c r="P2212" s="122">
        <v>2484</v>
      </c>
      <c r="Q2212" s="122">
        <v>920</v>
      </c>
      <c r="R2212" s="122">
        <v>25324</v>
      </c>
      <c r="S2212" s="122">
        <v>9379</v>
      </c>
      <c r="T2212" s="122">
        <v>0</v>
      </c>
      <c r="U2212" s="122">
        <v>0</v>
      </c>
      <c r="V2212" s="122">
        <v>160343</v>
      </c>
      <c r="W2212" s="122">
        <f t="shared" si="70"/>
        <v>160343</v>
      </c>
      <c r="X2212" s="122">
        <f t="shared" si="71"/>
        <v>197715</v>
      </c>
    </row>
    <row r="2213" spans="2:24">
      <c r="B2213" t="s">
        <v>381</v>
      </c>
      <c r="C2213" t="s">
        <v>64</v>
      </c>
      <c r="D2213" t="s">
        <v>406</v>
      </c>
      <c r="E2213" t="s">
        <v>406</v>
      </c>
      <c r="F2213" s="122">
        <v>72</v>
      </c>
      <c r="G2213" s="122">
        <v>6719</v>
      </c>
      <c r="H2213" s="122">
        <v>38414</v>
      </c>
      <c r="I2213" s="122">
        <v>2402426</v>
      </c>
      <c r="J2213" s="122">
        <v>2184023</v>
      </c>
      <c r="K2213" s="122">
        <v>71</v>
      </c>
      <c r="L2213" s="122">
        <v>488849</v>
      </c>
      <c r="M2213" s="122">
        <v>441140</v>
      </c>
      <c r="N2213" s="122">
        <v>147134</v>
      </c>
      <c r="O2213" s="122">
        <v>54494</v>
      </c>
      <c r="P2213" s="122">
        <v>44375</v>
      </c>
      <c r="Q2213" s="122">
        <v>16435</v>
      </c>
      <c r="R2213" s="122">
        <v>334841</v>
      </c>
      <c r="S2213" s="122">
        <v>304401</v>
      </c>
      <c r="T2213" s="122">
        <v>137380</v>
      </c>
      <c r="U2213" s="122">
        <v>50881</v>
      </c>
      <c r="V2213" s="122">
        <v>3051375</v>
      </c>
      <c r="W2213" s="122">
        <f t="shared" si="70"/>
        <v>3051374</v>
      </c>
      <c r="X2213" s="122">
        <f t="shared" si="71"/>
        <v>3555005</v>
      </c>
    </row>
    <row r="2214" spans="2:24">
      <c r="B2214" t="s">
        <v>381</v>
      </c>
      <c r="C2214" t="s">
        <v>64</v>
      </c>
      <c r="D2214" t="s">
        <v>427</v>
      </c>
      <c r="E2214" t="s">
        <v>427</v>
      </c>
      <c r="F2214" s="122">
        <v>8</v>
      </c>
      <c r="G2214" s="122">
        <v>456</v>
      </c>
      <c r="H2214" s="122">
        <v>3999</v>
      </c>
      <c r="I2214" s="122">
        <v>156637</v>
      </c>
      <c r="J2214" s="122">
        <v>142398</v>
      </c>
      <c r="K2214" s="122">
        <v>46</v>
      </c>
      <c r="L2214" s="122">
        <v>8899</v>
      </c>
      <c r="M2214" s="122">
        <v>8090</v>
      </c>
      <c r="N2214" s="122">
        <v>10039</v>
      </c>
      <c r="O2214" s="122">
        <v>3718</v>
      </c>
      <c r="P2214" s="122">
        <v>2808</v>
      </c>
      <c r="Q2214" s="122">
        <v>1040</v>
      </c>
      <c r="R2214" s="122">
        <v>37284</v>
      </c>
      <c r="S2214" s="122">
        <v>33895</v>
      </c>
      <c r="T2214" s="122">
        <v>14866</v>
      </c>
      <c r="U2214" s="122">
        <v>5506</v>
      </c>
      <c r="V2214" s="122">
        <v>194646</v>
      </c>
      <c r="W2214" s="122">
        <f t="shared" si="70"/>
        <v>194647</v>
      </c>
      <c r="X2214" s="122">
        <f t="shared" si="71"/>
        <v>230533</v>
      </c>
    </row>
    <row r="2215" spans="2:24">
      <c r="B2215" t="s">
        <v>381</v>
      </c>
      <c r="C2215" t="s">
        <v>64</v>
      </c>
      <c r="D2215" t="s">
        <v>407</v>
      </c>
      <c r="E2215" t="s">
        <v>407</v>
      </c>
      <c r="F2215" s="122">
        <v>1</v>
      </c>
      <c r="G2215" s="122">
        <v>70</v>
      </c>
      <c r="H2215" s="122">
        <v>456</v>
      </c>
      <c r="I2215" s="122">
        <v>20063</v>
      </c>
      <c r="J2215" s="122">
        <v>18239</v>
      </c>
      <c r="K2215" s="122">
        <v>79</v>
      </c>
      <c r="L2215" s="122">
        <v>3032</v>
      </c>
      <c r="M2215" s="122">
        <v>2756</v>
      </c>
      <c r="N2215" s="122">
        <v>1706</v>
      </c>
      <c r="O2215" s="122">
        <v>632</v>
      </c>
      <c r="P2215" s="122">
        <v>473</v>
      </c>
      <c r="Q2215" s="122">
        <v>175</v>
      </c>
      <c r="R2215" s="122">
        <v>6618</v>
      </c>
      <c r="S2215" s="122">
        <v>6016</v>
      </c>
      <c r="T2215" s="122">
        <v>0</v>
      </c>
      <c r="U2215" s="122">
        <v>0</v>
      </c>
      <c r="V2215" s="122">
        <v>27818</v>
      </c>
      <c r="W2215" s="122">
        <f t="shared" si="70"/>
        <v>27818</v>
      </c>
      <c r="X2215" s="122">
        <f t="shared" si="71"/>
        <v>31892</v>
      </c>
    </row>
    <row r="2216" spans="2:24">
      <c r="B2216" t="s">
        <v>381</v>
      </c>
      <c r="C2216" t="s">
        <v>64</v>
      </c>
      <c r="D2216" t="s">
        <v>556</v>
      </c>
      <c r="E2216" t="s">
        <v>556</v>
      </c>
      <c r="F2216" s="122">
        <v>5</v>
      </c>
      <c r="G2216" s="122">
        <v>229</v>
      </c>
      <c r="H2216" s="122">
        <v>2473</v>
      </c>
      <c r="I2216" s="122">
        <v>67378</v>
      </c>
      <c r="J2216" s="122">
        <v>56149</v>
      </c>
      <c r="K2216" s="122">
        <v>48</v>
      </c>
      <c r="L2216" s="122">
        <v>5291</v>
      </c>
      <c r="M2216" s="122">
        <v>1960</v>
      </c>
      <c r="N2216" s="122">
        <v>5428</v>
      </c>
      <c r="O2216" s="122">
        <v>2010</v>
      </c>
      <c r="P2216" s="122">
        <v>1755</v>
      </c>
      <c r="Q2216" s="122">
        <v>650</v>
      </c>
      <c r="R2216" s="122">
        <v>24793</v>
      </c>
      <c r="S2216" s="122">
        <v>20661</v>
      </c>
      <c r="T2216" s="122">
        <v>8599</v>
      </c>
      <c r="U2216" s="122">
        <v>3185</v>
      </c>
      <c r="V2216" s="122">
        <v>84615</v>
      </c>
      <c r="W2216" s="122">
        <f t="shared" si="70"/>
        <v>84615</v>
      </c>
      <c r="X2216" s="122">
        <f t="shared" si="71"/>
        <v>113244</v>
      </c>
    </row>
    <row r="2217" spans="2:24">
      <c r="B2217" t="s">
        <v>381</v>
      </c>
      <c r="C2217" t="s">
        <v>64</v>
      </c>
      <c r="D2217" t="s">
        <v>426</v>
      </c>
      <c r="E2217" t="s">
        <v>137</v>
      </c>
      <c r="F2217" s="122">
        <v>16</v>
      </c>
      <c r="G2217" s="122">
        <v>1273</v>
      </c>
      <c r="H2217" s="122">
        <v>13253</v>
      </c>
      <c r="I2217" s="122">
        <v>858613</v>
      </c>
      <c r="J2217" s="122">
        <v>780557</v>
      </c>
      <c r="K2217" s="122">
        <v>38</v>
      </c>
      <c r="L2217" s="122">
        <v>79079</v>
      </c>
      <c r="M2217" s="122">
        <v>35422</v>
      </c>
      <c r="N2217" s="122">
        <v>28758</v>
      </c>
      <c r="O2217" s="122">
        <v>10651</v>
      </c>
      <c r="P2217" s="122">
        <v>3223</v>
      </c>
      <c r="Q2217" s="122">
        <v>1194</v>
      </c>
      <c r="R2217" s="122">
        <v>132386</v>
      </c>
      <c r="S2217" s="122">
        <v>49032</v>
      </c>
      <c r="T2217" s="122">
        <v>0</v>
      </c>
      <c r="U2217" s="122">
        <v>0</v>
      </c>
      <c r="V2217" s="122">
        <v>876856</v>
      </c>
      <c r="W2217" s="122">
        <f t="shared" si="70"/>
        <v>876856</v>
      </c>
      <c r="X2217" s="122">
        <f t="shared" si="71"/>
        <v>1102059</v>
      </c>
    </row>
    <row r="2218" spans="2:24">
      <c r="B2218" t="s">
        <v>381</v>
      </c>
      <c r="C2218" t="s">
        <v>64</v>
      </c>
      <c r="D2218" t="s">
        <v>426</v>
      </c>
      <c r="E2218" t="s">
        <v>426</v>
      </c>
      <c r="F2218" s="122">
        <v>57</v>
      </c>
      <c r="G2218" s="122">
        <v>4140</v>
      </c>
      <c r="H2218" s="122">
        <v>36521</v>
      </c>
      <c r="I2218" s="122">
        <v>1906183</v>
      </c>
      <c r="J2218" s="122">
        <v>1732893</v>
      </c>
      <c r="K2218" s="122">
        <v>46</v>
      </c>
      <c r="L2218" s="122">
        <v>249168</v>
      </c>
      <c r="M2218" s="122">
        <v>198298</v>
      </c>
      <c r="N2218" s="122">
        <v>92888</v>
      </c>
      <c r="O2218" s="122">
        <v>34403</v>
      </c>
      <c r="P2218" s="122">
        <v>17469</v>
      </c>
      <c r="Q2218" s="122">
        <v>6470</v>
      </c>
      <c r="R2218" s="122">
        <v>345191</v>
      </c>
      <c r="S2218" s="122">
        <v>313810</v>
      </c>
      <c r="T2218" s="122">
        <v>109024</v>
      </c>
      <c r="U2218" s="122">
        <v>40379</v>
      </c>
      <c r="V2218" s="122">
        <v>2326254</v>
      </c>
      <c r="W2218" s="122">
        <f t="shared" si="70"/>
        <v>2326253</v>
      </c>
      <c r="X2218" s="122">
        <f t="shared" si="71"/>
        <v>2719923</v>
      </c>
    </row>
    <row r="2219" spans="2:24">
      <c r="B2219" t="s">
        <v>381</v>
      </c>
      <c r="C2219" t="s">
        <v>64</v>
      </c>
      <c r="D2219" t="s">
        <v>433</v>
      </c>
      <c r="E2219" t="s">
        <v>433</v>
      </c>
      <c r="F2219" s="122">
        <v>1</v>
      </c>
      <c r="G2219" s="122">
        <v>98</v>
      </c>
      <c r="H2219" s="122">
        <v>455</v>
      </c>
      <c r="I2219" s="122">
        <v>36660</v>
      </c>
      <c r="J2219" s="122">
        <v>33327</v>
      </c>
      <c r="K2219" s="122">
        <v>65</v>
      </c>
      <c r="L2219" s="122">
        <v>0</v>
      </c>
      <c r="M2219" s="122">
        <v>0</v>
      </c>
      <c r="N2219" s="122">
        <v>1791</v>
      </c>
      <c r="O2219" s="122">
        <v>663</v>
      </c>
      <c r="P2219" s="122">
        <v>351</v>
      </c>
      <c r="Q2219" s="122">
        <v>130</v>
      </c>
      <c r="R2219" s="122">
        <v>3874</v>
      </c>
      <c r="S2219" s="122">
        <v>3521</v>
      </c>
      <c r="T2219" s="122">
        <v>1957</v>
      </c>
      <c r="U2219" s="122">
        <v>725</v>
      </c>
      <c r="V2219" s="122">
        <v>38367</v>
      </c>
      <c r="W2219" s="122">
        <f t="shared" si="70"/>
        <v>38366</v>
      </c>
      <c r="X2219" s="122">
        <f t="shared" si="71"/>
        <v>44633</v>
      </c>
    </row>
    <row r="2220" spans="2:24">
      <c r="B2220" t="s">
        <v>382</v>
      </c>
      <c r="C2220" t="s">
        <v>48</v>
      </c>
      <c r="D2220" t="s">
        <v>137</v>
      </c>
      <c r="E2220" t="s">
        <v>137</v>
      </c>
      <c r="F2220" s="122">
        <v>81</v>
      </c>
      <c r="G2220" s="122">
        <v>7107</v>
      </c>
      <c r="H2220" s="122">
        <v>5023</v>
      </c>
      <c r="I2220" s="122">
        <v>42267</v>
      </c>
      <c r="J2220" s="122">
        <v>15654</v>
      </c>
      <c r="K2220" s="122">
        <v>410</v>
      </c>
      <c r="L2220" s="122">
        <v>7057</v>
      </c>
      <c r="M2220" s="122">
        <v>6354</v>
      </c>
      <c r="N2220" s="122">
        <v>86590</v>
      </c>
      <c r="O2220" s="122">
        <v>32070</v>
      </c>
      <c r="P2220" s="122">
        <v>59461</v>
      </c>
      <c r="Q2220" s="122">
        <v>22022</v>
      </c>
      <c r="R2220" s="122">
        <v>231614</v>
      </c>
      <c r="S2220" s="122">
        <v>85783</v>
      </c>
      <c r="T2220" s="122">
        <v>0</v>
      </c>
      <c r="U2220" s="122">
        <v>0</v>
      </c>
      <c r="V2220" s="122">
        <v>161884</v>
      </c>
      <c r="W2220" s="122">
        <f t="shared" si="70"/>
        <v>161883</v>
      </c>
      <c r="X2220" s="122">
        <f t="shared" si="71"/>
        <v>426989</v>
      </c>
    </row>
    <row r="2221" spans="2:24">
      <c r="B2221" t="s">
        <v>382</v>
      </c>
      <c r="C2221" t="s">
        <v>48</v>
      </c>
      <c r="D2221" t="s">
        <v>406</v>
      </c>
      <c r="E2221" t="s">
        <v>406</v>
      </c>
      <c r="F2221" s="122">
        <v>7</v>
      </c>
      <c r="G2221" s="122">
        <v>1054</v>
      </c>
      <c r="H2221" s="122">
        <v>413</v>
      </c>
      <c r="I2221" s="122">
        <v>12034</v>
      </c>
      <c r="J2221" s="122">
        <v>10940</v>
      </c>
      <c r="K2221" s="122">
        <v>94</v>
      </c>
      <c r="L2221" s="122">
        <v>497</v>
      </c>
      <c r="M2221" s="122">
        <v>452</v>
      </c>
      <c r="N2221" s="122">
        <v>14618</v>
      </c>
      <c r="O2221" s="122">
        <v>5414</v>
      </c>
      <c r="P2221" s="122">
        <v>4347</v>
      </c>
      <c r="Q2221" s="122">
        <v>1610</v>
      </c>
      <c r="R2221" s="122">
        <v>30678</v>
      </c>
      <c r="S2221" s="122">
        <v>27889</v>
      </c>
      <c r="T2221" s="122">
        <v>0</v>
      </c>
      <c r="U2221" s="122">
        <v>0</v>
      </c>
      <c r="V2221" s="122">
        <v>46305</v>
      </c>
      <c r="W2221" s="122">
        <f t="shared" si="70"/>
        <v>46305</v>
      </c>
      <c r="X2221" s="122">
        <f t="shared" si="71"/>
        <v>62174</v>
      </c>
    </row>
    <row r="2222" spans="2:24">
      <c r="B2222" t="s">
        <v>382</v>
      </c>
      <c r="C2222" t="s">
        <v>50</v>
      </c>
      <c r="D2222" t="s">
        <v>405</v>
      </c>
      <c r="E2222" t="s">
        <v>405</v>
      </c>
      <c r="F2222" s="122">
        <v>1</v>
      </c>
      <c r="G2222" s="122">
        <v>133</v>
      </c>
      <c r="H2222" s="122">
        <v>99</v>
      </c>
      <c r="I2222" s="122">
        <v>5164</v>
      </c>
      <c r="J2222" s="122">
        <v>4695</v>
      </c>
      <c r="K2222" s="122">
        <v>92</v>
      </c>
      <c r="L2222" s="122">
        <v>1767</v>
      </c>
      <c r="M2222" s="122">
        <v>1607</v>
      </c>
      <c r="N2222" s="122">
        <v>3249</v>
      </c>
      <c r="O2222" s="122">
        <v>1203</v>
      </c>
      <c r="P2222" s="122">
        <v>473</v>
      </c>
      <c r="Q2222" s="122">
        <v>175</v>
      </c>
      <c r="R2222" s="122">
        <v>2609</v>
      </c>
      <c r="S2222" s="122">
        <v>2372</v>
      </c>
      <c r="T2222" s="122">
        <v>0</v>
      </c>
      <c r="U2222" s="122">
        <v>0</v>
      </c>
      <c r="V2222" s="122">
        <v>10052</v>
      </c>
      <c r="W2222" s="122">
        <f t="shared" si="70"/>
        <v>10052</v>
      </c>
      <c r="X2222" s="122">
        <f t="shared" si="71"/>
        <v>13262</v>
      </c>
    </row>
    <row r="2223" spans="2:24">
      <c r="B2223" t="s">
        <v>382</v>
      </c>
      <c r="C2223" t="s">
        <v>50</v>
      </c>
      <c r="D2223" t="s">
        <v>137</v>
      </c>
      <c r="E2223" t="s">
        <v>137</v>
      </c>
      <c r="F2223" s="122">
        <v>66</v>
      </c>
      <c r="G2223" s="122">
        <v>5031</v>
      </c>
      <c r="H2223" s="122">
        <v>5822</v>
      </c>
      <c r="I2223" s="122">
        <v>113148</v>
      </c>
      <c r="J2223" s="122">
        <v>41907</v>
      </c>
      <c r="K2223" s="122">
        <v>368</v>
      </c>
      <c r="L2223" s="122">
        <v>27056</v>
      </c>
      <c r="M2223" s="122">
        <v>24597</v>
      </c>
      <c r="N2223" s="122">
        <v>85012</v>
      </c>
      <c r="O2223" s="122">
        <v>31486</v>
      </c>
      <c r="P2223" s="122">
        <v>37685</v>
      </c>
      <c r="Q2223" s="122">
        <v>13958</v>
      </c>
      <c r="R2223" s="122">
        <v>183002</v>
      </c>
      <c r="S2223" s="122">
        <v>67779</v>
      </c>
      <c r="T2223" s="122">
        <v>0</v>
      </c>
      <c r="U2223" s="122">
        <v>0</v>
      </c>
      <c r="V2223" s="122">
        <v>179725</v>
      </c>
      <c r="W2223" s="122">
        <f t="shared" si="70"/>
        <v>179727</v>
      </c>
      <c r="X2223" s="122">
        <f t="shared" si="71"/>
        <v>445903</v>
      </c>
    </row>
    <row r="2224" spans="2:24">
      <c r="B2224" t="s">
        <v>382</v>
      </c>
      <c r="C2224" t="s">
        <v>50</v>
      </c>
      <c r="D2224" t="s">
        <v>406</v>
      </c>
      <c r="E2224" t="s">
        <v>406</v>
      </c>
      <c r="F2224" s="122">
        <v>9</v>
      </c>
      <c r="G2224" s="122">
        <v>1023</v>
      </c>
      <c r="H2224" s="122">
        <v>783</v>
      </c>
      <c r="I2224" s="122">
        <v>44690</v>
      </c>
      <c r="J2224" s="122">
        <v>40627</v>
      </c>
      <c r="K2224" s="122">
        <v>95</v>
      </c>
      <c r="L2224" s="122">
        <v>7971</v>
      </c>
      <c r="M2224" s="122">
        <v>7246</v>
      </c>
      <c r="N2224" s="122">
        <v>13252</v>
      </c>
      <c r="O2224" s="122">
        <v>4908</v>
      </c>
      <c r="P2224" s="122">
        <v>5589</v>
      </c>
      <c r="Q2224" s="122">
        <v>2070</v>
      </c>
      <c r="R2224" s="122">
        <v>17430</v>
      </c>
      <c r="S2224" s="122">
        <v>15845</v>
      </c>
      <c r="T2224" s="122">
        <v>0</v>
      </c>
      <c r="U2224" s="122">
        <v>0</v>
      </c>
      <c r="V2224" s="122">
        <v>70697</v>
      </c>
      <c r="W2224" s="122">
        <f t="shared" si="70"/>
        <v>70696</v>
      </c>
      <c r="X2224" s="122">
        <f t="shared" si="71"/>
        <v>88932</v>
      </c>
    </row>
    <row r="2225" spans="2:24">
      <c r="B2225" t="s">
        <v>382</v>
      </c>
      <c r="C2225" t="s">
        <v>50</v>
      </c>
      <c r="D2225" t="s">
        <v>407</v>
      </c>
      <c r="E2225" t="s">
        <v>407</v>
      </c>
      <c r="F2225" s="122">
        <v>1</v>
      </c>
      <c r="G2225" s="122">
        <v>129</v>
      </c>
      <c r="H2225" s="122">
        <v>95</v>
      </c>
      <c r="I2225" s="122">
        <v>5109</v>
      </c>
      <c r="J2225" s="122">
        <v>4644</v>
      </c>
      <c r="K2225" s="122">
        <v>92</v>
      </c>
      <c r="L2225" s="122">
        <v>874</v>
      </c>
      <c r="M2225" s="122">
        <v>795</v>
      </c>
      <c r="N2225" s="122">
        <v>1890</v>
      </c>
      <c r="O2225" s="122">
        <v>700</v>
      </c>
      <c r="P2225" s="122">
        <v>473</v>
      </c>
      <c r="Q2225" s="122">
        <v>175</v>
      </c>
      <c r="R2225" s="122">
        <v>3902</v>
      </c>
      <c r="S2225" s="122">
        <v>3548</v>
      </c>
      <c r="T2225" s="122">
        <v>0</v>
      </c>
      <c r="U2225" s="122">
        <v>0</v>
      </c>
      <c r="V2225" s="122">
        <v>9862</v>
      </c>
      <c r="W2225" s="122">
        <f t="shared" si="70"/>
        <v>9862</v>
      </c>
      <c r="X2225" s="122">
        <f t="shared" si="71"/>
        <v>12248</v>
      </c>
    </row>
    <row r="2226" spans="2:24">
      <c r="B2226" t="s">
        <v>382</v>
      </c>
      <c r="C2226" t="s">
        <v>52</v>
      </c>
      <c r="D2226" t="s">
        <v>405</v>
      </c>
      <c r="E2226" t="s">
        <v>405</v>
      </c>
      <c r="F2226" s="122">
        <v>41</v>
      </c>
      <c r="G2226" s="122">
        <v>4712</v>
      </c>
      <c r="H2226" s="122">
        <v>4840</v>
      </c>
      <c r="I2226" s="122">
        <v>246573</v>
      </c>
      <c r="J2226" s="122">
        <v>224157</v>
      </c>
      <c r="K2226" s="122">
        <v>90</v>
      </c>
      <c r="L2226" s="122">
        <v>52297</v>
      </c>
      <c r="M2226" s="122">
        <v>45480</v>
      </c>
      <c r="N2226" s="122">
        <v>99311</v>
      </c>
      <c r="O2226" s="122">
        <v>36782</v>
      </c>
      <c r="P2226" s="122">
        <v>20223</v>
      </c>
      <c r="Q2226" s="122">
        <v>7490</v>
      </c>
      <c r="R2226" s="122">
        <v>163553</v>
      </c>
      <c r="S2226" s="122">
        <v>148685</v>
      </c>
      <c r="T2226" s="122">
        <v>0</v>
      </c>
      <c r="U2226" s="122">
        <v>0</v>
      </c>
      <c r="V2226" s="122">
        <v>462594</v>
      </c>
      <c r="W2226" s="122">
        <f t="shared" si="70"/>
        <v>462594</v>
      </c>
      <c r="X2226" s="122">
        <f t="shared" si="71"/>
        <v>581957</v>
      </c>
    </row>
    <row r="2227" spans="2:24">
      <c r="B2227" t="s">
        <v>382</v>
      </c>
      <c r="C2227" t="s">
        <v>52</v>
      </c>
      <c r="D2227" t="s">
        <v>137</v>
      </c>
      <c r="E2227" t="s">
        <v>137</v>
      </c>
      <c r="F2227" s="122">
        <v>4</v>
      </c>
      <c r="G2227" s="122">
        <v>552</v>
      </c>
      <c r="H2227" s="122">
        <v>469</v>
      </c>
      <c r="I2227" s="122">
        <v>19784</v>
      </c>
      <c r="J2227" s="122">
        <v>7328</v>
      </c>
      <c r="K2227" s="122">
        <v>286</v>
      </c>
      <c r="L2227" s="122">
        <v>1938</v>
      </c>
      <c r="M2227" s="122">
        <v>1129</v>
      </c>
      <c r="N2227" s="122">
        <v>10007</v>
      </c>
      <c r="O2227" s="122">
        <v>3706</v>
      </c>
      <c r="P2227" s="122">
        <v>1404</v>
      </c>
      <c r="Q2227" s="122">
        <v>520</v>
      </c>
      <c r="R2227" s="122">
        <v>33548</v>
      </c>
      <c r="S2227" s="122">
        <v>12425</v>
      </c>
      <c r="T2227" s="122">
        <v>0</v>
      </c>
      <c r="U2227" s="122">
        <v>0</v>
      </c>
      <c r="V2227" s="122">
        <v>25108</v>
      </c>
      <c r="W2227" s="122">
        <f t="shared" si="70"/>
        <v>25108</v>
      </c>
      <c r="X2227" s="122">
        <f t="shared" si="71"/>
        <v>66681</v>
      </c>
    </row>
    <row r="2228" spans="2:24">
      <c r="B2228" t="s">
        <v>382</v>
      </c>
      <c r="C2228" t="s">
        <v>52</v>
      </c>
      <c r="D2228" t="s">
        <v>406</v>
      </c>
      <c r="E2228" t="s">
        <v>406</v>
      </c>
      <c r="F2228" s="122">
        <v>36</v>
      </c>
      <c r="G2228" s="122">
        <v>3881</v>
      </c>
      <c r="H2228" s="122">
        <v>4274</v>
      </c>
      <c r="I2228" s="122">
        <v>200290</v>
      </c>
      <c r="J2228" s="122">
        <v>182082</v>
      </c>
      <c r="K2228" s="122">
        <v>92</v>
      </c>
      <c r="L2228" s="122">
        <v>36181</v>
      </c>
      <c r="M2228" s="122">
        <v>34317</v>
      </c>
      <c r="N2228" s="122">
        <v>64703</v>
      </c>
      <c r="O2228" s="122">
        <v>23964</v>
      </c>
      <c r="P2228" s="122">
        <v>22356</v>
      </c>
      <c r="Q2228" s="122">
        <v>8280</v>
      </c>
      <c r="R2228" s="122">
        <v>146050</v>
      </c>
      <c r="S2228" s="122">
        <v>132773</v>
      </c>
      <c r="T2228" s="122">
        <v>2913</v>
      </c>
      <c r="U2228" s="122">
        <v>1079</v>
      </c>
      <c r="V2228" s="122">
        <v>382494</v>
      </c>
      <c r="W2228" s="122">
        <f t="shared" si="70"/>
        <v>382495</v>
      </c>
      <c r="X2228" s="122">
        <f t="shared" si="71"/>
        <v>472493</v>
      </c>
    </row>
    <row r="2229" spans="2:24">
      <c r="B2229" t="s">
        <v>382</v>
      </c>
      <c r="C2229" t="s">
        <v>54</v>
      </c>
      <c r="D2229" t="s">
        <v>425</v>
      </c>
      <c r="E2229" t="s">
        <v>425</v>
      </c>
      <c r="F2229" s="122">
        <v>1</v>
      </c>
      <c r="G2229" s="122">
        <v>78</v>
      </c>
      <c r="H2229" s="122">
        <v>140</v>
      </c>
      <c r="I2229" s="122">
        <v>4984</v>
      </c>
      <c r="J2229" s="122">
        <v>4531</v>
      </c>
      <c r="K2229" s="122">
        <v>91</v>
      </c>
      <c r="L2229" s="122">
        <v>758</v>
      </c>
      <c r="M2229" s="122">
        <v>689</v>
      </c>
      <c r="N2229" s="122">
        <v>953</v>
      </c>
      <c r="O2229" s="122">
        <v>353</v>
      </c>
      <c r="P2229" s="122">
        <v>473</v>
      </c>
      <c r="Q2229" s="122">
        <v>175</v>
      </c>
      <c r="R2229" s="122">
        <v>3783</v>
      </c>
      <c r="S2229" s="122">
        <v>3439</v>
      </c>
      <c r="T2229" s="122">
        <v>0</v>
      </c>
      <c r="U2229" s="122">
        <v>0</v>
      </c>
      <c r="V2229" s="122">
        <v>9187</v>
      </c>
      <c r="W2229" s="122">
        <f t="shared" si="70"/>
        <v>9187</v>
      </c>
      <c r="X2229" s="122">
        <f t="shared" si="71"/>
        <v>10951</v>
      </c>
    </row>
    <row r="2230" spans="2:24">
      <c r="B2230" t="s">
        <v>382</v>
      </c>
      <c r="C2230" t="s">
        <v>54</v>
      </c>
      <c r="D2230" t="s">
        <v>405</v>
      </c>
      <c r="E2230" t="s">
        <v>405</v>
      </c>
      <c r="F2230" s="122">
        <v>112</v>
      </c>
      <c r="G2230" s="122">
        <v>11160</v>
      </c>
      <c r="H2230" s="122">
        <v>15356</v>
      </c>
      <c r="I2230" s="122">
        <v>685099</v>
      </c>
      <c r="J2230" s="122">
        <v>622817</v>
      </c>
      <c r="K2230" s="122">
        <v>89</v>
      </c>
      <c r="L2230" s="122">
        <v>150041</v>
      </c>
      <c r="M2230" s="122">
        <v>129404</v>
      </c>
      <c r="N2230" s="122">
        <v>232131</v>
      </c>
      <c r="O2230" s="122">
        <v>85974</v>
      </c>
      <c r="P2230" s="122">
        <v>57912</v>
      </c>
      <c r="Q2230" s="122">
        <v>21449</v>
      </c>
      <c r="R2230" s="122">
        <v>454988</v>
      </c>
      <c r="S2230" s="122">
        <v>413625</v>
      </c>
      <c r="T2230" s="122">
        <v>2664</v>
      </c>
      <c r="U2230" s="122">
        <v>987</v>
      </c>
      <c r="V2230" s="122">
        <v>1274257</v>
      </c>
      <c r="W2230" s="122">
        <f t="shared" si="70"/>
        <v>1274256</v>
      </c>
      <c r="X2230" s="122">
        <f t="shared" si="71"/>
        <v>1582835</v>
      </c>
    </row>
    <row r="2231" spans="2:24">
      <c r="B2231" t="s">
        <v>382</v>
      </c>
      <c r="C2231" t="s">
        <v>54</v>
      </c>
      <c r="D2231" t="s">
        <v>137</v>
      </c>
      <c r="E2231" t="s">
        <v>137</v>
      </c>
      <c r="F2231" s="122">
        <v>3</v>
      </c>
      <c r="G2231" s="122">
        <v>228</v>
      </c>
      <c r="H2231" s="122">
        <v>421</v>
      </c>
      <c r="I2231" s="122">
        <v>10448</v>
      </c>
      <c r="J2231" s="122">
        <v>3870</v>
      </c>
      <c r="K2231" s="122">
        <v>199</v>
      </c>
      <c r="L2231" s="122">
        <v>1418</v>
      </c>
      <c r="M2231" s="122">
        <v>525</v>
      </c>
      <c r="N2231" s="122">
        <v>3136</v>
      </c>
      <c r="O2231" s="122">
        <v>1162</v>
      </c>
      <c r="P2231" s="122">
        <v>351</v>
      </c>
      <c r="Q2231" s="122">
        <v>130</v>
      </c>
      <c r="R2231" s="122">
        <v>16511</v>
      </c>
      <c r="S2231" s="122">
        <v>6115</v>
      </c>
      <c r="T2231" s="122">
        <v>0</v>
      </c>
      <c r="U2231" s="122">
        <v>0</v>
      </c>
      <c r="V2231" s="122">
        <v>11801</v>
      </c>
      <c r="W2231" s="122">
        <f t="shared" si="70"/>
        <v>11802</v>
      </c>
      <c r="X2231" s="122">
        <f t="shared" si="71"/>
        <v>31864</v>
      </c>
    </row>
    <row r="2232" spans="2:24">
      <c r="B2232" t="s">
        <v>382</v>
      </c>
      <c r="C2232" t="s">
        <v>54</v>
      </c>
      <c r="D2232" t="s">
        <v>406</v>
      </c>
      <c r="E2232" t="s">
        <v>406</v>
      </c>
      <c r="F2232" s="122">
        <v>276</v>
      </c>
      <c r="G2232" s="122">
        <v>28853</v>
      </c>
      <c r="H2232" s="122">
        <v>39450</v>
      </c>
      <c r="I2232" s="122">
        <v>1814810</v>
      </c>
      <c r="J2232" s="122">
        <v>1649827</v>
      </c>
      <c r="K2232" s="122">
        <v>91</v>
      </c>
      <c r="L2232" s="122">
        <v>421422</v>
      </c>
      <c r="M2232" s="122">
        <v>371691</v>
      </c>
      <c r="N2232" s="122">
        <v>523405</v>
      </c>
      <c r="O2232" s="122">
        <v>193854</v>
      </c>
      <c r="P2232" s="122">
        <v>182536</v>
      </c>
      <c r="Q2232" s="122">
        <v>67606</v>
      </c>
      <c r="R2232" s="122">
        <v>1150462</v>
      </c>
      <c r="S2232" s="122">
        <v>1045874</v>
      </c>
      <c r="T2232" s="122">
        <v>62422</v>
      </c>
      <c r="U2232" s="122">
        <v>23119</v>
      </c>
      <c r="V2232" s="122">
        <v>3351971</v>
      </c>
      <c r="W2232" s="122">
        <f t="shared" si="70"/>
        <v>3351971</v>
      </c>
      <c r="X2232" s="122">
        <f t="shared" si="71"/>
        <v>4155057</v>
      </c>
    </row>
    <row r="2233" spans="2:24">
      <c r="B2233" t="s">
        <v>382</v>
      </c>
      <c r="C2233" t="s">
        <v>54</v>
      </c>
      <c r="D2233" t="s">
        <v>407</v>
      </c>
      <c r="E2233" t="s">
        <v>407</v>
      </c>
      <c r="F2233" s="122">
        <v>18</v>
      </c>
      <c r="G2233" s="122">
        <v>1860</v>
      </c>
      <c r="H2233" s="122">
        <v>2476</v>
      </c>
      <c r="I2233" s="122">
        <v>131060</v>
      </c>
      <c r="J2233" s="122">
        <v>119146</v>
      </c>
      <c r="K2233" s="122">
        <v>80</v>
      </c>
      <c r="L2233" s="122">
        <v>5143</v>
      </c>
      <c r="M2233" s="122">
        <v>15495</v>
      </c>
      <c r="N2233" s="122">
        <v>31657</v>
      </c>
      <c r="O2233" s="122">
        <v>11725</v>
      </c>
      <c r="P2233" s="122">
        <v>8505</v>
      </c>
      <c r="Q2233" s="122">
        <v>3150</v>
      </c>
      <c r="R2233" s="122">
        <v>81125</v>
      </c>
      <c r="S2233" s="122">
        <v>73750</v>
      </c>
      <c r="T2233" s="122">
        <v>2326</v>
      </c>
      <c r="U2233" s="122">
        <v>861</v>
      </c>
      <c r="V2233" s="122">
        <v>224127</v>
      </c>
      <c r="W2233" s="122">
        <f t="shared" si="70"/>
        <v>224127</v>
      </c>
      <c r="X2233" s="122">
        <f t="shared" si="71"/>
        <v>259816</v>
      </c>
    </row>
    <row r="2234" spans="2:24">
      <c r="B2234" t="s">
        <v>382</v>
      </c>
      <c r="C2234" t="s">
        <v>56</v>
      </c>
      <c r="D2234" t="s">
        <v>425</v>
      </c>
      <c r="E2234" t="s">
        <v>425</v>
      </c>
      <c r="F2234" s="122">
        <v>2</v>
      </c>
      <c r="G2234" s="122">
        <v>150</v>
      </c>
      <c r="H2234" s="122">
        <v>395</v>
      </c>
      <c r="I2234" s="122">
        <v>13956</v>
      </c>
      <c r="J2234" s="122">
        <v>12687</v>
      </c>
      <c r="K2234" s="122">
        <v>86</v>
      </c>
      <c r="L2234" s="122">
        <v>4700</v>
      </c>
      <c r="M2234" s="122">
        <v>4145</v>
      </c>
      <c r="N2234" s="122">
        <v>2792</v>
      </c>
      <c r="O2234" s="122">
        <v>1034</v>
      </c>
      <c r="P2234" s="122">
        <v>945</v>
      </c>
      <c r="Q2234" s="122">
        <v>350</v>
      </c>
      <c r="R2234" s="122">
        <v>6364</v>
      </c>
      <c r="S2234" s="122">
        <v>5786</v>
      </c>
      <c r="T2234" s="122">
        <v>0</v>
      </c>
      <c r="U2234" s="122">
        <v>0</v>
      </c>
      <c r="V2234" s="122">
        <v>24001</v>
      </c>
      <c r="W2234" s="122">
        <f t="shared" si="70"/>
        <v>24002</v>
      </c>
      <c r="X2234" s="122">
        <f t="shared" si="71"/>
        <v>28757</v>
      </c>
    </row>
    <row r="2235" spans="2:24">
      <c r="B2235" t="s">
        <v>382</v>
      </c>
      <c r="C2235" t="s">
        <v>56</v>
      </c>
      <c r="D2235" t="s">
        <v>405</v>
      </c>
      <c r="E2235" t="s">
        <v>425</v>
      </c>
      <c r="F2235" s="122">
        <v>1</v>
      </c>
      <c r="G2235" s="122">
        <v>94</v>
      </c>
      <c r="H2235" s="122">
        <v>189</v>
      </c>
      <c r="I2235" s="122">
        <v>7103</v>
      </c>
      <c r="J2235" s="122">
        <v>6457</v>
      </c>
      <c r="K2235" s="122">
        <v>82</v>
      </c>
      <c r="L2235" s="122">
        <v>3070</v>
      </c>
      <c r="M2235" s="122">
        <v>2791</v>
      </c>
      <c r="N2235" s="122">
        <v>2201</v>
      </c>
      <c r="O2235" s="122">
        <v>815</v>
      </c>
      <c r="P2235" s="122">
        <v>824</v>
      </c>
      <c r="Q2235" s="122">
        <v>305</v>
      </c>
      <c r="R2235" s="122">
        <v>4594</v>
      </c>
      <c r="S2235" s="122">
        <v>4176</v>
      </c>
      <c r="T2235" s="122">
        <v>0</v>
      </c>
      <c r="U2235" s="122">
        <v>0</v>
      </c>
      <c r="V2235" s="122">
        <v>14545</v>
      </c>
      <c r="W2235" s="122">
        <f t="shared" si="70"/>
        <v>14544</v>
      </c>
      <c r="X2235" s="122">
        <f t="shared" si="71"/>
        <v>17792</v>
      </c>
    </row>
    <row r="2236" spans="2:24">
      <c r="B2236" t="s">
        <v>382</v>
      </c>
      <c r="C2236" t="s">
        <v>56</v>
      </c>
      <c r="D2236" t="s">
        <v>405</v>
      </c>
      <c r="E2236" t="s">
        <v>405</v>
      </c>
      <c r="F2236" s="122">
        <v>154</v>
      </c>
      <c r="G2236" s="122">
        <v>15368</v>
      </c>
      <c r="H2236" s="122">
        <v>27563</v>
      </c>
      <c r="I2236" s="122">
        <v>1268305</v>
      </c>
      <c r="J2236" s="122">
        <v>1153005</v>
      </c>
      <c r="K2236" s="122">
        <v>82</v>
      </c>
      <c r="L2236" s="122">
        <v>396216</v>
      </c>
      <c r="M2236" s="122">
        <v>358504</v>
      </c>
      <c r="N2236" s="122">
        <v>320574</v>
      </c>
      <c r="O2236" s="122">
        <v>118731</v>
      </c>
      <c r="P2236" s="122">
        <v>82318</v>
      </c>
      <c r="Q2236" s="122">
        <v>30488</v>
      </c>
      <c r="R2236" s="122">
        <v>684926</v>
      </c>
      <c r="S2236" s="122">
        <v>622660</v>
      </c>
      <c r="T2236" s="122">
        <v>18766</v>
      </c>
      <c r="U2236" s="122">
        <v>6950</v>
      </c>
      <c r="V2236" s="122">
        <v>2290338</v>
      </c>
      <c r="W2236" s="122">
        <f t="shared" si="70"/>
        <v>2290338</v>
      </c>
      <c r="X2236" s="122">
        <f t="shared" si="71"/>
        <v>2771105</v>
      </c>
    </row>
    <row r="2237" spans="2:24">
      <c r="B2237" t="s">
        <v>382</v>
      </c>
      <c r="C2237" t="s">
        <v>56</v>
      </c>
      <c r="D2237" t="s">
        <v>405</v>
      </c>
      <c r="E2237" t="s">
        <v>137</v>
      </c>
      <c r="F2237" s="122">
        <v>2</v>
      </c>
      <c r="G2237" s="122">
        <v>201</v>
      </c>
      <c r="H2237" s="122">
        <v>394</v>
      </c>
      <c r="I2237" s="122">
        <v>13722</v>
      </c>
      <c r="J2237" s="122">
        <v>12474</v>
      </c>
      <c r="K2237" s="122">
        <v>81</v>
      </c>
      <c r="L2237" s="122">
        <v>5112</v>
      </c>
      <c r="M2237" s="122">
        <v>4647</v>
      </c>
      <c r="N2237" s="122">
        <v>4896</v>
      </c>
      <c r="O2237" s="122">
        <v>1813</v>
      </c>
      <c r="P2237" s="122">
        <v>945</v>
      </c>
      <c r="Q2237" s="122">
        <v>350</v>
      </c>
      <c r="R2237" s="122">
        <v>13961</v>
      </c>
      <c r="S2237" s="122">
        <v>5171</v>
      </c>
      <c r="T2237" s="122">
        <v>0</v>
      </c>
      <c r="U2237" s="122">
        <v>0</v>
      </c>
      <c r="V2237" s="122">
        <v>24455</v>
      </c>
      <c r="W2237" s="122">
        <f t="shared" si="70"/>
        <v>24455</v>
      </c>
      <c r="X2237" s="122">
        <f t="shared" si="71"/>
        <v>38636</v>
      </c>
    </row>
    <row r="2238" spans="2:24">
      <c r="B2238" t="s">
        <v>382</v>
      </c>
      <c r="C2238" t="s">
        <v>56</v>
      </c>
      <c r="D2238" t="s">
        <v>137</v>
      </c>
      <c r="E2238" t="s">
        <v>137</v>
      </c>
      <c r="F2238" s="122">
        <v>57</v>
      </c>
      <c r="G2238" s="122">
        <v>5791</v>
      </c>
      <c r="H2238" s="122">
        <v>11631</v>
      </c>
      <c r="I2238" s="122">
        <v>606550</v>
      </c>
      <c r="J2238" s="122">
        <v>224648</v>
      </c>
      <c r="K2238" s="122">
        <v>108</v>
      </c>
      <c r="L2238" s="122">
        <v>71472</v>
      </c>
      <c r="M2238" s="122">
        <v>43282</v>
      </c>
      <c r="N2238" s="122">
        <v>118353</v>
      </c>
      <c r="O2238" s="122">
        <v>43834</v>
      </c>
      <c r="P2238" s="122">
        <v>792</v>
      </c>
      <c r="Q2238" s="122">
        <v>293</v>
      </c>
      <c r="R2238" s="122">
        <v>409649</v>
      </c>
      <c r="S2238" s="122">
        <v>151722</v>
      </c>
      <c r="T2238" s="122">
        <v>0</v>
      </c>
      <c r="U2238" s="122">
        <v>0</v>
      </c>
      <c r="V2238" s="122">
        <v>463780</v>
      </c>
      <c r="W2238" s="122">
        <f t="shared" si="70"/>
        <v>463779</v>
      </c>
      <c r="X2238" s="122">
        <f t="shared" si="71"/>
        <v>1206816</v>
      </c>
    </row>
    <row r="2239" spans="2:24">
      <c r="B2239" t="s">
        <v>382</v>
      </c>
      <c r="C2239" t="s">
        <v>56</v>
      </c>
      <c r="D2239" t="s">
        <v>406</v>
      </c>
      <c r="E2239" t="s">
        <v>425</v>
      </c>
      <c r="F2239" s="122">
        <v>2</v>
      </c>
      <c r="G2239" s="122">
        <v>175</v>
      </c>
      <c r="H2239" s="122">
        <v>416</v>
      </c>
      <c r="I2239" s="122">
        <v>16752</v>
      </c>
      <c r="J2239" s="122">
        <v>15229</v>
      </c>
      <c r="K2239" s="122">
        <v>85</v>
      </c>
      <c r="L2239" s="122">
        <v>2832</v>
      </c>
      <c r="M2239" s="122">
        <v>2575</v>
      </c>
      <c r="N2239" s="122">
        <v>3974</v>
      </c>
      <c r="O2239" s="122">
        <v>1472</v>
      </c>
      <c r="P2239" s="122">
        <v>1242</v>
      </c>
      <c r="Q2239" s="122">
        <v>460</v>
      </c>
      <c r="R2239" s="122">
        <v>9362</v>
      </c>
      <c r="S2239" s="122">
        <v>8511</v>
      </c>
      <c r="T2239" s="122">
        <v>2526</v>
      </c>
      <c r="U2239" s="122">
        <v>936</v>
      </c>
      <c r="V2239" s="122">
        <v>29183</v>
      </c>
      <c r="W2239" s="122">
        <f t="shared" si="70"/>
        <v>29183</v>
      </c>
      <c r="X2239" s="122">
        <f t="shared" si="71"/>
        <v>36688</v>
      </c>
    </row>
    <row r="2240" spans="2:24">
      <c r="B2240" t="s">
        <v>382</v>
      </c>
      <c r="C2240" t="s">
        <v>56</v>
      </c>
      <c r="D2240" t="s">
        <v>406</v>
      </c>
      <c r="E2240" t="s">
        <v>137</v>
      </c>
      <c r="F2240" s="122">
        <v>8</v>
      </c>
      <c r="G2240" s="122">
        <v>724</v>
      </c>
      <c r="H2240" s="122">
        <v>1502</v>
      </c>
      <c r="I2240" s="122">
        <v>59754</v>
      </c>
      <c r="J2240" s="122">
        <v>54322</v>
      </c>
      <c r="K2240" s="122">
        <v>85</v>
      </c>
      <c r="L2240" s="122">
        <v>12300</v>
      </c>
      <c r="M2240" s="122">
        <v>11129</v>
      </c>
      <c r="N2240" s="122">
        <v>15782</v>
      </c>
      <c r="O2240" s="122">
        <v>5845</v>
      </c>
      <c r="P2240" s="122">
        <v>4968</v>
      </c>
      <c r="Q2240" s="122">
        <v>1840</v>
      </c>
      <c r="R2240" s="122">
        <v>42784</v>
      </c>
      <c r="S2240" s="122">
        <v>15846</v>
      </c>
      <c r="T2240" s="122">
        <v>0</v>
      </c>
      <c r="U2240" s="122">
        <v>0</v>
      </c>
      <c r="V2240" s="122">
        <v>88982</v>
      </c>
      <c r="W2240" s="122">
        <f t="shared" si="70"/>
        <v>88982</v>
      </c>
      <c r="X2240" s="122">
        <f t="shared" si="71"/>
        <v>135588</v>
      </c>
    </row>
    <row r="2241" spans="2:24">
      <c r="B2241" t="s">
        <v>382</v>
      </c>
      <c r="C2241" t="s">
        <v>56</v>
      </c>
      <c r="D2241" t="s">
        <v>406</v>
      </c>
      <c r="E2241" t="s">
        <v>406</v>
      </c>
      <c r="F2241" s="122">
        <v>2053</v>
      </c>
      <c r="G2241" s="122">
        <v>206047</v>
      </c>
      <c r="H2241" s="122">
        <v>393760</v>
      </c>
      <c r="I2241" s="122">
        <v>18094072</v>
      </c>
      <c r="J2241" s="122">
        <v>16449156</v>
      </c>
      <c r="K2241" s="122">
        <v>86</v>
      </c>
      <c r="L2241" s="122">
        <v>4502123</v>
      </c>
      <c r="M2241" s="122">
        <v>3968985</v>
      </c>
      <c r="N2241" s="122">
        <v>4093957</v>
      </c>
      <c r="O2241" s="122">
        <v>1516281</v>
      </c>
      <c r="P2241" s="122">
        <v>1329940</v>
      </c>
      <c r="Q2241" s="122">
        <v>492570</v>
      </c>
      <c r="R2241" s="122">
        <v>8871648</v>
      </c>
      <c r="S2241" s="122">
        <v>8065135</v>
      </c>
      <c r="T2241" s="122">
        <v>2666390</v>
      </c>
      <c r="U2241" s="122">
        <v>987552</v>
      </c>
      <c r="V2241" s="122">
        <v>31479679</v>
      </c>
      <c r="W2241" s="122">
        <f t="shared" si="70"/>
        <v>31479679</v>
      </c>
      <c r="X2241" s="122">
        <f t="shared" si="71"/>
        <v>39558130</v>
      </c>
    </row>
    <row r="2242" spans="2:24">
      <c r="B2242" t="s">
        <v>382</v>
      </c>
      <c r="C2242" t="s">
        <v>56</v>
      </c>
      <c r="D2242" t="s">
        <v>406</v>
      </c>
      <c r="E2242" t="s">
        <v>431</v>
      </c>
      <c r="F2242" s="122">
        <v>1</v>
      </c>
      <c r="G2242" s="122">
        <v>118</v>
      </c>
      <c r="H2242" s="122">
        <v>185</v>
      </c>
      <c r="I2242" s="122">
        <v>9384</v>
      </c>
      <c r="J2242" s="122">
        <v>8531</v>
      </c>
      <c r="K2242" s="122">
        <v>84</v>
      </c>
      <c r="L2242" s="122">
        <v>2760</v>
      </c>
      <c r="M2242" s="122">
        <v>2509</v>
      </c>
      <c r="N2242" s="122">
        <v>2870</v>
      </c>
      <c r="O2242" s="122">
        <v>1063</v>
      </c>
      <c r="P2242" s="122">
        <v>270</v>
      </c>
      <c r="Q2242" s="122">
        <v>100</v>
      </c>
      <c r="R2242" s="122">
        <v>3890</v>
      </c>
      <c r="S2242" s="122">
        <v>3537</v>
      </c>
      <c r="T2242" s="122">
        <v>2648</v>
      </c>
      <c r="U2242" s="122">
        <v>981</v>
      </c>
      <c r="V2242" s="122">
        <v>16720</v>
      </c>
      <c r="W2242" s="122">
        <f t="shared" si="70"/>
        <v>16721</v>
      </c>
      <c r="X2242" s="122">
        <f t="shared" si="71"/>
        <v>21822</v>
      </c>
    </row>
    <row r="2243" spans="2:24">
      <c r="B2243" t="s">
        <v>382</v>
      </c>
      <c r="C2243" t="s">
        <v>56</v>
      </c>
      <c r="D2243" t="s">
        <v>406</v>
      </c>
      <c r="E2243" t="s">
        <v>426</v>
      </c>
      <c r="F2243" s="122">
        <v>1</v>
      </c>
      <c r="G2243" s="122">
        <v>81</v>
      </c>
      <c r="H2243" s="122">
        <v>193</v>
      </c>
      <c r="I2243" s="122">
        <v>7744</v>
      </c>
      <c r="J2243" s="122">
        <v>7040</v>
      </c>
      <c r="K2243" s="122">
        <v>79</v>
      </c>
      <c r="L2243" s="122">
        <v>2266</v>
      </c>
      <c r="M2243" s="122">
        <v>2060</v>
      </c>
      <c r="N2243" s="122">
        <v>993</v>
      </c>
      <c r="O2243" s="122">
        <v>368</v>
      </c>
      <c r="P2243" s="122">
        <v>621</v>
      </c>
      <c r="Q2243" s="122">
        <v>230</v>
      </c>
      <c r="R2243" s="122">
        <v>4126</v>
      </c>
      <c r="S2243" s="122">
        <v>3751</v>
      </c>
      <c r="T2243" s="122">
        <v>0</v>
      </c>
      <c r="U2243" s="122">
        <v>0</v>
      </c>
      <c r="V2243" s="122">
        <v>13448</v>
      </c>
      <c r="W2243" s="122">
        <f t="shared" si="70"/>
        <v>13449</v>
      </c>
      <c r="X2243" s="122">
        <f t="shared" si="71"/>
        <v>15750</v>
      </c>
    </row>
    <row r="2244" spans="2:24">
      <c r="B2244" t="s">
        <v>382</v>
      </c>
      <c r="C2244" t="s">
        <v>56</v>
      </c>
      <c r="D2244" t="s">
        <v>407</v>
      </c>
      <c r="E2244" t="s">
        <v>407</v>
      </c>
      <c r="F2244" s="122">
        <v>31</v>
      </c>
      <c r="G2244" s="122">
        <v>3288</v>
      </c>
      <c r="H2244" s="122">
        <v>5427</v>
      </c>
      <c r="I2244" s="122">
        <v>273857</v>
      </c>
      <c r="J2244" s="122">
        <v>248960</v>
      </c>
      <c r="K2244" s="122">
        <v>81</v>
      </c>
      <c r="L2244" s="122">
        <v>60758</v>
      </c>
      <c r="M2244" s="122">
        <v>55864</v>
      </c>
      <c r="N2244" s="122">
        <v>66842</v>
      </c>
      <c r="O2244" s="122">
        <v>24756</v>
      </c>
      <c r="P2244" s="122">
        <v>16375</v>
      </c>
      <c r="Q2244" s="122">
        <v>6065</v>
      </c>
      <c r="R2244" s="122">
        <v>146195</v>
      </c>
      <c r="S2244" s="122">
        <v>132904</v>
      </c>
      <c r="T2244" s="122">
        <v>11222</v>
      </c>
      <c r="U2244" s="122">
        <v>4156</v>
      </c>
      <c r="V2244" s="122">
        <v>472706</v>
      </c>
      <c r="W2244" s="122">
        <f t="shared" si="70"/>
        <v>472705</v>
      </c>
      <c r="X2244" s="122">
        <f t="shared" si="71"/>
        <v>575249</v>
      </c>
    </row>
    <row r="2245" spans="2:24">
      <c r="B2245" t="s">
        <v>382</v>
      </c>
      <c r="C2245" t="s">
        <v>56</v>
      </c>
      <c r="D2245" t="s">
        <v>556</v>
      </c>
      <c r="E2245" t="s">
        <v>556</v>
      </c>
      <c r="F2245" s="122">
        <v>2</v>
      </c>
      <c r="G2245" s="122">
        <v>129</v>
      </c>
      <c r="H2245" s="122">
        <v>409</v>
      </c>
      <c r="I2245" s="122">
        <v>12542</v>
      </c>
      <c r="J2245" s="122">
        <v>10452</v>
      </c>
      <c r="K2245" s="122">
        <v>78</v>
      </c>
      <c r="L2245" s="122">
        <v>487</v>
      </c>
      <c r="M2245" s="122">
        <v>406</v>
      </c>
      <c r="N2245" s="122">
        <v>1946</v>
      </c>
      <c r="O2245" s="122">
        <v>721</v>
      </c>
      <c r="P2245" s="122">
        <v>972</v>
      </c>
      <c r="Q2245" s="122">
        <v>360</v>
      </c>
      <c r="R2245" s="122">
        <v>8233</v>
      </c>
      <c r="S2245" s="122">
        <v>6861</v>
      </c>
      <c r="T2245" s="122">
        <v>2431</v>
      </c>
      <c r="U2245" s="122">
        <v>900</v>
      </c>
      <c r="V2245" s="122">
        <v>19699</v>
      </c>
      <c r="W2245" s="122">
        <f t="shared" si="70"/>
        <v>19700</v>
      </c>
      <c r="X2245" s="122">
        <f t="shared" si="71"/>
        <v>26611</v>
      </c>
    </row>
    <row r="2246" spans="2:24">
      <c r="B2246" t="s">
        <v>382</v>
      </c>
      <c r="C2246" t="s">
        <v>56</v>
      </c>
      <c r="D2246" t="s">
        <v>426</v>
      </c>
      <c r="E2246" t="s">
        <v>426</v>
      </c>
      <c r="F2246" s="122">
        <v>2</v>
      </c>
      <c r="G2246" s="122">
        <v>221</v>
      </c>
      <c r="H2246" s="122">
        <v>444</v>
      </c>
      <c r="I2246" s="122">
        <v>25283</v>
      </c>
      <c r="J2246" s="122">
        <v>22985</v>
      </c>
      <c r="K2246" s="122">
        <v>69</v>
      </c>
      <c r="L2246" s="122">
        <v>3868</v>
      </c>
      <c r="M2246" s="122">
        <v>3516</v>
      </c>
      <c r="N2246" s="122">
        <v>4890</v>
      </c>
      <c r="O2246" s="122">
        <v>1811</v>
      </c>
      <c r="P2246" s="122">
        <v>702</v>
      </c>
      <c r="Q2246" s="122">
        <v>260</v>
      </c>
      <c r="R2246" s="122">
        <v>9046</v>
      </c>
      <c r="S2246" s="122">
        <v>8224</v>
      </c>
      <c r="T2246" s="122">
        <v>5265</v>
      </c>
      <c r="U2246" s="122">
        <v>1950</v>
      </c>
      <c r="V2246" s="122">
        <v>38745</v>
      </c>
      <c r="W2246" s="122">
        <f t="shared" si="70"/>
        <v>38746</v>
      </c>
      <c r="X2246" s="122">
        <f t="shared" si="71"/>
        <v>49054</v>
      </c>
    </row>
    <row r="2247" spans="2:24">
      <c r="B2247" t="s">
        <v>382</v>
      </c>
      <c r="C2247" t="s">
        <v>56</v>
      </c>
      <c r="D2247" t="s">
        <v>408</v>
      </c>
      <c r="E2247" t="s">
        <v>408</v>
      </c>
      <c r="F2247" s="122">
        <v>1</v>
      </c>
      <c r="G2247" s="122">
        <v>81</v>
      </c>
      <c r="H2247" s="122">
        <v>170</v>
      </c>
      <c r="I2247" s="122">
        <v>6820</v>
      </c>
      <c r="J2247" s="122">
        <v>6200</v>
      </c>
      <c r="K2247" s="122">
        <v>84</v>
      </c>
      <c r="L2247" s="122">
        <v>1153</v>
      </c>
      <c r="M2247" s="122">
        <v>961</v>
      </c>
      <c r="N2247" s="122">
        <v>1286</v>
      </c>
      <c r="O2247" s="122">
        <v>476</v>
      </c>
      <c r="P2247" s="122">
        <v>351</v>
      </c>
      <c r="Q2247" s="122">
        <v>130</v>
      </c>
      <c r="R2247" s="122">
        <v>4217</v>
      </c>
      <c r="S2247" s="122">
        <v>3834</v>
      </c>
      <c r="T2247" s="122">
        <v>0</v>
      </c>
      <c r="U2247" s="122">
        <v>0</v>
      </c>
      <c r="V2247" s="122">
        <v>11601</v>
      </c>
      <c r="W2247" s="122">
        <f t="shared" si="70"/>
        <v>11601</v>
      </c>
      <c r="X2247" s="122">
        <f t="shared" si="71"/>
        <v>13827</v>
      </c>
    </row>
    <row r="2248" spans="2:24">
      <c r="B2248" t="s">
        <v>382</v>
      </c>
      <c r="C2248" t="s">
        <v>58</v>
      </c>
      <c r="F2248" s="122">
        <v>15</v>
      </c>
      <c r="G2248" s="122">
        <v>994</v>
      </c>
      <c r="H2248" s="122">
        <v>3774</v>
      </c>
      <c r="I2248" s="122"/>
      <c r="J2248" s="122">
        <v>0</v>
      </c>
      <c r="K2248" s="122"/>
      <c r="L2248" s="122"/>
      <c r="M2248" s="122">
        <v>0</v>
      </c>
      <c r="N2248" s="122">
        <v>21312</v>
      </c>
      <c r="O2248" s="122">
        <v>7893</v>
      </c>
      <c r="P2248" s="122">
        <v>9126</v>
      </c>
      <c r="Q2248" s="122">
        <v>3380</v>
      </c>
      <c r="R2248" s="122"/>
      <c r="S2248" s="122">
        <v>0</v>
      </c>
      <c r="T2248" s="122">
        <v>0</v>
      </c>
      <c r="U2248" s="122">
        <v>0</v>
      </c>
      <c r="V2248" s="122">
        <v>11273</v>
      </c>
      <c r="W2248" s="122">
        <f t="shared" si="70"/>
        <v>11273</v>
      </c>
      <c r="X2248" s="122">
        <f t="shared" si="71"/>
        <v>30438</v>
      </c>
    </row>
    <row r="2249" spans="2:24">
      <c r="B2249" t="s">
        <v>382</v>
      </c>
      <c r="C2249" t="s">
        <v>58</v>
      </c>
      <c r="D2249" t="s">
        <v>425</v>
      </c>
      <c r="E2249" t="s">
        <v>425</v>
      </c>
      <c r="F2249" s="122">
        <v>2</v>
      </c>
      <c r="G2249" s="122">
        <v>188</v>
      </c>
      <c r="H2249" s="122">
        <v>570</v>
      </c>
      <c r="I2249" s="122">
        <v>28457</v>
      </c>
      <c r="J2249" s="122">
        <v>25870</v>
      </c>
      <c r="K2249" s="122">
        <v>67</v>
      </c>
      <c r="L2249" s="122">
        <v>4422</v>
      </c>
      <c r="M2249" s="122">
        <v>4020</v>
      </c>
      <c r="N2249" s="122">
        <v>3800</v>
      </c>
      <c r="O2249" s="122">
        <v>1407</v>
      </c>
      <c r="P2249" s="122">
        <v>1094</v>
      </c>
      <c r="Q2249" s="122">
        <v>405</v>
      </c>
      <c r="R2249" s="122">
        <v>13130</v>
      </c>
      <c r="S2249" s="122">
        <v>11937</v>
      </c>
      <c r="T2249" s="122">
        <v>2746</v>
      </c>
      <c r="U2249" s="122">
        <v>1017</v>
      </c>
      <c r="V2249" s="122">
        <v>44656</v>
      </c>
      <c r="W2249" s="122">
        <f t="shared" si="70"/>
        <v>44656</v>
      </c>
      <c r="X2249" s="122">
        <f t="shared" si="71"/>
        <v>53649</v>
      </c>
    </row>
    <row r="2250" spans="2:24">
      <c r="B2250" t="s">
        <v>382</v>
      </c>
      <c r="C2250" t="s">
        <v>58</v>
      </c>
      <c r="D2250" t="s">
        <v>405</v>
      </c>
      <c r="E2250" t="s">
        <v>405</v>
      </c>
      <c r="F2250" s="122">
        <v>14</v>
      </c>
      <c r="G2250" s="122">
        <v>1345</v>
      </c>
      <c r="H2250" s="122">
        <v>3597</v>
      </c>
      <c r="I2250" s="122">
        <v>181941</v>
      </c>
      <c r="J2250" s="122">
        <v>165401</v>
      </c>
      <c r="K2250" s="122">
        <v>76</v>
      </c>
      <c r="L2250" s="122">
        <v>45865</v>
      </c>
      <c r="M2250" s="122">
        <v>41315</v>
      </c>
      <c r="N2250" s="122">
        <v>28631</v>
      </c>
      <c r="O2250" s="122">
        <v>10604</v>
      </c>
      <c r="P2250" s="122">
        <v>8033</v>
      </c>
      <c r="Q2250" s="122">
        <v>2975</v>
      </c>
      <c r="R2250" s="122">
        <v>69010</v>
      </c>
      <c r="S2250" s="122">
        <v>62736</v>
      </c>
      <c r="T2250" s="122">
        <v>13498</v>
      </c>
      <c r="U2250" s="122">
        <v>4999</v>
      </c>
      <c r="V2250" s="122">
        <v>288030</v>
      </c>
      <c r="W2250" s="122">
        <f t="shared" si="70"/>
        <v>288030</v>
      </c>
      <c r="X2250" s="122">
        <f t="shared" si="71"/>
        <v>346978</v>
      </c>
    </row>
    <row r="2251" spans="2:24">
      <c r="B2251" t="s">
        <v>382</v>
      </c>
      <c r="C2251" t="s">
        <v>58</v>
      </c>
      <c r="D2251" t="s">
        <v>137</v>
      </c>
      <c r="E2251" t="s">
        <v>137</v>
      </c>
      <c r="F2251" s="122">
        <v>194</v>
      </c>
      <c r="G2251" s="122">
        <v>18537</v>
      </c>
      <c r="H2251" s="122">
        <v>51365</v>
      </c>
      <c r="I2251" s="122">
        <v>2803636</v>
      </c>
      <c r="J2251" s="122">
        <v>1038384</v>
      </c>
      <c r="K2251" s="122">
        <v>100</v>
      </c>
      <c r="L2251" s="122">
        <v>378017</v>
      </c>
      <c r="M2251" s="122">
        <v>242057</v>
      </c>
      <c r="N2251" s="122">
        <v>405468</v>
      </c>
      <c r="O2251" s="122">
        <v>150173</v>
      </c>
      <c r="P2251" s="122">
        <v>2025</v>
      </c>
      <c r="Q2251" s="122">
        <v>750</v>
      </c>
      <c r="R2251" s="122">
        <v>1357379</v>
      </c>
      <c r="S2251" s="122">
        <v>502733</v>
      </c>
      <c r="T2251" s="122">
        <v>5095</v>
      </c>
      <c r="U2251" s="122">
        <v>1887</v>
      </c>
      <c r="V2251" s="122">
        <v>1935984</v>
      </c>
      <c r="W2251" s="122">
        <f t="shared" si="70"/>
        <v>1935984</v>
      </c>
      <c r="X2251" s="122">
        <f t="shared" si="71"/>
        <v>4951620</v>
      </c>
    </row>
    <row r="2252" spans="2:24">
      <c r="B2252" t="s">
        <v>382</v>
      </c>
      <c r="C2252" t="s">
        <v>58</v>
      </c>
      <c r="D2252" t="s">
        <v>137</v>
      </c>
      <c r="E2252" t="s">
        <v>426</v>
      </c>
      <c r="F2252" s="122">
        <v>1</v>
      </c>
      <c r="G2252" s="122">
        <v>92</v>
      </c>
      <c r="H2252" s="122">
        <v>287</v>
      </c>
      <c r="I2252" s="122">
        <v>15382</v>
      </c>
      <c r="J2252" s="122">
        <v>5697</v>
      </c>
      <c r="K2252" s="122">
        <v>100</v>
      </c>
      <c r="L2252" s="122">
        <v>1393</v>
      </c>
      <c r="M2252" s="122">
        <v>1266</v>
      </c>
      <c r="N2252" s="122">
        <v>1563</v>
      </c>
      <c r="O2252" s="122">
        <v>579</v>
      </c>
      <c r="P2252" s="122">
        <v>0</v>
      </c>
      <c r="Q2252" s="122">
        <v>0</v>
      </c>
      <c r="R2252" s="122">
        <v>5636</v>
      </c>
      <c r="S2252" s="122">
        <v>5124</v>
      </c>
      <c r="T2252" s="122">
        <v>2320</v>
      </c>
      <c r="U2252" s="122">
        <v>859</v>
      </c>
      <c r="V2252" s="122">
        <v>13525</v>
      </c>
      <c r="W2252" s="122">
        <f t="shared" si="70"/>
        <v>13525</v>
      </c>
      <c r="X2252" s="122">
        <f t="shared" si="71"/>
        <v>26294</v>
      </c>
    </row>
    <row r="2253" spans="2:24">
      <c r="B2253" t="s">
        <v>382</v>
      </c>
      <c r="C2253" t="s">
        <v>58</v>
      </c>
      <c r="D2253" t="s">
        <v>406</v>
      </c>
      <c r="E2253" t="s">
        <v>137</v>
      </c>
      <c r="F2253" s="122">
        <v>2</v>
      </c>
      <c r="G2253" s="122">
        <v>156</v>
      </c>
      <c r="H2253" s="122">
        <v>557</v>
      </c>
      <c r="I2253" s="122">
        <v>21828</v>
      </c>
      <c r="J2253" s="122">
        <v>19844</v>
      </c>
      <c r="K2253" s="122">
        <v>87</v>
      </c>
      <c r="L2253" s="122">
        <v>5580</v>
      </c>
      <c r="M2253" s="122">
        <v>4746</v>
      </c>
      <c r="N2253" s="122">
        <v>3439</v>
      </c>
      <c r="O2253" s="122">
        <v>1274</v>
      </c>
      <c r="P2253" s="122">
        <v>1242</v>
      </c>
      <c r="Q2253" s="122">
        <v>460</v>
      </c>
      <c r="R2253" s="122">
        <v>11748</v>
      </c>
      <c r="S2253" s="122">
        <v>4351</v>
      </c>
      <c r="T2253" s="122">
        <v>0</v>
      </c>
      <c r="U2253" s="122">
        <v>0</v>
      </c>
      <c r="V2253" s="122">
        <v>30674</v>
      </c>
      <c r="W2253" s="122">
        <f t="shared" si="70"/>
        <v>30675</v>
      </c>
      <c r="X2253" s="122">
        <f t="shared" si="71"/>
        <v>43837</v>
      </c>
    </row>
    <row r="2254" spans="2:24">
      <c r="B2254" t="s">
        <v>382</v>
      </c>
      <c r="C2254" t="s">
        <v>58</v>
      </c>
      <c r="D2254" t="s">
        <v>406</v>
      </c>
      <c r="E2254" t="s">
        <v>406</v>
      </c>
      <c r="F2254" s="122">
        <v>1062</v>
      </c>
      <c r="G2254" s="122">
        <v>97911</v>
      </c>
      <c r="H2254" s="122">
        <v>274870</v>
      </c>
      <c r="I2254" s="122">
        <v>13097530</v>
      </c>
      <c r="J2254" s="122">
        <v>11906846</v>
      </c>
      <c r="K2254" s="122">
        <v>81</v>
      </c>
      <c r="L2254" s="122">
        <v>2964992</v>
      </c>
      <c r="M2254" s="122">
        <v>2546623</v>
      </c>
      <c r="N2254" s="122">
        <v>2028657</v>
      </c>
      <c r="O2254" s="122">
        <v>751354</v>
      </c>
      <c r="P2254" s="122">
        <v>685968</v>
      </c>
      <c r="Q2254" s="122">
        <v>254062</v>
      </c>
      <c r="R2254" s="122">
        <v>4628630</v>
      </c>
      <c r="S2254" s="122">
        <v>4207846</v>
      </c>
      <c r="T2254" s="122">
        <v>2053809</v>
      </c>
      <c r="U2254" s="122">
        <v>760670</v>
      </c>
      <c r="V2254" s="122">
        <v>20427401</v>
      </c>
      <c r="W2254" s="122">
        <f t="shared" si="70"/>
        <v>20427401</v>
      </c>
      <c r="X2254" s="122">
        <f t="shared" si="71"/>
        <v>25459586</v>
      </c>
    </row>
    <row r="2255" spans="2:24">
      <c r="B2255" t="s">
        <v>382</v>
      </c>
      <c r="C2255" t="s">
        <v>58</v>
      </c>
      <c r="D2255" t="s">
        <v>406</v>
      </c>
      <c r="E2255" t="s">
        <v>427</v>
      </c>
      <c r="F2255" s="122">
        <v>2</v>
      </c>
      <c r="G2255" s="122">
        <v>232</v>
      </c>
      <c r="H2255" s="122">
        <v>532</v>
      </c>
      <c r="I2255" s="122">
        <v>34469</v>
      </c>
      <c r="J2255" s="122">
        <v>31336</v>
      </c>
      <c r="K2255" s="122">
        <v>70</v>
      </c>
      <c r="L2255" s="122">
        <v>6431</v>
      </c>
      <c r="M2255" s="122">
        <v>5617</v>
      </c>
      <c r="N2255" s="122">
        <v>5142</v>
      </c>
      <c r="O2255" s="122">
        <v>1904</v>
      </c>
      <c r="P2255" s="122">
        <v>1593</v>
      </c>
      <c r="Q2255" s="122">
        <v>590</v>
      </c>
      <c r="R2255" s="122">
        <v>11405</v>
      </c>
      <c r="S2255" s="122">
        <v>10368</v>
      </c>
      <c r="T2255" s="122">
        <v>2898</v>
      </c>
      <c r="U2255" s="122">
        <v>1073</v>
      </c>
      <c r="V2255" s="122">
        <v>50889</v>
      </c>
      <c r="W2255" s="122">
        <f t="shared" si="70"/>
        <v>50888</v>
      </c>
      <c r="X2255" s="122">
        <f t="shared" si="71"/>
        <v>61938</v>
      </c>
    </row>
    <row r="2256" spans="2:24">
      <c r="B2256" t="s">
        <v>382</v>
      </c>
      <c r="C2256" t="s">
        <v>58</v>
      </c>
      <c r="D2256" t="s">
        <v>406</v>
      </c>
      <c r="E2256" t="s">
        <v>556</v>
      </c>
      <c r="F2256" s="122">
        <v>1</v>
      </c>
      <c r="G2256" s="122">
        <v>56</v>
      </c>
      <c r="H2256" s="122">
        <v>234</v>
      </c>
      <c r="I2256" s="122">
        <v>8400</v>
      </c>
      <c r="J2256" s="122">
        <v>7636</v>
      </c>
      <c r="K2256" s="122">
        <v>79</v>
      </c>
      <c r="L2256" s="122">
        <v>2333</v>
      </c>
      <c r="M2256" s="122">
        <v>2121</v>
      </c>
      <c r="N2256" s="122">
        <v>1468</v>
      </c>
      <c r="O2256" s="122">
        <v>544</v>
      </c>
      <c r="P2256" s="122">
        <v>621</v>
      </c>
      <c r="Q2256" s="122">
        <v>230</v>
      </c>
      <c r="R2256" s="122">
        <v>3863</v>
      </c>
      <c r="S2256" s="122">
        <v>3219</v>
      </c>
      <c r="T2256" s="122">
        <v>2125</v>
      </c>
      <c r="U2256" s="122">
        <v>787</v>
      </c>
      <c r="V2256" s="122">
        <v>14537</v>
      </c>
      <c r="W2256" s="122">
        <f t="shared" si="70"/>
        <v>14537</v>
      </c>
      <c r="X2256" s="122">
        <f t="shared" si="71"/>
        <v>18810</v>
      </c>
    </row>
    <row r="2257" spans="2:24">
      <c r="B2257" t="s">
        <v>382</v>
      </c>
      <c r="C2257" t="s">
        <v>58</v>
      </c>
      <c r="D2257" t="s">
        <v>406</v>
      </c>
      <c r="E2257" t="s">
        <v>426</v>
      </c>
      <c r="F2257" s="122">
        <v>1</v>
      </c>
      <c r="G2257" s="122">
        <v>101</v>
      </c>
      <c r="H2257" s="122">
        <v>247</v>
      </c>
      <c r="I2257" s="122">
        <v>14550</v>
      </c>
      <c r="J2257" s="122">
        <v>13227</v>
      </c>
      <c r="K2257" s="122">
        <v>79</v>
      </c>
      <c r="L2257" s="122">
        <v>4257</v>
      </c>
      <c r="M2257" s="122">
        <v>3870</v>
      </c>
      <c r="N2257" s="122">
        <v>1226</v>
      </c>
      <c r="O2257" s="122">
        <v>454</v>
      </c>
      <c r="P2257" s="122">
        <v>621</v>
      </c>
      <c r="Q2257" s="122">
        <v>230</v>
      </c>
      <c r="R2257" s="122">
        <v>4167</v>
      </c>
      <c r="S2257" s="122">
        <v>3788</v>
      </c>
      <c r="T2257" s="122">
        <v>0</v>
      </c>
      <c r="U2257" s="122">
        <v>0</v>
      </c>
      <c r="V2257" s="122">
        <v>21570</v>
      </c>
      <c r="W2257" s="122">
        <f t="shared" si="70"/>
        <v>21569</v>
      </c>
      <c r="X2257" s="122">
        <f t="shared" si="71"/>
        <v>24821</v>
      </c>
    </row>
    <row r="2258" spans="2:24">
      <c r="B2258" t="s">
        <v>382</v>
      </c>
      <c r="C2258" t="s">
        <v>58</v>
      </c>
      <c r="D2258" t="s">
        <v>406</v>
      </c>
      <c r="E2258" t="s">
        <v>433</v>
      </c>
      <c r="F2258" s="122">
        <v>1</v>
      </c>
      <c r="G2258" s="122">
        <v>80</v>
      </c>
      <c r="H2258" s="122">
        <v>260</v>
      </c>
      <c r="I2258" s="122">
        <v>9944</v>
      </c>
      <c r="J2258" s="122">
        <v>9040</v>
      </c>
      <c r="K2258" s="122">
        <v>86</v>
      </c>
      <c r="L2258" s="122">
        <v>1794</v>
      </c>
      <c r="M2258" s="122">
        <v>1631</v>
      </c>
      <c r="N2258" s="122">
        <v>1458</v>
      </c>
      <c r="O2258" s="122">
        <v>540</v>
      </c>
      <c r="P2258" s="122">
        <v>621</v>
      </c>
      <c r="Q2258" s="122">
        <v>230</v>
      </c>
      <c r="R2258" s="122">
        <v>4035</v>
      </c>
      <c r="S2258" s="122">
        <v>3668</v>
      </c>
      <c r="T2258" s="122">
        <v>2875</v>
      </c>
      <c r="U2258" s="122">
        <v>1065</v>
      </c>
      <c r="V2258" s="122">
        <v>16175</v>
      </c>
      <c r="W2258" s="122">
        <f t="shared" si="70"/>
        <v>16174</v>
      </c>
      <c r="X2258" s="122">
        <f t="shared" si="71"/>
        <v>20727</v>
      </c>
    </row>
    <row r="2259" spans="2:24">
      <c r="B2259" t="s">
        <v>382</v>
      </c>
      <c r="C2259" t="s">
        <v>58</v>
      </c>
      <c r="D2259" t="s">
        <v>427</v>
      </c>
      <c r="E2259" t="s">
        <v>427</v>
      </c>
      <c r="F2259" s="122">
        <v>1</v>
      </c>
      <c r="G2259" s="122">
        <v>81</v>
      </c>
      <c r="H2259" s="122">
        <v>254</v>
      </c>
      <c r="I2259" s="122">
        <v>10713</v>
      </c>
      <c r="J2259" s="122">
        <v>9739</v>
      </c>
      <c r="K2259" s="122">
        <v>55</v>
      </c>
      <c r="L2259" s="122">
        <v>1607</v>
      </c>
      <c r="M2259" s="122">
        <v>595</v>
      </c>
      <c r="N2259" s="122">
        <v>1080</v>
      </c>
      <c r="O2259" s="122">
        <v>400</v>
      </c>
      <c r="P2259" s="122">
        <v>0</v>
      </c>
      <c r="Q2259" s="122">
        <v>0</v>
      </c>
      <c r="R2259" s="122">
        <v>4904</v>
      </c>
      <c r="S2259" s="122">
        <v>4458</v>
      </c>
      <c r="T2259" s="122">
        <v>2174</v>
      </c>
      <c r="U2259" s="122">
        <v>805</v>
      </c>
      <c r="V2259" s="122">
        <v>15998</v>
      </c>
      <c r="W2259" s="122">
        <f t="shared" si="70"/>
        <v>15997</v>
      </c>
      <c r="X2259" s="122">
        <f t="shared" si="71"/>
        <v>20478</v>
      </c>
    </row>
    <row r="2260" spans="2:24">
      <c r="B2260" t="s">
        <v>382</v>
      </c>
      <c r="C2260" t="s">
        <v>58</v>
      </c>
      <c r="D2260" t="s">
        <v>407</v>
      </c>
      <c r="E2260" t="s">
        <v>407</v>
      </c>
      <c r="F2260" s="122">
        <v>3</v>
      </c>
      <c r="G2260" s="122">
        <v>237</v>
      </c>
      <c r="H2260" s="122">
        <v>746</v>
      </c>
      <c r="I2260" s="122">
        <v>33790</v>
      </c>
      <c r="J2260" s="122">
        <v>30718</v>
      </c>
      <c r="K2260" s="122">
        <v>77</v>
      </c>
      <c r="L2260" s="122">
        <v>9562</v>
      </c>
      <c r="M2260" s="122">
        <v>8692</v>
      </c>
      <c r="N2260" s="122">
        <v>5398</v>
      </c>
      <c r="O2260" s="122">
        <v>1999</v>
      </c>
      <c r="P2260" s="122">
        <v>1418</v>
      </c>
      <c r="Q2260" s="122">
        <v>525</v>
      </c>
      <c r="R2260" s="122">
        <v>9687</v>
      </c>
      <c r="S2260" s="122">
        <v>8806</v>
      </c>
      <c r="T2260" s="122">
        <v>-1093</v>
      </c>
      <c r="U2260" s="122">
        <v>-405</v>
      </c>
      <c r="V2260" s="122">
        <v>50336</v>
      </c>
      <c r="W2260" s="122">
        <f t="shared" si="70"/>
        <v>51145</v>
      </c>
      <c r="X2260" s="122">
        <f t="shared" si="71"/>
        <v>60948</v>
      </c>
    </row>
    <row r="2261" spans="2:24">
      <c r="B2261" t="s">
        <v>382</v>
      </c>
      <c r="C2261" t="s">
        <v>58</v>
      </c>
      <c r="D2261" t="s">
        <v>556</v>
      </c>
      <c r="E2261" t="s">
        <v>556</v>
      </c>
      <c r="F2261" s="122">
        <v>77</v>
      </c>
      <c r="G2261" s="122">
        <v>7230</v>
      </c>
      <c r="H2261" s="122">
        <v>21021</v>
      </c>
      <c r="I2261" s="122">
        <v>1123876</v>
      </c>
      <c r="J2261" s="122">
        <v>936563</v>
      </c>
      <c r="K2261" s="122">
        <v>57</v>
      </c>
      <c r="L2261" s="122">
        <v>43087</v>
      </c>
      <c r="M2261" s="122">
        <v>35303</v>
      </c>
      <c r="N2261" s="122">
        <v>148649</v>
      </c>
      <c r="O2261" s="122">
        <v>55055</v>
      </c>
      <c r="P2261" s="122">
        <v>29187</v>
      </c>
      <c r="Q2261" s="122">
        <v>10810</v>
      </c>
      <c r="R2261" s="122">
        <v>439617</v>
      </c>
      <c r="S2261" s="122">
        <v>366348</v>
      </c>
      <c r="T2261" s="122">
        <v>189631</v>
      </c>
      <c r="U2261" s="122">
        <v>70234</v>
      </c>
      <c r="V2261" s="122">
        <v>1474312</v>
      </c>
      <c r="W2261" s="122">
        <f t="shared" si="70"/>
        <v>1474313</v>
      </c>
      <c r="X2261" s="122">
        <f t="shared" si="71"/>
        <v>1974047</v>
      </c>
    </row>
    <row r="2262" spans="2:24">
      <c r="B2262" t="s">
        <v>382</v>
      </c>
      <c r="C2262" t="s">
        <v>58</v>
      </c>
      <c r="D2262" t="s">
        <v>426</v>
      </c>
      <c r="E2262" t="s">
        <v>426</v>
      </c>
      <c r="F2262" s="122">
        <v>32</v>
      </c>
      <c r="G2262" s="122">
        <v>3095</v>
      </c>
      <c r="H2262" s="122">
        <v>8468</v>
      </c>
      <c r="I2262" s="122">
        <v>458214</v>
      </c>
      <c r="J2262" s="122">
        <v>416558</v>
      </c>
      <c r="K2262" s="122">
        <v>58</v>
      </c>
      <c r="L2262" s="122">
        <v>46944</v>
      </c>
      <c r="M2262" s="122">
        <v>38762</v>
      </c>
      <c r="N2262" s="122">
        <v>64176</v>
      </c>
      <c r="O2262" s="122">
        <v>23769</v>
      </c>
      <c r="P2262" s="122">
        <v>13716</v>
      </c>
      <c r="Q2262" s="122">
        <v>5080</v>
      </c>
      <c r="R2262" s="122">
        <v>164565</v>
      </c>
      <c r="S2262" s="122">
        <v>149605</v>
      </c>
      <c r="T2262" s="122">
        <v>77003</v>
      </c>
      <c r="U2262" s="122">
        <v>28520</v>
      </c>
      <c r="V2262" s="122">
        <v>662294</v>
      </c>
      <c r="W2262" s="122">
        <f t="shared" si="70"/>
        <v>662294</v>
      </c>
      <c r="X2262" s="122">
        <f t="shared" si="71"/>
        <v>824618</v>
      </c>
    </row>
    <row r="2263" spans="2:24">
      <c r="B2263" t="s">
        <v>382</v>
      </c>
      <c r="C2263" t="s">
        <v>60</v>
      </c>
      <c r="D2263" t="s">
        <v>425</v>
      </c>
      <c r="E2263" t="s">
        <v>425</v>
      </c>
      <c r="F2263" s="122">
        <v>2</v>
      </c>
      <c r="G2263" s="122">
        <v>157</v>
      </c>
      <c r="H2263" s="122">
        <v>711</v>
      </c>
      <c r="I2263" s="122">
        <v>27359</v>
      </c>
      <c r="J2263" s="122">
        <v>24872</v>
      </c>
      <c r="K2263" s="122">
        <v>69</v>
      </c>
      <c r="L2263" s="122">
        <v>9337</v>
      </c>
      <c r="M2263" s="122">
        <v>5190</v>
      </c>
      <c r="N2263" s="122">
        <v>3814</v>
      </c>
      <c r="O2263" s="122">
        <v>1412</v>
      </c>
      <c r="P2263" s="122">
        <v>945</v>
      </c>
      <c r="Q2263" s="122">
        <v>350</v>
      </c>
      <c r="R2263" s="122">
        <v>8426</v>
      </c>
      <c r="S2263" s="122">
        <v>7660</v>
      </c>
      <c r="T2263" s="122">
        <v>5709</v>
      </c>
      <c r="U2263" s="122">
        <v>2115</v>
      </c>
      <c r="V2263" s="122">
        <v>41599</v>
      </c>
      <c r="W2263" s="122">
        <f t="shared" si="70"/>
        <v>41599</v>
      </c>
      <c r="X2263" s="122">
        <f t="shared" si="71"/>
        <v>55590</v>
      </c>
    </row>
    <row r="2264" spans="2:24">
      <c r="B2264" t="s">
        <v>382</v>
      </c>
      <c r="C2264" t="s">
        <v>60</v>
      </c>
      <c r="D2264" t="s">
        <v>405</v>
      </c>
      <c r="E2264" t="s">
        <v>405</v>
      </c>
      <c r="F2264" s="122">
        <v>1</v>
      </c>
      <c r="G2264" s="122">
        <v>84</v>
      </c>
      <c r="H2264" s="122">
        <v>312</v>
      </c>
      <c r="I2264" s="122">
        <v>15856</v>
      </c>
      <c r="J2264" s="122">
        <v>14415</v>
      </c>
      <c r="K2264" s="122">
        <v>65</v>
      </c>
      <c r="L2264" s="122">
        <v>1512</v>
      </c>
      <c r="M2264" s="122">
        <v>1375</v>
      </c>
      <c r="N2264" s="122">
        <v>1801</v>
      </c>
      <c r="O2264" s="122">
        <v>667</v>
      </c>
      <c r="P2264" s="122">
        <v>351</v>
      </c>
      <c r="Q2264" s="122">
        <v>130</v>
      </c>
      <c r="R2264" s="122">
        <v>4050</v>
      </c>
      <c r="S2264" s="122">
        <v>3682</v>
      </c>
      <c r="T2264" s="122">
        <v>2480</v>
      </c>
      <c r="U2264" s="122">
        <v>919</v>
      </c>
      <c r="V2264" s="122">
        <v>21187</v>
      </c>
      <c r="W2264" s="122">
        <f t="shared" si="70"/>
        <v>21188</v>
      </c>
      <c r="X2264" s="122">
        <f t="shared" si="71"/>
        <v>26050</v>
      </c>
    </row>
    <row r="2265" spans="2:24">
      <c r="B2265" t="s">
        <v>382</v>
      </c>
      <c r="C2265" t="s">
        <v>60</v>
      </c>
      <c r="D2265" t="s">
        <v>405</v>
      </c>
      <c r="E2265" t="s">
        <v>407</v>
      </c>
      <c r="F2265" s="122">
        <v>1</v>
      </c>
      <c r="G2265" s="122">
        <v>52</v>
      </c>
      <c r="H2265" s="122">
        <v>372</v>
      </c>
      <c r="I2265" s="122">
        <v>31196</v>
      </c>
      <c r="J2265" s="122">
        <v>28360</v>
      </c>
      <c r="K2265" s="122">
        <v>73</v>
      </c>
      <c r="L2265" s="122">
        <v>0</v>
      </c>
      <c r="M2265" s="122">
        <v>0</v>
      </c>
      <c r="N2265" s="122">
        <v>2053</v>
      </c>
      <c r="O2265" s="122">
        <v>760</v>
      </c>
      <c r="P2265" s="122">
        <v>473</v>
      </c>
      <c r="Q2265" s="122">
        <v>175</v>
      </c>
      <c r="R2265" s="122">
        <v>5235</v>
      </c>
      <c r="S2265" s="122">
        <v>4759</v>
      </c>
      <c r="T2265" s="122">
        <v>0</v>
      </c>
      <c r="U2265" s="122">
        <v>0</v>
      </c>
      <c r="V2265" s="122">
        <v>34055</v>
      </c>
      <c r="W2265" s="122">
        <f t="shared" si="70"/>
        <v>34054</v>
      </c>
      <c r="X2265" s="122">
        <f t="shared" si="71"/>
        <v>38957</v>
      </c>
    </row>
    <row r="2266" spans="2:24">
      <c r="B2266" t="s">
        <v>382</v>
      </c>
      <c r="C2266" t="s">
        <v>60</v>
      </c>
      <c r="D2266" t="s">
        <v>137</v>
      </c>
      <c r="E2266" t="s">
        <v>137</v>
      </c>
      <c r="F2266" s="122">
        <v>165</v>
      </c>
      <c r="G2266" s="122">
        <v>13445</v>
      </c>
      <c r="H2266" s="122">
        <v>55137</v>
      </c>
      <c r="I2266" s="122">
        <v>2714810</v>
      </c>
      <c r="J2266" s="122">
        <v>1005485</v>
      </c>
      <c r="K2266" s="122">
        <v>100</v>
      </c>
      <c r="L2266" s="122">
        <v>390113</v>
      </c>
      <c r="M2266" s="122">
        <v>300517</v>
      </c>
      <c r="N2266" s="122">
        <v>294068</v>
      </c>
      <c r="O2266" s="122">
        <v>108914</v>
      </c>
      <c r="P2266" s="122">
        <v>1323</v>
      </c>
      <c r="Q2266" s="122">
        <v>490</v>
      </c>
      <c r="R2266" s="122">
        <v>1126570</v>
      </c>
      <c r="S2266" s="122">
        <v>417248</v>
      </c>
      <c r="T2266" s="122">
        <v>2235</v>
      </c>
      <c r="U2266" s="122">
        <v>828</v>
      </c>
      <c r="V2266" s="122">
        <v>1833483</v>
      </c>
      <c r="W2266" s="122">
        <f t="shared" si="70"/>
        <v>1833482</v>
      </c>
      <c r="X2266" s="122">
        <f t="shared" si="71"/>
        <v>4529119</v>
      </c>
    </row>
    <row r="2267" spans="2:24">
      <c r="B2267" t="s">
        <v>382</v>
      </c>
      <c r="C2267" t="s">
        <v>60</v>
      </c>
      <c r="D2267" t="s">
        <v>137</v>
      </c>
      <c r="E2267" t="s">
        <v>556</v>
      </c>
      <c r="F2267" s="122">
        <v>2</v>
      </c>
      <c r="G2267" s="122">
        <v>161</v>
      </c>
      <c r="H2267" s="122">
        <v>686</v>
      </c>
      <c r="I2267" s="122">
        <v>32888</v>
      </c>
      <c r="J2267" s="122">
        <v>12181</v>
      </c>
      <c r="K2267" s="122">
        <v>100</v>
      </c>
      <c r="L2267" s="122">
        <v>3084</v>
      </c>
      <c r="M2267" s="122">
        <v>2570</v>
      </c>
      <c r="N2267" s="122">
        <v>2897</v>
      </c>
      <c r="O2267" s="122">
        <v>1073</v>
      </c>
      <c r="P2267" s="122">
        <v>0</v>
      </c>
      <c r="Q2267" s="122">
        <v>0</v>
      </c>
      <c r="R2267" s="122">
        <v>11822</v>
      </c>
      <c r="S2267" s="122">
        <v>9852</v>
      </c>
      <c r="T2267" s="122">
        <v>4343</v>
      </c>
      <c r="U2267" s="122">
        <v>1608</v>
      </c>
      <c r="V2267" s="122">
        <v>27285</v>
      </c>
      <c r="W2267" s="122">
        <f t="shared" si="70"/>
        <v>27284</v>
      </c>
      <c r="X2267" s="122">
        <f t="shared" si="71"/>
        <v>55034</v>
      </c>
    </row>
    <row r="2268" spans="2:24">
      <c r="B2268" t="s">
        <v>382</v>
      </c>
      <c r="C2268" t="s">
        <v>60</v>
      </c>
      <c r="D2268" t="s">
        <v>137</v>
      </c>
      <c r="E2268" t="s">
        <v>426</v>
      </c>
      <c r="F2268" s="122">
        <v>2</v>
      </c>
      <c r="G2268" s="122">
        <v>121</v>
      </c>
      <c r="H2268" s="122">
        <v>646</v>
      </c>
      <c r="I2268" s="122">
        <v>19587</v>
      </c>
      <c r="J2268" s="122">
        <v>7254</v>
      </c>
      <c r="K2268" s="122">
        <v>100</v>
      </c>
      <c r="L2268" s="122">
        <v>3187</v>
      </c>
      <c r="M2268" s="122">
        <v>2897</v>
      </c>
      <c r="N2268" s="122">
        <v>2442</v>
      </c>
      <c r="O2268" s="122">
        <v>904</v>
      </c>
      <c r="P2268" s="122">
        <v>351</v>
      </c>
      <c r="Q2268" s="122">
        <v>130</v>
      </c>
      <c r="R2268" s="122">
        <v>10489</v>
      </c>
      <c r="S2268" s="122">
        <v>9536</v>
      </c>
      <c r="T2268" s="122">
        <v>2599</v>
      </c>
      <c r="U2268" s="122">
        <v>963</v>
      </c>
      <c r="V2268" s="122">
        <v>21685</v>
      </c>
      <c r="W2268" s="122">
        <f t="shared" si="70"/>
        <v>21684</v>
      </c>
      <c r="X2268" s="122">
        <f t="shared" si="71"/>
        <v>38655</v>
      </c>
    </row>
    <row r="2269" spans="2:24">
      <c r="B2269" t="s">
        <v>382</v>
      </c>
      <c r="C2269" t="s">
        <v>60</v>
      </c>
      <c r="D2269" t="s">
        <v>406</v>
      </c>
      <c r="E2269" t="s">
        <v>137</v>
      </c>
      <c r="F2269" s="122">
        <v>2</v>
      </c>
      <c r="G2269" s="122">
        <v>140</v>
      </c>
      <c r="H2269" s="122">
        <v>722</v>
      </c>
      <c r="I2269" s="122">
        <v>28554</v>
      </c>
      <c r="J2269" s="122">
        <v>25958</v>
      </c>
      <c r="K2269" s="122">
        <v>78</v>
      </c>
      <c r="L2269" s="122">
        <v>6839</v>
      </c>
      <c r="M2269" s="122">
        <v>5289</v>
      </c>
      <c r="N2269" s="122">
        <v>2950</v>
      </c>
      <c r="O2269" s="122">
        <v>1093</v>
      </c>
      <c r="P2269" s="122">
        <v>1242</v>
      </c>
      <c r="Q2269" s="122">
        <v>460</v>
      </c>
      <c r="R2269" s="122">
        <v>11010</v>
      </c>
      <c r="S2269" s="122">
        <v>4078</v>
      </c>
      <c r="T2269" s="122">
        <v>0</v>
      </c>
      <c r="U2269" s="122">
        <v>0</v>
      </c>
      <c r="V2269" s="122">
        <v>36878</v>
      </c>
      <c r="W2269" s="122">
        <f t="shared" si="70"/>
        <v>36878</v>
      </c>
      <c r="X2269" s="122">
        <f t="shared" si="71"/>
        <v>50595</v>
      </c>
    </row>
    <row r="2270" spans="2:24">
      <c r="B2270" t="s">
        <v>382</v>
      </c>
      <c r="C2270" t="s">
        <v>60</v>
      </c>
      <c r="D2270" t="s">
        <v>406</v>
      </c>
      <c r="E2270" t="s">
        <v>406</v>
      </c>
      <c r="F2270" s="122">
        <v>320</v>
      </c>
      <c r="G2270" s="122">
        <v>30593</v>
      </c>
      <c r="H2270" s="122">
        <v>107942</v>
      </c>
      <c r="I2270" s="122">
        <v>6044220</v>
      </c>
      <c r="J2270" s="122">
        <v>5494745</v>
      </c>
      <c r="K2270" s="122">
        <v>78</v>
      </c>
      <c r="L2270" s="122">
        <v>1336548</v>
      </c>
      <c r="M2270" s="122">
        <v>1154743</v>
      </c>
      <c r="N2270" s="122">
        <v>646092</v>
      </c>
      <c r="O2270" s="122">
        <v>239293</v>
      </c>
      <c r="P2270" s="122">
        <v>205084</v>
      </c>
      <c r="Q2270" s="122">
        <v>75957</v>
      </c>
      <c r="R2270" s="122">
        <v>1459591</v>
      </c>
      <c r="S2270" s="122">
        <v>1326901</v>
      </c>
      <c r="T2270" s="122">
        <v>683025</v>
      </c>
      <c r="U2270" s="122">
        <v>252972</v>
      </c>
      <c r="V2270" s="122">
        <v>8544612</v>
      </c>
      <c r="W2270" s="122">
        <f t="shared" si="70"/>
        <v>8544611</v>
      </c>
      <c r="X2270" s="122">
        <f t="shared" si="71"/>
        <v>10374560</v>
      </c>
    </row>
    <row r="2271" spans="2:24">
      <c r="B2271" t="s">
        <v>382</v>
      </c>
      <c r="C2271" t="s">
        <v>60</v>
      </c>
      <c r="D2271" t="s">
        <v>427</v>
      </c>
      <c r="E2271" t="s">
        <v>406</v>
      </c>
      <c r="F2271" s="122">
        <v>1</v>
      </c>
      <c r="G2271" s="122">
        <v>74</v>
      </c>
      <c r="H2271" s="122">
        <v>362</v>
      </c>
      <c r="I2271" s="122">
        <v>12574</v>
      </c>
      <c r="J2271" s="122">
        <v>11431</v>
      </c>
      <c r="K2271" s="122">
        <v>70</v>
      </c>
      <c r="L2271" s="122">
        <v>1429</v>
      </c>
      <c r="M2271" s="122">
        <v>1299</v>
      </c>
      <c r="N2271" s="122">
        <v>1805</v>
      </c>
      <c r="O2271" s="122">
        <v>669</v>
      </c>
      <c r="P2271" s="122">
        <v>621</v>
      </c>
      <c r="Q2271" s="122">
        <v>230</v>
      </c>
      <c r="R2271" s="122">
        <v>6041</v>
      </c>
      <c r="S2271" s="122">
        <v>5492</v>
      </c>
      <c r="T2271" s="122">
        <v>4313</v>
      </c>
      <c r="U2271" s="122">
        <v>1597</v>
      </c>
      <c r="V2271" s="122">
        <v>20718</v>
      </c>
      <c r="W2271" s="122">
        <f t="shared" si="70"/>
        <v>20718</v>
      </c>
      <c r="X2271" s="122">
        <f t="shared" si="71"/>
        <v>26783</v>
      </c>
    </row>
    <row r="2272" spans="2:24">
      <c r="B2272" t="s">
        <v>382</v>
      </c>
      <c r="C2272" t="s">
        <v>60</v>
      </c>
      <c r="D2272" t="s">
        <v>427</v>
      </c>
      <c r="E2272" t="s">
        <v>427</v>
      </c>
      <c r="F2272" s="122">
        <v>1</v>
      </c>
      <c r="G2272" s="122">
        <v>77</v>
      </c>
      <c r="H2272" s="122">
        <v>363</v>
      </c>
      <c r="I2272" s="122">
        <v>16467</v>
      </c>
      <c r="J2272" s="122">
        <v>14970</v>
      </c>
      <c r="K2272" s="122">
        <v>50</v>
      </c>
      <c r="L2272" s="122">
        <v>1830</v>
      </c>
      <c r="M2272" s="122">
        <v>1663</v>
      </c>
      <c r="N2272" s="122">
        <v>935</v>
      </c>
      <c r="O2272" s="122">
        <v>346</v>
      </c>
      <c r="P2272" s="122">
        <v>0</v>
      </c>
      <c r="Q2272" s="122">
        <v>0</v>
      </c>
      <c r="R2272" s="122">
        <v>6047</v>
      </c>
      <c r="S2272" s="122">
        <v>5497</v>
      </c>
      <c r="T2272" s="122">
        <v>2568</v>
      </c>
      <c r="U2272" s="122">
        <v>951</v>
      </c>
      <c r="V2272" s="122">
        <v>23428</v>
      </c>
      <c r="W2272" s="122">
        <f t="shared" si="70"/>
        <v>23427</v>
      </c>
      <c r="X2272" s="122">
        <f t="shared" si="71"/>
        <v>27847</v>
      </c>
    </row>
    <row r="2273" spans="2:35">
      <c r="B2273" t="s">
        <v>382</v>
      </c>
      <c r="C2273" t="s">
        <v>60</v>
      </c>
      <c r="D2273" t="s">
        <v>556</v>
      </c>
      <c r="E2273" t="s">
        <v>556</v>
      </c>
      <c r="F2273" s="122">
        <v>158</v>
      </c>
      <c r="G2273" s="122">
        <v>12671</v>
      </c>
      <c r="H2273" s="122">
        <v>53026</v>
      </c>
      <c r="I2273" s="122">
        <v>2515026</v>
      </c>
      <c r="J2273" s="122">
        <v>2095855</v>
      </c>
      <c r="K2273" s="122">
        <v>56</v>
      </c>
      <c r="L2273" s="122">
        <v>185800</v>
      </c>
      <c r="M2273" s="122">
        <v>142400</v>
      </c>
      <c r="N2273" s="122">
        <v>253266</v>
      </c>
      <c r="O2273" s="122">
        <v>93802</v>
      </c>
      <c r="P2273" s="122">
        <v>57537</v>
      </c>
      <c r="Q2273" s="122">
        <v>21310</v>
      </c>
      <c r="R2273" s="122">
        <v>863402</v>
      </c>
      <c r="S2273" s="122">
        <v>719502</v>
      </c>
      <c r="T2273" s="122">
        <v>360435</v>
      </c>
      <c r="U2273" s="122">
        <v>133494</v>
      </c>
      <c r="V2273" s="122">
        <v>3206364</v>
      </c>
      <c r="W2273" s="122">
        <f t="shared" si="70"/>
        <v>3206363</v>
      </c>
      <c r="X2273" s="122">
        <f t="shared" si="71"/>
        <v>4235466</v>
      </c>
    </row>
    <row r="2274" spans="2:35">
      <c r="B2274" t="s">
        <v>382</v>
      </c>
      <c r="C2274" t="s">
        <v>60</v>
      </c>
      <c r="D2274" t="s">
        <v>431</v>
      </c>
      <c r="E2274" t="s">
        <v>431</v>
      </c>
      <c r="F2274" s="122">
        <v>1</v>
      </c>
      <c r="G2274" s="122">
        <v>83</v>
      </c>
      <c r="H2274" s="122">
        <v>358</v>
      </c>
      <c r="I2274" s="122">
        <v>20538</v>
      </c>
      <c r="J2274" s="122">
        <v>18671</v>
      </c>
      <c r="K2274" s="122">
        <v>55</v>
      </c>
      <c r="L2274" s="122">
        <v>0</v>
      </c>
      <c r="M2274" s="122">
        <v>0</v>
      </c>
      <c r="N2274" s="122">
        <v>1538</v>
      </c>
      <c r="O2274" s="122">
        <v>570</v>
      </c>
      <c r="P2274" s="122">
        <v>351</v>
      </c>
      <c r="Q2274" s="122">
        <v>130</v>
      </c>
      <c r="R2274" s="122">
        <v>4460</v>
      </c>
      <c r="S2274" s="122">
        <v>4054</v>
      </c>
      <c r="T2274" s="122">
        <v>2645</v>
      </c>
      <c r="U2274" s="122">
        <v>979</v>
      </c>
      <c r="V2274" s="122">
        <v>24404</v>
      </c>
      <c r="W2274" s="122">
        <f t="shared" ref="W2274:W2337" si="72">SUM(ABS(J2274),ABS(M2274),ABS(O2274),ABS(Q2274),ABS(S2274),ABS(U2274))</f>
        <v>24404</v>
      </c>
      <c r="X2274" s="122">
        <f t="shared" ref="X2274:X2337" si="73">SUM(ABS(I2274),ABS(N2274),ABS(P2274),ABS(R2274),ABS(T2274),ABS(L2274))</f>
        <v>29532</v>
      </c>
    </row>
    <row r="2275" spans="2:35">
      <c r="B2275" t="s">
        <v>382</v>
      </c>
      <c r="C2275" t="s">
        <v>60</v>
      </c>
      <c r="D2275" t="s">
        <v>426</v>
      </c>
      <c r="E2275" t="s">
        <v>426</v>
      </c>
      <c r="F2275" s="122">
        <v>105</v>
      </c>
      <c r="G2275" s="122">
        <v>8137</v>
      </c>
      <c r="H2275" s="122">
        <v>35863</v>
      </c>
      <c r="I2275" s="122">
        <v>1531205</v>
      </c>
      <c r="J2275" s="122">
        <v>1392005</v>
      </c>
      <c r="K2275" s="122">
        <v>53</v>
      </c>
      <c r="L2275" s="122">
        <v>206681</v>
      </c>
      <c r="M2275" s="122">
        <v>164577</v>
      </c>
      <c r="N2275" s="122">
        <v>159956</v>
      </c>
      <c r="O2275" s="122">
        <v>59243</v>
      </c>
      <c r="P2275" s="122">
        <v>39258</v>
      </c>
      <c r="Q2275" s="122">
        <v>14540</v>
      </c>
      <c r="R2275" s="122">
        <v>588740</v>
      </c>
      <c r="S2275" s="122">
        <v>535218</v>
      </c>
      <c r="T2275" s="122">
        <v>245793</v>
      </c>
      <c r="U2275" s="122">
        <v>91035</v>
      </c>
      <c r="V2275" s="122">
        <v>2256617</v>
      </c>
      <c r="W2275" s="122">
        <f t="shared" si="72"/>
        <v>2256618</v>
      </c>
      <c r="X2275" s="122">
        <f t="shared" si="73"/>
        <v>2771633</v>
      </c>
    </row>
    <row r="2276" spans="2:35">
      <c r="B2276" t="s">
        <v>382</v>
      </c>
      <c r="C2276" t="s">
        <v>62</v>
      </c>
      <c r="D2276" t="s">
        <v>137</v>
      </c>
      <c r="E2276" t="s">
        <v>137</v>
      </c>
      <c r="F2276" s="122">
        <v>32</v>
      </c>
      <c r="G2276" s="122">
        <v>2411</v>
      </c>
      <c r="H2276" s="122">
        <v>13401</v>
      </c>
      <c r="I2276" s="122">
        <v>635048</v>
      </c>
      <c r="J2276" s="122">
        <v>235203</v>
      </c>
      <c r="K2276" s="122">
        <v>100</v>
      </c>
      <c r="L2276" s="122">
        <v>105998</v>
      </c>
      <c r="M2276" s="122">
        <v>69062</v>
      </c>
      <c r="N2276" s="122">
        <v>50104</v>
      </c>
      <c r="O2276" s="122">
        <v>18557</v>
      </c>
      <c r="P2276" s="122">
        <v>1620</v>
      </c>
      <c r="Q2276" s="122">
        <v>600</v>
      </c>
      <c r="R2276" s="122">
        <v>221125</v>
      </c>
      <c r="S2276" s="122">
        <v>81898</v>
      </c>
      <c r="T2276" s="122">
        <v>0</v>
      </c>
      <c r="U2276" s="122">
        <v>0</v>
      </c>
      <c r="V2276" s="122">
        <v>405321</v>
      </c>
      <c r="W2276" s="122">
        <f t="shared" si="72"/>
        <v>405320</v>
      </c>
      <c r="X2276" s="122">
        <f t="shared" si="73"/>
        <v>1013895</v>
      </c>
    </row>
    <row r="2277" spans="2:35">
      <c r="B2277" t="s">
        <v>382</v>
      </c>
      <c r="C2277" t="s">
        <v>62</v>
      </c>
      <c r="D2277" t="s">
        <v>137</v>
      </c>
      <c r="E2277" t="s">
        <v>556</v>
      </c>
      <c r="F2277" s="122">
        <v>3</v>
      </c>
      <c r="G2277" s="122">
        <v>171</v>
      </c>
      <c r="H2277" s="122">
        <v>1233</v>
      </c>
      <c r="I2277" s="122">
        <v>39154</v>
      </c>
      <c r="J2277" s="122">
        <v>14502</v>
      </c>
      <c r="K2277" s="122">
        <v>100</v>
      </c>
      <c r="L2277" s="122">
        <v>3893</v>
      </c>
      <c r="M2277" s="122">
        <v>3244</v>
      </c>
      <c r="N2277" s="122">
        <v>3131</v>
      </c>
      <c r="O2277" s="122">
        <v>1160</v>
      </c>
      <c r="P2277" s="122">
        <v>351</v>
      </c>
      <c r="Q2277" s="122">
        <v>130</v>
      </c>
      <c r="R2277" s="122">
        <v>18036</v>
      </c>
      <c r="S2277" s="122">
        <v>15030</v>
      </c>
      <c r="T2277" s="122">
        <v>6691</v>
      </c>
      <c r="U2277" s="122">
        <v>2478</v>
      </c>
      <c r="V2277" s="122">
        <v>36544</v>
      </c>
      <c r="W2277" s="122">
        <f t="shared" si="72"/>
        <v>36544</v>
      </c>
      <c r="X2277" s="122">
        <f t="shared" si="73"/>
        <v>71256</v>
      </c>
    </row>
    <row r="2278" spans="2:35">
      <c r="B2278" t="s">
        <v>382</v>
      </c>
      <c r="C2278" t="s">
        <v>62</v>
      </c>
      <c r="D2278" t="s">
        <v>137</v>
      </c>
      <c r="E2278" t="s">
        <v>426</v>
      </c>
      <c r="F2278" s="122">
        <v>2</v>
      </c>
      <c r="G2278" s="122">
        <v>166</v>
      </c>
      <c r="H2278" s="122">
        <v>838</v>
      </c>
      <c r="I2278" s="122">
        <v>45964</v>
      </c>
      <c r="J2278" s="122">
        <v>17024</v>
      </c>
      <c r="K2278" s="122">
        <v>100</v>
      </c>
      <c r="L2278" s="122">
        <v>4364</v>
      </c>
      <c r="M2278" s="122">
        <v>3967</v>
      </c>
      <c r="N2278" s="122">
        <v>3754</v>
      </c>
      <c r="O2278" s="122">
        <v>1390</v>
      </c>
      <c r="P2278" s="122">
        <v>0</v>
      </c>
      <c r="Q2278" s="122">
        <v>0</v>
      </c>
      <c r="R2278" s="122">
        <v>11403</v>
      </c>
      <c r="S2278" s="122">
        <v>10366</v>
      </c>
      <c r="T2278" s="122">
        <v>4413</v>
      </c>
      <c r="U2278" s="122">
        <v>1634</v>
      </c>
      <c r="V2278" s="122">
        <v>34382</v>
      </c>
      <c r="W2278" s="122">
        <f t="shared" si="72"/>
        <v>34381</v>
      </c>
      <c r="X2278" s="122">
        <f t="shared" si="73"/>
        <v>69898</v>
      </c>
    </row>
    <row r="2279" spans="2:35">
      <c r="B2279" t="s">
        <v>382</v>
      </c>
      <c r="C2279" t="s">
        <v>62</v>
      </c>
      <c r="D2279" t="s">
        <v>406</v>
      </c>
      <c r="E2279" t="s">
        <v>137</v>
      </c>
      <c r="F2279" s="122">
        <v>2</v>
      </c>
      <c r="G2279" s="122">
        <v>188</v>
      </c>
      <c r="H2279" s="122">
        <v>862</v>
      </c>
      <c r="I2279" s="122">
        <v>46782</v>
      </c>
      <c r="J2279" s="122">
        <v>42529</v>
      </c>
      <c r="K2279" s="122">
        <v>89</v>
      </c>
      <c r="L2279" s="122">
        <v>11468</v>
      </c>
      <c r="M2279" s="122">
        <v>10426</v>
      </c>
      <c r="N2279" s="122">
        <v>3757</v>
      </c>
      <c r="O2279" s="122">
        <v>1392</v>
      </c>
      <c r="P2279" s="122">
        <v>1242</v>
      </c>
      <c r="Q2279" s="122">
        <v>460</v>
      </c>
      <c r="R2279" s="122">
        <v>14997</v>
      </c>
      <c r="S2279" s="122">
        <v>5554</v>
      </c>
      <c r="T2279" s="122">
        <v>2820</v>
      </c>
      <c r="U2279" s="122">
        <v>1045</v>
      </c>
      <c r="V2279" s="122">
        <v>61405</v>
      </c>
      <c r="W2279" s="122">
        <f t="shared" si="72"/>
        <v>61406</v>
      </c>
      <c r="X2279" s="122">
        <f t="shared" si="73"/>
        <v>81066</v>
      </c>
    </row>
    <row r="2280" spans="2:35">
      <c r="B2280" t="s">
        <v>382</v>
      </c>
      <c r="C2280" t="s">
        <v>62</v>
      </c>
      <c r="D2280" t="s">
        <v>406</v>
      </c>
      <c r="E2280" t="s">
        <v>406</v>
      </c>
      <c r="F2280" s="122">
        <v>163</v>
      </c>
      <c r="G2280" s="122">
        <v>14834</v>
      </c>
      <c r="H2280" s="122">
        <v>67144</v>
      </c>
      <c r="I2280" s="122">
        <v>3790119</v>
      </c>
      <c r="J2280" s="122">
        <v>3445563</v>
      </c>
      <c r="K2280" s="122">
        <v>78</v>
      </c>
      <c r="L2280" s="122">
        <v>829692</v>
      </c>
      <c r="M2280" s="122">
        <v>710481</v>
      </c>
      <c r="N2280" s="122">
        <v>316708</v>
      </c>
      <c r="O2280" s="122">
        <v>117299</v>
      </c>
      <c r="P2280" s="122">
        <v>106961</v>
      </c>
      <c r="Q2280" s="122">
        <v>39615</v>
      </c>
      <c r="R2280" s="122">
        <v>759817</v>
      </c>
      <c r="S2280" s="122">
        <v>690743</v>
      </c>
      <c r="T2280" s="122">
        <v>320969</v>
      </c>
      <c r="U2280" s="122">
        <v>118877</v>
      </c>
      <c r="V2280" s="122">
        <v>5122578</v>
      </c>
      <c r="W2280" s="122">
        <f t="shared" si="72"/>
        <v>5122578</v>
      </c>
      <c r="X2280" s="122">
        <f t="shared" si="73"/>
        <v>6124266</v>
      </c>
    </row>
    <row r="2281" spans="2:35">
      <c r="B2281" t="s">
        <v>382</v>
      </c>
      <c r="C2281" t="s">
        <v>62</v>
      </c>
      <c r="D2281" t="s">
        <v>406</v>
      </c>
      <c r="E2281" t="s">
        <v>428</v>
      </c>
      <c r="F2281" s="122">
        <v>1</v>
      </c>
      <c r="G2281" s="122">
        <v>138</v>
      </c>
      <c r="H2281" s="122">
        <v>434</v>
      </c>
      <c r="I2281" s="122">
        <v>49556</v>
      </c>
      <c r="J2281" s="122">
        <v>45051</v>
      </c>
      <c r="K2281" s="122">
        <v>70</v>
      </c>
      <c r="L2281" s="122">
        <v>7323</v>
      </c>
      <c r="M2281" s="122">
        <v>6658</v>
      </c>
      <c r="N2281" s="122">
        <v>2997</v>
      </c>
      <c r="O2281" s="122">
        <v>1110</v>
      </c>
      <c r="P2281" s="122">
        <v>621</v>
      </c>
      <c r="Q2281" s="122">
        <v>230</v>
      </c>
      <c r="R2281" s="122">
        <v>7412</v>
      </c>
      <c r="S2281" s="122">
        <v>6738</v>
      </c>
      <c r="T2281" s="122">
        <v>3169</v>
      </c>
      <c r="U2281" s="122">
        <v>1174</v>
      </c>
      <c r="V2281" s="122">
        <v>60960</v>
      </c>
      <c r="W2281" s="122">
        <f t="shared" si="72"/>
        <v>60961</v>
      </c>
      <c r="X2281" s="122">
        <f t="shared" si="73"/>
        <v>71078</v>
      </c>
    </row>
    <row r="2282" spans="2:35">
      <c r="B2282" t="s">
        <v>382</v>
      </c>
      <c r="C2282" t="s">
        <v>62</v>
      </c>
      <c r="D2282" t="s">
        <v>556</v>
      </c>
      <c r="E2282" t="s">
        <v>556</v>
      </c>
      <c r="F2282" s="122">
        <v>55</v>
      </c>
      <c r="G2282" s="122">
        <v>4078</v>
      </c>
      <c r="H2282" s="122">
        <v>22674</v>
      </c>
      <c r="I2282" s="122">
        <v>1081956</v>
      </c>
      <c r="J2282" s="122">
        <v>901630</v>
      </c>
      <c r="K2282" s="122">
        <v>55</v>
      </c>
      <c r="L2282" s="122">
        <v>92997</v>
      </c>
      <c r="M2282" s="122">
        <v>70337</v>
      </c>
      <c r="N2282" s="122">
        <v>72882</v>
      </c>
      <c r="O2282" s="122">
        <v>26993</v>
      </c>
      <c r="P2282" s="122">
        <v>18914</v>
      </c>
      <c r="Q2282" s="122">
        <v>7005</v>
      </c>
      <c r="R2282" s="122">
        <v>298141</v>
      </c>
      <c r="S2282" s="122">
        <v>248450</v>
      </c>
      <c r="T2282" s="122">
        <v>121552</v>
      </c>
      <c r="U2282" s="122">
        <v>45019</v>
      </c>
      <c r="V2282" s="122">
        <v>1299436</v>
      </c>
      <c r="W2282" s="122">
        <f t="shared" si="72"/>
        <v>1299434</v>
      </c>
      <c r="X2282" s="122">
        <f t="shared" si="73"/>
        <v>1686442</v>
      </c>
    </row>
    <row r="2283" spans="2:35">
      <c r="B2283" t="s">
        <v>382</v>
      </c>
      <c r="C2283" t="s">
        <v>62</v>
      </c>
      <c r="D2283" t="s">
        <v>426</v>
      </c>
      <c r="E2283" t="s">
        <v>137</v>
      </c>
      <c r="F2283" s="122">
        <v>3</v>
      </c>
      <c r="G2283" s="122">
        <v>205</v>
      </c>
      <c r="H2283" s="122">
        <v>1283</v>
      </c>
      <c r="I2283" s="122">
        <v>50609</v>
      </c>
      <c r="J2283" s="122">
        <v>46008</v>
      </c>
      <c r="K2283" s="122">
        <v>42</v>
      </c>
      <c r="L2283" s="122">
        <v>6900</v>
      </c>
      <c r="M2283" s="122">
        <v>4807</v>
      </c>
      <c r="N2283" s="122">
        <v>4264</v>
      </c>
      <c r="O2283" s="122">
        <v>1579</v>
      </c>
      <c r="P2283" s="122">
        <v>351</v>
      </c>
      <c r="Q2283" s="122">
        <v>130</v>
      </c>
      <c r="R2283" s="122">
        <v>24450</v>
      </c>
      <c r="S2283" s="122">
        <v>9055</v>
      </c>
      <c r="T2283" s="122">
        <v>0</v>
      </c>
      <c r="U2283" s="122">
        <v>0</v>
      </c>
      <c r="V2283" s="122">
        <v>61579</v>
      </c>
      <c r="W2283" s="122">
        <f t="shared" si="72"/>
        <v>61579</v>
      </c>
      <c r="X2283" s="122">
        <f t="shared" si="73"/>
        <v>86574</v>
      </c>
    </row>
    <row r="2284" spans="2:35">
      <c r="B2284" t="s">
        <v>382</v>
      </c>
      <c r="C2284" t="s">
        <v>62</v>
      </c>
      <c r="D2284" t="s">
        <v>426</v>
      </c>
      <c r="E2284" t="s">
        <v>426</v>
      </c>
      <c r="F2284" s="122">
        <v>57</v>
      </c>
      <c r="G2284" s="122">
        <v>3963</v>
      </c>
      <c r="H2284" s="122">
        <v>23551</v>
      </c>
      <c r="I2284" s="122">
        <v>945938</v>
      </c>
      <c r="J2284" s="122">
        <v>859944</v>
      </c>
      <c r="K2284" s="122">
        <v>49</v>
      </c>
      <c r="L2284" s="122">
        <v>126442</v>
      </c>
      <c r="M2284" s="122">
        <v>108951</v>
      </c>
      <c r="N2284" s="122">
        <v>80505</v>
      </c>
      <c r="O2284" s="122">
        <v>29817</v>
      </c>
      <c r="P2284" s="122">
        <v>19697</v>
      </c>
      <c r="Q2284" s="122">
        <v>7295</v>
      </c>
      <c r="R2284" s="122">
        <v>332503</v>
      </c>
      <c r="S2284" s="122">
        <v>302276</v>
      </c>
      <c r="T2284" s="122">
        <v>127024</v>
      </c>
      <c r="U2284" s="122">
        <v>47046</v>
      </c>
      <c r="V2284" s="122">
        <v>1355328</v>
      </c>
      <c r="W2284" s="122">
        <f t="shared" si="72"/>
        <v>1355329</v>
      </c>
      <c r="X2284" s="122">
        <f t="shared" si="73"/>
        <v>1632109</v>
      </c>
    </row>
    <row r="2285" spans="2:35">
      <c r="B2285" t="s">
        <v>382</v>
      </c>
      <c r="C2285" t="s">
        <v>64</v>
      </c>
      <c r="D2285" t="s">
        <v>425</v>
      </c>
      <c r="E2285" t="s">
        <v>425</v>
      </c>
      <c r="F2285" s="122">
        <v>1</v>
      </c>
      <c r="G2285" s="122">
        <v>89</v>
      </c>
      <c r="H2285" s="122">
        <v>501</v>
      </c>
      <c r="I2285" s="122">
        <v>31058</v>
      </c>
      <c r="J2285" s="122">
        <v>28234</v>
      </c>
      <c r="K2285" s="122">
        <v>73</v>
      </c>
      <c r="L2285" s="122">
        <v>7983</v>
      </c>
      <c r="M2285" s="122">
        <v>7257</v>
      </c>
      <c r="N2285" s="122">
        <v>1689</v>
      </c>
      <c r="O2285" s="122">
        <v>625</v>
      </c>
      <c r="P2285" s="122">
        <v>473</v>
      </c>
      <c r="Q2285" s="122">
        <v>175</v>
      </c>
      <c r="R2285" s="122">
        <v>3272</v>
      </c>
      <c r="S2285" s="122">
        <v>2975</v>
      </c>
      <c r="T2285" s="122">
        <v>0</v>
      </c>
      <c r="U2285" s="122">
        <v>0</v>
      </c>
      <c r="V2285" s="122">
        <v>39266</v>
      </c>
      <c r="W2285" s="122">
        <f t="shared" si="72"/>
        <v>39266</v>
      </c>
      <c r="X2285" s="122">
        <f t="shared" si="73"/>
        <v>44475</v>
      </c>
    </row>
    <row r="2286" spans="2:35" ht="13">
      <c r="B2286" t="s">
        <v>382</v>
      </c>
      <c r="C2286" t="s">
        <v>64</v>
      </c>
      <c r="D2286" t="s">
        <v>425</v>
      </c>
      <c r="E2286" t="s">
        <v>406</v>
      </c>
      <c r="F2286" s="122">
        <v>1</v>
      </c>
      <c r="G2286" s="122">
        <v>83</v>
      </c>
      <c r="H2286" s="122">
        <v>566</v>
      </c>
      <c r="I2286" s="122">
        <v>26721</v>
      </c>
      <c r="J2286" s="122">
        <v>24292</v>
      </c>
      <c r="K2286" s="122">
        <v>70</v>
      </c>
      <c r="L2286" s="122">
        <v>6581</v>
      </c>
      <c r="M2286" s="122">
        <v>5983</v>
      </c>
      <c r="N2286" s="122">
        <v>1824</v>
      </c>
      <c r="O2286" s="122">
        <v>676</v>
      </c>
      <c r="P2286" s="122">
        <v>621</v>
      </c>
      <c r="Q2286" s="122">
        <v>230</v>
      </c>
      <c r="R2286" s="122">
        <v>6870</v>
      </c>
      <c r="S2286" s="122">
        <v>6245</v>
      </c>
      <c r="T2286" s="122">
        <v>4436</v>
      </c>
      <c r="U2286" s="122">
        <v>1643</v>
      </c>
      <c r="V2286" s="122">
        <v>39069</v>
      </c>
      <c r="W2286" s="122">
        <f t="shared" si="72"/>
        <v>39069</v>
      </c>
      <c r="X2286" s="122">
        <f t="shared" si="73"/>
        <v>47053</v>
      </c>
      <c r="AI2286" s="66"/>
    </row>
    <row r="2287" spans="2:35" ht="13">
      <c r="B2287" t="s">
        <v>382</v>
      </c>
      <c r="C2287" t="s">
        <v>64</v>
      </c>
      <c r="D2287" t="s">
        <v>137</v>
      </c>
      <c r="E2287" t="s">
        <v>137</v>
      </c>
      <c r="F2287" s="122">
        <v>93</v>
      </c>
      <c r="G2287" s="122">
        <v>7773</v>
      </c>
      <c r="H2287" s="122">
        <v>59010</v>
      </c>
      <c r="I2287" s="122">
        <v>3537040</v>
      </c>
      <c r="J2287" s="122">
        <v>1310015</v>
      </c>
      <c r="K2287" s="122">
        <v>100</v>
      </c>
      <c r="L2287" s="122">
        <v>551085</v>
      </c>
      <c r="M2287" s="122">
        <v>425847</v>
      </c>
      <c r="N2287" s="122">
        <v>170172</v>
      </c>
      <c r="O2287" s="122">
        <v>63027</v>
      </c>
      <c r="P2287" s="122">
        <v>1053</v>
      </c>
      <c r="Q2287" s="122">
        <v>390</v>
      </c>
      <c r="R2287" s="122">
        <v>616170</v>
      </c>
      <c r="S2287" s="122">
        <v>228211</v>
      </c>
      <c r="T2287" s="122">
        <v>0</v>
      </c>
      <c r="U2287" s="122">
        <v>0</v>
      </c>
      <c r="V2287" s="122">
        <v>2027490</v>
      </c>
      <c r="W2287" s="122">
        <f t="shared" si="72"/>
        <v>2027490</v>
      </c>
      <c r="X2287" s="122">
        <f t="shared" si="73"/>
        <v>4875520</v>
      </c>
      <c r="AI2287" s="66"/>
    </row>
    <row r="2288" spans="2:35" ht="13">
      <c r="B2288" t="s">
        <v>382</v>
      </c>
      <c r="C2288" t="s">
        <v>64</v>
      </c>
      <c r="D2288" t="s">
        <v>137</v>
      </c>
      <c r="E2288" t="s">
        <v>406</v>
      </c>
      <c r="F2288" s="122">
        <v>1</v>
      </c>
      <c r="G2288" s="122">
        <v>283</v>
      </c>
      <c r="H2288" s="122">
        <v>550</v>
      </c>
      <c r="I2288" s="122">
        <v>125199</v>
      </c>
      <c r="J2288" s="122">
        <v>46370</v>
      </c>
      <c r="K2288" s="122">
        <v>100</v>
      </c>
      <c r="L2288" s="122">
        <v>13848</v>
      </c>
      <c r="M2288" s="122">
        <v>12589</v>
      </c>
      <c r="N2288" s="122">
        <v>5835</v>
      </c>
      <c r="O2288" s="122">
        <v>2161</v>
      </c>
      <c r="P2288" s="122">
        <v>0</v>
      </c>
      <c r="Q2288" s="122">
        <v>0</v>
      </c>
      <c r="R2288" s="122">
        <v>6683</v>
      </c>
      <c r="S2288" s="122">
        <v>6076</v>
      </c>
      <c r="T2288" s="122">
        <v>4165</v>
      </c>
      <c r="U2288" s="122">
        <v>1543</v>
      </c>
      <c r="V2288" s="122">
        <v>68739</v>
      </c>
      <c r="W2288" s="122">
        <f t="shared" si="72"/>
        <v>68739</v>
      </c>
      <c r="X2288" s="122">
        <f t="shared" si="73"/>
        <v>155730</v>
      </c>
      <c r="AI2288" s="66"/>
    </row>
    <row r="2289" spans="2:35" ht="13">
      <c r="B2289" t="s">
        <v>382</v>
      </c>
      <c r="C2289" t="s">
        <v>64</v>
      </c>
      <c r="D2289" t="s">
        <v>137</v>
      </c>
      <c r="E2289" t="s">
        <v>427</v>
      </c>
      <c r="F2289" s="122">
        <v>1</v>
      </c>
      <c r="G2289" s="122">
        <v>98</v>
      </c>
      <c r="H2289" s="122">
        <v>679</v>
      </c>
      <c r="I2289" s="122">
        <v>51883</v>
      </c>
      <c r="J2289" s="122">
        <v>19216</v>
      </c>
      <c r="K2289" s="122">
        <v>100</v>
      </c>
      <c r="L2289" s="122">
        <v>4270</v>
      </c>
      <c r="M2289" s="122">
        <v>3882</v>
      </c>
      <c r="N2289" s="122">
        <v>1734</v>
      </c>
      <c r="O2289" s="122">
        <v>642</v>
      </c>
      <c r="P2289" s="122">
        <v>351</v>
      </c>
      <c r="Q2289" s="122">
        <v>130</v>
      </c>
      <c r="R2289" s="122">
        <v>8436</v>
      </c>
      <c r="S2289" s="122">
        <v>7669</v>
      </c>
      <c r="T2289" s="122">
        <v>0</v>
      </c>
      <c r="U2289" s="122">
        <v>0</v>
      </c>
      <c r="V2289" s="122">
        <v>31539</v>
      </c>
      <c r="W2289" s="122">
        <f t="shared" si="72"/>
        <v>31539</v>
      </c>
      <c r="X2289" s="122">
        <f t="shared" si="73"/>
        <v>66674</v>
      </c>
      <c r="AI2289" s="66"/>
    </row>
    <row r="2290" spans="2:35" ht="13">
      <c r="B2290" t="s">
        <v>382</v>
      </c>
      <c r="C2290" t="s">
        <v>64</v>
      </c>
      <c r="D2290" t="s">
        <v>137</v>
      </c>
      <c r="E2290" t="s">
        <v>556</v>
      </c>
      <c r="F2290" s="122">
        <v>4</v>
      </c>
      <c r="G2290" s="122">
        <v>253</v>
      </c>
      <c r="H2290" s="122">
        <v>2110</v>
      </c>
      <c r="I2290" s="122">
        <v>87563</v>
      </c>
      <c r="J2290" s="122">
        <v>32431</v>
      </c>
      <c r="K2290" s="122">
        <v>100</v>
      </c>
      <c r="L2290" s="122">
        <v>11460</v>
      </c>
      <c r="M2290" s="122">
        <v>9550</v>
      </c>
      <c r="N2290" s="122">
        <v>5520</v>
      </c>
      <c r="O2290" s="122">
        <v>2045</v>
      </c>
      <c r="P2290" s="122">
        <v>351</v>
      </c>
      <c r="Q2290" s="122">
        <v>130</v>
      </c>
      <c r="R2290" s="122">
        <v>20665</v>
      </c>
      <c r="S2290" s="122">
        <v>17221</v>
      </c>
      <c r="T2290" s="122">
        <v>6973</v>
      </c>
      <c r="U2290" s="122">
        <v>2583</v>
      </c>
      <c r="V2290" s="122">
        <v>63959</v>
      </c>
      <c r="W2290" s="122">
        <f t="shared" si="72"/>
        <v>63960</v>
      </c>
      <c r="X2290" s="122">
        <f t="shared" si="73"/>
        <v>132532</v>
      </c>
      <c r="AI2290" s="66"/>
    </row>
    <row r="2291" spans="2:35" ht="13">
      <c r="B2291" t="s">
        <v>382</v>
      </c>
      <c r="C2291" t="s">
        <v>64</v>
      </c>
      <c r="D2291" t="s">
        <v>137</v>
      </c>
      <c r="E2291" t="s">
        <v>426</v>
      </c>
      <c r="F2291" s="122">
        <v>10</v>
      </c>
      <c r="G2291" s="122">
        <v>538</v>
      </c>
      <c r="H2291" s="122">
        <v>8837</v>
      </c>
      <c r="I2291" s="122">
        <v>331068</v>
      </c>
      <c r="J2291" s="122">
        <v>122618</v>
      </c>
      <c r="K2291" s="122">
        <v>100</v>
      </c>
      <c r="L2291" s="122">
        <v>39656</v>
      </c>
      <c r="M2291" s="122">
        <v>35816</v>
      </c>
      <c r="N2291" s="122">
        <v>12209</v>
      </c>
      <c r="O2291" s="122">
        <v>4522</v>
      </c>
      <c r="P2291" s="122">
        <v>1053</v>
      </c>
      <c r="Q2291" s="122">
        <v>390</v>
      </c>
      <c r="R2291" s="122">
        <v>73731</v>
      </c>
      <c r="S2291" s="122">
        <v>67028</v>
      </c>
      <c r="T2291" s="122">
        <v>14964</v>
      </c>
      <c r="U2291" s="122">
        <v>5542</v>
      </c>
      <c r="V2291" s="122">
        <v>235916</v>
      </c>
      <c r="W2291" s="122">
        <f t="shared" si="72"/>
        <v>235916</v>
      </c>
      <c r="X2291" s="122">
        <f t="shared" si="73"/>
        <v>472681</v>
      </c>
      <c r="AI2291" s="66"/>
    </row>
    <row r="2292" spans="2:35" ht="13">
      <c r="B2292" t="s">
        <v>382</v>
      </c>
      <c r="C2292" t="s">
        <v>64</v>
      </c>
      <c r="D2292" t="s">
        <v>406</v>
      </c>
      <c r="E2292" t="s">
        <v>137</v>
      </c>
      <c r="F2292" s="122">
        <v>1</v>
      </c>
      <c r="G2292" s="122">
        <v>96</v>
      </c>
      <c r="H2292" s="122">
        <v>529</v>
      </c>
      <c r="I2292" s="122">
        <v>34941</v>
      </c>
      <c r="J2292" s="122">
        <v>31765</v>
      </c>
      <c r="K2292" s="122">
        <v>65</v>
      </c>
      <c r="L2292" s="122">
        <v>7998</v>
      </c>
      <c r="M2292" s="122">
        <v>7271</v>
      </c>
      <c r="N2292" s="122">
        <v>2345</v>
      </c>
      <c r="O2292" s="122">
        <v>869</v>
      </c>
      <c r="P2292" s="122">
        <v>621</v>
      </c>
      <c r="Q2292" s="122">
        <v>230</v>
      </c>
      <c r="R2292" s="122">
        <v>4982</v>
      </c>
      <c r="S2292" s="122">
        <v>1845</v>
      </c>
      <c r="T2292" s="122">
        <v>0</v>
      </c>
      <c r="U2292" s="122">
        <v>0</v>
      </c>
      <c r="V2292" s="122">
        <v>41979</v>
      </c>
      <c r="W2292" s="122">
        <f t="shared" si="72"/>
        <v>41980</v>
      </c>
      <c r="X2292" s="122">
        <f t="shared" si="73"/>
        <v>50887</v>
      </c>
      <c r="AI2292" s="66"/>
    </row>
    <row r="2293" spans="2:35" ht="13">
      <c r="B2293" t="s">
        <v>382</v>
      </c>
      <c r="C2293" t="s">
        <v>64</v>
      </c>
      <c r="D2293" t="s">
        <v>406</v>
      </c>
      <c r="E2293" t="s">
        <v>406</v>
      </c>
      <c r="F2293" s="122">
        <v>108</v>
      </c>
      <c r="G2293" s="122">
        <v>9083</v>
      </c>
      <c r="H2293" s="122">
        <v>56935</v>
      </c>
      <c r="I2293" s="122">
        <v>3104050</v>
      </c>
      <c r="J2293" s="122">
        <v>2821864</v>
      </c>
      <c r="K2293" s="122">
        <v>73</v>
      </c>
      <c r="L2293" s="122">
        <v>722853</v>
      </c>
      <c r="M2293" s="122">
        <v>634967</v>
      </c>
      <c r="N2293" s="122">
        <v>199298</v>
      </c>
      <c r="O2293" s="122">
        <v>73814</v>
      </c>
      <c r="P2293" s="122">
        <v>69876</v>
      </c>
      <c r="Q2293" s="122">
        <v>25880</v>
      </c>
      <c r="R2293" s="122">
        <v>502752</v>
      </c>
      <c r="S2293" s="122">
        <v>457047</v>
      </c>
      <c r="T2293" s="122">
        <v>229456</v>
      </c>
      <c r="U2293" s="122">
        <v>84984</v>
      </c>
      <c r="V2293" s="122">
        <v>4098556</v>
      </c>
      <c r="W2293" s="122">
        <f t="shared" si="72"/>
        <v>4098556</v>
      </c>
      <c r="X2293" s="122">
        <f t="shared" si="73"/>
        <v>4828285</v>
      </c>
      <c r="AI2293" s="66"/>
    </row>
    <row r="2294" spans="2:35" ht="13">
      <c r="B2294" t="s">
        <v>382</v>
      </c>
      <c r="C2294" t="s">
        <v>64</v>
      </c>
      <c r="D2294" t="s">
        <v>406</v>
      </c>
      <c r="E2294" t="s">
        <v>426</v>
      </c>
      <c r="F2294" s="122">
        <v>1</v>
      </c>
      <c r="G2294" s="122">
        <v>78</v>
      </c>
      <c r="H2294" s="122">
        <v>510</v>
      </c>
      <c r="I2294" s="122">
        <v>25047</v>
      </c>
      <c r="J2294" s="122">
        <v>22770</v>
      </c>
      <c r="K2294" s="122">
        <v>65</v>
      </c>
      <c r="L2294" s="122">
        <v>5733</v>
      </c>
      <c r="M2294" s="122">
        <v>5212</v>
      </c>
      <c r="N2294" s="122">
        <v>1771</v>
      </c>
      <c r="O2294" s="122">
        <v>656</v>
      </c>
      <c r="P2294" s="122">
        <v>621</v>
      </c>
      <c r="Q2294" s="122">
        <v>230</v>
      </c>
      <c r="R2294" s="122">
        <v>4316</v>
      </c>
      <c r="S2294" s="122">
        <v>3924</v>
      </c>
      <c r="T2294" s="122">
        <v>2135</v>
      </c>
      <c r="U2294" s="122">
        <v>791</v>
      </c>
      <c r="V2294" s="122">
        <v>33582</v>
      </c>
      <c r="W2294" s="122">
        <f t="shared" si="72"/>
        <v>33583</v>
      </c>
      <c r="X2294" s="122">
        <f t="shared" si="73"/>
        <v>39623</v>
      </c>
      <c r="AI2294" s="66"/>
    </row>
    <row r="2295" spans="2:35" ht="13">
      <c r="B2295" t="s">
        <v>382</v>
      </c>
      <c r="C2295" t="s">
        <v>64</v>
      </c>
      <c r="D2295" t="s">
        <v>427</v>
      </c>
      <c r="E2295" t="s">
        <v>137</v>
      </c>
      <c r="F2295" s="122">
        <v>1</v>
      </c>
      <c r="G2295" s="122">
        <v>54</v>
      </c>
      <c r="H2295" s="122">
        <v>1433</v>
      </c>
      <c r="I2295" s="122">
        <v>63393</v>
      </c>
      <c r="J2295" s="122">
        <v>57630</v>
      </c>
      <c r="K2295" s="122">
        <v>30</v>
      </c>
      <c r="L2295" s="122">
        <v>0</v>
      </c>
      <c r="M2295" s="122">
        <v>0</v>
      </c>
      <c r="N2295" s="122">
        <v>1320</v>
      </c>
      <c r="O2295" s="122">
        <v>489</v>
      </c>
      <c r="P2295" s="122">
        <v>0</v>
      </c>
      <c r="Q2295" s="122">
        <v>0</v>
      </c>
      <c r="R2295" s="122">
        <v>12867</v>
      </c>
      <c r="S2295" s="122">
        <v>4766</v>
      </c>
      <c r="T2295" s="122">
        <v>0</v>
      </c>
      <c r="U2295" s="122">
        <v>0</v>
      </c>
      <c r="V2295" s="122">
        <v>62884</v>
      </c>
      <c r="W2295" s="122">
        <f t="shared" si="72"/>
        <v>62885</v>
      </c>
      <c r="X2295" s="122">
        <f t="shared" si="73"/>
        <v>77580</v>
      </c>
      <c r="AI2295" s="66"/>
    </row>
    <row r="2296" spans="2:35" ht="13">
      <c r="B2296" t="s">
        <v>382</v>
      </c>
      <c r="C2296" t="s">
        <v>64</v>
      </c>
      <c r="D2296" t="s">
        <v>427</v>
      </c>
      <c r="E2296" t="s">
        <v>427</v>
      </c>
      <c r="F2296" s="122">
        <v>1</v>
      </c>
      <c r="G2296" s="122">
        <v>80</v>
      </c>
      <c r="H2296" s="122">
        <v>733</v>
      </c>
      <c r="I2296" s="122">
        <v>44884</v>
      </c>
      <c r="J2296" s="122">
        <v>40803</v>
      </c>
      <c r="K2296" s="122">
        <v>55</v>
      </c>
      <c r="L2296" s="122">
        <v>5486</v>
      </c>
      <c r="M2296" s="122">
        <v>4987</v>
      </c>
      <c r="N2296" s="122">
        <v>1948</v>
      </c>
      <c r="O2296" s="122">
        <v>722</v>
      </c>
      <c r="P2296" s="122">
        <v>351</v>
      </c>
      <c r="Q2296" s="122">
        <v>130</v>
      </c>
      <c r="R2296" s="122">
        <v>4222</v>
      </c>
      <c r="S2296" s="122">
        <v>3838</v>
      </c>
      <c r="T2296" s="122">
        <v>1720</v>
      </c>
      <c r="U2296" s="122">
        <v>637</v>
      </c>
      <c r="V2296" s="122">
        <v>51117</v>
      </c>
      <c r="W2296" s="122">
        <f t="shared" si="72"/>
        <v>51117</v>
      </c>
      <c r="X2296" s="122">
        <f t="shared" si="73"/>
        <v>58611</v>
      </c>
      <c r="AI2296" s="66"/>
    </row>
    <row r="2297" spans="2:35" ht="13">
      <c r="B2297" t="s">
        <v>382</v>
      </c>
      <c r="C2297" t="s">
        <v>64</v>
      </c>
      <c r="D2297" t="s">
        <v>556</v>
      </c>
      <c r="E2297" t="s">
        <v>137</v>
      </c>
      <c r="F2297" s="122">
        <v>8</v>
      </c>
      <c r="G2297" s="122">
        <v>549</v>
      </c>
      <c r="H2297" s="122">
        <v>8334</v>
      </c>
      <c r="I2297" s="122">
        <v>506565</v>
      </c>
      <c r="J2297" s="122">
        <v>422138</v>
      </c>
      <c r="K2297" s="122">
        <v>30</v>
      </c>
      <c r="L2297" s="122">
        <v>28852</v>
      </c>
      <c r="M2297" s="122">
        <v>14091</v>
      </c>
      <c r="N2297" s="122">
        <v>11879</v>
      </c>
      <c r="O2297" s="122">
        <v>4400</v>
      </c>
      <c r="P2297" s="122">
        <v>0</v>
      </c>
      <c r="Q2297" s="122">
        <v>0</v>
      </c>
      <c r="R2297" s="122">
        <v>44295</v>
      </c>
      <c r="S2297" s="122">
        <v>16405</v>
      </c>
      <c r="T2297" s="122">
        <v>0</v>
      </c>
      <c r="U2297" s="122">
        <v>0</v>
      </c>
      <c r="V2297" s="122">
        <v>457034</v>
      </c>
      <c r="W2297" s="122">
        <f t="shared" si="72"/>
        <v>457034</v>
      </c>
      <c r="X2297" s="122">
        <f t="shared" si="73"/>
        <v>591591</v>
      </c>
      <c r="AI2297" s="66"/>
    </row>
    <row r="2298" spans="2:35" ht="13">
      <c r="B2298" t="s">
        <v>382</v>
      </c>
      <c r="C2298" t="s">
        <v>64</v>
      </c>
      <c r="D2298" t="s">
        <v>556</v>
      </c>
      <c r="E2298" t="s">
        <v>556</v>
      </c>
      <c r="F2298" s="122">
        <v>83</v>
      </c>
      <c r="G2298" s="122">
        <v>6157</v>
      </c>
      <c r="H2298" s="122">
        <v>47707</v>
      </c>
      <c r="I2298" s="122">
        <v>2547303</v>
      </c>
      <c r="J2298" s="122">
        <v>2122753</v>
      </c>
      <c r="K2298" s="122">
        <v>54</v>
      </c>
      <c r="L2298" s="122">
        <v>214085</v>
      </c>
      <c r="M2298" s="122">
        <v>174750</v>
      </c>
      <c r="N2298" s="122">
        <v>131534</v>
      </c>
      <c r="O2298" s="122">
        <v>48716</v>
      </c>
      <c r="P2298" s="122">
        <v>29430</v>
      </c>
      <c r="Q2298" s="122">
        <v>10900</v>
      </c>
      <c r="R2298" s="122">
        <v>464800</v>
      </c>
      <c r="S2298" s="122">
        <v>387333</v>
      </c>
      <c r="T2298" s="122">
        <v>174487</v>
      </c>
      <c r="U2298" s="122">
        <v>64625</v>
      </c>
      <c r="V2298" s="122">
        <v>2809077</v>
      </c>
      <c r="W2298" s="122">
        <f t="shared" si="72"/>
        <v>2809077</v>
      </c>
      <c r="X2298" s="122">
        <f t="shared" si="73"/>
        <v>3561639</v>
      </c>
      <c r="AI2298" s="66"/>
    </row>
    <row r="2299" spans="2:35" ht="13">
      <c r="B2299" t="s">
        <v>382</v>
      </c>
      <c r="C2299" t="s">
        <v>64</v>
      </c>
      <c r="D2299" t="s">
        <v>426</v>
      </c>
      <c r="E2299" t="s">
        <v>137</v>
      </c>
      <c r="F2299" s="122">
        <v>11</v>
      </c>
      <c r="G2299" s="122">
        <v>889</v>
      </c>
      <c r="H2299" s="122">
        <v>11397</v>
      </c>
      <c r="I2299" s="122">
        <v>768483</v>
      </c>
      <c r="J2299" s="122">
        <v>698621</v>
      </c>
      <c r="K2299" s="122">
        <v>33</v>
      </c>
      <c r="L2299" s="122">
        <v>72564</v>
      </c>
      <c r="M2299" s="122">
        <v>34064</v>
      </c>
      <c r="N2299" s="122">
        <v>19641</v>
      </c>
      <c r="O2299" s="122">
        <v>7274</v>
      </c>
      <c r="P2299" s="122">
        <v>0</v>
      </c>
      <c r="Q2299" s="122">
        <v>0</v>
      </c>
      <c r="R2299" s="122">
        <v>63068</v>
      </c>
      <c r="S2299" s="122">
        <v>23359</v>
      </c>
      <c r="T2299" s="122">
        <v>0</v>
      </c>
      <c r="U2299" s="122">
        <v>0</v>
      </c>
      <c r="V2299" s="122">
        <v>763317</v>
      </c>
      <c r="W2299" s="122">
        <f t="shared" si="72"/>
        <v>763318</v>
      </c>
      <c r="X2299" s="122">
        <f t="shared" si="73"/>
        <v>923756</v>
      </c>
      <c r="AI2299" s="66"/>
    </row>
    <row r="2300" spans="2:35" ht="13">
      <c r="B2300" t="s">
        <v>382</v>
      </c>
      <c r="C2300" t="s">
        <v>64</v>
      </c>
      <c r="D2300" t="s">
        <v>426</v>
      </c>
      <c r="E2300" t="s">
        <v>426</v>
      </c>
      <c r="F2300" s="122">
        <v>61</v>
      </c>
      <c r="G2300" s="122">
        <v>4319</v>
      </c>
      <c r="H2300" s="122">
        <v>34165</v>
      </c>
      <c r="I2300" s="122">
        <v>1701651</v>
      </c>
      <c r="J2300" s="122">
        <v>1546956</v>
      </c>
      <c r="K2300" s="122">
        <v>51</v>
      </c>
      <c r="L2300" s="122">
        <v>170132</v>
      </c>
      <c r="M2300" s="122">
        <v>145621</v>
      </c>
      <c r="N2300" s="122">
        <v>92146</v>
      </c>
      <c r="O2300" s="122">
        <v>34128</v>
      </c>
      <c r="P2300" s="122">
        <v>20399</v>
      </c>
      <c r="Q2300" s="122">
        <v>7555</v>
      </c>
      <c r="R2300" s="122">
        <v>370860</v>
      </c>
      <c r="S2300" s="122">
        <v>337146</v>
      </c>
      <c r="T2300" s="122">
        <v>128479</v>
      </c>
      <c r="U2300" s="122">
        <v>47585</v>
      </c>
      <c r="V2300" s="122">
        <v>2118990</v>
      </c>
      <c r="W2300" s="122">
        <f t="shared" si="72"/>
        <v>2118991</v>
      </c>
      <c r="X2300" s="122">
        <f t="shared" si="73"/>
        <v>2483667</v>
      </c>
      <c r="AI2300" s="66"/>
    </row>
    <row r="2301" spans="2:35" ht="13">
      <c r="B2301" t="s">
        <v>383</v>
      </c>
      <c r="C2301" t="s">
        <v>48</v>
      </c>
      <c r="F2301" s="122">
        <v>4</v>
      </c>
      <c r="G2301" s="122">
        <v>622</v>
      </c>
      <c r="H2301" s="122">
        <v>261</v>
      </c>
      <c r="I2301" s="122"/>
      <c r="J2301" s="122">
        <v>0</v>
      </c>
      <c r="K2301" s="122"/>
      <c r="L2301" s="122"/>
      <c r="M2301" s="122">
        <v>0</v>
      </c>
      <c r="N2301" s="122">
        <v>7573</v>
      </c>
      <c r="O2301" s="122">
        <v>2805</v>
      </c>
      <c r="P2301" s="122">
        <v>7876</v>
      </c>
      <c r="Q2301" s="122">
        <v>2917</v>
      </c>
      <c r="R2301" s="122"/>
      <c r="S2301" s="122">
        <v>0</v>
      </c>
      <c r="T2301" s="122">
        <v>0</v>
      </c>
      <c r="U2301" s="122">
        <v>0</v>
      </c>
      <c r="V2301" s="122">
        <v>5722</v>
      </c>
      <c r="W2301" s="122">
        <f t="shared" si="72"/>
        <v>5722</v>
      </c>
      <c r="X2301" s="122">
        <f t="shared" si="73"/>
        <v>15449</v>
      </c>
      <c r="AI2301" s="66"/>
    </row>
    <row r="2302" spans="2:35" ht="13">
      <c r="B2302" t="s">
        <v>383</v>
      </c>
      <c r="C2302" t="s">
        <v>48</v>
      </c>
      <c r="D2302" t="s">
        <v>405</v>
      </c>
      <c r="E2302" t="s">
        <v>405</v>
      </c>
      <c r="F2302" s="122">
        <v>4</v>
      </c>
      <c r="G2302" s="122">
        <v>416</v>
      </c>
      <c r="H2302" s="122">
        <v>243</v>
      </c>
      <c r="I2302" s="122">
        <v>4131</v>
      </c>
      <c r="J2302" s="122">
        <v>3756</v>
      </c>
      <c r="K2302" s="122">
        <v>91</v>
      </c>
      <c r="L2302" s="122">
        <v>560</v>
      </c>
      <c r="M2302" s="122">
        <v>509</v>
      </c>
      <c r="N2302" s="122">
        <v>5451</v>
      </c>
      <c r="O2302" s="122">
        <v>2019</v>
      </c>
      <c r="P2302" s="122">
        <v>2039</v>
      </c>
      <c r="Q2302" s="122">
        <v>755</v>
      </c>
      <c r="R2302" s="122">
        <v>13096</v>
      </c>
      <c r="S2302" s="122">
        <v>11906</v>
      </c>
      <c r="T2302" s="122">
        <v>0</v>
      </c>
      <c r="U2302" s="122">
        <v>0</v>
      </c>
      <c r="V2302" s="122">
        <v>18945</v>
      </c>
      <c r="W2302" s="122">
        <f t="shared" si="72"/>
        <v>18945</v>
      </c>
      <c r="X2302" s="122">
        <f t="shared" si="73"/>
        <v>25277</v>
      </c>
      <c r="AI2302" s="66"/>
    </row>
    <row r="2303" spans="2:35" ht="13">
      <c r="B2303" t="s">
        <v>383</v>
      </c>
      <c r="C2303" t="s">
        <v>48</v>
      </c>
      <c r="D2303" t="s">
        <v>137</v>
      </c>
      <c r="E2303" t="s">
        <v>137</v>
      </c>
      <c r="F2303" s="122">
        <v>108</v>
      </c>
      <c r="G2303" s="122">
        <v>11451</v>
      </c>
      <c r="H2303" s="122">
        <v>6724</v>
      </c>
      <c r="I2303" s="122">
        <v>54893</v>
      </c>
      <c r="J2303" s="122">
        <v>20331</v>
      </c>
      <c r="K2303" s="122">
        <v>435</v>
      </c>
      <c r="L2303" s="122">
        <v>1615</v>
      </c>
      <c r="M2303" s="122">
        <v>1495</v>
      </c>
      <c r="N2303" s="122">
        <v>147105</v>
      </c>
      <c r="O2303" s="122">
        <v>54483</v>
      </c>
      <c r="P2303" s="122">
        <v>63952</v>
      </c>
      <c r="Q2303" s="122">
        <v>23686</v>
      </c>
      <c r="R2303" s="122">
        <v>446011</v>
      </c>
      <c r="S2303" s="122">
        <v>165189</v>
      </c>
      <c r="T2303" s="122">
        <v>0</v>
      </c>
      <c r="U2303" s="122">
        <v>0</v>
      </c>
      <c r="V2303" s="122">
        <v>265184</v>
      </c>
      <c r="W2303" s="122">
        <f t="shared" si="72"/>
        <v>265184</v>
      </c>
      <c r="X2303" s="122">
        <f t="shared" si="73"/>
        <v>713576</v>
      </c>
      <c r="AI2303" s="66"/>
    </row>
    <row r="2304" spans="2:35" ht="13">
      <c r="B2304" t="s">
        <v>383</v>
      </c>
      <c r="C2304" t="s">
        <v>48</v>
      </c>
      <c r="D2304" t="s">
        <v>406</v>
      </c>
      <c r="E2304" t="s">
        <v>406</v>
      </c>
      <c r="F2304" s="122">
        <v>4</v>
      </c>
      <c r="G2304" s="122">
        <v>436</v>
      </c>
      <c r="H2304" s="122">
        <v>244</v>
      </c>
      <c r="I2304" s="122">
        <v>10441</v>
      </c>
      <c r="J2304" s="122">
        <v>9492</v>
      </c>
      <c r="K2304" s="122">
        <v>95</v>
      </c>
      <c r="L2304" s="122">
        <v>1442</v>
      </c>
      <c r="M2304" s="122">
        <v>1311</v>
      </c>
      <c r="N2304" s="122">
        <v>5315</v>
      </c>
      <c r="O2304" s="122">
        <v>1968</v>
      </c>
      <c r="P2304" s="122">
        <v>2484</v>
      </c>
      <c r="Q2304" s="122">
        <v>920</v>
      </c>
      <c r="R2304" s="122">
        <v>6880</v>
      </c>
      <c r="S2304" s="122">
        <v>6255</v>
      </c>
      <c r="T2304" s="122">
        <v>0</v>
      </c>
      <c r="U2304" s="122">
        <v>0</v>
      </c>
      <c r="V2304" s="122">
        <v>19946</v>
      </c>
      <c r="W2304" s="122">
        <f t="shared" si="72"/>
        <v>19946</v>
      </c>
      <c r="X2304" s="122">
        <f t="shared" si="73"/>
        <v>26562</v>
      </c>
      <c r="AI2304" s="66"/>
    </row>
    <row r="2305" spans="2:35" ht="13">
      <c r="B2305" t="s">
        <v>383</v>
      </c>
      <c r="C2305" t="s">
        <v>50</v>
      </c>
      <c r="F2305" s="122">
        <v>9</v>
      </c>
      <c r="G2305" s="122">
        <v>1311</v>
      </c>
      <c r="H2305" s="122">
        <v>835</v>
      </c>
      <c r="I2305" s="122"/>
      <c r="J2305" s="122">
        <v>0</v>
      </c>
      <c r="K2305" s="122"/>
      <c r="L2305" s="122"/>
      <c r="M2305" s="122">
        <v>0</v>
      </c>
      <c r="N2305" s="122">
        <v>17575</v>
      </c>
      <c r="O2305" s="122">
        <v>6509</v>
      </c>
      <c r="P2305" s="122">
        <v>8448</v>
      </c>
      <c r="Q2305" s="122">
        <v>3129</v>
      </c>
      <c r="R2305" s="122"/>
      <c r="S2305" s="122">
        <v>0</v>
      </c>
      <c r="T2305" s="122">
        <v>0</v>
      </c>
      <c r="U2305" s="122">
        <v>0</v>
      </c>
      <c r="V2305" s="122">
        <v>9638</v>
      </c>
      <c r="W2305" s="122">
        <f t="shared" si="72"/>
        <v>9638</v>
      </c>
      <c r="X2305" s="122">
        <f t="shared" si="73"/>
        <v>26023</v>
      </c>
      <c r="AI2305" s="66"/>
    </row>
    <row r="2306" spans="2:35" ht="13">
      <c r="B2306" t="s">
        <v>383</v>
      </c>
      <c r="C2306" t="s">
        <v>50</v>
      </c>
      <c r="D2306" t="s">
        <v>137</v>
      </c>
      <c r="E2306" t="s">
        <v>137</v>
      </c>
      <c r="F2306" s="122">
        <v>61</v>
      </c>
      <c r="G2306" s="122">
        <v>5650</v>
      </c>
      <c r="H2306" s="122">
        <v>5108</v>
      </c>
      <c r="I2306" s="122">
        <v>104652</v>
      </c>
      <c r="J2306" s="122">
        <v>38760</v>
      </c>
      <c r="K2306" s="122">
        <v>483</v>
      </c>
      <c r="L2306" s="122">
        <v>32442</v>
      </c>
      <c r="M2306" s="122">
        <v>29018</v>
      </c>
      <c r="N2306" s="122">
        <v>75909</v>
      </c>
      <c r="O2306" s="122">
        <v>28115</v>
      </c>
      <c r="P2306" s="122">
        <v>32066</v>
      </c>
      <c r="Q2306" s="122">
        <v>11876</v>
      </c>
      <c r="R2306" s="122">
        <v>228273</v>
      </c>
      <c r="S2306" s="122">
        <v>84545</v>
      </c>
      <c r="T2306" s="122">
        <v>0</v>
      </c>
      <c r="U2306" s="122">
        <v>0</v>
      </c>
      <c r="V2306" s="122">
        <v>192314</v>
      </c>
      <c r="W2306" s="122">
        <f t="shared" si="72"/>
        <v>192314</v>
      </c>
      <c r="X2306" s="122">
        <f t="shared" si="73"/>
        <v>473342</v>
      </c>
      <c r="AI2306" s="66"/>
    </row>
    <row r="2307" spans="2:35" ht="13">
      <c r="B2307" t="s">
        <v>383</v>
      </c>
      <c r="C2307" t="s">
        <v>50</v>
      </c>
      <c r="D2307" t="s">
        <v>406</v>
      </c>
      <c r="E2307" t="s">
        <v>406</v>
      </c>
      <c r="F2307" s="122">
        <v>34</v>
      </c>
      <c r="G2307" s="122">
        <v>3733</v>
      </c>
      <c r="H2307" s="122">
        <v>3068</v>
      </c>
      <c r="I2307" s="122">
        <v>142000</v>
      </c>
      <c r="J2307" s="122">
        <v>129091</v>
      </c>
      <c r="K2307" s="122">
        <v>94</v>
      </c>
      <c r="L2307" s="122">
        <v>32753</v>
      </c>
      <c r="M2307" s="122">
        <v>29723</v>
      </c>
      <c r="N2307" s="122">
        <v>50273</v>
      </c>
      <c r="O2307" s="122">
        <v>18620</v>
      </c>
      <c r="P2307" s="122">
        <v>21114</v>
      </c>
      <c r="Q2307" s="122">
        <v>7820</v>
      </c>
      <c r="R2307" s="122">
        <v>91460</v>
      </c>
      <c r="S2307" s="122">
        <v>83146</v>
      </c>
      <c r="T2307" s="122">
        <v>0</v>
      </c>
      <c r="U2307" s="122">
        <v>0</v>
      </c>
      <c r="V2307" s="122">
        <v>268399</v>
      </c>
      <c r="W2307" s="122">
        <f t="shared" si="72"/>
        <v>268400</v>
      </c>
      <c r="X2307" s="122">
        <f t="shared" si="73"/>
        <v>337600</v>
      </c>
      <c r="AI2307" s="66"/>
    </row>
    <row r="2308" spans="2:35" ht="13">
      <c r="B2308" t="s">
        <v>383</v>
      </c>
      <c r="C2308" t="s">
        <v>50</v>
      </c>
      <c r="D2308" t="s">
        <v>407</v>
      </c>
      <c r="E2308" t="s">
        <v>407</v>
      </c>
      <c r="F2308" s="122">
        <v>12</v>
      </c>
      <c r="G2308" s="122">
        <v>1203</v>
      </c>
      <c r="H2308" s="122">
        <v>1059</v>
      </c>
      <c r="I2308" s="122">
        <v>54117</v>
      </c>
      <c r="J2308" s="122">
        <v>49197</v>
      </c>
      <c r="K2308" s="122">
        <v>90</v>
      </c>
      <c r="L2308" s="122">
        <v>2013</v>
      </c>
      <c r="M2308" s="122">
        <v>1830</v>
      </c>
      <c r="N2308" s="122">
        <v>16411</v>
      </c>
      <c r="O2308" s="122">
        <v>6078</v>
      </c>
      <c r="P2308" s="122">
        <v>5670</v>
      </c>
      <c r="Q2308" s="122">
        <v>2100</v>
      </c>
      <c r="R2308" s="122">
        <v>28564</v>
      </c>
      <c r="S2308" s="122">
        <v>25968</v>
      </c>
      <c r="T2308" s="122">
        <v>0</v>
      </c>
      <c r="U2308" s="122">
        <v>0</v>
      </c>
      <c r="V2308" s="122">
        <v>85173</v>
      </c>
      <c r="W2308" s="122">
        <f t="shared" si="72"/>
        <v>85173</v>
      </c>
      <c r="X2308" s="122">
        <f t="shared" si="73"/>
        <v>106775</v>
      </c>
      <c r="AI2308" s="66"/>
    </row>
    <row r="2309" spans="2:35" ht="13">
      <c r="B2309" t="s">
        <v>383</v>
      </c>
      <c r="C2309" t="s">
        <v>50</v>
      </c>
      <c r="D2309" t="s">
        <v>408</v>
      </c>
      <c r="E2309" t="s">
        <v>408</v>
      </c>
      <c r="F2309" s="122">
        <v>6</v>
      </c>
      <c r="G2309" s="122">
        <v>488</v>
      </c>
      <c r="H2309" s="122">
        <v>562</v>
      </c>
      <c r="I2309" s="122">
        <v>23263</v>
      </c>
      <c r="J2309" s="122">
        <v>21148</v>
      </c>
      <c r="K2309" s="122">
        <v>84</v>
      </c>
      <c r="L2309" s="122">
        <v>0</v>
      </c>
      <c r="M2309" s="122">
        <v>0</v>
      </c>
      <c r="N2309" s="122">
        <v>5940</v>
      </c>
      <c r="O2309" s="122">
        <v>2200</v>
      </c>
      <c r="P2309" s="122">
        <v>2106</v>
      </c>
      <c r="Q2309" s="122">
        <v>780</v>
      </c>
      <c r="R2309" s="122">
        <v>10337</v>
      </c>
      <c r="S2309" s="122">
        <v>9397</v>
      </c>
      <c r="T2309" s="122">
        <v>4004</v>
      </c>
      <c r="U2309" s="122">
        <v>1483</v>
      </c>
      <c r="V2309" s="122">
        <v>35008</v>
      </c>
      <c r="W2309" s="122">
        <f t="shared" si="72"/>
        <v>35008</v>
      </c>
      <c r="X2309" s="122">
        <f t="shared" si="73"/>
        <v>45650</v>
      </c>
      <c r="AI2309" s="66"/>
    </row>
    <row r="2310" spans="2:35" ht="13">
      <c r="B2310" t="s">
        <v>383</v>
      </c>
      <c r="C2310" t="s">
        <v>52</v>
      </c>
      <c r="F2310" s="122">
        <v>2</v>
      </c>
      <c r="G2310" s="122">
        <v>417</v>
      </c>
      <c r="H2310" s="122">
        <v>225</v>
      </c>
      <c r="I2310" s="122"/>
      <c r="J2310" s="122">
        <v>0</v>
      </c>
      <c r="K2310" s="122"/>
      <c r="L2310" s="122"/>
      <c r="M2310" s="122">
        <v>0</v>
      </c>
      <c r="N2310" s="122">
        <v>6824</v>
      </c>
      <c r="O2310" s="122">
        <v>2527</v>
      </c>
      <c r="P2310" s="122">
        <v>1053</v>
      </c>
      <c r="Q2310" s="122">
        <v>390</v>
      </c>
      <c r="R2310" s="122"/>
      <c r="S2310" s="122">
        <v>0</v>
      </c>
      <c r="T2310" s="122">
        <v>0</v>
      </c>
      <c r="U2310" s="122">
        <v>0</v>
      </c>
      <c r="V2310" s="122">
        <v>2917</v>
      </c>
      <c r="W2310" s="122">
        <f t="shared" si="72"/>
        <v>2917</v>
      </c>
      <c r="X2310" s="122">
        <f t="shared" si="73"/>
        <v>7877</v>
      </c>
      <c r="AI2310" s="66"/>
    </row>
    <row r="2311" spans="2:35" ht="13">
      <c r="B2311" t="s">
        <v>383</v>
      </c>
      <c r="C2311" t="s">
        <v>52</v>
      </c>
      <c r="D2311" t="s">
        <v>137</v>
      </c>
      <c r="E2311" t="s">
        <v>137</v>
      </c>
      <c r="F2311" s="122">
        <v>55</v>
      </c>
      <c r="G2311" s="122">
        <v>4821</v>
      </c>
      <c r="H2311" s="122">
        <v>6332</v>
      </c>
      <c r="I2311" s="122">
        <v>235461</v>
      </c>
      <c r="J2311" s="122">
        <v>87208</v>
      </c>
      <c r="K2311" s="122">
        <v>277</v>
      </c>
      <c r="L2311" s="122">
        <v>46945</v>
      </c>
      <c r="M2311" s="122">
        <v>40957</v>
      </c>
      <c r="N2311" s="122">
        <v>86724</v>
      </c>
      <c r="O2311" s="122">
        <v>32120</v>
      </c>
      <c r="P2311" s="122">
        <v>20248</v>
      </c>
      <c r="Q2311" s="122">
        <v>7499</v>
      </c>
      <c r="R2311" s="122">
        <v>166331</v>
      </c>
      <c r="S2311" s="122">
        <v>61604</v>
      </c>
      <c r="T2311" s="122">
        <v>0</v>
      </c>
      <c r="U2311" s="122">
        <v>0</v>
      </c>
      <c r="V2311" s="122">
        <v>229388</v>
      </c>
      <c r="W2311" s="122">
        <f t="shared" si="72"/>
        <v>229388</v>
      </c>
      <c r="X2311" s="122">
        <f t="shared" si="73"/>
        <v>555709</v>
      </c>
      <c r="AI2311" s="66"/>
    </row>
    <row r="2312" spans="2:35" ht="13">
      <c r="B2312" t="s">
        <v>383</v>
      </c>
      <c r="C2312" t="s">
        <v>52</v>
      </c>
      <c r="D2312" t="s">
        <v>137</v>
      </c>
      <c r="E2312" t="s">
        <v>426</v>
      </c>
      <c r="F2312" s="122">
        <v>1</v>
      </c>
      <c r="G2312" s="122">
        <v>87</v>
      </c>
      <c r="H2312" s="122">
        <v>115</v>
      </c>
      <c r="I2312" s="122">
        <v>5756</v>
      </c>
      <c r="J2312" s="122">
        <v>2132</v>
      </c>
      <c r="K2312" s="122">
        <v>258</v>
      </c>
      <c r="L2312" s="122">
        <v>1121</v>
      </c>
      <c r="M2312" s="122">
        <v>1019</v>
      </c>
      <c r="N2312" s="122">
        <v>1586</v>
      </c>
      <c r="O2312" s="122">
        <v>587</v>
      </c>
      <c r="P2312" s="122">
        <v>351</v>
      </c>
      <c r="Q2312" s="122">
        <v>130</v>
      </c>
      <c r="R2312" s="122">
        <v>1158</v>
      </c>
      <c r="S2312" s="122">
        <v>1053</v>
      </c>
      <c r="T2312" s="122">
        <v>0</v>
      </c>
      <c r="U2312" s="122">
        <v>0</v>
      </c>
      <c r="V2312" s="122">
        <v>4921</v>
      </c>
      <c r="W2312" s="122">
        <f t="shared" si="72"/>
        <v>4921</v>
      </c>
      <c r="X2312" s="122">
        <f t="shared" si="73"/>
        <v>9972</v>
      </c>
      <c r="AI2312" s="66"/>
    </row>
    <row r="2313" spans="2:35" ht="13">
      <c r="B2313" t="s">
        <v>383</v>
      </c>
      <c r="C2313" t="s">
        <v>52</v>
      </c>
      <c r="D2313" t="s">
        <v>406</v>
      </c>
      <c r="E2313" t="s">
        <v>406</v>
      </c>
      <c r="F2313" s="122">
        <v>90</v>
      </c>
      <c r="G2313" s="122">
        <v>9643</v>
      </c>
      <c r="H2313" s="122">
        <v>10609</v>
      </c>
      <c r="I2313" s="122">
        <v>479385</v>
      </c>
      <c r="J2313" s="122">
        <v>435805</v>
      </c>
      <c r="K2313" s="122">
        <v>92</v>
      </c>
      <c r="L2313" s="122">
        <v>81703</v>
      </c>
      <c r="M2313" s="122">
        <v>72124</v>
      </c>
      <c r="N2313" s="122">
        <v>172255</v>
      </c>
      <c r="O2313" s="122">
        <v>63798</v>
      </c>
      <c r="P2313" s="122">
        <v>55890</v>
      </c>
      <c r="Q2313" s="122">
        <v>20700</v>
      </c>
      <c r="R2313" s="122">
        <v>336791</v>
      </c>
      <c r="S2313" s="122">
        <v>306174</v>
      </c>
      <c r="T2313" s="122">
        <v>14943</v>
      </c>
      <c r="U2313" s="122">
        <v>5534</v>
      </c>
      <c r="V2313" s="122">
        <v>904135</v>
      </c>
      <c r="W2313" s="122">
        <f t="shared" si="72"/>
        <v>904135</v>
      </c>
      <c r="X2313" s="122">
        <f t="shared" si="73"/>
        <v>1140967</v>
      </c>
      <c r="AI2313" s="66"/>
    </row>
    <row r="2314" spans="2:35" ht="13">
      <c r="B2314" t="s">
        <v>383</v>
      </c>
      <c r="C2314" t="s">
        <v>52</v>
      </c>
      <c r="D2314" t="s">
        <v>407</v>
      </c>
      <c r="E2314" t="s">
        <v>137</v>
      </c>
      <c r="F2314" s="122">
        <v>1</v>
      </c>
      <c r="G2314" s="122">
        <v>125</v>
      </c>
      <c r="H2314" s="122">
        <v>102</v>
      </c>
      <c r="I2314" s="122">
        <v>9145</v>
      </c>
      <c r="J2314" s="122">
        <v>8313</v>
      </c>
      <c r="K2314" s="122">
        <v>91</v>
      </c>
      <c r="L2314" s="122">
        <v>0</v>
      </c>
      <c r="M2314" s="122">
        <v>0</v>
      </c>
      <c r="N2314" s="122">
        <v>1523</v>
      </c>
      <c r="O2314" s="122">
        <v>564</v>
      </c>
      <c r="P2314" s="122">
        <v>473</v>
      </c>
      <c r="Q2314" s="122">
        <v>175</v>
      </c>
      <c r="R2314" s="122">
        <v>1635</v>
      </c>
      <c r="S2314" s="122">
        <v>606</v>
      </c>
      <c r="T2314" s="122">
        <v>0</v>
      </c>
      <c r="U2314" s="122">
        <v>0</v>
      </c>
      <c r="V2314" s="122">
        <v>9658</v>
      </c>
      <c r="W2314" s="122">
        <f t="shared" si="72"/>
        <v>9658</v>
      </c>
      <c r="X2314" s="122">
        <f t="shared" si="73"/>
        <v>12776</v>
      </c>
      <c r="AI2314" s="66"/>
    </row>
    <row r="2315" spans="2:35" ht="13">
      <c r="B2315" t="s">
        <v>383</v>
      </c>
      <c r="C2315" t="s">
        <v>52</v>
      </c>
      <c r="D2315" t="s">
        <v>407</v>
      </c>
      <c r="E2315" t="s">
        <v>407</v>
      </c>
      <c r="F2315" s="122">
        <v>19</v>
      </c>
      <c r="G2315" s="122">
        <v>2253</v>
      </c>
      <c r="H2315" s="122">
        <v>2225</v>
      </c>
      <c r="I2315" s="122">
        <v>126103</v>
      </c>
      <c r="J2315" s="122">
        <v>114640</v>
      </c>
      <c r="K2315" s="122">
        <v>89</v>
      </c>
      <c r="L2315" s="122">
        <v>19670</v>
      </c>
      <c r="M2315" s="122">
        <v>17455</v>
      </c>
      <c r="N2315" s="122">
        <v>35207</v>
      </c>
      <c r="O2315" s="122">
        <v>13040</v>
      </c>
      <c r="P2315" s="122">
        <v>8978</v>
      </c>
      <c r="Q2315" s="122">
        <v>3325</v>
      </c>
      <c r="R2315" s="122">
        <v>74243</v>
      </c>
      <c r="S2315" s="122">
        <v>67493</v>
      </c>
      <c r="T2315" s="122">
        <v>4690</v>
      </c>
      <c r="U2315" s="122">
        <v>1737</v>
      </c>
      <c r="V2315" s="122">
        <v>217689</v>
      </c>
      <c r="W2315" s="122">
        <f t="shared" si="72"/>
        <v>217690</v>
      </c>
      <c r="X2315" s="122">
        <f t="shared" si="73"/>
        <v>268891</v>
      </c>
      <c r="AI2315" s="66"/>
    </row>
    <row r="2316" spans="2:35" ht="13">
      <c r="B2316" t="s">
        <v>383</v>
      </c>
      <c r="C2316" t="s">
        <v>52</v>
      </c>
      <c r="D2316" t="s">
        <v>408</v>
      </c>
      <c r="E2316" t="s">
        <v>408</v>
      </c>
      <c r="F2316" s="122">
        <v>4</v>
      </c>
      <c r="G2316" s="122">
        <v>331</v>
      </c>
      <c r="H2316" s="122">
        <v>431</v>
      </c>
      <c r="I2316" s="122">
        <v>20503</v>
      </c>
      <c r="J2316" s="122">
        <v>18639</v>
      </c>
      <c r="K2316" s="122">
        <v>84</v>
      </c>
      <c r="L2316" s="122">
        <v>0</v>
      </c>
      <c r="M2316" s="122">
        <v>0</v>
      </c>
      <c r="N2316" s="122">
        <v>4030</v>
      </c>
      <c r="O2316" s="122">
        <v>1493</v>
      </c>
      <c r="P2316" s="122">
        <v>1404</v>
      </c>
      <c r="Q2316" s="122">
        <v>520</v>
      </c>
      <c r="R2316" s="122">
        <v>6966</v>
      </c>
      <c r="S2316" s="122">
        <v>6333</v>
      </c>
      <c r="T2316" s="122">
        <v>2745</v>
      </c>
      <c r="U2316" s="122">
        <v>1017</v>
      </c>
      <c r="V2316" s="122">
        <v>28001</v>
      </c>
      <c r="W2316" s="122">
        <f t="shared" si="72"/>
        <v>28002</v>
      </c>
      <c r="X2316" s="122">
        <f t="shared" si="73"/>
        <v>35648</v>
      </c>
      <c r="AI2316" s="66"/>
    </row>
    <row r="2317" spans="2:35" ht="13">
      <c r="B2317" t="s">
        <v>383</v>
      </c>
      <c r="C2317" t="s">
        <v>54</v>
      </c>
      <c r="F2317" s="122">
        <v>1</v>
      </c>
      <c r="G2317" s="122">
        <v>74</v>
      </c>
      <c r="H2317" s="122">
        <v>128</v>
      </c>
      <c r="I2317" s="122"/>
      <c r="J2317" s="122">
        <v>0</v>
      </c>
      <c r="K2317" s="122"/>
      <c r="L2317" s="122"/>
      <c r="M2317" s="122">
        <v>0</v>
      </c>
      <c r="N2317" s="122">
        <v>1352</v>
      </c>
      <c r="O2317" s="122">
        <v>501</v>
      </c>
      <c r="P2317" s="122">
        <v>473</v>
      </c>
      <c r="Q2317" s="122">
        <v>175</v>
      </c>
      <c r="R2317" s="122"/>
      <c r="S2317" s="122">
        <v>0</v>
      </c>
      <c r="T2317" s="122">
        <v>0</v>
      </c>
      <c r="U2317" s="122">
        <v>0</v>
      </c>
      <c r="V2317" s="122">
        <v>676</v>
      </c>
      <c r="W2317" s="122">
        <f t="shared" si="72"/>
        <v>676</v>
      </c>
      <c r="X2317" s="122">
        <f t="shared" si="73"/>
        <v>1825</v>
      </c>
      <c r="AI2317" s="66"/>
    </row>
    <row r="2318" spans="2:35" ht="13">
      <c r="B2318" t="s">
        <v>383</v>
      </c>
      <c r="C2318" t="s">
        <v>54</v>
      </c>
      <c r="D2318" t="s">
        <v>405</v>
      </c>
      <c r="E2318" t="s">
        <v>405</v>
      </c>
      <c r="F2318" s="122">
        <v>4</v>
      </c>
      <c r="G2318" s="122">
        <v>409</v>
      </c>
      <c r="H2318" s="122">
        <v>555</v>
      </c>
      <c r="I2318" s="122">
        <v>25010</v>
      </c>
      <c r="J2318" s="122">
        <v>22736</v>
      </c>
      <c r="K2318" s="122">
        <v>85</v>
      </c>
      <c r="L2318" s="122">
        <v>6649</v>
      </c>
      <c r="M2318" s="122">
        <v>6044</v>
      </c>
      <c r="N2318" s="122">
        <v>6128</v>
      </c>
      <c r="O2318" s="122">
        <v>2270</v>
      </c>
      <c r="P2318" s="122">
        <v>1890</v>
      </c>
      <c r="Q2318" s="122">
        <v>700</v>
      </c>
      <c r="R2318" s="122">
        <v>16880</v>
      </c>
      <c r="S2318" s="122">
        <v>15345</v>
      </c>
      <c r="T2318" s="122">
        <v>0</v>
      </c>
      <c r="U2318" s="122">
        <v>0</v>
      </c>
      <c r="V2318" s="122">
        <v>47096</v>
      </c>
      <c r="W2318" s="122">
        <f t="shared" si="72"/>
        <v>47095</v>
      </c>
      <c r="X2318" s="122">
        <f t="shared" si="73"/>
        <v>56557</v>
      </c>
      <c r="AI2318" s="66"/>
    </row>
    <row r="2319" spans="2:35" ht="13">
      <c r="B2319" t="s">
        <v>383</v>
      </c>
      <c r="C2319" t="s">
        <v>54</v>
      </c>
      <c r="D2319" t="s">
        <v>137</v>
      </c>
      <c r="E2319" t="s">
        <v>137</v>
      </c>
      <c r="F2319" s="122">
        <v>29</v>
      </c>
      <c r="G2319" s="122">
        <v>3354</v>
      </c>
      <c r="H2319" s="122">
        <v>3915</v>
      </c>
      <c r="I2319" s="122">
        <v>215917</v>
      </c>
      <c r="J2319" s="122">
        <v>79969</v>
      </c>
      <c r="K2319" s="122">
        <v>200</v>
      </c>
      <c r="L2319" s="122">
        <v>33475</v>
      </c>
      <c r="M2319" s="122">
        <v>22684</v>
      </c>
      <c r="N2319" s="122">
        <v>50698</v>
      </c>
      <c r="O2319" s="122">
        <v>18777</v>
      </c>
      <c r="P2319" s="122">
        <v>7020</v>
      </c>
      <c r="Q2319" s="122">
        <v>2600</v>
      </c>
      <c r="R2319" s="122">
        <v>149601</v>
      </c>
      <c r="S2319" s="122">
        <v>55408</v>
      </c>
      <c r="T2319" s="122">
        <v>0</v>
      </c>
      <c r="U2319" s="122">
        <v>0</v>
      </c>
      <c r="V2319" s="122">
        <v>179438</v>
      </c>
      <c r="W2319" s="122">
        <f t="shared" si="72"/>
        <v>179438</v>
      </c>
      <c r="X2319" s="122">
        <f t="shared" si="73"/>
        <v>456711</v>
      </c>
      <c r="AI2319" s="66"/>
    </row>
    <row r="2320" spans="2:35" ht="13">
      <c r="B2320" t="s">
        <v>383</v>
      </c>
      <c r="C2320" t="s">
        <v>54</v>
      </c>
      <c r="D2320" t="s">
        <v>406</v>
      </c>
      <c r="E2320" t="s">
        <v>137</v>
      </c>
      <c r="F2320" s="122">
        <v>2</v>
      </c>
      <c r="G2320" s="122">
        <v>267</v>
      </c>
      <c r="H2320" s="122">
        <v>270</v>
      </c>
      <c r="I2320" s="122">
        <v>19123</v>
      </c>
      <c r="J2320" s="122">
        <v>17384</v>
      </c>
      <c r="K2320" s="122">
        <v>93</v>
      </c>
      <c r="L2320" s="122">
        <v>5270</v>
      </c>
      <c r="M2320" s="122">
        <v>4791</v>
      </c>
      <c r="N2320" s="122">
        <v>4649</v>
      </c>
      <c r="O2320" s="122">
        <v>1722</v>
      </c>
      <c r="P2320" s="122">
        <v>1242</v>
      </c>
      <c r="Q2320" s="122">
        <v>460</v>
      </c>
      <c r="R2320" s="122">
        <v>5497</v>
      </c>
      <c r="S2320" s="122">
        <v>2036</v>
      </c>
      <c r="T2320" s="122">
        <v>0</v>
      </c>
      <c r="U2320" s="122">
        <v>0</v>
      </c>
      <c r="V2320" s="122">
        <v>26393</v>
      </c>
      <c r="W2320" s="122">
        <f t="shared" si="72"/>
        <v>26393</v>
      </c>
      <c r="X2320" s="122">
        <f t="shared" si="73"/>
        <v>35781</v>
      </c>
      <c r="AI2320" s="66"/>
    </row>
    <row r="2321" spans="2:35" ht="13">
      <c r="B2321" t="s">
        <v>383</v>
      </c>
      <c r="C2321" t="s">
        <v>54</v>
      </c>
      <c r="D2321" t="s">
        <v>406</v>
      </c>
      <c r="E2321" t="s">
        <v>406</v>
      </c>
      <c r="F2321" s="122">
        <v>370</v>
      </c>
      <c r="G2321" s="122">
        <v>37992</v>
      </c>
      <c r="H2321" s="122">
        <v>51785</v>
      </c>
      <c r="I2321" s="122">
        <v>2362490</v>
      </c>
      <c r="J2321" s="122">
        <v>2147718</v>
      </c>
      <c r="K2321" s="122">
        <v>91</v>
      </c>
      <c r="L2321" s="122">
        <v>518593</v>
      </c>
      <c r="M2321" s="122">
        <v>465240</v>
      </c>
      <c r="N2321" s="122">
        <v>692351</v>
      </c>
      <c r="O2321" s="122">
        <v>256426</v>
      </c>
      <c r="P2321" s="122">
        <v>228569</v>
      </c>
      <c r="Q2321" s="122">
        <v>84655</v>
      </c>
      <c r="R2321" s="122">
        <v>1419928</v>
      </c>
      <c r="S2321" s="122">
        <v>1290843</v>
      </c>
      <c r="T2321" s="122">
        <v>143963</v>
      </c>
      <c r="U2321" s="122">
        <v>53320</v>
      </c>
      <c r="V2321" s="122">
        <v>4298202</v>
      </c>
      <c r="W2321" s="122">
        <f t="shared" si="72"/>
        <v>4298202</v>
      </c>
      <c r="X2321" s="122">
        <f t="shared" si="73"/>
        <v>5365894</v>
      </c>
      <c r="AI2321" s="66"/>
    </row>
    <row r="2322" spans="2:35" ht="13">
      <c r="B2322" t="s">
        <v>383</v>
      </c>
      <c r="C2322" t="s">
        <v>54</v>
      </c>
      <c r="D2322" t="s">
        <v>407</v>
      </c>
      <c r="E2322" t="s">
        <v>137</v>
      </c>
      <c r="F2322" s="122">
        <v>1</v>
      </c>
      <c r="G2322" s="122">
        <v>106</v>
      </c>
      <c r="H2322" s="122">
        <v>140</v>
      </c>
      <c r="I2322" s="122">
        <v>7321</v>
      </c>
      <c r="J2322" s="122">
        <v>6656</v>
      </c>
      <c r="K2322" s="122">
        <v>87</v>
      </c>
      <c r="L2322" s="122">
        <v>2251</v>
      </c>
      <c r="M2322" s="122">
        <v>2046</v>
      </c>
      <c r="N2322" s="122">
        <v>1346</v>
      </c>
      <c r="O2322" s="122">
        <v>499</v>
      </c>
      <c r="P2322" s="122">
        <v>473</v>
      </c>
      <c r="Q2322" s="122">
        <v>175</v>
      </c>
      <c r="R2322" s="122">
        <v>3476</v>
      </c>
      <c r="S2322" s="122">
        <v>1288</v>
      </c>
      <c r="T2322" s="122">
        <v>0</v>
      </c>
      <c r="U2322" s="122">
        <v>0</v>
      </c>
      <c r="V2322" s="122">
        <v>10663</v>
      </c>
      <c r="W2322" s="122">
        <f t="shared" si="72"/>
        <v>10664</v>
      </c>
      <c r="X2322" s="122">
        <f t="shared" si="73"/>
        <v>14867</v>
      </c>
      <c r="AI2322" s="66"/>
    </row>
    <row r="2323" spans="2:35" ht="13">
      <c r="B2323" t="s">
        <v>383</v>
      </c>
      <c r="C2323" t="s">
        <v>54</v>
      </c>
      <c r="D2323" t="s">
        <v>407</v>
      </c>
      <c r="E2323" t="s">
        <v>407</v>
      </c>
      <c r="F2323" s="122">
        <v>230</v>
      </c>
      <c r="G2323" s="122">
        <v>24389</v>
      </c>
      <c r="H2323" s="122">
        <v>32634</v>
      </c>
      <c r="I2323" s="122">
        <v>1576199</v>
      </c>
      <c r="J2323" s="122">
        <v>1432908</v>
      </c>
      <c r="K2323" s="122">
        <v>88</v>
      </c>
      <c r="L2323" s="122">
        <v>351053</v>
      </c>
      <c r="M2323" s="122">
        <v>306996</v>
      </c>
      <c r="N2323" s="122">
        <v>444101</v>
      </c>
      <c r="O2323" s="122">
        <v>164482</v>
      </c>
      <c r="P2323" s="122">
        <v>119907</v>
      </c>
      <c r="Q2323" s="122">
        <v>44410</v>
      </c>
      <c r="R2323" s="122">
        <v>973181</v>
      </c>
      <c r="S2323" s="122">
        <v>884710</v>
      </c>
      <c r="T2323" s="122">
        <v>22457</v>
      </c>
      <c r="U2323" s="122">
        <v>8317</v>
      </c>
      <c r="V2323" s="122">
        <v>2841823</v>
      </c>
      <c r="W2323" s="122">
        <f t="shared" si="72"/>
        <v>2841823</v>
      </c>
      <c r="X2323" s="122">
        <f t="shared" si="73"/>
        <v>3486898</v>
      </c>
      <c r="AI2323" s="66"/>
    </row>
    <row r="2324" spans="2:35" ht="13">
      <c r="B2324" t="s">
        <v>383</v>
      </c>
      <c r="C2324" t="s">
        <v>54</v>
      </c>
      <c r="D2324" t="s">
        <v>426</v>
      </c>
      <c r="E2324" t="s">
        <v>426</v>
      </c>
      <c r="F2324" s="122">
        <v>1</v>
      </c>
      <c r="G2324" s="122">
        <v>51</v>
      </c>
      <c r="H2324" s="122">
        <v>148</v>
      </c>
      <c r="I2324" s="122">
        <v>3651</v>
      </c>
      <c r="J2324" s="122">
        <v>3319</v>
      </c>
      <c r="K2324" s="122">
        <v>65</v>
      </c>
      <c r="L2324" s="122">
        <v>615</v>
      </c>
      <c r="M2324" s="122">
        <v>228</v>
      </c>
      <c r="N2324" s="122">
        <v>627</v>
      </c>
      <c r="O2324" s="122">
        <v>232</v>
      </c>
      <c r="P2324" s="122">
        <v>621</v>
      </c>
      <c r="Q2324" s="122">
        <v>230</v>
      </c>
      <c r="R2324" s="122">
        <v>2092</v>
      </c>
      <c r="S2324" s="122">
        <v>1901</v>
      </c>
      <c r="T2324" s="122">
        <v>0</v>
      </c>
      <c r="U2324" s="122">
        <v>0</v>
      </c>
      <c r="V2324" s="122">
        <v>5911</v>
      </c>
      <c r="W2324" s="122">
        <f t="shared" si="72"/>
        <v>5910</v>
      </c>
      <c r="X2324" s="122">
        <f t="shared" si="73"/>
        <v>7606</v>
      </c>
      <c r="AI2324" s="66"/>
    </row>
    <row r="2325" spans="2:35" ht="13">
      <c r="B2325" t="s">
        <v>383</v>
      </c>
      <c r="C2325" t="s">
        <v>56</v>
      </c>
      <c r="F2325" s="122">
        <v>10</v>
      </c>
      <c r="G2325" s="122">
        <v>836</v>
      </c>
      <c r="H2325" s="122">
        <v>2032</v>
      </c>
      <c r="I2325" s="122"/>
      <c r="J2325" s="122">
        <v>0</v>
      </c>
      <c r="K2325" s="122"/>
      <c r="L2325" s="122"/>
      <c r="M2325" s="122">
        <v>0</v>
      </c>
      <c r="N2325" s="122">
        <v>14575</v>
      </c>
      <c r="O2325" s="122">
        <v>5398</v>
      </c>
      <c r="P2325" s="122">
        <v>1769</v>
      </c>
      <c r="Q2325" s="122">
        <v>655</v>
      </c>
      <c r="R2325" s="122"/>
      <c r="S2325" s="122">
        <v>0</v>
      </c>
      <c r="T2325" s="122">
        <v>3668</v>
      </c>
      <c r="U2325" s="122">
        <v>1358</v>
      </c>
      <c r="V2325" s="122">
        <v>7411</v>
      </c>
      <c r="W2325" s="122">
        <f t="shared" si="72"/>
        <v>7411</v>
      </c>
      <c r="X2325" s="122">
        <f t="shared" si="73"/>
        <v>20012</v>
      </c>
      <c r="AI2325" s="66"/>
    </row>
    <row r="2326" spans="2:35" ht="13">
      <c r="B2326" t="s">
        <v>383</v>
      </c>
      <c r="C2326" t="s">
        <v>56</v>
      </c>
      <c r="D2326" t="s">
        <v>425</v>
      </c>
      <c r="E2326" t="s">
        <v>425</v>
      </c>
      <c r="F2326" s="122">
        <v>4</v>
      </c>
      <c r="G2326" s="122">
        <v>387</v>
      </c>
      <c r="H2326" s="122">
        <v>743</v>
      </c>
      <c r="I2326" s="122">
        <v>34181</v>
      </c>
      <c r="J2326" s="122">
        <v>31073</v>
      </c>
      <c r="K2326" s="122">
        <v>81</v>
      </c>
      <c r="L2326" s="122">
        <v>7396</v>
      </c>
      <c r="M2326" s="122">
        <v>6724</v>
      </c>
      <c r="N2326" s="122">
        <v>7117</v>
      </c>
      <c r="O2326" s="122">
        <v>2636</v>
      </c>
      <c r="P2326" s="122">
        <v>1890</v>
      </c>
      <c r="Q2326" s="122">
        <v>700</v>
      </c>
      <c r="R2326" s="122">
        <v>16682</v>
      </c>
      <c r="S2326" s="122">
        <v>15165</v>
      </c>
      <c r="T2326" s="122">
        <v>2316</v>
      </c>
      <c r="U2326" s="122">
        <v>858</v>
      </c>
      <c r="V2326" s="122">
        <v>57156</v>
      </c>
      <c r="W2326" s="122">
        <f t="shared" si="72"/>
        <v>57156</v>
      </c>
      <c r="X2326" s="122">
        <f t="shared" si="73"/>
        <v>69582</v>
      </c>
      <c r="AI2326" s="66"/>
    </row>
    <row r="2327" spans="2:35" ht="13">
      <c r="B2327" t="s">
        <v>383</v>
      </c>
      <c r="C2327" t="s">
        <v>56</v>
      </c>
      <c r="D2327" t="s">
        <v>405</v>
      </c>
      <c r="E2327" t="s">
        <v>405</v>
      </c>
      <c r="F2327" s="122">
        <v>76</v>
      </c>
      <c r="G2327" s="122">
        <v>7827</v>
      </c>
      <c r="H2327" s="122">
        <v>13809</v>
      </c>
      <c r="I2327" s="122">
        <v>638919</v>
      </c>
      <c r="J2327" s="122">
        <v>580835</v>
      </c>
      <c r="K2327" s="122">
        <v>77</v>
      </c>
      <c r="L2327" s="122">
        <v>156674</v>
      </c>
      <c r="M2327" s="122">
        <v>134021</v>
      </c>
      <c r="N2327" s="122">
        <v>157566</v>
      </c>
      <c r="O2327" s="122">
        <v>58358</v>
      </c>
      <c r="P2327" s="122">
        <v>35573</v>
      </c>
      <c r="Q2327" s="122">
        <v>13175</v>
      </c>
      <c r="R2327" s="122">
        <v>396651</v>
      </c>
      <c r="S2327" s="122">
        <v>360592</v>
      </c>
      <c r="T2327" s="122">
        <v>21524</v>
      </c>
      <c r="U2327" s="122">
        <v>7972</v>
      </c>
      <c r="V2327" s="122">
        <v>1154952</v>
      </c>
      <c r="W2327" s="122">
        <f t="shared" si="72"/>
        <v>1154953</v>
      </c>
      <c r="X2327" s="122">
        <f t="shared" si="73"/>
        <v>1406907</v>
      </c>
      <c r="AI2327" s="66"/>
    </row>
    <row r="2328" spans="2:35" ht="13">
      <c r="B2328" t="s">
        <v>383</v>
      </c>
      <c r="C2328" t="s">
        <v>56</v>
      </c>
      <c r="D2328" t="s">
        <v>137</v>
      </c>
      <c r="E2328" t="s">
        <v>137</v>
      </c>
      <c r="F2328" s="122">
        <v>51</v>
      </c>
      <c r="G2328" s="122">
        <v>5656</v>
      </c>
      <c r="H2328" s="122">
        <v>10039</v>
      </c>
      <c r="I2328" s="122">
        <v>545658</v>
      </c>
      <c r="J2328" s="122">
        <v>202096</v>
      </c>
      <c r="K2328" s="122">
        <v>104</v>
      </c>
      <c r="L2328" s="122">
        <v>69814</v>
      </c>
      <c r="M2328" s="122">
        <v>38878</v>
      </c>
      <c r="N2328" s="122">
        <v>102191</v>
      </c>
      <c r="O2328" s="122">
        <v>37849</v>
      </c>
      <c r="P2328" s="122">
        <v>2528</v>
      </c>
      <c r="Q2328" s="122">
        <v>936</v>
      </c>
      <c r="R2328" s="122">
        <v>386578</v>
      </c>
      <c r="S2328" s="122">
        <v>143177</v>
      </c>
      <c r="T2328" s="122">
        <v>0</v>
      </c>
      <c r="U2328" s="122">
        <v>0</v>
      </c>
      <c r="V2328" s="122">
        <v>422935</v>
      </c>
      <c r="W2328" s="122">
        <f t="shared" si="72"/>
        <v>422936</v>
      </c>
      <c r="X2328" s="122">
        <f t="shared" si="73"/>
        <v>1106769</v>
      </c>
      <c r="AI2328" s="66"/>
    </row>
    <row r="2329" spans="2:35" ht="13">
      <c r="B2329" t="s">
        <v>383</v>
      </c>
      <c r="C2329" t="s">
        <v>56</v>
      </c>
      <c r="D2329" t="s">
        <v>137</v>
      </c>
      <c r="E2329" t="s">
        <v>426</v>
      </c>
      <c r="F2329" s="122">
        <v>1</v>
      </c>
      <c r="G2329" s="122">
        <v>77</v>
      </c>
      <c r="H2329" s="122">
        <v>223</v>
      </c>
      <c r="I2329" s="122">
        <v>8989</v>
      </c>
      <c r="J2329" s="122">
        <v>3329</v>
      </c>
      <c r="K2329" s="122">
        <v>100</v>
      </c>
      <c r="L2329" s="122">
        <v>3329</v>
      </c>
      <c r="M2329" s="122">
        <v>1233</v>
      </c>
      <c r="N2329" s="122">
        <v>937</v>
      </c>
      <c r="O2329" s="122">
        <v>347</v>
      </c>
      <c r="P2329" s="122">
        <v>0</v>
      </c>
      <c r="Q2329" s="122">
        <v>0</v>
      </c>
      <c r="R2329" s="122">
        <v>3854</v>
      </c>
      <c r="S2329" s="122">
        <v>3503</v>
      </c>
      <c r="T2329" s="122">
        <v>0</v>
      </c>
      <c r="U2329" s="122">
        <v>0</v>
      </c>
      <c r="V2329" s="122">
        <v>8413</v>
      </c>
      <c r="W2329" s="122">
        <f t="shared" si="72"/>
        <v>8412</v>
      </c>
      <c r="X2329" s="122">
        <f t="shared" si="73"/>
        <v>17109</v>
      </c>
      <c r="AI2329" s="66"/>
    </row>
    <row r="2330" spans="2:35" ht="13">
      <c r="B2330" t="s">
        <v>383</v>
      </c>
      <c r="C2330" t="s">
        <v>56</v>
      </c>
      <c r="D2330" t="s">
        <v>406</v>
      </c>
      <c r="E2330" t="s">
        <v>555</v>
      </c>
      <c r="F2330" s="122">
        <v>1</v>
      </c>
      <c r="G2330" s="122">
        <v>135</v>
      </c>
      <c r="H2330" s="122">
        <v>172</v>
      </c>
      <c r="I2330" s="122">
        <v>10886</v>
      </c>
      <c r="J2330" s="122">
        <v>9897</v>
      </c>
      <c r="K2330" s="122">
        <v>85</v>
      </c>
      <c r="L2330" s="122">
        <v>3254</v>
      </c>
      <c r="M2330" s="122">
        <v>2958</v>
      </c>
      <c r="N2330" s="122">
        <v>3285</v>
      </c>
      <c r="O2330" s="122">
        <v>1217</v>
      </c>
      <c r="P2330" s="122">
        <v>621</v>
      </c>
      <c r="Q2330" s="122">
        <v>230</v>
      </c>
      <c r="R2330" s="122">
        <v>5187</v>
      </c>
      <c r="S2330" s="122">
        <v>4716</v>
      </c>
      <c r="T2330" s="122">
        <v>0</v>
      </c>
      <c r="U2330" s="122">
        <v>0</v>
      </c>
      <c r="V2330" s="122">
        <v>19018</v>
      </c>
      <c r="W2330" s="122">
        <f t="shared" si="72"/>
        <v>19018</v>
      </c>
      <c r="X2330" s="122">
        <f t="shared" si="73"/>
        <v>23233</v>
      </c>
      <c r="AI2330" s="66"/>
    </row>
    <row r="2331" spans="2:35" ht="13">
      <c r="B2331" t="s">
        <v>383</v>
      </c>
      <c r="C2331" t="s">
        <v>56</v>
      </c>
      <c r="D2331" t="s">
        <v>406</v>
      </c>
      <c r="E2331" t="s">
        <v>405</v>
      </c>
      <c r="F2331" s="122">
        <v>1</v>
      </c>
      <c r="G2331" s="122">
        <v>73</v>
      </c>
      <c r="H2331" s="122">
        <v>221</v>
      </c>
      <c r="I2331" s="122">
        <v>10786</v>
      </c>
      <c r="J2331" s="122">
        <v>9805</v>
      </c>
      <c r="K2331" s="122">
        <v>92</v>
      </c>
      <c r="L2331" s="122">
        <v>3499</v>
      </c>
      <c r="M2331" s="122">
        <v>3181</v>
      </c>
      <c r="N2331" s="122">
        <v>1177</v>
      </c>
      <c r="O2331" s="122">
        <v>436</v>
      </c>
      <c r="P2331" s="122">
        <v>972</v>
      </c>
      <c r="Q2331" s="122">
        <v>360</v>
      </c>
      <c r="R2331" s="122">
        <v>4892</v>
      </c>
      <c r="S2331" s="122">
        <v>4447</v>
      </c>
      <c r="T2331" s="122">
        <v>0</v>
      </c>
      <c r="U2331" s="122">
        <v>0</v>
      </c>
      <c r="V2331" s="122">
        <v>18230</v>
      </c>
      <c r="W2331" s="122">
        <f t="shared" si="72"/>
        <v>18229</v>
      </c>
      <c r="X2331" s="122">
        <f t="shared" si="73"/>
        <v>21326</v>
      </c>
      <c r="AI2331" s="66"/>
    </row>
    <row r="2332" spans="2:35" ht="13">
      <c r="B2332" t="s">
        <v>383</v>
      </c>
      <c r="C2332" t="s">
        <v>56</v>
      </c>
      <c r="D2332" t="s">
        <v>406</v>
      </c>
      <c r="E2332" t="s">
        <v>137</v>
      </c>
      <c r="F2332" s="122">
        <v>22</v>
      </c>
      <c r="G2332" s="122">
        <v>2302</v>
      </c>
      <c r="H2332" s="122">
        <v>4349</v>
      </c>
      <c r="I2332" s="122">
        <v>245789</v>
      </c>
      <c r="J2332" s="122">
        <v>223444</v>
      </c>
      <c r="K2332" s="122">
        <v>85</v>
      </c>
      <c r="L2332" s="122">
        <v>71207</v>
      </c>
      <c r="M2332" s="122">
        <v>64734</v>
      </c>
      <c r="N2332" s="122">
        <v>64567</v>
      </c>
      <c r="O2332" s="122">
        <v>23914</v>
      </c>
      <c r="P2332" s="122">
        <v>13662</v>
      </c>
      <c r="Q2332" s="122">
        <v>5060</v>
      </c>
      <c r="R2332" s="122">
        <v>132987</v>
      </c>
      <c r="S2332" s="122">
        <v>49255</v>
      </c>
      <c r="T2332" s="122">
        <v>0</v>
      </c>
      <c r="U2332" s="122">
        <v>0</v>
      </c>
      <c r="V2332" s="122">
        <v>366407</v>
      </c>
      <c r="W2332" s="122">
        <f t="shared" si="72"/>
        <v>366407</v>
      </c>
      <c r="X2332" s="122">
        <f t="shared" si="73"/>
        <v>528212</v>
      </c>
      <c r="AI2332" s="66"/>
    </row>
    <row r="2333" spans="2:35" ht="13">
      <c r="B2333" t="s">
        <v>383</v>
      </c>
      <c r="C2333" t="s">
        <v>56</v>
      </c>
      <c r="D2333" t="s">
        <v>406</v>
      </c>
      <c r="E2333" t="s">
        <v>406</v>
      </c>
      <c r="F2333" s="122">
        <v>3405</v>
      </c>
      <c r="G2333" s="122">
        <v>328972</v>
      </c>
      <c r="H2333" s="122">
        <v>649992</v>
      </c>
      <c r="I2333" s="122">
        <v>29143406</v>
      </c>
      <c r="J2333" s="122">
        <v>26494005</v>
      </c>
      <c r="K2333" s="122">
        <v>86</v>
      </c>
      <c r="L2333" s="122">
        <v>7249373</v>
      </c>
      <c r="M2333" s="122">
        <v>6442141</v>
      </c>
      <c r="N2333" s="122">
        <v>6534757</v>
      </c>
      <c r="O2333" s="122">
        <v>2420280</v>
      </c>
      <c r="P2333" s="122">
        <v>2132475</v>
      </c>
      <c r="Q2333" s="122">
        <v>789806</v>
      </c>
      <c r="R2333" s="122">
        <v>14371022</v>
      </c>
      <c r="S2333" s="122">
        <v>13064566</v>
      </c>
      <c r="T2333" s="122">
        <v>3864302</v>
      </c>
      <c r="U2333" s="122">
        <v>1431223</v>
      </c>
      <c r="V2333" s="122">
        <v>50642020</v>
      </c>
      <c r="W2333" s="122">
        <f t="shared" si="72"/>
        <v>50642021</v>
      </c>
      <c r="X2333" s="122">
        <f t="shared" si="73"/>
        <v>63295335</v>
      </c>
      <c r="AI2333" s="66"/>
    </row>
    <row r="2334" spans="2:35" ht="13">
      <c r="B2334" t="s">
        <v>383</v>
      </c>
      <c r="C2334" t="s">
        <v>56</v>
      </c>
      <c r="D2334" t="s">
        <v>406</v>
      </c>
      <c r="E2334" t="s">
        <v>426</v>
      </c>
      <c r="F2334" s="122">
        <v>1</v>
      </c>
      <c r="G2334" s="122">
        <v>73</v>
      </c>
      <c r="H2334" s="122">
        <v>198</v>
      </c>
      <c r="I2334" s="122">
        <v>6639</v>
      </c>
      <c r="J2334" s="122">
        <v>6035</v>
      </c>
      <c r="K2334" s="122">
        <v>84</v>
      </c>
      <c r="L2334" s="122">
        <v>1952</v>
      </c>
      <c r="M2334" s="122">
        <v>1775</v>
      </c>
      <c r="N2334" s="122">
        <v>1593</v>
      </c>
      <c r="O2334" s="122">
        <v>590</v>
      </c>
      <c r="P2334" s="122">
        <v>621</v>
      </c>
      <c r="Q2334" s="122">
        <v>230</v>
      </c>
      <c r="R2334" s="122">
        <v>3572</v>
      </c>
      <c r="S2334" s="122">
        <v>3247</v>
      </c>
      <c r="T2334" s="122">
        <v>0</v>
      </c>
      <c r="U2334" s="122">
        <v>0</v>
      </c>
      <c r="V2334" s="122">
        <v>11877</v>
      </c>
      <c r="W2334" s="122">
        <f t="shared" si="72"/>
        <v>11877</v>
      </c>
      <c r="X2334" s="122">
        <f t="shared" si="73"/>
        <v>14377</v>
      </c>
      <c r="AI2334" s="66"/>
    </row>
    <row r="2335" spans="2:35" ht="13">
      <c r="B2335" t="s">
        <v>383</v>
      </c>
      <c r="C2335" t="s">
        <v>56</v>
      </c>
      <c r="D2335" t="s">
        <v>427</v>
      </c>
      <c r="E2335" t="s">
        <v>406</v>
      </c>
      <c r="F2335" s="122">
        <v>2</v>
      </c>
      <c r="G2335" s="122">
        <v>227</v>
      </c>
      <c r="H2335" s="122">
        <v>423</v>
      </c>
      <c r="I2335" s="122">
        <v>23269</v>
      </c>
      <c r="J2335" s="122">
        <v>21154</v>
      </c>
      <c r="K2335" s="122">
        <v>86</v>
      </c>
      <c r="L2335" s="122">
        <v>7051</v>
      </c>
      <c r="M2335" s="122">
        <v>6410</v>
      </c>
      <c r="N2335" s="122">
        <v>4147</v>
      </c>
      <c r="O2335" s="122">
        <v>1536</v>
      </c>
      <c r="P2335" s="122">
        <v>1242</v>
      </c>
      <c r="Q2335" s="122">
        <v>460</v>
      </c>
      <c r="R2335" s="122">
        <v>7312</v>
      </c>
      <c r="S2335" s="122">
        <v>6647</v>
      </c>
      <c r="T2335" s="122">
        <v>4923</v>
      </c>
      <c r="U2335" s="122">
        <v>1823</v>
      </c>
      <c r="V2335" s="122">
        <v>38031</v>
      </c>
      <c r="W2335" s="122">
        <f t="shared" si="72"/>
        <v>38030</v>
      </c>
      <c r="X2335" s="122">
        <f t="shared" si="73"/>
        <v>47944</v>
      </c>
      <c r="AI2335" s="66"/>
    </row>
    <row r="2336" spans="2:35" ht="13">
      <c r="B2336" t="s">
        <v>383</v>
      </c>
      <c r="C2336" t="s">
        <v>56</v>
      </c>
      <c r="D2336" t="s">
        <v>427</v>
      </c>
      <c r="E2336" t="s">
        <v>427</v>
      </c>
      <c r="F2336" s="122">
        <v>1</v>
      </c>
      <c r="G2336" s="122">
        <v>103</v>
      </c>
      <c r="H2336" s="122">
        <v>202</v>
      </c>
      <c r="I2336" s="122">
        <v>11976</v>
      </c>
      <c r="J2336" s="122">
        <v>10888</v>
      </c>
      <c r="K2336" s="122">
        <v>65</v>
      </c>
      <c r="L2336" s="122">
        <v>0</v>
      </c>
      <c r="M2336" s="122">
        <v>0</v>
      </c>
      <c r="N2336" s="122">
        <v>1885</v>
      </c>
      <c r="O2336" s="122">
        <v>698</v>
      </c>
      <c r="P2336" s="122">
        <v>351</v>
      </c>
      <c r="Q2336" s="122">
        <v>130</v>
      </c>
      <c r="R2336" s="122">
        <v>4001</v>
      </c>
      <c r="S2336" s="122">
        <v>3637</v>
      </c>
      <c r="T2336" s="122">
        <v>2601</v>
      </c>
      <c r="U2336" s="122">
        <v>963</v>
      </c>
      <c r="V2336" s="122">
        <v>16316</v>
      </c>
      <c r="W2336" s="122">
        <f t="shared" si="72"/>
        <v>16316</v>
      </c>
      <c r="X2336" s="122">
        <f t="shared" si="73"/>
        <v>20814</v>
      </c>
      <c r="AI2336" s="66"/>
    </row>
    <row r="2337" spans="2:35" ht="13">
      <c r="B2337" t="s">
        <v>383</v>
      </c>
      <c r="C2337" t="s">
        <v>56</v>
      </c>
      <c r="D2337" t="s">
        <v>407</v>
      </c>
      <c r="E2337" t="s">
        <v>406</v>
      </c>
      <c r="F2337" s="122">
        <v>2</v>
      </c>
      <c r="G2337" s="122">
        <v>162</v>
      </c>
      <c r="H2337" s="122">
        <v>351</v>
      </c>
      <c r="I2337" s="122">
        <v>16700</v>
      </c>
      <c r="J2337" s="122">
        <v>15182</v>
      </c>
      <c r="K2337" s="122">
        <v>85</v>
      </c>
      <c r="L2337" s="122">
        <v>5020</v>
      </c>
      <c r="M2337" s="122">
        <v>4564</v>
      </c>
      <c r="N2337" s="122">
        <v>5109</v>
      </c>
      <c r="O2337" s="122">
        <v>1892</v>
      </c>
      <c r="P2337" s="122">
        <v>945</v>
      </c>
      <c r="Q2337" s="122">
        <v>350</v>
      </c>
      <c r="R2337" s="122">
        <v>6535</v>
      </c>
      <c r="S2337" s="122">
        <v>5941</v>
      </c>
      <c r="T2337" s="122">
        <v>2391</v>
      </c>
      <c r="U2337" s="122">
        <v>886</v>
      </c>
      <c r="V2337" s="122">
        <v>28814</v>
      </c>
      <c r="W2337" s="122">
        <f t="shared" si="72"/>
        <v>28815</v>
      </c>
      <c r="X2337" s="122">
        <f t="shared" si="73"/>
        <v>36700</v>
      </c>
      <c r="AI2337" s="66"/>
    </row>
    <row r="2338" spans="2:35" ht="13">
      <c r="B2338" t="s">
        <v>383</v>
      </c>
      <c r="C2338" t="s">
        <v>56</v>
      </c>
      <c r="D2338" t="s">
        <v>407</v>
      </c>
      <c r="E2338" t="s">
        <v>407</v>
      </c>
      <c r="F2338" s="122">
        <v>1296</v>
      </c>
      <c r="G2338" s="122">
        <v>126494</v>
      </c>
      <c r="H2338" s="122">
        <v>246183</v>
      </c>
      <c r="I2338" s="122">
        <v>11486843</v>
      </c>
      <c r="J2338" s="122">
        <v>10442585</v>
      </c>
      <c r="K2338" s="122">
        <v>82</v>
      </c>
      <c r="L2338" s="122">
        <v>2583821</v>
      </c>
      <c r="M2338" s="122">
        <v>2504730</v>
      </c>
      <c r="N2338" s="122">
        <v>2464681</v>
      </c>
      <c r="O2338" s="122">
        <v>912845</v>
      </c>
      <c r="P2338" s="122">
        <v>638535</v>
      </c>
      <c r="Q2338" s="122">
        <v>236495</v>
      </c>
      <c r="R2338" s="122">
        <v>5988511</v>
      </c>
      <c r="S2338" s="122">
        <v>5444101</v>
      </c>
      <c r="T2338" s="122">
        <v>978761</v>
      </c>
      <c r="U2338" s="122">
        <v>362504</v>
      </c>
      <c r="V2338" s="122">
        <v>19903259</v>
      </c>
      <c r="W2338" s="122">
        <f t="shared" ref="W2338:W2401" si="74">SUM(ABS(J2338),ABS(M2338),ABS(O2338),ABS(Q2338),ABS(S2338),ABS(U2338))</f>
        <v>19903260</v>
      </c>
      <c r="X2338" s="122">
        <f t="shared" ref="X2338:X2401" si="75">SUM(ABS(I2338),ABS(N2338),ABS(P2338),ABS(R2338),ABS(T2338),ABS(L2338))</f>
        <v>24141152</v>
      </c>
      <c r="AI2338" s="66"/>
    </row>
    <row r="2339" spans="2:35" ht="13">
      <c r="B2339" t="s">
        <v>383</v>
      </c>
      <c r="C2339" t="s">
        <v>56</v>
      </c>
      <c r="D2339" t="s">
        <v>407</v>
      </c>
      <c r="E2339" t="s">
        <v>426</v>
      </c>
      <c r="F2339" s="122">
        <v>1</v>
      </c>
      <c r="G2339" s="122">
        <v>86</v>
      </c>
      <c r="H2339" s="122">
        <v>212</v>
      </c>
      <c r="I2339" s="122">
        <v>9318</v>
      </c>
      <c r="J2339" s="122">
        <v>8471</v>
      </c>
      <c r="K2339" s="122">
        <v>79</v>
      </c>
      <c r="L2339" s="122">
        <v>1291</v>
      </c>
      <c r="M2339" s="122">
        <v>1173</v>
      </c>
      <c r="N2339" s="122">
        <v>1633</v>
      </c>
      <c r="O2339" s="122">
        <v>605</v>
      </c>
      <c r="P2339" s="122">
        <v>473</v>
      </c>
      <c r="Q2339" s="122">
        <v>175</v>
      </c>
      <c r="R2339" s="122">
        <v>5501</v>
      </c>
      <c r="S2339" s="122">
        <v>5001</v>
      </c>
      <c r="T2339" s="122">
        <v>0</v>
      </c>
      <c r="U2339" s="122">
        <v>0</v>
      </c>
      <c r="V2339" s="122">
        <v>15425</v>
      </c>
      <c r="W2339" s="122">
        <f t="shared" si="74"/>
        <v>15425</v>
      </c>
      <c r="X2339" s="122">
        <f t="shared" si="75"/>
        <v>18216</v>
      </c>
      <c r="AI2339" s="66"/>
    </row>
    <row r="2340" spans="2:35" ht="13">
      <c r="B2340" t="s">
        <v>383</v>
      </c>
      <c r="C2340" t="s">
        <v>56</v>
      </c>
      <c r="D2340" t="s">
        <v>556</v>
      </c>
      <c r="E2340" t="s">
        <v>556</v>
      </c>
      <c r="F2340" s="122">
        <v>1</v>
      </c>
      <c r="G2340" s="122">
        <v>84</v>
      </c>
      <c r="H2340" s="122">
        <v>217</v>
      </c>
      <c r="I2340" s="122">
        <v>8142</v>
      </c>
      <c r="J2340" s="122">
        <v>6785</v>
      </c>
      <c r="K2340" s="122">
        <v>65</v>
      </c>
      <c r="L2340" s="122">
        <v>0</v>
      </c>
      <c r="M2340" s="122">
        <v>0</v>
      </c>
      <c r="N2340" s="122">
        <v>1787</v>
      </c>
      <c r="O2340" s="122">
        <v>662</v>
      </c>
      <c r="P2340" s="122">
        <v>351</v>
      </c>
      <c r="Q2340" s="122">
        <v>130</v>
      </c>
      <c r="R2340" s="122">
        <v>5205</v>
      </c>
      <c r="S2340" s="122">
        <v>4338</v>
      </c>
      <c r="T2340" s="122">
        <v>2662</v>
      </c>
      <c r="U2340" s="122">
        <v>986</v>
      </c>
      <c r="V2340" s="122">
        <v>12901</v>
      </c>
      <c r="W2340" s="122">
        <f t="shared" si="74"/>
        <v>12901</v>
      </c>
      <c r="X2340" s="122">
        <f t="shared" si="75"/>
        <v>18147</v>
      </c>
      <c r="AI2340" s="66"/>
    </row>
    <row r="2341" spans="2:35" ht="13">
      <c r="B2341" t="s">
        <v>383</v>
      </c>
      <c r="C2341" t="s">
        <v>56</v>
      </c>
      <c r="D2341" t="s">
        <v>428</v>
      </c>
      <c r="E2341" t="s">
        <v>428</v>
      </c>
      <c r="F2341" s="122">
        <v>1</v>
      </c>
      <c r="G2341" s="122">
        <v>81</v>
      </c>
      <c r="H2341" s="122">
        <v>203</v>
      </c>
      <c r="I2341" s="122">
        <v>6796</v>
      </c>
      <c r="J2341" s="122">
        <v>6178</v>
      </c>
      <c r="K2341" s="122">
        <v>65</v>
      </c>
      <c r="L2341" s="122">
        <v>1636</v>
      </c>
      <c r="M2341" s="122">
        <v>1487</v>
      </c>
      <c r="N2341" s="122">
        <v>1561</v>
      </c>
      <c r="O2341" s="122">
        <v>578</v>
      </c>
      <c r="P2341" s="122">
        <v>0</v>
      </c>
      <c r="Q2341" s="122">
        <v>0</v>
      </c>
      <c r="R2341" s="122">
        <v>4149</v>
      </c>
      <c r="S2341" s="122">
        <v>3772</v>
      </c>
      <c r="T2341" s="122">
        <v>2173</v>
      </c>
      <c r="U2341" s="122">
        <v>805</v>
      </c>
      <c r="V2341" s="122">
        <v>12821</v>
      </c>
      <c r="W2341" s="122">
        <f t="shared" si="74"/>
        <v>12820</v>
      </c>
      <c r="X2341" s="122">
        <f t="shared" si="75"/>
        <v>16315</v>
      </c>
      <c r="AI2341" s="66"/>
    </row>
    <row r="2342" spans="2:35" ht="13">
      <c r="B2342" t="s">
        <v>383</v>
      </c>
      <c r="C2342" t="s">
        <v>56</v>
      </c>
      <c r="D2342" t="s">
        <v>426</v>
      </c>
      <c r="E2342" t="s">
        <v>426</v>
      </c>
      <c r="F2342" s="122">
        <v>28</v>
      </c>
      <c r="G2342" s="122">
        <v>2563</v>
      </c>
      <c r="H2342" s="122">
        <v>5991</v>
      </c>
      <c r="I2342" s="122">
        <v>265932</v>
      </c>
      <c r="J2342" s="122">
        <v>241756</v>
      </c>
      <c r="K2342" s="122">
        <v>71</v>
      </c>
      <c r="L2342" s="122">
        <v>50835</v>
      </c>
      <c r="M2342" s="122">
        <v>43549</v>
      </c>
      <c r="N2342" s="122">
        <v>45260</v>
      </c>
      <c r="O2342" s="122">
        <v>16763</v>
      </c>
      <c r="P2342" s="122">
        <v>10220</v>
      </c>
      <c r="Q2342" s="122">
        <v>3785</v>
      </c>
      <c r="R2342" s="122">
        <v>115829</v>
      </c>
      <c r="S2342" s="122">
        <v>105299</v>
      </c>
      <c r="T2342" s="122">
        <v>61824</v>
      </c>
      <c r="U2342" s="122">
        <v>22898</v>
      </c>
      <c r="V2342" s="122">
        <v>434050</v>
      </c>
      <c r="W2342" s="122">
        <f t="shared" si="74"/>
        <v>434050</v>
      </c>
      <c r="X2342" s="122">
        <f t="shared" si="75"/>
        <v>549900</v>
      </c>
      <c r="AI2342" s="66"/>
    </row>
    <row r="2343" spans="2:35" ht="13">
      <c r="B2343" t="s">
        <v>383</v>
      </c>
      <c r="C2343" t="s">
        <v>56</v>
      </c>
      <c r="D2343" t="s">
        <v>408</v>
      </c>
      <c r="E2343" t="s">
        <v>408</v>
      </c>
      <c r="F2343" s="122">
        <v>1</v>
      </c>
      <c r="G2343" s="122">
        <v>102</v>
      </c>
      <c r="H2343" s="122">
        <v>172</v>
      </c>
      <c r="I2343" s="122">
        <v>10056</v>
      </c>
      <c r="J2343" s="122">
        <v>9141</v>
      </c>
      <c r="K2343" s="122">
        <v>80</v>
      </c>
      <c r="L2343" s="122">
        <v>1441</v>
      </c>
      <c r="M2343" s="122">
        <v>1310</v>
      </c>
      <c r="N2343" s="122">
        <v>1368</v>
      </c>
      <c r="O2343" s="122">
        <v>507</v>
      </c>
      <c r="P2343" s="122">
        <v>351</v>
      </c>
      <c r="Q2343" s="122">
        <v>130</v>
      </c>
      <c r="R2343" s="122">
        <v>4305</v>
      </c>
      <c r="S2343" s="122">
        <v>3914</v>
      </c>
      <c r="T2343" s="122">
        <v>0</v>
      </c>
      <c r="U2343" s="122">
        <v>0</v>
      </c>
      <c r="V2343" s="122">
        <v>15002</v>
      </c>
      <c r="W2343" s="122">
        <f t="shared" si="74"/>
        <v>15002</v>
      </c>
      <c r="X2343" s="122">
        <f t="shared" si="75"/>
        <v>17521</v>
      </c>
      <c r="AI2343" s="66"/>
    </row>
    <row r="2344" spans="2:35" ht="13">
      <c r="B2344" t="s">
        <v>383</v>
      </c>
      <c r="C2344" t="s">
        <v>58</v>
      </c>
      <c r="F2344" s="122">
        <v>1</v>
      </c>
      <c r="G2344" s="122">
        <v>55</v>
      </c>
      <c r="H2344" s="122">
        <v>226</v>
      </c>
      <c r="I2344" s="122"/>
      <c r="J2344" s="122">
        <v>0</v>
      </c>
      <c r="K2344" s="122"/>
      <c r="L2344" s="122"/>
      <c r="M2344" s="122">
        <v>0</v>
      </c>
      <c r="N2344" s="122">
        <v>957</v>
      </c>
      <c r="O2344" s="122">
        <v>354</v>
      </c>
      <c r="P2344" s="122">
        <v>0</v>
      </c>
      <c r="Q2344" s="122">
        <v>0</v>
      </c>
      <c r="R2344" s="122"/>
      <c r="S2344" s="122">
        <v>0</v>
      </c>
      <c r="T2344" s="122">
        <v>0</v>
      </c>
      <c r="U2344" s="122">
        <v>0</v>
      </c>
      <c r="V2344" s="122">
        <v>354</v>
      </c>
      <c r="W2344" s="122">
        <f t="shared" si="74"/>
        <v>354</v>
      </c>
      <c r="X2344" s="122">
        <f t="shared" si="75"/>
        <v>957</v>
      </c>
      <c r="AI2344" s="66"/>
    </row>
    <row r="2345" spans="2:35" ht="13">
      <c r="B2345" t="s">
        <v>383</v>
      </c>
      <c r="C2345" t="s">
        <v>58</v>
      </c>
      <c r="D2345" t="s">
        <v>555</v>
      </c>
      <c r="E2345" t="s">
        <v>555</v>
      </c>
      <c r="F2345" s="122">
        <v>2</v>
      </c>
      <c r="G2345" s="122">
        <v>185</v>
      </c>
      <c r="H2345" s="122">
        <v>568</v>
      </c>
      <c r="I2345" s="122">
        <v>27866</v>
      </c>
      <c r="J2345" s="122">
        <v>25333</v>
      </c>
      <c r="K2345" s="122">
        <v>60</v>
      </c>
      <c r="L2345" s="122">
        <v>6216</v>
      </c>
      <c r="M2345" s="122">
        <v>5651</v>
      </c>
      <c r="N2345" s="122">
        <v>3677</v>
      </c>
      <c r="O2345" s="122">
        <v>1362</v>
      </c>
      <c r="P2345" s="122">
        <v>702</v>
      </c>
      <c r="Q2345" s="122">
        <v>260</v>
      </c>
      <c r="R2345" s="122">
        <v>9492</v>
      </c>
      <c r="S2345" s="122">
        <v>8629</v>
      </c>
      <c r="T2345" s="122">
        <v>4665</v>
      </c>
      <c r="U2345" s="122">
        <v>1728</v>
      </c>
      <c r="V2345" s="122">
        <v>42963</v>
      </c>
      <c r="W2345" s="122">
        <f t="shared" si="74"/>
        <v>42963</v>
      </c>
      <c r="X2345" s="122">
        <f t="shared" si="75"/>
        <v>52618</v>
      </c>
      <c r="AI2345" s="66"/>
    </row>
    <row r="2346" spans="2:35" ht="13">
      <c r="B2346" t="s">
        <v>383</v>
      </c>
      <c r="C2346" t="s">
        <v>58</v>
      </c>
      <c r="D2346" t="s">
        <v>425</v>
      </c>
      <c r="E2346" t="s">
        <v>425</v>
      </c>
      <c r="F2346" s="122">
        <v>5</v>
      </c>
      <c r="G2346" s="122">
        <v>414</v>
      </c>
      <c r="H2346" s="122">
        <v>1279</v>
      </c>
      <c r="I2346" s="122">
        <v>55419</v>
      </c>
      <c r="J2346" s="122">
        <v>50381</v>
      </c>
      <c r="K2346" s="122">
        <v>77</v>
      </c>
      <c r="L2346" s="122">
        <v>13060</v>
      </c>
      <c r="M2346" s="122">
        <v>9075</v>
      </c>
      <c r="N2346" s="122">
        <v>9368</v>
      </c>
      <c r="O2346" s="122">
        <v>3470</v>
      </c>
      <c r="P2346" s="122">
        <v>2241</v>
      </c>
      <c r="Q2346" s="122">
        <v>830</v>
      </c>
      <c r="R2346" s="122">
        <v>21613</v>
      </c>
      <c r="S2346" s="122">
        <v>19648</v>
      </c>
      <c r="T2346" s="122">
        <v>4703</v>
      </c>
      <c r="U2346" s="122">
        <v>1742</v>
      </c>
      <c r="V2346" s="122">
        <v>85146</v>
      </c>
      <c r="W2346" s="122">
        <f t="shared" si="74"/>
        <v>85146</v>
      </c>
      <c r="X2346" s="122">
        <f t="shared" si="75"/>
        <v>106404</v>
      </c>
      <c r="AI2346" s="66"/>
    </row>
    <row r="2347" spans="2:35" ht="13">
      <c r="B2347" t="s">
        <v>383</v>
      </c>
      <c r="C2347" t="s">
        <v>58</v>
      </c>
      <c r="D2347" t="s">
        <v>405</v>
      </c>
      <c r="E2347" t="s">
        <v>405</v>
      </c>
      <c r="F2347" s="122">
        <v>7</v>
      </c>
      <c r="G2347" s="122">
        <v>708</v>
      </c>
      <c r="H2347" s="122">
        <v>1692</v>
      </c>
      <c r="I2347" s="122">
        <v>98470</v>
      </c>
      <c r="J2347" s="122">
        <v>89518</v>
      </c>
      <c r="K2347" s="122">
        <v>76</v>
      </c>
      <c r="L2347" s="122">
        <v>20190</v>
      </c>
      <c r="M2347" s="122">
        <v>18205</v>
      </c>
      <c r="N2347" s="122">
        <v>14455</v>
      </c>
      <c r="O2347" s="122">
        <v>5354</v>
      </c>
      <c r="P2347" s="122">
        <v>3659</v>
      </c>
      <c r="Q2347" s="122">
        <v>1355</v>
      </c>
      <c r="R2347" s="122">
        <v>35825</v>
      </c>
      <c r="S2347" s="122">
        <v>32568</v>
      </c>
      <c r="T2347" s="122">
        <v>6452</v>
      </c>
      <c r="U2347" s="122">
        <v>2389</v>
      </c>
      <c r="V2347" s="122">
        <v>149389</v>
      </c>
      <c r="W2347" s="122">
        <f t="shared" si="74"/>
        <v>149389</v>
      </c>
      <c r="X2347" s="122">
        <f t="shared" si="75"/>
        <v>179051</v>
      </c>
      <c r="AI2347" s="66"/>
    </row>
    <row r="2348" spans="2:35" ht="13">
      <c r="B2348" t="s">
        <v>383</v>
      </c>
      <c r="C2348" t="s">
        <v>58</v>
      </c>
      <c r="D2348" t="s">
        <v>137</v>
      </c>
      <c r="E2348" t="s">
        <v>137</v>
      </c>
      <c r="F2348" s="122">
        <v>206</v>
      </c>
      <c r="G2348" s="122">
        <v>19630</v>
      </c>
      <c r="H2348" s="122">
        <v>54268</v>
      </c>
      <c r="I2348" s="122">
        <v>2820940</v>
      </c>
      <c r="J2348" s="122">
        <v>1044793</v>
      </c>
      <c r="K2348" s="122">
        <v>100</v>
      </c>
      <c r="L2348" s="122">
        <v>449157</v>
      </c>
      <c r="M2348" s="122">
        <v>339616</v>
      </c>
      <c r="N2348" s="122">
        <v>410560</v>
      </c>
      <c r="O2348" s="122">
        <v>152059</v>
      </c>
      <c r="P2348" s="122">
        <v>10898</v>
      </c>
      <c r="Q2348" s="122">
        <v>4036</v>
      </c>
      <c r="R2348" s="122">
        <v>1474404</v>
      </c>
      <c r="S2348" s="122">
        <v>546076</v>
      </c>
      <c r="T2348" s="122">
        <v>2212</v>
      </c>
      <c r="U2348" s="122">
        <v>819</v>
      </c>
      <c r="V2348" s="122">
        <v>2087399</v>
      </c>
      <c r="W2348" s="122">
        <f t="shared" si="74"/>
        <v>2087399</v>
      </c>
      <c r="X2348" s="122">
        <f t="shared" si="75"/>
        <v>5168171</v>
      </c>
      <c r="AI2348" s="66"/>
    </row>
    <row r="2349" spans="2:35" ht="13">
      <c r="B2349" t="s">
        <v>383</v>
      </c>
      <c r="C2349" t="s">
        <v>58</v>
      </c>
      <c r="D2349" t="s">
        <v>137</v>
      </c>
      <c r="E2349" t="s">
        <v>427</v>
      </c>
      <c r="F2349" s="122">
        <v>1</v>
      </c>
      <c r="G2349" s="122">
        <v>81</v>
      </c>
      <c r="H2349" s="122">
        <v>265</v>
      </c>
      <c r="I2349" s="122">
        <v>10210</v>
      </c>
      <c r="J2349" s="122">
        <v>3781</v>
      </c>
      <c r="K2349" s="122">
        <v>100</v>
      </c>
      <c r="L2349" s="122">
        <v>2080</v>
      </c>
      <c r="M2349" s="122">
        <v>1891</v>
      </c>
      <c r="N2349" s="122">
        <v>1320</v>
      </c>
      <c r="O2349" s="122">
        <v>489</v>
      </c>
      <c r="P2349" s="122">
        <v>351</v>
      </c>
      <c r="Q2349" s="122">
        <v>130</v>
      </c>
      <c r="R2349" s="122">
        <v>5413</v>
      </c>
      <c r="S2349" s="122">
        <v>4921</v>
      </c>
      <c r="T2349" s="122">
        <v>2185</v>
      </c>
      <c r="U2349" s="122">
        <v>809</v>
      </c>
      <c r="V2349" s="122">
        <v>12022</v>
      </c>
      <c r="W2349" s="122">
        <f t="shared" si="74"/>
        <v>12021</v>
      </c>
      <c r="X2349" s="122">
        <f t="shared" si="75"/>
        <v>21559</v>
      </c>
      <c r="AI2349" s="66"/>
    </row>
    <row r="2350" spans="2:35" ht="13">
      <c r="B2350" t="s">
        <v>383</v>
      </c>
      <c r="C2350" t="s">
        <v>58</v>
      </c>
      <c r="D2350" t="s">
        <v>137</v>
      </c>
      <c r="E2350" t="s">
        <v>426</v>
      </c>
      <c r="F2350" s="122">
        <v>2</v>
      </c>
      <c r="G2350" s="122">
        <v>152</v>
      </c>
      <c r="H2350" s="122">
        <v>565</v>
      </c>
      <c r="I2350" s="122">
        <v>24545</v>
      </c>
      <c r="J2350" s="122">
        <v>9091</v>
      </c>
      <c r="K2350" s="122">
        <v>100</v>
      </c>
      <c r="L2350" s="122">
        <v>4088</v>
      </c>
      <c r="M2350" s="122">
        <v>3717</v>
      </c>
      <c r="N2350" s="122">
        <v>2573</v>
      </c>
      <c r="O2350" s="122">
        <v>953</v>
      </c>
      <c r="P2350" s="122">
        <v>351</v>
      </c>
      <c r="Q2350" s="122">
        <v>130</v>
      </c>
      <c r="R2350" s="122">
        <v>9696</v>
      </c>
      <c r="S2350" s="122">
        <v>8814</v>
      </c>
      <c r="T2350" s="122">
        <v>1665</v>
      </c>
      <c r="U2350" s="122">
        <v>617</v>
      </c>
      <c r="V2350" s="122">
        <v>23321</v>
      </c>
      <c r="W2350" s="122">
        <f t="shared" si="74"/>
        <v>23322</v>
      </c>
      <c r="X2350" s="122">
        <f t="shared" si="75"/>
        <v>42918</v>
      </c>
      <c r="AI2350" s="66"/>
    </row>
    <row r="2351" spans="2:35" ht="13">
      <c r="B2351" t="s">
        <v>383</v>
      </c>
      <c r="C2351" t="s">
        <v>58</v>
      </c>
      <c r="D2351" t="s">
        <v>406</v>
      </c>
      <c r="E2351" t="s">
        <v>137</v>
      </c>
      <c r="F2351" s="122">
        <v>13</v>
      </c>
      <c r="G2351" s="122">
        <v>1013</v>
      </c>
      <c r="H2351" s="122">
        <v>3436</v>
      </c>
      <c r="I2351" s="122">
        <v>143993</v>
      </c>
      <c r="J2351" s="122">
        <v>130903</v>
      </c>
      <c r="K2351" s="122">
        <v>78</v>
      </c>
      <c r="L2351" s="122">
        <v>20140</v>
      </c>
      <c r="M2351" s="122">
        <v>23987</v>
      </c>
      <c r="N2351" s="122">
        <v>22968</v>
      </c>
      <c r="O2351" s="122">
        <v>8507</v>
      </c>
      <c r="P2351" s="122">
        <v>8073</v>
      </c>
      <c r="Q2351" s="122">
        <v>2990</v>
      </c>
      <c r="R2351" s="122">
        <v>72914</v>
      </c>
      <c r="S2351" s="122">
        <v>27005</v>
      </c>
      <c r="T2351" s="122">
        <v>0</v>
      </c>
      <c r="U2351" s="122">
        <v>0</v>
      </c>
      <c r="V2351" s="122">
        <v>193392</v>
      </c>
      <c r="W2351" s="122">
        <f t="shared" si="74"/>
        <v>193392</v>
      </c>
      <c r="X2351" s="122">
        <f t="shared" si="75"/>
        <v>268088</v>
      </c>
      <c r="AI2351" s="66"/>
    </row>
    <row r="2352" spans="2:35" ht="13">
      <c r="B2352" t="s">
        <v>383</v>
      </c>
      <c r="C2352" t="s">
        <v>58</v>
      </c>
      <c r="D2352" t="s">
        <v>406</v>
      </c>
      <c r="E2352" t="s">
        <v>406</v>
      </c>
      <c r="F2352" s="122">
        <v>1868</v>
      </c>
      <c r="G2352" s="122">
        <v>163546</v>
      </c>
      <c r="H2352" s="122">
        <v>482747</v>
      </c>
      <c r="I2352" s="122">
        <v>22047576</v>
      </c>
      <c r="J2352" s="122">
        <v>20043251</v>
      </c>
      <c r="K2352" s="122">
        <v>81</v>
      </c>
      <c r="L2352" s="122">
        <v>4828798</v>
      </c>
      <c r="M2352" s="122">
        <v>4221127</v>
      </c>
      <c r="N2352" s="122">
        <v>3385319</v>
      </c>
      <c r="O2352" s="122">
        <v>1253822</v>
      </c>
      <c r="P2352" s="122">
        <v>1175216</v>
      </c>
      <c r="Q2352" s="122">
        <v>435265</v>
      </c>
      <c r="R2352" s="122">
        <v>8311545</v>
      </c>
      <c r="S2352" s="122">
        <v>7555950</v>
      </c>
      <c r="T2352" s="122">
        <v>2786445</v>
      </c>
      <c r="U2352" s="122">
        <v>1032017</v>
      </c>
      <c r="V2352" s="122">
        <v>34541432</v>
      </c>
      <c r="W2352" s="122">
        <f t="shared" si="74"/>
        <v>34541432</v>
      </c>
      <c r="X2352" s="122">
        <f t="shared" si="75"/>
        <v>42534899</v>
      </c>
      <c r="AI2352" s="66"/>
    </row>
    <row r="2353" spans="2:35" ht="13">
      <c r="B2353" t="s">
        <v>383</v>
      </c>
      <c r="C2353" t="s">
        <v>58</v>
      </c>
      <c r="D2353" t="s">
        <v>406</v>
      </c>
      <c r="E2353" t="s">
        <v>427</v>
      </c>
      <c r="F2353" s="122">
        <v>3</v>
      </c>
      <c r="G2353" s="122">
        <v>268</v>
      </c>
      <c r="H2353" s="122">
        <v>741</v>
      </c>
      <c r="I2353" s="122">
        <v>36329</v>
      </c>
      <c r="J2353" s="122">
        <v>33027</v>
      </c>
      <c r="K2353" s="122">
        <v>70</v>
      </c>
      <c r="L2353" s="122">
        <v>7066</v>
      </c>
      <c r="M2353" s="122">
        <v>6424</v>
      </c>
      <c r="N2353" s="122">
        <v>5175</v>
      </c>
      <c r="O2353" s="122">
        <v>1917</v>
      </c>
      <c r="P2353" s="122">
        <v>1863</v>
      </c>
      <c r="Q2353" s="122">
        <v>690</v>
      </c>
      <c r="R2353" s="122">
        <v>13144</v>
      </c>
      <c r="S2353" s="122">
        <v>11949</v>
      </c>
      <c r="T2353" s="122">
        <v>2579</v>
      </c>
      <c r="U2353" s="122">
        <v>955</v>
      </c>
      <c r="V2353" s="122">
        <v>54962</v>
      </c>
      <c r="W2353" s="122">
        <f t="shared" si="74"/>
        <v>54962</v>
      </c>
      <c r="X2353" s="122">
        <f t="shared" si="75"/>
        <v>66156</v>
      </c>
      <c r="AI2353" s="66"/>
    </row>
    <row r="2354" spans="2:35" ht="13">
      <c r="B2354" t="s">
        <v>383</v>
      </c>
      <c r="C2354" t="s">
        <v>58</v>
      </c>
      <c r="D2354" t="s">
        <v>406</v>
      </c>
      <c r="E2354" t="s">
        <v>426</v>
      </c>
      <c r="F2354" s="122">
        <v>3</v>
      </c>
      <c r="G2354" s="122">
        <v>227</v>
      </c>
      <c r="H2354" s="122">
        <v>804</v>
      </c>
      <c r="I2354" s="122">
        <v>27447</v>
      </c>
      <c r="J2354" s="122">
        <v>24952</v>
      </c>
      <c r="K2354" s="122">
        <v>80</v>
      </c>
      <c r="L2354" s="122">
        <v>5018</v>
      </c>
      <c r="M2354" s="122">
        <v>4561</v>
      </c>
      <c r="N2354" s="122">
        <v>5179</v>
      </c>
      <c r="O2354" s="122">
        <v>1918</v>
      </c>
      <c r="P2354" s="122">
        <v>1863</v>
      </c>
      <c r="Q2354" s="122">
        <v>690</v>
      </c>
      <c r="R2354" s="122">
        <v>16941</v>
      </c>
      <c r="S2354" s="122">
        <v>15401</v>
      </c>
      <c r="T2354" s="122">
        <v>4263</v>
      </c>
      <c r="U2354" s="122">
        <v>1579</v>
      </c>
      <c r="V2354" s="122">
        <v>49101</v>
      </c>
      <c r="W2354" s="122">
        <f t="shared" si="74"/>
        <v>49101</v>
      </c>
      <c r="X2354" s="122">
        <f t="shared" si="75"/>
        <v>60711</v>
      </c>
      <c r="AI2354" s="66"/>
    </row>
    <row r="2355" spans="2:35" ht="13">
      <c r="B2355" t="s">
        <v>383</v>
      </c>
      <c r="C2355" t="s">
        <v>58</v>
      </c>
      <c r="D2355" t="s">
        <v>427</v>
      </c>
      <c r="E2355" t="s">
        <v>406</v>
      </c>
      <c r="F2355" s="122">
        <v>1</v>
      </c>
      <c r="G2355" s="122">
        <v>121</v>
      </c>
      <c r="H2355" s="122">
        <v>227</v>
      </c>
      <c r="I2355" s="122">
        <v>12990</v>
      </c>
      <c r="J2355" s="122">
        <v>11810</v>
      </c>
      <c r="K2355" s="122">
        <v>79</v>
      </c>
      <c r="L2355" s="122">
        <v>3608</v>
      </c>
      <c r="M2355" s="122">
        <v>3280</v>
      </c>
      <c r="N2355" s="122">
        <v>2940</v>
      </c>
      <c r="O2355" s="122">
        <v>1089</v>
      </c>
      <c r="P2355" s="122">
        <v>621</v>
      </c>
      <c r="Q2355" s="122">
        <v>230</v>
      </c>
      <c r="R2355" s="122">
        <v>4352</v>
      </c>
      <c r="S2355" s="122">
        <v>3956</v>
      </c>
      <c r="T2355" s="122">
        <v>2861</v>
      </c>
      <c r="U2355" s="122">
        <v>1060</v>
      </c>
      <c r="V2355" s="122">
        <v>21425</v>
      </c>
      <c r="W2355" s="122">
        <f t="shared" si="74"/>
        <v>21425</v>
      </c>
      <c r="X2355" s="122">
        <f t="shared" si="75"/>
        <v>27372</v>
      </c>
      <c r="AI2355" s="66"/>
    </row>
    <row r="2356" spans="2:35" ht="13">
      <c r="B2356" t="s">
        <v>383</v>
      </c>
      <c r="C2356" t="s">
        <v>58</v>
      </c>
      <c r="D2356" t="s">
        <v>427</v>
      </c>
      <c r="E2356" t="s">
        <v>427</v>
      </c>
      <c r="F2356" s="122">
        <v>16</v>
      </c>
      <c r="G2356" s="122">
        <v>1238</v>
      </c>
      <c r="H2356" s="122">
        <v>4471</v>
      </c>
      <c r="I2356" s="122">
        <v>180545</v>
      </c>
      <c r="J2356" s="122">
        <v>164131</v>
      </c>
      <c r="K2356" s="122">
        <v>59</v>
      </c>
      <c r="L2356" s="122">
        <v>18710</v>
      </c>
      <c r="M2356" s="122">
        <v>10493</v>
      </c>
      <c r="N2356" s="122">
        <v>24255</v>
      </c>
      <c r="O2356" s="122">
        <v>8983</v>
      </c>
      <c r="P2356" s="122">
        <v>5535</v>
      </c>
      <c r="Q2356" s="122">
        <v>2050</v>
      </c>
      <c r="R2356" s="122">
        <v>86708</v>
      </c>
      <c r="S2356" s="122">
        <v>78825</v>
      </c>
      <c r="T2356" s="122">
        <v>29149</v>
      </c>
      <c r="U2356" s="122">
        <v>10796</v>
      </c>
      <c r="V2356" s="122">
        <v>275280</v>
      </c>
      <c r="W2356" s="122">
        <f t="shared" si="74"/>
        <v>275278</v>
      </c>
      <c r="X2356" s="122">
        <f t="shared" si="75"/>
        <v>344902</v>
      </c>
      <c r="AI2356" s="66"/>
    </row>
    <row r="2357" spans="2:35" ht="13">
      <c r="B2357" t="s">
        <v>383</v>
      </c>
      <c r="C2357" t="s">
        <v>58</v>
      </c>
      <c r="D2357" t="s">
        <v>407</v>
      </c>
      <c r="E2357" t="s">
        <v>137</v>
      </c>
      <c r="F2357" s="122">
        <v>2</v>
      </c>
      <c r="G2357" s="122">
        <v>143</v>
      </c>
      <c r="H2357" s="122">
        <v>498</v>
      </c>
      <c r="I2357" s="122">
        <v>14462</v>
      </c>
      <c r="J2357" s="122">
        <v>13148</v>
      </c>
      <c r="K2357" s="122">
        <v>72</v>
      </c>
      <c r="L2357" s="122">
        <v>3252</v>
      </c>
      <c r="M2357" s="122">
        <v>2259</v>
      </c>
      <c r="N2357" s="122">
        <v>3150</v>
      </c>
      <c r="O2357" s="122">
        <v>1166</v>
      </c>
      <c r="P2357" s="122">
        <v>824</v>
      </c>
      <c r="Q2357" s="122">
        <v>305</v>
      </c>
      <c r="R2357" s="122">
        <v>13893</v>
      </c>
      <c r="S2357" s="122">
        <v>5145</v>
      </c>
      <c r="T2357" s="122">
        <v>0</v>
      </c>
      <c r="U2357" s="122">
        <v>0</v>
      </c>
      <c r="V2357" s="122">
        <v>22023</v>
      </c>
      <c r="W2357" s="122">
        <f t="shared" si="74"/>
        <v>22023</v>
      </c>
      <c r="X2357" s="122">
        <f t="shared" si="75"/>
        <v>35581</v>
      </c>
      <c r="AI2357" s="66"/>
    </row>
    <row r="2358" spans="2:35" ht="13">
      <c r="B2358" t="s">
        <v>383</v>
      </c>
      <c r="C2358" t="s">
        <v>58</v>
      </c>
      <c r="D2358" t="s">
        <v>407</v>
      </c>
      <c r="E2358" t="s">
        <v>407</v>
      </c>
      <c r="F2358" s="122">
        <v>812</v>
      </c>
      <c r="G2358" s="122">
        <v>70856</v>
      </c>
      <c r="H2358" s="122">
        <v>207185</v>
      </c>
      <c r="I2358" s="122">
        <v>9231459</v>
      </c>
      <c r="J2358" s="122">
        <v>8392235</v>
      </c>
      <c r="K2358" s="122">
        <v>77</v>
      </c>
      <c r="L2358" s="122">
        <v>2012013</v>
      </c>
      <c r="M2358" s="122">
        <v>1749521</v>
      </c>
      <c r="N2358" s="122">
        <v>1440709</v>
      </c>
      <c r="O2358" s="122">
        <v>533596</v>
      </c>
      <c r="P2358" s="122">
        <v>378459</v>
      </c>
      <c r="Q2358" s="122">
        <v>140170</v>
      </c>
      <c r="R2358" s="122">
        <v>3953832</v>
      </c>
      <c r="S2358" s="122">
        <v>3594393</v>
      </c>
      <c r="T2358" s="122">
        <v>1085943</v>
      </c>
      <c r="U2358" s="122">
        <v>402201</v>
      </c>
      <c r="V2358" s="122">
        <v>14812116</v>
      </c>
      <c r="W2358" s="122">
        <f t="shared" si="74"/>
        <v>14812116</v>
      </c>
      <c r="X2358" s="122">
        <f t="shared" si="75"/>
        <v>18102415</v>
      </c>
      <c r="AI2358" s="66"/>
    </row>
    <row r="2359" spans="2:35" ht="13">
      <c r="B2359" t="s">
        <v>383</v>
      </c>
      <c r="C2359" t="s">
        <v>58</v>
      </c>
      <c r="D2359" t="s">
        <v>407</v>
      </c>
      <c r="E2359" t="s">
        <v>556</v>
      </c>
      <c r="F2359" s="122">
        <v>1</v>
      </c>
      <c r="G2359" s="122">
        <v>90</v>
      </c>
      <c r="H2359" s="122">
        <v>260</v>
      </c>
      <c r="I2359" s="122">
        <v>12827</v>
      </c>
      <c r="J2359" s="122">
        <v>11661</v>
      </c>
      <c r="K2359" s="122">
        <v>79</v>
      </c>
      <c r="L2359" s="122">
        <v>3753</v>
      </c>
      <c r="M2359" s="122">
        <v>3412</v>
      </c>
      <c r="N2359" s="122">
        <v>1376</v>
      </c>
      <c r="O2359" s="122">
        <v>510</v>
      </c>
      <c r="P2359" s="122">
        <v>473</v>
      </c>
      <c r="Q2359" s="122">
        <v>175</v>
      </c>
      <c r="R2359" s="122">
        <v>5020</v>
      </c>
      <c r="S2359" s="122">
        <v>4184</v>
      </c>
      <c r="T2359" s="122">
        <v>0</v>
      </c>
      <c r="U2359" s="122">
        <v>0</v>
      </c>
      <c r="V2359" s="122">
        <v>19941</v>
      </c>
      <c r="W2359" s="122">
        <f t="shared" si="74"/>
        <v>19942</v>
      </c>
      <c r="X2359" s="122">
        <f t="shared" si="75"/>
        <v>23449</v>
      </c>
      <c r="AI2359" s="66"/>
    </row>
    <row r="2360" spans="2:35" ht="13">
      <c r="B2360" t="s">
        <v>383</v>
      </c>
      <c r="C2360" t="s">
        <v>58</v>
      </c>
      <c r="D2360" t="s">
        <v>556</v>
      </c>
      <c r="E2360" t="s">
        <v>137</v>
      </c>
      <c r="F2360" s="122">
        <v>2</v>
      </c>
      <c r="G2360" s="122">
        <v>203</v>
      </c>
      <c r="H2360" s="122">
        <v>505</v>
      </c>
      <c r="I2360" s="122">
        <v>25459</v>
      </c>
      <c r="J2360" s="122">
        <v>21216</v>
      </c>
      <c r="K2360" s="122">
        <v>72</v>
      </c>
      <c r="L2360" s="122">
        <v>6947</v>
      </c>
      <c r="M2360" s="122">
        <v>5789</v>
      </c>
      <c r="N2360" s="122">
        <v>2796</v>
      </c>
      <c r="O2360" s="122">
        <v>1036</v>
      </c>
      <c r="P2360" s="122">
        <v>351</v>
      </c>
      <c r="Q2360" s="122">
        <v>130</v>
      </c>
      <c r="R2360" s="122">
        <v>15683</v>
      </c>
      <c r="S2360" s="122">
        <v>5809</v>
      </c>
      <c r="T2360" s="122">
        <v>0</v>
      </c>
      <c r="U2360" s="122">
        <v>0</v>
      </c>
      <c r="V2360" s="122">
        <v>33980</v>
      </c>
      <c r="W2360" s="122">
        <f t="shared" si="74"/>
        <v>33980</v>
      </c>
      <c r="X2360" s="122">
        <f t="shared" si="75"/>
        <v>51236</v>
      </c>
      <c r="AI2360" s="66"/>
    </row>
    <row r="2361" spans="2:35" ht="13">
      <c r="B2361" t="s">
        <v>383</v>
      </c>
      <c r="C2361" t="s">
        <v>58</v>
      </c>
      <c r="D2361" t="s">
        <v>556</v>
      </c>
      <c r="E2361" t="s">
        <v>556</v>
      </c>
      <c r="F2361" s="122">
        <v>19</v>
      </c>
      <c r="G2361" s="122">
        <v>1638</v>
      </c>
      <c r="H2361" s="122">
        <v>5179</v>
      </c>
      <c r="I2361" s="122">
        <v>250185</v>
      </c>
      <c r="J2361" s="122">
        <v>208487</v>
      </c>
      <c r="K2361" s="122">
        <v>65</v>
      </c>
      <c r="L2361" s="122">
        <v>18260</v>
      </c>
      <c r="M2361" s="122">
        <v>15609</v>
      </c>
      <c r="N2361" s="122">
        <v>32022</v>
      </c>
      <c r="O2361" s="122">
        <v>11860</v>
      </c>
      <c r="P2361" s="122">
        <v>7061</v>
      </c>
      <c r="Q2361" s="122">
        <v>2615</v>
      </c>
      <c r="R2361" s="122">
        <v>109716</v>
      </c>
      <c r="S2361" s="122">
        <v>91430</v>
      </c>
      <c r="T2361" s="122">
        <v>27632</v>
      </c>
      <c r="U2361" s="122">
        <v>10234</v>
      </c>
      <c r="V2361" s="122">
        <v>340236</v>
      </c>
      <c r="W2361" s="122">
        <f t="shared" si="74"/>
        <v>340235</v>
      </c>
      <c r="X2361" s="122">
        <f t="shared" si="75"/>
        <v>444876</v>
      </c>
      <c r="AI2361" s="66"/>
    </row>
    <row r="2362" spans="2:35" ht="13">
      <c r="B2362" t="s">
        <v>383</v>
      </c>
      <c r="C2362" t="s">
        <v>58</v>
      </c>
      <c r="D2362" t="s">
        <v>428</v>
      </c>
      <c r="E2362" t="s">
        <v>428</v>
      </c>
      <c r="F2362" s="122">
        <v>1</v>
      </c>
      <c r="G2362" s="122">
        <v>96</v>
      </c>
      <c r="H2362" s="122">
        <v>260</v>
      </c>
      <c r="I2362" s="122">
        <v>12307</v>
      </c>
      <c r="J2362" s="122">
        <v>11188</v>
      </c>
      <c r="K2362" s="122">
        <v>60</v>
      </c>
      <c r="L2362" s="122">
        <v>2735</v>
      </c>
      <c r="M2362" s="122">
        <v>2486</v>
      </c>
      <c r="N2362" s="122">
        <v>1629</v>
      </c>
      <c r="O2362" s="122">
        <v>604</v>
      </c>
      <c r="P2362" s="122">
        <v>351</v>
      </c>
      <c r="Q2362" s="122">
        <v>130</v>
      </c>
      <c r="R2362" s="122">
        <v>7847</v>
      </c>
      <c r="S2362" s="122">
        <v>7134</v>
      </c>
      <c r="T2362" s="122">
        <v>0</v>
      </c>
      <c r="U2362" s="122">
        <v>0</v>
      </c>
      <c r="V2362" s="122">
        <v>21542</v>
      </c>
      <c r="W2362" s="122">
        <f t="shared" si="74"/>
        <v>21542</v>
      </c>
      <c r="X2362" s="122">
        <f t="shared" si="75"/>
        <v>24869</v>
      </c>
      <c r="AI2362" s="66"/>
    </row>
    <row r="2363" spans="2:35" ht="13">
      <c r="B2363" t="s">
        <v>383</v>
      </c>
      <c r="C2363" t="s">
        <v>58</v>
      </c>
      <c r="D2363" t="s">
        <v>431</v>
      </c>
      <c r="E2363" t="s">
        <v>431</v>
      </c>
      <c r="F2363" s="122">
        <v>12</v>
      </c>
      <c r="G2363" s="122">
        <v>974</v>
      </c>
      <c r="H2363" s="122">
        <v>3472</v>
      </c>
      <c r="I2363" s="122">
        <v>170219</v>
      </c>
      <c r="J2363" s="122">
        <v>154744</v>
      </c>
      <c r="K2363" s="122">
        <v>56</v>
      </c>
      <c r="L2363" s="122">
        <v>20190</v>
      </c>
      <c r="M2363" s="122">
        <v>18355</v>
      </c>
      <c r="N2363" s="122">
        <v>12569</v>
      </c>
      <c r="O2363" s="122">
        <v>4655</v>
      </c>
      <c r="P2363" s="122">
        <v>3861</v>
      </c>
      <c r="Q2363" s="122">
        <v>1430</v>
      </c>
      <c r="R2363" s="122">
        <v>48917</v>
      </c>
      <c r="S2363" s="122">
        <v>44470</v>
      </c>
      <c r="T2363" s="122">
        <v>26175</v>
      </c>
      <c r="U2363" s="122">
        <v>9695</v>
      </c>
      <c r="V2363" s="122">
        <v>233349</v>
      </c>
      <c r="W2363" s="122">
        <f t="shared" si="74"/>
        <v>233349</v>
      </c>
      <c r="X2363" s="122">
        <f t="shared" si="75"/>
        <v>281931</v>
      </c>
      <c r="AI2363" s="66"/>
    </row>
    <row r="2364" spans="2:35" ht="13">
      <c r="B2364" t="s">
        <v>383</v>
      </c>
      <c r="C2364" t="s">
        <v>58</v>
      </c>
      <c r="D2364" t="s">
        <v>426</v>
      </c>
      <c r="E2364" t="s">
        <v>137</v>
      </c>
      <c r="F2364" s="122">
        <v>13</v>
      </c>
      <c r="G2364" s="122">
        <v>961</v>
      </c>
      <c r="H2364" s="122">
        <v>3616</v>
      </c>
      <c r="I2364" s="122">
        <v>104143</v>
      </c>
      <c r="J2364" s="122">
        <v>94676</v>
      </c>
      <c r="K2364" s="122">
        <v>70</v>
      </c>
      <c r="L2364" s="122">
        <v>31501</v>
      </c>
      <c r="M2364" s="122">
        <v>14876</v>
      </c>
      <c r="N2364" s="122">
        <v>19505</v>
      </c>
      <c r="O2364" s="122">
        <v>7224</v>
      </c>
      <c r="P2364" s="122">
        <v>4212</v>
      </c>
      <c r="Q2364" s="122">
        <v>1560</v>
      </c>
      <c r="R2364" s="122">
        <v>105826</v>
      </c>
      <c r="S2364" s="122">
        <v>39195</v>
      </c>
      <c r="T2364" s="122">
        <v>0</v>
      </c>
      <c r="U2364" s="122">
        <v>0</v>
      </c>
      <c r="V2364" s="122">
        <v>157531</v>
      </c>
      <c r="W2364" s="122">
        <f t="shared" si="74"/>
        <v>157531</v>
      </c>
      <c r="X2364" s="122">
        <f t="shared" si="75"/>
        <v>265187</v>
      </c>
      <c r="AI2364" s="66"/>
    </row>
    <row r="2365" spans="2:35" ht="13">
      <c r="B2365" t="s">
        <v>383</v>
      </c>
      <c r="C2365" t="s">
        <v>58</v>
      </c>
      <c r="D2365" t="s">
        <v>426</v>
      </c>
      <c r="E2365" t="s">
        <v>406</v>
      </c>
      <c r="F2365" s="122">
        <v>2</v>
      </c>
      <c r="G2365" s="122">
        <v>185</v>
      </c>
      <c r="H2365" s="122">
        <v>560</v>
      </c>
      <c r="I2365" s="122">
        <v>34568</v>
      </c>
      <c r="J2365" s="122">
        <v>31425</v>
      </c>
      <c r="K2365" s="122">
        <v>68</v>
      </c>
      <c r="L2365" s="122">
        <v>0</v>
      </c>
      <c r="M2365" s="122">
        <v>2020</v>
      </c>
      <c r="N2365" s="122">
        <v>3447</v>
      </c>
      <c r="O2365" s="122">
        <v>1277</v>
      </c>
      <c r="P2365" s="122">
        <v>972</v>
      </c>
      <c r="Q2365" s="122">
        <v>360</v>
      </c>
      <c r="R2365" s="122">
        <v>8474</v>
      </c>
      <c r="S2365" s="122">
        <v>7703</v>
      </c>
      <c r="T2365" s="122">
        <v>4573</v>
      </c>
      <c r="U2365" s="122">
        <v>1694</v>
      </c>
      <c r="V2365" s="122">
        <v>44479</v>
      </c>
      <c r="W2365" s="122">
        <f t="shared" si="74"/>
        <v>44479</v>
      </c>
      <c r="X2365" s="122">
        <f t="shared" si="75"/>
        <v>52034</v>
      </c>
      <c r="AI2365" s="66"/>
    </row>
    <row r="2366" spans="2:35" ht="13">
      <c r="B2366" t="s">
        <v>383</v>
      </c>
      <c r="C2366" t="s">
        <v>58</v>
      </c>
      <c r="D2366" t="s">
        <v>426</v>
      </c>
      <c r="E2366" t="s">
        <v>426</v>
      </c>
      <c r="F2366" s="122">
        <v>230</v>
      </c>
      <c r="G2366" s="122">
        <v>19529</v>
      </c>
      <c r="H2366" s="122">
        <v>61372</v>
      </c>
      <c r="I2366" s="122">
        <v>2742772</v>
      </c>
      <c r="J2366" s="122">
        <v>2493429</v>
      </c>
      <c r="K2366" s="122">
        <v>63</v>
      </c>
      <c r="L2366" s="122">
        <v>420930</v>
      </c>
      <c r="M2366" s="122">
        <v>354584</v>
      </c>
      <c r="N2366" s="122">
        <v>362979</v>
      </c>
      <c r="O2366" s="122">
        <v>134437</v>
      </c>
      <c r="P2366" s="122">
        <v>81068</v>
      </c>
      <c r="Q2366" s="122">
        <v>30025</v>
      </c>
      <c r="R2366" s="122">
        <v>1099696</v>
      </c>
      <c r="S2366" s="122">
        <v>999724</v>
      </c>
      <c r="T2366" s="122">
        <v>531954</v>
      </c>
      <c r="U2366" s="122">
        <v>197020</v>
      </c>
      <c r="V2366" s="122">
        <v>4209218</v>
      </c>
      <c r="W2366" s="122">
        <f t="shared" si="74"/>
        <v>4209219</v>
      </c>
      <c r="X2366" s="122">
        <f t="shared" si="75"/>
        <v>5239399</v>
      </c>
      <c r="AI2366" s="66"/>
    </row>
    <row r="2367" spans="2:35" ht="13">
      <c r="B2367" t="s">
        <v>383</v>
      </c>
      <c r="C2367" t="s">
        <v>58</v>
      </c>
      <c r="D2367" t="s">
        <v>433</v>
      </c>
      <c r="E2367" t="s">
        <v>433</v>
      </c>
      <c r="F2367" s="122">
        <v>7</v>
      </c>
      <c r="G2367" s="122">
        <v>575</v>
      </c>
      <c r="H2367" s="122">
        <v>1879</v>
      </c>
      <c r="I2367" s="122">
        <v>89945</v>
      </c>
      <c r="J2367" s="122">
        <v>81768</v>
      </c>
      <c r="K2367" s="122">
        <v>64</v>
      </c>
      <c r="L2367" s="122">
        <v>5810</v>
      </c>
      <c r="M2367" s="122">
        <v>5282</v>
      </c>
      <c r="N2367" s="122">
        <v>10106</v>
      </c>
      <c r="O2367" s="122">
        <v>3743</v>
      </c>
      <c r="P2367" s="122">
        <v>2457</v>
      </c>
      <c r="Q2367" s="122">
        <v>910</v>
      </c>
      <c r="R2367" s="122">
        <v>32816</v>
      </c>
      <c r="S2367" s="122">
        <v>29833</v>
      </c>
      <c r="T2367" s="122">
        <v>12642</v>
      </c>
      <c r="U2367" s="122">
        <v>4682</v>
      </c>
      <c r="V2367" s="122">
        <v>126219</v>
      </c>
      <c r="W2367" s="122">
        <f t="shared" si="74"/>
        <v>126218</v>
      </c>
      <c r="X2367" s="122">
        <f t="shared" si="75"/>
        <v>153776</v>
      </c>
      <c r="AI2367" s="66"/>
    </row>
    <row r="2368" spans="2:35" ht="13">
      <c r="B2368" t="s">
        <v>383</v>
      </c>
      <c r="C2368" t="s">
        <v>58</v>
      </c>
      <c r="D2368" t="s">
        <v>408</v>
      </c>
      <c r="E2368" t="s">
        <v>408</v>
      </c>
      <c r="F2368" s="122">
        <v>2</v>
      </c>
      <c r="G2368" s="122">
        <v>167</v>
      </c>
      <c r="H2368" s="122">
        <v>525</v>
      </c>
      <c r="I2368" s="122">
        <v>25721</v>
      </c>
      <c r="J2368" s="122">
        <v>23382</v>
      </c>
      <c r="K2368" s="122">
        <v>75</v>
      </c>
      <c r="L2368" s="122">
        <v>3196</v>
      </c>
      <c r="M2368" s="122">
        <v>2906</v>
      </c>
      <c r="N2368" s="122">
        <v>2262</v>
      </c>
      <c r="O2368" s="122">
        <v>838</v>
      </c>
      <c r="P2368" s="122">
        <v>1053</v>
      </c>
      <c r="Q2368" s="122">
        <v>390</v>
      </c>
      <c r="R2368" s="122">
        <v>6509</v>
      </c>
      <c r="S2368" s="122">
        <v>5918</v>
      </c>
      <c r="T2368" s="122">
        <v>4689</v>
      </c>
      <c r="U2368" s="122">
        <v>1737</v>
      </c>
      <c r="V2368" s="122">
        <v>35170</v>
      </c>
      <c r="W2368" s="122">
        <f t="shared" si="74"/>
        <v>35171</v>
      </c>
      <c r="X2368" s="122">
        <f t="shared" si="75"/>
        <v>43430</v>
      </c>
      <c r="AI2368" s="66"/>
    </row>
    <row r="2369" spans="2:35" ht="13">
      <c r="B2369" t="s">
        <v>383</v>
      </c>
      <c r="C2369" t="s">
        <v>58</v>
      </c>
      <c r="D2369" t="s">
        <v>408</v>
      </c>
      <c r="E2369" t="s">
        <v>429</v>
      </c>
      <c r="F2369" s="122">
        <v>1</v>
      </c>
      <c r="G2369" s="122">
        <v>60</v>
      </c>
      <c r="H2369" s="122">
        <v>269</v>
      </c>
      <c r="I2369" s="122">
        <v>13756</v>
      </c>
      <c r="J2369" s="122">
        <v>12506</v>
      </c>
      <c r="K2369" s="122">
        <v>65</v>
      </c>
      <c r="L2369" s="122">
        <v>3312</v>
      </c>
      <c r="M2369" s="122">
        <v>3011</v>
      </c>
      <c r="N2369" s="122">
        <v>2425</v>
      </c>
      <c r="O2369" s="122">
        <v>898</v>
      </c>
      <c r="P2369" s="122">
        <v>621</v>
      </c>
      <c r="Q2369" s="122">
        <v>230</v>
      </c>
      <c r="R2369" s="122">
        <v>6663</v>
      </c>
      <c r="S2369" s="122">
        <v>6057</v>
      </c>
      <c r="T2369" s="122">
        <v>0</v>
      </c>
      <c r="U2369" s="122">
        <v>0</v>
      </c>
      <c r="V2369" s="122">
        <v>22702</v>
      </c>
      <c r="W2369" s="122">
        <f t="shared" si="74"/>
        <v>22702</v>
      </c>
      <c r="X2369" s="122">
        <f t="shared" si="75"/>
        <v>26777</v>
      </c>
      <c r="AI2369" s="66"/>
    </row>
    <row r="2370" spans="2:35" ht="13">
      <c r="B2370" t="s">
        <v>383</v>
      </c>
      <c r="C2370" t="s">
        <v>60</v>
      </c>
      <c r="D2370" t="s">
        <v>425</v>
      </c>
      <c r="E2370" t="s">
        <v>425</v>
      </c>
      <c r="F2370" s="122">
        <v>2</v>
      </c>
      <c r="G2370" s="122">
        <v>178</v>
      </c>
      <c r="H2370" s="122">
        <v>654</v>
      </c>
      <c r="I2370" s="122">
        <v>51518</v>
      </c>
      <c r="J2370" s="122">
        <v>46835</v>
      </c>
      <c r="K2370" s="122">
        <v>88</v>
      </c>
      <c r="L2370" s="122">
        <v>7889</v>
      </c>
      <c r="M2370" s="122">
        <v>7172</v>
      </c>
      <c r="N2370" s="122">
        <v>4671</v>
      </c>
      <c r="O2370" s="122">
        <v>1730</v>
      </c>
      <c r="P2370" s="122">
        <v>1094</v>
      </c>
      <c r="Q2370" s="122">
        <v>405</v>
      </c>
      <c r="R2370" s="122">
        <v>7299</v>
      </c>
      <c r="S2370" s="122">
        <v>6635</v>
      </c>
      <c r="T2370" s="122">
        <v>5181</v>
      </c>
      <c r="U2370" s="122">
        <v>1919</v>
      </c>
      <c r="V2370" s="122">
        <v>64695</v>
      </c>
      <c r="W2370" s="122">
        <f t="shared" si="74"/>
        <v>64696</v>
      </c>
      <c r="X2370" s="122">
        <f t="shared" si="75"/>
        <v>77652</v>
      </c>
      <c r="AI2370" s="66"/>
    </row>
    <row r="2371" spans="2:35" ht="13">
      <c r="B2371" t="s">
        <v>383</v>
      </c>
      <c r="C2371" t="s">
        <v>60</v>
      </c>
      <c r="D2371" t="s">
        <v>425</v>
      </c>
      <c r="E2371" t="s">
        <v>406</v>
      </c>
      <c r="F2371" s="122">
        <v>2</v>
      </c>
      <c r="G2371" s="122">
        <v>309</v>
      </c>
      <c r="H2371" s="122">
        <v>629</v>
      </c>
      <c r="I2371" s="122">
        <v>60452</v>
      </c>
      <c r="J2371" s="122">
        <v>54956</v>
      </c>
      <c r="K2371" s="122">
        <v>85</v>
      </c>
      <c r="L2371" s="122">
        <v>15069</v>
      </c>
      <c r="M2371" s="122">
        <v>13699</v>
      </c>
      <c r="N2371" s="122">
        <v>7089</v>
      </c>
      <c r="O2371" s="122">
        <v>2626</v>
      </c>
      <c r="P2371" s="122">
        <v>1242</v>
      </c>
      <c r="Q2371" s="122">
        <v>460</v>
      </c>
      <c r="R2371" s="122">
        <v>13618</v>
      </c>
      <c r="S2371" s="122">
        <v>12380</v>
      </c>
      <c r="T2371" s="122">
        <v>0</v>
      </c>
      <c r="U2371" s="122">
        <v>0</v>
      </c>
      <c r="V2371" s="122">
        <v>84121</v>
      </c>
      <c r="W2371" s="122">
        <f t="shared" si="74"/>
        <v>84121</v>
      </c>
      <c r="X2371" s="122">
        <f t="shared" si="75"/>
        <v>97470</v>
      </c>
      <c r="AI2371" s="66"/>
    </row>
    <row r="2372" spans="2:35" ht="13">
      <c r="B2372" t="s">
        <v>383</v>
      </c>
      <c r="C2372" t="s">
        <v>60</v>
      </c>
      <c r="D2372" t="s">
        <v>405</v>
      </c>
      <c r="E2372" t="s">
        <v>405</v>
      </c>
      <c r="F2372" s="122">
        <v>3</v>
      </c>
      <c r="G2372" s="122">
        <v>263</v>
      </c>
      <c r="H2372" s="122">
        <v>1047</v>
      </c>
      <c r="I2372" s="122">
        <v>58755</v>
      </c>
      <c r="J2372" s="122">
        <v>53413</v>
      </c>
      <c r="K2372" s="122">
        <v>70</v>
      </c>
      <c r="L2372" s="122">
        <v>6833</v>
      </c>
      <c r="M2372" s="122">
        <v>6212</v>
      </c>
      <c r="N2372" s="122">
        <v>4785</v>
      </c>
      <c r="O2372" s="122">
        <v>1772</v>
      </c>
      <c r="P2372" s="122">
        <v>1296</v>
      </c>
      <c r="Q2372" s="122">
        <v>480</v>
      </c>
      <c r="R2372" s="122">
        <v>18510</v>
      </c>
      <c r="S2372" s="122">
        <v>16827</v>
      </c>
      <c r="T2372" s="122">
        <v>1972</v>
      </c>
      <c r="U2372" s="122">
        <v>730</v>
      </c>
      <c r="V2372" s="122">
        <v>79434</v>
      </c>
      <c r="W2372" s="122">
        <f t="shared" si="74"/>
        <v>79434</v>
      </c>
      <c r="X2372" s="122">
        <f t="shared" si="75"/>
        <v>92151</v>
      </c>
      <c r="AI2372" s="66"/>
    </row>
    <row r="2373" spans="2:35" ht="13">
      <c r="B2373" t="s">
        <v>383</v>
      </c>
      <c r="C2373" t="s">
        <v>60</v>
      </c>
      <c r="D2373" t="s">
        <v>137</v>
      </c>
      <c r="E2373" t="s">
        <v>137</v>
      </c>
      <c r="F2373" s="122">
        <v>144</v>
      </c>
      <c r="G2373" s="122">
        <v>11634</v>
      </c>
      <c r="H2373" s="122">
        <v>48793</v>
      </c>
      <c r="I2373" s="122">
        <v>2328884</v>
      </c>
      <c r="J2373" s="122">
        <v>862549</v>
      </c>
      <c r="K2373" s="122">
        <v>100</v>
      </c>
      <c r="L2373" s="122">
        <v>326037</v>
      </c>
      <c r="M2373" s="122">
        <v>247423</v>
      </c>
      <c r="N2373" s="122">
        <v>229787</v>
      </c>
      <c r="O2373" s="122">
        <v>85106</v>
      </c>
      <c r="P2373" s="122">
        <v>5967</v>
      </c>
      <c r="Q2373" s="122">
        <v>2210</v>
      </c>
      <c r="R2373" s="122">
        <v>1034499</v>
      </c>
      <c r="S2373" s="122">
        <v>383148</v>
      </c>
      <c r="T2373" s="122">
        <v>7488</v>
      </c>
      <c r="U2373" s="122">
        <v>2773</v>
      </c>
      <c r="V2373" s="122">
        <v>1583210</v>
      </c>
      <c r="W2373" s="122">
        <f t="shared" si="74"/>
        <v>1583209</v>
      </c>
      <c r="X2373" s="122">
        <f t="shared" si="75"/>
        <v>3932662</v>
      </c>
      <c r="AI2373" s="66"/>
    </row>
    <row r="2374" spans="2:35" ht="13">
      <c r="B2374" t="s">
        <v>383</v>
      </c>
      <c r="C2374" t="s">
        <v>60</v>
      </c>
      <c r="D2374" t="s">
        <v>137</v>
      </c>
      <c r="E2374" t="s">
        <v>427</v>
      </c>
      <c r="F2374" s="122">
        <v>3</v>
      </c>
      <c r="G2374" s="122">
        <v>215</v>
      </c>
      <c r="H2374" s="122">
        <v>1049</v>
      </c>
      <c r="I2374" s="122">
        <v>42066</v>
      </c>
      <c r="J2374" s="122">
        <v>15580</v>
      </c>
      <c r="K2374" s="122">
        <v>100</v>
      </c>
      <c r="L2374" s="122">
        <v>6707</v>
      </c>
      <c r="M2374" s="122">
        <v>6097</v>
      </c>
      <c r="N2374" s="122">
        <v>3793</v>
      </c>
      <c r="O2374" s="122">
        <v>1405</v>
      </c>
      <c r="P2374" s="122">
        <v>0</v>
      </c>
      <c r="Q2374" s="122">
        <v>0</v>
      </c>
      <c r="R2374" s="122">
        <v>17806</v>
      </c>
      <c r="S2374" s="122">
        <v>16188</v>
      </c>
      <c r="T2374" s="122">
        <v>4304</v>
      </c>
      <c r="U2374" s="122">
        <v>1594</v>
      </c>
      <c r="V2374" s="122">
        <v>40863</v>
      </c>
      <c r="W2374" s="122">
        <f t="shared" si="74"/>
        <v>40864</v>
      </c>
      <c r="X2374" s="122">
        <f t="shared" si="75"/>
        <v>74676</v>
      </c>
      <c r="AI2374" s="66"/>
    </row>
    <row r="2375" spans="2:35" ht="13">
      <c r="B2375" t="s">
        <v>383</v>
      </c>
      <c r="C2375" t="s">
        <v>60</v>
      </c>
      <c r="D2375" t="s">
        <v>137</v>
      </c>
      <c r="E2375" t="s">
        <v>426</v>
      </c>
      <c r="F2375" s="122">
        <v>6</v>
      </c>
      <c r="G2375" s="122">
        <v>482</v>
      </c>
      <c r="H2375" s="122">
        <v>2060</v>
      </c>
      <c r="I2375" s="122">
        <v>97534</v>
      </c>
      <c r="J2375" s="122">
        <v>36124</v>
      </c>
      <c r="K2375" s="122">
        <v>100</v>
      </c>
      <c r="L2375" s="122">
        <v>14700</v>
      </c>
      <c r="M2375" s="122">
        <v>13364</v>
      </c>
      <c r="N2375" s="122">
        <v>8921</v>
      </c>
      <c r="O2375" s="122">
        <v>3304</v>
      </c>
      <c r="P2375" s="122">
        <v>1053</v>
      </c>
      <c r="Q2375" s="122">
        <v>390</v>
      </c>
      <c r="R2375" s="122">
        <v>29269</v>
      </c>
      <c r="S2375" s="122">
        <v>26608</v>
      </c>
      <c r="T2375" s="122">
        <v>13194</v>
      </c>
      <c r="U2375" s="122">
        <v>4887</v>
      </c>
      <c r="V2375" s="122">
        <v>84677</v>
      </c>
      <c r="W2375" s="122">
        <f t="shared" si="74"/>
        <v>84677</v>
      </c>
      <c r="X2375" s="122">
        <f t="shared" si="75"/>
        <v>164671</v>
      </c>
      <c r="AI2375" s="66"/>
    </row>
    <row r="2376" spans="2:35" ht="13">
      <c r="B2376" t="s">
        <v>383</v>
      </c>
      <c r="C2376" t="s">
        <v>60</v>
      </c>
      <c r="D2376" t="s">
        <v>406</v>
      </c>
      <c r="E2376" t="s">
        <v>425</v>
      </c>
      <c r="F2376" s="122">
        <v>1</v>
      </c>
      <c r="G2376" s="122">
        <v>82</v>
      </c>
      <c r="H2376" s="122">
        <v>308</v>
      </c>
      <c r="I2376" s="122">
        <v>14675</v>
      </c>
      <c r="J2376" s="122">
        <v>13341</v>
      </c>
      <c r="K2376" s="122">
        <v>70</v>
      </c>
      <c r="L2376" s="122">
        <v>3614</v>
      </c>
      <c r="M2376" s="122">
        <v>3286</v>
      </c>
      <c r="N2376" s="122">
        <v>1079</v>
      </c>
      <c r="O2376" s="122">
        <v>400</v>
      </c>
      <c r="P2376" s="122">
        <v>621</v>
      </c>
      <c r="Q2376" s="122">
        <v>230</v>
      </c>
      <c r="R2376" s="122">
        <v>3525</v>
      </c>
      <c r="S2376" s="122">
        <v>3205</v>
      </c>
      <c r="T2376" s="122">
        <v>1747</v>
      </c>
      <c r="U2376" s="122">
        <v>647</v>
      </c>
      <c r="V2376" s="122">
        <v>21108</v>
      </c>
      <c r="W2376" s="122">
        <f t="shared" si="74"/>
        <v>21109</v>
      </c>
      <c r="X2376" s="122">
        <f t="shared" si="75"/>
        <v>25261</v>
      </c>
      <c r="AI2376" s="66"/>
    </row>
    <row r="2377" spans="2:35" ht="13">
      <c r="B2377" t="s">
        <v>383</v>
      </c>
      <c r="C2377" t="s">
        <v>60</v>
      </c>
      <c r="D2377" t="s">
        <v>406</v>
      </c>
      <c r="E2377" t="s">
        <v>137</v>
      </c>
      <c r="F2377" s="122">
        <v>7</v>
      </c>
      <c r="G2377" s="122">
        <v>400</v>
      </c>
      <c r="H2377" s="122">
        <v>2401</v>
      </c>
      <c r="I2377" s="122">
        <v>84722</v>
      </c>
      <c r="J2377" s="122">
        <v>77020</v>
      </c>
      <c r="K2377" s="122">
        <v>84</v>
      </c>
      <c r="L2377" s="122">
        <v>17360</v>
      </c>
      <c r="M2377" s="122">
        <v>14878</v>
      </c>
      <c r="N2377" s="122">
        <v>8789</v>
      </c>
      <c r="O2377" s="122">
        <v>3255</v>
      </c>
      <c r="P2377" s="122">
        <v>4347</v>
      </c>
      <c r="Q2377" s="122">
        <v>1610</v>
      </c>
      <c r="R2377" s="122">
        <v>37810</v>
      </c>
      <c r="S2377" s="122">
        <v>14004</v>
      </c>
      <c r="T2377" s="122">
        <v>0</v>
      </c>
      <c r="U2377" s="122">
        <v>0</v>
      </c>
      <c r="V2377" s="122">
        <v>110768</v>
      </c>
      <c r="W2377" s="122">
        <f t="shared" si="74"/>
        <v>110767</v>
      </c>
      <c r="X2377" s="122">
        <f t="shared" si="75"/>
        <v>153028</v>
      </c>
      <c r="AI2377" s="66"/>
    </row>
    <row r="2378" spans="2:35" ht="13">
      <c r="B2378" t="s">
        <v>383</v>
      </c>
      <c r="C2378" t="s">
        <v>60</v>
      </c>
      <c r="D2378" t="s">
        <v>406</v>
      </c>
      <c r="E2378" t="s">
        <v>406</v>
      </c>
      <c r="F2378" s="122">
        <v>769</v>
      </c>
      <c r="G2378" s="122">
        <v>65842</v>
      </c>
      <c r="H2378" s="122">
        <v>260020</v>
      </c>
      <c r="I2378" s="122">
        <v>13106868</v>
      </c>
      <c r="J2378" s="122">
        <v>11915334</v>
      </c>
      <c r="K2378" s="122">
        <v>78</v>
      </c>
      <c r="L2378" s="122">
        <v>2639808</v>
      </c>
      <c r="M2378" s="122">
        <v>2297074</v>
      </c>
      <c r="N2378" s="122">
        <v>1375486</v>
      </c>
      <c r="O2378" s="122">
        <v>509439</v>
      </c>
      <c r="P2378" s="122">
        <v>483525</v>
      </c>
      <c r="Q2378" s="122">
        <v>179084</v>
      </c>
      <c r="R2378" s="122">
        <v>3518832</v>
      </c>
      <c r="S2378" s="122">
        <v>3198938</v>
      </c>
      <c r="T2378" s="122">
        <v>1251417</v>
      </c>
      <c r="U2378" s="122">
        <v>463488</v>
      </c>
      <c r="V2378" s="122">
        <v>18563357</v>
      </c>
      <c r="W2378" s="122">
        <f t="shared" si="74"/>
        <v>18563357</v>
      </c>
      <c r="X2378" s="122">
        <f t="shared" si="75"/>
        <v>22375936</v>
      </c>
      <c r="AI2378" s="66"/>
    </row>
    <row r="2379" spans="2:35" ht="13">
      <c r="B2379" t="s">
        <v>383</v>
      </c>
      <c r="C2379" t="s">
        <v>60</v>
      </c>
      <c r="D2379" t="s">
        <v>406</v>
      </c>
      <c r="E2379" t="s">
        <v>426</v>
      </c>
      <c r="F2379" s="122">
        <v>2</v>
      </c>
      <c r="G2379" s="122">
        <v>224</v>
      </c>
      <c r="H2379" s="122">
        <v>715</v>
      </c>
      <c r="I2379" s="122">
        <v>46665</v>
      </c>
      <c r="J2379" s="122">
        <v>42422</v>
      </c>
      <c r="K2379" s="122">
        <v>82</v>
      </c>
      <c r="L2379" s="122">
        <v>11061</v>
      </c>
      <c r="M2379" s="122">
        <v>10055</v>
      </c>
      <c r="N2379" s="122">
        <v>5282</v>
      </c>
      <c r="O2379" s="122">
        <v>1956</v>
      </c>
      <c r="P2379" s="122">
        <v>1364</v>
      </c>
      <c r="Q2379" s="122">
        <v>505</v>
      </c>
      <c r="R2379" s="122">
        <v>15462</v>
      </c>
      <c r="S2379" s="122">
        <v>14057</v>
      </c>
      <c r="T2379" s="122">
        <v>1701</v>
      </c>
      <c r="U2379" s="122">
        <v>630</v>
      </c>
      <c r="V2379" s="122">
        <v>69626</v>
      </c>
      <c r="W2379" s="122">
        <f t="shared" si="74"/>
        <v>69625</v>
      </c>
      <c r="X2379" s="122">
        <f t="shared" si="75"/>
        <v>81535</v>
      </c>
      <c r="AI2379" s="66"/>
    </row>
    <row r="2380" spans="2:35" ht="13">
      <c r="B2380" t="s">
        <v>383</v>
      </c>
      <c r="C2380" t="s">
        <v>60</v>
      </c>
      <c r="D2380" t="s">
        <v>427</v>
      </c>
      <c r="E2380" t="s">
        <v>406</v>
      </c>
      <c r="F2380" s="122">
        <v>1</v>
      </c>
      <c r="G2380" s="122">
        <v>72</v>
      </c>
      <c r="H2380" s="122">
        <v>344</v>
      </c>
      <c r="I2380" s="122">
        <v>16745</v>
      </c>
      <c r="J2380" s="122">
        <v>15222</v>
      </c>
      <c r="K2380" s="122">
        <v>55</v>
      </c>
      <c r="L2380" s="122">
        <v>0</v>
      </c>
      <c r="M2380" s="122">
        <v>0</v>
      </c>
      <c r="N2380" s="122">
        <v>1764</v>
      </c>
      <c r="O2380" s="122">
        <v>653</v>
      </c>
      <c r="P2380" s="122">
        <v>351</v>
      </c>
      <c r="Q2380" s="122">
        <v>130</v>
      </c>
      <c r="R2380" s="122">
        <v>3638</v>
      </c>
      <c r="S2380" s="122">
        <v>3307</v>
      </c>
      <c r="T2380" s="122">
        <v>2419</v>
      </c>
      <c r="U2380" s="122">
        <v>896</v>
      </c>
      <c r="V2380" s="122">
        <v>20209</v>
      </c>
      <c r="W2380" s="122">
        <f t="shared" si="74"/>
        <v>20208</v>
      </c>
      <c r="X2380" s="122">
        <f t="shared" si="75"/>
        <v>24917</v>
      </c>
      <c r="AI2380" s="66"/>
    </row>
    <row r="2381" spans="2:35" ht="13">
      <c r="B2381" t="s">
        <v>383</v>
      </c>
      <c r="C2381" t="s">
        <v>60</v>
      </c>
      <c r="D2381" t="s">
        <v>427</v>
      </c>
      <c r="E2381" t="s">
        <v>427</v>
      </c>
      <c r="F2381" s="122">
        <v>21</v>
      </c>
      <c r="G2381" s="122">
        <v>1641</v>
      </c>
      <c r="H2381" s="122">
        <v>6943</v>
      </c>
      <c r="I2381" s="122">
        <v>302637</v>
      </c>
      <c r="J2381" s="122">
        <v>275124</v>
      </c>
      <c r="K2381" s="122">
        <v>58</v>
      </c>
      <c r="L2381" s="122">
        <v>42632</v>
      </c>
      <c r="M2381" s="122">
        <v>22357</v>
      </c>
      <c r="N2381" s="122">
        <v>33401</v>
      </c>
      <c r="O2381" s="122">
        <v>12371</v>
      </c>
      <c r="P2381" s="122">
        <v>7493</v>
      </c>
      <c r="Q2381" s="122">
        <v>2775</v>
      </c>
      <c r="R2381" s="122">
        <v>125766</v>
      </c>
      <c r="S2381" s="122">
        <v>114333</v>
      </c>
      <c r="T2381" s="122">
        <v>31343</v>
      </c>
      <c r="U2381" s="122">
        <v>11608</v>
      </c>
      <c r="V2381" s="122">
        <v>438568</v>
      </c>
      <c r="W2381" s="122">
        <f t="shared" si="74"/>
        <v>438568</v>
      </c>
      <c r="X2381" s="122">
        <f t="shared" si="75"/>
        <v>543272</v>
      </c>
      <c r="AI2381" s="66"/>
    </row>
    <row r="2382" spans="2:35" ht="13">
      <c r="B2382" t="s">
        <v>383</v>
      </c>
      <c r="C2382" t="s">
        <v>60</v>
      </c>
      <c r="D2382" t="s">
        <v>407</v>
      </c>
      <c r="E2382" t="s">
        <v>137</v>
      </c>
      <c r="F2382" s="122">
        <v>3</v>
      </c>
      <c r="G2382" s="122">
        <v>264</v>
      </c>
      <c r="H2382" s="122">
        <v>1054</v>
      </c>
      <c r="I2382" s="122">
        <v>59395</v>
      </c>
      <c r="J2382" s="122">
        <v>53995</v>
      </c>
      <c r="K2382" s="122">
        <v>48</v>
      </c>
      <c r="L2382" s="122">
        <v>4920</v>
      </c>
      <c r="M2382" s="122">
        <v>2931</v>
      </c>
      <c r="N2382" s="122">
        <v>5810</v>
      </c>
      <c r="O2382" s="122">
        <v>2152</v>
      </c>
      <c r="P2382" s="122">
        <v>702</v>
      </c>
      <c r="Q2382" s="122">
        <v>260</v>
      </c>
      <c r="R2382" s="122">
        <v>19643</v>
      </c>
      <c r="S2382" s="122">
        <v>7275</v>
      </c>
      <c r="T2382" s="122">
        <v>1107</v>
      </c>
      <c r="U2382" s="122">
        <v>410</v>
      </c>
      <c r="V2382" s="122">
        <v>67023</v>
      </c>
      <c r="W2382" s="122">
        <f t="shared" si="74"/>
        <v>67023</v>
      </c>
      <c r="X2382" s="122">
        <f t="shared" si="75"/>
        <v>91577</v>
      </c>
      <c r="AI2382" s="66"/>
    </row>
    <row r="2383" spans="2:35" ht="13">
      <c r="B2383" t="s">
        <v>383</v>
      </c>
      <c r="C2383" t="s">
        <v>60</v>
      </c>
      <c r="D2383" t="s">
        <v>407</v>
      </c>
      <c r="E2383" t="s">
        <v>407</v>
      </c>
      <c r="F2383" s="122">
        <v>237</v>
      </c>
      <c r="G2383" s="122">
        <v>18517</v>
      </c>
      <c r="H2383" s="122">
        <v>80156</v>
      </c>
      <c r="I2383" s="122">
        <v>3679362</v>
      </c>
      <c r="J2383" s="122">
        <v>3344875</v>
      </c>
      <c r="K2383" s="122">
        <v>75</v>
      </c>
      <c r="L2383" s="122">
        <v>735244</v>
      </c>
      <c r="M2383" s="122">
        <v>641161</v>
      </c>
      <c r="N2383" s="122">
        <v>395050</v>
      </c>
      <c r="O2383" s="122">
        <v>146315</v>
      </c>
      <c r="P2383" s="122">
        <v>109782</v>
      </c>
      <c r="Q2383" s="122">
        <v>40660</v>
      </c>
      <c r="R2383" s="122">
        <v>1110759</v>
      </c>
      <c r="S2383" s="122">
        <v>1009781</v>
      </c>
      <c r="T2383" s="122">
        <v>303740</v>
      </c>
      <c r="U2383" s="122">
        <v>112496</v>
      </c>
      <c r="V2383" s="122">
        <v>5295288</v>
      </c>
      <c r="W2383" s="122">
        <f t="shared" si="74"/>
        <v>5295288</v>
      </c>
      <c r="X2383" s="122">
        <f t="shared" si="75"/>
        <v>6333937</v>
      </c>
      <c r="AI2383" s="66"/>
    </row>
    <row r="2384" spans="2:35" ht="13">
      <c r="B2384" t="s">
        <v>383</v>
      </c>
      <c r="C2384" t="s">
        <v>60</v>
      </c>
      <c r="D2384" t="s">
        <v>407</v>
      </c>
      <c r="E2384" t="s">
        <v>556</v>
      </c>
      <c r="F2384" s="122">
        <v>1</v>
      </c>
      <c r="G2384" s="122">
        <v>231</v>
      </c>
      <c r="H2384" s="122">
        <v>339</v>
      </c>
      <c r="I2384" s="122">
        <v>64225</v>
      </c>
      <c r="J2384" s="122">
        <v>58386</v>
      </c>
      <c r="K2384" s="122">
        <v>70</v>
      </c>
      <c r="L2384" s="122">
        <v>0</v>
      </c>
      <c r="M2384" s="122">
        <v>15137</v>
      </c>
      <c r="N2384" s="122">
        <v>5056</v>
      </c>
      <c r="O2384" s="122">
        <v>1873</v>
      </c>
      <c r="P2384" s="122">
        <v>473</v>
      </c>
      <c r="Q2384" s="122">
        <v>175</v>
      </c>
      <c r="R2384" s="122">
        <v>8520</v>
      </c>
      <c r="S2384" s="122">
        <v>7100</v>
      </c>
      <c r="T2384" s="122">
        <v>0</v>
      </c>
      <c r="U2384" s="122">
        <v>0</v>
      </c>
      <c r="V2384" s="122">
        <v>82672</v>
      </c>
      <c r="W2384" s="122">
        <f t="shared" si="74"/>
        <v>82671</v>
      </c>
      <c r="X2384" s="122">
        <f t="shared" si="75"/>
        <v>78274</v>
      </c>
      <c r="AI2384" s="66"/>
    </row>
    <row r="2385" spans="2:35" ht="13">
      <c r="B2385" t="s">
        <v>383</v>
      </c>
      <c r="C2385" t="s">
        <v>60</v>
      </c>
      <c r="D2385" t="s">
        <v>556</v>
      </c>
      <c r="E2385" t="s">
        <v>137</v>
      </c>
      <c r="F2385" s="122">
        <v>2</v>
      </c>
      <c r="G2385" s="122">
        <v>159</v>
      </c>
      <c r="H2385" s="122">
        <v>660</v>
      </c>
      <c r="I2385" s="122">
        <v>31688</v>
      </c>
      <c r="J2385" s="122">
        <v>26407</v>
      </c>
      <c r="K2385" s="122">
        <v>58</v>
      </c>
      <c r="L2385" s="122">
        <v>2089</v>
      </c>
      <c r="M2385" s="122">
        <v>774</v>
      </c>
      <c r="N2385" s="122">
        <v>3420</v>
      </c>
      <c r="O2385" s="122">
        <v>1267</v>
      </c>
      <c r="P2385" s="122">
        <v>351</v>
      </c>
      <c r="Q2385" s="122">
        <v>130</v>
      </c>
      <c r="R2385" s="122">
        <v>15031</v>
      </c>
      <c r="S2385" s="122">
        <v>5567</v>
      </c>
      <c r="T2385" s="122">
        <v>0</v>
      </c>
      <c r="U2385" s="122">
        <v>0</v>
      </c>
      <c r="V2385" s="122">
        <v>34144</v>
      </c>
      <c r="W2385" s="122">
        <f t="shared" si="74"/>
        <v>34145</v>
      </c>
      <c r="X2385" s="122">
        <f t="shared" si="75"/>
        <v>52579</v>
      </c>
      <c r="AI2385" s="66"/>
    </row>
    <row r="2386" spans="2:35" ht="13">
      <c r="B2386" t="s">
        <v>383</v>
      </c>
      <c r="C2386" t="s">
        <v>60</v>
      </c>
      <c r="D2386" t="s">
        <v>556</v>
      </c>
      <c r="E2386" t="s">
        <v>556</v>
      </c>
      <c r="F2386" s="122">
        <v>30</v>
      </c>
      <c r="G2386" s="122">
        <v>2452</v>
      </c>
      <c r="H2386" s="122">
        <v>10139</v>
      </c>
      <c r="I2386" s="122">
        <v>487546</v>
      </c>
      <c r="J2386" s="122">
        <v>406288</v>
      </c>
      <c r="K2386" s="122">
        <v>55</v>
      </c>
      <c r="L2386" s="122">
        <v>27103</v>
      </c>
      <c r="M2386" s="122">
        <v>22877</v>
      </c>
      <c r="N2386" s="122">
        <v>53048</v>
      </c>
      <c r="O2386" s="122">
        <v>19647</v>
      </c>
      <c r="P2386" s="122">
        <v>9828</v>
      </c>
      <c r="Q2386" s="122">
        <v>3640</v>
      </c>
      <c r="R2386" s="122">
        <v>190141</v>
      </c>
      <c r="S2386" s="122">
        <v>158451</v>
      </c>
      <c r="T2386" s="122">
        <v>62817</v>
      </c>
      <c r="U2386" s="122">
        <v>23265</v>
      </c>
      <c r="V2386" s="122">
        <v>634169</v>
      </c>
      <c r="W2386" s="122">
        <f t="shared" si="74"/>
        <v>634168</v>
      </c>
      <c r="X2386" s="122">
        <f t="shared" si="75"/>
        <v>830483</v>
      </c>
      <c r="AI2386" s="66"/>
    </row>
    <row r="2387" spans="2:35" ht="13">
      <c r="B2387" t="s">
        <v>383</v>
      </c>
      <c r="C2387" t="s">
        <v>60</v>
      </c>
      <c r="D2387" t="s">
        <v>428</v>
      </c>
      <c r="E2387" t="s">
        <v>428</v>
      </c>
      <c r="F2387" s="122">
        <v>2</v>
      </c>
      <c r="G2387" s="122">
        <v>177</v>
      </c>
      <c r="H2387" s="122">
        <v>698</v>
      </c>
      <c r="I2387" s="122">
        <v>36126</v>
      </c>
      <c r="J2387" s="122">
        <v>32842</v>
      </c>
      <c r="K2387" s="122">
        <v>63</v>
      </c>
      <c r="L2387" s="122">
        <v>8253</v>
      </c>
      <c r="M2387" s="122">
        <v>7503</v>
      </c>
      <c r="N2387" s="122">
        <v>3062</v>
      </c>
      <c r="O2387" s="122">
        <v>1134</v>
      </c>
      <c r="P2387" s="122">
        <v>702</v>
      </c>
      <c r="Q2387" s="122">
        <v>260</v>
      </c>
      <c r="R2387" s="122">
        <v>12145</v>
      </c>
      <c r="S2387" s="122">
        <v>11041</v>
      </c>
      <c r="T2387" s="122">
        <v>1980</v>
      </c>
      <c r="U2387" s="122">
        <v>733</v>
      </c>
      <c r="V2387" s="122">
        <v>53512</v>
      </c>
      <c r="W2387" s="122">
        <f t="shared" si="74"/>
        <v>53513</v>
      </c>
      <c r="X2387" s="122">
        <f t="shared" si="75"/>
        <v>62268</v>
      </c>
      <c r="AI2387" s="66"/>
    </row>
    <row r="2388" spans="2:35" ht="13">
      <c r="B2388" t="s">
        <v>383</v>
      </c>
      <c r="C2388" t="s">
        <v>60</v>
      </c>
      <c r="D2388" t="s">
        <v>428</v>
      </c>
      <c r="E2388" t="s">
        <v>433</v>
      </c>
      <c r="F2388" s="122">
        <v>1</v>
      </c>
      <c r="G2388" s="122">
        <v>52</v>
      </c>
      <c r="H2388" s="122">
        <v>365</v>
      </c>
      <c r="I2388" s="122">
        <v>11321</v>
      </c>
      <c r="J2388" s="122">
        <v>10292</v>
      </c>
      <c r="K2388" s="122">
        <v>55</v>
      </c>
      <c r="L2388" s="122">
        <v>1064</v>
      </c>
      <c r="M2388" s="122">
        <v>968</v>
      </c>
      <c r="N2388" s="122">
        <v>835</v>
      </c>
      <c r="O2388" s="122">
        <v>309</v>
      </c>
      <c r="P2388" s="122">
        <v>351</v>
      </c>
      <c r="Q2388" s="122">
        <v>130</v>
      </c>
      <c r="R2388" s="122">
        <v>3478</v>
      </c>
      <c r="S2388" s="122">
        <v>3161</v>
      </c>
      <c r="T2388" s="122">
        <v>1769</v>
      </c>
      <c r="U2388" s="122">
        <v>655</v>
      </c>
      <c r="V2388" s="122">
        <v>15516</v>
      </c>
      <c r="W2388" s="122">
        <f t="shared" si="74"/>
        <v>15515</v>
      </c>
      <c r="X2388" s="122">
        <f t="shared" si="75"/>
        <v>18818</v>
      </c>
      <c r="AI2388" s="66"/>
    </row>
    <row r="2389" spans="2:35" ht="13">
      <c r="B2389" t="s">
        <v>383</v>
      </c>
      <c r="C2389" t="s">
        <v>60</v>
      </c>
      <c r="D2389" t="s">
        <v>431</v>
      </c>
      <c r="E2389" t="s">
        <v>431</v>
      </c>
      <c r="F2389" s="122">
        <v>14</v>
      </c>
      <c r="G2389" s="122">
        <v>1209</v>
      </c>
      <c r="H2389" s="122">
        <v>4421</v>
      </c>
      <c r="I2389" s="122">
        <v>245373</v>
      </c>
      <c r="J2389" s="122">
        <v>223067</v>
      </c>
      <c r="K2389" s="122">
        <v>55</v>
      </c>
      <c r="L2389" s="122">
        <v>25498</v>
      </c>
      <c r="M2389" s="122">
        <v>23180</v>
      </c>
      <c r="N2389" s="122">
        <v>15418</v>
      </c>
      <c r="O2389" s="122">
        <v>5710</v>
      </c>
      <c r="P2389" s="122">
        <v>5454</v>
      </c>
      <c r="Q2389" s="122">
        <v>2020</v>
      </c>
      <c r="R2389" s="122">
        <v>57608</v>
      </c>
      <c r="S2389" s="122">
        <v>52371</v>
      </c>
      <c r="T2389" s="122">
        <v>30802</v>
      </c>
      <c r="U2389" s="122">
        <v>11408</v>
      </c>
      <c r="V2389" s="122">
        <v>317755</v>
      </c>
      <c r="W2389" s="122">
        <f t="shared" si="74"/>
        <v>317756</v>
      </c>
      <c r="X2389" s="122">
        <f t="shared" si="75"/>
        <v>380153</v>
      </c>
      <c r="AI2389" s="66"/>
    </row>
    <row r="2390" spans="2:35" ht="13">
      <c r="B2390" t="s">
        <v>383</v>
      </c>
      <c r="C2390" t="s">
        <v>60</v>
      </c>
      <c r="D2390" t="s">
        <v>426</v>
      </c>
      <c r="E2390" t="s">
        <v>137</v>
      </c>
      <c r="F2390" s="122">
        <v>2</v>
      </c>
      <c r="G2390" s="122">
        <v>136</v>
      </c>
      <c r="H2390" s="122">
        <v>630</v>
      </c>
      <c r="I2390" s="122">
        <v>15617</v>
      </c>
      <c r="J2390" s="122">
        <v>14197</v>
      </c>
      <c r="K2390" s="122">
        <v>70</v>
      </c>
      <c r="L2390" s="122">
        <v>4735</v>
      </c>
      <c r="M2390" s="122">
        <v>1754</v>
      </c>
      <c r="N2390" s="122">
        <v>2980</v>
      </c>
      <c r="O2390" s="122">
        <v>1104</v>
      </c>
      <c r="P2390" s="122">
        <v>702</v>
      </c>
      <c r="Q2390" s="122">
        <v>260</v>
      </c>
      <c r="R2390" s="122">
        <v>18805</v>
      </c>
      <c r="S2390" s="122">
        <v>6965</v>
      </c>
      <c r="T2390" s="122">
        <v>0</v>
      </c>
      <c r="U2390" s="122">
        <v>0</v>
      </c>
      <c r="V2390" s="122">
        <v>24280</v>
      </c>
      <c r="W2390" s="122">
        <f t="shared" si="74"/>
        <v>24280</v>
      </c>
      <c r="X2390" s="122">
        <f t="shared" si="75"/>
        <v>42839</v>
      </c>
      <c r="AI2390" s="66"/>
    </row>
    <row r="2391" spans="2:35" ht="13">
      <c r="B2391" t="s">
        <v>383</v>
      </c>
      <c r="C2391" t="s">
        <v>60</v>
      </c>
      <c r="D2391" t="s">
        <v>426</v>
      </c>
      <c r="E2391" t="s">
        <v>426</v>
      </c>
      <c r="F2391" s="122">
        <v>558</v>
      </c>
      <c r="G2391" s="122">
        <v>42451</v>
      </c>
      <c r="H2391" s="122">
        <v>191737</v>
      </c>
      <c r="I2391" s="122">
        <v>8230687</v>
      </c>
      <c r="J2391" s="122">
        <v>7482443</v>
      </c>
      <c r="K2391" s="122">
        <v>52</v>
      </c>
      <c r="L2391" s="122">
        <v>902448</v>
      </c>
      <c r="M2391" s="122">
        <v>775860</v>
      </c>
      <c r="N2391" s="122">
        <v>868872</v>
      </c>
      <c r="O2391" s="122">
        <v>321804</v>
      </c>
      <c r="P2391" s="122">
        <v>199206</v>
      </c>
      <c r="Q2391" s="122">
        <v>73780</v>
      </c>
      <c r="R2391" s="122">
        <v>3121320</v>
      </c>
      <c r="S2391" s="122">
        <v>2837563</v>
      </c>
      <c r="T2391" s="122">
        <v>1267177</v>
      </c>
      <c r="U2391" s="122">
        <v>469325</v>
      </c>
      <c r="V2391" s="122">
        <v>11960776</v>
      </c>
      <c r="W2391" s="122">
        <f t="shared" si="74"/>
        <v>11960775</v>
      </c>
      <c r="X2391" s="122">
        <f t="shared" si="75"/>
        <v>14589710</v>
      </c>
      <c r="AI2391" s="66"/>
    </row>
    <row r="2392" spans="2:35" ht="13">
      <c r="B2392" t="s">
        <v>383</v>
      </c>
      <c r="C2392" t="s">
        <v>60</v>
      </c>
      <c r="D2392" t="s">
        <v>426</v>
      </c>
      <c r="E2392" t="s">
        <v>481</v>
      </c>
      <c r="F2392" s="122">
        <v>3</v>
      </c>
      <c r="G2392" s="122">
        <v>279</v>
      </c>
      <c r="H2392" s="122">
        <v>933</v>
      </c>
      <c r="I2392" s="122">
        <v>52704</v>
      </c>
      <c r="J2392" s="122">
        <v>47913</v>
      </c>
      <c r="K2392" s="122">
        <v>65</v>
      </c>
      <c r="L2392" s="122">
        <v>12688</v>
      </c>
      <c r="M2392" s="122">
        <v>11535</v>
      </c>
      <c r="N2392" s="122">
        <v>3404</v>
      </c>
      <c r="O2392" s="122">
        <v>1261</v>
      </c>
      <c r="P2392" s="122">
        <v>1053</v>
      </c>
      <c r="Q2392" s="122">
        <v>390</v>
      </c>
      <c r="R2392" s="122">
        <v>11380</v>
      </c>
      <c r="S2392" s="122">
        <v>10345</v>
      </c>
      <c r="T2392" s="122">
        <v>5681</v>
      </c>
      <c r="U2392" s="122">
        <v>2104</v>
      </c>
      <c r="V2392" s="122">
        <v>73548</v>
      </c>
      <c r="W2392" s="122">
        <f t="shared" si="74"/>
        <v>73548</v>
      </c>
      <c r="X2392" s="122">
        <f t="shared" si="75"/>
        <v>86910</v>
      </c>
      <c r="AI2392" s="66"/>
    </row>
    <row r="2393" spans="2:35" ht="13">
      <c r="B2393" t="s">
        <v>383</v>
      </c>
      <c r="C2393" t="s">
        <v>60</v>
      </c>
      <c r="D2393" t="s">
        <v>433</v>
      </c>
      <c r="E2393" t="s">
        <v>433</v>
      </c>
      <c r="F2393" s="122">
        <v>5</v>
      </c>
      <c r="G2393" s="122">
        <v>372</v>
      </c>
      <c r="H2393" s="122">
        <v>1716</v>
      </c>
      <c r="I2393" s="122">
        <v>66788</v>
      </c>
      <c r="J2393" s="122">
        <v>60716</v>
      </c>
      <c r="K2393" s="122">
        <v>55</v>
      </c>
      <c r="L2393" s="122">
        <v>12610</v>
      </c>
      <c r="M2393" s="122">
        <v>10421</v>
      </c>
      <c r="N2393" s="122">
        <v>6840</v>
      </c>
      <c r="O2393" s="122">
        <v>2533</v>
      </c>
      <c r="P2393" s="122">
        <v>1755</v>
      </c>
      <c r="Q2393" s="122">
        <v>650</v>
      </c>
      <c r="R2393" s="122">
        <v>29219</v>
      </c>
      <c r="S2393" s="122">
        <v>26562</v>
      </c>
      <c r="T2393" s="122">
        <v>10849</v>
      </c>
      <c r="U2393" s="122">
        <v>4018</v>
      </c>
      <c r="V2393" s="122">
        <v>104901</v>
      </c>
      <c r="W2393" s="122">
        <f t="shared" si="74"/>
        <v>104900</v>
      </c>
      <c r="X2393" s="122">
        <f t="shared" si="75"/>
        <v>128061</v>
      </c>
      <c r="AI2393" s="66"/>
    </row>
    <row r="2394" spans="2:35" ht="13">
      <c r="B2394" t="s">
        <v>383</v>
      </c>
      <c r="C2394" t="s">
        <v>62</v>
      </c>
      <c r="D2394" t="s">
        <v>425</v>
      </c>
      <c r="E2394" t="s">
        <v>425</v>
      </c>
      <c r="F2394" s="122">
        <v>2</v>
      </c>
      <c r="G2394" s="122">
        <v>165</v>
      </c>
      <c r="H2394" s="122">
        <v>848</v>
      </c>
      <c r="I2394" s="122">
        <v>44726</v>
      </c>
      <c r="J2394" s="122">
        <v>40660</v>
      </c>
      <c r="K2394" s="122">
        <v>78</v>
      </c>
      <c r="L2394" s="122">
        <v>10825</v>
      </c>
      <c r="M2394" s="122">
        <v>7714</v>
      </c>
      <c r="N2394" s="122">
        <v>3525</v>
      </c>
      <c r="O2394" s="122">
        <v>1305</v>
      </c>
      <c r="P2394" s="122">
        <v>945</v>
      </c>
      <c r="Q2394" s="122">
        <v>350</v>
      </c>
      <c r="R2394" s="122">
        <v>7841</v>
      </c>
      <c r="S2394" s="122">
        <v>7128</v>
      </c>
      <c r="T2394" s="122">
        <v>1869</v>
      </c>
      <c r="U2394" s="122">
        <v>692</v>
      </c>
      <c r="V2394" s="122">
        <v>57849</v>
      </c>
      <c r="W2394" s="122">
        <f t="shared" si="74"/>
        <v>57849</v>
      </c>
      <c r="X2394" s="122">
        <f t="shared" si="75"/>
        <v>69731</v>
      </c>
      <c r="AI2394" s="66"/>
    </row>
    <row r="2395" spans="2:35" ht="13">
      <c r="B2395" t="s">
        <v>383</v>
      </c>
      <c r="C2395" t="s">
        <v>62</v>
      </c>
      <c r="D2395" t="s">
        <v>405</v>
      </c>
      <c r="E2395" t="s">
        <v>405</v>
      </c>
      <c r="F2395" s="122">
        <v>2</v>
      </c>
      <c r="G2395" s="122">
        <v>167</v>
      </c>
      <c r="H2395" s="122">
        <v>821</v>
      </c>
      <c r="I2395" s="122">
        <v>36798</v>
      </c>
      <c r="J2395" s="122">
        <v>33453</v>
      </c>
      <c r="K2395" s="122">
        <v>69</v>
      </c>
      <c r="L2395" s="122">
        <v>9173</v>
      </c>
      <c r="M2395" s="122">
        <v>5521</v>
      </c>
      <c r="N2395" s="122">
        <v>3461</v>
      </c>
      <c r="O2395" s="122">
        <v>1282</v>
      </c>
      <c r="P2395" s="122">
        <v>824</v>
      </c>
      <c r="Q2395" s="122">
        <v>305</v>
      </c>
      <c r="R2395" s="122">
        <v>11545</v>
      </c>
      <c r="S2395" s="122">
        <v>10495</v>
      </c>
      <c r="T2395" s="122">
        <v>6832</v>
      </c>
      <c r="U2395" s="122">
        <v>2530</v>
      </c>
      <c r="V2395" s="122">
        <v>53586</v>
      </c>
      <c r="W2395" s="122">
        <f t="shared" si="74"/>
        <v>53586</v>
      </c>
      <c r="X2395" s="122">
        <f t="shared" si="75"/>
        <v>68633</v>
      </c>
      <c r="AI2395" s="66"/>
    </row>
    <row r="2396" spans="2:35" ht="13">
      <c r="B2396" t="s">
        <v>383</v>
      </c>
      <c r="C2396" t="s">
        <v>62</v>
      </c>
      <c r="D2396" t="s">
        <v>137</v>
      </c>
      <c r="E2396" t="s">
        <v>137</v>
      </c>
      <c r="F2396" s="122">
        <v>60</v>
      </c>
      <c r="G2396" s="122">
        <v>4858</v>
      </c>
      <c r="H2396" s="122">
        <v>24923</v>
      </c>
      <c r="I2396" s="122">
        <v>1360238</v>
      </c>
      <c r="J2396" s="122">
        <v>503792</v>
      </c>
      <c r="K2396" s="122">
        <v>100</v>
      </c>
      <c r="L2396" s="122">
        <v>182485</v>
      </c>
      <c r="M2396" s="122">
        <v>135438</v>
      </c>
      <c r="N2396" s="122">
        <v>107145</v>
      </c>
      <c r="O2396" s="122">
        <v>39683</v>
      </c>
      <c r="P2396" s="122">
        <v>2457</v>
      </c>
      <c r="Q2396" s="122">
        <v>910</v>
      </c>
      <c r="R2396" s="122">
        <v>399084</v>
      </c>
      <c r="S2396" s="122">
        <v>147809</v>
      </c>
      <c r="T2396" s="122">
        <v>0</v>
      </c>
      <c r="U2396" s="122">
        <v>0</v>
      </c>
      <c r="V2396" s="122">
        <v>827631</v>
      </c>
      <c r="W2396" s="122">
        <f t="shared" si="74"/>
        <v>827632</v>
      </c>
      <c r="X2396" s="122">
        <f t="shared" si="75"/>
        <v>2051409</v>
      </c>
      <c r="AI2396" s="66"/>
    </row>
    <row r="2397" spans="2:35" ht="13">
      <c r="B2397" t="s">
        <v>383</v>
      </c>
      <c r="C2397" t="s">
        <v>62</v>
      </c>
      <c r="D2397" t="s">
        <v>137</v>
      </c>
      <c r="E2397" t="s">
        <v>406</v>
      </c>
      <c r="F2397" s="122">
        <v>1</v>
      </c>
      <c r="G2397" s="122">
        <v>86</v>
      </c>
      <c r="H2397" s="122">
        <v>441</v>
      </c>
      <c r="I2397" s="122">
        <v>25422</v>
      </c>
      <c r="J2397" s="122">
        <v>9416</v>
      </c>
      <c r="K2397" s="122">
        <v>100</v>
      </c>
      <c r="L2397" s="122">
        <v>1918</v>
      </c>
      <c r="M2397" s="122">
        <v>1744</v>
      </c>
      <c r="N2397" s="122">
        <v>1798</v>
      </c>
      <c r="O2397" s="122">
        <v>666</v>
      </c>
      <c r="P2397" s="122">
        <v>270</v>
      </c>
      <c r="Q2397" s="122">
        <v>100</v>
      </c>
      <c r="R2397" s="122">
        <v>8428</v>
      </c>
      <c r="S2397" s="122">
        <v>7662</v>
      </c>
      <c r="T2397" s="122">
        <v>0</v>
      </c>
      <c r="U2397" s="122">
        <v>0</v>
      </c>
      <c r="V2397" s="122">
        <v>19587</v>
      </c>
      <c r="W2397" s="122">
        <f t="shared" si="74"/>
        <v>19588</v>
      </c>
      <c r="X2397" s="122">
        <f t="shared" si="75"/>
        <v>37836</v>
      </c>
      <c r="AI2397" s="66"/>
    </row>
    <row r="2398" spans="2:35" ht="13">
      <c r="B2398" t="s">
        <v>383</v>
      </c>
      <c r="C2398" t="s">
        <v>62</v>
      </c>
      <c r="D2398" t="s">
        <v>137</v>
      </c>
      <c r="E2398" t="s">
        <v>426</v>
      </c>
      <c r="F2398" s="122">
        <v>5</v>
      </c>
      <c r="G2398" s="122">
        <v>381</v>
      </c>
      <c r="H2398" s="122">
        <v>2059</v>
      </c>
      <c r="I2398" s="122">
        <v>100859</v>
      </c>
      <c r="J2398" s="122">
        <v>37355</v>
      </c>
      <c r="K2398" s="122">
        <v>100</v>
      </c>
      <c r="L2398" s="122">
        <v>15577</v>
      </c>
      <c r="M2398" s="122">
        <v>12039</v>
      </c>
      <c r="N2398" s="122">
        <v>7638</v>
      </c>
      <c r="O2398" s="122">
        <v>2829</v>
      </c>
      <c r="P2398" s="122">
        <v>351</v>
      </c>
      <c r="Q2398" s="122">
        <v>130</v>
      </c>
      <c r="R2398" s="122">
        <v>22309</v>
      </c>
      <c r="S2398" s="122">
        <v>20281</v>
      </c>
      <c r="T2398" s="122">
        <v>8977</v>
      </c>
      <c r="U2398" s="122">
        <v>3325</v>
      </c>
      <c r="V2398" s="122">
        <v>75959</v>
      </c>
      <c r="W2398" s="122">
        <f t="shared" si="74"/>
        <v>75959</v>
      </c>
      <c r="X2398" s="122">
        <f t="shared" si="75"/>
        <v>155711</v>
      </c>
      <c r="AI2398" s="66"/>
    </row>
    <row r="2399" spans="2:35" ht="13">
      <c r="B2399" t="s">
        <v>383</v>
      </c>
      <c r="C2399" t="s">
        <v>62</v>
      </c>
      <c r="D2399" t="s">
        <v>406</v>
      </c>
      <c r="E2399" t="s">
        <v>137</v>
      </c>
      <c r="F2399" s="122">
        <v>5</v>
      </c>
      <c r="G2399" s="122">
        <v>408</v>
      </c>
      <c r="H2399" s="122">
        <v>2108</v>
      </c>
      <c r="I2399" s="122">
        <v>112401</v>
      </c>
      <c r="J2399" s="122">
        <v>102183</v>
      </c>
      <c r="K2399" s="122">
        <v>79</v>
      </c>
      <c r="L2399" s="122">
        <v>24428</v>
      </c>
      <c r="M2399" s="122">
        <v>22207</v>
      </c>
      <c r="N2399" s="122">
        <v>8257</v>
      </c>
      <c r="O2399" s="122">
        <v>3058</v>
      </c>
      <c r="P2399" s="122">
        <v>3105</v>
      </c>
      <c r="Q2399" s="122">
        <v>1150</v>
      </c>
      <c r="R2399" s="122">
        <v>24696</v>
      </c>
      <c r="S2399" s="122">
        <v>9146</v>
      </c>
      <c r="T2399" s="122">
        <v>0</v>
      </c>
      <c r="U2399" s="122">
        <v>0</v>
      </c>
      <c r="V2399" s="122">
        <v>137744</v>
      </c>
      <c r="W2399" s="122">
        <f t="shared" si="74"/>
        <v>137744</v>
      </c>
      <c r="X2399" s="122">
        <f t="shared" si="75"/>
        <v>172887</v>
      </c>
      <c r="AI2399" s="66"/>
    </row>
    <row r="2400" spans="2:35" ht="13">
      <c r="B2400" t="s">
        <v>383</v>
      </c>
      <c r="C2400" t="s">
        <v>62</v>
      </c>
      <c r="D2400" t="s">
        <v>406</v>
      </c>
      <c r="E2400" t="s">
        <v>406</v>
      </c>
      <c r="F2400" s="122">
        <v>348</v>
      </c>
      <c r="G2400" s="122">
        <v>30048</v>
      </c>
      <c r="H2400" s="122">
        <v>143630</v>
      </c>
      <c r="I2400" s="122">
        <v>7802916</v>
      </c>
      <c r="J2400" s="122">
        <v>7093560</v>
      </c>
      <c r="K2400" s="122">
        <v>77</v>
      </c>
      <c r="L2400" s="122">
        <v>1651609</v>
      </c>
      <c r="M2400" s="122">
        <v>1464311</v>
      </c>
      <c r="N2400" s="122">
        <v>648166</v>
      </c>
      <c r="O2400" s="122">
        <v>240061</v>
      </c>
      <c r="P2400" s="122">
        <v>219780</v>
      </c>
      <c r="Q2400" s="122">
        <v>81400</v>
      </c>
      <c r="R2400" s="122">
        <v>1601427</v>
      </c>
      <c r="S2400" s="122">
        <v>1455843</v>
      </c>
      <c r="T2400" s="122">
        <v>608929</v>
      </c>
      <c r="U2400" s="122">
        <v>225529</v>
      </c>
      <c r="V2400" s="122">
        <v>10560705</v>
      </c>
      <c r="W2400" s="122">
        <f t="shared" si="74"/>
        <v>10560704</v>
      </c>
      <c r="X2400" s="122">
        <f t="shared" si="75"/>
        <v>12532827</v>
      </c>
      <c r="AI2400" s="66"/>
    </row>
    <row r="2401" spans="2:35" ht="13">
      <c r="B2401" t="s">
        <v>383</v>
      </c>
      <c r="C2401" t="s">
        <v>62</v>
      </c>
      <c r="D2401" t="s">
        <v>427</v>
      </c>
      <c r="E2401" t="s">
        <v>137</v>
      </c>
      <c r="F2401" s="122">
        <v>1</v>
      </c>
      <c r="G2401" s="122">
        <v>53</v>
      </c>
      <c r="H2401" s="122">
        <v>447</v>
      </c>
      <c r="I2401" s="122">
        <v>11641</v>
      </c>
      <c r="J2401" s="122">
        <v>10583</v>
      </c>
      <c r="K2401" s="122">
        <v>70</v>
      </c>
      <c r="L2401" s="122">
        <v>3530</v>
      </c>
      <c r="M2401" s="122">
        <v>1307</v>
      </c>
      <c r="N2401" s="122">
        <v>841</v>
      </c>
      <c r="O2401" s="122">
        <v>312</v>
      </c>
      <c r="P2401" s="122">
        <v>351</v>
      </c>
      <c r="Q2401" s="122">
        <v>130</v>
      </c>
      <c r="R2401" s="122">
        <v>7373</v>
      </c>
      <c r="S2401" s="122">
        <v>2731</v>
      </c>
      <c r="T2401" s="122">
        <v>0</v>
      </c>
      <c r="U2401" s="122">
        <v>0</v>
      </c>
      <c r="V2401" s="122">
        <v>15062</v>
      </c>
      <c r="W2401" s="122">
        <f t="shared" si="74"/>
        <v>15063</v>
      </c>
      <c r="X2401" s="122">
        <f t="shared" si="75"/>
        <v>23736</v>
      </c>
      <c r="AI2401" s="66"/>
    </row>
    <row r="2402" spans="2:35" ht="13">
      <c r="B2402" t="s">
        <v>383</v>
      </c>
      <c r="C2402" t="s">
        <v>62</v>
      </c>
      <c r="D2402" t="s">
        <v>427</v>
      </c>
      <c r="E2402" t="s">
        <v>427</v>
      </c>
      <c r="F2402" s="122">
        <v>10</v>
      </c>
      <c r="G2402" s="122">
        <v>785</v>
      </c>
      <c r="H2402" s="122">
        <v>4161</v>
      </c>
      <c r="I2402" s="122">
        <v>205998</v>
      </c>
      <c r="J2402" s="122">
        <v>187271</v>
      </c>
      <c r="K2402" s="122">
        <v>51</v>
      </c>
      <c r="L2402" s="122">
        <v>32789</v>
      </c>
      <c r="M2402" s="122">
        <v>17406</v>
      </c>
      <c r="N2402" s="122">
        <v>15281</v>
      </c>
      <c r="O2402" s="122">
        <v>5659</v>
      </c>
      <c r="P2402" s="122">
        <v>3159</v>
      </c>
      <c r="Q2402" s="122">
        <v>1170</v>
      </c>
      <c r="R2402" s="122">
        <v>66716</v>
      </c>
      <c r="S2402" s="122">
        <v>60651</v>
      </c>
      <c r="T2402" s="122">
        <v>10609</v>
      </c>
      <c r="U2402" s="122">
        <v>3929</v>
      </c>
      <c r="V2402" s="122">
        <v>276086</v>
      </c>
      <c r="W2402" s="122">
        <f t="shared" ref="W2402:W2465" si="76">SUM(ABS(J2402),ABS(M2402),ABS(O2402),ABS(Q2402),ABS(S2402),ABS(U2402))</f>
        <v>276086</v>
      </c>
      <c r="X2402" s="122">
        <f t="shared" ref="X2402:X2465" si="77">SUM(ABS(I2402),ABS(N2402),ABS(P2402),ABS(R2402),ABS(T2402),ABS(L2402))</f>
        <v>334552</v>
      </c>
      <c r="AI2402" s="66"/>
    </row>
    <row r="2403" spans="2:35" ht="13">
      <c r="B2403" t="s">
        <v>383</v>
      </c>
      <c r="C2403" t="s">
        <v>62</v>
      </c>
      <c r="D2403" t="s">
        <v>407</v>
      </c>
      <c r="E2403" t="s">
        <v>137</v>
      </c>
      <c r="F2403" s="122">
        <v>1</v>
      </c>
      <c r="G2403" s="122">
        <v>94</v>
      </c>
      <c r="H2403" s="122">
        <v>414</v>
      </c>
      <c r="I2403" s="122">
        <v>27297</v>
      </c>
      <c r="J2403" s="122">
        <v>24816</v>
      </c>
      <c r="K2403" s="122">
        <v>40</v>
      </c>
      <c r="L2403" s="122">
        <v>2426</v>
      </c>
      <c r="M2403" s="122">
        <v>2206</v>
      </c>
      <c r="N2403" s="122">
        <v>2181</v>
      </c>
      <c r="O2403" s="122">
        <v>808</v>
      </c>
      <c r="P2403" s="122">
        <v>0</v>
      </c>
      <c r="Q2403" s="122">
        <v>0</v>
      </c>
      <c r="R2403" s="122">
        <v>7131</v>
      </c>
      <c r="S2403" s="122">
        <v>2641</v>
      </c>
      <c r="T2403" s="122">
        <v>0</v>
      </c>
      <c r="U2403" s="122">
        <v>0</v>
      </c>
      <c r="V2403" s="122">
        <v>30470</v>
      </c>
      <c r="W2403" s="122">
        <f t="shared" si="76"/>
        <v>30471</v>
      </c>
      <c r="X2403" s="122">
        <f t="shared" si="77"/>
        <v>39035</v>
      </c>
      <c r="AI2403" s="66"/>
    </row>
    <row r="2404" spans="2:35" ht="13">
      <c r="B2404" t="s">
        <v>383</v>
      </c>
      <c r="C2404" t="s">
        <v>62</v>
      </c>
      <c r="D2404" t="s">
        <v>407</v>
      </c>
      <c r="E2404" t="s">
        <v>407</v>
      </c>
      <c r="F2404" s="122">
        <v>99</v>
      </c>
      <c r="G2404" s="122">
        <v>7704</v>
      </c>
      <c r="H2404" s="122">
        <v>41267</v>
      </c>
      <c r="I2404" s="122">
        <v>2069519</v>
      </c>
      <c r="J2404" s="122">
        <v>1881381</v>
      </c>
      <c r="K2404" s="122">
        <v>71</v>
      </c>
      <c r="L2404" s="122">
        <v>405663</v>
      </c>
      <c r="M2404" s="122">
        <v>342018</v>
      </c>
      <c r="N2404" s="122">
        <v>163920</v>
      </c>
      <c r="O2404" s="122">
        <v>60711</v>
      </c>
      <c r="P2404" s="122">
        <v>45320</v>
      </c>
      <c r="Q2404" s="122">
        <v>16785</v>
      </c>
      <c r="R2404" s="122">
        <v>487738</v>
      </c>
      <c r="S2404" s="122">
        <v>443398</v>
      </c>
      <c r="T2404" s="122">
        <v>113903</v>
      </c>
      <c r="U2404" s="122">
        <v>42186</v>
      </c>
      <c r="V2404" s="122">
        <v>2786479</v>
      </c>
      <c r="W2404" s="122">
        <f t="shared" si="76"/>
        <v>2786479</v>
      </c>
      <c r="X2404" s="122">
        <f t="shared" si="77"/>
        <v>3286063</v>
      </c>
      <c r="AI2404" s="66"/>
    </row>
    <row r="2405" spans="2:35" ht="13">
      <c r="B2405" t="s">
        <v>383</v>
      </c>
      <c r="C2405" t="s">
        <v>62</v>
      </c>
      <c r="D2405" t="s">
        <v>556</v>
      </c>
      <c r="E2405" t="s">
        <v>556</v>
      </c>
      <c r="F2405" s="122">
        <v>11</v>
      </c>
      <c r="G2405" s="122">
        <v>909</v>
      </c>
      <c r="H2405" s="122">
        <v>4617</v>
      </c>
      <c r="I2405" s="122">
        <v>247110</v>
      </c>
      <c r="J2405" s="122">
        <v>205925</v>
      </c>
      <c r="K2405" s="122">
        <v>55</v>
      </c>
      <c r="L2405" s="122">
        <v>27950</v>
      </c>
      <c r="M2405" s="122">
        <v>27775</v>
      </c>
      <c r="N2405" s="122">
        <v>17390</v>
      </c>
      <c r="O2405" s="122">
        <v>6441</v>
      </c>
      <c r="P2405" s="122">
        <v>3861</v>
      </c>
      <c r="Q2405" s="122">
        <v>1430</v>
      </c>
      <c r="R2405" s="122">
        <v>73492</v>
      </c>
      <c r="S2405" s="122">
        <v>61243</v>
      </c>
      <c r="T2405" s="122">
        <v>11036</v>
      </c>
      <c r="U2405" s="122">
        <v>4087</v>
      </c>
      <c r="V2405" s="122">
        <v>306901</v>
      </c>
      <c r="W2405" s="122">
        <f t="shared" si="76"/>
        <v>306901</v>
      </c>
      <c r="X2405" s="122">
        <f t="shared" si="77"/>
        <v>380839</v>
      </c>
      <c r="AI2405" s="66"/>
    </row>
    <row r="2406" spans="2:35" ht="13">
      <c r="B2406" t="s">
        <v>383</v>
      </c>
      <c r="C2406" t="s">
        <v>62</v>
      </c>
      <c r="D2406" t="s">
        <v>426</v>
      </c>
      <c r="E2406" t="s">
        <v>137</v>
      </c>
      <c r="F2406" s="122">
        <v>5</v>
      </c>
      <c r="G2406" s="122">
        <v>312</v>
      </c>
      <c r="H2406" s="122">
        <v>2114</v>
      </c>
      <c r="I2406" s="122">
        <v>87396</v>
      </c>
      <c r="J2406" s="122">
        <v>79451</v>
      </c>
      <c r="K2406" s="122">
        <v>45</v>
      </c>
      <c r="L2406" s="122">
        <v>8625</v>
      </c>
      <c r="M2406" s="122">
        <v>5305</v>
      </c>
      <c r="N2406" s="122">
        <v>7496</v>
      </c>
      <c r="O2406" s="122">
        <v>2776</v>
      </c>
      <c r="P2406" s="122">
        <v>1053</v>
      </c>
      <c r="Q2406" s="122">
        <v>390</v>
      </c>
      <c r="R2406" s="122">
        <v>27649</v>
      </c>
      <c r="S2406" s="122">
        <v>10240</v>
      </c>
      <c r="T2406" s="122">
        <v>0</v>
      </c>
      <c r="U2406" s="122">
        <v>0</v>
      </c>
      <c r="V2406" s="122">
        <v>98163</v>
      </c>
      <c r="W2406" s="122">
        <f t="shared" si="76"/>
        <v>98162</v>
      </c>
      <c r="X2406" s="122">
        <f t="shared" si="77"/>
        <v>132219</v>
      </c>
      <c r="AI2406" s="66"/>
    </row>
    <row r="2407" spans="2:35" ht="13">
      <c r="B2407" t="s">
        <v>383</v>
      </c>
      <c r="C2407" t="s">
        <v>62</v>
      </c>
      <c r="D2407" t="s">
        <v>426</v>
      </c>
      <c r="E2407" t="s">
        <v>406</v>
      </c>
      <c r="F2407" s="122">
        <v>1</v>
      </c>
      <c r="G2407" s="122">
        <v>47</v>
      </c>
      <c r="H2407" s="122">
        <v>429</v>
      </c>
      <c r="I2407" s="122">
        <v>9725</v>
      </c>
      <c r="J2407" s="122">
        <v>8841</v>
      </c>
      <c r="K2407" s="122">
        <v>45</v>
      </c>
      <c r="L2407" s="122">
        <v>0</v>
      </c>
      <c r="M2407" s="122">
        <v>0</v>
      </c>
      <c r="N2407" s="122">
        <v>956</v>
      </c>
      <c r="O2407" s="122">
        <v>354</v>
      </c>
      <c r="P2407" s="122">
        <v>621</v>
      </c>
      <c r="Q2407" s="122">
        <v>230</v>
      </c>
      <c r="R2407" s="122">
        <v>6438</v>
      </c>
      <c r="S2407" s="122">
        <v>5853</v>
      </c>
      <c r="T2407" s="122">
        <v>2416</v>
      </c>
      <c r="U2407" s="122">
        <v>895</v>
      </c>
      <c r="V2407" s="122">
        <v>16173</v>
      </c>
      <c r="W2407" s="122">
        <f t="shared" si="76"/>
        <v>16173</v>
      </c>
      <c r="X2407" s="122">
        <f t="shared" si="77"/>
        <v>20156</v>
      </c>
      <c r="AI2407" s="66"/>
    </row>
    <row r="2408" spans="2:35" ht="13">
      <c r="B2408" t="s">
        <v>383</v>
      </c>
      <c r="C2408" t="s">
        <v>62</v>
      </c>
      <c r="D2408" t="s">
        <v>426</v>
      </c>
      <c r="E2408" t="s">
        <v>426</v>
      </c>
      <c r="F2408" s="122">
        <v>324</v>
      </c>
      <c r="G2408" s="122">
        <v>22308</v>
      </c>
      <c r="H2408" s="122">
        <v>132383</v>
      </c>
      <c r="I2408" s="122">
        <v>5600324</v>
      </c>
      <c r="J2408" s="122">
        <v>5091204</v>
      </c>
      <c r="K2408" s="122">
        <v>51</v>
      </c>
      <c r="L2408" s="122">
        <v>537577</v>
      </c>
      <c r="M2408" s="122">
        <v>452012</v>
      </c>
      <c r="N2408" s="122">
        <v>460877</v>
      </c>
      <c r="O2408" s="122">
        <v>170695</v>
      </c>
      <c r="P2408" s="122">
        <v>112968</v>
      </c>
      <c r="Q2408" s="122">
        <v>41840</v>
      </c>
      <c r="R2408" s="122">
        <v>1752189</v>
      </c>
      <c r="S2408" s="122">
        <v>1592899</v>
      </c>
      <c r="T2408" s="122">
        <v>672563</v>
      </c>
      <c r="U2408" s="122">
        <v>249098</v>
      </c>
      <c r="V2408" s="122">
        <v>7597747</v>
      </c>
      <c r="W2408" s="122">
        <f t="shared" si="76"/>
        <v>7597748</v>
      </c>
      <c r="X2408" s="122">
        <f t="shared" si="77"/>
        <v>9136498</v>
      </c>
      <c r="AI2408" s="66"/>
    </row>
    <row r="2409" spans="2:35" ht="13">
      <c r="B2409" t="s">
        <v>383</v>
      </c>
      <c r="C2409" t="s">
        <v>62</v>
      </c>
      <c r="D2409" t="s">
        <v>433</v>
      </c>
      <c r="E2409" t="s">
        <v>433</v>
      </c>
      <c r="F2409" s="122">
        <v>2</v>
      </c>
      <c r="G2409" s="122">
        <v>254</v>
      </c>
      <c r="H2409" s="122">
        <v>835</v>
      </c>
      <c r="I2409" s="122">
        <v>69526</v>
      </c>
      <c r="J2409" s="122">
        <v>63205</v>
      </c>
      <c r="K2409" s="122">
        <v>65</v>
      </c>
      <c r="L2409" s="122">
        <v>16738</v>
      </c>
      <c r="M2409" s="122">
        <v>15216</v>
      </c>
      <c r="N2409" s="122">
        <v>3501</v>
      </c>
      <c r="O2409" s="122">
        <v>1297</v>
      </c>
      <c r="P2409" s="122">
        <v>702</v>
      </c>
      <c r="Q2409" s="122">
        <v>260</v>
      </c>
      <c r="R2409" s="122">
        <v>9619</v>
      </c>
      <c r="S2409" s="122">
        <v>8744</v>
      </c>
      <c r="T2409" s="122">
        <v>5385</v>
      </c>
      <c r="U2409" s="122">
        <v>1994</v>
      </c>
      <c r="V2409" s="122">
        <v>90717</v>
      </c>
      <c r="W2409" s="122">
        <f t="shared" si="76"/>
        <v>90716</v>
      </c>
      <c r="X2409" s="122">
        <f t="shared" si="77"/>
        <v>105471</v>
      </c>
      <c r="AI2409" s="66"/>
    </row>
    <row r="2410" spans="2:35" ht="13">
      <c r="B2410" t="s">
        <v>383</v>
      </c>
      <c r="C2410" t="s">
        <v>62</v>
      </c>
      <c r="D2410" t="s">
        <v>408</v>
      </c>
      <c r="E2410" t="s">
        <v>408</v>
      </c>
      <c r="F2410" s="122">
        <v>1</v>
      </c>
      <c r="G2410" s="122">
        <v>76</v>
      </c>
      <c r="H2410" s="122">
        <v>396</v>
      </c>
      <c r="I2410" s="122">
        <v>16308</v>
      </c>
      <c r="J2410" s="122">
        <v>14825</v>
      </c>
      <c r="K2410" s="122">
        <v>65</v>
      </c>
      <c r="L2410" s="122">
        <v>3926</v>
      </c>
      <c r="M2410" s="122">
        <v>3569</v>
      </c>
      <c r="N2410" s="122">
        <v>1443</v>
      </c>
      <c r="O2410" s="122">
        <v>534</v>
      </c>
      <c r="P2410" s="122">
        <v>351</v>
      </c>
      <c r="Q2410" s="122">
        <v>130</v>
      </c>
      <c r="R2410" s="122">
        <v>5211</v>
      </c>
      <c r="S2410" s="122">
        <v>4738</v>
      </c>
      <c r="T2410" s="122">
        <v>3008</v>
      </c>
      <c r="U2410" s="122">
        <v>1114</v>
      </c>
      <c r="V2410" s="122">
        <v>24910</v>
      </c>
      <c r="W2410" s="122">
        <f t="shared" si="76"/>
        <v>24910</v>
      </c>
      <c r="X2410" s="122">
        <f t="shared" si="77"/>
        <v>30247</v>
      </c>
      <c r="AI2410" s="66"/>
    </row>
    <row r="2411" spans="2:35" ht="13">
      <c r="B2411" t="s">
        <v>383</v>
      </c>
      <c r="C2411" t="s">
        <v>64</v>
      </c>
      <c r="D2411" t="s">
        <v>425</v>
      </c>
      <c r="E2411" t="s">
        <v>425</v>
      </c>
      <c r="F2411" s="122">
        <v>1</v>
      </c>
      <c r="G2411" s="122">
        <v>92</v>
      </c>
      <c r="H2411" s="122">
        <v>458</v>
      </c>
      <c r="I2411" s="122">
        <v>26649</v>
      </c>
      <c r="J2411" s="122">
        <v>24227</v>
      </c>
      <c r="K2411" s="122">
        <v>73</v>
      </c>
      <c r="L2411" s="122">
        <v>7473</v>
      </c>
      <c r="M2411" s="122">
        <v>6227</v>
      </c>
      <c r="N2411" s="122">
        <v>2196</v>
      </c>
      <c r="O2411" s="122">
        <v>813</v>
      </c>
      <c r="P2411" s="122">
        <v>473</v>
      </c>
      <c r="Q2411" s="122">
        <v>175</v>
      </c>
      <c r="R2411" s="122">
        <v>5279</v>
      </c>
      <c r="S2411" s="122">
        <v>4799</v>
      </c>
      <c r="T2411" s="122">
        <v>0</v>
      </c>
      <c r="U2411" s="122">
        <v>0</v>
      </c>
      <c r="V2411" s="122">
        <v>36241</v>
      </c>
      <c r="W2411" s="122">
        <f t="shared" si="76"/>
        <v>36241</v>
      </c>
      <c r="X2411" s="122">
        <f t="shared" si="77"/>
        <v>42070</v>
      </c>
      <c r="AI2411" s="66"/>
    </row>
    <row r="2412" spans="2:35" ht="13">
      <c r="B2412" t="s">
        <v>383</v>
      </c>
      <c r="C2412" t="s">
        <v>64</v>
      </c>
      <c r="D2412" t="s">
        <v>425</v>
      </c>
      <c r="E2412" t="s">
        <v>137</v>
      </c>
      <c r="F2412" s="122">
        <v>1</v>
      </c>
      <c r="G2412" s="122">
        <v>178</v>
      </c>
      <c r="H2412" s="122">
        <v>507</v>
      </c>
      <c r="I2412" s="122">
        <v>58862</v>
      </c>
      <c r="J2412" s="122">
        <v>53511</v>
      </c>
      <c r="K2412" s="122">
        <v>81</v>
      </c>
      <c r="L2412" s="122">
        <v>16743</v>
      </c>
      <c r="M2412" s="122">
        <v>15221</v>
      </c>
      <c r="N2412" s="122">
        <v>3408</v>
      </c>
      <c r="O2412" s="122">
        <v>1262</v>
      </c>
      <c r="P2412" s="122">
        <v>473</v>
      </c>
      <c r="Q2412" s="122">
        <v>175</v>
      </c>
      <c r="R2412" s="122">
        <v>10759</v>
      </c>
      <c r="S2412" s="122">
        <v>3985</v>
      </c>
      <c r="T2412" s="122">
        <v>0</v>
      </c>
      <c r="U2412" s="122">
        <v>0</v>
      </c>
      <c r="V2412" s="122">
        <v>74154</v>
      </c>
      <c r="W2412" s="122">
        <f t="shared" si="76"/>
        <v>74154</v>
      </c>
      <c r="X2412" s="122">
        <f t="shared" si="77"/>
        <v>90245</v>
      </c>
      <c r="AI2412" s="66"/>
    </row>
    <row r="2413" spans="2:35" ht="13">
      <c r="B2413" t="s">
        <v>383</v>
      </c>
      <c r="C2413" t="s">
        <v>64</v>
      </c>
      <c r="D2413" t="s">
        <v>405</v>
      </c>
      <c r="E2413" t="s">
        <v>405</v>
      </c>
      <c r="F2413" s="122">
        <v>5</v>
      </c>
      <c r="G2413" s="122">
        <v>500</v>
      </c>
      <c r="H2413" s="122">
        <v>2456</v>
      </c>
      <c r="I2413" s="122">
        <v>177466</v>
      </c>
      <c r="J2413" s="122">
        <v>161333</v>
      </c>
      <c r="K2413" s="122">
        <v>68</v>
      </c>
      <c r="L2413" s="122">
        <v>38473</v>
      </c>
      <c r="M2413" s="122">
        <v>34976</v>
      </c>
      <c r="N2413" s="122">
        <v>12111</v>
      </c>
      <c r="O2413" s="122">
        <v>4486</v>
      </c>
      <c r="P2413" s="122">
        <v>1998</v>
      </c>
      <c r="Q2413" s="122">
        <v>740</v>
      </c>
      <c r="R2413" s="122">
        <v>28407</v>
      </c>
      <c r="S2413" s="122">
        <v>25825</v>
      </c>
      <c r="T2413" s="122">
        <v>5514</v>
      </c>
      <c r="U2413" s="122">
        <v>2042</v>
      </c>
      <c r="V2413" s="122">
        <v>229401</v>
      </c>
      <c r="W2413" s="122">
        <f t="shared" si="76"/>
        <v>229402</v>
      </c>
      <c r="X2413" s="122">
        <f t="shared" si="77"/>
        <v>263969</v>
      </c>
      <c r="AI2413" s="66"/>
    </row>
    <row r="2414" spans="2:35" ht="13">
      <c r="B2414" t="s">
        <v>383</v>
      </c>
      <c r="C2414" t="s">
        <v>64</v>
      </c>
      <c r="D2414" t="s">
        <v>137</v>
      </c>
      <c r="E2414" t="s">
        <v>405</v>
      </c>
      <c r="F2414" s="122">
        <v>1</v>
      </c>
      <c r="G2414" s="122">
        <v>245</v>
      </c>
      <c r="H2414" s="122">
        <v>528</v>
      </c>
      <c r="I2414" s="122">
        <v>109308</v>
      </c>
      <c r="J2414" s="122">
        <v>40484</v>
      </c>
      <c r="K2414" s="122">
        <v>100</v>
      </c>
      <c r="L2414" s="122">
        <v>6162</v>
      </c>
      <c r="M2414" s="122">
        <v>5602</v>
      </c>
      <c r="N2414" s="122">
        <v>3851</v>
      </c>
      <c r="O2414" s="122">
        <v>1426</v>
      </c>
      <c r="P2414" s="122">
        <v>473</v>
      </c>
      <c r="Q2414" s="122">
        <v>175</v>
      </c>
      <c r="R2414" s="122">
        <v>5552</v>
      </c>
      <c r="S2414" s="122">
        <v>5048</v>
      </c>
      <c r="T2414" s="122">
        <v>4034</v>
      </c>
      <c r="U2414" s="122">
        <v>1494</v>
      </c>
      <c r="V2414" s="122">
        <v>54229</v>
      </c>
      <c r="W2414" s="122">
        <f t="shared" si="76"/>
        <v>54229</v>
      </c>
      <c r="X2414" s="122">
        <f t="shared" si="77"/>
        <v>129380</v>
      </c>
      <c r="AI2414" s="66"/>
    </row>
    <row r="2415" spans="2:35" ht="13">
      <c r="B2415" t="s">
        <v>383</v>
      </c>
      <c r="C2415" t="s">
        <v>64</v>
      </c>
      <c r="D2415" t="s">
        <v>137</v>
      </c>
      <c r="E2415" t="s">
        <v>137</v>
      </c>
      <c r="F2415" s="122">
        <v>299</v>
      </c>
      <c r="G2415" s="122">
        <v>22531</v>
      </c>
      <c r="H2415" s="122">
        <v>183677</v>
      </c>
      <c r="I2415" s="122">
        <v>9917862</v>
      </c>
      <c r="J2415" s="122">
        <v>3673282</v>
      </c>
      <c r="K2415" s="122">
        <v>100</v>
      </c>
      <c r="L2415" s="122">
        <v>1652209</v>
      </c>
      <c r="M2415" s="122">
        <v>1359850</v>
      </c>
      <c r="N2415" s="122">
        <v>503751</v>
      </c>
      <c r="O2415" s="122">
        <v>186574</v>
      </c>
      <c r="P2415" s="122">
        <v>5886</v>
      </c>
      <c r="Q2415" s="122">
        <v>2180</v>
      </c>
      <c r="R2415" s="122">
        <v>1996649</v>
      </c>
      <c r="S2415" s="122">
        <v>739500</v>
      </c>
      <c r="T2415" s="122">
        <v>5651</v>
      </c>
      <c r="U2415" s="122">
        <v>2093</v>
      </c>
      <c r="V2415" s="122">
        <v>5963480</v>
      </c>
      <c r="W2415" s="122">
        <f t="shared" si="76"/>
        <v>5963479</v>
      </c>
      <c r="X2415" s="122">
        <f t="shared" si="77"/>
        <v>14082008</v>
      </c>
      <c r="AI2415" s="66"/>
    </row>
    <row r="2416" spans="2:35" ht="13">
      <c r="B2416" t="s">
        <v>383</v>
      </c>
      <c r="C2416" t="s">
        <v>64</v>
      </c>
      <c r="D2416" t="s">
        <v>137</v>
      </c>
      <c r="E2416" t="s">
        <v>406</v>
      </c>
      <c r="F2416" s="122">
        <v>4</v>
      </c>
      <c r="G2416" s="122">
        <v>624</v>
      </c>
      <c r="H2416" s="122">
        <v>2218</v>
      </c>
      <c r="I2416" s="122">
        <v>232190</v>
      </c>
      <c r="J2416" s="122">
        <v>85996</v>
      </c>
      <c r="K2416" s="122">
        <v>100</v>
      </c>
      <c r="L2416" s="122">
        <v>53425</v>
      </c>
      <c r="M2416" s="122">
        <v>48569</v>
      </c>
      <c r="N2416" s="122">
        <v>14791</v>
      </c>
      <c r="O2416" s="122">
        <v>5478</v>
      </c>
      <c r="P2416" s="122">
        <v>1242</v>
      </c>
      <c r="Q2416" s="122">
        <v>460</v>
      </c>
      <c r="R2416" s="122">
        <v>29691</v>
      </c>
      <c r="S2416" s="122">
        <v>26992</v>
      </c>
      <c r="T2416" s="122">
        <v>9886</v>
      </c>
      <c r="U2416" s="122">
        <v>3662</v>
      </c>
      <c r="V2416" s="122">
        <v>171156</v>
      </c>
      <c r="W2416" s="122">
        <f t="shared" si="76"/>
        <v>171157</v>
      </c>
      <c r="X2416" s="122">
        <f t="shared" si="77"/>
        <v>341225</v>
      </c>
      <c r="AI2416" s="66"/>
    </row>
    <row r="2417" spans="2:35" ht="13">
      <c r="B2417" t="s">
        <v>383</v>
      </c>
      <c r="C2417" t="s">
        <v>64</v>
      </c>
      <c r="D2417" t="s">
        <v>137</v>
      </c>
      <c r="E2417" t="s">
        <v>427</v>
      </c>
      <c r="F2417" s="122">
        <v>1</v>
      </c>
      <c r="G2417" s="122">
        <v>69</v>
      </c>
      <c r="H2417" s="122">
        <v>884</v>
      </c>
      <c r="I2417" s="122">
        <v>47157</v>
      </c>
      <c r="J2417" s="122">
        <v>17466</v>
      </c>
      <c r="K2417" s="122">
        <v>100</v>
      </c>
      <c r="L2417" s="122">
        <v>4269</v>
      </c>
      <c r="M2417" s="122">
        <v>3881</v>
      </c>
      <c r="N2417" s="122">
        <v>1676</v>
      </c>
      <c r="O2417" s="122">
        <v>621</v>
      </c>
      <c r="P2417" s="122">
        <v>0</v>
      </c>
      <c r="Q2417" s="122">
        <v>0</v>
      </c>
      <c r="R2417" s="122">
        <v>4804</v>
      </c>
      <c r="S2417" s="122">
        <v>4368</v>
      </c>
      <c r="T2417" s="122">
        <v>2904</v>
      </c>
      <c r="U2417" s="122">
        <v>1076</v>
      </c>
      <c r="V2417" s="122">
        <v>27411</v>
      </c>
      <c r="W2417" s="122">
        <f t="shared" si="76"/>
        <v>27412</v>
      </c>
      <c r="X2417" s="122">
        <f t="shared" si="77"/>
        <v>60810</v>
      </c>
      <c r="AI2417" s="66"/>
    </row>
    <row r="2418" spans="2:35" ht="13">
      <c r="B2418" t="s">
        <v>383</v>
      </c>
      <c r="C2418" t="s">
        <v>64</v>
      </c>
      <c r="D2418" t="s">
        <v>137</v>
      </c>
      <c r="E2418" t="s">
        <v>428</v>
      </c>
      <c r="F2418" s="122">
        <v>1</v>
      </c>
      <c r="G2418" s="122">
        <v>64</v>
      </c>
      <c r="H2418" s="122">
        <v>892</v>
      </c>
      <c r="I2418" s="122">
        <v>44191</v>
      </c>
      <c r="J2418" s="122">
        <v>16367</v>
      </c>
      <c r="K2418" s="122">
        <v>100</v>
      </c>
      <c r="L2418" s="122">
        <v>3078</v>
      </c>
      <c r="M2418" s="122">
        <v>2798</v>
      </c>
      <c r="N2418" s="122">
        <v>1562</v>
      </c>
      <c r="O2418" s="122">
        <v>579</v>
      </c>
      <c r="P2418" s="122">
        <v>0</v>
      </c>
      <c r="Q2418" s="122">
        <v>0</v>
      </c>
      <c r="R2418" s="122">
        <v>8325</v>
      </c>
      <c r="S2418" s="122">
        <v>7568</v>
      </c>
      <c r="T2418" s="122">
        <v>0</v>
      </c>
      <c r="U2418" s="122">
        <v>0</v>
      </c>
      <c r="V2418" s="122">
        <v>27311</v>
      </c>
      <c r="W2418" s="122">
        <f t="shared" si="76"/>
        <v>27312</v>
      </c>
      <c r="X2418" s="122">
        <f t="shared" si="77"/>
        <v>57156</v>
      </c>
      <c r="AI2418" s="66"/>
    </row>
    <row r="2419" spans="2:35" ht="13">
      <c r="B2419" t="s">
        <v>383</v>
      </c>
      <c r="C2419" t="s">
        <v>64</v>
      </c>
      <c r="D2419" t="s">
        <v>137</v>
      </c>
      <c r="E2419" t="s">
        <v>426</v>
      </c>
      <c r="F2419" s="122">
        <v>19</v>
      </c>
      <c r="G2419" s="122">
        <v>1659</v>
      </c>
      <c r="H2419" s="122">
        <v>11702</v>
      </c>
      <c r="I2419" s="122">
        <v>742127</v>
      </c>
      <c r="J2419" s="122">
        <v>274862</v>
      </c>
      <c r="K2419" s="122">
        <v>100</v>
      </c>
      <c r="L2419" s="122">
        <v>123492</v>
      </c>
      <c r="M2419" s="122">
        <v>99676</v>
      </c>
      <c r="N2419" s="122">
        <v>39516</v>
      </c>
      <c r="O2419" s="122">
        <v>14636</v>
      </c>
      <c r="P2419" s="122">
        <v>1404</v>
      </c>
      <c r="Q2419" s="122">
        <v>520</v>
      </c>
      <c r="R2419" s="122">
        <v>104288</v>
      </c>
      <c r="S2419" s="122">
        <v>94808</v>
      </c>
      <c r="T2419" s="122">
        <v>41467</v>
      </c>
      <c r="U2419" s="122">
        <v>15358</v>
      </c>
      <c r="V2419" s="122">
        <v>499859</v>
      </c>
      <c r="W2419" s="122">
        <f t="shared" si="76"/>
        <v>499860</v>
      </c>
      <c r="X2419" s="122">
        <f t="shared" si="77"/>
        <v>1052294</v>
      </c>
      <c r="AI2419" s="66"/>
    </row>
    <row r="2420" spans="2:35" ht="13">
      <c r="B2420" t="s">
        <v>383</v>
      </c>
      <c r="C2420" t="s">
        <v>64</v>
      </c>
      <c r="D2420" t="s">
        <v>406</v>
      </c>
      <c r="E2420" t="s">
        <v>137</v>
      </c>
      <c r="F2420" s="122">
        <v>11</v>
      </c>
      <c r="G2420" s="122">
        <v>832</v>
      </c>
      <c r="H2420" s="122">
        <v>5735</v>
      </c>
      <c r="I2420" s="122">
        <v>275941</v>
      </c>
      <c r="J2420" s="122">
        <v>250856</v>
      </c>
      <c r="K2420" s="122">
        <v>76</v>
      </c>
      <c r="L2420" s="122">
        <v>58984</v>
      </c>
      <c r="M2420" s="122">
        <v>51159</v>
      </c>
      <c r="N2420" s="122">
        <v>17272</v>
      </c>
      <c r="O2420" s="122">
        <v>6397</v>
      </c>
      <c r="P2420" s="122">
        <v>6480</v>
      </c>
      <c r="Q2420" s="122">
        <v>2400</v>
      </c>
      <c r="R2420" s="122">
        <v>66299</v>
      </c>
      <c r="S2420" s="122">
        <v>24555</v>
      </c>
      <c r="T2420" s="122">
        <v>0</v>
      </c>
      <c r="U2420" s="122">
        <v>0</v>
      </c>
      <c r="V2420" s="122">
        <v>335367</v>
      </c>
      <c r="W2420" s="122">
        <f t="shared" si="76"/>
        <v>335367</v>
      </c>
      <c r="X2420" s="122">
        <f t="shared" si="77"/>
        <v>424976</v>
      </c>
      <c r="AI2420" s="66"/>
    </row>
    <row r="2421" spans="2:35" ht="13">
      <c r="B2421" t="s">
        <v>383</v>
      </c>
      <c r="C2421" t="s">
        <v>64</v>
      </c>
      <c r="D2421" t="s">
        <v>406</v>
      </c>
      <c r="E2421" t="s">
        <v>406</v>
      </c>
      <c r="F2421" s="122">
        <v>280</v>
      </c>
      <c r="G2421" s="122">
        <v>23432</v>
      </c>
      <c r="H2421" s="122">
        <v>147581</v>
      </c>
      <c r="I2421" s="122">
        <v>8243301</v>
      </c>
      <c r="J2421" s="122">
        <v>7493910</v>
      </c>
      <c r="K2421" s="122">
        <v>71</v>
      </c>
      <c r="L2421" s="122">
        <v>1721209</v>
      </c>
      <c r="M2421" s="122">
        <v>1514065</v>
      </c>
      <c r="N2421" s="122">
        <v>522336</v>
      </c>
      <c r="O2421" s="122">
        <v>193458</v>
      </c>
      <c r="P2421" s="122">
        <v>174636</v>
      </c>
      <c r="Q2421" s="122">
        <v>64680</v>
      </c>
      <c r="R2421" s="122">
        <v>1358975</v>
      </c>
      <c r="S2421" s="122">
        <v>1235432</v>
      </c>
      <c r="T2421" s="122">
        <v>452436</v>
      </c>
      <c r="U2421" s="122">
        <v>167569</v>
      </c>
      <c r="V2421" s="122">
        <v>10669113</v>
      </c>
      <c r="W2421" s="122">
        <f t="shared" si="76"/>
        <v>10669114</v>
      </c>
      <c r="X2421" s="122">
        <f t="shared" si="77"/>
        <v>12472893</v>
      </c>
      <c r="AI2421" s="66"/>
    </row>
    <row r="2422" spans="2:35" ht="13">
      <c r="B2422" t="s">
        <v>383</v>
      </c>
      <c r="C2422" t="s">
        <v>64</v>
      </c>
      <c r="D2422" t="s">
        <v>406</v>
      </c>
      <c r="E2422" t="s">
        <v>426</v>
      </c>
      <c r="F2422" s="122">
        <v>1</v>
      </c>
      <c r="G2422" s="122">
        <v>63</v>
      </c>
      <c r="H2422" s="122">
        <v>555</v>
      </c>
      <c r="I2422" s="122">
        <v>21276</v>
      </c>
      <c r="J2422" s="122">
        <v>19342</v>
      </c>
      <c r="K2422" s="122">
        <v>85</v>
      </c>
      <c r="L2422" s="122">
        <v>6359</v>
      </c>
      <c r="M2422" s="122">
        <v>5781</v>
      </c>
      <c r="N2422" s="122">
        <v>1535</v>
      </c>
      <c r="O2422" s="122">
        <v>569</v>
      </c>
      <c r="P2422" s="122">
        <v>621</v>
      </c>
      <c r="Q2422" s="122">
        <v>230</v>
      </c>
      <c r="R2422" s="122">
        <v>5147</v>
      </c>
      <c r="S2422" s="122">
        <v>4679</v>
      </c>
      <c r="T2422" s="122">
        <v>0</v>
      </c>
      <c r="U2422" s="122">
        <v>0</v>
      </c>
      <c r="V2422" s="122">
        <v>30601</v>
      </c>
      <c r="W2422" s="122">
        <f t="shared" si="76"/>
        <v>30601</v>
      </c>
      <c r="X2422" s="122">
        <f t="shared" si="77"/>
        <v>34938</v>
      </c>
      <c r="AI2422" s="66"/>
    </row>
    <row r="2423" spans="2:35" ht="13">
      <c r="B2423" t="s">
        <v>383</v>
      </c>
      <c r="C2423" t="s">
        <v>64</v>
      </c>
      <c r="D2423" t="s">
        <v>427</v>
      </c>
      <c r="E2423" t="s">
        <v>137</v>
      </c>
      <c r="F2423" s="122">
        <v>5</v>
      </c>
      <c r="G2423" s="122">
        <v>388</v>
      </c>
      <c r="H2423" s="122">
        <v>5641</v>
      </c>
      <c r="I2423" s="122">
        <v>317156</v>
      </c>
      <c r="J2423" s="122">
        <v>288324</v>
      </c>
      <c r="K2423" s="122">
        <v>33</v>
      </c>
      <c r="L2423" s="122">
        <v>37618</v>
      </c>
      <c r="M2423" s="122">
        <v>24299</v>
      </c>
      <c r="N2423" s="122">
        <v>8542</v>
      </c>
      <c r="O2423" s="122">
        <v>3164</v>
      </c>
      <c r="P2423" s="122">
        <v>351</v>
      </c>
      <c r="Q2423" s="122">
        <v>130</v>
      </c>
      <c r="R2423" s="122">
        <v>53789</v>
      </c>
      <c r="S2423" s="122">
        <v>19922</v>
      </c>
      <c r="T2423" s="122">
        <v>0</v>
      </c>
      <c r="U2423" s="122">
        <v>0</v>
      </c>
      <c r="V2423" s="122">
        <v>335838</v>
      </c>
      <c r="W2423" s="122">
        <f t="shared" si="76"/>
        <v>335839</v>
      </c>
      <c r="X2423" s="122">
        <f t="shared" si="77"/>
        <v>417456</v>
      </c>
      <c r="AI2423" s="66"/>
    </row>
    <row r="2424" spans="2:35" ht="13">
      <c r="B2424" t="s">
        <v>383</v>
      </c>
      <c r="C2424" t="s">
        <v>64</v>
      </c>
      <c r="D2424" t="s">
        <v>427</v>
      </c>
      <c r="E2424" t="s">
        <v>406</v>
      </c>
      <c r="F2424" s="122">
        <v>1</v>
      </c>
      <c r="G2424" s="122">
        <v>60</v>
      </c>
      <c r="H2424" s="122">
        <v>707</v>
      </c>
      <c r="I2424" s="122">
        <v>27357</v>
      </c>
      <c r="J2424" s="122">
        <v>24870</v>
      </c>
      <c r="K2424" s="122">
        <v>70</v>
      </c>
      <c r="L2424" s="122">
        <v>6738</v>
      </c>
      <c r="M2424" s="122">
        <v>6125</v>
      </c>
      <c r="N2424" s="122">
        <v>1467</v>
      </c>
      <c r="O2424" s="122">
        <v>543</v>
      </c>
      <c r="P2424" s="122">
        <v>621</v>
      </c>
      <c r="Q2424" s="122">
        <v>230</v>
      </c>
      <c r="R2424" s="122">
        <v>6359</v>
      </c>
      <c r="S2424" s="122">
        <v>5781</v>
      </c>
      <c r="T2424" s="122">
        <v>0</v>
      </c>
      <c r="U2424" s="122">
        <v>0</v>
      </c>
      <c r="V2424" s="122">
        <v>37550</v>
      </c>
      <c r="W2424" s="122">
        <f t="shared" si="76"/>
        <v>37549</v>
      </c>
      <c r="X2424" s="122">
        <f t="shared" si="77"/>
        <v>42542</v>
      </c>
      <c r="AI2424" s="66"/>
    </row>
    <row r="2425" spans="2:35" ht="13">
      <c r="B2425" t="s">
        <v>383</v>
      </c>
      <c r="C2425" t="s">
        <v>64</v>
      </c>
      <c r="D2425" t="s">
        <v>427</v>
      </c>
      <c r="E2425" t="s">
        <v>427</v>
      </c>
      <c r="F2425" s="122">
        <v>19</v>
      </c>
      <c r="G2425" s="122">
        <v>1524</v>
      </c>
      <c r="H2425" s="122">
        <v>11626</v>
      </c>
      <c r="I2425" s="122">
        <v>659288</v>
      </c>
      <c r="J2425" s="122">
        <v>599353</v>
      </c>
      <c r="K2425" s="122">
        <v>53</v>
      </c>
      <c r="L2425" s="122">
        <v>86483</v>
      </c>
      <c r="M2425" s="122">
        <v>73225</v>
      </c>
      <c r="N2425" s="122">
        <v>33657</v>
      </c>
      <c r="O2425" s="122">
        <v>12466</v>
      </c>
      <c r="P2425" s="122">
        <v>5738</v>
      </c>
      <c r="Q2425" s="122">
        <v>2125</v>
      </c>
      <c r="R2425" s="122">
        <v>126850</v>
      </c>
      <c r="S2425" s="122">
        <v>115318</v>
      </c>
      <c r="T2425" s="122">
        <v>29528</v>
      </c>
      <c r="U2425" s="122">
        <v>10936</v>
      </c>
      <c r="V2425" s="122">
        <v>813423</v>
      </c>
      <c r="W2425" s="122">
        <f t="shared" si="76"/>
        <v>813423</v>
      </c>
      <c r="X2425" s="122">
        <f t="shared" si="77"/>
        <v>941544</v>
      </c>
      <c r="AI2425" s="66"/>
    </row>
    <row r="2426" spans="2:35" ht="13">
      <c r="B2426" t="s">
        <v>383</v>
      </c>
      <c r="C2426" t="s">
        <v>64</v>
      </c>
      <c r="D2426" t="s">
        <v>407</v>
      </c>
      <c r="E2426" t="s">
        <v>407</v>
      </c>
      <c r="F2426" s="122">
        <v>68</v>
      </c>
      <c r="G2426" s="122">
        <v>4437</v>
      </c>
      <c r="H2426" s="122">
        <v>35510</v>
      </c>
      <c r="I2426" s="122">
        <v>1470851</v>
      </c>
      <c r="J2426" s="122">
        <v>1337137</v>
      </c>
      <c r="K2426" s="122">
        <v>66</v>
      </c>
      <c r="L2426" s="122">
        <v>282724</v>
      </c>
      <c r="M2426" s="122">
        <v>246606</v>
      </c>
      <c r="N2426" s="122">
        <v>99625</v>
      </c>
      <c r="O2426" s="122">
        <v>36898</v>
      </c>
      <c r="P2426" s="122">
        <v>30186</v>
      </c>
      <c r="Q2426" s="122">
        <v>11180</v>
      </c>
      <c r="R2426" s="122">
        <v>356801</v>
      </c>
      <c r="S2426" s="122">
        <v>324364</v>
      </c>
      <c r="T2426" s="122">
        <v>79554</v>
      </c>
      <c r="U2426" s="122">
        <v>29465</v>
      </c>
      <c r="V2426" s="122">
        <v>1985650</v>
      </c>
      <c r="W2426" s="122">
        <f t="shared" si="76"/>
        <v>1985650</v>
      </c>
      <c r="X2426" s="122">
        <f t="shared" si="77"/>
        <v>2319741</v>
      </c>
      <c r="AI2426" s="66"/>
    </row>
    <row r="2427" spans="2:35" ht="13">
      <c r="B2427" t="s">
        <v>383</v>
      </c>
      <c r="C2427" t="s">
        <v>64</v>
      </c>
      <c r="D2427" t="s">
        <v>556</v>
      </c>
      <c r="E2427" t="s">
        <v>137</v>
      </c>
      <c r="F2427" s="122">
        <v>4</v>
      </c>
      <c r="G2427" s="122">
        <v>412</v>
      </c>
      <c r="H2427" s="122">
        <v>3049</v>
      </c>
      <c r="I2427" s="122">
        <v>252336</v>
      </c>
      <c r="J2427" s="122">
        <v>210280</v>
      </c>
      <c r="K2427" s="122">
        <v>41</v>
      </c>
      <c r="L2427" s="122">
        <v>24300</v>
      </c>
      <c r="M2427" s="122">
        <v>16121</v>
      </c>
      <c r="N2427" s="122">
        <v>10046</v>
      </c>
      <c r="O2427" s="122">
        <v>3721</v>
      </c>
      <c r="P2427" s="122">
        <v>0</v>
      </c>
      <c r="Q2427" s="122">
        <v>0</v>
      </c>
      <c r="R2427" s="122">
        <v>38144</v>
      </c>
      <c r="S2427" s="122">
        <v>14127</v>
      </c>
      <c r="T2427" s="122">
        <v>0</v>
      </c>
      <c r="U2427" s="122">
        <v>0</v>
      </c>
      <c r="V2427" s="122">
        <v>244250</v>
      </c>
      <c r="W2427" s="122">
        <f t="shared" si="76"/>
        <v>244249</v>
      </c>
      <c r="X2427" s="122">
        <f t="shared" si="77"/>
        <v>324826</v>
      </c>
      <c r="AI2427" s="66"/>
    </row>
    <row r="2428" spans="2:35" ht="13">
      <c r="B2428" t="s">
        <v>383</v>
      </c>
      <c r="C2428" t="s">
        <v>64</v>
      </c>
      <c r="D2428" t="s">
        <v>556</v>
      </c>
      <c r="E2428" t="s">
        <v>556</v>
      </c>
      <c r="F2428" s="122">
        <v>16</v>
      </c>
      <c r="G2428" s="122">
        <v>1188</v>
      </c>
      <c r="H2428" s="122">
        <v>10654</v>
      </c>
      <c r="I2428" s="122">
        <v>630284</v>
      </c>
      <c r="J2428" s="122">
        <v>525236</v>
      </c>
      <c r="K2428" s="122">
        <v>51</v>
      </c>
      <c r="L2428" s="122">
        <v>71851</v>
      </c>
      <c r="M2428" s="122">
        <v>65349</v>
      </c>
      <c r="N2428" s="122">
        <v>26723</v>
      </c>
      <c r="O2428" s="122">
        <v>9897</v>
      </c>
      <c r="P2428" s="122">
        <v>3510</v>
      </c>
      <c r="Q2428" s="122">
        <v>1300</v>
      </c>
      <c r="R2428" s="122">
        <v>111200</v>
      </c>
      <c r="S2428" s="122">
        <v>92666</v>
      </c>
      <c r="T2428" s="122">
        <v>21058</v>
      </c>
      <c r="U2428" s="122">
        <v>7799</v>
      </c>
      <c r="V2428" s="122">
        <v>702249</v>
      </c>
      <c r="W2428" s="122">
        <f t="shared" si="76"/>
        <v>702247</v>
      </c>
      <c r="X2428" s="122">
        <f t="shared" si="77"/>
        <v>864626</v>
      </c>
      <c r="AI2428" s="66"/>
    </row>
    <row r="2429" spans="2:35" ht="13">
      <c r="B2429" t="s">
        <v>383</v>
      </c>
      <c r="C2429" t="s">
        <v>64</v>
      </c>
      <c r="D2429" t="s">
        <v>428</v>
      </c>
      <c r="E2429" t="s">
        <v>428</v>
      </c>
      <c r="F2429" s="122">
        <v>2</v>
      </c>
      <c r="G2429" s="122">
        <v>152</v>
      </c>
      <c r="H2429" s="122">
        <v>1010</v>
      </c>
      <c r="I2429" s="122">
        <v>49672</v>
      </c>
      <c r="J2429" s="122">
        <v>45156</v>
      </c>
      <c r="K2429" s="122">
        <v>65</v>
      </c>
      <c r="L2429" s="122">
        <v>11688</v>
      </c>
      <c r="M2429" s="122">
        <v>10626</v>
      </c>
      <c r="N2429" s="122">
        <v>3286</v>
      </c>
      <c r="O2429" s="122">
        <v>1217</v>
      </c>
      <c r="P2429" s="122">
        <v>972</v>
      </c>
      <c r="Q2429" s="122">
        <v>360</v>
      </c>
      <c r="R2429" s="122">
        <v>8905</v>
      </c>
      <c r="S2429" s="122">
        <v>8096</v>
      </c>
      <c r="T2429" s="122">
        <v>2092</v>
      </c>
      <c r="U2429" s="122">
        <v>775</v>
      </c>
      <c r="V2429" s="122">
        <v>66229</v>
      </c>
      <c r="W2429" s="122">
        <f t="shared" si="76"/>
        <v>66230</v>
      </c>
      <c r="X2429" s="122">
        <f t="shared" si="77"/>
        <v>76615</v>
      </c>
      <c r="AI2429" s="66"/>
    </row>
    <row r="2430" spans="2:35" ht="13">
      <c r="B2430" t="s">
        <v>383</v>
      </c>
      <c r="C2430" t="s">
        <v>64</v>
      </c>
      <c r="D2430" t="s">
        <v>431</v>
      </c>
      <c r="E2430" t="s">
        <v>431</v>
      </c>
      <c r="F2430" s="122">
        <v>1</v>
      </c>
      <c r="G2430" s="122">
        <v>98</v>
      </c>
      <c r="H2430" s="122">
        <v>589</v>
      </c>
      <c r="I2430" s="122">
        <v>37171</v>
      </c>
      <c r="J2430" s="122">
        <v>33792</v>
      </c>
      <c r="K2430" s="122">
        <v>45</v>
      </c>
      <c r="L2430" s="122">
        <v>6195</v>
      </c>
      <c r="M2430" s="122">
        <v>5632</v>
      </c>
      <c r="N2430" s="122">
        <v>1723</v>
      </c>
      <c r="O2430" s="122">
        <v>638</v>
      </c>
      <c r="P2430" s="122">
        <v>351</v>
      </c>
      <c r="Q2430" s="122">
        <v>130</v>
      </c>
      <c r="R2430" s="122">
        <v>12000</v>
      </c>
      <c r="S2430" s="122">
        <v>10909</v>
      </c>
      <c r="T2430" s="122">
        <v>0</v>
      </c>
      <c r="U2430" s="122">
        <v>0</v>
      </c>
      <c r="V2430" s="122">
        <v>51101</v>
      </c>
      <c r="W2430" s="122">
        <f t="shared" si="76"/>
        <v>51101</v>
      </c>
      <c r="X2430" s="122">
        <f t="shared" si="77"/>
        <v>57440</v>
      </c>
      <c r="AI2430" s="66"/>
    </row>
    <row r="2431" spans="2:35" ht="13">
      <c r="B2431" t="s">
        <v>383</v>
      </c>
      <c r="C2431" t="s">
        <v>64</v>
      </c>
      <c r="D2431" t="s">
        <v>426</v>
      </c>
      <c r="E2431" t="s">
        <v>137</v>
      </c>
      <c r="F2431" s="122">
        <v>47</v>
      </c>
      <c r="G2431" s="122">
        <v>4244</v>
      </c>
      <c r="H2431" s="122">
        <v>42315</v>
      </c>
      <c r="I2431" s="122">
        <v>3128650</v>
      </c>
      <c r="J2431" s="122">
        <v>2844227</v>
      </c>
      <c r="K2431" s="122">
        <v>39</v>
      </c>
      <c r="L2431" s="122">
        <v>276407</v>
      </c>
      <c r="M2431" s="122">
        <v>154386</v>
      </c>
      <c r="N2431" s="122">
        <v>99792</v>
      </c>
      <c r="O2431" s="122">
        <v>36960</v>
      </c>
      <c r="P2431" s="122">
        <v>2457</v>
      </c>
      <c r="Q2431" s="122">
        <v>910</v>
      </c>
      <c r="R2431" s="122">
        <v>348083</v>
      </c>
      <c r="S2431" s="122">
        <v>128920</v>
      </c>
      <c r="T2431" s="122">
        <v>4644</v>
      </c>
      <c r="U2431" s="122">
        <v>1720</v>
      </c>
      <c r="V2431" s="122">
        <v>3167123</v>
      </c>
      <c r="W2431" s="122">
        <f t="shared" si="76"/>
        <v>3167123</v>
      </c>
      <c r="X2431" s="122">
        <f t="shared" si="77"/>
        <v>3860033</v>
      </c>
      <c r="AI2431" s="66"/>
    </row>
    <row r="2432" spans="2:35" ht="13">
      <c r="B2432" t="s">
        <v>383</v>
      </c>
      <c r="C2432" t="s">
        <v>64</v>
      </c>
      <c r="D2432" t="s">
        <v>426</v>
      </c>
      <c r="E2432" t="s">
        <v>406</v>
      </c>
      <c r="F2432" s="122">
        <v>2</v>
      </c>
      <c r="G2432" s="122">
        <v>208</v>
      </c>
      <c r="H2432" s="122">
        <v>2421</v>
      </c>
      <c r="I2432" s="122">
        <v>202731</v>
      </c>
      <c r="J2432" s="122">
        <v>184301</v>
      </c>
      <c r="K2432" s="122">
        <v>30</v>
      </c>
      <c r="L2432" s="122">
        <v>17144</v>
      </c>
      <c r="M2432" s="122">
        <v>15585</v>
      </c>
      <c r="N2432" s="122">
        <v>4831</v>
      </c>
      <c r="O2432" s="122">
        <v>1789</v>
      </c>
      <c r="P2432" s="122">
        <v>270</v>
      </c>
      <c r="Q2432" s="122">
        <v>100</v>
      </c>
      <c r="R2432" s="122">
        <v>13965</v>
      </c>
      <c r="S2432" s="122">
        <v>12696</v>
      </c>
      <c r="T2432" s="122">
        <v>4633</v>
      </c>
      <c r="U2432" s="122">
        <v>1716</v>
      </c>
      <c r="V2432" s="122">
        <v>216187</v>
      </c>
      <c r="W2432" s="122">
        <f t="shared" si="76"/>
        <v>216187</v>
      </c>
      <c r="X2432" s="122">
        <f t="shared" si="77"/>
        <v>243574</v>
      </c>
      <c r="AI2432" s="66"/>
    </row>
    <row r="2433" spans="2:35" ht="13">
      <c r="B2433" t="s">
        <v>383</v>
      </c>
      <c r="C2433" t="s">
        <v>64</v>
      </c>
      <c r="D2433" t="s">
        <v>426</v>
      </c>
      <c r="E2433" t="s">
        <v>426</v>
      </c>
      <c r="F2433" s="122">
        <v>300</v>
      </c>
      <c r="G2433" s="122">
        <v>21489</v>
      </c>
      <c r="H2433" s="122">
        <v>178279</v>
      </c>
      <c r="I2433" s="122">
        <v>9057780</v>
      </c>
      <c r="J2433" s="122">
        <v>8234345</v>
      </c>
      <c r="K2433" s="122">
        <v>50</v>
      </c>
      <c r="L2433" s="122">
        <v>1075470</v>
      </c>
      <c r="M2433" s="122">
        <v>848643</v>
      </c>
      <c r="N2433" s="122">
        <v>461652</v>
      </c>
      <c r="O2433" s="122">
        <v>170982</v>
      </c>
      <c r="P2433" s="122">
        <v>98402</v>
      </c>
      <c r="Q2433" s="122">
        <v>36445</v>
      </c>
      <c r="R2433" s="122">
        <v>1721928</v>
      </c>
      <c r="S2433" s="122">
        <v>1565389</v>
      </c>
      <c r="T2433" s="122">
        <v>580256</v>
      </c>
      <c r="U2433" s="122">
        <v>214910</v>
      </c>
      <c r="V2433" s="122">
        <v>11070714</v>
      </c>
      <c r="W2433" s="122">
        <f t="shared" si="76"/>
        <v>11070714</v>
      </c>
      <c r="X2433" s="122">
        <f t="shared" si="77"/>
        <v>12995488</v>
      </c>
      <c r="AI2433" s="66"/>
    </row>
    <row r="2434" spans="2:35" ht="13">
      <c r="B2434" t="s">
        <v>383</v>
      </c>
      <c r="C2434" t="s">
        <v>64</v>
      </c>
      <c r="D2434" t="s">
        <v>433</v>
      </c>
      <c r="E2434" t="s">
        <v>433</v>
      </c>
      <c r="F2434" s="122">
        <v>4</v>
      </c>
      <c r="G2434" s="122">
        <v>297</v>
      </c>
      <c r="H2434" s="122">
        <v>2420</v>
      </c>
      <c r="I2434" s="122">
        <v>120956</v>
      </c>
      <c r="J2434" s="122">
        <v>109960</v>
      </c>
      <c r="K2434" s="122">
        <v>55</v>
      </c>
      <c r="L2434" s="122">
        <v>13917</v>
      </c>
      <c r="M2434" s="122">
        <v>11047</v>
      </c>
      <c r="N2434" s="122">
        <v>5653</v>
      </c>
      <c r="O2434" s="122">
        <v>2094</v>
      </c>
      <c r="P2434" s="122">
        <v>1404</v>
      </c>
      <c r="Q2434" s="122">
        <v>520</v>
      </c>
      <c r="R2434" s="122">
        <v>23480</v>
      </c>
      <c r="S2434" s="122">
        <v>21346</v>
      </c>
      <c r="T2434" s="122">
        <v>11021</v>
      </c>
      <c r="U2434" s="122">
        <v>4082</v>
      </c>
      <c r="V2434" s="122">
        <v>149049</v>
      </c>
      <c r="W2434" s="122">
        <f t="shared" si="76"/>
        <v>149049</v>
      </c>
      <c r="X2434" s="122">
        <f t="shared" si="77"/>
        <v>176431</v>
      </c>
      <c r="AI2434" s="66"/>
    </row>
    <row r="2435" spans="2:35" ht="13">
      <c r="B2435" t="s">
        <v>384</v>
      </c>
      <c r="C2435" t="s">
        <v>48</v>
      </c>
      <c r="D2435" t="s">
        <v>137</v>
      </c>
      <c r="E2435" t="s">
        <v>137</v>
      </c>
      <c r="F2435" s="122">
        <v>498</v>
      </c>
      <c r="G2435" s="122">
        <v>55612</v>
      </c>
      <c r="H2435" s="122">
        <v>27497</v>
      </c>
      <c r="I2435" s="122">
        <v>317147</v>
      </c>
      <c r="J2435" s="122">
        <v>117462</v>
      </c>
      <c r="K2435" s="122">
        <v>467</v>
      </c>
      <c r="L2435" s="122">
        <v>75977</v>
      </c>
      <c r="M2435" s="122">
        <v>64136</v>
      </c>
      <c r="N2435" s="122">
        <v>736745</v>
      </c>
      <c r="O2435" s="122">
        <v>272869</v>
      </c>
      <c r="P2435" s="122">
        <v>198959</v>
      </c>
      <c r="Q2435" s="122">
        <v>73689</v>
      </c>
      <c r="R2435" s="122">
        <v>1720394</v>
      </c>
      <c r="S2435" s="122">
        <v>637183</v>
      </c>
      <c r="T2435" s="122">
        <v>0</v>
      </c>
      <c r="U2435" s="122">
        <v>0</v>
      </c>
      <c r="V2435" s="122">
        <v>1165338</v>
      </c>
      <c r="W2435" s="122">
        <f t="shared" si="76"/>
        <v>1165339</v>
      </c>
      <c r="X2435" s="122">
        <f t="shared" si="77"/>
        <v>3049222</v>
      </c>
      <c r="AI2435" s="66"/>
    </row>
    <row r="2436" spans="2:35" ht="13">
      <c r="B2436" t="s">
        <v>384</v>
      </c>
      <c r="C2436" t="s">
        <v>48</v>
      </c>
      <c r="D2436" t="s">
        <v>407</v>
      </c>
      <c r="E2436" t="s">
        <v>407</v>
      </c>
      <c r="F2436" s="122">
        <v>161</v>
      </c>
      <c r="G2436" s="122">
        <v>15952</v>
      </c>
      <c r="H2436" s="122">
        <v>9219</v>
      </c>
      <c r="I2436" s="122">
        <v>82355</v>
      </c>
      <c r="J2436" s="122">
        <v>74869</v>
      </c>
      <c r="K2436" s="122">
        <v>90</v>
      </c>
      <c r="L2436" s="122">
        <v>5604</v>
      </c>
      <c r="M2436" s="122">
        <v>4774</v>
      </c>
      <c r="N2436" s="122">
        <v>202530</v>
      </c>
      <c r="O2436" s="122">
        <v>75011</v>
      </c>
      <c r="P2436" s="122">
        <v>76073</v>
      </c>
      <c r="Q2436" s="122">
        <v>28175</v>
      </c>
      <c r="R2436" s="122">
        <v>544056</v>
      </c>
      <c r="S2436" s="122">
        <v>494596</v>
      </c>
      <c r="T2436" s="122">
        <v>0</v>
      </c>
      <c r="U2436" s="122">
        <v>0</v>
      </c>
      <c r="V2436" s="122">
        <v>677425</v>
      </c>
      <c r="W2436" s="122">
        <f t="shared" si="76"/>
        <v>677425</v>
      </c>
      <c r="X2436" s="122">
        <f t="shared" si="77"/>
        <v>910618</v>
      </c>
      <c r="AI2436" s="66"/>
    </row>
    <row r="2437" spans="2:35" ht="13">
      <c r="B2437" t="s">
        <v>384</v>
      </c>
      <c r="C2437" t="s">
        <v>50</v>
      </c>
      <c r="D2437" t="s">
        <v>405</v>
      </c>
      <c r="E2437" t="s">
        <v>405</v>
      </c>
      <c r="F2437" s="122">
        <v>8</v>
      </c>
      <c r="G2437" s="122">
        <v>854</v>
      </c>
      <c r="H2437" s="122">
        <v>696</v>
      </c>
      <c r="I2437" s="122">
        <v>19923</v>
      </c>
      <c r="J2437" s="122">
        <v>18112</v>
      </c>
      <c r="K2437" s="122">
        <v>87</v>
      </c>
      <c r="L2437" s="122">
        <v>6412</v>
      </c>
      <c r="M2437" s="122">
        <v>5829</v>
      </c>
      <c r="N2437" s="122">
        <v>10400</v>
      </c>
      <c r="O2437" s="122">
        <v>3852</v>
      </c>
      <c r="P2437" s="122">
        <v>3780</v>
      </c>
      <c r="Q2437" s="122">
        <v>1400</v>
      </c>
      <c r="R2437" s="122">
        <v>33714</v>
      </c>
      <c r="S2437" s="122">
        <v>30649</v>
      </c>
      <c r="T2437" s="122">
        <v>0</v>
      </c>
      <c r="U2437" s="122">
        <v>0</v>
      </c>
      <c r="V2437" s="122">
        <v>59842</v>
      </c>
      <c r="W2437" s="122">
        <f t="shared" si="76"/>
        <v>59842</v>
      </c>
      <c r="X2437" s="122">
        <f t="shared" si="77"/>
        <v>74229</v>
      </c>
      <c r="AI2437" s="66"/>
    </row>
    <row r="2438" spans="2:35" ht="13">
      <c r="B2438" t="s">
        <v>384</v>
      </c>
      <c r="C2438" t="s">
        <v>50</v>
      </c>
      <c r="D2438" t="s">
        <v>137</v>
      </c>
      <c r="E2438" t="s">
        <v>137</v>
      </c>
      <c r="F2438" s="122">
        <v>71</v>
      </c>
      <c r="G2438" s="122">
        <v>6527</v>
      </c>
      <c r="H2438" s="122">
        <v>6470</v>
      </c>
      <c r="I2438" s="122">
        <v>195019</v>
      </c>
      <c r="J2438" s="122">
        <v>72229</v>
      </c>
      <c r="K2438" s="122">
        <v>394</v>
      </c>
      <c r="L2438" s="122">
        <v>47920</v>
      </c>
      <c r="M2438" s="122">
        <v>42757</v>
      </c>
      <c r="N2438" s="122">
        <v>113186</v>
      </c>
      <c r="O2438" s="122">
        <v>41921</v>
      </c>
      <c r="P2438" s="122">
        <v>25563</v>
      </c>
      <c r="Q2438" s="122">
        <v>9468</v>
      </c>
      <c r="R2438" s="122">
        <v>211262</v>
      </c>
      <c r="S2438" s="122">
        <v>78245</v>
      </c>
      <c r="T2438" s="122">
        <v>0</v>
      </c>
      <c r="U2438" s="122">
        <v>0</v>
      </c>
      <c r="V2438" s="122">
        <v>244620</v>
      </c>
      <c r="W2438" s="122">
        <f t="shared" si="76"/>
        <v>244620</v>
      </c>
      <c r="X2438" s="122">
        <f t="shared" si="77"/>
        <v>592950</v>
      </c>
      <c r="AI2438" s="66"/>
    </row>
    <row r="2439" spans="2:35" ht="13">
      <c r="B2439" t="s">
        <v>384</v>
      </c>
      <c r="C2439" t="s">
        <v>50</v>
      </c>
      <c r="D2439" t="s">
        <v>406</v>
      </c>
      <c r="E2439" t="s">
        <v>406</v>
      </c>
      <c r="F2439" s="122">
        <v>34</v>
      </c>
      <c r="G2439" s="122">
        <v>4073</v>
      </c>
      <c r="H2439" s="122">
        <v>3047</v>
      </c>
      <c r="I2439" s="122">
        <v>158558</v>
      </c>
      <c r="J2439" s="122">
        <v>144144</v>
      </c>
      <c r="K2439" s="122">
        <v>94</v>
      </c>
      <c r="L2439" s="122">
        <v>35449</v>
      </c>
      <c r="M2439" s="122">
        <v>29258</v>
      </c>
      <c r="N2439" s="122">
        <v>52405</v>
      </c>
      <c r="O2439" s="122">
        <v>19409</v>
      </c>
      <c r="P2439" s="122">
        <v>21114</v>
      </c>
      <c r="Q2439" s="122">
        <v>7820</v>
      </c>
      <c r="R2439" s="122">
        <v>95761</v>
      </c>
      <c r="S2439" s="122">
        <v>87055</v>
      </c>
      <c r="T2439" s="122">
        <v>0</v>
      </c>
      <c r="U2439" s="122">
        <v>0</v>
      </c>
      <c r="V2439" s="122">
        <v>287686</v>
      </c>
      <c r="W2439" s="122">
        <f t="shared" si="76"/>
        <v>287686</v>
      </c>
      <c r="X2439" s="122">
        <f t="shared" si="77"/>
        <v>363287</v>
      </c>
      <c r="AI2439" s="66"/>
    </row>
    <row r="2440" spans="2:35" ht="13">
      <c r="B2440" t="s">
        <v>384</v>
      </c>
      <c r="C2440" t="s">
        <v>50</v>
      </c>
      <c r="D2440" t="s">
        <v>407</v>
      </c>
      <c r="E2440" t="s">
        <v>407</v>
      </c>
      <c r="F2440" s="122">
        <v>36</v>
      </c>
      <c r="G2440" s="122">
        <v>3616</v>
      </c>
      <c r="H2440" s="122">
        <v>3272</v>
      </c>
      <c r="I2440" s="122">
        <v>141326</v>
      </c>
      <c r="J2440" s="122">
        <v>128478</v>
      </c>
      <c r="K2440" s="122">
        <v>90</v>
      </c>
      <c r="L2440" s="122">
        <v>11072</v>
      </c>
      <c r="M2440" s="122">
        <v>9655</v>
      </c>
      <c r="N2440" s="122">
        <v>63307</v>
      </c>
      <c r="O2440" s="122">
        <v>23447</v>
      </c>
      <c r="P2440" s="122">
        <v>17766</v>
      </c>
      <c r="Q2440" s="122">
        <v>6580</v>
      </c>
      <c r="R2440" s="122">
        <v>96186</v>
      </c>
      <c r="S2440" s="122">
        <v>87442</v>
      </c>
      <c r="T2440" s="122">
        <v>0</v>
      </c>
      <c r="U2440" s="122">
        <v>0</v>
      </c>
      <c r="V2440" s="122">
        <v>255602</v>
      </c>
      <c r="W2440" s="122">
        <f t="shared" si="76"/>
        <v>255602</v>
      </c>
      <c r="X2440" s="122">
        <f t="shared" si="77"/>
        <v>329657</v>
      </c>
      <c r="AI2440" s="66"/>
    </row>
    <row r="2441" spans="2:35" ht="13">
      <c r="B2441" t="s">
        <v>384</v>
      </c>
      <c r="C2441" t="s">
        <v>52</v>
      </c>
      <c r="D2441" t="s">
        <v>137</v>
      </c>
      <c r="E2441" t="s">
        <v>137</v>
      </c>
      <c r="F2441" s="122">
        <v>64</v>
      </c>
      <c r="G2441" s="122">
        <v>4944</v>
      </c>
      <c r="H2441" s="122">
        <v>7027</v>
      </c>
      <c r="I2441" s="122">
        <v>138943</v>
      </c>
      <c r="J2441" s="122">
        <v>51460</v>
      </c>
      <c r="K2441" s="122">
        <v>393</v>
      </c>
      <c r="L2441" s="122">
        <v>37307</v>
      </c>
      <c r="M2441" s="122">
        <v>32495</v>
      </c>
      <c r="N2441" s="122">
        <v>83933</v>
      </c>
      <c r="O2441" s="122">
        <v>31086</v>
      </c>
      <c r="P2441" s="122">
        <v>23085</v>
      </c>
      <c r="Q2441" s="122">
        <v>8550</v>
      </c>
      <c r="R2441" s="122">
        <v>257119</v>
      </c>
      <c r="S2441" s="122">
        <v>95229</v>
      </c>
      <c r="T2441" s="122">
        <v>0</v>
      </c>
      <c r="U2441" s="122">
        <v>0</v>
      </c>
      <c r="V2441" s="122">
        <v>218821</v>
      </c>
      <c r="W2441" s="122">
        <f t="shared" si="76"/>
        <v>218820</v>
      </c>
      <c r="X2441" s="122">
        <f t="shared" si="77"/>
        <v>540387</v>
      </c>
      <c r="AI2441" s="66"/>
    </row>
    <row r="2442" spans="2:35" ht="13">
      <c r="B2442" t="s">
        <v>384</v>
      </c>
      <c r="C2442" t="s">
        <v>52</v>
      </c>
      <c r="D2442" t="s">
        <v>406</v>
      </c>
      <c r="E2442" t="s">
        <v>406</v>
      </c>
      <c r="F2442" s="122">
        <v>60</v>
      </c>
      <c r="G2442" s="122">
        <v>7653</v>
      </c>
      <c r="H2442" s="122">
        <v>7075</v>
      </c>
      <c r="I2442" s="122">
        <v>415689</v>
      </c>
      <c r="J2442" s="122">
        <v>377900</v>
      </c>
      <c r="K2442" s="122">
        <v>93</v>
      </c>
      <c r="L2442" s="122">
        <v>100514</v>
      </c>
      <c r="M2442" s="122">
        <v>91191</v>
      </c>
      <c r="N2442" s="122">
        <v>137617</v>
      </c>
      <c r="O2442" s="122">
        <v>50969</v>
      </c>
      <c r="P2442" s="122">
        <v>38313</v>
      </c>
      <c r="Q2442" s="122">
        <v>14190</v>
      </c>
      <c r="R2442" s="122">
        <v>214246</v>
      </c>
      <c r="S2442" s="122">
        <v>194769</v>
      </c>
      <c r="T2442" s="122">
        <v>737</v>
      </c>
      <c r="U2442" s="122">
        <v>273</v>
      </c>
      <c r="V2442" s="122">
        <v>729292</v>
      </c>
      <c r="W2442" s="122">
        <f t="shared" si="76"/>
        <v>729292</v>
      </c>
      <c r="X2442" s="122">
        <f t="shared" si="77"/>
        <v>907116</v>
      </c>
      <c r="AI2442" s="66"/>
    </row>
    <row r="2443" spans="2:35" ht="13">
      <c r="B2443" t="s">
        <v>384</v>
      </c>
      <c r="C2443" t="s">
        <v>52</v>
      </c>
      <c r="D2443" t="s">
        <v>407</v>
      </c>
      <c r="E2443" t="s">
        <v>407</v>
      </c>
      <c r="F2443" s="122">
        <v>95</v>
      </c>
      <c r="G2443" s="122">
        <v>11135</v>
      </c>
      <c r="H2443" s="122">
        <v>11170</v>
      </c>
      <c r="I2443" s="122">
        <v>563017</v>
      </c>
      <c r="J2443" s="122">
        <v>511833</v>
      </c>
      <c r="K2443" s="122">
        <v>90</v>
      </c>
      <c r="L2443" s="122">
        <v>117025</v>
      </c>
      <c r="M2443" s="122">
        <v>105401</v>
      </c>
      <c r="N2443" s="122">
        <v>207335</v>
      </c>
      <c r="O2443" s="122">
        <v>76791</v>
      </c>
      <c r="P2443" s="122">
        <v>44766</v>
      </c>
      <c r="Q2443" s="122">
        <v>16580</v>
      </c>
      <c r="R2443" s="122">
        <v>379183</v>
      </c>
      <c r="S2443" s="122">
        <v>344712</v>
      </c>
      <c r="T2443" s="122">
        <v>0</v>
      </c>
      <c r="U2443" s="122">
        <v>0</v>
      </c>
      <c r="V2443" s="122">
        <v>1055317</v>
      </c>
      <c r="W2443" s="122">
        <f t="shared" si="76"/>
        <v>1055317</v>
      </c>
      <c r="X2443" s="122">
        <f t="shared" si="77"/>
        <v>1311326</v>
      </c>
      <c r="AI2443" s="66"/>
    </row>
    <row r="2444" spans="2:35" ht="13">
      <c r="B2444" t="s">
        <v>384</v>
      </c>
      <c r="C2444" t="s">
        <v>54</v>
      </c>
      <c r="D2444" t="s">
        <v>425</v>
      </c>
      <c r="E2444" t="s">
        <v>425</v>
      </c>
      <c r="F2444" s="122">
        <v>1</v>
      </c>
      <c r="G2444" s="122">
        <v>75</v>
      </c>
      <c r="H2444" s="122">
        <v>145</v>
      </c>
      <c r="I2444" s="122">
        <v>6162</v>
      </c>
      <c r="J2444" s="122">
        <v>5601</v>
      </c>
      <c r="K2444" s="122">
        <v>90</v>
      </c>
      <c r="L2444" s="122">
        <v>1030</v>
      </c>
      <c r="M2444" s="122">
        <v>937</v>
      </c>
      <c r="N2444" s="122">
        <v>999</v>
      </c>
      <c r="O2444" s="122">
        <v>370</v>
      </c>
      <c r="P2444" s="122">
        <v>473</v>
      </c>
      <c r="Q2444" s="122">
        <v>175</v>
      </c>
      <c r="R2444" s="122">
        <v>2263</v>
      </c>
      <c r="S2444" s="122">
        <v>2058</v>
      </c>
      <c r="T2444" s="122">
        <v>0</v>
      </c>
      <c r="U2444" s="122">
        <v>0</v>
      </c>
      <c r="V2444" s="122">
        <v>9141</v>
      </c>
      <c r="W2444" s="122">
        <f t="shared" si="76"/>
        <v>9141</v>
      </c>
      <c r="X2444" s="122">
        <f t="shared" si="77"/>
        <v>10927</v>
      </c>
      <c r="AI2444" s="66"/>
    </row>
    <row r="2445" spans="2:35" ht="13">
      <c r="B2445" t="s">
        <v>384</v>
      </c>
      <c r="C2445" t="s">
        <v>54</v>
      </c>
      <c r="D2445" t="s">
        <v>405</v>
      </c>
      <c r="E2445" t="s">
        <v>405</v>
      </c>
      <c r="F2445" s="122">
        <v>4</v>
      </c>
      <c r="G2445" s="122">
        <v>419</v>
      </c>
      <c r="H2445" s="122">
        <v>547</v>
      </c>
      <c r="I2445" s="122">
        <v>28346</v>
      </c>
      <c r="J2445" s="122">
        <v>25769</v>
      </c>
      <c r="K2445" s="122">
        <v>88</v>
      </c>
      <c r="L2445" s="122">
        <v>4676</v>
      </c>
      <c r="M2445" s="122">
        <v>4250</v>
      </c>
      <c r="N2445" s="122">
        <v>7474</v>
      </c>
      <c r="O2445" s="122">
        <v>2768</v>
      </c>
      <c r="P2445" s="122">
        <v>1890</v>
      </c>
      <c r="Q2445" s="122">
        <v>700</v>
      </c>
      <c r="R2445" s="122">
        <v>16113</v>
      </c>
      <c r="S2445" s="122">
        <v>14649</v>
      </c>
      <c r="T2445" s="122">
        <v>2796</v>
      </c>
      <c r="U2445" s="122">
        <v>1036</v>
      </c>
      <c r="V2445" s="122">
        <v>49172</v>
      </c>
      <c r="W2445" s="122">
        <f t="shared" si="76"/>
        <v>49172</v>
      </c>
      <c r="X2445" s="122">
        <f t="shared" si="77"/>
        <v>61295</v>
      </c>
      <c r="AI2445" s="66"/>
    </row>
    <row r="2446" spans="2:35" ht="13">
      <c r="B2446" t="s">
        <v>384</v>
      </c>
      <c r="C2446" t="s">
        <v>54</v>
      </c>
      <c r="D2446" t="s">
        <v>137</v>
      </c>
      <c r="E2446" t="s">
        <v>137</v>
      </c>
      <c r="F2446" s="122">
        <v>44</v>
      </c>
      <c r="G2446" s="122">
        <v>2869</v>
      </c>
      <c r="H2446" s="122">
        <v>6240</v>
      </c>
      <c r="I2446" s="122">
        <v>161763</v>
      </c>
      <c r="J2446" s="122">
        <v>59912</v>
      </c>
      <c r="K2446" s="122">
        <v>285</v>
      </c>
      <c r="L2446" s="122">
        <v>29689</v>
      </c>
      <c r="M2446" s="122">
        <v>22254</v>
      </c>
      <c r="N2446" s="122">
        <v>43883</v>
      </c>
      <c r="O2446" s="122">
        <v>16253</v>
      </c>
      <c r="P2446" s="122">
        <v>11421</v>
      </c>
      <c r="Q2446" s="122">
        <v>4230</v>
      </c>
      <c r="R2446" s="122">
        <v>163102</v>
      </c>
      <c r="S2446" s="122">
        <v>60408</v>
      </c>
      <c r="T2446" s="122">
        <v>8752</v>
      </c>
      <c r="U2446" s="122">
        <v>3242</v>
      </c>
      <c r="V2446" s="122">
        <v>166299</v>
      </c>
      <c r="W2446" s="122">
        <f t="shared" si="76"/>
        <v>166299</v>
      </c>
      <c r="X2446" s="122">
        <f t="shared" si="77"/>
        <v>418610</v>
      </c>
      <c r="AI2446" s="66"/>
    </row>
    <row r="2447" spans="2:35" ht="13">
      <c r="B2447" t="s">
        <v>384</v>
      </c>
      <c r="C2447" t="s">
        <v>54</v>
      </c>
      <c r="D2447" t="s">
        <v>406</v>
      </c>
      <c r="E2447" t="s">
        <v>137</v>
      </c>
      <c r="F2447" s="122">
        <v>1</v>
      </c>
      <c r="G2447" s="122">
        <v>152</v>
      </c>
      <c r="H2447" s="122">
        <v>126</v>
      </c>
      <c r="I2447" s="122">
        <v>9455</v>
      </c>
      <c r="J2447" s="122">
        <v>8596</v>
      </c>
      <c r="K2447" s="122">
        <v>95</v>
      </c>
      <c r="L2447" s="122">
        <v>1663</v>
      </c>
      <c r="M2447" s="122">
        <v>1512</v>
      </c>
      <c r="N2447" s="122">
        <v>2640</v>
      </c>
      <c r="O2447" s="122">
        <v>978</v>
      </c>
      <c r="P2447" s="122">
        <v>621</v>
      </c>
      <c r="Q2447" s="122">
        <v>230</v>
      </c>
      <c r="R2447" s="122">
        <v>4659</v>
      </c>
      <c r="S2447" s="122">
        <v>1725</v>
      </c>
      <c r="T2447" s="122">
        <v>0</v>
      </c>
      <c r="U2447" s="122">
        <v>0</v>
      </c>
      <c r="V2447" s="122">
        <v>13041</v>
      </c>
      <c r="W2447" s="122">
        <f t="shared" si="76"/>
        <v>13041</v>
      </c>
      <c r="X2447" s="122">
        <f t="shared" si="77"/>
        <v>19038</v>
      </c>
      <c r="AI2447" s="66"/>
    </row>
    <row r="2448" spans="2:35" ht="13">
      <c r="B2448" t="s">
        <v>384</v>
      </c>
      <c r="C2448" t="s">
        <v>54</v>
      </c>
      <c r="D2448" t="s">
        <v>406</v>
      </c>
      <c r="E2448" t="s">
        <v>406</v>
      </c>
      <c r="F2448" s="122">
        <v>165</v>
      </c>
      <c r="G2448" s="122">
        <v>18742</v>
      </c>
      <c r="H2448" s="122">
        <v>23337</v>
      </c>
      <c r="I2448" s="122">
        <v>1223050</v>
      </c>
      <c r="J2448" s="122">
        <v>1111864</v>
      </c>
      <c r="K2448" s="122">
        <v>89</v>
      </c>
      <c r="L2448" s="122">
        <v>286183</v>
      </c>
      <c r="M2448" s="122">
        <v>252761</v>
      </c>
      <c r="N2448" s="122">
        <v>337759</v>
      </c>
      <c r="O2448" s="122">
        <v>125096</v>
      </c>
      <c r="P2448" s="122">
        <v>106056</v>
      </c>
      <c r="Q2448" s="122">
        <v>39280</v>
      </c>
      <c r="R2448" s="122">
        <v>713595</v>
      </c>
      <c r="S2448" s="122">
        <v>648723</v>
      </c>
      <c r="T2448" s="122">
        <v>34456</v>
      </c>
      <c r="U2448" s="122">
        <v>12761</v>
      </c>
      <c r="V2448" s="122">
        <v>2190485</v>
      </c>
      <c r="W2448" s="122">
        <f t="shared" si="76"/>
        <v>2190485</v>
      </c>
      <c r="X2448" s="122">
        <f t="shared" si="77"/>
        <v>2701099</v>
      </c>
      <c r="AI2448" s="66"/>
    </row>
    <row r="2449" spans="2:35" ht="13">
      <c r="B2449" t="s">
        <v>384</v>
      </c>
      <c r="C2449" t="s">
        <v>54</v>
      </c>
      <c r="D2449" t="s">
        <v>407</v>
      </c>
      <c r="E2449" t="s">
        <v>405</v>
      </c>
      <c r="F2449" s="122">
        <v>1</v>
      </c>
      <c r="G2449" s="122">
        <v>70</v>
      </c>
      <c r="H2449" s="122">
        <v>145</v>
      </c>
      <c r="I2449" s="122">
        <v>2820</v>
      </c>
      <c r="J2449" s="122">
        <v>2564</v>
      </c>
      <c r="K2449" s="122">
        <v>91</v>
      </c>
      <c r="L2449" s="122">
        <v>302</v>
      </c>
      <c r="M2449" s="122">
        <v>274</v>
      </c>
      <c r="N2449" s="122">
        <v>1272</v>
      </c>
      <c r="O2449" s="122">
        <v>471</v>
      </c>
      <c r="P2449" s="122">
        <v>473</v>
      </c>
      <c r="Q2449" s="122">
        <v>175</v>
      </c>
      <c r="R2449" s="122">
        <v>3098</v>
      </c>
      <c r="S2449" s="122">
        <v>2817</v>
      </c>
      <c r="T2449" s="122">
        <v>2158</v>
      </c>
      <c r="U2449" s="122">
        <v>799</v>
      </c>
      <c r="V2449" s="122">
        <v>7100</v>
      </c>
      <c r="W2449" s="122">
        <f t="shared" si="76"/>
        <v>7100</v>
      </c>
      <c r="X2449" s="122">
        <f t="shared" si="77"/>
        <v>10123</v>
      </c>
      <c r="AI2449" s="66"/>
    </row>
    <row r="2450" spans="2:35" ht="13">
      <c r="B2450" t="s">
        <v>384</v>
      </c>
      <c r="C2450" t="s">
        <v>54</v>
      </c>
      <c r="D2450" t="s">
        <v>407</v>
      </c>
      <c r="E2450" t="s">
        <v>407</v>
      </c>
      <c r="F2450" s="122">
        <v>469</v>
      </c>
      <c r="G2450" s="122">
        <v>48173</v>
      </c>
      <c r="H2450" s="122">
        <v>66270</v>
      </c>
      <c r="I2450" s="122">
        <v>3036909</v>
      </c>
      <c r="J2450" s="122">
        <v>2760827</v>
      </c>
      <c r="K2450" s="122">
        <v>87</v>
      </c>
      <c r="L2450" s="122">
        <v>636347</v>
      </c>
      <c r="M2450" s="122">
        <v>546029</v>
      </c>
      <c r="N2450" s="122">
        <v>911568</v>
      </c>
      <c r="O2450" s="122">
        <v>337618</v>
      </c>
      <c r="P2450" s="122">
        <v>224627</v>
      </c>
      <c r="Q2450" s="122">
        <v>83195</v>
      </c>
      <c r="R2450" s="122">
        <v>1990490</v>
      </c>
      <c r="S2450" s="122">
        <v>1809536</v>
      </c>
      <c r="T2450" s="122">
        <v>38713</v>
      </c>
      <c r="U2450" s="122">
        <v>14338</v>
      </c>
      <c r="V2450" s="122">
        <v>5551543</v>
      </c>
      <c r="W2450" s="122">
        <f t="shared" si="76"/>
        <v>5551543</v>
      </c>
      <c r="X2450" s="122">
        <f t="shared" si="77"/>
        <v>6838654</v>
      </c>
      <c r="AI2450" s="66"/>
    </row>
    <row r="2451" spans="2:35" ht="13">
      <c r="B2451" t="s">
        <v>384</v>
      </c>
      <c r="C2451" t="s">
        <v>56</v>
      </c>
      <c r="D2451" t="s">
        <v>425</v>
      </c>
      <c r="E2451" t="s">
        <v>425</v>
      </c>
      <c r="F2451" s="122">
        <v>1</v>
      </c>
      <c r="G2451" s="122">
        <v>114</v>
      </c>
      <c r="H2451" s="122">
        <v>171</v>
      </c>
      <c r="I2451" s="122">
        <v>10784</v>
      </c>
      <c r="J2451" s="122">
        <v>9803</v>
      </c>
      <c r="K2451" s="122">
        <v>90</v>
      </c>
      <c r="L2451" s="122">
        <v>2564</v>
      </c>
      <c r="M2451" s="122">
        <v>2331</v>
      </c>
      <c r="N2451" s="122">
        <v>2608</v>
      </c>
      <c r="O2451" s="122">
        <v>966</v>
      </c>
      <c r="P2451" s="122">
        <v>473</v>
      </c>
      <c r="Q2451" s="122">
        <v>175</v>
      </c>
      <c r="R2451" s="122">
        <v>3119</v>
      </c>
      <c r="S2451" s="122">
        <v>2836</v>
      </c>
      <c r="T2451" s="122">
        <v>0</v>
      </c>
      <c r="U2451" s="122">
        <v>0</v>
      </c>
      <c r="V2451" s="122">
        <v>16111</v>
      </c>
      <c r="W2451" s="122">
        <f t="shared" si="76"/>
        <v>16111</v>
      </c>
      <c r="X2451" s="122">
        <f t="shared" si="77"/>
        <v>19548</v>
      </c>
      <c r="AI2451" s="66"/>
    </row>
    <row r="2452" spans="2:35" ht="13">
      <c r="B2452" t="s">
        <v>384</v>
      </c>
      <c r="C2452" t="s">
        <v>56</v>
      </c>
      <c r="D2452" t="s">
        <v>425</v>
      </c>
      <c r="E2452" t="s">
        <v>406</v>
      </c>
      <c r="F2452" s="122">
        <v>1</v>
      </c>
      <c r="G2452" s="122">
        <v>132</v>
      </c>
      <c r="H2452" s="122">
        <v>199</v>
      </c>
      <c r="I2452" s="122">
        <v>15377</v>
      </c>
      <c r="J2452" s="122">
        <v>13979</v>
      </c>
      <c r="K2452" s="122">
        <v>95</v>
      </c>
      <c r="L2452" s="122">
        <v>3359</v>
      </c>
      <c r="M2452" s="122">
        <v>2799</v>
      </c>
      <c r="N2452" s="122">
        <v>2275</v>
      </c>
      <c r="O2452" s="122">
        <v>842</v>
      </c>
      <c r="P2452" s="122">
        <v>621</v>
      </c>
      <c r="Q2452" s="122">
        <v>230</v>
      </c>
      <c r="R2452" s="122">
        <v>3203</v>
      </c>
      <c r="S2452" s="122">
        <v>2912</v>
      </c>
      <c r="T2452" s="122">
        <v>1526</v>
      </c>
      <c r="U2452" s="122">
        <v>565</v>
      </c>
      <c r="V2452" s="122">
        <v>21328</v>
      </c>
      <c r="W2452" s="122">
        <f t="shared" si="76"/>
        <v>21327</v>
      </c>
      <c r="X2452" s="122">
        <f t="shared" si="77"/>
        <v>26361</v>
      </c>
      <c r="AI2452" s="66"/>
    </row>
    <row r="2453" spans="2:35" ht="13">
      <c r="B2453" t="s">
        <v>384</v>
      </c>
      <c r="C2453" t="s">
        <v>56</v>
      </c>
      <c r="D2453" t="s">
        <v>405</v>
      </c>
      <c r="E2453" t="s">
        <v>405</v>
      </c>
      <c r="F2453" s="122">
        <v>24</v>
      </c>
      <c r="G2453" s="122">
        <v>2587</v>
      </c>
      <c r="H2453" s="122">
        <v>4317</v>
      </c>
      <c r="I2453" s="122">
        <v>227694</v>
      </c>
      <c r="J2453" s="122">
        <v>206994</v>
      </c>
      <c r="K2453" s="122">
        <v>81</v>
      </c>
      <c r="L2453" s="122">
        <v>51018</v>
      </c>
      <c r="M2453" s="122">
        <v>47843</v>
      </c>
      <c r="N2453" s="122">
        <v>52388</v>
      </c>
      <c r="O2453" s="122">
        <v>19403</v>
      </c>
      <c r="P2453" s="122">
        <v>12434</v>
      </c>
      <c r="Q2453" s="122">
        <v>4605</v>
      </c>
      <c r="R2453" s="122">
        <v>107592</v>
      </c>
      <c r="S2453" s="122">
        <v>97811</v>
      </c>
      <c r="T2453" s="122">
        <v>14880</v>
      </c>
      <c r="U2453" s="122">
        <v>5511</v>
      </c>
      <c r="V2453" s="122">
        <v>382168</v>
      </c>
      <c r="W2453" s="122">
        <f t="shared" si="76"/>
        <v>382167</v>
      </c>
      <c r="X2453" s="122">
        <f t="shared" si="77"/>
        <v>466006</v>
      </c>
      <c r="AI2453" s="66"/>
    </row>
    <row r="2454" spans="2:35" ht="13">
      <c r="B2454" t="s">
        <v>384</v>
      </c>
      <c r="C2454" t="s">
        <v>56</v>
      </c>
      <c r="D2454" t="s">
        <v>405</v>
      </c>
      <c r="E2454" t="s">
        <v>406</v>
      </c>
      <c r="F2454" s="122">
        <v>1</v>
      </c>
      <c r="G2454" s="122">
        <v>104</v>
      </c>
      <c r="H2454" s="122">
        <v>156</v>
      </c>
      <c r="I2454" s="122">
        <v>7678</v>
      </c>
      <c r="J2454" s="122">
        <v>6980</v>
      </c>
      <c r="K2454" s="122">
        <v>79</v>
      </c>
      <c r="L2454" s="122">
        <v>1125</v>
      </c>
      <c r="M2454" s="122">
        <v>1023</v>
      </c>
      <c r="N2454" s="122">
        <v>2204</v>
      </c>
      <c r="O2454" s="122">
        <v>816</v>
      </c>
      <c r="P2454" s="122">
        <v>473</v>
      </c>
      <c r="Q2454" s="122">
        <v>175</v>
      </c>
      <c r="R2454" s="122">
        <v>4716</v>
      </c>
      <c r="S2454" s="122">
        <v>4287</v>
      </c>
      <c r="T2454" s="122">
        <v>0</v>
      </c>
      <c r="U2454" s="122">
        <v>0</v>
      </c>
      <c r="V2454" s="122">
        <v>13281</v>
      </c>
      <c r="W2454" s="122">
        <f t="shared" si="76"/>
        <v>13281</v>
      </c>
      <c r="X2454" s="122">
        <f t="shared" si="77"/>
        <v>16196</v>
      </c>
      <c r="AI2454" s="66"/>
    </row>
    <row r="2455" spans="2:35" ht="13">
      <c r="B2455" t="s">
        <v>384</v>
      </c>
      <c r="C2455" t="s">
        <v>56</v>
      </c>
      <c r="D2455" t="s">
        <v>137</v>
      </c>
      <c r="E2455" t="s">
        <v>137</v>
      </c>
      <c r="F2455" s="122">
        <v>84</v>
      </c>
      <c r="G2455" s="122">
        <v>5710</v>
      </c>
      <c r="H2455" s="122">
        <v>15442</v>
      </c>
      <c r="I2455" s="122">
        <v>431830</v>
      </c>
      <c r="J2455" s="122">
        <v>159937</v>
      </c>
      <c r="K2455" s="122">
        <v>259</v>
      </c>
      <c r="L2455" s="122">
        <v>65963</v>
      </c>
      <c r="M2455" s="122">
        <v>47977</v>
      </c>
      <c r="N2455" s="122">
        <v>99865</v>
      </c>
      <c r="O2455" s="122">
        <v>36987</v>
      </c>
      <c r="P2455" s="122">
        <v>19474</v>
      </c>
      <c r="Q2455" s="122">
        <v>7213</v>
      </c>
      <c r="R2455" s="122">
        <v>476088</v>
      </c>
      <c r="S2455" s="122">
        <v>176329</v>
      </c>
      <c r="T2455" s="122">
        <v>1777</v>
      </c>
      <c r="U2455" s="122">
        <v>658</v>
      </c>
      <c r="V2455" s="122">
        <v>429101</v>
      </c>
      <c r="W2455" s="122">
        <f t="shared" si="76"/>
        <v>429101</v>
      </c>
      <c r="X2455" s="122">
        <f t="shared" si="77"/>
        <v>1094997</v>
      </c>
      <c r="AI2455" s="66"/>
    </row>
    <row r="2456" spans="2:35" ht="13">
      <c r="B2456" t="s">
        <v>384</v>
      </c>
      <c r="C2456" t="s">
        <v>56</v>
      </c>
      <c r="D2456" t="s">
        <v>406</v>
      </c>
      <c r="E2456" t="s">
        <v>425</v>
      </c>
      <c r="F2456" s="122">
        <v>2</v>
      </c>
      <c r="G2456" s="122">
        <v>226</v>
      </c>
      <c r="H2456" s="122">
        <v>439</v>
      </c>
      <c r="I2456" s="122">
        <v>25355</v>
      </c>
      <c r="J2456" s="122">
        <v>23050</v>
      </c>
      <c r="K2456" s="122">
        <v>85</v>
      </c>
      <c r="L2456" s="122">
        <v>7597</v>
      </c>
      <c r="M2456" s="122">
        <v>6906</v>
      </c>
      <c r="N2456" s="122">
        <v>3902</v>
      </c>
      <c r="O2456" s="122">
        <v>1445</v>
      </c>
      <c r="P2456" s="122">
        <v>1242</v>
      </c>
      <c r="Q2456" s="122">
        <v>460</v>
      </c>
      <c r="R2456" s="122">
        <v>8776</v>
      </c>
      <c r="S2456" s="122">
        <v>7978</v>
      </c>
      <c r="T2456" s="122">
        <v>2774</v>
      </c>
      <c r="U2456" s="122">
        <v>1027</v>
      </c>
      <c r="V2456" s="122">
        <v>40867</v>
      </c>
      <c r="W2456" s="122">
        <f t="shared" si="76"/>
        <v>40866</v>
      </c>
      <c r="X2456" s="122">
        <f t="shared" si="77"/>
        <v>49646</v>
      </c>
      <c r="AI2456" s="66"/>
    </row>
    <row r="2457" spans="2:35" ht="13">
      <c r="B2457" t="s">
        <v>384</v>
      </c>
      <c r="C2457" t="s">
        <v>56</v>
      </c>
      <c r="D2457" t="s">
        <v>406</v>
      </c>
      <c r="E2457" t="s">
        <v>137</v>
      </c>
      <c r="F2457" s="122">
        <v>1</v>
      </c>
      <c r="G2457" s="122">
        <v>129</v>
      </c>
      <c r="H2457" s="122">
        <v>172</v>
      </c>
      <c r="I2457" s="122">
        <v>6204</v>
      </c>
      <c r="J2457" s="122">
        <v>5640</v>
      </c>
      <c r="K2457" s="122">
        <v>85</v>
      </c>
      <c r="L2457" s="122">
        <v>976</v>
      </c>
      <c r="M2457" s="122">
        <v>888</v>
      </c>
      <c r="N2457" s="122">
        <v>2577</v>
      </c>
      <c r="O2457" s="122">
        <v>954</v>
      </c>
      <c r="P2457" s="122">
        <v>621</v>
      </c>
      <c r="Q2457" s="122">
        <v>230</v>
      </c>
      <c r="R2457" s="122">
        <v>11853</v>
      </c>
      <c r="S2457" s="122">
        <v>4390</v>
      </c>
      <c r="T2457" s="122">
        <v>0</v>
      </c>
      <c r="U2457" s="122">
        <v>0</v>
      </c>
      <c r="V2457" s="122">
        <v>12102</v>
      </c>
      <c r="W2457" s="122">
        <f t="shared" si="76"/>
        <v>12102</v>
      </c>
      <c r="X2457" s="122">
        <f t="shared" si="77"/>
        <v>22231</v>
      </c>
      <c r="AI2457" s="66"/>
    </row>
    <row r="2458" spans="2:35" ht="13">
      <c r="B2458" t="s">
        <v>384</v>
      </c>
      <c r="C2458" t="s">
        <v>56</v>
      </c>
      <c r="D2458" t="s">
        <v>406</v>
      </c>
      <c r="E2458" t="s">
        <v>406</v>
      </c>
      <c r="F2458" s="122">
        <v>1467</v>
      </c>
      <c r="G2458" s="122">
        <v>150254</v>
      </c>
      <c r="H2458" s="122">
        <v>280430</v>
      </c>
      <c r="I2458" s="122">
        <v>14088444</v>
      </c>
      <c r="J2458" s="122">
        <v>12807676</v>
      </c>
      <c r="K2458" s="122">
        <v>86</v>
      </c>
      <c r="L2458" s="122">
        <v>3363628</v>
      </c>
      <c r="M2458" s="122">
        <v>3139490</v>
      </c>
      <c r="N2458" s="122">
        <v>2942402</v>
      </c>
      <c r="O2458" s="122">
        <v>1089779</v>
      </c>
      <c r="P2458" s="122">
        <v>939418</v>
      </c>
      <c r="Q2458" s="122">
        <v>347933</v>
      </c>
      <c r="R2458" s="122">
        <v>6508657</v>
      </c>
      <c r="S2458" s="122">
        <v>5916960</v>
      </c>
      <c r="T2458" s="122">
        <v>1360686</v>
      </c>
      <c r="U2458" s="122">
        <v>503958</v>
      </c>
      <c r="V2458" s="122">
        <v>23805795</v>
      </c>
      <c r="W2458" s="122">
        <f t="shared" si="76"/>
        <v>23805796</v>
      </c>
      <c r="X2458" s="122">
        <f t="shared" si="77"/>
        <v>29203235</v>
      </c>
      <c r="AI2458" s="66"/>
    </row>
    <row r="2459" spans="2:35" ht="13">
      <c r="B2459" t="s">
        <v>384</v>
      </c>
      <c r="C2459" t="s">
        <v>56</v>
      </c>
      <c r="D2459" t="s">
        <v>406</v>
      </c>
      <c r="E2459" t="s">
        <v>556</v>
      </c>
      <c r="F2459" s="122">
        <v>1</v>
      </c>
      <c r="G2459" s="122">
        <v>80</v>
      </c>
      <c r="H2459" s="122">
        <v>212</v>
      </c>
      <c r="I2459" s="122">
        <v>7990</v>
      </c>
      <c r="J2459" s="122">
        <v>7263</v>
      </c>
      <c r="K2459" s="122">
        <v>79</v>
      </c>
      <c r="L2459" s="122">
        <v>1321</v>
      </c>
      <c r="M2459" s="122">
        <v>1100</v>
      </c>
      <c r="N2459" s="122">
        <v>1059</v>
      </c>
      <c r="O2459" s="122">
        <v>392</v>
      </c>
      <c r="P2459" s="122">
        <v>621</v>
      </c>
      <c r="Q2459" s="122">
        <v>230</v>
      </c>
      <c r="R2459" s="122">
        <v>3918</v>
      </c>
      <c r="S2459" s="122">
        <v>3265</v>
      </c>
      <c r="T2459" s="122">
        <v>2172</v>
      </c>
      <c r="U2459" s="122">
        <v>804</v>
      </c>
      <c r="V2459" s="122">
        <v>13056</v>
      </c>
      <c r="W2459" s="122">
        <f t="shared" si="76"/>
        <v>13054</v>
      </c>
      <c r="X2459" s="122">
        <f t="shared" si="77"/>
        <v>17081</v>
      </c>
      <c r="AI2459" s="66"/>
    </row>
    <row r="2460" spans="2:35" ht="13">
      <c r="B2460" t="s">
        <v>384</v>
      </c>
      <c r="C2460" t="s">
        <v>56</v>
      </c>
      <c r="D2460" t="s">
        <v>427</v>
      </c>
      <c r="E2460" t="s">
        <v>427</v>
      </c>
      <c r="F2460" s="122">
        <v>1</v>
      </c>
      <c r="G2460" s="122">
        <v>114</v>
      </c>
      <c r="H2460" s="122">
        <v>219</v>
      </c>
      <c r="I2460" s="122">
        <v>12196</v>
      </c>
      <c r="J2460" s="122">
        <v>11087</v>
      </c>
      <c r="K2460" s="122">
        <v>55</v>
      </c>
      <c r="L2460" s="122">
        <v>1736</v>
      </c>
      <c r="M2460" s="122">
        <v>643</v>
      </c>
      <c r="N2460" s="122">
        <v>1881</v>
      </c>
      <c r="O2460" s="122">
        <v>697</v>
      </c>
      <c r="P2460" s="122">
        <v>351</v>
      </c>
      <c r="Q2460" s="122">
        <v>130</v>
      </c>
      <c r="R2460" s="122">
        <v>8703</v>
      </c>
      <c r="S2460" s="122">
        <v>7912</v>
      </c>
      <c r="T2460" s="122">
        <v>0</v>
      </c>
      <c r="U2460" s="122">
        <v>0</v>
      </c>
      <c r="V2460" s="122">
        <v>20469</v>
      </c>
      <c r="W2460" s="122">
        <f t="shared" si="76"/>
        <v>20469</v>
      </c>
      <c r="X2460" s="122">
        <f t="shared" si="77"/>
        <v>24867</v>
      </c>
      <c r="AI2460" s="66"/>
    </row>
    <row r="2461" spans="2:35" ht="13">
      <c r="B2461" t="s">
        <v>384</v>
      </c>
      <c r="C2461" t="s">
        <v>56</v>
      </c>
      <c r="D2461" t="s">
        <v>407</v>
      </c>
      <c r="E2461" t="s">
        <v>405</v>
      </c>
      <c r="F2461" s="122">
        <v>3</v>
      </c>
      <c r="G2461" s="122">
        <v>257</v>
      </c>
      <c r="H2461" s="122">
        <v>619</v>
      </c>
      <c r="I2461" s="122">
        <v>24474</v>
      </c>
      <c r="J2461" s="122">
        <v>22250</v>
      </c>
      <c r="K2461" s="122">
        <v>84</v>
      </c>
      <c r="L2461" s="122">
        <v>8686</v>
      </c>
      <c r="M2461" s="122">
        <v>7521</v>
      </c>
      <c r="N2461" s="122">
        <v>4686</v>
      </c>
      <c r="O2461" s="122">
        <v>1736</v>
      </c>
      <c r="P2461" s="122">
        <v>1418</v>
      </c>
      <c r="Q2461" s="122">
        <v>525</v>
      </c>
      <c r="R2461" s="122">
        <v>14532</v>
      </c>
      <c r="S2461" s="122">
        <v>13211</v>
      </c>
      <c r="T2461" s="122">
        <v>0</v>
      </c>
      <c r="U2461" s="122">
        <v>0</v>
      </c>
      <c r="V2461" s="122">
        <v>45242</v>
      </c>
      <c r="W2461" s="122">
        <f t="shared" si="76"/>
        <v>45243</v>
      </c>
      <c r="X2461" s="122">
        <f t="shared" si="77"/>
        <v>53796</v>
      </c>
      <c r="AI2461" s="66"/>
    </row>
    <row r="2462" spans="2:35" ht="13">
      <c r="B2462" t="s">
        <v>384</v>
      </c>
      <c r="C2462" t="s">
        <v>56</v>
      </c>
      <c r="D2462" t="s">
        <v>407</v>
      </c>
      <c r="E2462" t="s">
        <v>137</v>
      </c>
      <c r="F2462" s="122">
        <v>3</v>
      </c>
      <c r="G2462" s="122">
        <v>313</v>
      </c>
      <c r="H2462" s="122">
        <v>552</v>
      </c>
      <c r="I2462" s="122">
        <v>27057</v>
      </c>
      <c r="J2462" s="122">
        <v>24597</v>
      </c>
      <c r="K2462" s="122">
        <v>90</v>
      </c>
      <c r="L2462" s="122">
        <v>1360</v>
      </c>
      <c r="M2462" s="122">
        <v>1237</v>
      </c>
      <c r="N2462" s="122">
        <v>4901</v>
      </c>
      <c r="O2462" s="122">
        <v>1815</v>
      </c>
      <c r="P2462" s="122">
        <v>1418</v>
      </c>
      <c r="Q2462" s="122">
        <v>525</v>
      </c>
      <c r="R2462" s="122">
        <v>21554</v>
      </c>
      <c r="S2462" s="122">
        <v>7983</v>
      </c>
      <c r="T2462" s="122">
        <v>0</v>
      </c>
      <c r="U2462" s="122">
        <v>0</v>
      </c>
      <c r="V2462" s="122">
        <v>36156</v>
      </c>
      <c r="W2462" s="122">
        <f t="shared" si="76"/>
        <v>36157</v>
      </c>
      <c r="X2462" s="122">
        <f t="shared" si="77"/>
        <v>56290</v>
      </c>
      <c r="AI2462" s="66"/>
    </row>
    <row r="2463" spans="2:35" ht="13">
      <c r="B2463" t="s">
        <v>384</v>
      </c>
      <c r="C2463" t="s">
        <v>56</v>
      </c>
      <c r="D2463" t="s">
        <v>407</v>
      </c>
      <c r="E2463" t="s">
        <v>406</v>
      </c>
      <c r="F2463" s="122">
        <v>1</v>
      </c>
      <c r="G2463" s="122">
        <v>94</v>
      </c>
      <c r="H2463" s="122">
        <v>223</v>
      </c>
      <c r="I2463" s="122">
        <v>9245</v>
      </c>
      <c r="J2463" s="122">
        <v>8404</v>
      </c>
      <c r="K2463" s="122">
        <v>79</v>
      </c>
      <c r="L2463" s="122">
        <v>3847</v>
      </c>
      <c r="M2463" s="122">
        <v>3497</v>
      </c>
      <c r="N2463" s="122">
        <v>1572</v>
      </c>
      <c r="O2463" s="122">
        <v>582</v>
      </c>
      <c r="P2463" s="122">
        <v>473</v>
      </c>
      <c r="Q2463" s="122">
        <v>175</v>
      </c>
      <c r="R2463" s="122">
        <v>3348</v>
      </c>
      <c r="S2463" s="122">
        <v>3044</v>
      </c>
      <c r="T2463" s="122">
        <v>2487</v>
      </c>
      <c r="U2463" s="122">
        <v>921</v>
      </c>
      <c r="V2463" s="122">
        <v>16624</v>
      </c>
      <c r="W2463" s="122">
        <f t="shared" si="76"/>
        <v>16623</v>
      </c>
      <c r="X2463" s="122">
        <f t="shared" si="77"/>
        <v>20972</v>
      </c>
      <c r="AI2463" s="66"/>
    </row>
    <row r="2464" spans="2:35" ht="13">
      <c r="B2464" t="s">
        <v>384</v>
      </c>
      <c r="C2464" t="s">
        <v>56</v>
      </c>
      <c r="D2464" t="s">
        <v>407</v>
      </c>
      <c r="E2464" t="s">
        <v>407</v>
      </c>
      <c r="F2464" s="122">
        <v>3249</v>
      </c>
      <c r="G2464" s="122">
        <v>318554</v>
      </c>
      <c r="H2464" s="122">
        <v>612954</v>
      </c>
      <c r="I2464" s="122">
        <v>28412787</v>
      </c>
      <c r="J2464" s="122">
        <v>25829806</v>
      </c>
      <c r="K2464" s="122">
        <v>83</v>
      </c>
      <c r="L2464" s="122">
        <v>6732035</v>
      </c>
      <c r="M2464" s="122">
        <v>5822347</v>
      </c>
      <c r="N2464" s="122">
        <v>6319022</v>
      </c>
      <c r="O2464" s="122">
        <v>2340378</v>
      </c>
      <c r="P2464" s="122">
        <v>1616837</v>
      </c>
      <c r="Q2464" s="122">
        <v>598828</v>
      </c>
      <c r="R2464" s="122">
        <v>14734716</v>
      </c>
      <c r="S2464" s="122">
        <v>13395196</v>
      </c>
      <c r="T2464" s="122">
        <v>2277528</v>
      </c>
      <c r="U2464" s="122">
        <v>843529</v>
      </c>
      <c r="V2464" s="122">
        <v>48830085</v>
      </c>
      <c r="W2464" s="122">
        <f t="shared" si="76"/>
        <v>48830084</v>
      </c>
      <c r="X2464" s="122">
        <f t="shared" si="77"/>
        <v>60092925</v>
      </c>
      <c r="AI2464" s="66"/>
    </row>
    <row r="2465" spans="2:35" ht="13">
      <c r="B2465" t="s">
        <v>384</v>
      </c>
      <c r="C2465" t="s">
        <v>56</v>
      </c>
      <c r="D2465" t="s">
        <v>556</v>
      </c>
      <c r="E2465" t="s">
        <v>556</v>
      </c>
      <c r="F2465" s="122">
        <v>2</v>
      </c>
      <c r="G2465" s="122">
        <v>191</v>
      </c>
      <c r="H2465" s="122">
        <v>435</v>
      </c>
      <c r="I2465" s="122">
        <v>23256</v>
      </c>
      <c r="J2465" s="122">
        <v>19380</v>
      </c>
      <c r="K2465" s="122">
        <v>72</v>
      </c>
      <c r="L2465" s="122">
        <v>1809</v>
      </c>
      <c r="M2465" s="122">
        <v>1507</v>
      </c>
      <c r="N2465" s="122">
        <v>2881</v>
      </c>
      <c r="O2465" s="122">
        <v>1067</v>
      </c>
      <c r="P2465" s="122">
        <v>702</v>
      </c>
      <c r="Q2465" s="122">
        <v>260</v>
      </c>
      <c r="R2465" s="122">
        <v>10771</v>
      </c>
      <c r="S2465" s="122">
        <v>8976</v>
      </c>
      <c r="T2465" s="122">
        <v>2156</v>
      </c>
      <c r="U2465" s="122">
        <v>798</v>
      </c>
      <c r="V2465" s="122">
        <v>31989</v>
      </c>
      <c r="W2465" s="122">
        <f t="shared" si="76"/>
        <v>31988</v>
      </c>
      <c r="X2465" s="122">
        <f t="shared" si="77"/>
        <v>41575</v>
      </c>
      <c r="AI2465" s="66"/>
    </row>
    <row r="2466" spans="2:35" ht="13">
      <c r="B2466" t="s">
        <v>384</v>
      </c>
      <c r="C2466" t="s">
        <v>56</v>
      </c>
      <c r="D2466" t="s">
        <v>428</v>
      </c>
      <c r="E2466" t="s">
        <v>428</v>
      </c>
      <c r="F2466" s="122">
        <v>1</v>
      </c>
      <c r="G2466" s="122">
        <v>92</v>
      </c>
      <c r="H2466" s="122">
        <v>190</v>
      </c>
      <c r="I2466" s="122">
        <v>9363</v>
      </c>
      <c r="J2466" s="122">
        <v>8512</v>
      </c>
      <c r="K2466" s="122">
        <v>65</v>
      </c>
      <c r="L2466" s="122">
        <v>676</v>
      </c>
      <c r="M2466" s="122">
        <v>615</v>
      </c>
      <c r="N2466" s="122">
        <v>1849</v>
      </c>
      <c r="O2466" s="122">
        <v>685</v>
      </c>
      <c r="P2466" s="122">
        <v>351</v>
      </c>
      <c r="Q2466" s="122">
        <v>130</v>
      </c>
      <c r="R2466" s="122">
        <v>2958</v>
      </c>
      <c r="S2466" s="122">
        <v>2689</v>
      </c>
      <c r="T2466" s="122">
        <v>2324</v>
      </c>
      <c r="U2466" s="122">
        <v>861</v>
      </c>
      <c r="V2466" s="122">
        <v>13491</v>
      </c>
      <c r="W2466" s="122">
        <f t="shared" ref="W2466:W2529" si="78">SUM(ABS(J2466),ABS(M2466),ABS(O2466),ABS(Q2466),ABS(S2466),ABS(U2466))</f>
        <v>13492</v>
      </c>
      <c r="X2466" s="122">
        <f t="shared" ref="X2466:X2529" si="79">SUM(ABS(I2466),ABS(N2466),ABS(P2466),ABS(R2466),ABS(T2466),ABS(L2466))</f>
        <v>17521</v>
      </c>
      <c r="AI2466" s="66"/>
    </row>
    <row r="2467" spans="2:35" ht="13">
      <c r="B2467" t="s">
        <v>384</v>
      </c>
      <c r="C2467" t="s">
        <v>56</v>
      </c>
      <c r="D2467" t="s">
        <v>426</v>
      </c>
      <c r="E2467" t="s">
        <v>426</v>
      </c>
      <c r="F2467" s="122">
        <v>14</v>
      </c>
      <c r="G2467" s="122">
        <v>1489</v>
      </c>
      <c r="H2467" s="122">
        <v>2897</v>
      </c>
      <c r="I2467" s="122">
        <v>166087</v>
      </c>
      <c r="J2467" s="122">
        <v>150988</v>
      </c>
      <c r="K2467" s="122">
        <v>70</v>
      </c>
      <c r="L2467" s="122">
        <v>12561</v>
      </c>
      <c r="M2467" s="122">
        <v>9777</v>
      </c>
      <c r="N2467" s="122">
        <v>29024</v>
      </c>
      <c r="O2467" s="122">
        <v>10750</v>
      </c>
      <c r="P2467" s="122">
        <v>6548</v>
      </c>
      <c r="Q2467" s="122">
        <v>2425</v>
      </c>
      <c r="R2467" s="122">
        <v>67209</v>
      </c>
      <c r="S2467" s="122">
        <v>61099</v>
      </c>
      <c r="T2467" s="122">
        <v>27774</v>
      </c>
      <c r="U2467" s="122">
        <v>10287</v>
      </c>
      <c r="V2467" s="122">
        <v>245325</v>
      </c>
      <c r="W2467" s="122">
        <f t="shared" si="78"/>
        <v>245326</v>
      </c>
      <c r="X2467" s="122">
        <f t="shared" si="79"/>
        <v>309203</v>
      </c>
      <c r="AI2467" s="66"/>
    </row>
    <row r="2468" spans="2:35" ht="13">
      <c r="B2468" t="s">
        <v>384</v>
      </c>
      <c r="C2468" t="s">
        <v>56</v>
      </c>
      <c r="D2468" t="s">
        <v>433</v>
      </c>
      <c r="E2468" t="s">
        <v>433</v>
      </c>
      <c r="F2468" s="122">
        <v>1</v>
      </c>
      <c r="G2468" s="122">
        <v>73</v>
      </c>
      <c r="H2468" s="122">
        <v>162</v>
      </c>
      <c r="I2468" s="122">
        <v>11261</v>
      </c>
      <c r="J2468" s="122">
        <v>10238</v>
      </c>
      <c r="K2468" s="122">
        <v>72</v>
      </c>
      <c r="L2468" s="122">
        <v>0</v>
      </c>
      <c r="M2468" s="122">
        <v>1138</v>
      </c>
      <c r="N2468" s="122">
        <v>2069</v>
      </c>
      <c r="O2468" s="122">
        <v>766</v>
      </c>
      <c r="P2468" s="122">
        <v>351</v>
      </c>
      <c r="Q2468" s="122">
        <v>130</v>
      </c>
      <c r="R2468" s="122">
        <v>3764</v>
      </c>
      <c r="S2468" s="122">
        <v>3422</v>
      </c>
      <c r="T2468" s="122">
        <v>2733</v>
      </c>
      <c r="U2468" s="122">
        <v>1012</v>
      </c>
      <c r="V2468" s="122">
        <v>16705</v>
      </c>
      <c r="W2468" s="122">
        <f t="shared" si="78"/>
        <v>16706</v>
      </c>
      <c r="X2468" s="122">
        <f t="shared" si="79"/>
        <v>20178</v>
      </c>
      <c r="AI2468" s="66"/>
    </row>
    <row r="2469" spans="2:35" ht="13">
      <c r="B2469" t="s">
        <v>384</v>
      </c>
      <c r="C2469" t="s">
        <v>58</v>
      </c>
      <c r="D2469" t="s">
        <v>405</v>
      </c>
      <c r="E2469" t="s">
        <v>405</v>
      </c>
      <c r="F2469" s="122">
        <v>9</v>
      </c>
      <c r="G2469" s="122">
        <v>921</v>
      </c>
      <c r="H2469" s="122">
        <v>2371</v>
      </c>
      <c r="I2469" s="122">
        <v>142378</v>
      </c>
      <c r="J2469" s="122">
        <v>129435</v>
      </c>
      <c r="K2469" s="122">
        <v>81</v>
      </c>
      <c r="L2469" s="122">
        <v>29636</v>
      </c>
      <c r="M2469" s="122">
        <v>21985</v>
      </c>
      <c r="N2469" s="122">
        <v>21614</v>
      </c>
      <c r="O2469" s="122">
        <v>8005</v>
      </c>
      <c r="P2469" s="122">
        <v>4131</v>
      </c>
      <c r="Q2469" s="122">
        <v>1530</v>
      </c>
      <c r="R2469" s="122">
        <v>44252</v>
      </c>
      <c r="S2469" s="122">
        <v>40229</v>
      </c>
      <c r="T2469" s="122">
        <v>8811</v>
      </c>
      <c r="U2469" s="122">
        <v>3263</v>
      </c>
      <c r="V2469" s="122">
        <v>204448</v>
      </c>
      <c r="W2469" s="122">
        <f t="shared" si="78"/>
        <v>204447</v>
      </c>
      <c r="X2469" s="122">
        <f t="shared" si="79"/>
        <v>250822</v>
      </c>
      <c r="AI2469" s="66"/>
    </row>
    <row r="2470" spans="2:35" ht="13">
      <c r="B2470" t="s">
        <v>384</v>
      </c>
      <c r="C2470" t="s">
        <v>58</v>
      </c>
      <c r="D2470" t="s">
        <v>137</v>
      </c>
      <c r="E2470" t="s">
        <v>137</v>
      </c>
      <c r="F2470" s="122">
        <v>183</v>
      </c>
      <c r="G2470" s="122">
        <v>16830</v>
      </c>
      <c r="H2470" s="122">
        <v>49227</v>
      </c>
      <c r="I2470" s="122">
        <v>2507859</v>
      </c>
      <c r="J2470" s="122">
        <v>928837</v>
      </c>
      <c r="K2470" s="122">
        <v>101</v>
      </c>
      <c r="L2470" s="122">
        <v>420137</v>
      </c>
      <c r="M2470" s="122">
        <v>271319</v>
      </c>
      <c r="N2470" s="122">
        <v>343740</v>
      </c>
      <c r="O2470" s="122">
        <v>127311</v>
      </c>
      <c r="P2470" s="122">
        <v>1239</v>
      </c>
      <c r="Q2470" s="122">
        <v>459</v>
      </c>
      <c r="R2470" s="122">
        <v>1327077</v>
      </c>
      <c r="S2470" s="122">
        <v>491510</v>
      </c>
      <c r="T2470" s="122">
        <v>4714</v>
      </c>
      <c r="U2470" s="122">
        <v>1746</v>
      </c>
      <c r="V2470" s="122">
        <v>1821182</v>
      </c>
      <c r="W2470" s="122">
        <f t="shared" si="78"/>
        <v>1821182</v>
      </c>
      <c r="X2470" s="122">
        <f t="shared" si="79"/>
        <v>4604766</v>
      </c>
      <c r="AI2470" s="66"/>
    </row>
    <row r="2471" spans="2:35" ht="13">
      <c r="B2471" t="s">
        <v>384</v>
      </c>
      <c r="C2471" t="s">
        <v>58</v>
      </c>
      <c r="D2471" t="s">
        <v>137</v>
      </c>
      <c r="E2471" t="s">
        <v>427</v>
      </c>
      <c r="F2471" s="122">
        <v>3</v>
      </c>
      <c r="G2471" s="122">
        <v>209</v>
      </c>
      <c r="H2471" s="122">
        <v>843</v>
      </c>
      <c r="I2471" s="122">
        <v>28001</v>
      </c>
      <c r="J2471" s="122">
        <v>10371</v>
      </c>
      <c r="K2471" s="122">
        <v>100</v>
      </c>
      <c r="L2471" s="122">
        <v>6572</v>
      </c>
      <c r="M2471" s="122">
        <v>5975</v>
      </c>
      <c r="N2471" s="122">
        <v>2548</v>
      </c>
      <c r="O2471" s="122">
        <v>944</v>
      </c>
      <c r="P2471" s="122">
        <v>351</v>
      </c>
      <c r="Q2471" s="122">
        <v>130</v>
      </c>
      <c r="R2471" s="122">
        <v>14432</v>
      </c>
      <c r="S2471" s="122">
        <v>13120</v>
      </c>
      <c r="T2471" s="122">
        <v>6879</v>
      </c>
      <c r="U2471" s="122">
        <v>2548</v>
      </c>
      <c r="V2471" s="122">
        <v>33087</v>
      </c>
      <c r="W2471" s="122">
        <f t="shared" si="78"/>
        <v>33088</v>
      </c>
      <c r="X2471" s="122">
        <f t="shared" si="79"/>
        <v>58783</v>
      </c>
      <c r="AI2471" s="66"/>
    </row>
    <row r="2472" spans="2:35" ht="13">
      <c r="B2472" t="s">
        <v>384</v>
      </c>
      <c r="C2472" t="s">
        <v>58</v>
      </c>
      <c r="D2472" t="s">
        <v>137</v>
      </c>
      <c r="E2472" t="s">
        <v>556</v>
      </c>
      <c r="F2472" s="122">
        <v>2</v>
      </c>
      <c r="G2472" s="122">
        <v>151</v>
      </c>
      <c r="H2472" s="122">
        <v>570</v>
      </c>
      <c r="I2472" s="122">
        <v>20980</v>
      </c>
      <c r="J2472" s="122">
        <v>7771</v>
      </c>
      <c r="K2472" s="122">
        <v>100</v>
      </c>
      <c r="L2472" s="122">
        <v>3454</v>
      </c>
      <c r="M2472" s="122">
        <v>2878</v>
      </c>
      <c r="N2472" s="122">
        <v>3004</v>
      </c>
      <c r="O2472" s="122">
        <v>1113</v>
      </c>
      <c r="P2472" s="122">
        <v>0</v>
      </c>
      <c r="Q2472" s="122">
        <v>0</v>
      </c>
      <c r="R2472" s="122">
        <v>10557</v>
      </c>
      <c r="S2472" s="122">
        <v>8797</v>
      </c>
      <c r="T2472" s="122">
        <v>4875</v>
      </c>
      <c r="U2472" s="122">
        <v>1805</v>
      </c>
      <c r="V2472" s="122">
        <v>22364</v>
      </c>
      <c r="W2472" s="122">
        <f t="shared" si="78"/>
        <v>22364</v>
      </c>
      <c r="X2472" s="122">
        <f t="shared" si="79"/>
        <v>42870</v>
      </c>
      <c r="AI2472" s="66"/>
    </row>
    <row r="2473" spans="2:35" ht="13">
      <c r="B2473" t="s">
        <v>384</v>
      </c>
      <c r="C2473" t="s">
        <v>58</v>
      </c>
      <c r="D2473" t="s">
        <v>406</v>
      </c>
      <c r="E2473" t="s">
        <v>137</v>
      </c>
      <c r="F2473" s="122">
        <v>6</v>
      </c>
      <c r="G2473" s="122">
        <v>373</v>
      </c>
      <c r="H2473" s="122">
        <v>1626</v>
      </c>
      <c r="I2473" s="122">
        <v>47804</v>
      </c>
      <c r="J2473" s="122">
        <v>43458</v>
      </c>
      <c r="K2473" s="122">
        <v>81</v>
      </c>
      <c r="L2473" s="122">
        <v>13003</v>
      </c>
      <c r="M2473" s="122">
        <v>11193</v>
      </c>
      <c r="N2473" s="122">
        <v>6303</v>
      </c>
      <c r="O2473" s="122">
        <v>2334</v>
      </c>
      <c r="P2473" s="122">
        <v>3105</v>
      </c>
      <c r="Q2473" s="122">
        <v>1150</v>
      </c>
      <c r="R2473" s="122">
        <v>29117</v>
      </c>
      <c r="S2473" s="122">
        <v>10784</v>
      </c>
      <c r="T2473" s="122">
        <v>1467</v>
      </c>
      <c r="U2473" s="122">
        <v>543</v>
      </c>
      <c r="V2473" s="122">
        <v>69463</v>
      </c>
      <c r="W2473" s="122">
        <f t="shared" si="78"/>
        <v>69462</v>
      </c>
      <c r="X2473" s="122">
        <f t="shared" si="79"/>
        <v>100799</v>
      </c>
      <c r="AI2473" s="66"/>
    </row>
    <row r="2474" spans="2:35" ht="13">
      <c r="B2474" t="s">
        <v>384</v>
      </c>
      <c r="C2474" t="s">
        <v>58</v>
      </c>
      <c r="D2474" t="s">
        <v>406</v>
      </c>
      <c r="E2474" t="s">
        <v>406</v>
      </c>
      <c r="F2474" s="122">
        <v>1180</v>
      </c>
      <c r="G2474" s="122">
        <v>105190</v>
      </c>
      <c r="H2474" s="122">
        <v>304826</v>
      </c>
      <c r="I2474" s="122">
        <v>14456861</v>
      </c>
      <c r="J2474" s="122">
        <v>13142601</v>
      </c>
      <c r="K2474" s="122">
        <v>82</v>
      </c>
      <c r="L2474" s="122">
        <v>3229044</v>
      </c>
      <c r="M2474" s="122">
        <v>2773648</v>
      </c>
      <c r="N2474" s="122">
        <v>2086632</v>
      </c>
      <c r="O2474" s="122">
        <v>772827</v>
      </c>
      <c r="P2474" s="122">
        <v>765828</v>
      </c>
      <c r="Q2474" s="122">
        <v>283640</v>
      </c>
      <c r="R2474" s="122">
        <v>5327072</v>
      </c>
      <c r="S2474" s="122">
        <v>4842792</v>
      </c>
      <c r="T2474" s="122">
        <v>1612552</v>
      </c>
      <c r="U2474" s="122">
        <v>597241</v>
      </c>
      <c r="V2474" s="122">
        <v>22412749</v>
      </c>
      <c r="W2474" s="122">
        <f t="shared" si="78"/>
        <v>22412749</v>
      </c>
      <c r="X2474" s="122">
        <f t="shared" si="79"/>
        <v>27477989</v>
      </c>
      <c r="AI2474" s="66"/>
    </row>
    <row r="2475" spans="2:35" ht="13">
      <c r="B2475" t="s">
        <v>384</v>
      </c>
      <c r="C2475" t="s">
        <v>58</v>
      </c>
      <c r="D2475" t="s">
        <v>406</v>
      </c>
      <c r="E2475" t="s">
        <v>407</v>
      </c>
      <c r="F2475" s="122">
        <v>1</v>
      </c>
      <c r="G2475" s="122">
        <v>80</v>
      </c>
      <c r="H2475" s="122">
        <v>227</v>
      </c>
      <c r="I2475" s="122">
        <v>7527</v>
      </c>
      <c r="J2475" s="122">
        <v>6843</v>
      </c>
      <c r="K2475" s="122">
        <v>85</v>
      </c>
      <c r="L2475" s="122">
        <v>1232</v>
      </c>
      <c r="M2475" s="122">
        <v>1120</v>
      </c>
      <c r="N2475" s="122">
        <v>1521</v>
      </c>
      <c r="O2475" s="122">
        <v>563</v>
      </c>
      <c r="P2475" s="122">
        <v>972</v>
      </c>
      <c r="Q2475" s="122">
        <v>360</v>
      </c>
      <c r="R2475" s="122">
        <v>4048</v>
      </c>
      <c r="S2475" s="122">
        <v>3680</v>
      </c>
      <c r="T2475" s="122">
        <v>2879</v>
      </c>
      <c r="U2475" s="122">
        <v>1066</v>
      </c>
      <c r="V2475" s="122">
        <v>13632</v>
      </c>
      <c r="W2475" s="122">
        <f t="shared" si="78"/>
        <v>13632</v>
      </c>
      <c r="X2475" s="122">
        <f t="shared" si="79"/>
        <v>18179</v>
      </c>
      <c r="AI2475" s="66"/>
    </row>
    <row r="2476" spans="2:35" ht="13">
      <c r="B2476" t="s">
        <v>384</v>
      </c>
      <c r="C2476" t="s">
        <v>58</v>
      </c>
      <c r="D2476" t="s">
        <v>406</v>
      </c>
      <c r="E2476" t="s">
        <v>426</v>
      </c>
      <c r="F2476" s="122">
        <v>1</v>
      </c>
      <c r="G2476" s="122">
        <v>80</v>
      </c>
      <c r="H2476" s="122">
        <v>268</v>
      </c>
      <c r="I2476" s="122">
        <v>9008</v>
      </c>
      <c r="J2476" s="122">
        <v>8189</v>
      </c>
      <c r="K2476" s="122">
        <v>85</v>
      </c>
      <c r="L2476" s="122">
        <v>2937</v>
      </c>
      <c r="M2476" s="122">
        <v>2448</v>
      </c>
      <c r="N2476" s="122">
        <v>1824</v>
      </c>
      <c r="O2476" s="122">
        <v>676</v>
      </c>
      <c r="P2476" s="122">
        <v>621</v>
      </c>
      <c r="Q2476" s="122">
        <v>230</v>
      </c>
      <c r="R2476" s="122">
        <v>4057</v>
      </c>
      <c r="S2476" s="122">
        <v>3689</v>
      </c>
      <c r="T2476" s="122">
        <v>2874</v>
      </c>
      <c r="U2476" s="122">
        <v>1064</v>
      </c>
      <c r="V2476" s="122">
        <v>16295</v>
      </c>
      <c r="W2476" s="122">
        <f t="shared" si="78"/>
        <v>16296</v>
      </c>
      <c r="X2476" s="122">
        <f t="shared" si="79"/>
        <v>21321</v>
      </c>
      <c r="AI2476" s="66"/>
    </row>
    <row r="2477" spans="2:35" ht="13">
      <c r="B2477" t="s">
        <v>384</v>
      </c>
      <c r="C2477" t="s">
        <v>58</v>
      </c>
      <c r="D2477" t="s">
        <v>427</v>
      </c>
      <c r="E2477" t="s">
        <v>137</v>
      </c>
      <c r="F2477" s="122">
        <v>1</v>
      </c>
      <c r="G2477" s="122">
        <v>68</v>
      </c>
      <c r="H2477" s="122">
        <v>279</v>
      </c>
      <c r="I2477" s="122">
        <v>5377</v>
      </c>
      <c r="J2477" s="122">
        <v>4889</v>
      </c>
      <c r="K2477" s="122">
        <v>100</v>
      </c>
      <c r="L2477" s="122">
        <v>4889</v>
      </c>
      <c r="M2477" s="122">
        <v>1811</v>
      </c>
      <c r="N2477" s="122">
        <v>1237</v>
      </c>
      <c r="O2477" s="122">
        <v>458</v>
      </c>
      <c r="P2477" s="122">
        <v>0</v>
      </c>
      <c r="Q2477" s="122">
        <v>0</v>
      </c>
      <c r="R2477" s="122">
        <v>7404</v>
      </c>
      <c r="S2477" s="122">
        <v>2742</v>
      </c>
      <c r="T2477" s="122">
        <v>0</v>
      </c>
      <c r="U2477" s="122">
        <v>0</v>
      </c>
      <c r="V2477" s="122">
        <v>9900</v>
      </c>
      <c r="W2477" s="122">
        <f t="shared" si="78"/>
        <v>9900</v>
      </c>
      <c r="X2477" s="122">
        <f t="shared" si="79"/>
        <v>18907</v>
      </c>
      <c r="AI2477" s="66"/>
    </row>
    <row r="2478" spans="2:35" ht="13">
      <c r="B2478" t="s">
        <v>384</v>
      </c>
      <c r="C2478" t="s">
        <v>58</v>
      </c>
      <c r="D2478" t="s">
        <v>427</v>
      </c>
      <c r="E2478" t="s">
        <v>427</v>
      </c>
      <c r="F2478" s="122">
        <v>42</v>
      </c>
      <c r="G2478" s="122">
        <v>3742</v>
      </c>
      <c r="H2478" s="122">
        <v>11220</v>
      </c>
      <c r="I2478" s="122">
        <v>555502</v>
      </c>
      <c r="J2478" s="122">
        <v>505002</v>
      </c>
      <c r="K2478" s="122">
        <v>56</v>
      </c>
      <c r="L2478" s="122">
        <v>59200</v>
      </c>
      <c r="M2478" s="122">
        <v>34392</v>
      </c>
      <c r="N2478" s="122">
        <v>67352</v>
      </c>
      <c r="O2478" s="122">
        <v>24945</v>
      </c>
      <c r="P2478" s="122">
        <v>13689</v>
      </c>
      <c r="Q2478" s="122">
        <v>5070</v>
      </c>
      <c r="R2478" s="122">
        <v>240882</v>
      </c>
      <c r="S2478" s="122">
        <v>218984</v>
      </c>
      <c r="T2478" s="122">
        <v>56248</v>
      </c>
      <c r="U2478" s="122">
        <v>20833</v>
      </c>
      <c r="V2478" s="122">
        <v>809225</v>
      </c>
      <c r="W2478" s="122">
        <f t="shared" si="78"/>
        <v>809226</v>
      </c>
      <c r="X2478" s="122">
        <f t="shared" si="79"/>
        <v>992873</v>
      </c>
      <c r="AI2478" s="66"/>
    </row>
    <row r="2479" spans="2:35" ht="13">
      <c r="B2479" t="s">
        <v>384</v>
      </c>
      <c r="C2479" t="s">
        <v>58</v>
      </c>
      <c r="D2479" t="s">
        <v>407</v>
      </c>
      <c r="E2479" t="s">
        <v>137</v>
      </c>
      <c r="F2479" s="122">
        <v>8</v>
      </c>
      <c r="G2479" s="122">
        <v>638</v>
      </c>
      <c r="H2479" s="122">
        <v>2112</v>
      </c>
      <c r="I2479" s="122">
        <v>77790</v>
      </c>
      <c r="J2479" s="122">
        <v>70718</v>
      </c>
      <c r="K2479" s="122">
        <v>79</v>
      </c>
      <c r="L2479" s="122">
        <v>17462</v>
      </c>
      <c r="M2479" s="122">
        <v>15102</v>
      </c>
      <c r="N2479" s="122">
        <v>11774</v>
      </c>
      <c r="O2479" s="122">
        <v>4361</v>
      </c>
      <c r="P2479" s="122">
        <v>3780</v>
      </c>
      <c r="Q2479" s="122">
        <v>1400</v>
      </c>
      <c r="R2479" s="122">
        <v>57837</v>
      </c>
      <c r="S2479" s="122">
        <v>21421</v>
      </c>
      <c r="T2479" s="122">
        <v>0</v>
      </c>
      <c r="U2479" s="122">
        <v>0</v>
      </c>
      <c r="V2479" s="122">
        <v>113003</v>
      </c>
      <c r="W2479" s="122">
        <f t="shared" si="78"/>
        <v>113002</v>
      </c>
      <c r="X2479" s="122">
        <f t="shared" si="79"/>
        <v>168643</v>
      </c>
      <c r="AI2479" s="66"/>
    </row>
    <row r="2480" spans="2:35" ht="13">
      <c r="B2480" t="s">
        <v>384</v>
      </c>
      <c r="C2480" t="s">
        <v>58</v>
      </c>
      <c r="D2480" t="s">
        <v>407</v>
      </c>
      <c r="E2480" t="s">
        <v>407</v>
      </c>
      <c r="F2480" s="122">
        <v>1586</v>
      </c>
      <c r="G2480" s="122">
        <v>137917</v>
      </c>
      <c r="H2480" s="122">
        <v>405379</v>
      </c>
      <c r="I2480" s="122">
        <v>18201696</v>
      </c>
      <c r="J2480" s="122">
        <v>16546996</v>
      </c>
      <c r="K2480" s="122">
        <v>79</v>
      </c>
      <c r="L2480" s="122">
        <v>4342000</v>
      </c>
      <c r="M2480" s="122">
        <v>3772671</v>
      </c>
      <c r="N2480" s="122">
        <v>2785904</v>
      </c>
      <c r="O2480" s="122">
        <v>1031816</v>
      </c>
      <c r="P2480" s="122">
        <v>749730</v>
      </c>
      <c r="Q2480" s="122">
        <v>277678</v>
      </c>
      <c r="R2480" s="122">
        <v>7138086</v>
      </c>
      <c r="S2480" s="122">
        <v>6489169</v>
      </c>
      <c r="T2480" s="122">
        <v>2101090</v>
      </c>
      <c r="U2480" s="122">
        <v>778182</v>
      </c>
      <c r="V2480" s="122">
        <v>28896512</v>
      </c>
      <c r="W2480" s="122">
        <f t="shared" si="78"/>
        <v>28896512</v>
      </c>
      <c r="X2480" s="122">
        <f t="shared" si="79"/>
        <v>35318506</v>
      </c>
      <c r="AI2480" s="66"/>
    </row>
    <row r="2481" spans="2:35" ht="13">
      <c r="B2481" t="s">
        <v>384</v>
      </c>
      <c r="C2481" t="s">
        <v>58</v>
      </c>
      <c r="D2481" t="s">
        <v>407</v>
      </c>
      <c r="E2481" t="s">
        <v>556</v>
      </c>
      <c r="F2481" s="122">
        <v>1</v>
      </c>
      <c r="G2481" s="122">
        <v>101</v>
      </c>
      <c r="H2481" s="122">
        <v>289</v>
      </c>
      <c r="I2481" s="122">
        <v>15069</v>
      </c>
      <c r="J2481" s="122">
        <v>13699</v>
      </c>
      <c r="K2481" s="122">
        <v>65</v>
      </c>
      <c r="L2481" s="122">
        <v>3449</v>
      </c>
      <c r="M2481" s="122">
        <v>3136</v>
      </c>
      <c r="N2481" s="122">
        <v>1596</v>
      </c>
      <c r="O2481" s="122">
        <v>591</v>
      </c>
      <c r="P2481" s="122">
        <v>351</v>
      </c>
      <c r="Q2481" s="122">
        <v>130</v>
      </c>
      <c r="R2481" s="122">
        <v>5801</v>
      </c>
      <c r="S2481" s="122">
        <v>4834</v>
      </c>
      <c r="T2481" s="122">
        <v>2883</v>
      </c>
      <c r="U2481" s="122">
        <v>1068</v>
      </c>
      <c r="V2481" s="122">
        <v>23458</v>
      </c>
      <c r="W2481" s="122">
        <f t="shared" si="78"/>
        <v>23458</v>
      </c>
      <c r="X2481" s="122">
        <f t="shared" si="79"/>
        <v>29149</v>
      </c>
      <c r="AI2481" s="66"/>
    </row>
    <row r="2482" spans="2:35" ht="13">
      <c r="B2482" t="s">
        <v>384</v>
      </c>
      <c r="C2482" t="s">
        <v>58</v>
      </c>
      <c r="D2482" t="s">
        <v>407</v>
      </c>
      <c r="E2482" t="s">
        <v>426</v>
      </c>
      <c r="F2482" s="122">
        <v>1</v>
      </c>
      <c r="G2482" s="122">
        <v>88</v>
      </c>
      <c r="H2482" s="122">
        <v>240</v>
      </c>
      <c r="I2482" s="122">
        <v>10791</v>
      </c>
      <c r="J2482" s="122">
        <v>9810</v>
      </c>
      <c r="K2482" s="122">
        <v>79</v>
      </c>
      <c r="L2482" s="122">
        <v>2994</v>
      </c>
      <c r="M2482" s="122">
        <v>2721</v>
      </c>
      <c r="N2482" s="122">
        <v>1398</v>
      </c>
      <c r="O2482" s="122">
        <v>518</v>
      </c>
      <c r="P2482" s="122">
        <v>473</v>
      </c>
      <c r="Q2482" s="122">
        <v>175</v>
      </c>
      <c r="R2482" s="122">
        <v>3470</v>
      </c>
      <c r="S2482" s="122">
        <v>3154</v>
      </c>
      <c r="T2482" s="122">
        <v>2053</v>
      </c>
      <c r="U2482" s="122">
        <v>761</v>
      </c>
      <c r="V2482" s="122">
        <v>17140</v>
      </c>
      <c r="W2482" s="122">
        <f t="shared" si="78"/>
        <v>17139</v>
      </c>
      <c r="X2482" s="122">
        <f t="shared" si="79"/>
        <v>21179</v>
      </c>
      <c r="AI2482" s="66"/>
    </row>
    <row r="2483" spans="2:35" ht="13">
      <c r="B2483" t="s">
        <v>384</v>
      </c>
      <c r="C2483" t="s">
        <v>58</v>
      </c>
      <c r="D2483" t="s">
        <v>556</v>
      </c>
      <c r="E2483" t="s">
        <v>556</v>
      </c>
      <c r="F2483" s="122">
        <v>25</v>
      </c>
      <c r="G2483" s="122">
        <v>2208</v>
      </c>
      <c r="H2483" s="122">
        <v>6970</v>
      </c>
      <c r="I2483" s="122">
        <v>348874</v>
      </c>
      <c r="J2483" s="122">
        <v>290728</v>
      </c>
      <c r="K2483" s="122">
        <v>60</v>
      </c>
      <c r="L2483" s="122">
        <v>32063</v>
      </c>
      <c r="M2483" s="122">
        <v>24090</v>
      </c>
      <c r="N2483" s="122">
        <v>39099</v>
      </c>
      <c r="O2483" s="122">
        <v>14481</v>
      </c>
      <c r="P2483" s="122">
        <v>8343</v>
      </c>
      <c r="Q2483" s="122">
        <v>3090</v>
      </c>
      <c r="R2483" s="122">
        <v>133422</v>
      </c>
      <c r="S2483" s="122">
        <v>111185</v>
      </c>
      <c r="T2483" s="122">
        <v>55417</v>
      </c>
      <c r="U2483" s="122">
        <v>20525</v>
      </c>
      <c r="V2483" s="122">
        <v>464099</v>
      </c>
      <c r="W2483" s="122">
        <f t="shared" si="78"/>
        <v>464099</v>
      </c>
      <c r="X2483" s="122">
        <f t="shared" si="79"/>
        <v>617218</v>
      </c>
      <c r="AI2483" s="66"/>
    </row>
    <row r="2484" spans="2:35" ht="13">
      <c r="B2484" t="s">
        <v>384</v>
      </c>
      <c r="C2484" t="s">
        <v>58</v>
      </c>
      <c r="D2484" t="s">
        <v>426</v>
      </c>
      <c r="E2484" t="s">
        <v>137</v>
      </c>
      <c r="F2484" s="122">
        <v>2</v>
      </c>
      <c r="G2484" s="122">
        <v>176</v>
      </c>
      <c r="H2484" s="122">
        <v>556</v>
      </c>
      <c r="I2484" s="122">
        <v>28819</v>
      </c>
      <c r="J2484" s="122">
        <v>26200</v>
      </c>
      <c r="K2484" s="122">
        <v>66</v>
      </c>
      <c r="L2484" s="122">
        <v>3409</v>
      </c>
      <c r="M2484" s="122">
        <v>1263</v>
      </c>
      <c r="N2484" s="122">
        <v>2307</v>
      </c>
      <c r="O2484" s="122">
        <v>855</v>
      </c>
      <c r="P2484" s="122">
        <v>0</v>
      </c>
      <c r="Q2484" s="122">
        <v>0</v>
      </c>
      <c r="R2484" s="122">
        <v>15106</v>
      </c>
      <c r="S2484" s="122">
        <v>5595</v>
      </c>
      <c r="T2484" s="122">
        <v>0</v>
      </c>
      <c r="U2484" s="122">
        <v>0</v>
      </c>
      <c r="V2484" s="122">
        <v>33911</v>
      </c>
      <c r="W2484" s="122">
        <f t="shared" si="78"/>
        <v>33913</v>
      </c>
      <c r="X2484" s="122">
        <f t="shared" si="79"/>
        <v>49641</v>
      </c>
      <c r="AI2484" s="66"/>
    </row>
    <row r="2485" spans="2:35" ht="13">
      <c r="B2485" t="s">
        <v>384</v>
      </c>
      <c r="C2485" t="s">
        <v>58</v>
      </c>
      <c r="D2485" t="s">
        <v>426</v>
      </c>
      <c r="E2485" t="s">
        <v>426</v>
      </c>
      <c r="F2485" s="122">
        <v>96</v>
      </c>
      <c r="G2485" s="122">
        <v>7923</v>
      </c>
      <c r="H2485" s="122">
        <v>26408</v>
      </c>
      <c r="I2485" s="122">
        <v>1165641</v>
      </c>
      <c r="J2485" s="122">
        <v>1059673</v>
      </c>
      <c r="K2485" s="122">
        <v>59</v>
      </c>
      <c r="L2485" s="122">
        <v>129381</v>
      </c>
      <c r="M2485" s="122">
        <v>95582</v>
      </c>
      <c r="N2485" s="122">
        <v>160682</v>
      </c>
      <c r="O2485" s="122">
        <v>59512</v>
      </c>
      <c r="P2485" s="122">
        <v>35937</v>
      </c>
      <c r="Q2485" s="122">
        <v>13310</v>
      </c>
      <c r="R2485" s="122">
        <v>469806</v>
      </c>
      <c r="S2485" s="122">
        <v>427097</v>
      </c>
      <c r="T2485" s="122">
        <v>213490</v>
      </c>
      <c r="U2485" s="122">
        <v>79070</v>
      </c>
      <c r="V2485" s="122">
        <v>1734245</v>
      </c>
      <c r="W2485" s="122">
        <f t="shared" si="78"/>
        <v>1734244</v>
      </c>
      <c r="X2485" s="122">
        <f t="shared" si="79"/>
        <v>2174937</v>
      </c>
      <c r="AI2485" s="66"/>
    </row>
    <row r="2486" spans="2:35" ht="13">
      <c r="B2486" t="s">
        <v>384</v>
      </c>
      <c r="C2486" t="s">
        <v>60</v>
      </c>
      <c r="F2486" s="122">
        <v>3</v>
      </c>
      <c r="G2486" s="122">
        <v>132</v>
      </c>
      <c r="H2486" s="122">
        <v>1035</v>
      </c>
      <c r="I2486" s="122"/>
      <c r="J2486" s="122">
        <v>0</v>
      </c>
      <c r="K2486" s="122"/>
      <c r="L2486" s="122"/>
      <c r="M2486" s="122">
        <v>0</v>
      </c>
      <c r="N2486" s="122">
        <v>1964</v>
      </c>
      <c r="O2486" s="122">
        <v>727</v>
      </c>
      <c r="P2486" s="122">
        <v>621</v>
      </c>
      <c r="Q2486" s="122">
        <v>230</v>
      </c>
      <c r="R2486" s="122"/>
      <c r="S2486" s="122">
        <v>0</v>
      </c>
      <c r="T2486" s="122">
        <v>1598</v>
      </c>
      <c r="U2486" s="122">
        <v>592</v>
      </c>
      <c r="V2486" s="122">
        <v>1549</v>
      </c>
      <c r="W2486" s="122">
        <f t="shared" si="78"/>
        <v>1549</v>
      </c>
      <c r="X2486" s="122">
        <f t="shared" si="79"/>
        <v>4183</v>
      </c>
      <c r="AI2486" s="66"/>
    </row>
    <row r="2487" spans="2:35" ht="13">
      <c r="B2487" t="s">
        <v>384</v>
      </c>
      <c r="C2487" t="s">
        <v>60</v>
      </c>
      <c r="D2487" t="s">
        <v>555</v>
      </c>
      <c r="E2487" t="s">
        <v>555</v>
      </c>
      <c r="F2487" s="122">
        <v>1</v>
      </c>
      <c r="G2487" s="122">
        <v>89</v>
      </c>
      <c r="H2487" s="122">
        <v>363</v>
      </c>
      <c r="I2487" s="122">
        <v>18478</v>
      </c>
      <c r="J2487" s="122">
        <v>16798</v>
      </c>
      <c r="K2487" s="122">
        <v>60</v>
      </c>
      <c r="L2487" s="122">
        <v>4479</v>
      </c>
      <c r="M2487" s="122">
        <v>3733</v>
      </c>
      <c r="N2487" s="122">
        <v>1981</v>
      </c>
      <c r="O2487" s="122">
        <v>734</v>
      </c>
      <c r="P2487" s="122">
        <v>351</v>
      </c>
      <c r="Q2487" s="122">
        <v>130</v>
      </c>
      <c r="R2487" s="122">
        <v>4647</v>
      </c>
      <c r="S2487" s="122">
        <v>4224</v>
      </c>
      <c r="T2487" s="122">
        <v>2284</v>
      </c>
      <c r="U2487" s="122">
        <v>846</v>
      </c>
      <c r="V2487" s="122">
        <v>26465</v>
      </c>
      <c r="W2487" s="122">
        <f t="shared" si="78"/>
        <v>26465</v>
      </c>
      <c r="X2487" s="122">
        <f t="shared" si="79"/>
        <v>32220</v>
      </c>
      <c r="AI2487" s="66"/>
    </row>
    <row r="2488" spans="2:35" ht="13">
      <c r="B2488" t="s">
        <v>384</v>
      </c>
      <c r="C2488" t="s">
        <v>60</v>
      </c>
      <c r="D2488" t="s">
        <v>425</v>
      </c>
      <c r="E2488" t="s">
        <v>425</v>
      </c>
      <c r="F2488" s="122">
        <v>1</v>
      </c>
      <c r="G2488" s="122">
        <v>72</v>
      </c>
      <c r="H2488" s="122">
        <v>363</v>
      </c>
      <c r="I2488" s="122">
        <v>13946</v>
      </c>
      <c r="J2488" s="122">
        <v>12678</v>
      </c>
      <c r="K2488" s="122">
        <v>93</v>
      </c>
      <c r="L2488" s="122">
        <v>4953</v>
      </c>
      <c r="M2488" s="122">
        <v>4127</v>
      </c>
      <c r="N2488" s="122">
        <v>1567</v>
      </c>
      <c r="O2488" s="122">
        <v>580</v>
      </c>
      <c r="P2488" s="122">
        <v>473</v>
      </c>
      <c r="Q2488" s="122">
        <v>175</v>
      </c>
      <c r="R2488" s="122">
        <v>3089</v>
      </c>
      <c r="S2488" s="122">
        <v>2808</v>
      </c>
      <c r="T2488" s="122">
        <v>2194</v>
      </c>
      <c r="U2488" s="122">
        <v>813</v>
      </c>
      <c r="V2488" s="122">
        <v>21181</v>
      </c>
      <c r="W2488" s="122">
        <f t="shared" si="78"/>
        <v>21181</v>
      </c>
      <c r="X2488" s="122">
        <f t="shared" si="79"/>
        <v>26222</v>
      </c>
      <c r="AI2488" s="66"/>
    </row>
    <row r="2489" spans="2:35" ht="13">
      <c r="B2489" t="s">
        <v>384</v>
      </c>
      <c r="C2489" t="s">
        <v>60</v>
      </c>
      <c r="D2489" t="s">
        <v>405</v>
      </c>
      <c r="E2489" t="s">
        <v>405</v>
      </c>
      <c r="F2489" s="122">
        <v>5</v>
      </c>
      <c r="G2489" s="122">
        <v>569</v>
      </c>
      <c r="H2489" s="122">
        <v>1718</v>
      </c>
      <c r="I2489" s="122">
        <v>126199</v>
      </c>
      <c r="J2489" s="122">
        <v>114727</v>
      </c>
      <c r="K2489" s="122">
        <v>86</v>
      </c>
      <c r="L2489" s="122">
        <v>32752</v>
      </c>
      <c r="M2489" s="122">
        <v>29775</v>
      </c>
      <c r="N2489" s="122">
        <v>12047</v>
      </c>
      <c r="O2489" s="122">
        <v>4462</v>
      </c>
      <c r="P2489" s="122">
        <v>2363</v>
      </c>
      <c r="Q2489" s="122">
        <v>875</v>
      </c>
      <c r="R2489" s="122">
        <v>20886</v>
      </c>
      <c r="S2489" s="122">
        <v>18988</v>
      </c>
      <c r="T2489" s="122">
        <v>2558</v>
      </c>
      <c r="U2489" s="122">
        <v>947</v>
      </c>
      <c r="V2489" s="122">
        <v>169773</v>
      </c>
      <c r="W2489" s="122">
        <f t="shared" si="78"/>
        <v>169774</v>
      </c>
      <c r="X2489" s="122">
        <f t="shared" si="79"/>
        <v>196805</v>
      </c>
      <c r="AI2489" s="66"/>
    </row>
    <row r="2490" spans="2:35" ht="13">
      <c r="B2490" t="s">
        <v>384</v>
      </c>
      <c r="C2490" t="s">
        <v>60</v>
      </c>
      <c r="D2490" t="s">
        <v>137</v>
      </c>
      <c r="E2490" t="s">
        <v>137</v>
      </c>
      <c r="F2490" s="122">
        <v>165</v>
      </c>
      <c r="G2490" s="122">
        <v>12758</v>
      </c>
      <c r="H2490" s="122">
        <v>56246</v>
      </c>
      <c r="I2490" s="122">
        <v>2646083</v>
      </c>
      <c r="J2490" s="122">
        <v>980031</v>
      </c>
      <c r="K2490" s="122">
        <v>100</v>
      </c>
      <c r="L2490" s="122">
        <v>388707</v>
      </c>
      <c r="M2490" s="122">
        <v>275747</v>
      </c>
      <c r="N2490" s="122">
        <v>262447</v>
      </c>
      <c r="O2490" s="122">
        <v>97203</v>
      </c>
      <c r="P2490" s="122">
        <v>1404</v>
      </c>
      <c r="Q2490" s="122">
        <v>520</v>
      </c>
      <c r="R2490" s="122">
        <v>1115180</v>
      </c>
      <c r="S2490" s="122">
        <v>413030</v>
      </c>
      <c r="T2490" s="122">
        <v>2829</v>
      </c>
      <c r="U2490" s="122">
        <v>1048</v>
      </c>
      <c r="V2490" s="122">
        <v>1767578</v>
      </c>
      <c r="W2490" s="122">
        <f t="shared" si="78"/>
        <v>1767579</v>
      </c>
      <c r="X2490" s="122">
        <f t="shared" si="79"/>
        <v>4416650</v>
      </c>
      <c r="AI2490" s="66"/>
    </row>
    <row r="2491" spans="2:35" ht="13">
      <c r="B2491" t="s">
        <v>384</v>
      </c>
      <c r="C2491" t="s">
        <v>60</v>
      </c>
      <c r="D2491" t="s">
        <v>137</v>
      </c>
      <c r="E2491" t="s">
        <v>427</v>
      </c>
      <c r="F2491" s="122">
        <v>2</v>
      </c>
      <c r="G2491" s="122">
        <v>159</v>
      </c>
      <c r="H2491" s="122">
        <v>753</v>
      </c>
      <c r="I2491" s="122">
        <v>32965</v>
      </c>
      <c r="J2491" s="122">
        <v>12209</v>
      </c>
      <c r="K2491" s="122">
        <v>100</v>
      </c>
      <c r="L2491" s="122">
        <v>11192</v>
      </c>
      <c r="M2491" s="122">
        <v>10174</v>
      </c>
      <c r="N2491" s="122">
        <v>1932</v>
      </c>
      <c r="O2491" s="122">
        <v>715</v>
      </c>
      <c r="P2491" s="122">
        <v>351</v>
      </c>
      <c r="Q2491" s="122">
        <v>130</v>
      </c>
      <c r="R2491" s="122">
        <v>9285</v>
      </c>
      <c r="S2491" s="122">
        <v>8441</v>
      </c>
      <c r="T2491" s="122">
        <v>4000</v>
      </c>
      <c r="U2491" s="122">
        <v>1482</v>
      </c>
      <c r="V2491" s="122">
        <v>33152</v>
      </c>
      <c r="W2491" s="122">
        <f t="shared" si="78"/>
        <v>33151</v>
      </c>
      <c r="X2491" s="122">
        <f t="shared" si="79"/>
        <v>59725</v>
      </c>
      <c r="AI2491" s="66"/>
    </row>
    <row r="2492" spans="2:35" ht="13">
      <c r="B2492" t="s">
        <v>384</v>
      </c>
      <c r="C2492" t="s">
        <v>60</v>
      </c>
      <c r="D2492" t="s">
        <v>137</v>
      </c>
      <c r="E2492" t="s">
        <v>556</v>
      </c>
      <c r="F2492" s="122">
        <v>2</v>
      </c>
      <c r="G2492" s="122">
        <v>174</v>
      </c>
      <c r="H2492" s="122">
        <v>627</v>
      </c>
      <c r="I2492" s="122">
        <v>28496</v>
      </c>
      <c r="J2492" s="122">
        <v>10554</v>
      </c>
      <c r="K2492" s="122">
        <v>100</v>
      </c>
      <c r="L2492" s="122">
        <v>3639</v>
      </c>
      <c r="M2492" s="122">
        <v>3033</v>
      </c>
      <c r="N2492" s="122">
        <v>3588</v>
      </c>
      <c r="O2492" s="122">
        <v>1329</v>
      </c>
      <c r="P2492" s="122">
        <v>351</v>
      </c>
      <c r="Q2492" s="122">
        <v>130</v>
      </c>
      <c r="R2492" s="122">
        <v>13367</v>
      </c>
      <c r="S2492" s="122">
        <v>11140</v>
      </c>
      <c r="T2492" s="122">
        <v>5233</v>
      </c>
      <c r="U2492" s="122">
        <v>1938</v>
      </c>
      <c r="V2492" s="122">
        <v>28123</v>
      </c>
      <c r="W2492" s="122">
        <f t="shared" si="78"/>
        <v>28124</v>
      </c>
      <c r="X2492" s="122">
        <f t="shared" si="79"/>
        <v>54674</v>
      </c>
      <c r="AI2492" s="66"/>
    </row>
    <row r="2493" spans="2:35" ht="13">
      <c r="B2493" t="s">
        <v>384</v>
      </c>
      <c r="C2493" t="s">
        <v>60</v>
      </c>
      <c r="D2493" t="s">
        <v>137</v>
      </c>
      <c r="E2493" t="s">
        <v>426</v>
      </c>
      <c r="F2493" s="122">
        <v>3</v>
      </c>
      <c r="G2493" s="122">
        <v>251</v>
      </c>
      <c r="H2493" s="122">
        <v>1065</v>
      </c>
      <c r="I2493" s="122">
        <v>47886</v>
      </c>
      <c r="J2493" s="122">
        <v>17736</v>
      </c>
      <c r="K2493" s="122">
        <v>100</v>
      </c>
      <c r="L2493" s="122">
        <v>6264</v>
      </c>
      <c r="M2493" s="122">
        <v>5695</v>
      </c>
      <c r="N2493" s="122">
        <v>5539</v>
      </c>
      <c r="O2493" s="122">
        <v>2052</v>
      </c>
      <c r="P2493" s="122">
        <v>351</v>
      </c>
      <c r="Q2493" s="122">
        <v>130</v>
      </c>
      <c r="R2493" s="122">
        <v>21599</v>
      </c>
      <c r="S2493" s="122">
        <v>19635</v>
      </c>
      <c r="T2493" s="122">
        <v>7427</v>
      </c>
      <c r="U2493" s="122">
        <v>2751</v>
      </c>
      <c r="V2493" s="122">
        <v>47998</v>
      </c>
      <c r="W2493" s="122">
        <f t="shared" si="78"/>
        <v>47999</v>
      </c>
      <c r="X2493" s="122">
        <f t="shared" si="79"/>
        <v>89066</v>
      </c>
      <c r="AI2493" s="66"/>
    </row>
    <row r="2494" spans="2:35" ht="13">
      <c r="B2494" t="s">
        <v>384</v>
      </c>
      <c r="C2494" t="s">
        <v>60</v>
      </c>
      <c r="D2494" t="s">
        <v>406</v>
      </c>
      <c r="E2494" t="s">
        <v>137</v>
      </c>
      <c r="F2494" s="122">
        <v>2</v>
      </c>
      <c r="G2494" s="122">
        <v>89</v>
      </c>
      <c r="H2494" s="122">
        <v>725</v>
      </c>
      <c r="I2494" s="122">
        <v>17516</v>
      </c>
      <c r="J2494" s="122">
        <v>15924</v>
      </c>
      <c r="K2494" s="122">
        <v>90</v>
      </c>
      <c r="L2494" s="122">
        <v>3516</v>
      </c>
      <c r="M2494" s="122">
        <v>3196</v>
      </c>
      <c r="N2494" s="122">
        <v>1730</v>
      </c>
      <c r="O2494" s="122">
        <v>641</v>
      </c>
      <c r="P2494" s="122">
        <v>1242</v>
      </c>
      <c r="Q2494" s="122">
        <v>460</v>
      </c>
      <c r="R2494" s="122">
        <v>8247</v>
      </c>
      <c r="S2494" s="122">
        <v>3054</v>
      </c>
      <c r="T2494" s="122">
        <v>0</v>
      </c>
      <c r="U2494" s="122">
        <v>0</v>
      </c>
      <c r="V2494" s="122">
        <v>23276</v>
      </c>
      <c r="W2494" s="122">
        <f t="shared" si="78"/>
        <v>23275</v>
      </c>
      <c r="X2494" s="122">
        <f t="shared" si="79"/>
        <v>32251</v>
      </c>
      <c r="AI2494" s="66"/>
    </row>
    <row r="2495" spans="2:35" ht="13">
      <c r="B2495" t="s">
        <v>384</v>
      </c>
      <c r="C2495" t="s">
        <v>60</v>
      </c>
      <c r="D2495" t="s">
        <v>406</v>
      </c>
      <c r="E2495" t="s">
        <v>406</v>
      </c>
      <c r="F2495" s="122">
        <v>373</v>
      </c>
      <c r="G2495" s="122">
        <v>34001</v>
      </c>
      <c r="H2495" s="122">
        <v>124791</v>
      </c>
      <c r="I2495" s="122">
        <v>6733106</v>
      </c>
      <c r="J2495" s="122">
        <v>6121005</v>
      </c>
      <c r="K2495" s="122">
        <v>79</v>
      </c>
      <c r="L2495" s="122">
        <v>1520302</v>
      </c>
      <c r="M2495" s="122">
        <v>1292734</v>
      </c>
      <c r="N2495" s="122">
        <v>712205</v>
      </c>
      <c r="O2495" s="122">
        <v>263780</v>
      </c>
      <c r="P2495" s="122">
        <v>238707</v>
      </c>
      <c r="Q2495" s="122">
        <v>88410</v>
      </c>
      <c r="R2495" s="122">
        <v>1749647</v>
      </c>
      <c r="S2495" s="122">
        <v>1590588</v>
      </c>
      <c r="T2495" s="122">
        <v>613694</v>
      </c>
      <c r="U2495" s="122">
        <v>227294</v>
      </c>
      <c r="V2495" s="122">
        <v>9583811</v>
      </c>
      <c r="W2495" s="122">
        <f t="shared" si="78"/>
        <v>9583811</v>
      </c>
      <c r="X2495" s="122">
        <f t="shared" si="79"/>
        <v>11567661</v>
      </c>
      <c r="AI2495" s="66"/>
    </row>
    <row r="2496" spans="2:35" ht="13">
      <c r="B2496" t="s">
        <v>384</v>
      </c>
      <c r="C2496" t="s">
        <v>60</v>
      </c>
      <c r="D2496" t="s">
        <v>427</v>
      </c>
      <c r="E2496" t="s">
        <v>137</v>
      </c>
      <c r="F2496" s="122">
        <v>2</v>
      </c>
      <c r="G2496" s="122">
        <v>125</v>
      </c>
      <c r="H2496" s="122">
        <v>693</v>
      </c>
      <c r="I2496" s="122">
        <v>21682</v>
      </c>
      <c r="J2496" s="122">
        <v>19711</v>
      </c>
      <c r="K2496" s="122">
        <v>55</v>
      </c>
      <c r="L2496" s="122">
        <v>3252</v>
      </c>
      <c r="M2496" s="122">
        <v>1205</v>
      </c>
      <c r="N2496" s="122">
        <v>2053</v>
      </c>
      <c r="O2496" s="122">
        <v>760</v>
      </c>
      <c r="P2496" s="122">
        <v>351</v>
      </c>
      <c r="Q2496" s="122">
        <v>130</v>
      </c>
      <c r="R2496" s="122">
        <v>14369</v>
      </c>
      <c r="S2496" s="122">
        <v>5322</v>
      </c>
      <c r="T2496" s="122">
        <v>0</v>
      </c>
      <c r="U2496" s="122">
        <v>0</v>
      </c>
      <c r="V2496" s="122">
        <v>27127</v>
      </c>
      <c r="W2496" s="122">
        <f t="shared" si="78"/>
        <v>27128</v>
      </c>
      <c r="X2496" s="122">
        <f t="shared" si="79"/>
        <v>41707</v>
      </c>
      <c r="AI2496" s="66"/>
    </row>
    <row r="2497" spans="2:35" ht="13">
      <c r="B2497" t="s">
        <v>384</v>
      </c>
      <c r="C2497" t="s">
        <v>60</v>
      </c>
      <c r="D2497" t="s">
        <v>427</v>
      </c>
      <c r="E2497" t="s">
        <v>406</v>
      </c>
      <c r="F2497" s="122">
        <v>1</v>
      </c>
      <c r="G2497" s="122">
        <v>62</v>
      </c>
      <c r="H2497" s="122">
        <v>377</v>
      </c>
      <c r="I2497" s="122">
        <v>13770</v>
      </c>
      <c r="J2497" s="122">
        <v>12518</v>
      </c>
      <c r="K2497" s="122">
        <v>55</v>
      </c>
      <c r="L2497" s="122">
        <v>2065</v>
      </c>
      <c r="M2497" s="122">
        <v>765</v>
      </c>
      <c r="N2497" s="122">
        <v>755</v>
      </c>
      <c r="O2497" s="122">
        <v>280</v>
      </c>
      <c r="P2497" s="122">
        <v>351</v>
      </c>
      <c r="Q2497" s="122">
        <v>130</v>
      </c>
      <c r="R2497" s="122">
        <v>4520</v>
      </c>
      <c r="S2497" s="122">
        <v>4109</v>
      </c>
      <c r="T2497" s="122">
        <v>1918</v>
      </c>
      <c r="U2497" s="122">
        <v>711</v>
      </c>
      <c r="V2497" s="122">
        <v>18512</v>
      </c>
      <c r="W2497" s="122">
        <f t="shared" si="78"/>
        <v>18513</v>
      </c>
      <c r="X2497" s="122">
        <f t="shared" si="79"/>
        <v>23379</v>
      </c>
      <c r="AI2497" s="66"/>
    </row>
    <row r="2498" spans="2:35" ht="13">
      <c r="B2498" t="s">
        <v>384</v>
      </c>
      <c r="C2498" t="s">
        <v>60</v>
      </c>
      <c r="D2498" t="s">
        <v>427</v>
      </c>
      <c r="E2498" t="s">
        <v>427</v>
      </c>
      <c r="F2498" s="122">
        <v>51</v>
      </c>
      <c r="G2498" s="122">
        <v>3576</v>
      </c>
      <c r="H2498" s="122">
        <v>17477</v>
      </c>
      <c r="I2498" s="122">
        <v>682170</v>
      </c>
      <c r="J2498" s="122">
        <v>620154</v>
      </c>
      <c r="K2498" s="122">
        <v>55</v>
      </c>
      <c r="L2498" s="122">
        <v>99951</v>
      </c>
      <c r="M2498" s="122">
        <v>57819</v>
      </c>
      <c r="N2498" s="122">
        <v>66108</v>
      </c>
      <c r="O2498" s="122">
        <v>24485</v>
      </c>
      <c r="P2498" s="122">
        <v>18711</v>
      </c>
      <c r="Q2498" s="122">
        <v>6930</v>
      </c>
      <c r="R2498" s="122">
        <v>261454</v>
      </c>
      <c r="S2498" s="122">
        <v>237685</v>
      </c>
      <c r="T2498" s="122">
        <v>87873</v>
      </c>
      <c r="U2498" s="122">
        <v>32546</v>
      </c>
      <c r="V2498" s="122">
        <v>979620</v>
      </c>
      <c r="W2498" s="122">
        <f t="shared" si="78"/>
        <v>979619</v>
      </c>
      <c r="X2498" s="122">
        <f t="shared" si="79"/>
        <v>1216267</v>
      </c>
      <c r="AI2498" s="66"/>
    </row>
    <row r="2499" spans="2:35" ht="13">
      <c r="B2499" t="s">
        <v>384</v>
      </c>
      <c r="C2499" t="s">
        <v>60</v>
      </c>
      <c r="D2499" t="s">
        <v>407</v>
      </c>
      <c r="E2499" t="s">
        <v>137</v>
      </c>
      <c r="F2499" s="122">
        <v>2</v>
      </c>
      <c r="G2499" s="122">
        <v>202</v>
      </c>
      <c r="H2499" s="122">
        <v>728</v>
      </c>
      <c r="I2499" s="122">
        <v>50309</v>
      </c>
      <c r="J2499" s="122">
        <v>45736</v>
      </c>
      <c r="K2499" s="122">
        <v>85</v>
      </c>
      <c r="L2499" s="122">
        <v>12898</v>
      </c>
      <c r="M2499" s="122">
        <v>11262</v>
      </c>
      <c r="N2499" s="122">
        <v>5302</v>
      </c>
      <c r="O2499" s="122">
        <v>1964</v>
      </c>
      <c r="P2499" s="122">
        <v>945</v>
      </c>
      <c r="Q2499" s="122">
        <v>350</v>
      </c>
      <c r="R2499" s="122">
        <v>11096</v>
      </c>
      <c r="S2499" s="122">
        <v>4110</v>
      </c>
      <c r="T2499" s="122">
        <v>0</v>
      </c>
      <c r="U2499" s="122">
        <v>0</v>
      </c>
      <c r="V2499" s="122">
        <v>63421</v>
      </c>
      <c r="W2499" s="122">
        <f t="shared" si="78"/>
        <v>63422</v>
      </c>
      <c r="X2499" s="122">
        <f t="shared" si="79"/>
        <v>80550</v>
      </c>
      <c r="AI2499" s="66"/>
    </row>
    <row r="2500" spans="2:35" ht="13">
      <c r="B2500" t="s">
        <v>384</v>
      </c>
      <c r="C2500" t="s">
        <v>60</v>
      </c>
      <c r="D2500" t="s">
        <v>407</v>
      </c>
      <c r="E2500" t="s">
        <v>407</v>
      </c>
      <c r="F2500" s="122">
        <v>344</v>
      </c>
      <c r="G2500" s="122">
        <v>28029</v>
      </c>
      <c r="H2500" s="122">
        <v>115252</v>
      </c>
      <c r="I2500" s="122">
        <v>5524566</v>
      </c>
      <c r="J2500" s="122">
        <v>5022333</v>
      </c>
      <c r="K2500" s="122">
        <v>79</v>
      </c>
      <c r="L2500" s="122">
        <v>1288338</v>
      </c>
      <c r="M2500" s="122">
        <v>1098990</v>
      </c>
      <c r="N2500" s="122">
        <v>593002</v>
      </c>
      <c r="O2500" s="122">
        <v>219630</v>
      </c>
      <c r="P2500" s="122">
        <v>162807</v>
      </c>
      <c r="Q2500" s="122">
        <v>60299</v>
      </c>
      <c r="R2500" s="122">
        <v>1527755</v>
      </c>
      <c r="S2500" s="122">
        <v>1388868</v>
      </c>
      <c r="T2500" s="122">
        <v>458687</v>
      </c>
      <c r="U2500" s="122">
        <v>169884</v>
      </c>
      <c r="V2500" s="122">
        <v>7960004</v>
      </c>
      <c r="W2500" s="122">
        <f t="shared" si="78"/>
        <v>7960004</v>
      </c>
      <c r="X2500" s="122">
        <f t="shared" si="79"/>
        <v>9555155</v>
      </c>
      <c r="AI2500" s="66"/>
    </row>
    <row r="2501" spans="2:35" ht="13">
      <c r="B2501" t="s">
        <v>384</v>
      </c>
      <c r="C2501" t="s">
        <v>60</v>
      </c>
      <c r="D2501" t="s">
        <v>407</v>
      </c>
      <c r="E2501" t="s">
        <v>556</v>
      </c>
      <c r="F2501" s="122">
        <v>1</v>
      </c>
      <c r="G2501" s="122">
        <v>116</v>
      </c>
      <c r="H2501" s="122">
        <v>336</v>
      </c>
      <c r="I2501" s="122">
        <v>29666</v>
      </c>
      <c r="J2501" s="122">
        <v>26969</v>
      </c>
      <c r="K2501" s="122">
        <v>65</v>
      </c>
      <c r="L2501" s="122">
        <v>6790</v>
      </c>
      <c r="M2501" s="122">
        <v>6173</v>
      </c>
      <c r="N2501" s="122">
        <v>3298</v>
      </c>
      <c r="O2501" s="122">
        <v>1221</v>
      </c>
      <c r="P2501" s="122">
        <v>473</v>
      </c>
      <c r="Q2501" s="122">
        <v>175</v>
      </c>
      <c r="R2501" s="122">
        <v>4397</v>
      </c>
      <c r="S2501" s="122">
        <v>3664</v>
      </c>
      <c r="T2501" s="122">
        <v>2466</v>
      </c>
      <c r="U2501" s="122">
        <v>913</v>
      </c>
      <c r="V2501" s="122">
        <v>39117</v>
      </c>
      <c r="W2501" s="122">
        <f t="shared" si="78"/>
        <v>39115</v>
      </c>
      <c r="X2501" s="122">
        <f t="shared" si="79"/>
        <v>47090</v>
      </c>
      <c r="AI2501" s="66"/>
    </row>
    <row r="2502" spans="2:35" ht="13">
      <c r="B2502" t="s">
        <v>384</v>
      </c>
      <c r="C2502" t="s">
        <v>60</v>
      </c>
      <c r="D2502" t="s">
        <v>556</v>
      </c>
      <c r="E2502" t="s">
        <v>137</v>
      </c>
      <c r="F2502" s="122">
        <v>4</v>
      </c>
      <c r="G2502" s="122">
        <v>446</v>
      </c>
      <c r="H2502" s="122">
        <v>1372</v>
      </c>
      <c r="I2502" s="122">
        <v>99418</v>
      </c>
      <c r="J2502" s="122">
        <v>82849</v>
      </c>
      <c r="K2502" s="122">
        <v>60</v>
      </c>
      <c r="L2502" s="122">
        <v>10598</v>
      </c>
      <c r="M2502" s="122">
        <v>5466</v>
      </c>
      <c r="N2502" s="122">
        <v>9409</v>
      </c>
      <c r="O2502" s="122">
        <v>3485</v>
      </c>
      <c r="P2502" s="122">
        <v>702</v>
      </c>
      <c r="Q2502" s="122">
        <v>260</v>
      </c>
      <c r="R2502" s="122">
        <v>32148</v>
      </c>
      <c r="S2502" s="122">
        <v>11907</v>
      </c>
      <c r="T2502" s="122">
        <v>0</v>
      </c>
      <c r="U2502" s="122">
        <v>0</v>
      </c>
      <c r="V2502" s="122">
        <v>103966</v>
      </c>
      <c r="W2502" s="122">
        <f t="shared" si="78"/>
        <v>103967</v>
      </c>
      <c r="X2502" s="122">
        <f t="shared" si="79"/>
        <v>152275</v>
      </c>
      <c r="AI2502" s="66"/>
    </row>
    <row r="2503" spans="2:35" ht="13">
      <c r="B2503" t="s">
        <v>384</v>
      </c>
      <c r="C2503" t="s">
        <v>60</v>
      </c>
      <c r="D2503" t="s">
        <v>556</v>
      </c>
      <c r="E2503" t="s">
        <v>556</v>
      </c>
      <c r="F2503" s="122">
        <v>49</v>
      </c>
      <c r="G2503" s="122">
        <v>4075</v>
      </c>
      <c r="H2503" s="122">
        <v>15980</v>
      </c>
      <c r="I2503" s="122">
        <v>747396</v>
      </c>
      <c r="J2503" s="122">
        <v>622830</v>
      </c>
      <c r="K2503" s="122">
        <v>57</v>
      </c>
      <c r="L2503" s="122">
        <v>96048</v>
      </c>
      <c r="M2503" s="122">
        <v>73208</v>
      </c>
      <c r="N2503" s="122">
        <v>78648</v>
      </c>
      <c r="O2503" s="122">
        <v>29129</v>
      </c>
      <c r="P2503" s="122">
        <v>15795</v>
      </c>
      <c r="Q2503" s="122">
        <v>5850</v>
      </c>
      <c r="R2503" s="122">
        <v>275436</v>
      </c>
      <c r="S2503" s="122">
        <v>229530</v>
      </c>
      <c r="T2503" s="122">
        <v>111180</v>
      </c>
      <c r="U2503" s="122">
        <v>41178</v>
      </c>
      <c r="V2503" s="122">
        <v>1001725</v>
      </c>
      <c r="W2503" s="122">
        <f t="shared" si="78"/>
        <v>1001725</v>
      </c>
      <c r="X2503" s="122">
        <f t="shared" si="79"/>
        <v>1324503</v>
      </c>
      <c r="AI2503" s="66"/>
    </row>
    <row r="2504" spans="2:35" ht="13">
      <c r="B2504" t="s">
        <v>384</v>
      </c>
      <c r="C2504" t="s">
        <v>60</v>
      </c>
      <c r="D2504" t="s">
        <v>426</v>
      </c>
      <c r="E2504" t="s">
        <v>137</v>
      </c>
      <c r="F2504" s="122">
        <v>3</v>
      </c>
      <c r="G2504" s="122">
        <v>195</v>
      </c>
      <c r="H2504" s="122">
        <v>1050</v>
      </c>
      <c r="I2504" s="122">
        <v>34767</v>
      </c>
      <c r="J2504" s="122">
        <v>31606</v>
      </c>
      <c r="K2504" s="122">
        <v>65</v>
      </c>
      <c r="L2504" s="122">
        <v>6871</v>
      </c>
      <c r="M2504" s="122">
        <v>4118</v>
      </c>
      <c r="N2504" s="122">
        <v>3942</v>
      </c>
      <c r="O2504" s="122">
        <v>1460</v>
      </c>
      <c r="P2504" s="122">
        <v>351</v>
      </c>
      <c r="Q2504" s="122">
        <v>130</v>
      </c>
      <c r="R2504" s="122">
        <v>22292</v>
      </c>
      <c r="S2504" s="122">
        <v>8256</v>
      </c>
      <c r="T2504" s="122">
        <v>0</v>
      </c>
      <c r="U2504" s="122">
        <v>0</v>
      </c>
      <c r="V2504" s="122">
        <v>45571</v>
      </c>
      <c r="W2504" s="122">
        <f t="shared" si="78"/>
        <v>45570</v>
      </c>
      <c r="X2504" s="122">
        <f t="shared" si="79"/>
        <v>68223</v>
      </c>
      <c r="AI2504" s="66"/>
    </row>
    <row r="2505" spans="2:35" ht="13">
      <c r="B2505" t="s">
        <v>384</v>
      </c>
      <c r="C2505" t="s">
        <v>60</v>
      </c>
      <c r="D2505" t="s">
        <v>426</v>
      </c>
      <c r="E2505" t="s">
        <v>406</v>
      </c>
      <c r="F2505" s="122">
        <v>1</v>
      </c>
      <c r="G2505" s="122">
        <v>172</v>
      </c>
      <c r="H2505" s="122">
        <v>353</v>
      </c>
      <c r="I2505" s="122">
        <v>37300</v>
      </c>
      <c r="J2505" s="122">
        <v>33909</v>
      </c>
      <c r="K2505" s="122">
        <v>65</v>
      </c>
      <c r="L2505" s="122">
        <v>9314</v>
      </c>
      <c r="M2505" s="122">
        <v>7761</v>
      </c>
      <c r="N2505" s="122">
        <v>3693</v>
      </c>
      <c r="O2505" s="122">
        <v>1368</v>
      </c>
      <c r="P2505" s="122">
        <v>621</v>
      </c>
      <c r="Q2505" s="122">
        <v>230</v>
      </c>
      <c r="R2505" s="122">
        <v>6292</v>
      </c>
      <c r="S2505" s="122">
        <v>5720</v>
      </c>
      <c r="T2505" s="122">
        <v>3610</v>
      </c>
      <c r="U2505" s="122">
        <v>1337</v>
      </c>
      <c r="V2505" s="122">
        <v>50326</v>
      </c>
      <c r="W2505" s="122">
        <f t="shared" si="78"/>
        <v>50325</v>
      </c>
      <c r="X2505" s="122">
        <f t="shared" si="79"/>
        <v>60830</v>
      </c>
      <c r="AI2505" s="66"/>
    </row>
    <row r="2506" spans="2:35" ht="13">
      <c r="B2506" t="s">
        <v>384</v>
      </c>
      <c r="C2506" t="s">
        <v>60</v>
      </c>
      <c r="D2506" t="s">
        <v>426</v>
      </c>
      <c r="E2506" t="s">
        <v>426</v>
      </c>
      <c r="F2506" s="122">
        <v>164</v>
      </c>
      <c r="G2506" s="122">
        <v>12332</v>
      </c>
      <c r="H2506" s="122">
        <v>53866</v>
      </c>
      <c r="I2506" s="122">
        <v>2338680</v>
      </c>
      <c r="J2506" s="122">
        <v>2126072</v>
      </c>
      <c r="K2506" s="122">
        <v>56</v>
      </c>
      <c r="L2506" s="122">
        <v>188391</v>
      </c>
      <c r="M2506" s="122">
        <v>148744</v>
      </c>
      <c r="N2506" s="122">
        <v>260571</v>
      </c>
      <c r="O2506" s="122">
        <v>96508</v>
      </c>
      <c r="P2506" s="122">
        <v>57632</v>
      </c>
      <c r="Q2506" s="122">
        <v>21345</v>
      </c>
      <c r="R2506" s="122">
        <v>832993</v>
      </c>
      <c r="S2506" s="122">
        <v>757266</v>
      </c>
      <c r="T2506" s="122">
        <v>376956</v>
      </c>
      <c r="U2506" s="122">
        <v>139613</v>
      </c>
      <c r="V2506" s="122">
        <v>3289549</v>
      </c>
      <c r="W2506" s="122">
        <f t="shared" si="78"/>
        <v>3289548</v>
      </c>
      <c r="X2506" s="122">
        <f t="shared" si="79"/>
        <v>4055223</v>
      </c>
      <c r="AI2506" s="66"/>
    </row>
    <row r="2507" spans="2:35" ht="13">
      <c r="B2507" t="s">
        <v>384</v>
      </c>
      <c r="C2507" t="s">
        <v>60</v>
      </c>
      <c r="D2507" t="s">
        <v>433</v>
      </c>
      <c r="E2507" t="s">
        <v>433</v>
      </c>
      <c r="F2507" s="122">
        <v>3</v>
      </c>
      <c r="G2507" s="122">
        <v>240</v>
      </c>
      <c r="H2507" s="122">
        <v>999</v>
      </c>
      <c r="I2507" s="122">
        <v>37449</v>
      </c>
      <c r="J2507" s="122">
        <v>34044</v>
      </c>
      <c r="K2507" s="122">
        <v>52</v>
      </c>
      <c r="L2507" s="122">
        <v>5901</v>
      </c>
      <c r="M2507" s="122">
        <v>3802</v>
      </c>
      <c r="N2507" s="122">
        <v>4684</v>
      </c>
      <c r="O2507" s="122">
        <v>1735</v>
      </c>
      <c r="P2507" s="122">
        <v>1053</v>
      </c>
      <c r="Q2507" s="122">
        <v>390</v>
      </c>
      <c r="R2507" s="122">
        <v>21055</v>
      </c>
      <c r="S2507" s="122">
        <v>19141</v>
      </c>
      <c r="T2507" s="122">
        <v>9595</v>
      </c>
      <c r="U2507" s="122">
        <v>3554</v>
      </c>
      <c r="V2507" s="122">
        <v>62665</v>
      </c>
      <c r="W2507" s="122">
        <f t="shared" si="78"/>
        <v>62666</v>
      </c>
      <c r="X2507" s="122">
        <f t="shared" si="79"/>
        <v>79737</v>
      </c>
      <c r="AI2507" s="66"/>
    </row>
    <row r="2508" spans="2:35" ht="13">
      <c r="B2508" t="s">
        <v>384</v>
      </c>
      <c r="C2508" t="s">
        <v>60</v>
      </c>
      <c r="D2508" t="s">
        <v>408</v>
      </c>
      <c r="E2508" t="s">
        <v>408</v>
      </c>
      <c r="F2508" s="122">
        <v>2</v>
      </c>
      <c r="G2508" s="122">
        <v>271</v>
      </c>
      <c r="H2508" s="122">
        <v>612</v>
      </c>
      <c r="I2508" s="122">
        <v>57602</v>
      </c>
      <c r="J2508" s="122">
        <v>52366</v>
      </c>
      <c r="K2508" s="122">
        <v>73</v>
      </c>
      <c r="L2508" s="122">
        <v>7900</v>
      </c>
      <c r="M2508" s="122">
        <v>7182</v>
      </c>
      <c r="N2508" s="122">
        <v>5318</v>
      </c>
      <c r="O2508" s="122">
        <v>1970</v>
      </c>
      <c r="P2508" s="122">
        <v>702</v>
      </c>
      <c r="Q2508" s="122">
        <v>260</v>
      </c>
      <c r="R2508" s="122">
        <v>7012</v>
      </c>
      <c r="S2508" s="122">
        <v>6374</v>
      </c>
      <c r="T2508" s="122">
        <v>4428</v>
      </c>
      <c r="U2508" s="122">
        <v>1640</v>
      </c>
      <c r="V2508" s="122">
        <v>69792</v>
      </c>
      <c r="W2508" s="122">
        <f t="shared" si="78"/>
        <v>69792</v>
      </c>
      <c r="X2508" s="122">
        <f t="shared" si="79"/>
        <v>82962</v>
      </c>
      <c r="AI2508" s="66"/>
    </row>
    <row r="2509" spans="2:35" ht="13">
      <c r="B2509" t="s">
        <v>384</v>
      </c>
      <c r="C2509" t="s">
        <v>62</v>
      </c>
      <c r="F2509" s="122">
        <v>2</v>
      </c>
      <c r="G2509" s="122">
        <v>66</v>
      </c>
      <c r="H2509" s="122">
        <v>876</v>
      </c>
      <c r="I2509" s="122"/>
      <c r="J2509" s="122">
        <v>0</v>
      </c>
      <c r="K2509" s="122"/>
      <c r="L2509" s="122"/>
      <c r="M2509" s="122">
        <v>0</v>
      </c>
      <c r="N2509" s="122">
        <v>1564</v>
      </c>
      <c r="O2509" s="122">
        <v>579</v>
      </c>
      <c r="P2509" s="122">
        <v>0</v>
      </c>
      <c r="Q2509" s="122">
        <v>0</v>
      </c>
      <c r="R2509" s="122"/>
      <c r="S2509" s="122">
        <v>0</v>
      </c>
      <c r="T2509" s="122">
        <v>5573</v>
      </c>
      <c r="U2509" s="122">
        <v>2064</v>
      </c>
      <c r="V2509" s="122">
        <v>2643</v>
      </c>
      <c r="W2509" s="122">
        <f t="shared" si="78"/>
        <v>2643</v>
      </c>
      <c r="X2509" s="122">
        <f t="shared" si="79"/>
        <v>7137</v>
      </c>
      <c r="AI2509" s="66"/>
    </row>
    <row r="2510" spans="2:35" ht="13">
      <c r="B2510" t="s">
        <v>384</v>
      </c>
      <c r="C2510" t="s">
        <v>62</v>
      </c>
      <c r="D2510" t="s">
        <v>555</v>
      </c>
      <c r="E2510" t="s">
        <v>555</v>
      </c>
      <c r="F2510" s="122">
        <v>1</v>
      </c>
      <c r="G2510" s="122">
        <v>97</v>
      </c>
      <c r="H2510" s="122">
        <v>423</v>
      </c>
      <c r="I2510" s="122">
        <v>30226</v>
      </c>
      <c r="J2510" s="122">
        <v>27478</v>
      </c>
      <c r="K2510" s="122">
        <v>65</v>
      </c>
      <c r="L2510" s="122">
        <v>0</v>
      </c>
      <c r="M2510" s="122">
        <v>0</v>
      </c>
      <c r="N2510" s="122">
        <v>2281</v>
      </c>
      <c r="O2510" s="122">
        <v>845</v>
      </c>
      <c r="P2510" s="122">
        <v>351</v>
      </c>
      <c r="Q2510" s="122">
        <v>130</v>
      </c>
      <c r="R2510" s="122">
        <v>4866</v>
      </c>
      <c r="S2510" s="122">
        <v>4423</v>
      </c>
      <c r="T2510" s="122">
        <v>3280</v>
      </c>
      <c r="U2510" s="122">
        <v>1215</v>
      </c>
      <c r="V2510" s="122">
        <v>34091</v>
      </c>
      <c r="W2510" s="122">
        <f t="shared" si="78"/>
        <v>34091</v>
      </c>
      <c r="X2510" s="122">
        <f t="shared" si="79"/>
        <v>41004</v>
      </c>
      <c r="AI2510" s="66"/>
    </row>
    <row r="2511" spans="2:35" ht="13">
      <c r="B2511" t="s">
        <v>384</v>
      </c>
      <c r="C2511" t="s">
        <v>62</v>
      </c>
      <c r="D2511" t="s">
        <v>405</v>
      </c>
      <c r="E2511" t="s">
        <v>405</v>
      </c>
      <c r="F2511" s="122">
        <v>1</v>
      </c>
      <c r="G2511" s="122">
        <v>96</v>
      </c>
      <c r="H2511" s="122">
        <v>442</v>
      </c>
      <c r="I2511" s="122">
        <v>32269</v>
      </c>
      <c r="J2511" s="122">
        <v>29336</v>
      </c>
      <c r="K2511" s="122">
        <v>78</v>
      </c>
      <c r="L2511" s="122">
        <v>4446</v>
      </c>
      <c r="M2511" s="122">
        <v>4042</v>
      </c>
      <c r="N2511" s="122">
        <v>2121</v>
      </c>
      <c r="O2511" s="122">
        <v>786</v>
      </c>
      <c r="P2511" s="122">
        <v>473</v>
      </c>
      <c r="Q2511" s="122">
        <v>175</v>
      </c>
      <c r="R2511" s="122">
        <v>3209</v>
      </c>
      <c r="S2511" s="122">
        <v>2917</v>
      </c>
      <c r="T2511" s="122">
        <v>0</v>
      </c>
      <c r="U2511" s="122">
        <v>0</v>
      </c>
      <c r="V2511" s="122">
        <v>37255</v>
      </c>
      <c r="W2511" s="122">
        <f t="shared" si="78"/>
        <v>37256</v>
      </c>
      <c r="X2511" s="122">
        <f t="shared" si="79"/>
        <v>42518</v>
      </c>
      <c r="AI2511" s="66"/>
    </row>
    <row r="2512" spans="2:35" ht="13">
      <c r="B2512" t="s">
        <v>384</v>
      </c>
      <c r="C2512" t="s">
        <v>62</v>
      </c>
      <c r="D2512" t="s">
        <v>137</v>
      </c>
      <c r="E2512" t="s">
        <v>137</v>
      </c>
      <c r="F2512" s="122">
        <v>132</v>
      </c>
      <c r="G2512" s="122">
        <v>9660</v>
      </c>
      <c r="H2512" s="122">
        <v>54752</v>
      </c>
      <c r="I2512" s="122">
        <v>2546694</v>
      </c>
      <c r="J2512" s="122">
        <v>943220</v>
      </c>
      <c r="K2512" s="122">
        <v>100</v>
      </c>
      <c r="L2512" s="122">
        <v>445700</v>
      </c>
      <c r="M2512" s="122">
        <v>267307</v>
      </c>
      <c r="N2512" s="122">
        <v>215299</v>
      </c>
      <c r="O2512" s="122">
        <v>79740</v>
      </c>
      <c r="P2512" s="122">
        <v>351</v>
      </c>
      <c r="Q2512" s="122">
        <v>130</v>
      </c>
      <c r="R2512" s="122">
        <v>827680</v>
      </c>
      <c r="S2512" s="122">
        <v>306548</v>
      </c>
      <c r="T2512" s="122">
        <v>0</v>
      </c>
      <c r="U2512" s="122">
        <v>0</v>
      </c>
      <c r="V2512" s="122">
        <v>1596946</v>
      </c>
      <c r="W2512" s="122">
        <f t="shared" si="78"/>
        <v>1596945</v>
      </c>
      <c r="X2512" s="122">
        <f t="shared" si="79"/>
        <v>4035724</v>
      </c>
      <c r="AI2512" s="66"/>
    </row>
    <row r="2513" spans="2:35" ht="13">
      <c r="B2513" t="s">
        <v>384</v>
      </c>
      <c r="C2513" t="s">
        <v>62</v>
      </c>
      <c r="D2513" t="s">
        <v>137</v>
      </c>
      <c r="E2513" t="s">
        <v>556</v>
      </c>
      <c r="F2513" s="122">
        <v>1</v>
      </c>
      <c r="G2513" s="122">
        <v>127</v>
      </c>
      <c r="H2513" s="122">
        <v>445</v>
      </c>
      <c r="I2513" s="122">
        <v>41074</v>
      </c>
      <c r="J2513" s="122">
        <v>15213</v>
      </c>
      <c r="K2513" s="122">
        <v>100</v>
      </c>
      <c r="L2513" s="122">
        <v>4057</v>
      </c>
      <c r="M2513" s="122">
        <v>3381</v>
      </c>
      <c r="N2513" s="122">
        <v>3106</v>
      </c>
      <c r="O2513" s="122">
        <v>1151</v>
      </c>
      <c r="P2513" s="122">
        <v>0</v>
      </c>
      <c r="Q2513" s="122">
        <v>0</v>
      </c>
      <c r="R2513" s="122">
        <v>6146</v>
      </c>
      <c r="S2513" s="122">
        <v>5122</v>
      </c>
      <c r="T2513" s="122">
        <v>2319</v>
      </c>
      <c r="U2513" s="122">
        <v>859</v>
      </c>
      <c r="V2513" s="122">
        <v>25724</v>
      </c>
      <c r="W2513" s="122">
        <f t="shared" si="78"/>
        <v>25726</v>
      </c>
      <c r="X2513" s="122">
        <f t="shared" si="79"/>
        <v>56702</v>
      </c>
      <c r="AI2513" s="66"/>
    </row>
    <row r="2514" spans="2:35" ht="13">
      <c r="B2514" t="s">
        <v>384</v>
      </c>
      <c r="C2514" t="s">
        <v>62</v>
      </c>
      <c r="D2514" t="s">
        <v>137</v>
      </c>
      <c r="E2514" t="s">
        <v>426</v>
      </c>
      <c r="F2514" s="122">
        <v>2</v>
      </c>
      <c r="G2514" s="122">
        <v>170</v>
      </c>
      <c r="H2514" s="122">
        <v>838</v>
      </c>
      <c r="I2514" s="122">
        <v>42753</v>
      </c>
      <c r="J2514" s="122">
        <v>15834</v>
      </c>
      <c r="K2514" s="122">
        <v>100</v>
      </c>
      <c r="L2514" s="122">
        <v>8050</v>
      </c>
      <c r="M2514" s="122">
        <v>5017</v>
      </c>
      <c r="N2514" s="122">
        <v>3941</v>
      </c>
      <c r="O2514" s="122">
        <v>1459</v>
      </c>
      <c r="P2514" s="122">
        <v>203</v>
      </c>
      <c r="Q2514" s="122">
        <v>75</v>
      </c>
      <c r="R2514" s="122">
        <v>11122</v>
      </c>
      <c r="S2514" s="122">
        <v>10111</v>
      </c>
      <c r="T2514" s="122">
        <v>4904</v>
      </c>
      <c r="U2514" s="122">
        <v>1816</v>
      </c>
      <c r="V2514" s="122">
        <v>34313</v>
      </c>
      <c r="W2514" s="122">
        <f t="shared" si="78"/>
        <v>34312</v>
      </c>
      <c r="X2514" s="122">
        <f t="shared" si="79"/>
        <v>70973</v>
      </c>
      <c r="AI2514" s="66"/>
    </row>
    <row r="2515" spans="2:35" ht="13">
      <c r="B2515" t="s">
        <v>384</v>
      </c>
      <c r="C2515" t="s">
        <v>62</v>
      </c>
      <c r="D2515" t="s">
        <v>406</v>
      </c>
      <c r="E2515" t="s">
        <v>137</v>
      </c>
      <c r="F2515" s="122">
        <v>2</v>
      </c>
      <c r="G2515" s="122">
        <v>148</v>
      </c>
      <c r="H2515" s="122">
        <v>860</v>
      </c>
      <c r="I2515" s="122">
        <v>42024</v>
      </c>
      <c r="J2515" s="122">
        <v>38204</v>
      </c>
      <c r="K2515" s="122">
        <v>85</v>
      </c>
      <c r="L2515" s="122">
        <v>5722</v>
      </c>
      <c r="M2515" s="122">
        <v>5202</v>
      </c>
      <c r="N2515" s="122">
        <v>3482</v>
      </c>
      <c r="O2515" s="122">
        <v>1290</v>
      </c>
      <c r="P2515" s="122">
        <v>1242</v>
      </c>
      <c r="Q2515" s="122">
        <v>460</v>
      </c>
      <c r="R2515" s="122">
        <v>11284</v>
      </c>
      <c r="S2515" s="122">
        <v>4179</v>
      </c>
      <c r="T2515" s="122">
        <v>0</v>
      </c>
      <c r="U2515" s="122">
        <v>0</v>
      </c>
      <c r="V2515" s="122">
        <v>49335</v>
      </c>
      <c r="W2515" s="122">
        <f t="shared" si="78"/>
        <v>49335</v>
      </c>
      <c r="X2515" s="122">
        <f t="shared" si="79"/>
        <v>63754</v>
      </c>
      <c r="AI2515" s="66"/>
    </row>
    <row r="2516" spans="2:35" ht="13">
      <c r="B2516" t="s">
        <v>384</v>
      </c>
      <c r="C2516" t="s">
        <v>62</v>
      </c>
      <c r="D2516" t="s">
        <v>406</v>
      </c>
      <c r="E2516" t="s">
        <v>406</v>
      </c>
      <c r="F2516" s="122">
        <v>135</v>
      </c>
      <c r="G2516" s="122">
        <v>13277</v>
      </c>
      <c r="H2516" s="122">
        <v>55711</v>
      </c>
      <c r="I2516" s="122">
        <v>3534554</v>
      </c>
      <c r="J2516" s="122">
        <v>3213231</v>
      </c>
      <c r="K2516" s="122">
        <v>78</v>
      </c>
      <c r="L2516" s="122">
        <v>799547</v>
      </c>
      <c r="M2516" s="122">
        <v>672950</v>
      </c>
      <c r="N2516" s="122">
        <v>284050</v>
      </c>
      <c r="O2516" s="122">
        <v>105204</v>
      </c>
      <c r="P2516" s="122">
        <v>86994</v>
      </c>
      <c r="Q2516" s="122">
        <v>32220</v>
      </c>
      <c r="R2516" s="122">
        <v>675442</v>
      </c>
      <c r="S2516" s="122">
        <v>614038</v>
      </c>
      <c r="T2516" s="122">
        <v>206161</v>
      </c>
      <c r="U2516" s="122">
        <v>76356</v>
      </c>
      <c r="V2516" s="122">
        <v>4713999</v>
      </c>
      <c r="W2516" s="122">
        <f t="shared" si="78"/>
        <v>4713999</v>
      </c>
      <c r="X2516" s="122">
        <f t="shared" si="79"/>
        <v>5586748</v>
      </c>
      <c r="AI2516" s="66"/>
    </row>
    <row r="2517" spans="2:35" ht="13">
      <c r="B2517" t="s">
        <v>384</v>
      </c>
      <c r="C2517" t="s">
        <v>62</v>
      </c>
      <c r="D2517" t="s">
        <v>427</v>
      </c>
      <c r="E2517" t="s">
        <v>137</v>
      </c>
      <c r="F2517" s="122">
        <v>1</v>
      </c>
      <c r="G2517" s="122">
        <v>78</v>
      </c>
      <c r="H2517" s="122">
        <v>433</v>
      </c>
      <c r="I2517" s="122">
        <v>20567</v>
      </c>
      <c r="J2517" s="122">
        <v>18697</v>
      </c>
      <c r="K2517" s="122">
        <v>60</v>
      </c>
      <c r="L2517" s="122">
        <v>3365</v>
      </c>
      <c r="M2517" s="122">
        <v>1246</v>
      </c>
      <c r="N2517" s="122">
        <v>1804</v>
      </c>
      <c r="O2517" s="122">
        <v>668</v>
      </c>
      <c r="P2517" s="122">
        <v>0</v>
      </c>
      <c r="Q2517" s="122">
        <v>0</v>
      </c>
      <c r="R2517" s="122">
        <v>7812</v>
      </c>
      <c r="S2517" s="122">
        <v>2893</v>
      </c>
      <c r="T2517" s="122">
        <v>0</v>
      </c>
      <c r="U2517" s="122">
        <v>0</v>
      </c>
      <c r="V2517" s="122">
        <v>23505</v>
      </c>
      <c r="W2517" s="122">
        <f t="shared" si="78"/>
        <v>23504</v>
      </c>
      <c r="X2517" s="122">
        <f t="shared" si="79"/>
        <v>33548</v>
      </c>
      <c r="AI2517" s="66"/>
    </row>
    <row r="2518" spans="2:35" ht="13">
      <c r="B2518" t="s">
        <v>384</v>
      </c>
      <c r="C2518" t="s">
        <v>62</v>
      </c>
      <c r="D2518" t="s">
        <v>427</v>
      </c>
      <c r="E2518" t="s">
        <v>427</v>
      </c>
      <c r="F2518" s="122">
        <v>13</v>
      </c>
      <c r="G2518" s="122">
        <v>823</v>
      </c>
      <c r="H2518" s="122">
        <v>5206</v>
      </c>
      <c r="I2518" s="122">
        <v>184330</v>
      </c>
      <c r="J2518" s="122">
        <v>167573</v>
      </c>
      <c r="K2518" s="122">
        <v>55</v>
      </c>
      <c r="L2518" s="122">
        <v>23820</v>
      </c>
      <c r="M2518" s="122">
        <v>18232</v>
      </c>
      <c r="N2518" s="122">
        <v>16393</v>
      </c>
      <c r="O2518" s="122">
        <v>6071</v>
      </c>
      <c r="P2518" s="122">
        <v>4212</v>
      </c>
      <c r="Q2518" s="122">
        <v>1560</v>
      </c>
      <c r="R2518" s="122">
        <v>71474</v>
      </c>
      <c r="S2518" s="122">
        <v>64976</v>
      </c>
      <c r="T2518" s="122">
        <v>30004</v>
      </c>
      <c r="U2518" s="122">
        <v>11113</v>
      </c>
      <c r="V2518" s="122">
        <v>269525</v>
      </c>
      <c r="W2518" s="122">
        <f t="shared" si="78"/>
        <v>269525</v>
      </c>
      <c r="X2518" s="122">
        <f t="shared" si="79"/>
        <v>330233</v>
      </c>
      <c r="AI2518" s="66"/>
    </row>
    <row r="2519" spans="2:35" ht="13">
      <c r="B2519" t="s">
        <v>384</v>
      </c>
      <c r="C2519" t="s">
        <v>62</v>
      </c>
      <c r="D2519" t="s">
        <v>407</v>
      </c>
      <c r="E2519" t="s">
        <v>137</v>
      </c>
      <c r="F2519" s="122">
        <v>4</v>
      </c>
      <c r="G2519" s="122">
        <v>263</v>
      </c>
      <c r="H2519" s="122">
        <v>1600</v>
      </c>
      <c r="I2519" s="122">
        <v>66622</v>
      </c>
      <c r="J2519" s="122">
        <v>60565</v>
      </c>
      <c r="K2519" s="122">
        <v>82</v>
      </c>
      <c r="L2519" s="122">
        <v>13375</v>
      </c>
      <c r="M2519" s="122">
        <v>11551</v>
      </c>
      <c r="N2519" s="122">
        <v>5571</v>
      </c>
      <c r="O2519" s="122">
        <v>2063</v>
      </c>
      <c r="P2519" s="122">
        <v>1890</v>
      </c>
      <c r="Q2519" s="122">
        <v>700</v>
      </c>
      <c r="R2519" s="122">
        <v>17881</v>
      </c>
      <c r="S2519" s="122">
        <v>6622</v>
      </c>
      <c r="T2519" s="122">
        <v>0</v>
      </c>
      <c r="U2519" s="122">
        <v>0</v>
      </c>
      <c r="V2519" s="122">
        <v>81503</v>
      </c>
      <c r="W2519" s="122">
        <f t="shared" si="78"/>
        <v>81501</v>
      </c>
      <c r="X2519" s="122">
        <f t="shared" si="79"/>
        <v>105339</v>
      </c>
      <c r="AI2519" s="66"/>
    </row>
    <row r="2520" spans="2:35" ht="13">
      <c r="B2520" t="s">
        <v>384</v>
      </c>
      <c r="C2520" t="s">
        <v>62</v>
      </c>
      <c r="D2520" t="s">
        <v>407</v>
      </c>
      <c r="E2520" t="s">
        <v>407</v>
      </c>
      <c r="F2520" s="122">
        <v>132</v>
      </c>
      <c r="G2520" s="122">
        <v>10286</v>
      </c>
      <c r="H2520" s="122">
        <v>54533</v>
      </c>
      <c r="I2520" s="122">
        <v>2697106</v>
      </c>
      <c r="J2520" s="122">
        <v>2451914</v>
      </c>
      <c r="K2520" s="122">
        <v>78</v>
      </c>
      <c r="L2520" s="122">
        <v>636494</v>
      </c>
      <c r="M2520" s="122">
        <v>557812</v>
      </c>
      <c r="N2520" s="122">
        <v>222307</v>
      </c>
      <c r="O2520" s="122">
        <v>82336</v>
      </c>
      <c r="P2520" s="122">
        <v>62478</v>
      </c>
      <c r="Q2520" s="122">
        <v>23140</v>
      </c>
      <c r="R2520" s="122">
        <v>544626</v>
      </c>
      <c r="S2520" s="122">
        <v>495114</v>
      </c>
      <c r="T2520" s="122">
        <v>170610</v>
      </c>
      <c r="U2520" s="122">
        <v>63189</v>
      </c>
      <c r="V2520" s="122">
        <v>3673505</v>
      </c>
      <c r="W2520" s="122">
        <f t="shared" si="78"/>
        <v>3673505</v>
      </c>
      <c r="X2520" s="122">
        <f t="shared" si="79"/>
        <v>4333621</v>
      </c>
      <c r="AI2520" s="66"/>
    </row>
    <row r="2521" spans="2:35" ht="13">
      <c r="B2521" t="s">
        <v>384</v>
      </c>
      <c r="C2521" t="s">
        <v>62</v>
      </c>
      <c r="D2521" t="s">
        <v>556</v>
      </c>
      <c r="E2521" t="s">
        <v>137</v>
      </c>
      <c r="F2521" s="122">
        <v>1</v>
      </c>
      <c r="G2521" s="122">
        <v>71</v>
      </c>
      <c r="H2521" s="122">
        <v>415</v>
      </c>
      <c r="I2521" s="122">
        <v>16307</v>
      </c>
      <c r="J2521" s="122">
        <v>13589</v>
      </c>
      <c r="K2521" s="122">
        <v>30</v>
      </c>
      <c r="L2521" s="122">
        <v>1162</v>
      </c>
      <c r="M2521" s="122">
        <v>430</v>
      </c>
      <c r="N2521" s="122">
        <v>1507</v>
      </c>
      <c r="O2521" s="122">
        <v>558</v>
      </c>
      <c r="P2521" s="122">
        <v>473</v>
      </c>
      <c r="Q2521" s="122">
        <v>175</v>
      </c>
      <c r="R2521" s="122">
        <v>9877</v>
      </c>
      <c r="S2521" s="122">
        <v>3658</v>
      </c>
      <c r="T2521" s="122">
        <v>0</v>
      </c>
      <c r="U2521" s="122">
        <v>0</v>
      </c>
      <c r="V2521" s="122">
        <v>18410</v>
      </c>
      <c r="W2521" s="122">
        <f t="shared" si="78"/>
        <v>18410</v>
      </c>
      <c r="X2521" s="122">
        <f t="shared" si="79"/>
        <v>29326</v>
      </c>
      <c r="AI2521" s="66"/>
    </row>
    <row r="2522" spans="2:35" ht="13">
      <c r="B2522" t="s">
        <v>384</v>
      </c>
      <c r="C2522" t="s">
        <v>62</v>
      </c>
      <c r="D2522" t="s">
        <v>556</v>
      </c>
      <c r="E2522" t="s">
        <v>556</v>
      </c>
      <c r="F2522" s="122">
        <v>14</v>
      </c>
      <c r="G2522" s="122">
        <v>1136</v>
      </c>
      <c r="H2522" s="122">
        <v>5678</v>
      </c>
      <c r="I2522" s="122">
        <v>286376</v>
      </c>
      <c r="J2522" s="122">
        <v>238647</v>
      </c>
      <c r="K2522" s="122">
        <v>54</v>
      </c>
      <c r="L2522" s="122">
        <v>36240</v>
      </c>
      <c r="M2522" s="122">
        <v>28834</v>
      </c>
      <c r="N2522" s="122">
        <v>22094</v>
      </c>
      <c r="O2522" s="122">
        <v>8183</v>
      </c>
      <c r="P2522" s="122">
        <v>5184</v>
      </c>
      <c r="Q2522" s="122">
        <v>1920</v>
      </c>
      <c r="R2522" s="122">
        <v>79834</v>
      </c>
      <c r="S2522" s="122">
        <v>66528</v>
      </c>
      <c r="T2522" s="122">
        <v>29529</v>
      </c>
      <c r="U2522" s="122">
        <v>10937</v>
      </c>
      <c r="V2522" s="122">
        <v>355048</v>
      </c>
      <c r="W2522" s="122">
        <f t="shared" si="78"/>
        <v>355049</v>
      </c>
      <c r="X2522" s="122">
        <f t="shared" si="79"/>
        <v>459257</v>
      </c>
      <c r="AI2522" s="66"/>
    </row>
    <row r="2523" spans="2:35" ht="13">
      <c r="B2523" t="s">
        <v>384</v>
      </c>
      <c r="C2523" t="s">
        <v>62</v>
      </c>
      <c r="D2523" t="s">
        <v>426</v>
      </c>
      <c r="E2523" t="s">
        <v>137</v>
      </c>
      <c r="F2523" s="122">
        <v>2</v>
      </c>
      <c r="G2523" s="122">
        <v>113</v>
      </c>
      <c r="H2523" s="122">
        <v>830</v>
      </c>
      <c r="I2523" s="122">
        <v>26904</v>
      </c>
      <c r="J2523" s="122">
        <v>24458</v>
      </c>
      <c r="K2523" s="122">
        <v>55</v>
      </c>
      <c r="L2523" s="122">
        <v>0</v>
      </c>
      <c r="M2523" s="122">
        <v>2722</v>
      </c>
      <c r="N2523" s="122">
        <v>2552</v>
      </c>
      <c r="O2523" s="122">
        <v>945</v>
      </c>
      <c r="P2523" s="122">
        <v>702</v>
      </c>
      <c r="Q2523" s="122">
        <v>260</v>
      </c>
      <c r="R2523" s="122">
        <v>16380</v>
      </c>
      <c r="S2523" s="122">
        <v>6067</v>
      </c>
      <c r="T2523" s="122">
        <v>0</v>
      </c>
      <c r="U2523" s="122">
        <v>0</v>
      </c>
      <c r="V2523" s="122">
        <v>34452</v>
      </c>
      <c r="W2523" s="122">
        <f t="shared" si="78"/>
        <v>34452</v>
      </c>
      <c r="X2523" s="122">
        <f t="shared" si="79"/>
        <v>46538</v>
      </c>
      <c r="AI2523" s="66"/>
    </row>
    <row r="2524" spans="2:35" ht="13">
      <c r="B2524" t="s">
        <v>384</v>
      </c>
      <c r="C2524" t="s">
        <v>62</v>
      </c>
      <c r="D2524" t="s">
        <v>426</v>
      </c>
      <c r="E2524" t="s">
        <v>426</v>
      </c>
      <c r="F2524" s="122">
        <v>80</v>
      </c>
      <c r="G2524" s="122">
        <v>4583</v>
      </c>
      <c r="H2524" s="122">
        <v>32498</v>
      </c>
      <c r="I2524" s="122">
        <v>1108585</v>
      </c>
      <c r="J2524" s="122">
        <v>1007804</v>
      </c>
      <c r="K2524" s="122">
        <v>55</v>
      </c>
      <c r="L2524" s="122">
        <v>83344</v>
      </c>
      <c r="M2524" s="122">
        <v>44058</v>
      </c>
      <c r="N2524" s="122">
        <v>96631</v>
      </c>
      <c r="O2524" s="122">
        <v>35789</v>
      </c>
      <c r="P2524" s="122">
        <v>28539</v>
      </c>
      <c r="Q2524" s="122">
        <v>10570</v>
      </c>
      <c r="R2524" s="122">
        <v>396784</v>
      </c>
      <c r="S2524" s="122">
        <v>360712</v>
      </c>
      <c r="T2524" s="122">
        <v>147906</v>
      </c>
      <c r="U2524" s="122">
        <v>54780</v>
      </c>
      <c r="V2524" s="122">
        <v>1513714</v>
      </c>
      <c r="W2524" s="122">
        <f t="shared" si="78"/>
        <v>1513713</v>
      </c>
      <c r="X2524" s="122">
        <f t="shared" si="79"/>
        <v>1861789</v>
      </c>
      <c r="AI2524" s="66"/>
    </row>
    <row r="2525" spans="2:35" ht="13">
      <c r="B2525" t="s">
        <v>384</v>
      </c>
      <c r="C2525" t="s">
        <v>64</v>
      </c>
      <c r="F2525" s="122">
        <v>2</v>
      </c>
      <c r="G2525" s="122">
        <v>65</v>
      </c>
      <c r="H2525" s="122">
        <v>1009</v>
      </c>
      <c r="I2525" s="122"/>
      <c r="J2525" s="122">
        <v>0</v>
      </c>
      <c r="K2525" s="122"/>
      <c r="L2525" s="122"/>
      <c r="M2525" s="122">
        <v>0</v>
      </c>
      <c r="N2525" s="122">
        <v>1168</v>
      </c>
      <c r="O2525" s="122">
        <v>433</v>
      </c>
      <c r="P2525" s="122">
        <v>0</v>
      </c>
      <c r="Q2525" s="122">
        <v>0</v>
      </c>
      <c r="R2525" s="122"/>
      <c r="S2525" s="122">
        <v>0</v>
      </c>
      <c r="T2525" s="122">
        <v>4749</v>
      </c>
      <c r="U2525" s="122">
        <v>1759</v>
      </c>
      <c r="V2525" s="122">
        <v>2192</v>
      </c>
      <c r="W2525" s="122">
        <f t="shared" si="78"/>
        <v>2192</v>
      </c>
      <c r="X2525" s="122">
        <f t="shared" si="79"/>
        <v>5917</v>
      </c>
      <c r="AI2525" s="66"/>
    </row>
    <row r="2526" spans="2:35" ht="13">
      <c r="B2526" t="s">
        <v>384</v>
      </c>
      <c r="C2526" t="s">
        <v>64</v>
      </c>
      <c r="D2526" t="s">
        <v>425</v>
      </c>
      <c r="E2526" t="s">
        <v>425</v>
      </c>
      <c r="F2526" s="122">
        <v>2</v>
      </c>
      <c r="G2526" s="122">
        <v>204</v>
      </c>
      <c r="H2526" s="122">
        <v>981</v>
      </c>
      <c r="I2526" s="122">
        <v>65928</v>
      </c>
      <c r="J2526" s="122">
        <v>59934</v>
      </c>
      <c r="K2526" s="122">
        <v>65</v>
      </c>
      <c r="L2526" s="122">
        <v>12173</v>
      </c>
      <c r="M2526" s="122">
        <v>11067</v>
      </c>
      <c r="N2526" s="122">
        <v>3583</v>
      </c>
      <c r="O2526" s="122">
        <v>1327</v>
      </c>
      <c r="P2526" s="122">
        <v>824</v>
      </c>
      <c r="Q2526" s="122">
        <v>305</v>
      </c>
      <c r="R2526" s="122">
        <v>12607</v>
      </c>
      <c r="S2526" s="122">
        <v>11461</v>
      </c>
      <c r="T2526" s="122">
        <v>3304</v>
      </c>
      <c r="U2526" s="122">
        <v>1224</v>
      </c>
      <c r="V2526" s="122">
        <v>85318</v>
      </c>
      <c r="W2526" s="122">
        <f t="shared" si="78"/>
        <v>85318</v>
      </c>
      <c r="X2526" s="122">
        <f t="shared" si="79"/>
        <v>98419</v>
      </c>
      <c r="AI2526" s="66"/>
    </row>
    <row r="2527" spans="2:35" ht="13">
      <c r="B2527" t="s">
        <v>384</v>
      </c>
      <c r="C2527" t="s">
        <v>64</v>
      </c>
      <c r="D2527" t="s">
        <v>405</v>
      </c>
      <c r="E2527" t="s">
        <v>405</v>
      </c>
      <c r="F2527" s="122">
        <v>1</v>
      </c>
      <c r="G2527" s="122">
        <v>83</v>
      </c>
      <c r="H2527" s="122">
        <v>480</v>
      </c>
      <c r="I2527" s="122">
        <v>27497</v>
      </c>
      <c r="J2527" s="122">
        <v>24997</v>
      </c>
      <c r="K2527" s="122">
        <v>65</v>
      </c>
      <c r="L2527" s="122">
        <v>6294</v>
      </c>
      <c r="M2527" s="122">
        <v>5722</v>
      </c>
      <c r="N2527" s="122">
        <v>1884</v>
      </c>
      <c r="O2527" s="122">
        <v>698</v>
      </c>
      <c r="P2527" s="122">
        <v>473</v>
      </c>
      <c r="Q2527" s="122">
        <v>175</v>
      </c>
      <c r="R2527" s="122">
        <v>3512</v>
      </c>
      <c r="S2527" s="122">
        <v>3193</v>
      </c>
      <c r="T2527" s="122">
        <v>0</v>
      </c>
      <c r="U2527" s="122">
        <v>0</v>
      </c>
      <c r="V2527" s="122">
        <v>34784</v>
      </c>
      <c r="W2527" s="122">
        <f t="shared" si="78"/>
        <v>34785</v>
      </c>
      <c r="X2527" s="122">
        <f t="shared" si="79"/>
        <v>39660</v>
      </c>
      <c r="AI2527" s="66"/>
    </row>
    <row r="2528" spans="2:35" ht="13">
      <c r="B2528" t="s">
        <v>384</v>
      </c>
      <c r="C2528" t="s">
        <v>64</v>
      </c>
      <c r="D2528" t="s">
        <v>137</v>
      </c>
      <c r="E2528" t="s">
        <v>425</v>
      </c>
      <c r="F2528" s="122">
        <v>1</v>
      </c>
      <c r="G2528" s="122">
        <v>133</v>
      </c>
      <c r="H2528" s="122">
        <v>608</v>
      </c>
      <c r="I2528" s="122">
        <v>70105</v>
      </c>
      <c r="J2528" s="122">
        <v>25965</v>
      </c>
      <c r="K2528" s="122">
        <v>100</v>
      </c>
      <c r="L2528" s="122">
        <v>5289</v>
      </c>
      <c r="M2528" s="122">
        <v>4808</v>
      </c>
      <c r="N2528" s="122">
        <v>2594</v>
      </c>
      <c r="O2528" s="122">
        <v>961</v>
      </c>
      <c r="P2528" s="122">
        <v>0</v>
      </c>
      <c r="Q2528" s="122">
        <v>0</v>
      </c>
      <c r="R2528" s="122">
        <v>2942</v>
      </c>
      <c r="S2528" s="122">
        <v>2675</v>
      </c>
      <c r="T2528" s="122">
        <v>0</v>
      </c>
      <c r="U2528" s="122">
        <v>0</v>
      </c>
      <c r="V2528" s="122">
        <v>34409</v>
      </c>
      <c r="W2528" s="122">
        <f t="shared" si="78"/>
        <v>34409</v>
      </c>
      <c r="X2528" s="122">
        <f t="shared" si="79"/>
        <v>80930</v>
      </c>
      <c r="AI2528" s="66"/>
    </row>
    <row r="2529" spans="2:35" ht="13">
      <c r="B2529" t="s">
        <v>384</v>
      </c>
      <c r="C2529" t="s">
        <v>64</v>
      </c>
      <c r="D2529" t="s">
        <v>137</v>
      </c>
      <c r="E2529" t="s">
        <v>137</v>
      </c>
      <c r="F2529" s="122">
        <v>211</v>
      </c>
      <c r="G2529" s="122">
        <v>16910</v>
      </c>
      <c r="H2529" s="122">
        <v>131693</v>
      </c>
      <c r="I2529" s="122">
        <v>7312475</v>
      </c>
      <c r="J2529" s="122">
        <v>2708324</v>
      </c>
      <c r="K2529" s="122">
        <v>100</v>
      </c>
      <c r="L2529" s="122">
        <v>1365687</v>
      </c>
      <c r="M2529" s="122">
        <v>1056178</v>
      </c>
      <c r="N2529" s="122">
        <v>371973</v>
      </c>
      <c r="O2529" s="122">
        <v>137768</v>
      </c>
      <c r="P2529" s="122">
        <v>1626</v>
      </c>
      <c r="Q2529" s="122">
        <v>602</v>
      </c>
      <c r="R2529" s="122">
        <v>1443284</v>
      </c>
      <c r="S2529" s="122">
        <v>534550</v>
      </c>
      <c r="T2529" s="122">
        <v>9651</v>
      </c>
      <c r="U2529" s="122">
        <v>3574</v>
      </c>
      <c r="V2529" s="122">
        <v>4440996</v>
      </c>
      <c r="W2529" s="122">
        <f t="shared" si="78"/>
        <v>4440996</v>
      </c>
      <c r="X2529" s="122">
        <f t="shared" si="79"/>
        <v>10504696</v>
      </c>
      <c r="AI2529" s="66"/>
    </row>
    <row r="2530" spans="2:35" ht="13">
      <c r="B2530" t="s">
        <v>384</v>
      </c>
      <c r="C2530" t="s">
        <v>64</v>
      </c>
      <c r="D2530" t="s">
        <v>137</v>
      </c>
      <c r="E2530" t="s">
        <v>427</v>
      </c>
      <c r="F2530" s="122">
        <v>3</v>
      </c>
      <c r="G2530" s="122">
        <v>224</v>
      </c>
      <c r="H2530" s="122">
        <v>2180</v>
      </c>
      <c r="I2530" s="122">
        <v>118236</v>
      </c>
      <c r="J2530" s="122">
        <v>43791</v>
      </c>
      <c r="K2530" s="122">
        <v>100</v>
      </c>
      <c r="L2530" s="122">
        <v>13955</v>
      </c>
      <c r="M2530" s="122">
        <v>12686</v>
      </c>
      <c r="N2530" s="122">
        <v>5174</v>
      </c>
      <c r="O2530" s="122">
        <v>1916</v>
      </c>
      <c r="P2530" s="122">
        <v>351</v>
      </c>
      <c r="Q2530" s="122">
        <v>130</v>
      </c>
      <c r="R2530" s="122">
        <v>17065</v>
      </c>
      <c r="S2530" s="122">
        <v>15514</v>
      </c>
      <c r="T2530" s="122">
        <v>8318</v>
      </c>
      <c r="U2530" s="122">
        <v>3081</v>
      </c>
      <c r="V2530" s="122">
        <v>77118</v>
      </c>
      <c r="W2530" s="122">
        <f t="shared" ref="W2530:W2593" si="80">SUM(ABS(J2530),ABS(M2530),ABS(O2530),ABS(Q2530),ABS(S2530),ABS(U2530))</f>
        <v>77118</v>
      </c>
      <c r="X2530" s="122">
        <f t="shared" ref="X2530:X2593" si="81">SUM(ABS(I2530),ABS(N2530),ABS(P2530),ABS(R2530),ABS(T2530),ABS(L2530))</f>
        <v>163099</v>
      </c>
      <c r="AI2530" s="66"/>
    </row>
    <row r="2531" spans="2:35" ht="13">
      <c r="B2531" t="s">
        <v>384</v>
      </c>
      <c r="C2531" t="s">
        <v>64</v>
      </c>
      <c r="D2531" t="s">
        <v>137</v>
      </c>
      <c r="E2531" t="s">
        <v>556</v>
      </c>
      <c r="F2531" s="122">
        <v>3</v>
      </c>
      <c r="G2531" s="122">
        <v>220</v>
      </c>
      <c r="H2531" s="122">
        <v>1683</v>
      </c>
      <c r="I2531" s="122">
        <v>78303</v>
      </c>
      <c r="J2531" s="122">
        <v>29001</v>
      </c>
      <c r="K2531" s="122">
        <v>100</v>
      </c>
      <c r="L2531" s="122">
        <v>15429</v>
      </c>
      <c r="M2531" s="122">
        <v>12857</v>
      </c>
      <c r="N2531" s="122">
        <v>4881</v>
      </c>
      <c r="O2531" s="122">
        <v>1808</v>
      </c>
      <c r="P2531" s="122">
        <v>351</v>
      </c>
      <c r="Q2531" s="122">
        <v>130</v>
      </c>
      <c r="R2531" s="122">
        <v>18738</v>
      </c>
      <c r="S2531" s="122">
        <v>15615</v>
      </c>
      <c r="T2531" s="122">
        <v>4574</v>
      </c>
      <c r="U2531" s="122">
        <v>1694</v>
      </c>
      <c r="V2531" s="122">
        <v>61105</v>
      </c>
      <c r="W2531" s="122">
        <f t="shared" si="80"/>
        <v>61105</v>
      </c>
      <c r="X2531" s="122">
        <f t="shared" si="81"/>
        <v>122276</v>
      </c>
      <c r="AI2531" s="66"/>
    </row>
    <row r="2532" spans="2:35" ht="13">
      <c r="B2532" t="s">
        <v>384</v>
      </c>
      <c r="C2532" t="s">
        <v>64</v>
      </c>
      <c r="D2532" t="s">
        <v>137</v>
      </c>
      <c r="E2532" t="s">
        <v>426</v>
      </c>
      <c r="F2532" s="122">
        <v>7</v>
      </c>
      <c r="G2532" s="122">
        <v>500</v>
      </c>
      <c r="H2532" s="122">
        <v>4701</v>
      </c>
      <c r="I2532" s="122">
        <v>234512</v>
      </c>
      <c r="J2532" s="122">
        <v>86856</v>
      </c>
      <c r="K2532" s="122">
        <v>100</v>
      </c>
      <c r="L2532" s="122">
        <v>34333</v>
      </c>
      <c r="M2532" s="122">
        <v>31211</v>
      </c>
      <c r="N2532" s="122">
        <v>11170</v>
      </c>
      <c r="O2532" s="122">
        <v>4137</v>
      </c>
      <c r="P2532" s="122">
        <v>702</v>
      </c>
      <c r="Q2532" s="122">
        <v>260</v>
      </c>
      <c r="R2532" s="122">
        <v>38467</v>
      </c>
      <c r="S2532" s="122">
        <v>34970</v>
      </c>
      <c r="T2532" s="122">
        <v>13522</v>
      </c>
      <c r="U2532" s="122">
        <v>5008</v>
      </c>
      <c r="V2532" s="122">
        <v>162443</v>
      </c>
      <c r="W2532" s="122">
        <f t="shared" si="80"/>
        <v>162442</v>
      </c>
      <c r="X2532" s="122">
        <f t="shared" si="81"/>
        <v>332706</v>
      </c>
      <c r="AI2532" s="66"/>
    </row>
    <row r="2533" spans="2:35" ht="13">
      <c r="B2533" t="s">
        <v>384</v>
      </c>
      <c r="C2533" t="s">
        <v>64</v>
      </c>
      <c r="D2533" t="s">
        <v>406</v>
      </c>
      <c r="E2533" t="s">
        <v>137</v>
      </c>
      <c r="F2533" s="122">
        <v>5</v>
      </c>
      <c r="G2533" s="122">
        <v>575</v>
      </c>
      <c r="H2533" s="122">
        <v>3133</v>
      </c>
      <c r="I2533" s="122">
        <v>249705</v>
      </c>
      <c r="J2533" s="122">
        <v>227004</v>
      </c>
      <c r="K2533" s="122">
        <v>58</v>
      </c>
      <c r="L2533" s="122">
        <v>48662</v>
      </c>
      <c r="M2533" s="122">
        <v>40180</v>
      </c>
      <c r="N2533" s="122">
        <v>12216</v>
      </c>
      <c r="O2533" s="122">
        <v>4524</v>
      </c>
      <c r="P2533" s="122">
        <v>2484</v>
      </c>
      <c r="Q2533" s="122">
        <v>920</v>
      </c>
      <c r="R2533" s="122">
        <v>56975</v>
      </c>
      <c r="S2533" s="122">
        <v>21102</v>
      </c>
      <c r="T2533" s="122">
        <v>0</v>
      </c>
      <c r="U2533" s="122">
        <v>0</v>
      </c>
      <c r="V2533" s="122">
        <v>293730</v>
      </c>
      <c r="W2533" s="122">
        <f t="shared" si="80"/>
        <v>293730</v>
      </c>
      <c r="X2533" s="122">
        <f t="shared" si="81"/>
        <v>370042</v>
      </c>
      <c r="AI2533" s="66"/>
    </row>
    <row r="2534" spans="2:35" ht="13">
      <c r="B2534" t="s">
        <v>384</v>
      </c>
      <c r="C2534" t="s">
        <v>64</v>
      </c>
      <c r="D2534" t="s">
        <v>406</v>
      </c>
      <c r="E2534" t="s">
        <v>406</v>
      </c>
      <c r="F2534" s="122">
        <v>110</v>
      </c>
      <c r="G2534" s="122">
        <v>9592</v>
      </c>
      <c r="H2534" s="122">
        <v>58896</v>
      </c>
      <c r="I2534" s="122">
        <v>3424013</v>
      </c>
      <c r="J2534" s="122">
        <v>3112739</v>
      </c>
      <c r="K2534" s="122">
        <v>74</v>
      </c>
      <c r="L2534" s="122">
        <v>757388</v>
      </c>
      <c r="M2534" s="122">
        <v>657118</v>
      </c>
      <c r="N2534" s="122">
        <v>209854</v>
      </c>
      <c r="O2534" s="122">
        <v>77724</v>
      </c>
      <c r="P2534" s="122">
        <v>69868</v>
      </c>
      <c r="Q2534" s="122">
        <v>25877</v>
      </c>
      <c r="R2534" s="122">
        <v>505304</v>
      </c>
      <c r="S2534" s="122">
        <v>459368</v>
      </c>
      <c r="T2534" s="122">
        <v>200023</v>
      </c>
      <c r="U2534" s="122">
        <v>74083</v>
      </c>
      <c r="V2534" s="122">
        <v>4406908</v>
      </c>
      <c r="W2534" s="122">
        <f t="shared" si="80"/>
        <v>4406909</v>
      </c>
      <c r="X2534" s="122">
        <f t="shared" si="81"/>
        <v>5166450</v>
      </c>
      <c r="AI2534" s="66"/>
    </row>
    <row r="2535" spans="2:35" ht="13">
      <c r="B2535" t="s">
        <v>384</v>
      </c>
      <c r="C2535" t="s">
        <v>64</v>
      </c>
      <c r="D2535" t="s">
        <v>406</v>
      </c>
      <c r="E2535" t="s">
        <v>556</v>
      </c>
      <c r="F2535" s="122">
        <v>1</v>
      </c>
      <c r="G2535" s="122">
        <v>86</v>
      </c>
      <c r="H2535" s="122">
        <v>469</v>
      </c>
      <c r="I2535" s="122">
        <v>25188</v>
      </c>
      <c r="J2535" s="122">
        <v>22898</v>
      </c>
      <c r="K2535" s="122">
        <v>65</v>
      </c>
      <c r="L2535" s="122">
        <v>6289</v>
      </c>
      <c r="M2535" s="122">
        <v>5241</v>
      </c>
      <c r="N2535" s="122">
        <v>2091</v>
      </c>
      <c r="O2535" s="122">
        <v>774</v>
      </c>
      <c r="P2535" s="122">
        <v>621</v>
      </c>
      <c r="Q2535" s="122">
        <v>230</v>
      </c>
      <c r="R2535" s="122">
        <v>4216</v>
      </c>
      <c r="S2535" s="122">
        <v>3513</v>
      </c>
      <c r="T2535" s="122">
        <v>1798</v>
      </c>
      <c r="U2535" s="122">
        <v>666</v>
      </c>
      <c r="V2535" s="122">
        <v>33322</v>
      </c>
      <c r="W2535" s="122">
        <f t="shared" si="80"/>
        <v>33322</v>
      </c>
      <c r="X2535" s="122">
        <f t="shared" si="81"/>
        <v>40203</v>
      </c>
      <c r="AI2535" s="66"/>
    </row>
    <row r="2536" spans="2:35" ht="13">
      <c r="B2536" t="s">
        <v>384</v>
      </c>
      <c r="C2536" t="s">
        <v>64</v>
      </c>
      <c r="D2536" t="s">
        <v>427</v>
      </c>
      <c r="E2536" t="s">
        <v>137</v>
      </c>
      <c r="F2536" s="122">
        <v>8</v>
      </c>
      <c r="G2536" s="122">
        <v>700</v>
      </c>
      <c r="H2536" s="122">
        <v>7633</v>
      </c>
      <c r="I2536" s="122">
        <v>532603</v>
      </c>
      <c r="J2536" s="122">
        <v>484184</v>
      </c>
      <c r="K2536" s="122">
        <v>47</v>
      </c>
      <c r="L2536" s="122">
        <v>69108</v>
      </c>
      <c r="M2536" s="122">
        <v>38990</v>
      </c>
      <c r="N2536" s="122">
        <v>16517</v>
      </c>
      <c r="O2536" s="122">
        <v>6118</v>
      </c>
      <c r="P2536" s="122">
        <v>702</v>
      </c>
      <c r="Q2536" s="122">
        <v>260</v>
      </c>
      <c r="R2536" s="122">
        <v>66154</v>
      </c>
      <c r="S2536" s="122">
        <v>24502</v>
      </c>
      <c r="T2536" s="122">
        <v>0</v>
      </c>
      <c r="U2536" s="122">
        <v>0</v>
      </c>
      <c r="V2536" s="122">
        <v>554054</v>
      </c>
      <c r="W2536" s="122">
        <f t="shared" si="80"/>
        <v>554054</v>
      </c>
      <c r="X2536" s="122">
        <f t="shared" si="81"/>
        <v>685084</v>
      </c>
      <c r="AI2536" s="66"/>
    </row>
    <row r="2537" spans="2:35" ht="13">
      <c r="B2537" t="s">
        <v>384</v>
      </c>
      <c r="C2537" t="s">
        <v>64</v>
      </c>
      <c r="D2537" t="s">
        <v>427</v>
      </c>
      <c r="E2537" t="s">
        <v>427</v>
      </c>
      <c r="F2537" s="122">
        <v>21</v>
      </c>
      <c r="G2537" s="122">
        <v>1602</v>
      </c>
      <c r="H2537" s="122">
        <v>12516</v>
      </c>
      <c r="I2537" s="122">
        <v>632105</v>
      </c>
      <c r="J2537" s="122">
        <v>574641</v>
      </c>
      <c r="K2537" s="122">
        <v>54</v>
      </c>
      <c r="L2537" s="122">
        <v>75588</v>
      </c>
      <c r="M2537" s="122">
        <v>53607</v>
      </c>
      <c r="N2537" s="122">
        <v>31305</v>
      </c>
      <c r="O2537" s="122">
        <v>11594</v>
      </c>
      <c r="P2537" s="122">
        <v>6939</v>
      </c>
      <c r="Q2537" s="122">
        <v>2570</v>
      </c>
      <c r="R2537" s="122">
        <v>131709</v>
      </c>
      <c r="S2537" s="122">
        <v>119735</v>
      </c>
      <c r="T2537" s="122">
        <v>39390</v>
      </c>
      <c r="U2537" s="122">
        <v>14589</v>
      </c>
      <c r="V2537" s="122">
        <v>776736</v>
      </c>
      <c r="W2537" s="122">
        <f t="shared" si="80"/>
        <v>776736</v>
      </c>
      <c r="X2537" s="122">
        <f t="shared" si="81"/>
        <v>917036</v>
      </c>
      <c r="AI2537" s="66"/>
    </row>
    <row r="2538" spans="2:35" ht="13">
      <c r="B2538" t="s">
        <v>384</v>
      </c>
      <c r="C2538" t="s">
        <v>64</v>
      </c>
      <c r="D2538" t="s">
        <v>407</v>
      </c>
      <c r="E2538" t="s">
        <v>137</v>
      </c>
      <c r="F2538" s="122">
        <v>6</v>
      </c>
      <c r="G2538" s="122">
        <v>366</v>
      </c>
      <c r="H2538" s="122">
        <v>3463</v>
      </c>
      <c r="I2538" s="122">
        <v>135379</v>
      </c>
      <c r="J2538" s="122">
        <v>123072</v>
      </c>
      <c r="K2538" s="122">
        <v>72</v>
      </c>
      <c r="L2538" s="122">
        <v>25567</v>
      </c>
      <c r="M2538" s="122">
        <v>21139</v>
      </c>
      <c r="N2538" s="122">
        <v>8543</v>
      </c>
      <c r="O2538" s="122">
        <v>3164</v>
      </c>
      <c r="P2538" s="122">
        <v>2241</v>
      </c>
      <c r="Q2538" s="122">
        <v>830</v>
      </c>
      <c r="R2538" s="122">
        <v>31698</v>
      </c>
      <c r="S2538" s="122">
        <v>11740</v>
      </c>
      <c r="T2538" s="122">
        <v>0</v>
      </c>
      <c r="U2538" s="122">
        <v>0</v>
      </c>
      <c r="V2538" s="122">
        <v>159945</v>
      </c>
      <c r="W2538" s="122">
        <f t="shared" si="80"/>
        <v>159945</v>
      </c>
      <c r="X2538" s="122">
        <f t="shared" si="81"/>
        <v>203428</v>
      </c>
      <c r="AI2538" s="66"/>
    </row>
    <row r="2539" spans="2:35" ht="13">
      <c r="B2539" t="s">
        <v>384</v>
      </c>
      <c r="C2539" t="s">
        <v>64</v>
      </c>
      <c r="D2539" t="s">
        <v>407</v>
      </c>
      <c r="E2539" t="s">
        <v>407</v>
      </c>
      <c r="F2539" s="122">
        <v>92</v>
      </c>
      <c r="G2539" s="122">
        <v>6076</v>
      </c>
      <c r="H2539" s="122">
        <v>47478</v>
      </c>
      <c r="I2539" s="122">
        <v>1979040</v>
      </c>
      <c r="J2539" s="122">
        <v>1799127</v>
      </c>
      <c r="K2539" s="122">
        <v>72</v>
      </c>
      <c r="L2539" s="122">
        <v>451629</v>
      </c>
      <c r="M2539" s="122">
        <v>381924</v>
      </c>
      <c r="N2539" s="122">
        <v>132972</v>
      </c>
      <c r="O2539" s="122">
        <v>49249</v>
      </c>
      <c r="P2539" s="122">
        <v>44145</v>
      </c>
      <c r="Q2539" s="122">
        <v>16350</v>
      </c>
      <c r="R2539" s="122">
        <v>419670</v>
      </c>
      <c r="S2539" s="122">
        <v>381518</v>
      </c>
      <c r="T2539" s="122">
        <v>131694</v>
      </c>
      <c r="U2539" s="122">
        <v>48776</v>
      </c>
      <c r="V2539" s="122">
        <v>2676943</v>
      </c>
      <c r="W2539" s="122">
        <f t="shared" si="80"/>
        <v>2676944</v>
      </c>
      <c r="X2539" s="122">
        <f t="shared" si="81"/>
        <v>3159150</v>
      </c>
      <c r="AI2539" s="66"/>
    </row>
    <row r="2540" spans="2:35" ht="13">
      <c r="B2540" t="s">
        <v>384</v>
      </c>
      <c r="C2540" t="s">
        <v>64</v>
      </c>
      <c r="D2540" t="s">
        <v>556</v>
      </c>
      <c r="E2540" t="s">
        <v>137</v>
      </c>
      <c r="F2540" s="122">
        <v>22</v>
      </c>
      <c r="G2540" s="122">
        <v>1560</v>
      </c>
      <c r="H2540" s="122">
        <v>19704</v>
      </c>
      <c r="I2540" s="122">
        <v>1129901</v>
      </c>
      <c r="J2540" s="122">
        <v>941585</v>
      </c>
      <c r="K2540" s="122">
        <v>34</v>
      </c>
      <c r="L2540" s="122">
        <v>59337</v>
      </c>
      <c r="M2540" s="122">
        <v>25081</v>
      </c>
      <c r="N2540" s="122">
        <v>34802</v>
      </c>
      <c r="O2540" s="122">
        <v>12890</v>
      </c>
      <c r="P2540" s="122">
        <v>0</v>
      </c>
      <c r="Q2540" s="122">
        <v>0</v>
      </c>
      <c r="R2540" s="122">
        <v>130676</v>
      </c>
      <c r="S2540" s="122">
        <v>48399</v>
      </c>
      <c r="T2540" s="122">
        <v>0</v>
      </c>
      <c r="U2540" s="122">
        <v>0</v>
      </c>
      <c r="V2540" s="122">
        <v>1027954</v>
      </c>
      <c r="W2540" s="122">
        <f t="shared" si="80"/>
        <v>1027955</v>
      </c>
      <c r="X2540" s="122">
        <f t="shared" si="81"/>
        <v>1354716</v>
      </c>
      <c r="AI2540" s="66"/>
    </row>
    <row r="2541" spans="2:35" ht="13">
      <c r="B2541" t="s">
        <v>384</v>
      </c>
      <c r="C2541" t="s">
        <v>64</v>
      </c>
      <c r="D2541" t="s">
        <v>556</v>
      </c>
      <c r="E2541" t="s">
        <v>556</v>
      </c>
      <c r="F2541" s="122">
        <v>30</v>
      </c>
      <c r="G2541" s="122">
        <v>2032</v>
      </c>
      <c r="H2541" s="122">
        <v>20043</v>
      </c>
      <c r="I2541" s="122">
        <v>991794</v>
      </c>
      <c r="J2541" s="122">
        <v>826495</v>
      </c>
      <c r="K2541" s="122">
        <v>53</v>
      </c>
      <c r="L2541" s="122">
        <v>101895</v>
      </c>
      <c r="M2541" s="122">
        <v>65049</v>
      </c>
      <c r="N2541" s="122">
        <v>40357</v>
      </c>
      <c r="O2541" s="122">
        <v>14947</v>
      </c>
      <c r="P2541" s="122">
        <v>7371</v>
      </c>
      <c r="Q2541" s="122">
        <v>2730</v>
      </c>
      <c r="R2541" s="122">
        <v>167455</v>
      </c>
      <c r="S2541" s="122">
        <v>139546</v>
      </c>
      <c r="T2541" s="122">
        <v>54964</v>
      </c>
      <c r="U2541" s="122">
        <v>20357</v>
      </c>
      <c r="V2541" s="122">
        <v>1069124</v>
      </c>
      <c r="W2541" s="122">
        <f t="shared" si="80"/>
        <v>1069124</v>
      </c>
      <c r="X2541" s="122">
        <f t="shared" si="81"/>
        <v>1363836</v>
      </c>
      <c r="AI2541" s="66"/>
    </row>
    <row r="2542" spans="2:35" ht="13">
      <c r="B2542" t="s">
        <v>384</v>
      </c>
      <c r="C2542" t="s">
        <v>64</v>
      </c>
      <c r="D2542" t="s">
        <v>556</v>
      </c>
      <c r="E2542" t="s">
        <v>426</v>
      </c>
      <c r="F2542" s="122">
        <v>1</v>
      </c>
      <c r="G2542" s="122">
        <v>76</v>
      </c>
      <c r="H2542" s="122">
        <v>616</v>
      </c>
      <c r="I2542" s="122">
        <v>33411</v>
      </c>
      <c r="J2542" s="122">
        <v>27843</v>
      </c>
      <c r="K2542" s="122">
        <v>55</v>
      </c>
      <c r="L2542" s="122">
        <v>4594</v>
      </c>
      <c r="M2542" s="122">
        <v>1702</v>
      </c>
      <c r="N2542" s="122">
        <v>1488</v>
      </c>
      <c r="O2542" s="122">
        <v>551</v>
      </c>
      <c r="P2542" s="122">
        <v>351</v>
      </c>
      <c r="Q2542" s="122">
        <v>130</v>
      </c>
      <c r="R2542" s="122">
        <v>4951</v>
      </c>
      <c r="S2542" s="122">
        <v>4501</v>
      </c>
      <c r="T2542" s="122">
        <v>2205</v>
      </c>
      <c r="U2542" s="122">
        <v>817</v>
      </c>
      <c r="V2542" s="122">
        <v>35543</v>
      </c>
      <c r="W2542" s="122">
        <f t="shared" si="80"/>
        <v>35544</v>
      </c>
      <c r="X2542" s="122">
        <f t="shared" si="81"/>
        <v>47000</v>
      </c>
      <c r="AI2542" s="66"/>
    </row>
    <row r="2543" spans="2:35" ht="13">
      <c r="B2543" t="s">
        <v>384</v>
      </c>
      <c r="C2543" t="s">
        <v>64</v>
      </c>
      <c r="D2543" t="s">
        <v>426</v>
      </c>
      <c r="E2543" t="s">
        <v>137</v>
      </c>
      <c r="F2543" s="122">
        <v>19</v>
      </c>
      <c r="G2543" s="122">
        <v>2071</v>
      </c>
      <c r="H2543" s="122">
        <v>16496</v>
      </c>
      <c r="I2543" s="122">
        <v>1471769</v>
      </c>
      <c r="J2543" s="122">
        <v>1337972</v>
      </c>
      <c r="K2543" s="122">
        <v>36</v>
      </c>
      <c r="L2543" s="122">
        <v>88742</v>
      </c>
      <c r="M2543" s="122">
        <v>51669</v>
      </c>
      <c r="N2543" s="122">
        <v>48590</v>
      </c>
      <c r="O2543" s="122">
        <v>17996</v>
      </c>
      <c r="P2543" s="122">
        <v>0</v>
      </c>
      <c r="Q2543" s="122">
        <v>0</v>
      </c>
      <c r="R2543" s="122">
        <v>124388</v>
      </c>
      <c r="S2543" s="122">
        <v>46069</v>
      </c>
      <c r="T2543" s="122">
        <v>5323</v>
      </c>
      <c r="U2543" s="122">
        <v>1972</v>
      </c>
      <c r="V2543" s="122">
        <v>1455678</v>
      </c>
      <c r="W2543" s="122">
        <f t="shared" si="80"/>
        <v>1455678</v>
      </c>
      <c r="X2543" s="122">
        <f t="shared" si="81"/>
        <v>1738812</v>
      </c>
      <c r="AI2543" s="66"/>
    </row>
    <row r="2544" spans="2:35" ht="13">
      <c r="B2544" t="s">
        <v>384</v>
      </c>
      <c r="C2544" t="s">
        <v>64</v>
      </c>
      <c r="D2544" t="s">
        <v>426</v>
      </c>
      <c r="E2544" t="s">
        <v>426</v>
      </c>
      <c r="F2544" s="122">
        <v>46</v>
      </c>
      <c r="G2544" s="122">
        <v>3333</v>
      </c>
      <c r="H2544" s="122">
        <v>27861</v>
      </c>
      <c r="I2544" s="122">
        <v>1414848</v>
      </c>
      <c r="J2544" s="122">
        <v>1286225</v>
      </c>
      <c r="K2544" s="122">
        <v>55</v>
      </c>
      <c r="L2544" s="122">
        <v>183491</v>
      </c>
      <c r="M2544" s="122">
        <v>125674</v>
      </c>
      <c r="N2544" s="122">
        <v>73179</v>
      </c>
      <c r="O2544" s="122">
        <v>27104</v>
      </c>
      <c r="P2544" s="122">
        <v>13689</v>
      </c>
      <c r="Q2544" s="122">
        <v>5070</v>
      </c>
      <c r="R2544" s="122">
        <v>245574</v>
      </c>
      <c r="S2544" s="122">
        <v>223249</v>
      </c>
      <c r="T2544" s="122">
        <v>89115</v>
      </c>
      <c r="U2544" s="122">
        <v>33005</v>
      </c>
      <c r="V2544" s="122">
        <v>1700327</v>
      </c>
      <c r="W2544" s="122">
        <f t="shared" si="80"/>
        <v>1700327</v>
      </c>
      <c r="X2544" s="122">
        <f t="shared" si="81"/>
        <v>2019896</v>
      </c>
      <c r="AI2544" s="66"/>
    </row>
    <row r="2545" spans="2:35" ht="13">
      <c r="B2545" t="s">
        <v>384</v>
      </c>
      <c r="C2545" t="s">
        <v>64</v>
      </c>
      <c r="D2545" t="s">
        <v>481</v>
      </c>
      <c r="E2545" t="s">
        <v>426</v>
      </c>
      <c r="F2545" s="122">
        <v>1</v>
      </c>
      <c r="G2545" s="122">
        <v>85</v>
      </c>
      <c r="H2545" s="122">
        <v>499</v>
      </c>
      <c r="I2545" s="122">
        <v>27803</v>
      </c>
      <c r="J2545" s="122">
        <v>25275</v>
      </c>
      <c r="K2545" s="122">
        <v>55</v>
      </c>
      <c r="L2545" s="122">
        <v>4170</v>
      </c>
      <c r="M2545" s="122">
        <v>1545</v>
      </c>
      <c r="N2545" s="122">
        <v>1814</v>
      </c>
      <c r="O2545" s="122">
        <v>672</v>
      </c>
      <c r="P2545" s="122">
        <v>351</v>
      </c>
      <c r="Q2545" s="122">
        <v>130</v>
      </c>
      <c r="R2545" s="122">
        <v>5664</v>
      </c>
      <c r="S2545" s="122">
        <v>5149</v>
      </c>
      <c r="T2545" s="122">
        <v>2679</v>
      </c>
      <c r="U2545" s="122">
        <v>992</v>
      </c>
      <c r="V2545" s="122">
        <v>33763</v>
      </c>
      <c r="W2545" s="122">
        <f t="shared" si="80"/>
        <v>33763</v>
      </c>
      <c r="X2545" s="122">
        <f t="shared" si="81"/>
        <v>42481</v>
      </c>
      <c r="AI2545" s="66"/>
    </row>
    <row r="2546" spans="2:35" ht="13">
      <c r="B2546" t="s">
        <v>385</v>
      </c>
      <c r="C2546" t="s">
        <v>48</v>
      </c>
      <c r="D2546" t="s">
        <v>137</v>
      </c>
      <c r="E2546" t="s">
        <v>137</v>
      </c>
      <c r="F2546" s="122">
        <v>27</v>
      </c>
      <c r="G2546" s="122">
        <v>3424</v>
      </c>
      <c r="H2546" s="122">
        <v>1513</v>
      </c>
      <c r="I2546" s="122">
        <v>5076</v>
      </c>
      <c r="J2546" s="122">
        <v>1880</v>
      </c>
      <c r="K2546" s="122">
        <v>524</v>
      </c>
      <c r="L2546" s="122">
        <v>1043</v>
      </c>
      <c r="M2546" s="122">
        <v>-288</v>
      </c>
      <c r="N2546" s="122">
        <v>43750</v>
      </c>
      <c r="O2546" s="122">
        <v>16204</v>
      </c>
      <c r="P2546" s="122">
        <v>23881</v>
      </c>
      <c r="Q2546" s="122">
        <v>8845</v>
      </c>
      <c r="R2546" s="122">
        <v>117649</v>
      </c>
      <c r="S2546" s="122">
        <v>43574</v>
      </c>
      <c r="T2546" s="122">
        <v>0</v>
      </c>
      <c r="U2546" s="122">
        <v>0</v>
      </c>
      <c r="V2546" s="122">
        <v>70214</v>
      </c>
      <c r="W2546" s="122">
        <f t="shared" si="80"/>
        <v>70791</v>
      </c>
      <c r="X2546" s="122">
        <f t="shared" si="81"/>
        <v>191399</v>
      </c>
      <c r="AI2546" s="66"/>
    </row>
    <row r="2547" spans="2:35" ht="13">
      <c r="B2547" t="s">
        <v>385</v>
      </c>
      <c r="C2547" t="s">
        <v>48</v>
      </c>
      <c r="D2547" t="s">
        <v>406</v>
      </c>
      <c r="E2547" t="s">
        <v>406</v>
      </c>
      <c r="F2547" s="122">
        <v>8</v>
      </c>
      <c r="G2547" s="122">
        <v>952</v>
      </c>
      <c r="H2547" s="122">
        <v>547</v>
      </c>
      <c r="I2547" s="122">
        <v>6397</v>
      </c>
      <c r="J2547" s="122">
        <v>5815</v>
      </c>
      <c r="K2547" s="122">
        <v>95</v>
      </c>
      <c r="L2547" s="122">
        <v>905</v>
      </c>
      <c r="M2547" s="122">
        <v>823</v>
      </c>
      <c r="N2547" s="122">
        <v>18431</v>
      </c>
      <c r="O2547" s="122">
        <v>6826</v>
      </c>
      <c r="P2547" s="122">
        <v>4968</v>
      </c>
      <c r="Q2547" s="122">
        <v>1840</v>
      </c>
      <c r="R2547" s="122">
        <v>34373</v>
      </c>
      <c r="S2547" s="122">
        <v>31248</v>
      </c>
      <c r="T2547" s="122">
        <v>0</v>
      </c>
      <c r="U2547" s="122">
        <v>0</v>
      </c>
      <c r="V2547" s="122">
        <v>46553</v>
      </c>
      <c r="W2547" s="122">
        <f t="shared" si="80"/>
        <v>46552</v>
      </c>
      <c r="X2547" s="122">
        <f t="shared" si="81"/>
        <v>65074</v>
      </c>
      <c r="AI2547" s="66"/>
    </row>
    <row r="2548" spans="2:35" ht="13">
      <c r="B2548" t="s">
        <v>385</v>
      </c>
      <c r="C2548" t="s">
        <v>48</v>
      </c>
      <c r="D2548" t="s">
        <v>407</v>
      </c>
      <c r="E2548" t="s">
        <v>407</v>
      </c>
      <c r="F2548" s="122">
        <v>30</v>
      </c>
      <c r="G2548" s="122">
        <v>3455</v>
      </c>
      <c r="H2548" s="122">
        <v>1652</v>
      </c>
      <c r="I2548" s="122">
        <v>21948</v>
      </c>
      <c r="J2548" s="122">
        <v>19953</v>
      </c>
      <c r="K2548" s="122">
        <v>91</v>
      </c>
      <c r="L2548" s="122">
        <v>1380</v>
      </c>
      <c r="M2548" s="122">
        <v>1254</v>
      </c>
      <c r="N2548" s="122">
        <v>42096</v>
      </c>
      <c r="O2548" s="122">
        <v>15591</v>
      </c>
      <c r="P2548" s="122">
        <v>14175</v>
      </c>
      <c r="Q2548" s="122">
        <v>5250</v>
      </c>
      <c r="R2548" s="122">
        <v>110541</v>
      </c>
      <c r="S2548" s="122">
        <v>100491</v>
      </c>
      <c r="T2548" s="122">
        <v>0</v>
      </c>
      <c r="U2548" s="122">
        <v>0</v>
      </c>
      <c r="V2548" s="122">
        <v>142540</v>
      </c>
      <c r="W2548" s="122">
        <f t="shared" si="80"/>
        <v>142539</v>
      </c>
      <c r="X2548" s="122">
        <f t="shared" si="81"/>
        <v>190140</v>
      </c>
      <c r="AI2548" s="66"/>
    </row>
    <row r="2549" spans="2:35" ht="13">
      <c r="B2549" t="s">
        <v>385</v>
      </c>
      <c r="C2549" t="s">
        <v>50</v>
      </c>
      <c r="D2549" t="s">
        <v>405</v>
      </c>
      <c r="E2549" t="s">
        <v>405</v>
      </c>
      <c r="F2549" s="122">
        <v>1</v>
      </c>
      <c r="G2549" s="122">
        <v>242</v>
      </c>
      <c r="H2549" s="122">
        <v>98</v>
      </c>
      <c r="I2549" s="122">
        <v>12161</v>
      </c>
      <c r="J2549" s="122">
        <v>11055</v>
      </c>
      <c r="K2549" s="122">
        <v>91</v>
      </c>
      <c r="L2549" s="122">
        <v>1712</v>
      </c>
      <c r="M2549" s="122">
        <v>1556</v>
      </c>
      <c r="N2549" s="122">
        <v>3535</v>
      </c>
      <c r="O2549" s="122">
        <v>1309</v>
      </c>
      <c r="P2549" s="122">
        <v>473</v>
      </c>
      <c r="Q2549" s="122">
        <v>175</v>
      </c>
      <c r="R2549" s="122">
        <v>5862</v>
      </c>
      <c r="S2549" s="122">
        <v>5329</v>
      </c>
      <c r="T2549" s="122">
        <v>0</v>
      </c>
      <c r="U2549" s="122">
        <v>0</v>
      </c>
      <c r="V2549" s="122">
        <v>19424</v>
      </c>
      <c r="W2549" s="122">
        <f t="shared" si="80"/>
        <v>19424</v>
      </c>
      <c r="X2549" s="122">
        <f t="shared" si="81"/>
        <v>23743</v>
      </c>
      <c r="AI2549" s="66"/>
    </row>
    <row r="2550" spans="2:35" ht="13">
      <c r="B2550" t="s">
        <v>385</v>
      </c>
      <c r="C2550" t="s">
        <v>50</v>
      </c>
      <c r="D2550" t="s">
        <v>137</v>
      </c>
      <c r="E2550" t="s">
        <v>137</v>
      </c>
      <c r="F2550" s="122">
        <v>3</v>
      </c>
      <c r="G2550" s="122">
        <v>316</v>
      </c>
      <c r="H2550" s="122">
        <v>259</v>
      </c>
      <c r="I2550" s="122">
        <v>6291</v>
      </c>
      <c r="J2550" s="122">
        <v>2330</v>
      </c>
      <c r="K2550" s="122">
        <v>378</v>
      </c>
      <c r="L2550" s="122">
        <v>1949</v>
      </c>
      <c r="M2550" s="122">
        <v>1653</v>
      </c>
      <c r="N2550" s="122">
        <v>4628</v>
      </c>
      <c r="O2550" s="122">
        <v>1714</v>
      </c>
      <c r="P2550" s="122">
        <v>1053</v>
      </c>
      <c r="Q2550" s="122">
        <v>390</v>
      </c>
      <c r="R2550" s="122">
        <v>12955</v>
      </c>
      <c r="S2550" s="122">
        <v>4798</v>
      </c>
      <c r="T2550" s="122">
        <v>0</v>
      </c>
      <c r="U2550" s="122">
        <v>0</v>
      </c>
      <c r="V2550" s="122">
        <v>10885</v>
      </c>
      <c r="W2550" s="122">
        <f t="shared" si="80"/>
        <v>10885</v>
      </c>
      <c r="X2550" s="122">
        <f t="shared" si="81"/>
        <v>26876</v>
      </c>
      <c r="AI2550" s="66"/>
    </row>
    <row r="2551" spans="2:35" ht="13">
      <c r="B2551" t="s">
        <v>385</v>
      </c>
      <c r="C2551" t="s">
        <v>50</v>
      </c>
      <c r="D2551" t="s">
        <v>406</v>
      </c>
      <c r="E2551" t="s">
        <v>406</v>
      </c>
      <c r="F2551" s="122">
        <v>7</v>
      </c>
      <c r="G2551" s="122">
        <v>818</v>
      </c>
      <c r="H2551" s="122">
        <v>643</v>
      </c>
      <c r="I2551" s="122">
        <v>30883</v>
      </c>
      <c r="J2551" s="122">
        <v>28075</v>
      </c>
      <c r="K2551" s="122">
        <v>95</v>
      </c>
      <c r="L2551" s="122">
        <v>4604</v>
      </c>
      <c r="M2551" s="122">
        <v>4051</v>
      </c>
      <c r="N2551" s="122">
        <v>12138</v>
      </c>
      <c r="O2551" s="122">
        <v>4495</v>
      </c>
      <c r="P2551" s="122">
        <v>4347</v>
      </c>
      <c r="Q2551" s="122">
        <v>1610</v>
      </c>
      <c r="R2551" s="122">
        <v>22475</v>
      </c>
      <c r="S2551" s="122">
        <v>20432</v>
      </c>
      <c r="T2551" s="122">
        <v>0</v>
      </c>
      <c r="U2551" s="122">
        <v>0</v>
      </c>
      <c r="V2551" s="122">
        <v>58663</v>
      </c>
      <c r="W2551" s="122">
        <f t="shared" si="80"/>
        <v>58663</v>
      </c>
      <c r="X2551" s="122">
        <f t="shared" si="81"/>
        <v>74447</v>
      </c>
      <c r="AI2551" s="66"/>
    </row>
    <row r="2552" spans="2:35" ht="13">
      <c r="B2552" t="s">
        <v>385</v>
      </c>
      <c r="C2552" t="s">
        <v>50</v>
      </c>
      <c r="D2552" t="s">
        <v>407</v>
      </c>
      <c r="E2552" t="s">
        <v>407</v>
      </c>
      <c r="F2552" s="122">
        <v>6</v>
      </c>
      <c r="G2552" s="122">
        <v>843</v>
      </c>
      <c r="H2552" s="122">
        <v>581</v>
      </c>
      <c r="I2552" s="122">
        <v>51638</v>
      </c>
      <c r="J2552" s="122">
        <v>46944</v>
      </c>
      <c r="K2552" s="122">
        <v>92</v>
      </c>
      <c r="L2552" s="122">
        <v>4155</v>
      </c>
      <c r="M2552" s="122">
        <v>3777</v>
      </c>
      <c r="N2552" s="122">
        <v>10452</v>
      </c>
      <c r="O2552" s="122">
        <v>3871</v>
      </c>
      <c r="P2552" s="122">
        <v>3186</v>
      </c>
      <c r="Q2552" s="122">
        <v>1180</v>
      </c>
      <c r="R2552" s="122">
        <v>12150</v>
      </c>
      <c r="S2552" s="122">
        <v>11045</v>
      </c>
      <c r="T2552" s="122">
        <v>0</v>
      </c>
      <c r="U2552" s="122">
        <v>0</v>
      </c>
      <c r="V2552" s="122">
        <v>66817</v>
      </c>
      <c r="W2552" s="122">
        <f t="shared" si="80"/>
        <v>66817</v>
      </c>
      <c r="X2552" s="122">
        <f t="shared" si="81"/>
        <v>81581</v>
      </c>
      <c r="AI2552" s="66"/>
    </row>
    <row r="2553" spans="2:35" ht="13">
      <c r="B2553" t="s">
        <v>385</v>
      </c>
      <c r="C2553" t="s">
        <v>52</v>
      </c>
      <c r="D2553" t="s">
        <v>405</v>
      </c>
      <c r="E2553" t="s">
        <v>405</v>
      </c>
      <c r="F2553" s="122">
        <v>9</v>
      </c>
      <c r="G2553" s="122">
        <v>1005</v>
      </c>
      <c r="H2553" s="122">
        <v>1102</v>
      </c>
      <c r="I2553" s="122">
        <v>59130</v>
      </c>
      <c r="J2553" s="122">
        <v>53755</v>
      </c>
      <c r="K2553" s="122">
        <v>89</v>
      </c>
      <c r="L2553" s="122">
        <v>10463</v>
      </c>
      <c r="M2553" s="122">
        <v>9512</v>
      </c>
      <c r="N2553" s="122">
        <v>15229</v>
      </c>
      <c r="O2553" s="122">
        <v>5640</v>
      </c>
      <c r="P2553" s="122">
        <v>8114</v>
      </c>
      <c r="Q2553" s="122">
        <v>3005</v>
      </c>
      <c r="R2553" s="122">
        <v>40263</v>
      </c>
      <c r="S2553" s="122">
        <v>36603</v>
      </c>
      <c r="T2553" s="122">
        <v>0</v>
      </c>
      <c r="U2553" s="122">
        <v>0</v>
      </c>
      <c r="V2553" s="122">
        <v>108515</v>
      </c>
      <c r="W2553" s="122">
        <f t="shared" si="80"/>
        <v>108515</v>
      </c>
      <c r="X2553" s="122">
        <f t="shared" si="81"/>
        <v>133199</v>
      </c>
      <c r="AI2553" s="66"/>
    </row>
    <row r="2554" spans="2:35" ht="13">
      <c r="B2554" t="s">
        <v>385</v>
      </c>
      <c r="C2554" t="s">
        <v>52</v>
      </c>
      <c r="D2554" t="s">
        <v>137</v>
      </c>
      <c r="E2554" t="s">
        <v>137</v>
      </c>
      <c r="F2554" s="122">
        <v>3</v>
      </c>
      <c r="G2554" s="122">
        <v>322</v>
      </c>
      <c r="H2554" s="122">
        <v>356</v>
      </c>
      <c r="I2554" s="122">
        <v>19437</v>
      </c>
      <c r="J2554" s="122">
        <v>7199</v>
      </c>
      <c r="K2554" s="122">
        <v>284</v>
      </c>
      <c r="L2554" s="122">
        <v>3191</v>
      </c>
      <c r="M2554" s="122">
        <v>2836</v>
      </c>
      <c r="N2554" s="122">
        <v>4360</v>
      </c>
      <c r="O2554" s="122">
        <v>1615</v>
      </c>
      <c r="P2554" s="122">
        <v>3337</v>
      </c>
      <c r="Q2554" s="122">
        <v>1236</v>
      </c>
      <c r="R2554" s="122">
        <v>11771</v>
      </c>
      <c r="S2554" s="122">
        <v>4360</v>
      </c>
      <c r="T2554" s="122">
        <v>0</v>
      </c>
      <c r="U2554" s="122">
        <v>0</v>
      </c>
      <c r="V2554" s="122">
        <v>17245</v>
      </c>
      <c r="W2554" s="122">
        <f t="shared" si="80"/>
        <v>17246</v>
      </c>
      <c r="X2554" s="122">
        <f t="shared" si="81"/>
        <v>42096</v>
      </c>
      <c r="AI2554" s="66"/>
    </row>
    <row r="2555" spans="2:35" ht="13">
      <c r="B2555" t="s">
        <v>385</v>
      </c>
      <c r="C2555" t="s">
        <v>52</v>
      </c>
      <c r="D2555" t="s">
        <v>406</v>
      </c>
      <c r="E2555" t="s">
        <v>406</v>
      </c>
      <c r="F2555" s="122">
        <v>63</v>
      </c>
      <c r="G2555" s="122">
        <v>7364</v>
      </c>
      <c r="H2555" s="122">
        <v>7379</v>
      </c>
      <c r="I2555" s="122">
        <v>391277</v>
      </c>
      <c r="J2555" s="122">
        <v>355707</v>
      </c>
      <c r="K2555" s="122">
        <v>92</v>
      </c>
      <c r="L2555" s="122">
        <v>77633</v>
      </c>
      <c r="M2555" s="122">
        <v>69676</v>
      </c>
      <c r="N2555" s="122">
        <v>129201</v>
      </c>
      <c r="O2555" s="122">
        <v>47852</v>
      </c>
      <c r="P2555" s="122">
        <v>41045</v>
      </c>
      <c r="Q2555" s="122">
        <v>15202</v>
      </c>
      <c r="R2555" s="122">
        <v>237842</v>
      </c>
      <c r="S2555" s="122">
        <v>216220</v>
      </c>
      <c r="T2555" s="122">
        <v>0</v>
      </c>
      <c r="U2555" s="122">
        <v>0</v>
      </c>
      <c r="V2555" s="122">
        <v>704656</v>
      </c>
      <c r="W2555" s="122">
        <f t="shared" si="80"/>
        <v>704657</v>
      </c>
      <c r="X2555" s="122">
        <f t="shared" si="81"/>
        <v>876998</v>
      </c>
      <c r="AI2555" s="66"/>
    </row>
    <row r="2556" spans="2:35" ht="13">
      <c r="B2556" t="s">
        <v>385</v>
      </c>
      <c r="C2556" t="s">
        <v>52</v>
      </c>
      <c r="D2556" t="s">
        <v>407</v>
      </c>
      <c r="E2556" t="s">
        <v>407</v>
      </c>
      <c r="F2556" s="122">
        <v>50</v>
      </c>
      <c r="G2556" s="122">
        <v>6219</v>
      </c>
      <c r="H2556" s="122">
        <v>5773</v>
      </c>
      <c r="I2556" s="122">
        <v>314756</v>
      </c>
      <c r="J2556" s="122">
        <v>286142</v>
      </c>
      <c r="K2556" s="122">
        <v>89</v>
      </c>
      <c r="L2556" s="122">
        <v>84564</v>
      </c>
      <c r="M2556" s="122">
        <v>67636</v>
      </c>
      <c r="N2556" s="122">
        <v>100132</v>
      </c>
      <c r="O2556" s="122">
        <v>37086</v>
      </c>
      <c r="P2556" s="122">
        <v>26082</v>
      </c>
      <c r="Q2556" s="122">
        <v>9660</v>
      </c>
      <c r="R2556" s="122">
        <v>200298</v>
      </c>
      <c r="S2556" s="122">
        <v>182089</v>
      </c>
      <c r="T2556" s="122">
        <v>3267</v>
      </c>
      <c r="U2556" s="122">
        <v>1210</v>
      </c>
      <c r="V2556" s="122">
        <v>583823</v>
      </c>
      <c r="W2556" s="122">
        <f t="shared" si="80"/>
        <v>583823</v>
      </c>
      <c r="X2556" s="122">
        <f t="shared" si="81"/>
        <v>729099</v>
      </c>
      <c r="AI2556" s="66"/>
    </row>
    <row r="2557" spans="2:35" ht="13">
      <c r="B2557" t="s">
        <v>385</v>
      </c>
      <c r="C2557" t="s">
        <v>54</v>
      </c>
      <c r="D2557" t="s">
        <v>405</v>
      </c>
      <c r="E2557" t="s">
        <v>405</v>
      </c>
      <c r="F2557" s="122">
        <v>42</v>
      </c>
      <c r="G2557" s="122">
        <v>4689</v>
      </c>
      <c r="H2557" s="122">
        <v>6059</v>
      </c>
      <c r="I2557" s="122">
        <v>321416</v>
      </c>
      <c r="J2557" s="122">
        <v>292197</v>
      </c>
      <c r="K2557" s="122">
        <v>84</v>
      </c>
      <c r="L2557" s="122">
        <v>71775</v>
      </c>
      <c r="M2557" s="122">
        <v>62620</v>
      </c>
      <c r="N2557" s="122">
        <v>77836</v>
      </c>
      <c r="O2557" s="122">
        <v>28828</v>
      </c>
      <c r="P2557" s="122">
        <v>20898</v>
      </c>
      <c r="Q2557" s="122">
        <v>7740</v>
      </c>
      <c r="R2557" s="122">
        <v>196847</v>
      </c>
      <c r="S2557" s="122">
        <v>178952</v>
      </c>
      <c r="T2557" s="122">
        <v>8720</v>
      </c>
      <c r="U2557" s="122">
        <v>3230</v>
      </c>
      <c r="V2557" s="122">
        <v>573567</v>
      </c>
      <c r="W2557" s="122">
        <f t="shared" si="80"/>
        <v>573567</v>
      </c>
      <c r="X2557" s="122">
        <f t="shared" si="81"/>
        <v>697492</v>
      </c>
      <c r="AI2557" s="66"/>
    </row>
    <row r="2558" spans="2:35" ht="13">
      <c r="B2558" t="s">
        <v>385</v>
      </c>
      <c r="C2558" t="s">
        <v>54</v>
      </c>
      <c r="D2558" t="s">
        <v>137</v>
      </c>
      <c r="E2558" t="s">
        <v>137</v>
      </c>
      <c r="F2558" s="122">
        <v>9</v>
      </c>
      <c r="G2558" s="122">
        <v>1177</v>
      </c>
      <c r="H2558" s="122">
        <v>1252</v>
      </c>
      <c r="I2558" s="122">
        <v>60942</v>
      </c>
      <c r="J2558" s="122">
        <v>22571</v>
      </c>
      <c r="K2558" s="122">
        <v>262</v>
      </c>
      <c r="L2558" s="122">
        <v>13874</v>
      </c>
      <c r="M2558" s="122">
        <v>12613</v>
      </c>
      <c r="N2558" s="122">
        <v>20796</v>
      </c>
      <c r="O2558" s="122">
        <v>7702</v>
      </c>
      <c r="P2558" s="122">
        <v>15624</v>
      </c>
      <c r="Q2558" s="122">
        <v>5787</v>
      </c>
      <c r="R2558" s="122">
        <v>58492</v>
      </c>
      <c r="S2558" s="122">
        <v>21664</v>
      </c>
      <c r="T2558" s="122">
        <v>0</v>
      </c>
      <c r="U2558" s="122">
        <v>0</v>
      </c>
      <c r="V2558" s="122">
        <v>70336</v>
      </c>
      <c r="W2558" s="122">
        <f t="shared" si="80"/>
        <v>70337</v>
      </c>
      <c r="X2558" s="122">
        <f t="shared" si="81"/>
        <v>169728</v>
      </c>
      <c r="AI2558" s="66"/>
    </row>
    <row r="2559" spans="2:35" ht="13">
      <c r="B2559" t="s">
        <v>385</v>
      </c>
      <c r="C2559" t="s">
        <v>54</v>
      </c>
      <c r="D2559" t="s">
        <v>406</v>
      </c>
      <c r="E2559" t="s">
        <v>406</v>
      </c>
      <c r="F2559" s="122">
        <v>268</v>
      </c>
      <c r="G2559" s="122">
        <v>29168</v>
      </c>
      <c r="H2559" s="122">
        <v>38114</v>
      </c>
      <c r="I2559" s="122">
        <v>1884423</v>
      </c>
      <c r="J2559" s="122">
        <v>1713112</v>
      </c>
      <c r="K2559" s="122">
        <v>91</v>
      </c>
      <c r="L2559" s="122">
        <v>476788</v>
      </c>
      <c r="M2559" s="122">
        <v>420930</v>
      </c>
      <c r="N2559" s="122">
        <v>512440</v>
      </c>
      <c r="O2559" s="122">
        <v>189792</v>
      </c>
      <c r="P2559" s="122">
        <v>166999</v>
      </c>
      <c r="Q2559" s="122">
        <v>61852</v>
      </c>
      <c r="R2559" s="122">
        <v>1109074</v>
      </c>
      <c r="S2559" s="122">
        <v>1008249</v>
      </c>
      <c r="T2559" s="122">
        <v>30062</v>
      </c>
      <c r="U2559" s="122">
        <v>11134</v>
      </c>
      <c r="V2559" s="122">
        <v>3405069</v>
      </c>
      <c r="W2559" s="122">
        <f t="shared" si="80"/>
        <v>3405069</v>
      </c>
      <c r="X2559" s="122">
        <f t="shared" si="81"/>
        <v>4179786</v>
      </c>
      <c r="AI2559" s="66"/>
    </row>
    <row r="2560" spans="2:35" ht="13">
      <c r="B2560" t="s">
        <v>385</v>
      </c>
      <c r="C2560" t="s">
        <v>54</v>
      </c>
      <c r="D2560" t="s">
        <v>407</v>
      </c>
      <c r="E2560" t="s">
        <v>407</v>
      </c>
      <c r="F2560" s="122">
        <v>232</v>
      </c>
      <c r="G2560" s="122">
        <v>25840</v>
      </c>
      <c r="H2560" s="122">
        <v>32620</v>
      </c>
      <c r="I2560" s="122">
        <v>1601495</v>
      </c>
      <c r="J2560" s="122">
        <v>1455905</v>
      </c>
      <c r="K2560" s="122">
        <v>86</v>
      </c>
      <c r="L2560" s="122">
        <v>429045</v>
      </c>
      <c r="M2560" s="122">
        <v>361130</v>
      </c>
      <c r="N2560" s="122">
        <v>463452</v>
      </c>
      <c r="O2560" s="122">
        <v>171649</v>
      </c>
      <c r="P2560" s="122">
        <v>112229</v>
      </c>
      <c r="Q2560" s="122">
        <v>41566</v>
      </c>
      <c r="R2560" s="122">
        <v>1022790</v>
      </c>
      <c r="S2560" s="122">
        <v>929809</v>
      </c>
      <c r="T2560" s="122">
        <v>45719</v>
      </c>
      <c r="U2560" s="122">
        <v>16933</v>
      </c>
      <c r="V2560" s="122">
        <v>2976993</v>
      </c>
      <c r="W2560" s="122">
        <f t="shared" si="80"/>
        <v>2976992</v>
      </c>
      <c r="X2560" s="122">
        <f t="shared" si="81"/>
        <v>3674730</v>
      </c>
      <c r="AI2560" s="66"/>
    </row>
    <row r="2561" spans="2:35" ht="13">
      <c r="B2561" t="s">
        <v>385</v>
      </c>
      <c r="C2561" t="s">
        <v>54</v>
      </c>
      <c r="D2561" t="s">
        <v>426</v>
      </c>
      <c r="E2561" t="s">
        <v>426</v>
      </c>
      <c r="F2561" s="122">
        <v>2</v>
      </c>
      <c r="G2561" s="122">
        <v>169</v>
      </c>
      <c r="H2561" s="122">
        <v>280</v>
      </c>
      <c r="I2561" s="122">
        <v>12969</v>
      </c>
      <c r="J2561" s="122">
        <v>11790</v>
      </c>
      <c r="K2561" s="122">
        <v>78</v>
      </c>
      <c r="L2561" s="122">
        <v>0</v>
      </c>
      <c r="M2561" s="122">
        <v>0</v>
      </c>
      <c r="N2561" s="122">
        <v>2060</v>
      </c>
      <c r="O2561" s="122">
        <v>763</v>
      </c>
      <c r="P2561" s="122">
        <v>702</v>
      </c>
      <c r="Q2561" s="122">
        <v>260</v>
      </c>
      <c r="R2561" s="122">
        <v>5097</v>
      </c>
      <c r="S2561" s="122">
        <v>4633</v>
      </c>
      <c r="T2561" s="122">
        <v>2842</v>
      </c>
      <c r="U2561" s="122">
        <v>1053</v>
      </c>
      <c r="V2561" s="122">
        <v>18499</v>
      </c>
      <c r="W2561" s="122">
        <f t="shared" si="80"/>
        <v>18499</v>
      </c>
      <c r="X2561" s="122">
        <f t="shared" si="81"/>
        <v>23670</v>
      </c>
      <c r="AI2561" s="66"/>
    </row>
    <row r="2562" spans="2:35" ht="13">
      <c r="B2562" t="s">
        <v>385</v>
      </c>
      <c r="C2562" t="s">
        <v>54</v>
      </c>
      <c r="D2562" t="s">
        <v>408</v>
      </c>
      <c r="E2562" t="s">
        <v>408</v>
      </c>
      <c r="F2562" s="122">
        <v>1</v>
      </c>
      <c r="G2562" s="122">
        <v>189</v>
      </c>
      <c r="H2562" s="122">
        <v>129</v>
      </c>
      <c r="I2562" s="122">
        <v>15062</v>
      </c>
      <c r="J2562" s="122">
        <v>13693</v>
      </c>
      <c r="K2562" s="122">
        <v>79</v>
      </c>
      <c r="L2562" s="122">
        <v>0</v>
      </c>
      <c r="M2562" s="122">
        <v>0</v>
      </c>
      <c r="N2562" s="122">
        <v>2307</v>
      </c>
      <c r="O2562" s="122">
        <v>855</v>
      </c>
      <c r="P2562" s="122">
        <v>351</v>
      </c>
      <c r="Q2562" s="122">
        <v>130</v>
      </c>
      <c r="R2562" s="122">
        <v>6643</v>
      </c>
      <c r="S2562" s="122">
        <v>6039</v>
      </c>
      <c r="T2562" s="122">
        <v>0</v>
      </c>
      <c r="U2562" s="122">
        <v>0</v>
      </c>
      <c r="V2562" s="122">
        <v>20717</v>
      </c>
      <c r="W2562" s="122">
        <f t="shared" si="80"/>
        <v>20717</v>
      </c>
      <c r="X2562" s="122">
        <f t="shared" si="81"/>
        <v>24363</v>
      </c>
      <c r="AI2562" s="66"/>
    </row>
    <row r="2563" spans="2:35" ht="13">
      <c r="B2563" t="s">
        <v>385</v>
      </c>
      <c r="C2563" t="s">
        <v>56</v>
      </c>
      <c r="F2563" s="122">
        <v>3</v>
      </c>
      <c r="G2563" s="122">
        <v>261</v>
      </c>
      <c r="H2563" s="122">
        <v>527</v>
      </c>
      <c r="I2563" s="122"/>
      <c r="J2563" s="122">
        <v>0</v>
      </c>
      <c r="K2563" s="122"/>
      <c r="L2563" s="122"/>
      <c r="M2563" s="122">
        <v>0</v>
      </c>
      <c r="N2563" s="122">
        <v>6017</v>
      </c>
      <c r="O2563" s="122">
        <v>2228</v>
      </c>
      <c r="P2563" s="122">
        <v>621</v>
      </c>
      <c r="Q2563" s="122">
        <v>230</v>
      </c>
      <c r="R2563" s="122"/>
      <c r="S2563" s="122">
        <v>0</v>
      </c>
      <c r="T2563" s="122">
        <v>0</v>
      </c>
      <c r="U2563" s="122">
        <v>0</v>
      </c>
      <c r="V2563" s="122">
        <v>2458</v>
      </c>
      <c r="W2563" s="122">
        <f t="shared" si="80"/>
        <v>2458</v>
      </c>
      <c r="X2563" s="122">
        <f t="shared" si="81"/>
        <v>6638</v>
      </c>
      <c r="AI2563" s="66"/>
    </row>
    <row r="2564" spans="2:35" ht="13">
      <c r="B2564" t="s">
        <v>385</v>
      </c>
      <c r="C2564" t="s">
        <v>56</v>
      </c>
      <c r="D2564" t="s">
        <v>425</v>
      </c>
      <c r="E2564" t="s">
        <v>425</v>
      </c>
      <c r="F2564" s="122">
        <v>4</v>
      </c>
      <c r="G2564" s="122">
        <v>430</v>
      </c>
      <c r="H2564" s="122">
        <v>697</v>
      </c>
      <c r="I2564" s="122">
        <v>32874</v>
      </c>
      <c r="J2564" s="122">
        <v>29885</v>
      </c>
      <c r="K2564" s="122">
        <v>86</v>
      </c>
      <c r="L2564" s="122">
        <v>9217</v>
      </c>
      <c r="M2564" s="122">
        <v>8379</v>
      </c>
      <c r="N2564" s="122">
        <v>8335</v>
      </c>
      <c r="O2564" s="122">
        <v>3087</v>
      </c>
      <c r="P2564" s="122">
        <v>1890</v>
      </c>
      <c r="Q2564" s="122">
        <v>700</v>
      </c>
      <c r="R2564" s="122">
        <v>17969</v>
      </c>
      <c r="S2564" s="122">
        <v>16335</v>
      </c>
      <c r="T2564" s="122">
        <v>2932</v>
      </c>
      <c r="U2564" s="122">
        <v>1086</v>
      </c>
      <c r="V2564" s="122">
        <v>59473</v>
      </c>
      <c r="W2564" s="122">
        <f t="shared" si="80"/>
        <v>59472</v>
      </c>
      <c r="X2564" s="122">
        <f t="shared" si="81"/>
        <v>73217</v>
      </c>
      <c r="AI2564" s="66"/>
    </row>
    <row r="2565" spans="2:35" ht="13">
      <c r="B2565" t="s">
        <v>385</v>
      </c>
      <c r="C2565" t="s">
        <v>56</v>
      </c>
      <c r="D2565" t="s">
        <v>425</v>
      </c>
      <c r="E2565" t="s">
        <v>405</v>
      </c>
      <c r="F2565" s="122">
        <v>1</v>
      </c>
      <c r="G2565" s="122">
        <v>99</v>
      </c>
      <c r="H2565" s="122">
        <v>205</v>
      </c>
      <c r="I2565" s="122">
        <v>8638</v>
      </c>
      <c r="J2565" s="122">
        <v>7852</v>
      </c>
      <c r="K2565" s="122">
        <v>73</v>
      </c>
      <c r="L2565" s="122">
        <v>2220</v>
      </c>
      <c r="M2565" s="122">
        <v>2018</v>
      </c>
      <c r="N2565" s="122">
        <v>2405</v>
      </c>
      <c r="O2565" s="122">
        <v>891</v>
      </c>
      <c r="P2565" s="122">
        <v>473</v>
      </c>
      <c r="Q2565" s="122">
        <v>175</v>
      </c>
      <c r="R2565" s="122">
        <v>6465</v>
      </c>
      <c r="S2565" s="122">
        <v>5877</v>
      </c>
      <c r="T2565" s="122">
        <v>0</v>
      </c>
      <c r="U2565" s="122">
        <v>0</v>
      </c>
      <c r="V2565" s="122">
        <v>16813</v>
      </c>
      <c r="W2565" s="122">
        <f t="shared" si="80"/>
        <v>16813</v>
      </c>
      <c r="X2565" s="122">
        <f t="shared" si="81"/>
        <v>20201</v>
      </c>
      <c r="AI2565" s="66"/>
    </row>
    <row r="2566" spans="2:35" ht="13">
      <c r="B2566" t="s">
        <v>385</v>
      </c>
      <c r="C2566" t="s">
        <v>56</v>
      </c>
      <c r="D2566" t="s">
        <v>425</v>
      </c>
      <c r="E2566" t="s">
        <v>406</v>
      </c>
      <c r="F2566" s="122">
        <v>1</v>
      </c>
      <c r="G2566" s="122">
        <v>99</v>
      </c>
      <c r="H2566" s="122">
        <v>196</v>
      </c>
      <c r="I2566" s="122">
        <v>8523</v>
      </c>
      <c r="J2566" s="122">
        <v>7748</v>
      </c>
      <c r="K2566" s="122">
        <v>86</v>
      </c>
      <c r="L2566" s="122">
        <v>2563</v>
      </c>
      <c r="M2566" s="122">
        <v>2330</v>
      </c>
      <c r="N2566" s="122">
        <v>2420</v>
      </c>
      <c r="O2566" s="122">
        <v>896</v>
      </c>
      <c r="P2566" s="122">
        <v>621</v>
      </c>
      <c r="Q2566" s="122">
        <v>230</v>
      </c>
      <c r="R2566" s="122">
        <v>5328</v>
      </c>
      <c r="S2566" s="122">
        <v>4844</v>
      </c>
      <c r="T2566" s="122">
        <v>0</v>
      </c>
      <c r="U2566" s="122">
        <v>0</v>
      </c>
      <c r="V2566" s="122">
        <v>16049</v>
      </c>
      <c r="W2566" s="122">
        <f t="shared" si="80"/>
        <v>16048</v>
      </c>
      <c r="X2566" s="122">
        <f t="shared" si="81"/>
        <v>19455</v>
      </c>
      <c r="AI2566" s="66"/>
    </row>
    <row r="2567" spans="2:35" ht="13">
      <c r="B2567" t="s">
        <v>385</v>
      </c>
      <c r="C2567" t="s">
        <v>56</v>
      </c>
      <c r="D2567" t="s">
        <v>405</v>
      </c>
      <c r="E2567" t="s">
        <v>425</v>
      </c>
      <c r="F2567" s="122">
        <v>2</v>
      </c>
      <c r="G2567" s="122">
        <v>211</v>
      </c>
      <c r="H2567" s="122">
        <v>364</v>
      </c>
      <c r="I2567" s="122">
        <v>16045</v>
      </c>
      <c r="J2567" s="122">
        <v>14587</v>
      </c>
      <c r="K2567" s="122">
        <v>78</v>
      </c>
      <c r="L2567" s="122">
        <v>2835</v>
      </c>
      <c r="M2567" s="122">
        <v>2578</v>
      </c>
      <c r="N2567" s="122">
        <v>3201</v>
      </c>
      <c r="O2567" s="122">
        <v>1186</v>
      </c>
      <c r="P2567" s="122">
        <v>945</v>
      </c>
      <c r="Q2567" s="122">
        <v>350</v>
      </c>
      <c r="R2567" s="122">
        <v>10492</v>
      </c>
      <c r="S2567" s="122">
        <v>9539</v>
      </c>
      <c r="T2567" s="122">
        <v>3204</v>
      </c>
      <c r="U2567" s="122">
        <v>1187</v>
      </c>
      <c r="V2567" s="122">
        <v>29425</v>
      </c>
      <c r="W2567" s="122">
        <f t="shared" si="80"/>
        <v>29427</v>
      </c>
      <c r="X2567" s="122">
        <f t="shared" si="81"/>
        <v>36722</v>
      </c>
      <c r="AI2567" s="66"/>
    </row>
    <row r="2568" spans="2:35" ht="13">
      <c r="B2568" t="s">
        <v>385</v>
      </c>
      <c r="C2568" t="s">
        <v>56</v>
      </c>
      <c r="D2568" t="s">
        <v>405</v>
      </c>
      <c r="E2568" t="s">
        <v>405</v>
      </c>
      <c r="F2568" s="122">
        <v>184</v>
      </c>
      <c r="G2568" s="122">
        <v>20326</v>
      </c>
      <c r="H2568" s="122">
        <v>34409</v>
      </c>
      <c r="I2568" s="122">
        <v>1821933</v>
      </c>
      <c r="J2568" s="122">
        <v>1656302</v>
      </c>
      <c r="K2568" s="122">
        <v>80</v>
      </c>
      <c r="L2568" s="122">
        <v>475446</v>
      </c>
      <c r="M2568" s="122">
        <v>652749</v>
      </c>
      <c r="N2568" s="122">
        <v>387639</v>
      </c>
      <c r="O2568" s="122">
        <v>143570</v>
      </c>
      <c r="P2568" s="122">
        <v>88506</v>
      </c>
      <c r="Q2568" s="122">
        <v>32780</v>
      </c>
      <c r="R2568" s="122">
        <v>901864</v>
      </c>
      <c r="S2568" s="122">
        <v>819876</v>
      </c>
      <c r="T2568" s="122">
        <v>159921</v>
      </c>
      <c r="U2568" s="122">
        <v>59230</v>
      </c>
      <c r="V2568" s="122">
        <v>3364508</v>
      </c>
      <c r="W2568" s="122">
        <f t="shared" si="80"/>
        <v>3364507</v>
      </c>
      <c r="X2568" s="122">
        <f t="shared" si="81"/>
        <v>3835309</v>
      </c>
      <c r="AI2568" s="66"/>
    </row>
    <row r="2569" spans="2:35" ht="13">
      <c r="B2569" t="s">
        <v>385</v>
      </c>
      <c r="C2569" t="s">
        <v>56</v>
      </c>
      <c r="D2569" t="s">
        <v>405</v>
      </c>
      <c r="E2569" t="s">
        <v>407</v>
      </c>
      <c r="F2569" s="122">
        <v>1</v>
      </c>
      <c r="G2569" s="122">
        <v>91</v>
      </c>
      <c r="H2569" s="122">
        <v>186</v>
      </c>
      <c r="I2569" s="122">
        <v>7509</v>
      </c>
      <c r="J2569" s="122">
        <v>6827</v>
      </c>
      <c r="K2569" s="122">
        <v>78</v>
      </c>
      <c r="L2569" s="122">
        <v>1035</v>
      </c>
      <c r="M2569" s="122">
        <v>941</v>
      </c>
      <c r="N2569" s="122">
        <v>2090</v>
      </c>
      <c r="O2569" s="122">
        <v>774</v>
      </c>
      <c r="P2569" s="122">
        <v>473</v>
      </c>
      <c r="Q2569" s="122">
        <v>175</v>
      </c>
      <c r="R2569" s="122">
        <v>3320</v>
      </c>
      <c r="S2569" s="122">
        <v>3018</v>
      </c>
      <c r="T2569" s="122">
        <v>2442</v>
      </c>
      <c r="U2569" s="122">
        <v>904</v>
      </c>
      <c r="V2569" s="122">
        <v>12638</v>
      </c>
      <c r="W2569" s="122">
        <f t="shared" si="80"/>
        <v>12639</v>
      </c>
      <c r="X2569" s="122">
        <f t="shared" si="81"/>
        <v>16869</v>
      </c>
      <c r="AI2569" s="66"/>
    </row>
    <row r="2570" spans="2:35" ht="13">
      <c r="B2570" t="s">
        <v>385</v>
      </c>
      <c r="C2570" t="s">
        <v>56</v>
      </c>
      <c r="D2570" t="s">
        <v>137</v>
      </c>
      <c r="E2570" t="s">
        <v>137</v>
      </c>
      <c r="F2570" s="122">
        <v>42</v>
      </c>
      <c r="G2570" s="122">
        <v>4436</v>
      </c>
      <c r="H2570" s="122">
        <v>7856</v>
      </c>
      <c r="I2570" s="122">
        <v>357830</v>
      </c>
      <c r="J2570" s="122">
        <v>132530</v>
      </c>
      <c r="K2570" s="122">
        <v>168</v>
      </c>
      <c r="L2570" s="122">
        <v>67181</v>
      </c>
      <c r="M2570" s="122">
        <v>45581</v>
      </c>
      <c r="N2570" s="122">
        <v>87013</v>
      </c>
      <c r="O2570" s="122">
        <v>32227</v>
      </c>
      <c r="P2570" s="122">
        <v>17042</v>
      </c>
      <c r="Q2570" s="122">
        <v>6312</v>
      </c>
      <c r="R2570" s="122">
        <v>289640</v>
      </c>
      <c r="S2570" s="122">
        <v>107274</v>
      </c>
      <c r="T2570" s="122">
        <v>0</v>
      </c>
      <c r="U2570" s="122">
        <v>0</v>
      </c>
      <c r="V2570" s="122">
        <v>323924</v>
      </c>
      <c r="W2570" s="122">
        <f t="shared" si="80"/>
        <v>323924</v>
      </c>
      <c r="X2570" s="122">
        <f t="shared" si="81"/>
        <v>818706</v>
      </c>
      <c r="AI2570" s="66"/>
    </row>
    <row r="2571" spans="2:35" ht="13">
      <c r="B2571" t="s">
        <v>385</v>
      </c>
      <c r="C2571" t="s">
        <v>56</v>
      </c>
      <c r="D2571" t="s">
        <v>406</v>
      </c>
      <c r="E2571" t="s">
        <v>425</v>
      </c>
      <c r="F2571" s="122">
        <v>1</v>
      </c>
      <c r="G2571" s="122">
        <v>106</v>
      </c>
      <c r="H2571" s="122">
        <v>194</v>
      </c>
      <c r="I2571" s="122">
        <v>10122</v>
      </c>
      <c r="J2571" s="122">
        <v>9201</v>
      </c>
      <c r="K2571" s="122">
        <v>85</v>
      </c>
      <c r="L2571" s="122">
        <v>3186</v>
      </c>
      <c r="M2571" s="122">
        <v>2897</v>
      </c>
      <c r="N2571" s="122">
        <v>2589</v>
      </c>
      <c r="O2571" s="122">
        <v>959</v>
      </c>
      <c r="P2571" s="122">
        <v>621</v>
      </c>
      <c r="Q2571" s="122">
        <v>230</v>
      </c>
      <c r="R2571" s="122">
        <v>4106</v>
      </c>
      <c r="S2571" s="122">
        <v>3733</v>
      </c>
      <c r="T2571" s="122">
        <v>0</v>
      </c>
      <c r="U2571" s="122">
        <v>0</v>
      </c>
      <c r="V2571" s="122">
        <v>17020</v>
      </c>
      <c r="W2571" s="122">
        <f t="shared" si="80"/>
        <v>17020</v>
      </c>
      <c r="X2571" s="122">
        <f t="shared" si="81"/>
        <v>20624</v>
      </c>
      <c r="AI2571" s="66"/>
    </row>
    <row r="2572" spans="2:35" ht="13">
      <c r="B2572" t="s">
        <v>385</v>
      </c>
      <c r="C2572" t="s">
        <v>56</v>
      </c>
      <c r="D2572" t="s">
        <v>406</v>
      </c>
      <c r="E2572" t="s">
        <v>137</v>
      </c>
      <c r="F2572" s="122">
        <v>2</v>
      </c>
      <c r="G2572" s="122">
        <v>191</v>
      </c>
      <c r="H2572" s="122">
        <v>414</v>
      </c>
      <c r="I2572" s="122">
        <v>23111</v>
      </c>
      <c r="J2572" s="122">
        <v>21010</v>
      </c>
      <c r="K2572" s="122">
        <v>90</v>
      </c>
      <c r="L2572" s="122">
        <v>3688</v>
      </c>
      <c r="M2572" s="122">
        <v>3262</v>
      </c>
      <c r="N2572" s="122">
        <v>2923</v>
      </c>
      <c r="O2572" s="122">
        <v>1082</v>
      </c>
      <c r="P2572" s="122">
        <v>1242</v>
      </c>
      <c r="Q2572" s="122">
        <v>460</v>
      </c>
      <c r="R2572" s="122">
        <v>8657</v>
      </c>
      <c r="S2572" s="122">
        <v>3206</v>
      </c>
      <c r="T2572" s="122">
        <v>0</v>
      </c>
      <c r="U2572" s="122">
        <v>0</v>
      </c>
      <c r="V2572" s="122">
        <v>29020</v>
      </c>
      <c r="W2572" s="122">
        <f t="shared" si="80"/>
        <v>29020</v>
      </c>
      <c r="X2572" s="122">
        <f t="shared" si="81"/>
        <v>39621</v>
      </c>
      <c r="AI2572" s="66"/>
    </row>
    <row r="2573" spans="2:35" ht="13">
      <c r="B2573" t="s">
        <v>385</v>
      </c>
      <c r="C2573" t="s">
        <v>56</v>
      </c>
      <c r="D2573" t="s">
        <v>406</v>
      </c>
      <c r="E2573" t="s">
        <v>406</v>
      </c>
      <c r="F2573" s="122">
        <v>1627</v>
      </c>
      <c r="G2573" s="122">
        <v>180385</v>
      </c>
      <c r="H2573" s="122">
        <v>315194</v>
      </c>
      <c r="I2573" s="122">
        <v>16987751</v>
      </c>
      <c r="J2573" s="122">
        <v>15443410</v>
      </c>
      <c r="K2573" s="122">
        <v>85</v>
      </c>
      <c r="L2573" s="122">
        <v>4249713</v>
      </c>
      <c r="M2573" s="122">
        <v>3694154</v>
      </c>
      <c r="N2573" s="122">
        <v>3414245</v>
      </c>
      <c r="O2573" s="122">
        <v>1264535</v>
      </c>
      <c r="P2573" s="122">
        <v>1041126</v>
      </c>
      <c r="Q2573" s="122">
        <v>385602</v>
      </c>
      <c r="R2573" s="122">
        <v>7692269</v>
      </c>
      <c r="S2573" s="122">
        <v>6992971</v>
      </c>
      <c r="T2573" s="122">
        <v>1686309</v>
      </c>
      <c r="U2573" s="122">
        <v>624559</v>
      </c>
      <c r="V2573" s="122">
        <v>28405232</v>
      </c>
      <c r="W2573" s="122">
        <f t="shared" si="80"/>
        <v>28405231</v>
      </c>
      <c r="X2573" s="122">
        <f t="shared" si="81"/>
        <v>35071413</v>
      </c>
      <c r="AI2573" s="66"/>
    </row>
    <row r="2574" spans="2:35" ht="13">
      <c r="B2574" t="s">
        <v>385</v>
      </c>
      <c r="C2574" t="s">
        <v>56</v>
      </c>
      <c r="D2574" t="s">
        <v>406</v>
      </c>
      <c r="E2574" t="s">
        <v>427</v>
      </c>
      <c r="F2574" s="122">
        <v>1</v>
      </c>
      <c r="G2574" s="122">
        <v>115</v>
      </c>
      <c r="H2574" s="122">
        <v>184</v>
      </c>
      <c r="I2574" s="122">
        <v>8591</v>
      </c>
      <c r="J2574" s="122">
        <v>7810</v>
      </c>
      <c r="K2574" s="122">
        <v>94</v>
      </c>
      <c r="L2574" s="122">
        <v>3089</v>
      </c>
      <c r="M2574" s="122">
        <v>2574</v>
      </c>
      <c r="N2574" s="122">
        <v>1976</v>
      </c>
      <c r="O2574" s="122">
        <v>732</v>
      </c>
      <c r="P2574" s="122">
        <v>621</v>
      </c>
      <c r="Q2574" s="122">
        <v>230</v>
      </c>
      <c r="R2574" s="122">
        <v>3854</v>
      </c>
      <c r="S2574" s="122">
        <v>3503</v>
      </c>
      <c r="T2574" s="122">
        <v>3060</v>
      </c>
      <c r="U2574" s="122">
        <v>1133</v>
      </c>
      <c r="V2574" s="122">
        <v>15983</v>
      </c>
      <c r="W2574" s="122">
        <f t="shared" si="80"/>
        <v>15982</v>
      </c>
      <c r="X2574" s="122">
        <f t="shared" si="81"/>
        <v>21191</v>
      </c>
      <c r="AI2574" s="66"/>
    </row>
    <row r="2575" spans="2:35" ht="13">
      <c r="B2575" t="s">
        <v>385</v>
      </c>
      <c r="C2575" t="s">
        <v>56</v>
      </c>
      <c r="D2575" t="s">
        <v>406</v>
      </c>
      <c r="E2575" t="s">
        <v>407</v>
      </c>
      <c r="F2575" s="122">
        <v>1</v>
      </c>
      <c r="G2575" s="122">
        <v>131</v>
      </c>
      <c r="H2575" s="122">
        <v>193</v>
      </c>
      <c r="I2575" s="122">
        <v>12466</v>
      </c>
      <c r="J2575" s="122">
        <v>11333</v>
      </c>
      <c r="K2575" s="122">
        <v>79</v>
      </c>
      <c r="L2575" s="122">
        <v>3647</v>
      </c>
      <c r="M2575" s="122">
        <v>3316</v>
      </c>
      <c r="N2575" s="122">
        <v>1919</v>
      </c>
      <c r="O2575" s="122">
        <v>711</v>
      </c>
      <c r="P2575" s="122">
        <v>621</v>
      </c>
      <c r="Q2575" s="122">
        <v>230</v>
      </c>
      <c r="R2575" s="122">
        <v>3696</v>
      </c>
      <c r="S2575" s="122">
        <v>3360</v>
      </c>
      <c r="T2575" s="122">
        <v>2987</v>
      </c>
      <c r="U2575" s="122">
        <v>1106</v>
      </c>
      <c r="V2575" s="122">
        <v>20056</v>
      </c>
      <c r="W2575" s="122">
        <f t="shared" si="80"/>
        <v>20056</v>
      </c>
      <c r="X2575" s="122">
        <f t="shared" si="81"/>
        <v>25336</v>
      </c>
      <c r="AI2575" s="66"/>
    </row>
    <row r="2576" spans="2:35" ht="13">
      <c r="B2576" t="s">
        <v>385</v>
      </c>
      <c r="C2576" t="s">
        <v>56</v>
      </c>
      <c r="D2576" t="s">
        <v>406</v>
      </c>
      <c r="E2576" t="s">
        <v>426</v>
      </c>
      <c r="F2576" s="122">
        <v>1</v>
      </c>
      <c r="G2576" s="122">
        <v>160</v>
      </c>
      <c r="H2576" s="122">
        <v>183</v>
      </c>
      <c r="I2576" s="122">
        <v>14762</v>
      </c>
      <c r="J2576" s="122">
        <v>13420</v>
      </c>
      <c r="K2576" s="122">
        <v>83</v>
      </c>
      <c r="L2576" s="122">
        <v>4319</v>
      </c>
      <c r="M2576" s="122">
        <v>3927</v>
      </c>
      <c r="N2576" s="122">
        <v>2924</v>
      </c>
      <c r="O2576" s="122">
        <v>1083</v>
      </c>
      <c r="P2576" s="122">
        <v>621</v>
      </c>
      <c r="Q2576" s="122">
        <v>230</v>
      </c>
      <c r="R2576" s="122">
        <v>6583</v>
      </c>
      <c r="S2576" s="122">
        <v>5984</v>
      </c>
      <c r="T2576" s="122">
        <v>0</v>
      </c>
      <c r="U2576" s="122">
        <v>0</v>
      </c>
      <c r="V2576" s="122">
        <v>24644</v>
      </c>
      <c r="W2576" s="122">
        <f t="shared" si="80"/>
        <v>24644</v>
      </c>
      <c r="X2576" s="122">
        <f t="shared" si="81"/>
        <v>29209</v>
      </c>
      <c r="AI2576" s="66"/>
    </row>
    <row r="2577" spans="2:35" ht="13">
      <c r="B2577" t="s">
        <v>385</v>
      </c>
      <c r="C2577" t="s">
        <v>56</v>
      </c>
      <c r="D2577" t="s">
        <v>406</v>
      </c>
      <c r="E2577" t="s">
        <v>429</v>
      </c>
      <c r="F2577" s="122">
        <v>1</v>
      </c>
      <c r="G2577" s="122">
        <v>96</v>
      </c>
      <c r="H2577" s="122">
        <v>162</v>
      </c>
      <c r="I2577" s="122">
        <v>7262</v>
      </c>
      <c r="J2577" s="122">
        <v>6602</v>
      </c>
      <c r="K2577" s="122">
        <v>85</v>
      </c>
      <c r="L2577" s="122">
        <v>1085</v>
      </c>
      <c r="M2577" s="122">
        <v>987</v>
      </c>
      <c r="N2577" s="122">
        <v>1290</v>
      </c>
      <c r="O2577" s="122">
        <v>478</v>
      </c>
      <c r="P2577" s="122">
        <v>621</v>
      </c>
      <c r="Q2577" s="122">
        <v>230</v>
      </c>
      <c r="R2577" s="122">
        <v>5300</v>
      </c>
      <c r="S2577" s="122">
        <v>4818</v>
      </c>
      <c r="T2577" s="122">
        <v>0</v>
      </c>
      <c r="U2577" s="122">
        <v>0</v>
      </c>
      <c r="V2577" s="122">
        <v>13115</v>
      </c>
      <c r="W2577" s="122">
        <f t="shared" si="80"/>
        <v>13115</v>
      </c>
      <c r="X2577" s="122">
        <f t="shared" si="81"/>
        <v>15558</v>
      </c>
      <c r="AI2577" s="66"/>
    </row>
    <row r="2578" spans="2:35" ht="13">
      <c r="B2578" t="s">
        <v>385</v>
      </c>
      <c r="C2578" t="s">
        <v>56</v>
      </c>
      <c r="D2578" t="s">
        <v>427</v>
      </c>
      <c r="E2578" t="s">
        <v>427</v>
      </c>
      <c r="F2578" s="122">
        <v>1</v>
      </c>
      <c r="G2578" s="122">
        <v>84</v>
      </c>
      <c r="H2578" s="122">
        <v>215</v>
      </c>
      <c r="I2578" s="122">
        <v>9201</v>
      </c>
      <c r="J2578" s="122">
        <v>8365</v>
      </c>
      <c r="K2578" s="122">
        <v>79</v>
      </c>
      <c r="L2578" s="122">
        <v>1394</v>
      </c>
      <c r="M2578" s="122">
        <v>1267</v>
      </c>
      <c r="N2578" s="122">
        <v>2037</v>
      </c>
      <c r="O2578" s="122">
        <v>754</v>
      </c>
      <c r="P2578" s="122">
        <v>621</v>
      </c>
      <c r="Q2578" s="122">
        <v>230</v>
      </c>
      <c r="R2578" s="122">
        <v>4756</v>
      </c>
      <c r="S2578" s="122">
        <v>4323</v>
      </c>
      <c r="T2578" s="122">
        <v>0</v>
      </c>
      <c r="U2578" s="122">
        <v>0</v>
      </c>
      <c r="V2578" s="122">
        <v>14940</v>
      </c>
      <c r="W2578" s="122">
        <f t="shared" si="80"/>
        <v>14939</v>
      </c>
      <c r="X2578" s="122">
        <f t="shared" si="81"/>
        <v>18009</v>
      </c>
      <c r="AI2578" s="66"/>
    </row>
    <row r="2579" spans="2:35" ht="13">
      <c r="B2579" t="s">
        <v>385</v>
      </c>
      <c r="C2579" t="s">
        <v>56</v>
      </c>
      <c r="D2579" t="s">
        <v>407</v>
      </c>
      <c r="E2579" t="s">
        <v>137</v>
      </c>
      <c r="F2579" s="122">
        <v>2</v>
      </c>
      <c r="G2579" s="122">
        <v>266</v>
      </c>
      <c r="H2579" s="122">
        <v>317</v>
      </c>
      <c r="I2579" s="122">
        <v>21351</v>
      </c>
      <c r="J2579" s="122">
        <v>19410</v>
      </c>
      <c r="K2579" s="122">
        <v>164</v>
      </c>
      <c r="L2579" s="122">
        <v>4582</v>
      </c>
      <c r="M2579" s="122">
        <v>4166</v>
      </c>
      <c r="N2579" s="122">
        <v>5542</v>
      </c>
      <c r="O2579" s="122">
        <v>2052</v>
      </c>
      <c r="P2579" s="122">
        <v>824</v>
      </c>
      <c r="Q2579" s="122">
        <v>305</v>
      </c>
      <c r="R2579" s="122">
        <v>10194</v>
      </c>
      <c r="S2579" s="122">
        <v>3776</v>
      </c>
      <c r="T2579" s="122">
        <v>0</v>
      </c>
      <c r="U2579" s="122">
        <v>0</v>
      </c>
      <c r="V2579" s="122">
        <v>29709</v>
      </c>
      <c r="W2579" s="122">
        <f t="shared" si="80"/>
        <v>29709</v>
      </c>
      <c r="X2579" s="122">
        <f t="shared" si="81"/>
        <v>42493</v>
      </c>
      <c r="AI2579" s="66"/>
    </row>
    <row r="2580" spans="2:35" ht="13">
      <c r="B2580" t="s">
        <v>385</v>
      </c>
      <c r="C2580" t="s">
        <v>56</v>
      </c>
      <c r="D2580" t="s">
        <v>407</v>
      </c>
      <c r="E2580" t="s">
        <v>406</v>
      </c>
      <c r="F2580" s="122">
        <v>3</v>
      </c>
      <c r="G2580" s="122">
        <v>331</v>
      </c>
      <c r="H2580" s="122">
        <v>599</v>
      </c>
      <c r="I2580" s="122">
        <v>32268</v>
      </c>
      <c r="J2580" s="122">
        <v>29335</v>
      </c>
      <c r="K2580" s="122">
        <v>75</v>
      </c>
      <c r="L2580" s="122">
        <v>5863</v>
      </c>
      <c r="M2580" s="122">
        <v>5200</v>
      </c>
      <c r="N2580" s="122">
        <v>6651</v>
      </c>
      <c r="O2580" s="122">
        <v>2463</v>
      </c>
      <c r="P2580" s="122">
        <v>1769</v>
      </c>
      <c r="Q2580" s="122">
        <v>655</v>
      </c>
      <c r="R2580" s="122">
        <v>16712</v>
      </c>
      <c r="S2580" s="122">
        <v>15193</v>
      </c>
      <c r="T2580" s="122">
        <v>2651</v>
      </c>
      <c r="U2580" s="122">
        <v>982</v>
      </c>
      <c r="V2580" s="122">
        <v>53827</v>
      </c>
      <c r="W2580" s="122">
        <f t="shared" si="80"/>
        <v>53828</v>
      </c>
      <c r="X2580" s="122">
        <f t="shared" si="81"/>
        <v>65914</v>
      </c>
      <c r="AI2580" s="66"/>
    </row>
    <row r="2581" spans="2:35" ht="13">
      <c r="B2581" t="s">
        <v>385</v>
      </c>
      <c r="C2581" t="s">
        <v>56</v>
      </c>
      <c r="D2581" t="s">
        <v>407</v>
      </c>
      <c r="E2581" t="s">
        <v>407</v>
      </c>
      <c r="F2581" s="122">
        <v>1020</v>
      </c>
      <c r="G2581" s="122">
        <v>110086</v>
      </c>
      <c r="H2581" s="122">
        <v>192588</v>
      </c>
      <c r="I2581" s="122">
        <v>9737613</v>
      </c>
      <c r="J2581" s="122">
        <v>8852375</v>
      </c>
      <c r="K2581" s="122">
        <v>80</v>
      </c>
      <c r="L2581" s="122">
        <v>2626077</v>
      </c>
      <c r="M2581" s="122">
        <v>2286041</v>
      </c>
      <c r="N2581" s="122">
        <v>2170862</v>
      </c>
      <c r="O2581" s="122">
        <v>804023</v>
      </c>
      <c r="P2581" s="122">
        <v>487013</v>
      </c>
      <c r="Q2581" s="122">
        <v>180375</v>
      </c>
      <c r="R2581" s="122">
        <v>5141766</v>
      </c>
      <c r="S2581" s="122">
        <v>4674333</v>
      </c>
      <c r="T2581" s="122">
        <v>697039</v>
      </c>
      <c r="U2581" s="122">
        <v>258163</v>
      </c>
      <c r="V2581" s="122">
        <v>17055310</v>
      </c>
      <c r="W2581" s="122">
        <f t="shared" si="80"/>
        <v>17055310</v>
      </c>
      <c r="X2581" s="122">
        <f t="shared" si="81"/>
        <v>20860370</v>
      </c>
      <c r="AI2581" s="66"/>
    </row>
    <row r="2582" spans="2:35" ht="13">
      <c r="B2582" t="s">
        <v>385</v>
      </c>
      <c r="C2582" t="s">
        <v>56</v>
      </c>
      <c r="D2582" t="s">
        <v>556</v>
      </c>
      <c r="E2582" t="s">
        <v>556</v>
      </c>
      <c r="F2582" s="122">
        <v>4</v>
      </c>
      <c r="G2582" s="122">
        <v>355</v>
      </c>
      <c r="H2582" s="122">
        <v>887</v>
      </c>
      <c r="I2582" s="122">
        <v>35424</v>
      </c>
      <c r="J2582" s="122">
        <v>29520</v>
      </c>
      <c r="K2582" s="122">
        <v>65</v>
      </c>
      <c r="L2582" s="122">
        <v>8528</v>
      </c>
      <c r="M2582" s="122">
        <v>7107</v>
      </c>
      <c r="N2582" s="122">
        <v>5431</v>
      </c>
      <c r="O2582" s="122">
        <v>2012</v>
      </c>
      <c r="P2582" s="122">
        <v>1404</v>
      </c>
      <c r="Q2582" s="122">
        <v>520</v>
      </c>
      <c r="R2582" s="122">
        <v>27931</v>
      </c>
      <c r="S2582" s="122">
        <v>23276</v>
      </c>
      <c r="T2582" s="122">
        <v>0</v>
      </c>
      <c r="U2582" s="122">
        <v>0</v>
      </c>
      <c r="V2582" s="122">
        <v>62434</v>
      </c>
      <c r="W2582" s="122">
        <f t="shared" si="80"/>
        <v>62435</v>
      </c>
      <c r="X2582" s="122">
        <f t="shared" si="81"/>
        <v>78718</v>
      </c>
      <c r="AI2582" s="66"/>
    </row>
    <row r="2583" spans="2:35" ht="13">
      <c r="B2583" t="s">
        <v>385</v>
      </c>
      <c r="C2583" t="s">
        <v>56</v>
      </c>
      <c r="D2583" t="s">
        <v>431</v>
      </c>
      <c r="E2583" t="s">
        <v>431</v>
      </c>
      <c r="F2583" s="122">
        <v>1</v>
      </c>
      <c r="G2583" s="122">
        <v>82</v>
      </c>
      <c r="H2583" s="122">
        <v>218</v>
      </c>
      <c r="I2583" s="122">
        <v>7939</v>
      </c>
      <c r="J2583" s="122">
        <v>7217</v>
      </c>
      <c r="K2583" s="122">
        <v>65</v>
      </c>
      <c r="L2583" s="122">
        <v>1911</v>
      </c>
      <c r="M2583" s="122">
        <v>1737</v>
      </c>
      <c r="N2583" s="122">
        <v>1500</v>
      </c>
      <c r="O2583" s="122">
        <v>556</v>
      </c>
      <c r="P2583" s="122">
        <v>351</v>
      </c>
      <c r="Q2583" s="122">
        <v>130</v>
      </c>
      <c r="R2583" s="122">
        <v>6231</v>
      </c>
      <c r="S2583" s="122">
        <v>5665</v>
      </c>
      <c r="T2583" s="122">
        <v>0</v>
      </c>
      <c r="U2583" s="122">
        <v>0</v>
      </c>
      <c r="V2583" s="122">
        <v>15305</v>
      </c>
      <c r="W2583" s="122">
        <f t="shared" si="80"/>
        <v>15305</v>
      </c>
      <c r="X2583" s="122">
        <f t="shared" si="81"/>
        <v>17932</v>
      </c>
      <c r="AI2583" s="66"/>
    </row>
    <row r="2584" spans="2:35" ht="13">
      <c r="B2584" t="s">
        <v>385</v>
      </c>
      <c r="C2584" t="s">
        <v>56</v>
      </c>
      <c r="D2584" t="s">
        <v>426</v>
      </c>
      <c r="E2584" t="s">
        <v>426</v>
      </c>
      <c r="F2584" s="122">
        <v>17</v>
      </c>
      <c r="G2584" s="122">
        <v>1819</v>
      </c>
      <c r="H2584" s="122">
        <v>3570</v>
      </c>
      <c r="I2584" s="122">
        <v>213929</v>
      </c>
      <c r="J2584" s="122">
        <v>194481</v>
      </c>
      <c r="K2584" s="122">
        <v>64</v>
      </c>
      <c r="L2584" s="122">
        <v>13572</v>
      </c>
      <c r="M2584" s="122">
        <v>11558</v>
      </c>
      <c r="N2584" s="122">
        <v>35046</v>
      </c>
      <c r="O2584" s="122">
        <v>12980</v>
      </c>
      <c r="P2584" s="122">
        <v>6696</v>
      </c>
      <c r="Q2584" s="122">
        <v>2480</v>
      </c>
      <c r="R2584" s="122">
        <v>86405</v>
      </c>
      <c r="S2584" s="122">
        <v>78550</v>
      </c>
      <c r="T2584" s="122">
        <v>27429</v>
      </c>
      <c r="U2584" s="122">
        <v>10159</v>
      </c>
      <c r="V2584" s="122">
        <v>310208</v>
      </c>
      <c r="W2584" s="122">
        <f t="shared" si="80"/>
        <v>310208</v>
      </c>
      <c r="X2584" s="122">
        <f t="shared" si="81"/>
        <v>383077</v>
      </c>
      <c r="AI2584" s="66"/>
    </row>
    <row r="2585" spans="2:35" ht="13">
      <c r="B2585" t="s">
        <v>385</v>
      </c>
      <c r="C2585" t="s">
        <v>56</v>
      </c>
      <c r="D2585" t="s">
        <v>433</v>
      </c>
      <c r="E2585" t="s">
        <v>433</v>
      </c>
      <c r="F2585" s="122">
        <v>1</v>
      </c>
      <c r="G2585" s="122">
        <v>101</v>
      </c>
      <c r="H2585" s="122">
        <v>224</v>
      </c>
      <c r="I2585" s="122">
        <v>13252</v>
      </c>
      <c r="J2585" s="122">
        <v>12048</v>
      </c>
      <c r="K2585" s="122">
        <v>65</v>
      </c>
      <c r="L2585" s="122">
        <v>0</v>
      </c>
      <c r="M2585" s="122">
        <v>0</v>
      </c>
      <c r="N2585" s="122">
        <v>2090</v>
      </c>
      <c r="O2585" s="122">
        <v>774</v>
      </c>
      <c r="P2585" s="122">
        <v>351</v>
      </c>
      <c r="Q2585" s="122">
        <v>130</v>
      </c>
      <c r="R2585" s="122">
        <v>4487</v>
      </c>
      <c r="S2585" s="122">
        <v>4079</v>
      </c>
      <c r="T2585" s="122">
        <v>2439</v>
      </c>
      <c r="U2585" s="122">
        <v>903</v>
      </c>
      <c r="V2585" s="122">
        <v>17934</v>
      </c>
      <c r="W2585" s="122">
        <f t="shared" si="80"/>
        <v>17934</v>
      </c>
      <c r="X2585" s="122">
        <f t="shared" si="81"/>
        <v>22619</v>
      </c>
      <c r="AI2585" s="66"/>
    </row>
    <row r="2586" spans="2:35" ht="13">
      <c r="B2586" t="s">
        <v>385</v>
      </c>
      <c r="C2586" t="s">
        <v>56</v>
      </c>
      <c r="D2586" t="s">
        <v>408</v>
      </c>
      <c r="E2586" t="s">
        <v>408</v>
      </c>
      <c r="F2586" s="122">
        <v>3</v>
      </c>
      <c r="G2586" s="122">
        <v>361</v>
      </c>
      <c r="H2586" s="122">
        <v>563</v>
      </c>
      <c r="I2586" s="122">
        <v>39387</v>
      </c>
      <c r="J2586" s="122">
        <v>35807</v>
      </c>
      <c r="K2586" s="122">
        <v>87</v>
      </c>
      <c r="L2586" s="122">
        <v>3890</v>
      </c>
      <c r="M2586" s="122">
        <v>3242</v>
      </c>
      <c r="N2586" s="122">
        <v>6823</v>
      </c>
      <c r="O2586" s="122">
        <v>2527</v>
      </c>
      <c r="P2586" s="122">
        <v>1053</v>
      </c>
      <c r="Q2586" s="122">
        <v>390</v>
      </c>
      <c r="R2586" s="122">
        <v>12458</v>
      </c>
      <c r="S2586" s="122">
        <v>11325</v>
      </c>
      <c r="T2586" s="122">
        <v>2168</v>
      </c>
      <c r="U2586" s="122">
        <v>803</v>
      </c>
      <c r="V2586" s="122">
        <v>54094</v>
      </c>
      <c r="W2586" s="122">
        <f t="shared" si="80"/>
        <v>54094</v>
      </c>
      <c r="X2586" s="122">
        <f t="shared" si="81"/>
        <v>65779</v>
      </c>
      <c r="AI2586" s="66"/>
    </row>
    <row r="2587" spans="2:35" ht="13">
      <c r="B2587" t="s">
        <v>385</v>
      </c>
      <c r="C2587" t="s">
        <v>56</v>
      </c>
      <c r="D2587" t="s">
        <v>429</v>
      </c>
      <c r="E2587" t="s">
        <v>429</v>
      </c>
      <c r="F2587" s="122">
        <v>6</v>
      </c>
      <c r="G2587" s="122">
        <v>548</v>
      </c>
      <c r="H2587" s="122">
        <v>1075</v>
      </c>
      <c r="I2587" s="122">
        <v>45073</v>
      </c>
      <c r="J2587" s="122">
        <v>40975</v>
      </c>
      <c r="K2587" s="122">
        <v>81</v>
      </c>
      <c r="L2587" s="122">
        <v>6767</v>
      </c>
      <c r="M2587" s="122">
        <v>6151</v>
      </c>
      <c r="N2587" s="122">
        <v>11446</v>
      </c>
      <c r="O2587" s="122">
        <v>4239</v>
      </c>
      <c r="P2587" s="122">
        <v>2457</v>
      </c>
      <c r="Q2587" s="122">
        <v>910</v>
      </c>
      <c r="R2587" s="122">
        <v>25163</v>
      </c>
      <c r="S2587" s="122">
        <v>22875</v>
      </c>
      <c r="T2587" s="122">
        <v>7958</v>
      </c>
      <c r="U2587" s="122">
        <v>2947</v>
      </c>
      <c r="V2587" s="122">
        <v>78099</v>
      </c>
      <c r="W2587" s="122">
        <f t="shared" si="80"/>
        <v>78097</v>
      </c>
      <c r="X2587" s="122">
        <f t="shared" si="81"/>
        <v>98864</v>
      </c>
      <c r="AI2587" s="66"/>
    </row>
    <row r="2588" spans="2:35" ht="13">
      <c r="B2588" t="s">
        <v>385</v>
      </c>
      <c r="C2588" t="s">
        <v>58</v>
      </c>
      <c r="F2588" s="122">
        <v>1</v>
      </c>
      <c r="G2588" s="122">
        <v>97</v>
      </c>
      <c r="H2588" s="122">
        <v>289</v>
      </c>
      <c r="I2588" s="122"/>
      <c r="J2588" s="122">
        <v>0</v>
      </c>
      <c r="K2588" s="122"/>
      <c r="L2588" s="122"/>
      <c r="M2588" s="122">
        <v>0</v>
      </c>
      <c r="N2588" s="122">
        <v>2272</v>
      </c>
      <c r="O2588" s="122">
        <v>841</v>
      </c>
      <c r="P2588" s="122">
        <v>621</v>
      </c>
      <c r="Q2588" s="122">
        <v>230</v>
      </c>
      <c r="R2588" s="122"/>
      <c r="S2588" s="122">
        <v>0</v>
      </c>
      <c r="T2588" s="122">
        <v>0</v>
      </c>
      <c r="U2588" s="122">
        <v>0</v>
      </c>
      <c r="V2588" s="122">
        <v>1071</v>
      </c>
      <c r="W2588" s="122">
        <f t="shared" si="80"/>
        <v>1071</v>
      </c>
      <c r="X2588" s="122">
        <f t="shared" si="81"/>
        <v>2893</v>
      </c>
      <c r="AI2588" s="66"/>
    </row>
    <row r="2589" spans="2:35" ht="13">
      <c r="B2589" t="s">
        <v>385</v>
      </c>
      <c r="C2589" t="s">
        <v>58</v>
      </c>
      <c r="D2589" t="s">
        <v>425</v>
      </c>
      <c r="E2589" t="s">
        <v>425</v>
      </c>
      <c r="F2589" s="122">
        <v>2</v>
      </c>
      <c r="G2589" s="122">
        <v>163</v>
      </c>
      <c r="H2589" s="122">
        <v>494</v>
      </c>
      <c r="I2589" s="122">
        <v>20796</v>
      </c>
      <c r="J2589" s="122">
        <v>18905</v>
      </c>
      <c r="K2589" s="122">
        <v>76</v>
      </c>
      <c r="L2589" s="122">
        <v>4375</v>
      </c>
      <c r="M2589" s="122">
        <v>3977</v>
      </c>
      <c r="N2589" s="122">
        <v>3092</v>
      </c>
      <c r="O2589" s="122">
        <v>1145</v>
      </c>
      <c r="P2589" s="122">
        <v>824</v>
      </c>
      <c r="Q2589" s="122">
        <v>305</v>
      </c>
      <c r="R2589" s="122">
        <v>10952</v>
      </c>
      <c r="S2589" s="122">
        <v>9957</v>
      </c>
      <c r="T2589" s="122">
        <v>0</v>
      </c>
      <c r="U2589" s="122">
        <v>0</v>
      </c>
      <c r="V2589" s="122">
        <v>34290</v>
      </c>
      <c r="W2589" s="122">
        <f t="shared" si="80"/>
        <v>34289</v>
      </c>
      <c r="X2589" s="122">
        <f t="shared" si="81"/>
        <v>40039</v>
      </c>
      <c r="AI2589" s="66"/>
    </row>
    <row r="2590" spans="2:35" ht="13">
      <c r="B2590" t="s">
        <v>385</v>
      </c>
      <c r="C2590" t="s">
        <v>58</v>
      </c>
      <c r="D2590" t="s">
        <v>405</v>
      </c>
      <c r="E2590" t="s">
        <v>405</v>
      </c>
      <c r="F2590" s="122">
        <v>22</v>
      </c>
      <c r="G2590" s="122">
        <v>2425</v>
      </c>
      <c r="H2590" s="122">
        <v>5408</v>
      </c>
      <c r="I2590" s="122">
        <v>305122</v>
      </c>
      <c r="J2590" s="122">
        <v>277383</v>
      </c>
      <c r="K2590" s="122">
        <v>76</v>
      </c>
      <c r="L2590" s="122">
        <v>83093</v>
      </c>
      <c r="M2590" s="122">
        <v>74112</v>
      </c>
      <c r="N2590" s="122">
        <v>52997</v>
      </c>
      <c r="O2590" s="122">
        <v>19628</v>
      </c>
      <c r="P2590" s="122">
        <v>10274</v>
      </c>
      <c r="Q2590" s="122">
        <v>3805</v>
      </c>
      <c r="R2590" s="122">
        <v>106357</v>
      </c>
      <c r="S2590" s="122">
        <v>96688</v>
      </c>
      <c r="T2590" s="122">
        <v>43206</v>
      </c>
      <c r="U2590" s="122">
        <v>16002</v>
      </c>
      <c r="V2590" s="122">
        <v>487618</v>
      </c>
      <c r="W2590" s="122">
        <f t="shared" si="80"/>
        <v>487618</v>
      </c>
      <c r="X2590" s="122">
        <f t="shared" si="81"/>
        <v>601049</v>
      </c>
      <c r="AI2590" s="66"/>
    </row>
    <row r="2591" spans="2:35" ht="13">
      <c r="B2591" t="s">
        <v>385</v>
      </c>
      <c r="C2591" t="s">
        <v>58</v>
      </c>
      <c r="D2591" t="s">
        <v>137</v>
      </c>
      <c r="E2591" t="s">
        <v>137</v>
      </c>
      <c r="F2591" s="122">
        <v>75</v>
      </c>
      <c r="G2591" s="122">
        <v>6514</v>
      </c>
      <c r="H2591" s="122">
        <v>19845</v>
      </c>
      <c r="I2591" s="122">
        <v>970829</v>
      </c>
      <c r="J2591" s="122">
        <v>359566</v>
      </c>
      <c r="K2591" s="122">
        <v>100</v>
      </c>
      <c r="L2591" s="122">
        <v>132193</v>
      </c>
      <c r="M2591" s="122">
        <v>92021</v>
      </c>
      <c r="N2591" s="122">
        <v>132359</v>
      </c>
      <c r="O2591" s="122">
        <v>49022</v>
      </c>
      <c r="P2591" s="122">
        <v>2215</v>
      </c>
      <c r="Q2591" s="122">
        <v>820</v>
      </c>
      <c r="R2591" s="122">
        <v>529468</v>
      </c>
      <c r="S2591" s="122">
        <v>196099</v>
      </c>
      <c r="T2591" s="122">
        <v>0</v>
      </c>
      <c r="U2591" s="122">
        <v>0</v>
      </c>
      <c r="V2591" s="122">
        <v>697529</v>
      </c>
      <c r="W2591" s="122">
        <f t="shared" si="80"/>
        <v>697528</v>
      </c>
      <c r="X2591" s="122">
        <f t="shared" si="81"/>
        <v>1767064</v>
      </c>
      <c r="AI2591" s="66"/>
    </row>
    <row r="2592" spans="2:35" ht="13">
      <c r="B2592" t="s">
        <v>385</v>
      </c>
      <c r="C2592" t="s">
        <v>58</v>
      </c>
      <c r="D2592" t="s">
        <v>137</v>
      </c>
      <c r="E2592" t="s">
        <v>426</v>
      </c>
      <c r="F2592" s="122">
        <v>1</v>
      </c>
      <c r="G2592" s="122">
        <v>78</v>
      </c>
      <c r="H2592" s="122">
        <v>280</v>
      </c>
      <c r="I2592" s="122">
        <v>12489</v>
      </c>
      <c r="J2592" s="122">
        <v>4625</v>
      </c>
      <c r="K2592" s="122">
        <v>100</v>
      </c>
      <c r="L2592" s="122">
        <v>870</v>
      </c>
      <c r="M2592" s="122">
        <v>791</v>
      </c>
      <c r="N2592" s="122">
        <v>1896</v>
      </c>
      <c r="O2592" s="122">
        <v>702</v>
      </c>
      <c r="P2592" s="122">
        <v>0</v>
      </c>
      <c r="Q2592" s="122">
        <v>0</v>
      </c>
      <c r="R2592" s="122">
        <v>4272</v>
      </c>
      <c r="S2592" s="122">
        <v>3883</v>
      </c>
      <c r="T2592" s="122">
        <v>2270</v>
      </c>
      <c r="U2592" s="122">
        <v>841</v>
      </c>
      <c r="V2592" s="122">
        <v>10842</v>
      </c>
      <c r="W2592" s="122">
        <f t="shared" si="80"/>
        <v>10842</v>
      </c>
      <c r="X2592" s="122">
        <f t="shared" si="81"/>
        <v>21797</v>
      </c>
      <c r="AI2592" s="66"/>
    </row>
    <row r="2593" spans="2:35" ht="13">
      <c r="B2593" t="s">
        <v>385</v>
      </c>
      <c r="C2593" t="s">
        <v>58</v>
      </c>
      <c r="D2593" t="s">
        <v>406</v>
      </c>
      <c r="E2593" t="s">
        <v>137</v>
      </c>
      <c r="F2593" s="122">
        <v>1</v>
      </c>
      <c r="G2593" s="122">
        <v>85</v>
      </c>
      <c r="H2593" s="122">
        <v>231</v>
      </c>
      <c r="I2593" s="122">
        <v>9513</v>
      </c>
      <c r="J2593" s="122">
        <v>8648</v>
      </c>
      <c r="K2593" s="122">
        <v>85</v>
      </c>
      <c r="L2593" s="122">
        <v>2854</v>
      </c>
      <c r="M2593" s="122">
        <v>2594</v>
      </c>
      <c r="N2593" s="122">
        <v>2077</v>
      </c>
      <c r="O2593" s="122">
        <v>769</v>
      </c>
      <c r="P2593" s="122">
        <v>621</v>
      </c>
      <c r="Q2593" s="122">
        <v>230</v>
      </c>
      <c r="R2593" s="122">
        <v>4611</v>
      </c>
      <c r="S2593" s="122">
        <v>1708</v>
      </c>
      <c r="T2593" s="122">
        <v>0</v>
      </c>
      <c r="U2593" s="122">
        <v>0</v>
      </c>
      <c r="V2593" s="122">
        <v>13950</v>
      </c>
      <c r="W2593" s="122">
        <f t="shared" si="80"/>
        <v>13949</v>
      </c>
      <c r="X2593" s="122">
        <f t="shared" si="81"/>
        <v>19676</v>
      </c>
      <c r="AI2593" s="66"/>
    </row>
    <row r="2594" spans="2:35" ht="13">
      <c r="B2594" t="s">
        <v>385</v>
      </c>
      <c r="C2594" t="s">
        <v>58</v>
      </c>
      <c r="D2594" t="s">
        <v>406</v>
      </c>
      <c r="E2594" t="s">
        <v>406</v>
      </c>
      <c r="F2594" s="122">
        <v>1026</v>
      </c>
      <c r="G2594" s="122">
        <v>101365</v>
      </c>
      <c r="H2594" s="122">
        <v>264308</v>
      </c>
      <c r="I2594" s="122">
        <v>13602554</v>
      </c>
      <c r="J2594" s="122">
        <v>12365958</v>
      </c>
      <c r="K2594" s="122">
        <v>81</v>
      </c>
      <c r="L2594" s="122">
        <v>3300545</v>
      </c>
      <c r="M2594" s="122">
        <v>2838025</v>
      </c>
      <c r="N2594" s="122">
        <v>2006906</v>
      </c>
      <c r="O2594" s="122">
        <v>743299</v>
      </c>
      <c r="P2594" s="122">
        <v>654155</v>
      </c>
      <c r="Q2594" s="122">
        <v>242279</v>
      </c>
      <c r="R2594" s="122">
        <v>4896169</v>
      </c>
      <c r="S2594" s="122">
        <v>4451063</v>
      </c>
      <c r="T2594" s="122">
        <v>1727026</v>
      </c>
      <c r="U2594" s="122">
        <v>639639</v>
      </c>
      <c r="V2594" s="122">
        <v>21280263</v>
      </c>
      <c r="W2594" s="122">
        <f t="shared" ref="W2594:W2657" si="82">SUM(ABS(J2594),ABS(M2594),ABS(O2594),ABS(Q2594),ABS(S2594),ABS(U2594))</f>
        <v>21280263</v>
      </c>
      <c r="X2594" s="122">
        <f t="shared" ref="X2594:X2657" si="83">SUM(ABS(I2594),ABS(N2594),ABS(P2594),ABS(R2594),ABS(T2594),ABS(L2594))</f>
        <v>26187355</v>
      </c>
      <c r="AI2594" s="66"/>
    </row>
    <row r="2595" spans="2:35" ht="13">
      <c r="B2595" t="s">
        <v>385</v>
      </c>
      <c r="C2595" t="s">
        <v>58</v>
      </c>
      <c r="D2595" t="s">
        <v>406</v>
      </c>
      <c r="E2595" t="s">
        <v>427</v>
      </c>
      <c r="F2595" s="122">
        <v>2</v>
      </c>
      <c r="G2595" s="122">
        <v>181</v>
      </c>
      <c r="H2595" s="122">
        <v>566</v>
      </c>
      <c r="I2595" s="122">
        <v>25449</v>
      </c>
      <c r="J2595" s="122">
        <v>23136</v>
      </c>
      <c r="K2595" s="122">
        <v>70</v>
      </c>
      <c r="L2595" s="122">
        <v>6395</v>
      </c>
      <c r="M2595" s="122">
        <v>5813</v>
      </c>
      <c r="N2595" s="122">
        <v>3430</v>
      </c>
      <c r="O2595" s="122">
        <v>1270</v>
      </c>
      <c r="P2595" s="122">
        <v>1242</v>
      </c>
      <c r="Q2595" s="122">
        <v>460</v>
      </c>
      <c r="R2595" s="122">
        <v>9437</v>
      </c>
      <c r="S2595" s="122">
        <v>8579</v>
      </c>
      <c r="T2595" s="122">
        <v>5588</v>
      </c>
      <c r="U2595" s="122">
        <v>2070</v>
      </c>
      <c r="V2595" s="122">
        <v>41328</v>
      </c>
      <c r="W2595" s="122">
        <f t="shared" si="82"/>
        <v>41328</v>
      </c>
      <c r="X2595" s="122">
        <f t="shared" si="83"/>
        <v>51541</v>
      </c>
      <c r="AI2595" s="66"/>
    </row>
    <row r="2596" spans="2:35" ht="13">
      <c r="B2596" t="s">
        <v>385</v>
      </c>
      <c r="C2596" t="s">
        <v>58</v>
      </c>
      <c r="D2596" t="s">
        <v>406</v>
      </c>
      <c r="E2596" t="s">
        <v>556</v>
      </c>
      <c r="F2596" s="122">
        <v>1</v>
      </c>
      <c r="G2596" s="122">
        <v>97</v>
      </c>
      <c r="H2596" s="122">
        <v>248</v>
      </c>
      <c r="I2596" s="122">
        <v>12694</v>
      </c>
      <c r="J2596" s="122">
        <v>11540</v>
      </c>
      <c r="K2596" s="122">
        <v>65</v>
      </c>
      <c r="L2596" s="122">
        <v>1463</v>
      </c>
      <c r="M2596" s="122">
        <v>1219</v>
      </c>
      <c r="N2596" s="122">
        <v>1601</v>
      </c>
      <c r="O2596" s="122">
        <v>593</v>
      </c>
      <c r="P2596" s="122">
        <v>972</v>
      </c>
      <c r="Q2596" s="122">
        <v>360</v>
      </c>
      <c r="R2596" s="122">
        <v>4819</v>
      </c>
      <c r="S2596" s="122">
        <v>4016</v>
      </c>
      <c r="T2596" s="122">
        <v>2384</v>
      </c>
      <c r="U2596" s="122">
        <v>883</v>
      </c>
      <c r="V2596" s="122">
        <v>18610</v>
      </c>
      <c r="W2596" s="122">
        <f t="shared" si="82"/>
        <v>18611</v>
      </c>
      <c r="X2596" s="122">
        <f t="shared" si="83"/>
        <v>23933</v>
      </c>
      <c r="AI2596" s="66"/>
    </row>
    <row r="2597" spans="2:35" ht="13">
      <c r="B2597" t="s">
        <v>385</v>
      </c>
      <c r="C2597" t="s">
        <v>58</v>
      </c>
      <c r="D2597" t="s">
        <v>406</v>
      </c>
      <c r="E2597" t="s">
        <v>428</v>
      </c>
      <c r="F2597" s="122">
        <v>1</v>
      </c>
      <c r="G2597" s="122">
        <v>87</v>
      </c>
      <c r="H2597" s="122">
        <v>248</v>
      </c>
      <c r="I2597" s="122">
        <v>9834</v>
      </c>
      <c r="J2597" s="122">
        <v>8940</v>
      </c>
      <c r="K2597" s="122">
        <v>85</v>
      </c>
      <c r="L2597" s="122">
        <v>2939</v>
      </c>
      <c r="M2597" s="122">
        <v>2672</v>
      </c>
      <c r="N2597" s="122">
        <v>1542</v>
      </c>
      <c r="O2597" s="122">
        <v>571</v>
      </c>
      <c r="P2597" s="122">
        <v>621</v>
      </c>
      <c r="Q2597" s="122">
        <v>230</v>
      </c>
      <c r="R2597" s="122">
        <v>3880</v>
      </c>
      <c r="S2597" s="122">
        <v>3527</v>
      </c>
      <c r="T2597" s="122">
        <v>2700</v>
      </c>
      <c r="U2597" s="122">
        <v>1000</v>
      </c>
      <c r="V2597" s="122">
        <v>16940</v>
      </c>
      <c r="W2597" s="122">
        <f t="shared" si="82"/>
        <v>16940</v>
      </c>
      <c r="X2597" s="122">
        <f t="shared" si="83"/>
        <v>21516</v>
      </c>
      <c r="AI2597" s="66"/>
    </row>
    <row r="2598" spans="2:35" ht="13">
      <c r="B2598" t="s">
        <v>385</v>
      </c>
      <c r="C2598" t="s">
        <v>58</v>
      </c>
      <c r="D2598" t="s">
        <v>427</v>
      </c>
      <c r="E2598" t="s">
        <v>427</v>
      </c>
      <c r="F2598" s="122">
        <v>8</v>
      </c>
      <c r="G2598" s="122">
        <v>813</v>
      </c>
      <c r="H2598" s="122">
        <v>2150</v>
      </c>
      <c r="I2598" s="122">
        <v>121642</v>
      </c>
      <c r="J2598" s="122">
        <v>110584</v>
      </c>
      <c r="K2598" s="122">
        <v>55</v>
      </c>
      <c r="L2598" s="122">
        <v>22832</v>
      </c>
      <c r="M2598" s="122">
        <v>20757</v>
      </c>
      <c r="N2598" s="122">
        <v>13873</v>
      </c>
      <c r="O2598" s="122">
        <v>5138</v>
      </c>
      <c r="P2598" s="122">
        <v>2808</v>
      </c>
      <c r="Q2598" s="122">
        <v>1040</v>
      </c>
      <c r="R2598" s="122">
        <v>36606</v>
      </c>
      <c r="S2598" s="122">
        <v>33278</v>
      </c>
      <c r="T2598" s="122">
        <v>19966</v>
      </c>
      <c r="U2598" s="122">
        <v>7395</v>
      </c>
      <c r="V2598" s="122">
        <v>178191</v>
      </c>
      <c r="W2598" s="122">
        <f t="shared" si="82"/>
        <v>178192</v>
      </c>
      <c r="X2598" s="122">
        <f t="shared" si="83"/>
        <v>217727</v>
      </c>
      <c r="AI2598" s="66"/>
    </row>
    <row r="2599" spans="2:35" ht="13">
      <c r="B2599" t="s">
        <v>385</v>
      </c>
      <c r="C2599" t="s">
        <v>58</v>
      </c>
      <c r="D2599" t="s">
        <v>407</v>
      </c>
      <c r="E2599" t="s">
        <v>137</v>
      </c>
      <c r="F2599" s="122">
        <v>1</v>
      </c>
      <c r="G2599" s="122">
        <v>85</v>
      </c>
      <c r="H2599" s="122">
        <v>234</v>
      </c>
      <c r="I2599" s="122">
        <v>5199</v>
      </c>
      <c r="J2599" s="122">
        <v>4726</v>
      </c>
      <c r="K2599" s="122">
        <v>80</v>
      </c>
      <c r="L2599" s="122">
        <v>1533</v>
      </c>
      <c r="M2599" s="122">
        <v>1393</v>
      </c>
      <c r="N2599" s="122">
        <v>1726</v>
      </c>
      <c r="O2599" s="122">
        <v>639</v>
      </c>
      <c r="P2599" s="122">
        <v>351</v>
      </c>
      <c r="Q2599" s="122">
        <v>130</v>
      </c>
      <c r="R2599" s="122">
        <v>11070</v>
      </c>
      <c r="S2599" s="122">
        <v>4100</v>
      </c>
      <c r="T2599" s="122">
        <v>0</v>
      </c>
      <c r="U2599" s="122">
        <v>0</v>
      </c>
      <c r="V2599" s="122">
        <v>10989</v>
      </c>
      <c r="W2599" s="122">
        <f t="shared" si="82"/>
        <v>10988</v>
      </c>
      <c r="X2599" s="122">
        <f t="shared" si="83"/>
        <v>19879</v>
      </c>
      <c r="AI2599" s="66"/>
    </row>
    <row r="2600" spans="2:35" ht="13">
      <c r="B2600" t="s">
        <v>385</v>
      </c>
      <c r="C2600" t="s">
        <v>58</v>
      </c>
      <c r="D2600" t="s">
        <v>407</v>
      </c>
      <c r="E2600" t="s">
        <v>407</v>
      </c>
      <c r="F2600" s="122">
        <v>134</v>
      </c>
      <c r="G2600" s="122">
        <v>13721</v>
      </c>
      <c r="H2600" s="122">
        <v>32394</v>
      </c>
      <c r="I2600" s="122">
        <v>1665280</v>
      </c>
      <c r="J2600" s="122">
        <v>1513891</v>
      </c>
      <c r="K2600" s="122">
        <v>77</v>
      </c>
      <c r="L2600" s="122">
        <v>492253</v>
      </c>
      <c r="M2600" s="122">
        <v>423840</v>
      </c>
      <c r="N2600" s="122">
        <v>286984</v>
      </c>
      <c r="O2600" s="122">
        <v>106290</v>
      </c>
      <c r="P2600" s="122">
        <v>62613</v>
      </c>
      <c r="Q2600" s="122">
        <v>23190</v>
      </c>
      <c r="R2600" s="122">
        <v>653104</v>
      </c>
      <c r="S2600" s="122">
        <v>593731</v>
      </c>
      <c r="T2600" s="122">
        <v>161987</v>
      </c>
      <c r="U2600" s="122">
        <v>59995</v>
      </c>
      <c r="V2600" s="122">
        <v>2720938</v>
      </c>
      <c r="W2600" s="122">
        <f t="shared" si="82"/>
        <v>2720937</v>
      </c>
      <c r="X2600" s="122">
        <f t="shared" si="83"/>
        <v>3322221</v>
      </c>
      <c r="AI2600" s="66"/>
    </row>
    <row r="2601" spans="2:35" ht="13">
      <c r="B2601" t="s">
        <v>385</v>
      </c>
      <c r="C2601" t="s">
        <v>58</v>
      </c>
      <c r="D2601" t="s">
        <v>556</v>
      </c>
      <c r="E2601" t="s">
        <v>556</v>
      </c>
      <c r="F2601" s="122">
        <v>53</v>
      </c>
      <c r="G2601" s="122">
        <v>4504</v>
      </c>
      <c r="H2601" s="122">
        <v>14502</v>
      </c>
      <c r="I2601" s="122">
        <v>665396</v>
      </c>
      <c r="J2601" s="122">
        <v>554497</v>
      </c>
      <c r="K2601" s="122">
        <v>62</v>
      </c>
      <c r="L2601" s="122">
        <v>75972</v>
      </c>
      <c r="M2601" s="122">
        <v>62446</v>
      </c>
      <c r="N2601" s="122">
        <v>79028</v>
      </c>
      <c r="O2601" s="122">
        <v>29270</v>
      </c>
      <c r="P2601" s="122">
        <v>20034</v>
      </c>
      <c r="Q2601" s="122">
        <v>7420</v>
      </c>
      <c r="R2601" s="122">
        <v>288411</v>
      </c>
      <c r="S2601" s="122">
        <v>240342</v>
      </c>
      <c r="T2601" s="122">
        <v>100346</v>
      </c>
      <c r="U2601" s="122">
        <v>37165</v>
      </c>
      <c r="V2601" s="122">
        <v>931140</v>
      </c>
      <c r="W2601" s="122">
        <f t="shared" si="82"/>
        <v>931140</v>
      </c>
      <c r="X2601" s="122">
        <f t="shared" si="83"/>
        <v>1229187</v>
      </c>
      <c r="AI2601" s="66"/>
    </row>
    <row r="2602" spans="2:35" ht="13">
      <c r="B2602" t="s">
        <v>385</v>
      </c>
      <c r="C2602" t="s">
        <v>58</v>
      </c>
      <c r="D2602" t="s">
        <v>428</v>
      </c>
      <c r="E2602" t="s">
        <v>428</v>
      </c>
      <c r="F2602" s="122">
        <v>9</v>
      </c>
      <c r="G2602" s="122">
        <v>649</v>
      </c>
      <c r="H2602" s="122">
        <v>2486</v>
      </c>
      <c r="I2602" s="122">
        <v>93963</v>
      </c>
      <c r="J2602" s="122">
        <v>85421</v>
      </c>
      <c r="K2602" s="122">
        <v>63</v>
      </c>
      <c r="L2602" s="122">
        <v>16031</v>
      </c>
      <c r="M2602" s="122">
        <v>13426</v>
      </c>
      <c r="N2602" s="122">
        <v>8583</v>
      </c>
      <c r="O2602" s="122">
        <v>3179</v>
      </c>
      <c r="P2602" s="122">
        <v>3159</v>
      </c>
      <c r="Q2602" s="122">
        <v>1170</v>
      </c>
      <c r="R2602" s="122">
        <v>47937</v>
      </c>
      <c r="S2602" s="122">
        <v>43579</v>
      </c>
      <c r="T2602" s="122">
        <v>9033</v>
      </c>
      <c r="U2602" s="122">
        <v>3346</v>
      </c>
      <c r="V2602" s="122">
        <v>150121</v>
      </c>
      <c r="W2602" s="122">
        <f t="shared" si="82"/>
        <v>150121</v>
      </c>
      <c r="X2602" s="122">
        <f t="shared" si="83"/>
        <v>178706</v>
      </c>
      <c r="AI2602" s="66"/>
    </row>
    <row r="2603" spans="2:35" ht="13">
      <c r="B2603" t="s">
        <v>385</v>
      </c>
      <c r="C2603" t="s">
        <v>58</v>
      </c>
      <c r="D2603" t="s">
        <v>431</v>
      </c>
      <c r="E2603" t="s">
        <v>431</v>
      </c>
      <c r="F2603" s="122">
        <v>34</v>
      </c>
      <c r="G2603" s="122">
        <v>2578</v>
      </c>
      <c r="H2603" s="122">
        <v>9298</v>
      </c>
      <c r="I2603" s="122">
        <v>350485</v>
      </c>
      <c r="J2603" s="122">
        <v>318622</v>
      </c>
      <c r="K2603" s="122">
        <v>59</v>
      </c>
      <c r="L2603" s="122">
        <v>75682</v>
      </c>
      <c r="M2603" s="122">
        <v>68802</v>
      </c>
      <c r="N2603" s="122">
        <v>34026</v>
      </c>
      <c r="O2603" s="122">
        <v>12602</v>
      </c>
      <c r="P2603" s="122">
        <v>12204</v>
      </c>
      <c r="Q2603" s="122">
        <v>4520</v>
      </c>
      <c r="R2603" s="122">
        <v>224375</v>
      </c>
      <c r="S2603" s="122">
        <v>203977</v>
      </c>
      <c r="T2603" s="122">
        <v>8191</v>
      </c>
      <c r="U2603" s="122">
        <v>3034</v>
      </c>
      <c r="V2603" s="122">
        <v>611557</v>
      </c>
      <c r="W2603" s="122">
        <f t="shared" si="82"/>
        <v>611557</v>
      </c>
      <c r="X2603" s="122">
        <f t="shared" si="83"/>
        <v>704963</v>
      </c>
      <c r="AI2603" s="66"/>
    </row>
    <row r="2604" spans="2:35" ht="13">
      <c r="B2604" t="s">
        <v>385</v>
      </c>
      <c r="C2604" t="s">
        <v>58</v>
      </c>
      <c r="D2604" t="s">
        <v>426</v>
      </c>
      <c r="E2604" t="s">
        <v>426</v>
      </c>
      <c r="F2604" s="122">
        <v>261</v>
      </c>
      <c r="G2604" s="122">
        <v>21814</v>
      </c>
      <c r="H2604" s="122">
        <v>67617</v>
      </c>
      <c r="I2604" s="122">
        <v>2847699</v>
      </c>
      <c r="J2604" s="122">
        <v>2588817</v>
      </c>
      <c r="K2604" s="122">
        <v>63</v>
      </c>
      <c r="L2604" s="122">
        <v>510502</v>
      </c>
      <c r="M2604" s="122">
        <v>503634</v>
      </c>
      <c r="N2604" s="122">
        <v>489065</v>
      </c>
      <c r="O2604" s="122">
        <v>181135</v>
      </c>
      <c r="P2604" s="122">
        <v>97214</v>
      </c>
      <c r="Q2604" s="122">
        <v>36005</v>
      </c>
      <c r="R2604" s="122">
        <v>1156396</v>
      </c>
      <c r="S2604" s="122">
        <v>1051269</v>
      </c>
      <c r="T2604" s="122">
        <v>560687</v>
      </c>
      <c r="U2604" s="122">
        <v>207662</v>
      </c>
      <c r="V2604" s="122">
        <v>4568523</v>
      </c>
      <c r="W2604" s="122">
        <f t="shared" si="82"/>
        <v>4568522</v>
      </c>
      <c r="X2604" s="122">
        <f t="shared" si="83"/>
        <v>5661563</v>
      </c>
      <c r="AI2604" s="66"/>
    </row>
    <row r="2605" spans="2:35" ht="13">
      <c r="B2605" t="s">
        <v>385</v>
      </c>
      <c r="C2605" t="s">
        <v>58</v>
      </c>
      <c r="D2605" t="s">
        <v>433</v>
      </c>
      <c r="E2605" t="s">
        <v>433</v>
      </c>
      <c r="F2605" s="122">
        <v>2</v>
      </c>
      <c r="G2605" s="122">
        <v>124</v>
      </c>
      <c r="H2605" s="122">
        <v>513</v>
      </c>
      <c r="I2605" s="122">
        <v>16516</v>
      </c>
      <c r="J2605" s="122">
        <v>15015</v>
      </c>
      <c r="K2605" s="122">
        <v>65</v>
      </c>
      <c r="L2605" s="122">
        <v>914</v>
      </c>
      <c r="M2605" s="122">
        <v>831</v>
      </c>
      <c r="N2605" s="122">
        <v>1910</v>
      </c>
      <c r="O2605" s="122">
        <v>707</v>
      </c>
      <c r="P2605" s="122">
        <v>702</v>
      </c>
      <c r="Q2605" s="122">
        <v>260</v>
      </c>
      <c r="R2605" s="122">
        <v>9734</v>
      </c>
      <c r="S2605" s="122">
        <v>8849</v>
      </c>
      <c r="T2605" s="122">
        <v>2016</v>
      </c>
      <c r="U2605" s="122">
        <v>747</v>
      </c>
      <c r="V2605" s="122">
        <v>26409</v>
      </c>
      <c r="W2605" s="122">
        <f t="shared" si="82"/>
        <v>26409</v>
      </c>
      <c r="X2605" s="122">
        <f t="shared" si="83"/>
        <v>31792</v>
      </c>
      <c r="AI2605" s="66"/>
    </row>
    <row r="2606" spans="2:35" ht="13">
      <c r="B2606" t="s">
        <v>385</v>
      </c>
      <c r="C2606" t="s">
        <v>58</v>
      </c>
      <c r="D2606" t="s">
        <v>408</v>
      </c>
      <c r="E2606" t="s">
        <v>408</v>
      </c>
      <c r="F2606" s="122">
        <v>3</v>
      </c>
      <c r="G2606" s="122">
        <v>314</v>
      </c>
      <c r="H2606" s="122">
        <v>782</v>
      </c>
      <c r="I2606" s="122">
        <v>46630</v>
      </c>
      <c r="J2606" s="122">
        <v>42391</v>
      </c>
      <c r="K2606" s="122">
        <v>65</v>
      </c>
      <c r="L2606" s="122">
        <v>11522</v>
      </c>
      <c r="M2606" s="122">
        <v>10205</v>
      </c>
      <c r="N2606" s="122">
        <v>5119</v>
      </c>
      <c r="O2606" s="122">
        <v>1896</v>
      </c>
      <c r="P2606" s="122">
        <v>1053</v>
      </c>
      <c r="Q2606" s="122">
        <v>390</v>
      </c>
      <c r="R2606" s="122">
        <v>13942</v>
      </c>
      <c r="S2606" s="122">
        <v>12675</v>
      </c>
      <c r="T2606" s="122">
        <v>2555</v>
      </c>
      <c r="U2606" s="122">
        <v>946</v>
      </c>
      <c r="V2606" s="122">
        <v>68503</v>
      </c>
      <c r="W2606" s="122">
        <f t="shared" si="82"/>
        <v>68503</v>
      </c>
      <c r="X2606" s="122">
        <f t="shared" si="83"/>
        <v>80821</v>
      </c>
      <c r="AI2606" s="66"/>
    </row>
    <row r="2607" spans="2:35" ht="13">
      <c r="B2607" t="s">
        <v>385</v>
      </c>
      <c r="C2607" t="s">
        <v>60</v>
      </c>
      <c r="D2607" t="s">
        <v>405</v>
      </c>
      <c r="E2607" t="s">
        <v>405</v>
      </c>
      <c r="F2607" s="122">
        <v>1</v>
      </c>
      <c r="G2607" s="122">
        <v>86</v>
      </c>
      <c r="H2607" s="122">
        <v>332</v>
      </c>
      <c r="I2607" s="122">
        <v>15166</v>
      </c>
      <c r="J2607" s="122">
        <v>13787</v>
      </c>
      <c r="K2607" s="122">
        <v>68</v>
      </c>
      <c r="L2607" s="122">
        <v>3628</v>
      </c>
      <c r="M2607" s="122">
        <v>3299</v>
      </c>
      <c r="N2607" s="122">
        <v>2093</v>
      </c>
      <c r="O2607" s="122">
        <v>775</v>
      </c>
      <c r="P2607" s="122">
        <v>473</v>
      </c>
      <c r="Q2607" s="122">
        <v>175</v>
      </c>
      <c r="R2607" s="122">
        <v>4608</v>
      </c>
      <c r="S2607" s="122">
        <v>4189</v>
      </c>
      <c r="T2607" s="122">
        <v>2512</v>
      </c>
      <c r="U2607" s="122">
        <v>930</v>
      </c>
      <c r="V2607" s="122">
        <v>23155</v>
      </c>
      <c r="W2607" s="122">
        <f t="shared" si="82"/>
        <v>23155</v>
      </c>
      <c r="X2607" s="122">
        <f t="shared" si="83"/>
        <v>28480</v>
      </c>
      <c r="AI2607" s="66"/>
    </row>
    <row r="2608" spans="2:35" ht="13">
      <c r="B2608" t="s">
        <v>385</v>
      </c>
      <c r="C2608" t="s">
        <v>60</v>
      </c>
      <c r="D2608" t="s">
        <v>137</v>
      </c>
      <c r="E2608" t="s">
        <v>137</v>
      </c>
      <c r="F2608" s="122">
        <v>42</v>
      </c>
      <c r="G2608" s="122">
        <v>3141</v>
      </c>
      <c r="H2608" s="122">
        <v>14348</v>
      </c>
      <c r="I2608" s="122">
        <v>617393</v>
      </c>
      <c r="J2608" s="122">
        <v>228664</v>
      </c>
      <c r="K2608" s="122">
        <v>104</v>
      </c>
      <c r="L2608" s="122">
        <v>100310</v>
      </c>
      <c r="M2608" s="122">
        <v>67764</v>
      </c>
      <c r="N2608" s="122">
        <v>64423</v>
      </c>
      <c r="O2608" s="122">
        <v>23860</v>
      </c>
      <c r="P2608" s="122">
        <v>1755</v>
      </c>
      <c r="Q2608" s="122">
        <v>650</v>
      </c>
      <c r="R2608" s="122">
        <v>284621</v>
      </c>
      <c r="S2608" s="122">
        <v>105415</v>
      </c>
      <c r="T2608" s="122">
        <v>0</v>
      </c>
      <c r="U2608" s="122">
        <v>0</v>
      </c>
      <c r="V2608" s="122">
        <v>426353</v>
      </c>
      <c r="W2608" s="122">
        <f t="shared" si="82"/>
        <v>426353</v>
      </c>
      <c r="X2608" s="122">
        <f t="shared" si="83"/>
        <v>1068502</v>
      </c>
      <c r="AI2608" s="66"/>
    </row>
    <row r="2609" spans="2:35" ht="13">
      <c r="B2609" t="s">
        <v>385</v>
      </c>
      <c r="C2609" t="s">
        <v>60</v>
      </c>
      <c r="D2609" t="s">
        <v>137</v>
      </c>
      <c r="E2609" t="s">
        <v>556</v>
      </c>
      <c r="F2609" s="122">
        <v>1</v>
      </c>
      <c r="G2609" s="122">
        <v>80</v>
      </c>
      <c r="H2609" s="122">
        <v>329</v>
      </c>
      <c r="I2609" s="122">
        <v>12952</v>
      </c>
      <c r="J2609" s="122">
        <v>4797</v>
      </c>
      <c r="K2609" s="122">
        <v>100</v>
      </c>
      <c r="L2609" s="122">
        <v>2132</v>
      </c>
      <c r="M2609" s="122">
        <v>1777</v>
      </c>
      <c r="N2609" s="122">
        <v>1817</v>
      </c>
      <c r="O2609" s="122">
        <v>673</v>
      </c>
      <c r="P2609" s="122">
        <v>0</v>
      </c>
      <c r="Q2609" s="122">
        <v>0</v>
      </c>
      <c r="R2609" s="122">
        <v>7064</v>
      </c>
      <c r="S2609" s="122">
        <v>5887</v>
      </c>
      <c r="T2609" s="122">
        <v>2436</v>
      </c>
      <c r="U2609" s="122">
        <v>902</v>
      </c>
      <c r="V2609" s="122">
        <v>14036</v>
      </c>
      <c r="W2609" s="122">
        <f t="shared" si="82"/>
        <v>14036</v>
      </c>
      <c r="X2609" s="122">
        <f t="shared" si="83"/>
        <v>26401</v>
      </c>
      <c r="AI2609" s="66"/>
    </row>
    <row r="2610" spans="2:35" ht="13">
      <c r="B2610" t="s">
        <v>385</v>
      </c>
      <c r="C2610" t="s">
        <v>60</v>
      </c>
      <c r="D2610" t="s">
        <v>137</v>
      </c>
      <c r="E2610" t="s">
        <v>426</v>
      </c>
      <c r="F2610" s="122">
        <v>4</v>
      </c>
      <c r="G2610" s="122">
        <v>335</v>
      </c>
      <c r="H2610" s="122">
        <v>1360</v>
      </c>
      <c r="I2610" s="122">
        <v>63729</v>
      </c>
      <c r="J2610" s="122">
        <v>23603</v>
      </c>
      <c r="K2610" s="122">
        <v>100</v>
      </c>
      <c r="L2610" s="122">
        <v>12017</v>
      </c>
      <c r="M2610" s="122">
        <v>10925</v>
      </c>
      <c r="N2610" s="122">
        <v>6211</v>
      </c>
      <c r="O2610" s="122">
        <v>2300</v>
      </c>
      <c r="P2610" s="122">
        <v>351</v>
      </c>
      <c r="Q2610" s="122">
        <v>130</v>
      </c>
      <c r="R2610" s="122">
        <v>25385</v>
      </c>
      <c r="S2610" s="122">
        <v>23077</v>
      </c>
      <c r="T2610" s="122">
        <v>6644</v>
      </c>
      <c r="U2610" s="122">
        <v>2461</v>
      </c>
      <c r="V2610" s="122">
        <v>62496</v>
      </c>
      <c r="W2610" s="122">
        <f t="shared" si="82"/>
        <v>62496</v>
      </c>
      <c r="X2610" s="122">
        <f t="shared" si="83"/>
        <v>114337</v>
      </c>
      <c r="AI2610" s="66"/>
    </row>
    <row r="2611" spans="2:35" ht="13">
      <c r="B2611" t="s">
        <v>385</v>
      </c>
      <c r="C2611" t="s">
        <v>60</v>
      </c>
      <c r="D2611" t="s">
        <v>406</v>
      </c>
      <c r="E2611" t="s">
        <v>137</v>
      </c>
      <c r="F2611" s="122">
        <v>1</v>
      </c>
      <c r="G2611" s="122">
        <v>57</v>
      </c>
      <c r="H2611" s="122">
        <v>340</v>
      </c>
      <c r="I2611" s="122">
        <v>11834</v>
      </c>
      <c r="J2611" s="122">
        <v>10758</v>
      </c>
      <c r="K2611" s="122">
        <v>95</v>
      </c>
      <c r="L2611" s="122">
        <v>2082</v>
      </c>
      <c r="M2611" s="122">
        <v>1893</v>
      </c>
      <c r="N2611" s="122">
        <v>698</v>
      </c>
      <c r="O2611" s="122">
        <v>259</v>
      </c>
      <c r="P2611" s="122">
        <v>621</v>
      </c>
      <c r="Q2611" s="122">
        <v>230</v>
      </c>
      <c r="R2611" s="122">
        <v>4261</v>
      </c>
      <c r="S2611" s="122">
        <v>1578</v>
      </c>
      <c r="T2611" s="122">
        <v>0</v>
      </c>
      <c r="U2611" s="122">
        <v>0</v>
      </c>
      <c r="V2611" s="122">
        <v>14717</v>
      </c>
      <c r="W2611" s="122">
        <f t="shared" si="82"/>
        <v>14718</v>
      </c>
      <c r="X2611" s="122">
        <f t="shared" si="83"/>
        <v>19496</v>
      </c>
      <c r="AI2611" s="66"/>
    </row>
    <row r="2612" spans="2:35" ht="13">
      <c r="B2612" t="s">
        <v>385</v>
      </c>
      <c r="C2612" t="s">
        <v>60</v>
      </c>
      <c r="D2612" t="s">
        <v>406</v>
      </c>
      <c r="E2612" t="s">
        <v>406</v>
      </c>
      <c r="F2612" s="122">
        <v>368</v>
      </c>
      <c r="G2612" s="122">
        <v>37355</v>
      </c>
      <c r="H2612" s="122">
        <v>125449</v>
      </c>
      <c r="I2612" s="122">
        <v>7623422</v>
      </c>
      <c r="J2612" s="122">
        <v>6930383</v>
      </c>
      <c r="K2612" s="122">
        <v>77</v>
      </c>
      <c r="L2612" s="122">
        <v>1648457</v>
      </c>
      <c r="M2612" s="122">
        <v>1399448</v>
      </c>
      <c r="N2612" s="122">
        <v>757514</v>
      </c>
      <c r="O2612" s="122">
        <v>280561</v>
      </c>
      <c r="P2612" s="122">
        <v>235589</v>
      </c>
      <c r="Q2612" s="122">
        <v>87255</v>
      </c>
      <c r="R2612" s="122">
        <v>1787560</v>
      </c>
      <c r="S2612" s="122">
        <v>1625054</v>
      </c>
      <c r="T2612" s="122">
        <v>744155</v>
      </c>
      <c r="U2612" s="122">
        <v>275613</v>
      </c>
      <c r="V2612" s="122">
        <v>10598314</v>
      </c>
      <c r="W2612" s="122">
        <f t="shared" si="82"/>
        <v>10598314</v>
      </c>
      <c r="X2612" s="122">
        <f t="shared" si="83"/>
        <v>12796697</v>
      </c>
      <c r="AI2612" s="66"/>
    </row>
    <row r="2613" spans="2:35" ht="13">
      <c r="B2613" t="s">
        <v>385</v>
      </c>
      <c r="C2613" t="s">
        <v>60</v>
      </c>
      <c r="D2613" t="s">
        <v>427</v>
      </c>
      <c r="E2613" t="s">
        <v>427</v>
      </c>
      <c r="F2613" s="122">
        <v>8</v>
      </c>
      <c r="G2613" s="122">
        <v>743</v>
      </c>
      <c r="H2613" s="122">
        <v>2615</v>
      </c>
      <c r="I2613" s="122">
        <v>148599</v>
      </c>
      <c r="J2613" s="122">
        <v>135090</v>
      </c>
      <c r="K2613" s="122">
        <v>49</v>
      </c>
      <c r="L2613" s="122">
        <v>18346</v>
      </c>
      <c r="M2613" s="122">
        <v>18899</v>
      </c>
      <c r="N2613" s="122">
        <v>13474</v>
      </c>
      <c r="O2613" s="122">
        <v>4990</v>
      </c>
      <c r="P2613" s="122">
        <v>3078</v>
      </c>
      <c r="Q2613" s="122">
        <v>1140</v>
      </c>
      <c r="R2613" s="122">
        <v>45368</v>
      </c>
      <c r="S2613" s="122">
        <v>41243</v>
      </c>
      <c r="T2613" s="122">
        <v>13029</v>
      </c>
      <c r="U2613" s="122">
        <v>4825</v>
      </c>
      <c r="V2613" s="122">
        <v>206188</v>
      </c>
      <c r="W2613" s="122">
        <f t="shared" si="82"/>
        <v>206187</v>
      </c>
      <c r="X2613" s="122">
        <f t="shared" si="83"/>
        <v>241894</v>
      </c>
      <c r="AI2613" s="66"/>
    </row>
    <row r="2614" spans="2:35" ht="13">
      <c r="B2614" t="s">
        <v>385</v>
      </c>
      <c r="C2614" t="s">
        <v>60</v>
      </c>
      <c r="D2614" t="s">
        <v>407</v>
      </c>
      <c r="E2614" t="s">
        <v>407</v>
      </c>
      <c r="F2614" s="122">
        <v>3</v>
      </c>
      <c r="G2614" s="122">
        <v>231</v>
      </c>
      <c r="H2614" s="122">
        <v>1032</v>
      </c>
      <c r="I2614" s="122">
        <v>49502</v>
      </c>
      <c r="J2614" s="122">
        <v>45002</v>
      </c>
      <c r="K2614" s="122">
        <v>79</v>
      </c>
      <c r="L2614" s="122">
        <v>11113</v>
      </c>
      <c r="M2614" s="122">
        <v>9789</v>
      </c>
      <c r="N2614" s="122">
        <v>3954</v>
      </c>
      <c r="O2614" s="122">
        <v>1465</v>
      </c>
      <c r="P2614" s="122">
        <v>1418</v>
      </c>
      <c r="Q2614" s="122">
        <v>525</v>
      </c>
      <c r="R2614" s="122">
        <v>12129</v>
      </c>
      <c r="S2614" s="122">
        <v>11027</v>
      </c>
      <c r="T2614" s="122">
        <v>2283</v>
      </c>
      <c r="U2614" s="122">
        <v>846</v>
      </c>
      <c r="V2614" s="122">
        <v>68653</v>
      </c>
      <c r="W2614" s="122">
        <f t="shared" si="82"/>
        <v>68654</v>
      </c>
      <c r="X2614" s="122">
        <f t="shared" si="83"/>
        <v>80399</v>
      </c>
      <c r="AI2614" s="66"/>
    </row>
    <row r="2615" spans="2:35" ht="13">
      <c r="B2615" t="s">
        <v>385</v>
      </c>
      <c r="C2615" t="s">
        <v>60</v>
      </c>
      <c r="D2615" t="s">
        <v>556</v>
      </c>
      <c r="E2615" t="s">
        <v>137</v>
      </c>
      <c r="F2615" s="122">
        <v>1</v>
      </c>
      <c r="G2615" s="122">
        <v>93</v>
      </c>
      <c r="H2615" s="122">
        <v>314</v>
      </c>
      <c r="I2615" s="122">
        <v>21942</v>
      </c>
      <c r="J2615" s="122">
        <v>18285</v>
      </c>
      <c r="K2615" s="122">
        <v>55</v>
      </c>
      <c r="L2615" s="122">
        <v>0</v>
      </c>
      <c r="M2615" s="122">
        <v>0</v>
      </c>
      <c r="N2615" s="122">
        <v>2129</v>
      </c>
      <c r="O2615" s="122">
        <v>789</v>
      </c>
      <c r="P2615" s="122">
        <v>351</v>
      </c>
      <c r="Q2615" s="122">
        <v>130</v>
      </c>
      <c r="R2615" s="122">
        <v>4889</v>
      </c>
      <c r="S2615" s="122">
        <v>1811</v>
      </c>
      <c r="T2615" s="122">
        <v>0</v>
      </c>
      <c r="U2615" s="122">
        <v>0</v>
      </c>
      <c r="V2615" s="122">
        <v>21015</v>
      </c>
      <c r="W2615" s="122">
        <f t="shared" si="82"/>
        <v>21015</v>
      </c>
      <c r="X2615" s="122">
        <f t="shared" si="83"/>
        <v>29311</v>
      </c>
      <c r="AI2615" s="66"/>
    </row>
    <row r="2616" spans="2:35" ht="13">
      <c r="B2616" t="s">
        <v>385</v>
      </c>
      <c r="C2616" t="s">
        <v>60</v>
      </c>
      <c r="D2616" t="s">
        <v>556</v>
      </c>
      <c r="E2616" t="s">
        <v>556</v>
      </c>
      <c r="F2616" s="122">
        <v>195</v>
      </c>
      <c r="G2616" s="122">
        <v>16236</v>
      </c>
      <c r="H2616" s="122">
        <v>66860</v>
      </c>
      <c r="I2616" s="122">
        <v>3119826</v>
      </c>
      <c r="J2616" s="122">
        <v>2599855</v>
      </c>
      <c r="K2616" s="122">
        <v>50</v>
      </c>
      <c r="L2616" s="122">
        <v>399439</v>
      </c>
      <c r="M2616" s="122">
        <v>324092</v>
      </c>
      <c r="N2616" s="122">
        <v>304148</v>
      </c>
      <c r="O2616" s="122">
        <v>112647</v>
      </c>
      <c r="P2616" s="122">
        <v>72198</v>
      </c>
      <c r="Q2616" s="122">
        <v>26740</v>
      </c>
      <c r="R2616" s="122">
        <v>1355564</v>
      </c>
      <c r="S2616" s="122">
        <v>1129637</v>
      </c>
      <c r="T2616" s="122">
        <v>326323</v>
      </c>
      <c r="U2616" s="122">
        <v>120860</v>
      </c>
      <c r="V2616" s="122">
        <v>4313832</v>
      </c>
      <c r="W2616" s="122">
        <f t="shared" si="82"/>
        <v>4313831</v>
      </c>
      <c r="X2616" s="122">
        <f t="shared" si="83"/>
        <v>5577498</v>
      </c>
      <c r="AI2616" s="66"/>
    </row>
    <row r="2617" spans="2:35" ht="13">
      <c r="B2617" t="s">
        <v>385</v>
      </c>
      <c r="C2617" t="s">
        <v>60</v>
      </c>
      <c r="D2617" t="s">
        <v>428</v>
      </c>
      <c r="E2617" t="s">
        <v>428</v>
      </c>
      <c r="F2617" s="122">
        <v>3</v>
      </c>
      <c r="G2617" s="122">
        <v>228</v>
      </c>
      <c r="H2617" s="122">
        <v>1071</v>
      </c>
      <c r="I2617" s="122">
        <v>45670</v>
      </c>
      <c r="J2617" s="122">
        <v>41518</v>
      </c>
      <c r="K2617" s="122">
        <v>52</v>
      </c>
      <c r="L2617" s="122">
        <v>8209</v>
      </c>
      <c r="M2617" s="122">
        <v>7099</v>
      </c>
      <c r="N2617" s="122">
        <v>4973</v>
      </c>
      <c r="O2617" s="122">
        <v>1842</v>
      </c>
      <c r="P2617" s="122">
        <v>1053</v>
      </c>
      <c r="Q2617" s="122">
        <v>390</v>
      </c>
      <c r="R2617" s="122">
        <v>17087</v>
      </c>
      <c r="S2617" s="122">
        <v>15534</v>
      </c>
      <c r="T2617" s="122">
        <v>4405</v>
      </c>
      <c r="U2617" s="122">
        <v>1631</v>
      </c>
      <c r="V2617" s="122">
        <v>68014</v>
      </c>
      <c r="W2617" s="122">
        <f t="shared" si="82"/>
        <v>68014</v>
      </c>
      <c r="X2617" s="122">
        <f t="shared" si="83"/>
        <v>81397</v>
      </c>
      <c r="AI2617" s="66"/>
    </row>
    <row r="2618" spans="2:35" ht="13">
      <c r="B2618" t="s">
        <v>385</v>
      </c>
      <c r="C2618" t="s">
        <v>60</v>
      </c>
      <c r="D2618" t="s">
        <v>431</v>
      </c>
      <c r="E2618" t="s">
        <v>431</v>
      </c>
      <c r="F2618" s="122">
        <v>21</v>
      </c>
      <c r="G2618" s="122">
        <v>1587</v>
      </c>
      <c r="H2618" s="122">
        <v>6974</v>
      </c>
      <c r="I2618" s="122">
        <v>300034</v>
      </c>
      <c r="J2618" s="122">
        <v>272758</v>
      </c>
      <c r="K2618" s="122">
        <v>54</v>
      </c>
      <c r="L2618" s="122">
        <v>40683</v>
      </c>
      <c r="M2618" s="122">
        <v>33200</v>
      </c>
      <c r="N2618" s="122">
        <v>24838</v>
      </c>
      <c r="O2618" s="122">
        <v>9199</v>
      </c>
      <c r="P2618" s="122">
        <v>7371</v>
      </c>
      <c r="Q2618" s="122">
        <v>2730</v>
      </c>
      <c r="R2618" s="122">
        <v>142727</v>
      </c>
      <c r="S2618" s="122">
        <v>129752</v>
      </c>
      <c r="T2618" s="122">
        <v>11875</v>
      </c>
      <c r="U2618" s="122">
        <v>4398</v>
      </c>
      <c r="V2618" s="122">
        <v>452038</v>
      </c>
      <c r="W2618" s="122">
        <f t="shared" si="82"/>
        <v>452037</v>
      </c>
      <c r="X2618" s="122">
        <f t="shared" si="83"/>
        <v>527528</v>
      </c>
      <c r="AI2618" s="66"/>
    </row>
    <row r="2619" spans="2:35" ht="13">
      <c r="B2619" t="s">
        <v>385</v>
      </c>
      <c r="C2619" t="s">
        <v>60</v>
      </c>
      <c r="D2619" t="s">
        <v>426</v>
      </c>
      <c r="E2619" t="s">
        <v>137</v>
      </c>
      <c r="F2619" s="122">
        <v>1</v>
      </c>
      <c r="G2619" s="122">
        <v>87</v>
      </c>
      <c r="H2619" s="122">
        <v>368</v>
      </c>
      <c r="I2619" s="122">
        <v>13107</v>
      </c>
      <c r="J2619" s="122">
        <v>11915</v>
      </c>
      <c r="K2619" s="122">
        <v>45</v>
      </c>
      <c r="L2619" s="122">
        <v>2185</v>
      </c>
      <c r="M2619" s="122">
        <v>1986</v>
      </c>
      <c r="N2619" s="122">
        <v>1641</v>
      </c>
      <c r="O2619" s="122">
        <v>608</v>
      </c>
      <c r="P2619" s="122">
        <v>0</v>
      </c>
      <c r="Q2619" s="122">
        <v>0</v>
      </c>
      <c r="R2619" s="122">
        <v>15254</v>
      </c>
      <c r="S2619" s="122">
        <v>5650</v>
      </c>
      <c r="T2619" s="122">
        <v>0</v>
      </c>
      <c r="U2619" s="122">
        <v>0</v>
      </c>
      <c r="V2619" s="122">
        <v>20159</v>
      </c>
      <c r="W2619" s="122">
        <f t="shared" si="82"/>
        <v>20159</v>
      </c>
      <c r="X2619" s="122">
        <f t="shared" si="83"/>
        <v>32187</v>
      </c>
      <c r="AI2619" s="66"/>
    </row>
    <row r="2620" spans="2:35" ht="13">
      <c r="B2620" t="s">
        <v>385</v>
      </c>
      <c r="C2620" t="s">
        <v>60</v>
      </c>
      <c r="D2620" t="s">
        <v>426</v>
      </c>
      <c r="E2620" t="s">
        <v>426</v>
      </c>
      <c r="F2620" s="122">
        <v>155</v>
      </c>
      <c r="G2620" s="122">
        <v>12566</v>
      </c>
      <c r="H2620" s="122">
        <v>52313</v>
      </c>
      <c r="I2620" s="122">
        <v>2423747</v>
      </c>
      <c r="J2620" s="122">
        <v>2203406</v>
      </c>
      <c r="K2620" s="122">
        <v>50</v>
      </c>
      <c r="L2620" s="122">
        <v>340289</v>
      </c>
      <c r="M2620" s="122">
        <v>301583</v>
      </c>
      <c r="N2620" s="122">
        <v>266638</v>
      </c>
      <c r="O2620" s="122">
        <v>98755</v>
      </c>
      <c r="P2620" s="122">
        <v>55944</v>
      </c>
      <c r="Q2620" s="122">
        <v>20720</v>
      </c>
      <c r="R2620" s="122">
        <v>881926</v>
      </c>
      <c r="S2620" s="122">
        <v>801751</v>
      </c>
      <c r="T2620" s="122">
        <v>326213</v>
      </c>
      <c r="U2620" s="122">
        <v>120820</v>
      </c>
      <c r="V2620" s="122">
        <v>3547035</v>
      </c>
      <c r="W2620" s="122">
        <f t="shared" si="82"/>
        <v>3547035</v>
      </c>
      <c r="X2620" s="122">
        <f t="shared" si="83"/>
        <v>4294757</v>
      </c>
      <c r="AI2620" s="66"/>
    </row>
    <row r="2621" spans="2:35" ht="13">
      <c r="B2621" t="s">
        <v>385</v>
      </c>
      <c r="C2621" t="s">
        <v>60</v>
      </c>
      <c r="D2621" t="s">
        <v>408</v>
      </c>
      <c r="E2621" t="s">
        <v>408</v>
      </c>
      <c r="F2621" s="122">
        <v>4</v>
      </c>
      <c r="G2621" s="122">
        <v>336</v>
      </c>
      <c r="H2621" s="122">
        <v>1429</v>
      </c>
      <c r="I2621" s="122">
        <v>79768</v>
      </c>
      <c r="J2621" s="122">
        <v>72517</v>
      </c>
      <c r="K2621" s="122">
        <v>70</v>
      </c>
      <c r="L2621" s="122">
        <v>8901</v>
      </c>
      <c r="M2621" s="122">
        <v>8092</v>
      </c>
      <c r="N2621" s="122">
        <v>7012</v>
      </c>
      <c r="O2621" s="122">
        <v>2597</v>
      </c>
      <c r="P2621" s="122">
        <v>1404</v>
      </c>
      <c r="Q2621" s="122">
        <v>520</v>
      </c>
      <c r="R2621" s="122">
        <v>18637</v>
      </c>
      <c r="S2621" s="122">
        <v>16943</v>
      </c>
      <c r="T2621" s="122">
        <v>4639</v>
      </c>
      <c r="U2621" s="122">
        <v>1718</v>
      </c>
      <c r="V2621" s="122">
        <v>102387</v>
      </c>
      <c r="W2621" s="122">
        <f t="shared" si="82"/>
        <v>102387</v>
      </c>
      <c r="X2621" s="122">
        <f t="shared" si="83"/>
        <v>120361</v>
      </c>
      <c r="AI2621" s="66"/>
    </row>
    <row r="2622" spans="2:35" ht="13">
      <c r="B2622" t="s">
        <v>385</v>
      </c>
      <c r="C2622" t="s">
        <v>62</v>
      </c>
      <c r="D2622" t="s">
        <v>137</v>
      </c>
      <c r="E2622" t="s">
        <v>137</v>
      </c>
      <c r="F2622" s="122">
        <v>22</v>
      </c>
      <c r="G2622" s="122">
        <v>1703</v>
      </c>
      <c r="H2622" s="122">
        <v>9267</v>
      </c>
      <c r="I2622" s="122">
        <v>482970</v>
      </c>
      <c r="J2622" s="122">
        <v>178878</v>
      </c>
      <c r="K2622" s="122">
        <v>100</v>
      </c>
      <c r="L2622" s="122">
        <v>55791</v>
      </c>
      <c r="M2622" s="122">
        <v>39210</v>
      </c>
      <c r="N2622" s="122">
        <v>37632</v>
      </c>
      <c r="O2622" s="122">
        <v>13938</v>
      </c>
      <c r="P2622" s="122">
        <v>1451</v>
      </c>
      <c r="Q2622" s="122">
        <v>537</v>
      </c>
      <c r="R2622" s="122">
        <v>152053</v>
      </c>
      <c r="S2622" s="122">
        <v>56316</v>
      </c>
      <c r="T2622" s="122">
        <v>0</v>
      </c>
      <c r="U2622" s="122">
        <v>0</v>
      </c>
      <c r="V2622" s="122">
        <v>288878</v>
      </c>
      <c r="W2622" s="122">
        <f t="shared" si="82"/>
        <v>288879</v>
      </c>
      <c r="X2622" s="122">
        <f t="shared" si="83"/>
        <v>729897</v>
      </c>
      <c r="AI2622" s="66"/>
    </row>
    <row r="2623" spans="2:35" ht="13">
      <c r="B2623" t="s">
        <v>385</v>
      </c>
      <c r="C2623" t="s">
        <v>62</v>
      </c>
      <c r="D2623" t="s">
        <v>137</v>
      </c>
      <c r="E2623" t="s">
        <v>556</v>
      </c>
      <c r="F2623" s="122">
        <v>2</v>
      </c>
      <c r="G2623" s="122">
        <v>201</v>
      </c>
      <c r="H2623" s="122">
        <v>869</v>
      </c>
      <c r="I2623" s="122">
        <v>60819</v>
      </c>
      <c r="J2623" s="122">
        <v>22526</v>
      </c>
      <c r="K2623" s="122">
        <v>100</v>
      </c>
      <c r="L2623" s="122">
        <v>4839</v>
      </c>
      <c r="M2623" s="122">
        <v>4033</v>
      </c>
      <c r="N2623" s="122">
        <v>3717</v>
      </c>
      <c r="O2623" s="122">
        <v>1377</v>
      </c>
      <c r="P2623" s="122">
        <v>0</v>
      </c>
      <c r="Q2623" s="122">
        <v>0</v>
      </c>
      <c r="R2623" s="122">
        <v>15003</v>
      </c>
      <c r="S2623" s="122">
        <v>12503</v>
      </c>
      <c r="T2623" s="122">
        <v>2963</v>
      </c>
      <c r="U2623" s="122">
        <v>1097</v>
      </c>
      <c r="V2623" s="122">
        <v>41535</v>
      </c>
      <c r="W2623" s="122">
        <f t="shared" si="82"/>
        <v>41536</v>
      </c>
      <c r="X2623" s="122">
        <f t="shared" si="83"/>
        <v>87341</v>
      </c>
      <c r="AI2623" s="66"/>
    </row>
    <row r="2624" spans="2:35" ht="13">
      <c r="B2624" t="s">
        <v>385</v>
      </c>
      <c r="C2624" t="s">
        <v>62</v>
      </c>
      <c r="D2624" t="s">
        <v>137</v>
      </c>
      <c r="E2624" t="s">
        <v>426</v>
      </c>
      <c r="F2624" s="122">
        <v>1</v>
      </c>
      <c r="G2624" s="122">
        <v>82</v>
      </c>
      <c r="H2624" s="122">
        <v>441</v>
      </c>
      <c r="I2624" s="122">
        <v>21578</v>
      </c>
      <c r="J2624" s="122">
        <v>7992</v>
      </c>
      <c r="K2624" s="122">
        <v>100</v>
      </c>
      <c r="L2624" s="122">
        <v>2171</v>
      </c>
      <c r="M2624" s="122">
        <v>1973</v>
      </c>
      <c r="N2624" s="122">
        <v>1988</v>
      </c>
      <c r="O2624" s="122">
        <v>736</v>
      </c>
      <c r="P2624" s="122">
        <v>0</v>
      </c>
      <c r="Q2624" s="122">
        <v>0</v>
      </c>
      <c r="R2624" s="122">
        <v>7329</v>
      </c>
      <c r="S2624" s="122">
        <v>6663</v>
      </c>
      <c r="T2624" s="122">
        <v>2900</v>
      </c>
      <c r="U2624" s="122">
        <v>1074</v>
      </c>
      <c r="V2624" s="122">
        <v>18438</v>
      </c>
      <c r="W2624" s="122">
        <f t="shared" si="82"/>
        <v>18438</v>
      </c>
      <c r="X2624" s="122">
        <f t="shared" si="83"/>
        <v>35966</v>
      </c>
      <c r="AI2624" s="66"/>
    </row>
    <row r="2625" spans="2:35" ht="13">
      <c r="B2625" t="s">
        <v>385</v>
      </c>
      <c r="C2625" t="s">
        <v>62</v>
      </c>
      <c r="D2625" t="s">
        <v>406</v>
      </c>
      <c r="E2625" t="s">
        <v>405</v>
      </c>
      <c r="F2625" s="122">
        <v>1</v>
      </c>
      <c r="G2625" s="122">
        <v>142</v>
      </c>
      <c r="H2625" s="122">
        <v>406</v>
      </c>
      <c r="I2625" s="122">
        <v>41998</v>
      </c>
      <c r="J2625" s="122">
        <v>38180</v>
      </c>
      <c r="K2625" s="122">
        <v>75</v>
      </c>
      <c r="L2625" s="122">
        <v>5545</v>
      </c>
      <c r="M2625" s="122">
        <v>5041</v>
      </c>
      <c r="N2625" s="122">
        <v>2676</v>
      </c>
      <c r="O2625" s="122">
        <v>991</v>
      </c>
      <c r="P2625" s="122">
        <v>621</v>
      </c>
      <c r="Q2625" s="122">
        <v>230</v>
      </c>
      <c r="R2625" s="122">
        <v>6690</v>
      </c>
      <c r="S2625" s="122">
        <v>6082</v>
      </c>
      <c r="T2625" s="122">
        <v>0</v>
      </c>
      <c r="U2625" s="122">
        <v>0</v>
      </c>
      <c r="V2625" s="122">
        <v>50525</v>
      </c>
      <c r="W2625" s="122">
        <f t="shared" si="82"/>
        <v>50524</v>
      </c>
      <c r="X2625" s="122">
        <f t="shared" si="83"/>
        <v>57530</v>
      </c>
      <c r="AI2625" s="66"/>
    </row>
    <row r="2626" spans="2:35" ht="13">
      <c r="B2626" t="s">
        <v>385</v>
      </c>
      <c r="C2626" t="s">
        <v>62</v>
      </c>
      <c r="D2626" t="s">
        <v>406</v>
      </c>
      <c r="E2626" t="s">
        <v>137</v>
      </c>
      <c r="F2626" s="122">
        <v>3</v>
      </c>
      <c r="G2626" s="122">
        <v>226</v>
      </c>
      <c r="H2626" s="122">
        <v>1207</v>
      </c>
      <c r="I2626" s="122">
        <v>61989</v>
      </c>
      <c r="J2626" s="122">
        <v>56354</v>
      </c>
      <c r="K2626" s="122">
        <v>72</v>
      </c>
      <c r="L2626" s="122">
        <v>6942</v>
      </c>
      <c r="M2626" s="122">
        <v>5785</v>
      </c>
      <c r="N2626" s="122">
        <v>5218</v>
      </c>
      <c r="O2626" s="122">
        <v>1933</v>
      </c>
      <c r="P2626" s="122">
        <v>1863</v>
      </c>
      <c r="Q2626" s="122">
        <v>690</v>
      </c>
      <c r="R2626" s="122">
        <v>14238</v>
      </c>
      <c r="S2626" s="122">
        <v>5273</v>
      </c>
      <c r="T2626" s="122">
        <v>0</v>
      </c>
      <c r="U2626" s="122">
        <v>0</v>
      </c>
      <c r="V2626" s="122">
        <v>70035</v>
      </c>
      <c r="W2626" s="122">
        <f t="shared" si="82"/>
        <v>70035</v>
      </c>
      <c r="X2626" s="122">
        <f t="shared" si="83"/>
        <v>90250</v>
      </c>
      <c r="AI2626" s="66"/>
    </row>
    <row r="2627" spans="2:35" ht="13">
      <c r="B2627" t="s">
        <v>385</v>
      </c>
      <c r="C2627" t="s">
        <v>62</v>
      </c>
      <c r="D2627" t="s">
        <v>406</v>
      </c>
      <c r="E2627" t="s">
        <v>406</v>
      </c>
      <c r="F2627" s="122">
        <v>163</v>
      </c>
      <c r="G2627" s="122">
        <v>15582</v>
      </c>
      <c r="H2627" s="122">
        <v>67530</v>
      </c>
      <c r="I2627" s="122">
        <v>4072826</v>
      </c>
      <c r="J2627" s="122">
        <v>3702569</v>
      </c>
      <c r="K2627" s="122">
        <v>74</v>
      </c>
      <c r="L2627" s="122">
        <v>859486</v>
      </c>
      <c r="M2627" s="122">
        <v>746572</v>
      </c>
      <c r="N2627" s="122">
        <v>324139</v>
      </c>
      <c r="O2627" s="122">
        <v>120052</v>
      </c>
      <c r="P2627" s="122">
        <v>104733</v>
      </c>
      <c r="Q2627" s="122">
        <v>38790</v>
      </c>
      <c r="R2627" s="122">
        <v>825125</v>
      </c>
      <c r="S2627" s="122">
        <v>750114</v>
      </c>
      <c r="T2627" s="122">
        <v>309960</v>
      </c>
      <c r="U2627" s="122">
        <v>114800</v>
      </c>
      <c r="V2627" s="122">
        <v>5472897</v>
      </c>
      <c r="W2627" s="122">
        <f t="shared" si="82"/>
        <v>5472897</v>
      </c>
      <c r="X2627" s="122">
        <f t="shared" si="83"/>
        <v>6496269</v>
      </c>
      <c r="AI2627" s="66"/>
    </row>
    <row r="2628" spans="2:35" ht="13">
      <c r="B2628" t="s">
        <v>385</v>
      </c>
      <c r="C2628" t="s">
        <v>62</v>
      </c>
      <c r="D2628" t="s">
        <v>406</v>
      </c>
      <c r="E2628" t="s">
        <v>426</v>
      </c>
      <c r="F2628" s="122">
        <v>1</v>
      </c>
      <c r="G2628" s="122">
        <v>107</v>
      </c>
      <c r="H2628" s="122">
        <v>395</v>
      </c>
      <c r="I2628" s="122">
        <v>27887</v>
      </c>
      <c r="J2628" s="122">
        <v>25351</v>
      </c>
      <c r="K2628" s="122">
        <v>65</v>
      </c>
      <c r="L2628" s="122">
        <v>3482</v>
      </c>
      <c r="M2628" s="122">
        <v>2901</v>
      </c>
      <c r="N2628" s="122">
        <v>2323</v>
      </c>
      <c r="O2628" s="122">
        <v>860</v>
      </c>
      <c r="P2628" s="122">
        <v>621</v>
      </c>
      <c r="Q2628" s="122">
        <v>230</v>
      </c>
      <c r="R2628" s="122">
        <v>5056</v>
      </c>
      <c r="S2628" s="122">
        <v>4597</v>
      </c>
      <c r="T2628" s="122">
        <v>2688</v>
      </c>
      <c r="U2628" s="122">
        <v>995</v>
      </c>
      <c r="V2628" s="122">
        <v>34935</v>
      </c>
      <c r="W2628" s="122">
        <f t="shared" si="82"/>
        <v>34934</v>
      </c>
      <c r="X2628" s="122">
        <f t="shared" si="83"/>
        <v>42057</v>
      </c>
      <c r="AI2628" s="66"/>
    </row>
    <row r="2629" spans="2:35" ht="13">
      <c r="B2629" t="s">
        <v>385</v>
      </c>
      <c r="C2629" t="s">
        <v>62</v>
      </c>
      <c r="D2629" t="s">
        <v>427</v>
      </c>
      <c r="E2629" t="s">
        <v>406</v>
      </c>
      <c r="F2629" s="122">
        <v>1</v>
      </c>
      <c r="G2629" s="122">
        <v>69</v>
      </c>
      <c r="H2629" s="122">
        <v>398</v>
      </c>
      <c r="I2629" s="122">
        <v>14827</v>
      </c>
      <c r="J2629" s="122">
        <v>13479</v>
      </c>
      <c r="K2629" s="122">
        <v>55</v>
      </c>
      <c r="L2629" s="122">
        <v>3020</v>
      </c>
      <c r="M2629" s="122">
        <v>2746</v>
      </c>
      <c r="N2629" s="122">
        <v>1171</v>
      </c>
      <c r="O2629" s="122">
        <v>434</v>
      </c>
      <c r="P2629" s="122">
        <v>351</v>
      </c>
      <c r="Q2629" s="122">
        <v>130</v>
      </c>
      <c r="R2629" s="122">
        <v>7954</v>
      </c>
      <c r="S2629" s="122">
        <v>7231</v>
      </c>
      <c r="T2629" s="122">
        <v>0</v>
      </c>
      <c r="U2629" s="122">
        <v>0</v>
      </c>
      <c r="V2629" s="122">
        <v>24020</v>
      </c>
      <c r="W2629" s="122">
        <f t="shared" si="82"/>
        <v>24020</v>
      </c>
      <c r="X2629" s="122">
        <f t="shared" si="83"/>
        <v>27323</v>
      </c>
      <c r="AI2629" s="66"/>
    </row>
    <row r="2630" spans="2:35" ht="13">
      <c r="B2630" t="s">
        <v>385</v>
      </c>
      <c r="C2630" t="s">
        <v>62</v>
      </c>
      <c r="D2630" t="s">
        <v>407</v>
      </c>
      <c r="E2630" t="s">
        <v>407</v>
      </c>
      <c r="F2630" s="122">
        <v>1</v>
      </c>
      <c r="G2630" s="122">
        <v>94</v>
      </c>
      <c r="H2630" s="122">
        <v>416</v>
      </c>
      <c r="I2630" s="122">
        <v>33663</v>
      </c>
      <c r="J2630" s="122">
        <v>30602</v>
      </c>
      <c r="K2630" s="122">
        <v>79</v>
      </c>
      <c r="L2630" s="122">
        <v>0</v>
      </c>
      <c r="M2630" s="122">
        <v>0</v>
      </c>
      <c r="N2630" s="122">
        <v>1954</v>
      </c>
      <c r="O2630" s="122">
        <v>724</v>
      </c>
      <c r="P2630" s="122">
        <v>473</v>
      </c>
      <c r="Q2630" s="122">
        <v>175</v>
      </c>
      <c r="R2630" s="122">
        <v>3157</v>
      </c>
      <c r="S2630" s="122">
        <v>2870</v>
      </c>
      <c r="T2630" s="122">
        <v>0</v>
      </c>
      <c r="U2630" s="122">
        <v>0</v>
      </c>
      <c r="V2630" s="122">
        <v>34371</v>
      </c>
      <c r="W2630" s="122">
        <f t="shared" si="82"/>
        <v>34371</v>
      </c>
      <c r="X2630" s="122">
        <f t="shared" si="83"/>
        <v>39247</v>
      </c>
      <c r="AI2630" s="66"/>
    </row>
    <row r="2631" spans="2:35" ht="13">
      <c r="B2631" t="s">
        <v>385</v>
      </c>
      <c r="C2631" t="s">
        <v>62</v>
      </c>
      <c r="D2631" t="s">
        <v>556</v>
      </c>
      <c r="E2631" t="s">
        <v>556</v>
      </c>
      <c r="F2631" s="122">
        <v>83</v>
      </c>
      <c r="G2631" s="122">
        <v>6540</v>
      </c>
      <c r="H2631" s="122">
        <v>33952</v>
      </c>
      <c r="I2631" s="122">
        <v>1565255</v>
      </c>
      <c r="J2631" s="122">
        <v>1304379</v>
      </c>
      <c r="K2631" s="122">
        <v>49</v>
      </c>
      <c r="L2631" s="122">
        <v>230588</v>
      </c>
      <c r="M2631" s="122">
        <v>180527</v>
      </c>
      <c r="N2631" s="122">
        <v>121517</v>
      </c>
      <c r="O2631" s="122">
        <v>45006</v>
      </c>
      <c r="P2631" s="122">
        <v>29403</v>
      </c>
      <c r="Q2631" s="122">
        <v>10890</v>
      </c>
      <c r="R2631" s="122">
        <v>634198</v>
      </c>
      <c r="S2631" s="122">
        <v>528498</v>
      </c>
      <c r="T2631" s="122">
        <v>96856</v>
      </c>
      <c r="U2631" s="122">
        <v>35872</v>
      </c>
      <c r="V2631" s="122">
        <v>2105173</v>
      </c>
      <c r="W2631" s="122">
        <f t="shared" si="82"/>
        <v>2105172</v>
      </c>
      <c r="X2631" s="122">
        <f t="shared" si="83"/>
        <v>2677817</v>
      </c>
      <c r="AI2631" s="66"/>
    </row>
    <row r="2632" spans="2:35" ht="13">
      <c r="B2632" t="s">
        <v>385</v>
      </c>
      <c r="C2632" t="s">
        <v>62</v>
      </c>
      <c r="D2632" t="s">
        <v>428</v>
      </c>
      <c r="E2632" t="s">
        <v>428</v>
      </c>
      <c r="F2632" s="122">
        <v>4</v>
      </c>
      <c r="G2632" s="122">
        <v>286</v>
      </c>
      <c r="H2632" s="122">
        <v>1727</v>
      </c>
      <c r="I2632" s="122">
        <v>76579</v>
      </c>
      <c r="J2632" s="122">
        <v>69617</v>
      </c>
      <c r="K2632" s="122">
        <v>41</v>
      </c>
      <c r="L2632" s="122">
        <v>7288</v>
      </c>
      <c r="M2632" s="122">
        <v>6626</v>
      </c>
      <c r="N2632" s="122">
        <v>6268</v>
      </c>
      <c r="O2632" s="122">
        <v>2321</v>
      </c>
      <c r="P2632" s="122">
        <v>1323</v>
      </c>
      <c r="Q2632" s="122">
        <v>490</v>
      </c>
      <c r="R2632" s="122">
        <v>23715</v>
      </c>
      <c r="S2632" s="122">
        <v>21559</v>
      </c>
      <c r="T2632" s="122">
        <v>8553</v>
      </c>
      <c r="U2632" s="122">
        <v>3168</v>
      </c>
      <c r="V2632" s="122">
        <v>103781</v>
      </c>
      <c r="W2632" s="122">
        <f t="shared" si="82"/>
        <v>103781</v>
      </c>
      <c r="X2632" s="122">
        <f t="shared" si="83"/>
        <v>123726</v>
      </c>
      <c r="AI2632" s="66"/>
    </row>
    <row r="2633" spans="2:35" ht="13">
      <c r="B2633" t="s">
        <v>385</v>
      </c>
      <c r="C2633" t="s">
        <v>62</v>
      </c>
      <c r="D2633" t="s">
        <v>431</v>
      </c>
      <c r="E2633" t="s">
        <v>431</v>
      </c>
      <c r="F2633" s="122">
        <v>7</v>
      </c>
      <c r="G2633" s="122">
        <v>523</v>
      </c>
      <c r="H2633" s="122">
        <v>2829</v>
      </c>
      <c r="I2633" s="122">
        <v>130507</v>
      </c>
      <c r="J2633" s="122">
        <v>118643</v>
      </c>
      <c r="K2633" s="122">
        <v>52</v>
      </c>
      <c r="L2633" s="122">
        <v>20623</v>
      </c>
      <c r="M2633" s="122">
        <v>17194</v>
      </c>
      <c r="N2633" s="122">
        <v>11439</v>
      </c>
      <c r="O2633" s="122">
        <v>4237</v>
      </c>
      <c r="P2633" s="122">
        <v>2025</v>
      </c>
      <c r="Q2633" s="122">
        <v>750</v>
      </c>
      <c r="R2633" s="122">
        <v>46982</v>
      </c>
      <c r="S2633" s="122">
        <v>42711</v>
      </c>
      <c r="T2633" s="122">
        <v>10689</v>
      </c>
      <c r="U2633" s="122">
        <v>3959</v>
      </c>
      <c r="V2633" s="122">
        <v>187493</v>
      </c>
      <c r="W2633" s="122">
        <f t="shared" si="82"/>
        <v>187494</v>
      </c>
      <c r="X2633" s="122">
        <f t="shared" si="83"/>
        <v>222265</v>
      </c>
      <c r="AI2633" s="66"/>
    </row>
    <row r="2634" spans="2:35" ht="13">
      <c r="B2634" t="s">
        <v>385</v>
      </c>
      <c r="C2634" t="s">
        <v>62</v>
      </c>
      <c r="D2634" t="s">
        <v>426</v>
      </c>
      <c r="E2634" t="s">
        <v>426</v>
      </c>
      <c r="F2634" s="122">
        <v>67</v>
      </c>
      <c r="G2634" s="122">
        <v>4460</v>
      </c>
      <c r="H2634" s="122">
        <v>27842</v>
      </c>
      <c r="I2634" s="122">
        <v>1092794</v>
      </c>
      <c r="J2634" s="122">
        <v>993449</v>
      </c>
      <c r="K2634" s="122">
        <v>51</v>
      </c>
      <c r="L2634" s="122">
        <v>125944</v>
      </c>
      <c r="M2634" s="122">
        <v>99599</v>
      </c>
      <c r="N2634" s="122">
        <v>90749</v>
      </c>
      <c r="O2634" s="122">
        <v>33611</v>
      </c>
      <c r="P2634" s="122">
        <v>23004</v>
      </c>
      <c r="Q2634" s="122">
        <v>8520</v>
      </c>
      <c r="R2634" s="122">
        <v>395026</v>
      </c>
      <c r="S2634" s="122">
        <v>359115</v>
      </c>
      <c r="T2634" s="122">
        <v>133384</v>
      </c>
      <c r="U2634" s="122">
        <v>49401</v>
      </c>
      <c r="V2634" s="122">
        <v>1543695</v>
      </c>
      <c r="W2634" s="122">
        <f t="shared" si="82"/>
        <v>1543695</v>
      </c>
      <c r="X2634" s="122">
        <f t="shared" si="83"/>
        <v>1860901</v>
      </c>
      <c r="AI2634" s="66"/>
    </row>
    <row r="2635" spans="2:35" ht="13">
      <c r="B2635" t="s">
        <v>385</v>
      </c>
      <c r="C2635" t="s">
        <v>62</v>
      </c>
      <c r="D2635" t="s">
        <v>408</v>
      </c>
      <c r="E2635" t="s">
        <v>408</v>
      </c>
      <c r="F2635" s="122">
        <v>9</v>
      </c>
      <c r="G2635" s="122">
        <v>845</v>
      </c>
      <c r="H2635" s="122">
        <v>3740</v>
      </c>
      <c r="I2635" s="122">
        <v>222559</v>
      </c>
      <c r="J2635" s="122">
        <v>202326</v>
      </c>
      <c r="K2635" s="122">
        <v>80</v>
      </c>
      <c r="L2635" s="122">
        <v>61105</v>
      </c>
      <c r="M2635" s="122">
        <v>55138</v>
      </c>
      <c r="N2635" s="122">
        <v>15338</v>
      </c>
      <c r="O2635" s="122">
        <v>5681</v>
      </c>
      <c r="P2635" s="122">
        <v>3159</v>
      </c>
      <c r="Q2635" s="122">
        <v>1170</v>
      </c>
      <c r="R2635" s="122">
        <v>47696</v>
      </c>
      <c r="S2635" s="122">
        <v>43360</v>
      </c>
      <c r="T2635" s="122">
        <v>0</v>
      </c>
      <c r="U2635" s="122">
        <v>0</v>
      </c>
      <c r="V2635" s="122">
        <v>307675</v>
      </c>
      <c r="W2635" s="122">
        <f t="shared" si="82"/>
        <v>307675</v>
      </c>
      <c r="X2635" s="122">
        <f t="shared" si="83"/>
        <v>349857</v>
      </c>
      <c r="AI2635" s="66"/>
    </row>
    <row r="2636" spans="2:35" ht="13">
      <c r="B2636" t="s">
        <v>385</v>
      </c>
      <c r="C2636" t="s">
        <v>64</v>
      </c>
      <c r="F2636" s="122">
        <v>1</v>
      </c>
      <c r="G2636" s="122">
        <v>81</v>
      </c>
      <c r="H2636" s="122">
        <v>495</v>
      </c>
      <c r="I2636" s="122"/>
      <c r="J2636" s="122">
        <v>0</v>
      </c>
      <c r="K2636" s="122"/>
      <c r="L2636" s="122"/>
      <c r="M2636" s="122">
        <v>0</v>
      </c>
      <c r="N2636" s="122">
        <v>1845</v>
      </c>
      <c r="O2636" s="122">
        <v>683</v>
      </c>
      <c r="P2636" s="122">
        <v>0</v>
      </c>
      <c r="Q2636" s="122">
        <v>0</v>
      </c>
      <c r="R2636" s="122"/>
      <c r="S2636" s="122">
        <v>0</v>
      </c>
      <c r="T2636" s="122">
        <v>0</v>
      </c>
      <c r="U2636" s="122">
        <v>0</v>
      </c>
      <c r="V2636" s="122">
        <v>683</v>
      </c>
      <c r="W2636" s="122">
        <f t="shared" si="82"/>
        <v>683</v>
      </c>
      <c r="X2636" s="122">
        <f t="shared" si="83"/>
        <v>1845</v>
      </c>
      <c r="AI2636" s="66"/>
    </row>
    <row r="2637" spans="2:35" ht="13">
      <c r="B2637" t="s">
        <v>385</v>
      </c>
      <c r="C2637" t="s">
        <v>64</v>
      </c>
      <c r="D2637" t="s">
        <v>425</v>
      </c>
      <c r="E2637" t="s">
        <v>425</v>
      </c>
      <c r="F2637" s="122">
        <v>1</v>
      </c>
      <c r="G2637" s="122">
        <v>83</v>
      </c>
      <c r="H2637" s="122">
        <v>549</v>
      </c>
      <c r="I2637" s="122">
        <v>30233</v>
      </c>
      <c r="J2637" s="122">
        <v>27485</v>
      </c>
      <c r="K2637" s="122">
        <v>65</v>
      </c>
      <c r="L2637" s="122">
        <v>7549</v>
      </c>
      <c r="M2637" s="122">
        <v>6291</v>
      </c>
      <c r="N2637" s="122">
        <v>1823</v>
      </c>
      <c r="O2637" s="122">
        <v>675</v>
      </c>
      <c r="P2637" s="122">
        <v>473</v>
      </c>
      <c r="Q2637" s="122">
        <v>175</v>
      </c>
      <c r="R2637" s="122">
        <v>3817</v>
      </c>
      <c r="S2637" s="122">
        <v>3470</v>
      </c>
      <c r="T2637" s="122">
        <v>1763</v>
      </c>
      <c r="U2637" s="122">
        <v>653</v>
      </c>
      <c r="V2637" s="122">
        <v>38749</v>
      </c>
      <c r="W2637" s="122">
        <f t="shared" si="82"/>
        <v>38749</v>
      </c>
      <c r="X2637" s="122">
        <f t="shared" si="83"/>
        <v>45658</v>
      </c>
      <c r="AI2637" s="66"/>
    </row>
    <row r="2638" spans="2:35" ht="13">
      <c r="B2638" t="s">
        <v>385</v>
      </c>
      <c r="C2638" t="s">
        <v>64</v>
      </c>
      <c r="D2638" t="s">
        <v>137</v>
      </c>
      <c r="E2638" t="s">
        <v>137</v>
      </c>
      <c r="F2638" s="122">
        <v>72</v>
      </c>
      <c r="G2638" s="122">
        <v>5861</v>
      </c>
      <c r="H2638" s="122">
        <v>47459</v>
      </c>
      <c r="I2638" s="122">
        <v>2733144</v>
      </c>
      <c r="J2638" s="122">
        <v>1012275</v>
      </c>
      <c r="K2638" s="122">
        <v>100</v>
      </c>
      <c r="L2638" s="122">
        <v>421781</v>
      </c>
      <c r="M2638" s="122">
        <v>331216</v>
      </c>
      <c r="N2638" s="122">
        <v>131694</v>
      </c>
      <c r="O2638" s="122">
        <v>48775</v>
      </c>
      <c r="P2638" s="122">
        <v>1323</v>
      </c>
      <c r="Q2638" s="122">
        <v>490</v>
      </c>
      <c r="R2638" s="122">
        <v>496756</v>
      </c>
      <c r="S2638" s="122">
        <v>183984</v>
      </c>
      <c r="T2638" s="122">
        <v>7694</v>
      </c>
      <c r="U2638" s="122">
        <v>2850</v>
      </c>
      <c r="V2638" s="122">
        <v>1579590</v>
      </c>
      <c r="W2638" s="122">
        <f t="shared" si="82"/>
        <v>1579590</v>
      </c>
      <c r="X2638" s="122">
        <f t="shared" si="83"/>
        <v>3792392</v>
      </c>
      <c r="AI2638" s="66"/>
    </row>
    <row r="2639" spans="2:35" ht="13">
      <c r="B2639" t="s">
        <v>385</v>
      </c>
      <c r="C2639" t="s">
        <v>64</v>
      </c>
      <c r="D2639" t="s">
        <v>137</v>
      </c>
      <c r="E2639" t="s">
        <v>556</v>
      </c>
      <c r="F2639" s="122">
        <v>4</v>
      </c>
      <c r="G2639" s="122">
        <v>341</v>
      </c>
      <c r="H2639" s="122">
        <v>2369</v>
      </c>
      <c r="I2639" s="122">
        <v>146661</v>
      </c>
      <c r="J2639" s="122">
        <v>54319</v>
      </c>
      <c r="K2639" s="122">
        <v>100</v>
      </c>
      <c r="L2639" s="122">
        <v>19426</v>
      </c>
      <c r="M2639" s="122">
        <v>16188</v>
      </c>
      <c r="N2639" s="122">
        <v>8098</v>
      </c>
      <c r="O2639" s="122">
        <v>2999</v>
      </c>
      <c r="P2639" s="122">
        <v>972</v>
      </c>
      <c r="Q2639" s="122">
        <v>360</v>
      </c>
      <c r="R2639" s="122">
        <v>24496</v>
      </c>
      <c r="S2639" s="122">
        <v>20413</v>
      </c>
      <c r="T2639" s="122">
        <v>5399</v>
      </c>
      <c r="U2639" s="122">
        <v>1999</v>
      </c>
      <c r="V2639" s="122">
        <v>96279</v>
      </c>
      <c r="W2639" s="122">
        <f t="shared" si="82"/>
        <v>96278</v>
      </c>
      <c r="X2639" s="122">
        <f t="shared" si="83"/>
        <v>205052</v>
      </c>
      <c r="AI2639" s="66"/>
    </row>
    <row r="2640" spans="2:35" ht="13">
      <c r="B2640" t="s">
        <v>385</v>
      </c>
      <c r="C2640" t="s">
        <v>64</v>
      </c>
      <c r="D2640" t="s">
        <v>137</v>
      </c>
      <c r="E2640" t="s">
        <v>426</v>
      </c>
      <c r="F2640" s="122">
        <v>8</v>
      </c>
      <c r="G2640" s="122">
        <v>450</v>
      </c>
      <c r="H2640" s="122">
        <v>4712</v>
      </c>
      <c r="I2640" s="122">
        <v>177788</v>
      </c>
      <c r="J2640" s="122">
        <v>65848</v>
      </c>
      <c r="K2640" s="122">
        <v>100</v>
      </c>
      <c r="L2640" s="122">
        <v>17905</v>
      </c>
      <c r="M2640" s="122">
        <v>16277</v>
      </c>
      <c r="N2640" s="122">
        <v>9189</v>
      </c>
      <c r="O2640" s="122">
        <v>3403</v>
      </c>
      <c r="P2640" s="122">
        <v>0</v>
      </c>
      <c r="Q2640" s="122">
        <v>0</v>
      </c>
      <c r="R2640" s="122">
        <v>44064</v>
      </c>
      <c r="S2640" s="122">
        <v>40059</v>
      </c>
      <c r="T2640" s="122">
        <v>12509</v>
      </c>
      <c r="U2640" s="122">
        <v>4633</v>
      </c>
      <c r="V2640" s="122">
        <v>130219</v>
      </c>
      <c r="W2640" s="122">
        <f t="shared" si="82"/>
        <v>130220</v>
      </c>
      <c r="X2640" s="122">
        <f t="shared" si="83"/>
        <v>261455</v>
      </c>
      <c r="AI2640" s="66"/>
    </row>
    <row r="2641" spans="2:35" ht="13">
      <c r="B2641" t="s">
        <v>385</v>
      </c>
      <c r="C2641" t="s">
        <v>64</v>
      </c>
      <c r="D2641" t="s">
        <v>406</v>
      </c>
      <c r="E2641" t="s">
        <v>137</v>
      </c>
      <c r="F2641" s="122">
        <v>5</v>
      </c>
      <c r="G2641" s="122">
        <v>314</v>
      </c>
      <c r="H2641" s="122">
        <v>2776</v>
      </c>
      <c r="I2641" s="122">
        <v>113158</v>
      </c>
      <c r="J2641" s="122">
        <v>102871</v>
      </c>
      <c r="K2641" s="122">
        <v>70</v>
      </c>
      <c r="L2641" s="122">
        <v>23379</v>
      </c>
      <c r="M2641" s="122">
        <v>20408</v>
      </c>
      <c r="N2641" s="122">
        <v>7082</v>
      </c>
      <c r="O2641" s="122">
        <v>2623</v>
      </c>
      <c r="P2641" s="122">
        <v>3105</v>
      </c>
      <c r="Q2641" s="122">
        <v>1150</v>
      </c>
      <c r="R2641" s="122">
        <v>26533</v>
      </c>
      <c r="S2641" s="122">
        <v>9827</v>
      </c>
      <c r="T2641" s="122">
        <v>0</v>
      </c>
      <c r="U2641" s="122">
        <v>0</v>
      </c>
      <c r="V2641" s="122">
        <v>136879</v>
      </c>
      <c r="W2641" s="122">
        <f t="shared" si="82"/>
        <v>136879</v>
      </c>
      <c r="X2641" s="122">
        <f t="shared" si="83"/>
        <v>173257</v>
      </c>
      <c r="AI2641" s="66"/>
    </row>
    <row r="2642" spans="2:35" ht="13">
      <c r="B2642" t="s">
        <v>385</v>
      </c>
      <c r="C2642" t="s">
        <v>64</v>
      </c>
      <c r="D2642" t="s">
        <v>406</v>
      </c>
      <c r="E2642" t="s">
        <v>406</v>
      </c>
      <c r="F2642" s="122">
        <v>110</v>
      </c>
      <c r="G2642" s="122">
        <v>10050</v>
      </c>
      <c r="H2642" s="122">
        <v>58052</v>
      </c>
      <c r="I2642" s="122">
        <v>3545487</v>
      </c>
      <c r="J2642" s="122">
        <v>3223170</v>
      </c>
      <c r="K2642" s="122">
        <v>69</v>
      </c>
      <c r="L2642" s="122">
        <v>732021</v>
      </c>
      <c r="M2642" s="122">
        <v>619719</v>
      </c>
      <c r="N2642" s="122">
        <v>221885</v>
      </c>
      <c r="O2642" s="122">
        <v>82179</v>
      </c>
      <c r="P2642" s="122">
        <v>70416</v>
      </c>
      <c r="Q2642" s="122">
        <v>26080</v>
      </c>
      <c r="R2642" s="122">
        <v>579958</v>
      </c>
      <c r="S2642" s="122">
        <v>527234</v>
      </c>
      <c r="T2642" s="122">
        <v>205711</v>
      </c>
      <c r="U2642" s="122">
        <v>76189</v>
      </c>
      <c r="V2642" s="122">
        <v>4554572</v>
      </c>
      <c r="W2642" s="122">
        <f t="shared" si="82"/>
        <v>4554571</v>
      </c>
      <c r="X2642" s="122">
        <f t="shared" si="83"/>
        <v>5355478</v>
      </c>
      <c r="AI2642" s="66"/>
    </row>
    <row r="2643" spans="2:35" ht="13">
      <c r="B2643" t="s">
        <v>385</v>
      </c>
      <c r="C2643" t="s">
        <v>64</v>
      </c>
      <c r="D2643" t="s">
        <v>427</v>
      </c>
      <c r="E2643" t="s">
        <v>427</v>
      </c>
      <c r="F2643" s="122">
        <v>1</v>
      </c>
      <c r="G2643" s="122">
        <v>75</v>
      </c>
      <c r="H2643" s="122">
        <v>579</v>
      </c>
      <c r="I2643" s="122">
        <v>34314</v>
      </c>
      <c r="J2643" s="122">
        <v>31195</v>
      </c>
      <c r="K2643" s="122">
        <v>55</v>
      </c>
      <c r="L2643" s="122">
        <v>0</v>
      </c>
      <c r="M2643" s="122">
        <v>0</v>
      </c>
      <c r="N2643" s="122">
        <v>1524</v>
      </c>
      <c r="O2643" s="122">
        <v>564</v>
      </c>
      <c r="P2643" s="122">
        <v>351</v>
      </c>
      <c r="Q2643" s="122">
        <v>130</v>
      </c>
      <c r="R2643" s="122">
        <v>7146</v>
      </c>
      <c r="S2643" s="122">
        <v>6496</v>
      </c>
      <c r="T2643" s="122">
        <v>0</v>
      </c>
      <c r="U2643" s="122">
        <v>0</v>
      </c>
      <c r="V2643" s="122">
        <v>38385</v>
      </c>
      <c r="W2643" s="122">
        <f t="shared" si="82"/>
        <v>38385</v>
      </c>
      <c r="X2643" s="122">
        <f t="shared" si="83"/>
        <v>43335</v>
      </c>
      <c r="AI2643" s="66"/>
    </row>
    <row r="2644" spans="2:35" ht="13">
      <c r="B2644" t="s">
        <v>385</v>
      </c>
      <c r="C2644" t="s">
        <v>64</v>
      </c>
      <c r="D2644" t="s">
        <v>407</v>
      </c>
      <c r="E2644" t="s">
        <v>407</v>
      </c>
      <c r="F2644" s="122">
        <v>1</v>
      </c>
      <c r="G2644" s="122">
        <v>96</v>
      </c>
      <c r="H2644" s="122">
        <v>480</v>
      </c>
      <c r="I2644" s="122">
        <v>28393</v>
      </c>
      <c r="J2644" s="122">
        <v>25811</v>
      </c>
      <c r="K2644" s="122">
        <v>65</v>
      </c>
      <c r="L2644" s="122">
        <v>7090</v>
      </c>
      <c r="M2644" s="122">
        <v>5908</v>
      </c>
      <c r="N2644" s="122">
        <v>1282</v>
      </c>
      <c r="O2644" s="122">
        <v>475</v>
      </c>
      <c r="P2644" s="122">
        <v>473</v>
      </c>
      <c r="Q2644" s="122">
        <v>175</v>
      </c>
      <c r="R2644" s="122">
        <v>5588</v>
      </c>
      <c r="S2644" s="122">
        <v>5080</v>
      </c>
      <c r="T2644" s="122">
        <v>3085</v>
      </c>
      <c r="U2644" s="122">
        <v>1142</v>
      </c>
      <c r="V2644" s="122">
        <v>38592</v>
      </c>
      <c r="W2644" s="122">
        <f t="shared" si="82"/>
        <v>38591</v>
      </c>
      <c r="X2644" s="122">
        <f t="shared" si="83"/>
        <v>45911</v>
      </c>
      <c r="AI2644" s="66"/>
    </row>
    <row r="2645" spans="2:35" ht="13">
      <c r="B2645" t="s">
        <v>385</v>
      </c>
      <c r="C2645" t="s">
        <v>64</v>
      </c>
      <c r="D2645" t="s">
        <v>556</v>
      </c>
      <c r="E2645" t="s">
        <v>137</v>
      </c>
      <c r="F2645" s="122">
        <v>13</v>
      </c>
      <c r="G2645" s="122">
        <v>832</v>
      </c>
      <c r="H2645" s="122">
        <v>11348</v>
      </c>
      <c r="I2645" s="122">
        <v>601042</v>
      </c>
      <c r="J2645" s="122">
        <v>500868</v>
      </c>
      <c r="K2645" s="122">
        <v>40</v>
      </c>
      <c r="L2645" s="122">
        <v>56288</v>
      </c>
      <c r="M2645" s="122">
        <v>34995</v>
      </c>
      <c r="N2645" s="122">
        <v>18985</v>
      </c>
      <c r="O2645" s="122">
        <v>7032</v>
      </c>
      <c r="P2645" s="122">
        <v>0</v>
      </c>
      <c r="Q2645" s="122">
        <v>0</v>
      </c>
      <c r="R2645" s="122">
        <v>60420</v>
      </c>
      <c r="S2645" s="122">
        <v>22378</v>
      </c>
      <c r="T2645" s="122">
        <v>0</v>
      </c>
      <c r="U2645" s="122">
        <v>0</v>
      </c>
      <c r="V2645" s="122">
        <v>565273</v>
      </c>
      <c r="W2645" s="122">
        <f t="shared" si="82"/>
        <v>565273</v>
      </c>
      <c r="X2645" s="122">
        <f t="shared" si="83"/>
        <v>736735</v>
      </c>
      <c r="AI2645" s="66"/>
    </row>
    <row r="2646" spans="2:35" ht="13">
      <c r="B2646" t="s">
        <v>385</v>
      </c>
      <c r="C2646" t="s">
        <v>64</v>
      </c>
      <c r="D2646" t="s">
        <v>556</v>
      </c>
      <c r="E2646" t="s">
        <v>556</v>
      </c>
      <c r="F2646" s="122">
        <v>88</v>
      </c>
      <c r="G2646" s="122">
        <v>6787</v>
      </c>
      <c r="H2646" s="122">
        <v>52502</v>
      </c>
      <c r="I2646" s="122">
        <v>2927752</v>
      </c>
      <c r="J2646" s="122">
        <v>2439793</v>
      </c>
      <c r="K2646" s="122">
        <v>53</v>
      </c>
      <c r="L2646" s="122">
        <v>324352</v>
      </c>
      <c r="M2646" s="122">
        <v>259778</v>
      </c>
      <c r="N2646" s="122">
        <v>140940</v>
      </c>
      <c r="O2646" s="122">
        <v>52200</v>
      </c>
      <c r="P2646" s="122">
        <v>29862</v>
      </c>
      <c r="Q2646" s="122">
        <v>11060</v>
      </c>
      <c r="R2646" s="122">
        <v>516446</v>
      </c>
      <c r="S2646" s="122">
        <v>430372</v>
      </c>
      <c r="T2646" s="122">
        <v>179171</v>
      </c>
      <c r="U2646" s="122">
        <v>66360</v>
      </c>
      <c r="V2646" s="122">
        <v>3259562</v>
      </c>
      <c r="W2646" s="122">
        <f t="shared" si="82"/>
        <v>3259563</v>
      </c>
      <c r="X2646" s="122">
        <f t="shared" si="83"/>
        <v>4118523</v>
      </c>
      <c r="AI2646" s="66"/>
    </row>
    <row r="2647" spans="2:35" ht="13">
      <c r="B2647" t="s">
        <v>385</v>
      </c>
      <c r="C2647" t="s">
        <v>64</v>
      </c>
      <c r="D2647" t="s">
        <v>428</v>
      </c>
      <c r="E2647" t="s">
        <v>137</v>
      </c>
      <c r="F2647" s="122">
        <v>1</v>
      </c>
      <c r="G2647" s="122">
        <v>87</v>
      </c>
      <c r="H2647" s="122">
        <v>753</v>
      </c>
      <c r="I2647" s="122">
        <v>51623</v>
      </c>
      <c r="J2647" s="122">
        <v>46930</v>
      </c>
      <c r="K2647" s="122">
        <v>30</v>
      </c>
      <c r="L2647" s="122">
        <v>0</v>
      </c>
      <c r="M2647" s="122">
        <v>0</v>
      </c>
      <c r="N2647" s="122">
        <v>1917</v>
      </c>
      <c r="O2647" s="122">
        <v>710</v>
      </c>
      <c r="P2647" s="122">
        <v>0</v>
      </c>
      <c r="Q2647" s="122">
        <v>0</v>
      </c>
      <c r="R2647" s="122">
        <v>12317</v>
      </c>
      <c r="S2647" s="122">
        <v>4562</v>
      </c>
      <c r="T2647" s="122">
        <v>0</v>
      </c>
      <c r="U2647" s="122">
        <v>0</v>
      </c>
      <c r="V2647" s="122">
        <v>52201</v>
      </c>
      <c r="W2647" s="122">
        <f t="shared" si="82"/>
        <v>52202</v>
      </c>
      <c r="X2647" s="122">
        <f t="shared" si="83"/>
        <v>65857</v>
      </c>
      <c r="AI2647" s="66"/>
    </row>
    <row r="2648" spans="2:35" ht="13">
      <c r="B2648" t="s">
        <v>385</v>
      </c>
      <c r="C2648" t="s">
        <v>64</v>
      </c>
      <c r="D2648" t="s">
        <v>428</v>
      </c>
      <c r="E2648" t="s">
        <v>428</v>
      </c>
      <c r="F2648" s="122">
        <v>11</v>
      </c>
      <c r="G2648" s="122">
        <v>869</v>
      </c>
      <c r="H2648" s="122">
        <v>6449</v>
      </c>
      <c r="I2648" s="122">
        <v>352493</v>
      </c>
      <c r="J2648" s="122">
        <v>320448</v>
      </c>
      <c r="K2648" s="122">
        <v>49</v>
      </c>
      <c r="L2648" s="122">
        <v>39304</v>
      </c>
      <c r="M2648" s="122">
        <v>33841</v>
      </c>
      <c r="N2648" s="122">
        <v>19323</v>
      </c>
      <c r="O2648" s="122">
        <v>7157</v>
      </c>
      <c r="P2648" s="122">
        <v>2808</v>
      </c>
      <c r="Q2648" s="122">
        <v>1040</v>
      </c>
      <c r="R2648" s="122">
        <v>74365</v>
      </c>
      <c r="S2648" s="122">
        <v>67604</v>
      </c>
      <c r="T2648" s="122">
        <v>17725</v>
      </c>
      <c r="U2648" s="122">
        <v>6565</v>
      </c>
      <c r="V2648" s="122">
        <v>436655</v>
      </c>
      <c r="W2648" s="122">
        <f t="shared" si="82"/>
        <v>436655</v>
      </c>
      <c r="X2648" s="122">
        <f t="shared" si="83"/>
        <v>506018</v>
      </c>
      <c r="AI2648" s="66"/>
    </row>
    <row r="2649" spans="2:35" ht="13">
      <c r="B2649" t="s">
        <v>385</v>
      </c>
      <c r="C2649" t="s">
        <v>64</v>
      </c>
      <c r="D2649" t="s">
        <v>431</v>
      </c>
      <c r="E2649" t="s">
        <v>137</v>
      </c>
      <c r="F2649" s="122">
        <v>1</v>
      </c>
      <c r="G2649" s="122">
        <v>65</v>
      </c>
      <c r="H2649" s="122">
        <v>522</v>
      </c>
      <c r="I2649" s="122">
        <v>24019</v>
      </c>
      <c r="J2649" s="122">
        <v>21835</v>
      </c>
      <c r="K2649" s="122">
        <v>65</v>
      </c>
      <c r="L2649" s="122">
        <v>4258</v>
      </c>
      <c r="M2649" s="122">
        <v>1577</v>
      </c>
      <c r="N2649" s="122">
        <v>1574</v>
      </c>
      <c r="O2649" s="122">
        <v>583</v>
      </c>
      <c r="P2649" s="122">
        <v>0</v>
      </c>
      <c r="Q2649" s="122">
        <v>0</v>
      </c>
      <c r="R2649" s="122">
        <v>3888</v>
      </c>
      <c r="S2649" s="122">
        <v>1440</v>
      </c>
      <c r="T2649" s="122">
        <v>0</v>
      </c>
      <c r="U2649" s="122">
        <v>0</v>
      </c>
      <c r="V2649" s="122">
        <v>25435</v>
      </c>
      <c r="W2649" s="122">
        <f t="shared" si="82"/>
        <v>25435</v>
      </c>
      <c r="X2649" s="122">
        <f t="shared" si="83"/>
        <v>33739</v>
      </c>
      <c r="AI2649" s="66"/>
    </row>
    <row r="2650" spans="2:35" ht="13">
      <c r="B2650" t="s">
        <v>385</v>
      </c>
      <c r="C2650" t="s">
        <v>64</v>
      </c>
      <c r="D2650" t="s">
        <v>431</v>
      </c>
      <c r="E2650" t="s">
        <v>428</v>
      </c>
      <c r="F2650" s="122">
        <v>1</v>
      </c>
      <c r="G2650" s="122">
        <v>92</v>
      </c>
      <c r="H2650" s="122">
        <v>549</v>
      </c>
      <c r="I2650" s="122">
        <v>33879</v>
      </c>
      <c r="J2650" s="122">
        <v>30799</v>
      </c>
      <c r="K2650" s="122">
        <v>45</v>
      </c>
      <c r="L2650" s="122">
        <v>5647</v>
      </c>
      <c r="M2650" s="122">
        <v>5133</v>
      </c>
      <c r="N2650" s="122">
        <v>1995</v>
      </c>
      <c r="O2650" s="122">
        <v>739</v>
      </c>
      <c r="P2650" s="122">
        <v>351</v>
      </c>
      <c r="Q2650" s="122">
        <v>130</v>
      </c>
      <c r="R2650" s="122">
        <v>6271</v>
      </c>
      <c r="S2650" s="122">
        <v>5701</v>
      </c>
      <c r="T2650" s="122">
        <v>2324</v>
      </c>
      <c r="U2650" s="122">
        <v>861</v>
      </c>
      <c r="V2650" s="122">
        <v>43363</v>
      </c>
      <c r="W2650" s="122">
        <f t="shared" si="82"/>
        <v>43363</v>
      </c>
      <c r="X2650" s="122">
        <f t="shared" si="83"/>
        <v>50467</v>
      </c>
      <c r="AI2650" s="66"/>
    </row>
    <row r="2651" spans="2:35" ht="13">
      <c r="B2651" t="s">
        <v>385</v>
      </c>
      <c r="C2651" t="s">
        <v>64</v>
      </c>
      <c r="D2651" t="s">
        <v>431</v>
      </c>
      <c r="E2651" t="s">
        <v>431</v>
      </c>
      <c r="F2651" s="122">
        <v>9</v>
      </c>
      <c r="G2651" s="122">
        <v>660</v>
      </c>
      <c r="H2651" s="122">
        <v>5850</v>
      </c>
      <c r="I2651" s="122">
        <v>295809</v>
      </c>
      <c r="J2651" s="122">
        <v>268917</v>
      </c>
      <c r="K2651" s="122">
        <v>47</v>
      </c>
      <c r="L2651" s="122">
        <v>49115</v>
      </c>
      <c r="M2651" s="122">
        <v>44650</v>
      </c>
      <c r="N2651" s="122">
        <v>14445</v>
      </c>
      <c r="O2651" s="122">
        <v>5350</v>
      </c>
      <c r="P2651" s="122">
        <v>3159</v>
      </c>
      <c r="Q2651" s="122">
        <v>1170</v>
      </c>
      <c r="R2651" s="122">
        <v>65183</v>
      </c>
      <c r="S2651" s="122">
        <v>59257</v>
      </c>
      <c r="T2651" s="122">
        <v>8563</v>
      </c>
      <c r="U2651" s="122">
        <v>3172</v>
      </c>
      <c r="V2651" s="122">
        <v>382516</v>
      </c>
      <c r="W2651" s="122">
        <f t="shared" si="82"/>
        <v>382516</v>
      </c>
      <c r="X2651" s="122">
        <f t="shared" si="83"/>
        <v>436274</v>
      </c>
      <c r="AI2651" s="66"/>
    </row>
    <row r="2652" spans="2:35" ht="13">
      <c r="B2652" t="s">
        <v>385</v>
      </c>
      <c r="C2652" t="s">
        <v>64</v>
      </c>
      <c r="D2652" t="s">
        <v>426</v>
      </c>
      <c r="E2652" t="s">
        <v>137</v>
      </c>
      <c r="F2652" s="122">
        <v>11</v>
      </c>
      <c r="G2652" s="122">
        <v>791</v>
      </c>
      <c r="H2652" s="122">
        <v>10106</v>
      </c>
      <c r="I2652" s="122">
        <v>600271</v>
      </c>
      <c r="J2652" s="122">
        <v>545701</v>
      </c>
      <c r="K2652" s="122">
        <v>46</v>
      </c>
      <c r="L2652" s="122">
        <v>77391</v>
      </c>
      <c r="M2652" s="122">
        <v>57130</v>
      </c>
      <c r="N2652" s="122">
        <v>17082</v>
      </c>
      <c r="O2652" s="122">
        <v>6327</v>
      </c>
      <c r="P2652" s="122">
        <v>702</v>
      </c>
      <c r="Q2652" s="122">
        <v>260</v>
      </c>
      <c r="R2652" s="122">
        <v>51717</v>
      </c>
      <c r="S2652" s="122">
        <v>19154</v>
      </c>
      <c r="T2652" s="122">
        <v>0</v>
      </c>
      <c r="U2652" s="122">
        <v>0</v>
      </c>
      <c r="V2652" s="122">
        <v>628572</v>
      </c>
      <c r="W2652" s="122">
        <f t="shared" si="82"/>
        <v>628572</v>
      </c>
      <c r="X2652" s="122">
        <f t="shared" si="83"/>
        <v>747163</v>
      </c>
      <c r="AI2652" s="66"/>
    </row>
    <row r="2653" spans="2:35" ht="13">
      <c r="B2653" t="s">
        <v>385</v>
      </c>
      <c r="C2653" t="s">
        <v>64</v>
      </c>
      <c r="D2653" t="s">
        <v>426</v>
      </c>
      <c r="E2653" t="s">
        <v>426</v>
      </c>
      <c r="F2653" s="122">
        <v>171</v>
      </c>
      <c r="G2653" s="122">
        <v>9098</v>
      </c>
      <c r="H2653" s="122">
        <v>97151</v>
      </c>
      <c r="I2653" s="122">
        <v>3511920</v>
      </c>
      <c r="J2653" s="122">
        <v>3192654</v>
      </c>
      <c r="K2653" s="122">
        <v>47</v>
      </c>
      <c r="L2653" s="122">
        <v>294032</v>
      </c>
      <c r="M2653" s="122">
        <v>229087</v>
      </c>
      <c r="N2653" s="122">
        <v>189499</v>
      </c>
      <c r="O2653" s="122">
        <v>70185</v>
      </c>
      <c r="P2653" s="122">
        <v>59009</v>
      </c>
      <c r="Q2653" s="122">
        <v>21855</v>
      </c>
      <c r="R2653" s="122">
        <v>941413</v>
      </c>
      <c r="S2653" s="122">
        <v>855830</v>
      </c>
      <c r="T2653" s="122">
        <v>288374</v>
      </c>
      <c r="U2653" s="122">
        <v>106805</v>
      </c>
      <c r="V2653" s="122">
        <v>4476416</v>
      </c>
      <c r="W2653" s="122">
        <f t="shared" si="82"/>
        <v>4476416</v>
      </c>
      <c r="X2653" s="122">
        <f t="shared" si="83"/>
        <v>5284247</v>
      </c>
      <c r="AI2653" s="66"/>
    </row>
    <row r="2654" spans="2:35" ht="13">
      <c r="B2654" t="s">
        <v>385</v>
      </c>
      <c r="C2654" t="s">
        <v>64</v>
      </c>
      <c r="D2654" t="s">
        <v>433</v>
      </c>
      <c r="E2654" t="s">
        <v>433</v>
      </c>
      <c r="F2654" s="122">
        <v>2</v>
      </c>
      <c r="G2654" s="122">
        <v>73</v>
      </c>
      <c r="H2654" s="122">
        <v>930</v>
      </c>
      <c r="I2654" s="122">
        <v>20221</v>
      </c>
      <c r="J2654" s="122">
        <v>18383</v>
      </c>
      <c r="K2654" s="122">
        <v>55</v>
      </c>
      <c r="L2654" s="122">
        <v>0</v>
      </c>
      <c r="M2654" s="122">
        <v>0</v>
      </c>
      <c r="N2654" s="122">
        <v>1786</v>
      </c>
      <c r="O2654" s="122">
        <v>662</v>
      </c>
      <c r="P2654" s="122">
        <v>702</v>
      </c>
      <c r="Q2654" s="122">
        <v>260</v>
      </c>
      <c r="R2654" s="122">
        <v>8133</v>
      </c>
      <c r="S2654" s="122">
        <v>7393</v>
      </c>
      <c r="T2654" s="122">
        <v>3234</v>
      </c>
      <c r="U2654" s="122">
        <v>1198</v>
      </c>
      <c r="V2654" s="122">
        <v>27896</v>
      </c>
      <c r="W2654" s="122">
        <f t="shared" si="82"/>
        <v>27896</v>
      </c>
      <c r="X2654" s="122">
        <f t="shared" si="83"/>
        <v>34076</v>
      </c>
      <c r="AI2654" s="66"/>
    </row>
    <row r="2655" spans="2:35" ht="13">
      <c r="B2655" t="s">
        <v>386</v>
      </c>
      <c r="C2655" t="s">
        <v>48</v>
      </c>
      <c r="D2655" t="s">
        <v>137</v>
      </c>
      <c r="E2655" t="s">
        <v>137</v>
      </c>
      <c r="F2655" s="122">
        <v>305</v>
      </c>
      <c r="G2655" s="122">
        <v>32565</v>
      </c>
      <c r="H2655" s="122">
        <v>14799</v>
      </c>
      <c r="I2655" s="122">
        <v>-176028</v>
      </c>
      <c r="J2655" s="122">
        <v>-65196</v>
      </c>
      <c r="K2655" s="122">
        <v>470</v>
      </c>
      <c r="L2655" s="122">
        <v>7683</v>
      </c>
      <c r="M2655" s="122">
        <v>6131</v>
      </c>
      <c r="N2655" s="122">
        <v>402191</v>
      </c>
      <c r="O2655" s="122">
        <v>148960</v>
      </c>
      <c r="P2655" s="122">
        <v>178253</v>
      </c>
      <c r="Q2655" s="122">
        <v>66020</v>
      </c>
      <c r="R2655" s="122">
        <v>1180059</v>
      </c>
      <c r="S2655" s="122">
        <v>437059</v>
      </c>
      <c r="T2655" s="122">
        <v>0</v>
      </c>
      <c r="U2655" s="122">
        <v>0</v>
      </c>
      <c r="V2655" s="122">
        <v>592974</v>
      </c>
      <c r="W2655" s="122">
        <f t="shared" si="82"/>
        <v>723366</v>
      </c>
      <c r="X2655" s="122">
        <f t="shared" si="83"/>
        <v>1944214</v>
      </c>
      <c r="AI2655" s="66"/>
    </row>
    <row r="2656" spans="2:35" ht="13">
      <c r="B2656" t="s">
        <v>386</v>
      </c>
      <c r="C2656" t="s">
        <v>48</v>
      </c>
      <c r="D2656" t="s">
        <v>406</v>
      </c>
      <c r="E2656" t="s">
        <v>406</v>
      </c>
      <c r="F2656" s="122">
        <v>262</v>
      </c>
      <c r="G2656" s="122">
        <v>28095</v>
      </c>
      <c r="H2656" s="122">
        <v>13285</v>
      </c>
      <c r="I2656" s="122">
        <v>58564</v>
      </c>
      <c r="J2656" s="122">
        <v>53240</v>
      </c>
      <c r="K2656" s="122">
        <v>95</v>
      </c>
      <c r="L2656" s="122">
        <v>20299</v>
      </c>
      <c r="M2656" s="122">
        <v>18439</v>
      </c>
      <c r="N2656" s="122">
        <v>343896</v>
      </c>
      <c r="O2656" s="122">
        <v>127369</v>
      </c>
      <c r="P2656" s="122">
        <v>164705</v>
      </c>
      <c r="Q2656" s="122">
        <v>61002</v>
      </c>
      <c r="R2656" s="122">
        <v>820065</v>
      </c>
      <c r="S2656" s="122">
        <v>745513</v>
      </c>
      <c r="T2656" s="122">
        <v>0</v>
      </c>
      <c r="U2656" s="122">
        <v>0</v>
      </c>
      <c r="V2656" s="122">
        <v>1005563</v>
      </c>
      <c r="W2656" s="122">
        <f t="shared" si="82"/>
        <v>1005563</v>
      </c>
      <c r="X2656" s="122">
        <f t="shared" si="83"/>
        <v>1407529</v>
      </c>
      <c r="AI2656" s="66"/>
    </row>
    <row r="2657" spans="2:35" ht="13">
      <c r="B2657" t="s">
        <v>386</v>
      </c>
      <c r="C2657" t="s">
        <v>48</v>
      </c>
      <c r="D2657" t="s">
        <v>407</v>
      </c>
      <c r="E2657" t="s">
        <v>407</v>
      </c>
      <c r="F2657" s="122">
        <v>3</v>
      </c>
      <c r="G2657" s="122">
        <v>343</v>
      </c>
      <c r="H2657" s="122">
        <v>175</v>
      </c>
      <c r="I2657" s="122">
        <v>2082</v>
      </c>
      <c r="J2657" s="122">
        <v>1892</v>
      </c>
      <c r="K2657" s="122">
        <v>91</v>
      </c>
      <c r="L2657" s="122">
        <v>261</v>
      </c>
      <c r="M2657" s="122">
        <v>237</v>
      </c>
      <c r="N2657" s="122">
        <v>4176</v>
      </c>
      <c r="O2657" s="122">
        <v>1547</v>
      </c>
      <c r="P2657" s="122">
        <v>1418</v>
      </c>
      <c r="Q2657" s="122">
        <v>525</v>
      </c>
      <c r="R2657" s="122">
        <v>12106</v>
      </c>
      <c r="S2657" s="122">
        <v>11005</v>
      </c>
      <c r="T2657" s="122">
        <v>0</v>
      </c>
      <c r="U2657" s="122">
        <v>0</v>
      </c>
      <c r="V2657" s="122">
        <v>15206</v>
      </c>
      <c r="W2657" s="122">
        <f t="shared" si="82"/>
        <v>15206</v>
      </c>
      <c r="X2657" s="122">
        <f t="shared" si="83"/>
        <v>20043</v>
      </c>
      <c r="AI2657" s="66"/>
    </row>
    <row r="2658" spans="2:35" ht="13">
      <c r="B2658" t="s">
        <v>386</v>
      </c>
      <c r="C2658" t="s">
        <v>50</v>
      </c>
      <c r="D2658" t="s">
        <v>137</v>
      </c>
      <c r="E2658" t="s">
        <v>137</v>
      </c>
      <c r="F2658" s="122">
        <v>49</v>
      </c>
      <c r="G2658" s="122">
        <v>4469</v>
      </c>
      <c r="H2658" s="122">
        <v>4294</v>
      </c>
      <c r="I2658" s="122">
        <v>149751</v>
      </c>
      <c r="J2658" s="122">
        <v>55463</v>
      </c>
      <c r="K2658" s="122">
        <v>400</v>
      </c>
      <c r="L2658" s="122">
        <v>35327</v>
      </c>
      <c r="M2658" s="122">
        <v>29932</v>
      </c>
      <c r="N2658" s="122">
        <v>67410</v>
      </c>
      <c r="O2658" s="122">
        <v>24967</v>
      </c>
      <c r="P2658" s="122">
        <v>17199</v>
      </c>
      <c r="Q2658" s="122">
        <v>6370</v>
      </c>
      <c r="R2658" s="122">
        <v>122404</v>
      </c>
      <c r="S2658" s="122">
        <v>45335</v>
      </c>
      <c r="T2658" s="122">
        <v>0</v>
      </c>
      <c r="U2658" s="122">
        <v>0</v>
      </c>
      <c r="V2658" s="122">
        <v>162067</v>
      </c>
      <c r="W2658" s="122">
        <f t="shared" ref="W2658:W2721" si="84">SUM(ABS(J2658),ABS(M2658),ABS(O2658),ABS(Q2658),ABS(S2658),ABS(U2658))</f>
        <v>162067</v>
      </c>
      <c r="X2658" s="122">
        <f t="shared" ref="X2658:X2721" si="85">SUM(ABS(I2658),ABS(N2658),ABS(P2658),ABS(R2658),ABS(T2658),ABS(L2658))</f>
        <v>392091</v>
      </c>
      <c r="AI2658" s="66"/>
    </row>
    <row r="2659" spans="2:35" ht="13">
      <c r="B2659" t="s">
        <v>386</v>
      </c>
      <c r="C2659" t="s">
        <v>50</v>
      </c>
      <c r="D2659" t="s">
        <v>406</v>
      </c>
      <c r="E2659" t="s">
        <v>406</v>
      </c>
      <c r="F2659" s="122">
        <v>36</v>
      </c>
      <c r="G2659" s="122">
        <v>3756</v>
      </c>
      <c r="H2659" s="122">
        <v>3170</v>
      </c>
      <c r="I2659" s="122">
        <v>147698</v>
      </c>
      <c r="J2659" s="122">
        <v>134270</v>
      </c>
      <c r="K2659" s="122">
        <v>94</v>
      </c>
      <c r="L2659" s="122">
        <v>13971</v>
      </c>
      <c r="M2659" s="122">
        <v>12701</v>
      </c>
      <c r="N2659" s="122">
        <v>46845</v>
      </c>
      <c r="O2659" s="122">
        <v>17350</v>
      </c>
      <c r="P2659" s="122">
        <v>25101</v>
      </c>
      <c r="Q2659" s="122">
        <v>9297</v>
      </c>
      <c r="R2659" s="122">
        <v>97041</v>
      </c>
      <c r="S2659" s="122">
        <v>88219</v>
      </c>
      <c r="T2659" s="122">
        <v>0</v>
      </c>
      <c r="U2659" s="122">
        <v>0</v>
      </c>
      <c r="V2659" s="122">
        <v>261837</v>
      </c>
      <c r="W2659" s="122">
        <f t="shared" si="84"/>
        <v>261837</v>
      </c>
      <c r="X2659" s="122">
        <f t="shared" si="85"/>
        <v>330656</v>
      </c>
      <c r="AI2659" s="66"/>
    </row>
    <row r="2660" spans="2:35" ht="13">
      <c r="B2660" t="s">
        <v>386</v>
      </c>
      <c r="C2660" t="s">
        <v>50</v>
      </c>
      <c r="D2660" t="s">
        <v>426</v>
      </c>
      <c r="E2660" t="s">
        <v>426</v>
      </c>
      <c r="F2660" s="122">
        <v>1</v>
      </c>
      <c r="G2660" s="122">
        <v>71</v>
      </c>
      <c r="H2660" s="122">
        <v>84</v>
      </c>
      <c r="I2660" s="122">
        <v>1357</v>
      </c>
      <c r="J2660" s="122">
        <v>1234</v>
      </c>
      <c r="K2660" s="122">
        <v>361</v>
      </c>
      <c r="L2660" s="122">
        <v>1979</v>
      </c>
      <c r="M2660" s="122">
        <v>1649</v>
      </c>
      <c r="N2660" s="122">
        <v>1057</v>
      </c>
      <c r="O2660" s="122">
        <v>391</v>
      </c>
      <c r="P2660" s="122">
        <v>351</v>
      </c>
      <c r="Q2660" s="122">
        <v>130</v>
      </c>
      <c r="R2660" s="122">
        <v>1220</v>
      </c>
      <c r="S2660" s="122">
        <v>1109</v>
      </c>
      <c r="T2660" s="122">
        <v>0</v>
      </c>
      <c r="U2660" s="122">
        <v>0</v>
      </c>
      <c r="V2660" s="122">
        <v>4513</v>
      </c>
      <c r="W2660" s="122">
        <f t="shared" si="84"/>
        <v>4513</v>
      </c>
      <c r="X2660" s="122">
        <f t="shared" si="85"/>
        <v>5964</v>
      </c>
      <c r="AI2660" s="66"/>
    </row>
    <row r="2661" spans="2:35" ht="13">
      <c r="B2661" t="s">
        <v>386</v>
      </c>
      <c r="C2661" t="s">
        <v>52</v>
      </c>
      <c r="F2661" s="122">
        <v>3</v>
      </c>
      <c r="G2661" s="122">
        <v>222</v>
      </c>
      <c r="H2661" s="122">
        <v>357</v>
      </c>
      <c r="I2661" s="122"/>
      <c r="J2661" s="122">
        <v>0</v>
      </c>
      <c r="K2661" s="122"/>
      <c r="L2661" s="122"/>
      <c r="M2661" s="122">
        <v>0</v>
      </c>
      <c r="N2661" s="122">
        <v>4066</v>
      </c>
      <c r="O2661" s="122">
        <v>1506</v>
      </c>
      <c r="P2661" s="122">
        <v>1053</v>
      </c>
      <c r="Q2661" s="122">
        <v>390</v>
      </c>
      <c r="R2661" s="122"/>
      <c r="S2661" s="122">
        <v>0</v>
      </c>
      <c r="T2661" s="122">
        <v>5993</v>
      </c>
      <c r="U2661" s="122">
        <v>2219</v>
      </c>
      <c r="V2661" s="122">
        <v>4115</v>
      </c>
      <c r="W2661" s="122">
        <f t="shared" si="84"/>
        <v>4115</v>
      </c>
      <c r="X2661" s="122">
        <f t="shared" si="85"/>
        <v>11112</v>
      </c>
      <c r="AI2661" s="66"/>
    </row>
    <row r="2662" spans="2:35" ht="13">
      <c r="B2662" t="s">
        <v>386</v>
      </c>
      <c r="C2662" t="s">
        <v>52</v>
      </c>
      <c r="D2662" t="s">
        <v>425</v>
      </c>
      <c r="E2662" t="s">
        <v>425</v>
      </c>
      <c r="F2662" s="122">
        <v>1</v>
      </c>
      <c r="G2662" s="122">
        <v>66</v>
      </c>
      <c r="H2662" s="122">
        <v>123</v>
      </c>
      <c r="I2662" s="122">
        <v>8576</v>
      </c>
      <c r="J2662" s="122">
        <v>7796</v>
      </c>
      <c r="K2662" s="122">
        <v>95</v>
      </c>
      <c r="L2662" s="122">
        <v>0</v>
      </c>
      <c r="M2662" s="122">
        <v>2743</v>
      </c>
      <c r="N2662" s="122">
        <v>2327</v>
      </c>
      <c r="O2662" s="122">
        <v>862</v>
      </c>
      <c r="P2662" s="122">
        <v>1452</v>
      </c>
      <c r="Q2662" s="122">
        <v>538</v>
      </c>
      <c r="R2662" s="122">
        <v>3330</v>
      </c>
      <c r="S2662" s="122">
        <v>3027</v>
      </c>
      <c r="T2662" s="122">
        <v>0</v>
      </c>
      <c r="U2662" s="122">
        <v>0</v>
      </c>
      <c r="V2662" s="122">
        <v>14966</v>
      </c>
      <c r="W2662" s="122">
        <f t="shared" si="84"/>
        <v>14966</v>
      </c>
      <c r="X2662" s="122">
        <f t="shared" si="85"/>
        <v>15685</v>
      </c>
      <c r="AI2662" s="66"/>
    </row>
    <row r="2663" spans="2:35" ht="13">
      <c r="B2663" t="s">
        <v>386</v>
      </c>
      <c r="C2663" t="s">
        <v>52</v>
      </c>
      <c r="D2663" t="s">
        <v>137</v>
      </c>
      <c r="E2663" t="s">
        <v>137</v>
      </c>
      <c r="F2663" s="122">
        <v>13</v>
      </c>
      <c r="G2663" s="122">
        <v>1083</v>
      </c>
      <c r="H2663" s="122">
        <v>1500</v>
      </c>
      <c r="I2663" s="122">
        <v>42417</v>
      </c>
      <c r="J2663" s="122">
        <v>15710</v>
      </c>
      <c r="K2663" s="122">
        <v>378</v>
      </c>
      <c r="L2663" s="122">
        <v>11191</v>
      </c>
      <c r="M2663" s="122">
        <v>9505</v>
      </c>
      <c r="N2663" s="122">
        <v>18286</v>
      </c>
      <c r="O2663" s="122">
        <v>6773</v>
      </c>
      <c r="P2663" s="122">
        <v>4914</v>
      </c>
      <c r="Q2663" s="122">
        <v>1820</v>
      </c>
      <c r="R2663" s="122">
        <v>47932</v>
      </c>
      <c r="S2663" s="122">
        <v>17753</v>
      </c>
      <c r="T2663" s="122">
        <v>0</v>
      </c>
      <c r="U2663" s="122">
        <v>0</v>
      </c>
      <c r="V2663" s="122">
        <v>51560</v>
      </c>
      <c r="W2663" s="122">
        <f t="shared" si="84"/>
        <v>51561</v>
      </c>
      <c r="X2663" s="122">
        <f t="shared" si="85"/>
        <v>124740</v>
      </c>
      <c r="AI2663" s="66"/>
    </row>
    <row r="2664" spans="2:35" ht="13">
      <c r="B2664" t="s">
        <v>386</v>
      </c>
      <c r="C2664" t="s">
        <v>52</v>
      </c>
      <c r="D2664" t="s">
        <v>406</v>
      </c>
      <c r="E2664" t="s">
        <v>137</v>
      </c>
      <c r="F2664" s="122">
        <v>1</v>
      </c>
      <c r="G2664" s="122">
        <v>132</v>
      </c>
      <c r="H2664" s="122">
        <v>109</v>
      </c>
      <c r="I2664" s="122">
        <v>5896</v>
      </c>
      <c r="J2664" s="122">
        <v>5360</v>
      </c>
      <c r="K2664" s="122">
        <v>96</v>
      </c>
      <c r="L2664" s="122">
        <v>2094</v>
      </c>
      <c r="M2664" s="122">
        <v>1904</v>
      </c>
      <c r="N2664" s="122">
        <v>2285</v>
      </c>
      <c r="O2664" s="122">
        <v>846</v>
      </c>
      <c r="P2664" s="122">
        <v>621</v>
      </c>
      <c r="Q2664" s="122">
        <v>230</v>
      </c>
      <c r="R2664" s="122">
        <v>3508</v>
      </c>
      <c r="S2664" s="122">
        <v>1299</v>
      </c>
      <c r="T2664" s="122">
        <v>0</v>
      </c>
      <c r="U2664" s="122">
        <v>0</v>
      </c>
      <c r="V2664" s="122">
        <v>9640</v>
      </c>
      <c r="W2664" s="122">
        <f t="shared" si="84"/>
        <v>9639</v>
      </c>
      <c r="X2664" s="122">
        <f t="shared" si="85"/>
        <v>14404</v>
      </c>
      <c r="AI2664" s="66"/>
    </row>
    <row r="2665" spans="2:35" ht="13">
      <c r="B2665" t="s">
        <v>386</v>
      </c>
      <c r="C2665" t="s">
        <v>52</v>
      </c>
      <c r="D2665" t="s">
        <v>406</v>
      </c>
      <c r="E2665" t="s">
        <v>406</v>
      </c>
      <c r="F2665" s="122">
        <v>75</v>
      </c>
      <c r="G2665" s="122">
        <v>8438</v>
      </c>
      <c r="H2665" s="122">
        <v>8832</v>
      </c>
      <c r="I2665" s="122">
        <v>444560</v>
      </c>
      <c r="J2665" s="122">
        <v>404145</v>
      </c>
      <c r="K2665" s="122">
        <v>93</v>
      </c>
      <c r="L2665" s="122">
        <v>83072</v>
      </c>
      <c r="M2665" s="122">
        <v>73915</v>
      </c>
      <c r="N2665" s="122">
        <v>123901</v>
      </c>
      <c r="O2665" s="122">
        <v>45889</v>
      </c>
      <c r="P2665" s="122">
        <v>47277</v>
      </c>
      <c r="Q2665" s="122">
        <v>17510</v>
      </c>
      <c r="R2665" s="122">
        <v>283020</v>
      </c>
      <c r="S2665" s="122">
        <v>257291</v>
      </c>
      <c r="T2665" s="122">
        <v>16661</v>
      </c>
      <c r="U2665" s="122">
        <v>6171</v>
      </c>
      <c r="V2665" s="122">
        <v>804921</v>
      </c>
      <c r="W2665" s="122">
        <f t="shared" si="84"/>
        <v>804921</v>
      </c>
      <c r="X2665" s="122">
        <f t="shared" si="85"/>
        <v>998491</v>
      </c>
      <c r="AI2665" s="66"/>
    </row>
    <row r="2666" spans="2:35" ht="13">
      <c r="B2666" t="s">
        <v>386</v>
      </c>
      <c r="C2666" t="s">
        <v>54</v>
      </c>
      <c r="F2666" s="122">
        <v>2</v>
      </c>
      <c r="G2666" s="122">
        <v>124</v>
      </c>
      <c r="H2666" s="122">
        <v>298</v>
      </c>
      <c r="I2666" s="122"/>
      <c r="J2666" s="122">
        <v>0</v>
      </c>
      <c r="K2666" s="122"/>
      <c r="L2666" s="122"/>
      <c r="M2666" s="122">
        <v>0</v>
      </c>
      <c r="N2666" s="122">
        <v>2045</v>
      </c>
      <c r="O2666" s="122">
        <v>757</v>
      </c>
      <c r="P2666" s="122">
        <v>702</v>
      </c>
      <c r="Q2666" s="122">
        <v>260</v>
      </c>
      <c r="R2666" s="122"/>
      <c r="S2666" s="122">
        <v>0</v>
      </c>
      <c r="T2666" s="122">
        <v>0</v>
      </c>
      <c r="U2666" s="122">
        <v>0</v>
      </c>
      <c r="V2666" s="122">
        <v>1017</v>
      </c>
      <c r="W2666" s="122">
        <f t="shared" si="84"/>
        <v>1017</v>
      </c>
      <c r="X2666" s="122">
        <f t="shared" si="85"/>
        <v>2747</v>
      </c>
      <c r="AI2666" s="66"/>
    </row>
    <row r="2667" spans="2:35" ht="13">
      <c r="B2667" t="s">
        <v>386</v>
      </c>
      <c r="C2667" t="s">
        <v>54</v>
      </c>
      <c r="D2667" t="s">
        <v>425</v>
      </c>
      <c r="E2667" t="s">
        <v>425</v>
      </c>
      <c r="F2667" s="122">
        <v>1</v>
      </c>
      <c r="G2667" s="122">
        <v>87</v>
      </c>
      <c r="H2667" s="122">
        <v>137</v>
      </c>
      <c r="I2667" s="122">
        <v>4613</v>
      </c>
      <c r="J2667" s="122">
        <v>4194</v>
      </c>
      <c r="K2667" s="122">
        <v>90</v>
      </c>
      <c r="L2667" s="122">
        <v>1538</v>
      </c>
      <c r="M2667" s="122">
        <v>1398</v>
      </c>
      <c r="N2667" s="122">
        <v>1055</v>
      </c>
      <c r="O2667" s="122">
        <v>391</v>
      </c>
      <c r="P2667" s="122">
        <v>1175</v>
      </c>
      <c r="Q2667" s="122">
        <v>435</v>
      </c>
      <c r="R2667" s="122">
        <v>3471</v>
      </c>
      <c r="S2667" s="122">
        <v>3155</v>
      </c>
      <c r="T2667" s="122">
        <v>0</v>
      </c>
      <c r="U2667" s="122">
        <v>0</v>
      </c>
      <c r="V2667" s="122">
        <v>9573</v>
      </c>
      <c r="W2667" s="122">
        <f t="shared" si="84"/>
        <v>9573</v>
      </c>
      <c r="X2667" s="122">
        <f t="shared" si="85"/>
        <v>11852</v>
      </c>
      <c r="AI2667" s="66"/>
    </row>
    <row r="2668" spans="2:35" ht="13">
      <c r="B2668" t="s">
        <v>386</v>
      </c>
      <c r="C2668" t="s">
        <v>54</v>
      </c>
      <c r="D2668" t="s">
        <v>405</v>
      </c>
      <c r="E2668" t="s">
        <v>405</v>
      </c>
      <c r="F2668" s="122">
        <v>22</v>
      </c>
      <c r="G2668" s="122">
        <v>2641</v>
      </c>
      <c r="H2668" s="122">
        <v>3132</v>
      </c>
      <c r="I2668" s="122">
        <v>168075</v>
      </c>
      <c r="J2668" s="122">
        <v>152796</v>
      </c>
      <c r="K2668" s="122">
        <v>86</v>
      </c>
      <c r="L2668" s="122">
        <v>33198</v>
      </c>
      <c r="M2668" s="122">
        <v>29965</v>
      </c>
      <c r="N2668" s="122">
        <v>51435</v>
      </c>
      <c r="O2668" s="122">
        <v>19050</v>
      </c>
      <c r="P2668" s="122">
        <v>9923</v>
      </c>
      <c r="Q2668" s="122">
        <v>3675</v>
      </c>
      <c r="R2668" s="122">
        <v>112669</v>
      </c>
      <c r="S2668" s="122">
        <v>102426</v>
      </c>
      <c r="T2668" s="122">
        <v>3019</v>
      </c>
      <c r="U2668" s="122">
        <v>1118</v>
      </c>
      <c r="V2668" s="122">
        <v>309030</v>
      </c>
      <c r="W2668" s="122">
        <f t="shared" si="84"/>
        <v>309030</v>
      </c>
      <c r="X2668" s="122">
        <f t="shared" si="85"/>
        <v>378319</v>
      </c>
      <c r="AI2668" s="66"/>
    </row>
    <row r="2669" spans="2:35" ht="13">
      <c r="B2669" t="s">
        <v>386</v>
      </c>
      <c r="C2669" t="s">
        <v>54</v>
      </c>
      <c r="D2669" t="s">
        <v>137</v>
      </c>
      <c r="E2669" t="s">
        <v>137</v>
      </c>
      <c r="F2669" s="122">
        <v>42</v>
      </c>
      <c r="G2669" s="122">
        <v>3249</v>
      </c>
      <c r="H2669" s="122">
        <v>6079</v>
      </c>
      <c r="I2669" s="122">
        <v>250759</v>
      </c>
      <c r="J2669" s="122">
        <v>92874</v>
      </c>
      <c r="K2669" s="122">
        <v>326</v>
      </c>
      <c r="L2669" s="122">
        <v>10386</v>
      </c>
      <c r="M2669" s="122">
        <v>7867</v>
      </c>
      <c r="N2669" s="122">
        <v>74709</v>
      </c>
      <c r="O2669" s="122">
        <v>27670</v>
      </c>
      <c r="P2669" s="122">
        <v>37048</v>
      </c>
      <c r="Q2669" s="122">
        <v>13722</v>
      </c>
      <c r="R2669" s="122">
        <v>95411</v>
      </c>
      <c r="S2669" s="122">
        <v>35337</v>
      </c>
      <c r="T2669" s="122">
        <v>0</v>
      </c>
      <c r="U2669" s="122">
        <v>0</v>
      </c>
      <c r="V2669" s="122">
        <v>177470</v>
      </c>
      <c r="W2669" s="122">
        <f t="shared" si="84"/>
        <v>177470</v>
      </c>
      <c r="X2669" s="122">
        <f t="shared" si="85"/>
        <v>468313</v>
      </c>
      <c r="AI2669" s="66"/>
    </row>
    <row r="2670" spans="2:35" ht="13">
      <c r="B2670" t="s">
        <v>386</v>
      </c>
      <c r="C2670" t="s">
        <v>54</v>
      </c>
      <c r="D2670" t="s">
        <v>406</v>
      </c>
      <c r="E2670" t="s">
        <v>406</v>
      </c>
      <c r="F2670" s="122">
        <v>278</v>
      </c>
      <c r="G2670" s="122">
        <v>28513</v>
      </c>
      <c r="H2670" s="122">
        <v>39203</v>
      </c>
      <c r="I2670" s="122">
        <v>1794864</v>
      </c>
      <c r="J2670" s="122">
        <v>1631695</v>
      </c>
      <c r="K2670" s="122">
        <v>90</v>
      </c>
      <c r="L2670" s="122">
        <v>399806</v>
      </c>
      <c r="M2670" s="122">
        <v>358995</v>
      </c>
      <c r="N2670" s="122">
        <v>506366</v>
      </c>
      <c r="O2670" s="122">
        <v>187543</v>
      </c>
      <c r="P2670" s="122">
        <v>177240</v>
      </c>
      <c r="Q2670" s="122">
        <v>65644</v>
      </c>
      <c r="R2670" s="122">
        <v>1105861</v>
      </c>
      <c r="S2670" s="122">
        <v>1005328</v>
      </c>
      <c r="T2670" s="122">
        <v>97589</v>
      </c>
      <c r="U2670" s="122">
        <v>36144</v>
      </c>
      <c r="V2670" s="122">
        <v>3285349</v>
      </c>
      <c r="W2670" s="122">
        <f t="shared" si="84"/>
        <v>3285349</v>
      </c>
      <c r="X2670" s="122">
        <f t="shared" si="85"/>
        <v>4081726</v>
      </c>
      <c r="AI2670" s="66"/>
    </row>
    <row r="2671" spans="2:35" ht="13">
      <c r="B2671" t="s">
        <v>386</v>
      </c>
      <c r="C2671" t="s">
        <v>54</v>
      </c>
      <c r="D2671" t="s">
        <v>407</v>
      </c>
      <c r="E2671" t="s">
        <v>407</v>
      </c>
      <c r="F2671" s="122">
        <v>7</v>
      </c>
      <c r="G2671" s="122">
        <v>859</v>
      </c>
      <c r="H2671" s="122">
        <v>998</v>
      </c>
      <c r="I2671" s="122">
        <v>58027</v>
      </c>
      <c r="J2671" s="122">
        <v>52752</v>
      </c>
      <c r="K2671" s="122">
        <v>85</v>
      </c>
      <c r="L2671" s="122">
        <v>4461</v>
      </c>
      <c r="M2671" s="122">
        <v>4055</v>
      </c>
      <c r="N2671" s="122">
        <v>16878</v>
      </c>
      <c r="O2671" s="122">
        <v>6251</v>
      </c>
      <c r="P2671" s="122">
        <v>3308</v>
      </c>
      <c r="Q2671" s="122">
        <v>1225</v>
      </c>
      <c r="R2671" s="122">
        <v>36921</v>
      </c>
      <c r="S2671" s="122">
        <v>33564</v>
      </c>
      <c r="T2671" s="122">
        <v>2772</v>
      </c>
      <c r="U2671" s="122">
        <v>1027</v>
      </c>
      <c r="V2671" s="122">
        <v>98875</v>
      </c>
      <c r="W2671" s="122">
        <f t="shared" si="84"/>
        <v>98874</v>
      </c>
      <c r="X2671" s="122">
        <f t="shared" si="85"/>
        <v>122367</v>
      </c>
      <c r="AI2671" s="66"/>
    </row>
    <row r="2672" spans="2:35" ht="13">
      <c r="B2672" t="s">
        <v>386</v>
      </c>
      <c r="C2672" t="s">
        <v>56</v>
      </c>
      <c r="F2672" s="122">
        <v>8</v>
      </c>
      <c r="G2672" s="122">
        <v>296</v>
      </c>
      <c r="H2672" s="122">
        <v>1371</v>
      </c>
      <c r="I2672" s="122"/>
      <c r="J2672" s="122">
        <v>0</v>
      </c>
      <c r="K2672" s="122"/>
      <c r="L2672" s="122"/>
      <c r="M2672" s="122">
        <v>0</v>
      </c>
      <c r="N2672" s="122">
        <v>6921</v>
      </c>
      <c r="O2672" s="122">
        <v>2563</v>
      </c>
      <c r="P2672" s="122">
        <v>0</v>
      </c>
      <c r="Q2672" s="122">
        <v>0</v>
      </c>
      <c r="R2672" s="122"/>
      <c r="S2672" s="122">
        <v>0</v>
      </c>
      <c r="T2672" s="122">
        <v>0</v>
      </c>
      <c r="U2672" s="122">
        <v>0</v>
      </c>
      <c r="V2672" s="122">
        <v>2563</v>
      </c>
      <c r="W2672" s="122">
        <f t="shared" si="84"/>
        <v>2563</v>
      </c>
      <c r="X2672" s="122">
        <f t="shared" si="85"/>
        <v>6921</v>
      </c>
      <c r="AI2672" s="66"/>
    </row>
    <row r="2673" spans="2:35" ht="13">
      <c r="B2673" t="s">
        <v>386</v>
      </c>
      <c r="C2673" t="s">
        <v>56</v>
      </c>
      <c r="D2673" t="s">
        <v>425</v>
      </c>
      <c r="E2673" t="s">
        <v>425</v>
      </c>
      <c r="F2673" s="122">
        <v>8</v>
      </c>
      <c r="G2673" s="122">
        <v>867</v>
      </c>
      <c r="H2673" s="122">
        <v>1512</v>
      </c>
      <c r="I2673" s="122">
        <v>80469</v>
      </c>
      <c r="J2673" s="122">
        <v>73154</v>
      </c>
      <c r="K2673" s="122">
        <v>82</v>
      </c>
      <c r="L2673" s="122">
        <v>21447</v>
      </c>
      <c r="M2673" s="122">
        <v>17967</v>
      </c>
      <c r="N2673" s="122">
        <v>15211</v>
      </c>
      <c r="O2673" s="122">
        <v>5634</v>
      </c>
      <c r="P2673" s="122">
        <v>3659</v>
      </c>
      <c r="Q2673" s="122">
        <v>1355</v>
      </c>
      <c r="R2673" s="122">
        <v>37468</v>
      </c>
      <c r="S2673" s="122">
        <v>34061</v>
      </c>
      <c r="T2673" s="122">
        <v>5165</v>
      </c>
      <c r="U2673" s="122">
        <v>1913</v>
      </c>
      <c r="V2673" s="122">
        <v>134084</v>
      </c>
      <c r="W2673" s="122">
        <f t="shared" si="84"/>
        <v>134084</v>
      </c>
      <c r="X2673" s="122">
        <f t="shared" si="85"/>
        <v>163419</v>
      </c>
      <c r="AI2673" s="66"/>
    </row>
    <row r="2674" spans="2:35" ht="13">
      <c r="B2674" t="s">
        <v>386</v>
      </c>
      <c r="C2674" t="s">
        <v>56</v>
      </c>
      <c r="D2674" t="s">
        <v>425</v>
      </c>
      <c r="E2674" t="s">
        <v>406</v>
      </c>
      <c r="F2674" s="122">
        <v>2</v>
      </c>
      <c r="G2674" s="122">
        <v>194</v>
      </c>
      <c r="H2674" s="122">
        <v>342</v>
      </c>
      <c r="I2674" s="122">
        <v>12807</v>
      </c>
      <c r="J2674" s="122">
        <v>11643</v>
      </c>
      <c r="K2674" s="122">
        <v>85</v>
      </c>
      <c r="L2674" s="122">
        <v>3846</v>
      </c>
      <c r="M2674" s="122">
        <v>3497</v>
      </c>
      <c r="N2674" s="122">
        <v>3888</v>
      </c>
      <c r="O2674" s="122">
        <v>1440</v>
      </c>
      <c r="P2674" s="122">
        <v>1242</v>
      </c>
      <c r="Q2674" s="122">
        <v>460</v>
      </c>
      <c r="R2674" s="122">
        <v>9060</v>
      </c>
      <c r="S2674" s="122">
        <v>8237</v>
      </c>
      <c r="T2674" s="122">
        <v>2351</v>
      </c>
      <c r="U2674" s="122">
        <v>871</v>
      </c>
      <c r="V2674" s="122">
        <v>26147</v>
      </c>
      <c r="W2674" s="122">
        <f t="shared" si="84"/>
        <v>26148</v>
      </c>
      <c r="X2674" s="122">
        <f t="shared" si="85"/>
        <v>33194</v>
      </c>
      <c r="AI2674" s="66"/>
    </row>
    <row r="2675" spans="2:35" ht="13">
      <c r="B2675" t="s">
        <v>386</v>
      </c>
      <c r="C2675" t="s">
        <v>56</v>
      </c>
      <c r="D2675" t="s">
        <v>405</v>
      </c>
      <c r="E2675" t="s">
        <v>405</v>
      </c>
      <c r="F2675" s="122">
        <v>79</v>
      </c>
      <c r="G2675" s="122">
        <v>7848</v>
      </c>
      <c r="H2675" s="122">
        <v>14785</v>
      </c>
      <c r="I2675" s="122">
        <v>738873</v>
      </c>
      <c r="J2675" s="122">
        <v>671703</v>
      </c>
      <c r="K2675" s="122">
        <v>82</v>
      </c>
      <c r="L2675" s="122">
        <v>177424</v>
      </c>
      <c r="M2675" s="122">
        <v>153039</v>
      </c>
      <c r="N2675" s="122">
        <v>144379</v>
      </c>
      <c r="O2675" s="122">
        <v>53474</v>
      </c>
      <c r="P2675" s="122">
        <v>35789</v>
      </c>
      <c r="Q2675" s="122">
        <v>13255</v>
      </c>
      <c r="R2675" s="122">
        <v>344549</v>
      </c>
      <c r="S2675" s="122">
        <v>313226</v>
      </c>
      <c r="T2675" s="122">
        <v>34484</v>
      </c>
      <c r="U2675" s="122">
        <v>12772</v>
      </c>
      <c r="V2675" s="122">
        <v>1217468</v>
      </c>
      <c r="W2675" s="122">
        <f t="shared" si="84"/>
        <v>1217469</v>
      </c>
      <c r="X2675" s="122">
        <f t="shared" si="85"/>
        <v>1475498</v>
      </c>
      <c r="AI2675" s="66"/>
    </row>
    <row r="2676" spans="2:35" ht="13">
      <c r="B2676" t="s">
        <v>386</v>
      </c>
      <c r="C2676" t="s">
        <v>56</v>
      </c>
      <c r="D2676" t="s">
        <v>405</v>
      </c>
      <c r="E2676" t="s">
        <v>407</v>
      </c>
      <c r="F2676" s="122">
        <v>1</v>
      </c>
      <c r="G2676" s="122">
        <v>145</v>
      </c>
      <c r="H2676" s="122">
        <v>184</v>
      </c>
      <c r="I2676" s="122">
        <v>12235</v>
      </c>
      <c r="J2676" s="122">
        <v>11123</v>
      </c>
      <c r="K2676" s="122">
        <v>73</v>
      </c>
      <c r="L2676" s="122">
        <v>3145</v>
      </c>
      <c r="M2676" s="122">
        <v>2859</v>
      </c>
      <c r="N2676" s="122">
        <v>3286</v>
      </c>
      <c r="O2676" s="122">
        <v>1217</v>
      </c>
      <c r="P2676" s="122">
        <v>473</v>
      </c>
      <c r="Q2676" s="122">
        <v>175</v>
      </c>
      <c r="R2676" s="122">
        <v>7514</v>
      </c>
      <c r="S2676" s="122">
        <v>6831</v>
      </c>
      <c r="T2676" s="122">
        <v>0</v>
      </c>
      <c r="U2676" s="122">
        <v>0</v>
      </c>
      <c r="V2676" s="122">
        <v>22205</v>
      </c>
      <c r="W2676" s="122">
        <f t="shared" si="84"/>
        <v>22205</v>
      </c>
      <c r="X2676" s="122">
        <f t="shared" si="85"/>
        <v>26653</v>
      </c>
      <c r="AI2676" s="66"/>
    </row>
    <row r="2677" spans="2:35" ht="13">
      <c r="B2677" t="s">
        <v>386</v>
      </c>
      <c r="C2677" t="s">
        <v>56</v>
      </c>
      <c r="D2677" t="s">
        <v>137</v>
      </c>
      <c r="E2677" t="s">
        <v>137</v>
      </c>
      <c r="F2677" s="122">
        <v>77</v>
      </c>
      <c r="G2677" s="122">
        <v>7132</v>
      </c>
      <c r="H2677" s="122">
        <v>15638</v>
      </c>
      <c r="I2677" s="122">
        <v>703309</v>
      </c>
      <c r="J2677" s="122">
        <v>260485</v>
      </c>
      <c r="K2677" s="122">
        <v>129</v>
      </c>
      <c r="L2677" s="122">
        <v>97002</v>
      </c>
      <c r="M2677" s="122">
        <v>58745</v>
      </c>
      <c r="N2677" s="122">
        <v>134632</v>
      </c>
      <c r="O2677" s="122">
        <v>49864</v>
      </c>
      <c r="P2677" s="122">
        <v>9011</v>
      </c>
      <c r="Q2677" s="122">
        <v>3337</v>
      </c>
      <c r="R2677" s="122">
        <v>524572</v>
      </c>
      <c r="S2677" s="122">
        <v>194286</v>
      </c>
      <c r="T2677" s="122">
        <v>0</v>
      </c>
      <c r="U2677" s="122">
        <v>0</v>
      </c>
      <c r="V2677" s="122">
        <v>566716</v>
      </c>
      <c r="W2677" s="122">
        <f t="shared" si="84"/>
        <v>566717</v>
      </c>
      <c r="X2677" s="122">
        <f t="shared" si="85"/>
        <v>1468526</v>
      </c>
      <c r="AI2677" s="66"/>
    </row>
    <row r="2678" spans="2:35" ht="13">
      <c r="B2678" t="s">
        <v>386</v>
      </c>
      <c r="C2678" t="s">
        <v>56</v>
      </c>
      <c r="D2678" t="s">
        <v>406</v>
      </c>
      <c r="E2678" t="s">
        <v>425</v>
      </c>
      <c r="F2678" s="122">
        <v>3</v>
      </c>
      <c r="G2678" s="122">
        <v>221</v>
      </c>
      <c r="H2678" s="122">
        <v>613</v>
      </c>
      <c r="I2678" s="122">
        <v>21233</v>
      </c>
      <c r="J2678" s="122">
        <v>19303</v>
      </c>
      <c r="K2678" s="122">
        <v>92</v>
      </c>
      <c r="L2678" s="122">
        <v>3769</v>
      </c>
      <c r="M2678" s="122">
        <v>3427</v>
      </c>
      <c r="N2678" s="122">
        <v>5154</v>
      </c>
      <c r="O2678" s="122">
        <v>1909</v>
      </c>
      <c r="P2678" s="122">
        <v>1863</v>
      </c>
      <c r="Q2678" s="122">
        <v>690</v>
      </c>
      <c r="R2678" s="122">
        <v>10092</v>
      </c>
      <c r="S2678" s="122">
        <v>9175</v>
      </c>
      <c r="T2678" s="122">
        <v>2337</v>
      </c>
      <c r="U2678" s="122">
        <v>866</v>
      </c>
      <c r="V2678" s="122">
        <v>35369</v>
      </c>
      <c r="W2678" s="122">
        <f t="shared" si="84"/>
        <v>35370</v>
      </c>
      <c r="X2678" s="122">
        <f t="shared" si="85"/>
        <v>44448</v>
      </c>
      <c r="AI2678" s="66"/>
    </row>
    <row r="2679" spans="2:35" ht="13">
      <c r="B2679" t="s">
        <v>386</v>
      </c>
      <c r="C2679" t="s">
        <v>56</v>
      </c>
      <c r="D2679" t="s">
        <v>406</v>
      </c>
      <c r="E2679" t="s">
        <v>137</v>
      </c>
      <c r="F2679" s="122">
        <v>3</v>
      </c>
      <c r="G2679" s="122">
        <v>256</v>
      </c>
      <c r="H2679" s="122">
        <v>589</v>
      </c>
      <c r="I2679" s="122">
        <v>24727</v>
      </c>
      <c r="J2679" s="122">
        <v>22479</v>
      </c>
      <c r="K2679" s="122">
        <v>86</v>
      </c>
      <c r="L2679" s="122">
        <v>3494</v>
      </c>
      <c r="M2679" s="122">
        <v>3176</v>
      </c>
      <c r="N2679" s="122">
        <v>4602</v>
      </c>
      <c r="O2679" s="122">
        <v>1705</v>
      </c>
      <c r="P2679" s="122">
        <v>1863</v>
      </c>
      <c r="Q2679" s="122">
        <v>690</v>
      </c>
      <c r="R2679" s="122">
        <v>17294</v>
      </c>
      <c r="S2679" s="122">
        <v>6405</v>
      </c>
      <c r="T2679" s="122">
        <v>0</v>
      </c>
      <c r="U2679" s="122">
        <v>0</v>
      </c>
      <c r="V2679" s="122">
        <v>34455</v>
      </c>
      <c r="W2679" s="122">
        <f t="shared" si="84"/>
        <v>34455</v>
      </c>
      <c r="X2679" s="122">
        <f t="shared" si="85"/>
        <v>51980</v>
      </c>
      <c r="AI2679" s="66"/>
    </row>
    <row r="2680" spans="2:35" ht="13">
      <c r="B2680" t="s">
        <v>386</v>
      </c>
      <c r="C2680" t="s">
        <v>56</v>
      </c>
      <c r="D2680" t="s">
        <v>406</v>
      </c>
      <c r="E2680" t="s">
        <v>406</v>
      </c>
      <c r="F2680" s="122">
        <v>3905</v>
      </c>
      <c r="G2680" s="122">
        <v>383938</v>
      </c>
      <c r="H2680" s="122">
        <v>751413</v>
      </c>
      <c r="I2680" s="122">
        <v>33927967</v>
      </c>
      <c r="J2680" s="122">
        <v>30843606</v>
      </c>
      <c r="K2680" s="122">
        <v>85</v>
      </c>
      <c r="L2680" s="122">
        <v>8448782</v>
      </c>
      <c r="M2680" s="122">
        <v>8082311</v>
      </c>
      <c r="N2680" s="122">
        <v>7464907</v>
      </c>
      <c r="O2680" s="122">
        <v>2764780</v>
      </c>
      <c r="P2680" s="122">
        <v>2485661</v>
      </c>
      <c r="Q2680" s="122">
        <v>920615</v>
      </c>
      <c r="R2680" s="122">
        <v>16291399</v>
      </c>
      <c r="S2680" s="122">
        <v>14810362</v>
      </c>
      <c r="T2680" s="122">
        <v>5730896</v>
      </c>
      <c r="U2680" s="122">
        <v>2122554</v>
      </c>
      <c r="V2680" s="122">
        <v>59544229</v>
      </c>
      <c r="W2680" s="122">
        <f t="shared" si="84"/>
        <v>59544228</v>
      </c>
      <c r="X2680" s="122">
        <f t="shared" si="85"/>
        <v>74349612</v>
      </c>
      <c r="AI2680" s="66"/>
    </row>
    <row r="2681" spans="2:35" ht="13">
      <c r="B2681" t="s">
        <v>386</v>
      </c>
      <c r="C2681" t="s">
        <v>56</v>
      </c>
      <c r="D2681" t="s">
        <v>406</v>
      </c>
      <c r="E2681" t="s">
        <v>427</v>
      </c>
      <c r="F2681" s="122">
        <v>4</v>
      </c>
      <c r="G2681" s="122">
        <v>457</v>
      </c>
      <c r="H2681" s="122">
        <v>703</v>
      </c>
      <c r="I2681" s="122">
        <v>37211</v>
      </c>
      <c r="J2681" s="122">
        <v>33828</v>
      </c>
      <c r="K2681" s="122">
        <v>88</v>
      </c>
      <c r="L2681" s="122">
        <v>6375</v>
      </c>
      <c r="M2681" s="122">
        <v>5796</v>
      </c>
      <c r="N2681" s="122">
        <v>9194</v>
      </c>
      <c r="O2681" s="122">
        <v>3405</v>
      </c>
      <c r="P2681" s="122">
        <v>2835</v>
      </c>
      <c r="Q2681" s="122">
        <v>1050</v>
      </c>
      <c r="R2681" s="122">
        <v>20153</v>
      </c>
      <c r="S2681" s="122">
        <v>18321</v>
      </c>
      <c r="T2681" s="122">
        <v>4730</v>
      </c>
      <c r="U2681" s="122">
        <v>1752</v>
      </c>
      <c r="V2681" s="122">
        <v>64151</v>
      </c>
      <c r="W2681" s="122">
        <f t="shared" si="84"/>
        <v>64152</v>
      </c>
      <c r="X2681" s="122">
        <f t="shared" si="85"/>
        <v>80498</v>
      </c>
      <c r="AI2681" s="66"/>
    </row>
    <row r="2682" spans="2:35" ht="13">
      <c r="B2682" t="s">
        <v>386</v>
      </c>
      <c r="C2682" t="s">
        <v>56</v>
      </c>
      <c r="D2682" t="s">
        <v>406</v>
      </c>
      <c r="E2682" t="s">
        <v>556</v>
      </c>
      <c r="F2682" s="122">
        <v>2</v>
      </c>
      <c r="G2682" s="122">
        <v>192</v>
      </c>
      <c r="H2682" s="122">
        <v>420</v>
      </c>
      <c r="I2682" s="122">
        <v>19127</v>
      </c>
      <c r="J2682" s="122">
        <v>17389</v>
      </c>
      <c r="K2682" s="122">
        <v>85</v>
      </c>
      <c r="L2682" s="122">
        <v>5738</v>
      </c>
      <c r="M2682" s="122">
        <v>5217</v>
      </c>
      <c r="N2682" s="122">
        <v>3376</v>
      </c>
      <c r="O2682" s="122">
        <v>1250</v>
      </c>
      <c r="P2682" s="122">
        <v>1242</v>
      </c>
      <c r="Q2682" s="122">
        <v>460</v>
      </c>
      <c r="R2682" s="122">
        <v>6307</v>
      </c>
      <c r="S2682" s="122">
        <v>5256</v>
      </c>
      <c r="T2682" s="122">
        <v>4577</v>
      </c>
      <c r="U2682" s="122">
        <v>1695</v>
      </c>
      <c r="V2682" s="122">
        <v>31267</v>
      </c>
      <c r="W2682" s="122">
        <f t="shared" si="84"/>
        <v>31267</v>
      </c>
      <c r="X2682" s="122">
        <f t="shared" si="85"/>
        <v>40367</v>
      </c>
      <c r="AI2682" s="66"/>
    </row>
    <row r="2683" spans="2:35" ht="13">
      <c r="B2683" t="s">
        <v>386</v>
      </c>
      <c r="C2683" t="s">
        <v>56</v>
      </c>
      <c r="D2683" t="s">
        <v>427</v>
      </c>
      <c r="E2683" t="s">
        <v>406</v>
      </c>
      <c r="F2683" s="122">
        <v>1</v>
      </c>
      <c r="G2683" s="122">
        <v>72</v>
      </c>
      <c r="H2683" s="122">
        <v>196</v>
      </c>
      <c r="I2683" s="122">
        <v>5230</v>
      </c>
      <c r="J2683" s="122">
        <v>4755</v>
      </c>
      <c r="K2683" s="122">
        <v>93</v>
      </c>
      <c r="L2683" s="122">
        <v>1017</v>
      </c>
      <c r="M2683" s="122">
        <v>847</v>
      </c>
      <c r="N2683" s="122">
        <v>1483</v>
      </c>
      <c r="O2683" s="122">
        <v>549</v>
      </c>
      <c r="P2683" s="122">
        <v>621</v>
      </c>
      <c r="Q2683" s="122">
        <v>230</v>
      </c>
      <c r="R2683" s="122">
        <v>3279</v>
      </c>
      <c r="S2683" s="122">
        <v>2981</v>
      </c>
      <c r="T2683" s="122">
        <v>2408</v>
      </c>
      <c r="U2683" s="122">
        <v>892</v>
      </c>
      <c r="V2683" s="122">
        <v>10254</v>
      </c>
      <c r="W2683" s="122">
        <f t="shared" si="84"/>
        <v>10254</v>
      </c>
      <c r="X2683" s="122">
        <f t="shared" si="85"/>
        <v>14038</v>
      </c>
      <c r="AI2683" s="66"/>
    </row>
    <row r="2684" spans="2:35" ht="13">
      <c r="B2684" t="s">
        <v>386</v>
      </c>
      <c r="C2684" t="s">
        <v>56</v>
      </c>
      <c r="D2684" t="s">
        <v>427</v>
      </c>
      <c r="E2684" t="s">
        <v>427</v>
      </c>
      <c r="F2684" s="122">
        <v>1</v>
      </c>
      <c r="G2684" s="122">
        <v>134</v>
      </c>
      <c r="H2684" s="122">
        <v>196</v>
      </c>
      <c r="I2684" s="122">
        <v>13310</v>
      </c>
      <c r="J2684" s="122">
        <v>12100</v>
      </c>
      <c r="K2684" s="122">
        <v>65</v>
      </c>
      <c r="L2684" s="122">
        <v>1748</v>
      </c>
      <c r="M2684" s="122">
        <v>1589</v>
      </c>
      <c r="N2684" s="122">
        <v>3026</v>
      </c>
      <c r="O2684" s="122">
        <v>1121</v>
      </c>
      <c r="P2684" s="122">
        <v>351</v>
      </c>
      <c r="Q2684" s="122">
        <v>130</v>
      </c>
      <c r="R2684" s="122">
        <v>5001</v>
      </c>
      <c r="S2684" s="122">
        <v>4547</v>
      </c>
      <c r="T2684" s="122">
        <v>2843</v>
      </c>
      <c r="U2684" s="122">
        <v>1053</v>
      </c>
      <c r="V2684" s="122">
        <v>20539</v>
      </c>
      <c r="W2684" s="122">
        <f t="shared" si="84"/>
        <v>20540</v>
      </c>
      <c r="X2684" s="122">
        <f t="shared" si="85"/>
        <v>26279</v>
      </c>
      <c r="AI2684" s="66"/>
    </row>
    <row r="2685" spans="2:35" ht="13">
      <c r="B2685" t="s">
        <v>386</v>
      </c>
      <c r="C2685" t="s">
        <v>56</v>
      </c>
      <c r="D2685" t="s">
        <v>407</v>
      </c>
      <c r="E2685" t="s">
        <v>137</v>
      </c>
      <c r="F2685" s="122">
        <v>2</v>
      </c>
      <c r="G2685" s="122">
        <v>215</v>
      </c>
      <c r="H2685" s="122">
        <v>375</v>
      </c>
      <c r="I2685" s="122">
        <v>21137</v>
      </c>
      <c r="J2685" s="122">
        <v>19216</v>
      </c>
      <c r="K2685" s="122">
        <v>76</v>
      </c>
      <c r="L2685" s="122">
        <v>2290</v>
      </c>
      <c r="M2685" s="122">
        <v>848</v>
      </c>
      <c r="N2685" s="122">
        <v>3777</v>
      </c>
      <c r="O2685" s="122">
        <v>1399</v>
      </c>
      <c r="P2685" s="122">
        <v>945</v>
      </c>
      <c r="Q2685" s="122">
        <v>350</v>
      </c>
      <c r="R2685" s="122">
        <v>11863</v>
      </c>
      <c r="S2685" s="122">
        <v>4394</v>
      </c>
      <c r="T2685" s="122">
        <v>0</v>
      </c>
      <c r="U2685" s="122">
        <v>0</v>
      </c>
      <c r="V2685" s="122">
        <v>26206</v>
      </c>
      <c r="W2685" s="122">
        <f t="shared" si="84"/>
        <v>26207</v>
      </c>
      <c r="X2685" s="122">
        <f t="shared" si="85"/>
        <v>40012</v>
      </c>
      <c r="AI2685" s="66"/>
    </row>
    <row r="2686" spans="2:35" ht="13">
      <c r="B2686" t="s">
        <v>386</v>
      </c>
      <c r="C2686" t="s">
        <v>56</v>
      </c>
      <c r="D2686" t="s">
        <v>407</v>
      </c>
      <c r="E2686" t="s">
        <v>407</v>
      </c>
      <c r="F2686" s="122">
        <v>64</v>
      </c>
      <c r="G2686" s="122">
        <v>6513</v>
      </c>
      <c r="H2686" s="122">
        <v>11973</v>
      </c>
      <c r="I2686" s="122">
        <v>576357</v>
      </c>
      <c r="J2686" s="122">
        <v>523961</v>
      </c>
      <c r="K2686" s="122">
        <v>80</v>
      </c>
      <c r="L2686" s="122">
        <v>137062</v>
      </c>
      <c r="M2686" s="122">
        <v>124002</v>
      </c>
      <c r="N2686" s="122">
        <v>126718</v>
      </c>
      <c r="O2686" s="122">
        <v>46932</v>
      </c>
      <c r="P2686" s="122">
        <v>33507</v>
      </c>
      <c r="Q2686" s="122">
        <v>12410</v>
      </c>
      <c r="R2686" s="122">
        <v>294529</v>
      </c>
      <c r="S2686" s="122">
        <v>267753</v>
      </c>
      <c r="T2686" s="122">
        <v>48231</v>
      </c>
      <c r="U2686" s="122">
        <v>17864</v>
      </c>
      <c r="V2686" s="122">
        <v>992923</v>
      </c>
      <c r="W2686" s="122">
        <f t="shared" si="84"/>
        <v>992922</v>
      </c>
      <c r="X2686" s="122">
        <f t="shared" si="85"/>
        <v>1216404</v>
      </c>
      <c r="AI2686" s="66"/>
    </row>
    <row r="2687" spans="2:35" ht="13">
      <c r="B2687" t="s">
        <v>386</v>
      </c>
      <c r="C2687" t="s">
        <v>56</v>
      </c>
      <c r="D2687" t="s">
        <v>426</v>
      </c>
      <c r="E2687" t="s">
        <v>426</v>
      </c>
      <c r="F2687" s="122">
        <v>28</v>
      </c>
      <c r="G2687" s="122">
        <v>2522</v>
      </c>
      <c r="H2687" s="122">
        <v>5841</v>
      </c>
      <c r="I2687" s="122">
        <v>296493</v>
      </c>
      <c r="J2687" s="122">
        <v>269539</v>
      </c>
      <c r="K2687" s="122">
        <v>68</v>
      </c>
      <c r="L2687" s="122">
        <v>17361</v>
      </c>
      <c r="M2687" s="122">
        <v>11542</v>
      </c>
      <c r="N2687" s="122">
        <v>40606</v>
      </c>
      <c r="O2687" s="122">
        <v>15039</v>
      </c>
      <c r="P2687" s="122">
        <v>10368</v>
      </c>
      <c r="Q2687" s="122">
        <v>3840</v>
      </c>
      <c r="R2687" s="122">
        <v>108624</v>
      </c>
      <c r="S2687" s="122">
        <v>98749</v>
      </c>
      <c r="T2687" s="122">
        <v>52829</v>
      </c>
      <c r="U2687" s="122">
        <v>19566</v>
      </c>
      <c r="V2687" s="122">
        <v>418276</v>
      </c>
      <c r="W2687" s="122">
        <f t="shared" si="84"/>
        <v>418275</v>
      </c>
      <c r="X2687" s="122">
        <f t="shared" si="85"/>
        <v>526281</v>
      </c>
      <c r="AI2687" s="66"/>
    </row>
    <row r="2688" spans="2:35" ht="13">
      <c r="B2688" t="s">
        <v>386</v>
      </c>
      <c r="C2688" t="s">
        <v>56</v>
      </c>
      <c r="D2688" t="s">
        <v>408</v>
      </c>
      <c r="E2688" t="s">
        <v>408</v>
      </c>
      <c r="F2688" s="122">
        <v>3</v>
      </c>
      <c r="G2688" s="122">
        <v>282</v>
      </c>
      <c r="H2688" s="122">
        <v>550</v>
      </c>
      <c r="I2688" s="122">
        <v>27387</v>
      </c>
      <c r="J2688" s="122">
        <v>24897</v>
      </c>
      <c r="K2688" s="122">
        <v>92</v>
      </c>
      <c r="L2688" s="122">
        <v>9312</v>
      </c>
      <c r="M2688" s="122">
        <v>8465</v>
      </c>
      <c r="N2688" s="122">
        <v>4583</v>
      </c>
      <c r="O2688" s="122">
        <v>1697</v>
      </c>
      <c r="P2688" s="122">
        <v>1053</v>
      </c>
      <c r="Q2688" s="122">
        <v>390</v>
      </c>
      <c r="R2688" s="122">
        <v>5952</v>
      </c>
      <c r="S2688" s="122">
        <v>5411</v>
      </c>
      <c r="T2688" s="122">
        <v>3001</v>
      </c>
      <c r="U2688" s="122">
        <v>1111</v>
      </c>
      <c r="V2688" s="122">
        <v>41972</v>
      </c>
      <c r="W2688" s="122">
        <f t="shared" si="84"/>
        <v>41971</v>
      </c>
      <c r="X2688" s="122">
        <f t="shared" si="85"/>
        <v>51288</v>
      </c>
      <c r="AI2688" s="66"/>
    </row>
    <row r="2689" spans="2:35" ht="13">
      <c r="B2689" t="s">
        <v>386</v>
      </c>
      <c r="C2689" t="s">
        <v>58</v>
      </c>
      <c r="F2689" s="122">
        <v>4</v>
      </c>
      <c r="G2689" s="122">
        <v>415</v>
      </c>
      <c r="H2689" s="122">
        <v>1094</v>
      </c>
      <c r="I2689" s="122"/>
      <c r="J2689" s="122">
        <v>0</v>
      </c>
      <c r="K2689" s="122"/>
      <c r="L2689" s="122"/>
      <c r="M2689" s="122">
        <v>0</v>
      </c>
      <c r="N2689" s="122">
        <v>9565</v>
      </c>
      <c r="O2689" s="122">
        <v>3543</v>
      </c>
      <c r="P2689" s="122">
        <v>1323</v>
      </c>
      <c r="Q2689" s="122">
        <v>490</v>
      </c>
      <c r="R2689" s="122"/>
      <c r="S2689" s="122">
        <v>0</v>
      </c>
      <c r="T2689" s="122">
        <v>0</v>
      </c>
      <c r="U2689" s="122">
        <v>0</v>
      </c>
      <c r="V2689" s="122">
        <v>4033</v>
      </c>
      <c r="W2689" s="122">
        <f t="shared" si="84"/>
        <v>4033</v>
      </c>
      <c r="X2689" s="122">
        <f t="shared" si="85"/>
        <v>10888</v>
      </c>
      <c r="AI2689" s="66"/>
    </row>
    <row r="2690" spans="2:35" ht="13">
      <c r="B2690" t="s">
        <v>386</v>
      </c>
      <c r="C2690" t="s">
        <v>58</v>
      </c>
      <c r="D2690" t="s">
        <v>425</v>
      </c>
      <c r="E2690" t="s">
        <v>425</v>
      </c>
      <c r="F2690" s="122">
        <v>3</v>
      </c>
      <c r="G2690" s="122">
        <v>251</v>
      </c>
      <c r="H2690" s="122">
        <v>766</v>
      </c>
      <c r="I2690" s="122">
        <v>39424</v>
      </c>
      <c r="J2690" s="122">
        <v>35840</v>
      </c>
      <c r="K2690" s="122">
        <v>88</v>
      </c>
      <c r="L2690" s="122">
        <v>8877</v>
      </c>
      <c r="M2690" s="122">
        <v>7535</v>
      </c>
      <c r="N2690" s="122">
        <v>3808</v>
      </c>
      <c r="O2690" s="122">
        <v>1410</v>
      </c>
      <c r="P2690" s="122">
        <v>1418</v>
      </c>
      <c r="Q2690" s="122">
        <v>525</v>
      </c>
      <c r="R2690" s="122">
        <v>8472</v>
      </c>
      <c r="S2690" s="122">
        <v>7702</v>
      </c>
      <c r="T2690" s="122">
        <v>2249</v>
      </c>
      <c r="U2690" s="122">
        <v>833</v>
      </c>
      <c r="V2690" s="122">
        <v>53845</v>
      </c>
      <c r="W2690" s="122">
        <f t="shared" si="84"/>
        <v>53845</v>
      </c>
      <c r="X2690" s="122">
        <f t="shared" si="85"/>
        <v>64248</v>
      </c>
      <c r="AI2690" s="66"/>
    </row>
    <row r="2691" spans="2:35" ht="13">
      <c r="B2691" t="s">
        <v>386</v>
      </c>
      <c r="C2691" t="s">
        <v>58</v>
      </c>
      <c r="D2691" t="s">
        <v>405</v>
      </c>
      <c r="E2691" t="s">
        <v>405</v>
      </c>
      <c r="F2691" s="122">
        <v>21</v>
      </c>
      <c r="G2691" s="122">
        <v>1838</v>
      </c>
      <c r="H2691" s="122">
        <v>5374</v>
      </c>
      <c r="I2691" s="122">
        <v>228274</v>
      </c>
      <c r="J2691" s="122">
        <v>207522</v>
      </c>
      <c r="K2691" s="122">
        <v>76</v>
      </c>
      <c r="L2691" s="122">
        <v>51774</v>
      </c>
      <c r="M2691" s="122">
        <v>44390</v>
      </c>
      <c r="N2691" s="122">
        <v>37500</v>
      </c>
      <c r="O2691" s="122">
        <v>13889</v>
      </c>
      <c r="P2691" s="122">
        <v>9437</v>
      </c>
      <c r="Q2691" s="122">
        <v>3495</v>
      </c>
      <c r="R2691" s="122">
        <v>109334</v>
      </c>
      <c r="S2691" s="122">
        <v>99395</v>
      </c>
      <c r="T2691" s="122">
        <v>33668</v>
      </c>
      <c r="U2691" s="122">
        <v>12470</v>
      </c>
      <c r="V2691" s="122">
        <v>381161</v>
      </c>
      <c r="W2691" s="122">
        <f t="shared" si="84"/>
        <v>381161</v>
      </c>
      <c r="X2691" s="122">
        <f t="shared" si="85"/>
        <v>469987</v>
      </c>
      <c r="AI2691" s="66"/>
    </row>
    <row r="2692" spans="2:35" ht="13">
      <c r="B2692" t="s">
        <v>386</v>
      </c>
      <c r="C2692" t="s">
        <v>58</v>
      </c>
      <c r="D2692" t="s">
        <v>405</v>
      </c>
      <c r="E2692" t="s">
        <v>137</v>
      </c>
      <c r="F2692" s="122">
        <v>1</v>
      </c>
      <c r="G2692" s="122">
        <v>97</v>
      </c>
      <c r="H2692" s="122">
        <v>269</v>
      </c>
      <c r="I2692" s="122">
        <v>13559</v>
      </c>
      <c r="J2692" s="122">
        <v>12326</v>
      </c>
      <c r="K2692" s="122">
        <v>80</v>
      </c>
      <c r="L2692" s="122">
        <v>1916</v>
      </c>
      <c r="M2692" s="122">
        <v>1742</v>
      </c>
      <c r="N2692" s="122">
        <v>1545</v>
      </c>
      <c r="O2692" s="122">
        <v>572</v>
      </c>
      <c r="P2692" s="122">
        <v>473</v>
      </c>
      <c r="Q2692" s="122">
        <v>175</v>
      </c>
      <c r="R2692" s="122">
        <v>8598</v>
      </c>
      <c r="S2692" s="122">
        <v>3184</v>
      </c>
      <c r="T2692" s="122">
        <v>0</v>
      </c>
      <c r="U2692" s="122">
        <v>0</v>
      </c>
      <c r="V2692" s="122">
        <v>18000</v>
      </c>
      <c r="W2692" s="122">
        <f t="shared" si="84"/>
        <v>17999</v>
      </c>
      <c r="X2692" s="122">
        <f t="shared" si="85"/>
        <v>26091</v>
      </c>
      <c r="AI2692" s="66"/>
    </row>
    <row r="2693" spans="2:35" ht="13">
      <c r="B2693" t="s">
        <v>386</v>
      </c>
      <c r="C2693" t="s">
        <v>58</v>
      </c>
      <c r="D2693" t="s">
        <v>137</v>
      </c>
      <c r="E2693" t="s">
        <v>425</v>
      </c>
      <c r="F2693" s="122">
        <v>1</v>
      </c>
      <c r="G2693" s="122">
        <v>112</v>
      </c>
      <c r="H2693" s="122">
        <v>252</v>
      </c>
      <c r="I2693" s="122">
        <v>14562</v>
      </c>
      <c r="J2693" s="122">
        <v>5393</v>
      </c>
      <c r="K2693" s="122">
        <v>100</v>
      </c>
      <c r="L2693" s="122">
        <v>4944</v>
      </c>
      <c r="M2693" s="122">
        <v>4494</v>
      </c>
      <c r="N2693" s="122">
        <v>2425</v>
      </c>
      <c r="O2693" s="122">
        <v>898</v>
      </c>
      <c r="P2693" s="122">
        <v>0</v>
      </c>
      <c r="Q2693" s="122">
        <v>0</v>
      </c>
      <c r="R2693" s="122">
        <v>4094</v>
      </c>
      <c r="S2693" s="122">
        <v>3722</v>
      </c>
      <c r="T2693" s="122">
        <v>2130</v>
      </c>
      <c r="U2693" s="122">
        <v>789</v>
      </c>
      <c r="V2693" s="122">
        <v>15297</v>
      </c>
      <c r="W2693" s="122">
        <f t="shared" si="84"/>
        <v>15296</v>
      </c>
      <c r="X2693" s="122">
        <f t="shared" si="85"/>
        <v>28155</v>
      </c>
      <c r="AI2693" s="66"/>
    </row>
    <row r="2694" spans="2:35" ht="13">
      <c r="B2694" t="s">
        <v>386</v>
      </c>
      <c r="C2694" t="s">
        <v>58</v>
      </c>
      <c r="D2694" t="s">
        <v>137</v>
      </c>
      <c r="E2694" t="s">
        <v>405</v>
      </c>
      <c r="F2694" s="122">
        <v>1</v>
      </c>
      <c r="G2694" s="122">
        <v>35</v>
      </c>
      <c r="H2694" s="122">
        <v>258</v>
      </c>
      <c r="I2694" s="122">
        <v>6205</v>
      </c>
      <c r="J2694" s="122">
        <v>2298</v>
      </c>
      <c r="K2694" s="122">
        <v>100</v>
      </c>
      <c r="L2694" s="122">
        <v>0</v>
      </c>
      <c r="M2694" s="122">
        <v>0</v>
      </c>
      <c r="N2694" s="122">
        <v>423</v>
      </c>
      <c r="O2694" s="122">
        <v>157</v>
      </c>
      <c r="P2694" s="122">
        <v>122</v>
      </c>
      <c r="Q2694" s="122">
        <v>45</v>
      </c>
      <c r="R2694" s="122">
        <v>2194</v>
      </c>
      <c r="S2694" s="122">
        <v>1995</v>
      </c>
      <c r="T2694" s="122">
        <v>0</v>
      </c>
      <c r="U2694" s="122">
        <v>0</v>
      </c>
      <c r="V2694" s="122">
        <v>4495</v>
      </c>
      <c r="W2694" s="122">
        <f t="shared" si="84"/>
        <v>4495</v>
      </c>
      <c r="X2694" s="122">
        <f t="shared" si="85"/>
        <v>8944</v>
      </c>
      <c r="AI2694" s="66"/>
    </row>
    <row r="2695" spans="2:35" ht="13">
      <c r="B2695" t="s">
        <v>386</v>
      </c>
      <c r="C2695" t="s">
        <v>58</v>
      </c>
      <c r="D2695" t="s">
        <v>137</v>
      </c>
      <c r="E2695" t="s">
        <v>137</v>
      </c>
      <c r="F2695" s="122">
        <v>369</v>
      </c>
      <c r="G2695" s="122">
        <v>33379</v>
      </c>
      <c r="H2695" s="122">
        <v>98100</v>
      </c>
      <c r="I2695" s="122">
        <v>4856709</v>
      </c>
      <c r="J2695" s="122">
        <v>1798781</v>
      </c>
      <c r="K2695" s="122">
        <v>102</v>
      </c>
      <c r="L2695" s="122">
        <v>778413</v>
      </c>
      <c r="M2695" s="122">
        <v>546128</v>
      </c>
      <c r="N2695" s="122">
        <v>667360</v>
      </c>
      <c r="O2695" s="122">
        <v>247170</v>
      </c>
      <c r="P2695" s="122">
        <v>7277</v>
      </c>
      <c r="Q2695" s="122">
        <v>2695</v>
      </c>
      <c r="R2695" s="122">
        <v>2716720</v>
      </c>
      <c r="S2695" s="122">
        <v>1006192</v>
      </c>
      <c r="T2695" s="122">
        <v>4168</v>
      </c>
      <c r="U2695" s="122">
        <v>1544</v>
      </c>
      <c r="V2695" s="122">
        <v>3602511</v>
      </c>
      <c r="W2695" s="122">
        <f t="shared" si="84"/>
        <v>3602510</v>
      </c>
      <c r="X2695" s="122">
        <f t="shared" si="85"/>
        <v>9030647</v>
      </c>
      <c r="AI2695" s="66"/>
    </row>
    <row r="2696" spans="2:35" ht="13">
      <c r="B2696" t="s">
        <v>386</v>
      </c>
      <c r="C2696" t="s">
        <v>58</v>
      </c>
      <c r="D2696" t="s">
        <v>137</v>
      </c>
      <c r="E2696" t="s">
        <v>427</v>
      </c>
      <c r="F2696" s="122">
        <v>1</v>
      </c>
      <c r="G2696" s="122">
        <v>66</v>
      </c>
      <c r="H2696" s="122">
        <v>290</v>
      </c>
      <c r="I2696" s="122">
        <v>11735</v>
      </c>
      <c r="J2696" s="122">
        <v>4346</v>
      </c>
      <c r="K2696" s="122">
        <v>100</v>
      </c>
      <c r="L2696" s="122">
        <v>966</v>
      </c>
      <c r="M2696" s="122">
        <v>878</v>
      </c>
      <c r="N2696" s="122">
        <v>1255</v>
      </c>
      <c r="O2696" s="122">
        <v>465</v>
      </c>
      <c r="P2696" s="122">
        <v>0</v>
      </c>
      <c r="Q2696" s="122">
        <v>0</v>
      </c>
      <c r="R2696" s="122">
        <v>2906</v>
      </c>
      <c r="S2696" s="122">
        <v>2642</v>
      </c>
      <c r="T2696" s="122">
        <v>2426</v>
      </c>
      <c r="U2696" s="122">
        <v>899</v>
      </c>
      <c r="V2696" s="122">
        <v>9229</v>
      </c>
      <c r="W2696" s="122">
        <f t="shared" si="84"/>
        <v>9230</v>
      </c>
      <c r="X2696" s="122">
        <f t="shared" si="85"/>
        <v>19288</v>
      </c>
      <c r="AI2696" s="66"/>
    </row>
    <row r="2697" spans="2:35" ht="13">
      <c r="B2697" t="s">
        <v>386</v>
      </c>
      <c r="C2697" t="s">
        <v>58</v>
      </c>
      <c r="D2697" t="s">
        <v>137</v>
      </c>
      <c r="E2697" t="s">
        <v>556</v>
      </c>
      <c r="F2697" s="122">
        <v>2</v>
      </c>
      <c r="G2697" s="122">
        <v>166</v>
      </c>
      <c r="H2697" s="122">
        <v>506</v>
      </c>
      <c r="I2697" s="122">
        <v>18094</v>
      </c>
      <c r="J2697" s="122">
        <v>6701</v>
      </c>
      <c r="K2697" s="122">
        <v>100</v>
      </c>
      <c r="L2697" s="122">
        <v>8414</v>
      </c>
      <c r="M2697" s="122">
        <v>3531</v>
      </c>
      <c r="N2697" s="122">
        <v>4056</v>
      </c>
      <c r="O2697" s="122">
        <v>1502</v>
      </c>
      <c r="P2697" s="122">
        <v>0</v>
      </c>
      <c r="Q2697" s="122">
        <v>0</v>
      </c>
      <c r="R2697" s="122">
        <v>9146</v>
      </c>
      <c r="S2697" s="122">
        <v>7622</v>
      </c>
      <c r="T2697" s="122">
        <v>2306</v>
      </c>
      <c r="U2697" s="122">
        <v>854</v>
      </c>
      <c r="V2697" s="122">
        <v>20211</v>
      </c>
      <c r="W2697" s="122">
        <f t="shared" si="84"/>
        <v>20210</v>
      </c>
      <c r="X2697" s="122">
        <f t="shared" si="85"/>
        <v>42016</v>
      </c>
      <c r="AI2697" s="66"/>
    </row>
    <row r="2698" spans="2:35" ht="13">
      <c r="B2698" t="s">
        <v>386</v>
      </c>
      <c r="C2698" t="s">
        <v>58</v>
      </c>
      <c r="D2698" t="s">
        <v>137</v>
      </c>
      <c r="E2698" t="s">
        <v>426</v>
      </c>
      <c r="F2698" s="122">
        <v>1</v>
      </c>
      <c r="G2698" s="122">
        <v>80</v>
      </c>
      <c r="H2698" s="122">
        <v>299</v>
      </c>
      <c r="I2698" s="122">
        <v>12477</v>
      </c>
      <c r="J2698" s="122">
        <v>4621</v>
      </c>
      <c r="K2698" s="122">
        <v>100</v>
      </c>
      <c r="L2698" s="122">
        <v>2542</v>
      </c>
      <c r="M2698" s="122">
        <v>2311</v>
      </c>
      <c r="N2698" s="122">
        <v>973</v>
      </c>
      <c r="O2698" s="122">
        <v>360</v>
      </c>
      <c r="P2698" s="122">
        <v>351</v>
      </c>
      <c r="Q2698" s="122">
        <v>130</v>
      </c>
      <c r="R2698" s="122">
        <v>5378</v>
      </c>
      <c r="S2698" s="122">
        <v>4889</v>
      </c>
      <c r="T2698" s="122">
        <v>2164</v>
      </c>
      <c r="U2698" s="122">
        <v>802</v>
      </c>
      <c r="V2698" s="122">
        <v>13113</v>
      </c>
      <c r="W2698" s="122">
        <f t="shared" si="84"/>
        <v>13113</v>
      </c>
      <c r="X2698" s="122">
        <f t="shared" si="85"/>
        <v>23885</v>
      </c>
      <c r="AI2698" s="66"/>
    </row>
    <row r="2699" spans="2:35" ht="13">
      <c r="B2699" t="s">
        <v>386</v>
      </c>
      <c r="C2699" t="s">
        <v>58</v>
      </c>
      <c r="D2699" t="s">
        <v>406</v>
      </c>
      <c r="E2699" t="s">
        <v>425</v>
      </c>
      <c r="F2699" s="122">
        <v>2</v>
      </c>
      <c r="G2699" s="122">
        <v>121</v>
      </c>
      <c r="H2699" s="122">
        <v>532</v>
      </c>
      <c r="I2699" s="122">
        <v>15358</v>
      </c>
      <c r="J2699" s="122">
        <v>13962</v>
      </c>
      <c r="K2699" s="122">
        <v>80</v>
      </c>
      <c r="L2699" s="122">
        <v>4263</v>
      </c>
      <c r="M2699" s="122">
        <v>3875</v>
      </c>
      <c r="N2699" s="122">
        <v>2252</v>
      </c>
      <c r="O2699" s="122">
        <v>834</v>
      </c>
      <c r="P2699" s="122">
        <v>1242</v>
      </c>
      <c r="Q2699" s="122">
        <v>460</v>
      </c>
      <c r="R2699" s="122">
        <v>9161</v>
      </c>
      <c r="S2699" s="122">
        <v>8328</v>
      </c>
      <c r="T2699" s="122">
        <v>0</v>
      </c>
      <c r="U2699" s="122">
        <v>0</v>
      </c>
      <c r="V2699" s="122">
        <v>27460</v>
      </c>
      <c r="W2699" s="122">
        <f t="shared" si="84"/>
        <v>27459</v>
      </c>
      <c r="X2699" s="122">
        <f t="shared" si="85"/>
        <v>32276</v>
      </c>
      <c r="AI2699" s="66"/>
    </row>
    <row r="2700" spans="2:35" ht="13">
      <c r="B2700" t="s">
        <v>386</v>
      </c>
      <c r="C2700" t="s">
        <v>58</v>
      </c>
      <c r="D2700" t="s">
        <v>406</v>
      </c>
      <c r="E2700" t="s">
        <v>137</v>
      </c>
      <c r="F2700" s="122">
        <v>1</v>
      </c>
      <c r="G2700" s="122">
        <v>41</v>
      </c>
      <c r="H2700" s="122">
        <v>262</v>
      </c>
      <c r="I2700" s="122">
        <v>5283</v>
      </c>
      <c r="J2700" s="122">
        <v>4803</v>
      </c>
      <c r="K2700" s="122">
        <v>86</v>
      </c>
      <c r="L2700" s="122">
        <v>796</v>
      </c>
      <c r="M2700" s="122">
        <v>724</v>
      </c>
      <c r="N2700" s="122">
        <v>775</v>
      </c>
      <c r="O2700" s="122">
        <v>287</v>
      </c>
      <c r="P2700" s="122">
        <v>621</v>
      </c>
      <c r="Q2700" s="122">
        <v>230</v>
      </c>
      <c r="R2700" s="122">
        <v>3151</v>
      </c>
      <c r="S2700" s="122">
        <v>1167</v>
      </c>
      <c r="T2700" s="122">
        <v>0</v>
      </c>
      <c r="U2700" s="122">
        <v>0</v>
      </c>
      <c r="V2700" s="122">
        <v>7211</v>
      </c>
      <c r="W2700" s="122">
        <f t="shared" si="84"/>
        <v>7211</v>
      </c>
      <c r="X2700" s="122">
        <f t="shared" si="85"/>
        <v>10626</v>
      </c>
      <c r="AI2700" s="66"/>
    </row>
    <row r="2701" spans="2:35" ht="13">
      <c r="B2701" t="s">
        <v>386</v>
      </c>
      <c r="C2701" t="s">
        <v>58</v>
      </c>
      <c r="D2701" t="s">
        <v>406</v>
      </c>
      <c r="E2701" t="s">
        <v>406</v>
      </c>
      <c r="F2701" s="122">
        <v>1758</v>
      </c>
      <c r="G2701" s="122">
        <v>155910</v>
      </c>
      <c r="H2701" s="122">
        <v>447874</v>
      </c>
      <c r="I2701" s="122">
        <v>20377466</v>
      </c>
      <c r="J2701" s="122">
        <v>18524969</v>
      </c>
      <c r="K2701" s="122">
        <v>82</v>
      </c>
      <c r="L2701" s="122">
        <v>4844039</v>
      </c>
      <c r="M2701" s="122">
        <v>4219756</v>
      </c>
      <c r="N2701" s="122">
        <v>3155906</v>
      </c>
      <c r="O2701" s="122">
        <v>1168854</v>
      </c>
      <c r="P2701" s="122">
        <v>1123064</v>
      </c>
      <c r="Q2701" s="122">
        <v>415950</v>
      </c>
      <c r="R2701" s="122">
        <v>7454939</v>
      </c>
      <c r="S2701" s="122">
        <v>6777217</v>
      </c>
      <c r="T2701" s="122">
        <v>3093644</v>
      </c>
      <c r="U2701" s="122">
        <v>1145794</v>
      </c>
      <c r="V2701" s="122">
        <v>32252540</v>
      </c>
      <c r="W2701" s="122">
        <f t="shared" si="84"/>
        <v>32252540</v>
      </c>
      <c r="X2701" s="122">
        <f t="shared" si="85"/>
        <v>40049058</v>
      </c>
      <c r="AI2701" s="66"/>
    </row>
    <row r="2702" spans="2:35" ht="13">
      <c r="B2702" t="s">
        <v>386</v>
      </c>
      <c r="C2702" t="s">
        <v>58</v>
      </c>
      <c r="D2702" t="s">
        <v>406</v>
      </c>
      <c r="E2702" t="s">
        <v>427</v>
      </c>
      <c r="F2702" s="122">
        <v>2</v>
      </c>
      <c r="G2702" s="122">
        <v>197</v>
      </c>
      <c r="H2702" s="122">
        <v>506</v>
      </c>
      <c r="I2702" s="122">
        <v>23947</v>
      </c>
      <c r="J2702" s="122">
        <v>21770</v>
      </c>
      <c r="K2702" s="122">
        <v>78</v>
      </c>
      <c r="L2702" s="122">
        <v>6946</v>
      </c>
      <c r="M2702" s="122">
        <v>6152</v>
      </c>
      <c r="N2702" s="122">
        <v>3973</v>
      </c>
      <c r="O2702" s="122">
        <v>1471</v>
      </c>
      <c r="P2702" s="122">
        <v>1242</v>
      </c>
      <c r="Q2702" s="122">
        <v>460</v>
      </c>
      <c r="R2702" s="122">
        <v>8697</v>
      </c>
      <c r="S2702" s="122">
        <v>7907</v>
      </c>
      <c r="T2702" s="122">
        <v>5526</v>
      </c>
      <c r="U2702" s="122">
        <v>2047</v>
      </c>
      <c r="V2702" s="122">
        <v>39806</v>
      </c>
      <c r="W2702" s="122">
        <f t="shared" si="84"/>
        <v>39807</v>
      </c>
      <c r="X2702" s="122">
        <f t="shared" si="85"/>
        <v>50331</v>
      </c>
      <c r="AI2702" s="66"/>
    </row>
    <row r="2703" spans="2:35" ht="13">
      <c r="B2703" t="s">
        <v>386</v>
      </c>
      <c r="C2703" t="s">
        <v>58</v>
      </c>
      <c r="D2703" t="s">
        <v>406</v>
      </c>
      <c r="E2703" t="s">
        <v>556</v>
      </c>
      <c r="F2703" s="122">
        <v>2</v>
      </c>
      <c r="G2703" s="122">
        <v>178</v>
      </c>
      <c r="H2703" s="122">
        <v>502</v>
      </c>
      <c r="I2703" s="122">
        <v>24317</v>
      </c>
      <c r="J2703" s="122">
        <v>22107</v>
      </c>
      <c r="K2703" s="122">
        <v>86</v>
      </c>
      <c r="L2703" s="122">
        <v>3911</v>
      </c>
      <c r="M2703" s="122">
        <v>3324</v>
      </c>
      <c r="N2703" s="122">
        <v>4330</v>
      </c>
      <c r="O2703" s="122">
        <v>1604</v>
      </c>
      <c r="P2703" s="122">
        <v>1242</v>
      </c>
      <c r="Q2703" s="122">
        <v>460</v>
      </c>
      <c r="R2703" s="122">
        <v>7456</v>
      </c>
      <c r="S2703" s="122">
        <v>6213</v>
      </c>
      <c r="T2703" s="122">
        <v>4537</v>
      </c>
      <c r="U2703" s="122">
        <v>1681</v>
      </c>
      <c r="V2703" s="122">
        <v>35388</v>
      </c>
      <c r="W2703" s="122">
        <f t="shared" si="84"/>
        <v>35389</v>
      </c>
      <c r="X2703" s="122">
        <f t="shared" si="85"/>
        <v>45793</v>
      </c>
      <c r="AI2703" s="66"/>
    </row>
    <row r="2704" spans="2:35" ht="13">
      <c r="B2704" t="s">
        <v>386</v>
      </c>
      <c r="C2704" t="s">
        <v>58</v>
      </c>
      <c r="D2704" t="s">
        <v>427</v>
      </c>
      <c r="E2704" t="s">
        <v>137</v>
      </c>
      <c r="F2704" s="122">
        <v>1</v>
      </c>
      <c r="G2704" s="122">
        <v>84</v>
      </c>
      <c r="H2704" s="122">
        <v>257</v>
      </c>
      <c r="I2704" s="122">
        <v>10642</v>
      </c>
      <c r="J2704" s="122">
        <v>9674</v>
      </c>
      <c r="K2704" s="122">
        <v>60</v>
      </c>
      <c r="L2704" s="122">
        <v>1741</v>
      </c>
      <c r="M2704" s="122">
        <v>645</v>
      </c>
      <c r="N2704" s="122">
        <v>2037</v>
      </c>
      <c r="O2704" s="122">
        <v>754</v>
      </c>
      <c r="P2704" s="122">
        <v>351</v>
      </c>
      <c r="Q2704" s="122">
        <v>130</v>
      </c>
      <c r="R2704" s="122">
        <v>6709</v>
      </c>
      <c r="S2704" s="122">
        <v>2485</v>
      </c>
      <c r="T2704" s="122">
        <v>0</v>
      </c>
      <c r="U2704" s="122">
        <v>0</v>
      </c>
      <c r="V2704" s="122">
        <v>13689</v>
      </c>
      <c r="W2704" s="122">
        <f t="shared" si="84"/>
        <v>13688</v>
      </c>
      <c r="X2704" s="122">
        <f t="shared" si="85"/>
        <v>21480</v>
      </c>
      <c r="AI2704" s="66"/>
    </row>
    <row r="2705" spans="2:35" ht="13">
      <c r="B2705" t="s">
        <v>386</v>
      </c>
      <c r="C2705" t="s">
        <v>58</v>
      </c>
      <c r="D2705" t="s">
        <v>427</v>
      </c>
      <c r="E2705" t="s">
        <v>427</v>
      </c>
      <c r="F2705" s="122">
        <v>27</v>
      </c>
      <c r="G2705" s="122">
        <v>2356</v>
      </c>
      <c r="H2705" s="122">
        <v>7414</v>
      </c>
      <c r="I2705" s="122">
        <v>371475</v>
      </c>
      <c r="J2705" s="122">
        <v>337704</v>
      </c>
      <c r="K2705" s="122">
        <v>56</v>
      </c>
      <c r="L2705" s="122">
        <v>21728</v>
      </c>
      <c r="M2705" s="122">
        <v>15874</v>
      </c>
      <c r="N2705" s="122">
        <v>43853</v>
      </c>
      <c r="O2705" s="122">
        <v>16242</v>
      </c>
      <c r="P2705" s="122">
        <v>9747</v>
      </c>
      <c r="Q2705" s="122">
        <v>3610</v>
      </c>
      <c r="R2705" s="122">
        <v>147557</v>
      </c>
      <c r="S2705" s="122">
        <v>134143</v>
      </c>
      <c r="T2705" s="122">
        <v>56458</v>
      </c>
      <c r="U2705" s="122">
        <v>20910</v>
      </c>
      <c r="V2705" s="122">
        <v>528483</v>
      </c>
      <c r="W2705" s="122">
        <f t="shared" si="84"/>
        <v>528483</v>
      </c>
      <c r="X2705" s="122">
        <f t="shared" si="85"/>
        <v>650818</v>
      </c>
      <c r="AI2705" s="66"/>
    </row>
    <row r="2706" spans="2:35" ht="13">
      <c r="B2706" t="s">
        <v>386</v>
      </c>
      <c r="C2706" t="s">
        <v>58</v>
      </c>
      <c r="D2706" t="s">
        <v>427</v>
      </c>
      <c r="E2706" t="s">
        <v>431</v>
      </c>
      <c r="F2706" s="122">
        <v>1</v>
      </c>
      <c r="G2706" s="122">
        <v>95</v>
      </c>
      <c r="H2706" s="122">
        <v>258</v>
      </c>
      <c r="I2706" s="122">
        <v>13821</v>
      </c>
      <c r="J2706" s="122">
        <v>12565</v>
      </c>
      <c r="K2706" s="122">
        <v>65</v>
      </c>
      <c r="L2706" s="122">
        <v>1664</v>
      </c>
      <c r="M2706" s="122">
        <v>1512</v>
      </c>
      <c r="N2706" s="122">
        <v>2029</v>
      </c>
      <c r="O2706" s="122">
        <v>751</v>
      </c>
      <c r="P2706" s="122">
        <v>351</v>
      </c>
      <c r="Q2706" s="122">
        <v>130</v>
      </c>
      <c r="R2706" s="122">
        <v>6544</v>
      </c>
      <c r="S2706" s="122">
        <v>5949</v>
      </c>
      <c r="T2706" s="122">
        <v>0</v>
      </c>
      <c r="U2706" s="122">
        <v>0</v>
      </c>
      <c r="V2706" s="122">
        <v>20908</v>
      </c>
      <c r="W2706" s="122">
        <f t="shared" si="84"/>
        <v>20907</v>
      </c>
      <c r="X2706" s="122">
        <f t="shared" si="85"/>
        <v>24409</v>
      </c>
      <c r="AI2706" s="66"/>
    </row>
    <row r="2707" spans="2:35" ht="13">
      <c r="B2707" t="s">
        <v>386</v>
      </c>
      <c r="C2707" t="s">
        <v>58</v>
      </c>
      <c r="D2707" t="s">
        <v>407</v>
      </c>
      <c r="E2707" t="s">
        <v>407</v>
      </c>
      <c r="F2707" s="122">
        <v>15</v>
      </c>
      <c r="G2707" s="122">
        <v>1164</v>
      </c>
      <c r="H2707" s="122">
        <v>3776</v>
      </c>
      <c r="I2707" s="122">
        <v>143490</v>
      </c>
      <c r="J2707" s="122">
        <v>130445</v>
      </c>
      <c r="K2707" s="122">
        <v>78</v>
      </c>
      <c r="L2707" s="122">
        <v>31460</v>
      </c>
      <c r="M2707" s="122">
        <v>27563</v>
      </c>
      <c r="N2707" s="122">
        <v>25659</v>
      </c>
      <c r="O2707" s="122">
        <v>9503</v>
      </c>
      <c r="P2707" s="122">
        <v>7088</v>
      </c>
      <c r="Q2707" s="122">
        <v>2625</v>
      </c>
      <c r="R2707" s="122">
        <v>67439</v>
      </c>
      <c r="S2707" s="122">
        <v>61308</v>
      </c>
      <c r="T2707" s="122">
        <v>27488</v>
      </c>
      <c r="U2707" s="122">
        <v>10181</v>
      </c>
      <c r="V2707" s="122">
        <v>241624</v>
      </c>
      <c r="W2707" s="122">
        <f t="shared" si="84"/>
        <v>241625</v>
      </c>
      <c r="X2707" s="122">
        <f t="shared" si="85"/>
        <v>302624</v>
      </c>
      <c r="AI2707" s="66"/>
    </row>
    <row r="2708" spans="2:35" ht="13">
      <c r="B2708" t="s">
        <v>386</v>
      </c>
      <c r="C2708" t="s">
        <v>58</v>
      </c>
      <c r="D2708" t="s">
        <v>556</v>
      </c>
      <c r="E2708" t="s">
        <v>137</v>
      </c>
      <c r="F2708" s="122">
        <v>1</v>
      </c>
      <c r="G2708" s="122">
        <v>94</v>
      </c>
      <c r="H2708" s="122">
        <v>251</v>
      </c>
      <c r="I2708" s="122">
        <v>13937</v>
      </c>
      <c r="J2708" s="122">
        <v>11614</v>
      </c>
      <c r="K2708" s="122">
        <v>65</v>
      </c>
      <c r="L2708" s="122">
        <v>0</v>
      </c>
      <c r="M2708" s="122">
        <v>0</v>
      </c>
      <c r="N2708" s="122">
        <v>1859</v>
      </c>
      <c r="O2708" s="122">
        <v>689</v>
      </c>
      <c r="P2708" s="122">
        <v>351</v>
      </c>
      <c r="Q2708" s="122">
        <v>130</v>
      </c>
      <c r="R2708" s="122">
        <v>7536</v>
      </c>
      <c r="S2708" s="122">
        <v>2791</v>
      </c>
      <c r="T2708" s="122">
        <v>0</v>
      </c>
      <c r="U2708" s="122">
        <v>0</v>
      </c>
      <c r="V2708" s="122">
        <v>15224</v>
      </c>
      <c r="W2708" s="122">
        <f t="shared" si="84"/>
        <v>15224</v>
      </c>
      <c r="X2708" s="122">
        <f t="shared" si="85"/>
        <v>23683</v>
      </c>
      <c r="AI2708" s="66"/>
    </row>
    <row r="2709" spans="2:35" ht="13">
      <c r="B2709" t="s">
        <v>386</v>
      </c>
      <c r="C2709" t="s">
        <v>58</v>
      </c>
      <c r="D2709" t="s">
        <v>556</v>
      </c>
      <c r="E2709" t="s">
        <v>556</v>
      </c>
      <c r="F2709" s="122">
        <v>114</v>
      </c>
      <c r="G2709" s="122">
        <v>9518</v>
      </c>
      <c r="H2709" s="122">
        <v>31693</v>
      </c>
      <c r="I2709" s="122">
        <v>1391512</v>
      </c>
      <c r="J2709" s="122">
        <v>1159594</v>
      </c>
      <c r="K2709" s="122">
        <v>57</v>
      </c>
      <c r="L2709" s="122">
        <v>110778</v>
      </c>
      <c r="M2709" s="122">
        <v>69621</v>
      </c>
      <c r="N2709" s="122">
        <v>192318</v>
      </c>
      <c r="O2709" s="122">
        <v>71229</v>
      </c>
      <c r="P2709" s="122">
        <v>39932</v>
      </c>
      <c r="Q2709" s="122">
        <v>14790</v>
      </c>
      <c r="R2709" s="122">
        <v>646669</v>
      </c>
      <c r="S2709" s="122">
        <v>538891</v>
      </c>
      <c r="T2709" s="122">
        <v>273651</v>
      </c>
      <c r="U2709" s="122">
        <v>101352</v>
      </c>
      <c r="V2709" s="122">
        <v>1955477</v>
      </c>
      <c r="W2709" s="122">
        <f t="shared" si="84"/>
        <v>1955477</v>
      </c>
      <c r="X2709" s="122">
        <f t="shared" si="85"/>
        <v>2654860</v>
      </c>
      <c r="AI2709" s="66"/>
    </row>
    <row r="2710" spans="2:35" ht="13">
      <c r="B2710" t="s">
        <v>386</v>
      </c>
      <c r="C2710" t="s">
        <v>58</v>
      </c>
      <c r="D2710" t="s">
        <v>428</v>
      </c>
      <c r="E2710" t="s">
        <v>428</v>
      </c>
      <c r="F2710" s="122">
        <v>2</v>
      </c>
      <c r="G2710" s="122">
        <v>162</v>
      </c>
      <c r="H2710" s="122">
        <v>524</v>
      </c>
      <c r="I2710" s="122">
        <v>21460</v>
      </c>
      <c r="J2710" s="122">
        <v>19509</v>
      </c>
      <c r="K2710" s="122">
        <v>60</v>
      </c>
      <c r="L2710" s="122">
        <v>3512</v>
      </c>
      <c r="M2710" s="122">
        <v>3193</v>
      </c>
      <c r="N2710" s="122">
        <v>3232</v>
      </c>
      <c r="O2710" s="122">
        <v>1197</v>
      </c>
      <c r="P2710" s="122">
        <v>702</v>
      </c>
      <c r="Q2710" s="122">
        <v>260</v>
      </c>
      <c r="R2710" s="122">
        <v>9061</v>
      </c>
      <c r="S2710" s="122">
        <v>8237</v>
      </c>
      <c r="T2710" s="122">
        <v>4360</v>
      </c>
      <c r="U2710" s="122">
        <v>1615</v>
      </c>
      <c r="V2710" s="122">
        <v>34011</v>
      </c>
      <c r="W2710" s="122">
        <f t="shared" si="84"/>
        <v>34011</v>
      </c>
      <c r="X2710" s="122">
        <f t="shared" si="85"/>
        <v>42327</v>
      </c>
      <c r="AI2710" s="66"/>
    </row>
    <row r="2711" spans="2:35" ht="13">
      <c r="B2711" t="s">
        <v>386</v>
      </c>
      <c r="C2711" t="s">
        <v>58</v>
      </c>
      <c r="D2711" t="s">
        <v>426</v>
      </c>
      <c r="E2711" t="s">
        <v>137</v>
      </c>
      <c r="F2711" s="122">
        <v>2</v>
      </c>
      <c r="G2711" s="122">
        <v>167</v>
      </c>
      <c r="H2711" s="122">
        <v>562</v>
      </c>
      <c r="I2711" s="122">
        <v>23405</v>
      </c>
      <c r="J2711" s="122">
        <v>21278</v>
      </c>
      <c r="K2711" s="122">
        <v>60</v>
      </c>
      <c r="L2711" s="122">
        <v>0</v>
      </c>
      <c r="M2711" s="122">
        <v>0</v>
      </c>
      <c r="N2711" s="122">
        <v>3721</v>
      </c>
      <c r="O2711" s="122">
        <v>1378</v>
      </c>
      <c r="P2711" s="122">
        <v>702</v>
      </c>
      <c r="Q2711" s="122">
        <v>260</v>
      </c>
      <c r="R2711" s="122">
        <v>16914</v>
      </c>
      <c r="S2711" s="122">
        <v>6264</v>
      </c>
      <c r="T2711" s="122">
        <v>2257</v>
      </c>
      <c r="U2711" s="122">
        <v>836</v>
      </c>
      <c r="V2711" s="122">
        <v>30016</v>
      </c>
      <c r="W2711" s="122">
        <f t="shared" si="84"/>
        <v>30016</v>
      </c>
      <c r="X2711" s="122">
        <f t="shared" si="85"/>
        <v>46999</v>
      </c>
      <c r="AI2711" s="66"/>
    </row>
    <row r="2712" spans="2:35" ht="13">
      <c r="B2712" t="s">
        <v>386</v>
      </c>
      <c r="C2712" t="s">
        <v>58</v>
      </c>
      <c r="D2712" t="s">
        <v>426</v>
      </c>
      <c r="E2712" t="s">
        <v>426</v>
      </c>
      <c r="F2712" s="122">
        <v>695</v>
      </c>
      <c r="G2712" s="122">
        <v>57437</v>
      </c>
      <c r="H2712" s="122">
        <v>187520</v>
      </c>
      <c r="I2712" s="122">
        <v>8591666</v>
      </c>
      <c r="J2712" s="122">
        <v>7810606</v>
      </c>
      <c r="K2712" s="122">
        <v>56</v>
      </c>
      <c r="L2712" s="122">
        <v>552961</v>
      </c>
      <c r="M2712" s="122">
        <v>313134</v>
      </c>
      <c r="N2712" s="122">
        <v>1115178</v>
      </c>
      <c r="O2712" s="122">
        <v>413029</v>
      </c>
      <c r="P2712" s="122">
        <v>244458</v>
      </c>
      <c r="Q2712" s="122">
        <v>90540</v>
      </c>
      <c r="R2712" s="122">
        <v>3492072</v>
      </c>
      <c r="S2712" s="122">
        <v>3174611</v>
      </c>
      <c r="T2712" s="122">
        <v>1515939</v>
      </c>
      <c r="U2712" s="122">
        <v>561459</v>
      </c>
      <c r="V2712" s="122">
        <v>12363378</v>
      </c>
      <c r="W2712" s="122">
        <f t="shared" si="84"/>
        <v>12363379</v>
      </c>
      <c r="X2712" s="122">
        <f t="shared" si="85"/>
        <v>15512274</v>
      </c>
      <c r="AI2712" s="66"/>
    </row>
    <row r="2713" spans="2:35" ht="13">
      <c r="B2713" t="s">
        <v>386</v>
      </c>
      <c r="C2713" t="s">
        <v>58</v>
      </c>
      <c r="D2713" t="s">
        <v>426</v>
      </c>
      <c r="E2713" t="s">
        <v>481</v>
      </c>
      <c r="F2713" s="122">
        <v>1</v>
      </c>
      <c r="G2713" s="122">
        <v>83</v>
      </c>
      <c r="H2713" s="122">
        <v>231</v>
      </c>
      <c r="I2713" s="122">
        <v>10022</v>
      </c>
      <c r="J2713" s="122">
        <v>9110</v>
      </c>
      <c r="K2713" s="122">
        <v>73</v>
      </c>
      <c r="L2713" s="122">
        <v>2724</v>
      </c>
      <c r="M2713" s="122">
        <v>2477</v>
      </c>
      <c r="N2713" s="122">
        <v>1017</v>
      </c>
      <c r="O2713" s="122">
        <v>377</v>
      </c>
      <c r="P2713" s="122">
        <v>351</v>
      </c>
      <c r="Q2713" s="122">
        <v>130</v>
      </c>
      <c r="R2713" s="122">
        <v>3005</v>
      </c>
      <c r="S2713" s="122">
        <v>2732</v>
      </c>
      <c r="T2713" s="122">
        <v>2123</v>
      </c>
      <c r="U2713" s="122">
        <v>786</v>
      </c>
      <c r="V2713" s="122">
        <v>15612</v>
      </c>
      <c r="W2713" s="122">
        <f t="shared" si="84"/>
        <v>15612</v>
      </c>
      <c r="X2713" s="122">
        <f t="shared" si="85"/>
        <v>19242</v>
      </c>
      <c r="AI2713" s="66"/>
    </row>
    <row r="2714" spans="2:35" ht="13">
      <c r="B2714" t="s">
        <v>386</v>
      </c>
      <c r="C2714" t="s">
        <v>58</v>
      </c>
      <c r="D2714" t="s">
        <v>433</v>
      </c>
      <c r="E2714" t="s">
        <v>433</v>
      </c>
      <c r="F2714" s="122">
        <v>1</v>
      </c>
      <c r="G2714" s="122">
        <v>107</v>
      </c>
      <c r="H2714" s="122">
        <v>265</v>
      </c>
      <c r="I2714" s="122">
        <v>15377</v>
      </c>
      <c r="J2714" s="122">
        <v>13979</v>
      </c>
      <c r="K2714" s="122">
        <v>65</v>
      </c>
      <c r="L2714" s="122">
        <v>3702</v>
      </c>
      <c r="M2714" s="122">
        <v>3365</v>
      </c>
      <c r="N2714" s="122">
        <v>2442</v>
      </c>
      <c r="O2714" s="122">
        <v>904</v>
      </c>
      <c r="P2714" s="122">
        <v>351</v>
      </c>
      <c r="Q2714" s="122">
        <v>130</v>
      </c>
      <c r="R2714" s="122">
        <v>3887</v>
      </c>
      <c r="S2714" s="122">
        <v>3534</v>
      </c>
      <c r="T2714" s="122">
        <v>2511</v>
      </c>
      <c r="U2714" s="122">
        <v>930</v>
      </c>
      <c r="V2714" s="122">
        <v>22842</v>
      </c>
      <c r="W2714" s="122">
        <f t="shared" si="84"/>
        <v>22842</v>
      </c>
      <c r="X2714" s="122">
        <f t="shared" si="85"/>
        <v>28270</v>
      </c>
      <c r="AI2714" s="66"/>
    </row>
    <row r="2715" spans="2:35" ht="13">
      <c r="B2715" t="s">
        <v>386</v>
      </c>
      <c r="C2715" t="s">
        <v>58</v>
      </c>
      <c r="D2715" t="s">
        <v>408</v>
      </c>
      <c r="E2715" t="s">
        <v>408</v>
      </c>
      <c r="F2715" s="122">
        <v>2</v>
      </c>
      <c r="G2715" s="122">
        <v>172</v>
      </c>
      <c r="H2715" s="122">
        <v>486</v>
      </c>
      <c r="I2715" s="122">
        <v>24691</v>
      </c>
      <c r="J2715" s="122">
        <v>22446</v>
      </c>
      <c r="K2715" s="122">
        <v>65</v>
      </c>
      <c r="L2715" s="122">
        <v>0</v>
      </c>
      <c r="M2715" s="122">
        <v>0</v>
      </c>
      <c r="N2715" s="122">
        <v>3384</v>
      </c>
      <c r="O2715" s="122">
        <v>1253</v>
      </c>
      <c r="P2715" s="122">
        <v>702</v>
      </c>
      <c r="Q2715" s="122">
        <v>260</v>
      </c>
      <c r="R2715" s="122">
        <v>8482</v>
      </c>
      <c r="S2715" s="122">
        <v>7711</v>
      </c>
      <c r="T2715" s="122">
        <v>4492</v>
      </c>
      <c r="U2715" s="122">
        <v>1664</v>
      </c>
      <c r="V2715" s="122">
        <v>33334</v>
      </c>
      <c r="W2715" s="122">
        <f t="shared" si="84"/>
        <v>33334</v>
      </c>
      <c r="X2715" s="122">
        <f t="shared" si="85"/>
        <v>41751</v>
      </c>
      <c r="AI2715" s="66"/>
    </row>
    <row r="2716" spans="2:35" ht="13">
      <c r="B2716" t="s">
        <v>386</v>
      </c>
      <c r="C2716" t="s">
        <v>60</v>
      </c>
      <c r="F2716" s="122">
        <v>2</v>
      </c>
      <c r="G2716" s="122">
        <v>142</v>
      </c>
      <c r="H2716" s="122">
        <v>750</v>
      </c>
      <c r="I2716" s="122"/>
      <c r="J2716" s="122">
        <v>0</v>
      </c>
      <c r="K2716" s="122"/>
      <c r="L2716" s="122"/>
      <c r="M2716" s="122">
        <v>0</v>
      </c>
      <c r="N2716" s="122">
        <v>2471</v>
      </c>
      <c r="O2716" s="122">
        <v>915</v>
      </c>
      <c r="P2716" s="122">
        <v>1242</v>
      </c>
      <c r="Q2716" s="122">
        <v>460</v>
      </c>
      <c r="R2716" s="122"/>
      <c r="S2716" s="122">
        <v>0</v>
      </c>
      <c r="T2716" s="122">
        <v>2216</v>
      </c>
      <c r="U2716" s="122">
        <v>821</v>
      </c>
      <c r="V2716" s="122">
        <v>2196</v>
      </c>
      <c r="W2716" s="122">
        <f t="shared" si="84"/>
        <v>2196</v>
      </c>
      <c r="X2716" s="122">
        <f t="shared" si="85"/>
        <v>5929</v>
      </c>
      <c r="AI2716" s="66"/>
    </row>
    <row r="2717" spans="2:35" ht="13">
      <c r="B2717" t="s">
        <v>386</v>
      </c>
      <c r="C2717" t="s">
        <v>60</v>
      </c>
      <c r="D2717" t="s">
        <v>425</v>
      </c>
      <c r="E2717" t="s">
        <v>425</v>
      </c>
      <c r="F2717" s="122">
        <v>1</v>
      </c>
      <c r="G2717" s="122">
        <v>80</v>
      </c>
      <c r="H2717" s="122">
        <v>338</v>
      </c>
      <c r="I2717" s="122">
        <v>17036</v>
      </c>
      <c r="J2717" s="122">
        <v>15487</v>
      </c>
      <c r="K2717" s="122">
        <v>91</v>
      </c>
      <c r="L2717" s="122">
        <v>5920</v>
      </c>
      <c r="M2717" s="122">
        <v>4933</v>
      </c>
      <c r="N2717" s="122">
        <v>1088</v>
      </c>
      <c r="O2717" s="122">
        <v>403</v>
      </c>
      <c r="P2717" s="122">
        <v>473</v>
      </c>
      <c r="Q2717" s="122">
        <v>175</v>
      </c>
      <c r="R2717" s="122">
        <v>2465</v>
      </c>
      <c r="S2717" s="122">
        <v>2241</v>
      </c>
      <c r="T2717" s="122">
        <v>0</v>
      </c>
      <c r="U2717" s="122">
        <v>0</v>
      </c>
      <c r="V2717" s="122">
        <v>23239</v>
      </c>
      <c r="W2717" s="122">
        <f t="shared" si="84"/>
        <v>23239</v>
      </c>
      <c r="X2717" s="122">
        <f t="shared" si="85"/>
        <v>26982</v>
      </c>
      <c r="AI2717" s="66"/>
    </row>
    <row r="2718" spans="2:35" ht="13">
      <c r="B2718" t="s">
        <v>386</v>
      </c>
      <c r="C2718" t="s">
        <v>60</v>
      </c>
      <c r="D2718" t="s">
        <v>405</v>
      </c>
      <c r="E2718" t="s">
        <v>405</v>
      </c>
      <c r="F2718" s="122">
        <v>2</v>
      </c>
      <c r="G2718" s="122">
        <v>210</v>
      </c>
      <c r="H2718" s="122">
        <v>622</v>
      </c>
      <c r="I2718" s="122">
        <v>41339</v>
      </c>
      <c r="J2718" s="122">
        <v>37581</v>
      </c>
      <c r="K2718" s="122">
        <v>78</v>
      </c>
      <c r="L2718" s="122">
        <v>7640</v>
      </c>
      <c r="M2718" s="122">
        <v>6730</v>
      </c>
      <c r="N2718" s="122">
        <v>3697</v>
      </c>
      <c r="O2718" s="122">
        <v>1369</v>
      </c>
      <c r="P2718" s="122">
        <v>945</v>
      </c>
      <c r="Q2718" s="122">
        <v>350</v>
      </c>
      <c r="R2718" s="122">
        <v>8653</v>
      </c>
      <c r="S2718" s="122">
        <v>7866</v>
      </c>
      <c r="T2718" s="122">
        <v>2868</v>
      </c>
      <c r="U2718" s="122">
        <v>1062</v>
      </c>
      <c r="V2718" s="122">
        <v>54959</v>
      </c>
      <c r="W2718" s="122">
        <f t="shared" si="84"/>
        <v>54958</v>
      </c>
      <c r="X2718" s="122">
        <f t="shared" si="85"/>
        <v>65142</v>
      </c>
      <c r="AI2718" s="66"/>
    </row>
    <row r="2719" spans="2:35" ht="13">
      <c r="B2719" t="s">
        <v>386</v>
      </c>
      <c r="C2719" t="s">
        <v>60</v>
      </c>
      <c r="D2719" t="s">
        <v>137</v>
      </c>
      <c r="E2719" t="s">
        <v>137</v>
      </c>
      <c r="F2719" s="122">
        <v>250</v>
      </c>
      <c r="G2719" s="122">
        <v>21475</v>
      </c>
      <c r="H2719" s="122">
        <v>83491</v>
      </c>
      <c r="I2719" s="122">
        <v>4350231</v>
      </c>
      <c r="J2719" s="122">
        <v>1611197</v>
      </c>
      <c r="K2719" s="122">
        <v>101</v>
      </c>
      <c r="L2719" s="122">
        <v>680488</v>
      </c>
      <c r="M2719" s="122">
        <v>496729</v>
      </c>
      <c r="N2719" s="122">
        <v>450754</v>
      </c>
      <c r="O2719" s="122">
        <v>166946</v>
      </c>
      <c r="P2719" s="122">
        <v>4558</v>
      </c>
      <c r="Q2719" s="122">
        <v>1688</v>
      </c>
      <c r="R2719" s="122">
        <v>1803569</v>
      </c>
      <c r="S2719" s="122">
        <v>667988</v>
      </c>
      <c r="T2719" s="122">
        <v>4188</v>
      </c>
      <c r="U2719" s="122">
        <v>1551</v>
      </c>
      <c r="V2719" s="122">
        <v>2946099</v>
      </c>
      <c r="W2719" s="122">
        <f t="shared" si="84"/>
        <v>2946099</v>
      </c>
      <c r="X2719" s="122">
        <f t="shared" si="85"/>
        <v>7293788</v>
      </c>
      <c r="AI2719" s="66"/>
    </row>
    <row r="2720" spans="2:35" ht="13">
      <c r="B2720" t="s">
        <v>386</v>
      </c>
      <c r="C2720" t="s">
        <v>60</v>
      </c>
      <c r="D2720" t="s">
        <v>137</v>
      </c>
      <c r="E2720" t="s">
        <v>427</v>
      </c>
      <c r="F2720" s="122">
        <v>1</v>
      </c>
      <c r="G2720" s="122">
        <v>112</v>
      </c>
      <c r="H2720" s="122">
        <v>361</v>
      </c>
      <c r="I2720" s="122">
        <v>26093</v>
      </c>
      <c r="J2720" s="122">
        <v>9664</v>
      </c>
      <c r="K2720" s="122">
        <v>100</v>
      </c>
      <c r="L2720" s="122">
        <v>2362</v>
      </c>
      <c r="M2720" s="122">
        <v>2148</v>
      </c>
      <c r="N2720" s="122">
        <v>2415</v>
      </c>
      <c r="O2720" s="122">
        <v>895</v>
      </c>
      <c r="P2720" s="122">
        <v>0</v>
      </c>
      <c r="Q2720" s="122">
        <v>0</v>
      </c>
      <c r="R2720" s="122">
        <v>6652</v>
      </c>
      <c r="S2720" s="122">
        <v>6047</v>
      </c>
      <c r="T2720" s="122">
        <v>2934</v>
      </c>
      <c r="U2720" s="122">
        <v>1087</v>
      </c>
      <c r="V2720" s="122">
        <v>19840</v>
      </c>
      <c r="W2720" s="122">
        <f t="shared" si="84"/>
        <v>19841</v>
      </c>
      <c r="X2720" s="122">
        <f t="shared" si="85"/>
        <v>40456</v>
      </c>
      <c r="AI2720" s="66"/>
    </row>
    <row r="2721" spans="2:35" ht="13">
      <c r="B2721" t="s">
        <v>386</v>
      </c>
      <c r="C2721" t="s">
        <v>60</v>
      </c>
      <c r="D2721" t="s">
        <v>137</v>
      </c>
      <c r="E2721" t="s">
        <v>556</v>
      </c>
      <c r="F2721" s="122">
        <v>4</v>
      </c>
      <c r="G2721" s="122">
        <v>323</v>
      </c>
      <c r="H2721" s="122">
        <v>1348</v>
      </c>
      <c r="I2721" s="122">
        <v>61842</v>
      </c>
      <c r="J2721" s="122">
        <v>22905</v>
      </c>
      <c r="K2721" s="122">
        <v>100</v>
      </c>
      <c r="L2721" s="122">
        <v>8746</v>
      </c>
      <c r="M2721" s="122">
        <v>7288</v>
      </c>
      <c r="N2721" s="122">
        <v>7165</v>
      </c>
      <c r="O2721" s="122">
        <v>2654</v>
      </c>
      <c r="P2721" s="122">
        <v>351</v>
      </c>
      <c r="Q2721" s="122">
        <v>130</v>
      </c>
      <c r="R2721" s="122">
        <v>24821</v>
      </c>
      <c r="S2721" s="122">
        <v>20684</v>
      </c>
      <c r="T2721" s="122">
        <v>5773</v>
      </c>
      <c r="U2721" s="122">
        <v>2138</v>
      </c>
      <c r="V2721" s="122">
        <v>55798</v>
      </c>
      <c r="W2721" s="122">
        <f t="shared" si="84"/>
        <v>55799</v>
      </c>
      <c r="X2721" s="122">
        <f t="shared" si="85"/>
        <v>108698</v>
      </c>
      <c r="AI2721" s="66"/>
    </row>
    <row r="2722" spans="2:35" ht="13">
      <c r="B2722" t="s">
        <v>386</v>
      </c>
      <c r="C2722" t="s">
        <v>60</v>
      </c>
      <c r="D2722" t="s">
        <v>137</v>
      </c>
      <c r="E2722" t="s">
        <v>426</v>
      </c>
      <c r="F2722" s="122">
        <v>6</v>
      </c>
      <c r="G2722" s="122">
        <v>497</v>
      </c>
      <c r="H2722" s="122">
        <v>2067</v>
      </c>
      <c r="I2722" s="122">
        <v>102917</v>
      </c>
      <c r="J2722" s="122">
        <v>38117</v>
      </c>
      <c r="K2722" s="122">
        <v>100</v>
      </c>
      <c r="L2722" s="122">
        <v>11028</v>
      </c>
      <c r="M2722" s="122">
        <v>10026</v>
      </c>
      <c r="N2722" s="122">
        <v>9129</v>
      </c>
      <c r="O2722" s="122">
        <v>3381</v>
      </c>
      <c r="P2722" s="122">
        <v>702</v>
      </c>
      <c r="Q2722" s="122">
        <v>260</v>
      </c>
      <c r="R2722" s="122">
        <v>32702</v>
      </c>
      <c r="S2722" s="122">
        <v>29729</v>
      </c>
      <c r="T2722" s="122">
        <v>13959</v>
      </c>
      <c r="U2722" s="122">
        <v>5170</v>
      </c>
      <c r="V2722" s="122">
        <v>86683</v>
      </c>
      <c r="W2722" s="122">
        <f t="shared" ref="W2722:W2785" si="86">SUM(ABS(J2722),ABS(M2722),ABS(O2722),ABS(Q2722),ABS(S2722),ABS(U2722))</f>
        <v>86683</v>
      </c>
      <c r="X2722" s="122">
        <f t="shared" ref="X2722:X2785" si="87">SUM(ABS(I2722),ABS(N2722),ABS(P2722),ABS(R2722),ABS(T2722),ABS(L2722))</f>
        <v>170437</v>
      </c>
      <c r="AI2722" s="66"/>
    </row>
    <row r="2723" spans="2:35" ht="13">
      <c r="B2723" t="s">
        <v>386</v>
      </c>
      <c r="C2723" t="s">
        <v>60</v>
      </c>
      <c r="D2723" t="s">
        <v>406</v>
      </c>
      <c r="E2723" t="s">
        <v>425</v>
      </c>
      <c r="F2723" s="122">
        <v>1</v>
      </c>
      <c r="G2723" s="122">
        <v>78</v>
      </c>
      <c r="H2723" s="122">
        <v>350</v>
      </c>
      <c r="I2723" s="122">
        <v>11980</v>
      </c>
      <c r="J2723" s="122">
        <v>10890</v>
      </c>
      <c r="K2723" s="122">
        <v>86</v>
      </c>
      <c r="L2723" s="122">
        <v>3612</v>
      </c>
      <c r="M2723" s="122">
        <v>3283</v>
      </c>
      <c r="N2723" s="122">
        <v>1889</v>
      </c>
      <c r="O2723" s="122">
        <v>700</v>
      </c>
      <c r="P2723" s="122">
        <v>351</v>
      </c>
      <c r="Q2723" s="122">
        <v>130</v>
      </c>
      <c r="R2723" s="122">
        <v>4982</v>
      </c>
      <c r="S2723" s="122">
        <v>4529</v>
      </c>
      <c r="T2723" s="122">
        <v>4360</v>
      </c>
      <c r="U2723" s="122">
        <v>1615</v>
      </c>
      <c r="V2723" s="122">
        <v>21147</v>
      </c>
      <c r="W2723" s="122">
        <f t="shared" si="86"/>
        <v>21147</v>
      </c>
      <c r="X2723" s="122">
        <f t="shared" si="87"/>
        <v>27174</v>
      </c>
      <c r="AI2723" s="66"/>
    </row>
    <row r="2724" spans="2:35" ht="13">
      <c r="B2724" t="s">
        <v>386</v>
      </c>
      <c r="C2724" t="s">
        <v>60</v>
      </c>
      <c r="D2724" t="s">
        <v>406</v>
      </c>
      <c r="E2724" t="s">
        <v>137</v>
      </c>
      <c r="F2724" s="122">
        <v>11</v>
      </c>
      <c r="G2724" s="122">
        <v>1109</v>
      </c>
      <c r="H2724" s="122">
        <v>3730</v>
      </c>
      <c r="I2724" s="122">
        <v>229577</v>
      </c>
      <c r="J2724" s="122">
        <v>208707</v>
      </c>
      <c r="K2724" s="122">
        <v>84</v>
      </c>
      <c r="L2724" s="122">
        <v>52161</v>
      </c>
      <c r="M2724" s="122">
        <v>44952</v>
      </c>
      <c r="N2724" s="122">
        <v>25377</v>
      </c>
      <c r="O2724" s="122">
        <v>9399</v>
      </c>
      <c r="P2724" s="122">
        <v>6561</v>
      </c>
      <c r="Q2724" s="122">
        <v>2430</v>
      </c>
      <c r="R2724" s="122">
        <v>78031</v>
      </c>
      <c r="S2724" s="122">
        <v>28900</v>
      </c>
      <c r="T2724" s="122">
        <v>0</v>
      </c>
      <c r="U2724" s="122">
        <v>0</v>
      </c>
      <c r="V2724" s="122">
        <v>294388</v>
      </c>
      <c r="W2724" s="122">
        <f t="shared" si="86"/>
        <v>294388</v>
      </c>
      <c r="X2724" s="122">
        <f t="shared" si="87"/>
        <v>391707</v>
      </c>
      <c r="AI2724" s="66"/>
    </row>
    <row r="2725" spans="2:35" ht="13">
      <c r="B2725" t="s">
        <v>386</v>
      </c>
      <c r="C2725" t="s">
        <v>60</v>
      </c>
      <c r="D2725" t="s">
        <v>406</v>
      </c>
      <c r="E2725" t="s">
        <v>406</v>
      </c>
      <c r="F2725" s="122">
        <v>458</v>
      </c>
      <c r="G2725" s="122">
        <v>39181</v>
      </c>
      <c r="H2725" s="122">
        <v>153984</v>
      </c>
      <c r="I2725" s="122">
        <v>7830199</v>
      </c>
      <c r="J2725" s="122">
        <v>7118363</v>
      </c>
      <c r="K2725" s="122">
        <v>81</v>
      </c>
      <c r="L2725" s="122">
        <v>1609500</v>
      </c>
      <c r="M2725" s="122">
        <v>1367832</v>
      </c>
      <c r="N2725" s="122">
        <v>811424</v>
      </c>
      <c r="O2725" s="122">
        <v>300527</v>
      </c>
      <c r="P2725" s="122">
        <v>301604</v>
      </c>
      <c r="Q2725" s="122">
        <v>111705</v>
      </c>
      <c r="R2725" s="122">
        <v>1948815</v>
      </c>
      <c r="S2725" s="122">
        <v>1771650</v>
      </c>
      <c r="T2725" s="122">
        <v>769752</v>
      </c>
      <c r="U2725" s="122">
        <v>285093</v>
      </c>
      <c r="V2725" s="122">
        <v>10955171</v>
      </c>
      <c r="W2725" s="122">
        <f t="shared" si="86"/>
        <v>10955170</v>
      </c>
      <c r="X2725" s="122">
        <f t="shared" si="87"/>
        <v>13271294</v>
      </c>
      <c r="AI2725" s="66"/>
    </row>
    <row r="2726" spans="2:35" ht="13">
      <c r="B2726" t="s">
        <v>386</v>
      </c>
      <c r="C2726" t="s">
        <v>60</v>
      </c>
      <c r="D2726" t="s">
        <v>427</v>
      </c>
      <c r="E2726" t="s">
        <v>137</v>
      </c>
      <c r="F2726" s="122">
        <v>3</v>
      </c>
      <c r="G2726" s="122">
        <v>245</v>
      </c>
      <c r="H2726" s="122">
        <v>993</v>
      </c>
      <c r="I2726" s="122">
        <v>37414</v>
      </c>
      <c r="J2726" s="122">
        <v>34013</v>
      </c>
      <c r="K2726" s="122">
        <v>55</v>
      </c>
      <c r="L2726" s="122">
        <v>5612</v>
      </c>
      <c r="M2726" s="122">
        <v>2079</v>
      </c>
      <c r="N2726" s="122">
        <v>5661</v>
      </c>
      <c r="O2726" s="122">
        <v>2097</v>
      </c>
      <c r="P2726" s="122">
        <v>1053</v>
      </c>
      <c r="Q2726" s="122">
        <v>390</v>
      </c>
      <c r="R2726" s="122">
        <v>30948</v>
      </c>
      <c r="S2726" s="122">
        <v>11462</v>
      </c>
      <c r="T2726" s="122">
        <v>0</v>
      </c>
      <c r="U2726" s="122">
        <v>0</v>
      </c>
      <c r="V2726" s="122">
        <v>50040</v>
      </c>
      <c r="W2726" s="122">
        <f t="shared" si="86"/>
        <v>50041</v>
      </c>
      <c r="X2726" s="122">
        <f t="shared" si="87"/>
        <v>80688</v>
      </c>
      <c r="AI2726" s="66"/>
    </row>
    <row r="2727" spans="2:35" ht="13">
      <c r="B2727" t="s">
        <v>386</v>
      </c>
      <c r="C2727" t="s">
        <v>60</v>
      </c>
      <c r="D2727" t="s">
        <v>427</v>
      </c>
      <c r="E2727" t="s">
        <v>427</v>
      </c>
      <c r="F2727" s="122">
        <v>56</v>
      </c>
      <c r="G2727" s="122">
        <v>4633</v>
      </c>
      <c r="H2727" s="122">
        <v>18360</v>
      </c>
      <c r="I2727" s="122">
        <v>860143</v>
      </c>
      <c r="J2727" s="122">
        <v>781948</v>
      </c>
      <c r="K2727" s="122">
        <v>55</v>
      </c>
      <c r="L2727" s="122">
        <v>115951</v>
      </c>
      <c r="M2727" s="122">
        <v>101020</v>
      </c>
      <c r="N2727" s="122">
        <v>96023</v>
      </c>
      <c r="O2727" s="122">
        <v>35564</v>
      </c>
      <c r="P2727" s="122">
        <v>19656</v>
      </c>
      <c r="Q2727" s="122">
        <v>7280</v>
      </c>
      <c r="R2727" s="122">
        <v>287997</v>
      </c>
      <c r="S2727" s="122">
        <v>261815</v>
      </c>
      <c r="T2727" s="122">
        <v>130527</v>
      </c>
      <c r="U2727" s="122">
        <v>48343</v>
      </c>
      <c r="V2727" s="122">
        <v>1235971</v>
      </c>
      <c r="W2727" s="122">
        <f t="shared" si="86"/>
        <v>1235970</v>
      </c>
      <c r="X2727" s="122">
        <f t="shared" si="87"/>
        <v>1510297</v>
      </c>
      <c r="AI2727" s="66"/>
    </row>
    <row r="2728" spans="2:35" ht="13">
      <c r="B2728" t="s">
        <v>386</v>
      </c>
      <c r="C2728" t="s">
        <v>60</v>
      </c>
      <c r="D2728" t="s">
        <v>407</v>
      </c>
      <c r="E2728" t="s">
        <v>407</v>
      </c>
      <c r="F2728" s="122">
        <v>1</v>
      </c>
      <c r="G2728" s="122">
        <v>67</v>
      </c>
      <c r="H2728" s="122">
        <v>317</v>
      </c>
      <c r="I2728" s="122">
        <v>11703</v>
      </c>
      <c r="J2728" s="122">
        <v>10639</v>
      </c>
      <c r="K2728" s="122">
        <v>79</v>
      </c>
      <c r="L2728" s="122">
        <v>3551</v>
      </c>
      <c r="M2728" s="122">
        <v>2959</v>
      </c>
      <c r="N2728" s="122">
        <v>1285</v>
      </c>
      <c r="O2728" s="122">
        <v>476</v>
      </c>
      <c r="P2728" s="122">
        <v>351</v>
      </c>
      <c r="Q2728" s="122">
        <v>130</v>
      </c>
      <c r="R2728" s="122">
        <v>2898</v>
      </c>
      <c r="S2728" s="122">
        <v>2634</v>
      </c>
      <c r="T2728" s="122">
        <v>1545</v>
      </c>
      <c r="U2728" s="122">
        <v>572</v>
      </c>
      <c r="V2728" s="122">
        <v>17411</v>
      </c>
      <c r="W2728" s="122">
        <f t="shared" si="86"/>
        <v>17410</v>
      </c>
      <c r="X2728" s="122">
        <f t="shared" si="87"/>
        <v>21333</v>
      </c>
      <c r="AI2728" s="66"/>
    </row>
    <row r="2729" spans="2:35" ht="13">
      <c r="B2729" t="s">
        <v>386</v>
      </c>
      <c r="C2729" t="s">
        <v>60</v>
      </c>
      <c r="D2729" t="s">
        <v>556</v>
      </c>
      <c r="E2729" t="s">
        <v>137</v>
      </c>
      <c r="F2729" s="122">
        <v>12</v>
      </c>
      <c r="G2729" s="122">
        <v>929</v>
      </c>
      <c r="H2729" s="122">
        <v>4024</v>
      </c>
      <c r="I2729" s="122">
        <v>127688</v>
      </c>
      <c r="J2729" s="122">
        <v>106407</v>
      </c>
      <c r="K2729" s="122">
        <v>66</v>
      </c>
      <c r="L2729" s="122">
        <v>0</v>
      </c>
      <c r="M2729" s="122">
        <v>0</v>
      </c>
      <c r="N2729" s="122">
        <v>18958</v>
      </c>
      <c r="O2729" s="122">
        <v>7021</v>
      </c>
      <c r="P2729" s="122">
        <v>4212</v>
      </c>
      <c r="Q2729" s="122">
        <v>1560</v>
      </c>
      <c r="R2729" s="122">
        <v>131380</v>
      </c>
      <c r="S2729" s="122">
        <v>48659</v>
      </c>
      <c r="T2729" s="122">
        <v>29180</v>
      </c>
      <c r="U2729" s="122">
        <v>10807</v>
      </c>
      <c r="V2729" s="122">
        <v>174455</v>
      </c>
      <c r="W2729" s="122">
        <f t="shared" si="86"/>
        <v>174454</v>
      </c>
      <c r="X2729" s="122">
        <f t="shared" si="87"/>
        <v>311418</v>
      </c>
      <c r="AI2729" s="66"/>
    </row>
    <row r="2730" spans="2:35" ht="13">
      <c r="B2730" t="s">
        <v>386</v>
      </c>
      <c r="C2730" t="s">
        <v>60</v>
      </c>
      <c r="D2730" t="s">
        <v>556</v>
      </c>
      <c r="E2730" t="s">
        <v>556</v>
      </c>
      <c r="F2730" s="122">
        <v>71</v>
      </c>
      <c r="G2730" s="122">
        <v>6007</v>
      </c>
      <c r="H2730" s="122">
        <v>22996</v>
      </c>
      <c r="I2730" s="122">
        <v>1115742</v>
      </c>
      <c r="J2730" s="122">
        <v>929785</v>
      </c>
      <c r="K2730" s="122">
        <v>56</v>
      </c>
      <c r="L2730" s="122">
        <v>101708</v>
      </c>
      <c r="M2730" s="122">
        <v>80411</v>
      </c>
      <c r="N2730" s="122">
        <v>122021</v>
      </c>
      <c r="O2730" s="122">
        <v>45193</v>
      </c>
      <c r="P2730" s="122">
        <v>24138</v>
      </c>
      <c r="Q2730" s="122">
        <v>8940</v>
      </c>
      <c r="R2730" s="122">
        <v>410045</v>
      </c>
      <c r="S2730" s="122">
        <v>341704</v>
      </c>
      <c r="T2730" s="122">
        <v>165102</v>
      </c>
      <c r="U2730" s="122">
        <v>61149</v>
      </c>
      <c r="V2730" s="122">
        <v>1467181</v>
      </c>
      <c r="W2730" s="122">
        <f t="shared" si="86"/>
        <v>1467182</v>
      </c>
      <c r="X2730" s="122">
        <f t="shared" si="87"/>
        <v>1938756</v>
      </c>
      <c r="AI2730" s="66"/>
    </row>
    <row r="2731" spans="2:35" ht="13">
      <c r="B2731" t="s">
        <v>386</v>
      </c>
      <c r="C2731" t="s">
        <v>60</v>
      </c>
      <c r="D2731" t="s">
        <v>428</v>
      </c>
      <c r="E2731" t="s">
        <v>428</v>
      </c>
      <c r="F2731" s="122">
        <v>1</v>
      </c>
      <c r="G2731" s="122">
        <v>82</v>
      </c>
      <c r="H2731" s="122">
        <v>338</v>
      </c>
      <c r="I2731" s="122">
        <v>15280</v>
      </c>
      <c r="J2731" s="122">
        <v>13891</v>
      </c>
      <c r="K2731" s="122">
        <v>55</v>
      </c>
      <c r="L2731" s="122">
        <v>3113</v>
      </c>
      <c r="M2731" s="122">
        <v>2830</v>
      </c>
      <c r="N2731" s="122">
        <v>1763</v>
      </c>
      <c r="O2731" s="122">
        <v>653</v>
      </c>
      <c r="P2731" s="122">
        <v>351</v>
      </c>
      <c r="Q2731" s="122">
        <v>130</v>
      </c>
      <c r="R2731" s="122">
        <v>4928</v>
      </c>
      <c r="S2731" s="122">
        <v>4480</v>
      </c>
      <c r="T2731" s="122">
        <v>2190</v>
      </c>
      <c r="U2731" s="122">
        <v>811</v>
      </c>
      <c r="V2731" s="122">
        <v>22795</v>
      </c>
      <c r="W2731" s="122">
        <f t="shared" si="86"/>
        <v>22795</v>
      </c>
      <c r="X2731" s="122">
        <f t="shared" si="87"/>
        <v>27625</v>
      </c>
      <c r="AI2731" s="66"/>
    </row>
    <row r="2732" spans="2:35" ht="13">
      <c r="B2732" t="s">
        <v>386</v>
      </c>
      <c r="C2732" t="s">
        <v>60</v>
      </c>
      <c r="D2732" t="s">
        <v>426</v>
      </c>
      <c r="E2732" t="s">
        <v>137</v>
      </c>
      <c r="F2732" s="122">
        <v>12</v>
      </c>
      <c r="G2732" s="122">
        <v>924</v>
      </c>
      <c r="H2732" s="122">
        <v>3999</v>
      </c>
      <c r="I2732" s="122">
        <v>159364</v>
      </c>
      <c r="J2732" s="122">
        <v>144876</v>
      </c>
      <c r="K2732" s="122">
        <v>51</v>
      </c>
      <c r="L2732" s="122">
        <v>19519</v>
      </c>
      <c r="M2732" s="122">
        <v>7229</v>
      </c>
      <c r="N2732" s="122">
        <v>19277</v>
      </c>
      <c r="O2732" s="122">
        <v>7140</v>
      </c>
      <c r="P2732" s="122">
        <v>1053</v>
      </c>
      <c r="Q2732" s="122">
        <v>390</v>
      </c>
      <c r="R2732" s="122">
        <v>104213</v>
      </c>
      <c r="S2732" s="122">
        <v>38597</v>
      </c>
      <c r="T2732" s="122">
        <v>2879</v>
      </c>
      <c r="U2732" s="122">
        <v>1066</v>
      </c>
      <c r="V2732" s="122">
        <v>199299</v>
      </c>
      <c r="W2732" s="122">
        <f t="shared" si="86"/>
        <v>199298</v>
      </c>
      <c r="X2732" s="122">
        <f t="shared" si="87"/>
        <v>306305</v>
      </c>
      <c r="AI2732" s="66"/>
    </row>
    <row r="2733" spans="2:35" ht="13">
      <c r="B2733" t="s">
        <v>386</v>
      </c>
      <c r="C2733" t="s">
        <v>60</v>
      </c>
      <c r="D2733" t="s">
        <v>426</v>
      </c>
      <c r="E2733" t="s">
        <v>426</v>
      </c>
      <c r="F2733" s="122">
        <v>431</v>
      </c>
      <c r="G2733" s="122">
        <v>31841</v>
      </c>
      <c r="H2733" s="122">
        <v>144363</v>
      </c>
      <c r="I2733" s="122">
        <v>6268456</v>
      </c>
      <c r="J2733" s="122">
        <v>5698596</v>
      </c>
      <c r="K2733" s="122">
        <v>55</v>
      </c>
      <c r="L2733" s="122">
        <v>585024</v>
      </c>
      <c r="M2733" s="122">
        <v>310182</v>
      </c>
      <c r="N2733" s="122">
        <v>603481</v>
      </c>
      <c r="O2733" s="122">
        <v>223511</v>
      </c>
      <c r="P2733" s="122">
        <v>153131</v>
      </c>
      <c r="Q2733" s="122">
        <v>56715</v>
      </c>
      <c r="R2733" s="122">
        <v>2214645</v>
      </c>
      <c r="S2733" s="122">
        <v>2013313</v>
      </c>
      <c r="T2733" s="122">
        <v>803716</v>
      </c>
      <c r="U2733" s="122">
        <v>297673</v>
      </c>
      <c r="V2733" s="122">
        <v>8599990</v>
      </c>
      <c r="W2733" s="122">
        <f t="shared" si="86"/>
        <v>8599990</v>
      </c>
      <c r="X2733" s="122">
        <f t="shared" si="87"/>
        <v>10628453</v>
      </c>
      <c r="AI2733" s="66"/>
    </row>
    <row r="2734" spans="2:35" ht="13">
      <c r="B2734" t="s">
        <v>386</v>
      </c>
      <c r="C2734" t="s">
        <v>60</v>
      </c>
      <c r="D2734" t="s">
        <v>433</v>
      </c>
      <c r="E2734" t="s">
        <v>433</v>
      </c>
      <c r="F2734" s="122">
        <v>3</v>
      </c>
      <c r="G2734" s="122">
        <v>221</v>
      </c>
      <c r="H2734" s="122">
        <v>989</v>
      </c>
      <c r="I2734" s="122">
        <v>43134</v>
      </c>
      <c r="J2734" s="122">
        <v>39213</v>
      </c>
      <c r="K2734" s="122">
        <v>55</v>
      </c>
      <c r="L2734" s="122">
        <v>4592</v>
      </c>
      <c r="M2734" s="122">
        <v>3269</v>
      </c>
      <c r="N2734" s="122">
        <v>3778</v>
      </c>
      <c r="O2734" s="122">
        <v>1399</v>
      </c>
      <c r="P2734" s="122">
        <v>1053</v>
      </c>
      <c r="Q2734" s="122">
        <v>390</v>
      </c>
      <c r="R2734" s="122">
        <v>15416</v>
      </c>
      <c r="S2734" s="122">
        <v>14014</v>
      </c>
      <c r="T2734" s="122">
        <v>5160</v>
      </c>
      <c r="U2734" s="122">
        <v>1911</v>
      </c>
      <c r="V2734" s="122">
        <v>60197</v>
      </c>
      <c r="W2734" s="122">
        <f t="shared" si="86"/>
        <v>60196</v>
      </c>
      <c r="X2734" s="122">
        <f t="shared" si="87"/>
        <v>73133</v>
      </c>
      <c r="AI2734" s="66"/>
    </row>
    <row r="2735" spans="2:35" ht="13">
      <c r="B2735" t="s">
        <v>386</v>
      </c>
      <c r="C2735" t="s">
        <v>62</v>
      </c>
      <c r="D2735" t="s">
        <v>425</v>
      </c>
      <c r="E2735" t="s">
        <v>425</v>
      </c>
      <c r="F2735" s="122">
        <v>1</v>
      </c>
      <c r="G2735" s="122">
        <v>157</v>
      </c>
      <c r="H2735" s="122">
        <v>398</v>
      </c>
      <c r="I2735" s="122">
        <v>46165</v>
      </c>
      <c r="J2735" s="122">
        <v>41968</v>
      </c>
      <c r="K2735" s="122">
        <v>63</v>
      </c>
      <c r="L2735" s="122">
        <v>7932</v>
      </c>
      <c r="M2735" s="122">
        <v>2938</v>
      </c>
      <c r="N2735" s="122">
        <v>3426</v>
      </c>
      <c r="O2735" s="122">
        <v>1269</v>
      </c>
      <c r="P2735" s="122">
        <v>0</v>
      </c>
      <c r="Q2735" s="122">
        <v>0</v>
      </c>
      <c r="R2735" s="122">
        <v>5036</v>
      </c>
      <c r="S2735" s="122">
        <v>4578</v>
      </c>
      <c r="T2735" s="122">
        <v>0</v>
      </c>
      <c r="U2735" s="122">
        <v>0</v>
      </c>
      <c r="V2735" s="122">
        <v>50753</v>
      </c>
      <c r="W2735" s="122">
        <f t="shared" si="86"/>
        <v>50753</v>
      </c>
      <c r="X2735" s="122">
        <f t="shared" si="87"/>
        <v>62559</v>
      </c>
      <c r="AI2735" s="66"/>
    </row>
    <row r="2736" spans="2:35" ht="13">
      <c r="B2736" t="s">
        <v>386</v>
      </c>
      <c r="C2736" t="s">
        <v>62</v>
      </c>
      <c r="D2736" t="s">
        <v>405</v>
      </c>
      <c r="E2736" t="s">
        <v>405</v>
      </c>
      <c r="F2736" s="122">
        <v>1</v>
      </c>
      <c r="G2736" s="122">
        <v>58</v>
      </c>
      <c r="H2736" s="122">
        <v>381</v>
      </c>
      <c r="I2736" s="122">
        <v>18566</v>
      </c>
      <c r="J2736" s="122">
        <v>16878</v>
      </c>
      <c r="K2736" s="122">
        <v>90</v>
      </c>
      <c r="L2736" s="122">
        <v>0</v>
      </c>
      <c r="M2736" s="122">
        <v>0</v>
      </c>
      <c r="N2736" s="122">
        <v>997</v>
      </c>
      <c r="O2736" s="122">
        <v>369</v>
      </c>
      <c r="P2736" s="122">
        <v>473</v>
      </c>
      <c r="Q2736" s="122">
        <v>175</v>
      </c>
      <c r="R2736" s="122">
        <v>1931</v>
      </c>
      <c r="S2736" s="122">
        <v>1755</v>
      </c>
      <c r="T2736" s="122">
        <v>0</v>
      </c>
      <c r="U2736" s="122">
        <v>0</v>
      </c>
      <c r="V2736" s="122">
        <v>19178</v>
      </c>
      <c r="W2736" s="122">
        <f t="shared" si="86"/>
        <v>19177</v>
      </c>
      <c r="X2736" s="122">
        <f t="shared" si="87"/>
        <v>21967</v>
      </c>
      <c r="AI2736" s="66"/>
    </row>
    <row r="2737" spans="2:35" ht="13">
      <c r="B2737" t="s">
        <v>386</v>
      </c>
      <c r="C2737" t="s">
        <v>62</v>
      </c>
      <c r="D2737" t="s">
        <v>137</v>
      </c>
      <c r="E2737" t="s">
        <v>137</v>
      </c>
      <c r="F2737" s="122">
        <v>130</v>
      </c>
      <c r="G2737" s="122">
        <v>10699</v>
      </c>
      <c r="H2737" s="122">
        <v>53599</v>
      </c>
      <c r="I2737" s="122">
        <v>2832002</v>
      </c>
      <c r="J2737" s="122">
        <v>1048890</v>
      </c>
      <c r="K2737" s="122">
        <v>100</v>
      </c>
      <c r="L2737" s="122">
        <v>493371</v>
      </c>
      <c r="M2737" s="122">
        <v>393871</v>
      </c>
      <c r="N2737" s="122">
        <v>231451</v>
      </c>
      <c r="O2737" s="122">
        <v>85723</v>
      </c>
      <c r="P2737" s="122">
        <v>2106</v>
      </c>
      <c r="Q2737" s="122">
        <v>780</v>
      </c>
      <c r="R2737" s="122">
        <v>895051</v>
      </c>
      <c r="S2737" s="122">
        <v>331500</v>
      </c>
      <c r="T2737" s="122">
        <v>6482</v>
      </c>
      <c r="U2737" s="122">
        <v>2401</v>
      </c>
      <c r="V2737" s="122">
        <v>1863164</v>
      </c>
      <c r="W2737" s="122">
        <f t="shared" si="86"/>
        <v>1863165</v>
      </c>
      <c r="X2737" s="122">
        <f t="shared" si="87"/>
        <v>4460463</v>
      </c>
      <c r="AI2737" s="66"/>
    </row>
    <row r="2738" spans="2:35" ht="13">
      <c r="B2738" t="s">
        <v>386</v>
      </c>
      <c r="C2738" t="s">
        <v>62</v>
      </c>
      <c r="D2738" t="s">
        <v>137</v>
      </c>
      <c r="E2738" t="s">
        <v>406</v>
      </c>
      <c r="F2738" s="122">
        <v>1</v>
      </c>
      <c r="G2738" s="122">
        <v>98</v>
      </c>
      <c r="H2738" s="122">
        <v>429</v>
      </c>
      <c r="I2738" s="122">
        <v>32047</v>
      </c>
      <c r="J2738" s="122">
        <v>11869</v>
      </c>
      <c r="K2738" s="122">
        <v>100</v>
      </c>
      <c r="L2738" s="122">
        <v>2232</v>
      </c>
      <c r="M2738" s="122">
        <v>2029</v>
      </c>
      <c r="N2738" s="122">
        <v>2390</v>
      </c>
      <c r="O2738" s="122">
        <v>885</v>
      </c>
      <c r="P2738" s="122">
        <v>0</v>
      </c>
      <c r="Q2738" s="122">
        <v>0</v>
      </c>
      <c r="R2738" s="122">
        <v>5428</v>
      </c>
      <c r="S2738" s="122">
        <v>4935</v>
      </c>
      <c r="T2738" s="122">
        <v>0</v>
      </c>
      <c r="U2738" s="122">
        <v>0</v>
      </c>
      <c r="V2738" s="122">
        <v>19718</v>
      </c>
      <c r="W2738" s="122">
        <f t="shared" si="86"/>
        <v>19718</v>
      </c>
      <c r="X2738" s="122">
        <f t="shared" si="87"/>
        <v>42097</v>
      </c>
      <c r="AI2738" s="66"/>
    </row>
    <row r="2739" spans="2:35" ht="13">
      <c r="B2739" t="s">
        <v>386</v>
      </c>
      <c r="C2739" t="s">
        <v>62</v>
      </c>
      <c r="D2739" t="s">
        <v>137</v>
      </c>
      <c r="E2739" t="s">
        <v>427</v>
      </c>
      <c r="F2739" s="122">
        <v>1</v>
      </c>
      <c r="G2739" s="122">
        <v>66</v>
      </c>
      <c r="H2739" s="122">
        <v>448</v>
      </c>
      <c r="I2739" s="122">
        <v>18110</v>
      </c>
      <c r="J2739" s="122">
        <v>6707</v>
      </c>
      <c r="K2739" s="122">
        <v>100</v>
      </c>
      <c r="L2739" s="122">
        <v>1491</v>
      </c>
      <c r="M2739" s="122">
        <v>1355</v>
      </c>
      <c r="N2739" s="122">
        <v>1608</v>
      </c>
      <c r="O2739" s="122">
        <v>596</v>
      </c>
      <c r="P2739" s="122">
        <v>351</v>
      </c>
      <c r="Q2739" s="122">
        <v>130</v>
      </c>
      <c r="R2739" s="122">
        <v>5126</v>
      </c>
      <c r="S2739" s="122">
        <v>4660</v>
      </c>
      <c r="T2739" s="122">
        <v>2865</v>
      </c>
      <c r="U2739" s="122">
        <v>1061</v>
      </c>
      <c r="V2739" s="122">
        <v>14510</v>
      </c>
      <c r="W2739" s="122">
        <f t="shared" si="86"/>
        <v>14509</v>
      </c>
      <c r="X2739" s="122">
        <f t="shared" si="87"/>
        <v>29551</v>
      </c>
      <c r="AI2739" s="66"/>
    </row>
    <row r="2740" spans="2:35" ht="13">
      <c r="B2740" t="s">
        <v>386</v>
      </c>
      <c r="C2740" t="s">
        <v>62</v>
      </c>
      <c r="D2740" t="s">
        <v>137</v>
      </c>
      <c r="E2740" t="s">
        <v>556</v>
      </c>
      <c r="F2740" s="122">
        <v>2</v>
      </c>
      <c r="G2740" s="122">
        <v>154</v>
      </c>
      <c r="H2740" s="122">
        <v>824</v>
      </c>
      <c r="I2740" s="122">
        <v>36605</v>
      </c>
      <c r="J2740" s="122">
        <v>13557</v>
      </c>
      <c r="K2740" s="122">
        <v>100</v>
      </c>
      <c r="L2740" s="122">
        <v>6768</v>
      </c>
      <c r="M2740" s="122">
        <v>5640</v>
      </c>
      <c r="N2740" s="122">
        <v>3360</v>
      </c>
      <c r="O2740" s="122">
        <v>1244</v>
      </c>
      <c r="P2740" s="122">
        <v>351</v>
      </c>
      <c r="Q2740" s="122">
        <v>130</v>
      </c>
      <c r="R2740" s="122">
        <v>11883</v>
      </c>
      <c r="S2740" s="122">
        <v>9902</v>
      </c>
      <c r="T2740" s="122">
        <v>4703</v>
      </c>
      <c r="U2740" s="122">
        <v>1742</v>
      </c>
      <c r="V2740" s="122">
        <v>32216</v>
      </c>
      <c r="W2740" s="122">
        <f t="shared" si="86"/>
        <v>32215</v>
      </c>
      <c r="X2740" s="122">
        <f t="shared" si="87"/>
        <v>63670</v>
      </c>
      <c r="AI2740" s="66"/>
    </row>
    <row r="2741" spans="2:35" ht="13">
      <c r="B2741" t="s">
        <v>386</v>
      </c>
      <c r="C2741" t="s">
        <v>62</v>
      </c>
      <c r="D2741" t="s">
        <v>137</v>
      </c>
      <c r="E2741" t="s">
        <v>426</v>
      </c>
      <c r="F2741" s="122">
        <v>2</v>
      </c>
      <c r="G2741" s="122">
        <v>152</v>
      </c>
      <c r="H2741" s="122">
        <v>806</v>
      </c>
      <c r="I2741" s="122">
        <v>37895</v>
      </c>
      <c r="J2741" s="122">
        <v>14035</v>
      </c>
      <c r="K2741" s="122">
        <v>100</v>
      </c>
      <c r="L2741" s="122">
        <v>4995</v>
      </c>
      <c r="M2741" s="122">
        <v>4541</v>
      </c>
      <c r="N2741" s="122">
        <v>2810</v>
      </c>
      <c r="O2741" s="122">
        <v>1041</v>
      </c>
      <c r="P2741" s="122">
        <v>0</v>
      </c>
      <c r="Q2741" s="122">
        <v>0</v>
      </c>
      <c r="R2741" s="122">
        <v>11266</v>
      </c>
      <c r="S2741" s="122">
        <v>10241</v>
      </c>
      <c r="T2741" s="122">
        <v>4106</v>
      </c>
      <c r="U2741" s="122">
        <v>1521</v>
      </c>
      <c r="V2741" s="122">
        <v>31379</v>
      </c>
      <c r="W2741" s="122">
        <f t="shared" si="86"/>
        <v>31379</v>
      </c>
      <c r="X2741" s="122">
        <f t="shared" si="87"/>
        <v>61072</v>
      </c>
      <c r="AI2741" s="66"/>
    </row>
    <row r="2742" spans="2:35" ht="13">
      <c r="B2742" t="s">
        <v>386</v>
      </c>
      <c r="C2742" t="s">
        <v>62</v>
      </c>
      <c r="D2742" t="s">
        <v>406</v>
      </c>
      <c r="E2742" t="s">
        <v>137</v>
      </c>
      <c r="F2742" s="122">
        <v>8</v>
      </c>
      <c r="G2742" s="122">
        <v>582</v>
      </c>
      <c r="H2742" s="122">
        <v>3317</v>
      </c>
      <c r="I2742" s="122">
        <v>150563</v>
      </c>
      <c r="J2742" s="122">
        <v>136875</v>
      </c>
      <c r="K2742" s="122">
        <v>84</v>
      </c>
      <c r="L2742" s="122">
        <v>34414</v>
      </c>
      <c r="M2742" s="122">
        <v>30586</v>
      </c>
      <c r="N2742" s="122">
        <v>11513</v>
      </c>
      <c r="O2742" s="122">
        <v>4264</v>
      </c>
      <c r="P2742" s="122">
        <v>4968</v>
      </c>
      <c r="Q2742" s="122">
        <v>1840</v>
      </c>
      <c r="R2742" s="122">
        <v>39764</v>
      </c>
      <c r="S2742" s="122">
        <v>14727</v>
      </c>
      <c r="T2742" s="122">
        <v>0</v>
      </c>
      <c r="U2742" s="122">
        <v>0</v>
      </c>
      <c r="V2742" s="122">
        <v>188293</v>
      </c>
      <c r="W2742" s="122">
        <f t="shared" si="86"/>
        <v>188292</v>
      </c>
      <c r="X2742" s="122">
        <f t="shared" si="87"/>
        <v>241222</v>
      </c>
      <c r="AI2742" s="66"/>
    </row>
    <row r="2743" spans="2:35" ht="13">
      <c r="B2743" t="s">
        <v>386</v>
      </c>
      <c r="C2743" t="s">
        <v>62</v>
      </c>
      <c r="D2743" t="s">
        <v>406</v>
      </c>
      <c r="E2743" t="s">
        <v>406</v>
      </c>
      <c r="F2743" s="122">
        <v>194</v>
      </c>
      <c r="G2743" s="122">
        <v>16579</v>
      </c>
      <c r="H2743" s="122">
        <v>80139</v>
      </c>
      <c r="I2743" s="122">
        <v>4372861</v>
      </c>
      <c r="J2743" s="122">
        <v>3975328</v>
      </c>
      <c r="K2743" s="122">
        <v>78</v>
      </c>
      <c r="L2743" s="122">
        <v>850830</v>
      </c>
      <c r="M2743" s="122">
        <v>738842</v>
      </c>
      <c r="N2743" s="122">
        <v>356962</v>
      </c>
      <c r="O2743" s="122">
        <v>132208</v>
      </c>
      <c r="P2743" s="122">
        <v>123093</v>
      </c>
      <c r="Q2743" s="122">
        <v>45590</v>
      </c>
      <c r="R2743" s="122">
        <v>851113</v>
      </c>
      <c r="S2743" s="122">
        <v>773739</v>
      </c>
      <c r="T2743" s="122">
        <v>370468</v>
      </c>
      <c r="U2743" s="122">
        <v>137210</v>
      </c>
      <c r="V2743" s="122">
        <v>5802918</v>
      </c>
      <c r="W2743" s="122">
        <f t="shared" si="86"/>
        <v>5802917</v>
      </c>
      <c r="X2743" s="122">
        <f t="shared" si="87"/>
        <v>6925327</v>
      </c>
      <c r="AI2743" s="66"/>
    </row>
    <row r="2744" spans="2:35" ht="13">
      <c r="B2744" t="s">
        <v>386</v>
      </c>
      <c r="C2744" t="s">
        <v>62</v>
      </c>
      <c r="D2744" t="s">
        <v>406</v>
      </c>
      <c r="E2744" t="s">
        <v>426</v>
      </c>
      <c r="F2744" s="122">
        <v>1</v>
      </c>
      <c r="G2744" s="122">
        <v>68</v>
      </c>
      <c r="H2744" s="122">
        <v>410</v>
      </c>
      <c r="I2744" s="122">
        <v>16707</v>
      </c>
      <c r="J2744" s="122">
        <v>15188</v>
      </c>
      <c r="K2744" s="122">
        <v>79</v>
      </c>
      <c r="L2744" s="122">
        <v>4641</v>
      </c>
      <c r="M2744" s="122">
        <v>4219</v>
      </c>
      <c r="N2744" s="122">
        <v>1666</v>
      </c>
      <c r="O2744" s="122">
        <v>617</v>
      </c>
      <c r="P2744" s="122">
        <v>621</v>
      </c>
      <c r="Q2744" s="122">
        <v>230</v>
      </c>
      <c r="R2744" s="122">
        <v>4357</v>
      </c>
      <c r="S2744" s="122">
        <v>3961</v>
      </c>
      <c r="T2744" s="122">
        <v>0</v>
      </c>
      <c r="U2744" s="122">
        <v>0</v>
      </c>
      <c r="V2744" s="122">
        <v>24215</v>
      </c>
      <c r="W2744" s="122">
        <f t="shared" si="86"/>
        <v>24215</v>
      </c>
      <c r="X2744" s="122">
        <f t="shared" si="87"/>
        <v>27992</v>
      </c>
      <c r="AI2744" s="66"/>
    </row>
    <row r="2745" spans="2:35" ht="13">
      <c r="B2745" t="s">
        <v>386</v>
      </c>
      <c r="C2745" t="s">
        <v>62</v>
      </c>
      <c r="D2745" t="s">
        <v>427</v>
      </c>
      <c r="E2745" t="s">
        <v>137</v>
      </c>
      <c r="F2745" s="122">
        <v>2</v>
      </c>
      <c r="G2745" s="122">
        <v>158</v>
      </c>
      <c r="H2745" s="122">
        <v>775</v>
      </c>
      <c r="I2745" s="122">
        <v>28617</v>
      </c>
      <c r="J2745" s="122">
        <v>26015</v>
      </c>
      <c r="K2745" s="122">
        <v>60</v>
      </c>
      <c r="L2745" s="122">
        <v>4653</v>
      </c>
      <c r="M2745" s="122">
        <v>1723</v>
      </c>
      <c r="N2745" s="122">
        <v>3564</v>
      </c>
      <c r="O2745" s="122">
        <v>1320</v>
      </c>
      <c r="P2745" s="122">
        <v>702</v>
      </c>
      <c r="Q2745" s="122">
        <v>260</v>
      </c>
      <c r="R2745" s="122">
        <v>23595</v>
      </c>
      <c r="S2745" s="122">
        <v>8739</v>
      </c>
      <c r="T2745" s="122">
        <v>0</v>
      </c>
      <c r="U2745" s="122">
        <v>0</v>
      </c>
      <c r="V2745" s="122">
        <v>38057</v>
      </c>
      <c r="W2745" s="122">
        <f t="shared" si="86"/>
        <v>38057</v>
      </c>
      <c r="X2745" s="122">
        <f t="shared" si="87"/>
        <v>61131</v>
      </c>
      <c r="AI2745" s="66"/>
    </row>
    <row r="2746" spans="2:35" ht="13">
      <c r="B2746" t="s">
        <v>386</v>
      </c>
      <c r="C2746" t="s">
        <v>62</v>
      </c>
      <c r="D2746" t="s">
        <v>427</v>
      </c>
      <c r="E2746" t="s">
        <v>427</v>
      </c>
      <c r="F2746" s="122">
        <v>14</v>
      </c>
      <c r="G2746" s="122">
        <v>1078</v>
      </c>
      <c r="H2746" s="122">
        <v>5804</v>
      </c>
      <c r="I2746" s="122">
        <v>280449</v>
      </c>
      <c r="J2746" s="122">
        <v>254954</v>
      </c>
      <c r="K2746" s="122">
        <v>56</v>
      </c>
      <c r="L2746" s="122">
        <v>32786</v>
      </c>
      <c r="M2746" s="122">
        <v>28643</v>
      </c>
      <c r="N2746" s="122">
        <v>22595</v>
      </c>
      <c r="O2746" s="122">
        <v>8369</v>
      </c>
      <c r="P2746" s="122">
        <v>4914</v>
      </c>
      <c r="Q2746" s="122">
        <v>1820</v>
      </c>
      <c r="R2746" s="122">
        <v>72518</v>
      </c>
      <c r="S2746" s="122">
        <v>65926</v>
      </c>
      <c r="T2746" s="122">
        <v>32631</v>
      </c>
      <c r="U2746" s="122">
        <v>12086</v>
      </c>
      <c r="V2746" s="122">
        <v>371796</v>
      </c>
      <c r="W2746" s="122">
        <f t="shared" si="86"/>
        <v>371798</v>
      </c>
      <c r="X2746" s="122">
        <f t="shared" si="87"/>
        <v>445893</v>
      </c>
      <c r="AI2746" s="66"/>
    </row>
    <row r="2747" spans="2:35" ht="13">
      <c r="B2747" t="s">
        <v>386</v>
      </c>
      <c r="C2747" t="s">
        <v>62</v>
      </c>
      <c r="D2747" t="s">
        <v>556</v>
      </c>
      <c r="E2747" t="s">
        <v>137</v>
      </c>
      <c r="F2747" s="122">
        <v>2</v>
      </c>
      <c r="G2747" s="122">
        <v>106</v>
      </c>
      <c r="H2747" s="122">
        <v>766</v>
      </c>
      <c r="I2747" s="122">
        <v>15739</v>
      </c>
      <c r="J2747" s="122">
        <v>13116</v>
      </c>
      <c r="K2747" s="122">
        <v>65</v>
      </c>
      <c r="L2747" s="122">
        <v>0</v>
      </c>
      <c r="M2747" s="122">
        <v>0</v>
      </c>
      <c r="N2747" s="122">
        <v>2583</v>
      </c>
      <c r="O2747" s="122">
        <v>957</v>
      </c>
      <c r="P2747" s="122">
        <v>702</v>
      </c>
      <c r="Q2747" s="122">
        <v>260</v>
      </c>
      <c r="R2747" s="122">
        <v>17973</v>
      </c>
      <c r="S2747" s="122">
        <v>6657</v>
      </c>
      <c r="T2747" s="122">
        <v>3580</v>
      </c>
      <c r="U2747" s="122">
        <v>1326</v>
      </c>
      <c r="V2747" s="122">
        <v>22315</v>
      </c>
      <c r="W2747" s="122">
        <f t="shared" si="86"/>
        <v>22316</v>
      </c>
      <c r="X2747" s="122">
        <f t="shared" si="87"/>
        <v>40577</v>
      </c>
      <c r="AI2747" s="66"/>
    </row>
    <row r="2748" spans="2:35" ht="13">
      <c r="B2748" t="s">
        <v>386</v>
      </c>
      <c r="C2748" t="s">
        <v>62</v>
      </c>
      <c r="D2748" t="s">
        <v>556</v>
      </c>
      <c r="E2748" t="s">
        <v>556</v>
      </c>
      <c r="F2748" s="122">
        <v>35</v>
      </c>
      <c r="G2748" s="122">
        <v>2546</v>
      </c>
      <c r="H2748" s="122">
        <v>14371</v>
      </c>
      <c r="I2748" s="122">
        <v>701562</v>
      </c>
      <c r="J2748" s="122">
        <v>584635</v>
      </c>
      <c r="K2748" s="122">
        <v>55</v>
      </c>
      <c r="L2748" s="122">
        <v>31671</v>
      </c>
      <c r="M2748" s="122">
        <v>14412</v>
      </c>
      <c r="N2748" s="122">
        <v>51030</v>
      </c>
      <c r="O2748" s="122">
        <v>18900</v>
      </c>
      <c r="P2748" s="122">
        <v>12204</v>
      </c>
      <c r="Q2748" s="122">
        <v>4520</v>
      </c>
      <c r="R2748" s="122">
        <v>189886</v>
      </c>
      <c r="S2748" s="122">
        <v>158239</v>
      </c>
      <c r="T2748" s="122">
        <v>67345</v>
      </c>
      <c r="U2748" s="122">
        <v>24942</v>
      </c>
      <c r="V2748" s="122">
        <v>805648</v>
      </c>
      <c r="W2748" s="122">
        <f t="shared" si="86"/>
        <v>805648</v>
      </c>
      <c r="X2748" s="122">
        <f t="shared" si="87"/>
        <v>1053698</v>
      </c>
      <c r="AI2748" s="66"/>
    </row>
    <row r="2749" spans="2:35" ht="13">
      <c r="B2749" t="s">
        <v>386</v>
      </c>
      <c r="C2749" t="s">
        <v>62</v>
      </c>
      <c r="D2749" t="s">
        <v>426</v>
      </c>
      <c r="E2749" t="s">
        <v>137</v>
      </c>
      <c r="F2749" s="122">
        <v>5</v>
      </c>
      <c r="G2749" s="122">
        <v>344</v>
      </c>
      <c r="H2749" s="122">
        <v>2117</v>
      </c>
      <c r="I2749" s="122">
        <v>83635</v>
      </c>
      <c r="J2749" s="122">
        <v>76032</v>
      </c>
      <c r="K2749" s="122">
        <v>50</v>
      </c>
      <c r="L2749" s="122">
        <v>3191</v>
      </c>
      <c r="M2749" s="122">
        <v>3701</v>
      </c>
      <c r="N2749" s="122">
        <v>7046</v>
      </c>
      <c r="O2749" s="122">
        <v>2610</v>
      </c>
      <c r="P2749" s="122">
        <v>702</v>
      </c>
      <c r="Q2749" s="122">
        <v>260</v>
      </c>
      <c r="R2749" s="122">
        <v>45687</v>
      </c>
      <c r="S2749" s="122">
        <v>16921</v>
      </c>
      <c r="T2749" s="122">
        <v>4582</v>
      </c>
      <c r="U2749" s="122">
        <v>1697</v>
      </c>
      <c r="V2749" s="122">
        <v>101221</v>
      </c>
      <c r="W2749" s="122">
        <f t="shared" si="86"/>
        <v>101221</v>
      </c>
      <c r="X2749" s="122">
        <f t="shared" si="87"/>
        <v>144843</v>
      </c>
      <c r="AI2749" s="66"/>
    </row>
    <row r="2750" spans="2:35" ht="13">
      <c r="B2750" t="s">
        <v>386</v>
      </c>
      <c r="C2750" t="s">
        <v>62</v>
      </c>
      <c r="D2750" t="s">
        <v>426</v>
      </c>
      <c r="E2750" t="s">
        <v>426</v>
      </c>
      <c r="F2750" s="122">
        <v>141</v>
      </c>
      <c r="G2750" s="122">
        <v>8673</v>
      </c>
      <c r="H2750" s="122">
        <v>57870</v>
      </c>
      <c r="I2750" s="122">
        <v>2162166</v>
      </c>
      <c r="J2750" s="122">
        <v>1965606</v>
      </c>
      <c r="K2750" s="122">
        <v>55</v>
      </c>
      <c r="L2750" s="122">
        <v>206732</v>
      </c>
      <c r="M2750" s="122">
        <v>110768</v>
      </c>
      <c r="N2750" s="122">
        <v>169087</v>
      </c>
      <c r="O2750" s="122">
        <v>62625</v>
      </c>
      <c r="P2750" s="122">
        <v>50409</v>
      </c>
      <c r="Q2750" s="122">
        <v>18670</v>
      </c>
      <c r="R2750" s="122">
        <v>714427</v>
      </c>
      <c r="S2750" s="122">
        <v>649479</v>
      </c>
      <c r="T2750" s="122">
        <v>262355</v>
      </c>
      <c r="U2750" s="122">
        <v>97169</v>
      </c>
      <c r="V2750" s="122">
        <v>2904317</v>
      </c>
      <c r="W2750" s="122">
        <f t="shared" si="86"/>
        <v>2904317</v>
      </c>
      <c r="X2750" s="122">
        <f t="shared" si="87"/>
        <v>3565176</v>
      </c>
      <c r="AI2750" s="66"/>
    </row>
    <row r="2751" spans="2:35" ht="13">
      <c r="B2751" t="s">
        <v>386</v>
      </c>
      <c r="C2751" t="s">
        <v>62</v>
      </c>
      <c r="D2751" t="s">
        <v>408</v>
      </c>
      <c r="E2751" t="s">
        <v>408</v>
      </c>
      <c r="F2751" s="122">
        <v>1</v>
      </c>
      <c r="G2751" s="122">
        <v>76</v>
      </c>
      <c r="H2751" s="122">
        <v>400</v>
      </c>
      <c r="I2751" s="122">
        <v>20121</v>
      </c>
      <c r="J2751" s="122">
        <v>18292</v>
      </c>
      <c r="K2751" s="122">
        <v>65</v>
      </c>
      <c r="L2751" s="122">
        <v>3567</v>
      </c>
      <c r="M2751" s="122">
        <v>1321</v>
      </c>
      <c r="N2751" s="122">
        <v>1852</v>
      </c>
      <c r="O2751" s="122">
        <v>686</v>
      </c>
      <c r="P2751" s="122">
        <v>351</v>
      </c>
      <c r="Q2751" s="122">
        <v>130</v>
      </c>
      <c r="R2751" s="122">
        <v>2812</v>
      </c>
      <c r="S2751" s="122">
        <v>2556</v>
      </c>
      <c r="T2751" s="122">
        <v>1666</v>
      </c>
      <c r="U2751" s="122">
        <v>617</v>
      </c>
      <c r="V2751" s="122">
        <v>23602</v>
      </c>
      <c r="W2751" s="122">
        <f t="shared" si="86"/>
        <v>23602</v>
      </c>
      <c r="X2751" s="122">
        <f t="shared" si="87"/>
        <v>30369</v>
      </c>
      <c r="AI2751" s="66"/>
    </row>
    <row r="2752" spans="2:35" ht="13">
      <c r="B2752" t="s">
        <v>386</v>
      </c>
      <c r="C2752" t="s">
        <v>64</v>
      </c>
      <c r="F2752" s="122">
        <v>2</v>
      </c>
      <c r="G2752" s="122">
        <v>184</v>
      </c>
      <c r="H2752" s="122">
        <v>1089</v>
      </c>
      <c r="I2752" s="122"/>
      <c r="J2752" s="122">
        <v>0</v>
      </c>
      <c r="K2752" s="122"/>
      <c r="L2752" s="122"/>
      <c r="M2752" s="122">
        <v>0</v>
      </c>
      <c r="N2752" s="122">
        <v>3791</v>
      </c>
      <c r="O2752" s="122">
        <v>1404</v>
      </c>
      <c r="P2752" s="122">
        <v>621</v>
      </c>
      <c r="Q2752" s="122">
        <v>230</v>
      </c>
      <c r="R2752" s="122"/>
      <c r="S2752" s="122">
        <v>0</v>
      </c>
      <c r="T2752" s="122">
        <v>2807</v>
      </c>
      <c r="U2752" s="122">
        <v>1040</v>
      </c>
      <c r="V2752" s="122">
        <v>2674</v>
      </c>
      <c r="W2752" s="122">
        <f t="shared" si="86"/>
        <v>2674</v>
      </c>
      <c r="X2752" s="122">
        <f t="shared" si="87"/>
        <v>7219</v>
      </c>
      <c r="AI2752" s="66"/>
    </row>
    <row r="2753" spans="2:35" ht="13">
      <c r="B2753" t="s">
        <v>386</v>
      </c>
      <c r="C2753" t="s">
        <v>64</v>
      </c>
      <c r="D2753" t="s">
        <v>425</v>
      </c>
      <c r="E2753" t="s">
        <v>137</v>
      </c>
      <c r="F2753" s="122">
        <v>1</v>
      </c>
      <c r="G2753" s="122">
        <v>78</v>
      </c>
      <c r="H2753" s="122">
        <v>690</v>
      </c>
      <c r="I2753" s="122">
        <v>24679</v>
      </c>
      <c r="J2753" s="122">
        <v>22435</v>
      </c>
      <c r="K2753" s="122">
        <v>50</v>
      </c>
      <c r="L2753" s="122">
        <v>2176</v>
      </c>
      <c r="M2753" s="122">
        <v>1978</v>
      </c>
      <c r="N2753" s="122">
        <v>1897</v>
      </c>
      <c r="O2753" s="122">
        <v>702</v>
      </c>
      <c r="P2753" s="122">
        <v>0</v>
      </c>
      <c r="Q2753" s="122">
        <v>0</v>
      </c>
      <c r="R2753" s="122">
        <v>24911</v>
      </c>
      <c r="S2753" s="122">
        <v>9226</v>
      </c>
      <c r="T2753" s="122">
        <v>0</v>
      </c>
      <c r="U2753" s="122">
        <v>0</v>
      </c>
      <c r="V2753" s="122">
        <v>34343</v>
      </c>
      <c r="W2753" s="122">
        <f t="shared" si="86"/>
        <v>34341</v>
      </c>
      <c r="X2753" s="122">
        <f t="shared" si="87"/>
        <v>53663</v>
      </c>
      <c r="AI2753" s="66"/>
    </row>
    <row r="2754" spans="2:35" ht="13">
      <c r="B2754" t="s">
        <v>386</v>
      </c>
      <c r="C2754" t="s">
        <v>64</v>
      </c>
      <c r="D2754" t="s">
        <v>405</v>
      </c>
      <c r="E2754" t="s">
        <v>405</v>
      </c>
      <c r="F2754" s="122">
        <v>1</v>
      </c>
      <c r="G2754" s="122">
        <v>248</v>
      </c>
      <c r="H2754" s="122">
        <v>465</v>
      </c>
      <c r="I2754" s="122">
        <v>115885</v>
      </c>
      <c r="J2754" s="122">
        <v>105350</v>
      </c>
      <c r="K2754" s="122">
        <v>68</v>
      </c>
      <c r="L2754" s="122">
        <v>30247</v>
      </c>
      <c r="M2754" s="122">
        <v>25206</v>
      </c>
      <c r="N2754" s="122">
        <v>8128</v>
      </c>
      <c r="O2754" s="122">
        <v>3010</v>
      </c>
      <c r="P2754" s="122">
        <v>1053</v>
      </c>
      <c r="Q2754" s="122">
        <v>390</v>
      </c>
      <c r="R2754" s="122">
        <v>10460</v>
      </c>
      <c r="S2754" s="122">
        <v>9509</v>
      </c>
      <c r="T2754" s="122">
        <v>0</v>
      </c>
      <c r="U2754" s="122">
        <v>0</v>
      </c>
      <c r="V2754" s="122">
        <v>143465</v>
      </c>
      <c r="W2754" s="122">
        <f t="shared" si="86"/>
        <v>143465</v>
      </c>
      <c r="X2754" s="122">
        <f t="shared" si="87"/>
        <v>165773</v>
      </c>
      <c r="AI2754" s="66"/>
    </row>
    <row r="2755" spans="2:35" ht="13">
      <c r="B2755" t="s">
        <v>386</v>
      </c>
      <c r="C2755" t="s">
        <v>64</v>
      </c>
      <c r="D2755" t="s">
        <v>137</v>
      </c>
      <c r="E2755" t="s">
        <v>137</v>
      </c>
      <c r="F2755" s="122">
        <v>255</v>
      </c>
      <c r="G2755" s="122">
        <v>21205</v>
      </c>
      <c r="H2755" s="122">
        <v>162046</v>
      </c>
      <c r="I2755" s="122">
        <v>9384788</v>
      </c>
      <c r="J2755" s="122">
        <v>3475847</v>
      </c>
      <c r="K2755" s="122">
        <v>100</v>
      </c>
      <c r="L2755" s="122">
        <v>1716107</v>
      </c>
      <c r="M2755" s="122">
        <v>1403786</v>
      </c>
      <c r="N2755" s="122">
        <v>473113</v>
      </c>
      <c r="O2755" s="122">
        <v>175227</v>
      </c>
      <c r="P2755" s="122">
        <v>3551</v>
      </c>
      <c r="Q2755" s="122">
        <v>1315</v>
      </c>
      <c r="R2755" s="122">
        <v>1814837</v>
      </c>
      <c r="S2755" s="122">
        <v>672162</v>
      </c>
      <c r="T2755" s="122">
        <v>7099</v>
      </c>
      <c r="U2755" s="122">
        <v>2629</v>
      </c>
      <c r="V2755" s="122">
        <v>5730966</v>
      </c>
      <c r="W2755" s="122">
        <f t="shared" si="86"/>
        <v>5730966</v>
      </c>
      <c r="X2755" s="122">
        <f t="shared" si="87"/>
        <v>13399495</v>
      </c>
      <c r="AI2755" s="66"/>
    </row>
    <row r="2756" spans="2:35" ht="13">
      <c r="B2756" t="s">
        <v>386</v>
      </c>
      <c r="C2756" t="s">
        <v>64</v>
      </c>
      <c r="D2756" t="s">
        <v>137</v>
      </c>
      <c r="E2756" t="s">
        <v>427</v>
      </c>
      <c r="F2756" s="122">
        <v>1</v>
      </c>
      <c r="G2756" s="122">
        <v>105</v>
      </c>
      <c r="H2756" s="122">
        <v>702</v>
      </c>
      <c r="I2756" s="122">
        <v>58662</v>
      </c>
      <c r="J2756" s="122">
        <v>21727</v>
      </c>
      <c r="K2756" s="122">
        <v>100</v>
      </c>
      <c r="L2756" s="122">
        <v>5311</v>
      </c>
      <c r="M2756" s="122">
        <v>4828</v>
      </c>
      <c r="N2756" s="122">
        <v>2231</v>
      </c>
      <c r="O2756" s="122">
        <v>826</v>
      </c>
      <c r="P2756" s="122">
        <v>0</v>
      </c>
      <c r="Q2756" s="122">
        <v>0</v>
      </c>
      <c r="R2756" s="122">
        <v>5174</v>
      </c>
      <c r="S2756" s="122">
        <v>4704</v>
      </c>
      <c r="T2756" s="122">
        <v>2041</v>
      </c>
      <c r="U2756" s="122">
        <v>756</v>
      </c>
      <c r="V2756" s="122">
        <v>32841</v>
      </c>
      <c r="W2756" s="122">
        <f t="shared" si="86"/>
        <v>32841</v>
      </c>
      <c r="X2756" s="122">
        <f t="shared" si="87"/>
        <v>73419</v>
      </c>
      <c r="AI2756" s="66"/>
    </row>
    <row r="2757" spans="2:35" ht="13">
      <c r="B2757" t="s">
        <v>386</v>
      </c>
      <c r="C2757" t="s">
        <v>64</v>
      </c>
      <c r="D2757" t="s">
        <v>137</v>
      </c>
      <c r="E2757" t="s">
        <v>556</v>
      </c>
      <c r="F2757" s="122">
        <v>5</v>
      </c>
      <c r="G2757" s="122">
        <v>347</v>
      </c>
      <c r="H2757" s="122">
        <v>3006</v>
      </c>
      <c r="I2757" s="122">
        <v>138207</v>
      </c>
      <c r="J2757" s="122">
        <v>51188</v>
      </c>
      <c r="K2757" s="122">
        <v>100</v>
      </c>
      <c r="L2757" s="122">
        <v>18555</v>
      </c>
      <c r="M2757" s="122">
        <v>15462</v>
      </c>
      <c r="N2757" s="122">
        <v>7179</v>
      </c>
      <c r="O2757" s="122">
        <v>2659</v>
      </c>
      <c r="P2757" s="122">
        <v>1053</v>
      </c>
      <c r="Q2757" s="122">
        <v>390</v>
      </c>
      <c r="R2757" s="122">
        <v>35018</v>
      </c>
      <c r="S2757" s="122">
        <v>29182</v>
      </c>
      <c r="T2757" s="122">
        <v>10552</v>
      </c>
      <c r="U2757" s="122">
        <v>3908</v>
      </c>
      <c r="V2757" s="122">
        <v>102789</v>
      </c>
      <c r="W2757" s="122">
        <f t="shared" si="86"/>
        <v>102789</v>
      </c>
      <c r="X2757" s="122">
        <f t="shared" si="87"/>
        <v>210564</v>
      </c>
      <c r="AI2757" s="66"/>
    </row>
    <row r="2758" spans="2:35" ht="13">
      <c r="B2758" t="s">
        <v>386</v>
      </c>
      <c r="C2758" t="s">
        <v>64</v>
      </c>
      <c r="D2758" t="s">
        <v>137</v>
      </c>
      <c r="E2758" t="s">
        <v>426</v>
      </c>
      <c r="F2758" s="122">
        <v>10</v>
      </c>
      <c r="G2758" s="122">
        <v>836</v>
      </c>
      <c r="H2758" s="122">
        <v>6547</v>
      </c>
      <c r="I2758" s="122">
        <v>383738</v>
      </c>
      <c r="J2758" s="122">
        <v>142125</v>
      </c>
      <c r="K2758" s="122">
        <v>100</v>
      </c>
      <c r="L2758" s="122">
        <v>63890</v>
      </c>
      <c r="M2758" s="122">
        <v>55387</v>
      </c>
      <c r="N2758" s="122">
        <v>19367</v>
      </c>
      <c r="O2758" s="122">
        <v>7173</v>
      </c>
      <c r="P2758" s="122">
        <v>1053</v>
      </c>
      <c r="Q2758" s="122">
        <v>390</v>
      </c>
      <c r="R2758" s="122">
        <v>55426</v>
      </c>
      <c r="S2758" s="122">
        <v>50387</v>
      </c>
      <c r="T2758" s="122">
        <v>27007</v>
      </c>
      <c r="U2758" s="122">
        <v>10003</v>
      </c>
      <c r="V2758" s="122">
        <v>265465</v>
      </c>
      <c r="W2758" s="122">
        <f t="shared" si="86"/>
        <v>265465</v>
      </c>
      <c r="X2758" s="122">
        <f t="shared" si="87"/>
        <v>550481</v>
      </c>
      <c r="AI2758" s="66"/>
    </row>
    <row r="2759" spans="2:35" ht="13">
      <c r="B2759" t="s">
        <v>386</v>
      </c>
      <c r="C2759" t="s">
        <v>64</v>
      </c>
      <c r="D2759" t="s">
        <v>406</v>
      </c>
      <c r="E2759" t="s">
        <v>137</v>
      </c>
      <c r="F2759" s="122">
        <v>9</v>
      </c>
      <c r="G2759" s="122">
        <v>672</v>
      </c>
      <c r="H2759" s="122">
        <v>4907</v>
      </c>
      <c r="I2759" s="122">
        <v>251763</v>
      </c>
      <c r="J2759" s="122">
        <v>228875</v>
      </c>
      <c r="K2759" s="122">
        <v>70</v>
      </c>
      <c r="L2759" s="122">
        <v>47962</v>
      </c>
      <c r="M2759" s="122">
        <v>43602</v>
      </c>
      <c r="N2759" s="122">
        <v>15189</v>
      </c>
      <c r="O2759" s="122">
        <v>5626</v>
      </c>
      <c r="P2759" s="122">
        <v>5589</v>
      </c>
      <c r="Q2759" s="122">
        <v>2070</v>
      </c>
      <c r="R2759" s="122">
        <v>41541</v>
      </c>
      <c r="S2759" s="122">
        <v>15385</v>
      </c>
      <c r="T2759" s="122">
        <v>0</v>
      </c>
      <c r="U2759" s="122">
        <v>0</v>
      </c>
      <c r="V2759" s="122">
        <v>295559</v>
      </c>
      <c r="W2759" s="122">
        <f t="shared" si="86"/>
        <v>295558</v>
      </c>
      <c r="X2759" s="122">
        <f t="shared" si="87"/>
        <v>362044</v>
      </c>
      <c r="AI2759" s="66"/>
    </row>
    <row r="2760" spans="2:35" ht="13">
      <c r="B2760" t="s">
        <v>386</v>
      </c>
      <c r="C2760" t="s">
        <v>64</v>
      </c>
      <c r="D2760" t="s">
        <v>406</v>
      </c>
      <c r="E2760" t="s">
        <v>406</v>
      </c>
      <c r="F2760" s="122">
        <v>118</v>
      </c>
      <c r="G2760" s="122">
        <v>10366</v>
      </c>
      <c r="H2760" s="122">
        <v>66359</v>
      </c>
      <c r="I2760" s="122">
        <v>3750652</v>
      </c>
      <c r="J2760" s="122">
        <v>3409684</v>
      </c>
      <c r="K2760" s="122">
        <v>72</v>
      </c>
      <c r="L2760" s="122">
        <v>1073145</v>
      </c>
      <c r="M2760" s="122">
        <v>953261</v>
      </c>
      <c r="N2760" s="122">
        <v>233352</v>
      </c>
      <c r="O2760" s="122">
        <v>86427</v>
      </c>
      <c r="P2760" s="122">
        <v>75627</v>
      </c>
      <c r="Q2760" s="122">
        <v>28010</v>
      </c>
      <c r="R2760" s="122">
        <v>571773</v>
      </c>
      <c r="S2760" s="122">
        <v>519794</v>
      </c>
      <c r="T2760" s="122">
        <v>233790</v>
      </c>
      <c r="U2760" s="122">
        <v>86589</v>
      </c>
      <c r="V2760" s="122">
        <v>5083764</v>
      </c>
      <c r="W2760" s="122">
        <f t="shared" si="86"/>
        <v>5083765</v>
      </c>
      <c r="X2760" s="122">
        <f t="shared" si="87"/>
        <v>5938339</v>
      </c>
      <c r="AI2760" s="66"/>
    </row>
    <row r="2761" spans="2:35" ht="13">
      <c r="B2761" t="s">
        <v>386</v>
      </c>
      <c r="C2761" t="s">
        <v>64</v>
      </c>
      <c r="D2761" t="s">
        <v>406</v>
      </c>
      <c r="E2761" t="s">
        <v>426</v>
      </c>
      <c r="F2761" s="122">
        <v>1</v>
      </c>
      <c r="G2761" s="122">
        <v>46</v>
      </c>
      <c r="H2761" s="122">
        <v>648</v>
      </c>
      <c r="I2761" s="122">
        <v>19001</v>
      </c>
      <c r="J2761" s="122">
        <v>17274</v>
      </c>
      <c r="K2761" s="122">
        <v>70</v>
      </c>
      <c r="L2761" s="122">
        <v>3446</v>
      </c>
      <c r="M2761" s="122">
        <v>1276</v>
      </c>
      <c r="N2761" s="122">
        <v>1114</v>
      </c>
      <c r="O2761" s="122">
        <v>413</v>
      </c>
      <c r="P2761" s="122">
        <v>621</v>
      </c>
      <c r="Q2761" s="122">
        <v>230</v>
      </c>
      <c r="R2761" s="122">
        <v>3613</v>
      </c>
      <c r="S2761" s="122">
        <v>3285</v>
      </c>
      <c r="T2761" s="122">
        <v>1818</v>
      </c>
      <c r="U2761" s="122">
        <v>673</v>
      </c>
      <c r="V2761" s="122">
        <v>23150</v>
      </c>
      <c r="W2761" s="122">
        <f t="shared" si="86"/>
        <v>23151</v>
      </c>
      <c r="X2761" s="122">
        <f t="shared" si="87"/>
        <v>29613</v>
      </c>
      <c r="AI2761" s="66"/>
    </row>
    <row r="2762" spans="2:35" ht="13">
      <c r="B2762" t="s">
        <v>386</v>
      </c>
      <c r="C2762" t="s">
        <v>64</v>
      </c>
      <c r="D2762" t="s">
        <v>427</v>
      </c>
      <c r="E2762" t="s">
        <v>137</v>
      </c>
      <c r="F2762" s="122">
        <v>9</v>
      </c>
      <c r="G2762" s="122">
        <v>561</v>
      </c>
      <c r="H2762" s="122">
        <v>9963</v>
      </c>
      <c r="I2762" s="122">
        <v>533317</v>
      </c>
      <c r="J2762" s="122">
        <v>484834</v>
      </c>
      <c r="K2762" s="122">
        <v>36</v>
      </c>
      <c r="L2762" s="122">
        <v>43928</v>
      </c>
      <c r="M2762" s="122">
        <v>19852</v>
      </c>
      <c r="N2762" s="122">
        <v>13616</v>
      </c>
      <c r="O2762" s="122">
        <v>5043</v>
      </c>
      <c r="P2762" s="122">
        <v>702</v>
      </c>
      <c r="Q2762" s="122">
        <v>260</v>
      </c>
      <c r="R2762" s="122">
        <v>57844</v>
      </c>
      <c r="S2762" s="122">
        <v>21424</v>
      </c>
      <c r="T2762" s="122">
        <v>0</v>
      </c>
      <c r="U2762" s="122">
        <v>0</v>
      </c>
      <c r="V2762" s="122">
        <v>531412</v>
      </c>
      <c r="W2762" s="122">
        <f t="shared" si="86"/>
        <v>531413</v>
      </c>
      <c r="X2762" s="122">
        <f t="shared" si="87"/>
        <v>649407</v>
      </c>
      <c r="AI2762" s="66"/>
    </row>
    <row r="2763" spans="2:35" ht="13">
      <c r="B2763" t="s">
        <v>386</v>
      </c>
      <c r="C2763" t="s">
        <v>64</v>
      </c>
      <c r="D2763" t="s">
        <v>427</v>
      </c>
      <c r="E2763" t="s">
        <v>427</v>
      </c>
      <c r="F2763" s="122">
        <v>19</v>
      </c>
      <c r="G2763" s="122">
        <v>1408</v>
      </c>
      <c r="H2763" s="122">
        <v>10745</v>
      </c>
      <c r="I2763" s="122">
        <v>536645</v>
      </c>
      <c r="J2763" s="122">
        <v>487859</v>
      </c>
      <c r="K2763" s="122">
        <v>55</v>
      </c>
      <c r="L2763" s="122">
        <v>72310</v>
      </c>
      <c r="M2763" s="122">
        <v>65807</v>
      </c>
      <c r="N2763" s="122">
        <v>32234</v>
      </c>
      <c r="O2763" s="122">
        <v>11939</v>
      </c>
      <c r="P2763" s="122">
        <v>6318</v>
      </c>
      <c r="Q2763" s="122">
        <v>2340</v>
      </c>
      <c r="R2763" s="122">
        <v>102862</v>
      </c>
      <c r="S2763" s="122">
        <v>93511</v>
      </c>
      <c r="T2763" s="122">
        <v>47118</v>
      </c>
      <c r="U2763" s="122">
        <v>17451</v>
      </c>
      <c r="V2763" s="122">
        <v>678907</v>
      </c>
      <c r="W2763" s="122">
        <f t="shared" si="86"/>
        <v>678907</v>
      </c>
      <c r="X2763" s="122">
        <f t="shared" si="87"/>
        <v>797487</v>
      </c>
      <c r="AI2763" s="66"/>
    </row>
    <row r="2764" spans="2:35" ht="13">
      <c r="B2764" t="s">
        <v>386</v>
      </c>
      <c r="C2764" t="s">
        <v>64</v>
      </c>
      <c r="D2764" t="s">
        <v>407</v>
      </c>
      <c r="E2764" t="s">
        <v>407</v>
      </c>
      <c r="F2764" s="122">
        <v>1</v>
      </c>
      <c r="G2764" s="122">
        <v>68</v>
      </c>
      <c r="H2764" s="122">
        <v>484</v>
      </c>
      <c r="I2764" s="122">
        <v>22369</v>
      </c>
      <c r="J2764" s="122">
        <v>20335</v>
      </c>
      <c r="K2764" s="122">
        <v>73</v>
      </c>
      <c r="L2764" s="122">
        <v>5750</v>
      </c>
      <c r="M2764" s="122">
        <v>5227</v>
      </c>
      <c r="N2764" s="122">
        <v>1470</v>
      </c>
      <c r="O2764" s="122">
        <v>545</v>
      </c>
      <c r="P2764" s="122">
        <v>473</v>
      </c>
      <c r="Q2764" s="122">
        <v>175</v>
      </c>
      <c r="R2764" s="122">
        <v>2766</v>
      </c>
      <c r="S2764" s="122">
        <v>2515</v>
      </c>
      <c r="T2764" s="122">
        <v>0</v>
      </c>
      <c r="U2764" s="122">
        <v>0</v>
      </c>
      <c r="V2764" s="122">
        <v>28796</v>
      </c>
      <c r="W2764" s="122">
        <f t="shared" si="86"/>
        <v>28797</v>
      </c>
      <c r="X2764" s="122">
        <f t="shared" si="87"/>
        <v>32828</v>
      </c>
      <c r="AI2764" s="66"/>
    </row>
    <row r="2765" spans="2:35" ht="13">
      <c r="B2765" t="s">
        <v>386</v>
      </c>
      <c r="C2765" t="s">
        <v>64</v>
      </c>
      <c r="D2765" t="s">
        <v>556</v>
      </c>
      <c r="E2765" t="s">
        <v>137</v>
      </c>
      <c r="F2765" s="122">
        <v>13</v>
      </c>
      <c r="G2765" s="122">
        <v>999</v>
      </c>
      <c r="H2765" s="122">
        <v>14093</v>
      </c>
      <c r="I2765" s="122">
        <v>934954</v>
      </c>
      <c r="J2765" s="122">
        <v>779128</v>
      </c>
      <c r="K2765" s="122">
        <v>33</v>
      </c>
      <c r="L2765" s="122">
        <v>49926</v>
      </c>
      <c r="M2765" s="122">
        <v>21394</v>
      </c>
      <c r="N2765" s="122">
        <v>22221</v>
      </c>
      <c r="O2765" s="122">
        <v>8230</v>
      </c>
      <c r="P2765" s="122">
        <v>0</v>
      </c>
      <c r="Q2765" s="122">
        <v>0</v>
      </c>
      <c r="R2765" s="122">
        <v>82415</v>
      </c>
      <c r="S2765" s="122">
        <v>30524</v>
      </c>
      <c r="T2765" s="122">
        <v>0</v>
      </c>
      <c r="U2765" s="122">
        <v>0</v>
      </c>
      <c r="V2765" s="122">
        <v>839276</v>
      </c>
      <c r="W2765" s="122">
        <f t="shared" si="86"/>
        <v>839276</v>
      </c>
      <c r="X2765" s="122">
        <f t="shared" si="87"/>
        <v>1089516</v>
      </c>
      <c r="AI2765" s="66"/>
    </row>
    <row r="2766" spans="2:35" ht="13">
      <c r="B2766" t="s">
        <v>386</v>
      </c>
      <c r="C2766" t="s">
        <v>64</v>
      </c>
      <c r="D2766" t="s">
        <v>556</v>
      </c>
      <c r="E2766" t="s">
        <v>556</v>
      </c>
      <c r="F2766" s="122">
        <v>49</v>
      </c>
      <c r="G2766" s="122">
        <v>3779</v>
      </c>
      <c r="H2766" s="122">
        <v>29021</v>
      </c>
      <c r="I2766" s="122">
        <v>1657532</v>
      </c>
      <c r="J2766" s="122">
        <v>1381277</v>
      </c>
      <c r="K2766" s="122">
        <v>56</v>
      </c>
      <c r="L2766" s="122">
        <v>125688</v>
      </c>
      <c r="M2766" s="122">
        <v>75860</v>
      </c>
      <c r="N2766" s="122">
        <v>80472</v>
      </c>
      <c r="O2766" s="122">
        <v>29804</v>
      </c>
      <c r="P2766" s="122">
        <v>15714</v>
      </c>
      <c r="Q2766" s="122">
        <v>5820</v>
      </c>
      <c r="R2766" s="122">
        <v>253348</v>
      </c>
      <c r="S2766" s="122">
        <v>211123</v>
      </c>
      <c r="T2766" s="122">
        <v>100267</v>
      </c>
      <c r="U2766" s="122">
        <v>37136</v>
      </c>
      <c r="V2766" s="122">
        <v>1741020</v>
      </c>
      <c r="W2766" s="122">
        <f t="shared" si="86"/>
        <v>1741020</v>
      </c>
      <c r="X2766" s="122">
        <f t="shared" si="87"/>
        <v>2233021</v>
      </c>
      <c r="AI2766" s="66"/>
    </row>
    <row r="2767" spans="2:35" ht="13">
      <c r="B2767" t="s">
        <v>386</v>
      </c>
      <c r="C2767" t="s">
        <v>64</v>
      </c>
      <c r="D2767" t="s">
        <v>426</v>
      </c>
      <c r="E2767" t="s">
        <v>137</v>
      </c>
      <c r="F2767" s="122">
        <v>43</v>
      </c>
      <c r="G2767" s="122">
        <v>3754</v>
      </c>
      <c r="H2767" s="122">
        <v>37564</v>
      </c>
      <c r="I2767" s="122">
        <v>2562641</v>
      </c>
      <c r="J2767" s="122">
        <v>2329674</v>
      </c>
      <c r="K2767" s="122">
        <v>37</v>
      </c>
      <c r="L2767" s="122">
        <v>221270</v>
      </c>
      <c r="M2767" s="122">
        <v>98689</v>
      </c>
      <c r="N2767" s="122">
        <v>85427</v>
      </c>
      <c r="O2767" s="122">
        <v>31640</v>
      </c>
      <c r="P2767" s="122">
        <v>3078</v>
      </c>
      <c r="Q2767" s="122">
        <v>1140</v>
      </c>
      <c r="R2767" s="122">
        <v>324783</v>
      </c>
      <c r="S2767" s="122">
        <v>120290</v>
      </c>
      <c r="T2767" s="122">
        <v>0</v>
      </c>
      <c r="U2767" s="122">
        <v>0</v>
      </c>
      <c r="V2767" s="122">
        <v>2581433</v>
      </c>
      <c r="W2767" s="122">
        <f t="shared" si="86"/>
        <v>2581433</v>
      </c>
      <c r="X2767" s="122">
        <f t="shared" si="87"/>
        <v>3197199</v>
      </c>
      <c r="AI2767" s="66"/>
    </row>
    <row r="2768" spans="2:35" ht="13">
      <c r="B2768" t="s">
        <v>386</v>
      </c>
      <c r="C2768" t="s">
        <v>64</v>
      </c>
      <c r="D2768" t="s">
        <v>426</v>
      </c>
      <c r="E2768" t="s">
        <v>426</v>
      </c>
      <c r="F2768" s="122">
        <v>104</v>
      </c>
      <c r="G2768" s="122">
        <v>8535</v>
      </c>
      <c r="H2768" s="122">
        <v>60471</v>
      </c>
      <c r="I2768" s="122">
        <v>3448986</v>
      </c>
      <c r="J2768" s="122">
        <v>3135442</v>
      </c>
      <c r="K2768" s="122">
        <v>56</v>
      </c>
      <c r="L2768" s="122">
        <v>489084</v>
      </c>
      <c r="M2768" s="122">
        <v>325432</v>
      </c>
      <c r="N2768" s="122">
        <v>179864</v>
      </c>
      <c r="O2768" s="122">
        <v>66616</v>
      </c>
      <c r="P2768" s="122">
        <v>34668</v>
      </c>
      <c r="Q2768" s="122">
        <v>12840</v>
      </c>
      <c r="R2768" s="122">
        <v>608632</v>
      </c>
      <c r="S2768" s="122">
        <v>553302</v>
      </c>
      <c r="T2768" s="122">
        <v>238885</v>
      </c>
      <c r="U2768" s="122">
        <v>88476</v>
      </c>
      <c r="V2768" s="122">
        <v>4182108</v>
      </c>
      <c r="W2768" s="122">
        <f t="shared" si="86"/>
        <v>4182108</v>
      </c>
      <c r="X2768" s="122">
        <f t="shared" si="87"/>
        <v>5000119</v>
      </c>
      <c r="AI2768" s="66"/>
    </row>
    <row r="2769" spans="2:35" ht="13">
      <c r="B2769" t="s">
        <v>386</v>
      </c>
      <c r="C2769" t="s">
        <v>64</v>
      </c>
      <c r="D2769" t="s">
        <v>433</v>
      </c>
      <c r="E2769" t="s">
        <v>433</v>
      </c>
      <c r="F2769" s="122">
        <v>1</v>
      </c>
      <c r="G2769" s="122">
        <v>94</v>
      </c>
      <c r="H2769" s="122">
        <v>619</v>
      </c>
      <c r="I2769" s="122">
        <v>38765</v>
      </c>
      <c r="J2769" s="122">
        <v>35241</v>
      </c>
      <c r="K2769" s="122">
        <v>65</v>
      </c>
      <c r="L2769" s="122">
        <v>9332</v>
      </c>
      <c r="M2769" s="122">
        <v>8484</v>
      </c>
      <c r="N2769" s="122">
        <v>2299</v>
      </c>
      <c r="O2769" s="122">
        <v>852</v>
      </c>
      <c r="P2769" s="122">
        <v>351</v>
      </c>
      <c r="Q2769" s="122">
        <v>130</v>
      </c>
      <c r="R2769" s="122">
        <v>4596</v>
      </c>
      <c r="S2769" s="122">
        <v>4178</v>
      </c>
      <c r="T2769" s="122">
        <v>3068</v>
      </c>
      <c r="U2769" s="122">
        <v>1136</v>
      </c>
      <c r="V2769" s="122">
        <v>50021</v>
      </c>
      <c r="W2769" s="122">
        <f t="shared" si="86"/>
        <v>50021</v>
      </c>
      <c r="X2769" s="122">
        <f t="shared" si="87"/>
        <v>58411</v>
      </c>
      <c r="AI2769" s="66"/>
    </row>
    <row r="2770" spans="2:35" ht="13">
      <c r="B2770" t="s">
        <v>387</v>
      </c>
      <c r="C2770" t="s">
        <v>48</v>
      </c>
      <c r="D2770" t="s">
        <v>405</v>
      </c>
      <c r="E2770" t="s">
        <v>405</v>
      </c>
      <c r="F2770" s="122">
        <v>3</v>
      </c>
      <c r="G2770" s="122">
        <v>337</v>
      </c>
      <c r="H2770" s="122">
        <v>191</v>
      </c>
      <c r="I2770" s="122">
        <v>3845</v>
      </c>
      <c r="J2770" s="122">
        <v>3496</v>
      </c>
      <c r="K2770" s="122">
        <v>92</v>
      </c>
      <c r="L2770" s="122">
        <v>427</v>
      </c>
      <c r="M2770" s="122">
        <v>388</v>
      </c>
      <c r="N2770" s="122">
        <v>4111</v>
      </c>
      <c r="O2770" s="122">
        <v>1523</v>
      </c>
      <c r="P2770" s="122">
        <v>1418</v>
      </c>
      <c r="Q2770" s="122">
        <v>525</v>
      </c>
      <c r="R2770" s="122">
        <v>11691</v>
      </c>
      <c r="S2770" s="122">
        <v>10628</v>
      </c>
      <c r="T2770" s="122">
        <v>0</v>
      </c>
      <c r="U2770" s="122">
        <v>0</v>
      </c>
      <c r="V2770" s="122">
        <v>16560</v>
      </c>
      <c r="W2770" s="122">
        <f t="shared" si="86"/>
        <v>16560</v>
      </c>
      <c r="X2770" s="122">
        <f t="shared" si="87"/>
        <v>21492</v>
      </c>
      <c r="AI2770" s="66"/>
    </row>
    <row r="2771" spans="2:35" ht="13">
      <c r="B2771" t="s">
        <v>387</v>
      </c>
      <c r="C2771" t="s">
        <v>48</v>
      </c>
      <c r="D2771" t="s">
        <v>137</v>
      </c>
      <c r="E2771" t="s">
        <v>137</v>
      </c>
      <c r="F2771" s="122">
        <v>919</v>
      </c>
      <c r="G2771" s="122">
        <v>110316</v>
      </c>
      <c r="H2771" s="122">
        <v>48039</v>
      </c>
      <c r="I2771" s="122">
        <v>-84581</v>
      </c>
      <c r="J2771" s="122">
        <v>-31326</v>
      </c>
      <c r="K2771" s="122">
        <v>462</v>
      </c>
      <c r="L2771" s="122">
        <v>41488</v>
      </c>
      <c r="M2771" s="122">
        <v>21207</v>
      </c>
      <c r="N2771" s="122">
        <v>1362068</v>
      </c>
      <c r="O2771" s="122">
        <v>504470</v>
      </c>
      <c r="P2771" s="122">
        <v>813473</v>
      </c>
      <c r="Q2771" s="122">
        <v>301286</v>
      </c>
      <c r="R2771" s="122">
        <v>3554181</v>
      </c>
      <c r="S2771" s="122">
        <v>1316363</v>
      </c>
      <c r="T2771" s="122">
        <v>0</v>
      </c>
      <c r="U2771" s="122">
        <v>0</v>
      </c>
      <c r="V2771" s="122">
        <v>2112000</v>
      </c>
      <c r="W2771" s="122">
        <f t="shared" si="86"/>
        <v>2174652</v>
      </c>
      <c r="X2771" s="122">
        <f t="shared" si="87"/>
        <v>5855791</v>
      </c>
      <c r="AI2771" s="66"/>
    </row>
    <row r="2772" spans="2:35" ht="13">
      <c r="B2772" t="s">
        <v>387</v>
      </c>
      <c r="C2772" t="s">
        <v>48</v>
      </c>
      <c r="D2772" t="s">
        <v>406</v>
      </c>
      <c r="E2772" t="s">
        <v>406</v>
      </c>
      <c r="F2772" s="122">
        <v>2</v>
      </c>
      <c r="G2772" s="122">
        <v>303</v>
      </c>
      <c r="H2772" s="122">
        <v>89</v>
      </c>
      <c r="I2772" s="122">
        <v>990</v>
      </c>
      <c r="J2772" s="122">
        <v>900</v>
      </c>
      <c r="K2772" s="122">
        <v>95</v>
      </c>
      <c r="L2772" s="122">
        <v>1</v>
      </c>
      <c r="M2772" s="122">
        <v>1</v>
      </c>
      <c r="N2772" s="122">
        <v>3696</v>
      </c>
      <c r="O2772" s="122">
        <v>1369</v>
      </c>
      <c r="P2772" s="122">
        <v>1242</v>
      </c>
      <c r="Q2772" s="122">
        <v>460</v>
      </c>
      <c r="R2772" s="122">
        <v>7588</v>
      </c>
      <c r="S2772" s="122">
        <v>6898</v>
      </c>
      <c r="T2772" s="122">
        <v>0</v>
      </c>
      <c r="U2772" s="122">
        <v>0</v>
      </c>
      <c r="V2772" s="122">
        <v>9627</v>
      </c>
      <c r="W2772" s="122">
        <f t="shared" si="86"/>
        <v>9628</v>
      </c>
      <c r="X2772" s="122">
        <f t="shared" si="87"/>
        <v>13517</v>
      </c>
      <c r="AI2772" s="66"/>
    </row>
    <row r="2773" spans="2:35" ht="13">
      <c r="B2773" t="s">
        <v>387</v>
      </c>
      <c r="C2773" t="s">
        <v>48</v>
      </c>
      <c r="D2773" t="s">
        <v>407</v>
      </c>
      <c r="E2773" t="s">
        <v>137</v>
      </c>
      <c r="F2773" s="122">
        <v>17</v>
      </c>
      <c r="G2773" s="122">
        <v>2035</v>
      </c>
      <c r="H2773" s="122">
        <v>826</v>
      </c>
      <c r="I2773" s="122">
        <v>9378</v>
      </c>
      <c r="J2773" s="122">
        <v>8525</v>
      </c>
      <c r="K2773" s="122">
        <v>91</v>
      </c>
      <c r="L2773" s="122">
        <v>0</v>
      </c>
      <c r="M2773" s="122">
        <v>0</v>
      </c>
      <c r="N2773" s="122">
        <v>26885</v>
      </c>
      <c r="O2773" s="122">
        <v>9958</v>
      </c>
      <c r="P2773" s="122">
        <v>8033</v>
      </c>
      <c r="Q2773" s="122">
        <v>2975</v>
      </c>
      <c r="R2773" s="122">
        <v>54585</v>
      </c>
      <c r="S2773" s="122">
        <v>20217</v>
      </c>
      <c r="T2773" s="122">
        <v>0</v>
      </c>
      <c r="U2773" s="122">
        <v>0</v>
      </c>
      <c r="V2773" s="122">
        <v>41674</v>
      </c>
      <c r="W2773" s="122">
        <f t="shared" si="86"/>
        <v>41675</v>
      </c>
      <c r="X2773" s="122">
        <f t="shared" si="87"/>
        <v>98881</v>
      </c>
      <c r="AI2773" s="66"/>
    </row>
    <row r="2774" spans="2:35" ht="13">
      <c r="B2774" t="s">
        <v>387</v>
      </c>
      <c r="C2774" t="s">
        <v>48</v>
      </c>
      <c r="D2774" t="s">
        <v>407</v>
      </c>
      <c r="E2774" t="s">
        <v>407</v>
      </c>
      <c r="F2774" s="122">
        <v>763</v>
      </c>
      <c r="G2774" s="122">
        <v>88830</v>
      </c>
      <c r="H2774" s="122">
        <v>42634</v>
      </c>
      <c r="I2774" s="122">
        <v>1030941</v>
      </c>
      <c r="J2774" s="122">
        <v>937219</v>
      </c>
      <c r="K2774" s="122">
        <v>91</v>
      </c>
      <c r="L2774" s="122">
        <v>34285</v>
      </c>
      <c r="M2774" s="122">
        <v>28253</v>
      </c>
      <c r="N2774" s="122">
        <v>1099855</v>
      </c>
      <c r="O2774" s="122">
        <v>407354</v>
      </c>
      <c r="P2774" s="122">
        <v>640417</v>
      </c>
      <c r="Q2774" s="122">
        <v>237191</v>
      </c>
      <c r="R2774" s="122">
        <v>2131618</v>
      </c>
      <c r="S2774" s="122">
        <v>1937834</v>
      </c>
      <c r="T2774" s="122">
        <v>0</v>
      </c>
      <c r="U2774" s="122">
        <v>0</v>
      </c>
      <c r="V2774" s="122">
        <v>3547852</v>
      </c>
      <c r="W2774" s="122">
        <f t="shared" si="86"/>
        <v>3547851</v>
      </c>
      <c r="X2774" s="122">
        <f t="shared" si="87"/>
        <v>4937116</v>
      </c>
      <c r="AI2774" s="66"/>
    </row>
    <row r="2775" spans="2:35" ht="13">
      <c r="B2775" t="s">
        <v>387</v>
      </c>
      <c r="C2775" t="s">
        <v>50</v>
      </c>
      <c r="D2775" t="s">
        <v>137</v>
      </c>
      <c r="E2775" t="s">
        <v>137</v>
      </c>
      <c r="F2775" s="122">
        <v>6</v>
      </c>
      <c r="G2775" s="122">
        <v>608</v>
      </c>
      <c r="H2775" s="122">
        <v>530</v>
      </c>
      <c r="I2775" s="122">
        <v>20118</v>
      </c>
      <c r="J2775" s="122">
        <v>7451</v>
      </c>
      <c r="K2775" s="122">
        <v>341</v>
      </c>
      <c r="L2775" s="122">
        <v>4763</v>
      </c>
      <c r="M2775" s="122">
        <v>4330</v>
      </c>
      <c r="N2775" s="122">
        <v>11164</v>
      </c>
      <c r="O2775" s="122">
        <v>4135</v>
      </c>
      <c r="P2775" s="122">
        <v>2106</v>
      </c>
      <c r="Q2775" s="122">
        <v>780</v>
      </c>
      <c r="R2775" s="122">
        <v>16326</v>
      </c>
      <c r="S2775" s="122">
        <v>6047</v>
      </c>
      <c r="T2775" s="122">
        <v>0</v>
      </c>
      <c r="U2775" s="122">
        <v>0</v>
      </c>
      <c r="V2775" s="122">
        <v>22743</v>
      </c>
      <c r="W2775" s="122">
        <f t="shared" si="86"/>
        <v>22743</v>
      </c>
      <c r="X2775" s="122">
        <f t="shared" si="87"/>
        <v>54477</v>
      </c>
      <c r="AI2775" s="66"/>
    </row>
    <row r="2776" spans="2:35" ht="13">
      <c r="B2776" t="s">
        <v>387</v>
      </c>
      <c r="C2776" t="s">
        <v>50</v>
      </c>
      <c r="D2776" t="s">
        <v>406</v>
      </c>
      <c r="E2776" t="s">
        <v>406</v>
      </c>
      <c r="F2776" s="122">
        <v>17</v>
      </c>
      <c r="G2776" s="122">
        <v>1994</v>
      </c>
      <c r="H2776" s="122">
        <v>1515</v>
      </c>
      <c r="I2776" s="122">
        <v>75988</v>
      </c>
      <c r="J2776" s="122">
        <v>69080</v>
      </c>
      <c r="K2776" s="122">
        <v>93</v>
      </c>
      <c r="L2776" s="122">
        <v>7056</v>
      </c>
      <c r="M2776" s="122">
        <v>6414</v>
      </c>
      <c r="N2776" s="122">
        <v>30334</v>
      </c>
      <c r="O2776" s="122">
        <v>11235</v>
      </c>
      <c r="P2776" s="122">
        <v>10557</v>
      </c>
      <c r="Q2776" s="122">
        <v>3910</v>
      </c>
      <c r="R2776" s="122">
        <v>46044</v>
      </c>
      <c r="S2776" s="122">
        <v>41859</v>
      </c>
      <c r="T2776" s="122">
        <v>7538</v>
      </c>
      <c r="U2776" s="122">
        <v>2792</v>
      </c>
      <c r="V2776" s="122">
        <v>135290</v>
      </c>
      <c r="W2776" s="122">
        <f t="shared" si="86"/>
        <v>135290</v>
      </c>
      <c r="X2776" s="122">
        <f t="shared" si="87"/>
        <v>177517</v>
      </c>
      <c r="AI2776" s="66"/>
    </row>
    <row r="2777" spans="2:35">
      <c r="B2777" t="s">
        <v>387</v>
      </c>
      <c r="C2777" t="s">
        <v>50</v>
      </c>
      <c r="D2777" t="s">
        <v>407</v>
      </c>
      <c r="E2777" t="s">
        <v>407</v>
      </c>
      <c r="F2777" s="122">
        <v>86</v>
      </c>
      <c r="G2777" s="122">
        <v>10391</v>
      </c>
      <c r="H2777" s="122">
        <v>7530</v>
      </c>
      <c r="I2777" s="122">
        <v>420880</v>
      </c>
      <c r="J2777" s="122">
        <v>382618</v>
      </c>
      <c r="K2777" s="122">
        <v>91</v>
      </c>
      <c r="L2777" s="122">
        <v>66620</v>
      </c>
      <c r="M2777" s="122">
        <v>60476</v>
      </c>
      <c r="N2777" s="122">
        <v>154787</v>
      </c>
      <c r="O2777" s="122">
        <v>57328</v>
      </c>
      <c r="P2777" s="122">
        <v>47479</v>
      </c>
      <c r="Q2777" s="122">
        <v>17585</v>
      </c>
      <c r="R2777" s="122">
        <v>231000</v>
      </c>
      <c r="S2777" s="122">
        <v>210000</v>
      </c>
      <c r="T2777" s="122">
        <v>0</v>
      </c>
      <c r="U2777" s="122">
        <v>0</v>
      </c>
      <c r="V2777" s="122">
        <v>728007</v>
      </c>
      <c r="W2777" s="122">
        <f t="shared" si="86"/>
        <v>728007</v>
      </c>
      <c r="X2777" s="122">
        <f t="shared" si="87"/>
        <v>920766</v>
      </c>
    </row>
    <row r="2778" spans="2:35">
      <c r="B2778" t="s">
        <v>387</v>
      </c>
      <c r="C2778" t="s">
        <v>52</v>
      </c>
      <c r="D2778" t="s">
        <v>405</v>
      </c>
      <c r="E2778" t="s">
        <v>405</v>
      </c>
      <c r="F2778" s="122">
        <v>1</v>
      </c>
      <c r="G2778" s="122">
        <v>140</v>
      </c>
      <c r="H2778" s="122">
        <v>124</v>
      </c>
      <c r="I2778" s="122">
        <v>8635</v>
      </c>
      <c r="J2778" s="122">
        <v>7850</v>
      </c>
      <c r="K2778" s="122">
        <v>90</v>
      </c>
      <c r="L2778" s="122">
        <v>1446</v>
      </c>
      <c r="M2778" s="122">
        <v>1314</v>
      </c>
      <c r="N2778" s="122">
        <v>3319</v>
      </c>
      <c r="O2778" s="122">
        <v>1229</v>
      </c>
      <c r="P2778" s="122">
        <v>473</v>
      </c>
      <c r="Q2778" s="122">
        <v>175</v>
      </c>
      <c r="R2778" s="122">
        <v>3501</v>
      </c>
      <c r="S2778" s="122">
        <v>3183</v>
      </c>
      <c r="T2778" s="122">
        <v>0</v>
      </c>
      <c r="U2778" s="122">
        <v>0</v>
      </c>
      <c r="V2778" s="122">
        <v>13752</v>
      </c>
      <c r="W2778" s="122">
        <f t="shared" si="86"/>
        <v>13751</v>
      </c>
      <c r="X2778" s="122">
        <f t="shared" si="87"/>
        <v>17374</v>
      </c>
    </row>
    <row r="2779" spans="2:35">
      <c r="B2779" t="s">
        <v>387</v>
      </c>
      <c r="C2779" t="s">
        <v>52</v>
      </c>
      <c r="D2779" t="s">
        <v>137</v>
      </c>
      <c r="E2779" t="s">
        <v>137</v>
      </c>
      <c r="F2779" s="122">
        <v>5</v>
      </c>
      <c r="G2779" s="122">
        <v>582</v>
      </c>
      <c r="H2779" s="122">
        <v>586</v>
      </c>
      <c r="I2779" s="122">
        <v>19039</v>
      </c>
      <c r="J2779" s="122">
        <v>7052</v>
      </c>
      <c r="K2779" s="122">
        <v>309</v>
      </c>
      <c r="L2779" s="122">
        <v>3342</v>
      </c>
      <c r="M2779" s="122">
        <v>1815</v>
      </c>
      <c r="N2779" s="122">
        <v>11311</v>
      </c>
      <c r="O2779" s="122">
        <v>4189</v>
      </c>
      <c r="P2779" s="122">
        <v>6558</v>
      </c>
      <c r="Q2779" s="122">
        <v>2429</v>
      </c>
      <c r="R2779" s="122">
        <v>26973</v>
      </c>
      <c r="S2779" s="122">
        <v>9990</v>
      </c>
      <c r="T2779" s="122">
        <v>0</v>
      </c>
      <c r="U2779" s="122">
        <v>0</v>
      </c>
      <c r="V2779" s="122">
        <v>25475</v>
      </c>
      <c r="W2779" s="122">
        <f t="shared" si="86"/>
        <v>25475</v>
      </c>
      <c r="X2779" s="122">
        <f t="shared" si="87"/>
        <v>67223</v>
      </c>
    </row>
    <row r="2780" spans="2:35">
      <c r="B2780" t="s">
        <v>387</v>
      </c>
      <c r="C2780" t="s">
        <v>52</v>
      </c>
      <c r="D2780" t="s">
        <v>406</v>
      </c>
      <c r="E2780" t="s">
        <v>406</v>
      </c>
      <c r="F2780" s="122">
        <v>36</v>
      </c>
      <c r="G2780" s="122">
        <v>4421</v>
      </c>
      <c r="H2780" s="122">
        <v>4216</v>
      </c>
      <c r="I2780" s="122">
        <v>248078</v>
      </c>
      <c r="J2780" s="122">
        <v>225525</v>
      </c>
      <c r="K2780" s="122">
        <v>93</v>
      </c>
      <c r="L2780" s="122">
        <v>52277</v>
      </c>
      <c r="M2780" s="122">
        <v>48777</v>
      </c>
      <c r="N2780" s="122">
        <v>68507</v>
      </c>
      <c r="O2780" s="122">
        <v>25373</v>
      </c>
      <c r="P2780" s="122">
        <v>24898</v>
      </c>
      <c r="Q2780" s="122">
        <v>9222</v>
      </c>
      <c r="R2780" s="122">
        <v>135283</v>
      </c>
      <c r="S2780" s="122">
        <v>122985</v>
      </c>
      <c r="T2780" s="122">
        <v>6321</v>
      </c>
      <c r="U2780" s="122">
        <v>2341</v>
      </c>
      <c r="V2780" s="122">
        <v>434223</v>
      </c>
      <c r="W2780" s="122">
        <f t="shared" si="86"/>
        <v>434223</v>
      </c>
      <c r="X2780" s="122">
        <f t="shared" si="87"/>
        <v>535364</v>
      </c>
    </row>
    <row r="2781" spans="2:35">
      <c r="B2781" t="s">
        <v>387</v>
      </c>
      <c r="C2781" t="s">
        <v>52</v>
      </c>
      <c r="D2781" t="s">
        <v>407</v>
      </c>
      <c r="E2781" t="s">
        <v>407</v>
      </c>
      <c r="F2781" s="122">
        <v>135</v>
      </c>
      <c r="G2781" s="122">
        <v>16306</v>
      </c>
      <c r="H2781" s="122">
        <v>15613</v>
      </c>
      <c r="I2781" s="122">
        <v>894871</v>
      </c>
      <c r="J2781" s="122">
        <v>813519</v>
      </c>
      <c r="K2781" s="122">
        <v>90</v>
      </c>
      <c r="L2781" s="122">
        <v>110826</v>
      </c>
      <c r="M2781" s="122">
        <v>99812</v>
      </c>
      <c r="N2781" s="122">
        <v>301536</v>
      </c>
      <c r="O2781" s="122">
        <v>111680</v>
      </c>
      <c r="P2781" s="122">
        <v>85169</v>
      </c>
      <c r="Q2781" s="122">
        <v>31544</v>
      </c>
      <c r="R2781" s="122">
        <v>532858</v>
      </c>
      <c r="S2781" s="122">
        <v>484416</v>
      </c>
      <c r="T2781" s="122">
        <v>1592</v>
      </c>
      <c r="U2781" s="122">
        <v>590</v>
      </c>
      <c r="V2781" s="122">
        <v>1541561</v>
      </c>
      <c r="W2781" s="122">
        <f t="shared" si="86"/>
        <v>1541561</v>
      </c>
      <c r="X2781" s="122">
        <f t="shared" si="87"/>
        <v>1926852</v>
      </c>
    </row>
    <row r="2782" spans="2:35">
      <c r="B2782" t="s">
        <v>387</v>
      </c>
      <c r="C2782" t="s">
        <v>52</v>
      </c>
      <c r="D2782" t="s">
        <v>426</v>
      </c>
      <c r="E2782" t="s">
        <v>426</v>
      </c>
      <c r="F2782" s="122">
        <v>1</v>
      </c>
      <c r="G2782" s="122">
        <v>132</v>
      </c>
      <c r="H2782" s="122">
        <v>106</v>
      </c>
      <c r="I2782" s="122">
        <v>6014</v>
      </c>
      <c r="J2782" s="122">
        <v>5467</v>
      </c>
      <c r="K2782" s="122">
        <v>78</v>
      </c>
      <c r="L2782" s="122">
        <v>802</v>
      </c>
      <c r="M2782" s="122">
        <v>729</v>
      </c>
      <c r="N2782" s="122">
        <v>1603</v>
      </c>
      <c r="O2782" s="122">
        <v>594</v>
      </c>
      <c r="P2782" s="122">
        <v>351</v>
      </c>
      <c r="Q2782" s="122">
        <v>130</v>
      </c>
      <c r="R2782" s="122">
        <v>5169</v>
      </c>
      <c r="S2782" s="122">
        <v>4699</v>
      </c>
      <c r="T2782" s="122">
        <v>0</v>
      </c>
      <c r="U2782" s="122">
        <v>0</v>
      </c>
      <c r="V2782" s="122">
        <v>11619</v>
      </c>
      <c r="W2782" s="122">
        <f t="shared" si="86"/>
        <v>11619</v>
      </c>
      <c r="X2782" s="122">
        <f t="shared" si="87"/>
        <v>13939</v>
      </c>
    </row>
    <row r="2783" spans="2:35">
      <c r="B2783" t="s">
        <v>387</v>
      </c>
      <c r="C2783" t="s">
        <v>54</v>
      </c>
      <c r="D2783" t="s">
        <v>425</v>
      </c>
      <c r="E2783" t="s">
        <v>425</v>
      </c>
      <c r="F2783" s="122">
        <v>4</v>
      </c>
      <c r="G2783" s="122">
        <v>181</v>
      </c>
      <c r="H2783" s="122">
        <v>581</v>
      </c>
      <c r="I2783" s="122">
        <v>32795</v>
      </c>
      <c r="J2783" s="122">
        <v>29813</v>
      </c>
      <c r="K2783" s="122">
        <v>92</v>
      </c>
      <c r="L2783" s="122">
        <v>0</v>
      </c>
      <c r="M2783" s="122">
        <v>0</v>
      </c>
      <c r="N2783" s="122">
        <v>7848</v>
      </c>
      <c r="O2783" s="122">
        <v>2907</v>
      </c>
      <c r="P2783" s="122">
        <v>1890</v>
      </c>
      <c r="Q2783" s="122">
        <v>700</v>
      </c>
      <c r="R2783" s="122">
        <v>9999</v>
      </c>
      <c r="S2783" s="122">
        <v>9090</v>
      </c>
      <c r="T2783" s="122">
        <v>0</v>
      </c>
      <c r="U2783" s="122">
        <v>0</v>
      </c>
      <c r="V2783" s="122">
        <v>42510</v>
      </c>
      <c r="W2783" s="122">
        <f t="shared" si="86"/>
        <v>42510</v>
      </c>
      <c r="X2783" s="122">
        <f t="shared" si="87"/>
        <v>52532</v>
      </c>
    </row>
    <row r="2784" spans="2:35">
      <c r="B2784" t="s">
        <v>387</v>
      </c>
      <c r="C2784" t="s">
        <v>54</v>
      </c>
      <c r="D2784" t="s">
        <v>405</v>
      </c>
      <c r="E2784" t="s">
        <v>405</v>
      </c>
      <c r="F2784" s="122">
        <v>5</v>
      </c>
      <c r="G2784" s="122">
        <v>452</v>
      </c>
      <c r="H2784" s="122">
        <v>696</v>
      </c>
      <c r="I2784" s="122">
        <v>29470</v>
      </c>
      <c r="J2784" s="122">
        <v>26791</v>
      </c>
      <c r="K2784" s="122">
        <v>92</v>
      </c>
      <c r="L2784" s="122">
        <v>1368</v>
      </c>
      <c r="M2784" s="122">
        <v>1243</v>
      </c>
      <c r="N2784" s="122">
        <v>5506</v>
      </c>
      <c r="O2784" s="122">
        <v>2039</v>
      </c>
      <c r="P2784" s="122">
        <v>3105</v>
      </c>
      <c r="Q2784" s="122">
        <v>1150</v>
      </c>
      <c r="R2784" s="122">
        <v>12410</v>
      </c>
      <c r="S2784" s="122">
        <v>11282</v>
      </c>
      <c r="T2784" s="122">
        <v>11071</v>
      </c>
      <c r="U2784" s="122">
        <v>4100</v>
      </c>
      <c r="V2784" s="122">
        <v>46606</v>
      </c>
      <c r="W2784" s="122">
        <f t="shared" si="86"/>
        <v>46605</v>
      </c>
      <c r="X2784" s="122">
        <f t="shared" si="87"/>
        <v>62930</v>
      </c>
    </row>
    <row r="2785" spans="2:24">
      <c r="B2785" t="s">
        <v>387</v>
      </c>
      <c r="C2785" t="s">
        <v>54</v>
      </c>
      <c r="D2785" t="s">
        <v>137</v>
      </c>
      <c r="E2785" t="s">
        <v>137</v>
      </c>
      <c r="F2785" s="122">
        <v>3</v>
      </c>
      <c r="G2785" s="122">
        <v>458</v>
      </c>
      <c r="H2785" s="122">
        <v>419</v>
      </c>
      <c r="I2785" s="122">
        <v>27506</v>
      </c>
      <c r="J2785" s="122">
        <v>10187</v>
      </c>
      <c r="K2785" s="122">
        <v>250</v>
      </c>
      <c r="L2785" s="122">
        <v>5005</v>
      </c>
      <c r="M2785" s="122">
        <v>3168</v>
      </c>
      <c r="N2785" s="122">
        <v>8409</v>
      </c>
      <c r="O2785" s="122">
        <v>3114</v>
      </c>
      <c r="P2785" s="122">
        <v>4321</v>
      </c>
      <c r="Q2785" s="122">
        <v>1600</v>
      </c>
      <c r="R2785" s="122">
        <v>19700</v>
      </c>
      <c r="S2785" s="122">
        <v>7296</v>
      </c>
      <c r="T2785" s="122">
        <v>0</v>
      </c>
      <c r="U2785" s="122">
        <v>0</v>
      </c>
      <c r="V2785" s="122">
        <v>25366</v>
      </c>
      <c r="W2785" s="122">
        <f t="shared" si="86"/>
        <v>25365</v>
      </c>
      <c r="X2785" s="122">
        <f t="shared" si="87"/>
        <v>64941</v>
      </c>
    </row>
    <row r="2786" spans="2:24">
      <c r="B2786" t="s">
        <v>387</v>
      </c>
      <c r="C2786" t="s">
        <v>54</v>
      </c>
      <c r="D2786" t="s">
        <v>406</v>
      </c>
      <c r="E2786" t="s">
        <v>406</v>
      </c>
      <c r="F2786" s="122">
        <v>103</v>
      </c>
      <c r="G2786" s="122">
        <v>10728</v>
      </c>
      <c r="H2786" s="122">
        <v>14318</v>
      </c>
      <c r="I2786" s="122">
        <v>710774</v>
      </c>
      <c r="J2786" s="122">
        <v>646158</v>
      </c>
      <c r="K2786" s="122">
        <v>92</v>
      </c>
      <c r="L2786" s="122">
        <v>163502</v>
      </c>
      <c r="M2786" s="122">
        <v>143143</v>
      </c>
      <c r="N2786" s="122">
        <v>180046</v>
      </c>
      <c r="O2786" s="122">
        <v>66684</v>
      </c>
      <c r="P2786" s="122">
        <v>63666</v>
      </c>
      <c r="Q2786" s="122">
        <v>23580</v>
      </c>
      <c r="R2786" s="122">
        <v>406867</v>
      </c>
      <c r="S2786" s="122">
        <v>369879</v>
      </c>
      <c r="T2786" s="122">
        <v>29371</v>
      </c>
      <c r="U2786" s="122">
        <v>10878</v>
      </c>
      <c r="V2786" s="122">
        <v>1260321</v>
      </c>
      <c r="W2786" s="122">
        <f t="shared" ref="W2786:W2849" si="88">SUM(ABS(J2786),ABS(M2786),ABS(O2786),ABS(Q2786),ABS(S2786),ABS(U2786))</f>
        <v>1260322</v>
      </c>
      <c r="X2786" s="122">
        <f t="shared" ref="X2786:X2849" si="89">SUM(ABS(I2786),ABS(N2786),ABS(P2786),ABS(R2786),ABS(T2786),ABS(L2786))</f>
        <v>1554226</v>
      </c>
    </row>
    <row r="2787" spans="2:24">
      <c r="B2787" t="s">
        <v>387</v>
      </c>
      <c r="C2787" t="s">
        <v>54</v>
      </c>
      <c r="D2787" t="s">
        <v>407</v>
      </c>
      <c r="E2787" t="s">
        <v>404</v>
      </c>
      <c r="F2787" s="122">
        <v>1</v>
      </c>
      <c r="G2787" s="122">
        <v>117</v>
      </c>
      <c r="H2787" s="122">
        <v>129</v>
      </c>
      <c r="I2787" s="122">
        <v>3601</v>
      </c>
      <c r="J2787" s="122">
        <v>3274</v>
      </c>
      <c r="K2787" s="122">
        <v>91</v>
      </c>
      <c r="L2787" s="122">
        <v>0</v>
      </c>
      <c r="M2787" s="122">
        <v>1049</v>
      </c>
      <c r="N2787" s="122">
        <v>2133</v>
      </c>
      <c r="O2787" s="122">
        <v>790</v>
      </c>
      <c r="P2787" s="122">
        <v>473</v>
      </c>
      <c r="Q2787" s="122">
        <v>175</v>
      </c>
      <c r="R2787" s="122">
        <v>8832</v>
      </c>
      <c r="S2787" s="122">
        <v>3271</v>
      </c>
      <c r="T2787" s="122">
        <v>0</v>
      </c>
      <c r="U2787" s="122">
        <v>0</v>
      </c>
      <c r="V2787" s="122">
        <v>8559</v>
      </c>
      <c r="W2787" s="122">
        <f t="shared" si="88"/>
        <v>8559</v>
      </c>
      <c r="X2787" s="122">
        <f t="shared" si="89"/>
        <v>15039</v>
      </c>
    </row>
    <row r="2788" spans="2:24">
      <c r="B2788" t="s">
        <v>387</v>
      </c>
      <c r="C2788" t="s">
        <v>54</v>
      </c>
      <c r="D2788" t="s">
        <v>407</v>
      </c>
      <c r="E2788" t="s">
        <v>137</v>
      </c>
      <c r="F2788" s="122">
        <v>2</v>
      </c>
      <c r="G2788" s="122">
        <v>341</v>
      </c>
      <c r="H2788" s="122">
        <v>268</v>
      </c>
      <c r="I2788" s="122">
        <v>27869</v>
      </c>
      <c r="J2788" s="122">
        <v>25335</v>
      </c>
      <c r="K2788" s="122">
        <v>90</v>
      </c>
      <c r="L2788" s="122">
        <v>5090</v>
      </c>
      <c r="M2788" s="122">
        <v>4242</v>
      </c>
      <c r="N2788" s="122">
        <v>4674</v>
      </c>
      <c r="O2788" s="122">
        <v>1731</v>
      </c>
      <c r="P2788" s="122">
        <v>945</v>
      </c>
      <c r="Q2788" s="122">
        <v>350</v>
      </c>
      <c r="R2788" s="122">
        <v>6976</v>
      </c>
      <c r="S2788" s="122">
        <v>2584</v>
      </c>
      <c r="T2788" s="122">
        <v>0</v>
      </c>
      <c r="U2788" s="122">
        <v>0</v>
      </c>
      <c r="V2788" s="122">
        <v>34242</v>
      </c>
      <c r="W2788" s="122">
        <f t="shared" si="88"/>
        <v>34242</v>
      </c>
      <c r="X2788" s="122">
        <f t="shared" si="89"/>
        <v>45554</v>
      </c>
    </row>
    <row r="2789" spans="2:24">
      <c r="B2789" t="s">
        <v>387</v>
      </c>
      <c r="C2789" t="s">
        <v>54</v>
      </c>
      <c r="D2789" t="s">
        <v>407</v>
      </c>
      <c r="E2789" t="s">
        <v>406</v>
      </c>
      <c r="F2789" s="122">
        <v>1</v>
      </c>
      <c r="G2789" s="122">
        <v>160</v>
      </c>
      <c r="H2789" s="122">
        <v>129</v>
      </c>
      <c r="I2789" s="122">
        <v>10761</v>
      </c>
      <c r="J2789" s="122">
        <v>9782</v>
      </c>
      <c r="K2789" s="122">
        <v>93</v>
      </c>
      <c r="L2789" s="122">
        <v>1676</v>
      </c>
      <c r="M2789" s="122">
        <v>1396</v>
      </c>
      <c r="N2789" s="122">
        <v>2829</v>
      </c>
      <c r="O2789" s="122">
        <v>1048</v>
      </c>
      <c r="P2789" s="122">
        <v>473</v>
      </c>
      <c r="Q2789" s="122">
        <v>175</v>
      </c>
      <c r="R2789" s="122">
        <v>4901</v>
      </c>
      <c r="S2789" s="122">
        <v>4456</v>
      </c>
      <c r="T2789" s="122">
        <v>0</v>
      </c>
      <c r="U2789" s="122">
        <v>0</v>
      </c>
      <c r="V2789" s="122">
        <v>16857</v>
      </c>
      <c r="W2789" s="122">
        <f t="shared" si="88"/>
        <v>16857</v>
      </c>
      <c r="X2789" s="122">
        <f t="shared" si="89"/>
        <v>20640</v>
      </c>
    </row>
    <row r="2790" spans="2:24">
      <c r="B2790" t="s">
        <v>387</v>
      </c>
      <c r="C2790" t="s">
        <v>54</v>
      </c>
      <c r="D2790" t="s">
        <v>407</v>
      </c>
      <c r="E2790" t="s">
        <v>407</v>
      </c>
      <c r="F2790" s="122">
        <v>605</v>
      </c>
      <c r="G2790" s="122">
        <v>60941</v>
      </c>
      <c r="H2790" s="122">
        <v>85157</v>
      </c>
      <c r="I2790" s="122">
        <v>4030775</v>
      </c>
      <c r="J2790" s="122">
        <v>3664341</v>
      </c>
      <c r="K2790" s="122">
        <v>87</v>
      </c>
      <c r="L2790" s="122">
        <v>811949</v>
      </c>
      <c r="M2790" s="122">
        <v>722405</v>
      </c>
      <c r="N2790" s="122">
        <v>1128220</v>
      </c>
      <c r="O2790" s="122">
        <v>417859</v>
      </c>
      <c r="P2790" s="122">
        <v>294747</v>
      </c>
      <c r="Q2790" s="122">
        <v>109165</v>
      </c>
      <c r="R2790" s="122">
        <v>2463311</v>
      </c>
      <c r="S2790" s="122">
        <v>2239374</v>
      </c>
      <c r="T2790" s="122">
        <v>135009</v>
      </c>
      <c r="U2790" s="122">
        <v>50003</v>
      </c>
      <c r="V2790" s="122">
        <v>7203148</v>
      </c>
      <c r="W2790" s="122">
        <f t="shared" si="88"/>
        <v>7203147</v>
      </c>
      <c r="X2790" s="122">
        <f t="shared" si="89"/>
        <v>8864011</v>
      </c>
    </row>
    <row r="2791" spans="2:24">
      <c r="B2791" t="s">
        <v>387</v>
      </c>
      <c r="C2791" t="s">
        <v>56</v>
      </c>
      <c r="D2791" t="s">
        <v>425</v>
      </c>
      <c r="E2791" t="s">
        <v>425</v>
      </c>
      <c r="F2791" s="122">
        <v>3</v>
      </c>
      <c r="G2791" s="122">
        <v>136</v>
      </c>
      <c r="H2791" s="122">
        <v>510</v>
      </c>
      <c r="I2791" s="122">
        <v>30430</v>
      </c>
      <c r="J2791" s="122">
        <v>27663</v>
      </c>
      <c r="K2791" s="122">
        <v>86</v>
      </c>
      <c r="L2791" s="122">
        <v>0</v>
      </c>
      <c r="M2791" s="122">
        <v>0</v>
      </c>
      <c r="N2791" s="122">
        <v>6142</v>
      </c>
      <c r="O2791" s="122">
        <v>2275</v>
      </c>
      <c r="P2791" s="122">
        <v>1418</v>
      </c>
      <c r="Q2791" s="122">
        <v>525</v>
      </c>
      <c r="R2791" s="122">
        <v>8061</v>
      </c>
      <c r="S2791" s="122">
        <v>7329</v>
      </c>
      <c r="T2791" s="122">
        <v>0</v>
      </c>
      <c r="U2791" s="122">
        <v>0</v>
      </c>
      <c r="V2791" s="122">
        <v>37792</v>
      </c>
      <c r="W2791" s="122">
        <f t="shared" si="88"/>
        <v>37792</v>
      </c>
      <c r="X2791" s="122">
        <f t="shared" si="89"/>
        <v>46051</v>
      </c>
    </row>
    <row r="2792" spans="2:24">
      <c r="B2792" t="s">
        <v>387</v>
      </c>
      <c r="C2792" t="s">
        <v>56</v>
      </c>
      <c r="D2792" t="s">
        <v>425</v>
      </c>
      <c r="E2792" t="s">
        <v>406</v>
      </c>
      <c r="F2792" s="122">
        <v>1</v>
      </c>
      <c r="G2792" s="122">
        <v>98</v>
      </c>
      <c r="H2792" s="122">
        <v>192</v>
      </c>
      <c r="I2792" s="122">
        <v>8450</v>
      </c>
      <c r="J2792" s="122">
        <v>7682</v>
      </c>
      <c r="K2792" s="122">
        <v>85</v>
      </c>
      <c r="L2792" s="122">
        <v>2526</v>
      </c>
      <c r="M2792" s="122">
        <v>2296</v>
      </c>
      <c r="N2792" s="122">
        <v>2049</v>
      </c>
      <c r="O2792" s="122">
        <v>759</v>
      </c>
      <c r="P2792" s="122">
        <v>621</v>
      </c>
      <c r="Q2792" s="122">
        <v>230</v>
      </c>
      <c r="R2792" s="122">
        <v>5273</v>
      </c>
      <c r="S2792" s="122">
        <v>4794</v>
      </c>
      <c r="T2792" s="122">
        <v>0</v>
      </c>
      <c r="U2792" s="122">
        <v>0</v>
      </c>
      <c r="V2792" s="122">
        <v>15760</v>
      </c>
      <c r="W2792" s="122">
        <f t="shared" si="88"/>
        <v>15761</v>
      </c>
      <c r="X2792" s="122">
        <f t="shared" si="89"/>
        <v>18919</v>
      </c>
    </row>
    <row r="2793" spans="2:24">
      <c r="B2793" t="s">
        <v>387</v>
      </c>
      <c r="C2793" t="s">
        <v>56</v>
      </c>
      <c r="D2793" t="s">
        <v>405</v>
      </c>
      <c r="E2793" t="s">
        <v>405</v>
      </c>
      <c r="F2793" s="122">
        <v>15</v>
      </c>
      <c r="G2793" s="122">
        <v>1717</v>
      </c>
      <c r="H2793" s="122">
        <v>2607</v>
      </c>
      <c r="I2793" s="122">
        <v>155510</v>
      </c>
      <c r="J2793" s="122">
        <v>141373</v>
      </c>
      <c r="K2793" s="122">
        <v>88</v>
      </c>
      <c r="L2793" s="122">
        <v>38337</v>
      </c>
      <c r="M2793" s="122">
        <v>33751</v>
      </c>
      <c r="N2793" s="122">
        <v>37377</v>
      </c>
      <c r="O2793" s="122">
        <v>13843</v>
      </c>
      <c r="P2793" s="122">
        <v>7385</v>
      </c>
      <c r="Q2793" s="122">
        <v>2735</v>
      </c>
      <c r="R2793" s="122">
        <v>61966</v>
      </c>
      <c r="S2793" s="122">
        <v>56333</v>
      </c>
      <c r="T2793" s="122">
        <v>7978</v>
      </c>
      <c r="U2793" s="122">
        <v>2955</v>
      </c>
      <c r="V2793" s="122">
        <v>250991</v>
      </c>
      <c r="W2793" s="122">
        <f t="shared" si="88"/>
        <v>250990</v>
      </c>
      <c r="X2793" s="122">
        <f t="shared" si="89"/>
        <v>308553</v>
      </c>
    </row>
    <row r="2794" spans="2:24">
      <c r="B2794" t="s">
        <v>387</v>
      </c>
      <c r="C2794" t="s">
        <v>56</v>
      </c>
      <c r="D2794" t="s">
        <v>137</v>
      </c>
      <c r="E2794" t="s">
        <v>137</v>
      </c>
      <c r="F2794" s="122">
        <v>38</v>
      </c>
      <c r="G2794" s="122">
        <v>2843</v>
      </c>
      <c r="H2794" s="122">
        <v>7879</v>
      </c>
      <c r="I2794" s="122">
        <v>271125</v>
      </c>
      <c r="J2794" s="122">
        <v>100417</v>
      </c>
      <c r="K2794" s="122">
        <v>161</v>
      </c>
      <c r="L2794" s="122">
        <v>50530</v>
      </c>
      <c r="M2794" s="122">
        <v>33476</v>
      </c>
      <c r="N2794" s="122">
        <v>60079</v>
      </c>
      <c r="O2794" s="122">
        <v>22252</v>
      </c>
      <c r="P2794" s="122">
        <v>351</v>
      </c>
      <c r="Q2794" s="122">
        <v>130</v>
      </c>
      <c r="R2794" s="122">
        <v>229994</v>
      </c>
      <c r="S2794" s="122">
        <v>85183</v>
      </c>
      <c r="T2794" s="122">
        <v>0</v>
      </c>
      <c r="U2794" s="122">
        <v>0</v>
      </c>
      <c r="V2794" s="122">
        <v>241457</v>
      </c>
      <c r="W2794" s="122">
        <f t="shared" si="88"/>
        <v>241458</v>
      </c>
      <c r="X2794" s="122">
        <f t="shared" si="89"/>
        <v>612079</v>
      </c>
    </row>
    <row r="2795" spans="2:24">
      <c r="B2795" t="s">
        <v>387</v>
      </c>
      <c r="C2795" t="s">
        <v>56</v>
      </c>
      <c r="D2795" t="s">
        <v>406</v>
      </c>
      <c r="E2795" t="s">
        <v>425</v>
      </c>
      <c r="F2795" s="122">
        <v>1</v>
      </c>
      <c r="G2795" s="122">
        <v>79</v>
      </c>
      <c r="H2795" s="122">
        <v>208</v>
      </c>
      <c r="I2795" s="122">
        <v>7138</v>
      </c>
      <c r="J2795" s="122">
        <v>6489</v>
      </c>
      <c r="K2795" s="122">
        <v>93</v>
      </c>
      <c r="L2795" s="122">
        <v>2544</v>
      </c>
      <c r="M2795" s="122">
        <v>2120</v>
      </c>
      <c r="N2795" s="122">
        <v>1511</v>
      </c>
      <c r="O2795" s="122">
        <v>560</v>
      </c>
      <c r="P2795" s="122">
        <v>621</v>
      </c>
      <c r="Q2795" s="122">
        <v>230</v>
      </c>
      <c r="R2795" s="122">
        <v>4733</v>
      </c>
      <c r="S2795" s="122">
        <v>4303</v>
      </c>
      <c r="T2795" s="122">
        <v>0</v>
      </c>
      <c r="U2795" s="122">
        <v>0</v>
      </c>
      <c r="V2795" s="122">
        <v>13702</v>
      </c>
      <c r="W2795" s="122">
        <f t="shared" si="88"/>
        <v>13702</v>
      </c>
      <c r="X2795" s="122">
        <f t="shared" si="89"/>
        <v>16547</v>
      </c>
    </row>
    <row r="2796" spans="2:24">
      <c r="B2796" t="s">
        <v>387</v>
      </c>
      <c r="C2796" t="s">
        <v>56</v>
      </c>
      <c r="D2796" t="s">
        <v>406</v>
      </c>
      <c r="E2796" t="s">
        <v>137</v>
      </c>
      <c r="F2796" s="122">
        <v>6</v>
      </c>
      <c r="G2796" s="122">
        <v>619</v>
      </c>
      <c r="H2796" s="122">
        <v>1142</v>
      </c>
      <c r="I2796" s="122">
        <v>63672</v>
      </c>
      <c r="J2796" s="122">
        <v>57884</v>
      </c>
      <c r="K2796" s="122">
        <v>89</v>
      </c>
      <c r="L2796" s="122">
        <v>7558</v>
      </c>
      <c r="M2796" s="122">
        <v>7233</v>
      </c>
      <c r="N2796" s="122">
        <v>11469</v>
      </c>
      <c r="O2796" s="122">
        <v>4248</v>
      </c>
      <c r="P2796" s="122">
        <v>3726</v>
      </c>
      <c r="Q2796" s="122">
        <v>1380</v>
      </c>
      <c r="R2796" s="122">
        <v>37149</v>
      </c>
      <c r="S2796" s="122">
        <v>13759</v>
      </c>
      <c r="T2796" s="122">
        <v>0</v>
      </c>
      <c r="U2796" s="122">
        <v>0</v>
      </c>
      <c r="V2796" s="122">
        <v>84504</v>
      </c>
      <c r="W2796" s="122">
        <f t="shared" si="88"/>
        <v>84504</v>
      </c>
      <c r="X2796" s="122">
        <f t="shared" si="89"/>
        <v>123574</v>
      </c>
    </row>
    <row r="2797" spans="2:24">
      <c r="B2797" t="s">
        <v>387</v>
      </c>
      <c r="C2797" t="s">
        <v>56</v>
      </c>
      <c r="D2797" t="s">
        <v>406</v>
      </c>
      <c r="E2797" t="s">
        <v>406</v>
      </c>
      <c r="F2797" s="122">
        <v>1300</v>
      </c>
      <c r="G2797" s="122">
        <v>124861</v>
      </c>
      <c r="H2797" s="122">
        <v>250780</v>
      </c>
      <c r="I2797" s="122">
        <v>11549218</v>
      </c>
      <c r="J2797" s="122">
        <v>10499289</v>
      </c>
      <c r="K2797" s="122">
        <v>86</v>
      </c>
      <c r="L2797" s="122">
        <v>2658760</v>
      </c>
      <c r="M2797" s="122">
        <v>2273810</v>
      </c>
      <c r="N2797" s="122">
        <v>2418112</v>
      </c>
      <c r="O2797" s="122">
        <v>895597</v>
      </c>
      <c r="P2797" s="122">
        <v>820871</v>
      </c>
      <c r="Q2797" s="122">
        <v>304026</v>
      </c>
      <c r="R2797" s="122">
        <v>5413665</v>
      </c>
      <c r="S2797" s="122">
        <v>4921514</v>
      </c>
      <c r="T2797" s="122">
        <v>1388302</v>
      </c>
      <c r="U2797" s="122">
        <v>514186</v>
      </c>
      <c r="V2797" s="122">
        <v>19408422</v>
      </c>
      <c r="W2797" s="122">
        <f t="shared" si="88"/>
        <v>19408422</v>
      </c>
      <c r="X2797" s="122">
        <f t="shared" si="89"/>
        <v>24248928</v>
      </c>
    </row>
    <row r="2798" spans="2:24">
      <c r="B2798" t="s">
        <v>387</v>
      </c>
      <c r="C2798" t="s">
        <v>56</v>
      </c>
      <c r="D2798" t="s">
        <v>406</v>
      </c>
      <c r="E2798" t="s">
        <v>427</v>
      </c>
      <c r="F2798" s="122">
        <v>1</v>
      </c>
      <c r="G2798" s="122">
        <v>49</v>
      </c>
      <c r="H2798" s="122">
        <v>219</v>
      </c>
      <c r="I2798" s="122">
        <v>4823</v>
      </c>
      <c r="J2798" s="122">
        <v>4384</v>
      </c>
      <c r="K2798" s="122">
        <v>85</v>
      </c>
      <c r="L2798" s="122">
        <v>665</v>
      </c>
      <c r="M2798" s="122">
        <v>605</v>
      </c>
      <c r="N2798" s="122">
        <v>1201</v>
      </c>
      <c r="O2798" s="122">
        <v>445</v>
      </c>
      <c r="P2798" s="122">
        <v>621</v>
      </c>
      <c r="Q2798" s="122">
        <v>230</v>
      </c>
      <c r="R2798" s="122">
        <v>3486</v>
      </c>
      <c r="S2798" s="122">
        <v>3169</v>
      </c>
      <c r="T2798" s="122">
        <v>0</v>
      </c>
      <c r="U2798" s="122">
        <v>0</v>
      </c>
      <c r="V2798" s="122">
        <v>8832</v>
      </c>
      <c r="W2798" s="122">
        <f t="shared" si="88"/>
        <v>8833</v>
      </c>
      <c r="X2798" s="122">
        <f t="shared" si="89"/>
        <v>10796</v>
      </c>
    </row>
    <row r="2799" spans="2:24">
      <c r="B2799" t="s">
        <v>387</v>
      </c>
      <c r="C2799" t="s">
        <v>56</v>
      </c>
      <c r="D2799" t="s">
        <v>406</v>
      </c>
      <c r="E2799" t="s">
        <v>431</v>
      </c>
      <c r="F2799" s="122">
        <v>1</v>
      </c>
      <c r="G2799" s="122">
        <v>80</v>
      </c>
      <c r="H2799" s="122">
        <v>179</v>
      </c>
      <c r="I2799" s="122">
        <v>5373</v>
      </c>
      <c r="J2799" s="122">
        <v>4884</v>
      </c>
      <c r="K2799" s="122">
        <v>92</v>
      </c>
      <c r="L2799" s="122">
        <v>1835</v>
      </c>
      <c r="M2799" s="122">
        <v>1668</v>
      </c>
      <c r="N2799" s="122">
        <v>1290</v>
      </c>
      <c r="O2799" s="122">
        <v>478</v>
      </c>
      <c r="P2799" s="122">
        <v>621</v>
      </c>
      <c r="Q2799" s="122">
        <v>230</v>
      </c>
      <c r="R2799" s="122">
        <v>5106</v>
      </c>
      <c r="S2799" s="122">
        <v>4642</v>
      </c>
      <c r="T2799" s="122">
        <v>0</v>
      </c>
      <c r="U2799" s="122">
        <v>0</v>
      </c>
      <c r="V2799" s="122">
        <v>11902</v>
      </c>
      <c r="W2799" s="122">
        <f t="shared" si="88"/>
        <v>11902</v>
      </c>
      <c r="X2799" s="122">
        <f t="shared" si="89"/>
        <v>14225</v>
      </c>
    </row>
    <row r="2800" spans="2:24">
      <c r="B2800" t="s">
        <v>387</v>
      </c>
      <c r="C2800" t="s">
        <v>56</v>
      </c>
      <c r="D2800" t="s">
        <v>406</v>
      </c>
      <c r="E2800" t="s">
        <v>426</v>
      </c>
      <c r="F2800" s="122">
        <v>1</v>
      </c>
      <c r="G2800" s="122">
        <v>105</v>
      </c>
      <c r="H2800" s="122">
        <v>181</v>
      </c>
      <c r="I2800" s="122">
        <v>8307</v>
      </c>
      <c r="J2800" s="122">
        <v>7551</v>
      </c>
      <c r="K2800" s="122">
        <v>85</v>
      </c>
      <c r="L2800" s="122">
        <v>2252</v>
      </c>
      <c r="M2800" s="122">
        <v>2047</v>
      </c>
      <c r="N2800" s="122">
        <v>1283</v>
      </c>
      <c r="O2800" s="122">
        <v>475</v>
      </c>
      <c r="P2800" s="122">
        <v>621</v>
      </c>
      <c r="Q2800" s="122">
        <v>230</v>
      </c>
      <c r="R2800" s="122">
        <v>3417</v>
      </c>
      <c r="S2800" s="122">
        <v>3107</v>
      </c>
      <c r="T2800" s="122">
        <v>3208</v>
      </c>
      <c r="U2800" s="122">
        <v>1188</v>
      </c>
      <c r="V2800" s="122">
        <v>14599</v>
      </c>
      <c r="W2800" s="122">
        <f t="shared" si="88"/>
        <v>14598</v>
      </c>
      <c r="X2800" s="122">
        <f t="shared" si="89"/>
        <v>19088</v>
      </c>
    </row>
    <row r="2801" spans="2:24">
      <c r="B2801" t="s">
        <v>387</v>
      </c>
      <c r="C2801" t="s">
        <v>56</v>
      </c>
      <c r="D2801" t="s">
        <v>427</v>
      </c>
      <c r="E2801" t="s">
        <v>427</v>
      </c>
      <c r="F2801" s="122">
        <v>1</v>
      </c>
      <c r="G2801" s="122">
        <v>82</v>
      </c>
      <c r="H2801" s="122">
        <v>216</v>
      </c>
      <c r="I2801" s="122">
        <v>10308</v>
      </c>
      <c r="J2801" s="122">
        <v>9371</v>
      </c>
      <c r="K2801" s="122">
        <v>65</v>
      </c>
      <c r="L2801" s="122">
        <v>0</v>
      </c>
      <c r="M2801" s="122">
        <v>0</v>
      </c>
      <c r="N2801" s="122">
        <v>1399</v>
      </c>
      <c r="O2801" s="122">
        <v>518</v>
      </c>
      <c r="P2801" s="122">
        <v>351</v>
      </c>
      <c r="Q2801" s="122">
        <v>130</v>
      </c>
      <c r="R2801" s="122">
        <v>3482</v>
      </c>
      <c r="S2801" s="122">
        <v>3165</v>
      </c>
      <c r="T2801" s="122">
        <v>2193</v>
      </c>
      <c r="U2801" s="122">
        <v>812</v>
      </c>
      <c r="V2801" s="122">
        <v>13997</v>
      </c>
      <c r="W2801" s="122">
        <f t="shared" si="88"/>
        <v>13996</v>
      </c>
      <c r="X2801" s="122">
        <f t="shared" si="89"/>
        <v>17733</v>
      </c>
    </row>
    <row r="2802" spans="2:24">
      <c r="B2802" t="s">
        <v>387</v>
      </c>
      <c r="C2802" t="s">
        <v>56</v>
      </c>
      <c r="D2802" t="s">
        <v>407</v>
      </c>
      <c r="E2802" t="s">
        <v>405</v>
      </c>
      <c r="F2802" s="122">
        <v>1</v>
      </c>
      <c r="G2802" s="122">
        <v>86</v>
      </c>
      <c r="H2802" s="122">
        <v>168</v>
      </c>
      <c r="I2802" s="122">
        <v>7746</v>
      </c>
      <c r="J2802" s="122">
        <v>7042</v>
      </c>
      <c r="K2802" s="122">
        <v>90</v>
      </c>
      <c r="L2802" s="122">
        <v>1229</v>
      </c>
      <c r="M2802" s="122">
        <v>1118</v>
      </c>
      <c r="N2802" s="122">
        <v>1042</v>
      </c>
      <c r="O2802" s="122">
        <v>386</v>
      </c>
      <c r="P2802" s="122">
        <v>473</v>
      </c>
      <c r="Q2802" s="122">
        <v>175</v>
      </c>
      <c r="R2802" s="122">
        <v>3881</v>
      </c>
      <c r="S2802" s="122">
        <v>3529</v>
      </c>
      <c r="T2802" s="122">
        <v>0</v>
      </c>
      <c r="U2802" s="122">
        <v>0</v>
      </c>
      <c r="V2802" s="122">
        <v>12249</v>
      </c>
      <c r="W2802" s="122">
        <f t="shared" si="88"/>
        <v>12250</v>
      </c>
      <c r="X2802" s="122">
        <f t="shared" si="89"/>
        <v>14371</v>
      </c>
    </row>
    <row r="2803" spans="2:24">
      <c r="B2803" t="s">
        <v>387</v>
      </c>
      <c r="C2803" t="s">
        <v>56</v>
      </c>
      <c r="D2803" t="s">
        <v>407</v>
      </c>
      <c r="E2803" t="s">
        <v>137</v>
      </c>
      <c r="F2803" s="122">
        <v>3</v>
      </c>
      <c r="G2803" s="122">
        <v>483</v>
      </c>
      <c r="H2803" s="122">
        <v>571</v>
      </c>
      <c r="I2803" s="122">
        <v>56297</v>
      </c>
      <c r="J2803" s="122">
        <v>51179</v>
      </c>
      <c r="K2803" s="122">
        <v>87</v>
      </c>
      <c r="L2803" s="122">
        <v>8514</v>
      </c>
      <c r="M2803" s="122">
        <v>6249</v>
      </c>
      <c r="N2803" s="122">
        <v>6247</v>
      </c>
      <c r="O2803" s="122">
        <v>2314</v>
      </c>
      <c r="P2803" s="122">
        <v>1418</v>
      </c>
      <c r="Q2803" s="122">
        <v>525</v>
      </c>
      <c r="R2803" s="122">
        <v>21029</v>
      </c>
      <c r="S2803" s="122">
        <v>7789</v>
      </c>
      <c r="T2803" s="122">
        <v>0</v>
      </c>
      <c r="U2803" s="122">
        <v>0</v>
      </c>
      <c r="V2803" s="122">
        <v>68055</v>
      </c>
      <c r="W2803" s="122">
        <f t="shared" si="88"/>
        <v>68056</v>
      </c>
      <c r="X2803" s="122">
        <f t="shared" si="89"/>
        <v>93505</v>
      </c>
    </row>
    <row r="2804" spans="2:24">
      <c r="B2804" t="s">
        <v>387</v>
      </c>
      <c r="C2804" t="s">
        <v>56</v>
      </c>
      <c r="D2804" t="s">
        <v>407</v>
      </c>
      <c r="E2804" t="s">
        <v>406</v>
      </c>
      <c r="F2804" s="122">
        <v>1</v>
      </c>
      <c r="G2804" s="122">
        <v>80</v>
      </c>
      <c r="H2804" s="122">
        <v>185</v>
      </c>
      <c r="I2804" s="122">
        <v>6892</v>
      </c>
      <c r="J2804" s="122">
        <v>6265</v>
      </c>
      <c r="K2804" s="122">
        <v>90</v>
      </c>
      <c r="L2804" s="122">
        <v>1305</v>
      </c>
      <c r="M2804" s="122">
        <v>1087</v>
      </c>
      <c r="N2804" s="122">
        <v>973</v>
      </c>
      <c r="O2804" s="122">
        <v>360</v>
      </c>
      <c r="P2804" s="122">
        <v>473</v>
      </c>
      <c r="Q2804" s="122">
        <v>175</v>
      </c>
      <c r="R2804" s="122">
        <v>3045</v>
      </c>
      <c r="S2804" s="122">
        <v>2768</v>
      </c>
      <c r="T2804" s="122">
        <v>2075</v>
      </c>
      <c r="U2804" s="122">
        <v>768</v>
      </c>
      <c r="V2804" s="122">
        <v>11424</v>
      </c>
      <c r="W2804" s="122">
        <f t="shared" si="88"/>
        <v>11423</v>
      </c>
      <c r="X2804" s="122">
        <f t="shared" si="89"/>
        <v>14763</v>
      </c>
    </row>
    <row r="2805" spans="2:24">
      <c r="B2805" t="s">
        <v>387</v>
      </c>
      <c r="C2805" t="s">
        <v>56</v>
      </c>
      <c r="D2805" t="s">
        <v>407</v>
      </c>
      <c r="E2805" t="s">
        <v>407</v>
      </c>
      <c r="F2805" s="122">
        <v>3202</v>
      </c>
      <c r="G2805" s="122">
        <v>307565</v>
      </c>
      <c r="H2805" s="122">
        <v>599710</v>
      </c>
      <c r="I2805" s="122">
        <v>27496958</v>
      </c>
      <c r="J2805" s="122">
        <v>24997234</v>
      </c>
      <c r="K2805" s="122">
        <v>83</v>
      </c>
      <c r="L2805" s="122">
        <v>7064844</v>
      </c>
      <c r="M2805" s="122">
        <v>6106682</v>
      </c>
      <c r="N2805" s="122">
        <v>6055958</v>
      </c>
      <c r="O2805" s="122">
        <v>2242947</v>
      </c>
      <c r="P2805" s="122">
        <v>1528584</v>
      </c>
      <c r="Q2805" s="122">
        <v>566142</v>
      </c>
      <c r="R2805" s="122">
        <v>14206096</v>
      </c>
      <c r="S2805" s="122">
        <v>12914633</v>
      </c>
      <c r="T2805" s="122">
        <v>2232564</v>
      </c>
      <c r="U2805" s="122">
        <v>826876</v>
      </c>
      <c r="V2805" s="122">
        <v>47654514</v>
      </c>
      <c r="W2805" s="122">
        <f t="shared" si="88"/>
        <v>47654514</v>
      </c>
      <c r="X2805" s="122">
        <f t="shared" si="89"/>
        <v>58585004</v>
      </c>
    </row>
    <row r="2806" spans="2:24">
      <c r="B2806" t="s">
        <v>387</v>
      </c>
      <c r="C2806" t="s">
        <v>56</v>
      </c>
      <c r="D2806" t="s">
        <v>407</v>
      </c>
      <c r="E2806" t="s">
        <v>556</v>
      </c>
      <c r="F2806" s="122">
        <v>3</v>
      </c>
      <c r="G2806" s="122">
        <v>248</v>
      </c>
      <c r="H2806" s="122">
        <v>603</v>
      </c>
      <c r="I2806" s="122">
        <v>19610</v>
      </c>
      <c r="J2806" s="122">
        <v>17827</v>
      </c>
      <c r="K2806" s="122">
        <v>83</v>
      </c>
      <c r="L2806" s="122">
        <v>6012</v>
      </c>
      <c r="M2806" s="122">
        <v>5267</v>
      </c>
      <c r="N2806" s="122">
        <v>4817</v>
      </c>
      <c r="O2806" s="122">
        <v>1784</v>
      </c>
      <c r="P2806" s="122">
        <v>1418</v>
      </c>
      <c r="Q2806" s="122">
        <v>525</v>
      </c>
      <c r="R2806" s="122">
        <v>15070</v>
      </c>
      <c r="S2806" s="122">
        <v>12558</v>
      </c>
      <c r="T2806" s="122">
        <v>2799</v>
      </c>
      <c r="U2806" s="122">
        <v>1037</v>
      </c>
      <c r="V2806" s="122">
        <v>38998</v>
      </c>
      <c r="W2806" s="122">
        <f t="shared" si="88"/>
        <v>38998</v>
      </c>
      <c r="X2806" s="122">
        <f t="shared" si="89"/>
        <v>49726</v>
      </c>
    </row>
    <row r="2807" spans="2:24">
      <c r="B2807" t="s">
        <v>387</v>
      </c>
      <c r="C2807" t="s">
        <v>56</v>
      </c>
      <c r="D2807" t="s">
        <v>407</v>
      </c>
      <c r="E2807" t="s">
        <v>426</v>
      </c>
      <c r="F2807" s="122">
        <v>1</v>
      </c>
      <c r="G2807" s="122">
        <v>104</v>
      </c>
      <c r="H2807" s="122">
        <v>185</v>
      </c>
      <c r="I2807" s="122">
        <v>11816</v>
      </c>
      <c r="J2807" s="122">
        <v>10742</v>
      </c>
      <c r="K2807" s="122">
        <v>91</v>
      </c>
      <c r="L2807" s="122">
        <v>2035</v>
      </c>
      <c r="M2807" s="122">
        <v>1850</v>
      </c>
      <c r="N2807" s="122">
        <v>1521</v>
      </c>
      <c r="O2807" s="122">
        <v>563</v>
      </c>
      <c r="P2807" s="122">
        <v>473</v>
      </c>
      <c r="Q2807" s="122">
        <v>175</v>
      </c>
      <c r="R2807" s="122">
        <v>3419</v>
      </c>
      <c r="S2807" s="122">
        <v>3108</v>
      </c>
      <c r="T2807" s="122">
        <v>0</v>
      </c>
      <c r="U2807" s="122">
        <v>0</v>
      </c>
      <c r="V2807" s="122">
        <v>16438</v>
      </c>
      <c r="W2807" s="122">
        <f t="shared" si="88"/>
        <v>16438</v>
      </c>
      <c r="X2807" s="122">
        <f t="shared" si="89"/>
        <v>19264</v>
      </c>
    </row>
    <row r="2808" spans="2:24">
      <c r="B2808" t="s">
        <v>387</v>
      </c>
      <c r="C2808" t="s">
        <v>56</v>
      </c>
      <c r="D2808" t="s">
        <v>556</v>
      </c>
      <c r="E2808" t="s">
        <v>556</v>
      </c>
      <c r="F2808" s="122">
        <v>1</v>
      </c>
      <c r="G2808" s="122">
        <v>80</v>
      </c>
      <c r="H2808" s="122">
        <v>206</v>
      </c>
      <c r="I2808" s="122">
        <v>6648</v>
      </c>
      <c r="J2808" s="122">
        <v>5540</v>
      </c>
      <c r="K2808" s="122">
        <v>65</v>
      </c>
      <c r="L2808" s="122">
        <v>1080</v>
      </c>
      <c r="M2808" s="122">
        <v>400</v>
      </c>
      <c r="N2808" s="122">
        <v>1778</v>
      </c>
      <c r="O2808" s="122">
        <v>658</v>
      </c>
      <c r="P2808" s="122">
        <v>351</v>
      </c>
      <c r="Q2808" s="122">
        <v>130</v>
      </c>
      <c r="R2808" s="122">
        <v>4519</v>
      </c>
      <c r="S2808" s="122">
        <v>3766</v>
      </c>
      <c r="T2808" s="122">
        <v>2168</v>
      </c>
      <c r="U2808" s="122">
        <v>803</v>
      </c>
      <c r="V2808" s="122">
        <v>11297</v>
      </c>
      <c r="W2808" s="122">
        <f t="shared" si="88"/>
        <v>11297</v>
      </c>
      <c r="X2808" s="122">
        <f t="shared" si="89"/>
        <v>16544</v>
      </c>
    </row>
    <row r="2809" spans="2:24">
      <c r="B2809" t="s">
        <v>387</v>
      </c>
      <c r="C2809" t="s">
        <v>56</v>
      </c>
      <c r="D2809" t="s">
        <v>426</v>
      </c>
      <c r="E2809" t="s">
        <v>426</v>
      </c>
      <c r="F2809" s="122">
        <v>5</v>
      </c>
      <c r="G2809" s="122">
        <v>492</v>
      </c>
      <c r="H2809" s="122">
        <v>1047</v>
      </c>
      <c r="I2809" s="122">
        <v>54644</v>
      </c>
      <c r="J2809" s="122">
        <v>49677</v>
      </c>
      <c r="K2809" s="122">
        <v>64</v>
      </c>
      <c r="L2809" s="122">
        <v>4733</v>
      </c>
      <c r="M2809" s="122">
        <v>1753</v>
      </c>
      <c r="N2809" s="122">
        <v>8997</v>
      </c>
      <c r="O2809" s="122">
        <v>3332</v>
      </c>
      <c r="P2809" s="122">
        <v>1755</v>
      </c>
      <c r="Q2809" s="122">
        <v>650</v>
      </c>
      <c r="R2809" s="122">
        <v>25168</v>
      </c>
      <c r="S2809" s="122">
        <v>22880</v>
      </c>
      <c r="T2809" s="122">
        <v>7191</v>
      </c>
      <c r="U2809" s="122">
        <v>2663</v>
      </c>
      <c r="V2809" s="122">
        <v>80955</v>
      </c>
      <c r="W2809" s="122">
        <f t="shared" si="88"/>
        <v>80955</v>
      </c>
      <c r="X2809" s="122">
        <f t="shared" si="89"/>
        <v>102488</v>
      </c>
    </row>
    <row r="2810" spans="2:24">
      <c r="B2810" t="s">
        <v>387</v>
      </c>
      <c r="C2810" t="s">
        <v>56</v>
      </c>
      <c r="D2810" t="s">
        <v>408</v>
      </c>
      <c r="E2810" t="s">
        <v>408</v>
      </c>
      <c r="F2810" s="122">
        <v>1</v>
      </c>
      <c r="G2810" s="122">
        <v>182</v>
      </c>
      <c r="H2810" s="122">
        <v>177</v>
      </c>
      <c r="I2810" s="122">
        <v>21578</v>
      </c>
      <c r="J2810" s="122">
        <v>19617</v>
      </c>
      <c r="K2810" s="122">
        <v>89</v>
      </c>
      <c r="L2810" s="122">
        <v>3568</v>
      </c>
      <c r="M2810" s="122">
        <v>3244</v>
      </c>
      <c r="N2810" s="122">
        <v>2572</v>
      </c>
      <c r="O2810" s="122">
        <v>953</v>
      </c>
      <c r="P2810" s="122">
        <v>351</v>
      </c>
      <c r="Q2810" s="122">
        <v>130</v>
      </c>
      <c r="R2810" s="122">
        <v>4154</v>
      </c>
      <c r="S2810" s="122">
        <v>3776</v>
      </c>
      <c r="T2810" s="122">
        <v>0</v>
      </c>
      <c r="U2810" s="122">
        <v>0</v>
      </c>
      <c r="V2810" s="122">
        <v>27720</v>
      </c>
      <c r="W2810" s="122">
        <f t="shared" si="88"/>
        <v>27720</v>
      </c>
      <c r="X2810" s="122">
        <f t="shared" si="89"/>
        <v>32223</v>
      </c>
    </row>
    <row r="2811" spans="2:24">
      <c r="B2811" t="s">
        <v>387</v>
      </c>
      <c r="C2811" t="s">
        <v>56</v>
      </c>
      <c r="D2811" t="s">
        <v>429</v>
      </c>
      <c r="E2811" t="s">
        <v>429</v>
      </c>
      <c r="F2811" s="122">
        <v>10</v>
      </c>
      <c r="G2811" s="122">
        <v>891</v>
      </c>
      <c r="H2811" s="122">
        <v>1817</v>
      </c>
      <c r="I2811" s="122">
        <v>100277</v>
      </c>
      <c r="J2811" s="122">
        <v>91161</v>
      </c>
      <c r="K2811" s="122">
        <v>65</v>
      </c>
      <c r="L2811" s="122">
        <v>0</v>
      </c>
      <c r="M2811" s="122">
        <v>0</v>
      </c>
      <c r="N2811" s="122">
        <v>17681</v>
      </c>
      <c r="O2811" s="122">
        <v>6549</v>
      </c>
      <c r="P2811" s="122">
        <v>10740</v>
      </c>
      <c r="Q2811" s="122">
        <v>3978</v>
      </c>
      <c r="R2811" s="122">
        <v>33249</v>
      </c>
      <c r="S2811" s="122">
        <v>30226</v>
      </c>
      <c r="T2811" s="122">
        <v>0</v>
      </c>
      <c r="U2811" s="122">
        <v>0</v>
      </c>
      <c r="V2811" s="122">
        <v>131913</v>
      </c>
      <c r="W2811" s="122">
        <f t="shared" si="88"/>
        <v>131914</v>
      </c>
      <c r="X2811" s="122">
        <f t="shared" si="89"/>
        <v>161947</v>
      </c>
    </row>
    <row r="2812" spans="2:24">
      <c r="B2812" t="s">
        <v>387</v>
      </c>
      <c r="C2812" t="s">
        <v>58</v>
      </c>
      <c r="F2812" s="122">
        <v>3</v>
      </c>
      <c r="G2812" s="122">
        <v>208</v>
      </c>
      <c r="H2812" s="122">
        <v>852</v>
      </c>
      <c r="I2812" s="122"/>
      <c r="J2812" s="122">
        <v>0</v>
      </c>
      <c r="K2812" s="122"/>
      <c r="L2812" s="122"/>
      <c r="M2812" s="122">
        <v>0</v>
      </c>
      <c r="N2812" s="122">
        <v>4308</v>
      </c>
      <c r="O2812" s="122">
        <v>1595</v>
      </c>
      <c r="P2812" s="122">
        <v>1863</v>
      </c>
      <c r="Q2812" s="122">
        <v>690</v>
      </c>
      <c r="R2812" s="122"/>
      <c r="S2812" s="122">
        <v>0</v>
      </c>
      <c r="T2812" s="122">
        <v>0</v>
      </c>
      <c r="U2812" s="122">
        <v>0</v>
      </c>
      <c r="V2812" s="122">
        <v>2285</v>
      </c>
      <c r="W2812" s="122">
        <f t="shared" si="88"/>
        <v>2285</v>
      </c>
      <c r="X2812" s="122">
        <f t="shared" si="89"/>
        <v>6171</v>
      </c>
    </row>
    <row r="2813" spans="2:24">
      <c r="B2813" t="s">
        <v>387</v>
      </c>
      <c r="C2813" t="s">
        <v>58</v>
      </c>
      <c r="D2813" t="s">
        <v>425</v>
      </c>
      <c r="E2813" t="s">
        <v>425</v>
      </c>
      <c r="F2813" s="122">
        <v>6</v>
      </c>
      <c r="G2813" s="122">
        <v>542</v>
      </c>
      <c r="H2813" s="122">
        <v>1577</v>
      </c>
      <c r="I2813" s="122">
        <v>88555</v>
      </c>
      <c r="J2813" s="122">
        <v>80505</v>
      </c>
      <c r="K2813" s="122">
        <v>85</v>
      </c>
      <c r="L2813" s="122">
        <v>14087</v>
      </c>
      <c r="M2813" s="122">
        <v>12511</v>
      </c>
      <c r="N2813" s="122">
        <v>9713</v>
      </c>
      <c r="O2813" s="122">
        <v>3598</v>
      </c>
      <c r="P2813" s="122">
        <v>2835</v>
      </c>
      <c r="Q2813" s="122">
        <v>1050</v>
      </c>
      <c r="R2813" s="122">
        <v>19055</v>
      </c>
      <c r="S2813" s="122">
        <v>17322</v>
      </c>
      <c r="T2813" s="122">
        <v>7301</v>
      </c>
      <c r="U2813" s="122">
        <v>2704</v>
      </c>
      <c r="V2813" s="122">
        <v>117690</v>
      </c>
      <c r="W2813" s="122">
        <f t="shared" si="88"/>
        <v>117690</v>
      </c>
      <c r="X2813" s="122">
        <f t="shared" si="89"/>
        <v>141546</v>
      </c>
    </row>
    <row r="2814" spans="2:24">
      <c r="B2814" t="s">
        <v>387</v>
      </c>
      <c r="C2814" t="s">
        <v>58</v>
      </c>
      <c r="D2814" t="s">
        <v>425</v>
      </c>
      <c r="E2814" t="s">
        <v>406</v>
      </c>
      <c r="F2814" s="122">
        <v>1</v>
      </c>
      <c r="G2814" s="122">
        <v>98</v>
      </c>
      <c r="H2814" s="122">
        <v>242</v>
      </c>
      <c r="I2814" s="122">
        <v>12214</v>
      </c>
      <c r="J2814" s="122">
        <v>11104</v>
      </c>
      <c r="K2814" s="122">
        <v>70</v>
      </c>
      <c r="L2814" s="122">
        <v>2215</v>
      </c>
      <c r="M2814" s="122">
        <v>820</v>
      </c>
      <c r="N2814" s="122">
        <v>2016</v>
      </c>
      <c r="O2814" s="122">
        <v>747</v>
      </c>
      <c r="P2814" s="122">
        <v>621</v>
      </c>
      <c r="Q2814" s="122">
        <v>230</v>
      </c>
      <c r="R2814" s="122">
        <v>6737</v>
      </c>
      <c r="S2814" s="122">
        <v>6125</v>
      </c>
      <c r="T2814" s="122">
        <v>0</v>
      </c>
      <c r="U2814" s="122">
        <v>0</v>
      </c>
      <c r="V2814" s="122">
        <v>19026</v>
      </c>
      <c r="W2814" s="122">
        <f t="shared" si="88"/>
        <v>19026</v>
      </c>
      <c r="X2814" s="122">
        <f t="shared" si="89"/>
        <v>23803</v>
      </c>
    </row>
    <row r="2815" spans="2:24">
      <c r="B2815" t="s">
        <v>387</v>
      </c>
      <c r="C2815" t="s">
        <v>58</v>
      </c>
      <c r="D2815" t="s">
        <v>425</v>
      </c>
      <c r="E2815" t="s">
        <v>407</v>
      </c>
      <c r="F2815" s="122">
        <v>1</v>
      </c>
      <c r="G2815" s="122">
        <v>83</v>
      </c>
      <c r="H2815" s="122">
        <v>272</v>
      </c>
      <c r="I2815" s="122">
        <v>12785</v>
      </c>
      <c r="J2815" s="122">
        <v>11623</v>
      </c>
      <c r="K2815" s="122">
        <v>78</v>
      </c>
      <c r="L2815" s="122">
        <v>1914</v>
      </c>
      <c r="M2815" s="122">
        <v>1740</v>
      </c>
      <c r="N2815" s="122">
        <v>1778</v>
      </c>
      <c r="O2815" s="122">
        <v>659</v>
      </c>
      <c r="P2815" s="122">
        <v>473</v>
      </c>
      <c r="Q2815" s="122">
        <v>175</v>
      </c>
      <c r="R2815" s="122">
        <v>5718</v>
      </c>
      <c r="S2815" s="122">
        <v>5198</v>
      </c>
      <c r="T2815" s="122">
        <v>0</v>
      </c>
      <c r="U2815" s="122">
        <v>0</v>
      </c>
      <c r="V2815" s="122">
        <v>19394</v>
      </c>
      <c r="W2815" s="122">
        <f t="shared" si="88"/>
        <v>19395</v>
      </c>
      <c r="X2815" s="122">
        <f t="shared" si="89"/>
        <v>22668</v>
      </c>
    </row>
    <row r="2816" spans="2:24">
      <c r="B2816" t="s">
        <v>387</v>
      </c>
      <c r="C2816" t="s">
        <v>58</v>
      </c>
      <c r="D2816" t="s">
        <v>405</v>
      </c>
      <c r="E2816" t="s">
        <v>405</v>
      </c>
      <c r="F2816" s="122">
        <v>6</v>
      </c>
      <c r="G2816" s="122">
        <v>556</v>
      </c>
      <c r="H2816" s="122">
        <v>1509</v>
      </c>
      <c r="I2816" s="122">
        <v>75981</v>
      </c>
      <c r="J2816" s="122">
        <v>69074</v>
      </c>
      <c r="K2816" s="122">
        <v>83</v>
      </c>
      <c r="L2816" s="122">
        <v>20018</v>
      </c>
      <c r="M2816" s="122">
        <v>16670</v>
      </c>
      <c r="N2816" s="122">
        <v>10671</v>
      </c>
      <c r="O2816" s="122">
        <v>3952</v>
      </c>
      <c r="P2816" s="122">
        <v>2714</v>
      </c>
      <c r="Q2816" s="122">
        <v>1005</v>
      </c>
      <c r="R2816" s="122">
        <v>27166</v>
      </c>
      <c r="S2816" s="122">
        <v>24697</v>
      </c>
      <c r="T2816" s="122">
        <v>4515</v>
      </c>
      <c r="U2816" s="122">
        <v>1672</v>
      </c>
      <c r="V2816" s="122">
        <v>117070</v>
      </c>
      <c r="W2816" s="122">
        <f t="shared" si="88"/>
        <v>117070</v>
      </c>
      <c r="X2816" s="122">
        <f t="shared" si="89"/>
        <v>141065</v>
      </c>
    </row>
    <row r="2817" spans="2:24">
      <c r="B2817" t="s">
        <v>387</v>
      </c>
      <c r="C2817" t="s">
        <v>58</v>
      </c>
      <c r="D2817" t="s">
        <v>137</v>
      </c>
      <c r="E2817" t="s">
        <v>137</v>
      </c>
      <c r="F2817" s="122">
        <v>144</v>
      </c>
      <c r="G2817" s="122">
        <v>11944</v>
      </c>
      <c r="H2817" s="122">
        <v>38521</v>
      </c>
      <c r="I2817" s="122">
        <v>1788132</v>
      </c>
      <c r="J2817" s="122">
        <v>662271</v>
      </c>
      <c r="K2817" s="122">
        <v>109</v>
      </c>
      <c r="L2817" s="122">
        <v>245714</v>
      </c>
      <c r="M2817" s="122">
        <v>173405</v>
      </c>
      <c r="N2817" s="122">
        <v>255306</v>
      </c>
      <c r="O2817" s="122">
        <v>94558</v>
      </c>
      <c r="P2817" s="122">
        <v>1094</v>
      </c>
      <c r="Q2817" s="122">
        <v>405</v>
      </c>
      <c r="R2817" s="122">
        <v>997465</v>
      </c>
      <c r="S2817" s="122">
        <v>369432</v>
      </c>
      <c r="T2817" s="122">
        <v>5207</v>
      </c>
      <c r="U2817" s="122">
        <v>1928</v>
      </c>
      <c r="V2817" s="122">
        <v>1301999</v>
      </c>
      <c r="W2817" s="122">
        <f t="shared" si="88"/>
        <v>1301999</v>
      </c>
      <c r="X2817" s="122">
        <f t="shared" si="89"/>
        <v>3292918</v>
      </c>
    </row>
    <row r="2818" spans="2:24">
      <c r="B2818" t="s">
        <v>387</v>
      </c>
      <c r="C2818" t="s">
        <v>58</v>
      </c>
      <c r="D2818" t="s">
        <v>137</v>
      </c>
      <c r="E2818" t="s">
        <v>426</v>
      </c>
      <c r="F2818" s="122">
        <v>3</v>
      </c>
      <c r="G2818" s="122">
        <v>240</v>
      </c>
      <c r="H2818" s="122">
        <v>793</v>
      </c>
      <c r="I2818" s="122">
        <v>34778</v>
      </c>
      <c r="J2818" s="122">
        <v>12881</v>
      </c>
      <c r="K2818" s="122">
        <v>100</v>
      </c>
      <c r="L2818" s="122">
        <v>2834</v>
      </c>
      <c r="M2818" s="122">
        <v>2576</v>
      </c>
      <c r="N2818" s="122">
        <v>5538</v>
      </c>
      <c r="O2818" s="122">
        <v>2051</v>
      </c>
      <c r="P2818" s="122">
        <v>0</v>
      </c>
      <c r="Q2818" s="122">
        <v>0</v>
      </c>
      <c r="R2818" s="122">
        <v>14346</v>
      </c>
      <c r="S2818" s="122">
        <v>13042</v>
      </c>
      <c r="T2818" s="122">
        <v>6059</v>
      </c>
      <c r="U2818" s="122">
        <v>2244</v>
      </c>
      <c r="V2818" s="122">
        <v>32794</v>
      </c>
      <c r="W2818" s="122">
        <f t="shared" si="88"/>
        <v>32794</v>
      </c>
      <c r="X2818" s="122">
        <f t="shared" si="89"/>
        <v>63555</v>
      </c>
    </row>
    <row r="2819" spans="2:24">
      <c r="B2819" t="s">
        <v>387</v>
      </c>
      <c r="C2819" t="s">
        <v>58</v>
      </c>
      <c r="D2819" t="s">
        <v>406</v>
      </c>
      <c r="E2819" t="s">
        <v>405</v>
      </c>
      <c r="F2819" s="122">
        <v>1</v>
      </c>
      <c r="G2819" s="122">
        <v>216</v>
      </c>
      <c r="H2819" s="122">
        <v>242</v>
      </c>
      <c r="I2819" s="122">
        <v>39680</v>
      </c>
      <c r="J2819" s="122">
        <v>36073</v>
      </c>
      <c r="K2819" s="122">
        <v>79</v>
      </c>
      <c r="L2819" s="122">
        <v>859</v>
      </c>
      <c r="M2819" s="122">
        <v>781</v>
      </c>
      <c r="N2819" s="122">
        <v>4076</v>
      </c>
      <c r="O2819" s="122">
        <v>1509</v>
      </c>
      <c r="P2819" s="122">
        <v>621</v>
      </c>
      <c r="Q2819" s="122">
        <v>230</v>
      </c>
      <c r="R2819" s="122">
        <v>6903</v>
      </c>
      <c r="S2819" s="122">
        <v>6276</v>
      </c>
      <c r="T2819" s="122">
        <v>0</v>
      </c>
      <c r="U2819" s="122">
        <v>0</v>
      </c>
      <c r="V2819" s="122">
        <v>44868</v>
      </c>
      <c r="W2819" s="122">
        <f t="shared" si="88"/>
        <v>44869</v>
      </c>
      <c r="X2819" s="122">
        <f t="shared" si="89"/>
        <v>52139</v>
      </c>
    </row>
    <row r="2820" spans="2:24">
      <c r="B2820" t="s">
        <v>387</v>
      </c>
      <c r="C2820" t="s">
        <v>58</v>
      </c>
      <c r="D2820" t="s">
        <v>406</v>
      </c>
      <c r="E2820" t="s">
        <v>137</v>
      </c>
      <c r="F2820" s="122">
        <v>4</v>
      </c>
      <c r="G2820" s="122">
        <v>210</v>
      </c>
      <c r="H2820" s="122">
        <v>965</v>
      </c>
      <c r="I2820" s="122">
        <v>22995</v>
      </c>
      <c r="J2820" s="122">
        <v>20904</v>
      </c>
      <c r="K2820" s="122">
        <v>89</v>
      </c>
      <c r="L2820" s="122">
        <v>4328</v>
      </c>
      <c r="M2820" s="122">
        <v>3741</v>
      </c>
      <c r="N2820" s="122">
        <v>2826</v>
      </c>
      <c r="O2820" s="122">
        <v>1047</v>
      </c>
      <c r="P2820" s="122">
        <v>2484</v>
      </c>
      <c r="Q2820" s="122">
        <v>920</v>
      </c>
      <c r="R2820" s="122">
        <v>18433</v>
      </c>
      <c r="S2820" s="122">
        <v>6827</v>
      </c>
      <c r="T2820" s="122">
        <v>0</v>
      </c>
      <c r="U2820" s="122">
        <v>0</v>
      </c>
      <c r="V2820" s="122">
        <v>33439</v>
      </c>
      <c r="W2820" s="122">
        <f t="shared" si="88"/>
        <v>33439</v>
      </c>
      <c r="X2820" s="122">
        <f t="shared" si="89"/>
        <v>51066</v>
      </c>
    </row>
    <row r="2821" spans="2:24">
      <c r="B2821" t="s">
        <v>387</v>
      </c>
      <c r="C2821" t="s">
        <v>58</v>
      </c>
      <c r="D2821" t="s">
        <v>406</v>
      </c>
      <c r="E2821" t="s">
        <v>406</v>
      </c>
      <c r="F2821" s="122">
        <v>1059</v>
      </c>
      <c r="G2821" s="122">
        <v>96014</v>
      </c>
      <c r="H2821" s="122">
        <v>275901</v>
      </c>
      <c r="I2821" s="122">
        <v>13417398</v>
      </c>
      <c r="J2821" s="122">
        <v>12197634</v>
      </c>
      <c r="K2821" s="122">
        <v>82</v>
      </c>
      <c r="L2821" s="122">
        <v>2951805</v>
      </c>
      <c r="M2821" s="122">
        <v>2507218</v>
      </c>
      <c r="N2821" s="122">
        <v>1954047</v>
      </c>
      <c r="O2821" s="122">
        <v>723721</v>
      </c>
      <c r="P2821" s="122">
        <v>679420</v>
      </c>
      <c r="Q2821" s="122">
        <v>251637</v>
      </c>
      <c r="R2821" s="122">
        <v>4574356</v>
      </c>
      <c r="S2821" s="122">
        <v>4158505</v>
      </c>
      <c r="T2821" s="122">
        <v>1643647</v>
      </c>
      <c r="U2821" s="122">
        <v>608758</v>
      </c>
      <c r="V2821" s="122">
        <v>20447474</v>
      </c>
      <c r="W2821" s="122">
        <f t="shared" si="88"/>
        <v>20447473</v>
      </c>
      <c r="X2821" s="122">
        <f t="shared" si="89"/>
        <v>25220673</v>
      </c>
    </row>
    <row r="2822" spans="2:24">
      <c r="B2822" t="s">
        <v>387</v>
      </c>
      <c r="C2822" t="s">
        <v>58</v>
      </c>
      <c r="D2822" t="s">
        <v>406</v>
      </c>
      <c r="E2822" t="s">
        <v>427</v>
      </c>
      <c r="F2822" s="122">
        <v>1</v>
      </c>
      <c r="G2822" s="122">
        <v>73</v>
      </c>
      <c r="H2822" s="122">
        <v>283</v>
      </c>
      <c r="I2822" s="122">
        <v>11084</v>
      </c>
      <c r="J2822" s="122">
        <v>10076</v>
      </c>
      <c r="K2822" s="122">
        <v>85</v>
      </c>
      <c r="L2822" s="122">
        <v>1988</v>
      </c>
      <c r="M2822" s="122">
        <v>1807</v>
      </c>
      <c r="N2822" s="122">
        <v>1539</v>
      </c>
      <c r="O2822" s="122">
        <v>570</v>
      </c>
      <c r="P2822" s="122">
        <v>621</v>
      </c>
      <c r="Q2822" s="122">
        <v>230</v>
      </c>
      <c r="R2822" s="122">
        <v>3229</v>
      </c>
      <c r="S2822" s="122">
        <v>2936</v>
      </c>
      <c r="T2822" s="122">
        <v>2065</v>
      </c>
      <c r="U2822" s="122">
        <v>765</v>
      </c>
      <c r="V2822" s="122">
        <v>16384</v>
      </c>
      <c r="W2822" s="122">
        <f t="shared" si="88"/>
        <v>16384</v>
      </c>
      <c r="X2822" s="122">
        <f t="shared" si="89"/>
        <v>20526</v>
      </c>
    </row>
    <row r="2823" spans="2:24">
      <c r="B2823" t="s">
        <v>387</v>
      </c>
      <c r="C2823" t="s">
        <v>58</v>
      </c>
      <c r="D2823" t="s">
        <v>406</v>
      </c>
      <c r="E2823" t="s">
        <v>407</v>
      </c>
      <c r="F2823" s="122">
        <v>1</v>
      </c>
      <c r="G2823" s="122">
        <v>80</v>
      </c>
      <c r="H2823" s="122">
        <v>281</v>
      </c>
      <c r="I2823" s="122">
        <v>10507</v>
      </c>
      <c r="J2823" s="122">
        <v>9552</v>
      </c>
      <c r="K2823" s="122">
        <v>79</v>
      </c>
      <c r="L2823" s="122">
        <v>2919</v>
      </c>
      <c r="M2823" s="122">
        <v>2653</v>
      </c>
      <c r="N2823" s="122">
        <v>1956</v>
      </c>
      <c r="O2823" s="122">
        <v>724</v>
      </c>
      <c r="P2823" s="122">
        <v>621</v>
      </c>
      <c r="Q2823" s="122">
        <v>230</v>
      </c>
      <c r="R2823" s="122">
        <v>6530</v>
      </c>
      <c r="S2823" s="122">
        <v>5936</v>
      </c>
      <c r="T2823" s="122">
        <v>0</v>
      </c>
      <c r="U2823" s="122">
        <v>0</v>
      </c>
      <c r="V2823" s="122">
        <v>19096</v>
      </c>
      <c r="W2823" s="122">
        <f t="shared" si="88"/>
        <v>19095</v>
      </c>
      <c r="X2823" s="122">
        <f t="shared" si="89"/>
        <v>22533</v>
      </c>
    </row>
    <row r="2824" spans="2:24">
      <c r="B2824" t="s">
        <v>387</v>
      </c>
      <c r="C2824" t="s">
        <v>58</v>
      </c>
      <c r="D2824" t="s">
        <v>427</v>
      </c>
      <c r="E2824" t="s">
        <v>406</v>
      </c>
      <c r="F2824" s="122">
        <v>1</v>
      </c>
      <c r="G2824" s="122">
        <v>84</v>
      </c>
      <c r="H2824" s="122">
        <v>246</v>
      </c>
      <c r="I2824" s="122">
        <v>8971</v>
      </c>
      <c r="J2824" s="122">
        <v>8155</v>
      </c>
      <c r="K2824" s="122">
        <v>70</v>
      </c>
      <c r="L2824" s="122">
        <v>1205</v>
      </c>
      <c r="M2824" s="122">
        <v>1004</v>
      </c>
      <c r="N2824" s="122">
        <v>1824</v>
      </c>
      <c r="O2824" s="122">
        <v>676</v>
      </c>
      <c r="P2824" s="122">
        <v>621</v>
      </c>
      <c r="Q2824" s="122">
        <v>230</v>
      </c>
      <c r="R2824" s="122">
        <v>4994</v>
      </c>
      <c r="S2824" s="122">
        <v>4540</v>
      </c>
      <c r="T2824" s="122">
        <v>2928</v>
      </c>
      <c r="U2824" s="122">
        <v>1084</v>
      </c>
      <c r="V2824" s="122">
        <v>15689</v>
      </c>
      <c r="W2824" s="122">
        <f t="shared" si="88"/>
        <v>15689</v>
      </c>
      <c r="X2824" s="122">
        <f t="shared" si="89"/>
        <v>20543</v>
      </c>
    </row>
    <row r="2825" spans="2:24">
      <c r="B2825" t="s">
        <v>387</v>
      </c>
      <c r="C2825" t="s">
        <v>58</v>
      </c>
      <c r="D2825" t="s">
        <v>427</v>
      </c>
      <c r="E2825" t="s">
        <v>427</v>
      </c>
      <c r="F2825" s="122">
        <v>15</v>
      </c>
      <c r="G2825" s="122">
        <v>1281</v>
      </c>
      <c r="H2825" s="122">
        <v>3935</v>
      </c>
      <c r="I2825" s="122">
        <v>198623</v>
      </c>
      <c r="J2825" s="122">
        <v>180566</v>
      </c>
      <c r="K2825" s="122">
        <v>56</v>
      </c>
      <c r="L2825" s="122">
        <v>10477</v>
      </c>
      <c r="M2825" s="122">
        <v>9524</v>
      </c>
      <c r="N2825" s="122">
        <v>25144</v>
      </c>
      <c r="O2825" s="122">
        <v>9313</v>
      </c>
      <c r="P2825" s="122">
        <v>5265</v>
      </c>
      <c r="Q2825" s="122">
        <v>1950</v>
      </c>
      <c r="R2825" s="122">
        <v>76191</v>
      </c>
      <c r="S2825" s="122">
        <v>69264</v>
      </c>
      <c r="T2825" s="122">
        <v>26387</v>
      </c>
      <c r="U2825" s="122">
        <v>9773</v>
      </c>
      <c r="V2825" s="122">
        <v>280390</v>
      </c>
      <c r="W2825" s="122">
        <f t="shared" si="88"/>
        <v>280390</v>
      </c>
      <c r="X2825" s="122">
        <f t="shared" si="89"/>
        <v>342087</v>
      </c>
    </row>
    <row r="2826" spans="2:24">
      <c r="B2826" t="s">
        <v>387</v>
      </c>
      <c r="C2826" t="s">
        <v>58</v>
      </c>
      <c r="D2826" t="s">
        <v>407</v>
      </c>
      <c r="E2826" t="s">
        <v>405</v>
      </c>
      <c r="F2826" s="122">
        <v>2</v>
      </c>
      <c r="G2826" s="122">
        <v>176</v>
      </c>
      <c r="H2826" s="122">
        <v>534</v>
      </c>
      <c r="I2826" s="122">
        <v>22855</v>
      </c>
      <c r="J2826" s="122">
        <v>20778</v>
      </c>
      <c r="K2826" s="122">
        <v>68</v>
      </c>
      <c r="L2826" s="122">
        <v>6711</v>
      </c>
      <c r="M2826" s="122">
        <v>4412</v>
      </c>
      <c r="N2826" s="122">
        <v>3209</v>
      </c>
      <c r="O2826" s="122">
        <v>1189</v>
      </c>
      <c r="P2826" s="122">
        <v>945</v>
      </c>
      <c r="Q2826" s="122">
        <v>350</v>
      </c>
      <c r="R2826" s="122">
        <v>13679</v>
      </c>
      <c r="S2826" s="122">
        <v>12435</v>
      </c>
      <c r="T2826" s="122">
        <v>0</v>
      </c>
      <c r="U2826" s="122">
        <v>0</v>
      </c>
      <c r="V2826" s="122">
        <v>39164</v>
      </c>
      <c r="W2826" s="122">
        <f t="shared" si="88"/>
        <v>39164</v>
      </c>
      <c r="X2826" s="122">
        <f t="shared" si="89"/>
        <v>47399</v>
      </c>
    </row>
    <row r="2827" spans="2:24">
      <c r="B2827" t="s">
        <v>387</v>
      </c>
      <c r="C2827" t="s">
        <v>58</v>
      </c>
      <c r="D2827" t="s">
        <v>407</v>
      </c>
      <c r="E2827" t="s">
        <v>407</v>
      </c>
      <c r="F2827" s="122">
        <v>1377</v>
      </c>
      <c r="G2827" s="122">
        <v>126782</v>
      </c>
      <c r="H2827" s="122">
        <v>356443</v>
      </c>
      <c r="I2827" s="122">
        <v>17121090</v>
      </c>
      <c r="J2827" s="122">
        <v>15564628</v>
      </c>
      <c r="K2827" s="122">
        <v>79</v>
      </c>
      <c r="L2827" s="122">
        <v>4738395</v>
      </c>
      <c r="M2827" s="122">
        <v>4091841</v>
      </c>
      <c r="N2827" s="122">
        <v>2598765</v>
      </c>
      <c r="O2827" s="122">
        <v>962506</v>
      </c>
      <c r="P2827" s="122">
        <v>651036</v>
      </c>
      <c r="Q2827" s="122">
        <v>241124</v>
      </c>
      <c r="R2827" s="122">
        <v>6423786</v>
      </c>
      <c r="S2827" s="122">
        <v>5839806</v>
      </c>
      <c r="T2827" s="122">
        <v>1719302</v>
      </c>
      <c r="U2827" s="122">
        <v>636778</v>
      </c>
      <c r="V2827" s="122">
        <v>27336683</v>
      </c>
      <c r="W2827" s="122">
        <f t="shared" si="88"/>
        <v>27336683</v>
      </c>
      <c r="X2827" s="122">
        <f t="shared" si="89"/>
        <v>33252374</v>
      </c>
    </row>
    <row r="2828" spans="2:24">
      <c r="B2828" t="s">
        <v>387</v>
      </c>
      <c r="C2828" t="s">
        <v>58</v>
      </c>
      <c r="D2828" t="s">
        <v>407</v>
      </c>
      <c r="E2828" t="s">
        <v>426</v>
      </c>
      <c r="F2828" s="122">
        <v>1</v>
      </c>
      <c r="G2828" s="122">
        <v>96</v>
      </c>
      <c r="H2828" s="122">
        <v>297</v>
      </c>
      <c r="I2828" s="122">
        <v>15203</v>
      </c>
      <c r="J2828" s="122">
        <v>13821</v>
      </c>
      <c r="K2828" s="122">
        <v>73</v>
      </c>
      <c r="L2828" s="122">
        <v>3908</v>
      </c>
      <c r="M2828" s="122">
        <v>3552</v>
      </c>
      <c r="N2828" s="122">
        <v>1532</v>
      </c>
      <c r="O2828" s="122">
        <v>567</v>
      </c>
      <c r="P2828" s="122">
        <v>473</v>
      </c>
      <c r="Q2828" s="122">
        <v>175</v>
      </c>
      <c r="R2828" s="122">
        <v>7434</v>
      </c>
      <c r="S2828" s="122">
        <v>6758</v>
      </c>
      <c r="T2828" s="122">
        <v>0</v>
      </c>
      <c r="U2828" s="122">
        <v>0</v>
      </c>
      <c r="V2828" s="122">
        <v>24874</v>
      </c>
      <c r="W2828" s="122">
        <f t="shared" si="88"/>
        <v>24873</v>
      </c>
      <c r="X2828" s="122">
        <f t="shared" si="89"/>
        <v>28550</v>
      </c>
    </row>
    <row r="2829" spans="2:24">
      <c r="B2829" t="s">
        <v>387</v>
      </c>
      <c r="C2829" t="s">
        <v>58</v>
      </c>
      <c r="D2829" t="s">
        <v>556</v>
      </c>
      <c r="E2829" t="s">
        <v>137</v>
      </c>
      <c r="F2829" s="122">
        <v>22</v>
      </c>
      <c r="G2829" s="122">
        <v>1861</v>
      </c>
      <c r="H2829" s="122">
        <v>6126</v>
      </c>
      <c r="I2829" s="122">
        <v>272986</v>
      </c>
      <c r="J2829" s="122">
        <v>227489</v>
      </c>
      <c r="K2829" s="122">
        <v>57</v>
      </c>
      <c r="L2829" s="122">
        <v>42048</v>
      </c>
      <c r="M2829" s="122">
        <v>25337</v>
      </c>
      <c r="N2829" s="122">
        <v>39380</v>
      </c>
      <c r="O2829" s="122">
        <v>14585</v>
      </c>
      <c r="P2829" s="122">
        <v>7020</v>
      </c>
      <c r="Q2829" s="122">
        <v>2600</v>
      </c>
      <c r="R2829" s="122">
        <v>154693</v>
      </c>
      <c r="S2829" s="122">
        <v>57294</v>
      </c>
      <c r="T2829" s="122">
        <v>0</v>
      </c>
      <c r="U2829" s="122">
        <v>0</v>
      </c>
      <c r="V2829" s="122">
        <v>327304</v>
      </c>
      <c r="W2829" s="122">
        <f t="shared" si="88"/>
        <v>327305</v>
      </c>
      <c r="X2829" s="122">
        <f t="shared" si="89"/>
        <v>516127</v>
      </c>
    </row>
    <row r="2830" spans="2:24">
      <c r="B2830" t="s">
        <v>387</v>
      </c>
      <c r="C2830" t="s">
        <v>58</v>
      </c>
      <c r="D2830" t="s">
        <v>556</v>
      </c>
      <c r="E2830" t="s">
        <v>407</v>
      </c>
      <c r="F2830" s="122">
        <v>1</v>
      </c>
      <c r="G2830" s="122">
        <v>83</v>
      </c>
      <c r="H2830" s="122">
        <v>299</v>
      </c>
      <c r="I2830" s="122">
        <v>13702</v>
      </c>
      <c r="J2830" s="122">
        <v>11418</v>
      </c>
      <c r="K2830" s="122">
        <v>55</v>
      </c>
      <c r="L2830" s="122">
        <v>1884</v>
      </c>
      <c r="M2830" s="122">
        <v>698</v>
      </c>
      <c r="N2830" s="122">
        <v>1008</v>
      </c>
      <c r="O2830" s="122">
        <v>373</v>
      </c>
      <c r="P2830" s="122">
        <v>351</v>
      </c>
      <c r="Q2830" s="122">
        <v>130</v>
      </c>
      <c r="R2830" s="122">
        <v>5349</v>
      </c>
      <c r="S2830" s="122">
        <v>4863</v>
      </c>
      <c r="T2830" s="122">
        <v>2470</v>
      </c>
      <c r="U2830" s="122">
        <v>915</v>
      </c>
      <c r="V2830" s="122">
        <v>18397</v>
      </c>
      <c r="W2830" s="122">
        <f t="shared" si="88"/>
        <v>18397</v>
      </c>
      <c r="X2830" s="122">
        <f t="shared" si="89"/>
        <v>24764</v>
      </c>
    </row>
    <row r="2831" spans="2:24">
      <c r="B2831" t="s">
        <v>387</v>
      </c>
      <c r="C2831" t="s">
        <v>58</v>
      </c>
      <c r="D2831" t="s">
        <v>556</v>
      </c>
      <c r="E2831" t="s">
        <v>556</v>
      </c>
      <c r="F2831" s="122">
        <v>27</v>
      </c>
      <c r="G2831" s="122">
        <v>2446</v>
      </c>
      <c r="H2831" s="122">
        <v>7555</v>
      </c>
      <c r="I2831" s="122">
        <v>385918</v>
      </c>
      <c r="J2831" s="122">
        <v>321599</v>
      </c>
      <c r="K2831" s="122">
        <v>56</v>
      </c>
      <c r="L2831" s="122">
        <v>46688</v>
      </c>
      <c r="M2831" s="122">
        <v>24455</v>
      </c>
      <c r="N2831" s="122">
        <v>42858</v>
      </c>
      <c r="O2831" s="122">
        <v>15873</v>
      </c>
      <c r="P2831" s="122">
        <v>9045</v>
      </c>
      <c r="Q2831" s="122">
        <v>3350</v>
      </c>
      <c r="R2831" s="122">
        <v>150495</v>
      </c>
      <c r="S2831" s="122">
        <v>125412</v>
      </c>
      <c r="T2831" s="122">
        <v>55133</v>
      </c>
      <c r="U2831" s="122">
        <v>20420</v>
      </c>
      <c r="V2831" s="122">
        <v>511109</v>
      </c>
      <c r="W2831" s="122">
        <f t="shared" si="88"/>
        <v>511109</v>
      </c>
      <c r="X2831" s="122">
        <f t="shared" si="89"/>
        <v>690137</v>
      </c>
    </row>
    <row r="2832" spans="2:24">
      <c r="B2832" t="s">
        <v>387</v>
      </c>
      <c r="C2832" t="s">
        <v>58</v>
      </c>
      <c r="D2832" t="s">
        <v>426</v>
      </c>
      <c r="E2832" t="s">
        <v>137</v>
      </c>
      <c r="F2832" s="122">
        <v>1</v>
      </c>
      <c r="G2832" s="122">
        <v>59</v>
      </c>
      <c r="H2832" s="122">
        <v>290</v>
      </c>
      <c r="I2832" s="122">
        <v>5357</v>
      </c>
      <c r="J2832" s="122">
        <v>4870</v>
      </c>
      <c r="K2832" s="122">
        <v>60</v>
      </c>
      <c r="L2832" s="122">
        <v>1392</v>
      </c>
      <c r="M2832" s="122">
        <v>516</v>
      </c>
      <c r="N2832" s="122">
        <v>1286</v>
      </c>
      <c r="O2832" s="122">
        <v>476</v>
      </c>
      <c r="P2832" s="122">
        <v>0</v>
      </c>
      <c r="Q2832" s="122">
        <v>0</v>
      </c>
      <c r="R2832" s="122">
        <v>8964</v>
      </c>
      <c r="S2832" s="122">
        <v>3320</v>
      </c>
      <c r="T2832" s="122">
        <v>0</v>
      </c>
      <c r="U2832" s="122">
        <v>0</v>
      </c>
      <c r="V2832" s="122">
        <v>9182</v>
      </c>
      <c r="W2832" s="122">
        <f t="shared" si="88"/>
        <v>9182</v>
      </c>
      <c r="X2832" s="122">
        <f t="shared" si="89"/>
        <v>16999</v>
      </c>
    </row>
    <row r="2833" spans="2:24">
      <c r="B2833" t="s">
        <v>387</v>
      </c>
      <c r="C2833" t="s">
        <v>58</v>
      </c>
      <c r="D2833" t="s">
        <v>426</v>
      </c>
      <c r="E2833" t="s">
        <v>426</v>
      </c>
      <c r="F2833" s="122">
        <v>121</v>
      </c>
      <c r="G2833" s="122">
        <v>10521</v>
      </c>
      <c r="H2833" s="122">
        <v>32826</v>
      </c>
      <c r="I2833" s="122">
        <v>1676229</v>
      </c>
      <c r="J2833" s="122">
        <v>1523845</v>
      </c>
      <c r="K2833" s="122">
        <v>57</v>
      </c>
      <c r="L2833" s="122">
        <v>86012</v>
      </c>
      <c r="M2833" s="122">
        <v>60370</v>
      </c>
      <c r="N2833" s="122">
        <v>201102</v>
      </c>
      <c r="O2833" s="122">
        <v>74482</v>
      </c>
      <c r="P2833" s="122">
        <v>42498</v>
      </c>
      <c r="Q2833" s="122">
        <v>15740</v>
      </c>
      <c r="R2833" s="122">
        <v>591923</v>
      </c>
      <c r="S2833" s="122">
        <v>538112</v>
      </c>
      <c r="T2833" s="122">
        <v>274059</v>
      </c>
      <c r="U2833" s="122">
        <v>101503</v>
      </c>
      <c r="V2833" s="122">
        <v>2314052</v>
      </c>
      <c r="W2833" s="122">
        <f t="shared" si="88"/>
        <v>2314052</v>
      </c>
      <c r="X2833" s="122">
        <f t="shared" si="89"/>
        <v>2871823</v>
      </c>
    </row>
    <row r="2834" spans="2:24">
      <c r="B2834" t="s">
        <v>387</v>
      </c>
      <c r="C2834" t="s">
        <v>58</v>
      </c>
      <c r="D2834" t="s">
        <v>433</v>
      </c>
      <c r="E2834" t="s">
        <v>433</v>
      </c>
      <c r="F2834" s="122">
        <v>1</v>
      </c>
      <c r="G2834" s="122">
        <v>75</v>
      </c>
      <c r="H2834" s="122">
        <v>267</v>
      </c>
      <c r="I2834" s="122">
        <v>13298</v>
      </c>
      <c r="J2834" s="122">
        <v>12089</v>
      </c>
      <c r="K2834" s="122">
        <v>65</v>
      </c>
      <c r="L2834" s="122">
        <v>0</v>
      </c>
      <c r="M2834" s="122">
        <v>0</v>
      </c>
      <c r="N2834" s="122">
        <v>914</v>
      </c>
      <c r="O2834" s="122">
        <v>339</v>
      </c>
      <c r="P2834" s="122">
        <v>621</v>
      </c>
      <c r="Q2834" s="122">
        <v>230</v>
      </c>
      <c r="R2834" s="122">
        <v>2990</v>
      </c>
      <c r="S2834" s="122">
        <v>2718</v>
      </c>
      <c r="T2834" s="122">
        <v>2232</v>
      </c>
      <c r="U2834" s="122">
        <v>827</v>
      </c>
      <c r="V2834" s="122">
        <v>16202</v>
      </c>
      <c r="W2834" s="122">
        <f t="shared" si="88"/>
        <v>16203</v>
      </c>
      <c r="X2834" s="122">
        <f t="shared" si="89"/>
        <v>20055</v>
      </c>
    </row>
    <row r="2835" spans="2:24">
      <c r="B2835" t="s">
        <v>387</v>
      </c>
      <c r="C2835" t="s">
        <v>58</v>
      </c>
      <c r="D2835" t="s">
        <v>408</v>
      </c>
      <c r="E2835" t="s">
        <v>408</v>
      </c>
      <c r="F2835" s="122">
        <v>1</v>
      </c>
      <c r="G2835" s="122">
        <v>63</v>
      </c>
      <c r="H2835" s="122">
        <v>264</v>
      </c>
      <c r="I2835" s="122">
        <v>9984</v>
      </c>
      <c r="J2835" s="122">
        <v>9076</v>
      </c>
      <c r="K2835" s="122">
        <v>91</v>
      </c>
      <c r="L2835" s="122">
        <v>0</v>
      </c>
      <c r="M2835" s="122">
        <v>0</v>
      </c>
      <c r="N2835" s="122">
        <v>1524</v>
      </c>
      <c r="O2835" s="122">
        <v>564</v>
      </c>
      <c r="P2835" s="122">
        <v>351</v>
      </c>
      <c r="Q2835" s="122">
        <v>130</v>
      </c>
      <c r="R2835" s="122">
        <v>2733</v>
      </c>
      <c r="S2835" s="122">
        <v>2484</v>
      </c>
      <c r="T2835" s="122">
        <v>1926</v>
      </c>
      <c r="U2835" s="122">
        <v>713</v>
      </c>
      <c r="V2835" s="122">
        <v>12968</v>
      </c>
      <c r="W2835" s="122">
        <f t="shared" si="88"/>
        <v>12967</v>
      </c>
      <c r="X2835" s="122">
        <f t="shared" si="89"/>
        <v>16518</v>
      </c>
    </row>
    <row r="2836" spans="2:24">
      <c r="B2836" t="s">
        <v>387</v>
      </c>
      <c r="C2836" t="s">
        <v>58</v>
      </c>
      <c r="D2836" t="s">
        <v>429</v>
      </c>
      <c r="E2836" t="s">
        <v>429</v>
      </c>
      <c r="F2836" s="122">
        <v>1</v>
      </c>
      <c r="G2836" s="122">
        <v>100</v>
      </c>
      <c r="H2836" s="122">
        <v>269</v>
      </c>
      <c r="I2836" s="122">
        <v>17035</v>
      </c>
      <c r="J2836" s="122">
        <v>15486</v>
      </c>
      <c r="K2836" s="122">
        <v>65</v>
      </c>
      <c r="L2836" s="122">
        <v>2237</v>
      </c>
      <c r="M2836" s="122">
        <v>1864</v>
      </c>
      <c r="N2836" s="122">
        <v>1217</v>
      </c>
      <c r="O2836" s="122">
        <v>451</v>
      </c>
      <c r="P2836" s="122">
        <v>351</v>
      </c>
      <c r="Q2836" s="122">
        <v>130</v>
      </c>
      <c r="R2836" s="122">
        <v>6020</v>
      </c>
      <c r="S2836" s="122">
        <v>5473</v>
      </c>
      <c r="T2836" s="122">
        <v>0</v>
      </c>
      <c r="U2836" s="122">
        <v>0</v>
      </c>
      <c r="V2836" s="122">
        <v>23404</v>
      </c>
      <c r="W2836" s="122">
        <f t="shared" si="88"/>
        <v>23404</v>
      </c>
      <c r="X2836" s="122">
        <f t="shared" si="89"/>
        <v>26860</v>
      </c>
    </row>
    <row r="2837" spans="2:24">
      <c r="B2837" t="s">
        <v>387</v>
      </c>
      <c r="C2837" t="s">
        <v>60</v>
      </c>
      <c r="F2837" s="122">
        <v>2</v>
      </c>
      <c r="G2837" s="122">
        <v>132</v>
      </c>
      <c r="H2837" s="122">
        <v>668</v>
      </c>
      <c r="I2837" s="122"/>
      <c r="J2837" s="122">
        <v>0</v>
      </c>
      <c r="K2837" s="122"/>
      <c r="L2837" s="122"/>
      <c r="M2837" s="122">
        <v>0</v>
      </c>
      <c r="N2837" s="122">
        <v>2760</v>
      </c>
      <c r="O2837" s="122">
        <v>1022</v>
      </c>
      <c r="P2837" s="122">
        <v>621</v>
      </c>
      <c r="Q2837" s="122">
        <v>230</v>
      </c>
      <c r="R2837" s="122"/>
      <c r="S2837" s="122">
        <v>0</v>
      </c>
      <c r="T2837" s="122">
        <v>0</v>
      </c>
      <c r="U2837" s="122">
        <v>0</v>
      </c>
      <c r="V2837" s="122">
        <v>1252</v>
      </c>
      <c r="W2837" s="122">
        <f t="shared" si="88"/>
        <v>1252</v>
      </c>
      <c r="X2837" s="122">
        <f t="shared" si="89"/>
        <v>3381</v>
      </c>
    </row>
    <row r="2838" spans="2:24">
      <c r="B2838" t="s">
        <v>387</v>
      </c>
      <c r="C2838" t="s">
        <v>60</v>
      </c>
      <c r="D2838" t="s">
        <v>555</v>
      </c>
      <c r="E2838" t="s">
        <v>555</v>
      </c>
      <c r="F2838" s="122">
        <v>2</v>
      </c>
      <c r="G2838" s="122">
        <v>177</v>
      </c>
      <c r="H2838" s="122">
        <v>755</v>
      </c>
      <c r="I2838" s="122">
        <v>39326</v>
      </c>
      <c r="J2838" s="122">
        <v>35751</v>
      </c>
      <c r="K2838" s="122">
        <v>58</v>
      </c>
      <c r="L2838" s="122">
        <v>4924</v>
      </c>
      <c r="M2838" s="122">
        <v>3030</v>
      </c>
      <c r="N2838" s="122">
        <v>4185</v>
      </c>
      <c r="O2838" s="122">
        <v>1550</v>
      </c>
      <c r="P2838" s="122">
        <v>702</v>
      </c>
      <c r="Q2838" s="122">
        <v>260</v>
      </c>
      <c r="R2838" s="122">
        <v>15253</v>
      </c>
      <c r="S2838" s="122">
        <v>13866</v>
      </c>
      <c r="T2838" s="122">
        <v>2335</v>
      </c>
      <c r="U2838" s="122">
        <v>865</v>
      </c>
      <c r="V2838" s="122">
        <v>55322</v>
      </c>
      <c r="W2838" s="122">
        <f t="shared" si="88"/>
        <v>55322</v>
      </c>
      <c r="X2838" s="122">
        <f t="shared" si="89"/>
        <v>66725</v>
      </c>
    </row>
    <row r="2839" spans="2:24">
      <c r="B2839" t="s">
        <v>387</v>
      </c>
      <c r="C2839" t="s">
        <v>60</v>
      </c>
      <c r="D2839" t="s">
        <v>425</v>
      </c>
      <c r="E2839" t="s">
        <v>425</v>
      </c>
      <c r="F2839" s="122">
        <v>4</v>
      </c>
      <c r="G2839" s="122">
        <v>306</v>
      </c>
      <c r="H2839" s="122">
        <v>1370</v>
      </c>
      <c r="I2839" s="122">
        <v>61937</v>
      </c>
      <c r="J2839" s="122">
        <v>56306</v>
      </c>
      <c r="K2839" s="122">
        <v>81</v>
      </c>
      <c r="L2839" s="122">
        <v>16386</v>
      </c>
      <c r="M2839" s="122">
        <v>14095</v>
      </c>
      <c r="N2839" s="122">
        <v>6253</v>
      </c>
      <c r="O2839" s="122">
        <v>2316</v>
      </c>
      <c r="P2839" s="122">
        <v>2241</v>
      </c>
      <c r="Q2839" s="122">
        <v>830</v>
      </c>
      <c r="R2839" s="122">
        <v>13655</v>
      </c>
      <c r="S2839" s="122">
        <v>12414</v>
      </c>
      <c r="T2839" s="122">
        <v>4608</v>
      </c>
      <c r="U2839" s="122">
        <v>1707</v>
      </c>
      <c r="V2839" s="122">
        <v>87668</v>
      </c>
      <c r="W2839" s="122">
        <f t="shared" si="88"/>
        <v>87668</v>
      </c>
      <c r="X2839" s="122">
        <f t="shared" si="89"/>
        <v>105080</v>
      </c>
    </row>
    <row r="2840" spans="2:24">
      <c r="B2840" t="s">
        <v>387</v>
      </c>
      <c r="C2840" t="s">
        <v>60</v>
      </c>
      <c r="D2840" t="s">
        <v>405</v>
      </c>
      <c r="E2840" t="s">
        <v>405</v>
      </c>
      <c r="F2840" s="122">
        <v>2</v>
      </c>
      <c r="G2840" s="122">
        <v>248</v>
      </c>
      <c r="H2840" s="122">
        <v>618</v>
      </c>
      <c r="I2840" s="122">
        <v>42659</v>
      </c>
      <c r="J2840" s="122">
        <v>38781</v>
      </c>
      <c r="K2840" s="122">
        <v>91</v>
      </c>
      <c r="L2840" s="122">
        <v>15602</v>
      </c>
      <c r="M2840" s="122">
        <v>11632</v>
      </c>
      <c r="N2840" s="122">
        <v>5684</v>
      </c>
      <c r="O2840" s="122">
        <v>2105</v>
      </c>
      <c r="P2840" s="122">
        <v>945</v>
      </c>
      <c r="Q2840" s="122">
        <v>350</v>
      </c>
      <c r="R2840" s="122">
        <v>9266</v>
      </c>
      <c r="S2840" s="122">
        <v>8424</v>
      </c>
      <c r="T2840" s="122">
        <v>2501</v>
      </c>
      <c r="U2840" s="122">
        <v>926</v>
      </c>
      <c r="V2840" s="122">
        <v>62218</v>
      </c>
      <c r="W2840" s="122">
        <f t="shared" si="88"/>
        <v>62218</v>
      </c>
      <c r="X2840" s="122">
        <f t="shared" si="89"/>
        <v>76657</v>
      </c>
    </row>
    <row r="2841" spans="2:24">
      <c r="B2841" t="s">
        <v>387</v>
      </c>
      <c r="C2841" t="s">
        <v>60</v>
      </c>
      <c r="D2841" t="s">
        <v>137</v>
      </c>
      <c r="E2841" t="s">
        <v>137</v>
      </c>
      <c r="F2841" s="122">
        <v>134</v>
      </c>
      <c r="G2841" s="122">
        <v>9832</v>
      </c>
      <c r="H2841" s="122">
        <v>46832</v>
      </c>
      <c r="I2841" s="122">
        <v>2121101</v>
      </c>
      <c r="J2841" s="122">
        <v>785593</v>
      </c>
      <c r="K2841" s="122">
        <v>100</v>
      </c>
      <c r="L2841" s="122">
        <v>299987</v>
      </c>
      <c r="M2841" s="122">
        <v>211132</v>
      </c>
      <c r="N2841" s="122">
        <v>216851</v>
      </c>
      <c r="O2841" s="122">
        <v>80315</v>
      </c>
      <c r="P2841" s="122">
        <v>1053</v>
      </c>
      <c r="Q2841" s="122">
        <v>390</v>
      </c>
      <c r="R2841" s="122">
        <v>906394</v>
      </c>
      <c r="S2841" s="122">
        <v>335701</v>
      </c>
      <c r="T2841" s="122">
        <v>2323</v>
      </c>
      <c r="U2841" s="122">
        <v>860</v>
      </c>
      <c r="V2841" s="122">
        <v>1413992</v>
      </c>
      <c r="W2841" s="122">
        <f t="shared" si="88"/>
        <v>1413991</v>
      </c>
      <c r="X2841" s="122">
        <f t="shared" si="89"/>
        <v>3547709</v>
      </c>
    </row>
    <row r="2842" spans="2:24">
      <c r="B2842" t="s">
        <v>387</v>
      </c>
      <c r="C2842" t="s">
        <v>60</v>
      </c>
      <c r="D2842" t="s">
        <v>137</v>
      </c>
      <c r="E2842" t="s">
        <v>427</v>
      </c>
      <c r="F2842" s="122">
        <v>2</v>
      </c>
      <c r="G2842" s="122">
        <v>171</v>
      </c>
      <c r="H2842" s="122">
        <v>663</v>
      </c>
      <c r="I2842" s="122">
        <v>33865</v>
      </c>
      <c r="J2842" s="122">
        <v>12542</v>
      </c>
      <c r="K2842" s="122">
        <v>100</v>
      </c>
      <c r="L2842" s="122">
        <v>3066</v>
      </c>
      <c r="M2842" s="122">
        <v>2787</v>
      </c>
      <c r="N2842" s="122">
        <v>2945</v>
      </c>
      <c r="O2842" s="122">
        <v>1091</v>
      </c>
      <c r="P2842" s="122">
        <v>0</v>
      </c>
      <c r="Q2842" s="122">
        <v>0</v>
      </c>
      <c r="R2842" s="122">
        <v>14593</v>
      </c>
      <c r="S2842" s="122">
        <v>13266</v>
      </c>
      <c r="T2842" s="122">
        <v>2244</v>
      </c>
      <c r="U2842" s="122">
        <v>831</v>
      </c>
      <c r="V2842" s="122">
        <v>30518</v>
      </c>
      <c r="W2842" s="122">
        <f t="shared" si="88"/>
        <v>30517</v>
      </c>
      <c r="X2842" s="122">
        <f t="shared" si="89"/>
        <v>56713</v>
      </c>
    </row>
    <row r="2843" spans="2:24">
      <c r="B2843" t="s">
        <v>387</v>
      </c>
      <c r="C2843" t="s">
        <v>60</v>
      </c>
      <c r="D2843" t="s">
        <v>137</v>
      </c>
      <c r="E2843" t="s">
        <v>556</v>
      </c>
      <c r="F2843" s="122">
        <v>2</v>
      </c>
      <c r="G2843" s="122">
        <v>167</v>
      </c>
      <c r="H2843" s="122">
        <v>712</v>
      </c>
      <c r="I2843" s="122">
        <v>35489</v>
      </c>
      <c r="J2843" s="122">
        <v>13144</v>
      </c>
      <c r="K2843" s="122">
        <v>100</v>
      </c>
      <c r="L2843" s="122">
        <v>4656</v>
      </c>
      <c r="M2843" s="122">
        <v>3880</v>
      </c>
      <c r="N2843" s="122">
        <v>2843</v>
      </c>
      <c r="O2843" s="122">
        <v>1053</v>
      </c>
      <c r="P2843" s="122">
        <v>0</v>
      </c>
      <c r="Q2843" s="122">
        <v>0</v>
      </c>
      <c r="R2843" s="122">
        <v>11902</v>
      </c>
      <c r="S2843" s="122">
        <v>9918</v>
      </c>
      <c r="T2843" s="122">
        <v>4421</v>
      </c>
      <c r="U2843" s="122">
        <v>1637</v>
      </c>
      <c r="V2843" s="122">
        <v>29633</v>
      </c>
      <c r="W2843" s="122">
        <f t="shared" si="88"/>
        <v>29632</v>
      </c>
      <c r="X2843" s="122">
        <f t="shared" si="89"/>
        <v>59311</v>
      </c>
    </row>
    <row r="2844" spans="2:24">
      <c r="B2844" t="s">
        <v>387</v>
      </c>
      <c r="C2844" t="s">
        <v>60</v>
      </c>
      <c r="D2844" t="s">
        <v>137</v>
      </c>
      <c r="E2844" t="s">
        <v>426</v>
      </c>
      <c r="F2844" s="122">
        <v>4</v>
      </c>
      <c r="G2844" s="122">
        <v>273</v>
      </c>
      <c r="H2844" s="122">
        <v>1257</v>
      </c>
      <c r="I2844" s="122">
        <v>46459</v>
      </c>
      <c r="J2844" s="122">
        <v>17207</v>
      </c>
      <c r="K2844" s="122">
        <v>100</v>
      </c>
      <c r="L2844" s="122">
        <v>4206</v>
      </c>
      <c r="M2844" s="122">
        <v>3824</v>
      </c>
      <c r="N2844" s="122">
        <v>4563</v>
      </c>
      <c r="O2844" s="122">
        <v>1690</v>
      </c>
      <c r="P2844" s="122">
        <v>702</v>
      </c>
      <c r="Q2844" s="122">
        <v>260</v>
      </c>
      <c r="R2844" s="122">
        <v>25902</v>
      </c>
      <c r="S2844" s="122">
        <v>23548</v>
      </c>
      <c r="T2844" s="122">
        <v>3887</v>
      </c>
      <c r="U2844" s="122">
        <v>1440</v>
      </c>
      <c r="V2844" s="122">
        <v>47968</v>
      </c>
      <c r="W2844" s="122">
        <f t="shared" si="88"/>
        <v>47969</v>
      </c>
      <c r="X2844" s="122">
        <f t="shared" si="89"/>
        <v>85719</v>
      </c>
    </row>
    <row r="2845" spans="2:24">
      <c r="B2845" t="s">
        <v>387</v>
      </c>
      <c r="C2845" t="s">
        <v>60</v>
      </c>
      <c r="D2845" t="s">
        <v>406</v>
      </c>
      <c r="E2845" t="s">
        <v>425</v>
      </c>
      <c r="F2845" s="122">
        <v>1</v>
      </c>
      <c r="G2845" s="122">
        <v>85</v>
      </c>
      <c r="H2845" s="122">
        <v>350</v>
      </c>
      <c r="I2845" s="122">
        <v>15166</v>
      </c>
      <c r="J2845" s="122">
        <v>13787</v>
      </c>
      <c r="K2845" s="122">
        <v>65</v>
      </c>
      <c r="L2845" s="122">
        <v>3983</v>
      </c>
      <c r="M2845" s="122">
        <v>3319</v>
      </c>
      <c r="N2845" s="122">
        <v>2025</v>
      </c>
      <c r="O2845" s="122">
        <v>750</v>
      </c>
      <c r="P2845" s="122">
        <v>621</v>
      </c>
      <c r="Q2845" s="122">
        <v>230</v>
      </c>
      <c r="R2845" s="122">
        <v>5136</v>
      </c>
      <c r="S2845" s="122">
        <v>4669</v>
      </c>
      <c r="T2845" s="122">
        <v>2949</v>
      </c>
      <c r="U2845" s="122">
        <v>1092</v>
      </c>
      <c r="V2845" s="122">
        <v>23848</v>
      </c>
      <c r="W2845" s="122">
        <f t="shared" si="88"/>
        <v>23847</v>
      </c>
      <c r="X2845" s="122">
        <f t="shared" si="89"/>
        <v>29880</v>
      </c>
    </row>
    <row r="2846" spans="2:24">
      <c r="B2846" t="s">
        <v>387</v>
      </c>
      <c r="C2846" t="s">
        <v>60</v>
      </c>
      <c r="D2846" t="s">
        <v>406</v>
      </c>
      <c r="E2846" t="s">
        <v>137</v>
      </c>
      <c r="F2846" s="122">
        <v>7</v>
      </c>
      <c r="G2846" s="122">
        <v>529</v>
      </c>
      <c r="H2846" s="122">
        <v>2505</v>
      </c>
      <c r="I2846" s="122">
        <v>111179</v>
      </c>
      <c r="J2846" s="122">
        <v>101072</v>
      </c>
      <c r="K2846" s="122">
        <v>83</v>
      </c>
      <c r="L2846" s="122">
        <v>26091</v>
      </c>
      <c r="M2846" s="122">
        <v>22773</v>
      </c>
      <c r="N2846" s="122">
        <v>9453</v>
      </c>
      <c r="O2846" s="122">
        <v>3501</v>
      </c>
      <c r="P2846" s="122">
        <v>4347</v>
      </c>
      <c r="Q2846" s="122">
        <v>1610</v>
      </c>
      <c r="R2846" s="122">
        <v>44146</v>
      </c>
      <c r="S2846" s="122">
        <v>16350</v>
      </c>
      <c r="T2846" s="122">
        <v>0</v>
      </c>
      <c r="U2846" s="122">
        <v>0</v>
      </c>
      <c r="V2846" s="122">
        <v>145307</v>
      </c>
      <c r="W2846" s="122">
        <f t="shared" si="88"/>
        <v>145306</v>
      </c>
      <c r="X2846" s="122">
        <f t="shared" si="89"/>
        <v>195216</v>
      </c>
    </row>
    <row r="2847" spans="2:24">
      <c r="B2847" t="s">
        <v>387</v>
      </c>
      <c r="C2847" t="s">
        <v>60</v>
      </c>
      <c r="D2847" t="s">
        <v>406</v>
      </c>
      <c r="E2847" t="s">
        <v>406</v>
      </c>
      <c r="F2847" s="122">
        <v>605</v>
      </c>
      <c r="G2847" s="122">
        <v>55623</v>
      </c>
      <c r="H2847" s="122">
        <v>203922</v>
      </c>
      <c r="I2847" s="122">
        <v>11068785</v>
      </c>
      <c r="J2847" s="122">
        <v>10062532</v>
      </c>
      <c r="K2847" s="122">
        <v>80</v>
      </c>
      <c r="L2847" s="122">
        <v>2527154</v>
      </c>
      <c r="M2847" s="122">
        <v>2138939</v>
      </c>
      <c r="N2847" s="122">
        <v>1156740</v>
      </c>
      <c r="O2847" s="122">
        <v>428422</v>
      </c>
      <c r="P2847" s="122">
        <v>381888</v>
      </c>
      <c r="Q2847" s="122">
        <v>141440</v>
      </c>
      <c r="R2847" s="122">
        <v>2673134</v>
      </c>
      <c r="S2847" s="122">
        <v>2430122</v>
      </c>
      <c r="T2847" s="122">
        <v>1161877</v>
      </c>
      <c r="U2847" s="122">
        <v>430325</v>
      </c>
      <c r="V2847" s="122">
        <v>15631780</v>
      </c>
      <c r="W2847" s="122">
        <f t="shared" si="88"/>
        <v>15631780</v>
      </c>
      <c r="X2847" s="122">
        <f t="shared" si="89"/>
        <v>18969578</v>
      </c>
    </row>
    <row r="2848" spans="2:24">
      <c r="B2848" t="s">
        <v>387</v>
      </c>
      <c r="C2848" t="s">
        <v>60</v>
      </c>
      <c r="D2848" t="s">
        <v>406</v>
      </c>
      <c r="E2848" t="s">
        <v>427</v>
      </c>
      <c r="F2848" s="122">
        <v>2</v>
      </c>
      <c r="G2848" s="122">
        <v>179</v>
      </c>
      <c r="H2848" s="122">
        <v>671</v>
      </c>
      <c r="I2848" s="122">
        <v>30012</v>
      </c>
      <c r="J2848" s="122">
        <v>27283</v>
      </c>
      <c r="K2848" s="122">
        <v>70</v>
      </c>
      <c r="L2848" s="122">
        <v>5830</v>
      </c>
      <c r="M2848" s="122">
        <v>5300</v>
      </c>
      <c r="N2848" s="122">
        <v>4030</v>
      </c>
      <c r="O2848" s="122">
        <v>1492</v>
      </c>
      <c r="P2848" s="122">
        <v>972</v>
      </c>
      <c r="Q2848" s="122">
        <v>360</v>
      </c>
      <c r="R2848" s="122">
        <v>11630</v>
      </c>
      <c r="S2848" s="122">
        <v>10573</v>
      </c>
      <c r="T2848" s="122">
        <v>7244</v>
      </c>
      <c r="U2848" s="122">
        <v>2683</v>
      </c>
      <c r="V2848" s="122">
        <v>47691</v>
      </c>
      <c r="W2848" s="122">
        <f t="shared" si="88"/>
        <v>47691</v>
      </c>
      <c r="X2848" s="122">
        <f t="shared" si="89"/>
        <v>59718</v>
      </c>
    </row>
    <row r="2849" spans="2:24">
      <c r="B2849" t="s">
        <v>387</v>
      </c>
      <c r="C2849" t="s">
        <v>60</v>
      </c>
      <c r="D2849" t="s">
        <v>406</v>
      </c>
      <c r="E2849" t="s">
        <v>407</v>
      </c>
      <c r="F2849" s="122">
        <v>1</v>
      </c>
      <c r="G2849" s="122">
        <v>62</v>
      </c>
      <c r="H2849" s="122">
        <v>303</v>
      </c>
      <c r="I2849" s="122">
        <v>9121</v>
      </c>
      <c r="J2849" s="122">
        <v>8292</v>
      </c>
      <c r="K2849" s="122">
        <v>65</v>
      </c>
      <c r="L2849" s="122">
        <v>1253</v>
      </c>
      <c r="M2849" s="122">
        <v>1139</v>
      </c>
      <c r="N2849" s="122">
        <v>1512</v>
      </c>
      <c r="O2849" s="122">
        <v>560</v>
      </c>
      <c r="P2849" s="122">
        <v>621</v>
      </c>
      <c r="Q2849" s="122">
        <v>230</v>
      </c>
      <c r="R2849" s="122">
        <v>6277</v>
      </c>
      <c r="S2849" s="122">
        <v>5706</v>
      </c>
      <c r="T2849" s="122">
        <v>0</v>
      </c>
      <c r="U2849" s="122">
        <v>0</v>
      </c>
      <c r="V2849" s="122">
        <v>15927</v>
      </c>
      <c r="W2849" s="122">
        <f t="shared" si="88"/>
        <v>15927</v>
      </c>
      <c r="X2849" s="122">
        <f t="shared" si="89"/>
        <v>18784</v>
      </c>
    </row>
    <row r="2850" spans="2:24">
      <c r="B2850" t="s">
        <v>387</v>
      </c>
      <c r="C2850" t="s">
        <v>60</v>
      </c>
      <c r="D2850" t="s">
        <v>427</v>
      </c>
      <c r="E2850" t="s">
        <v>427</v>
      </c>
      <c r="F2850" s="122">
        <v>20</v>
      </c>
      <c r="G2850" s="122">
        <v>1672</v>
      </c>
      <c r="H2850" s="122">
        <v>6767</v>
      </c>
      <c r="I2850" s="122">
        <v>338684</v>
      </c>
      <c r="J2850" s="122">
        <v>307894</v>
      </c>
      <c r="K2850" s="122">
        <v>57</v>
      </c>
      <c r="L2850" s="122">
        <v>41708</v>
      </c>
      <c r="M2850" s="122">
        <v>32427</v>
      </c>
      <c r="N2850" s="122">
        <v>30880</v>
      </c>
      <c r="O2850" s="122">
        <v>11437</v>
      </c>
      <c r="P2850" s="122">
        <v>7412</v>
      </c>
      <c r="Q2850" s="122">
        <v>2745</v>
      </c>
      <c r="R2850" s="122">
        <v>100745</v>
      </c>
      <c r="S2850" s="122">
        <v>91586</v>
      </c>
      <c r="T2850" s="122">
        <v>43017</v>
      </c>
      <c r="U2850" s="122">
        <v>15932</v>
      </c>
      <c r="V2850" s="122">
        <v>462021</v>
      </c>
      <c r="W2850" s="122">
        <f t="shared" ref="W2850:W2903" si="90">SUM(ABS(J2850),ABS(M2850),ABS(O2850),ABS(Q2850),ABS(S2850),ABS(U2850))</f>
        <v>462021</v>
      </c>
      <c r="X2850" s="122">
        <f t="shared" ref="X2850:X2903" si="91">SUM(ABS(I2850),ABS(N2850),ABS(P2850),ABS(R2850),ABS(T2850),ABS(L2850))</f>
        <v>562446</v>
      </c>
    </row>
    <row r="2851" spans="2:24">
      <c r="B2851" t="s">
        <v>387</v>
      </c>
      <c r="C2851" t="s">
        <v>60</v>
      </c>
      <c r="D2851" t="s">
        <v>407</v>
      </c>
      <c r="E2851" t="s">
        <v>137</v>
      </c>
      <c r="F2851" s="122">
        <v>4</v>
      </c>
      <c r="G2851" s="122">
        <v>539</v>
      </c>
      <c r="H2851" s="122">
        <v>1486</v>
      </c>
      <c r="I2851" s="122">
        <v>126732</v>
      </c>
      <c r="J2851" s="122">
        <v>115211</v>
      </c>
      <c r="K2851" s="122">
        <v>81</v>
      </c>
      <c r="L2851" s="122">
        <v>36731</v>
      </c>
      <c r="M2851" s="122">
        <v>28467</v>
      </c>
      <c r="N2851" s="122">
        <v>11835</v>
      </c>
      <c r="O2851" s="122">
        <v>4383</v>
      </c>
      <c r="P2851" s="122">
        <v>1890</v>
      </c>
      <c r="Q2851" s="122">
        <v>700</v>
      </c>
      <c r="R2851" s="122">
        <v>23016</v>
      </c>
      <c r="S2851" s="122">
        <v>8524</v>
      </c>
      <c r="T2851" s="122">
        <v>0</v>
      </c>
      <c r="U2851" s="122">
        <v>0</v>
      </c>
      <c r="V2851" s="122">
        <v>157285</v>
      </c>
      <c r="W2851" s="122">
        <f t="shared" si="90"/>
        <v>157285</v>
      </c>
      <c r="X2851" s="122">
        <f t="shared" si="91"/>
        <v>200204</v>
      </c>
    </row>
    <row r="2852" spans="2:24">
      <c r="B2852" t="s">
        <v>387</v>
      </c>
      <c r="C2852" t="s">
        <v>60</v>
      </c>
      <c r="D2852" t="s">
        <v>407</v>
      </c>
      <c r="E2852" t="s">
        <v>407</v>
      </c>
      <c r="F2852" s="122">
        <v>539</v>
      </c>
      <c r="G2852" s="122">
        <v>49450</v>
      </c>
      <c r="H2852" s="122">
        <v>182087</v>
      </c>
      <c r="I2852" s="122">
        <v>9776037</v>
      </c>
      <c r="J2852" s="122">
        <v>8887307</v>
      </c>
      <c r="K2852" s="122">
        <v>77</v>
      </c>
      <c r="L2852" s="122">
        <v>2468744</v>
      </c>
      <c r="M2852" s="122">
        <v>2135463</v>
      </c>
      <c r="N2852" s="122">
        <v>1043098</v>
      </c>
      <c r="O2852" s="122">
        <v>386333</v>
      </c>
      <c r="P2852" s="122">
        <v>256689</v>
      </c>
      <c r="Q2852" s="122">
        <v>95070</v>
      </c>
      <c r="R2852" s="122">
        <v>2583079</v>
      </c>
      <c r="S2852" s="122">
        <v>2348254</v>
      </c>
      <c r="T2852" s="122">
        <v>846486</v>
      </c>
      <c r="U2852" s="122">
        <v>313513</v>
      </c>
      <c r="V2852" s="122">
        <v>14165940</v>
      </c>
      <c r="W2852" s="122">
        <f t="shared" si="90"/>
        <v>14165940</v>
      </c>
      <c r="X2852" s="122">
        <f t="shared" si="91"/>
        <v>16974133</v>
      </c>
    </row>
    <row r="2853" spans="2:24">
      <c r="B2853" t="s">
        <v>387</v>
      </c>
      <c r="C2853" t="s">
        <v>60</v>
      </c>
      <c r="D2853" t="s">
        <v>556</v>
      </c>
      <c r="E2853" t="s">
        <v>137</v>
      </c>
      <c r="F2853" s="122">
        <v>35</v>
      </c>
      <c r="G2853" s="122">
        <v>2779</v>
      </c>
      <c r="H2853" s="122">
        <v>11320</v>
      </c>
      <c r="I2853" s="122">
        <v>470031</v>
      </c>
      <c r="J2853" s="122">
        <v>391693</v>
      </c>
      <c r="K2853" s="122">
        <v>55</v>
      </c>
      <c r="L2853" s="122">
        <v>86649</v>
      </c>
      <c r="M2853" s="122">
        <v>66386</v>
      </c>
      <c r="N2853" s="122">
        <v>60547</v>
      </c>
      <c r="O2853" s="122">
        <v>22425</v>
      </c>
      <c r="P2853" s="122">
        <v>12555</v>
      </c>
      <c r="Q2853" s="122">
        <v>4650</v>
      </c>
      <c r="R2853" s="122">
        <v>267564</v>
      </c>
      <c r="S2853" s="122">
        <v>99098</v>
      </c>
      <c r="T2853" s="122">
        <v>0</v>
      </c>
      <c r="U2853" s="122">
        <v>0</v>
      </c>
      <c r="V2853" s="122">
        <v>584251</v>
      </c>
      <c r="W2853" s="122">
        <f t="shared" si="90"/>
        <v>584252</v>
      </c>
      <c r="X2853" s="122">
        <f t="shared" si="91"/>
        <v>897346</v>
      </c>
    </row>
    <row r="2854" spans="2:24">
      <c r="B2854" t="s">
        <v>387</v>
      </c>
      <c r="C2854" t="s">
        <v>60</v>
      </c>
      <c r="D2854" t="s">
        <v>556</v>
      </c>
      <c r="E2854" t="s">
        <v>407</v>
      </c>
      <c r="F2854" s="122">
        <v>1</v>
      </c>
      <c r="G2854" s="122">
        <v>85</v>
      </c>
      <c r="H2854" s="122">
        <v>315</v>
      </c>
      <c r="I2854" s="122">
        <v>15267</v>
      </c>
      <c r="J2854" s="122">
        <v>12723</v>
      </c>
      <c r="K2854" s="122">
        <v>55</v>
      </c>
      <c r="L2854" s="122">
        <v>2099</v>
      </c>
      <c r="M2854" s="122">
        <v>777</v>
      </c>
      <c r="N2854" s="122">
        <v>1030</v>
      </c>
      <c r="O2854" s="122">
        <v>381</v>
      </c>
      <c r="P2854" s="122">
        <v>351</v>
      </c>
      <c r="Q2854" s="122">
        <v>130</v>
      </c>
      <c r="R2854" s="122">
        <v>5385</v>
      </c>
      <c r="S2854" s="122">
        <v>4895</v>
      </c>
      <c r="T2854" s="122">
        <v>2494</v>
      </c>
      <c r="U2854" s="122">
        <v>924</v>
      </c>
      <c r="V2854" s="122">
        <v>19830</v>
      </c>
      <c r="W2854" s="122">
        <f t="shared" si="90"/>
        <v>19830</v>
      </c>
      <c r="X2854" s="122">
        <f t="shared" si="91"/>
        <v>26626</v>
      </c>
    </row>
    <row r="2855" spans="2:24">
      <c r="B2855" t="s">
        <v>387</v>
      </c>
      <c r="C2855" t="s">
        <v>60</v>
      </c>
      <c r="D2855" t="s">
        <v>556</v>
      </c>
      <c r="E2855" t="s">
        <v>556</v>
      </c>
      <c r="F2855" s="122">
        <v>34</v>
      </c>
      <c r="G2855" s="122">
        <v>2730</v>
      </c>
      <c r="H2855" s="122">
        <v>11493</v>
      </c>
      <c r="I2855" s="122">
        <v>557408</v>
      </c>
      <c r="J2855" s="122">
        <v>464507</v>
      </c>
      <c r="K2855" s="122">
        <v>56</v>
      </c>
      <c r="L2855" s="122">
        <v>60714</v>
      </c>
      <c r="M2855" s="122">
        <v>36199</v>
      </c>
      <c r="N2855" s="122">
        <v>47499</v>
      </c>
      <c r="O2855" s="122">
        <v>17592</v>
      </c>
      <c r="P2855" s="122">
        <v>12839</v>
      </c>
      <c r="Q2855" s="122">
        <v>4755</v>
      </c>
      <c r="R2855" s="122">
        <v>184141</v>
      </c>
      <c r="S2855" s="122">
        <v>153451</v>
      </c>
      <c r="T2855" s="122">
        <v>78144</v>
      </c>
      <c r="U2855" s="122">
        <v>28942</v>
      </c>
      <c r="V2855" s="122">
        <v>705446</v>
      </c>
      <c r="W2855" s="122">
        <f t="shared" si="90"/>
        <v>705446</v>
      </c>
      <c r="X2855" s="122">
        <f t="shared" si="91"/>
        <v>940745</v>
      </c>
    </row>
    <row r="2856" spans="2:24">
      <c r="B2856" t="s">
        <v>387</v>
      </c>
      <c r="C2856" t="s">
        <v>60</v>
      </c>
      <c r="D2856" t="s">
        <v>426</v>
      </c>
      <c r="E2856" t="s">
        <v>137</v>
      </c>
      <c r="F2856" s="122">
        <v>1</v>
      </c>
      <c r="G2856" s="122">
        <v>45</v>
      </c>
      <c r="H2856" s="122">
        <v>338</v>
      </c>
      <c r="I2856" s="122">
        <v>9509</v>
      </c>
      <c r="J2856" s="122">
        <v>8645</v>
      </c>
      <c r="K2856" s="122">
        <v>60</v>
      </c>
      <c r="L2856" s="122">
        <v>1556</v>
      </c>
      <c r="M2856" s="122">
        <v>576</v>
      </c>
      <c r="N2856" s="122">
        <v>989</v>
      </c>
      <c r="O2856" s="122">
        <v>366</v>
      </c>
      <c r="P2856" s="122">
        <v>0</v>
      </c>
      <c r="Q2856" s="122">
        <v>0</v>
      </c>
      <c r="R2856" s="122">
        <v>3167</v>
      </c>
      <c r="S2856" s="122">
        <v>1173</v>
      </c>
      <c r="T2856" s="122">
        <v>0</v>
      </c>
      <c r="U2856" s="122">
        <v>0</v>
      </c>
      <c r="V2856" s="122">
        <v>10761</v>
      </c>
      <c r="W2856" s="122">
        <f t="shared" si="90"/>
        <v>10760</v>
      </c>
      <c r="X2856" s="122">
        <f t="shared" si="91"/>
        <v>15221</v>
      </c>
    </row>
    <row r="2857" spans="2:24">
      <c r="B2857" t="s">
        <v>387</v>
      </c>
      <c r="C2857" t="s">
        <v>60</v>
      </c>
      <c r="D2857" t="s">
        <v>426</v>
      </c>
      <c r="E2857" t="s">
        <v>406</v>
      </c>
      <c r="F2857" s="122">
        <v>1</v>
      </c>
      <c r="G2857" s="122">
        <v>86</v>
      </c>
      <c r="H2857" s="122">
        <v>370</v>
      </c>
      <c r="I2857" s="122">
        <v>20226</v>
      </c>
      <c r="J2857" s="122">
        <v>18387</v>
      </c>
      <c r="K2857" s="122">
        <v>65</v>
      </c>
      <c r="L2857" s="122">
        <v>1712</v>
      </c>
      <c r="M2857" s="122">
        <v>1557</v>
      </c>
      <c r="N2857" s="122">
        <v>2093</v>
      </c>
      <c r="O2857" s="122">
        <v>775</v>
      </c>
      <c r="P2857" s="122">
        <v>621</v>
      </c>
      <c r="Q2857" s="122">
        <v>230</v>
      </c>
      <c r="R2857" s="122">
        <v>4580</v>
      </c>
      <c r="S2857" s="122">
        <v>4163</v>
      </c>
      <c r="T2857" s="122">
        <v>2512</v>
      </c>
      <c r="U2857" s="122">
        <v>930</v>
      </c>
      <c r="V2857" s="122">
        <v>26043</v>
      </c>
      <c r="W2857" s="122">
        <f t="shared" si="90"/>
        <v>26042</v>
      </c>
      <c r="X2857" s="122">
        <f t="shared" si="91"/>
        <v>31744</v>
      </c>
    </row>
    <row r="2858" spans="2:24">
      <c r="B2858" t="s">
        <v>387</v>
      </c>
      <c r="C2858" t="s">
        <v>60</v>
      </c>
      <c r="D2858" t="s">
        <v>426</v>
      </c>
      <c r="E2858" t="s">
        <v>426</v>
      </c>
      <c r="F2858" s="122">
        <v>102</v>
      </c>
      <c r="G2858" s="122">
        <v>7537</v>
      </c>
      <c r="H2858" s="122">
        <v>34387</v>
      </c>
      <c r="I2858" s="122">
        <v>1529319</v>
      </c>
      <c r="J2858" s="122">
        <v>1390290</v>
      </c>
      <c r="K2858" s="122">
        <v>56</v>
      </c>
      <c r="L2858" s="122">
        <v>105197</v>
      </c>
      <c r="M2858" s="122">
        <v>86370</v>
      </c>
      <c r="N2858" s="122">
        <v>148664</v>
      </c>
      <c r="O2858" s="122">
        <v>55061</v>
      </c>
      <c r="P2858" s="122">
        <v>39231</v>
      </c>
      <c r="Q2858" s="122">
        <v>14530</v>
      </c>
      <c r="R2858" s="122">
        <v>491793</v>
      </c>
      <c r="S2858" s="122">
        <v>447085</v>
      </c>
      <c r="T2858" s="122">
        <v>225837</v>
      </c>
      <c r="U2858" s="122">
        <v>83643</v>
      </c>
      <c r="V2858" s="122">
        <v>2076979</v>
      </c>
      <c r="W2858" s="122">
        <f t="shared" si="90"/>
        <v>2076979</v>
      </c>
      <c r="X2858" s="122">
        <f t="shared" si="91"/>
        <v>2540041</v>
      </c>
    </row>
    <row r="2859" spans="2:24">
      <c r="B2859" t="s">
        <v>387</v>
      </c>
      <c r="C2859" t="s">
        <v>60</v>
      </c>
      <c r="D2859" t="s">
        <v>408</v>
      </c>
      <c r="E2859" t="s">
        <v>408</v>
      </c>
      <c r="F2859" s="122">
        <v>1</v>
      </c>
      <c r="G2859" s="122">
        <v>49</v>
      </c>
      <c r="H2859" s="122">
        <v>356</v>
      </c>
      <c r="I2859" s="122">
        <v>9161</v>
      </c>
      <c r="J2859" s="122">
        <v>8328</v>
      </c>
      <c r="K2859" s="122">
        <v>65</v>
      </c>
      <c r="L2859" s="122">
        <v>1018</v>
      </c>
      <c r="M2859" s="122">
        <v>925</v>
      </c>
      <c r="N2859" s="122">
        <v>1188</v>
      </c>
      <c r="O2859" s="122">
        <v>440</v>
      </c>
      <c r="P2859" s="122">
        <v>351</v>
      </c>
      <c r="Q2859" s="122">
        <v>130</v>
      </c>
      <c r="R2859" s="122">
        <v>3753</v>
      </c>
      <c r="S2859" s="122">
        <v>3412</v>
      </c>
      <c r="T2859" s="122">
        <v>1862</v>
      </c>
      <c r="U2859" s="122">
        <v>690</v>
      </c>
      <c r="V2859" s="122">
        <v>13925</v>
      </c>
      <c r="W2859" s="122">
        <f t="shared" si="90"/>
        <v>13925</v>
      </c>
      <c r="X2859" s="122">
        <f t="shared" si="91"/>
        <v>17333</v>
      </c>
    </row>
    <row r="2860" spans="2:24">
      <c r="B2860" t="s">
        <v>387</v>
      </c>
      <c r="C2860" t="s">
        <v>62</v>
      </c>
      <c r="F2860" s="122">
        <v>1</v>
      </c>
      <c r="G2860" s="122">
        <v>59</v>
      </c>
      <c r="H2860" s="122">
        <v>427</v>
      </c>
      <c r="I2860" s="122"/>
      <c r="J2860" s="122">
        <v>0</v>
      </c>
      <c r="K2860" s="122"/>
      <c r="L2860" s="122"/>
      <c r="M2860" s="122">
        <v>0</v>
      </c>
      <c r="N2860" s="122">
        <v>1427</v>
      </c>
      <c r="O2860" s="122">
        <v>528</v>
      </c>
      <c r="P2860" s="122">
        <v>621</v>
      </c>
      <c r="Q2860" s="122">
        <v>230</v>
      </c>
      <c r="R2860" s="122"/>
      <c r="S2860" s="122">
        <v>0</v>
      </c>
      <c r="T2860" s="122">
        <v>0</v>
      </c>
      <c r="U2860" s="122">
        <v>0</v>
      </c>
      <c r="V2860" s="122">
        <v>758</v>
      </c>
      <c r="W2860" s="122">
        <f t="shared" si="90"/>
        <v>758</v>
      </c>
      <c r="X2860" s="122">
        <f t="shared" si="91"/>
        <v>2048</v>
      </c>
    </row>
    <row r="2861" spans="2:24">
      <c r="B2861" t="s">
        <v>387</v>
      </c>
      <c r="C2861" t="s">
        <v>62</v>
      </c>
      <c r="D2861" t="s">
        <v>425</v>
      </c>
      <c r="E2861" t="s">
        <v>425</v>
      </c>
      <c r="F2861" s="122">
        <v>1</v>
      </c>
      <c r="G2861" s="122">
        <v>75</v>
      </c>
      <c r="H2861" s="122">
        <v>407</v>
      </c>
      <c r="I2861" s="122">
        <v>19633</v>
      </c>
      <c r="J2861" s="122">
        <v>17848</v>
      </c>
      <c r="K2861" s="122">
        <v>65</v>
      </c>
      <c r="L2861" s="122">
        <v>2247</v>
      </c>
      <c r="M2861" s="122">
        <v>2043</v>
      </c>
      <c r="N2861" s="122">
        <v>1413</v>
      </c>
      <c r="O2861" s="122">
        <v>523</v>
      </c>
      <c r="P2861" s="122">
        <v>473</v>
      </c>
      <c r="Q2861" s="122">
        <v>175</v>
      </c>
      <c r="R2861" s="122">
        <v>4442</v>
      </c>
      <c r="S2861" s="122">
        <v>4038</v>
      </c>
      <c r="T2861" s="122">
        <v>2229</v>
      </c>
      <c r="U2861" s="122">
        <v>826</v>
      </c>
      <c r="V2861" s="122">
        <v>25453</v>
      </c>
      <c r="W2861" s="122">
        <f t="shared" si="90"/>
        <v>25453</v>
      </c>
      <c r="X2861" s="122">
        <f t="shared" si="91"/>
        <v>30437</v>
      </c>
    </row>
    <row r="2862" spans="2:24">
      <c r="B2862" t="s">
        <v>387</v>
      </c>
      <c r="C2862" t="s">
        <v>62</v>
      </c>
      <c r="D2862" t="s">
        <v>137</v>
      </c>
      <c r="E2862" t="s">
        <v>137</v>
      </c>
      <c r="F2862" s="122">
        <v>85</v>
      </c>
      <c r="G2862" s="122">
        <v>6237</v>
      </c>
      <c r="H2862" s="122">
        <v>34794</v>
      </c>
      <c r="I2862" s="122">
        <v>1558017</v>
      </c>
      <c r="J2862" s="122">
        <v>577043</v>
      </c>
      <c r="K2862" s="122">
        <v>100</v>
      </c>
      <c r="L2862" s="122">
        <v>248626</v>
      </c>
      <c r="M2862" s="122">
        <v>162371</v>
      </c>
      <c r="N2862" s="122">
        <v>135355</v>
      </c>
      <c r="O2862" s="122">
        <v>50131</v>
      </c>
      <c r="P2862" s="122">
        <v>351</v>
      </c>
      <c r="Q2862" s="122">
        <v>130</v>
      </c>
      <c r="R2862" s="122">
        <v>617536</v>
      </c>
      <c r="S2862" s="122">
        <v>228717</v>
      </c>
      <c r="T2862" s="122">
        <v>1951</v>
      </c>
      <c r="U2862" s="122">
        <v>723</v>
      </c>
      <c r="V2862" s="122">
        <v>1019115</v>
      </c>
      <c r="W2862" s="122">
        <f t="shared" si="90"/>
        <v>1019115</v>
      </c>
      <c r="X2862" s="122">
        <f t="shared" si="91"/>
        <v>2561836</v>
      </c>
    </row>
    <row r="2863" spans="2:24">
      <c r="B2863" t="s">
        <v>387</v>
      </c>
      <c r="C2863" t="s">
        <v>62</v>
      </c>
      <c r="D2863" t="s">
        <v>137</v>
      </c>
      <c r="E2863" t="s">
        <v>427</v>
      </c>
      <c r="F2863" s="122">
        <v>2</v>
      </c>
      <c r="G2863" s="122">
        <v>166</v>
      </c>
      <c r="H2863" s="122">
        <v>808</v>
      </c>
      <c r="I2863" s="122">
        <v>32764</v>
      </c>
      <c r="J2863" s="122">
        <v>12135</v>
      </c>
      <c r="K2863" s="122">
        <v>100</v>
      </c>
      <c r="L2863" s="122">
        <v>2966</v>
      </c>
      <c r="M2863" s="122">
        <v>2697</v>
      </c>
      <c r="N2863" s="122">
        <v>4039</v>
      </c>
      <c r="O2863" s="122">
        <v>1496</v>
      </c>
      <c r="P2863" s="122">
        <v>0</v>
      </c>
      <c r="Q2863" s="122">
        <v>0</v>
      </c>
      <c r="R2863" s="122">
        <v>18260</v>
      </c>
      <c r="S2863" s="122">
        <v>16600</v>
      </c>
      <c r="T2863" s="122">
        <v>8864</v>
      </c>
      <c r="U2863" s="122">
        <v>3283</v>
      </c>
      <c r="V2863" s="122">
        <v>36210</v>
      </c>
      <c r="W2863" s="122">
        <f t="shared" si="90"/>
        <v>36211</v>
      </c>
      <c r="X2863" s="122">
        <f t="shared" si="91"/>
        <v>66893</v>
      </c>
    </row>
    <row r="2864" spans="2:24">
      <c r="B2864" t="s">
        <v>387</v>
      </c>
      <c r="C2864" t="s">
        <v>62</v>
      </c>
      <c r="D2864" t="s">
        <v>137</v>
      </c>
      <c r="E2864" t="s">
        <v>407</v>
      </c>
      <c r="F2864" s="122">
        <v>2</v>
      </c>
      <c r="G2864" s="122">
        <v>405</v>
      </c>
      <c r="H2864" s="122">
        <v>822</v>
      </c>
      <c r="I2864" s="122">
        <v>138233</v>
      </c>
      <c r="J2864" s="122">
        <v>51197</v>
      </c>
      <c r="K2864" s="122">
        <v>100</v>
      </c>
      <c r="L2864" s="122">
        <v>18890</v>
      </c>
      <c r="M2864" s="122">
        <v>17173</v>
      </c>
      <c r="N2864" s="122">
        <v>8371</v>
      </c>
      <c r="O2864" s="122">
        <v>3100</v>
      </c>
      <c r="P2864" s="122">
        <v>473</v>
      </c>
      <c r="Q2864" s="122">
        <v>175</v>
      </c>
      <c r="R2864" s="122">
        <v>11042</v>
      </c>
      <c r="S2864" s="122">
        <v>10038</v>
      </c>
      <c r="T2864" s="122">
        <v>3870</v>
      </c>
      <c r="U2864" s="122">
        <v>1433</v>
      </c>
      <c r="V2864" s="122">
        <v>83117</v>
      </c>
      <c r="W2864" s="122">
        <f t="shared" si="90"/>
        <v>83116</v>
      </c>
      <c r="X2864" s="122">
        <f t="shared" si="91"/>
        <v>180879</v>
      </c>
    </row>
    <row r="2865" spans="2:24">
      <c r="B2865" t="s">
        <v>387</v>
      </c>
      <c r="C2865" t="s">
        <v>62</v>
      </c>
      <c r="D2865" t="s">
        <v>137</v>
      </c>
      <c r="E2865" t="s">
        <v>426</v>
      </c>
      <c r="F2865" s="122">
        <v>3</v>
      </c>
      <c r="G2865" s="122">
        <v>227</v>
      </c>
      <c r="H2865" s="122">
        <v>1219</v>
      </c>
      <c r="I2865" s="122">
        <v>60727</v>
      </c>
      <c r="J2865" s="122">
        <v>22491</v>
      </c>
      <c r="K2865" s="122">
        <v>100</v>
      </c>
      <c r="L2865" s="122">
        <v>5498</v>
      </c>
      <c r="M2865" s="122">
        <v>4998</v>
      </c>
      <c r="N2865" s="122">
        <v>4969</v>
      </c>
      <c r="O2865" s="122">
        <v>1840</v>
      </c>
      <c r="P2865" s="122">
        <v>702</v>
      </c>
      <c r="Q2865" s="122">
        <v>260</v>
      </c>
      <c r="R2865" s="122">
        <v>16720</v>
      </c>
      <c r="S2865" s="122">
        <v>15200</v>
      </c>
      <c r="T2865" s="122">
        <v>3849</v>
      </c>
      <c r="U2865" s="122">
        <v>1425</v>
      </c>
      <c r="V2865" s="122">
        <v>46216</v>
      </c>
      <c r="W2865" s="122">
        <f t="shared" si="90"/>
        <v>46214</v>
      </c>
      <c r="X2865" s="122">
        <f t="shared" si="91"/>
        <v>92465</v>
      </c>
    </row>
    <row r="2866" spans="2:24">
      <c r="B2866" t="s">
        <v>387</v>
      </c>
      <c r="C2866" t="s">
        <v>62</v>
      </c>
      <c r="D2866" t="s">
        <v>406</v>
      </c>
      <c r="E2866" t="s">
        <v>137</v>
      </c>
      <c r="F2866" s="122">
        <v>5</v>
      </c>
      <c r="G2866" s="122">
        <v>929</v>
      </c>
      <c r="H2866" s="122">
        <v>2067</v>
      </c>
      <c r="I2866" s="122">
        <v>252534</v>
      </c>
      <c r="J2866" s="122">
        <v>229576</v>
      </c>
      <c r="K2866" s="122">
        <v>76</v>
      </c>
      <c r="L2866" s="122">
        <v>60672</v>
      </c>
      <c r="M2866" s="122">
        <v>53725</v>
      </c>
      <c r="N2866" s="122">
        <v>20033</v>
      </c>
      <c r="O2866" s="122">
        <v>7420</v>
      </c>
      <c r="P2866" s="122">
        <v>3105</v>
      </c>
      <c r="Q2866" s="122">
        <v>1150</v>
      </c>
      <c r="R2866" s="122">
        <v>36092</v>
      </c>
      <c r="S2866" s="122">
        <v>13368</v>
      </c>
      <c r="T2866" s="122">
        <v>0</v>
      </c>
      <c r="U2866" s="122">
        <v>0</v>
      </c>
      <c r="V2866" s="122">
        <v>305238</v>
      </c>
      <c r="W2866" s="122">
        <f t="shared" si="90"/>
        <v>305239</v>
      </c>
      <c r="X2866" s="122">
        <f t="shared" si="91"/>
        <v>372436</v>
      </c>
    </row>
    <row r="2867" spans="2:24">
      <c r="B2867" t="s">
        <v>387</v>
      </c>
      <c r="C2867" t="s">
        <v>62</v>
      </c>
      <c r="D2867" t="s">
        <v>406</v>
      </c>
      <c r="E2867" t="s">
        <v>406</v>
      </c>
      <c r="F2867" s="122">
        <v>230</v>
      </c>
      <c r="G2867" s="122">
        <v>20939</v>
      </c>
      <c r="H2867" s="122">
        <v>95170</v>
      </c>
      <c r="I2867" s="122">
        <v>5409014</v>
      </c>
      <c r="J2867" s="122">
        <v>4917285</v>
      </c>
      <c r="K2867" s="122">
        <v>78</v>
      </c>
      <c r="L2867" s="122">
        <v>1204509</v>
      </c>
      <c r="M2867" s="122">
        <v>1031980</v>
      </c>
      <c r="N2867" s="122">
        <v>452989</v>
      </c>
      <c r="O2867" s="122">
        <v>167774</v>
      </c>
      <c r="P2867" s="122">
        <v>144936</v>
      </c>
      <c r="Q2867" s="122">
        <v>53680</v>
      </c>
      <c r="R2867" s="122">
        <v>1063688</v>
      </c>
      <c r="S2867" s="122">
        <v>966989</v>
      </c>
      <c r="T2867" s="122">
        <v>456482</v>
      </c>
      <c r="U2867" s="122">
        <v>169067</v>
      </c>
      <c r="V2867" s="122">
        <v>7306775</v>
      </c>
      <c r="W2867" s="122">
        <f t="shared" si="90"/>
        <v>7306775</v>
      </c>
      <c r="X2867" s="122">
        <f t="shared" si="91"/>
        <v>8731618</v>
      </c>
    </row>
    <row r="2868" spans="2:24">
      <c r="B2868" t="s">
        <v>387</v>
      </c>
      <c r="C2868" t="s">
        <v>62</v>
      </c>
      <c r="D2868" t="s">
        <v>427</v>
      </c>
      <c r="E2868" t="s">
        <v>427</v>
      </c>
      <c r="F2868" s="122">
        <v>9</v>
      </c>
      <c r="G2868" s="122">
        <v>518</v>
      </c>
      <c r="H2868" s="122">
        <v>3746</v>
      </c>
      <c r="I2868" s="122">
        <v>131912</v>
      </c>
      <c r="J2868" s="122">
        <v>119920</v>
      </c>
      <c r="K2868" s="122">
        <v>55</v>
      </c>
      <c r="L2868" s="122">
        <v>13947</v>
      </c>
      <c r="M2868" s="122">
        <v>11518</v>
      </c>
      <c r="N2868" s="122">
        <v>10168</v>
      </c>
      <c r="O2868" s="122">
        <v>3766</v>
      </c>
      <c r="P2868" s="122">
        <v>3429</v>
      </c>
      <c r="Q2868" s="122">
        <v>1270</v>
      </c>
      <c r="R2868" s="122">
        <v>38849</v>
      </c>
      <c r="S2868" s="122">
        <v>35317</v>
      </c>
      <c r="T2868" s="122">
        <v>16972</v>
      </c>
      <c r="U2868" s="122">
        <v>6286</v>
      </c>
      <c r="V2868" s="122">
        <v>178077</v>
      </c>
      <c r="W2868" s="122">
        <f t="shared" si="90"/>
        <v>178077</v>
      </c>
      <c r="X2868" s="122">
        <f t="shared" si="91"/>
        <v>215277</v>
      </c>
    </row>
    <row r="2869" spans="2:24">
      <c r="B2869" t="s">
        <v>387</v>
      </c>
      <c r="C2869" t="s">
        <v>62</v>
      </c>
      <c r="D2869" t="s">
        <v>407</v>
      </c>
      <c r="E2869" t="s">
        <v>137</v>
      </c>
      <c r="F2869" s="122">
        <v>1</v>
      </c>
      <c r="G2869" s="122">
        <v>94</v>
      </c>
      <c r="H2869" s="122">
        <v>397</v>
      </c>
      <c r="I2869" s="122">
        <v>18808</v>
      </c>
      <c r="J2869" s="122">
        <v>17098</v>
      </c>
      <c r="K2869" s="122">
        <v>78</v>
      </c>
      <c r="L2869" s="122">
        <v>2461</v>
      </c>
      <c r="M2869" s="122">
        <v>2238</v>
      </c>
      <c r="N2869" s="122">
        <v>2284</v>
      </c>
      <c r="O2869" s="122">
        <v>846</v>
      </c>
      <c r="P2869" s="122">
        <v>473</v>
      </c>
      <c r="Q2869" s="122">
        <v>175</v>
      </c>
      <c r="R2869" s="122">
        <v>13228</v>
      </c>
      <c r="S2869" s="122">
        <v>4899</v>
      </c>
      <c r="T2869" s="122">
        <v>0</v>
      </c>
      <c r="U2869" s="122">
        <v>0</v>
      </c>
      <c r="V2869" s="122">
        <v>25256</v>
      </c>
      <c r="W2869" s="122">
        <f t="shared" si="90"/>
        <v>25256</v>
      </c>
      <c r="X2869" s="122">
        <f t="shared" si="91"/>
        <v>37254</v>
      </c>
    </row>
    <row r="2870" spans="2:24">
      <c r="B2870" t="s">
        <v>387</v>
      </c>
      <c r="C2870" t="s">
        <v>62</v>
      </c>
      <c r="D2870" t="s">
        <v>407</v>
      </c>
      <c r="E2870" t="s">
        <v>407</v>
      </c>
      <c r="F2870" s="122">
        <v>175</v>
      </c>
      <c r="G2870" s="122">
        <v>15858</v>
      </c>
      <c r="H2870" s="122">
        <v>72207</v>
      </c>
      <c r="I2870" s="122">
        <v>3970230</v>
      </c>
      <c r="J2870" s="122">
        <v>3609300</v>
      </c>
      <c r="K2870" s="122">
        <v>76</v>
      </c>
      <c r="L2870" s="122">
        <v>1076850</v>
      </c>
      <c r="M2870" s="122">
        <v>930603</v>
      </c>
      <c r="N2870" s="122">
        <v>337551</v>
      </c>
      <c r="O2870" s="122">
        <v>125019</v>
      </c>
      <c r="P2870" s="122">
        <v>82188</v>
      </c>
      <c r="Q2870" s="122">
        <v>30440</v>
      </c>
      <c r="R2870" s="122">
        <v>831871</v>
      </c>
      <c r="S2870" s="122">
        <v>756246</v>
      </c>
      <c r="T2870" s="122">
        <v>318353</v>
      </c>
      <c r="U2870" s="122">
        <v>117909</v>
      </c>
      <c r="V2870" s="122">
        <v>5569517</v>
      </c>
      <c r="W2870" s="122">
        <f t="shared" si="90"/>
        <v>5569517</v>
      </c>
      <c r="X2870" s="122">
        <f t="shared" si="91"/>
        <v>6617043</v>
      </c>
    </row>
    <row r="2871" spans="2:24">
      <c r="B2871" t="s">
        <v>387</v>
      </c>
      <c r="C2871" t="s">
        <v>62</v>
      </c>
      <c r="D2871" t="s">
        <v>556</v>
      </c>
      <c r="E2871" t="s">
        <v>137</v>
      </c>
      <c r="F2871" s="122">
        <v>5</v>
      </c>
      <c r="G2871" s="122">
        <v>318</v>
      </c>
      <c r="H2871" s="122">
        <v>2067</v>
      </c>
      <c r="I2871" s="122">
        <v>67432</v>
      </c>
      <c r="J2871" s="122">
        <v>56193</v>
      </c>
      <c r="K2871" s="122">
        <v>58</v>
      </c>
      <c r="L2871" s="122">
        <v>14422</v>
      </c>
      <c r="M2871" s="122">
        <v>6981</v>
      </c>
      <c r="N2871" s="122">
        <v>7150</v>
      </c>
      <c r="O2871" s="122">
        <v>2648</v>
      </c>
      <c r="P2871" s="122">
        <v>1404</v>
      </c>
      <c r="Q2871" s="122">
        <v>520</v>
      </c>
      <c r="R2871" s="122">
        <v>39482</v>
      </c>
      <c r="S2871" s="122">
        <v>14623</v>
      </c>
      <c r="T2871" s="122">
        <v>0</v>
      </c>
      <c r="U2871" s="122">
        <v>0</v>
      </c>
      <c r="V2871" s="122">
        <v>80966</v>
      </c>
      <c r="W2871" s="122">
        <f t="shared" si="90"/>
        <v>80965</v>
      </c>
      <c r="X2871" s="122">
        <f t="shared" si="91"/>
        <v>129890</v>
      </c>
    </row>
    <row r="2872" spans="2:24">
      <c r="B2872" t="s">
        <v>387</v>
      </c>
      <c r="C2872" t="s">
        <v>62</v>
      </c>
      <c r="D2872" t="s">
        <v>556</v>
      </c>
      <c r="E2872" t="s">
        <v>556</v>
      </c>
      <c r="F2872" s="122">
        <v>20</v>
      </c>
      <c r="G2872" s="122">
        <v>1449</v>
      </c>
      <c r="H2872" s="122">
        <v>8252</v>
      </c>
      <c r="I2872" s="122">
        <v>376661</v>
      </c>
      <c r="J2872" s="122">
        <v>313884</v>
      </c>
      <c r="K2872" s="122">
        <v>55</v>
      </c>
      <c r="L2872" s="122">
        <v>51858</v>
      </c>
      <c r="M2872" s="122">
        <v>36368</v>
      </c>
      <c r="N2872" s="122">
        <v>29492</v>
      </c>
      <c r="O2872" s="122">
        <v>10923</v>
      </c>
      <c r="P2872" s="122">
        <v>6669</v>
      </c>
      <c r="Q2872" s="122">
        <v>2470</v>
      </c>
      <c r="R2872" s="122">
        <v>106273</v>
      </c>
      <c r="S2872" s="122">
        <v>88561</v>
      </c>
      <c r="T2872" s="122">
        <v>42927</v>
      </c>
      <c r="U2872" s="122">
        <v>15899</v>
      </c>
      <c r="V2872" s="122">
        <v>468105</v>
      </c>
      <c r="W2872" s="122">
        <f t="shared" si="90"/>
        <v>468105</v>
      </c>
      <c r="X2872" s="122">
        <f t="shared" si="91"/>
        <v>613880</v>
      </c>
    </row>
    <row r="2873" spans="2:24">
      <c r="B2873" t="s">
        <v>387</v>
      </c>
      <c r="C2873" t="s">
        <v>62</v>
      </c>
      <c r="D2873" t="s">
        <v>426</v>
      </c>
      <c r="E2873" t="s">
        <v>137</v>
      </c>
      <c r="F2873" s="122">
        <v>2</v>
      </c>
      <c r="G2873" s="122">
        <v>125</v>
      </c>
      <c r="H2873" s="122">
        <v>866</v>
      </c>
      <c r="I2873" s="122">
        <v>35096</v>
      </c>
      <c r="J2873" s="122">
        <v>31905</v>
      </c>
      <c r="K2873" s="122">
        <v>63</v>
      </c>
      <c r="L2873" s="122">
        <v>785</v>
      </c>
      <c r="M2873" s="122">
        <v>713</v>
      </c>
      <c r="N2873" s="122">
        <v>3044</v>
      </c>
      <c r="O2873" s="122">
        <v>1128</v>
      </c>
      <c r="P2873" s="122">
        <v>351</v>
      </c>
      <c r="Q2873" s="122">
        <v>130</v>
      </c>
      <c r="R2873" s="122">
        <v>14187</v>
      </c>
      <c r="S2873" s="122">
        <v>5254</v>
      </c>
      <c r="T2873" s="122">
        <v>0</v>
      </c>
      <c r="U2873" s="122">
        <v>0</v>
      </c>
      <c r="V2873" s="122">
        <v>39131</v>
      </c>
      <c r="W2873" s="122">
        <f t="shared" si="90"/>
        <v>39130</v>
      </c>
      <c r="X2873" s="122">
        <f t="shared" si="91"/>
        <v>53463</v>
      </c>
    </row>
    <row r="2874" spans="2:24">
      <c r="B2874" t="s">
        <v>387</v>
      </c>
      <c r="C2874" t="s">
        <v>62</v>
      </c>
      <c r="D2874" t="s">
        <v>426</v>
      </c>
      <c r="E2874" t="s">
        <v>426</v>
      </c>
      <c r="F2874" s="122">
        <v>61</v>
      </c>
      <c r="G2874" s="122">
        <v>4140</v>
      </c>
      <c r="H2874" s="122">
        <v>25105</v>
      </c>
      <c r="I2874" s="122">
        <v>1044479</v>
      </c>
      <c r="J2874" s="122">
        <v>949526</v>
      </c>
      <c r="K2874" s="122">
        <v>56</v>
      </c>
      <c r="L2874" s="122">
        <v>83784</v>
      </c>
      <c r="M2874" s="122">
        <v>71436</v>
      </c>
      <c r="N2874" s="122">
        <v>83593</v>
      </c>
      <c r="O2874" s="122">
        <v>30960</v>
      </c>
      <c r="P2874" s="122">
        <v>20709</v>
      </c>
      <c r="Q2874" s="122">
        <v>7670</v>
      </c>
      <c r="R2874" s="122">
        <v>325636</v>
      </c>
      <c r="S2874" s="122">
        <v>296032</v>
      </c>
      <c r="T2874" s="122">
        <v>154205</v>
      </c>
      <c r="U2874" s="122">
        <v>57113</v>
      </c>
      <c r="V2874" s="122">
        <v>1412738</v>
      </c>
      <c r="W2874" s="122">
        <f t="shared" si="90"/>
        <v>1412737</v>
      </c>
      <c r="X2874" s="122">
        <f t="shared" si="91"/>
        <v>1712406</v>
      </c>
    </row>
    <row r="2875" spans="2:24">
      <c r="B2875" t="s">
        <v>387</v>
      </c>
      <c r="C2875" t="s">
        <v>62</v>
      </c>
      <c r="D2875" t="s">
        <v>433</v>
      </c>
      <c r="E2875" t="s">
        <v>433</v>
      </c>
      <c r="F2875" s="122">
        <v>2</v>
      </c>
      <c r="G2875" s="122">
        <v>183</v>
      </c>
      <c r="H2875" s="122">
        <v>832</v>
      </c>
      <c r="I2875" s="122">
        <v>54415</v>
      </c>
      <c r="J2875" s="122">
        <v>49468</v>
      </c>
      <c r="K2875" s="122">
        <v>55</v>
      </c>
      <c r="L2875" s="122">
        <v>3861</v>
      </c>
      <c r="M2875" s="122">
        <v>3510</v>
      </c>
      <c r="N2875" s="122">
        <v>3725</v>
      </c>
      <c r="O2875" s="122">
        <v>1380</v>
      </c>
      <c r="P2875" s="122">
        <v>702</v>
      </c>
      <c r="Q2875" s="122">
        <v>260</v>
      </c>
      <c r="R2875" s="122">
        <v>11418</v>
      </c>
      <c r="S2875" s="122">
        <v>10380</v>
      </c>
      <c r="T2875" s="122">
        <v>2459</v>
      </c>
      <c r="U2875" s="122">
        <v>911</v>
      </c>
      <c r="V2875" s="122">
        <v>65909</v>
      </c>
      <c r="W2875" s="122">
        <f t="shared" si="90"/>
        <v>65909</v>
      </c>
      <c r="X2875" s="122">
        <f t="shared" si="91"/>
        <v>76580</v>
      </c>
    </row>
    <row r="2876" spans="2:24">
      <c r="B2876" t="s">
        <v>387</v>
      </c>
      <c r="C2876" t="s">
        <v>62</v>
      </c>
      <c r="D2876" t="s">
        <v>408</v>
      </c>
      <c r="E2876" t="s">
        <v>408</v>
      </c>
      <c r="F2876" s="122">
        <v>2</v>
      </c>
      <c r="G2876" s="122">
        <v>212</v>
      </c>
      <c r="H2876" s="122">
        <v>791</v>
      </c>
      <c r="I2876" s="122">
        <v>55263</v>
      </c>
      <c r="J2876" s="122">
        <v>50239</v>
      </c>
      <c r="K2876" s="122">
        <v>65</v>
      </c>
      <c r="L2876" s="122">
        <v>9665</v>
      </c>
      <c r="M2876" s="122">
        <v>8365</v>
      </c>
      <c r="N2876" s="122">
        <v>3593</v>
      </c>
      <c r="O2876" s="122">
        <v>1331</v>
      </c>
      <c r="P2876" s="122">
        <v>702</v>
      </c>
      <c r="Q2876" s="122">
        <v>260</v>
      </c>
      <c r="R2876" s="122">
        <v>9290</v>
      </c>
      <c r="S2876" s="122">
        <v>8445</v>
      </c>
      <c r="T2876" s="122">
        <v>5126</v>
      </c>
      <c r="U2876" s="122">
        <v>1899</v>
      </c>
      <c r="V2876" s="122">
        <v>70538</v>
      </c>
      <c r="W2876" s="122">
        <f t="shared" si="90"/>
        <v>70539</v>
      </c>
      <c r="X2876" s="122">
        <f t="shared" si="91"/>
        <v>83639</v>
      </c>
    </row>
    <row r="2877" spans="2:24">
      <c r="B2877" t="s">
        <v>387</v>
      </c>
      <c r="C2877" t="s">
        <v>64</v>
      </c>
      <c r="F2877" s="122">
        <v>4</v>
      </c>
      <c r="G2877" s="122">
        <v>151</v>
      </c>
      <c r="H2877" s="122">
        <v>1982</v>
      </c>
      <c r="I2877" s="122"/>
      <c r="J2877" s="122">
        <v>0</v>
      </c>
      <c r="K2877" s="122"/>
      <c r="L2877" s="122"/>
      <c r="M2877" s="122">
        <v>0</v>
      </c>
      <c r="N2877" s="122">
        <v>2728</v>
      </c>
      <c r="O2877" s="122">
        <v>1010</v>
      </c>
      <c r="P2877" s="122">
        <v>1566</v>
      </c>
      <c r="Q2877" s="122">
        <v>580</v>
      </c>
      <c r="R2877" s="122"/>
      <c r="S2877" s="122">
        <v>0</v>
      </c>
      <c r="T2877" s="122">
        <v>0</v>
      </c>
      <c r="U2877" s="122">
        <v>0</v>
      </c>
      <c r="V2877" s="122">
        <v>1590</v>
      </c>
      <c r="W2877" s="122">
        <f t="shared" si="90"/>
        <v>1590</v>
      </c>
      <c r="X2877" s="122">
        <f t="shared" si="91"/>
        <v>4294</v>
      </c>
    </row>
    <row r="2878" spans="2:24">
      <c r="B2878" t="s">
        <v>387</v>
      </c>
      <c r="C2878" t="s">
        <v>64</v>
      </c>
      <c r="D2878" t="s">
        <v>405</v>
      </c>
      <c r="E2878" t="s">
        <v>405</v>
      </c>
      <c r="F2878" s="122">
        <v>1</v>
      </c>
      <c r="G2878" s="122">
        <v>93</v>
      </c>
      <c r="H2878" s="122">
        <v>461</v>
      </c>
      <c r="I2878" s="122">
        <v>26426</v>
      </c>
      <c r="J2878" s="122">
        <v>24023</v>
      </c>
      <c r="K2878" s="122">
        <v>93</v>
      </c>
      <c r="L2878" s="122">
        <v>8613</v>
      </c>
      <c r="M2878" s="122">
        <v>7830</v>
      </c>
      <c r="N2878" s="122">
        <v>2257</v>
      </c>
      <c r="O2878" s="122">
        <v>836</v>
      </c>
      <c r="P2878" s="122">
        <v>621</v>
      </c>
      <c r="Q2878" s="122">
        <v>230</v>
      </c>
      <c r="R2878" s="122">
        <v>2480</v>
      </c>
      <c r="S2878" s="122">
        <v>2255</v>
      </c>
      <c r="T2878" s="122">
        <v>2317</v>
      </c>
      <c r="U2878" s="122">
        <v>858</v>
      </c>
      <c r="V2878" s="122">
        <v>36032</v>
      </c>
      <c r="W2878" s="122">
        <f t="shared" si="90"/>
        <v>36032</v>
      </c>
      <c r="X2878" s="122">
        <f t="shared" si="91"/>
        <v>42714</v>
      </c>
    </row>
    <row r="2879" spans="2:24">
      <c r="B2879" t="s">
        <v>387</v>
      </c>
      <c r="C2879" t="s">
        <v>64</v>
      </c>
      <c r="D2879" t="s">
        <v>137</v>
      </c>
      <c r="E2879" t="s">
        <v>405</v>
      </c>
      <c r="F2879" s="122">
        <v>1</v>
      </c>
      <c r="G2879" s="122">
        <v>63</v>
      </c>
      <c r="H2879" s="122">
        <v>623</v>
      </c>
      <c r="I2879" s="122">
        <v>30494</v>
      </c>
      <c r="J2879" s="122">
        <v>11294</v>
      </c>
      <c r="K2879" s="122">
        <v>100</v>
      </c>
      <c r="L2879" s="122">
        <v>4601</v>
      </c>
      <c r="M2879" s="122">
        <v>4183</v>
      </c>
      <c r="N2879" s="122">
        <v>1525</v>
      </c>
      <c r="O2879" s="122">
        <v>565</v>
      </c>
      <c r="P2879" s="122">
        <v>0</v>
      </c>
      <c r="Q2879" s="122">
        <v>0</v>
      </c>
      <c r="R2879" s="122">
        <v>2391</v>
      </c>
      <c r="S2879" s="122">
        <v>2173</v>
      </c>
      <c r="T2879" s="122">
        <v>0</v>
      </c>
      <c r="U2879" s="122">
        <v>0</v>
      </c>
      <c r="V2879" s="122">
        <v>18215</v>
      </c>
      <c r="W2879" s="122">
        <f t="shared" si="90"/>
        <v>18215</v>
      </c>
      <c r="X2879" s="122">
        <f t="shared" si="91"/>
        <v>39011</v>
      </c>
    </row>
    <row r="2880" spans="2:24">
      <c r="B2880" t="s">
        <v>387</v>
      </c>
      <c r="C2880" t="s">
        <v>64</v>
      </c>
      <c r="D2880" t="s">
        <v>137</v>
      </c>
      <c r="E2880" t="s">
        <v>137</v>
      </c>
      <c r="F2880" s="122">
        <v>146</v>
      </c>
      <c r="G2880" s="122">
        <v>11247</v>
      </c>
      <c r="H2880" s="122">
        <v>94903</v>
      </c>
      <c r="I2880" s="122">
        <v>5284605</v>
      </c>
      <c r="J2880" s="122">
        <v>1957261</v>
      </c>
      <c r="K2880" s="122">
        <v>100</v>
      </c>
      <c r="L2880" s="122">
        <v>866514</v>
      </c>
      <c r="M2880" s="122">
        <v>717323</v>
      </c>
      <c r="N2880" s="122">
        <v>252906</v>
      </c>
      <c r="O2880" s="122">
        <v>93669</v>
      </c>
      <c r="P2880" s="122">
        <v>3888</v>
      </c>
      <c r="Q2880" s="122">
        <v>1440</v>
      </c>
      <c r="R2880" s="122">
        <v>1017422</v>
      </c>
      <c r="S2880" s="122">
        <v>376823</v>
      </c>
      <c r="T2880" s="122">
        <v>12135</v>
      </c>
      <c r="U2880" s="122">
        <v>4494</v>
      </c>
      <c r="V2880" s="122">
        <v>3151010</v>
      </c>
      <c r="W2880" s="122">
        <f t="shared" si="90"/>
        <v>3151010</v>
      </c>
      <c r="X2880" s="122">
        <f t="shared" si="91"/>
        <v>7437470</v>
      </c>
    </row>
    <row r="2881" spans="2:24">
      <c r="B2881" t="s">
        <v>387</v>
      </c>
      <c r="C2881" t="s">
        <v>64</v>
      </c>
      <c r="D2881" t="s">
        <v>137</v>
      </c>
      <c r="E2881" t="s">
        <v>427</v>
      </c>
      <c r="F2881" s="122">
        <v>4</v>
      </c>
      <c r="G2881" s="122">
        <v>312</v>
      </c>
      <c r="H2881" s="122">
        <v>2149</v>
      </c>
      <c r="I2881" s="122">
        <v>105865</v>
      </c>
      <c r="J2881" s="122">
        <v>39209</v>
      </c>
      <c r="K2881" s="122">
        <v>100</v>
      </c>
      <c r="L2881" s="122">
        <v>11598</v>
      </c>
      <c r="M2881" s="122">
        <v>8467</v>
      </c>
      <c r="N2881" s="122">
        <v>7055</v>
      </c>
      <c r="O2881" s="122">
        <v>2613</v>
      </c>
      <c r="P2881" s="122">
        <v>351</v>
      </c>
      <c r="Q2881" s="122">
        <v>130</v>
      </c>
      <c r="R2881" s="122">
        <v>34066</v>
      </c>
      <c r="S2881" s="122">
        <v>30969</v>
      </c>
      <c r="T2881" s="122">
        <v>6137</v>
      </c>
      <c r="U2881" s="122">
        <v>2273</v>
      </c>
      <c r="V2881" s="122">
        <v>83662</v>
      </c>
      <c r="W2881" s="122">
        <f t="shared" si="90"/>
        <v>83661</v>
      </c>
      <c r="X2881" s="122">
        <f t="shared" si="91"/>
        <v>165072</v>
      </c>
    </row>
    <row r="2882" spans="2:24">
      <c r="B2882" t="s">
        <v>387</v>
      </c>
      <c r="C2882" t="s">
        <v>64</v>
      </c>
      <c r="D2882" t="s">
        <v>137</v>
      </c>
      <c r="E2882" t="s">
        <v>407</v>
      </c>
      <c r="F2882" s="122">
        <v>2</v>
      </c>
      <c r="G2882" s="122">
        <v>199</v>
      </c>
      <c r="H2882" s="122">
        <v>1444</v>
      </c>
      <c r="I2882" s="122">
        <v>109612</v>
      </c>
      <c r="J2882" s="122">
        <v>40597</v>
      </c>
      <c r="K2882" s="122">
        <v>100</v>
      </c>
      <c r="L2882" s="122">
        <v>17427</v>
      </c>
      <c r="M2882" s="122">
        <v>15036</v>
      </c>
      <c r="N2882" s="122">
        <v>4368</v>
      </c>
      <c r="O2882" s="122">
        <v>1618</v>
      </c>
      <c r="P2882" s="122">
        <v>122</v>
      </c>
      <c r="Q2882" s="122">
        <v>45</v>
      </c>
      <c r="R2882" s="122">
        <v>9516</v>
      </c>
      <c r="S2882" s="122">
        <v>8651</v>
      </c>
      <c r="T2882" s="122">
        <v>0</v>
      </c>
      <c r="U2882" s="122">
        <v>0</v>
      </c>
      <c r="V2882" s="122">
        <v>65947</v>
      </c>
      <c r="W2882" s="122">
        <f t="shared" si="90"/>
        <v>65947</v>
      </c>
      <c r="X2882" s="122">
        <f t="shared" si="91"/>
        <v>141045</v>
      </c>
    </row>
    <row r="2883" spans="2:24">
      <c r="B2883" t="s">
        <v>387</v>
      </c>
      <c r="C2883" t="s">
        <v>64</v>
      </c>
      <c r="D2883" t="s">
        <v>137</v>
      </c>
      <c r="E2883" t="s">
        <v>556</v>
      </c>
      <c r="F2883" s="122">
        <v>4</v>
      </c>
      <c r="G2883" s="122">
        <v>344</v>
      </c>
      <c r="H2883" s="122">
        <v>2327</v>
      </c>
      <c r="I2883" s="122">
        <v>139928</v>
      </c>
      <c r="J2883" s="122">
        <v>51825</v>
      </c>
      <c r="K2883" s="122">
        <v>100</v>
      </c>
      <c r="L2883" s="122">
        <v>18547</v>
      </c>
      <c r="M2883" s="122">
        <v>15456</v>
      </c>
      <c r="N2883" s="122">
        <v>7812</v>
      </c>
      <c r="O2883" s="122">
        <v>2893</v>
      </c>
      <c r="P2883" s="122">
        <v>351</v>
      </c>
      <c r="Q2883" s="122">
        <v>130</v>
      </c>
      <c r="R2883" s="122">
        <v>22247</v>
      </c>
      <c r="S2883" s="122">
        <v>18539</v>
      </c>
      <c r="T2883" s="122">
        <v>9033</v>
      </c>
      <c r="U2883" s="122">
        <v>3346</v>
      </c>
      <c r="V2883" s="122">
        <v>92190</v>
      </c>
      <c r="W2883" s="122">
        <f t="shared" si="90"/>
        <v>92189</v>
      </c>
      <c r="X2883" s="122">
        <f t="shared" si="91"/>
        <v>197918</v>
      </c>
    </row>
    <row r="2884" spans="2:24">
      <c r="B2884" t="s">
        <v>387</v>
      </c>
      <c r="C2884" t="s">
        <v>64</v>
      </c>
      <c r="D2884" t="s">
        <v>137</v>
      </c>
      <c r="E2884" t="s">
        <v>426</v>
      </c>
      <c r="F2884" s="122">
        <v>11</v>
      </c>
      <c r="G2884" s="122">
        <v>1069</v>
      </c>
      <c r="H2884" s="122">
        <v>6475</v>
      </c>
      <c r="I2884" s="122">
        <v>416389</v>
      </c>
      <c r="J2884" s="122">
        <v>154218</v>
      </c>
      <c r="K2884" s="122">
        <v>100</v>
      </c>
      <c r="L2884" s="122">
        <v>61106</v>
      </c>
      <c r="M2884" s="122">
        <v>55551</v>
      </c>
      <c r="N2884" s="122">
        <v>23134</v>
      </c>
      <c r="O2884" s="122">
        <v>8568</v>
      </c>
      <c r="P2884" s="122">
        <v>351</v>
      </c>
      <c r="Q2884" s="122">
        <v>130</v>
      </c>
      <c r="R2884" s="122">
        <v>84970</v>
      </c>
      <c r="S2884" s="122">
        <v>77245</v>
      </c>
      <c r="T2884" s="122">
        <v>24934</v>
      </c>
      <c r="U2884" s="122">
        <v>9235</v>
      </c>
      <c r="V2884" s="122">
        <v>304947</v>
      </c>
      <c r="W2884" s="122">
        <f t="shared" si="90"/>
        <v>304947</v>
      </c>
      <c r="X2884" s="122">
        <f t="shared" si="91"/>
        <v>610884</v>
      </c>
    </row>
    <row r="2885" spans="2:24">
      <c r="B2885" t="s">
        <v>387</v>
      </c>
      <c r="C2885" t="s">
        <v>64</v>
      </c>
      <c r="D2885" t="s">
        <v>137</v>
      </c>
      <c r="E2885" t="s">
        <v>433</v>
      </c>
      <c r="F2885" s="122">
        <v>1</v>
      </c>
      <c r="G2885" s="122">
        <v>270</v>
      </c>
      <c r="H2885" s="122">
        <v>577</v>
      </c>
      <c r="I2885" s="122">
        <v>120470</v>
      </c>
      <c r="J2885" s="122">
        <v>44619</v>
      </c>
      <c r="K2885" s="122">
        <v>100</v>
      </c>
      <c r="L2885" s="122">
        <v>19830</v>
      </c>
      <c r="M2885" s="122">
        <v>16525</v>
      </c>
      <c r="N2885" s="122">
        <v>3290</v>
      </c>
      <c r="O2885" s="122">
        <v>1219</v>
      </c>
      <c r="P2885" s="122">
        <v>0</v>
      </c>
      <c r="Q2885" s="122">
        <v>0</v>
      </c>
      <c r="R2885" s="122">
        <v>8676</v>
      </c>
      <c r="S2885" s="122">
        <v>7888</v>
      </c>
      <c r="T2885" s="122">
        <v>3633</v>
      </c>
      <c r="U2885" s="122">
        <v>1346</v>
      </c>
      <c r="V2885" s="122">
        <v>71596</v>
      </c>
      <c r="W2885" s="122">
        <f t="shared" si="90"/>
        <v>71597</v>
      </c>
      <c r="X2885" s="122">
        <f t="shared" si="91"/>
        <v>155899</v>
      </c>
    </row>
    <row r="2886" spans="2:24">
      <c r="B2886" t="s">
        <v>387</v>
      </c>
      <c r="C2886" t="s">
        <v>64</v>
      </c>
      <c r="D2886" t="s">
        <v>406</v>
      </c>
      <c r="E2886" t="s">
        <v>137</v>
      </c>
      <c r="F2886" s="122">
        <v>9</v>
      </c>
      <c r="G2886" s="122">
        <v>775</v>
      </c>
      <c r="H2886" s="122">
        <v>4914</v>
      </c>
      <c r="I2886" s="122">
        <v>269357</v>
      </c>
      <c r="J2886" s="122">
        <v>244870</v>
      </c>
      <c r="K2886" s="122">
        <v>74</v>
      </c>
      <c r="L2886" s="122">
        <v>62699</v>
      </c>
      <c r="M2886" s="122">
        <v>55802</v>
      </c>
      <c r="N2886" s="122">
        <v>17591</v>
      </c>
      <c r="O2886" s="122">
        <v>6515</v>
      </c>
      <c r="P2886" s="122">
        <v>5319</v>
      </c>
      <c r="Q2886" s="122">
        <v>1970</v>
      </c>
      <c r="R2886" s="122">
        <v>67703</v>
      </c>
      <c r="S2886" s="122">
        <v>25075</v>
      </c>
      <c r="T2886" s="122">
        <v>3153</v>
      </c>
      <c r="U2886" s="122">
        <v>1168</v>
      </c>
      <c r="V2886" s="122">
        <v>335400</v>
      </c>
      <c r="W2886" s="122">
        <f t="shared" si="90"/>
        <v>335400</v>
      </c>
      <c r="X2886" s="122">
        <f t="shared" si="91"/>
        <v>425822</v>
      </c>
    </row>
    <row r="2887" spans="2:24">
      <c r="B2887" t="s">
        <v>387</v>
      </c>
      <c r="C2887" t="s">
        <v>64</v>
      </c>
      <c r="D2887" t="s">
        <v>406</v>
      </c>
      <c r="E2887" t="s">
        <v>406</v>
      </c>
      <c r="F2887" s="122">
        <v>174</v>
      </c>
      <c r="G2887" s="122">
        <v>15574</v>
      </c>
      <c r="H2887" s="122">
        <v>93019</v>
      </c>
      <c r="I2887" s="122">
        <v>5499578</v>
      </c>
      <c r="J2887" s="122">
        <v>4999616</v>
      </c>
      <c r="K2887" s="122">
        <v>73</v>
      </c>
      <c r="L2887" s="122">
        <v>1183068</v>
      </c>
      <c r="M2887" s="122">
        <v>1014936</v>
      </c>
      <c r="N2887" s="122">
        <v>338108</v>
      </c>
      <c r="O2887" s="122">
        <v>125225</v>
      </c>
      <c r="P2887" s="122">
        <v>108567</v>
      </c>
      <c r="Q2887" s="122">
        <v>40210</v>
      </c>
      <c r="R2887" s="122">
        <v>833142</v>
      </c>
      <c r="S2887" s="122">
        <v>757402</v>
      </c>
      <c r="T2887" s="122">
        <v>351424</v>
      </c>
      <c r="U2887" s="122">
        <v>130157</v>
      </c>
      <c r="V2887" s="122">
        <v>7067547</v>
      </c>
      <c r="W2887" s="122">
        <f t="shared" si="90"/>
        <v>7067546</v>
      </c>
      <c r="X2887" s="122">
        <f t="shared" si="91"/>
        <v>8313887</v>
      </c>
    </row>
    <row r="2888" spans="2:24">
      <c r="B2888" t="s">
        <v>387</v>
      </c>
      <c r="C2888" t="s">
        <v>64</v>
      </c>
      <c r="D2888" t="s">
        <v>406</v>
      </c>
      <c r="E2888" t="s">
        <v>426</v>
      </c>
      <c r="F2888" s="122">
        <v>1</v>
      </c>
      <c r="G2888" s="122">
        <v>74</v>
      </c>
      <c r="H2888" s="122">
        <v>487</v>
      </c>
      <c r="I2888" s="122">
        <v>24859</v>
      </c>
      <c r="J2888" s="122">
        <v>22599</v>
      </c>
      <c r="K2888" s="122">
        <v>79</v>
      </c>
      <c r="L2888" s="122">
        <v>3766</v>
      </c>
      <c r="M2888" s="122">
        <v>3424</v>
      </c>
      <c r="N2888" s="122">
        <v>1087</v>
      </c>
      <c r="O2888" s="122">
        <v>403</v>
      </c>
      <c r="P2888" s="122">
        <v>621</v>
      </c>
      <c r="Q2888" s="122">
        <v>230</v>
      </c>
      <c r="R2888" s="122">
        <v>3648</v>
      </c>
      <c r="S2888" s="122">
        <v>3317</v>
      </c>
      <c r="T2888" s="122">
        <v>2223</v>
      </c>
      <c r="U2888" s="122">
        <v>823</v>
      </c>
      <c r="V2888" s="122">
        <v>30796</v>
      </c>
      <c r="W2888" s="122">
        <f t="shared" si="90"/>
        <v>30796</v>
      </c>
      <c r="X2888" s="122">
        <f t="shared" si="91"/>
        <v>36204</v>
      </c>
    </row>
    <row r="2889" spans="2:24">
      <c r="B2889" t="s">
        <v>387</v>
      </c>
      <c r="C2889" t="s">
        <v>64</v>
      </c>
      <c r="D2889" t="s">
        <v>427</v>
      </c>
      <c r="E2889" t="s">
        <v>137</v>
      </c>
      <c r="F2889" s="122">
        <v>1</v>
      </c>
      <c r="G2889" s="122">
        <v>47</v>
      </c>
      <c r="H2889" s="122">
        <v>675</v>
      </c>
      <c r="I2889" s="122">
        <v>22245</v>
      </c>
      <c r="J2889" s="122">
        <v>20222</v>
      </c>
      <c r="K2889" s="122">
        <v>75</v>
      </c>
      <c r="L2889" s="122">
        <v>4550</v>
      </c>
      <c r="M2889" s="122">
        <v>1685</v>
      </c>
      <c r="N2889" s="122">
        <v>816</v>
      </c>
      <c r="O2889" s="122">
        <v>302</v>
      </c>
      <c r="P2889" s="122">
        <v>0</v>
      </c>
      <c r="Q2889" s="122">
        <v>0</v>
      </c>
      <c r="R2889" s="122">
        <v>3789</v>
      </c>
      <c r="S2889" s="122">
        <v>1403</v>
      </c>
      <c r="T2889" s="122">
        <v>0</v>
      </c>
      <c r="U2889" s="122">
        <v>0</v>
      </c>
      <c r="V2889" s="122">
        <v>23613</v>
      </c>
      <c r="W2889" s="122">
        <f t="shared" si="90"/>
        <v>23612</v>
      </c>
      <c r="X2889" s="122">
        <f t="shared" si="91"/>
        <v>31400</v>
      </c>
    </row>
    <row r="2890" spans="2:24">
      <c r="B2890" t="s">
        <v>387</v>
      </c>
      <c r="C2890" t="s">
        <v>64</v>
      </c>
      <c r="D2890" t="s">
        <v>427</v>
      </c>
      <c r="E2890" t="s">
        <v>427</v>
      </c>
      <c r="F2890" s="122">
        <v>15</v>
      </c>
      <c r="G2890" s="122">
        <v>1063</v>
      </c>
      <c r="H2890" s="122">
        <v>8218</v>
      </c>
      <c r="I2890" s="122">
        <v>389002</v>
      </c>
      <c r="J2890" s="122">
        <v>353639</v>
      </c>
      <c r="K2890" s="122">
        <v>54</v>
      </c>
      <c r="L2890" s="122">
        <v>52009</v>
      </c>
      <c r="M2890" s="122">
        <v>36657</v>
      </c>
      <c r="N2890" s="122">
        <v>19621</v>
      </c>
      <c r="O2890" s="122">
        <v>7267</v>
      </c>
      <c r="P2890" s="122">
        <v>4752</v>
      </c>
      <c r="Q2890" s="122">
        <v>1760</v>
      </c>
      <c r="R2890" s="122">
        <v>81559</v>
      </c>
      <c r="S2890" s="122">
        <v>74145</v>
      </c>
      <c r="T2890" s="122">
        <v>27973</v>
      </c>
      <c r="U2890" s="122">
        <v>10360</v>
      </c>
      <c r="V2890" s="122">
        <v>483828</v>
      </c>
      <c r="W2890" s="122">
        <f t="shared" si="90"/>
        <v>483828</v>
      </c>
      <c r="X2890" s="122">
        <f t="shared" si="91"/>
        <v>574916</v>
      </c>
    </row>
    <row r="2891" spans="2:24">
      <c r="B2891" t="s">
        <v>387</v>
      </c>
      <c r="C2891" t="s">
        <v>64</v>
      </c>
      <c r="D2891" t="s">
        <v>427</v>
      </c>
      <c r="E2891" t="s">
        <v>426</v>
      </c>
      <c r="F2891" s="122">
        <v>1</v>
      </c>
      <c r="G2891" s="122">
        <v>68</v>
      </c>
      <c r="H2891" s="122">
        <v>624</v>
      </c>
      <c r="I2891" s="122">
        <v>24475</v>
      </c>
      <c r="J2891" s="122">
        <v>22250</v>
      </c>
      <c r="K2891" s="122">
        <v>55</v>
      </c>
      <c r="L2891" s="122">
        <v>4732</v>
      </c>
      <c r="M2891" s="122">
        <v>4302</v>
      </c>
      <c r="N2891" s="122">
        <v>1667</v>
      </c>
      <c r="O2891" s="122">
        <v>617</v>
      </c>
      <c r="P2891" s="122">
        <v>351</v>
      </c>
      <c r="Q2891" s="122">
        <v>130</v>
      </c>
      <c r="R2891" s="122">
        <v>7187</v>
      </c>
      <c r="S2891" s="122">
        <v>6533</v>
      </c>
      <c r="T2891" s="122">
        <v>4235</v>
      </c>
      <c r="U2891" s="122">
        <v>1569</v>
      </c>
      <c r="V2891" s="122">
        <v>35401</v>
      </c>
      <c r="W2891" s="122">
        <f t="shared" si="90"/>
        <v>35401</v>
      </c>
      <c r="X2891" s="122">
        <f t="shared" si="91"/>
        <v>42647</v>
      </c>
    </row>
    <row r="2892" spans="2:24">
      <c r="B2892" t="s">
        <v>387</v>
      </c>
      <c r="C2892" t="s">
        <v>64</v>
      </c>
      <c r="D2892" t="s">
        <v>407</v>
      </c>
      <c r="E2892" t="s">
        <v>137</v>
      </c>
      <c r="F2892" s="122">
        <v>5</v>
      </c>
      <c r="G2892" s="122">
        <v>683</v>
      </c>
      <c r="H2892" s="122">
        <v>3909</v>
      </c>
      <c r="I2892" s="122">
        <v>480893</v>
      </c>
      <c r="J2892" s="122">
        <v>437175</v>
      </c>
      <c r="K2892" s="122">
        <v>49</v>
      </c>
      <c r="L2892" s="122">
        <v>42103</v>
      </c>
      <c r="M2892" s="122">
        <v>29677</v>
      </c>
      <c r="N2892" s="122">
        <v>16124</v>
      </c>
      <c r="O2892" s="122">
        <v>5972</v>
      </c>
      <c r="P2892" s="122">
        <v>945</v>
      </c>
      <c r="Q2892" s="122">
        <v>350</v>
      </c>
      <c r="R2892" s="122">
        <v>44773</v>
      </c>
      <c r="S2892" s="122">
        <v>16583</v>
      </c>
      <c r="T2892" s="122">
        <v>0</v>
      </c>
      <c r="U2892" s="122">
        <v>0</v>
      </c>
      <c r="V2892" s="122">
        <v>489756</v>
      </c>
      <c r="W2892" s="122">
        <f t="shared" si="90"/>
        <v>489757</v>
      </c>
      <c r="X2892" s="122">
        <f t="shared" si="91"/>
        <v>584838</v>
      </c>
    </row>
    <row r="2893" spans="2:24">
      <c r="B2893" t="s">
        <v>387</v>
      </c>
      <c r="C2893" t="s">
        <v>64</v>
      </c>
      <c r="D2893" t="s">
        <v>407</v>
      </c>
      <c r="E2893" t="s">
        <v>407</v>
      </c>
      <c r="F2893" s="122">
        <v>101</v>
      </c>
      <c r="G2893" s="122">
        <v>8125</v>
      </c>
      <c r="H2893" s="122">
        <v>52338</v>
      </c>
      <c r="I2893" s="122">
        <v>2637674</v>
      </c>
      <c r="J2893" s="122">
        <v>2397886</v>
      </c>
      <c r="K2893" s="122">
        <v>73</v>
      </c>
      <c r="L2893" s="122">
        <v>696935</v>
      </c>
      <c r="M2893" s="122">
        <v>607423</v>
      </c>
      <c r="N2893" s="122">
        <v>179584</v>
      </c>
      <c r="O2893" s="122">
        <v>66512</v>
      </c>
      <c r="P2893" s="122">
        <v>46724</v>
      </c>
      <c r="Q2893" s="122">
        <v>17305</v>
      </c>
      <c r="R2893" s="122">
        <v>502481</v>
      </c>
      <c r="S2893" s="122">
        <v>456801</v>
      </c>
      <c r="T2893" s="122">
        <v>157290</v>
      </c>
      <c r="U2893" s="122">
        <v>58256</v>
      </c>
      <c r="V2893" s="122">
        <v>3604182</v>
      </c>
      <c r="W2893" s="122">
        <f t="shared" si="90"/>
        <v>3604183</v>
      </c>
      <c r="X2893" s="122">
        <f t="shared" si="91"/>
        <v>4220688</v>
      </c>
    </row>
    <row r="2894" spans="2:24">
      <c r="B2894" t="s">
        <v>387</v>
      </c>
      <c r="C2894" t="s">
        <v>64</v>
      </c>
      <c r="D2894" t="s">
        <v>556</v>
      </c>
      <c r="E2894" t="s">
        <v>137</v>
      </c>
      <c r="F2894" s="122">
        <v>27</v>
      </c>
      <c r="G2894" s="122">
        <v>2300</v>
      </c>
      <c r="H2894" s="122">
        <v>24459</v>
      </c>
      <c r="I2894" s="122">
        <v>1779179</v>
      </c>
      <c r="J2894" s="122">
        <v>1482649</v>
      </c>
      <c r="K2894" s="122">
        <v>35</v>
      </c>
      <c r="L2894" s="122">
        <v>90682</v>
      </c>
      <c r="M2894" s="122">
        <v>48321</v>
      </c>
      <c r="N2894" s="122">
        <v>49417</v>
      </c>
      <c r="O2894" s="122">
        <v>18303</v>
      </c>
      <c r="P2894" s="122">
        <v>1755</v>
      </c>
      <c r="Q2894" s="122">
        <v>650</v>
      </c>
      <c r="R2894" s="122">
        <v>221307</v>
      </c>
      <c r="S2894" s="122">
        <v>81965</v>
      </c>
      <c r="T2894" s="122">
        <v>0</v>
      </c>
      <c r="U2894" s="122">
        <v>0</v>
      </c>
      <c r="V2894" s="122">
        <v>1631888</v>
      </c>
      <c r="W2894" s="122">
        <f t="shared" si="90"/>
        <v>1631888</v>
      </c>
      <c r="X2894" s="122">
        <f t="shared" si="91"/>
        <v>2142340</v>
      </c>
    </row>
    <row r="2895" spans="2:24">
      <c r="B2895" t="s">
        <v>387</v>
      </c>
      <c r="C2895" t="s">
        <v>64</v>
      </c>
      <c r="D2895" t="s">
        <v>556</v>
      </c>
      <c r="E2895" t="s">
        <v>407</v>
      </c>
      <c r="F2895" s="122">
        <v>1</v>
      </c>
      <c r="G2895" s="122">
        <v>213</v>
      </c>
      <c r="H2895" s="122">
        <v>1009</v>
      </c>
      <c r="I2895" s="122">
        <v>192262</v>
      </c>
      <c r="J2895" s="122">
        <v>160218</v>
      </c>
      <c r="K2895" s="122">
        <v>30</v>
      </c>
      <c r="L2895" s="122">
        <v>11749</v>
      </c>
      <c r="M2895" s="122">
        <v>10681</v>
      </c>
      <c r="N2895" s="122">
        <v>5200</v>
      </c>
      <c r="O2895" s="122">
        <v>1926</v>
      </c>
      <c r="P2895" s="122">
        <v>0</v>
      </c>
      <c r="Q2895" s="122">
        <v>0</v>
      </c>
      <c r="R2895" s="122">
        <v>6073</v>
      </c>
      <c r="S2895" s="122">
        <v>5521</v>
      </c>
      <c r="T2895" s="122">
        <v>0</v>
      </c>
      <c r="U2895" s="122">
        <v>0</v>
      </c>
      <c r="V2895" s="122">
        <v>178346</v>
      </c>
      <c r="W2895" s="122">
        <f t="shared" si="90"/>
        <v>178346</v>
      </c>
      <c r="X2895" s="122">
        <f t="shared" si="91"/>
        <v>215284</v>
      </c>
    </row>
    <row r="2896" spans="2:24">
      <c r="B2896" t="s">
        <v>387</v>
      </c>
      <c r="C2896" t="s">
        <v>64</v>
      </c>
      <c r="D2896" t="s">
        <v>556</v>
      </c>
      <c r="E2896" t="s">
        <v>556</v>
      </c>
      <c r="F2896" s="122">
        <v>42</v>
      </c>
      <c r="G2896" s="122">
        <v>3449</v>
      </c>
      <c r="H2896" s="122">
        <v>27192</v>
      </c>
      <c r="I2896" s="122">
        <v>1706181</v>
      </c>
      <c r="J2896" s="122">
        <v>1421818</v>
      </c>
      <c r="K2896" s="122">
        <v>53</v>
      </c>
      <c r="L2896" s="122">
        <v>172835</v>
      </c>
      <c r="M2896" s="122">
        <v>111370</v>
      </c>
      <c r="N2896" s="122">
        <v>74587</v>
      </c>
      <c r="O2896" s="122">
        <v>27625</v>
      </c>
      <c r="P2896" s="122">
        <v>11894</v>
      </c>
      <c r="Q2896" s="122">
        <v>4405</v>
      </c>
      <c r="R2896" s="122">
        <v>237636</v>
      </c>
      <c r="S2896" s="122">
        <v>198030</v>
      </c>
      <c r="T2896" s="122">
        <v>86668</v>
      </c>
      <c r="U2896" s="122">
        <v>32099</v>
      </c>
      <c r="V2896" s="122">
        <v>1795347</v>
      </c>
      <c r="W2896" s="122">
        <f t="shared" si="90"/>
        <v>1795347</v>
      </c>
      <c r="X2896" s="122">
        <f t="shared" si="91"/>
        <v>2289801</v>
      </c>
    </row>
    <row r="2897" spans="2:24">
      <c r="B2897" t="s">
        <v>387</v>
      </c>
      <c r="C2897" t="s">
        <v>64</v>
      </c>
      <c r="D2897" t="s">
        <v>428</v>
      </c>
      <c r="E2897" t="s">
        <v>428</v>
      </c>
      <c r="F2897" s="122">
        <v>1</v>
      </c>
      <c r="G2897" s="122">
        <v>39</v>
      </c>
      <c r="H2897" s="122">
        <v>723</v>
      </c>
      <c r="I2897" s="122">
        <v>19456</v>
      </c>
      <c r="J2897" s="122">
        <v>17687</v>
      </c>
      <c r="K2897" s="122">
        <v>55</v>
      </c>
      <c r="L2897" s="122">
        <v>2378</v>
      </c>
      <c r="M2897" s="122">
        <v>2162</v>
      </c>
      <c r="N2897" s="122">
        <v>941</v>
      </c>
      <c r="O2897" s="122">
        <v>348</v>
      </c>
      <c r="P2897" s="122">
        <v>351</v>
      </c>
      <c r="Q2897" s="122">
        <v>130</v>
      </c>
      <c r="R2897" s="122">
        <v>4764</v>
      </c>
      <c r="S2897" s="122">
        <v>4331</v>
      </c>
      <c r="T2897" s="122">
        <v>0</v>
      </c>
      <c r="U2897" s="122">
        <v>0</v>
      </c>
      <c r="V2897" s="122">
        <v>24658</v>
      </c>
      <c r="W2897" s="122">
        <f t="shared" si="90"/>
        <v>24658</v>
      </c>
      <c r="X2897" s="122">
        <f t="shared" si="91"/>
        <v>27890</v>
      </c>
    </row>
    <row r="2898" spans="2:24">
      <c r="B2898" t="s">
        <v>387</v>
      </c>
      <c r="C2898" t="s">
        <v>64</v>
      </c>
      <c r="D2898" t="s">
        <v>426</v>
      </c>
      <c r="E2898" t="s">
        <v>137</v>
      </c>
      <c r="F2898" s="122">
        <v>27</v>
      </c>
      <c r="G2898" s="122">
        <v>2203</v>
      </c>
      <c r="H2898" s="122">
        <v>24953</v>
      </c>
      <c r="I2898" s="122">
        <v>1693675</v>
      </c>
      <c r="J2898" s="122">
        <v>1539705</v>
      </c>
      <c r="K2898" s="122">
        <v>39</v>
      </c>
      <c r="L2898" s="122">
        <v>132917</v>
      </c>
      <c r="M2898" s="122">
        <v>68591</v>
      </c>
      <c r="N2898" s="122">
        <v>54271</v>
      </c>
      <c r="O2898" s="122">
        <v>20100</v>
      </c>
      <c r="P2898" s="122">
        <v>824</v>
      </c>
      <c r="Q2898" s="122">
        <v>305</v>
      </c>
      <c r="R2898" s="122">
        <v>201085</v>
      </c>
      <c r="S2898" s="122">
        <v>74476</v>
      </c>
      <c r="T2898" s="122">
        <v>0</v>
      </c>
      <c r="U2898" s="122">
        <v>0</v>
      </c>
      <c r="V2898" s="122">
        <v>1703177</v>
      </c>
      <c r="W2898" s="122">
        <f t="shared" si="90"/>
        <v>1703177</v>
      </c>
      <c r="X2898" s="122">
        <f t="shared" si="91"/>
        <v>2082772</v>
      </c>
    </row>
    <row r="2899" spans="2:24">
      <c r="B2899" t="s">
        <v>387</v>
      </c>
      <c r="C2899" t="s">
        <v>64</v>
      </c>
      <c r="D2899" t="s">
        <v>426</v>
      </c>
      <c r="E2899" t="s">
        <v>406</v>
      </c>
      <c r="F2899" s="122">
        <v>1</v>
      </c>
      <c r="G2899" s="122">
        <v>80</v>
      </c>
      <c r="H2899" s="122">
        <v>551</v>
      </c>
      <c r="I2899" s="122">
        <v>24864</v>
      </c>
      <c r="J2899" s="122">
        <v>22604</v>
      </c>
      <c r="K2899" s="122">
        <v>45</v>
      </c>
      <c r="L2899" s="122">
        <v>4144</v>
      </c>
      <c r="M2899" s="122">
        <v>3767</v>
      </c>
      <c r="N2899" s="122">
        <v>1399</v>
      </c>
      <c r="O2899" s="122">
        <v>518</v>
      </c>
      <c r="P2899" s="122">
        <v>351</v>
      </c>
      <c r="Q2899" s="122">
        <v>130</v>
      </c>
      <c r="R2899" s="122">
        <v>9082</v>
      </c>
      <c r="S2899" s="122">
        <v>8257</v>
      </c>
      <c r="T2899" s="122">
        <v>4398</v>
      </c>
      <c r="U2899" s="122">
        <v>1629</v>
      </c>
      <c r="V2899" s="122">
        <v>36905</v>
      </c>
      <c r="W2899" s="122">
        <f t="shared" si="90"/>
        <v>36905</v>
      </c>
      <c r="X2899" s="122">
        <f t="shared" si="91"/>
        <v>44238</v>
      </c>
    </row>
    <row r="2900" spans="2:24">
      <c r="B2900" t="s">
        <v>387</v>
      </c>
      <c r="C2900" t="s">
        <v>64</v>
      </c>
      <c r="D2900" t="s">
        <v>426</v>
      </c>
      <c r="E2900" t="s">
        <v>556</v>
      </c>
      <c r="F2900" s="122">
        <v>1</v>
      </c>
      <c r="G2900" s="122">
        <v>82</v>
      </c>
      <c r="H2900" s="122">
        <v>607</v>
      </c>
      <c r="I2900" s="122">
        <v>40262</v>
      </c>
      <c r="J2900" s="122">
        <v>36602</v>
      </c>
      <c r="K2900" s="122">
        <v>55</v>
      </c>
      <c r="L2900" s="122">
        <v>0</v>
      </c>
      <c r="M2900" s="122">
        <v>0</v>
      </c>
      <c r="N2900" s="122">
        <v>1640</v>
      </c>
      <c r="O2900" s="122">
        <v>607</v>
      </c>
      <c r="P2900" s="122">
        <v>351</v>
      </c>
      <c r="Q2900" s="122">
        <v>130</v>
      </c>
      <c r="R2900" s="122">
        <v>5383</v>
      </c>
      <c r="S2900" s="122">
        <v>4485</v>
      </c>
      <c r="T2900" s="122">
        <v>2194</v>
      </c>
      <c r="U2900" s="122">
        <v>812</v>
      </c>
      <c r="V2900" s="122">
        <v>42637</v>
      </c>
      <c r="W2900" s="122">
        <f t="shared" si="90"/>
        <v>42636</v>
      </c>
      <c r="X2900" s="122">
        <f t="shared" si="91"/>
        <v>49830</v>
      </c>
    </row>
    <row r="2901" spans="2:24">
      <c r="B2901" t="s">
        <v>387</v>
      </c>
      <c r="C2901" t="s">
        <v>64</v>
      </c>
      <c r="D2901" t="s">
        <v>426</v>
      </c>
      <c r="E2901" t="s">
        <v>426</v>
      </c>
      <c r="F2901" s="122">
        <v>74</v>
      </c>
      <c r="G2901" s="122">
        <v>5720</v>
      </c>
      <c r="H2901" s="122">
        <v>44157</v>
      </c>
      <c r="I2901" s="122">
        <v>2316259</v>
      </c>
      <c r="J2901" s="122">
        <v>2105690</v>
      </c>
      <c r="K2901" s="122">
        <v>54</v>
      </c>
      <c r="L2901" s="122">
        <v>255528</v>
      </c>
      <c r="M2901" s="122">
        <v>190983</v>
      </c>
      <c r="N2901" s="122">
        <v>123073</v>
      </c>
      <c r="O2901" s="122">
        <v>45582</v>
      </c>
      <c r="P2901" s="122">
        <v>23828</v>
      </c>
      <c r="Q2901" s="122">
        <v>8825</v>
      </c>
      <c r="R2901" s="122">
        <v>441948</v>
      </c>
      <c r="S2901" s="122">
        <v>401771</v>
      </c>
      <c r="T2901" s="122">
        <v>202699</v>
      </c>
      <c r="U2901" s="122">
        <v>75074</v>
      </c>
      <c r="V2901" s="122">
        <v>2827924</v>
      </c>
      <c r="W2901" s="122">
        <f t="shared" si="90"/>
        <v>2827925</v>
      </c>
      <c r="X2901" s="122">
        <f t="shared" si="91"/>
        <v>3363335</v>
      </c>
    </row>
    <row r="2902" spans="2:24">
      <c r="B2902" t="s">
        <v>387</v>
      </c>
      <c r="C2902" t="s">
        <v>64</v>
      </c>
      <c r="D2902" t="s">
        <v>433</v>
      </c>
      <c r="E2902" t="s">
        <v>137</v>
      </c>
      <c r="F2902" s="122">
        <v>2</v>
      </c>
      <c r="G2902" s="122">
        <v>167</v>
      </c>
      <c r="H2902" s="122">
        <v>1039</v>
      </c>
      <c r="I2902" s="122">
        <v>63872</v>
      </c>
      <c r="J2902" s="122">
        <v>58065</v>
      </c>
      <c r="K2902" s="122">
        <v>58</v>
      </c>
      <c r="L2902" s="122">
        <v>7097</v>
      </c>
      <c r="M2902" s="122">
        <v>6452</v>
      </c>
      <c r="N2902" s="122">
        <v>4074</v>
      </c>
      <c r="O2902" s="122">
        <v>1509</v>
      </c>
      <c r="P2902" s="122">
        <v>351</v>
      </c>
      <c r="Q2902" s="122">
        <v>130</v>
      </c>
      <c r="R2902" s="122">
        <v>12050</v>
      </c>
      <c r="S2902" s="122">
        <v>4463</v>
      </c>
      <c r="T2902" s="122">
        <v>0</v>
      </c>
      <c r="U2902" s="122">
        <v>0</v>
      </c>
      <c r="V2902" s="122">
        <v>70619</v>
      </c>
      <c r="W2902" s="122">
        <f t="shared" si="90"/>
        <v>70619</v>
      </c>
      <c r="X2902" s="122">
        <f t="shared" si="91"/>
        <v>87444</v>
      </c>
    </row>
    <row r="2903" spans="2:24">
      <c r="B2903" t="s">
        <v>387</v>
      </c>
      <c r="C2903" t="s">
        <v>64</v>
      </c>
      <c r="D2903" t="s">
        <v>433</v>
      </c>
      <c r="E2903" t="s">
        <v>433</v>
      </c>
      <c r="F2903" s="122">
        <v>6</v>
      </c>
      <c r="G2903" s="122">
        <v>473</v>
      </c>
      <c r="H2903" s="122">
        <v>4124</v>
      </c>
      <c r="I2903" s="122">
        <v>232293</v>
      </c>
      <c r="J2903" s="122">
        <v>211175</v>
      </c>
      <c r="K2903" s="122">
        <v>49</v>
      </c>
      <c r="L2903" s="122">
        <v>34932</v>
      </c>
      <c r="M2903" s="122">
        <v>27400</v>
      </c>
      <c r="N2903" s="122">
        <v>10271</v>
      </c>
      <c r="O2903" s="122">
        <v>3804</v>
      </c>
      <c r="P2903" s="122">
        <v>2106</v>
      </c>
      <c r="Q2903" s="122">
        <v>780</v>
      </c>
      <c r="R2903" s="122">
        <v>31117</v>
      </c>
      <c r="S2903" s="122">
        <v>28288</v>
      </c>
      <c r="T2903" s="122">
        <v>12711</v>
      </c>
      <c r="U2903" s="122">
        <v>4708</v>
      </c>
      <c r="V2903" s="122">
        <v>276155</v>
      </c>
      <c r="W2903" s="122">
        <f t="shared" si="90"/>
        <v>276155</v>
      </c>
      <c r="X2903" s="122">
        <f t="shared" si="91"/>
        <v>323430</v>
      </c>
    </row>
  </sheetData>
  <mergeCells count="1">
    <mergeCell ref="A1:I1"/>
  </mergeCells>
  <phoneticPr fontId="20" type="noConversion"/>
  <pageMargins left="0.7" right="0.7" top="0.75" bottom="0.75" header="0.3" footer="0.3"/>
  <pageSetup orientation="portrait" horizontalDpi="300" verticalDpi="300" r:id="rId1"/>
  <tableParts count="2">
    <tablePart r:id="rId2"/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641A2-9A50-41E7-AB09-F2EEA100C149}">
  <sheetPr codeName="Sheet18">
    <tabColor theme="6" tint="0.59999389629810485"/>
  </sheetPr>
  <dimension ref="A1:AV3431"/>
  <sheetViews>
    <sheetView workbookViewId="0">
      <selection sqref="A1:I1"/>
    </sheetView>
  </sheetViews>
  <sheetFormatPr defaultRowHeight="12.5"/>
  <cols>
    <col min="2" max="2" width="20.1796875" customWidth="1"/>
    <col min="3" max="3" width="25.453125" customWidth="1"/>
    <col min="4" max="4" width="22.26953125" customWidth="1"/>
    <col min="5" max="5" width="21.7265625" customWidth="1"/>
    <col min="6" max="7" width="16.7265625" customWidth="1"/>
    <col min="8" max="8" width="25.7265625" customWidth="1"/>
    <col min="9" max="9" width="28.26953125" customWidth="1"/>
    <col min="10" max="10" width="30.54296875" customWidth="1"/>
    <col min="11" max="11" width="25.453125" customWidth="1"/>
    <col min="12" max="12" width="26.453125" customWidth="1"/>
    <col min="13" max="13" width="22.81640625" customWidth="1"/>
    <col min="14" max="14" width="20.453125" customWidth="1"/>
    <col min="15" max="15" width="12.7265625" customWidth="1"/>
    <col min="16" max="25" width="25.453125" customWidth="1"/>
    <col min="26" max="26" width="12.7265625" customWidth="1"/>
    <col min="27" max="27" width="20.54296875" customWidth="1"/>
    <col min="28" max="28" width="23.81640625" customWidth="1"/>
    <col min="29" max="29" width="25.1796875" customWidth="1"/>
    <col min="30" max="30" width="22.453125" customWidth="1"/>
    <col min="31" max="31" width="17.54296875" customWidth="1"/>
    <col min="32" max="32" width="17.453125" customWidth="1"/>
    <col min="33" max="33" width="27.26953125" customWidth="1"/>
    <col min="34" max="34" width="30.54296875" customWidth="1"/>
    <col min="35" max="35" width="30.453125" customWidth="1"/>
    <col min="36" max="36" width="32" customWidth="1"/>
    <col min="37" max="37" width="33.7265625" customWidth="1"/>
    <col min="38" max="38" width="24.453125" customWidth="1"/>
    <col min="39" max="39" width="25.453125" customWidth="1"/>
    <col min="40" max="40" width="26.453125" customWidth="1"/>
    <col min="41" max="41" width="23.7265625" customWidth="1"/>
    <col min="42" max="42" width="26.1796875" customWidth="1"/>
    <col min="43" max="43" width="28" customWidth="1"/>
    <col min="44" max="44" width="36.54296875" customWidth="1"/>
    <col min="45" max="45" width="36.81640625" customWidth="1"/>
    <col min="46" max="46" width="24" customWidth="1"/>
    <col min="47" max="47" width="29.1796875" customWidth="1"/>
    <col min="48" max="48" width="26.26953125" customWidth="1"/>
  </cols>
  <sheetData>
    <row r="1" spans="1:48" ht="21">
      <c r="A1" s="1153" t="s">
        <v>482</v>
      </c>
      <c r="B1" s="1153"/>
      <c r="C1" s="1153"/>
      <c r="D1" s="1153"/>
      <c r="E1" s="1153"/>
      <c r="F1" s="1153"/>
      <c r="G1" s="1153"/>
      <c r="H1" s="1153"/>
      <c r="I1" s="1153"/>
    </row>
    <row r="2" spans="1:48" ht="13">
      <c r="AI2" s="66"/>
    </row>
    <row r="3" spans="1:48" ht="13">
      <c r="AI3" s="66"/>
    </row>
    <row r="4" spans="1:48" ht="13">
      <c r="B4" s="58"/>
      <c r="C4" s="58"/>
      <c r="D4" s="58"/>
      <c r="E4" s="58"/>
      <c r="F4" s="58" t="s">
        <v>361</v>
      </c>
      <c r="G4" s="58" t="s">
        <v>361</v>
      </c>
      <c r="H4" s="58" t="s">
        <v>361</v>
      </c>
      <c r="I4" s="58" t="s">
        <v>361</v>
      </c>
      <c r="J4" s="58" t="s">
        <v>361</v>
      </c>
      <c r="K4" s="58" t="s">
        <v>361</v>
      </c>
      <c r="L4" s="58" t="s">
        <v>361</v>
      </c>
      <c r="M4" s="58" t="s">
        <v>361</v>
      </c>
      <c r="N4" s="58" t="s">
        <v>361</v>
      </c>
      <c r="O4" s="58" t="s">
        <v>361</v>
      </c>
      <c r="P4" s="58" t="s">
        <v>361</v>
      </c>
      <c r="Q4" s="58" t="s">
        <v>361</v>
      </c>
      <c r="R4" s="58" t="s">
        <v>361</v>
      </c>
      <c r="S4" s="58" t="s">
        <v>361</v>
      </c>
      <c r="T4" s="58" t="s">
        <v>361</v>
      </c>
      <c r="U4" s="58" t="s">
        <v>361</v>
      </c>
      <c r="V4" s="58" t="s">
        <v>361</v>
      </c>
      <c r="W4" s="58" t="s">
        <v>414</v>
      </c>
      <c r="X4" s="58" t="s">
        <v>414</v>
      </c>
      <c r="Y4" s="58"/>
      <c r="AD4" t="s">
        <v>361</v>
      </c>
      <c r="AE4" t="s">
        <v>361</v>
      </c>
      <c r="AF4" t="s">
        <v>361</v>
      </c>
      <c r="AG4" t="s">
        <v>361</v>
      </c>
      <c r="AH4" t="s">
        <v>361</v>
      </c>
      <c r="AI4" s="66" t="s">
        <v>361</v>
      </c>
      <c r="AJ4" t="s">
        <v>361</v>
      </c>
      <c r="AK4" t="s">
        <v>361</v>
      </c>
      <c r="AL4" t="s">
        <v>361</v>
      </c>
      <c r="AM4" t="s">
        <v>361</v>
      </c>
      <c r="AN4" t="s">
        <v>361</v>
      </c>
      <c r="AO4" t="s">
        <v>361</v>
      </c>
      <c r="AP4" t="s">
        <v>361</v>
      </c>
      <c r="AQ4" t="s">
        <v>361</v>
      </c>
      <c r="AR4" t="s">
        <v>361</v>
      </c>
      <c r="AS4" t="s">
        <v>361</v>
      </c>
      <c r="AT4" t="s">
        <v>361</v>
      </c>
      <c r="AU4" s="58" t="s">
        <v>414</v>
      </c>
      <c r="AV4" s="58" t="s">
        <v>414</v>
      </c>
    </row>
    <row r="5" spans="1:48" ht="13">
      <c r="F5" t="s">
        <v>46</v>
      </c>
      <c r="G5" t="s">
        <v>46</v>
      </c>
      <c r="H5" t="s">
        <v>46</v>
      </c>
      <c r="I5" t="s">
        <v>46</v>
      </c>
      <c r="J5" t="s">
        <v>46</v>
      </c>
      <c r="K5" t="s">
        <v>46</v>
      </c>
      <c r="L5" t="s">
        <v>46</v>
      </c>
      <c r="M5" t="s">
        <v>46</v>
      </c>
      <c r="N5" t="s">
        <v>46</v>
      </c>
      <c r="O5" t="s">
        <v>46</v>
      </c>
      <c r="P5" t="s">
        <v>46</v>
      </c>
      <c r="Q5" t="s">
        <v>46</v>
      </c>
      <c r="R5" t="s">
        <v>46</v>
      </c>
      <c r="S5" t="s">
        <v>46</v>
      </c>
      <c r="T5" t="s">
        <v>46</v>
      </c>
      <c r="U5" t="s">
        <v>46</v>
      </c>
      <c r="V5" t="s">
        <v>46</v>
      </c>
      <c r="AD5" t="s">
        <v>46</v>
      </c>
      <c r="AE5" t="s">
        <v>46</v>
      </c>
      <c r="AF5" t="s">
        <v>46</v>
      </c>
      <c r="AG5" t="s">
        <v>46</v>
      </c>
      <c r="AH5" t="s">
        <v>46</v>
      </c>
      <c r="AI5" s="66" t="s">
        <v>46</v>
      </c>
      <c r="AJ5" t="s">
        <v>46</v>
      </c>
      <c r="AK5" t="s">
        <v>46</v>
      </c>
      <c r="AL5" t="s">
        <v>46</v>
      </c>
      <c r="AM5" t="s">
        <v>46</v>
      </c>
      <c r="AN5" t="s">
        <v>46</v>
      </c>
      <c r="AO5" t="s">
        <v>46</v>
      </c>
      <c r="AP5" t="s">
        <v>46</v>
      </c>
      <c r="AQ5" t="s">
        <v>46</v>
      </c>
      <c r="AR5" t="s">
        <v>46</v>
      </c>
      <c r="AS5" t="s">
        <v>46</v>
      </c>
      <c r="AT5" t="s">
        <v>46</v>
      </c>
    </row>
    <row r="6" spans="1:48">
      <c r="B6" t="s">
        <v>360</v>
      </c>
      <c r="C6" t="s">
        <v>288</v>
      </c>
      <c r="D6" t="s">
        <v>393</v>
      </c>
      <c r="E6" t="s">
        <v>410</v>
      </c>
      <c r="F6" t="s">
        <v>398</v>
      </c>
      <c r="G6" t="s">
        <v>399</v>
      </c>
      <c r="H6" t="s">
        <v>415</v>
      </c>
      <c r="I6" t="s">
        <v>394</v>
      </c>
      <c r="J6" t="s">
        <v>395</v>
      </c>
      <c r="K6" t="s">
        <v>400</v>
      </c>
      <c r="L6" t="s">
        <v>396</v>
      </c>
      <c r="M6" t="s">
        <v>397</v>
      </c>
      <c r="N6" t="s">
        <v>416</v>
      </c>
      <c r="O6" t="s">
        <v>417</v>
      </c>
      <c r="P6" t="s">
        <v>418</v>
      </c>
      <c r="Q6" t="s">
        <v>419</v>
      </c>
      <c r="R6" t="s">
        <v>420</v>
      </c>
      <c r="S6" t="s">
        <v>421</v>
      </c>
      <c r="T6" t="s">
        <v>422</v>
      </c>
      <c r="U6" t="s">
        <v>423</v>
      </c>
      <c r="V6" t="s">
        <v>424</v>
      </c>
      <c r="W6" s="211" t="s">
        <v>402</v>
      </c>
      <c r="X6" s="211" t="s">
        <v>401</v>
      </c>
      <c r="Y6" s="58"/>
      <c r="AA6" t="s">
        <v>288</v>
      </c>
      <c r="AB6" t="s">
        <v>393</v>
      </c>
      <c r="AC6" t="s">
        <v>576</v>
      </c>
      <c r="AD6" t="s">
        <v>410</v>
      </c>
      <c r="AE6" t="s">
        <v>577</v>
      </c>
      <c r="AF6" t="s">
        <v>398</v>
      </c>
      <c r="AG6" s="122" t="s">
        <v>399</v>
      </c>
      <c r="AH6" s="122" t="s">
        <v>415</v>
      </c>
      <c r="AI6" t="s">
        <v>394</v>
      </c>
      <c r="AJ6" t="s">
        <v>395</v>
      </c>
      <c r="AK6" t="s">
        <v>400</v>
      </c>
      <c r="AL6" t="s">
        <v>396</v>
      </c>
      <c r="AM6" t="s">
        <v>397</v>
      </c>
      <c r="AN6" s="122" t="s">
        <v>416</v>
      </c>
      <c r="AO6" s="122" t="s">
        <v>417</v>
      </c>
      <c r="AP6" s="122" t="s">
        <v>418</v>
      </c>
      <c r="AQ6" s="122" t="s">
        <v>419</v>
      </c>
      <c r="AR6" t="s">
        <v>420</v>
      </c>
      <c r="AS6" t="s">
        <v>421</v>
      </c>
      <c r="AT6" t="s">
        <v>422</v>
      </c>
      <c r="AU6" t="s">
        <v>423</v>
      </c>
      <c r="AV6" s="122" t="s">
        <v>424</v>
      </c>
    </row>
    <row r="7" spans="1:48" hidden="1">
      <c r="B7" t="s">
        <v>362</v>
      </c>
      <c r="C7" t="s">
        <v>48</v>
      </c>
      <c r="D7" t="s">
        <v>137</v>
      </c>
      <c r="E7" t="s">
        <v>137</v>
      </c>
      <c r="F7">
        <v>73</v>
      </c>
      <c r="G7" s="122">
        <v>15636</v>
      </c>
      <c r="H7" s="122">
        <v>3955</v>
      </c>
      <c r="I7" s="122">
        <v>126061</v>
      </c>
      <c r="J7" s="122">
        <v>46689</v>
      </c>
      <c r="K7">
        <v>463</v>
      </c>
      <c r="L7" s="122">
        <v>34241</v>
      </c>
      <c r="M7" s="122">
        <v>30241</v>
      </c>
      <c r="N7" s="122">
        <v>207513</v>
      </c>
      <c r="O7" s="122">
        <v>76857</v>
      </c>
      <c r="P7" s="122">
        <v>97519</v>
      </c>
      <c r="Q7" s="122">
        <v>36118</v>
      </c>
      <c r="R7" s="122">
        <v>374524</v>
      </c>
      <c r="S7" s="122">
        <v>138713</v>
      </c>
      <c r="T7">
        <v>0</v>
      </c>
      <c r="U7">
        <v>0</v>
      </c>
      <c r="V7" s="122">
        <v>328618</v>
      </c>
      <c r="W7" s="122">
        <f t="shared" ref="W7:W70" si="0">SUM(ABS(J7),ABS(M7),ABS(O7),ABS(Q7),ABS(S7),ABS(U7))</f>
        <v>328618</v>
      </c>
      <c r="X7" s="122">
        <f t="shared" ref="X7:X70" si="1">SUM(ABS(I7),ABS(N7),ABS(P7),ABS(R7),ABS(T7),ABS(L7))</f>
        <v>839858</v>
      </c>
      <c r="Y7" s="122"/>
      <c r="AA7" t="s">
        <v>48</v>
      </c>
      <c r="AC7" t="s">
        <v>566</v>
      </c>
      <c r="AE7" t="s">
        <v>566</v>
      </c>
      <c r="AF7">
        <v>32</v>
      </c>
      <c r="AG7" s="122">
        <v>5529</v>
      </c>
      <c r="AH7" s="122">
        <v>1906</v>
      </c>
      <c r="AI7" s="122"/>
      <c r="AJ7" s="122">
        <v>0</v>
      </c>
      <c r="AM7">
        <v>0</v>
      </c>
      <c r="AN7" s="122">
        <v>69311</v>
      </c>
      <c r="AO7" s="122">
        <v>25671</v>
      </c>
      <c r="AP7" s="122">
        <v>24466</v>
      </c>
      <c r="AQ7" s="122">
        <v>9061</v>
      </c>
      <c r="AR7" s="122"/>
      <c r="AS7" s="122">
        <v>0</v>
      </c>
      <c r="AT7">
        <v>0</v>
      </c>
      <c r="AU7">
        <v>0</v>
      </c>
      <c r="AV7" s="122">
        <v>34732</v>
      </c>
    </row>
    <row r="8" spans="1:48" ht="12.75" customHeight="1">
      <c r="B8" t="s">
        <v>362</v>
      </c>
      <c r="C8" t="s">
        <v>48</v>
      </c>
      <c r="D8" t="s">
        <v>406</v>
      </c>
      <c r="E8" t="s">
        <v>137</v>
      </c>
      <c r="F8">
        <v>2</v>
      </c>
      <c r="G8" s="122">
        <v>334</v>
      </c>
      <c r="H8" s="122">
        <v>125</v>
      </c>
      <c r="I8" s="122">
        <v>7116</v>
      </c>
      <c r="J8" s="122">
        <v>6469</v>
      </c>
      <c r="K8">
        <v>94</v>
      </c>
      <c r="L8" s="122">
        <v>1050</v>
      </c>
      <c r="M8" s="122">
        <v>955</v>
      </c>
      <c r="N8" s="122">
        <v>4258</v>
      </c>
      <c r="O8" s="122">
        <v>1577</v>
      </c>
      <c r="P8" s="122">
        <v>2830</v>
      </c>
      <c r="Q8" s="122">
        <v>1048</v>
      </c>
      <c r="R8" s="122">
        <v>5645</v>
      </c>
      <c r="S8" s="122">
        <v>2091</v>
      </c>
      <c r="T8">
        <v>0</v>
      </c>
      <c r="U8">
        <v>0</v>
      </c>
      <c r="V8" s="122">
        <v>12140</v>
      </c>
      <c r="W8" s="122">
        <f t="shared" si="0"/>
        <v>12140</v>
      </c>
      <c r="X8" s="122">
        <f t="shared" si="1"/>
        <v>20899</v>
      </c>
      <c r="Y8" s="122"/>
      <c r="AA8" t="s">
        <v>48</v>
      </c>
      <c r="AB8" t="s">
        <v>425</v>
      </c>
      <c r="AC8" t="s">
        <v>426</v>
      </c>
      <c r="AD8" t="s">
        <v>425</v>
      </c>
      <c r="AE8" t="s">
        <v>137</v>
      </c>
      <c r="AF8">
        <v>1</v>
      </c>
      <c r="AG8">
        <v>179</v>
      </c>
      <c r="AH8">
        <v>74</v>
      </c>
      <c r="AI8" s="122">
        <v>6069</v>
      </c>
      <c r="AJ8" s="122">
        <v>5518</v>
      </c>
      <c r="AK8">
        <v>91</v>
      </c>
      <c r="AL8" s="122">
        <v>800</v>
      </c>
      <c r="AM8" s="122">
        <v>727</v>
      </c>
      <c r="AN8" s="122">
        <v>2178</v>
      </c>
      <c r="AO8" s="122">
        <v>807</v>
      </c>
      <c r="AP8" s="122">
        <v>473</v>
      </c>
      <c r="AQ8">
        <v>175</v>
      </c>
      <c r="AR8" s="122">
        <v>3755</v>
      </c>
      <c r="AS8" s="122">
        <v>3414</v>
      </c>
      <c r="AT8">
        <v>0</v>
      </c>
      <c r="AU8">
        <v>0</v>
      </c>
      <c r="AV8" s="122">
        <v>10641</v>
      </c>
    </row>
    <row r="9" spans="1:48" ht="12.75" hidden="1" customHeight="1">
      <c r="B9" t="s">
        <v>362</v>
      </c>
      <c r="C9" t="s">
        <v>48</v>
      </c>
      <c r="D9" t="s">
        <v>406</v>
      </c>
      <c r="E9" t="s">
        <v>406</v>
      </c>
      <c r="F9">
        <v>49</v>
      </c>
      <c r="G9" s="122">
        <v>9073</v>
      </c>
      <c r="H9" s="122">
        <v>2957</v>
      </c>
      <c r="I9" s="122">
        <v>170315</v>
      </c>
      <c r="J9" s="122">
        <v>154832</v>
      </c>
      <c r="K9">
        <v>94</v>
      </c>
      <c r="L9" s="122">
        <v>16272</v>
      </c>
      <c r="M9" s="122">
        <v>14613</v>
      </c>
      <c r="N9" s="122">
        <v>111873</v>
      </c>
      <c r="O9" s="122">
        <v>41435</v>
      </c>
      <c r="P9" s="122">
        <v>42908</v>
      </c>
      <c r="Q9" s="122">
        <v>15892</v>
      </c>
      <c r="R9" s="122">
        <v>196748</v>
      </c>
      <c r="S9" s="122">
        <v>178862</v>
      </c>
      <c r="T9" s="122">
        <v>1515</v>
      </c>
      <c r="U9">
        <v>561</v>
      </c>
      <c r="V9" s="122">
        <v>406194</v>
      </c>
      <c r="W9" s="122">
        <f t="shared" si="0"/>
        <v>406195</v>
      </c>
      <c r="X9" s="122">
        <f t="shared" si="1"/>
        <v>539631</v>
      </c>
      <c r="Y9" s="122"/>
      <c r="AA9" t="s">
        <v>48</v>
      </c>
      <c r="AB9" t="s">
        <v>425</v>
      </c>
      <c r="AC9" t="s">
        <v>426</v>
      </c>
      <c r="AD9" t="s">
        <v>425</v>
      </c>
      <c r="AE9" t="s">
        <v>566</v>
      </c>
      <c r="AF9">
        <v>2</v>
      </c>
      <c r="AG9">
        <v>384</v>
      </c>
      <c r="AH9">
        <v>140</v>
      </c>
      <c r="AI9" s="122">
        <v>8816</v>
      </c>
      <c r="AJ9" s="122">
        <v>8014</v>
      </c>
      <c r="AK9">
        <v>92</v>
      </c>
      <c r="AL9" s="122">
        <v>1235</v>
      </c>
      <c r="AM9" s="122">
        <v>1123</v>
      </c>
      <c r="AN9" s="122">
        <v>4911</v>
      </c>
      <c r="AO9" s="122">
        <v>1819</v>
      </c>
      <c r="AP9" s="122">
        <v>2164</v>
      </c>
      <c r="AQ9" s="122">
        <v>802</v>
      </c>
      <c r="AR9" s="122">
        <v>9788</v>
      </c>
      <c r="AS9" s="122">
        <v>8898</v>
      </c>
      <c r="AT9">
        <v>0</v>
      </c>
      <c r="AU9">
        <v>0</v>
      </c>
      <c r="AV9" s="122">
        <v>20656</v>
      </c>
    </row>
    <row r="10" spans="1:48" ht="12.75" hidden="1" customHeight="1">
      <c r="B10" t="s">
        <v>362</v>
      </c>
      <c r="C10" t="s">
        <v>48</v>
      </c>
      <c r="D10" t="s">
        <v>407</v>
      </c>
      <c r="E10" t="s">
        <v>137</v>
      </c>
      <c r="F10">
        <v>1</v>
      </c>
      <c r="G10">
        <v>232</v>
      </c>
      <c r="H10">
        <v>59</v>
      </c>
      <c r="I10" s="122">
        <v>5671</v>
      </c>
      <c r="J10" s="122">
        <v>5155</v>
      </c>
      <c r="K10">
        <v>90</v>
      </c>
      <c r="L10" s="122">
        <v>0</v>
      </c>
      <c r="M10" s="122">
        <v>0</v>
      </c>
      <c r="N10" s="122">
        <v>2824</v>
      </c>
      <c r="O10" s="122">
        <v>1046</v>
      </c>
      <c r="P10" s="122">
        <v>473</v>
      </c>
      <c r="Q10">
        <v>175</v>
      </c>
      <c r="R10" s="122">
        <v>4639</v>
      </c>
      <c r="S10" s="122">
        <v>1718</v>
      </c>
      <c r="T10">
        <v>0</v>
      </c>
      <c r="U10">
        <v>0</v>
      </c>
      <c r="V10" s="122">
        <v>8094</v>
      </c>
      <c r="W10" s="122">
        <f t="shared" si="0"/>
        <v>8094</v>
      </c>
      <c r="X10" s="122">
        <f t="shared" si="1"/>
        <v>13607</v>
      </c>
      <c r="Y10" s="122"/>
      <c r="AA10" t="s">
        <v>48</v>
      </c>
      <c r="AB10" t="s">
        <v>425</v>
      </c>
      <c r="AC10" t="s">
        <v>433</v>
      </c>
      <c r="AD10" t="s">
        <v>425</v>
      </c>
      <c r="AE10" t="s">
        <v>566</v>
      </c>
      <c r="AF10">
        <v>2</v>
      </c>
      <c r="AG10" s="122">
        <v>504</v>
      </c>
      <c r="AH10">
        <v>143</v>
      </c>
      <c r="AI10" s="122">
        <v>14882</v>
      </c>
      <c r="AJ10" s="122">
        <v>13529</v>
      </c>
      <c r="AK10">
        <v>91</v>
      </c>
      <c r="AL10" s="122">
        <v>2181</v>
      </c>
      <c r="AM10" s="122">
        <v>1983</v>
      </c>
      <c r="AN10" s="122">
        <v>7857</v>
      </c>
      <c r="AO10" s="122">
        <v>2910</v>
      </c>
      <c r="AP10" s="122">
        <v>3436</v>
      </c>
      <c r="AQ10" s="122">
        <v>1273</v>
      </c>
      <c r="AR10" s="122">
        <v>7781</v>
      </c>
      <c r="AS10" s="122">
        <v>7074</v>
      </c>
      <c r="AT10">
        <v>0</v>
      </c>
      <c r="AU10">
        <v>0</v>
      </c>
      <c r="AV10" s="122">
        <v>26768</v>
      </c>
    </row>
    <row r="11" spans="1:48" ht="12.75" hidden="1" customHeight="1">
      <c r="B11" t="s">
        <v>362</v>
      </c>
      <c r="C11" t="s">
        <v>48</v>
      </c>
      <c r="D11" t="s">
        <v>407</v>
      </c>
      <c r="E11" t="s">
        <v>407</v>
      </c>
      <c r="F11">
        <v>6</v>
      </c>
      <c r="G11" s="122">
        <v>1063</v>
      </c>
      <c r="H11" s="122">
        <v>329</v>
      </c>
      <c r="I11" s="122">
        <v>12550</v>
      </c>
      <c r="J11" s="122">
        <v>11410</v>
      </c>
      <c r="K11">
        <v>91</v>
      </c>
      <c r="L11" s="122">
        <v>1744</v>
      </c>
      <c r="M11" s="122">
        <v>1551</v>
      </c>
      <c r="N11" s="122">
        <v>12950</v>
      </c>
      <c r="O11" s="122">
        <v>4796</v>
      </c>
      <c r="P11" s="122">
        <v>9557</v>
      </c>
      <c r="Q11" s="122">
        <v>3539</v>
      </c>
      <c r="R11" s="122">
        <v>20354</v>
      </c>
      <c r="S11" s="122">
        <v>18504</v>
      </c>
      <c r="T11">
        <v>0</v>
      </c>
      <c r="U11">
        <v>0</v>
      </c>
      <c r="V11" s="122">
        <v>39800</v>
      </c>
      <c r="W11" s="122">
        <f t="shared" si="0"/>
        <v>39800</v>
      </c>
      <c r="X11" s="122">
        <f t="shared" si="1"/>
        <v>57155</v>
      </c>
      <c r="Y11" s="122"/>
      <c r="AA11" t="s">
        <v>48</v>
      </c>
      <c r="AB11" t="s">
        <v>405</v>
      </c>
      <c r="AC11" t="s">
        <v>405</v>
      </c>
      <c r="AD11" t="s">
        <v>405</v>
      </c>
      <c r="AE11" t="s">
        <v>566</v>
      </c>
      <c r="AF11">
        <v>14</v>
      </c>
      <c r="AG11" s="122">
        <v>1936</v>
      </c>
      <c r="AH11">
        <v>796</v>
      </c>
      <c r="AI11" s="122">
        <v>24266</v>
      </c>
      <c r="AJ11" s="122">
        <v>22060</v>
      </c>
      <c r="AK11">
        <v>92</v>
      </c>
      <c r="AL11" s="122">
        <v>2302</v>
      </c>
      <c r="AM11" s="122">
        <v>2093</v>
      </c>
      <c r="AN11" s="122">
        <v>36452</v>
      </c>
      <c r="AO11" s="122">
        <v>13501</v>
      </c>
      <c r="AP11" s="122">
        <v>22632</v>
      </c>
      <c r="AQ11" s="122">
        <v>8382</v>
      </c>
      <c r="AR11" s="122">
        <v>36670</v>
      </c>
      <c r="AS11" s="122">
        <v>33337</v>
      </c>
      <c r="AT11">
        <v>0</v>
      </c>
      <c r="AU11">
        <v>0</v>
      </c>
      <c r="AV11" s="122">
        <v>79372</v>
      </c>
    </row>
    <row r="12" spans="1:48" ht="12.75" hidden="1" customHeight="1">
      <c r="B12" t="s">
        <v>362</v>
      </c>
      <c r="C12" t="s">
        <v>50</v>
      </c>
      <c r="D12" t="s">
        <v>405</v>
      </c>
      <c r="E12" t="s">
        <v>405</v>
      </c>
      <c r="F12">
        <v>1</v>
      </c>
      <c r="G12" s="122">
        <v>256</v>
      </c>
      <c r="H12" s="122">
        <v>96</v>
      </c>
      <c r="I12" s="122">
        <v>11984</v>
      </c>
      <c r="J12" s="122">
        <v>10894</v>
      </c>
      <c r="K12">
        <v>91</v>
      </c>
      <c r="L12" s="122">
        <v>2039</v>
      </c>
      <c r="M12" s="122">
        <v>1854</v>
      </c>
      <c r="N12" s="122">
        <v>3432</v>
      </c>
      <c r="O12" s="122">
        <v>1271</v>
      </c>
      <c r="P12" s="122">
        <v>3020</v>
      </c>
      <c r="Q12" s="122">
        <v>1119</v>
      </c>
      <c r="R12" s="122">
        <v>4178</v>
      </c>
      <c r="S12" s="122">
        <v>3798</v>
      </c>
      <c r="T12">
        <v>0</v>
      </c>
      <c r="U12">
        <v>0</v>
      </c>
      <c r="V12" s="122">
        <v>18936</v>
      </c>
      <c r="W12" s="122">
        <f t="shared" si="0"/>
        <v>18936</v>
      </c>
      <c r="X12" s="122">
        <f t="shared" si="1"/>
        <v>24653</v>
      </c>
      <c r="Y12" s="122"/>
      <c r="AA12" t="s">
        <v>48</v>
      </c>
      <c r="AB12" t="s">
        <v>405</v>
      </c>
      <c r="AC12" t="s">
        <v>405</v>
      </c>
      <c r="AD12" t="s">
        <v>137</v>
      </c>
      <c r="AE12" t="s">
        <v>566</v>
      </c>
      <c r="AF12">
        <v>1</v>
      </c>
      <c r="AG12">
        <v>242</v>
      </c>
      <c r="AH12">
        <v>75</v>
      </c>
      <c r="AI12" s="122">
        <v>8440</v>
      </c>
      <c r="AJ12" s="122">
        <v>7673</v>
      </c>
      <c r="AK12">
        <v>92</v>
      </c>
      <c r="AL12" s="122">
        <v>2157</v>
      </c>
      <c r="AM12" s="122">
        <v>1961</v>
      </c>
      <c r="AN12" s="122">
        <v>2953</v>
      </c>
      <c r="AO12" s="122">
        <v>1094</v>
      </c>
      <c r="AP12" s="122">
        <v>473</v>
      </c>
      <c r="AQ12" s="122">
        <v>175</v>
      </c>
      <c r="AR12" s="122">
        <v>4100</v>
      </c>
      <c r="AS12" s="122">
        <v>1519</v>
      </c>
      <c r="AT12">
        <v>0</v>
      </c>
      <c r="AU12">
        <v>0</v>
      </c>
      <c r="AV12" s="122">
        <v>12421</v>
      </c>
    </row>
    <row r="13" spans="1:48" ht="12.75" hidden="1" customHeight="1">
      <c r="B13" t="s">
        <v>362</v>
      </c>
      <c r="C13" t="s">
        <v>50</v>
      </c>
      <c r="D13" t="s">
        <v>137</v>
      </c>
      <c r="E13" t="s">
        <v>137</v>
      </c>
      <c r="F13">
        <v>9</v>
      </c>
      <c r="G13" s="122">
        <v>2491</v>
      </c>
      <c r="H13" s="122">
        <v>834</v>
      </c>
      <c r="I13" s="122">
        <v>113662</v>
      </c>
      <c r="J13" s="122">
        <v>42097</v>
      </c>
      <c r="K13">
        <v>343</v>
      </c>
      <c r="L13" s="122">
        <v>34432</v>
      </c>
      <c r="M13" s="122">
        <v>31302</v>
      </c>
      <c r="N13" s="122">
        <v>44246</v>
      </c>
      <c r="O13" s="122">
        <v>16388</v>
      </c>
      <c r="P13" s="122">
        <v>4334</v>
      </c>
      <c r="Q13" s="122">
        <v>1605</v>
      </c>
      <c r="R13" s="122">
        <v>61291</v>
      </c>
      <c r="S13" s="122">
        <v>22700</v>
      </c>
      <c r="T13">
        <v>0</v>
      </c>
      <c r="U13">
        <v>0</v>
      </c>
      <c r="V13" s="122">
        <v>114092</v>
      </c>
      <c r="W13" s="122">
        <f t="shared" si="0"/>
        <v>114092</v>
      </c>
      <c r="X13" s="122">
        <f t="shared" si="1"/>
        <v>257965</v>
      </c>
      <c r="Y13" s="122"/>
      <c r="AA13" t="s">
        <v>48</v>
      </c>
      <c r="AB13" t="s">
        <v>405</v>
      </c>
      <c r="AC13" t="s">
        <v>427</v>
      </c>
      <c r="AD13" t="s">
        <v>405</v>
      </c>
      <c r="AE13" t="s">
        <v>566</v>
      </c>
      <c r="AF13">
        <v>1</v>
      </c>
      <c r="AG13">
        <v>281</v>
      </c>
      <c r="AH13">
        <v>71</v>
      </c>
      <c r="AI13" s="122">
        <v>8156</v>
      </c>
      <c r="AJ13" s="122">
        <v>7415</v>
      </c>
      <c r="AK13">
        <v>92</v>
      </c>
      <c r="AL13" s="122">
        <v>1287</v>
      </c>
      <c r="AM13" s="122">
        <v>1170</v>
      </c>
      <c r="AN13" s="122">
        <v>3426</v>
      </c>
      <c r="AO13" s="122">
        <v>1269</v>
      </c>
      <c r="AP13" s="122">
        <v>2801</v>
      </c>
      <c r="AQ13" s="122">
        <v>1037</v>
      </c>
      <c r="AR13" s="122">
        <v>4395</v>
      </c>
      <c r="AS13" s="122">
        <v>3996</v>
      </c>
      <c r="AT13">
        <v>0</v>
      </c>
      <c r="AU13">
        <v>0</v>
      </c>
      <c r="AV13" s="122">
        <v>14886</v>
      </c>
    </row>
    <row r="14" spans="1:48" ht="12.75" hidden="1" customHeight="1">
      <c r="B14" t="s">
        <v>362</v>
      </c>
      <c r="C14" t="s">
        <v>50</v>
      </c>
      <c r="D14" t="s">
        <v>406</v>
      </c>
      <c r="E14" t="s">
        <v>406</v>
      </c>
      <c r="F14">
        <v>31</v>
      </c>
      <c r="G14" s="122">
        <v>6010</v>
      </c>
      <c r="H14" s="122">
        <v>2738</v>
      </c>
      <c r="I14" s="122">
        <v>280517</v>
      </c>
      <c r="J14" s="122">
        <v>255016</v>
      </c>
      <c r="K14">
        <v>94</v>
      </c>
      <c r="L14" s="122">
        <v>45825</v>
      </c>
      <c r="M14" s="122">
        <v>41659</v>
      </c>
      <c r="N14" s="122">
        <v>81570</v>
      </c>
      <c r="O14" s="122">
        <v>30211</v>
      </c>
      <c r="P14" s="122">
        <v>21941</v>
      </c>
      <c r="Q14" s="122">
        <v>8126</v>
      </c>
      <c r="R14" s="122">
        <v>105474</v>
      </c>
      <c r="S14" s="122">
        <v>95886</v>
      </c>
      <c r="T14" s="122">
        <v>2587</v>
      </c>
      <c r="U14">
        <v>958</v>
      </c>
      <c r="V14" s="122">
        <v>431856</v>
      </c>
      <c r="W14" s="122">
        <f t="shared" si="0"/>
        <v>431856</v>
      </c>
      <c r="X14" s="122">
        <f t="shared" si="1"/>
        <v>537914</v>
      </c>
      <c r="Y14" s="122"/>
      <c r="AA14" t="s">
        <v>48</v>
      </c>
      <c r="AB14" t="s">
        <v>405</v>
      </c>
      <c r="AC14" t="s">
        <v>579</v>
      </c>
      <c r="AD14" t="s">
        <v>405</v>
      </c>
      <c r="AE14" t="s">
        <v>566</v>
      </c>
      <c r="AF14">
        <v>2</v>
      </c>
      <c r="AG14" s="122">
        <v>293</v>
      </c>
      <c r="AH14">
        <v>114</v>
      </c>
      <c r="AI14" s="122">
        <v>2970</v>
      </c>
      <c r="AJ14" s="122">
        <v>2700</v>
      </c>
      <c r="AK14">
        <v>92</v>
      </c>
      <c r="AL14" s="122">
        <v>532</v>
      </c>
      <c r="AM14" s="122">
        <v>444</v>
      </c>
      <c r="AN14" s="122">
        <v>3568</v>
      </c>
      <c r="AO14" s="122">
        <v>1322</v>
      </c>
      <c r="AP14" s="122">
        <v>2162</v>
      </c>
      <c r="AQ14" s="122">
        <v>801</v>
      </c>
      <c r="AR14" s="122">
        <v>7488</v>
      </c>
      <c r="AS14" s="122">
        <v>6807</v>
      </c>
      <c r="AT14">
        <v>0</v>
      </c>
      <c r="AU14">
        <v>0</v>
      </c>
      <c r="AV14" s="122">
        <v>12073</v>
      </c>
    </row>
    <row r="15" spans="1:48" ht="12.75" hidden="1" customHeight="1">
      <c r="B15" t="s">
        <v>362</v>
      </c>
      <c r="C15" t="s">
        <v>50</v>
      </c>
      <c r="D15" t="s">
        <v>407</v>
      </c>
      <c r="E15" t="s">
        <v>407</v>
      </c>
      <c r="F15">
        <v>7</v>
      </c>
      <c r="G15" s="122">
        <v>1216</v>
      </c>
      <c r="H15" s="122">
        <v>658</v>
      </c>
      <c r="I15" s="122">
        <v>52938</v>
      </c>
      <c r="J15" s="122">
        <v>48126</v>
      </c>
      <c r="K15">
        <v>90</v>
      </c>
      <c r="L15" s="122">
        <v>9316</v>
      </c>
      <c r="M15" s="122">
        <v>8297</v>
      </c>
      <c r="N15" s="122">
        <v>15678</v>
      </c>
      <c r="O15" s="122">
        <v>5807</v>
      </c>
      <c r="P15" s="122">
        <v>7978</v>
      </c>
      <c r="Q15" s="122">
        <v>2955</v>
      </c>
      <c r="R15" s="122">
        <v>27908</v>
      </c>
      <c r="S15" s="122">
        <v>25371</v>
      </c>
      <c r="T15">
        <v>0</v>
      </c>
      <c r="U15">
        <v>0</v>
      </c>
      <c r="V15" s="122">
        <v>90555</v>
      </c>
      <c r="W15" s="122">
        <f t="shared" si="0"/>
        <v>90556</v>
      </c>
      <c r="X15" s="122">
        <f t="shared" si="1"/>
        <v>113818</v>
      </c>
      <c r="Y15" s="122"/>
      <c r="AA15" t="s">
        <v>48</v>
      </c>
      <c r="AB15" t="s">
        <v>405</v>
      </c>
      <c r="AC15" t="s">
        <v>426</v>
      </c>
      <c r="AD15" t="s">
        <v>405</v>
      </c>
      <c r="AE15" t="s">
        <v>566</v>
      </c>
      <c r="AF15">
        <v>9</v>
      </c>
      <c r="AG15" s="122">
        <v>1584</v>
      </c>
      <c r="AH15">
        <v>474</v>
      </c>
      <c r="AI15" s="122">
        <v>14100</v>
      </c>
      <c r="AJ15" s="122">
        <v>12818</v>
      </c>
      <c r="AK15">
        <v>91</v>
      </c>
      <c r="AL15" s="122">
        <v>1922</v>
      </c>
      <c r="AM15" s="122">
        <v>1747</v>
      </c>
      <c r="AN15" s="122">
        <v>19315</v>
      </c>
      <c r="AO15" s="122">
        <v>7154</v>
      </c>
      <c r="AP15" s="122">
        <v>11750</v>
      </c>
      <c r="AQ15" s="122">
        <v>4352</v>
      </c>
      <c r="AR15" s="122">
        <v>35602</v>
      </c>
      <c r="AS15" s="122">
        <v>32365</v>
      </c>
      <c r="AT15">
        <v>0</v>
      </c>
      <c r="AU15">
        <v>0</v>
      </c>
      <c r="AV15" s="122">
        <v>58436</v>
      </c>
    </row>
    <row r="16" spans="1:48" ht="12.75" hidden="1" customHeight="1">
      <c r="B16" t="s">
        <v>362</v>
      </c>
      <c r="C16" t="s">
        <v>50</v>
      </c>
      <c r="D16" t="s">
        <v>433</v>
      </c>
      <c r="E16" t="s">
        <v>433</v>
      </c>
      <c r="F16">
        <v>1</v>
      </c>
      <c r="G16" s="122">
        <v>233</v>
      </c>
      <c r="H16" s="122">
        <v>78</v>
      </c>
      <c r="I16" s="122">
        <v>5845</v>
      </c>
      <c r="J16" s="122">
        <v>5314</v>
      </c>
      <c r="K16">
        <v>73</v>
      </c>
      <c r="L16" s="122">
        <v>0</v>
      </c>
      <c r="M16" s="122">
        <v>0</v>
      </c>
      <c r="N16" s="122">
        <v>2833</v>
      </c>
      <c r="O16" s="122">
        <v>1049</v>
      </c>
      <c r="P16" s="122">
        <v>3308</v>
      </c>
      <c r="Q16" s="122">
        <v>1225</v>
      </c>
      <c r="R16" s="122">
        <v>4065</v>
      </c>
      <c r="S16" s="122">
        <v>3696</v>
      </c>
      <c r="T16" s="122">
        <v>2195</v>
      </c>
      <c r="U16">
        <v>813</v>
      </c>
      <c r="V16" s="122">
        <v>12097</v>
      </c>
      <c r="W16" s="122">
        <f t="shared" si="0"/>
        <v>12097</v>
      </c>
      <c r="X16" s="122">
        <f t="shared" si="1"/>
        <v>18246</v>
      </c>
      <c r="Y16" s="122"/>
      <c r="AA16" t="s">
        <v>48</v>
      </c>
      <c r="AB16" t="s">
        <v>405</v>
      </c>
      <c r="AC16" t="s">
        <v>426</v>
      </c>
      <c r="AD16" t="s">
        <v>137</v>
      </c>
      <c r="AE16" t="s">
        <v>566</v>
      </c>
      <c r="AF16">
        <v>1</v>
      </c>
      <c r="AG16" s="122">
        <v>244</v>
      </c>
      <c r="AH16">
        <v>64</v>
      </c>
      <c r="AI16" s="122">
        <v>3970</v>
      </c>
      <c r="AJ16" s="122">
        <v>3609</v>
      </c>
      <c r="AK16">
        <v>90</v>
      </c>
      <c r="AL16">
        <v>663</v>
      </c>
      <c r="AM16" s="122">
        <v>603</v>
      </c>
      <c r="AN16" s="122">
        <v>2973</v>
      </c>
      <c r="AO16" s="122">
        <v>1101</v>
      </c>
      <c r="AP16" s="122">
        <v>2592</v>
      </c>
      <c r="AQ16" s="122">
        <v>960</v>
      </c>
      <c r="AR16" s="122">
        <v>5320</v>
      </c>
      <c r="AS16" s="122">
        <v>1970</v>
      </c>
      <c r="AT16">
        <v>0</v>
      </c>
      <c r="AU16">
        <v>0</v>
      </c>
      <c r="AV16" s="122">
        <v>8243</v>
      </c>
    </row>
    <row r="17" spans="2:48" ht="12.75" hidden="1" customHeight="1">
      <c r="B17" t="s">
        <v>362</v>
      </c>
      <c r="C17" t="s">
        <v>52</v>
      </c>
      <c r="D17" t="s">
        <v>405</v>
      </c>
      <c r="E17" t="s">
        <v>405</v>
      </c>
      <c r="F17">
        <v>2</v>
      </c>
      <c r="G17" s="122">
        <v>527</v>
      </c>
      <c r="H17" s="122">
        <v>241</v>
      </c>
      <c r="I17" s="122">
        <v>33938</v>
      </c>
      <c r="J17" s="122">
        <v>30853</v>
      </c>
      <c r="K17">
        <v>88</v>
      </c>
      <c r="L17" s="122">
        <v>6476</v>
      </c>
      <c r="M17" s="122">
        <v>5887</v>
      </c>
      <c r="N17" s="122">
        <v>9489</v>
      </c>
      <c r="O17" s="122">
        <v>3514</v>
      </c>
      <c r="P17" s="122">
        <v>4342</v>
      </c>
      <c r="Q17" s="122">
        <v>1608</v>
      </c>
      <c r="R17" s="122">
        <v>9374</v>
      </c>
      <c r="S17" s="122">
        <v>8522</v>
      </c>
      <c r="T17" s="122">
        <v>0</v>
      </c>
      <c r="U17" s="122">
        <v>0</v>
      </c>
      <c r="V17" s="122">
        <v>50384</v>
      </c>
      <c r="W17" s="122">
        <f t="shared" si="0"/>
        <v>50384</v>
      </c>
      <c r="X17" s="122">
        <f t="shared" si="1"/>
        <v>63619</v>
      </c>
      <c r="Y17" s="122"/>
      <c r="AA17" t="s">
        <v>48</v>
      </c>
      <c r="AB17" t="s">
        <v>405</v>
      </c>
      <c r="AC17" t="s">
        <v>566</v>
      </c>
      <c r="AD17" t="s">
        <v>405</v>
      </c>
      <c r="AE17" t="s">
        <v>566</v>
      </c>
      <c r="AF17">
        <v>11</v>
      </c>
      <c r="AG17" s="122">
        <v>2227</v>
      </c>
      <c r="AH17">
        <v>695</v>
      </c>
      <c r="AI17" s="122">
        <v>46774</v>
      </c>
      <c r="AJ17" s="122">
        <v>42522</v>
      </c>
      <c r="AK17">
        <v>92</v>
      </c>
      <c r="AL17" s="122">
        <v>0</v>
      </c>
      <c r="AM17" s="122">
        <v>2098</v>
      </c>
      <c r="AN17" s="122">
        <v>30302</v>
      </c>
      <c r="AO17" s="122">
        <v>11223</v>
      </c>
      <c r="AP17" s="122">
        <v>13183</v>
      </c>
      <c r="AQ17" s="122">
        <v>4883</v>
      </c>
      <c r="AR17" s="122">
        <v>50411</v>
      </c>
      <c r="AS17" s="122">
        <v>45828</v>
      </c>
      <c r="AT17">
        <v>0</v>
      </c>
      <c r="AU17">
        <v>0</v>
      </c>
      <c r="AV17" s="122">
        <v>106553</v>
      </c>
    </row>
    <row r="18" spans="2:48" ht="12.75" customHeight="1">
      <c r="B18" t="s">
        <v>362</v>
      </c>
      <c r="C18" t="s">
        <v>52</v>
      </c>
      <c r="D18" t="s">
        <v>137</v>
      </c>
      <c r="E18" t="s">
        <v>137</v>
      </c>
      <c r="F18">
        <v>13</v>
      </c>
      <c r="G18" s="122">
        <v>3123</v>
      </c>
      <c r="H18" s="122">
        <v>1475</v>
      </c>
      <c r="I18" s="122">
        <v>187576</v>
      </c>
      <c r="J18" s="122">
        <v>69472</v>
      </c>
      <c r="K18">
        <v>287</v>
      </c>
      <c r="L18" s="122">
        <v>47233</v>
      </c>
      <c r="M18" s="122">
        <v>40936</v>
      </c>
      <c r="N18" s="122">
        <v>54846</v>
      </c>
      <c r="O18" s="122">
        <v>20313</v>
      </c>
      <c r="P18" s="122">
        <v>7023</v>
      </c>
      <c r="Q18" s="122">
        <v>2601</v>
      </c>
      <c r="R18" s="122">
        <v>95617</v>
      </c>
      <c r="S18" s="122">
        <v>35414</v>
      </c>
      <c r="T18" s="122">
        <v>0</v>
      </c>
      <c r="U18" s="122">
        <v>0</v>
      </c>
      <c r="V18" s="122">
        <v>168737</v>
      </c>
      <c r="W18" s="122">
        <f t="shared" si="0"/>
        <v>168736</v>
      </c>
      <c r="X18" s="122">
        <f t="shared" si="1"/>
        <v>392295</v>
      </c>
      <c r="Y18" s="122"/>
      <c r="AA18" t="s">
        <v>48</v>
      </c>
      <c r="AB18" t="s">
        <v>405</v>
      </c>
      <c r="AC18" t="s">
        <v>433</v>
      </c>
      <c r="AD18" t="s">
        <v>405</v>
      </c>
      <c r="AE18" t="s">
        <v>137</v>
      </c>
      <c r="AF18">
        <v>3</v>
      </c>
      <c r="AG18" s="122">
        <v>617</v>
      </c>
      <c r="AH18" s="122">
        <v>162</v>
      </c>
      <c r="AI18" s="122">
        <v>9864</v>
      </c>
      <c r="AJ18" s="122">
        <v>8967</v>
      </c>
      <c r="AK18">
        <v>92</v>
      </c>
      <c r="AL18" s="122">
        <v>1629</v>
      </c>
      <c r="AM18" s="122">
        <v>1481</v>
      </c>
      <c r="AN18" s="122">
        <v>7916</v>
      </c>
      <c r="AO18" s="122">
        <v>2932</v>
      </c>
      <c r="AP18" s="122">
        <v>5248</v>
      </c>
      <c r="AQ18" s="122">
        <v>1944</v>
      </c>
      <c r="AR18" s="122">
        <v>8866</v>
      </c>
      <c r="AS18" s="122">
        <v>8060</v>
      </c>
      <c r="AT18">
        <v>0</v>
      </c>
      <c r="AU18">
        <v>0</v>
      </c>
      <c r="AV18" s="122">
        <v>23383</v>
      </c>
    </row>
    <row r="19" spans="2:48" ht="12.75" hidden="1" customHeight="1">
      <c r="B19" t="s">
        <v>362</v>
      </c>
      <c r="C19" t="s">
        <v>52</v>
      </c>
      <c r="D19" t="s">
        <v>406</v>
      </c>
      <c r="E19" t="s">
        <v>406</v>
      </c>
      <c r="F19">
        <v>68</v>
      </c>
      <c r="G19" s="122">
        <v>14786</v>
      </c>
      <c r="H19" s="122">
        <v>7802</v>
      </c>
      <c r="I19" s="122">
        <v>1013823</v>
      </c>
      <c r="J19" s="122">
        <v>921657</v>
      </c>
      <c r="K19">
        <v>93</v>
      </c>
      <c r="L19" s="122">
        <v>177832</v>
      </c>
      <c r="M19" s="122">
        <v>167172</v>
      </c>
      <c r="N19" s="122">
        <v>262802</v>
      </c>
      <c r="O19" s="122">
        <v>97334</v>
      </c>
      <c r="P19" s="122">
        <v>44496</v>
      </c>
      <c r="Q19" s="122">
        <v>16480</v>
      </c>
      <c r="R19" s="122">
        <v>344437</v>
      </c>
      <c r="S19" s="122">
        <v>313125</v>
      </c>
      <c r="T19" s="122">
        <v>11000</v>
      </c>
      <c r="U19" s="122">
        <v>4074</v>
      </c>
      <c r="V19" s="122">
        <v>1519842</v>
      </c>
      <c r="W19" s="122">
        <f t="shared" si="0"/>
        <v>1519842</v>
      </c>
      <c r="X19" s="122">
        <f t="shared" si="1"/>
        <v>1854390</v>
      </c>
      <c r="Y19" s="122"/>
      <c r="AA19" t="s">
        <v>48</v>
      </c>
      <c r="AB19" t="s">
        <v>405</v>
      </c>
      <c r="AC19" t="s">
        <v>433</v>
      </c>
      <c r="AD19" t="s">
        <v>405</v>
      </c>
      <c r="AE19" t="s">
        <v>566</v>
      </c>
      <c r="AF19">
        <v>17</v>
      </c>
      <c r="AG19" s="122">
        <v>4193</v>
      </c>
      <c r="AH19" s="122">
        <v>1043</v>
      </c>
      <c r="AI19" s="122">
        <v>90796</v>
      </c>
      <c r="AJ19" s="122">
        <v>82542</v>
      </c>
      <c r="AK19">
        <v>91</v>
      </c>
      <c r="AL19" s="122">
        <v>13318</v>
      </c>
      <c r="AM19" s="122">
        <v>12107</v>
      </c>
      <c r="AN19" s="122">
        <v>53263</v>
      </c>
      <c r="AO19" s="122">
        <v>19727</v>
      </c>
      <c r="AP19" s="122">
        <v>34899</v>
      </c>
      <c r="AQ19" s="122">
        <v>12926</v>
      </c>
      <c r="AR19" s="122">
        <v>60007</v>
      </c>
      <c r="AS19" s="122">
        <v>54552</v>
      </c>
      <c r="AT19">
        <v>0</v>
      </c>
      <c r="AU19">
        <v>0</v>
      </c>
      <c r="AV19" s="122">
        <v>181854</v>
      </c>
    </row>
    <row r="20" spans="2:48" ht="12.75" hidden="1" customHeight="1">
      <c r="B20" t="s">
        <v>362</v>
      </c>
      <c r="C20" t="s">
        <v>52</v>
      </c>
      <c r="D20" t="s">
        <v>406</v>
      </c>
      <c r="E20" t="s">
        <v>427</v>
      </c>
      <c r="F20">
        <v>1</v>
      </c>
      <c r="G20">
        <v>166</v>
      </c>
      <c r="H20">
        <v>123</v>
      </c>
      <c r="I20" s="122">
        <v>10168</v>
      </c>
      <c r="J20" s="122">
        <v>9244</v>
      </c>
      <c r="K20">
        <v>93</v>
      </c>
      <c r="L20" s="122">
        <v>3495</v>
      </c>
      <c r="M20" s="122">
        <v>3177</v>
      </c>
      <c r="N20" s="122">
        <v>2017</v>
      </c>
      <c r="O20" s="122">
        <v>747</v>
      </c>
      <c r="P20" s="122">
        <v>621</v>
      </c>
      <c r="Q20">
        <v>230</v>
      </c>
      <c r="R20" s="122">
        <v>4125</v>
      </c>
      <c r="S20" s="122">
        <v>3750</v>
      </c>
      <c r="T20" s="122">
        <v>0</v>
      </c>
      <c r="U20" s="122">
        <v>0</v>
      </c>
      <c r="V20" s="122">
        <v>17148</v>
      </c>
      <c r="W20" s="122">
        <f t="shared" si="0"/>
        <v>17148</v>
      </c>
      <c r="X20" s="122">
        <f t="shared" si="1"/>
        <v>20426</v>
      </c>
      <c r="Y20" s="122"/>
      <c r="AA20" t="s">
        <v>48</v>
      </c>
      <c r="AB20" t="s">
        <v>405</v>
      </c>
      <c r="AC20" t="s">
        <v>433</v>
      </c>
      <c r="AD20" t="s">
        <v>137</v>
      </c>
      <c r="AE20" t="s">
        <v>566</v>
      </c>
      <c r="AF20">
        <v>3</v>
      </c>
      <c r="AG20">
        <v>716</v>
      </c>
      <c r="AH20">
        <v>159</v>
      </c>
      <c r="AI20" s="122">
        <v>4755</v>
      </c>
      <c r="AJ20" s="122">
        <v>4323</v>
      </c>
      <c r="AK20">
        <v>91</v>
      </c>
      <c r="AL20" s="122">
        <v>798</v>
      </c>
      <c r="AM20" s="122">
        <v>725</v>
      </c>
      <c r="AN20" s="122">
        <v>8848</v>
      </c>
      <c r="AO20" s="122">
        <v>3277</v>
      </c>
      <c r="AP20" s="122">
        <v>7935</v>
      </c>
      <c r="AQ20" s="122">
        <v>2939</v>
      </c>
      <c r="AR20" s="122">
        <v>15344</v>
      </c>
      <c r="AS20" s="122">
        <v>5683</v>
      </c>
      <c r="AT20">
        <v>0</v>
      </c>
      <c r="AU20">
        <v>0</v>
      </c>
      <c r="AV20" s="122">
        <v>16947</v>
      </c>
    </row>
    <row r="21" spans="2:48" ht="12.75" customHeight="1">
      <c r="B21" t="s">
        <v>362</v>
      </c>
      <c r="C21" t="s">
        <v>52</v>
      </c>
      <c r="D21" t="s">
        <v>407</v>
      </c>
      <c r="E21" t="s">
        <v>407</v>
      </c>
      <c r="F21">
        <v>9</v>
      </c>
      <c r="G21" s="122">
        <v>1734</v>
      </c>
      <c r="H21" s="122">
        <v>1043</v>
      </c>
      <c r="I21" s="122">
        <v>105162</v>
      </c>
      <c r="J21" s="122">
        <v>95602</v>
      </c>
      <c r="K21">
        <v>88</v>
      </c>
      <c r="L21" s="122">
        <v>14976</v>
      </c>
      <c r="M21" s="122">
        <v>13377</v>
      </c>
      <c r="N21" s="122">
        <v>30431</v>
      </c>
      <c r="O21" s="122">
        <v>11271</v>
      </c>
      <c r="P21" s="122">
        <v>4253</v>
      </c>
      <c r="Q21" s="122">
        <v>1575</v>
      </c>
      <c r="R21" s="122">
        <v>46650</v>
      </c>
      <c r="S21" s="122">
        <v>42409</v>
      </c>
      <c r="T21" s="122">
        <v>0</v>
      </c>
      <c r="U21" s="122">
        <v>0</v>
      </c>
      <c r="V21" s="122">
        <v>164234</v>
      </c>
      <c r="W21" s="122">
        <f t="shared" si="0"/>
        <v>164234</v>
      </c>
      <c r="X21" s="122">
        <f t="shared" si="1"/>
        <v>201472</v>
      </c>
      <c r="Y21" s="122"/>
      <c r="AA21" t="s">
        <v>48</v>
      </c>
      <c r="AB21" t="s">
        <v>405</v>
      </c>
      <c r="AC21" t="s">
        <v>429</v>
      </c>
      <c r="AD21" t="s">
        <v>405</v>
      </c>
      <c r="AE21" t="s">
        <v>137</v>
      </c>
      <c r="AF21">
        <v>1</v>
      </c>
      <c r="AG21">
        <v>355</v>
      </c>
      <c r="AH21">
        <v>59</v>
      </c>
      <c r="AI21" s="122">
        <v>8811</v>
      </c>
      <c r="AJ21" s="122">
        <v>8010</v>
      </c>
      <c r="AK21">
        <v>92</v>
      </c>
      <c r="AL21" s="122">
        <v>1384</v>
      </c>
      <c r="AM21" s="122">
        <v>1258</v>
      </c>
      <c r="AN21" s="122">
        <v>4319</v>
      </c>
      <c r="AO21" s="122">
        <v>1600</v>
      </c>
      <c r="AP21" s="122">
        <v>3577</v>
      </c>
      <c r="AQ21" s="122">
        <v>1325</v>
      </c>
      <c r="AR21" s="122">
        <v>2613</v>
      </c>
      <c r="AS21" s="122">
        <v>2376</v>
      </c>
      <c r="AT21">
        <v>357</v>
      </c>
      <c r="AU21">
        <v>132</v>
      </c>
      <c r="AV21" s="122">
        <v>14701</v>
      </c>
    </row>
    <row r="22" spans="2:48" ht="12.75" hidden="1" customHeight="1">
      <c r="B22" t="s">
        <v>362</v>
      </c>
      <c r="C22" t="s">
        <v>54</v>
      </c>
      <c r="D22" t="s">
        <v>405</v>
      </c>
      <c r="E22" t="s">
        <v>405</v>
      </c>
      <c r="F22">
        <v>3</v>
      </c>
      <c r="G22" s="122">
        <v>788</v>
      </c>
      <c r="H22" s="122">
        <v>407</v>
      </c>
      <c r="I22" s="122">
        <v>58933</v>
      </c>
      <c r="J22" s="122">
        <v>53576</v>
      </c>
      <c r="K22">
        <v>90</v>
      </c>
      <c r="L22" s="122">
        <v>13453</v>
      </c>
      <c r="M22" s="122">
        <v>10688</v>
      </c>
      <c r="N22" s="122">
        <v>14854</v>
      </c>
      <c r="O22" s="122">
        <v>5501</v>
      </c>
      <c r="P22" s="122">
        <v>2974</v>
      </c>
      <c r="Q22" s="122">
        <v>1101</v>
      </c>
      <c r="R22" s="122">
        <v>16315</v>
      </c>
      <c r="S22" s="122">
        <v>14832</v>
      </c>
      <c r="T22" s="122">
        <v>0</v>
      </c>
      <c r="U22" s="122">
        <v>0</v>
      </c>
      <c r="V22" s="122">
        <v>85699</v>
      </c>
      <c r="W22" s="122">
        <f t="shared" si="0"/>
        <v>85698</v>
      </c>
      <c r="X22" s="122">
        <f t="shared" si="1"/>
        <v>106529</v>
      </c>
      <c r="Y22" s="122"/>
      <c r="AA22" t="s">
        <v>48</v>
      </c>
      <c r="AB22" t="s">
        <v>137</v>
      </c>
      <c r="AC22" t="s">
        <v>578</v>
      </c>
      <c r="AD22" t="s">
        <v>137</v>
      </c>
      <c r="AE22" t="s">
        <v>566</v>
      </c>
      <c r="AF22">
        <v>5</v>
      </c>
      <c r="AG22">
        <v>860</v>
      </c>
      <c r="AH22">
        <v>275</v>
      </c>
      <c r="AI22" s="122">
        <v>1191</v>
      </c>
      <c r="AJ22" s="122">
        <v>441</v>
      </c>
      <c r="AK22">
        <v>446</v>
      </c>
      <c r="AL22" s="122">
        <v>328</v>
      </c>
      <c r="AM22" s="122">
        <v>299</v>
      </c>
      <c r="AN22" s="122">
        <v>10479</v>
      </c>
      <c r="AO22" s="122">
        <v>3881</v>
      </c>
      <c r="AP22" s="122">
        <v>4235</v>
      </c>
      <c r="AQ22" s="122">
        <v>1569</v>
      </c>
      <c r="AR22" s="122">
        <v>30768</v>
      </c>
      <c r="AS22" s="122">
        <v>11395</v>
      </c>
      <c r="AT22">
        <v>0</v>
      </c>
      <c r="AU22">
        <v>0</v>
      </c>
      <c r="AV22" s="122">
        <v>17585</v>
      </c>
    </row>
    <row r="23" spans="2:48" ht="12.75" customHeight="1">
      <c r="B23" t="s">
        <v>362</v>
      </c>
      <c r="C23" t="s">
        <v>54</v>
      </c>
      <c r="D23" t="s">
        <v>137</v>
      </c>
      <c r="E23" t="s">
        <v>137</v>
      </c>
      <c r="F23">
        <v>13</v>
      </c>
      <c r="G23" s="122">
        <v>2105</v>
      </c>
      <c r="H23" s="122">
        <v>1836</v>
      </c>
      <c r="I23" s="122">
        <v>114969</v>
      </c>
      <c r="J23" s="122">
        <v>42581</v>
      </c>
      <c r="K23">
        <v>336</v>
      </c>
      <c r="L23" s="122">
        <v>34091</v>
      </c>
      <c r="M23" s="122">
        <v>30991</v>
      </c>
      <c r="N23" s="122">
        <v>42737</v>
      </c>
      <c r="O23" s="122">
        <v>15829</v>
      </c>
      <c r="P23" s="122">
        <v>7371</v>
      </c>
      <c r="Q23" s="122">
        <v>2730</v>
      </c>
      <c r="R23" s="122">
        <v>109416</v>
      </c>
      <c r="S23" s="122">
        <v>40525</v>
      </c>
      <c r="T23" s="122">
        <v>0</v>
      </c>
      <c r="U23">
        <v>0</v>
      </c>
      <c r="V23" s="122">
        <v>132655</v>
      </c>
      <c r="W23" s="122">
        <f t="shared" si="0"/>
        <v>132656</v>
      </c>
      <c r="X23" s="122">
        <f t="shared" si="1"/>
        <v>308584</v>
      </c>
      <c r="Y23" s="122"/>
      <c r="AA23" t="s">
        <v>48</v>
      </c>
      <c r="AB23" t="s">
        <v>137</v>
      </c>
      <c r="AC23" t="s">
        <v>425</v>
      </c>
      <c r="AD23" t="s">
        <v>137</v>
      </c>
      <c r="AE23" t="s">
        <v>137</v>
      </c>
      <c r="AF23">
        <v>3</v>
      </c>
      <c r="AG23" s="122">
        <v>852</v>
      </c>
      <c r="AH23" s="122">
        <v>168</v>
      </c>
      <c r="AI23" s="122">
        <v>14130</v>
      </c>
      <c r="AJ23" s="122">
        <v>5233</v>
      </c>
      <c r="AK23">
        <v>354</v>
      </c>
      <c r="AL23" s="122">
        <v>2635</v>
      </c>
      <c r="AM23" s="122">
        <v>2396</v>
      </c>
      <c r="AN23" s="122">
        <v>10822</v>
      </c>
      <c r="AO23" s="122">
        <v>4008</v>
      </c>
      <c r="AP23" s="122">
        <v>4566</v>
      </c>
      <c r="AQ23" s="122">
        <v>1691</v>
      </c>
      <c r="AR23" s="122">
        <v>15959</v>
      </c>
      <c r="AS23" s="122">
        <v>5911</v>
      </c>
      <c r="AT23">
        <v>0</v>
      </c>
      <c r="AU23">
        <v>0</v>
      </c>
      <c r="AV23" s="122">
        <v>19239</v>
      </c>
    </row>
    <row r="24" spans="2:48" ht="12.75" hidden="1" customHeight="1">
      <c r="B24" t="s">
        <v>362</v>
      </c>
      <c r="C24" t="s">
        <v>54</v>
      </c>
      <c r="D24" t="s">
        <v>406</v>
      </c>
      <c r="E24" t="s">
        <v>137</v>
      </c>
      <c r="F24">
        <v>1</v>
      </c>
      <c r="G24" s="122">
        <v>125</v>
      </c>
      <c r="H24" s="122">
        <v>136</v>
      </c>
      <c r="I24" s="122">
        <v>10953</v>
      </c>
      <c r="J24" s="122">
        <v>9957</v>
      </c>
      <c r="K24">
        <v>95</v>
      </c>
      <c r="L24" s="122">
        <v>1426</v>
      </c>
      <c r="M24" s="122">
        <v>1296</v>
      </c>
      <c r="N24" s="122">
        <v>1809</v>
      </c>
      <c r="O24" s="122">
        <v>670</v>
      </c>
      <c r="P24" s="122">
        <v>621</v>
      </c>
      <c r="Q24" s="122">
        <v>230</v>
      </c>
      <c r="R24" s="122">
        <v>2107</v>
      </c>
      <c r="S24" s="122">
        <v>780</v>
      </c>
      <c r="T24" s="122">
        <v>0</v>
      </c>
      <c r="U24" s="122">
        <v>0</v>
      </c>
      <c r="V24" s="122">
        <v>12933</v>
      </c>
      <c r="W24" s="122">
        <f t="shared" si="0"/>
        <v>12933</v>
      </c>
      <c r="X24" s="122">
        <f t="shared" si="1"/>
        <v>16916</v>
      </c>
      <c r="Y24" s="122"/>
      <c r="AA24" t="s">
        <v>48</v>
      </c>
      <c r="AB24" t="s">
        <v>137</v>
      </c>
      <c r="AC24" t="s">
        <v>425</v>
      </c>
      <c r="AD24" t="s">
        <v>137</v>
      </c>
      <c r="AE24" t="s">
        <v>566</v>
      </c>
      <c r="AF24">
        <v>103</v>
      </c>
      <c r="AG24" s="122">
        <v>25398</v>
      </c>
      <c r="AH24" s="122">
        <v>5324</v>
      </c>
      <c r="AI24" s="122">
        <v>170659</v>
      </c>
      <c r="AJ24" s="122">
        <v>63207</v>
      </c>
      <c r="AK24">
        <v>464</v>
      </c>
      <c r="AL24" s="122">
        <v>44744</v>
      </c>
      <c r="AM24" s="122">
        <v>40677</v>
      </c>
      <c r="AN24" s="122">
        <v>335713</v>
      </c>
      <c r="AO24" s="122">
        <v>124338</v>
      </c>
      <c r="AP24" s="122">
        <v>183090</v>
      </c>
      <c r="AQ24" s="122">
        <v>67811</v>
      </c>
      <c r="AR24" s="122">
        <v>570017</v>
      </c>
      <c r="AS24" s="122">
        <v>211117</v>
      </c>
      <c r="AT24">
        <v>0</v>
      </c>
      <c r="AU24">
        <v>0</v>
      </c>
      <c r="AV24" s="122">
        <v>507150</v>
      </c>
    </row>
    <row r="25" spans="2:48" ht="12.75" hidden="1" customHeight="1">
      <c r="B25" t="s">
        <v>362</v>
      </c>
      <c r="C25" t="s">
        <v>54</v>
      </c>
      <c r="D25" t="s">
        <v>406</v>
      </c>
      <c r="E25" t="s">
        <v>406</v>
      </c>
      <c r="F25">
        <v>199</v>
      </c>
      <c r="G25" s="122">
        <v>39480</v>
      </c>
      <c r="H25" s="122">
        <v>27911</v>
      </c>
      <c r="I25" s="122">
        <v>3207740</v>
      </c>
      <c r="J25" s="122">
        <v>2916128</v>
      </c>
      <c r="K25">
        <v>91</v>
      </c>
      <c r="L25" s="122">
        <v>644006</v>
      </c>
      <c r="M25" s="122">
        <v>570658</v>
      </c>
      <c r="N25" s="122">
        <v>760206</v>
      </c>
      <c r="O25" s="122">
        <v>281558</v>
      </c>
      <c r="P25" s="122">
        <v>137843</v>
      </c>
      <c r="Q25" s="122">
        <v>51053</v>
      </c>
      <c r="R25" s="122">
        <v>1099205</v>
      </c>
      <c r="S25" s="122">
        <v>999278</v>
      </c>
      <c r="T25" s="122">
        <v>75005</v>
      </c>
      <c r="U25" s="122">
        <v>27780</v>
      </c>
      <c r="V25" s="122">
        <v>4846453</v>
      </c>
      <c r="W25" s="122">
        <f t="shared" si="0"/>
        <v>4846455</v>
      </c>
      <c r="X25" s="122">
        <f t="shared" si="1"/>
        <v>5924005</v>
      </c>
      <c r="Y25" s="122"/>
      <c r="AA25" t="s">
        <v>48</v>
      </c>
      <c r="AB25" t="s">
        <v>137</v>
      </c>
      <c r="AC25" t="s">
        <v>405</v>
      </c>
      <c r="AD25" t="s">
        <v>137</v>
      </c>
      <c r="AE25" t="s">
        <v>566</v>
      </c>
      <c r="AF25">
        <v>29</v>
      </c>
      <c r="AG25" s="122">
        <v>9854</v>
      </c>
      <c r="AH25" s="122">
        <v>1527</v>
      </c>
      <c r="AI25" s="122">
        <v>80265</v>
      </c>
      <c r="AJ25" s="122">
        <v>29728</v>
      </c>
      <c r="AK25">
        <v>432</v>
      </c>
      <c r="AL25" s="122">
        <v>21828</v>
      </c>
      <c r="AM25" s="122">
        <v>19843</v>
      </c>
      <c r="AN25" s="122">
        <v>132208</v>
      </c>
      <c r="AO25" s="122">
        <v>48966</v>
      </c>
      <c r="AP25" s="122">
        <v>82558</v>
      </c>
      <c r="AQ25" s="122">
        <v>30577</v>
      </c>
      <c r="AR25" s="122">
        <v>188547</v>
      </c>
      <c r="AS25" s="122">
        <v>69832</v>
      </c>
      <c r="AT25">
        <v>0</v>
      </c>
      <c r="AU25">
        <v>0</v>
      </c>
      <c r="AV25" s="122">
        <v>198947</v>
      </c>
    </row>
    <row r="26" spans="2:48" ht="12.75" customHeight="1">
      <c r="B26" t="s">
        <v>362</v>
      </c>
      <c r="C26" t="s">
        <v>54</v>
      </c>
      <c r="D26" t="s">
        <v>407</v>
      </c>
      <c r="E26" t="s">
        <v>407</v>
      </c>
      <c r="F26">
        <v>72</v>
      </c>
      <c r="G26" s="122">
        <v>11348</v>
      </c>
      <c r="H26" s="122">
        <v>10197</v>
      </c>
      <c r="I26" s="122">
        <v>831653</v>
      </c>
      <c r="J26" s="122">
        <v>756048</v>
      </c>
      <c r="K26">
        <v>87</v>
      </c>
      <c r="L26" s="122">
        <v>182116</v>
      </c>
      <c r="M26" s="122">
        <v>159339</v>
      </c>
      <c r="N26" s="122">
        <v>188973</v>
      </c>
      <c r="O26" s="122">
        <v>69990</v>
      </c>
      <c r="P26" s="122">
        <v>37860</v>
      </c>
      <c r="Q26" s="122">
        <v>14022</v>
      </c>
      <c r="R26" s="122">
        <v>379748</v>
      </c>
      <c r="S26" s="122">
        <v>345226</v>
      </c>
      <c r="T26" s="122">
        <v>10358</v>
      </c>
      <c r="U26" s="122">
        <v>3836</v>
      </c>
      <c r="V26" s="122">
        <v>1348461</v>
      </c>
      <c r="W26" s="122">
        <f t="shared" si="0"/>
        <v>1348461</v>
      </c>
      <c r="X26" s="122">
        <f t="shared" si="1"/>
        <v>1630708</v>
      </c>
      <c r="Y26" s="122"/>
      <c r="AA26" t="s">
        <v>48</v>
      </c>
      <c r="AB26" t="s">
        <v>137</v>
      </c>
      <c r="AC26" t="s">
        <v>137</v>
      </c>
      <c r="AD26" t="s">
        <v>137</v>
      </c>
      <c r="AE26" t="s">
        <v>137</v>
      </c>
      <c r="AF26">
        <v>20</v>
      </c>
      <c r="AG26" s="122">
        <v>3332</v>
      </c>
      <c r="AH26" s="122">
        <v>1027</v>
      </c>
      <c r="AI26" s="122">
        <v>-18684</v>
      </c>
      <c r="AJ26" s="122">
        <v>-6920</v>
      </c>
      <c r="AK26">
        <v>488</v>
      </c>
      <c r="AL26" s="122">
        <v>-194</v>
      </c>
      <c r="AM26" s="122">
        <v>-72</v>
      </c>
      <c r="AN26" s="122">
        <v>41846</v>
      </c>
      <c r="AO26" s="122">
        <v>15499</v>
      </c>
      <c r="AP26" s="122">
        <v>17480</v>
      </c>
      <c r="AQ26" s="122">
        <v>6474</v>
      </c>
      <c r="AR26" s="122">
        <v>128653</v>
      </c>
      <c r="AS26" s="122">
        <v>47649</v>
      </c>
      <c r="AT26">
        <v>0</v>
      </c>
      <c r="AU26">
        <v>0</v>
      </c>
      <c r="AV26" s="122">
        <v>62630</v>
      </c>
    </row>
    <row r="27" spans="2:48" ht="12.75" hidden="1" customHeight="1">
      <c r="B27" t="s">
        <v>362</v>
      </c>
      <c r="C27" t="s">
        <v>54</v>
      </c>
      <c r="D27" t="s">
        <v>408</v>
      </c>
      <c r="E27" t="s">
        <v>408</v>
      </c>
      <c r="F27">
        <v>3</v>
      </c>
      <c r="G27">
        <v>899</v>
      </c>
      <c r="H27">
        <v>434</v>
      </c>
      <c r="I27" s="122">
        <v>89755</v>
      </c>
      <c r="J27" s="122">
        <v>81596</v>
      </c>
      <c r="K27">
        <v>82</v>
      </c>
      <c r="L27" s="122">
        <v>14108</v>
      </c>
      <c r="M27" s="122">
        <v>12826</v>
      </c>
      <c r="N27" s="122">
        <v>13051</v>
      </c>
      <c r="O27" s="122">
        <v>4834</v>
      </c>
      <c r="P27" s="122">
        <v>1053</v>
      </c>
      <c r="Q27">
        <v>390</v>
      </c>
      <c r="R27" s="122">
        <v>14280</v>
      </c>
      <c r="S27" s="122">
        <v>12981</v>
      </c>
      <c r="T27" s="122">
        <v>4034</v>
      </c>
      <c r="U27" s="122">
        <v>1494</v>
      </c>
      <c r="V27" s="122">
        <v>114120</v>
      </c>
      <c r="W27" s="122">
        <f t="shared" si="0"/>
        <v>114121</v>
      </c>
      <c r="X27" s="122">
        <f t="shared" si="1"/>
        <v>136281</v>
      </c>
      <c r="Y27" s="122"/>
      <c r="AA27" t="s">
        <v>48</v>
      </c>
      <c r="AB27" t="s">
        <v>137</v>
      </c>
      <c r="AC27" t="s">
        <v>137</v>
      </c>
      <c r="AD27" t="s">
        <v>137</v>
      </c>
      <c r="AE27" t="s">
        <v>566</v>
      </c>
      <c r="AF27">
        <v>313</v>
      </c>
      <c r="AG27" s="122">
        <v>64042</v>
      </c>
      <c r="AH27" s="122">
        <v>16469</v>
      </c>
      <c r="AI27" s="122">
        <v>343138</v>
      </c>
      <c r="AJ27" s="122">
        <v>127088</v>
      </c>
      <c r="AK27">
        <v>468</v>
      </c>
      <c r="AL27" s="122">
        <v>161652</v>
      </c>
      <c r="AM27" s="122">
        <v>59871</v>
      </c>
      <c r="AN27" s="122">
        <v>840201</v>
      </c>
      <c r="AO27" s="122">
        <v>311186</v>
      </c>
      <c r="AP27" s="122">
        <v>453386</v>
      </c>
      <c r="AQ27" s="122">
        <v>167921</v>
      </c>
      <c r="AR27" s="122">
        <v>1539467</v>
      </c>
      <c r="AS27" s="122">
        <v>570173</v>
      </c>
      <c r="AT27" s="122">
        <v>0</v>
      </c>
      <c r="AU27" s="122">
        <v>0</v>
      </c>
      <c r="AV27" s="122">
        <v>1236238</v>
      </c>
    </row>
    <row r="28" spans="2:48" ht="12.75" customHeight="1">
      <c r="B28" t="s">
        <v>362</v>
      </c>
      <c r="C28" t="s">
        <v>56</v>
      </c>
      <c r="D28" t="s">
        <v>425</v>
      </c>
      <c r="E28" t="s">
        <v>425</v>
      </c>
      <c r="F28">
        <v>4</v>
      </c>
      <c r="G28">
        <v>822</v>
      </c>
      <c r="H28">
        <v>738</v>
      </c>
      <c r="I28" s="122">
        <v>95787</v>
      </c>
      <c r="J28" s="122">
        <v>87079</v>
      </c>
      <c r="K28">
        <v>80</v>
      </c>
      <c r="L28" s="122">
        <v>13410</v>
      </c>
      <c r="M28" s="122">
        <v>11592</v>
      </c>
      <c r="N28" s="122">
        <v>16197</v>
      </c>
      <c r="O28" s="122">
        <v>5999</v>
      </c>
      <c r="P28" s="122">
        <v>1890</v>
      </c>
      <c r="Q28">
        <v>700</v>
      </c>
      <c r="R28" s="122">
        <v>22593</v>
      </c>
      <c r="S28" s="122">
        <v>20539</v>
      </c>
      <c r="T28" s="122">
        <v>7754</v>
      </c>
      <c r="U28" s="122">
        <v>2872</v>
      </c>
      <c r="V28" s="122">
        <v>128782</v>
      </c>
      <c r="W28" s="122">
        <f t="shared" si="0"/>
        <v>128781</v>
      </c>
      <c r="X28" s="122">
        <f t="shared" si="1"/>
        <v>157631</v>
      </c>
      <c r="Y28" s="122"/>
      <c r="AA28" t="s">
        <v>48</v>
      </c>
      <c r="AB28" t="s">
        <v>137</v>
      </c>
      <c r="AC28" t="s">
        <v>580</v>
      </c>
      <c r="AD28" t="s">
        <v>137</v>
      </c>
      <c r="AE28" t="s">
        <v>137</v>
      </c>
      <c r="AF28">
        <v>2</v>
      </c>
      <c r="AG28" s="122">
        <v>748</v>
      </c>
      <c r="AH28">
        <v>144</v>
      </c>
      <c r="AI28" s="122">
        <v>23847</v>
      </c>
      <c r="AJ28" s="122">
        <v>8832</v>
      </c>
      <c r="AK28">
        <v>285</v>
      </c>
      <c r="AL28" s="122">
        <v>5102</v>
      </c>
      <c r="AM28" s="122">
        <v>4639</v>
      </c>
      <c r="AN28" s="122">
        <v>11176</v>
      </c>
      <c r="AO28" s="122">
        <v>4139</v>
      </c>
      <c r="AP28" s="122">
        <v>5870</v>
      </c>
      <c r="AQ28" s="122">
        <v>2174</v>
      </c>
      <c r="AR28" s="122">
        <v>5028</v>
      </c>
      <c r="AS28" s="122">
        <v>1862</v>
      </c>
      <c r="AT28" s="122">
        <v>3492</v>
      </c>
      <c r="AU28" s="122">
        <v>1293</v>
      </c>
      <c r="AV28" s="122">
        <v>22939</v>
      </c>
    </row>
    <row r="29" spans="2:48" ht="12.75" hidden="1" customHeight="1">
      <c r="B29" t="s">
        <v>362</v>
      </c>
      <c r="C29" t="s">
        <v>56</v>
      </c>
      <c r="D29" t="s">
        <v>405</v>
      </c>
      <c r="E29" t="s">
        <v>405</v>
      </c>
      <c r="F29" s="122">
        <v>18</v>
      </c>
      <c r="G29" s="122">
        <v>2994</v>
      </c>
      <c r="H29" s="122">
        <v>3227</v>
      </c>
      <c r="I29" s="122">
        <v>339491</v>
      </c>
      <c r="J29" s="122">
        <v>308628</v>
      </c>
      <c r="K29">
        <v>84</v>
      </c>
      <c r="L29" s="122">
        <v>71859</v>
      </c>
      <c r="M29" s="122">
        <v>57742</v>
      </c>
      <c r="N29" s="122">
        <v>67364</v>
      </c>
      <c r="O29" s="122">
        <v>24949</v>
      </c>
      <c r="P29" s="122">
        <v>9356</v>
      </c>
      <c r="Q29" s="122">
        <v>3465</v>
      </c>
      <c r="R29" s="122">
        <v>96226</v>
      </c>
      <c r="S29" s="122">
        <v>87478</v>
      </c>
      <c r="T29" s="122">
        <v>11406</v>
      </c>
      <c r="U29" s="122">
        <v>4224</v>
      </c>
      <c r="V29" s="122">
        <v>486487</v>
      </c>
      <c r="W29" s="122">
        <f t="shared" si="0"/>
        <v>486486</v>
      </c>
      <c r="X29" s="122">
        <f t="shared" si="1"/>
        <v>595702</v>
      </c>
      <c r="Y29" s="122"/>
      <c r="AA29" t="s">
        <v>48</v>
      </c>
      <c r="AB29" t="s">
        <v>137</v>
      </c>
      <c r="AC29" t="s">
        <v>580</v>
      </c>
      <c r="AD29" t="s">
        <v>137</v>
      </c>
      <c r="AE29" t="s">
        <v>566</v>
      </c>
      <c r="AF29">
        <v>13</v>
      </c>
      <c r="AG29" s="122">
        <v>4465</v>
      </c>
      <c r="AH29">
        <v>831</v>
      </c>
      <c r="AI29" s="122">
        <v>103849</v>
      </c>
      <c r="AJ29" s="122">
        <v>38463</v>
      </c>
      <c r="AK29">
        <v>371</v>
      </c>
      <c r="AL29" s="122">
        <v>22178</v>
      </c>
      <c r="AM29" s="122">
        <v>20162</v>
      </c>
      <c r="AN29" s="122">
        <v>64682</v>
      </c>
      <c r="AO29" s="122">
        <v>23956</v>
      </c>
      <c r="AP29" s="122">
        <v>20208</v>
      </c>
      <c r="AQ29" s="122">
        <v>7484</v>
      </c>
      <c r="AR29" s="122">
        <v>77343</v>
      </c>
      <c r="AS29" s="122">
        <v>28645</v>
      </c>
      <c r="AT29">
        <v>0</v>
      </c>
      <c r="AU29">
        <v>0</v>
      </c>
      <c r="AV29" s="122">
        <v>118710</v>
      </c>
    </row>
    <row r="30" spans="2:48" ht="12.75" hidden="1" customHeight="1">
      <c r="B30" t="s">
        <v>362</v>
      </c>
      <c r="C30" t="s">
        <v>56</v>
      </c>
      <c r="D30" t="s">
        <v>137</v>
      </c>
      <c r="E30" t="s">
        <v>137</v>
      </c>
      <c r="F30">
        <v>12</v>
      </c>
      <c r="G30" s="122">
        <v>1946</v>
      </c>
      <c r="H30" s="122">
        <v>2060</v>
      </c>
      <c r="I30" s="122">
        <v>159436</v>
      </c>
      <c r="J30" s="122">
        <v>59050</v>
      </c>
      <c r="K30">
        <v>279</v>
      </c>
      <c r="L30" s="122">
        <v>37002</v>
      </c>
      <c r="M30" s="122">
        <v>33350</v>
      </c>
      <c r="N30" s="122">
        <v>36486</v>
      </c>
      <c r="O30" s="122">
        <v>13513</v>
      </c>
      <c r="P30" s="122">
        <v>5587</v>
      </c>
      <c r="Q30" s="122">
        <v>2069</v>
      </c>
      <c r="R30" s="122">
        <v>92750</v>
      </c>
      <c r="S30" s="122">
        <v>34352</v>
      </c>
      <c r="T30" s="122">
        <v>0</v>
      </c>
      <c r="U30" s="122">
        <v>0</v>
      </c>
      <c r="V30" s="122">
        <v>142335</v>
      </c>
      <c r="W30" s="122">
        <f t="shared" si="0"/>
        <v>142334</v>
      </c>
      <c r="X30" s="122">
        <f t="shared" si="1"/>
        <v>331261</v>
      </c>
      <c r="Y30" s="122"/>
      <c r="AA30" t="s">
        <v>48</v>
      </c>
      <c r="AB30" t="s">
        <v>137</v>
      </c>
      <c r="AC30" t="s">
        <v>580</v>
      </c>
      <c r="AD30" t="s">
        <v>406</v>
      </c>
      <c r="AE30" t="s">
        <v>566</v>
      </c>
      <c r="AF30">
        <v>1</v>
      </c>
      <c r="AG30">
        <v>430</v>
      </c>
      <c r="AH30">
        <v>75</v>
      </c>
      <c r="AI30" s="122">
        <v>19083</v>
      </c>
      <c r="AJ30" s="122">
        <v>7068</v>
      </c>
      <c r="AK30">
        <v>400</v>
      </c>
      <c r="AL30" s="122">
        <v>3645</v>
      </c>
      <c r="AM30" s="122">
        <v>3314</v>
      </c>
      <c r="AN30" s="122">
        <v>5233</v>
      </c>
      <c r="AO30" s="122">
        <v>1938</v>
      </c>
      <c r="AP30" s="122">
        <v>621</v>
      </c>
      <c r="AQ30">
        <v>230</v>
      </c>
      <c r="AR30" s="122">
        <v>3612</v>
      </c>
      <c r="AS30" s="122">
        <v>3284</v>
      </c>
      <c r="AT30">
        <v>0</v>
      </c>
      <c r="AU30">
        <v>0</v>
      </c>
      <c r="AV30" s="122">
        <v>15833</v>
      </c>
    </row>
    <row r="31" spans="2:48" ht="12.75" customHeight="1">
      <c r="B31" t="s">
        <v>362</v>
      </c>
      <c r="C31" t="s">
        <v>56</v>
      </c>
      <c r="D31" t="s">
        <v>406</v>
      </c>
      <c r="E31" t="s">
        <v>425</v>
      </c>
      <c r="F31">
        <v>1</v>
      </c>
      <c r="G31">
        <v>158</v>
      </c>
      <c r="H31">
        <v>171</v>
      </c>
      <c r="I31" s="122">
        <v>14624</v>
      </c>
      <c r="J31" s="122">
        <v>13295</v>
      </c>
      <c r="K31">
        <v>85</v>
      </c>
      <c r="L31" s="122">
        <v>2202</v>
      </c>
      <c r="M31" s="122">
        <v>2002</v>
      </c>
      <c r="N31" s="122">
        <v>2903</v>
      </c>
      <c r="O31" s="122">
        <v>1075</v>
      </c>
      <c r="P31">
        <v>621</v>
      </c>
      <c r="Q31">
        <v>230</v>
      </c>
      <c r="R31" s="122">
        <v>6680</v>
      </c>
      <c r="S31" s="122">
        <v>6073</v>
      </c>
      <c r="T31" s="122">
        <v>0</v>
      </c>
      <c r="U31">
        <v>0</v>
      </c>
      <c r="V31" s="122">
        <v>22674</v>
      </c>
      <c r="W31" s="122">
        <f t="shared" si="0"/>
        <v>22675</v>
      </c>
      <c r="X31" s="122">
        <f t="shared" si="1"/>
        <v>27030</v>
      </c>
      <c r="Y31" s="122"/>
      <c r="AA31" t="s">
        <v>48</v>
      </c>
      <c r="AB31" t="s">
        <v>137</v>
      </c>
      <c r="AC31" t="s">
        <v>427</v>
      </c>
      <c r="AD31" t="s">
        <v>137</v>
      </c>
      <c r="AE31" t="s">
        <v>137</v>
      </c>
      <c r="AF31">
        <v>3</v>
      </c>
      <c r="AG31" s="122">
        <v>651</v>
      </c>
      <c r="AH31" s="122">
        <v>166</v>
      </c>
      <c r="AI31" s="122">
        <v>10637</v>
      </c>
      <c r="AJ31" s="122">
        <v>3940</v>
      </c>
      <c r="AK31">
        <v>399</v>
      </c>
      <c r="AL31" s="122">
        <v>2802</v>
      </c>
      <c r="AM31" s="122">
        <v>2547</v>
      </c>
      <c r="AN31" s="122">
        <v>7928</v>
      </c>
      <c r="AO31" s="122">
        <v>2936</v>
      </c>
      <c r="AP31" s="122">
        <v>2644</v>
      </c>
      <c r="AQ31" s="122">
        <v>979</v>
      </c>
      <c r="AR31" s="122">
        <v>11170</v>
      </c>
      <c r="AS31" s="122">
        <v>4137</v>
      </c>
      <c r="AT31">
        <v>0</v>
      </c>
      <c r="AU31">
        <v>0</v>
      </c>
      <c r="AV31" s="122">
        <v>14539</v>
      </c>
    </row>
    <row r="32" spans="2:48" ht="12.75" hidden="1" customHeight="1">
      <c r="B32" t="s">
        <v>362</v>
      </c>
      <c r="C32" t="s">
        <v>56</v>
      </c>
      <c r="D32" t="s">
        <v>406</v>
      </c>
      <c r="E32" t="s">
        <v>137</v>
      </c>
      <c r="F32">
        <v>2</v>
      </c>
      <c r="G32" s="122">
        <v>266</v>
      </c>
      <c r="H32" s="122">
        <v>392</v>
      </c>
      <c r="I32" s="122">
        <v>30345</v>
      </c>
      <c r="J32" s="122">
        <v>27586</v>
      </c>
      <c r="K32">
        <v>83</v>
      </c>
      <c r="L32" s="122">
        <v>5520</v>
      </c>
      <c r="M32" s="122">
        <v>5018</v>
      </c>
      <c r="N32" s="122">
        <v>4761</v>
      </c>
      <c r="O32" s="122">
        <v>1763</v>
      </c>
      <c r="P32" s="122">
        <v>1242</v>
      </c>
      <c r="Q32" s="122">
        <v>460</v>
      </c>
      <c r="R32" s="122">
        <v>10186</v>
      </c>
      <c r="S32" s="122">
        <v>3773</v>
      </c>
      <c r="T32" s="122">
        <v>0</v>
      </c>
      <c r="U32" s="122">
        <v>0</v>
      </c>
      <c r="V32" s="122">
        <v>38600</v>
      </c>
      <c r="W32" s="122">
        <f t="shared" si="0"/>
        <v>38600</v>
      </c>
      <c r="X32" s="122">
        <f t="shared" si="1"/>
        <v>52054</v>
      </c>
      <c r="Y32" s="122"/>
      <c r="AA32" t="s">
        <v>48</v>
      </c>
      <c r="AB32" t="s">
        <v>137</v>
      </c>
      <c r="AC32" t="s">
        <v>427</v>
      </c>
      <c r="AD32" t="s">
        <v>137</v>
      </c>
      <c r="AE32" t="s">
        <v>566</v>
      </c>
      <c r="AF32">
        <v>18</v>
      </c>
      <c r="AG32" s="122">
        <v>4852</v>
      </c>
      <c r="AH32" s="122">
        <v>1043</v>
      </c>
      <c r="AI32" s="122">
        <v>76552</v>
      </c>
      <c r="AJ32" s="122">
        <v>28353</v>
      </c>
      <c r="AK32">
        <v>417</v>
      </c>
      <c r="AL32" s="122">
        <v>32368</v>
      </c>
      <c r="AM32" s="122">
        <v>29426</v>
      </c>
      <c r="AN32" s="122">
        <v>60668</v>
      </c>
      <c r="AO32" s="122">
        <v>22470</v>
      </c>
      <c r="AP32" s="122">
        <v>22326</v>
      </c>
      <c r="AQ32" s="122">
        <v>8269</v>
      </c>
      <c r="AR32" s="122">
        <v>91863</v>
      </c>
      <c r="AS32" s="122">
        <v>34023</v>
      </c>
      <c r="AT32">
        <v>0</v>
      </c>
      <c r="AU32">
        <v>0</v>
      </c>
      <c r="AV32" s="122">
        <v>122540</v>
      </c>
    </row>
    <row r="33" spans="2:48" ht="12.75" customHeight="1">
      <c r="B33" t="s">
        <v>362</v>
      </c>
      <c r="C33" t="s">
        <v>56</v>
      </c>
      <c r="D33" t="s">
        <v>406</v>
      </c>
      <c r="E33" t="s">
        <v>406</v>
      </c>
      <c r="F33" s="122">
        <v>1113</v>
      </c>
      <c r="G33" s="122">
        <v>185217</v>
      </c>
      <c r="H33" s="122">
        <v>211753</v>
      </c>
      <c r="I33" s="122">
        <v>20746081</v>
      </c>
      <c r="J33" s="122">
        <v>18860074</v>
      </c>
      <c r="K33">
        <v>85</v>
      </c>
      <c r="L33" s="122">
        <v>4433174</v>
      </c>
      <c r="M33" s="122">
        <v>4202799</v>
      </c>
      <c r="N33" s="122">
        <v>3839163</v>
      </c>
      <c r="O33" s="122">
        <v>1421912</v>
      </c>
      <c r="P33" s="122">
        <v>721460</v>
      </c>
      <c r="Q33" s="122">
        <v>267207</v>
      </c>
      <c r="R33" s="122">
        <v>6216956</v>
      </c>
      <c r="S33" s="122">
        <v>5651778</v>
      </c>
      <c r="T33" s="122">
        <v>1239504</v>
      </c>
      <c r="U33" s="122">
        <v>459076</v>
      </c>
      <c r="V33" s="122">
        <v>30862846</v>
      </c>
      <c r="W33" s="122">
        <f t="shared" si="0"/>
        <v>30862846</v>
      </c>
      <c r="X33" s="122">
        <f t="shared" si="1"/>
        <v>37196338</v>
      </c>
      <c r="Y33" s="122"/>
      <c r="AA33" t="s">
        <v>48</v>
      </c>
      <c r="AB33" t="s">
        <v>137</v>
      </c>
      <c r="AC33" t="s">
        <v>407</v>
      </c>
      <c r="AD33" t="s">
        <v>137</v>
      </c>
      <c r="AE33" t="s">
        <v>137</v>
      </c>
      <c r="AF33">
        <v>5</v>
      </c>
      <c r="AG33" s="122">
        <v>1179</v>
      </c>
      <c r="AH33" s="122">
        <v>268</v>
      </c>
      <c r="AI33" s="122">
        <v>16935</v>
      </c>
      <c r="AJ33" s="122">
        <v>6272</v>
      </c>
      <c r="AK33">
        <v>446</v>
      </c>
      <c r="AL33" s="122">
        <v>6205</v>
      </c>
      <c r="AM33" s="122">
        <v>5641</v>
      </c>
      <c r="AN33" s="122">
        <v>14363</v>
      </c>
      <c r="AO33" s="122">
        <v>5320</v>
      </c>
      <c r="AP33" s="122">
        <v>1755</v>
      </c>
      <c r="AQ33" s="122">
        <v>650</v>
      </c>
      <c r="AR33" s="122">
        <v>23743</v>
      </c>
      <c r="AS33" s="122">
        <v>8794</v>
      </c>
      <c r="AT33">
        <v>0</v>
      </c>
      <c r="AU33">
        <v>0</v>
      </c>
      <c r="AV33" s="122">
        <v>26676</v>
      </c>
    </row>
    <row r="34" spans="2:48" ht="12.75" hidden="1" customHeight="1">
      <c r="B34" t="s">
        <v>362</v>
      </c>
      <c r="C34" t="s">
        <v>56</v>
      </c>
      <c r="D34" t="s">
        <v>406</v>
      </c>
      <c r="E34" t="s">
        <v>427</v>
      </c>
      <c r="F34">
        <v>2</v>
      </c>
      <c r="G34">
        <v>323</v>
      </c>
      <c r="H34" s="122">
        <v>378</v>
      </c>
      <c r="I34" s="122">
        <v>34916</v>
      </c>
      <c r="J34" s="122">
        <v>31742</v>
      </c>
      <c r="K34">
        <v>78</v>
      </c>
      <c r="L34" s="122">
        <v>9022</v>
      </c>
      <c r="M34" s="122">
        <v>8201</v>
      </c>
      <c r="N34" s="122">
        <v>6525</v>
      </c>
      <c r="O34" s="122">
        <v>2417</v>
      </c>
      <c r="P34" s="122">
        <v>1242</v>
      </c>
      <c r="Q34">
        <v>460</v>
      </c>
      <c r="R34" s="122">
        <v>8804</v>
      </c>
      <c r="S34" s="122">
        <v>8003</v>
      </c>
      <c r="T34" s="122">
        <v>0</v>
      </c>
      <c r="U34">
        <v>0</v>
      </c>
      <c r="V34" s="122">
        <v>50823</v>
      </c>
      <c r="W34" s="122">
        <f t="shared" si="0"/>
        <v>50823</v>
      </c>
      <c r="X34" s="122">
        <f t="shared" si="1"/>
        <v>60509</v>
      </c>
      <c r="Y34" s="122"/>
      <c r="AA34" t="s">
        <v>48</v>
      </c>
      <c r="AB34" t="s">
        <v>137</v>
      </c>
      <c r="AC34" t="s">
        <v>407</v>
      </c>
      <c r="AD34" t="s">
        <v>137</v>
      </c>
      <c r="AE34" t="s">
        <v>566</v>
      </c>
      <c r="AF34">
        <v>124</v>
      </c>
      <c r="AG34" s="122">
        <v>35408</v>
      </c>
      <c r="AH34" s="122">
        <v>6596</v>
      </c>
      <c r="AI34" s="122">
        <v>362155</v>
      </c>
      <c r="AJ34" s="122">
        <v>134131</v>
      </c>
      <c r="AK34">
        <v>428</v>
      </c>
      <c r="AL34" s="122">
        <v>93992</v>
      </c>
      <c r="AM34" s="122">
        <v>85447</v>
      </c>
      <c r="AN34" s="122">
        <v>457169</v>
      </c>
      <c r="AO34" s="122">
        <v>169322</v>
      </c>
      <c r="AP34" s="122">
        <v>253370</v>
      </c>
      <c r="AQ34" s="122">
        <v>93841</v>
      </c>
      <c r="AR34" s="122">
        <v>701156</v>
      </c>
      <c r="AS34" s="122">
        <v>259687</v>
      </c>
      <c r="AT34">
        <v>0</v>
      </c>
      <c r="AU34">
        <v>0</v>
      </c>
      <c r="AV34" s="122">
        <v>742429</v>
      </c>
    </row>
    <row r="35" spans="2:48" ht="12.75" hidden="1" customHeight="1">
      <c r="B35" t="s">
        <v>362</v>
      </c>
      <c r="C35" t="s">
        <v>56</v>
      </c>
      <c r="D35" t="s">
        <v>406</v>
      </c>
      <c r="E35" t="s">
        <v>426</v>
      </c>
      <c r="F35">
        <v>1</v>
      </c>
      <c r="G35" s="122">
        <v>134</v>
      </c>
      <c r="H35" s="122">
        <v>222</v>
      </c>
      <c r="I35" s="122">
        <v>18472</v>
      </c>
      <c r="J35" s="122">
        <v>16793</v>
      </c>
      <c r="K35">
        <v>79</v>
      </c>
      <c r="L35" s="122">
        <v>2799</v>
      </c>
      <c r="M35" s="122">
        <v>2544</v>
      </c>
      <c r="N35" s="122">
        <v>1959</v>
      </c>
      <c r="O35" s="122">
        <v>726</v>
      </c>
      <c r="P35" s="122">
        <v>621</v>
      </c>
      <c r="Q35" s="122">
        <v>230</v>
      </c>
      <c r="R35" s="122">
        <v>3287</v>
      </c>
      <c r="S35" s="122">
        <v>2988</v>
      </c>
      <c r="T35" s="122">
        <v>2662</v>
      </c>
      <c r="U35">
        <v>986</v>
      </c>
      <c r="V35" s="122">
        <v>24267</v>
      </c>
      <c r="W35" s="122">
        <f t="shared" si="0"/>
        <v>24267</v>
      </c>
      <c r="X35" s="122">
        <f t="shared" si="1"/>
        <v>29800</v>
      </c>
      <c r="Y35" s="122"/>
      <c r="AA35" t="s">
        <v>48</v>
      </c>
      <c r="AB35" t="s">
        <v>137</v>
      </c>
      <c r="AC35" t="s">
        <v>407</v>
      </c>
      <c r="AD35" t="s">
        <v>407</v>
      </c>
      <c r="AE35" t="s">
        <v>566</v>
      </c>
      <c r="AF35">
        <v>7</v>
      </c>
      <c r="AG35" s="122">
        <v>1879</v>
      </c>
      <c r="AH35">
        <v>367</v>
      </c>
      <c r="AI35" s="122">
        <v>27314</v>
      </c>
      <c r="AJ35" s="122">
        <v>10116</v>
      </c>
      <c r="AK35">
        <v>383</v>
      </c>
      <c r="AL35" s="122">
        <v>5360</v>
      </c>
      <c r="AM35" s="122">
        <v>4872</v>
      </c>
      <c r="AN35" s="122">
        <v>22892</v>
      </c>
      <c r="AO35" s="122">
        <v>8479</v>
      </c>
      <c r="AP35" s="122">
        <v>16456</v>
      </c>
      <c r="AQ35" s="122">
        <v>6095</v>
      </c>
      <c r="AR35" s="122">
        <v>25355</v>
      </c>
      <c r="AS35" s="122">
        <v>23050</v>
      </c>
      <c r="AT35">
        <v>0</v>
      </c>
      <c r="AU35">
        <v>0</v>
      </c>
      <c r="AV35" s="122">
        <v>52612</v>
      </c>
    </row>
    <row r="36" spans="2:48" ht="12.75" customHeight="1">
      <c r="B36" t="s">
        <v>362</v>
      </c>
      <c r="C36" t="s">
        <v>56</v>
      </c>
      <c r="D36" t="s">
        <v>407</v>
      </c>
      <c r="E36" t="s">
        <v>406</v>
      </c>
      <c r="F36">
        <v>1</v>
      </c>
      <c r="G36">
        <v>122</v>
      </c>
      <c r="H36" s="122">
        <v>173</v>
      </c>
      <c r="I36" s="122">
        <v>10257</v>
      </c>
      <c r="J36" s="122">
        <v>9325</v>
      </c>
      <c r="K36">
        <v>90</v>
      </c>
      <c r="L36" s="122">
        <v>3427</v>
      </c>
      <c r="M36" s="122">
        <v>3115</v>
      </c>
      <c r="N36" s="122">
        <v>2337</v>
      </c>
      <c r="O36" s="122">
        <v>866</v>
      </c>
      <c r="P36" s="122">
        <v>473</v>
      </c>
      <c r="Q36">
        <v>175</v>
      </c>
      <c r="R36" s="122">
        <v>4624</v>
      </c>
      <c r="S36" s="122">
        <v>4204</v>
      </c>
      <c r="T36" s="122">
        <v>0</v>
      </c>
      <c r="U36" s="122">
        <v>0</v>
      </c>
      <c r="V36" s="122">
        <v>17685</v>
      </c>
      <c r="W36" s="122">
        <f t="shared" si="0"/>
        <v>17685</v>
      </c>
      <c r="X36" s="122">
        <f t="shared" si="1"/>
        <v>21118</v>
      </c>
      <c r="Y36" s="122"/>
      <c r="AA36" t="s">
        <v>48</v>
      </c>
      <c r="AB36" t="s">
        <v>137</v>
      </c>
      <c r="AC36" t="s">
        <v>579</v>
      </c>
      <c r="AD36" t="s">
        <v>137</v>
      </c>
      <c r="AE36" t="s">
        <v>137</v>
      </c>
      <c r="AF36">
        <v>14</v>
      </c>
      <c r="AG36" s="122">
        <v>3026</v>
      </c>
      <c r="AH36" s="122">
        <v>816</v>
      </c>
      <c r="AI36" s="122">
        <v>33069</v>
      </c>
      <c r="AJ36" s="122">
        <v>12248</v>
      </c>
      <c r="AK36">
        <v>494</v>
      </c>
      <c r="AL36" s="122">
        <v>10219</v>
      </c>
      <c r="AM36" s="122">
        <v>8516</v>
      </c>
      <c r="AN36" s="122">
        <v>43395</v>
      </c>
      <c r="AO36" s="122">
        <v>16072</v>
      </c>
      <c r="AP36" s="122">
        <v>13872</v>
      </c>
      <c r="AQ36" s="122">
        <v>5138</v>
      </c>
      <c r="AR36" s="122">
        <v>78271</v>
      </c>
      <c r="AS36" s="122">
        <v>28989</v>
      </c>
      <c r="AT36">
        <v>0</v>
      </c>
      <c r="AU36">
        <v>0</v>
      </c>
      <c r="AV36" s="122">
        <v>70963</v>
      </c>
    </row>
    <row r="37" spans="2:48" ht="12.75" hidden="1" customHeight="1">
      <c r="B37" t="s">
        <v>362</v>
      </c>
      <c r="C37" t="s">
        <v>56</v>
      </c>
      <c r="D37" t="s">
        <v>407</v>
      </c>
      <c r="E37" t="s">
        <v>407</v>
      </c>
      <c r="F37" s="122">
        <v>360</v>
      </c>
      <c r="G37" s="122">
        <v>50476</v>
      </c>
      <c r="H37" s="122">
        <v>69911</v>
      </c>
      <c r="I37" s="122">
        <v>5295664</v>
      </c>
      <c r="J37" s="122">
        <v>4814240</v>
      </c>
      <c r="K37">
        <v>83</v>
      </c>
      <c r="L37" s="122">
        <v>1337600</v>
      </c>
      <c r="M37" s="122">
        <v>1160497</v>
      </c>
      <c r="N37" s="122">
        <v>992756</v>
      </c>
      <c r="O37" s="122">
        <v>367688</v>
      </c>
      <c r="P37" s="122">
        <v>176526</v>
      </c>
      <c r="Q37" s="122">
        <v>65380</v>
      </c>
      <c r="R37" s="122">
        <v>1931997</v>
      </c>
      <c r="S37" s="122">
        <v>1756361</v>
      </c>
      <c r="T37" s="122">
        <v>318606</v>
      </c>
      <c r="U37" s="122">
        <v>118002</v>
      </c>
      <c r="V37" s="122">
        <v>8282167</v>
      </c>
      <c r="W37" s="122">
        <f t="shared" si="0"/>
        <v>8282168</v>
      </c>
      <c r="X37" s="122">
        <f t="shared" si="1"/>
        <v>10053149</v>
      </c>
      <c r="Y37" s="122"/>
      <c r="AA37" t="s">
        <v>48</v>
      </c>
      <c r="AB37" t="s">
        <v>137</v>
      </c>
      <c r="AC37" t="s">
        <v>579</v>
      </c>
      <c r="AD37" t="s">
        <v>137</v>
      </c>
      <c r="AE37" t="s">
        <v>566</v>
      </c>
      <c r="AF37">
        <v>612</v>
      </c>
      <c r="AG37" s="122">
        <v>123771</v>
      </c>
      <c r="AH37" s="122">
        <v>34629</v>
      </c>
      <c r="AI37" s="122">
        <v>969204</v>
      </c>
      <c r="AJ37" s="122">
        <v>358964</v>
      </c>
      <c r="AK37">
        <v>463</v>
      </c>
      <c r="AL37" s="122">
        <v>314799</v>
      </c>
      <c r="AM37" s="122">
        <v>262333</v>
      </c>
      <c r="AN37" s="122">
        <v>1716959</v>
      </c>
      <c r="AO37" s="122">
        <v>635911</v>
      </c>
      <c r="AP37" s="122">
        <v>722268</v>
      </c>
      <c r="AQ37" s="122">
        <v>267506</v>
      </c>
      <c r="AR37" s="122">
        <v>3275723</v>
      </c>
      <c r="AS37" s="122">
        <v>1213231</v>
      </c>
      <c r="AT37">
        <v>0</v>
      </c>
      <c r="AU37">
        <v>0</v>
      </c>
      <c r="AV37" s="122">
        <v>2737945</v>
      </c>
    </row>
    <row r="38" spans="2:48" ht="12.75" hidden="1" customHeight="1">
      <c r="B38" t="s">
        <v>362</v>
      </c>
      <c r="C38" t="s">
        <v>56</v>
      </c>
      <c r="D38" t="s">
        <v>556</v>
      </c>
      <c r="E38" t="s">
        <v>556</v>
      </c>
      <c r="F38">
        <v>1</v>
      </c>
      <c r="G38">
        <v>121</v>
      </c>
      <c r="H38">
        <v>186</v>
      </c>
      <c r="I38" s="122">
        <v>10719</v>
      </c>
      <c r="J38" s="122">
        <v>8933</v>
      </c>
      <c r="K38">
        <v>93</v>
      </c>
      <c r="L38" s="122">
        <v>3214</v>
      </c>
      <c r="M38" s="122">
        <v>2921</v>
      </c>
      <c r="N38" s="122">
        <v>1477</v>
      </c>
      <c r="O38">
        <v>547</v>
      </c>
      <c r="P38">
        <v>621</v>
      </c>
      <c r="Q38">
        <v>230</v>
      </c>
      <c r="R38" s="122">
        <v>3857</v>
      </c>
      <c r="S38" s="122">
        <v>3214</v>
      </c>
      <c r="T38" s="122">
        <v>2690</v>
      </c>
      <c r="U38">
        <v>996</v>
      </c>
      <c r="V38" s="122">
        <v>16842</v>
      </c>
      <c r="W38" s="122">
        <f t="shared" si="0"/>
        <v>16841</v>
      </c>
      <c r="X38" s="122">
        <f t="shared" si="1"/>
        <v>22578</v>
      </c>
      <c r="Y38" s="122"/>
      <c r="AA38" t="s">
        <v>48</v>
      </c>
      <c r="AB38" t="s">
        <v>137</v>
      </c>
      <c r="AC38" t="s">
        <v>579</v>
      </c>
      <c r="AD38" t="s">
        <v>406</v>
      </c>
      <c r="AE38" t="s">
        <v>566</v>
      </c>
      <c r="AF38">
        <v>1</v>
      </c>
      <c r="AG38">
        <v>172</v>
      </c>
      <c r="AH38">
        <v>55</v>
      </c>
      <c r="AI38" s="122">
        <v>3553</v>
      </c>
      <c r="AJ38" s="122">
        <v>1316</v>
      </c>
      <c r="AK38">
        <v>396</v>
      </c>
      <c r="AL38" s="122">
        <v>2362</v>
      </c>
      <c r="AM38" s="122">
        <v>1969</v>
      </c>
      <c r="AN38" s="122">
        <v>2098</v>
      </c>
      <c r="AO38" s="122">
        <v>777</v>
      </c>
      <c r="AP38" s="122">
        <v>351</v>
      </c>
      <c r="AQ38" s="122">
        <v>130</v>
      </c>
      <c r="AR38" s="122">
        <v>1042</v>
      </c>
      <c r="AS38" s="122">
        <v>948</v>
      </c>
      <c r="AT38">
        <v>0</v>
      </c>
      <c r="AU38">
        <v>0</v>
      </c>
      <c r="AV38" s="122">
        <v>5139</v>
      </c>
    </row>
    <row r="39" spans="2:48" ht="12.75" hidden="1" customHeight="1">
      <c r="B39" t="s">
        <v>362</v>
      </c>
      <c r="C39" t="s">
        <v>56</v>
      </c>
      <c r="D39" t="s">
        <v>426</v>
      </c>
      <c r="E39" t="s">
        <v>426</v>
      </c>
      <c r="F39">
        <v>1</v>
      </c>
      <c r="G39" s="122">
        <v>171</v>
      </c>
      <c r="H39" s="122">
        <v>195</v>
      </c>
      <c r="I39" s="122">
        <v>19141</v>
      </c>
      <c r="J39" s="122">
        <v>17401</v>
      </c>
      <c r="K39">
        <v>76</v>
      </c>
      <c r="L39" s="122">
        <v>2676</v>
      </c>
      <c r="M39" s="122">
        <v>2433</v>
      </c>
      <c r="N39" s="122">
        <v>3121</v>
      </c>
      <c r="O39" s="122">
        <v>1156</v>
      </c>
      <c r="P39" s="122">
        <v>351</v>
      </c>
      <c r="Q39" s="122">
        <v>130</v>
      </c>
      <c r="R39" s="122">
        <v>4740</v>
      </c>
      <c r="S39" s="122">
        <v>4309</v>
      </c>
      <c r="T39" s="122">
        <v>3239</v>
      </c>
      <c r="U39" s="122">
        <v>1200</v>
      </c>
      <c r="V39" s="122">
        <v>26628</v>
      </c>
      <c r="W39" s="122">
        <f t="shared" si="0"/>
        <v>26629</v>
      </c>
      <c r="X39" s="122">
        <f t="shared" si="1"/>
        <v>33268</v>
      </c>
      <c r="Y39" s="122"/>
      <c r="AA39" t="s">
        <v>48</v>
      </c>
      <c r="AB39" t="s">
        <v>137</v>
      </c>
      <c r="AC39" t="s">
        <v>579</v>
      </c>
      <c r="AD39" t="s">
        <v>407</v>
      </c>
      <c r="AE39" t="s">
        <v>566</v>
      </c>
      <c r="AF39">
        <v>4</v>
      </c>
      <c r="AG39" s="122">
        <v>913</v>
      </c>
      <c r="AH39">
        <v>192</v>
      </c>
      <c r="AI39" s="122">
        <v>9531</v>
      </c>
      <c r="AJ39" s="122">
        <v>3530</v>
      </c>
      <c r="AK39">
        <v>404</v>
      </c>
      <c r="AL39" s="122">
        <v>2308</v>
      </c>
      <c r="AM39" s="122">
        <v>1923</v>
      </c>
      <c r="AN39" s="122">
        <v>11124</v>
      </c>
      <c r="AO39" s="122">
        <v>4120</v>
      </c>
      <c r="AP39" s="122">
        <v>9776</v>
      </c>
      <c r="AQ39" s="122">
        <v>3621</v>
      </c>
      <c r="AR39" s="122">
        <v>10983</v>
      </c>
      <c r="AS39" s="122">
        <v>9984</v>
      </c>
      <c r="AT39">
        <v>0</v>
      </c>
      <c r="AU39">
        <v>0</v>
      </c>
      <c r="AV39" s="122">
        <v>23179</v>
      </c>
    </row>
    <row r="40" spans="2:48" ht="12.75" hidden="1" customHeight="1">
      <c r="B40" t="s">
        <v>362</v>
      </c>
      <c r="C40" t="s">
        <v>56</v>
      </c>
      <c r="D40" t="s">
        <v>433</v>
      </c>
      <c r="E40" t="s">
        <v>433</v>
      </c>
      <c r="F40">
        <v>1</v>
      </c>
      <c r="G40">
        <v>213</v>
      </c>
      <c r="H40">
        <v>198</v>
      </c>
      <c r="I40" s="122">
        <v>22844</v>
      </c>
      <c r="J40" s="122">
        <v>20767</v>
      </c>
      <c r="K40">
        <v>81</v>
      </c>
      <c r="L40" s="122">
        <v>6853</v>
      </c>
      <c r="M40" s="122">
        <v>6230</v>
      </c>
      <c r="N40" s="122">
        <v>4548</v>
      </c>
      <c r="O40" s="122">
        <v>1684</v>
      </c>
      <c r="P40">
        <v>351</v>
      </c>
      <c r="Q40">
        <v>130</v>
      </c>
      <c r="R40" s="122">
        <v>7737</v>
      </c>
      <c r="S40" s="122">
        <v>7034</v>
      </c>
      <c r="T40">
        <v>0</v>
      </c>
      <c r="U40">
        <v>0</v>
      </c>
      <c r="V40" s="122">
        <v>35846</v>
      </c>
      <c r="W40" s="122">
        <f t="shared" si="0"/>
        <v>35845</v>
      </c>
      <c r="X40" s="122">
        <f t="shared" si="1"/>
        <v>42333</v>
      </c>
      <c r="Y40" s="122"/>
      <c r="AA40" t="s">
        <v>48</v>
      </c>
      <c r="AB40" t="s">
        <v>137</v>
      </c>
      <c r="AC40" t="s">
        <v>428</v>
      </c>
      <c r="AD40" t="s">
        <v>137</v>
      </c>
      <c r="AE40" t="s">
        <v>566</v>
      </c>
      <c r="AF40">
        <v>4</v>
      </c>
      <c r="AG40" s="122">
        <v>1017</v>
      </c>
      <c r="AH40">
        <v>222</v>
      </c>
      <c r="AI40" s="122">
        <v>6651</v>
      </c>
      <c r="AJ40" s="122">
        <v>2463</v>
      </c>
      <c r="AK40">
        <v>494</v>
      </c>
      <c r="AL40" s="122">
        <v>2918</v>
      </c>
      <c r="AM40" s="122">
        <v>2652</v>
      </c>
      <c r="AN40" s="122">
        <v>15834</v>
      </c>
      <c r="AO40" s="122">
        <v>5864</v>
      </c>
      <c r="AP40" s="122">
        <v>8118</v>
      </c>
      <c r="AQ40" s="122">
        <v>3007</v>
      </c>
      <c r="AR40" s="122">
        <v>22505</v>
      </c>
      <c r="AS40" s="122">
        <v>8335</v>
      </c>
      <c r="AT40">
        <v>0</v>
      </c>
      <c r="AU40">
        <v>0</v>
      </c>
      <c r="AV40" s="122">
        <v>22322</v>
      </c>
    </row>
    <row r="41" spans="2:48" ht="12.75" hidden="1" customHeight="1">
      <c r="B41" t="s">
        <v>362</v>
      </c>
      <c r="C41" t="s">
        <v>56</v>
      </c>
      <c r="D41" t="s">
        <v>408</v>
      </c>
      <c r="E41" t="s">
        <v>408</v>
      </c>
      <c r="F41">
        <v>7</v>
      </c>
      <c r="G41" s="122">
        <v>1756</v>
      </c>
      <c r="H41" s="122">
        <v>1268</v>
      </c>
      <c r="I41" s="122">
        <v>192240</v>
      </c>
      <c r="J41" s="122">
        <v>174764</v>
      </c>
      <c r="K41">
        <v>74</v>
      </c>
      <c r="L41" s="122">
        <v>27712</v>
      </c>
      <c r="M41" s="122">
        <v>24673</v>
      </c>
      <c r="N41" s="122">
        <v>38759</v>
      </c>
      <c r="O41" s="122">
        <v>14355</v>
      </c>
      <c r="P41" s="122">
        <v>4320</v>
      </c>
      <c r="Q41" s="122">
        <v>1600</v>
      </c>
      <c r="R41" s="122">
        <v>37374</v>
      </c>
      <c r="S41" s="122">
        <v>33976</v>
      </c>
      <c r="T41" s="122">
        <v>11699</v>
      </c>
      <c r="U41" s="122">
        <v>4333</v>
      </c>
      <c r="V41" s="122">
        <v>253701</v>
      </c>
      <c r="W41" s="122">
        <f t="shared" si="0"/>
        <v>253701</v>
      </c>
      <c r="X41" s="122">
        <f t="shared" si="1"/>
        <v>312104</v>
      </c>
      <c r="Y41" s="122"/>
      <c r="AA41" t="s">
        <v>48</v>
      </c>
      <c r="AB41" t="s">
        <v>137</v>
      </c>
      <c r="AC41" t="s">
        <v>431</v>
      </c>
      <c r="AD41" t="s">
        <v>137</v>
      </c>
      <c r="AE41" t="s">
        <v>566</v>
      </c>
      <c r="AF41">
        <v>2</v>
      </c>
      <c r="AG41" s="122">
        <v>553</v>
      </c>
      <c r="AH41" s="122">
        <v>96</v>
      </c>
      <c r="AI41" s="122">
        <v>-1095</v>
      </c>
      <c r="AJ41" s="122">
        <v>-406</v>
      </c>
      <c r="AK41">
        <v>572</v>
      </c>
      <c r="AL41" s="122">
        <v>-1234</v>
      </c>
      <c r="AM41" s="122">
        <v>-1122</v>
      </c>
      <c r="AN41" s="122">
        <v>6737</v>
      </c>
      <c r="AO41" s="122">
        <v>2495</v>
      </c>
      <c r="AP41" s="122">
        <v>5716</v>
      </c>
      <c r="AQ41" s="122">
        <v>2117</v>
      </c>
      <c r="AR41" s="122">
        <v>16493</v>
      </c>
      <c r="AS41" s="122">
        <v>6109</v>
      </c>
      <c r="AT41" s="122">
        <v>0</v>
      </c>
      <c r="AU41" s="122">
        <v>0</v>
      </c>
      <c r="AV41" s="122">
        <v>9193</v>
      </c>
    </row>
    <row r="42" spans="2:48" ht="12.75" customHeight="1">
      <c r="B42" t="s">
        <v>362</v>
      </c>
      <c r="C42" t="s">
        <v>58</v>
      </c>
      <c r="D42" t="s">
        <v>405</v>
      </c>
      <c r="E42" t="s">
        <v>405</v>
      </c>
      <c r="F42">
        <v>5</v>
      </c>
      <c r="G42" s="122">
        <v>617</v>
      </c>
      <c r="H42" s="122">
        <v>1227</v>
      </c>
      <c r="I42" s="122">
        <v>89183</v>
      </c>
      <c r="J42" s="122">
        <v>81076</v>
      </c>
      <c r="K42">
        <v>84</v>
      </c>
      <c r="L42" s="122">
        <v>20331</v>
      </c>
      <c r="M42" s="122">
        <v>18483</v>
      </c>
      <c r="N42" s="122">
        <v>12063</v>
      </c>
      <c r="O42" s="122">
        <v>4468</v>
      </c>
      <c r="P42" s="122">
        <v>2363</v>
      </c>
      <c r="Q42" s="122">
        <v>875</v>
      </c>
      <c r="R42" s="122">
        <v>25861</v>
      </c>
      <c r="S42" s="122">
        <v>23510</v>
      </c>
      <c r="T42" s="122">
        <v>3225</v>
      </c>
      <c r="U42" s="122">
        <v>1194</v>
      </c>
      <c r="V42" s="122">
        <v>129605</v>
      </c>
      <c r="W42" s="122">
        <f t="shared" si="0"/>
        <v>129606</v>
      </c>
      <c r="X42" s="122">
        <f t="shared" si="1"/>
        <v>153026</v>
      </c>
      <c r="Y42" s="122"/>
      <c r="AA42" t="s">
        <v>48</v>
      </c>
      <c r="AB42" t="s">
        <v>137</v>
      </c>
      <c r="AC42" t="s">
        <v>426</v>
      </c>
      <c r="AD42" t="s">
        <v>137</v>
      </c>
      <c r="AE42" t="s">
        <v>137</v>
      </c>
      <c r="AF42" s="122">
        <v>41</v>
      </c>
      <c r="AG42" s="122">
        <v>9861</v>
      </c>
      <c r="AH42" s="122">
        <v>2395</v>
      </c>
      <c r="AI42" s="122">
        <v>145948</v>
      </c>
      <c r="AJ42" s="122">
        <v>54055</v>
      </c>
      <c r="AK42">
        <v>429</v>
      </c>
      <c r="AL42" s="122">
        <v>50892</v>
      </c>
      <c r="AM42" s="122">
        <v>46266</v>
      </c>
      <c r="AN42" s="122">
        <v>134596</v>
      </c>
      <c r="AO42" s="122">
        <v>49850</v>
      </c>
      <c r="AP42" s="122">
        <v>52264</v>
      </c>
      <c r="AQ42" s="122">
        <v>19357</v>
      </c>
      <c r="AR42" s="122">
        <v>187218</v>
      </c>
      <c r="AS42" s="122">
        <v>69340</v>
      </c>
      <c r="AT42" s="122">
        <v>8266</v>
      </c>
      <c r="AU42" s="122">
        <v>3061</v>
      </c>
      <c r="AV42" s="122">
        <v>241930</v>
      </c>
    </row>
    <row r="43" spans="2:48" ht="12.75" hidden="1" customHeight="1">
      <c r="B43" t="s">
        <v>362</v>
      </c>
      <c r="C43" t="s">
        <v>58</v>
      </c>
      <c r="D43" t="s">
        <v>137</v>
      </c>
      <c r="E43" t="s">
        <v>137</v>
      </c>
      <c r="F43">
        <v>10</v>
      </c>
      <c r="G43" s="122">
        <v>2198</v>
      </c>
      <c r="H43" s="122">
        <v>2692</v>
      </c>
      <c r="I43" s="122">
        <v>398849</v>
      </c>
      <c r="J43" s="122">
        <v>147722</v>
      </c>
      <c r="K43">
        <v>130</v>
      </c>
      <c r="L43" s="122">
        <v>81192</v>
      </c>
      <c r="M43" s="122">
        <v>63653</v>
      </c>
      <c r="N43" s="122">
        <v>49177</v>
      </c>
      <c r="O43" s="122">
        <v>18214</v>
      </c>
      <c r="P43" s="122">
        <v>1053</v>
      </c>
      <c r="Q43" s="122">
        <v>390</v>
      </c>
      <c r="R43" s="122">
        <v>103568</v>
      </c>
      <c r="S43" s="122">
        <v>38358</v>
      </c>
      <c r="T43">
        <v>0</v>
      </c>
      <c r="U43">
        <v>0</v>
      </c>
      <c r="V43" s="122">
        <v>268337</v>
      </c>
      <c r="W43" s="122">
        <f t="shared" si="0"/>
        <v>268337</v>
      </c>
      <c r="X43" s="122">
        <f t="shared" si="1"/>
        <v>633839</v>
      </c>
      <c r="Y43" s="122"/>
      <c r="AA43" t="s">
        <v>48</v>
      </c>
      <c r="AB43" t="s">
        <v>137</v>
      </c>
      <c r="AC43" t="s">
        <v>426</v>
      </c>
      <c r="AD43" t="s">
        <v>137</v>
      </c>
      <c r="AE43" t="s">
        <v>566</v>
      </c>
      <c r="AF43" s="122">
        <v>1568</v>
      </c>
      <c r="AG43" s="122">
        <v>352112</v>
      </c>
      <c r="AH43" s="122">
        <v>88143</v>
      </c>
      <c r="AI43" s="122">
        <v>3074545</v>
      </c>
      <c r="AJ43" s="122">
        <v>1138720</v>
      </c>
      <c r="AK43">
        <v>462</v>
      </c>
      <c r="AL43" s="122">
        <v>1041670</v>
      </c>
      <c r="AM43" s="122">
        <v>946972</v>
      </c>
      <c r="AN43" s="122">
        <v>4808503</v>
      </c>
      <c r="AO43" s="122">
        <v>1780927</v>
      </c>
      <c r="AP43" s="122">
        <v>2118535</v>
      </c>
      <c r="AQ43" s="122">
        <v>784642</v>
      </c>
      <c r="AR43" s="122">
        <v>8730374</v>
      </c>
      <c r="AS43" s="122">
        <v>3233472</v>
      </c>
      <c r="AT43">
        <v>0</v>
      </c>
      <c r="AU43">
        <v>0</v>
      </c>
      <c r="AV43" s="122">
        <v>7884734</v>
      </c>
    </row>
    <row r="44" spans="2:48" ht="12.75" hidden="1" customHeight="1">
      <c r="B44" t="s">
        <v>362</v>
      </c>
      <c r="C44" t="s">
        <v>58</v>
      </c>
      <c r="D44" t="s">
        <v>406</v>
      </c>
      <c r="E44" t="s">
        <v>406</v>
      </c>
      <c r="F44">
        <v>780</v>
      </c>
      <c r="G44" s="122">
        <v>102354</v>
      </c>
      <c r="H44" s="122">
        <v>203038</v>
      </c>
      <c r="I44" s="122">
        <v>16081993</v>
      </c>
      <c r="J44" s="122">
        <v>14619993</v>
      </c>
      <c r="K44">
        <v>79</v>
      </c>
      <c r="L44" s="122">
        <v>3256588</v>
      </c>
      <c r="M44" s="122">
        <v>2885424</v>
      </c>
      <c r="N44" s="122">
        <v>2081547</v>
      </c>
      <c r="O44" s="122">
        <v>770943</v>
      </c>
      <c r="P44" s="122">
        <v>499730</v>
      </c>
      <c r="Q44" s="122">
        <v>185085</v>
      </c>
      <c r="R44" s="122">
        <v>4200338</v>
      </c>
      <c r="S44" s="122">
        <v>3818489</v>
      </c>
      <c r="T44" s="122">
        <v>1272177</v>
      </c>
      <c r="U44" s="122">
        <v>471177</v>
      </c>
      <c r="V44" s="122">
        <v>22751111</v>
      </c>
      <c r="W44" s="122">
        <f t="shared" si="0"/>
        <v>22751111</v>
      </c>
      <c r="X44" s="122">
        <f t="shared" si="1"/>
        <v>27392373</v>
      </c>
      <c r="Y44" s="122"/>
      <c r="AA44" t="s">
        <v>48</v>
      </c>
      <c r="AB44" t="s">
        <v>137</v>
      </c>
      <c r="AC44" t="s">
        <v>426</v>
      </c>
      <c r="AD44" t="s">
        <v>406</v>
      </c>
      <c r="AE44" t="s">
        <v>566</v>
      </c>
      <c r="AF44">
        <v>5</v>
      </c>
      <c r="AG44" s="122">
        <v>1429</v>
      </c>
      <c r="AH44">
        <v>274</v>
      </c>
      <c r="AI44" s="122">
        <v>39698</v>
      </c>
      <c r="AJ44" s="122">
        <v>14703</v>
      </c>
      <c r="AK44">
        <v>398</v>
      </c>
      <c r="AL44" s="122">
        <v>9519</v>
      </c>
      <c r="AM44" s="122">
        <v>8654</v>
      </c>
      <c r="AN44" s="122">
        <v>19681</v>
      </c>
      <c r="AO44" s="122">
        <v>7289</v>
      </c>
      <c r="AP44" s="122">
        <v>10760</v>
      </c>
      <c r="AQ44" s="122">
        <v>3985</v>
      </c>
      <c r="AR44" s="122">
        <v>12575</v>
      </c>
      <c r="AS44" s="122">
        <v>11432</v>
      </c>
      <c r="AT44">
        <v>0</v>
      </c>
      <c r="AU44">
        <v>0</v>
      </c>
      <c r="AV44" s="122">
        <v>46063</v>
      </c>
    </row>
    <row r="45" spans="2:48" ht="12.75" hidden="1" customHeight="1">
      <c r="B45" t="s">
        <v>362</v>
      </c>
      <c r="C45" t="s">
        <v>58</v>
      </c>
      <c r="D45" t="s">
        <v>406</v>
      </c>
      <c r="E45" t="s">
        <v>427</v>
      </c>
      <c r="F45">
        <v>1</v>
      </c>
      <c r="G45" s="122">
        <v>66</v>
      </c>
      <c r="H45" s="122">
        <v>243</v>
      </c>
      <c r="I45" s="122">
        <v>8828</v>
      </c>
      <c r="J45" s="122">
        <v>8026</v>
      </c>
      <c r="K45">
        <v>79</v>
      </c>
      <c r="L45" s="122">
        <v>1132</v>
      </c>
      <c r="M45" s="122">
        <v>1029</v>
      </c>
      <c r="N45" s="122">
        <v>808</v>
      </c>
      <c r="O45" s="122">
        <v>299</v>
      </c>
      <c r="P45" s="122">
        <v>621</v>
      </c>
      <c r="Q45" s="122">
        <v>230</v>
      </c>
      <c r="R45" s="122">
        <v>2780</v>
      </c>
      <c r="S45" s="122">
        <v>2527</v>
      </c>
      <c r="T45" s="122">
        <v>1979</v>
      </c>
      <c r="U45" s="122">
        <v>733</v>
      </c>
      <c r="V45" s="122">
        <v>12844</v>
      </c>
      <c r="W45" s="122">
        <f t="shared" si="0"/>
        <v>12844</v>
      </c>
      <c r="X45" s="122">
        <f t="shared" si="1"/>
        <v>16148</v>
      </c>
      <c r="Y45" s="122"/>
      <c r="AA45" t="s">
        <v>48</v>
      </c>
      <c r="AB45" t="s">
        <v>137</v>
      </c>
      <c r="AC45" t="s">
        <v>426</v>
      </c>
      <c r="AD45" t="s">
        <v>407</v>
      </c>
      <c r="AE45" t="s">
        <v>566</v>
      </c>
      <c r="AF45">
        <v>1</v>
      </c>
      <c r="AG45">
        <v>241</v>
      </c>
      <c r="AH45">
        <v>49</v>
      </c>
      <c r="AI45" s="122">
        <v>2720</v>
      </c>
      <c r="AJ45" s="122">
        <v>1007</v>
      </c>
      <c r="AK45">
        <v>415</v>
      </c>
      <c r="AL45" s="122">
        <v>852</v>
      </c>
      <c r="AM45" s="122">
        <v>774</v>
      </c>
      <c r="AN45" s="122">
        <v>2932</v>
      </c>
      <c r="AO45" s="122">
        <v>1086</v>
      </c>
      <c r="AP45" s="122">
        <v>2558</v>
      </c>
      <c r="AQ45" s="122">
        <v>947</v>
      </c>
      <c r="AR45" s="122">
        <v>2721</v>
      </c>
      <c r="AS45" s="122">
        <v>2473</v>
      </c>
      <c r="AT45">
        <v>0</v>
      </c>
      <c r="AU45">
        <v>0</v>
      </c>
      <c r="AV45" s="122">
        <v>6288</v>
      </c>
    </row>
    <row r="46" spans="2:48" ht="12.75" hidden="1" customHeight="1">
      <c r="B46" t="s">
        <v>362</v>
      </c>
      <c r="C46" t="s">
        <v>58</v>
      </c>
      <c r="D46" t="s">
        <v>427</v>
      </c>
      <c r="E46" t="s">
        <v>406</v>
      </c>
      <c r="F46">
        <v>1</v>
      </c>
      <c r="G46">
        <v>99</v>
      </c>
      <c r="H46" s="122">
        <v>252</v>
      </c>
      <c r="I46" s="122">
        <v>13972</v>
      </c>
      <c r="J46" s="122">
        <v>12702</v>
      </c>
      <c r="K46">
        <v>86</v>
      </c>
      <c r="L46" s="122">
        <v>2101</v>
      </c>
      <c r="M46" s="122">
        <v>1910</v>
      </c>
      <c r="N46" s="122">
        <v>1813</v>
      </c>
      <c r="O46" s="122">
        <v>671</v>
      </c>
      <c r="P46" s="122">
        <v>621</v>
      </c>
      <c r="Q46">
        <v>230</v>
      </c>
      <c r="R46" s="122">
        <v>3841</v>
      </c>
      <c r="S46" s="122">
        <v>3492</v>
      </c>
      <c r="T46" s="122">
        <v>2685</v>
      </c>
      <c r="U46" s="122">
        <v>994</v>
      </c>
      <c r="V46" s="122">
        <v>19999</v>
      </c>
      <c r="W46" s="122">
        <f t="shared" si="0"/>
        <v>19999</v>
      </c>
      <c r="X46" s="122">
        <f t="shared" si="1"/>
        <v>25033</v>
      </c>
      <c r="Y46" s="122"/>
      <c r="AA46" t="s">
        <v>48</v>
      </c>
      <c r="AB46" t="s">
        <v>137</v>
      </c>
      <c r="AC46" t="s">
        <v>426</v>
      </c>
      <c r="AD46" t="s">
        <v>426</v>
      </c>
      <c r="AE46" t="s">
        <v>566</v>
      </c>
      <c r="AF46">
        <v>2</v>
      </c>
      <c r="AG46" s="122">
        <v>443</v>
      </c>
      <c r="AH46" s="122">
        <v>113</v>
      </c>
      <c r="AI46" s="122">
        <v>9906</v>
      </c>
      <c r="AJ46" s="122">
        <v>3669</v>
      </c>
      <c r="AK46">
        <v>489</v>
      </c>
      <c r="AL46" s="122">
        <v>2456</v>
      </c>
      <c r="AM46" s="122">
        <v>2232</v>
      </c>
      <c r="AN46" s="122">
        <v>5391</v>
      </c>
      <c r="AO46" s="122">
        <v>1997</v>
      </c>
      <c r="AP46" s="122">
        <v>3022</v>
      </c>
      <c r="AQ46" s="122">
        <v>1119</v>
      </c>
      <c r="AR46" s="122">
        <v>2859</v>
      </c>
      <c r="AS46" s="122">
        <v>2599</v>
      </c>
      <c r="AT46" s="122">
        <v>0</v>
      </c>
      <c r="AU46" s="122">
        <v>0</v>
      </c>
      <c r="AV46" s="122">
        <v>11616</v>
      </c>
    </row>
    <row r="47" spans="2:48" ht="12.75" customHeight="1">
      <c r="B47" t="s">
        <v>362</v>
      </c>
      <c r="C47" t="s">
        <v>58</v>
      </c>
      <c r="D47" t="s">
        <v>427</v>
      </c>
      <c r="E47" t="s">
        <v>427</v>
      </c>
      <c r="F47">
        <v>1</v>
      </c>
      <c r="G47">
        <v>80</v>
      </c>
      <c r="H47" s="122">
        <v>280</v>
      </c>
      <c r="I47" s="122">
        <v>21325</v>
      </c>
      <c r="J47" s="122">
        <v>19386</v>
      </c>
      <c r="K47">
        <v>65</v>
      </c>
      <c r="L47" s="122">
        <v>2369</v>
      </c>
      <c r="M47" s="122">
        <v>2154</v>
      </c>
      <c r="N47" s="122">
        <v>2443</v>
      </c>
      <c r="O47" s="122">
        <v>905</v>
      </c>
      <c r="P47" s="122">
        <v>351</v>
      </c>
      <c r="Q47" s="122">
        <v>130</v>
      </c>
      <c r="R47" s="122">
        <v>5060</v>
      </c>
      <c r="S47" s="122">
        <v>4600</v>
      </c>
      <c r="T47" s="122">
        <v>2889</v>
      </c>
      <c r="U47" s="122">
        <v>1070</v>
      </c>
      <c r="V47" s="122">
        <v>28245</v>
      </c>
      <c r="W47" s="122">
        <f t="shared" si="0"/>
        <v>28245</v>
      </c>
      <c r="X47" s="122">
        <f t="shared" si="1"/>
        <v>34437</v>
      </c>
      <c r="Y47" s="122"/>
      <c r="AA47" t="s">
        <v>48</v>
      </c>
      <c r="AB47" t="s">
        <v>137</v>
      </c>
      <c r="AC47" t="s">
        <v>566</v>
      </c>
      <c r="AD47" t="s">
        <v>137</v>
      </c>
      <c r="AE47" t="s">
        <v>137</v>
      </c>
      <c r="AF47" s="122">
        <v>34</v>
      </c>
      <c r="AG47" s="122">
        <v>6624</v>
      </c>
      <c r="AH47" s="122">
        <v>1896</v>
      </c>
      <c r="AI47" s="122">
        <v>81225</v>
      </c>
      <c r="AJ47" s="122">
        <v>30083</v>
      </c>
      <c r="AK47">
        <v>452</v>
      </c>
      <c r="AL47">
        <v>0</v>
      </c>
      <c r="AM47" s="122">
        <v>21</v>
      </c>
      <c r="AN47" s="122">
        <v>96791</v>
      </c>
      <c r="AO47" s="122">
        <v>35849</v>
      </c>
      <c r="AP47" s="122">
        <v>41948</v>
      </c>
      <c r="AQ47" s="122">
        <v>15536</v>
      </c>
      <c r="AR47" s="122">
        <v>145646</v>
      </c>
      <c r="AS47" s="122">
        <v>53943</v>
      </c>
      <c r="AT47" s="122">
        <v>11708</v>
      </c>
      <c r="AU47" s="122">
        <v>4336</v>
      </c>
      <c r="AV47" s="122">
        <v>139769</v>
      </c>
    </row>
    <row r="48" spans="2:48" ht="12.75" hidden="1" customHeight="1">
      <c r="B48" t="s">
        <v>362</v>
      </c>
      <c r="C48" t="s">
        <v>58</v>
      </c>
      <c r="D48" t="s">
        <v>407</v>
      </c>
      <c r="E48" t="s">
        <v>407</v>
      </c>
      <c r="F48">
        <v>210</v>
      </c>
      <c r="G48" s="122">
        <v>25499</v>
      </c>
      <c r="H48" s="122">
        <v>53531</v>
      </c>
      <c r="I48" s="122">
        <v>3611442</v>
      </c>
      <c r="J48" s="122">
        <v>3283129</v>
      </c>
      <c r="K48">
        <v>79</v>
      </c>
      <c r="L48" s="122">
        <v>935618</v>
      </c>
      <c r="M48" s="122">
        <v>831449</v>
      </c>
      <c r="N48" s="122">
        <v>540381</v>
      </c>
      <c r="O48" s="122">
        <v>200141</v>
      </c>
      <c r="P48" s="122">
        <v>101723</v>
      </c>
      <c r="Q48" s="122">
        <v>37675</v>
      </c>
      <c r="R48" s="122">
        <v>1166505</v>
      </c>
      <c r="S48" s="122">
        <v>1060459</v>
      </c>
      <c r="T48" s="122">
        <v>262699</v>
      </c>
      <c r="U48" s="122">
        <v>97296</v>
      </c>
      <c r="V48" s="122">
        <v>5510150</v>
      </c>
      <c r="W48" s="122">
        <f t="shared" si="0"/>
        <v>5510149</v>
      </c>
      <c r="X48" s="122">
        <f t="shared" si="1"/>
        <v>6618368</v>
      </c>
      <c r="Y48" s="122"/>
      <c r="AA48" t="s">
        <v>48</v>
      </c>
      <c r="AB48" t="s">
        <v>137</v>
      </c>
      <c r="AC48" t="s">
        <v>566</v>
      </c>
      <c r="AD48" t="s">
        <v>137</v>
      </c>
      <c r="AE48" t="s">
        <v>566</v>
      </c>
      <c r="AF48" s="122">
        <v>1738</v>
      </c>
      <c r="AG48" s="122">
        <v>329077</v>
      </c>
      <c r="AH48" s="122">
        <v>90166</v>
      </c>
      <c r="AI48" s="122">
        <v>1470976</v>
      </c>
      <c r="AJ48" s="122">
        <v>544806</v>
      </c>
      <c r="AK48">
        <v>463</v>
      </c>
      <c r="AL48">
        <v>477</v>
      </c>
      <c r="AM48" s="122">
        <v>15990</v>
      </c>
      <c r="AN48" s="122">
        <v>4318069</v>
      </c>
      <c r="AO48" s="122">
        <v>1599285</v>
      </c>
      <c r="AP48" s="122">
        <v>2229803</v>
      </c>
      <c r="AQ48" s="122">
        <v>825853</v>
      </c>
      <c r="AR48" s="122">
        <v>8786607</v>
      </c>
      <c r="AS48" s="122">
        <v>3254299</v>
      </c>
      <c r="AT48">
        <v>0</v>
      </c>
      <c r="AU48">
        <v>0</v>
      </c>
      <c r="AV48" s="122">
        <v>6240233</v>
      </c>
    </row>
    <row r="49" spans="2:48" ht="12.75" hidden="1" customHeight="1">
      <c r="B49" t="s">
        <v>362</v>
      </c>
      <c r="C49" t="s">
        <v>58</v>
      </c>
      <c r="D49" t="s">
        <v>407</v>
      </c>
      <c r="E49" t="s">
        <v>426</v>
      </c>
      <c r="F49">
        <v>1</v>
      </c>
      <c r="G49" s="122">
        <v>66</v>
      </c>
      <c r="H49" s="122">
        <v>244</v>
      </c>
      <c r="I49" s="122">
        <v>7825</v>
      </c>
      <c r="J49" s="122">
        <v>7114</v>
      </c>
      <c r="K49">
        <v>79</v>
      </c>
      <c r="L49" s="122">
        <v>2281</v>
      </c>
      <c r="M49" s="122">
        <v>2074</v>
      </c>
      <c r="N49" s="122">
        <v>1486</v>
      </c>
      <c r="O49" s="122">
        <v>550</v>
      </c>
      <c r="P49" s="122">
        <v>473</v>
      </c>
      <c r="Q49" s="122">
        <v>175</v>
      </c>
      <c r="R49" s="122">
        <v>3940</v>
      </c>
      <c r="S49" s="122">
        <v>3582</v>
      </c>
      <c r="T49" s="122">
        <v>0</v>
      </c>
      <c r="U49" s="122">
        <v>0</v>
      </c>
      <c r="V49" s="122">
        <v>13495</v>
      </c>
      <c r="W49" s="122">
        <f t="shared" si="0"/>
        <v>13495</v>
      </c>
      <c r="X49" s="122">
        <f t="shared" si="1"/>
        <v>16005</v>
      </c>
      <c r="Y49" s="122"/>
      <c r="AA49" t="s">
        <v>48</v>
      </c>
      <c r="AB49" t="s">
        <v>137</v>
      </c>
      <c r="AC49" t="s">
        <v>566</v>
      </c>
      <c r="AD49" t="s">
        <v>407</v>
      </c>
      <c r="AE49" t="s">
        <v>566</v>
      </c>
      <c r="AF49">
        <v>4</v>
      </c>
      <c r="AG49" s="122">
        <v>1234</v>
      </c>
      <c r="AH49">
        <v>229</v>
      </c>
      <c r="AI49" s="122">
        <v>36606</v>
      </c>
      <c r="AJ49" s="122">
        <v>13558</v>
      </c>
      <c r="AK49">
        <v>399</v>
      </c>
      <c r="AL49" s="122">
        <v>0</v>
      </c>
      <c r="AM49" s="122">
        <v>0</v>
      </c>
      <c r="AN49" s="122">
        <v>16557</v>
      </c>
      <c r="AO49" s="122">
        <v>6132</v>
      </c>
      <c r="AP49" s="122">
        <v>5177</v>
      </c>
      <c r="AQ49" s="122">
        <v>1917</v>
      </c>
      <c r="AR49" s="122">
        <v>17597</v>
      </c>
      <c r="AS49" s="122">
        <v>15997</v>
      </c>
      <c r="AT49">
        <v>0</v>
      </c>
      <c r="AU49">
        <v>0</v>
      </c>
      <c r="AV49" s="122">
        <v>37605</v>
      </c>
    </row>
    <row r="50" spans="2:48" ht="12.75" hidden="1" customHeight="1">
      <c r="B50" t="s">
        <v>362</v>
      </c>
      <c r="C50" t="s">
        <v>58</v>
      </c>
      <c r="D50" t="s">
        <v>556</v>
      </c>
      <c r="E50" t="s">
        <v>556</v>
      </c>
      <c r="F50">
        <v>3</v>
      </c>
      <c r="G50" s="122">
        <v>399</v>
      </c>
      <c r="H50" s="122">
        <v>833</v>
      </c>
      <c r="I50" s="122">
        <v>70524</v>
      </c>
      <c r="J50" s="122">
        <v>58770</v>
      </c>
      <c r="K50">
        <v>69</v>
      </c>
      <c r="L50" s="122">
        <v>7756</v>
      </c>
      <c r="M50" s="122">
        <v>6463</v>
      </c>
      <c r="N50" s="122">
        <v>7445</v>
      </c>
      <c r="O50" s="122">
        <v>2757</v>
      </c>
      <c r="P50" s="122">
        <v>1053</v>
      </c>
      <c r="Q50" s="122">
        <v>390</v>
      </c>
      <c r="R50" s="122">
        <v>18644</v>
      </c>
      <c r="S50" s="122">
        <v>15537</v>
      </c>
      <c r="T50" s="122">
        <v>5392</v>
      </c>
      <c r="U50" s="122">
        <v>1997</v>
      </c>
      <c r="V50" s="122">
        <v>85914</v>
      </c>
      <c r="W50" s="122">
        <f t="shared" si="0"/>
        <v>85914</v>
      </c>
      <c r="X50" s="122">
        <f t="shared" si="1"/>
        <v>110814</v>
      </c>
      <c r="Y50" s="122"/>
      <c r="AA50" t="s">
        <v>48</v>
      </c>
      <c r="AB50" t="s">
        <v>137</v>
      </c>
      <c r="AC50" t="s">
        <v>481</v>
      </c>
      <c r="AD50" t="s">
        <v>137</v>
      </c>
      <c r="AE50" t="s">
        <v>566</v>
      </c>
      <c r="AF50">
        <v>5</v>
      </c>
      <c r="AG50">
        <v>899</v>
      </c>
      <c r="AH50">
        <v>273</v>
      </c>
      <c r="AI50" s="122">
        <v>5554</v>
      </c>
      <c r="AJ50" s="122">
        <v>2057</v>
      </c>
      <c r="AK50">
        <v>456</v>
      </c>
      <c r="AL50" s="122">
        <v>1921</v>
      </c>
      <c r="AM50" s="122">
        <v>1746</v>
      </c>
      <c r="AN50" s="122">
        <v>10953</v>
      </c>
      <c r="AO50" s="122">
        <v>4057</v>
      </c>
      <c r="AP50" s="122">
        <v>6770</v>
      </c>
      <c r="AQ50" s="122">
        <v>2507</v>
      </c>
      <c r="AR50" s="122">
        <v>23365</v>
      </c>
      <c r="AS50" s="122">
        <v>8654</v>
      </c>
      <c r="AT50">
        <v>0</v>
      </c>
      <c r="AU50">
        <v>0</v>
      </c>
      <c r="AV50" s="122">
        <v>19021</v>
      </c>
    </row>
    <row r="51" spans="2:48" ht="12.75" hidden="1" customHeight="1">
      <c r="B51" t="s">
        <v>362</v>
      </c>
      <c r="C51" t="s">
        <v>58</v>
      </c>
      <c r="D51" t="s">
        <v>426</v>
      </c>
      <c r="E51" t="s">
        <v>426</v>
      </c>
      <c r="F51">
        <v>18</v>
      </c>
      <c r="G51" s="122">
        <v>2228</v>
      </c>
      <c r="H51" s="122">
        <v>4871</v>
      </c>
      <c r="I51" s="122">
        <v>394986</v>
      </c>
      <c r="J51" s="122">
        <v>359079</v>
      </c>
      <c r="K51">
        <v>66</v>
      </c>
      <c r="L51" s="122">
        <v>56630</v>
      </c>
      <c r="M51" s="122">
        <v>47286</v>
      </c>
      <c r="N51" s="122">
        <v>40639</v>
      </c>
      <c r="O51" s="122">
        <v>15051</v>
      </c>
      <c r="P51" s="122">
        <v>6669</v>
      </c>
      <c r="Q51" s="122">
        <v>2470</v>
      </c>
      <c r="R51" s="122">
        <v>90844</v>
      </c>
      <c r="S51" s="122">
        <v>82585</v>
      </c>
      <c r="T51" s="122">
        <v>44475</v>
      </c>
      <c r="U51" s="122">
        <v>16472</v>
      </c>
      <c r="V51" s="122">
        <v>522943</v>
      </c>
      <c r="W51" s="122">
        <f t="shared" si="0"/>
        <v>522943</v>
      </c>
      <c r="X51" s="122">
        <f t="shared" si="1"/>
        <v>634243</v>
      </c>
      <c r="Y51" s="122"/>
      <c r="AA51" t="s">
        <v>48</v>
      </c>
      <c r="AB51" t="s">
        <v>137</v>
      </c>
      <c r="AC51" t="s">
        <v>433</v>
      </c>
      <c r="AD51" t="s">
        <v>405</v>
      </c>
      <c r="AE51" t="s">
        <v>566</v>
      </c>
      <c r="AF51">
        <v>2</v>
      </c>
      <c r="AG51" s="122">
        <v>868</v>
      </c>
      <c r="AH51" s="122">
        <v>112</v>
      </c>
      <c r="AI51" s="122">
        <v>12085</v>
      </c>
      <c r="AJ51" s="122">
        <v>4476</v>
      </c>
      <c r="AK51">
        <v>343</v>
      </c>
      <c r="AL51" s="122">
        <v>2318</v>
      </c>
      <c r="AM51" s="122">
        <v>2108</v>
      </c>
      <c r="AN51" s="122">
        <v>14089</v>
      </c>
      <c r="AO51" s="122">
        <v>5218</v>
      </c>
      <c r="AP51" s="122">
        <v>10083</v>
      </c>
      <c r="AQ51" s="122">
        <v>3735</v>
      </c>
      <c r="AR51" s="122">
        <v>10436</v>
      </c>
      <c r="AS51" s="122">
        <v>9488</v>
      </c>
      <c r="AT51" s="122">
        <v>0</v>
      </c>
      <c r="AU51" s="122">
        <v>0</v>
      </c>
      <c r="AV51" s="122">
        <v>25024</v>
      </c>
    </row>
    <row r="52" spans="2:48" ht="12.75" customHeight="1">
      <c r="B52" t="s">
        <v>362</v>
      </c>
      <c r="C52" t="s">
        <v>58</v>
      </c>
      <c r="D52" t="s">
        <v>481</v>
      </c>
      <c r="E52" t="s">
        <v>481</v>
      </c>
      <c r="F52">
        <v>1</v>
      </c>
      <c r="G52" s="122">
        <v>125</v>
      </c>
      <c r="H52" s="122">
        <v>234</v>
      </c>
      <c r="I52" s="122">
        <v>26667</v>
      </c>
      <c r="J52" s="122">
        <v>24243</v>
      </c>
      <c r="K52">
        <v>65</v>
      </c>
      <c r="L52" s="122">
        <v>3210</v>
      </c>
      <c r="M52" s="122">
        <v>2918</v>
      </c>
      <c r="N52" s="122">
        <v>3227</v>
      </c>
      <c r="O52" s="122">
        <v>1195</v>
      </c>
      <c r="P52" s="122">
        <v>702</v>
      </c>
      <c r="Q52" s="122">
        <v>260</v>
      </c>
      <c r="R52" s="122">
        <v>7275</v>
      </c>
      <c r="S52" s="122">
        <v>6613</v>
      </c>
      <c r="T52" s="122">
        <v>0</v>
      </c>
      <c r="U52" s="122">
        <v>0</v>
      </c>
      <c r="V52" s="122">
        <v>35229</v>
      </c>
      <c r="W52" s="122">
        <f t="shared" si="0"/>
        <v>35229</v>
      </c>
      <c r="X52" s="122">
        <f t="shared" si="1"/>
        <v>41081</v>
      </c>
      <c r="Y52" s="122"/>
      <c r="AA52" t="s">
        <v>48</v>
      </c>
      <c r="AB52" t="s">
        <v>137</v>
      </c>
      <c r="AC52" t="s">
        <v>433</v>
      </c>
      <c r="AD52" t="s">
        <v>137</v>
      </c>
      <c r="AE52" t="s">
        <v>137</v>
      </c>
      <c r="AF52" s="122">
        <v>47</v>
      </c>
      <c r="AG52" s="122">
        <v>10885</v>
      </c>
      <c r="AH52" s="122">
        <v>2617</v>
      </c>
      <c r="AI52" s="122">
        <v>95613</v>
      </c>
      <c r="AJ52" s="122">
        <v>35412</v>
      </c>
      <c r="AK52">
        <v>412</v>
      </c>
      <c r="AL52" s="122">
        <v>20654</v>
      </c>
      <c r="AM52" s="122">
        <v>18776</v>
      </c>
      <c r="AN52" s="122">
        <v>135880</v>
      </c>
      <c r="AO52" s="122">
        <v>50326</v>
      </c>
      <c r="AP52" s="122">
        <v>93756</v>
      </c>
      <c r="AQ52" s="122">
        <v>34724</v>
      </c>
      <c r="AR52" s="122">
        <v>241748</v>
      </c>
      <c r="AS52" s="122">
        <v>89536</v>
      </c>
      <c r="AT52" s="122">
        <v>8899</v>
      </c>
      <c r="AU52" s="122">
        <v>3296</v>
      </c>
      <c r="AV52" s="122">
        <v>232071</v>
      </c>
    </row>
    <row r="53" spans="2:48" ht="12.75" hidden="1" customHeight="1">
      <c r="B53" t="s">
        <v>362</v>
      </c>
      <c r="C53" t="s">
        <v>58</v>
      </c>
      <c r="D53" t="s">
        <v>408</v>
      </c>
      <c r="E53" t="s">
        <v>408</v>
      </c>
      <c r="F53">
        <v>3</v>
      </c>
      <c r="G53" s="122">
        <v>512</v>
      </c>
      <c r="H53" s="122">
        <v>729</v>
      </c>
      <c r="I53" s="122">
        <v>85553</v>
      </c>
      <c r="J53" s="122">
        <v>77776</v>
      </c>
      <c r="K53">
        <v>63</v>
      </c>
      <c r="L53" s="122">
        <v>15163</v>
      </c>
      <c r="M53" s="122">
        <v>13785</v>
      </c>
      <c r="N53" s="122">
        <v>14005</v>
      </c>
      <c r="O53" s="122">
        <v>5187</v>
      </c>
      <c r="P53" s="122">
        <v>1674</v>
      </c>
      <c r="Q53" s="122">
        <v>620</v>
      </c>
      <c r="R53" s="122">
        <v>20330</v>
      </c>
      <c r="S53" s="122">
        <v>18482</v>
      </c>
      <c r="T53" s="122">
        <v>5925</v>
      </c>
      <c r="U53" s="122">
        <v>2195</v>
      </c>
      <c r="V53" s="122">
        <v>118044</v>
      </c>
      <c r="W53" s="122">
        <f t="shared" si="0"/>
        <v>118045</v>
      </c>
      <c r="X53" s="122">
        <f t="shared" si="1"/>
        <v>142650</v>
      </c>
      <c r="Y53" s="122"/>
      <c r="AA53" t="s">
        <v>48</v>
      </c>
      <c r="AB53" t="s">
        <v>137</v>
      </c>
      <c r="AC53" t="s">
        <v>433</v>
      </c>
      <c r="AD53" t="s">
        <v>137</v>
      </c>
      <c r="AE53" t="s">
        <v>566</v>
      </c>
      <c r="AF53" s="122">
        <v>1330</v>
      </c>
      <c r="AG53" s="122">
        <v>307191</v>
      </c>
      <c r="AH53" s="122">
        <v>70456</v>
      </c>
      <c r="AI53" s="122">
        <v>1695863</v>
      </c>
      <c r="AJ53" s="122">
        <v>628097</v>
      </c>
      <c r="AK53">
        <v>456</v>
      </c>
      <c r="AL53" s="122">
        <v>442009</v>
      </c>
      <c r="AM53" s="122">
        <v>401826</v>
      </c>
      <c r="AN53" s="122">
        <v>3985206</v>
      </c>
      <c r="AO53" s="122">
        <v>1476002</v>
      </c>
      <c r="AP53" s="122">
        <v>2454039</v>
      </c>
      <c r="AQ53" s="122">
        <v>908903</v>
      </c>
      <c r="AR53" s="122">
        <v>7491578</v>
      </c>
      <c r="AS53" s="122">
        <v>2774658</v>
      </c>
      <c r="AT53">
        <v>0</v>
      </c>
      <c r="AU53">
        <v>0</v>
      </c>
      <c r="AV53" s="122">
        <v>6189487</v>
      </c>
    </row>
    <row r="54" spans="2:48" ht="12.75" hidden="1" customHeight="1">
      <c r="B54" t="s">
        <v>362</v>
      </c>
      <c r="C54" t="s">
        <v>60</v>
      </c>
      <c r="D54" t="s">
        <v>555</v>
      </c>
      <c r="E54" t="s">
        <v>555</v>
      </c>
      <c r="F54">
        <v>2</v>
      </c>
      <c r="G54" s="122">
        <v>180</v>
      </c>
      <c r="H54" s="122">
        <v>727</v>
      </c>
      <c r="I54" s="122">
        <v>41403</v>
      </c>
      <c r="J54" s="122">
        <v>37639</v>
      </c>
      <c r="K54">
        <v>60</v>
      </c>
      <c r="L54" s="122">
        <v>1971</v>
      </c>
      <c r="M54" s="122">
        <v>6618</v>
      </c>
      <c r="N54" s="122">
        <v>2741</v>
      </c>
      <c r="O54" s="122">
        <v>1015</v>
      </c>
      <c r="P54" s="122">
        <v>702</v>
      </c>
      <c r="Q54" s="122">
        <v>260</v>
      </c>
      <c r="R54" s="122">
        <v>11105</v>
      </c>
      <c r="S54" s="122">
        <v>10096</v>
      </c>
      <c r="T54" s="122">
        <v>7537</v>
      </c>
      <c r="U54" s="122">
        <v>2791</v>
      </c>
      <c r="V54" s="122">
        <v>58420</v>
      </c>
      <c r="W54" s="122">
        <f t="shared" si="0"/>
        <v>58419</v>
      </c>
      <c r="X54" s="122">
        <f t="shared" si="1"/>
        <v>65459</v>
      </c>
      <c r="Y54" s="122"/>
      <c r="AA54" t="s">
        <v>48</v>
      </c>
      <c r="AB54" t="s">
        <v>137</v>
      </c>
      <c r="AC54" t="s">
        <v>433</v>
      </c>
      <c r="AD54" t="s">
        <v>407</v>
      </c>
      <c r="AE54" t="s">
        <v>566</v>
      </c>
      <c r="AF54">
        <v>1</v>
      </c>
      <c r="AG54">
        <v>652</v>
      </c>
      <c r="AH54">
        <v>44</v>
      </c>
      <c r="AI54" s="122">
        <v>10451</v>
      </c>
      <c r="AJ54" s="122">
        <v>3871</v>
      </c>
      <c r="AK54">
        <v>337</v>
      </c>
      <c r="AL54" s="122">
        <v>2181</v>
      </c>
      <c r="AM54" s="122">
        <v>1983</v>
      </c>
      <c r="AN54" s="122">
        <v>8740</v>
      </c>
      <c r="AO54" s="122">
        <v>3237</v>
      </c>
      <c r="AP54" s="122">
        <v>824</v>
      </c>
      <c r="AQ54" s="122">
        <v>305</v>
      </c>
      <c r="AR54" s="122">
        <v>6192</v>
      </c>
      <c r="AS54" s="122">
        <v>5629</v>
      </c>
      <c r="AT54">
        <v>0</v>
      </c>
      <c r="AU54">
        <v>0</v>
      </c>
      <c r="AV54" s="122">
        <v>15025</v>
      </c>
    </row>
    <row r="55" spans="2:48" ht="12.75" hidden="1" customHeight="1">
      <c r="B55" t="s">
        <v>362</v>
      </c>
      <c r="C55" t="s">
        <v>60</v>
      </c>
      <c r="D55" t="s">
        <v>425</v>
      </c>
      <c r="E55" t="s">
        <v>425</v>
      </c>
      <c r="F55">
        <v>1</v>
      </c>
      <c r="G55" s="122">
        <v>46</v>
      </c>
      <c r="H55" s="122">
        <v>342</v>
      </c>
      <c r="I55" s="122">
        <v>11201</v>
      </c>
      <c r="J55" s="122">
        <v>10182</v>
      </c>
      <c r="K55">
        <v>92</v>
      </c>
      <c r="L55" s="122">
        <v>1819</v>
      </c>
      <c r="M55" s="122">
        <v>1654</v>
      </c>
      <c r="N55" s="122">
        <v>563</v>
      </c>
      <c r="O55" s="122">
        <v>209</v>
      </c>
      <c r="P55" s="122">
        <v>473</v>
      </c>
      <c r="Q55" s="122">
        <v>175</v>
      </c>
      <c r="R55" s="122">
        <v>1755</v>
      </c>
      <c r="S55" s="122">
        <v>1595</v>
      </c>
      <c r="T55" s="122">
        <v>0</v>
      </c>
      <c r="U55" s="122">
        <v>0</v>
      </c>
      <c r="V55" s="122">
        <v>13815</v>
      </c>
      <c r="W55" s="122">
        <f t="shared" si="0"/>
        <v>13815</v>
      </c>
      <c r="X55" s="122">
        <f t="shared" si="1"/>
        <v>15811</v>
      </c>
      <c r="Y55" s="122"/>
      <c r="AA55" t="s">
        <v>48</v>
      </c>
      <c r="AB55" t="s">
        <v>137</v>
      </c>
      <c r="AC55" t="s">
        <v>408</v>
      </c>
      <c r="AD55" t="s">
        <v>137</v>
      </c>
      <c r="AE55" t="s">
        <v>566</v>
      </c>
      <c r="AF55">
        <v>2</v>
      </c>
      <c r="AG55" s="122">
        <v>663</v>
      </c>
      <c r="AH55">
        <v>121</v>
      </c>
      <c r="AI55" s="122">
        <v>17768</v>
      </c>
      <c r="AJ55" s="122">
        <v>6581</v>
      </c>
      <c r="AK55">
        <v>359</v>
      </c>
      <c r="AL55" s="122">
        <v>4048</v>
      </c>
      <c r="AM55" s="122">
        <v>3680</v>
      </c>
      <c r="AN55" s="122">
        <v>8659</v>
      </c>
      <c r="AO55" s="122">
        <v>3207</v>
      </c>
      <c r="AP55" s="122">
        <v>2789</v>
      </c>
      <c r="AQ55" s="122">
        <v>1033</v>
      </c>
      <c r="AR55" s="122">
        <v>8817</v>
      </c>
      <c r="AS55" s="122">
        <v>3265</v>
      </c>
      <c r="AT55" s="122">
        <v>0</v>
      </c>
      <c r="AU55">
        <v>0</v>
      </c>
      <c r="AV55" s="122">
        <v>17767</v>
      </c>
    </row>
    <row r="56" spans="2:48" ht="12.75" customHeight="1">
      <c r="B56" t="s">
        <v>362</v>
      </c>
      <c r="C56" t="s">
        <v>60</v>
      </c>
      <c r="D56" t="s">
        <v>405</v>
      </c>
      <c r="E56" t="s">
        <v>405</v>
      </c>
      <c r="F56">
        <v>3</v>
      </c>
      <c r="G56">
        <v>332</v>
      </c>
      <c r="H56" s="122">
        <v>1021</v>
      </c>
      <c r="I56" s="122">
        <v>88566</v>
      </c>
      <c r="J56" s="122">
        <v>80515</v>
      </c>
      <c r="K56">
        <v>84</v>
      </c>
      <c r="L56" s="122">
        <v>18727</v>
      </c>
      <c r="M56" s="122">
        <v>17024</v>
      </c>
      <c r="N56" s="122">
        <v>6281</v>
      </c>
      <c r="O56" s="122">
        <v>2326</v>
      </c>
      <c r="P56" s="122">
        <v>1418</v>
      </c>
      <c r="Q56" s="122">
        <v>525</v>
      </c>
      <c r="R56" s="122">
        <v>14229</v>
      </c>
      <c r="S56" s="122">
        <v>12936</v>
      </c>
      <c r="T56" s="122">
        <v>4078</v>
      </c>
      <c r="U56" s="122">
        <v>1511</v>
      </c>
      <c r="V56" s="122">
        <v>114837</v>
      </c>
      <c r="W56" s="122">
        <f t="shared" si="0"/>
        <v>114837</v>
      </c>
      <c r="X56" s="122">
        <f t="shared" si="1"/>
        <v>133299</v>
      </c>
      <c r="Y56" s="122"/>
      <c r="AA56" t="s">
        <v>48</v>
      </c>
      <c r="AB56" t="s">
        <v>137</v>
      </c>
      <c r="AC56" t="s">
        <v>429</v>
      </c>
      <c r="AD56" t="s">
        <v>137</v>
      </c>
      <c r="AE56" t="s">
        <v>137</v>
      </c>
      <c r="AF56">
        <v>5</v>
      </c>
      <c r="AG56" s="122">
        <v>1322</v>
      </c>
      <c r="AH56" s="122">
        <v>320</v>
      </c>
      <c r="AI56" s="122">
        <v>35177</v>
      </c>
      <c r="AJ56" s="122">
        <v>13028</v>
      </c>
      <c r="AK56">
        <v>344</v>
      </c>
      <c r="AL56" s="122">
        <v>6835</v>
      </c>
      <c r="AM56" s="122">
        <v>6214</v>
      </c>
      <c r="AN56" s="122">
        <v>17689</v>
      </c>
      <c r="AO56" s="122">
        <v>6551</v>
      </c>
      <c r="AP56" s="122">
        <v>8311</v>
      </c>
      <c r="AQ56" s="122">
        <v>3078</v>
      </c>
      <c r="AR56" s="122">
        <v>16056</v>
      </c>
      <c r="AS56" s="122">
        <v>5947</v>
      </c>
      <c r="AT56" s="122">
        <v>1694</v>
      </c>
      <c r="AU56">
        <v>627</v>
      </c>
      <c r="AV56" s="122">
        <v>35446</v>
      </c>
    </row>
    <row r="57" spans="2:48" ht="12.75" hidden="1" customHeight="1">
      <c r="B57" t="s">
        <v>362</v>
      </c>
      <c r="C57" t="s">
        <v>60</v>
      </c>
      <c r="D57" t="s">
        <v>137</v>
      </c>
      <c r="E57" t="s">
        <v>137</v>
      </c>
      <c r="F57">
        <v>6</v>
      </c>
      <c r="G57">
        <v>621</v>
      </c>
      <c r="H57" s="122">
        <v>2057</v>
      </c>
      <c r="I57" s="122">
        <v>135819</v>
      </c>
      <c r="J57" s="122">
        <v>50304</v>
      </c>
      <c r="K57">
        <v>100</v>
      </c>
      <c r="L57" s="122">
        <v>23210</v>
      </c>
      <c r="M57" s="122">
        <v>17848</v>
      </c>
      <c r="N57" s="122">
        <v>13275</v>
      </c>
      <c r="O57" s="122">
        <v>4917</v>
      </c>
      <c r="P57" s="122">
        <v>0</v>
      </c>
      <c r="Q57">
        <v>0</v>
      </c>
      <c r="R57" s="122">
        <v>41411</v>
      </c>
      <c r="S57" s="122">
        <v>15338</v>
      </c>
      <c r="T57" s="122">
        <v>0</v>
      </c>
      <c r="U57">
        <v>0</v>
      </c>
      <c r="V57" s="122">
        <v>88405</v>
      </c>
      <c r="W57" s="122">
        <f t="shared" si="0"/>
        <v>88407</v>
      </c>
      <c r="X57" s="122">
        <f t="shared" si="1"/>
        <v>213715</v>
      </c>
      <c r="Y57" s="122"/>
      <c r="AA57" t="s">
        <v>48</v>
      </c>
      <c r="AB57" t="s">
        <v>137</v>
      </c>
      <c r="AC57" t="s">
        <v>429</v>
      </c>
      <c r="AD57" t="s">
        <v>137</v>
      </c>
      <c r="AE57" t="s">
        <v>566</v>
      </c>
      <c r="AF57">
        <v>37</v>
      </c>
      <c r="AG57" s="122">
        <v>8081</v>
      </c>
      <c r="AH57" s="122">
        <v>2088</v>
      </c>
      <c r="AI57" s="122">
        <v>70819</v>
      </c>
      <c r="AJ57" s="122">
        <v>26229</v>
      </c>
      <c r="AK57">
        <v>445</v>
      </c>
      <c r="AL57" s="122">
        <v>16690</v>
      </c>
      <c r="AM57" s="122">
        <v>15173</v>
      </c>
      <c r="AN57" s="122">
        <v>111772</v>
      </c>
      <c r="AO57" s="122">
        <v>41397</v>
      </c>
      <c r="AP57" s="122">
        <v>51283</v>
      </c>
      <c r="AQ57" s="122">
        <v>18994</v>
      </c>
      <c r="AR57" s="122">
        <v>211912</v>
      </c>
      <c r="AS57" s="122">
        <v>78486</v>
      </c>
      <c r="AT57">
        <v>0</v>
      </c>
      <c r="AU57">
        <v>0</v>
      </c>
      <c r="AV57" s="122">
        <v>180279</v>
      </c>
    </row>
    <row r="58" spans="2:48" ht="12.75" hidden="1" customHeight="1">
      <c r="B58" t="s">
        <v>362</v>
      </c>
      <c r="C58" t="s">
        <v>60</v>
      </c>
      <c r="D58" t="s">
        <v>406</v>
      </c>
      <c r="E58" t="s">
        <v>555</v>
      </c>
      <c r="F58">
        <v>1</v>
      </c>
      <c r="G58" s="122">
        <v>82</v>
      </c>
      <c r="H58" s="122">
        <v>312</v>
      </c>
      <c r="I58" s="122">
        <v>15446</v>
      </c>
      <c r="J58" s="122">
        <v>14041</v>
      </c>
      <c r="K58">
        <v>70</v>
      </c>
      <c r="L58" s="122">
        <v>1756</v>
      </c>
      <c r="M58" s="122">
        <v>1596</v>
      </c>
      <c r="N58" s="122">
        <v>1499</v>
      </c>
      <c r="O58" s="122">
        <v>555</v>
      </c>
      <c r="P58" s="122">
        <v>621</v>
      </c>
      <c r="Q58" s="122">
        <v>230</v>
      </c>
      <c r="R58" s="122">
        <v>3822</v>
      </c>
      <c r="S58" s="122">
        <v>3475</v>
      </c>
      <c r="T58" s="122">
        <v>2460</v>
      </c>
      <c r="U58" s="122">
        <v>911</v>
      </c>
      <c r="V58" s="122">
        <v>20808</v>
      </c>
      <c r="W58" s="122">
        <f t="shared" si="0"/>
        <v>20808</v>
      </c>
      <c r="X58" s="122">
        <f t="shared" si="1"/>
        <v>25604</v>
      </c>
      <c r="Y58" s="122"/>
      <c r="AA58" t="s">
        <v>48</v>
      </c>
      <c r="AB58" t="s">
        <v>483</v>
      </c>
      <c r="AC58" t="s">
        <v>425</v>
      </c>
      <c r="AD58" t="s">
        <v>483</v>
      </c>
      <c r="AE58" t="s">
        <v>566</v>
      </c>
      <c r="AF58">
        <v>2</v>
      </c>
      <c r="AG58">
        <v>454</v>
      </c>
      <c r="AH58">
        <v>147</v>
      </c>
      <c r="AI58" s="122">
        <v>17927</v>
      </c>
      <c r="AJ58" s="122">
        <v>6640</v>
      </c>
      <c r="AK58">
        <v>325</v>
      </c>
      <c r="AL58" s="122">
        <v>4183</v>
      </c>
      <c r="AM58" s="122">
        <v>3803</v>
      </c>
      <c r="AN58" s="122">
        <v>5534</v>
      </c>
      <c r="AO58" s="122">
        <v>2050</v>
      </c>
      <c r="AP58" s="122">
        <v>2106</v>
      </c>
      <c r="AQ58">
        <v>780</v>
      </c>
      <c r="AR58" s="122">
        <v>3718</v>
      </c>
      <c r="AS58" s="122">
        <v>1377</v>
      </c>
      <c r="AT58">
        <v>0</v>
      </c>
      <c r="AU58">
        <v>0</v>
      </c>
      <c r="AV58" s="122">
        <v>14649</v>
      </c>
    </row>
    <row r="59" spans="2:48" ht="12.75" hidden="1" customHeight="1">
      <c r="B59" t="s">
        <v>362</v>
      </c>
      <c r="C59" t="s">
        <v>60</v>
      </c>
      <c r="D59" t="s">
        <v>406</v>
      </c>
      <c r="E59" t="s">
        <v>137</v>
      </c>
      <c r="F59">
        <v>2</v>
      </c>
      <c r="G59" s="122">
        <v>274</v>
      </c>
      <c r="H59" s="122">
        <v>653</v>
      </c>
      <c r="I59" s="122">
        <v>47773</v>
      </c>
      <c r="J59" s="122">
        <v>43430</v>
      </c>
      <c r="K59">
        <v>63</v>
      </c>
      <c r="L59" s="122">
        <v>7700</v>
      </c>
      <c r="M59" s="122">
        <v>7000</v>
      </c>
      <c r="N59" s="122">
        <v>6154</v>
      </c>
      <c r="O59" s="122">
        <v>2279</v>
      </c>
      <c r="P59" s="122">
        <v>1242</v>
      </c>
      <c r="Q59" s="122">
        <v>460</v>
      </c>
      <c r="R59" s="122">
        <v>26282</v>
      </c>
      <c r="S59" s="122">
        <v>9734</v>
      </c>
      <c r="T59" s="122">
        <v>0</v>
      </c>
      <c r="U59" s="122">
        <v>0</v>
      </c>
      <c r="V59" s="122">
        <v>62903</v>
      </c>
      <c r="W59" s="122">
        <f t="shared" si="0"/>
        <v>62903</v>
      </c>
      <c r="X59" s="122">
        <f t="shared" si="1"/>
        <v>89151</v>
      </c>
      <c r="Y59" s="122"/>
      <c r="AA59" t="s">
        <v>48</v>
      </c>
      <c r="AB59" t="s">
        <v>484</v>
      </c>
      <c r="AC59" t="s">
        <v>425</v>
      </c>
      <c r="AD59" t="s">
        <v>484</v>
      </c>
      <c r="AE59" t="s">
        <v>566</v>
      </c>
      <c r="AF59">
        <v>1</v>
      </c>
      <c r="AG59">
        <v>256</v>
      </c>
      <c r="AH59">
        <v>74</v>
      </c>
      <c r="AI59" s="122">
        <v>10696</v>
      </c>
      <c r="AJ59" s="122">
        <v>3962</v>
      </c>
      <c r="AK59">
        <v>303</v>
      </c>
      <c r="AL59" s="122">
        <v>2329</v>
      </c>
      <c r="AM59" s="122">
        <v>2117</v>
      </c>
      <c r="AN59" s="122">
        <v>3124</v>
      </c>
      <c r="AO59" s="122">
        <v>1157</v>
      </c>
      <c r="AP59">
        <v>351</v>
      </c>
      <c r="AQ59">
        <v>130</v>
      </c>
      <c r="AR59" s="122">
        <v>2449</v>
      </c>
      <c r="AS59" s="122">
        <v>907</v>
      </c>
      <c r="AT59">
        <v>0</v>
      </c>
      <c r="AU59">
        <v>0</v>
      </c>
      <c r="AV59" s="122">
        <v>8273</v>
      </c>
    </row>
    <row r="60" spans="2:48" ht="12.75" hidden="1" customHeight="1">
      <c r="B60" t="s">
        <v>362</v>
      </c>
      <c r="C60" t="s">
        <v>60</v>
      </c>
      <c r="D60" t="s">
        <v>406</v>
      </c>
      <c r="E60" t="s">
        <v>406</v>
      </c>
      <c r="F60">
        <v>332</v>
      </c>
      <c r="G60" s="122">
        <v>40359</v>
      </c>
      <c r="H60" s="122">
        <v>112712</v>
      </c>
      <c r="I60" s="122">
        <v>8810455</v>
      </c>
      <c r="J60" s="122">
        <v>8009504</v>
      </c>
      <c r="K60">
        <v>76</v>
      </c>
      <c r="L60" s="122">
        <v>1704398</v>
      </c>
      <c r="M60" s="122">
        <v>1505564</v>
      </c>
      <c r="N60" s="122">
        <v>829662</v>
      </c>
      <c r="O60" s="122">
        <v>307282</v>
      </c>
      <c r="P60" s="122">
        <v>213399</v>
      </c>
      <c r="Q60" s="122">
        <v>79037</v>
      </c>
      <c r="R60" s="122">
        <v>1805256</v>
      </c>
      <c r="S60" s="122">
        <v>1641142</v>
      </c>
      <c r="T60" s="122">
        <v>499222</v>
      </c>
      <c r="U60" s="122">
        <v>184897</v>
      </c>
      <c r="V60" s="122">
        <v>11727426</v>
      </c>
      <c r="W60" s="122">
        <f t="shared" si="0"/>
        <v>11727426</v>
      </c>
      <c r="X60" s="122">
        <f t="shared" si="1"/>
        <v>13862392</v>
      </c>
      <c r="Y60" s="122"/>
      <c r="AA60" t="s">
        <v>48</v>
      </c>
      <c r="AB60" t="s">
        <v>430</v>
      </c>
      <c r="AC60" t="s">
        <v>433</v>
      </c>
      <c r="AD60" t="s">
        <v>483</v>
      </c>
      <c r="AE60" t="s">
        <v>566</v>
      </c>
      <c r="AF60">
        <v>1</v>
      </c>
      <c r="AG60">
        <v>148</v>
      </c>
      <c r="AH60">
        <v>70</v>
      </c>
      <c r="AI60" s="122">
        <v>3316</v>
      </c>
      <c r="AJ60" s="122">
        <v>1228</v>
      </c>
      <c r="AK60">
        <v>320</v>
      </c>
      <c r="AL60" s="122">
        <v>1201</v>
      </c>
      <c r="AM60" s="122">
        <v>1092</v>
      </c>
      <c r="AN60" s="122">
        <v>2516</v>
      </c>
      <c r="AO60">
        <v>932</v>
      </c>
      <c r="AP60" s="122">
        <v>351</v>
      </c>
      <c r="AQ60">
        <v>130</v>
      </c>
      <c r="AR60" s="122">
        <v>2926</v>
      </c>
      <c r="AS60" s="122">
        <v>1084</v>
      </c>
      <c r="AT60">
        <v>0</v>
      </c>
      <c r="AU60">
        <v>0</v>
      </c>
      <c r="AV60" s="122">
        <v>4466</v>
      </c>
    </row>
    <row r="61" spans="2:48" ht="12.75" hidden="1" customHeight="1">
      <c r="B61" t="s">
        <v>362</v>
      </c>
      <c r="C61" t="s">
        <v>60</v>
      </c>
      <c r="D61" t="s">
        <v>406</v>
      </c>
      <c r="E61" t="s">
        <v>426</v>
      </c>
      <c r="F61">
        <v>4</v>
      </c>
      <c r="G61" s="122">
        <v>588</v>
      </c>
      <c r="H61" s="122">
        <v>1413</v>
      </c>
      <c r="I61" s="122">
        <v>140383</v>
      </c>
      <c r="J61" s="122">
        <v>127621</v>
      </c>
      <c r="K61">
        <v>71</v>
      </c>
      <c r="L61" s="122">
        <v>20446</v>
      </c>
      <c r="M61" s="122">
        <v>18587</v>
      </c>
      <c r="N61" s="122">
        <v>11894</v>
      </c>
      <c r="O61" s="122">
        <v>4405</v>
      </c>
      <c r="P61" s="122">
        <v>2835</v>
      </c>
      <c r="Q61" s="122">
        <v>1050</v>
      </c>
      <c r="R61" s="122">
        <v>26699</v>
      </c>
      <c r="S61" s="122">
        <v>24272</v>
      </c>
      <c r="T61" s="122">
        <v>6184</v>
      </c>
      <c r="U61" s="122">
        <v>2290</v>
      </c>
      <c r="V61" s="122">
        <v>178226</v>
      </c>
      <c r="W61" s="122">
        <f t="shared" si="0"/>
        <v>178225</v>
      </c>
      <c r="X61" s="122">
        <f t="shared" si="1"/>
        <v>208441</v>
      </c>
      <c r="Y61" s="122"/>
      <c r="AA61" t="s">
        <v>48</v>
      </c>
      <c r="AB61" t="s">
        <v>430</v>
      </c>
      <c r="AC61" t="s">
        <v>433</v>
      </c>
      <c r="AD61" t="s">
        <v>430</v>
      </c>
      <c r="AE61" t="s">
        <v>566</v>
      </c>
      <c r="AF61">
        <v>1</v>
      </c>
      <c r="AG61">
        <v>150</v>
      </c>
      <c r="AH61">
        <v>74</v>
      </c>
      <c r="AI61" s="122">
        <v>3203</v>
      </c>
      <c r="AJ61" s="122">
        <v>1186</v>
      </c>
      <c r="AK61">
        <v>320</v>
      </c>
      <c r="AL61">
        <v>580</v>
      </c>
      <c r="AM61">
        <v>527</v>
      </c>
      <c r="AN61" s="122">
        <v>1833</v>
      </c>
      <c r="AO61">
        <v>679</v>
      </c>
      <c r="AP61" s="122">
        <v>1625</v>
      </c>
      <c r="AQ61">
        <v>602</v>
      </c>
      <c r="AR61" s="122">
        <v>3851</v>
      </c>
      <c r="AS61" s="122">
        <v>1426</v>
      </c>
      <c r="AT61">
        <v>0</v>
      </c>
      <c r="AU61">
        <v>0</v>
      </c>
      <c r="AV61" s="122">
        <v>4421</v>
      </c>
    </row>
    <row r="62" spans="2:48" ht="12.75" hidden="1" customHeight="1">
      <c r="B62" t="s">
        <v>362</v>
      </c>
      <c r="C62" t="s">
        <v>60</v>
      </c>
      <c r="D62" t="s">
        <v>427</v>
      </c>
      <c r="E62" t="s">
        <v>137</v>
      </c>
      <c r="F62">
        <v>1</v>
      </c>
      <c r="G62">
        <v>181</v>
      </c>
      <c r="H62" s="122">
        <v>348</v>
      </c>
      <c r="I62" s="122">
        <v>47015</v>
      </c>
      <c r="J62" s="122">
        <v>42741</v>
      </c>
      <c r="K62">
        <v>45</v>
      </c>
      <c r="L62" s="122">
        <v>2351</v>
      </c>
      <c r="M62" s="122">
        <v>2137</v>
      </c>
      <c r="N62" s="122">
        <v>4338</v>
      </c>
      <c r="O62" s="122">
        <v>1607</v>
      </c>
      <c r="P62" s="122">
        <v>351</v>
      </c>
      <c r="Q62">
        <v>130</v>
      </c>
      <c r="R62" s="122">
        <v>14719</v>
      </c>
      <c r="S62" s="122">
        <v>5451</v>
      </c>
      <c r="T62" s="122">
        <v>0</v>
      </c>
      <c r="U62" s="122">
        <v>0</v>
      </c>
      <c r="V62" s="122">
        <v>52066</v>
      </c>
      <c r="W62" s="122">
        <f t="shared" si="0"/>
        <v>52066</v>
      </c>
      <c r="X62" s="122">
        <f t="shared" si="1"/>
        <v>68774</v>
      </c>
      <c r="Y62" s="122"/>
      <c r="AA62" t="s">
        <v>48</v>
      </c>
      <c r="AB62" t="s">
        <v>406</v>
      </c>
      <c r="AC62" t="s">
        <v>425</v>
      </c>
      <c r="AD62" t="s">
        <v>425</v>
      </c>
      <c r="AE62" t="s">
        <v>566</v>
      </c>
      <c r="AF62">
        <v>1</v>
      </c>
      <c r="AG62">
        <v>150</v>
      </c>
      <c r="AH62">
        <v>71</v>
      </c>
      <c r="AI62" s="122">
        <v>3806</v>
      </c>
      <c r="AJ62" s="122">
        <v>3460</v>
      </c>
      <c r="AK62">
        <v>93</v>
      </c>
      <c r="AL62" s="122">
        <v>627</v>
      </c>
      <c r="AM62" s="122">
        <v>570</v>
      </c>
      <c r="AN62" s="122">
        <v>1831</v>
      </c>
      <c r="AO62" s="122">
        <v>678</v>
      </c>
      <c r="AP62" s="122">
        <v>1901</v>
      </c>
      <c r="AQ62" s="122">
        <v>704</v>
      </c>
      <c r="AR62" s="122">
        <v>2507</v>
      </c>
      <c r="AS62" s="122">
        <v>2279</v>
      </c>
      <c r="AT62">
        <v>0</v>
      </c>
      <c r="AU62">
        <v>0</v>
      </c>
      <c r="AV62" s="122">
        <v>7692</v>
      </c>
    </row>
    <row r="63" spans="2:48" ht="12.75" customHeight="1">
      <c r="B63" t="s">
        <v>362</v>
      </c>
      <c r="C63" t="s">
        <v>60</v>
      </c>
      <c r="D63" t="s">
        <v>427</v>
      </c>
      <c r="E63" t="s">
        <v>427</v>
      </c>
      <c r="F63">
        <v>3</v>
      </c>
      <c r="G63" s="122">
        <v>373</v>
      </c>
      <c r="H63" s="122">
        <v>1041</v>
      </c>
      <c r="I63" s="122">
        <v>77297</v>
      </c>
      <c r="J63" s="122">
        <v>70270</v>
      </c>
      <c r="K63">
        <v>58</v>
      </c>
      <c r="L63" s="122">
        <v>16704</v>
      </c>
      <c r="M63" s="122">
        <v>15186</v>
      </c>
      <c r="N63" s="122">
        <v>8010</v>
      </c>
      <c r="O63" s="122">
        <v>2967</v>
      </c>
      <c r="P63" s="122">
        <v>1053</v>
      </c>
      <c r="Q63" s="122">
        <v>390</v>
      </c>
      <c r="R63" s="122">
        <v>23985</v>
      </c>
      <c r="S63" s="122">
        <v>21804</v>
      </c>
      <c r="T63" s="122">
        <v>2260</v>
      </c>
      <c r="U63" s="122">
        <v>837</v>
      </c>
      <c r="V63" s="122">
        <v>111454</v>
      </c>
      <c r="W63" s="122">
        <f t="shared" si="0"/>
        <v>111454</v>
      </c>
      <c r="X63" s="122">
        <f t="shared" si="1"/>
        <v>129309</v>
      </c>
      <c r="Y63" s="122"/>
      <c r="AA63" t="s">
        <v>48</v>
      </c>
      <c r="AB63" t="s">
        <v>406</v>
      </c>
      <c r="AC63" t="s">
        <v>425</v>
      </c>
      <c r="AD63" t="s">
        <v>406</v>
      </c>
      <c r="AE63" t="s">
        <v>137</v>
      </c>
      <c r="AF63">
        <v>4</v>
      </c>
      <c r="AG63" s="122">
        <v>598</v>
      </c>
      <c r="AH63">
        <v>300</v>
      </c>
      <c r="AI63" s="122">
        <v>16117</v>
      </c>
      <c r="AJ63" s="122">
        <v>14652</v>
      </c>
      <c r="AK63">
        <v>95</v>
      </c>
      <c r="AL63" s="122">
        <v>1886</v>
      </c>
      <c r="AM63" s="122">
        <v>1715</v>
      </c>
      <c r="AN63" s="122">
        <v>7286</v>
      </c>
      <c r="AO63" s="122">
        <v>2698</v>
      </c>
      <c r="AP63" s="122">
        <v>7559</v>
      </c>
      <c r="AQ63" s="122">
        <v>2800</v>
      </c>
      <c r="AR63" s="122">
        <v>11942</v>
      </c>
      <c r="AS63" s="122">
        <v>10857</v>
      </c>
      <c r="AT63">
        <v>0</v>
      </c>
      <c r="AU63">
        <v>0</v>
      </c>
      <c r="AV63" s="122">
        <v>32722</v>
      </c>
    </row>
    <row r="64" spans="2:48" ht="12.75" hidden="1" customHeight="1">
      <c r="B64" t="s">
        <v>362</v>
      </c>
      <c r="C64" t="s">
        <v>60</v>
      </c>
      <c r="D64" t="s">
        <v>407</v>
      </c>
      <c r="E64" t="s">
        <v>407</v>
      </c>
      <c r="F64">
        <v>34</v>
      </c>
      <c r="G64" s="122">
        <v>3680</v>
      </c>
      <c r="H64" s="122">
        <v>11366</v>
      </c>
      <c r="I64" s="122">
        <v>719989</v>
      </c>
      <c r="J64" s="122">
        <v>654535</v>
      </c>
      <c r="K64">
        <v>75</v>
      </c>
      <c r="L64" s="122">
        <v>210534</v>
      </c>
      <c r="M64" s="122">
        <v>184562</v>
      </c>
      <c r="N64" s="122">
        <v>74730</v>
      </c>
      <c r="O64" s="122">
        <v>27678</v>
      </c>
      <c r="P64" s="122">
        <v>16065</v>
      </c>
      <c r="Q64" s="122">
        <v>5950</v>
      </c>
      <c r="R64" s="122">
        <v>179053</v>
      </c>
      <c r="S64" s="122">
        <v>162775</v>
      </c>
      <c r="T64" s="122">
        <v>55397</v>
      </c>
      <c r="U64" s="122">
        <v>20517</v>
      </c>
      <c r="V64" s="122">
        <v>1056018</v>
      </c>
      <c r="W64" s="122">
        <f t="shared" si="0"/>
        <v>1056017</v>
      </c>
      <c r="X64" s="122">
        <f t="shared" si="1"/>
        <v>1255768</v>
      </c>
      <c r="Y64" s="122"/>
      <c r="AA64" t="s">
        <v>48</v>
      </c>
      <c r="AB64" t="s">
        <v>406</v>
      </c>
      <c r="AC64" t="s">
        <v>425</v>
      </c>
      <c r="AD64" t="s">
        <v>406</v>
      </c>
      <c r="AE64" t="s">
        <v>566</v>
      </c>
      <c r="AF64">
        <v>4</v>
      </c>
      <c r="AG64" s="122">
        <v>1173</v>
      </c>
      <c r="AH64">
        <v>273</v>
      </c>
      <c r="AI64" s="122">
        <v>32741</v>
      </c>
      <c r="AJ64" s="122">
        <v>29764</v>
      </c>
      <c r="AK64">
        <v>94</v>
      </c>
      <c r="AL64" s="122">
        <v>7113</v>
      </c>
      <c r="AM64" s="122">
        <v>6467</v>
      </c>
      <c r="AN64" s="122">
        <v>14330</v>
      </c>
      <c r="AO64" s="122">
        <v>5307</v>
      </c>
      <c r="AP64" s="122">
        <v>9991</v>
      </c>
      <c r="AQ64" s="122">
        <v>3700</v>
      </c>
      <c r="AR64" s="122">
        <v>14853</v>
      </c>
      <c r="AS64" s="122">
        <v>13503</v>
      </c>
      <c r="AT64">
        <v>0</v>
      </c>
      <c r="AU64">
        <v>0</v>
      </c>
      <c r="AV64" s="122">
        <v>58741</v>
      </c>
    </row>
    <row r="65" spans="2:48" ht="12.75" hidden="1" customHeight="1">
      <c r="B65" t="s">
        <v>362</v>
      </c>
      <c r="C65" t="s">
        <v>60</v>
      </c>
      <c r="D65" t="s">
        <v>556</v>
      </c>
      <c r="E65" t="s">
        <v>556</v>
      </c>
      <c r="F65">
        <v>3</v>
      </c>
      <c r="G65" s="122">
        <v>302</v>
      </c>
      <c r="H65" s="122">
        <v>1106</v>
      </c>
      <c r="I65" s="122">
        <v>64937</v>
      </c>
      <c r="J65" s="122">
        <v>54114</v>
      </c>
      <c r="K65">
        <v>58</v>
      </c>
      <c r="L65" s="122">
        <v>11767</v>
      </c>
      <c r="M65" s="122">
        <v>9806</v>
      </c>
      <c r="N65" s="122">
        <v>6229</v>
      </c>
      <c r="O65" s="122">
        <v>2307</v>
      </c>
      <c r="P65" s="122">
        <v>1053</v>
      </c>
      <c r="Q65" s="122">
        <v>390</v>
      </c>
      <c r="R65" s="122">
        <v>18396</v>
      </c>
      <c r="S65" s="122">
        <v>15330</v>
      </c>
      <c r="T65" s="122">
        <v>8399</v>
      </c>
      <c r="U65" s="122">
        <v>3111</v>
      </c>
      <c r="V65" s="122">
        <v>85057</v>
      </c>
      <c r="W65" s="122">
        <f t="shared" si="0"/>
        <v>85058</v>
      </c>
      <c r="X65" s="122">
        <f t="shared" si="1"/>
        <v>110781</v>
      </c>
      <c r="Y65" s="122"/>
      <c r="AA65" t="s">
        <v>48</v>
      </c>
      <c r="AB65" t="s">
        <v>406</v>
      </c>
      <c r="AC65" t="s">
        <v>405</v>
      </c>
      <c r="AD65" t="s">
        <v>406</v>
      </c>
      <c r="AE65" t="s">
        <v>566</v>
      </c>
      <c r="AF65">
        <v>2</v>
      </c>
      <c r="AG65">
        <v>512</v>
      </c>
      <c r="AH65">
        <v>139</v>
      </c>
      <c r="AI65" s="122">
        <v>12962</v>
      </c>
      <c r="AJ65" s="122">
        <v>11784</v>
      </c>
      <c r="AK65">
        <v>97</v>
      </c>
      <c r="AL65" s="122">
        <v>2333</v>
      </c>
      <c r="AM65" s="122">
        <v>2121</v>
      </c>
      <c r="AN65" s="122">
        <v>7706</v>
      </c>
      <c r="AO65" s="122">
        <v>2854</v>
      </c>
      <c r="AP65" s="122">
        <v>5955</v>
      </c>
      <c r="AQ65" s="122">
        <v>2205</v>
      </c>
      <c r="AR65" s="122">
        <v>6808</v>
      </c>
      <c r="AS65" s="122">
        <v>6189</v>
      </c>
      <c r="AT65">
        <v>0</v>
      </c>
      <c r="AU65">
        <v>0</v>
      </c>
      <c r="AV65" s="122">
        <v>25153</v>
      </c>
    </row>
    <row r="66" spans="2:48" ht="12.75" customHeight="1">
      <c r="B66" t="s">
        <v>362</v>
      </c>
      <c r="C66" t="s">
        <v>60</v>
      </c>
      <c r="D66" t="s">
        <v>428</v>
      </c>
      <c r="E66" t="s">
        <v>428</v>
      </c>
      <c r="F66">
        <v>2</v>
      </c>
      <c r="G66" s="122">
        <v>199</v>
      </c>
      <c r="H66" s="122">
        <v>687</v>
      </c>
      <c r="I66" s="122">
        <v>47622</v>
      </c>
      <c r="J66" s="122">
        <v>43292</v>
      </c>
      <c r="K66">
        <v>50</v>
      </c>
      <c r="L66" s="122">
        <v>9514</v>
      </c>
      <c r="M66" s="122">
        <v>6419</v>
      </c>
      <c r="N66" s="122">
        <v>5449</v>
      </c>
      <c r="O66" s="122">
        <v>2018</v>
      </c>
      <c r="P66" s="122">
        <v>351</v>
      </c>
      <c r="Q66" s="122">
        <v>130</v>
      </c>
      <c r="R66" s="122">
        <v>12427</v>
      </c>
      <c r="S66" s="122">
        <v>11297</v>
      </c>
      <c r="T66" s="122">
        <v>5316</v>
      </c>
      <c r="U66" s="122">
        <v>1969</v>
      </c>
      <c r="V66" s="122">
        <v>65125</v>
      </c>
      <c r="W66" s="122">
        <f t="shared" si="0"/>
        <v>65125</v>
      </c>
      <c r="X66" s="122">
        <f t="shared" si="1"/>
        <v>80679</v>
      </c>
      <c r="Y66" s="122"/>
      <c r="AA66" t="s">
        <v>48</v>
      </c>
      <c r="AB66" t="s">
        <v>406</v>
      </c>
      <c r="AC66" t="s">
        <v>137</v>
      </c>
      <c r="AD66" t="s">
        <v>406</v>
      </c>
      <c r="AE66" t="s">
        <v>137</v>
      </c>
      <c r="AF66">
        <v>1</v>
      </c>
      <c r="AG66" s="122">
        <v>112</v>
      </c>
      <c r="AH66">
        <v>61</v>
      </c>
      <c r="AI66" s="122">
        <v>764</v>
      </c>
      <c r="AJ66" s="122">
        <v>694</v>
      </c>
      <c r="AK66">
        <v>95</v>
      </c>
      <c r="AL66" s="122">
        <v>445</v>
      </c>
      <c r="AM66" s="122">
        <v>165</v>
      </c>
      <c r="AN66" s="122">
        <v>1363</v>
      </c>
      <c r="AO66" s="122">
        <v>505</v>
      </c>
      <c r="AP66" s="122">
        <v>621</v>
      </c>
      <c r="AQ66" s="122">
        <v>230</v>
      </c>
      <c r="AR66" s="122">
        <v>3649</v>
      </c>
      <c r="AS66" s="122">
        <v>3318</v>
      </c>
      <c r="AT66">
        <v>0</v>
      </c>
      <c r="AU66">
        <v>0</v>
      </c>
      <c r="AV66" s="122">
        <v>4912</v>
      </c>
    </row>
    <row r="67" spans="2:48" ht="12.75" hidden="1" customHeight="1">
      <c r="B67" t="s">
        <v>362</v>
      </c>
      <c r="C67" t="s">
        <v>60</v>
      </c>
      <c r="D67" t="s">
        <v>431</v>
      </c>
      <c r="E67" t="s">
        <v>431</v>
      </c>
      <c r="F67">
        <v>1</v>
      </c>
      <c r="G67" s="122">
        <v>128</v>
      </c>
      <c r="H67" s="122">
        <v>309</v>
      </c>
      <c r="I67" s="122">
        <v>24433</v>
      </c>
      <c r="J67" s="122">
        <v>22212</v>
      </c>
      <c r="K67">
        <v>55</v>
      </c>
      <c r="L67" s="122">
        <v>4049</v>
      </c>
      <c r="M67" s="122">
        <v>3681</v>
      </c>
      <c r="N67" s="122">
        <v>2221</v>
      </c>
      <c r="O67" s="122">
        <v>823</v>
      </c>
      <c r="P67" s="122">
        <v>351</v>
      </c>
      <c r="Q67" s="122">
        <v>130</v>
      </c>
      <c r="R67" s="122">
        <v>5973</v>
      </c>
      <c r="S67" s="122">
        <v>5430</v>
      </c>
      <c r="T67" s="122">
        <v>2686</v>
      </c>
      <c r="U67" s="122">
        <v>995</v>
      </c>
      <c r="V67" s="122">
        <v>33270</v>
      </c>
      <c r="W67" s="122">
        <f t="shared" si="0"/>
        <v>33271</v>
      </c>
      <c r="X67" s="122">
        <f t="shared" si="1"/>
        <v>39713</v>
      </c>
      <c r="Y67" s="122"/>
      <c r="AA67" t="s">
        <v>48</v>
      </c>
      <c r="AB67" t="s">
        <v>406</v>
      </c>
      <c r="AC67" t="s">
        <v>137</v>
      </c>
      <c r="AD67" t="s">
        <v>406</v>
      </c>
      <c r="AE67" t="s">
        <v>566</v>
      </c>
      <c r="AF67">
        <v>13</v>
      </c>
      <c r="AG67" s="122">
        <v>1954</v>
      </c>
      <c r="AH67">
        <v>787</v>
      </c>
      <c r="AI67" s="122">
        <v>24312</v>
      </c>
      <c r="AJ67" s="122">
        <v>22102</v>
      </c>
      <c r="AK67">
        <v>95</v>
      </c>
      <c r="AL67" s="122">
        <v>8946</v>
      </c>
      <c r="AM67" s="122">
        <v>3313</v>
      </c>
      <c r="AN67" s="122">
        <v>25339</v>
      </c>
      <c r="AO67" s="122">
        <v>9385</v>
      </c>
      <c r="AP67" s="122">
        <v>21480</v>
      </c>
      <c r="AQ67" s="122">
        <v>7956</v>
      </c>
      <c r="AR67" s="122">
        <v>42524</v>
      </c>
      <c r="AS67" s="122">
        <v>38658</v>
      </c>
      <c r="AT67">
        <v>0</v>
      </c>
      <c r="AU67">
        <v>0</v>
      </c>
      <c r="AV67" s="122">
        <v>81414</v>
      </c>
    </row>
    <row r="68" spans="2:48" ht="12.75" hidden="1" customHeight="1">
      <c r="B68" t="s">
        <v>362</v>
      </c>
      <c r="C68" t="s">
        <v>60</v>
      </c>
      <c r="D68" t="s">
        <v>426</v>
      </c>
      <c r="E68" t="s">
        <v>137</v>
      </c>
      <c r="F68">
        <v>2</v>
      </c>
      <c r="G68" s="122">
        <v>314</v>
      </c>
      <c r="H68" s="122">
        <v>677</v>
      </c>
      <c r="I68" s="122">
        <v>67907</v>
      </c>
      <c r="J68" s="122">
        <v>61734</v>
      </c>
      <c r="K68">
        <v>45</v>
      </c>
      <c r="L68" s="122">
        <v>10064</v>
      </c>
      <c r="M68" s="122">
        <v>5726</v>
      </c>
      <c r="N68" s="122">
        <v>7217</v>
      </c>
      <c r="O68" s="122">
        <v>2673</v>
      </c>
      <c r="P68" s="122">
        <v>0</v>
      </c>
      <c r="Q68" s="122">
        <v>0</v>
      </c>
      <c r="R68" s="122">
        <v>20700</v>
      </c>
      <c r="S68" s="122">
        <v>7667</v>
      </c>
      <c r="T68" s="122">
        <v>0</v>
      </c>
      <c r="U68" s="122">
        <v>0</v>
      </c>
      <c r="V68" s="122">
        <v>77800</v>
      </c>
      <c r="W68" s="122">
        <f t="shared" si="0"/>
        <v>77800</v>
      </c>
      <c r="X68" s="122">
        <f t="shared" si="1"/>
        <v>105888</v>
      </c>
      <c r="Y68" s="122"/>
      <c r="AA68" t="s">
        <v>48</v>
      </c>
      <c r="AB68" t="s">
        <v>406</v>
      </c>
      <c r="AC68" t="s">
        <v>580</v>
      </c>
      <c r="AD68" t="s">
        <v>406</v>
      </c>
      <c r="AE68" t="s">
        <v>566</v>
      </c>
      <c r="AF68">
        <v>2</v>
      </c>
      <c r="AG68">
        <v>610</v>
      </c>
      <c r="AH68">
        <v>128</v>
      </c>
      <c r="AI68" s="122">
        <v>16100</v>
      </c>
      <c r="AJ68" s="122">
        <v>14637</v>
      </c>
      <c r="AK68">
        <v>94</v>
      </c>
      <c r="AL68" s="122">
        <v>2208</v>
      </c>
      <c r="AM68" s="122">
        <v>2007</v>
      </c>
      <c r="AN68" s="122">
        <v>10863</v>
      </c>
      <c r="AO68" s="122">
        <v>4023</v>
      </c>
      <c r="AP68" s="122">
        <v>2214</v>
      </c>
      <c r="AQ68">
        <v>820</v>
      </c>
      <c r="AR68" s="122">
        <v>7672</v>
      </c>
      <c r="AS68" s="122">
        <v>6974</v>
      </c>
      <c r="AT68">
        <v>0</v>
      </c>
      <c r="AU68">
        <v>0</v>
      </c>
      <c r="AV68" s="122">
        <v>28461</v>
      </c>
    </row>
    <row r="69" spans="2:48" ht="12.75" customHeight="1">
      <c r="B69" t="s">
        <v>362</v>
      </c>
      <c r="C69" t="s">
        <v>60</v>
      </c>
      <c r="D69" t="s">
        <v>426</v>
      </c>
      <c r="E69" t="s">
        <v>426</v>
      </c>
      <c r="F69">
        <v>36</v>
      </c>
      <c r="G69" s="122">
        <v>3603</v>
      </c>
      <c r="H69" s="122">
        <v>12514</v>
      </c>
      <c r="I69" s="122">
        <v>814688</v>
      </c>
      <c r="J69" s="122">
        <v>740625</v>
      </c>
      <c r="K69">
        <v>58</v>
      </c>
      <c r="L69" s="122">
        <v>96213</v>
      </c>
      <c r="M69" s="122">
        <v>83956</v>
      </c>
      <c r="N69" s="122">
        <v>70187</v>
      </c>
      <c r="O69" s="122">
        <v>25995</v>
      </c>
      <c r="P69" s="122">
        <v>13176</v>
      </c>
      <c r="Q69" s="122">
        <v>4880</v>
      </c>
      <c r="R69" s="122">
        <v>210375</v>
      </c>
      <c r="S69" s="122">
        <v>191250</v>
      </c>
      <c r="T69" s="122">
        <v>75506</v>
      </c>
      <c r="U69" s="122">
        <v>27965</v>
      </c>
      <c r="V69" s="122">
        <v>1074671</v>
      </c>
      <c r="W69" s="122">
        <f t="shared" si="0"/>
        <v>1074671</v>
      </c>
      <c r="X69" s="122">
        <f t="shared" si="1"/>
        <v>1280145</v>
      </c>
      <c r="Y69" s="122"/>
      <c r="AA69" t="s">
        <v>48</v>
      </c>
      <c r="AB69" t="s">
        <v>406</v>
      </c>
      <c r="AC69" t="s">
        <v>427</v>
      </c>
      <c r="AD69" t="s">
        <v>406</v>
      </c>
      <c r="AE69" t="s">
        <v>137</v>
      </c>
      <c r="AF69">
        <v>2</v>
      </c>
      <c r="AG69" s="122">
        <v>455</v>
      </c>
      <c r="AH69">
        <v>147</v>
      </c>
      <c r="AI69" s="122">
        <v>13619</v>
      </c>
      <c r="AJ69" s="122">
        <v>12381</v>
      </c>
      <c r="AK69">
        <v>94</v>
      </c>
      <c r="AL69" s="122">
        <v>2310</v>
      </c>
      <c r="AM69" s="122">
        <v>2100</v>
      </c>
      <c r="AN69" s="122">
        <v>6225</v>
      </c>
      <c r="AO69" s="122">
        <v>2306</v>
      </c>
      <c r="AP69" s="122">
        <v>1242</v>
      </c>
      <c r="AQ69" s="122">
        <v>460</v>
      </c>
      <c r="AR69" s="122">
        <v>9920</v>
      </c>
      <c r="AS69" s="122">
        <v>9018</v>
      </c>
      <c r="AT69">
        <v>0</v>
      </c>
      <c r="AU69">
        <v>0</v>
      </c>
      <c r="AV69" s="122">
        <v>26265</v>
      </c>
    </row>
    <row r="70" spans="2:48" ht="12.75" hidden="1" customHeight="1">
      <c r="B70" t="s">
        <v>362</v>
      </c>
      <c r="C70" t="s">
        <v>60</v>
      </c>
      <c r="D70" t="s">
        <v>433</v>
      </c>
      <c r="E70" t="s">
        <v>433</v>
      </c>
      <c r="F70">
        <v>1</v>
      </c>
      <c r="G70" s="122">
        <v>95</v>
      </c>
      <c r="H70" s="122">
        <v>301</v>
      </c>
      <c r="I70" s="122">
        <v>17995</v>
      </c>
      <c r="J70" s="122">
        <v>16359</v>
      </c>
      <c r="K70">
        <v>65</v>
      </c>
      <c r="L70" s="122">
        <v>2166</v>
      </c>
      <c r="M70" s="122">
        <v>1969</v>
      </c>
      <c r="N70" s="122">
        <v>2195</v>
      </c>
      <c r="O70" s="122">
        <v>813</v>
      </c>
      <c r="P70" s="122">
        <v>621</v>
      </c>
      <c r="Q70" s="122">
        <v>230</v>
      </c>
      <c r="R70" s="122">
        <v>5517</v>
      </c>
      <c r="S70" s="122">
        <v>5015</v>
      </c>
      <c r="T70" s="122">
        <v>0</v>
      </c>
      <c r="U70" s="122">
        <v>0</v>
      </c>
      <c r="V70" s="122">
        <v>24386</v>
      </c>
      <c r="W70" s="122">
        <f t="shared" si="0"/>
        <v>24386</v>
      </c>
      <c r="X70" s="122">
        <f t="shared" si="1"/>
        <v>28494</v>
      </c>
      <c r="Y70" s="122"/>
      <c r="AA70" t="s">
        <v>48</v>
      </c>
      <c r="AB70" t="s">
        <v>406</v>
      </c>
      <c r="AC70" t="s">
        <v>427</v>
      </c>
      <c r="AD70" t="s">
        <v>406</v>
      </c>
      <c r="AE70" t="s">
        <v>566</v>
      </c>
      <c r="AF70">
        <v>11</v>
      </c>
      <c r="AG70" s="122">
        <v>2306</v>
      </c>
      <c r="AH70">
        <v>666</v>
      </c>
      <c r="AI70" s="122">
        <v>52114</v>
      </c>
      <c r="AJ70" s="122">
        <v>47376</v>
      </c>
      <c r="AK70">
        <v>95</v>
      </c>
      <c r="AL70" s="122">
        <v>8623</v>
      </c>
      <c r="AM70" s="122">
        <v>7839</v>
      </c>
      <c r="AN70" s="122">
        <v>29677</v>
      </c>
      <c r="AO70" s="122">
        <v>10991</v>
      </c>
      <c r="AP70" s="122">
        <v>13881</v>
      </c>
      <c r="AQ70" s="122">
        <v>5141</v>
      </c>
      <c r="AR70" s="122">
        <v>42531</v>
      </c>
      <c r="AS70" s="122">
        <v>38665</v>
      </c>
      <c r="AT70">
        <v>0</v>
      </c>
      <c r="AU70">
        <v>0</v>
      </c>
      <c r="AV70" s="122">
        <v>110012</v>
      </c>
    </row>
    <row r="71" spans="2:48" ht="12.75" hidden="1" customHeight="1">
      <c r="B71" t="s">
        <v>362</v>
      </c>
      <c r="C71" t="s">
        <v>62</v>
      </c>
      <c r="D71" t="s">
        <v>425</v>
      </c>
      <c r="E71" t="s">
        <v>406</v>
      </c>
      <c r="F71">
        <v>1</v>
      </c>
      <c r="G71" s="122">
        <v>121</v>
      </c>
      <c r="H71" s="122">
        <v>392</v>
      </c>
      <c r="I71" s="122">
        <v>29933</v>
      </c>
      <c r="J71" s="122">
        <v>27211</v>
      </c>
      <c r="K71">
        <v>70</v>
      </c>
      <c r="L71" s="122">
        <v>7372</v>
      </c>
      <c r="M71" s="122">
        <v>6702</v>
      </c>
      <c r="N71" s="122">
        <v>2338</v>
      </c>
      <c r="O71" s="122">
        <v>866</v>
      </c>
      <c r="P71" s="122">
        <v>621</v>
      </c>
      <c r="Q71" s="122">
        <v>230</v>
      </c>
      <c r="R71" s="122">
        <v>7331</v>
      </c>
      <c r="S71" s="122">
        <v>6665</v>
      </c>
      <c r="T71" s="122">
        <v>0</v>
      </c>
      <c r="U71" s="122">
        <v>0</v>
      </c>
      <c r="V71" s="122">
        <v>41674</v>
      </c>
      <c r="W71" s="122">
        <f t="shared" ref="W71:W134" si="2">SUM(ABS(J71),ABS(M71),ABS(O71),ABS(Q71),ABS(S71),ABS(U71))</f>
        <v>41674</v>
      </c>
      <c r="X71" s="122">
        <f t="shared" ref="X71:X134" si="3">SUM(ABS(I71),ABS(N71),ABS(P71),ABS(R71),ABS(T71),ABS(L71))</f>
        <v>47595</v>
      </c>
      <c r="Y71" s="122"/>
      <c r="AA71" t="s">
        <v>48</v>
      </c>
      <c r="AB71" t="s">
        <v>406</v>
      </c>
      <c r="AC71" t="s">
        <v>579</v>
      </c>
      <c r="AD71" t="s">
        <v>137</v>
      </c>
      <c r="AE71" t="s">
        <v>566</v>
      </c>
      <c r="AF71">
        <v>1</v>
      </c>
      <c r="AG71">
        <v>208</v>
      </c>
      <c r="AH71">
        <v>54</v>
      </c>
      <c r="AI71" s="122">
        <v>2507</v>
      </c>
      <c r="AJ71" s="122">
        <v>2280</v>
      </c>
      <c r="AK71">
        <v>93</v>
      </c>
      <c r="AL71">
        <v>380</v>
      </c>
      <c r="AM71">
        <v>317</v>
      </c>
      <c r="AN71" s="122">
        <v>2615</v>
      </c>
      <c r="AO71">
        <v>968</v>
      </c>
      <c r="AP71" s="122">
        <v>2376</v>
      </c>
      <c r="AQ71">
        <v>880</v>
      </c>
      <c r="AR71" s="122">
        <v>3373</v>
      </c>
      <c r="AS71" s="122">
        <v>1249</v>
      </c>
      <c r="AT71" s="122">
        <v>0</v>
      </c>
      <c r="AU71" s="122">
        <v>0</v>
      </c>
      <c r="AV71" s="122">
        <v>5694</v>
      </c>
    </row>
    <row r="72" spans="2:48" ht="12.75" customHeight="1">
      <c r="B72" t="s">
        <v>362</v>
      </c>
      <c r="C72" t="s">
        <v>62</v>
      </c>
      <c r="D72" t="s">
        <v>405</v>
      </c>
      <c r="E72" t="s">
        <v>405</v>
      </c>
      <c r="F72">
        <v>1</v>
      </c>
      <c r="G72" s="122">
        <v>108</v>
      </c>
      <c r="H72" s="122">
        <v>424</v>
      </c>
      <c r="I72" s="122">
        <v>32843</v>
      </c>
      <c r="J72" s="122">
        <v>29857</v>
      </c>
      <c r="K72">
        <v>65</v>
      </c>
      <c r="L72" s="122">
        <v>3470</v>
      </c>
      <c r="M72" s="122">
        <v>3154</v>
      </c>
      <c r="N72" s="122">
        <v>2506</v>
      </c>
      <c r="O72" s="122">
        <v>928</v>
      </c>
      <c r="P72" s="122">
        <v>351</v>
      </c>
      <c r="Q72" s="122">
        <v>130</v>
      </c>
      <c r="R72" s="122">
        <v>6682</v>
      </c>
      <c r="S72" s="122">
        <v>6074</v>
      </c>
      <c r="T72" s="122">
        <v>0</v>
      </c>
      <c r="U72">
        <v>0</v>
      </c>
      <c r="V72" s="122">
        <v>40143</v>
      </c>
      <c r="W72" s="122">
        <f t="shared" si="2"/>
        <v>40143</v>
      </c>
      <c r="X72" s="122">
        <f t="shared" si="3"/>
        <v>45852</v>
      </c>
      <c r="Y72" s="122"/>
      <c r="AA72" t="s">
        <v>48</v>
      </c>
      <c r="AB72" t="s">
        <v>406</v>
      </c>
      <c r="AC72" t="s">
        <v>579</v>
      </c>
      <c r="AD72" t="s">
        <v>406</v>
      </c>
      <c r="AE72" t="s">
        <v>137</v>
      </c>
      <c r="AF72">
        <v>1</v>
      </c>
      <c r="AG72" s="122">
        <v>129</v>
      </c>
      <c r="AH72" s="122">
        <v>64</v>
      </c>
      <c r="AI72" s="122">
        <v>-1931</v>
      </c>
      <c r="AJ72" s="122">
        <v>-1756</v>
      </c>
      <c r="AK72">
        <v>95</v>
      </c>
      <c r="AL72" s="122">
        <v>-275</v>
      </c>
      <c r="AM72" s="122">
        <v>-229</v>
      </c>
      <c r="AN72" s="122">
        <v>2067</v>
      </c>
      <c r="AO72" s="122">
        <v>766</v>
      </c>
      <c r="AP72" s="122">
        <v>1870</v>
      </c>
      <c r="AQ72" s="122">
        <v>693</v>
      </c>
      <c r="AR72" s="122">
        <v>3272</v>
      </c>
      <c r="AS72" s="122">
        <v>2974</v>
      </c>
      <c r="AT72" s="122">
        <v>3222</v>
      </c>
      <c r="AU72" s="122">
        <v>1193</v>
      </c>
      <c r="AV72" s="122">
        <v>3641</v>
      </c>
    </row>
    <row r="73" spans="2:48" ht="12.75" hidden="1" customHeight="1">
      <c r="B73" t="s">
        <v>362</v>
      </c>
      <c r="C73" t="s">
        <v>62</v>
      </c>
      <c r="D73" t="s">
        <v>137</v>
      </c>
      <c r="E73" t="s">
        <v>137</v>
      </c>
      <c r="F73">
        <v>17</v>
      </c>
      <c r="G73" s="122">
        <v>1487</v>
      </c>
      <c r="H73" s="122">
        <v>7237</v>
      </c>
      <c r="I73" s="122">
        <v>433902</v>
      </c>
      <c r="J73" s="122">
        <v>160705</v>
      </c>
      <c r="K73">
        <v>100</v>
      </c>
      <c r="L73" s="122">
        <v>62045</v>
      </c>
      <c r="M73" s="122">
        <v>51958</v>
      </c>
      <c r="N73" s="122">
        <v>27559</v>
      </c>
      <c r="O73" s="122">
        <v>10207</v>
      </c>
      <c r="P73" s="122">
        <v>0</v>
      </c>
      <c r="Q73" s="122">
        <v>0</v>
      </c>
      <c r="R73" s="122">
        <v>103728</v>
      </c>
      <c r="S73" s="122">
        <v>38418</v>
      </c>
      <c r="T73">
        <v>0</v>
      </c>
      <c r="U73">
        <v>0</v>
      </c>
      <c r="V73" s="122">
        <v>261288</v>
      </c>
      <c r="W73" s="122">
        <f t="shared" si="2"/>
        <v>261288</v>
      </c>
      <c r="X73" s="122">
        <f t="shared" si="3"/>
        <v>627234</v>
      </c>
      <c r="Y73" s="122"/>
      <c r="AA73" t="s">
        <v>48</v>
      </c>
      <c r="AB73" t="s">
        <v>406</v>
      </c>
      <c r="AC73" t="s">
        <v>579</v>
      </c>
      <c r="AD73" t="s">
        <v>406</v>
      </c>
      <c r="AE73" t="s">
        <v>566</v>
      </c>
      <c r="AF73">
        <v>62</v>
      </c>
      <c r="AG73" s="122">
        <v>11185</v>
      </c>
      <c r="AH73" s="122">
        <v>3823</v>
      </c>
      <c r="AI73" s="122">
        <v>224011</v>
      </c>
      <c r="AJ73" s="122">
        <v>203646</v>
      </c>
      <c r="AK73">
        <v>95</v>
      </c>
      <c r="AL73" s="122">
        <v>37099</v>
      </c>
      <c r="AM73" s="122">
        <v>30916</v>
      </c>
      <c r="AN73" s="122">
        <v>140609</v>
      </c>
      <c r="AO73" s="122">
        <v>52077</v>
      </c>
      <c r="AP73" s="122">
        <v>62106</v>
      </c>
      <c r="AQ73" s="122">
        <v>23002</v>
      </c>
      <c r="AR73" s="122">
        <v>226507</v>
      </c>
      <c r="AS73" s="122">
        <v>205916</v>
      </c>
      <c r="AT73">
        <v>0</v>
      </c>
      <c r="AU73">
        <v>0</v>
      </c>
      <c r="AV73" s="122">
        <v>515556</v>
      </c>
    </row>
    <row r="74" spans="2:48" ht="12.75" hidden="1" customHeight="1">
      <c r="B74" t="s">
        <v>362</v>
      </c>
      <c r="C74" t="s">
        <v>62</v>
      </c>
      <c r="D74" t="s">
        <v>137</v>
      </c>
      <c r="E74" t="s">
        <v>406</v>
      </c>
      <c r="F74">
        <v>1</v>
      </c>
      <c r="G74" s="122">
        <v>188</v>
      </c>
      <c r="H74" s="122">
        <v>397</v>
      </c>
      <c r="I74" s="122">
        <v>55842</v>
      </c>
      <c r="J74" s="122">
        <v>20682</v>
      </c>
      <c r="K74">
        <v>100</v>
      </c>
      <c r="L74" s="122">
        <v>4213</v>
      </c>
      <c r="M74" s="122">
        <v>3830</v>
      </c>
      <c r="N74" s="122">
        <v>3368</v>
      </c>
      <c r="O74" s="122">
        <v>1247</v>
      </c>
      <c r="P74" s="122">
        <v>270</v>
      </c>
      <c r="Q74" s="122">
        <v>100</v>
      </c>
      <c r="R74" s="122">
        <v>7173</v>
      </c>
      <c r="S74" s="122">
        <v>6521</v>
      </c>
      <c r="T74" s="122">
        <v>3856</v>
      </c>
      <c r="U74" s="122">
        <v>1428</v>
      </c>
      <c r="V74" s="122">
        <v>33809</v>
      </c>
      <c r="W74" s="122">
        <f t="shared" si="2"/>
        <v>33808</v>
      </c>
      <c r="X74" s="122">
        <f t="shared" si="3"/>
        <v>74722</v>
      </c>
      <c r="Y74" s="122"/>
      <c r="AA74" t="s">
        <v>48</v>
      </c>
      <c r="AB74" t="s">
        <v>406</v>
      </c>
      <c r="AC74" t="s">
        <v>428</v>
      </c>
      <c r="AD74" t="s">
        <v>406</v>
      </c>
      <c r="AE74" t="s">
        <v>566</v>
      </c>
      <c r="AF74">
        <v>2</v>
      </c>
      <c r="AG74">
        <v>357</v>
      </c>
      <c r="AH74">
        <v>121</v>
      </c>
      <c r="AI74" s="122">
        <v>7324</v>
      </c>
      <c r="AJ74" s="122">
        <v>6658</v>
      </c>
      <c r="AK74">
        <v>94</v>
      </c>
      <c r="AL74" s="122">
        <v>1094</v>
      </c>
      <c r="AM74" s="122">
        <v>994</v>
      </c>
      <c r="AN74" s="122">
        <v>4345</v>
      </c>
      <c r="AO74" s="122">
        <v>1609</v>
      </c>
      <c r="AP74" s="122">
        <v>1242</v>
      </c>
      <c r="AQ74" s="122">
        <v>460</v>
      </c>
      <c r="AR74" s="122">
        <v>5947</v>
      </c>
      <c r="AS74" s="122">
        <v>5407</v>
      </c>
      <c r="AT74">
        <v>0</v>
      </c>
      <c r="AU74">
        <v>0</v>
      </c>
      <c r="AV74" s="122">
        <v>15128</v>
      </c>
    </row>
    <row r="75" spans="2:48" ht="12.75" customHeight="1">
      <c r="B75" t="s">
        <v>362</v>
      </c>
      <c r="C75" t="s">
        <v>62</v>
      </c>
      <c r="D75" t="s">
        <v>137</v>
      </c>
      <c r="E75" t="s">
        <v>426</v>
      </c>
      <c r="F75">
        <v>2</v>
      </c>
      <c r="G75" s="122">
        <v>274</v>
      </c>
      <c r="H75" s="122">
        <v>780</v>
      </c>
      <c r="I75" s="122">
        <v>75746</v>
      </c>
      <c r="J75" s="122">
        <v>28054</v>
      </c>
      <c r="K75">
        <v>100</v>
      </c>
      <c r="L75" s="122">
        <v>8366</v>
      </c>
      <c r="M75" s="122">
        <v>7606</v>
      </c>
      <c r="N75" s="122">
        <v>6207</v>
      </c>
      <c r="O75" s="122">
        <v>2299</v>
      </c>
      <c r="P75" s="122">
        <v>351</v>
      </c>
      <c r="Q75" s="122">
        <v>130</v>
      </c>
      <c r="R75" s="122">
        <v>10023</v>
      </c>
      <c r="S75" s="122">
        <v>9112</v>
      </c>
      <c r="T75" s="122">
        <v>5867</v>
      </c>
      <c r="U75" s="122">
        <v>2173</v>
      </c>
      <c r="V75" s="122">
        <v>49374</v>
      </c>
      <c r="W75" s="122">
        <f t="shared" si="2"/>
        <v>49374</v>
      </c>
      <c r="X75" s="122">
        <f t="shared" si="3"/>
        <v>106560</v>
      </c>
      <c r="Y75" s="122"/>
      <c r="AA75" t="s">
        <v>48</v>
      </c>
      <c r="AB75" t="s">
        <v>406</v>
      </c>
      <c r="AC75" t="s">
        <v>431</v>
      </c>
      <c r="AD75" t="s">
        <v>406</v>
      </c>
      <c r="AE75" t="s">
        <v>137</v>
      </c>
      <c r="AF75">
        <v>2</v>
      </c>
      <c r="AG75">
        <v>524</v>
      </c>
      <c r="AH75">
        <v>129</v>
      </c>
      <c r="AI75" s="122">
        <v>13852</v>
      </c>
      <c r="AJ75" s="122">
        <v>12593</v>
      </c>
      <c r="AK75">
        <v>97</v>
      </c>
      <c r="AL75" s="122">
        <v>2120</v>
      </c>
      <c r="AM75" s="122">
        <v>1928</v>
      </c>
      <c r="AN75" s="122">
        <v>6382</v>
      </c>
      <c r="AO75" s="122">
        <v>2364</v>
      </c>
      <c r="AP75" s="122">
        <v>4382</v>
      </c>
      <c r="AQ75" s="122">
        <v>1623</v>
      </c>
      <c r="AR75" s="122">
        <v>7134</v>
      </c>
      <c r="AS75" s="122">
        <v>6486</v>
      </c>
      <c r="AT75">
        <v>0</v>
      </c>
      <c r="AU75">
        <v>0</v>
      </c>
      <c r="AV75" s="122">
        <v>24993</v>
      </c>
    </row>
    <row r="76" spans="2:48" ht="12.75" customHeight="1">
      <c r="B76" t="s">
        <v>362</v>
      </c>
      <c r="C76" t="s">
        <v>62</v>
      </c>
      <c r="D76" t="s">
        <v>406</v>
      </c>
      <c r="E76" t="s">
        <v>137</v>
      </c>
      <c r="F76">
        <v>3</v>
      </c>
      <c r="G76">
        <v>339</v>
      </c>
      <c r="H76" s="122">
        <v>1319</v>
      </c>
      <c r="I76" s="122">
        <v>96265</v>
      </c>
      <c r="J76" s="122">
        <v>87513</v>
      </c>
      <c r="K76">
        <v>77</v>
      </c>
      <c r="L76" s="122">
        <v>22070</v>
      </c>
      <c r="M76" s="122">
        <v>20063</v>
      </c>
      <c r="N76" s="122">
        <v>7858</v>
      </c>
      <c r="O76" s="122">
        <v>2910</v>
      </c>
      <c r="P76" s="122">
        <v>1863</v>
      </c>
      <c r="Q76">
        <v>690</v>
      </c>
      <c r="R76" s="122">
        <v>21008</v>
      </c>
      <c r="S76" s="122">
        <v>7781</v>
      </c>
      <c r="T76">
        <v>0</v>
      </c>
      <c r="U76">
        <v>0</v>
      </c>
      <c r="V76" s="122">
        <v>118958</v>
      </c>
      <c r="W76" s="122">
        <f t="shared" si="2"/>
        <v>118957</v>
      </c>
      <c r="X76" s="122">
        <f t="shared" si="3"/>
        <v>149064</v>
      </c>
      <c r="Y76" s="122"/>
      <c r="AA76" t="s">
        <v>48</v>
      </c>
      <c r="AB76" t="s">
        <v>406</v>
      </c>
      <c r="AC76" t="s">
        <v>426</v>
      </c>
      <c r="AD76" t="s">
        <v>137</v>
      </c>
      <c r="AE76" t="s">
        <v>137</v>
      </c>
      <c r="AF76">
        <v>2</v>
      </c>
      <c r="AG76" s="122">
        <v>407</v>
      </c>
      <c r="AH76" s="122">
        <v>123</v>
      </c>
      <c r="AI76" s="122">
        <v>7131</v>
      </c>
      <c r="AJ76" s="122">
        <v>6483</v>
      </c>
      <c r="AK76">
        <v>95</v>
      </c>
      <c r="AL76" s="122">
        <v>1500</v>
      </c>
      <c r="AM76" s="122">
        <v>1363</v>
      </c>
      <c r="AN76" s="122">
        <v>6027</v>
      </c>
      <c r="AO76" s="122">
        <v>2232</v>
      </c>
      <c r="AP76" s="122">
        <v>2756</v>
      </c>
      <c r="AQ76" s="122">
        <v>1021</v>
      </c>
      <c r="AR76" s="122">
        <v>7203</v>
      </c>
      <c r="AS76" s="122">
        <v>2668</v>
      </c>
      <c r="AT76">
        <v>0</v>
      </c>
      <c r="AU76">
        <v>0</v>
      </c>
      <c r="AV76" s="122">
        <v>13767</v>
      </c>
    </row>
    <row r="77" spans="2:48" ht="12.75" hidden="1" customHeight="1">
      <c r="B77" t="s">
        <v>362</v>
      </c>
      <c r="C77" t="s">
        <v>62</v>
      </c>
      <c r="D77" t="s">
        <v>406</v>
      </c>
      <c r="E77" t="s">
        <v>406</v>
      </c>
      <c r="F77">
        <v>165</v>
      </c>
      <c r="G77" s="122">
        <v>18998</v>
      </c>
      <c r="H77" s="122">
        <v>68397</v>
      </c>
      <c r="I77" s="122">
        <v>5283134</v>
      </c>
      <c r="J77" s="122">
        <v>4802849</v>
      </c>
      <c r="K77">
        <v>75</v>
      </c>
      <c r="L77" s="122">
        <v>1024168</v>
      </c>
      <c r="M77" s="122">
        <v>906382</v>
      </c>
      <c r="N77" s="122">
        <v>390855</v>
      </c>
      <c r="O77" s="122">
        <v>144761</v>
      </c>
      <c r="P77" s="122">
        <v>105624</v>
      </c>
      <c r="Q77" s="122">
        <v>39120</v>
      </c>
      <c r="R77" s="122">
        <v>877224</v>
      </c>
      <c r="S77" s="122">
        <v>797476</v>
      </c>
      <c r="T77" s="122">
        <v>285362</v>
      </c>
      <c r="U77" s="122">
        <v>105690</v>
      </c>
      <c r="V77" s="122">
        <v>6796278</v>
      </c>
      <c r="W77" s="122">
        <f t="shared" si="2"/>
        <v>6796278</v>
      </c>
      <c r="X77" s="122">
        <f t="shared" si="3"/>
        <v>7966367</v>
      </c>
      <c r="Y77" s="122"/>
      <c r="AA77" t="s">
        <v>48</v>
      </c>
      <c r="AB77" t="s">
        <v>406</v>
      </c>
      <c r="AC77" t="s">
        <v>426</v>
      </c>
      <c r="AD77" t="s">
        <v>137</v>
      </c>
      <c r="AE77" t="s">
        <v>566</v>
      </c>
      <c r="AF77">
        <v>23</v>
      </c>
      <c r="AG77" s="122">
        <v>4977</v>
      </c>
      <c r="AH77" s="122">
        <v>1351</v>
      </c>
      <c r="AI77" s="122">
        <v>80755</v>
      </c>
      <c r="AJ77" s="122">
        <v>73413</v>
      </c>
      <c r="AK77">
        <v>95</v>
      </c>
      <c r="AL77" s="122">
        <v>13092</v>
      </c>
      <c r="AM77" s="122">
        <v>11902</v>
      </c>
      <c r="AN77" s="122">
        <v>63875</v>
      </c>
      <c r="AO77" s="122">
        <v>23657</v>
      </c>
      <c r="AP77" s="122">
        <v>33156</v>
      </c>
      <c r="AQ77" s="122">
        <v>12280</v>
      </c>
      <c r="AR77" s="122">
        <v>96992</v>
      </c>
      <c r="AS77" s="122">
        <v>35923</v>
      </c>
      <c r="AT77" s="122">
        <v>0</v>
      </c>
      <c r="AU77" s="122">
        <v>0</v>
      </c>
      <c r="AV77" s="122">
        <v>157175</v>
      </c>
    </row>
    <row r="78" spans="2:48" ht="12.75" customHeight="1">
      <c r="B78" t="s">
        <v>362</v>
      </c>
      <c r="C78" t="s">
        <v>62</v>
      </c>
      <c r="D78" t="s">
        <v>427</v>
      </c>
      <c r="E78" t="s">
        <v>137</v>
      </c>
      <c r="F78">
        <v>1</v>
      </c>
      <c r="G78" s="122">
        <v>102</v>
      </c>
      <c r="H78" s="122">
        <v>403</v>
      </c>
      <c r="I78" s="122">
        <v>22401</v>
      </c>
      <c r="J78" s="122">
        <v>20365</v>
      </c>
      <c r="K78">
        <v>60</v>
      </c>
      <c r="L78" s="122">
        <v>4978</v>
      </c>
      <c r="M78" s="122">
        <v>4526</v>
      </c>
      <c r="N78" s="122">
        <v>1864</v>
      </c>
      <c r="O78" s="122">
        <v>690</v>
      </c>
      <c r="P78" s="122">
        <v>351</v>
      </c>
      <c r="Q78" s="122">
        <v>130</v>
      </c>
      <c r="R78" s="122">
        <v>11537</v>
      </c>
      <c r="S78" s="122">
        <v>4273</v>
      </c>
      <c r="T78" s="122">
        <v>0</v>
      </c>
      <c r="U78" s="122">
        <v>0</v>
      </c>
      <c r="V78" s="122">
        <v>29984</v>
      </c>
      <c r="W78" s="122">
        <f t="shared" si="2"/>
        <v>29984</v>
      </c>
      <c r="X78" s="122">
        <f t="shared" si="3"/>
        <v>41131</v>
      </c>
      <c r="Y78" s="122"/>
      <c r="AA78" t="s">
        <v>48</v>
      </c>
      <c r="AB78" t="s">
        <v>406</v>
      </c>
      <c r="AC78" t="s">
        <v>426</v>
      </c>
      <c r="AD78" t="s">
        <v>406</v>
      </c>
      <c r="AE78" t="s">
        <v>137</v>
      </c>
      <c r="AF78">
        <v>33</v>
      </c>
      <c r="AG78" s="122">
        <v>7933</v>
      </c>
      <c r="AH78" s="122">
        <v>2079</v>
      </c>
      <c r="AI78" s="122">
        <v>161588</v>
      </c>
      <c r="AJ78" s="122">
        <v>146899</v>
      </c>
      <c r="AK78">
        <v>94</v>
      </c>
      <c r="AL78" s="122">
        <v>27338</v>
      </c>
      <c r="AM78" s="122">
        <v>24853</v>
      </c>
      <c r="AN78" s="122">
        <v>112309</v>
      </c>
      <c r="AO78" s="122">
        <v>41596</v>
      </c>
      <c r="AP78" s="122">
        <v>63353</v>
      </c>
      <c r="AQ78" s="122">
        <v>23464</v>
      </c>
      <c r="AR78" s="122">
        <v>127474</v>
      </c>
      <c r="AS78" s="122">
        <v>115886</v>
      </c>
      <c r="AT78" s="122">
        <v>11451</v>
      </c>
      <c r="AU78" s="122">
        <v>4241</v>
      </c>
      <c r="AV78" s="122">
        <v>356938</v>
      </c>
    </row>
    <row r="79" spans="2:48" ht="12.75" hidden="1" customHeight="1">
      <c r="B79" t="s">
        <v>362</v>
      </c>
      <c r="C79" t="s">
        <v>62</v>
      </c>
      <c r="D79" t="s">
        <v>427</v>
      </c>
      <c r="E79" t="s">
        <v>427</v>
      </c>
      <c r="F79">
        <v>4</v>
      </c>
      <c r="G79" s="122">
        <v>341</v>
      </c>
      <c r="H79" s="122">
        <v>1639</v>
      </c>
      <c r="I79" s="122">
        <v>87578</v>
      </c>
      <c r="J79" s="122">
        <v>79617</v>
      </c>
      <c r="K79">
        <v>45</v>
      </c>
      <c r="L79" s="122">
        <v>7817</v>
      </c>
      <c r="M79" s="122">
        <v>4284</v>
      </c>
      <c r="N79" s="122">
        <v>8019</v>
      </c>
      <c r="O79" s="122">
        <v>2970</v>
      </c>
      <c r="P79" s="122">
        <v>1404</v>
      </c>
      <c r="Q79" s="122">
        <v>520</v>
      </c>
      <c r="R79" s="122">
        <v>25113</v>
      </c>
      <c r="S79" s="122">
        <v>22830</v>
      </c>
      <c r="T79" s="122">
        <v>9314</v>
      </c>
      <c r="U79" s="122">
        <v>3450</v>
      </c>
      <c r="V79" s="122">
        <v>113670</v>
      </c>
      <c r="W79" s="122">
        <f t="shared" si="2"/>
        <v>113671</v>
      </c>
      <c r="X79" s="122">
        <f t="shared" si="3"/>
        <v>139245</v>
      </c>
      <c r="Y79" s="122"/>
      <c r="AA79" t="s">
        <v>48</v>
      </c>
      <c r="AB79" t="s">
        <v>406</v>
      </c>
      <c r="AC79" t="s">
        <v>426</v>
      </c>
      <c r="AD79" t="s">
        <v>406</v>
      </c>
      <c r="AE79" t="s">
        <v>566</v>
      </c>
      <c r="AF79">
        <v>299</v>
      </c>
      <c r="AG79" s="122">
        <v>62851</v>
      </c>
      <c r="AH79" s="122">
        <v>18665</v>
      </c>
      <c r="AI79" s="122">
        <v>1272599</v>
      </c>
      <c r="AJ79" s="122">
        <v>1156908</v>
      </c>
      <c r="AK79">
        <v>97</v>
      </c>
      <c r="AL79" s="122">
        <v>217315</v>
      </c>
      <c r="AM79" s="122">
        <v>197559</v>
      </c>
      <c r="AN79" s="122">
        <v>858109</v>
      </c>
      <c r="AO79" s="122">
        <v>317818</v>
      </c>
      <c r="AP79" s="122">
        <v>427043</v>
      </c>
      <c r="AQ79" s="122">
        <v>158164</v>
      </c>
      <c r="AR79" s="122">
        <v>1180485</v>
      </c>
      <c r="AS79" s="122">
        <v>1073168</v>
      </c>
      <c r="AT79">
        <v>0</v>
      </c>
      <c r="AU79">
        <v>0</v>
      </c>
      <c r="AV79" s="122">
        <v>2903618</v>
      </c>
    </row>
    <row r="80" spans="2:48" ht="12.75" hidden="1" customHeight="1">
      <c r="B80" t="s">
        <v>362</v>
      </c>
      <c r="C80" t="s">
        <v>62</v>
      </c>
      <c r="D80" t="s">
        <v>407</v>
      </c>
      <c r="E80" t="s">
        <v>407</v>
      </c>
      <c r="F80">
        <v>5</v>
      </c>
      <c r="G80" s="122">
        <v>595</v>
      </c>
      <c r="H80" s="122">
        <v>2060</v>
      </c>
      <c r="I80" s="122">
        <v>152970</v>
      </c>
      <c r="J80" s="122">
        <v>139063</v>
      </c>
      <c r="K80">
        <v>82</v>
      </c>
      <c r="L80" s="122">
        <v>50487</v>
      </c>
      <c r="M80" s="122">
        <v>44024</v>
      </c>
      <c r="N80" s="122">
        <v>12552</v>
      </c>
      <c r="O80" s="122">
        <v>4649</v>
      </c>
      <c r="P80" s="122">
        <v>2363</v>
      </c>
      <c r="Q80" s="122">
        <v>875</v>
      </c>
      <c r="R80" s="122">
        <v>26029</v>
      </c>
      <c r="S80" s="122">
        <v>23663</v>
      </c>
      <c r="T80" s="122">
        <v>523</v>
      </c>
      <c r="U80" s="122">
        <v>194</v>
      </c>
      <c r="V80" s="122">
        <v>212468</v>
      </c>
      <c r="W80" s="122">
        <f t="shared" si="2"/>
        <v>212468</v>
      </c>
      <c r="X80" s="122">
        <f t="shared" si="3"/>
        <v>244924</v>
      </c>
      <c r="Y80" s="122"/>
      <c r="AA80" t="s">
        <v>48</v>
      </c>
      <c r="AB80" t="s">
        <v>406</v>
      </c>
      <c r="AC80" t="s">
        <v>426</v>
      </c>
      <c r="AD80" t="s">
        <v>433</v>
      </c>
      <c r="AE80" t="s">
        <v>566</v>
      </c>
      <c r="AF80">
        <v>1</v>
      </c>
      <c r="AG80">
        <v>220</v>
      </c>
      <c r="AH80">
        <v>53</v>
      </c>
      <c r="AI80" s="122">
        <v>1421</v>
      </c>
      <c r="AJ80" s="122">
        <v>1292</v>
      </c>
      <c r="AK80">
        <v>97</v>
      </c>
      <c r="AL80">
        <v>236</v>
      </c>
      <c r="AM80">
        <v>214</v>
      </c>
      <c r="AN80" s="122">
        <v>2679</v>
      </c>
      <c r="AO80" s="122">
        <v>992</v>
      </c>
      <c r="AP80" s="122">
        <v>2960</v>
      </c>
      <c r="AQ80" s="122">
        <v>1096</v>
      </c>
      <c r="AR80" s="122">
        <v>4277</v>
      </c>
      <c r="AS80" s="122">
        <v>3888</v>
      </c>
      <c r="AT80">
        <v>0</v>
      </c>
      <c r="AU80">
        <v>0</v>
      </c>
      <c r="AV80" s="122">
        <v>7483</v>
      </c>
    </row>
    <row r="81" spans="2:48" ht="12.75" customHeight="1">
      <c r="B81" t="s">
        <v>362</v>
      </c>
      <c r="C81" t="s">
        <v>62</v>
      </c>
      <c r="D81" t="s">
        <v>556</v>
      </c>
      <c r="E81" t="s">
        <v>556</v>
      </c>
      <c r="F81">
        <v>2</v>
      </c>
      <c r="G81">
        <v>208</v>
      </c>
      <c r="H81">
        <v>885</v>
      </c>
      <c r="I81" s="122">
        <v>59559</v>
      </c>
      <c r="J81" s="122">
        <v>49633</v>
      </c>
      <c r="K81">
        <v>53</v>
      </c>
      <c r="L81" s="122">
        <v>9406</v>
      </c>
      <c r="M81" s="122">
        <v>7838</v>
      </c>
      <c r="N81" s="122">
        <v>3544</v>
      </c>
      <c r="O81" s="122">
        <v>1313</v>
      </c>
      <c r="P81" s="122">
        <v>702</v>
      </c>
      <c r="Q81">
        <v>260</v>
      </c>
      <c r="R81" s="122">
        <v>12918</v>
      </c>
      <c r="S81" s="122">
        <v>10765</v>
      </c>
      <c r="T81" s="122">
        <v>5334</v>
      </c>
      <c r="U81" s="122">
        <v>1975</v>
      </c>
      <c r="V81" s="122">
        <v>71784</v>
      </c>
      <c r="W81" s="122">
        <f t="shared" si="2"/>
        <v>71784</v>
      </c>
      <c r="X81" s="122">
        <f t="shared" si="3"/>
        <v>91463</v>
      </c>
      <c r="Y81" s="122"/>
      <c r="AA81" t="s">
        <v>48</v>
      </c>
      <c r="AB81" t="s">
        <v>406</v>
      </c>
      <c r="AC81" t="s">
        <v>566</v>
      </c>
      <c r="AD81" t="s">
        <v>137</v>
      </c>
      <c r="AE81" t="s">
        <v>137</v>
      </c>
      <c r="AF81">
        <v>1</v>
      </c>
      <c r="AG81">
        <v>216</v>
      </c>
      <c r="AH81">
        <v>51</v>
      </c>
      <c r="AI81" s="122">
        <v>794</v>
      </c>
      <c r="AJ81" s="122">
        <v>722</v>
      </c>
      <c r="AK81">
        <v>97</v>
      </c>
      <c r="AL81">
        <v>0</v>
      </c>
      <c r="AM81">
        <v>103</v>
      </c>
      <c r="AN81" s="122">
        <v>3474</v>
      </c>
      <c r="AO81" s="122">
        <v>1287</v>
      </c>
      <c r="AP81" s="122">
        <v>2541</v>
      </c>
      <c r="AQ81" s="122">
        <v>941</v>
      </c>
      <c r="AR81" s="122">
        <v>4100</v>
      </c>
      <c r="AS81" s="122">
        <v>1518</v>
      </c>
      <c r="AT81">
        <v>0</v>
      </c>
      <c r="AU81">
        <v>0</v>
      </c>
      <c r="AV81" s="122">
        <v>4571</v>
      </c>
    </row>
    <row r="82" spans="2:48" ht="12.75" hidden="1" customHeight="1">
      <c r="B82" t="s">
        <v>362</v>
      </c>
      <c r="C82" t="s">
        <v>62</v>
      </c>
      <c r="D82" t="s">
        <v>428</v>
      </c>
      <c r="E82" t="s">
        <v>428</v>
      </c>
      <c r="F82">
        <v>1</v>
      </c>
      <c r="G82" s="122">
        <v>94</v>
      </c>
      <c r="H82" s="122">
        <v>430</v>
      </c>
      <c r="I82" s="122">
        <v>24598</v>
      </c>
      <c r="J82" s="122">
        <v>22362</v>
      </c>
      <c r="K82">
        <v>45</v>
      </c>
      <c r="L82" s="122">
        <v>4100</v>
      </c>
      <c r="M82" s="122">
        <v>3727</v>
      </c>
      <c r="N82" s="122">
        <v>1851</v>
      </c>
      <c r="O82" s="122">
        <v>686</v>
      </c>
      <c r="P82" s="122">
        <v>351</v>
      </c>
      <c r="Q82" s="122">
        <v>130</v>
      </c>
      <c r="R82" s="122">
        <v>9424</v>
      </c>
      <c r="S82" s="122">
        <v>8568</v>
      </c>
      <c r="T82" s="122">
        <v>0</v>
      </c>
      <c r="U82" s="122">
        <v>0</v>
      </c>
      <c r="V82" s="122">
        <v>35472</v>
      </c>
      <c r="W82" s="122">
        <f t="shared" si="2"/>
        <v>35473</v>
      </c>
      <c r="X82" s="122">
        <f t="shared" si="3"/>
        <v>40324</v>
      </c>
      <c r="Y82" s="122"/>
      <c r="AA82" t="s">
        <v>48</v>
      </c>
      <c r="AB82" t="s">
        <v>406</v>
      </c>
      <c r="AC82" t="s">
        <v>566</v>
      </c>
      <c r="AD82" t="s">
        <v>137</v>
      </c>
      <c r="AE82" t="s">
        <v>566</v>
      </c>
      <c r="AF82">
        <v>3</v>
      </c>
      <c r="AG82">
        <v>699</v>
      </c>
      <c r="AH82">
        <v>144</v>
      </c>
      <c r="AI82" s="122">
        <v>7511</v>
      </c>
      <c r="AJ82" s="122">
        <v>6828</v>
      </c>
      <c r="AK82">
        <v>95</v>
      </c>
      <c r="AL82">
        <v>0</v>
      </c>
      <c r="AM82">
        <v>0</v>
      </c>
      <c r="AN82" s="122">
        <v>8515</v>
      </c>
      <c r="AO82" s="122">
        <v>3154</v>
      </c>
      <c r="AP82" s="122">
        <v>4048</v>
      </c>
      <c r="AQ82" s="122">
        <v>1499</v>
      </c>
      <c r="AR82" s="122">
        <v>13131</v>
      </c>
      <c r="AS82" s="122">
        <v>4863</v>
      </c>
      <c r="AT82">
        <v>0</v>
      </c>
      <c r="AU82">
        <v>0</v>
      </c>
      <c r="AV82" s="122">
        <v>16344</v>
      </c>
    </row>
    <row r="83" spans="2:48" ht="12.75" hidden="1" customHeight="1">
      <c r="B83" t="s">
        <v>362</v>
      </c>
      <c r="C83" t="s">
        <v>62</v>
      </c>
      <c r="D83" t="s">
        <v>431</v>
      </c>
      <c r="E83" t="s">
        <v>431</v>
      </c>
      <c r="F83">
        <v>1</v>
      </c>
      <c r="G83" s="122">
        <v>170</v>
      </c>
      <c r="H83" s="122">
        <v>439</v>
      </c>
      <c r="I83" s="122">
        <v>51569</v>
      </c>
      <c r="J83" s="122">
        <v>46881</v>
      </c>
      <c r="K83">
        <v>45</v>
      </c>
      <c r="L83" s="122">
        <v>8595</v>
      </c>
      <c r="M83" s="122">
        <v>7813</v>
      </c>
      <c r="N83" s="122">
        <v>3728</v>
      </c>
      <c r="O83" s="122">
        <v>1381</v>
      </c>
      <c r="P83" s="122">
        <v>351</v>
      </c>
      <c r="Q83" s="122">
        <v>130</v>
      </c>
      <c r="R83" s="122">
        <v>6760</v>
      </c>
      <c r="S83" s="122">
        <v>6145</v>
      </c>
      <c r="T83" s="122">
        <v>3677</v>
      </c>
      <c r="U83" s="122">
        <v>1362</v>
      </c>
      <c r="V83" s="122">
        <v>63712</v>
      </c>
      <c r="W83" s="122">
        <f t="shared" si="2"/>
        <v>63712</v>
      </c>
      <c r="X83" s="122">
        <f t="shared" si="3"/>
        <v>74680</v>
      </c>
      <c r="Y83" s="122"/>
      <c r="AA83" t="s">
        <v>48</v>
      </c>
      <c r="AB83" t="s">
        <v>406</v>
      </c>
      <c r="AC83" t="s">
        <v>566</v>
      </c>
      <c r="AD83" t="s">
        <v>430</v>
      </c>
      <c r="AE83" t="s">
        <v>566</v>
      </c>
      <c r="AF83">
        <v>1</v>
      </c>
      <c r="AG83" s="122">
        <v>166</v>
      </c>
      <c r="AH83" s="122">
        <v>61</v>
      </c>
      <c r="AI83" s="122">
        <v>4399</v>
      </c>
      <c r="AJ83" s="122">
        <v>3999</v>
      </c>
      <c r="AK83">
        <v>93</v>
      </c>
      <c r="AL83">
        <v>0</v>
      </c>
      <c r="AM83">
        <v>0</v>
      </c>
      <c r="AN83" s="122">
        <v>2016</v>
      </c>
      <c r="AO83" s="122">
        <v>747</v>
      </c>
      <c r="AP83" s="122">
        <v>621</v>
      </c>
      <c r="AQ83" s="122">
        <v>230</v>
      </c>
      <c r="AR83" s="122">
        <v>3015</v>
      </c>
      <c r="AS83" s="122">
        <v>1117</v>
      </c>
      <c r="AT83">
        <v>0</v>
      </c>
      <c r="AU83">
        <v>0</v>
      </c>
      <c r="AV83" s="122">
        <v>6093</v>
      </c>
    </row>
    <row r="84" spans="2:48" ht="12.75" customHeight="1">
      <c r="B84" t="s">
        <v>362</v>
      </c>
      <c r="C84" t="s">
        <v>62</v>
      </c>
      <c r="D84" t="s">
        <v>426</v>
      </c>
      <c r="E84" t="s">
        <v>137</v>
      </c>
      <c r="F84">
        <v>1</v>
      </c>
      <c r="G84" s="122">
        <v>71</v>
      </c>
      <c r="H84" s="122">
        <v>450</v>
      </c>
      <c r="I84" s="122">
        <v>22759</v>
      </c>
      <c r="J84" s="122">
        <v>20690</v>
      </c>
      <c r="K84">
        <v>60</v>
      </c>
      <c r="L84" s="122">
        <v>3724</v>
      </c>
      <c r="M84" s="122">
        <v>1379</v>
      </c>
      <c r="N84" s="122">
        <v>1505</v>
      </c>
      <c r="O84" s="122">
        <v>558</v>
      </c>
      <c r="P84" s="122">
        <v>0</v>
      </c>
      <c r="Q84" s="122">
        <v>0</v>
      </c>
      <c r="R84" s="122">
        <v>4131</v>
      </c>
      <c r="S84" s="122">
        <v>1530</v>
      </c>
      <c r="T84" s="122">
        <v>0</v>
      </c>
      <c r="U84" s="122">
        <v>0</v>
      </c>
      <c r="V84" s="122">
        <v>24157</v>
      </c>
      <c r="W84" s="122">
        <f t="shared" si="2"/>
        <v>24157</v>
      </c>
      <c r="X84" s="122">
        <f t="shared" si="3"/>
        <v>32119</v>
      </c>
      <c r="Y84" s="122"/>
      <c r="AA84" t="s">
        <v>48</v>
      </c>
      <c r="AB84" t="s">
        <v>406</v>
      </c>
      <c r="AC84" t="s">
        <v>566</v>
      </c>
      <c r="AD84" t="s">
        <v>406</v>
      </c>
      <c r="AE84" t="s">
        <v>137</v>
      </c>
      <c r="AF84">
        <v>30</v>
      </c>
      <c r="AG84" s="122">
        <v>3457</v>
      </c>
      <c r="AH84" s="122">
        <v>1641</v>
      </c>
      <c r="AI84" s="122">
        <v>15899</v>
      </c>
      <c r="AJ84" s="122">
        <v>14454</v>
      </c>
      <c r="AK84">
        <v>95</v>
      </c>
      <c r="AL84">
        <v>0</v>
      </c>
      <c r="AM84" s="122">
        <v>0</v>
      </c>
      <c r="AN84" s="122">
        <v>42867</v>
      </c>
      <c r="AO84" s="122">
        <v>15877</v>
      </c>
      <c r="AP84" s="122">
        <v>19761</v>
      </c>
      <c r="AQ84" s="122">
        <v>7319</v>
      </c>
      <c r="AR84" s="122">
        <v>112131</v>
      </c>
      <c r="AS84" s="122">
        <v>101937</v>
      </c>
      <c r="AT84">
        <v>0</v>
      </c>
      <c r="AU84">
        <v>0</v>
      </c>
      <c r="AV84" s="122">
        <v>139586</v>
      </c>
    </row>
    <row r="85" spans="2:48" ht="12.75" hidden="1" customHeight="1">
      <c r="B85" t="s">
        <v>362</v>
      </c>
      <c r="C85" t="s">
        <v>62</v>
      </c>
      <c r="D85" t="s">
        <v>426</v>
      </c>
      <c r="E85" t="s">
        <v>426</v>
      </c>
      <c r="F85">
        <v>26</v>
      </c>
      <c r="G85" s="122">
        <v>2343</v>
      </c>
      <c r="H85" s="122">
        <v>10852</v>
      </c>
      <c r="I85" s="122">
        <v>626088</v>
      </c>
      <c r="J85" s="122">
        <v>569171</v>
      </c>
      <c r="K85">
        <v>52</v>
      </c>
      <c r="L85" s="122">
        <v>87078</v>
      </c>
      <c r="M85" s="122">
        <v>71754</v>
      </c>
      <c r="N85" s="122">
        <v>44750</v>
      </c>
      <c r="O85" s="122">
        <v>16574</v>
      </c>
      <c r="P85" s="122">
        <v>9666</v>
      </c>
      <c r="Q85" s="122">
        <v>3580</v>
      </c>
      <c r="R85" s="122">
        <v>153296</v>
      </c>
      <c r="S85" s="122">
        <v>139360</v>
      </c>
      <c r="T85" s="122">
        <v>55410</v>
      </c>
      <c r="U85" s="122">
        <v>20522</v>
      </c>
      <c r="V85" s="122">
        <v>820962</v>
      </c>
      <c r="W85" s="122">
        <f t="shared" si="2"/>
        <v>820961</v>
      </c>
      <c r="X85" s="122">
        <f t="shared" si="3"/>
        <v>976288</v>
      </c>
      <c r="Y85" s="122"/>
      <c r="AA85" t="s">
        <v>48</v>
      </c>
      <c r="AB85" t="s">
        <v>406</v>
      </c>
      <c r="AC85" t="s">
        <v>566</v>
      </c>
      <c r="AD85" t="s">
        <v>406</v>
      </c>
      <c r="AE85" t="s">
        <v>566</v>
      </c>
      <c r="AF85">
        <v>136</v>
      </c>
      <c r="AG85" s="122">
        <v>24265</v>
      </c>
      <c r="AH85" s="122">
        <v>7894</v>
      </c>
      <c r="AI85" s="122">
        <v>398483</v>
      </c>
      <c r="AJ85" s="122">
        <v>362257</v>
      </c>
      <c r="AK85">
        <v>95</v>
      </c>
      <c r="AL85">
        <v>0</v>
      </c>
      <c r="AM85" s="122">
        <v>4627</v>
      </c>
      <c r="AN85" s="122">
        <v>310426</v>
      </c>
      <c r="AO85" s="122">
        <v>114973</v>
      </c>
      <c r="AP85" s="122">
        <v>134899</v>
      </c>
      <c r="AQ85" s="122">
        <v>49963</v>
      </c>
      <c r="AR85" s="122">
        <v>566198</v>
      </c>
      <c r="AS85" s="122">
        <v>514726</v>
      </c>
      <c r="AT85">
        <v>0</v>
      </c>
      <c r="AU85">
        <v>0</v>
      </c>
      <c r="AV85" s="122">
        <v>1046545</v>
      </c>
    </row>
    <row r="86" spans="2:48" ht="12.75" customHeight="1">
      <c r="B86" t="s">
        <v>362</v>
      </c>
      <c r="C86" t="s">
        <v>62</v>
      </c>
      <c r="D86" t="s">
        <v>433</v>
      </c>
      <c r="E86" t="s">
        <v>433</v>
      </c>
      <c r="F86">
        <v>1</v>
      </c>
      <c r="G86">
        <v>110</v>
      </c>
      <c r="H86" s="122">
        <v>429</v>
      </c>
      <c r="I86" s="122">
        <v>32485</v>
      </c>
      <c r="J86" s="122">
        <v>29532</v>
      </c>
      <c r="K86">
        <v>55</v>
      </c>
      <c r="L86" s="122">
        <v>3309</v>
      </c>
      <c r="M86" s="122">
        <v>3008</v>
      </c>
      <c r="N86" s="122">
        <v>2680</v>
      </c>
      <c r="O86" s="122">
        <v>993</v>
      </c>
      <c r="P86" s="122">
        <v>351</v>
      </c>
      <c r="Q86" s="122">
        <v>130</v>
      </c>
      <c r="R86" s="122">
        <v>5675</v>
      </c>
      <c r="S86" s="122">
        <v>5159</v>
      </c>
      <c r="T86" s="122">
        <v>2687</v>
      </c>
      <c r="U86">
        <v>995</v>
      </c>
      <c r="V86" s="122">
        <v>39817</v>
      </c>
      <c r="W86" s="122">
        <f t="shared" si="2"/>
        <v>39817</v>
      </c>
      <c r="X86" s="122">
        <f t="shared" si="3"/>
        <v>47187</v>
      </c>
      <c r="Y86" s="122"/>
      <c r="AA86" t="s">
        <v>48</v>
      </c>
      <c r="AB86" t="s">
        <v>406</v>
      </c>
      <c r="AC86" t="s">
        <v>566</v>
      </c>
      <c r="AD86" t="s">
        <v>433</v>
      </c>
      <c r="AE86" t="s">
        <v>137</v>
      </c>
      <c r="AF86">
        <v>1</v>
      </c>
      <c r="AG86">
        <v>240</v>
      </c>
      <c r="AH86">
        <v>55</v>
      </c>
      <c r="AI86" s="122">
        <v>3279</v>
      </c>
      <c r="AJ86" s="122">
        <v>2981</v>
      </c>
      <c r="AK86">
        <v>97</v>
      </c>
      <c r="AL86" s="122">
        <v>0</v>
      </c>
      <c r="AM86" s="122">
        <v>508</v>
      </c>
      <c r="AN86" s="122">
        <v>2918</v>
      </c>
      <c r="AO86" s="122">
        <v>1081</v>
      </c>
      <c r="AP86" s="122">
        <v>621</v>
      </c>
      <c r="AQ86" s="122">
        <v>230</v>
      </c>
      <c r="AR86" s="122">
        <v>6255</v>
      </c>
      <c r="AS86" s="122">
        <v>5686</v>
      </c>
      <c r="AT86">
        <v>0</v>
      </c>
      <c r="AU86">
        <v>0</v>
      </c>
      <c r="AV86" s="122">
        <v>10487</v>
      </c>
    </row>
    <row r="87" spans="2:48" ht="12.75" hidden="1" customHeight="1">
      <c r="B87" t="s">
        <v>362</v>
      </c>
      <c r="C87" t="s">
        <v>62</v>
      </c>
      <c r="D87" t="s">
        <v>408</v>
      </c>
      <c r="E87" t="s">
        <v>408</v>
      </c>
      <c r="F87" s="122">
        <v>1</v>
      </c>
      <c r="G87" s="122">
        <v>104</v>
      </c>
      <c r="H87" s="122">
        <v>438</v>
      </c>
      <c r="I87" s="122">
        <v>31750</v>
      </c>
      <c r="J87" s="122">
        <v>28864</v>
      </c>
      <c r="K87">
        <v>65</v>
      </c>
      <c r="L87" s="122">
        <v>3276</v>
      </c>
      <c r="M87" s="122">
        <v>2978</v>
      </c>
      <c r="N87" s="122">
        <v>1892</v>
      </c>
      <c r="O87" s="122">
        <v>701</v>
      </c>
      <c r="P87" s="122">
        <v>351</v>
      </c>
      <c r="Q87" s="122">
        <v>130</v>
      </c>
      <c r="R87" s="122">
        <v>8114</v>
      </c>
      <c r="S87" s="122">
        <v>7376</v>
      </c>
      <c r="T87" s="122">
        <v>0</v>
      </c>
      <c r="U87" s="122">
        <v>0</v>
      </c>
      <c r="V87" s="122">
        <v>40048</v>
      </c>
      <c r="W87" s="122">
        <f t="shared" si="2"/>
        <v>40049</v>
      </c>
      <c r="X87" s="122">
        <f t="shared" si="3"/>
        <v>45383</v>
      </c>
      <c r="Y87" s="122"/>
      <c r="AA87" t="s">
        <v>48</v>
      </c>
      <c r="AB87" t="s">
        <v>406</v>
      </c>
      <c r="AC87" t="s">
        <v>481</v>
      </c>
      <c r="AD87" t="s">
        <v>406</v>
      </c>
      <c r="AE87" t="s">
        <v>566</v>
      </c>
      <c r="AF87">
        <v>3</v>
      </c>
      <c r="AG87">
        <v>659</v>
      </c>
      <c r="AH87">
        <v>201</v>
      </c>
      <c r="AI87" s="122">
        <v>25323</v>
      </c>
      <c r="AJ87" s="122">
        <v>23021</v>
      </c>
      <c r="AK87">
        <v>95</v>
      </c>
      <c r="AL87" s="122">
        <v>3830</v>
      </c>
      <c r="AM87" s="122">
        <v>3482</v>
      </c>
      <c r="AN87" s="122">
        <v>9927</v>
      </c>
      <c r="AO87" s="122">
        <v>3677</v>
      </c>
      <c r="AP87" s="122">
        <v>4000</v>
      </c>
      <c r="AQ87" s="122">
        <v>1482</v>
      </c>
      <c r="AR87" s="122">
        <v>11680</v>
      </c>
      <c r="AS87" s="122">
        <v>10618</v>
      </c>
      <c r="AT87">
        <v>0</v>
      </c>
      <c r="AU87">
        <v>0</v>
      </c>
      <c r="AV87" s="122">
        <v>42279</v>
      </c>
    </row>
    <row r="88" spans="2:48" ht="12.75" customHeight="1">
      <c r="B88" t="s">
        <v>362</v>
      </c>
      <c r="C88" t="s">
        <v>64</v>
      </c>
      <c r="D88" t="s">
        <v>555</v>
      </c>
      <c r="E88" t="s">
        <v>555</v>
      </c>
      <c r="F88">
        <v>1</v>
      </c>
      <c r="G88" s="122">
        <v>69</v>
      </c>
      <c r="H88" s="122">
        <v>519</v>
      </c>
      <c r="I88" s="122">
        <v>23356</v>
      </c>
      <c r="J88" s="122">
        <v>21232</v>
      </c>
      <c r="K88">
        <v>45</v>
      </c>
      <c r="L88" s="122">
        <v>3893</v>
      </c>
      <c r="M88" s="122">
        <v>3539</v>
      </c>
      <c r="N88" s="122">
        <v>1030</v>
      </c>
      <c r="O88" s="122">
        <v>381</v>
      </c>
      <c r="P88" s="122">
        <v>351</v>
      </c>
      <c r="Q88" s="122">
        <v>130</v>
      </c>
      <c r="R88" s="122">
        <v>7010</v>
      </c>
      <c r="S88" s="122">
        <v>6373</v>
      </c>
      <c r="T88" s="122">
        <v>0</v>
      </c>
      <c r="U88" s="122">
        <v>0</v>
      </c>
      <c r="V88" s="122">
        <v>31655</v>
      </c>
      <c r="W88" s="122">
        <f t="shared" si="2"/>
        <v>31655</v>
      </c>
      <c r="X88" s="122">
        <f t="shared" si="3"/>
        <v>35640</v>
      </c>
      <c r="Y88" s="122"/>
      <c r="AA88" t="s">
        <v>48</v>
      </c>
      <c r="AB88" t="s">
        <v>406</v>
      </c>
      <c r="AC88" t="s">
        <v>433</v>
      </c>
      <c r="AD88" t="s">
        <v>137</v>
      </c>
      <c r="AE88" t="s">
        <v>137</v>
      </c>
      <c r="AF88">
        <v>1</v>
      </c>
      <c r="AG88" s="122">
        <v>278</v>
      </c>
      <c r="AH88" s="122">
        <v>75</v>
      </c>
      <c r="AI88" s="122">
        <v>6366</v>
      </c>
      <c r="AJ88" s="122">
        <v>5787</v>
      </c>
      <c r="AK88">
        <v>93</v>
      </c>
      <c r="AL88" s="122">
        <v>873</v>
      </c>
      <c r="AM88" s="122">
        <v>794</v>
      </c>
      <c r="AN88" s="122">
        <v>3858</v>
      </c>
      <c r="AO88" s="122">
        <v>1429</v>
      </c>
      <c r="AP88" s="122">
        <v>3396</v>
      </c>
      <c r="AQ88" s="122">
        <v>1258</v>
      </c>
      <c r="AR88" s="122">
        <v>6209</v>
      </c>
      <c r="AS88" s="122">
        <v>2300</v>
      </c>
      <c r="AT88">
        <v>0</v>
      </c>
      <c r="AU88">
        <v>0</v>
      </c>
      <c r="AV88" s="122">
        <v>11568</v>
      </c>
    </row>
    <row r="89" spans="2:48" ht="12.75" hidden="1" customHeight="1">
      <c r="B89" t="s">
        <v>362</v>
      </c>
      <c r="C89" t="s">
        <v>64</v>
      </c>
      <c r="D89" t="s">
        <v>137</v>
      </c>
      <c r="E89" t="s">
        <v>137</v>
      </c>
      <c r="F89">
        <v>49</v>
      </c>
      <c r="G89" s="122">
        <v>5035</v>
      </c>
      <c r="H89" s="122">
        <v>34146</v>
      </c>
      <c r="I89" s="122">
        <v>2505609</v>
      </c>
      <c r="J89" s="122">
        <v>928003</v>
      </c>
      <c r="K89">
        <v>100</v>
      </c>
      <c r="L89" s="122">
        <v>460882</v>
      </c>
      <c r="M89" s="122">
        <v>375253</v>
      </c>
      <c r="N89" s="122">
        <v>111304</v>
      </c>
      <c r="O89" s="122">
        <v>41224</v>
      </c>
      <c r="P89" s="122">
        <v>702</v>
      </c>
      <c r="Q89" s="122">
        <v>260</v>
      </c>
      <c r="R89" s="122">
        <v>344280</v>
      </c>
      <c r="S89" s="122">
        <v>127511</v>
      </c>
      <c r="T89" s="122">
        <v>0</v>
      </c>
      <c r="U89" s="122">
        <v>0</v>
      </c>
      <c r="V89" s="122">
        <v>1472251</v>
      </c>
      <c r="W89" s="122">
        <f t="shared" si="2"/>
        <v>1472251</v>
      </c>
      <c r="X89" s="122">
        <f t="shared" si="3"/>
        <v>3422777</v>
      </c>
      <c r="Y89" s="122"/>
      <c r="AA89" t="s">
        <v>48</v>
      </c>
      <c r="AB89" t="s">
        <v>406</v>
      </c>
      <c r="AC89" t="s">
        <v>433</v>
      </c>
      <c r="AD89" t="s">
        <v>137</v>
      </c>
      <c r="AE89" t="s">
        <v>566</v>
      </c>
      <c r="AF89">
        <v>19</v>
      </c>
      <c r="AG89" s="122">
        <v>4468</v>
      </c>
      <c r="AH89" s="122">
        <v>1118</v>
      </c>
      <c r="AI89" s="122">
        <v>85973</v>
      </c>
      <c r="AJ89" s="122">
        <v>78157</v>
      </c>
      <c r="AK89">
        <v>94</v>
      </c>
      <c r="AL89" s="122">
        <v>13097</v>
      </c>
      <c r="AM89" s="122">
        <v>11906</v>
      </c>
      <c r="AN89" s="122">
        <v>55400</v>
      </c>
      <c r="AO89" s="122">
        <v>20519</v>
      </c>
      <c r="AP89" s="122">
        <v>33636</v>
      </c>
      <c r="AQ89" s="122">
        <v>12458</v>
      </c>
      <c r="AR89" s="122">
        <v>74881</v>
      </c>
      <c r="AS89" s="122">
        <v>27734</v>
      </c>
      <c r="AT89" s="122">
        <v>0</v>
      </c>
      <c r="AU89" s="122">
        <v>0</v>
      </c>
      <c r="AV89" s="122">
        <v>150773</v>
      </c>
    </row>
    <row r="90" spans="2:48" ht="12.75" customHeight="1">
      <c r="B90" t="s">
        <v>362</v>
      </c>
      <c r="C90" t="s">
        <v>64</v>
      </c>
      <c r="D90" t="s">
        <v>137</v>
      </c>
      <c r="E90" t="s">
        <v>426</v>
      </c>
      <c r="F90">
        <v>4</v>
      </c>
      <c r="G90" s="122">
        <v>369</v>
      </c>
      <c r="H90" s="122">
        <v>2978</v>
      </c>
      <c r="I90" s="122">
        <v>211605</v>
      </c>
      <c r="J90" s="122">
        <v>78372</v>
      </c>
      <c r="K90">
        <v>100</v>
      </c>
      <c r="L90" s="122">
        <v>27562</v>
      </c>
      <c r="M90" s="122">
        <v>25056</v>
      </c>
      <c r="N90" s="122">
        <v>7180</v>
      </c>
      <c r="O90" s="122">
        <v>2659</v>
      </c>
      <c r="P90" s="122">
        <v>0</v>
      </c>
      <c r="Q90" s="122">
        <v>0</v>
      </c>
      <c r="R90" s="122">
        <v>24520</v>
      </c>
      <c r="S90" s="122">
        <v>22290</v>
      </c>
      <c r="T90" s="122">
        <v>10241</v>
      </c>
      <c r="U90" s="122">
        <v>3793</v>
      </c>
      <c r="V90" s="122">
        <v>132171</v>
      </c>
      <c r="W90" s="122">
        <f t="shared" si="2"/>
        <v>132170</v>
      </c>
      <c r="X90" s="122">
        <f t="shared" si="3"/>
        <v>281108</v>
      </c>
      <c r="Y90" s="122"/>
      <c r="AA90" t="s">
        <v>48</v>
      </c>
      <c r="AB90" t="s">
        <v>406</v>
      </c>
      <c r="AC90" t="s">
        <v>433</v>
      </c>
      <c r="AD90" t="s">
        <v>406</v>
      </c>
      <c r="AE90" t="s">
        <v>137</v>
      </c>
      <c r="AF90">
        <v>56</v>
      </c>
      <c r="AG90" s="122">
        <v>11984</v>
      </c>
      <c r="AH90" s="122">
        <v>3351</v>
      </c>
      <c r="AI90" s="122">
        <v>245815</v>
      </c>
      <c r="AJ90" s="122">
        <v>223468</v>
      </c>
      <c r="AK90">
        <v>96</v>
      </c>
      <c r="AL90" s="122">
        <v>35645</v>
      </c>
      <c r="AM90" s="122">
        <v>32405</v>
      </c>
      <c r="AN90" s="122">
        <v>154977</v>
      </c>
      <c r="AO90" s="122">
        <v>57399</v>
      </c>
      <c r="AP90" s="122">
        <v>79218</v>
      </c>
      <c r="AQ90" s="122">
        <v>29340</v>
      </c>
      <c r="AR90" s="122">
        <v>181853</v>
      </c>
      <c r="AS90" s="122">
        <v>165320</v>
      </c>
      <c r="AT90" s="122">
        <v>15544</v>
      </c>
      <c r="AU90" s="122">
        <v>5757</v>
      </c>
      <c r="AV90" s="122">
        <v>513689</v>
      </c>
    </row>
    <row r="91" spans="2:48" ht="12.75" hidden="1" customHeight="1">
      <c r="B91" t="s">
        <v>362</v>
      </c>
      <c r="C91" t="s">
        <v>64</v>
      </c>
      <c r="D91" t="s">
        <v>406</v>
      </c>
      <c r="E91" t="s">
        <v>137</v>
      </c>
      <c r="F91">
        <v>4</v>
      </c>
      <c r="G91" s="122">
        <v>533</v>
      </c>
      <c r="H91" s="122">
        <v>2357</v>
      </c>
      <c r="I91" s="122">
        <v>190860</v>
      </c>
      <c r="J91" s="122">
        <v>173509</v>
      </c>
      <c r="K91">
        <v>74</v>
      </c>
      <c r="L91" s="122">
        <v>51539</v>
      </c>
      <c r="M91" s="122">
        <v>41129</v>
      </c>
      <c r="N91" s="122">
        <v>12243</v>
      </c>
      <c r="O91" s="122">
        <v>4535</v>
      </c>
      <c r="P91" s="122">
        <v>2484</v>
      </c>
      <c r="Q91" s="122">
        <v>920</v>
      </c>
      <c r="R91" s="122">
        <v>55750</v>
      </c>
      <c r="S91" s="122">
        <v>20648</v>
      </c>
      <c r="T91" s="122">
        <v>0</v>
      </c>
      <c r="U91" s="122">
        <v>0</v>
      </c>
      <c r="V91" s="122">
        <v>240741</v>
      </c>
      <c r="W91" s="122">
        <f t="shared" si="2"/>
        <v>240741</v>
      </c>
      <c r="X91" s="122">
        <f t="shared" si="3"/>
        <v>312876</v>
      </c>
      <c r="Y91" s="122"/>
      <c r="AA91" t="s">
        <v>48</v>
      </c>
      <c r="AB91" t="s">
        <v>406</v>
      </c>
      <c r="AC91" t="s">
        <v>433</v>
      </c>
      <c r="AD91" t="s">
        <v>406</v>
      </c>
      <c r="AE91" t="s">
        <v>566</v>
      </c>
      <c r="AF91">
        <v>543</v>
      </c>
      <c r="AG91" s="122">
        <v>114392</v>
      </c>
      <c r="AH91" s="122">
        <v>33012</v>
      </c>
      <c r="AI91" s="122">
        <v>2452209</v>
      </c>
      <c r="AJ91" s="122">
        <v>2229281</v>
      </c>
      <c r="AK91">
        <v>95</v>
      </c>
      <c r="AL91" s="122">
        <v>368391</v>
      </c>
      <c r="AM91" s="122">
        <v>334901</v>
      </c>
      <c r="AN91" s="122">
        <v>1454423</v>
      </c>
      <c r="AO91" s="122">
        <v>538675</v>
      </c>
      <c r="AP91" s="122">
        <v>688396</v>
      </c>
      <c r="AQ91" s="122">
        <v>254961</v>
      </c>
      <c r="AR91" s="122">
        <v>1952744</v>
      </c>
      <c r="AS91" s="122">
        <v>1775222</v>
      </c>
      <c r="AT91" s="122">
        <v>0</v>
      </c>
      <c r="AU91">
        <v>0</v>
      </c>
      <c r="AV91" s="122">
        <v>5133040</v>
      </c>
    </row>
    <row r="92" spans="2:48" ht="12.75" customHeight="1">
      <c r="B92" t="s">
        <v>362</v>
      </c>
      <c r="C92" t="s">
        <v>64</v>
      </c>
      <c r="D92" t="s">
        <v>406</v>
      </c>
      <c r="E92" t="s">
        <v>406</v>
      </c>
      <c r="F92">
        <v>240</v>
      </c>
      <c r="G92" s="122">
        <v>24856</v>
      </c>
      <c r="H92" s="122">
        <v>133490</v>
      </c>
      <c r="I92" s="122">
        <v>9544723</v>
      </c>
      <c r="J92" s="122">
        <v>8677021</v>
      </c>
      <c r="K92">
        <v>71</v>
      </c>
      <c r="L92" s="122">
        <v>1860899</v>
      </c>
      <c r="M92" s="122">
        <v>1675191</v>
      </c>
      <c r="N92" s="122">
        <v>521543</v>
      </c>
      <c r="O92" s="122">
        <v>193164</v>
      </c>
      <c r="P92" s="122">
        <v>148905</v>
      </c>
      <c r="Q92" s="122">
        <v>55150</v>
      </c>
      <c r="R92" s="122">
        <v>1302113</v>
      </c>
      <c r="S92" s="122">
        <v>1183739</v>
      </c>
      <c r="T92" s="122">
        <v>385864</v>
      </c>
      <c r="U92" s="122">
        <v>142913</v>
      </c>
      <c r="V92" s="122">
        <v>11927178</v>
      </c>
      <c r="W92" s="122">
        <f t="shared" si="2"/>
        <v>11927178</v>
      </c>
      <c r="X92" s="122">
        <f t="shared" si="3"/>
        <v>13764047</v>
      </c>
      <c r="Y92" s="122"/>
      <c r="AA92" t="s">
        <v>48</v>
      </c>
      <c r="AB92" t="s">
        <v>406</v>
      </c>
      <c r="AC92" t="s">
        <v>408</v>
      </c>
      <c r="AD92" t="s">
        <v>406</v>
      </c>
      <c r="AE92" t="s">
        <v>137</v>
      </c>
      <c r="AF92">
        <v>1</v>
      </c>
      <c r="AG92">
        <v>265</v>
      </c>
      <c r="AH92">
        <v>62</v>
      </c>
      <c r="AI92" s="122">
        <v>6655</v>
      </c>
      <c r="AJ92" s="122">
        <v>6050</v>
      </c>
      <c r="AK92">
        <v>93</v>
      </c>
      <c r="AL92">
        <v>940</v>
      </c>
      <c r="AM92">
        <v>855</v>
      </c>
      <c r="AN92" s="122">
        <v>3228</v>
      </c>
      <c r="AO92" s="122">
        <v>1195</v>
      </c>
      <c r="AP92" s="122">
        <v>621</v>
      </c>
      <c r="AQ92">
        <v>230</v>
      </c>
      <c r="AR92" s="122">
        <v>3060</v>
      </c>
      <c r="AS92" s="122">
        <v>2781</v>
      </c>
      <c r="AT92" s="122">
        <v>1813</v>
      </c>
      <c r="AU92">
        <v>671</v>
      </c>
      <c r="AV92" s="122">
        <v>11783</v>
      </c>
    </row>
    <row r="93" spans="2:48" ht="12.75" hidden="1" customHeight="1">
      <c r="B93" t="s">
        <v>362</v>
      </c>
      <c r="C93" t="s">
        <v>64</v>
      </c>
      <c r="D93" t="s">
        <v>406</v>
      </c>
      <c r="E93" t="s">
        <v>426</v>
      </c>
      <c r="F93">
        <v>1</v>
      </c>
      <c r="G93" s="122">
        <v>203</v>
      </c>
      <c r="H93" s="122">
        <v>491</v>
      </c>
      <c r="I93" s="122">
        <v>68102</v>
      </c>
      <c r="J93" s="122">
        <v>61910</v>
      </c>
      <c r="K93">
        <v>65</v>
      </c>
      <c r="L93" s="122">
        <v>15588</v>
      </c>
      <c r="M93" s="122">
        <v>14171</v>
      </c>
      <c r="N93" s="122">
        <v>3972</v>
      </c>
      <c r="O93" s="122">
        <v>1471</v>
      </c>
      <c r="P93" s="122">
        <v>621</v>
      </c>
      <c r="Q93" s="122">
        <v>230</v>
      </c>
      <c r="R93" s="122">
        <v>8102</v>
      </c>
      <c r="S93" s="122">
        <v>7365</v>
      </c>
      <c r="T93" s="122">
        <v>3100</v>
      </c>
      <c r="U93" s="122">
        <v>1148</v>
      </c>
      <c r="V93" s="122">
        <v>86296</v>
      </c>
      <c r="W93" s="122">
        <f t="shared" si="2"/>
        <v>86295</v>
      </c>
      <c r="X93" s="122">
        <f t="shared" si="3"/>
        <v>99485</v>
      </c>
      <c r="Y93" s="122"/>
      <c r="AA93" t="s">
        <v>48</v>
      </c>
      <c r="AB93" t="s">
        <v>406</v>
      </c>
      <c r="AC93" t="s">
        <v>429</v>
      </c>
      <c r="AD93" t="s">
        <v>137</v>
      </c>
      <c r="AE93" t="s">
        <v>566</v>
      </c>
      <c r="AF93">
        <v>1</v>
      </c>
      <c r="AG93">
        <v>166</v>
      </c>
      <c r="AH93">
        <v>73</v>
      </c>
      <c r="AI93" s="122">
        <v>-3371</v>
      </c>
      <c r="AJ93" s="122">
        <v>-3065</v>
      </c>
      <c r="AK93">
        <v>94</v>
      </c>
      <c r="AL93">
        <v>-411</v>
      </c>
      <c r="AM93">
        <v>-374</v>
      </c>
      <c r="AN93" s="122">
        <v>2026</v>
      </c>
      <c r="AO93" s="122">
        <v>750</v>
      </c>
      <c r="AP93" s="122">
        <v>2018</v>
      </c>
      <c r="AQ93">
        <v>747</v>
      </c>
      <c r="AR93" s="122">
        <v>11824</v>
      </c>
      <c r="AS93" s="122">
        <v>4379</v>
      </c>
      <c r="AT93">
        <v>0</v>
      </c>
      <c r="AU93">
        <v>0</v>
      </c>
      <c r="AV93" s="122">
        <v>2439</v>
      </c>
    </row>
    <row r="94" spans="2:48" ht="12.75" customHeight="1">
      <c r="B94" t="s">
        <v>362</v>
      </c>
      <c r="C94" t="s">
        <v>64</v>
      </c>
      <c r="D94" t="s">
        <v>427</v>
      </c>
      <c r="E94" t="s">
        <v>137</v>
      </c>
      <c r="F94">
        <v>1</v>
      </c>
      <c r="G94" s="122">
        <v>45</v>
      </c>
      <c r="H94" s="122">
        <v>695</v>
      </c>
      <c r="I94" s="122">
        <v>23486</v>
      </c>
      <c r="J94" s="122">
        <v>21351</v>
      </c>
      <c r="K94">
        <v>30</v>
      </c>
      <c r="L94" s="122">
        <v>1922</v>
      </c>
      <c r="M94" s="122">
        <v>712</v>
      </c>
      <c r="N94" s="122">
        <v>1108</v>
      </c>
      <c r="O94" s="122">
        <v>410</v>
      </c>
      <c r="P94" s="122">
        <v>0</v>
      </c>
      <c r="Q94" s="122">
        <v>0</v>
      </c>
      <c r="R94" s="122">
        <v>5093</v>
      </c>
      <c r="S94" s="122">
        <v>1886</v>
      </c>
      <c r="T94" s="122">
        <v>0</v>
      </c>
      <c r="U94" s="122">
        <v>0</v>
      </c>
      <c r="V94" s="122">
        <v>24359</v>
      </c>
      <c r="W94" s="122">
        <f t="shared" si="2"/>
        <v>24359</v>
      </c>
      <c r="X94" s="122">
        <f t="shared" si="3"/>
        <v>31609</v>
      </c>
      <c r="Y94" s="122"/>
      <c r="AA94" t="s">
        <v>48</v>
      </c>
      <c r="AB94" t="s">
        <v>406</v>
      </c>
      <c r="AC94" t="s">
        <v>429</v>
      </c>
      <c r="AD94" t="s">
        <v>406</v>
      </c>
      <c r="AE94" t="s">
        <v>137</v>
      </c>
      <c r="AF94">
        <v>1</v>
      </c>
      <c r="AG94" s="122">
        <v>233</v>
      </c>
      <c r="AH94" s="122">
        <v>62</v>
      </c>
      <c r="AI94" s="122">
        <v>5629</v>
      </c>
      <c r="AJ94" s="122">
        <v>5117</v>
      </c>
      <c r="AK94">
        <v>94</v>
      </c>
      <c r="AL94" s="122">
        <v>672</v>
      </c>
      <c r="AM94" s="122">
        <v>611</v>
      </c>
      <c r="AN94" s="122">
        <v>2845</v>
      </c>
      <c r="AO94" s="122">
        <v>1054</v>
      </c>
      <c r="AP94" s="122">
        <v>621</v>
      </c>
      <c r="AQ94" s="122">
        <v>230</v>
      </c>
      <c r="AR94" s="122">
        <v>4647</v>
      </c>
      <c r="AS94" s="122">
        <v>4224</v>
      </c>
      <c r="AT94">
        <v>0</v>
      </c>
      <c r="AU94">
        <v>0</v>
      </c>
      <c r="AV94" s="122">
        <v>11236</v>
      </c>
    </row>
    <row r="95" spans="2:48" ht="12.75" hidden="1" customHeight="1">
      <c r="B95" t="s">
        <v>362</v>
      </c>
      <c r="C95" t="s">
        <v>64</v>
      </c>
      <c r="D95" t="s">
        <v>427</v>
      </c>
      <c r="E95" t="s">
        <v>427</v>
      </c>
      <c r="F95">
        <v>6</v>
      </c>
      <c r="G95">
        <v>464</v>
      </c>
      <c r="H95" s="122">
        <v>4209</v>
      </c>
      <c r="I95" s="122">
        <v>215437</v>
      </c>
      <c r="J95" s="122">
        <v>195852</v>
      </c>
      <c r="K95">
        <v>47</v>
      </c>
      <c r="L95" s="122">
        <v>27468</v>
      </c>
      <c r="M95" s="122">
        <v>24971</v>
      </c>
      <c r="N95" s="122">
        <v>8510</v>
      </c>
      <c r="O95" s="122">
        <v>3152</v>
      </c>
      <c r="P95" s="122">
        <v>1755</v>
      </c>
      <c r="Q95">
        <v>650</v>
      </c>
      <c r="R95" s="122">
        <v>49699</v>
      </c>
      <c r="S95" s="122">
        <v>45181</v>
      </c>
      <c r="T95" s="122">
        <v>13668</v>
      </c>
      <c r="U95" s="122">
        <v>5062</v>
      </c>
      <c r="V95" s="122">
        <v>274868</v>
      </c>
      <c r="W95" s="122">
        <f t="shared" si="2"/>
        <v>274868</v>
      </c>
      <c r="X95" s="122">
        <f t="shared" si="3"/>
        <v>316537</v>
      </c>
      <c r="Y95" s="122"/>
      <c r="AA95" t="s">
        <v>48</v>
      </c>
      <c r="AB95" t="s">
        <v>406</v>
      </c>
      <c r="AC95" t="s">
        <v>429</v>
      </c>
      <c r="AD95" t="s">
        <v>406</v>
      </c>
      <c r="AE95" t="s">
        <v>566</v>
      </c>
      <c r="AF95">
        <v>17</v>
      </c>
      <c r="AG95" s="122">
        <v>3999</v>
      </c>
      <c r="AH95" s="122">
        <v>1103</v>
      </c>
      <c r="AI95" s="122">
        <v>108730</v>
      </c>
      <c r="AJ95" s="122">
        <v>98845</v>
      </c>
      <c r="AK95">
        <v>95</v>
      </c>
      <c r="AL95" s="122">
        <v>16588</v>
      </c>
      <c r="AM95" s="122">
        <v>15080</v>
      </c>
      <c r="AN95" s="122">
        <v>51376</v>
      </c>
      <c r="AO95" s="122">
        <v>19028</v>
      </c>
      <c r="AP95" s="122">
        <v>30382</v>
      </c>
      <c r="AQ95" s="122">
        <v>11253</v>
      </c>
      <c r="AR95" s="122">
        <v>51000</v>
      </c>
      <c r="AS95" s="122">
        <v>46363</v>
      </c>
      <c r="AT95">
        <v>0</v>
      </c>
      <c r="AU95">
        <v>0</v>
      </c>
      <c r="AV95" s="122">
        <v>190570</v>
      </c>
    </row>
    <row r="96" spans="2:48" ht="12.75" hidden="1" customHeight="1">
      <c r="B96" t="s">
        <v>362</v>
      </c>
      <c r="C96" t="s">
        <v>64</v>
      </c>
      <c r="D96" t="s">
        <v>407</v>
      </c>
      <c r="E96" t="s">
        <v>407</v>
      </c>
      <c r="F96">
        <v>8</v>
      </c>
      <c r="G96" s="122">
        <v>836</v>
      </c>
      <c r="H96" s="122">
        <v>4006</v>
      </c>
      <c r="I96" s="122">
        <v>286175</v>
      </c>
      <c r="J96" s="122">
        <v>260159</v>
      </c>
      <c r="K96">
        <v>71</v>
      </c>
      <c r="L96" s="122">
        <v>70155</v>
      </c>
      <c r="M96" s="122">
        <v>61127</v>
      </c>
      <c r="N96" s="122">
        <v>18631</v>
      </c>
      <c r="O96" s="122">
        <v>6900</v>
      </c>
      <c r="P96" s="122">
        <v>3659</v>
      </c>
      <c r="Q96" s="122">
        <v>1355</v>
      </c>
      <c r="R96" s="122">
        <v>38245</v>
      </c>
      <c r="S96" s="122">
        <v>34768</v>
      </c>
      <c r="T96" s="122">
        <v>17839</v>
      </c>
      <c r="U96" s="122">
        <v>6607</v>
      </c>
      <c r="V96" s="122">
        <v>370916</v>
      </c>
      <c r="W96" s="122">
        <f t="shared" si="2"/>
        <v>370916</v>
      </c>
      <c r="X96" s="122">
        <f t="shared" si="3"/>
        <v>434704</v>
      </c>
      <c r="Y96" s="122"/>
      <c r="AA96" t="s">
        <v>48</v>
      </c>
      <c r="AB96" t="s">
        <v>407</v>
      </c>
      <c r="AC96" t="s">
        <v>578</v>
      </c>
      <c r="AD96" t="s">
        <v>407</v>
      </c>
      <c r="AE96" t="s">
        <v>566</v>
      </c>
      <c r="AF96">
        <v>1</v>
      </c>
      <c r="AG96">
        <v>232</v>
      </c>
      <c r="AH96">
        <v>74</v>
      </c>
      <c r="AI96" s="122">
        <v>8820</v>
      </c>
      <c r="AJ96" s="122">
        <v>8018</v>
      </c>
      <c r="AK96">
        <v>91</v>
      </c>
      <c r="AL96" s="122">
        <v>1488</v>
      </c>
      <c r="AM96" s="122">
        <v>1353</v>
      </c>
      <c r="AN96" s="122">
        <v>2831</v>
      </c>
      <c r="AO96" s="122">
        <v>1048</v>
      </c>
      <c r="AP96">
        <v>473</v>
      </c>
      <c r="AQ96">
        <v>175</v>
      </c>
      <c r="AR96" s="122">
        <v>3473</v>
      </c>
      <c r="AS96" s="122">
        <v>3157</v>
      </c>
      <c r="AT96">
        <v>0</v>
      </c>
      <c r="AU96">
        <v>0</v>
      </c>
      <c r="AV96" s="122">
        <v>13751</v>
      </c>
    </row>
    <row r="97" spans="2:48" ht="12.75" hidden="1" customHeight="1">
      <c r="B97" t="s">
        <v>362</v>
      </c>
      <c r="C97" t="s">
        <v>64</v>
      </c>
      <c r="D97" t="s">
        <v>556</v>
      </c>
      <c r="E97" t="s">
        <v>137</v>
      </c>
      <c r="F97">
        <v>1</v>
      </c>
      <c r="G97" s="122">
        <v>82</v>
      </c>
      <c r="H97" s="122">
        <v>463</v>
      </c>
      <c r="I97" s="122">
        <v>22977</v>
      </c>
      <c r="J97" s="122">
        <v>19147</v>
      </c>
      <c r="K97">
        <v>60</v>
      </c>
      <c r="L97" s="122">
        <v>5106</v>
      </c>
      <c r="M97" s="122">
        <v>4255</v>
      </c>
      <c r="N97" s="122">
        <v>1109</v>
      </c>
      <c r="O97" s="122">
        <v>411</v>
      </c>
      <c r="P97" s="122">
        <v>0</v>
      </c>
      <c r="Q97" s="122">
        <v>0</v>
      </c>
      <c r="R97" s="122">
        <v>8805</v>
      </c>
      <c r="S97" s="122">
        <v>3261</v>
      </c>
      <c r="T97" s="122">
        <v>0</v>
      </c>
      <c r="U97" s="122">
        <v>0</v>
      </c>
      <c r="V97" s="122">
        <v>27074</v>
      </c>
      <c r="W97" s="122">
        <f t="shared" si="2"/>
        <v>27074</v>
      </c>
      <c r="X97" s="122">
        <f t="shared" si="3"/>
        <v>37997</v>
      </c>
      <c r="Y97" s="122"/>
      <c r="AA97" t="s">
        <v>48</v>
      </c>
      <c r="AB97" t="s">
        <v>407</v>
      </c>
      <c r="AC97" t="s">
        <v>405</v>
      </c>
      <c r="AD97" t="s">
        <v>407</v>
      </c>
      <c r="AE97" t="s">
        <v>566</v>
      </c>
      <c r="AF97">
        <v>1</v>
      </c>
      <c r="AG97" s="122">
        <v>198</v>
      </c>
      <c r="AH97" s="122">
        <v>57</v>
      </c>
      <c r="AI97" s="122">
        <v>4824</v>
      </c>
      <c r="AJ97" s="122">
        <v>4385</v>
      </c>
      <c r="AK97">
        <v>90</v>
      </c>
      <c r="AL97" s="122">
        <v>603</v>
      </c>
      <c r="AM97" s="122">
        <v>548</v>
      </c>
      <c r="AN97" s="122">
        <v>2407</v>
      </c>
      <c r="AO97" s="122">
        <v>892</v>
      </c>
      <c r="AP97" s="122">
        <v>473</v>
      </c>
      <c r="AQ97" s="122">
        <v>175</v>
      </c>
      <c r="AR97" s="122">
        <v>2931</v>
      </c>
      <c r="AS97" s="122">
        <v>2664</v>
      </c>
      <c r="AT97">
        <v>0</v>
      </c>
      <c r="AU97">
        <v>0</v>
      </c>
      <c r="AV97" s="122">
        <v>8664</v>
      </c>
    </row>
    <row r="98" spans="2:48" ht="12.75" hidden="1" customHeight="1">
      <c r="B98" t="s">
        <v>362</v>
      </c>
      <c r="C98" t="s">
        <v>64</v>
      </c>
      <c r="D98" t="s">
        <v>556</v>
      </c>
      <c r="E98" t="s">
        <v>556</v>
      </c>
      <c r="F98">
        <v>9</v>
      </c>
      <c r="G98">
        <v>751</v>
      </c>
      <c r="H98" s="122">
        <v>6350</v>
      </c>
      <c r="I98" s="122">
        <v>375854</v>
      </c>
      <c r="J98" s="122">
        <v>313212</v>
      </c>
      <c r="K98">
        <v>49</v>
      </c>
      <c r="L98" s="122">
        <v>55739</v>
      </c>
      <c r="M98" s="122">
        <v>46449</v>
      </c>
      <c r="N98" s="122">
        <v>15798</v>
      </c>
      <c r="O98" s="122">
        <v>5851</v>
      </c>
      <c r="P98" s="122">
        <v>2808</v>
      </c>
      <c r="Q98" s="122">
        <v>1040</v>
      </c>
      <c r="R98" s="122">
        <v>56000</v>
      </c>
      <c r="S98" s="122">
        <v>46667</v>
      </c>
      <c r="T98" s="122">
        <v>19469</v>
      </c>
      <c r="U98" s="122">
        <v>7211</v>
      </c>
      <c r="V98" s="122">
        <v>420429</v>
      </c>
      <c r="W98" s="122">
        <f t="shared" si="2"/>
        <v>420430</v>
      </c>
      <c r="X98" s="122">
        <f t="shared" si="3"/>
        <v>525668</v>
      </c>
      <c r="Y98" s="122"/>
      <c r="AA98" t="s">
        <v>48</v>
      </c>
      <c r="AB98" t="s">
        <v>407</v>
      </c>
      <c r="AC98" t="s">
        <v>137</v>
      </c>
      <c r="AD98" t="s">
        <v>407</v>
      </c>
      <c r="AE98" t="s">
        <v>566</v>
      </c>
      <c r="AF98">
        <v>152</v>
      </c>
      <c r="AG98" s="122">
        <v>23732</v>
      </c>
      <c r="AH98" s="122">
        <v>8725</v>
      </c>
      <c r="AI98" s="122">
        <v>244268</v>
      </c>
      <c r="AJ98" s="122">
        <v>222062</v>
      </c>
      <c r="AK98">
        <v>91</v>
      </c>
      <c r="AL98" s="122">
        <v>52610</v>
      </c>
      <c r="AM98" s="122">
        <v>19485</v>
      </c>
      <c r="AN98" s="122">
        <v>295118</v>
      </c>
      <c r="AO98" s="122">
        <v>109303</v>
      </c>
      <c r="AP98" s="122">
        <v>247133</v>
      </c>
      <c r="AQ98" s="122">
        <v>91531</v>
      </c>
      <c r="AR98" s="122">
        <v>499961</v>
      </c>
      <c r="AS98" s="122">
        <v>454510</v>
      </c>
      <c r="AT98">
        <v>0</v>
      </c>
      <c r="AU98">
        <v>0</v>
      </c>
      <c r="AV98" s="122">
        <v>896890</v>
      </c>
    </row>
    <row r="99" spans="2:48" ht="12.75" hidden="1" customHeight="1">
      <c r="B99" t="s">
        <v>362</v>
      </c>
      <c r="C99" t="s">
        <v>64</v>
      </c>
      <c r="D99" t="s">
        <v>428</v>
      </c>
      <c r="E99" t="s">
        <v>428</v>
      </c>
      <c r="F99">
        <v>2</v>
      </c>
      <c r="G99" s="122">
        <v>110</v>
      </c>
      <c r="H99" s="122">
        <v>1303</v>
      </c>
      <c r="I99" s="122">
        <v>77256</v>
      </c>
      <c r="J99" s="122">
        <v>70233</v>
      </c>
      <c r="K99">
        <v>50</v>
      </c>
      <c r="L99" s="122">
        <v>8140</v>
      </c>
      <c r="M99" s="122">
        <v>7400</v>
      </c>
      <c r="N99" s="122">
        <v>3737</v>
      </c>
      <c r="O99" s="122">
        <v>1384</v>
      </c>
      <c r="P99" s="122">
        <v>702</v>
      </c>
      <c r="Q99" s="122">
        <v>260</v>
      </c>
      <c r="R99" s="122">
        <v>11005</v>
      </c>
      <c r="S99" s="122">
        <v>10004</v>
      </c>
      <c r="T99" s="122">
        <v>4317</v>
      </c>
      <c r="U99" s="122">
        <v>1599</v>
      </c>
      <c r="V99" s="122">
        <v>90879</v>
      </c>
      <c r="W99" s="122">
        <f t="shared" si="2"/>
        <v>90880</v>
      </c>
      <c r="X99" s="122">
        <f t="shared" si="3"/>
        <v>105157</v>
      </c>
      <c r="Y99" s="122"/>
      <c r="AA99" t="s">
        <v>48</v>
      </c>
      <c r="AB99" t="s">
        <v>407</v>
      </c>
      <c r="AC99" t="s">
        <v>407</v>
      </c>
      <c r="AD99" t="s">
        <v>137</v>
      </c>
      <c r="AE99" t="s">
        <v>566</v>
      </c>
      <c r="AF99">
        <v>2</v>
      </c>
      <c r="AG99" s="122">
        <v>405</v>
      </c>
      <c r="AH99" s="122">
        <v>140</v>
      </c>
      <c r="AI99" s="122">
        <v>9865</v>
      </c>
      <c r="AJ99" s="122">
        <v>8968</v>
      </c>
      <c r="AK99">
        <v>91</v>
      </c>
      <c r="AL99" s="122">
        <v>1355</v>
      </c>
      <c r="AM99" s="122">
        <v>1232</v>
      </c>
      <c r="AN99" s="122">
        <v>4937</v>
      </c>
      <c r="AO99" s="122">
        <v>1829</v>
      </c>
      <c r="AP99" s="122">
        <v>3014</v>
      </c>
      <c r="AQ99" s="122">
        <v>1116</v>
      </c>
      <c r="AR99" s="122">
        <v>9500</v>
      </c>
      <c r="AS99" s="122">
        <v>3519</v>
      </c>
      <c r="AT99" s="122">
        <v>0</v>
      </c>
      <c r="AU99">
        <v>0</v>
      </c>
      <c r="AV99" s="122">
        <v>16663</v>
      </c>
    </row>
    <row r="100" spans="2:48" ht="12.75" customHeight="1">
      <c r="B100" t="s">
        <v>362</v>
      </c>
      <c r="C100" t="s">
        <v>64</v>
      </c>
      <c r="D100" t="s">
        <v>431</v>
      </c>
      <c r="E100" t="s">
        <v>431</v>
      </c>
      <c r="F100">
        <v>3</v>
      </c>
      <c r="G100" s="122">
        <v>204</v>
      </c>
      <c r="H100" s="122">
        <v>2557</v>
      </c>
      <c r="I100" s="122">
        <v>120140</v>
      </c>
      <c r="J100" s="122">
        <v>109218</v>
      </c>
      <c r="K100">
        <v>48</v>
      </c>
      <c r="L100" s="122">
        <v>18137</v>
      </c>
      <c r="M100" s="122">
        <v>16488</v>
      </c>
      <c r="N100" s="122">
        <v>3983</v>
      </c>
      <c r="O100" s="122">
        <v>1475</v>
      </c>
      <c r="P100" s="122">
        <v>1053</v>
      </c>
      <c r="Q100" s="122">
        <v>390</v>
      </c>
      <c r="R100" s="122">
        <v>18948</v>
      </c>
      <c r="S100" s="122">
        <v>17226</v>
      </c>
      <c r="T100" s="122">
        <v>4837</v>
      </c>
      <c r="U100" s="122">
        <v>1791</v>
      </c>
      <c r="V100" s="122">
        <v>146588</v>
      </c>
      <c r="W100" s="122">
        <f t="shared" si="2"/>
        <v>146588</v>
      </c>
      <c r="X100" s="122">
        <f t="shared" si="3"/>
        <v>167098</v>
      </c>
      <c r="Y100" s="122"/>
      <c r="AA100" t="s">
        <v>48</v>
      </c>
      <c r="AB100" t="s">
        <v>407</v>
      </c>
      <c r="AC100" t="s">
        <v>407</v>
      </c>
      <c r="AD100" t="s">
        <v>407</v>
      </c>
      <c r="AE100" t="s">
        <v>137</v>
      </c>
      <c r="AF100">
        <v>20</v>
      </c>
      <c r="AG100" s="122">
        <v>3809</v>
      </c>
      <c r="AH100" s="122">
        <v>1280</v>
      </c>
      <c r="AI100" s="122">
        <v>78632</v>
      </c>
      <c r="AJ100" s="122">
        <v>71483</v>
      </c>
      <c r="AK100">
        <v>91</v>
      </c>
      <c r="AL100" s="122">
        <v>10245</v>
      </c>
      <c r="AM100" s="122">
        <v>9314</v>
      </c>
      <c r="AN100" s="122">
        <v>52884</v>
      </c>
      <c r="AO100" s="122">
        <v>19587</v>
      </c>
      <c r="AP100" s="122">
        <v>24601</v>
      </c>
      <c r="AQ100" s="122">
        <v>9111</v>
      </c>
      <c r="AR100" s="122">
        <v>74620</v>
      </c>
      <c r="AS100" s="122">
        <v>67836</v>
      </c>
      <c r="AT100" s="122">
        <v>2340</v>
      </c>
      <c r="AU100">
        <v>867</v>
      </c>
      <c r="AV100" s="122">
        <v>178198</v>
      </c>
    </row>
    <row r="101" spans="2:48" ht="12.75" hidden="1" customHeight="1">
      <c r="B101" t="s">
        <v>362</v>
      </c>
      <c r="C101" t="s">
        <v>64</v>
      </c>
      <c r="D101" t="s">
        <v>426</v>
      </c>
      <c r="E101" t="s">
        <v>137</v>
      </c>
      <c r="F101">
        <v>10</v>
      </c>
      <c r="G101" s="122">
        <v>777</v>
      </c>
      <c r="H101" s="122">
        <v>8980</v>
      </c>
      <c r="I101" s="122">
        <v>530596</v>
      </c>
      <c r="J101" s="122">
        <v>482360</v>
      </c>
      <c r="K101">
        <v>51</v>
      </c>
      <c r="L101" s="122">
        <v>66338</v>
      </c>
      <c r="M101" s="122">
        <v>54369</v>
      </c>
      <c r="N101" s="122">
        <v>17809</v>
      </c>
      <c r="O101" s="122">
        <v>6596</v>
      </c>
      <c r="P101" s="122">
        <v>0</v>
      </c>
      <c r="Q101" s="122">
        <v>0</v>
      </c>
      <c r="R101" s="122">
        <v>62915</v>
      </c>
      <c r="S101" s="122">
        <v>23302</v>
      </c>
      <c r="T101" s="122">
        <v>4241</v>
      </c>
      <c r="U101" s="122">
        <v>1571</v>
      </c>
      <c r="V101" s="122">
        <v>568197</v>
      </c>
      <c r="W101" s="122">
        <f t="shared" si="2"/>
        <v>568198</v>
      </c>
      <c r="X101" s="122">
        <f t="shared" si="3"/>
        <v>681899</v>
      </c>
      <c r="Y101" s="122"/>
      <c r="AA101" t="s">
        <v>48</v>
      </c>
      <c r="AB101" t="s">
        <v>407</v>
      </c>
      <c r="AC101" t="s">
        <v>407</v>
      </c>
      <c r="AD101" t="s">
        <v>407</v>
      </c>
      <c r="AE101" t="s">
        <v>566</v>
      </c>
      <c r="AF101">
        <v>287</v>
      </c>
      <c r="AG101" s="122">
        <v>55228</v>
      </c>
      <c r="AH101" s="122">
        <v>16743</v>
      </c>
      <c r="AI101" s="122">
        <v>888864</v>
      </c>
      <c r="AJ101" s="122">
        <v>808058</v>
      </c>
      <c r="AK101">
        <v>91</v>
      </c>
      <c r="AL101" s="122">
        <v>121867</v>
      </c>
      <c r="AM101" s="122">
        <v>110788</v>
      </c>
      <c r="AN101" s="122">
        <v>695973</v>
      </c>
      <c r="AO101" s="122">
        <v>257768</v>
      </c>
      <c r="AP101" s="122">
        <v>450767</v>
      </c>
      <c r="AQ101" s="122">
        <v>166951</v>
      </c>
      <c r="AR101" s="122">
        <v>1029591</v>
      </c>
      <c r="AS101" s="122">
        <v>935992</v>
      </c>
      <c r="AT101">
        <v>0</v>
      </c>
      <c r="AU101">
        <v>0</v>
      </c>
      <c r="AV101" s="122">
        <v>2279557</v>
      </c>
    </row>
    <row r="102" spans="2:48" ht="12.75" customHeight="1">
      <c r="B102" t="s">
        <v>362</v>
      </c>
      <c r="C102" t="s">
        <v>64</v>
      </c>
      <c r="D102" t="s">
        <v>426</v>
      </c>
      <c r="E102" t="s">
        <v>406</v>
      </c>
      <c r="F102">
        <v>1</v>
      </c>
      <c r="G102" s="122">
        <v>95</v>
      </c>
      <c r="H102" s="122">
        <v>472</v>
      </c>
      <c r="I102" s="122">
        <v>28615</v>
      </c>
      <c r="J102" s="122">
        <v>26014</v>
      </c>
      <c r="K102">
        <v>60</v>
      </c>
      <c r="L102" s="122">
        <v>6359</v>
      </c>
      <c r="M102" s="122">
        <v>5781</v>
      </c>
      <c r="N102" s="122">
        <v>2322</v>
      </c>
      <c r="O102" s="122">
        <v>860</v>
      </c>
      <c r="P102" s="122">
        <v>621</v>
      </c>
      <c r="Q102" s="122">
        <v>230</v>
      </c>
      <c r="R102" s="122">
        <v>4566</v>
      </c>
      <c r="S102" s="122">
        <v>4151</v>
      </c>
      <c r="T102" s="122">
        <v>2501</v>
      </c>
      <c r="U102" s="122">
        <v>926</v>
      </c>
      <c r="V102" s="122">
        <v>37962</v>
      </c>
      <c r="W102" s="122">
        <f t="shared" si="2"/>
        <v>37962</v>
      </c>
      <c r="X102" s="122">
        <f t="shared" si="3"/>
        <v>44984</v>
      </c>
      <c r="Y102" s="122"/>
      <c r="AA102" t="s">
        <v>48</v>
      </c>
      <c r="AB102" t="s">
        <v>407</v>
      </c>
      <c r="AC102" t="s">
        <v>579</v>
      </c>
      <c r="AD102" t="s">
        <v>407</v>
      </c>
      <c r="AE102" t="s">
        <v>137</v>
      </c>
      <c r="AF102">
        <v>4</v>
      </c>
      <c r="AG102" s="122">
        <v>676</v>
      </c>
      <c r="AH102" s="122">
        <v>266</v>
      </c>
      <c r="AI102" s="122">
        <v>14089</v>
      </c>
      <c r="AJ102" s="122">
        <v>12808</v>
      </c>
      <c r="AK102">
        <v>91</v>
      </c>
      <c r="AL102" s="122">
        <v>2587</v>
      </c>
      <c r="AM102" s="122">
        <v>2155</v>
      </c>
      <c r="AN102" s="122">
        <v>8592</v>
      </c>
      <c r="AO102" s="122">
        <v>3182</v>
      </c>
      <c r="AP102" s="122">
        <v>5676</v>
      </c>
      <c r="AQ102" s="122">
        <v>2102</v>
      </c>
      <c r="AR102" s="122">
        <v>13787</v>
      </c>
      <c r="AS102" s="122">
        <v>12534</v>
      </c>
      <c r="AT102">
        <v>0</v>
      </c>
      <c r="AU102">
        <v>0</v>
      </c>
      <c r="AV102" s="122">
        <v>32782</v>
      </c>
    </row>
    <row r="103" spans="2:48" ht="12.75" hidden="1" customHeight="1">
      <c r="B103" t="s">
        <v>362</v>
      </c>
      <c r="C103" t="s">
        <v>64</v>
      </c>
      <c r="D103" t="s">
        <v>426</v>
      </c>
      <c r="E103" t="s">
        <v>426</v>
      </c>
      <c r="F103">
        <v>94</v>
      </c>
      <c r="G103" s="122">
        <v>7936</v>
      </c>
      <c r="H103" s="122">
        <v>65462</v>
      </c>
      <c r="I103" s="122">
        <v>3981082</v>
      </c>
      <c r="J103" s="122">
        <v>3619166</v>
      </c>
      <c r="K103">
        <v>50</v>
      </c>
      <c r="L103" s="122">
        <v>477881</v>
      </c>
      <c r="M103" s="122">
        <v>421813</v>
      </c>
      <c r="N103" s="122">
        <v>158190</v>
      </c>
      <c r="O103" s="122">
        <v>58589</v>
      </c>
      <c r="P103" s="122">
        <v>32049</v>
      </c>
      <c r="Q103" s="122">
        <v>11870</v>
      </c>
      <c r="R103" s="122">
        <v>591128</v>
      </c>
      <c r="S103" s="122">
        <v>537389</v>
      </c>
      <c r="T103" s="122">
        <v>190119</v>
      </c>
      <c r="U103" s="122">
        <v>70414</v>
      </c>
      <c r="V103" s="122">
        <v>4719242</v>
      </c>
      <c r="W103" s="122">
        <f t="shared" si="2"/>
        <v>4719241</v>
      </c>
      <c r="X103" s="122">
        <f t="shared" si="3"/>
        <v>5430449</v>
      </c>
      <c r="Y103" s="122"/>
      <c r="AA103" t="s">
        <v>48</v>
      </c>
      <c r="AB103" t="s">
        <v>407</v>
      </c>
      <c r="AC103" t="s">
        <v>579</v>
      </c>
      <c r="AD103" t="s">
        <v>407</v>
      </c>
      <c r="AE103" t="s">
        <v>566</v>
      </c>
      <c r="AF103">
        <v>223</v>
      </c>
      <c r="AG103" s="122">
        <v>36997</v>
      </c>
      <c r="AH103" s="122">
        <v>13132</v>
      </c>
      <c r="AI103" s="122">
        <v>697905</v>
      </c>
      <c r="AJ103" s="122">
        <v>634459</v>
      </c>
      <c r="AK103">
        <v>91</v>
      </c>
      <c r="AL103" s="122">
        <v>143807</v>
      </c>
      <c r="AM103" s="122">
        <v>119839</v>
      </c>
      <c r="AN103" s="122">
        <v>460465</v>
      </c>
      <c r="AO103" s="122">
        <v>170543</v>
      </c>
      <c r="AP103" s="122">
        <v>174476</v>
      </c>
      <c r="AQ103" s="122">
        <v>64621</v>
      </c>
      <c r="AR103" s="122">
        <v>695697</v>
      </c>
      <c r="AS103" s="122">
        <v>632452</v>
      </c>
      <c r="AT103">
        <v>0</v>
      </c>
      <c r="AU103">
        <v>0</v>
      </c>
      <c r="AV103" s="122">
        <v>1621913</v>
      </c>
    </row>
    <row r="104" spans="2:48" ht="12.75" hidden="1" customHeight="1">
      <c r="B104" t="s">
        <v>362</v>
      </c>
      <c r="C104" t="s">
        <v>64</v>
      </c>
      <c r="D104" t="s">
        <v>433</v>
      </c>
      <c r="E104" t="s">
        <v>137</v>
      </c>
      <c r="F104">
        <v>1</v>
      </c>
      <c r="G104" s="122">
        <v>71</v>
      </c>
      <c r="H104" s="122">
        <v>579</v>
      </c>
      <c r="I104" s="122">
        <v>32115</v>
      </c>
      <c r="J104" s="122">
        <v>29196</v>
      </c>
      <c r="K104">
        <v>30</v>
      </c>
      <c r="L104" s="122">
        <v>0</v>
      </c>
      <c r="M104" s="122">
        <v>0</v>
      </c>
      <c r="N104" s="122">
        <v>867</v>
      </c>
      <c r="O104" s="122">
        <v>321</v>
      </c>
      <c r="P104" s="122">
        <v>0</v>
      </c>
      <c r="Q104" s="122">
        <v>0</v>
      </c>
      <c r="R104" s="122">
        <v>8170</v>
      </c>
      <c r="S104" s="122">
        <v>3026</v>
      </c>
      <c r="T104" s="122">
        <v>0</v>
      </c>
      <c r="U104" s="122">
        <v>0</v>
      </c>
      <c r="V104" s="122">
        <v>32543</v>
      </c>
      <c r="W104" s="122">
        <f t="shared" si="2"/>
        <v>32543</v>
      </c>
      <c r="X104" s="122">
        <f t="shared" si="3"/>
        <v>41152</v>
      </c>
      <c r="Y104" s="122"/>
      <c r="AA104" t="s">
        <v>48</v>
      </c>
      <c r="AB104" t="s">
        <v>407</v>
      </c>
      <c r="AC104" t="s">
        <v>426</v>
      </c>
      <c r="AD104" t="s">
        <v>137</v>
      </c>
      <c r="AE104" t="s">
        <v>566</v>
      </c>
      <c r="AF104">
        <v>2</v>
      </c>
      <c r="AG104" s="122">
        <v>506</v>
      </c>
      <c r="AH104" s="122">
        <v>108</v>
      </c>
      <c r="AI104" s="122">
        <v>9551</v>
      </c>
      <c r="AJ104" s="122">
        <v>8683</v>
      </c>
      <c r="AK104">
        <v>91</v>
      </c>
      <c r="AL104" s="122">
        <v>1350</v>
      </c>
      <c r="AM104" s="122">
        <v>1227</v>
      </c>
      <c r="AN104" s="122">
        <v>6164</v>
      </c>
      <c r="AO104" s="122">
        <v>2283</v>
      </c>
      <c r="AP104" s="122">
        <v>945</v>
      </c>
      <c r="AQ104" s="122">
        <v>350</v>
      </c>
      <c r="AR104" s="122">
        <v>9285</v>
      </c>
      <c r="AS104" s="122">
        <v>3439</v>
      </c>
      <c r="AT104" s="122">
        <v>0</v>
      </c>
      <c r="AU104" s="122">
        <v>0</v>
      </c>
      <c r="AV104" s="122">
        <v>15982</v>
      </c>
    </row>
    <row r="105" spans="2:48" ht="12.75" customHeight="1">
      <c r="B105" t="s">
        <v>362</v>
      </c>
      <c r="C105" t="s">
        <v>64</v>
      </c>
      <c r="D105" t="s">
        <v>433</v>
      </c>
      <c r="E105" t="s">
        <v>406</v>
      </c>
      <c r="F105" s="122">
        <v>1</v>
      </c>
      <c r="G105" s="122">
        <v>168</v>
      </c>
      <c r="H105" s="122">
        <v>632</v>
      </c>
      <c r="I105" s="122">
        <v>82235</v>
      </c>
      <c r="J105" s="122">
        <v>74759</v>
      </c>
      <c r="K105">
        <v>60</v>
      </c>
      <c r="L105" s="122">
        <v>7832</v>
      </c>
      <c r="M105" s="122">
        <v>7120</v>
      </c>
      <c r="N105" s="122">
        <v>4088</v>
      </c>
      <c r="O105" s="122">
        <v>1514</v>
      </c>
      <c r="P105" s="122">
        <v>0</v>
      </c>
      <c r="Q105" s="122">
        <v>0</v>
      </c>
      <c r="R105" s="122">
        <v>6424</v>
      </c>
      <c r="S105" s="122">
        <v>5840</v>
      </c>
      <c r="T105" s="122">
        <v>5436</v>
      </c>
      <c r="U105" s="122">
        <v>2013</v>
      </c>
      <c r="V105" s="122">
        <v>91247</v>
      </c>
      <c r="W105" s="122">
        <f t="shared" si="2"/>
        <v>91246</v>
      </c>
      <c r="X105" s="122">
        <f t="shared" si="3"/>
        <v>106015</v>
      </c>
      <c r="Y105" s="122"/>
      <c r="AA105" t="s">
        <v>48</v>
      </c>
      <c r="AB105" t="s">
        <v>407</v>
      </c>
      <c r="AC105" t="s">
        <v>426</v>
      </c>
      <c r="AD105" t="s">
        <v>407</v>
      </c>
      <c r="AE105" t="s">
        <v>137</v>
      </c>
      <c r="AF105">
        <v>23</v>
      </c>
      <c r="AG105" s="122">
        <v>3966</v>
      </c>
      <c r="AH105" s="122">
        <v>1639</v>
      </c>
      <c r="AI105" s="122">
        <v>135638</v>
      </c>
      <c r="AJ105" s="122">
        <v>123307</v>
      </c>
      <c r="AK105">
        <v>90</v>
      </c>
      <c r="AL105" s="122">
        <v>16623</v>
      </c>
      <c r="AM105" s="122">
        <v>15112</v>
      </c>
      <c r="AN105" s="122">
        <v>48317</v>
      </c>
      <c r="AO105" s="122">
        <v>17895</v>
      </c>
      <c r="AP105" s="122">
        <v>11755</v>
      </c>
      <c r="AQ105" s="122">
        <v>4354</v>
      </c>
      <c r="AR105" s="122">
        <v>67654</v>
      </c>
      <c r="AS105" s="122">
        <v>61504</v>
      </c>
      <c r="AT105" s="122">
        <v>3375</v>
      </c>
      <c r="AU105" s="122">
        <v>1250</v>
      </c>
      <c r="AV105" s="122">
        <v>223422</v>
      </c>
    </row>
    <row r="106" spans="2:48" ht="12.75" hidden="1" customHeight="1">
      <c r="B106" t="s">
        <v>362</v>
      </c>
      <c r="C106" t="s">
        <v>64</v>
      </c>
      <c r="D106" t="s">
        <v>433</v>
      </c>
      <c r="E106" t="s">
        <v>433</v>
      </c>
      <c r="F106">
        <v>2</v>
      </c>
      <c r="G106" s="122">
        <v>173</v>
      </c>
      <c r="H106" s="122">
        <v>1250</v>
      </c>
      <c r="I106" s="122">
        <v>79870</v>
      </c>
      <c r="J106" s="122">
        <v>72609</v>
      </c>
      <c r="K106">
        <v>50</v>
      </c>
      <c r="L106" s="122">
        <v>7559</v>
      </c>
      <c r="M106" s="122">
        <v>6872</v>
      </c>
      <c r="N106" s="122">
        <v>3137</v>
      </c>
      <c r="O106" s="122">
        <v>1162</v>
      </c>
      <c r="P106" s="122">
        <v>702</v>
      </c>
      <c r="Q106" s="122">
        <v>260</v>
      </c>
      <c r="R106" s="122">
        <v>11724</v>
      </c>
      <c r="S106" s="122">
        <v>10658</v>
      </c>
      <c r="T106" s="122">
        <v>4937</v>
      </c>
      <c r="U106" s="122">
        <v>1829</v>
      </c>
      <c r="V106" s="122">
        <v>93390</v>
      </c>
      <c r="W106" s="122">
        <f t="shared" si="2"/>
        <v>93390</v>
      </c>
      <c r="X106" s="122">
        <f t="shared" si="3"/>
        <v>107929</v>
      </c>
      <c r="Y106" s="122"/>
      <c r="AA106" t="s">
        <v>48</v>
      </c>
      <c r="AB106" t="s">
        <v>407</v>
      </c>
      <c r="AC106" t="s">
        <v>426</v>
      </c>
      <c r="AD106" t="s">
        <v>407</v>
      </c>
      <c r="AE106" t="s">
        <v>566</v>
      </c>
      <c r="AF106">
        <v>167</v>
      </c>
      <c r="AG106" s="122">
        <v>29720</v>
      </c>
      <c r="AH106" s="122">
        <v>9950</v>
      </c>
      <c r="AI106" s="122">
        <v>429993</v>
      </c>
      <c r="AJ106" s="122">
        <v>390903</v>
      </c>
      <c r="AK106">
        <v>91</v>
      </c>
      <c r="AL106" s="122">
        <v>64095</v>
      </c>
      <c r="AM106" s="122">
        <v>58268</v>
      </c>
      <c r="AN106" s="122">
        <v>370524</v>
      </c>
      <c r="AO106" s="122">
        <v>137231</v>
      </c>
      <c r="AP106" s="122">
        <v>153128</v>
      </c>
      <c r="AQ106" s="122">
        <v>56714</v>
      </c>
      <c r="AR106" s="122">
        <v>746414</v>
      </c>
      <c r="AS106" s="122">
        <v>678558</v>
      </c>
      <c r="AT106">
        <v>0</v>
      </c>
      <c r="AU106">
        <v>0</v>
      </c>
      <c r="AV106" s="122">
        <v>1321674</v>
      </c>
    </row>
    <row r="107" spans="2:48" ht="12.75" hidden="1" customHeight="1">
      <c r="B107" t="s">
        <v>363</v>
      </c>
      <c r="C107" t="s">
        <v>48</v>
      </c>
      <c r="D107" t="s">
        <v>405</v>
      </c>
      <c r="E107" t="s">
        <v>405</v>
      </c>
      <c r="F107">
        <v>1</v>
      </c>
      <c r="G107" s="122">
        <v>121</v>
      </c>
      <c r="H107" s="122">
        <v>41</v>
      </c>
      <c r="I107" s="122">
        <v>-558</v>
      </c>
      <c r="J107" s="122">
        <v>-507</v>
      </c>
      <c r="K107">
        <v>93</v>
      </c>
      <c r="L107" s="122">
        <v>-115</v>
      </c>
      <c r="M107" s="122">
        <v>-105</v>
      </c>
      <c r="N107" s="122">
        <v>4917</v>
      </c>
      <c r="O107" s="122">
        <v>1821</v>
      </c>
      <c r="P107" s="122">
        <v>473</v>
      </c>
      <c r="Q107" s="122">
        <v>175</v>
      </c>
      <c r="R107" s="122">
        <v>3746</v>
      </c>
      <c r="S107" s="122">
        <v>3405</v>
      </c>
      <c r="T107" s="122">
        <v>0</v>
      </c>
      <c r="U107" s="122">
        <v>0</v>
      </c>
      <c r="V107" s="122">
        <v>4789</v>
      </c>
      <c r="W107" s="122">
        <f t="shared" si="2"/>
        <v>6013</v>
      </c>
      <c r="X107" s="122">
        <f t="shared" si="3"/>
        <v>9809</v>
      </c>
      <c r="Y107" s="122"/>
      <c r="AA107" t="s">
        <v>48</v>
      </c>
      <c r="AB107" t="s">
        <v>407</v>
      </c>
      <c r="AC107" t="s">
        <v>566</v>
      </c>
      <c r="AD107" t="s">
        <v>137</v>
      </c>
      <c r="AE107" t="s">
        <v>566</v>
      </c>
      <c r="AF107">
        <v>23</v>
      </c>
      <c r="AG107" s="122">
        <v>2932</v>
      </c>
      <c r="AH107" s="122">
        <v>1279</v>
      </c>
      <c r="AI107" s="122">
        <v>36625</v>
      </c>
      <c r="AJ107" s="122">
        <v>33296</v>
      </c>
      <c r="AK107">
        <v>91</v>
      </c>
      <c r="AL107">
        <v>0</v>
      </c>
      <c r="AM107">
        <v>0</v>
      </c>
      <c r="AN107" s="122">
        <v>35720</v>
      </c>
      <c r="AO107" s="122">
        <v>13230</v>
      </c>
      <c r="AP107" s="122">
        <v>10868</v>
      </c>
      <c r="AQ107" s="122">
        <v>4025</v>
      </c>
      <c r="AR107" s="122">
        <v>77556</v>
      </c>
      <c r="AS107" s="122">
        <v>28725</v>
      </c>
      <c r="AT107">
        <v>0</v>
      </c>
      <c r="AU107">
        <v>0</v>
      </c>
      <c r="AV107" s="122">
        <v>79275</v>
      </c>
    </row>
    <row r="108" spans="2:48" ht="12.75" customHeight="1">
      <c r="B108" t="s">
        <v>363</v>
      </c>
      <c r="C108" t="s">
        <v>48</v>
      </c>
      <c r="D108" t="s">
        <v>137</v>
      </c>
      <c r="E108" t="s">
        <v>137</v>
      </c>
      <c r="F108">
        <v>79</v>
      </c>
      <c r="G108" s="122">
        <v>18694</v>
      </c>
      <c r="H108" s="122">
        <v>4104</v>
      </c>
      <c r="I108" s="122">
        <v>116358</v>
      </c>
      <c r="J108" s="122">
        <v>43095</v>
      </c>
      <c r="K108">
        <v>462</v>
      </c>
      <c r="L108" s="122">
        <v>31215</v>
      </c>
      <c r="M108" s="122">
        <v>27800</v>
      </c>
      <c r="N108" s="122">
        <v>246767</v>
      </c>
      <c r="O108" s="122">
        <v>91395</v>
      </c>
      <c r="P108" s="122">
        <v>119398</v>
      </c>
      <c r="Q108" s="122">
        <v>44221</v>
      </c>
      <c r="R108" s="122">
        <v>470994</v>
      </c>
      <c r="S108" s="122">
        <v>174442</v>
      </c>
      <c r="T108" s="122">
        <v>0</v>
      </c>
      <c r="U108" s="122">
        <v>0</v>
      </c>
      <c r="V108" s="122">
        <v>380954</v>
      </c>
      <c r="W108" s="122">
        <f t="shared" si="2"/>
        <v>380953</v>
      </c>
      <c r="X108" s="122">
        <f t="shared" si="3"/>
        <v>984732</v>
      </c>
      <c r="Y108" s="122"/>
      <c r="AA108" t="s">
        <v>48</v>
      </c>
      <c r="AB108" t="s">
        <v>407</v>
      </c>
      <c r="AC108" t="s">
        <v>566</v>
      </c>
      <c r="AD108" t="s">
        <v>407</v>
      </c>
      <c r="AE108" t="s">
        <v>137</v>
      </c>
      <c r="AF108" s="122">
        <v>5</v>
      </c>
      <c r="AG108" s="122">
        <v>822</v>
      </c>
      <c r="AH108" s="122">
        <v>320</v>
      </c>
      <c r="AI108" s="122">
        <v>18284</v>
      </c>
      <c r="AJ108" s="122">
        <v>16622</v>
      </c>
      <c r="AK108">
        <v>90</v>
      </c>
      <c r="AL108">
        <v>0</v>
      </c>
      <c r="AM108" s="122">
        <v>0</v>
      </c>
      <c r="AN108" s="122">
        <v>10019</v>
      </c>
      <c r="AO108" s="122">
        <v>3711</v>
      </c>
      <c r="AP108" s="122">
        <v>2363</v>
      </c>
      <c r="AQ108" s="122">
        <v>875</v>
      </c>
      <c r="AR108" s="122">
        <v>21816</v>
      </c>
      <c r="AS108" s="122">
        <v>19832</v>
      </c>
      <c r="AT108">
        <v>0</v>
      </c>
      <c r="AU108">
        <v>0</v>
      </c>
      <c r="AV108" s="122">
        <v>41040</v>
      </c>
    </row>
    <row r="109" spans="2:48" ht="12.75" hidden="1" customHeight="1">
      <c r="B109" t="s">
        <v>363</v>
      </c>
      <c r="C109" t="s">
        <v>48</v>
      </c>
      <c r="D109" t="s">
        <v>483</v>
      </c>
      <c r="E109" t="s">
        <v>483</v>
      </c>
      <c r="F109">
        <v>2</v>
      </c>
      <c r="G109" s="122">
        <v>454</v>
      </c>
      <c r="H109" s="122">
        <v>147</v>
      </c>
      <c r="I109" s="122">
        <v>17927</v>
      </c>
      <c r="J109" s="122">
        <v>6640</v>
      </c>
      <c r="K109">
        <v>325</v>
      </c>
      <c r="L109" s="122">
        <v>4183</v>
      </c>
      <c r="M109" s="122">
        <v>3803</v>
      </c>
      <c r="N109" s="122">
        <v>5534</v>
      </c>
      <c r="O109" s="122">
        <v>2050</v>
      </c>
      <c r="P109" s="122">
        <v>2106</v>
      </c>
      <c r="Q109" s="122">
        <v>780</v>
      </c>
      <c r="R109" s="122">
        <v>3718</v>
      </c>
      <c r="S109" s="122">
        <v>1377</v>
      </c>
      <c r="T109" s="122">
        <v>0</v>
      </c>
      <c r="U109" s="122">
        <v>0</v>
      </c>
      <c r="V109" s="122">
        <v>14649</v>
      </c>
      <c r="W109" s="122">
        <f t="shared" si="2"/>
        <v>14650</v>
      </c>
      <c r="X109" s="122">
        <f t="shared" si="3"/>
        <v>33468</v>
      </c>
      <c r="Y109" s="122"/>
      <c r="AA109" t="s">
        <v>48</v>
      </c>
      <c r="AB109" t="s">
        <v>407</v>
      </c>
      <c r="AC109" t="s">
        <v>566</v>
      </c>
      <c r="AD109" t="s">
        <v>407</v>
      </c>
      <c r="AE109" t="s">
        <v>566</v>
      </c>
      <c r="AF109" s="122">
        <v>1026</v>
      </c>
      <c r="AG109" s="122">
        <v>148207</v>
      </c>
      <c r="AH109" s="122">
        <v>61222</v>
      </c>
      <c r="AI109" s="122">
        <v>1866627</v>
      </c>
      <c r="AJ109" s="122">
        <v>1696934</v>
      </c>
      <c r="AK109">
        <v>91</v>
      </c>
      <c r="AL109" s="122">
        <v>0</v>
      </c>
      <c r="AM109" s="122">
        <v>1374</v>
      </c>
      <c r="AN109" s="122">
        <v>1846424</v>
      </c>
      <c r="AO109" s="122">
        <v>683861</v>
      </c>
      <c r="AP109" s="122">
        <v>1130331</v>
      </c>
      <c r="AQ109" s="122">
        <v>418641</v>
      </c>
      <c r="AR109" s="122">
        <v>3899887</v>
      </c>
      <c r="AS109" s="122">
        <v>3545352</v>
      </c>
      <c r="AT109">
        <v>0</v>
      </c>
      <c r="AU109">
        <v>0</v>
      </c>
      <c r="AV109" s="122">
        <v>6346160</v>
      </c>
    </row>
    <row r="110" spans="2:48" ht="12.75" hidden="1" customHeight="1">
      <c r="B110" t="s">
        <v>363</v>
      </c>
      <c r="C110" t="s">
        <v>48</v>
      </c>
      <c r="D110" t="s">
        <v>484</v>
      </c>
      <c r="E110" t="s">
        <v>484</v>
      </c>
      <c r="F110">
        <v>1</v>
      </c>
      <c r="G110" s="122">
        <v>256</v>
      </c>
      <c r="H110" s="122">
        <v>74</v>
      </c>
      <c r="I110" s="122">
        <v>10696</v>
      </c>
      <c r="J110" s="122">
        <v>3962</v>
      </c>
      <c r="K110">
        <v>303</v>
      </c>
      <c r="L110" s="122">
        <v>2329</v>
      </c>
      <c r="M110" s="122">
        <v>2117</v>
      </c>
      <c r="N110" s="122">
        <v>3124</v>
      </c>
      <c r="O110" s="122">
        <v>1157</v>
      </c>
      <c r="P110" s="122">
        <v>351</v>
      </c>
      <c r="Q110" s="122">
        <v>130</v>
      </c>
      <c r="R110" s="122">
        <v>2449</v>
      </c>
      <c r="S110" s="122">
        <v>907</v>
      </c>
      <c r="T110" s="122">
        <v>0</v>
      </c>
      <c r="U110" s="122">
        <v>0</v>
      </c>
      <c r="V110" s="122">
        <v>8273</v>
      </c>
      <c r="W110" s="122">
        <f t="shared" si="2"/>
        <v>8273</v>
      </c>
      <c r="X110" s="122">
        <f t="shared" si="3"/>
        <v>18949</v>
      </c>
      <c r="Y110" s="122"/>
      <c r="AA110" t="s">
        <v>48</v>
      </c>
      <c r="AB110" t="s">
        <v>407</v>
      </c>
      <c r="AC110" t="s">
        <v>481</v>
      </c>
      <c r="AD110" t="s">
        <v>407</v>
      </c>
      <c r="AE110" t="s">
        <v>566</v>
      </c>
      <c r="AF110">
        <v>2</v>
      </c>
      <c r="AG110">
        <v>609</v>
      </c>
      <c r="AH110">
        <v>122</v>
      </c>
      <c r="AI110" s="122">
        <v>14910</v>
      </c>
      <c r="AJ110" s="122">
        <v>13554</v>
      </c>
      <c r="AK110">
        <v>91</v>
      </c>
      <c r="AL110" s="122">
        <v>1829</v>
      </c>
      <c r="AM110" s="122">
        <v>1662</v>
      </c>
      <c r="AN110" s="122">
        <v>7772</v>
      </c>
      <c r="AO110" s="122">
        <v>2878</v>
      </c>
      <c r="AP110" s="122">
        <v>3758</v>
      </c>
      <c r="AQ110" s="122">
        <v>1392</v>
      </c>
      <c r="AR110" s="122">
        <v>8310</v>
      </c>
      <c r="AS110" s="122">
        <v>7555</v>
      </c>
      <c r="AT110">
        <v>0</v>
      </c>
      <c r="AU110">
        <v>0</v>
      </c>
      <c r="AV110" s="122">
        <v>27041</v>
      </c>
    </row>
    <row r="111" spans="2:48" ht="12.75" hidden="1" customHeight="1">
      <c r="B111" t="s">
        <v>363</v>
      </c>
      <c r="C111" t="s">
        <v>48</v>
      </c>
      <c r="D111" t="s">
        <v>406</v>
      </c>
      <c r="E111" t="s">
        <v>406</v>
      </c>
      <c r="F111">
        <v>21</v>
      </c>
      <c r="G111" s="122">
        <v>4399</v>
      </c>
      <c r="H111" s="122">
        <v>1320</v>
      </c>
      <c r="I111" s="122">
        <v>84495</v>
      </c>
      <c r="J111" s="122">
        <v>76813</v>
      </c>
      <c r="K111">
        <v>95</v>
      </c>
      <c r="L111" s="122">
        <v>12194</v>
      </c>
      <c r="M111" s="122">
        <v>10853</v>
      </c>
      <c r="N111" s="122">
        <v>57491</v>
      </c>
      <c r="O111" s="122">
        <v>21293</v>
      </c>
      <c r="P111" s="122">
        <v>32148</v>
      </c>
      <c r="Q111" s="122">
        <v>11907</v>
      </c>
      <c r="R111" s="122">
        <v>84873</v>
      </c>
      <c r="S111" s="122">
        <v>77157</v>
      </c>
      <c r="T111" s="122">
        <v>0</v>
      </c>
      <c r="U111" s="122">
        <v>0</v>
      </c>
      <c r="V111" s="122">
        <v>198023</v>
      </c>
      <c r="W111" s="122">
        <f t="shared" si="2"/>
        <v>198023</v>
      </c>
      <c r="X111" s="122">
        <f t="shared" si="3"/>
        <v>271201</v>
      </c>
      <c r="Y111" s="122"/>
      <c r="AA111" t="s">
        <v>48</v>
      </c>
      <c r="AB111" t="s">
        <v>407</v>
      </c>
      <c r="AC111" t="s">
        <v>433</v>
      </c>
      <c r="AD111" t="s">
        <v>137</v>
      </c>
      <c r="AE111" t="s">
        <v>566</v>
      </c>
      <c r="AF111">
        <v>3</v>
      </c>
      <c r="AG111" s="122">
        <v>846</v>
      </c>
      <c r="AH111" s="122">
        <v>146</v>
      </c>
      <c r="AI111" s="122">
        <v>9220</v>
      </c>
      <c r="AJ111" s="122">
        <v>8382</v>
      </c>
      <c r="AK111">
        <v>91</v>
      </c>
      <c r="AL111" s="122">
        <v>1281</v>
      </c>
      <c r="AM111" s="122">
        <v>1165</v>
      </c>
      <c r="AN111" s="122">
        <v>10311</v>
      </c>
      <c r="AO111" s="122">
        <v>3819</v>
      </c>
      <c r="AP111" s="122">
        <v>3534</v>
      </c>
      <c r="AQ111" s="122">
        <v>1309</v>
      </c>
      <c r="AR111" s="122">
        <v>16693</v>
      </c>
      <c r="AS111" s="122">
        <v>6183</v>
      </c>
      <c r="AT111">
        <v>0</v>
      </c>
      <c r="AU111">
        <v>0</v>
      </c>
      <c r="AV111" s="122">
        <v>20857</v>
      </c>
    </row>
    <row r="112" spans="2:48" ht="12.75" customHeight="1">
      <c r="B112" t="s">
        <v>363</v>
      </c>
      <c r="C112" t="s">
        <v>48</v>
      </c>
      <c r="D112" t="s">
        <v>407</v>
      </c>
      <c r="E112" t="s">
        <v>407</v>
      </c>
      <c r="F112">
        <v>1</v>
      </c>
      <c r="G112">
        <v>207</v>
      </c>
      <c r="H112">
        <v>55</v>
      </c>
      <c r="I112" s="122">
        <v>1675</v>
      </c>
      <c r="J112" s="122">
        <v>1523</v>
      </c>
      <c r="K112">
        <v>90</v>
      </c>
      <c r="L112" s="122">
        <v>235</v>
      </c>
      <c r="M112" s="122">
        <v>214</v>
      </c>
      <c r="N112" s="122">
        <v>2528</v>
      </c>
      <c r="O112" s="122">
        <v>936</v>
      </c>
      <c r="P112" s="122">
        <v>2229</v>
      </c>
      <c r="Q112">
        <v>825</v>
      </c>
      <c r="R112" s="122">
        <v>4646</v>
      </c>
      <c r="S112" s="122">
        <v>4223</v>
      </c>
      <c r="T112" s="122">
        <v>0</v>
      </c>
      <c r="U112" s="122">
        <v>0</v>
      </c>
      <c r="V112" s="122">
        <v>7722</v>
      </c>
      <c r="W112" s="122">
        <f t="shared" si="2"/>
        <v>7721</v>
      </c>
      <c r="X112" s="122">
        <f t="shared" si="3"/>
        <v>11313</v>
      </c>
      <c r="Y112" s="122"/>
      <c r="AA112" t="s">
        <v>48</v>
      </c>
      <c r="AB112" t="s">
        <v>407</v>
      </c>
      <c r="AC112" t="s">
        <v>433</v>
      </c>
      <c r="AD112" t="s">
        <v>407</v>
      </c>
      <c r="AE112" t="s">
        <v>137</v>
      </c>
      <c r="AF112">
        <v>18</v>
      </c>
      <c r="AG112" s="122">
        <v>3146</v>
      </c>
      <c r="AH112" s="122">
        <v>1154</v>
      </c>
      <c r="AI112" s="122">
        <v>84914</v>
      </c>
      <c r="AJ112" s="122">
        <v>77195</v>
      </c>
      <c r="AK112">
        <v>91</v>
      </c>
      <c r="AL112" s="122">
        <v>10644</v>
      </c>
      <c r="AM112" s="122">
        <v>9676</v>
      </c>
      <c r="AN112" s="122">
        <v>38334</v>
      </c>
      <c r="AO112" s="122">
        <v>14198</v>
      </c>
      <c r="AP112" s="122">
        <v>12558</v>
      </c>
      <c r="AQ112" s="122">
        <v>4651</v>
      </c>
      <c r="AR112" s="122">
        <v>52943</v>
      </c>
      <c r="AS112" s="122">
        <v>48130</v>
      </c>
      <c r="AT112">
        <v>0</v>
      </c>
      <c r="AU112">
        <v>0</v>
      </c>
      <c r="AV112" s="122">
        <v>153850</v>
      </c>
    </row>
    <row r="113" spans="2:48" ht="12.75" hidden="1" customHeight="1">
      <c r="B113" t="s">
        <v>363</v>
      </c>
      <c r="C113" t="s">
        <v>48</v>
      </c>
      <c r="D113" t="s">
        <v>408</v>
      </c>
      <c r="E113" t="s">
        <v>408</v>
      </c>
      <c r="F113">
        <v>1</v>
      </c>
      <c r="G113" s="122">
        <v>275</v>
      </c>
      <c r="H113" s="122">
        <v>46</v>
      </c>
      <c r="I113" s="122">
        <v>1488</v>
      </c>
      <c r="J113" s="122">
        <v>1352</v>
      </c>
      <c r="K113">
        <v>90</v>
      </c>
      <c r="L113" s="122">
        <v>0</v>
      </c>
      <c r="M113" s="122">
        <v>0</v>
      </c>
      <c r="N113" s="122">
        <v>3351</v>
      </c>
      <c r="O113" s="122">
        <v>1241</v>
      </c>
      <c r="P113" s="122">
        <v>2837</v>
      </c>
      <c r="Q113" s="122">
        <v>1051</v>
      </c>
      <c r="R113" s="122">
        <v>4969</v>
      </c>
      <c r="S113" s="122">
        <v>4517</v>
      </c>
      <c r="T113" s="122">
        <v>0</v>
      </c>
      <c r="U113">
        <v>0</v>
      </c>
      <c r="V113" s="122">
        <v>8161</v>
      </c>
      <c r="W113" s="122">
        <f t="shared" si="2"/>
        <v>8161</v>
      </c>
      <c r="X113" s="122">
        <f t="shared" si="3"/>
        <v>12645</v>
      </c>
      <c r="Y113" s="122"/>
      <c r="AA113" t="s">
        <v>48</v>
      </c>
      <c r="AB113" t="s">
        <v>407</v>
      </c>
      <c r="AC113" t="s">
        <v>433</v>
      </c>
      <c r="AD113" t="s">
        <v>407</v>
      </c>
      <c r="AE113" t="s">
        <v>566</v>
      </c>
      <c r="AF113">
        <v>366</v>
      </c>
      <c r="AG113" s="122">
        <v>68276</v>
      </c>
      <c r="AH113" s="122">
        <v>21118</v>
      </c>
      <c r="AI113" s="122">
        <v>1014485</v>
      </c>
      <c r="AJ113" s="122">
        <v>922259</v>
      </c>
      <c r="AK113">
        <v>91</v>
      </c>
      <c r="AL113" s="122">
        <v>137256</v>
      </c>
      <c r="AM113" s="122">
        <v>124778</v>
      </c>
      <c r="AN113" s="122">
        <v>865478</v>
      </c>
      <c r="AO113" s="122">
        <v>320548</v>
      </c>
      <c r="AP113" s="122">
        <v>522371</v>
      </c>
      <c r="AQ113" s="122">
        <v>193471</v>
      </c>
      <c r="AR113" s="122">
        <v>1373509</v>
      </c>
      <c r="AS113" s="122">
        <v>1248644</v>
      </c>
      <c r="AT113">
        <v>0</v>
      </c>
      <c r="AU113">
        <v>0</v>
      </c>
      <c r="AV113" s="122">
        <v>2809700</v>
      </c>
    </row>
    <row r="114" spans="2:48" ht="12.75" customHeight="1">
      <c r="B114" t="s">
        <v>363</v>
      </c>
      <c r="C114" t="s">
        <v>50</v>
      </c>
      <c r="D114" t="s">
        <v>137</v>
      </c>
      <c r="E114" t="s">
        <v>137</v>
      </c>
      <c r="F114">
        <v>20</v>
      </c>
      <c r="G114" s="122">
        <v>4897</v>
      </c>
      <c r="H114" s="122">
        <v>1758</v>
      </c>
      <c r="I114" s="122">
        <v>158882</v>
      </c>
      <c r="J114" s="122">
        <v>58845</v>
      </c>
      <c r="K114">
        <v>376</v>
      </c>
      <c r="L114" s="122">
        <v>42485</v>
      </c>
      <c r="M114" s="122">
        <v>33430</v>
      </c>
      <c r="N114" s="122">
        <v>75166</v>
      </c>
      <c r="O114" s="122">
        <v>27839</v>
      </c>
      <c r="P114" s="122">
        <v>14628</v>
      </c>
      <c r="Q114" s="122">
        <v>5418</v>
      </c>
      <c r="R114" s="122">
        <v>132558</v>
      </c>
      <c r="S114" s="122">
        <v>49096</v>
      </c>
      <c r="T114" s="122">
        <v>0</v>
      </c>
      <c r="U114" s="122">
        <v>0</v>
      </c>
      <c r="V114" s="122">
        <v>174628</v>
      </c>
      <c r="W114" s="122">
        <f t="shared" si="2"/>
        <v>174628</v>
      </c>
      <c r="X114" s="122">
        <f t="shared" si="3"/>
        <v>423719</v>
      </c>
      <c r="Y114" s="122"/>
      <c r="AA114" t="s">
        <v>48</v>
      </c>
      <c r="AB114" t="s">
        <v>407</v>
      </c>
      <c r="AC114" t="s">
        <v>433</v>
      </c>
      <c r="AD114" t="s">
        <v>426</v>
      </c>
      <c r="AE114" t="s">
        <v>137</v>
      </c>
      <c r="AF114">
        <v>1</v>
      </c>
      <c r="AG114">
        <v>205</v>
      </c>
      <c r="AH114">
        <v>73</v>
      </c>
      <c r="AI114" s="122">
        <v>4538</v>
      </c>
      <c r="AJ114" s="122">
        <v>4125</v>
      </c>
      <c r="AK114">
        <v>90</v>
      </c>
      <c r="AL114" s="122">
        <v>779</v>
      </c>
      <c r="AM114" s="122">
        <v>708</v>
      </c>
      <c r="AN114" s="122">
        <v>2824</v>
      </c>
      <c r="AO114" s="122">
        <v>1046</v>
      </c>
      <c r="AP114" s="122">
        <v>2353</v>
      </c>
      <c r="AQ114" s="122">
        <v>871</v>
      </c>
      <c r="AR114" s="122">
        <v>4509</v>
      </c>
      <c r="AS114" s="122">
        <v>4099</v>
      </c>
      <c r="AT114">
        <v>0</v>
      </c>
      <c r="AU114">
        <v>0</v>
      </c>
      <c r="AV114" s="122">
        <v>10850</v>
      </c>
    </row>
    <row r="115" spans="2:48" ht="12.75" hidden="1" customHeight="1">
      <c r="B115" t="s">
        <v>363</v>
      </c>
      <c r="C115" t="s">
        <v>50</v>
      </c>
      <c r="D115" t="s">
        <v>406</v>
      </c>
      <c r="E115" t="s">
        <v>406</v>
      </c>
      <c r="F115">
        <v>21</v>
      </c>
      <c r="G115" s="122">
        <v>5929</v>
      </c>
      <c r="H115" s="122">
        <v>1938</v>
      </c>
      <c r="I115" s="122">
        <v>279422</v>
      </c>
      <c r="J115" s="122">
        <v>254020</v>
      </c>
      <c r="K115">
        <v>95</v>
      </c>
      <c r="L115" s="122">
        <v>52891</v>
      </c>
      <c r="M115" s="122">
        <v>47609</v>
      </c>
      <c r="N115" s="122">
        <v>86539</v>
      </c>
      <c r="O115" s="122">
        <v>32052</v>
      </c>
      <c r="P115" s="122">
        <v>24626</v>
      </c>
      <c r="Q115" s="122">
        <v>9121</v>
      </c>
      <c r="R115" s="122">
        <v>106700</v>
      </c>
      <c r="S115" s="122">
        <v>97000</v>
      </c>
      <c r="T115" s="122">
        <v>4601</v>
      </c>
      <c r="U115" s="122">
        <v>1704</v>
      </c>
      <c r="V115" s="122">
        <v>441505</v>
      </c>
      <c r="W115" s="122">
        <f t="shared" si="2"/>
        <v>441506</v>
      </c>
      <c r="X115" s="122">
        <f t="shared" si="3"/>
        <v>554779</v>
      </c>
      <c r="Y115" s="122"/>
      <c r="AA115" t="s">
        <v>48</v>
      </c>
      <c r="AB115" t="s">
        <v>407</v>
      </c>
      <c r="AC115" t="s">
        <v>429</v>
      </c>
      <c r="AD115" t="s">
        <v>407</v>
      </c>
      <c r="AE115" t="s">
        <v>566</v>
      </c>
      <c r="AF115">
        <v>4</v>
      </c>
      <c r="AG115">
        <v>899</v>
      </c>
      <c r="AH115">
        <v>264</v>
      </c>
      <c r="AI115" s="122">
        <v>18054</v>
      </c>
      <c r="AJ115" s="122">
        <v>16413</v>
      </c>
      <c r="AK115">
        <v>90</v>
      </c>
      <c r="AL115" s="122">
        <v>2759</v>
      </c>
      <c r="AM115" s="122">
        <v>2508</v>
      </c>
      <c r="AN115" s="122">
        <v>12408</v>
      </c>
      <c r="AO115" s="122">
        <v>4595</v>
      </c>
      <c r="AP115" s="122">
        <v>8924</v>
      </c>
      <c r="AQ115" s="122">
        <v>3305</v>
      </c>
      <c r="AR115" s="122">
        <v>17395</v>
      </c>
      <c r="AS115" s="122">
        <v>15813</v>
      </c>
      <c r="AT115">
        <v>0</v>
      </c>
      <c r="AU115">
        <v>0</v>
      </c>
      <c r="AV115" s="122">
        <v>42635</v>
      </c>
    </row>
    <row r="116" spans="2:48" ht="12.75" customHeight="1">
      <c r="B116" t="s">
        <v>363</v>
      </c>
      <c r="C116" t="s">
        <v>50</v>
      </c>
      <c r="D116" t="s">
        <v>407</v>
      </c>
      <c r="E116" t="s">
        <v>407</v>
      </c>
      <c r="F116">
        <v>16</v>
      </c>
      <c r="G116" s="122">
        <v>2596</v>
      </c>
      <c r="H116" s="122">
        <v>1426</v>
      </c>
      <c r="I116" s="122">
        <v>112135</v>
      </c>
      <c r="J116" s="122">
        <v>101941</v>
      </c>
      <c r="K116">
        <v>90</v>
      </c>
      <c r="L116" s="122">
        <v>3923</v>
      </c>
      <c r="M116" s="122">
        <v>3459</v>
      </c>
      <c r="N116" s="122">
        <v>31922</v>
      </c>
      <c r="O116" s="122">
        <v>11823</v>
      </c>
      <c r="P116" s="122">
        <v>26438</v>
      </c>
      <c r="Q116" s="122">
        <v>9792</v>
      </c>
      <c r="R116" s="122">
        <v>54638</v>
      </c>
      <c r="S116" s="122">
        <v>49671</v>
      </c>
      <c r="T116" s="122">
        <v>0</v>
      </c>
      <c r="U116" s="122">
        <v>0</v>
      </c>
      <c r="V116" s="122">
        <v>176686</v>
      </c>
      <c r="W116" s="122">
        <f t="shared" si="2"/>
        <v>176686</v>
      </c>
      <c r="X116" s="122">
        <f t="shared" si="3"/>
        <v>229056</v>
      </c>
      <c r="Y116" s="122"/>
      <c r="AA116" t="s">
        <v>48</v>
      </c>
      <c r="AB116" t="s">
        <v>426</v>
      </c>
      <c r="AC116" t="s">
        <v>426</v>
      </c>
      <c r="AD116" t="s">
        <v>426</v>
      </c>
      <c r="AE116" t="s">
        <v>137</v>
      </c>
      <c r="AF116">
        <v>1</v>
      </c>
      <c r="AG116">
        <v>110</v>
      </c>
      <c r="AH116">
        <v>61</v>
      </c>
      <c r="AI116" s="122">
        <v>1194</v>
      </c>
      <c r="AJ116" s="122">
        <v>1085</v>
      </c>
      <c r="AK116">
        <v>385</v>
      </c>
      <c r="AL116">
        <v>786</v>
      </c>
      <c r="AM116">
        <v>714</v>
      </c>
      <c r="AN116" s="122">
        <v>1851</v>
      </c>
      <c r="AO116" s="122">
        <v>685</v>
      </c>
      <c r="AP116" s="122">
        <v>1254</v>
      </c>
      <c r="AQ116">
        <v>464</v>
      </c>
      <c r="AR116" s="122">
        <v>1668</v>
      </c>
      <c r="AS116" s="122">
        <v>1516</v>
      </c>
      <c r="AT116">
        <v>0</v>
      </c>
      <c r="AU116">
        <v>0</v>
      </c>
      <c r="AV116" s="122">
        <v>4465</v>
      </c>
    </row>
    <row r="117" spans="2:48" ht="12.75" hidden="1" customHeight="1">
      <c r="B117" t="s">
        <v>363</v>
      </c>
      <c r="C117" t="s">
        <v>50</v>
      </c>
      <c r="D117" t="s">
        <v>408</v>
      </c>
      <c r="E117" t="s">
        <v>408</v>
      </c>
      <c r="F117">
        <v>1</v>
      </c>
      <c r="G117" s="122">
        <v>169</v>
      </c>
      <c r="H117" s="122">
        <v>83</v>
      </c>
      <c r="I117" s="122">
        <v>9233</v>
      </c>
      <c r="J117" s="122">
        <v>8393</v>
      </c>
      <c r="K117">
        <v>89</v>
      </c>
      <c r="L117" s="122">
        <v>1152</v>
      </c>
      <c r="M117" s="122">
        <v>1047</v>
      </c>
      <c r="N117" s="122">
        <v>2889</v>
      </c>
      <c r="O117" s="122">
        <v>1070</v>
      </c>
      <c r="P117" s="122">
        <v>2299</v>
      </c>
      <c r="Q117" s="122">
        <v>851</v>
      </c>
      <c r="R117" s="122">
        <v>3994</v>
      </c>
      <c r="S117" s="122">
        <v>3631</v>
      </c>
      <c r="T117" s="122">
        <v>0</v>
      </c>
      <c r="U117" s="122">
        <v>0</v>
      </c>
      <c r="V117" s="122">
        <v>14993</v>
      </c>
      <c r="W117" s="122">
        <f t="shared" si="2"/>
        <v>14992</v>
      </c>
      <c r="X117" s="122">
        <f t="shared" si="3"/>
        <v>19567</v>
      </c>
      <c r="Y117" s="122"/>
      <c r="AA117" t="s">
        <v>48</v>
      </c>
      <c r="AB117" t="s">
        <v>426</v>
      </c>
      <c r="AC117" t="s">
        <v>426</v>
      </c>
      <c r="AD117" t="s">
        <v>426</v>
      </c>
      <c r="AE117" t="s">
        <v>566</v>
      </c>
      <c r="AF117">
        <v>1</v>
      </c>
      <c r="AG117">
        <v>226</v>
      </c>
      <c r="AH117">
        <v>64</v>
      </c>
      <c r="AI117" s="122">
        <v>6721</v>
      </c>
      <c r="AJ117" s="122">
        <v>6110</v>
      </c>
      <c r="AK117">
        <v>80</v>
      </c>
      <c r="AL117">
        <v>994</v>
      </c>
      <c r="AM117">
        <v>904</v>
      </c>
      <c r="AN117" s="122">
        <v>2750</v>
      </c>
      <c r="AO117" s="122">
        <v>1018</v>
      </c>
      <c r="AP117" s="122">
        <v>702</v>
      </c>
      <c r="AQ117" s="122">
        <v>260</v>
      </c>
      <c r="AR117" s="122">
        <v>3309</v>
      </c>
      <c r="AS117" s="122">
        <v>3008</v>
      </c>
      <c r="AT117">
        <v>0</v>
      </c>
      <c r="AU117">
        <v>0</v>
      </c>
      <c r="AV117" s="122">
        <v>11301</v>
      </c>
    </row>
    <row r="118" spans="2:48" ht="12.75" hidden="1" customHeight="1">
      <c r="B118" t="s">
        <v>363</v>
      </c>
      <c r="C118" t="s">
        <v>52</v>
      </c>
      <c r="D118" t="s">
        <v>405</v>
      </c>
      <c r="E118" t="s">
        <v>405</v>
      </c>
      <c r="F118">
        <v>6</v>
      </c>
      <c r="G118" s="122">
        <v>1121</v>
      </c>
      <c r="H118" s="122">
        <v>697</v>
      </c>
      <c r="I118" s="122">
        <v>82896</v>
      </c>
      <c r="J118" s="122">
        <v>75360</v>
      </c>
      <c r="K118">
        <v>91</v>
      </c>
      <c r="L118" s="122">
        <v>16912</v>
      </c>
      <c r="M118" s="122">
        <v>15375</v>
      </c>
      <c r="N118" s="122">
        <v>20318</v>
      </c>
      <c r="O118" s="122">
        <v>7525</v>
      </c>
      <c r="P118" s="122">
        <v>5286</v>
      </c>
      <c r="Q118" s="122">
        <v>1958</v>
      </c>
      <c r="R118" s="122">
        <v>31085</v>
      </c>
      <c r="S118" s="122">
        <v>28259</v>
      </c>
      <c r="T118" s="122">
        <v>0</v>
      </c>
      <c r="U118" s="122">
        <v>0</v>
      </c>
      <c r="V118" s="122">
        <v>128477</v>
      </c>
      <c r="W118" s="122">
        <f t="shared" si="2"/>
        <v>128477</v>
      </c>
      <c r="X118" s="122">
        <f t="shared" si="3"/>
        <v>156497</v>
      </c>
      <c r="Y118" s="122"/>
      <c r="AA118" t="s">
        <v>48</v>
      </c>
      <c r="AB118" t="s">
        <v>433</v>
      </c>
      <c r="AC118" t="s">
        <v>137</v>
      </c>
      <c r="AD118" t="s">
        <v>137</v>
      </c>
      <c r="AE118" t="s">
        <v>566</v>
      </c>
      <c r="AF118">
        <v>3</v>
      </c>
      <c r="AG118">
        <v>541</v>
      </c>
      <c r="AH118">
        <v>129</v>
      </c>
      <c r="AI118" s="122">
        <v>-5867</v>
      </c>
      <c r="AJ118" s="122">
        <v>-5334</v>
      </c>
      <c r="AK118">
        <v>73</v>
      </c>
      <c r="AL118" s="122">
        <v>-884</v>
      </c>
      <c r="AM118">
        <v>-327</v>
      </c>
      <c r="AN118" s="122">
        <v>6593</v>
      </c>
      <c r="AO118" s="122">
        <v>2442</v>
      </c>
      <c r="AP118" s="122">
        <v>5740</v>
      </c>
      <c r="AQ118" s="122">
        <v>2126</v>
      </c>
      <c r="AR118" s="122">
        <v>18106</v>
      </c>
      <c r="AS118" s="122">
        <v>6706</v>
      </c>
      <c r="AT118">
        <v>0</v>
      </c>
      <c r="AU118">
        <v>0</v>
      </c>
      <c r="AV118" s="122">
        <v>5613</v>
      </c>
    </row>
    <row r="119" spans="2:48" ht="12.75" hidden="1" customHeight="1">
      <c r="B119" t="s">
        <v>363</v>
      </c>
      <c r="C119" t="s">
        <v>52</v>
      </c>
      <c r="D119" t="s">
        <v>137</v>
      </c>
      <c r="E119" t="s">
        <v>137</v>
      </c>
      <c r="F119">
        <v>12</v>
      </c>
      <c r="G119" s="122">
        <v>3083</v>
      </c>
      <c r="H119" s="122">
        <v>1363</v>
      </c>
      <c r="I119" s="122">
        <v>144523</v>
      </c>
      <c r="J119" s="122">
        <v>53527</v>
      </c>
      <c r="K119">
        <v>331</v>
      </c>
      <c r="L119" s="122">
        <v>31393</v>
      </c>
      <c r="M119" s="122">
        <v>27318</v>
      </c>
      <c r="N119" s="122">
        <v>61480</v>
      </c>
      <c r="O119" s="122">
        <v>22770</v>
      </c>
      <c r="P119" s="122">
        <v>16245</v>
      </c>
      <c r="Q119" s="122">
        <v>6017</v>
      </c>
      <c r="R119" s="122">
        <v>104352</v>
      </c>
      <c r="S119" s="122">
        <v>38649</v>
      </c>
      <c r="T119" s="122">
        <v>0</v>
      </c>
      <c r="U119">
        <v>0</v>
      </c>
      <c r="V119" s="122">
        <v>148281</v>
      </c>
      <c r="W119" s="122">
        <f t="shared" si="2"/>
        <v>148281</v>
      </c>
      <c r="X119" s="122">
        <f t="shared" si="3"/>
        <v>357993</v>
      </c>
      <c r="Y119" s="122"/>
      <c r="AA119" t="s">
        <v>48</v>
      </c>
      <c r="AB119" t="s">
        <v>433</v>
      </c>
      <c r="AC119" t="s">
        <v>137</v>
      </c>
      <c r="AD119" t="s">
        <v>433</v>
      </c>
      <c r="AE119" t="s">
        <v>566</v>
      </c>
      <c r="AF119">
        <v>1</v>
      </c>
      <c r="AG119">
        <v>272</v>
      </c>
      <c r="AH119">
        <v>64</v>
      </c>
      <c r="AI119" s="122">
        <v>8089</v>
      </c>
      <c r="AJ119" s="122">
        <v>7354</v>
      </c>
      <c r="AK119">
        <v>80</v>
      </c>
      <c r="AL119" s="122">
        <v>1765</v>
      </c>
      <c r="AM119">
        <v>654</v>
      </c>
      <c r="AN119" s="122">
        <v>3314</v>
      </c>
      <c r="AO119" s="122">
        <v>1227</v>
      </c>
      <c r="AP119" s="122">
        <v>2693</v>
      </c>
      <c r="AQ119" s="122">
        <v>997</v>
      </c>
      <c r="AR119" s="122">
        <v>1637</v>
      </c>
      <c r="AS119" s="122">
        <v>1488</v>
      </c>
      <c r="AT119">
        <v>0</v>
      </c>
      <c r="AU119">
        <v>0</v>
      </c>
      <c r="AV119" s="122">
        <v>11720</v>
      </c>
    </row>
    <row r="120" spans="2:48" ht="12.75" hidden="1" customHeight="1">
      <c r="B120" t="s">
        <v>363</v>
      </c>
      <c r="C120" t="s">
        <v>52</v>
      </c>
      <c r="D120" t="s">
        <v>406</v>
      </c>
      <c r="E120" t="s">
        <v>406</v>
      </c>
      <c r="F120">
        <v>150</v>
      </c>
      <c r="G120" s="122">
        <v>34779</v>
      </c>
      <c r="H120" s="122">
        <v>17662</v>
      </c>
      <c r="I120" s="122">
        <v>2376069</v>
      </c>
      <c r="J120" s="122">
        <v>2160062</v>
      </c>
      <c r="K120">
        <v>93</v>
      </c>
      <c r="L120" s="122">
        <v>469204</v>
      </c>
      <c r="M120" s="122">
        <v>422612</v>
      </c>
      <c r="N120" s="122">
        <v>630665</v>
      </c>
      <c r="O120" s="122">
        <v>233580</v>
      </c>
      <c r="P120" s="122">
        <v>115458</v>
      </c>
      <c r="Q120" s="122">
        <v>42762</v>
      </c>
      <c r="R120" s="122">
        <v>792323</v>
      </c>
      <c r="S120" s="122">
        <v>720294</v>
      </c>
      <c r="T120" s="122">
        <v>31316</v>
      </c>
      <c r="U120" s="122">
        <v>11599</v>
      </c>
      <c r="V120" s="122">
        <v>3590908</v>
      </c>
      <c r="W120" s="122">
        <f t="shared" si="2"/>
        <v>3590909</v>
      </c>
      <c r="X120" s="122">
        <f t="shared" si="3"/>
        <v>4415035</v>
      </c>
      <c r="Y120" s="122"/>
      <c r="AA120" t="s">
        <v>48</v>
      </c>
      <c r="AB120" t="s">
        <v>433</v>
      </c>
      <c r="AC120" t="s">
        <v>580</v>
      </c>
      <c r="AD120" t="s">
        <v>433</v>
      </c>
      <c r="AE120" t="s">
        <v>566</v>
      </c>
      <c r="AF120">
        <v>2</v>
      </c>
      <c r="AG120">
        <v>597</v>
      </c>
      <c r="AH120">
        <v>93</v>
      </c>
      <c r="AI120" s="122">
        <v>4571</v>
      </c>
      <c r="AJ120" s="122">
        <v>4155</v>
      </c>
      <c r="AK120">
        <v>81</v>
      </c>
      <c r="AL120">
        <v>436</v>
      </c>
      <c r="AM120">
        <v>396</v>
      </c>
      <c r="AN120" s="122">
        <v>7279</v>
      </c>
      <c r="AO120" s="122">
        <v>2696</v>
      </c>
      <c r="AP120" s="122">
        <v>7274</v>
      </c>
      <c r="AQ120" s="122">
        <v>2694</v>
      </c>
      <c r="AR120" s="122">
        <v>7958</v>
      </c>
      <c r="AS120" s="122">
        <v>7235</v>
      </c>
      <c r="AT120">
        <v>0</v>
      </c>
      <c r="AU120">
        <v>0</v>
      </c>
      <c r="AV120" s="122">
        <v>17177</v>
      </c>
    </row>
    <row r="121" spans="2:48" ht="12.75" hidden="1" customHeight="1">
      <c r="B121" t="s">
        <v>363</v>
      </c>
      <c r="C121" t="s">
        <v>52</v>
      </c>
      <c r="D121" t="s">
        <v>407</v>
      </c>
      <c r="E121" t="s">
        <v>407</v>
      </c>
      <c r="F121">
        <v>13</v>
      </c>
      <c r="G121" s="122">
        <v>2139</v>
      </c>
      <c r="H121" s="122">
        <v>1529</v>
      </c>
      <c r="I121" s="122">
        <v>129287</v>
      </c>
      <c r="J121" s="122">
        <v>117534</v>
      </c>
      <c r="K121">
        <v>89</v>
      </c>
      <c r="L121" s="122">
        <v>28638</v>
      </c>
      <c r="M121" s="122">
        <v>26034</v>
      </c>
      <c r="N121" s="122">
        <v>35008</v>
      </c>
      <c r="O121" s="122">
        <v>12966</v>
      </c>
      <c r="P121" s="122">
        <v>11167</v>
      </c>
      <c r="Q121" s="122">
        <v>4136</v>
      </c>
      <c r="R121" s="122">
        <v>58759</v>
      </c>
      <c r="S121" s="122">
        <v>53417</v>
      </c>
      <c r="T121" s="122">
        <v>0</v>
      </c>
      <c r="U121" s="122">
        <v>0</v>
      </c>
      <c r="V121" s="122">
        <v>214087</v>
      </c>
      <c r="W121" s="122">
        <f t="shared" si="2"/>
        <v>214087</v>
      </c>
      <c r="X121" s="122">
        <f t="shared" si="3"/>
        <v>262859</v>
      </c>
      <c r="Y121" s="122"/>
      <c r="AA121" t="s">
        <v>48</v>
      </c>
      <c r="AB121" t="s">
        <v>433</v>
      </c>
      <c r="AC121" t="s">
        <v>566</v>
      </c>
      <c r="AD121" t="s">
        <v>137</v>
      </c>
      <c r="AE121" t="s">
        <v>566</v>
      </c>
      <c r="AF121">
        <v>3</v>
      </c>
      <c r="AG121">
        <v>602</v>
      </c>
      <c r="AH121">
        <v>186</v>
      </c>
      <c r="AI121" s="122">
        <v>4266</v>
      </c>
      <c r="AJ121" s="122">
        <v>3878</v>
      </c>
      <c r="AK121">
        <v>71</v>
      </c>
      <c r="AL121">
        <v>0</v>
      </c>
      <c r="AM121">
        <v>0</v>
      </c>
      <c r="AN121" s="122">
        <v>7332</v>
      </c>
      <c r="AO121" s="122">
        <v>2716</v>
      </c>
      <c r="AP121" s="122">
        <v>5057</v>
      </c>
      <c r="AQ121" s="122">
        <v>1873</v>
      </c>
      <c r="AR121" s="122">
        <v>19868</v>
      </c>
      <c r="AS121" s="122">
        <v>7359</v>
      </c>
      <c r="AT121">
        <v>0</v>
      </c>
      <c r="AU121">
        <v>0</v>
      </c>
      <c r="AV121" s="122">
        <v>15826</v>
      </c>
    </row>
    <row r="122" spans="2:48" ht="12.75" customHeight="1">
      <c r="B122" t="s">
        <v>363</v>
      </c>
      <c r="C122" t="s">
        <v>52</v>
      </c>
      <c r="D122" t="s">
        <v>408</v>
      </c>
      <c r="E122" t="s">
        <v>408</v>
      </c>
      <c r="F122">
        <v>1</v>
      </c>
      <c r="G122" s="122">
        <v>218</v>
      </c>
      <c r="H122" s="122">
        <v>107</v>
      </c>
      <c r="I122" s="122">
        <v>11220</v>
      </c>
      <c r="J122" s="122">
        <v>10200</v>
      </c>
      <c r="K122">
        <v>85</v>
      </c>
      <c r="L122" s="122">
        <v>1532</v>
      </c>
      <c r="M122" s="122">
        <v>1392</v>
      </c>
      <c r="N122" s="122">
        <v>3082</v>
      </c>
      <c r="O122" s="122">
        <v>1142</v>
      </c>
      <c r="P122" s="122">
        <v>621</v>
      </c>
      <c r="Q122" s="122">
        <v>230</v>
      </c>
      <c r="R122" s="122">
        <v>6937</v>
      </c>
      <c r="S122" s="122">
        <v>6306</v>
      </c>
      <c r="T122" s="122">
        <v>0</v>
      </c>
      <c r="U122">
        <v>0</v>
      </c>
      <c r="V122" s="122">
        <v>19270</v>
      </c>
      <c r="W122" s="122">
        <f t="shared" si="2"/>
        <v>19270</v>
      </c>
      <c r="X122" s="122">
        <f t="shared" si="3"/>
        <v>23392</v>
      </c>
      <c r="Y122" s="122"/>
      <c r="AA122" t="s">
        <v>48</v>
      </c>
      <c r="AB122" t="s">
        <v>433</v>
      </c>
      <c r="AC122" t="s">
        <v>566</v>
      </c>
      <c r="AD122" t="s">
        <v>433</v>
      </c>
      <c r="AE122" t="s">
        <v>137</v>
      </c>
      <c r="AF122">
        <v>2</v>
      </c>
      <c r="AG122">
        <v>523</v>
      </c>
      <c r="AH122">
        <v>142</v>
      </c>
      <c r="AI122" s="122">
        <v>14360</v>
      </c>
      <c r="AJ122" s="122">
        <v>13054</v>
      </c>
      <c r="AK122">
        <v>82</v>
      </c>
      <c r="AL122">
        <v>0</v>
      </c>
      <c r="AM122">
        <v>0</v>
      </c>
      <c r="AN122" s="122">
        <v>6377</v>
      </c>
      <c r="AO122" s="122">
        <v>2362</v>
      </c>
      <c r="AP122" s="122">
        <v>5989</v>
      </c>
      <c r="AQ122" s="122">
        <v>2218</v>
      </c>
      <c r="AR122" s="122">
        <v>9582</v>
      </c>
      <c r="AS122" s="122">
        <v>8711</v>
      </c>
      <c r="AT122">
        <v>858</v>
      </c>
      <c r="AU122">
        <v>318</v>
      </c>
      <c r="AV122" s="122">
        <v>26663</v>
      </c>
    </row>
    <row r="123" spans="2:48" ht="12.75" hidden="1" customHeight="1">
      <c r="B123" t="s">
        <v>363</v>
      </c>
      <c r="C123" t="s">
        <v>54</v>
      </c>
      <c r="D123" t="s">
        <v>425</v>
      </c>
      <c r="E123" t="s">
        <v>425</v>
      </c>
      <c r="F123" s="122">
        <v>1</v>
      </c>
      <c r="G123" s="122">
        <v>165</v>
      </c>
      <c r="H123" s="122">
        <v>138</v>
      </c>
      <c r="I123" s="122">
        <v>11128</v>
      </c>
      <c r="J123" s="122">
        <v>10117</v>
      </c>
      <c r="K123">
        <v>92</v>
      </c>
      <c r="L123" s="122">
        <v>2804</v>
      </c>
      <c r="M123" s="122">
        <v>1039</v>
      </c>
      <c r="N123" s="122">
        <v>3241</v>
      </c>
      <c r="O123" s="122">
        <v>1200</v>
      </c>
      <c r="P123" s="122">
        <v>621</v>
      </c>
      <c r="Q123" s="122">
        <v>230</v>
      </c>
      <c r="R123" s="122">
        <v>4978</v>
      </c>
      <c r="S123" s="122">
        <v>4525</v>
      </c>
      <c r="T123" s="122">
        <v>0</v>
      </c>
      <c r="U123" s="122">
        <v>0</v>
      </c>
      <c r="V123" s="122">
        <v>17111</v>
      </c>
      <c r="W123" s="122">
        <f t="shared" si="2"/>
        <v>17111</v>
      </c>
      <c r="X123" s="122">
        <f t="shared" si="3"/>
        <v>22772</v>
      </c>
      <c r="Y123" s="122"/>
      <c r="AA123" t="s">
        <v>48</v>
      </c>
      <c r="AB123" t="s">
        <v>433</v>
      </c>
      <c r="AC123" t="s">
        <v>566</v>
      </c>
      <c r="AD123" t="s">
        <v>433</v>
      </c>
      <c r="AE123" t="s">
        <v>566</v>
      </c>
      <c r="AF123">
        <v>4</v>
      </c>
      <c r="AG123">
        <v>863</v>
      </c>
      <c r="AH123">
        <v>223</v>
      </c>
      <c r="AI123" s="122">
        <v>3712</v>
      </c>
      <c r="AJ123" s="122">
        <v>3374</v>
      </c>
      <c r="AK123">
        <v>77</v>
      </c>
      <c r="AL123" s="122">
        <v>0</v>
      </c>
      <c r="AM123" s="122">
        <v>0</v>
      </c>
      <c r="AN123" s="122">
        <v>10512</v>
      </c>
      <c r="AO123" s="122">
        <v>3893</v>
      </c>
      <c r="AP123" s="122">
        <v>8991</v>
      </c>
      <c r="AQ123" s="122">
        <v>3330</v>
      </c>
      <c r="AR123" s="122">
        <v>20859</v>
      </c>
      <c r="AS123" s="122">
        <v>18963</v>
      </c>
      <c r="AT123">
        <v>0</v>
      </c>
      <c r="AU123">
        <v>0</v>
      </c>
      <c r="AV123" s="122">
        <v>29560</v>
      </c>
    </row>
    <row r="124" spans="2:48" ht="12.75" hidden="1" customHeight="1">
      <c r="B124" t="s">
        <v>363</v>
      </c>
      <c r="C124" t="s">
        <v>54</v>
      </c>
      <c r="D124" t="s">
        <v>425</v>
      </c>
      <c r="E124" t="s">
        <v>406</v>
      </c>
      <c r="F124">
        <v>1</v>
      </c>
      <c r="G124">
        <v>216</v>
      </c>
      <c r="H124" s="122">
        <v>145</v>
      </c>
      <c r="I124" s="122">
        <v>19958</v>
      </c>
      <c r="J124" s="122">
        <v>18143</v>
      </c>
      <c r="K124">
        <v>85</v>
      </c>
      <c r="L124" s="122">
        <v>2907</v>
      </c>
      <c r="M124" s="122">
        <v>2642</v>
      </c>
      <c r="N124" s="122">
        <v>4312</v>
      </c>
      <c r="O124" s="122">
        <v>1597</v>
      </c>
      <c r="P124" s="122">
        <v>621</v>
      </c>
      <c r="Q124" s="122">
        <v>230</v>
      </c>
      <c r="R124" s="122">
        <v>3504</v>
      </c>
      <c r="S124" s="122">
        <v>3185</v>
      </c>
      <c r="T124" s="122">
        <v>0</v>
      </c>
      <c r="U124" s="122">
        <v>0</v>
      </c>
      <c r="V124" s="122">
        <v>25798</v>
      </c>
      <c r="W124" s="122">
        <f t="shared" si="2"/>
        <v>25797</v>
      </c>
      <c r="X124" s="122">
        <f t="shared" si="3"/>
        <v>31302</v>
      </c>
      <c r="Y124" s="122"/>
      <c r="AA124" t="s">
        <v>48</v>
      </c>
      <c r="AB124" t="s">
        <v>433</v>
      </c>
      <c r="AC124" t="s">
        <v>433</v>
      </c>
      <c r="AD124" t="s">
        <v>137</v>
      </c>
      <c r="AE124" t="s">
        <v>566</v>
      </c>
      <c r="AF124">
        <v>2</v>
      </c>
      <c r="AG124" s="122">
        <v>481</v>
      </c>
      <c r="AH124">
        <v>125</v>
      </c>
      <c r="AI124" s="122">
        <v>10626</v>
      </c>
      <c r="AJ124" s="122">
        <v>9660</v>
      </c>
      <c r="AK124">
        <v>77</v>
      </c>
      <c r="AL124" s="122">
        <v>1472</v>
      </c>
      <c r="AM124" s="122">
        <v>1338</v>
      </c>
      <c r="AN124" s="122">
        <v>5863</v>
      </c>
      <c r="AO124" s="122">
        <v>2171</v>
      </c>
      <c r="AP124" s="122">
        <v>5042</v>
      </c>
      <c r="AQ124" s="122">
        <v>1867</v>
      </c>
      <c r="AR124" s="122">
        <v>7136</v>
      </c>
      <c r="AS124" s="122">
        <v>2643</v>
      </c>
      <c r="AT124">
        <v>0</v>
      </c>
      <c r="AU124">
        <v>0</v>
      </c>
      <c r="AV124" s="122">
        <v>17679</v>
      </c>
    </row>
    <row r="125" spans="2:48" ht="12.75" hidden="1" customHeight="1">
      <c r="B125" t="s">
        <v>363</v>
      </c>
      <c r="C125" t="s">
        <v>54</v>
      </c>
      <c r="D125" t="s">
        <v>405</v>
      </c>
      <c r="E125" t="s">
        <v>405</v>
      </c>
      <c r="F125">
        <v>40</v>
      </c>
      <c r="G125" s="122">
        <v>6716</v>
      </c>
      <c r="H125" s="122">
        <v>5565</v>
      </c>
      <c r="I125" s="122">
        <v>517129</v>
      </c>
      <c r="J125" s="122">
        <v>470117</v>
      </c>
      <c r="K125">
        <v>87</v>
      </c>
      <c r="L125" s="122">
        <v>88610</v>
      </c>
      <c r="M125" s="122">
        <v>77712</v>
      </c>
      <c r="N125" s="122">
        <v>136575</v>
      </c>
      <c r="O125" s="122">
        <v>50583</v>
      </c>
      <c r="P125" s="122">
        <v>19130</v>
      </c>
      <c r="Q125" s="122">
        <v>7085</v>
      </c>
      <c r="R125" s="122">
        <v>202878</v>
      </c>
      <c r="S125" s="122">
        <v>184434</v>
      </c>
      <c r="T125" s="122">
        <v>20994</v>
      </c>
      <c r="U125" s="122">
        <v>7776</v>
      </c>
      <c r="V125" s="122">
        <v>797708</v>
      </c>
      <c r="W125" s="122">
        <f t="shared" si="2"/>
        <v>797707</v>
      </c>
      <c r="X125" s="122">
        <f t="shared" si="3"/>
        <v>985316</v>
      </c>
      <c r="Y125" s="122"/>
      <c r="AA125" t="s">
        <v>48</v>
      </c>
      <c r="AB125" t="s">
        <v>433</v>
      </c>
      <c r="AC125" t="s">
        <v>433</v>
      </c>
      <c r="AD125" t="s">
        <v>433</v>
      </c>
      <c r="AE125" t="s">
        <v>566</v>
      </c>
      <c r="AF125">
        <v>6</v>
      </c>
      <c r="AG125" s="122">
        <v>1497</v>
      </c>
      <c r="AH125">
        <v>378</v>
      </c>
      <c r="AI125" s="122">
        <v>28935</v>
      </c>
      <c r="AJ125" s="122">
        <v>26305</v>
      </c>
      <c r="AK125">
        <v>84</v>
      </c>
      <c r="AL125" s="122">
        <v>3821</v>
      </c>
      <c r="AM125" s="122">
        <v>3474</v>
      </c>
      <c r="AN125" s="122">
        <v>18244</v>
      </c>
      <c r="AO125" s="122">
        <v>6757</v>
      </c>
      <c r="AP125" s="122">
        <v>16308</v>
      </c>
      <c r="AQ125" s="122">
        <v>6040</v>
      </c>
      <c r="AR125" s="122">
        <v>25366</v>
      </c>
      <c r="AS125" s="122">
        <v>23060</v>
      </c>
      <c r="AT125">
        <v>0</v>
      </c>
      <c r="AU125">
        <v>0</v>
      </c>
      <c r="AV125" s="122">
        <v>65636</v>
      </c>
    </row>
    <row r="126" spans="2:48" ht="12.75" customHeight="1">
      <c r="B126" t="s">
        <v>363</v>
      </c>
      <c r="C126" t="s">
        <v>54</v>
      </c>
      <c r="D126" t="s">
        <v>137</v>
      </c>
      <c r="E126" t="s">
        <v>405</v>
      </c>
      <c r="F126" s="122">
        <v>1</v>
      </c>
      <c r="G126" s="122">
        <v>244</v>
      </c>
      <c r="H126" s="122">
        <v>133</v>
      </c>
      <c r="I126" s="122">
        <v>19104</v>
      </c>
      <c r="J126" s="122">
        <v>7076</v>
      </c>
      <c r="K126">
        <v>250</v>
      </c>
      <c r="L126" s="122">
        <v>1762</v>
      </c>
      <c r="M126" s="122">
        <v>1602</v>
      </c>
      <c r="N126" s="122">
        <v>3561</v>
      </c>
      <c r="O126" s="122">
        <v>1319</v>
      </c>
      <c r="P126" s="122">
        <v>824</v>
      </c>
      <c r="Q126" s="122">
        <v>305</v>
      </c>
      <c r="R126" s="122">
        <v>3417</v>
      </c>
      <c r="S126" s="122">
        <v>3106</v>
      </c>
      <c r="T126" s="122">
        <v>3800</v>
      </c>
      <c r="U126" s="122">
        <v>1407</v>
      </c>
      <c r="V126" s="122">
        <v>14815</v>
      </c>
      <c r="W126" s="122">
        <f t="shared" si="2"/>
        <v>14815</v>
      </c>
      <c r="X126" s="122">
        <f t="shared" si="3"/>
        <v>32468</v>
      </c>
      <c r="Y126" s="122"/>
      <c r="AA126" t="s">
        <v>48</v>
      </c>
      <c r="AB126" t="s">
        <v>408</v>
      </c>
      <c r="AC126" t="s">
        <v>137</v>
      </c>
      <c r="AD126" t="s">
        <v>408</v>
      </c>
      <c r="AE126" t="s">
        <v>137</v>
      </c>
      <c r="AF126">
        <v>1</v>
      </c>
      <c r="AG126" s="122">
        <v>149</v>
      </c>
      <c r="AH126">
        <v>73</v>
      </c>
      <c r="AI126" s="122">
        <v>5019</v>
      </c>
      <c r="AJ126" s="122">
        <v>4563</v>
      </c>
      <c r="AK126">
        <v>94</v>
      </c>
      <c r="AL126" s="122">
        <v>0</v>
      </c>
      <c r="AM126" s="122">
        <v>0</v>
      </c>
      <c r="AN126" s="122">
        <v>1821</v>
      </c>
      <c r="AO126" s="122">
        <v>674</v>
      </c>
      <c r="AP126" s="122">
        <v>2242</v>
      </c>
      <c r="AQ126" s="122">
        <v>830</v>
      </c>
      <c r="AR126" s="122">
        <v>1900</v>
      </c>
      <c r="AS126" s="122">
        <v>1728</v>
      </c>
      <c r="AT126">
        <v>0</v>
      </c>
      <c r="AU126">
        <v>0</v>
      </c>
      <c r="AV126" s="122">
        <v>7795</v>
      </c>
    </row>
    <row r="127" spans="2:48" ht="12.75" hidden="1" customHeight="1">
      <c r="B127" t="s">
        <v>363</v>
      </c>
      <c r="C127" t="s">
        <v>54</v>
      </c>
      <c r="D127" t="s">
        <v>137</v>
      </c>
      <c r="E127" t="s">
        <v>137</v>
      </c>
      <c r="F127">
        <v>11</v>
      </c>
      <c r="G127" s="122">
        <v>2427</v>
      </c>
      <c r="H127" s="122">
        <v>1547</v>
      </c>
      <c r="I127" s="122">
        <v>153652</v>
      </c>
      <c r="J127" s="122">
        <v>56908</v>
      </c>
      <c r="K127">
        <v>293</v>
      </c>
      <c r="L127" s="122">
        <v>41828</v>
      </c>
      <c r="M127" s="122">
        <v>37492</v>
      </c>
      <c r="N127" s="122">
        <v>51339</v>
      </c>
      <c r="O127" s="122">
        <v>19014</v>
      </c>
      <c r="P127" s="122">
        <v>7098</v>
      </c>
      <c r="Q127" s="122">
        <v>2629</v>
      </c>
      <c r="R127" s="122">
        <v>101474</v>
      </c>
      <c r="S127" s="122">
        <v>37583</v>
      </c>
      <c r="T127" s="122">
        <v>4876</v>
      </c>
      <c r="U127" s="122">
        <v>1806</v>
      </c>
      <c r="V127" s="122">
        <v>155432</v>
      </c>
      <c r="W127" s="122">
        <f t="shared" si="2"/>
        <v>155432</v>
      </c>
      <c r="X127" s="122">
        <f t="shared" si="3"/>
        <v>360267</v>
      </c>
      <c r="Y127" s="122"/>
      <c r="AA127" t="s">
        <v>48</v>
      </c>
      <c r="AB127" t="s">
        <v>408</v>
      </c>
      <c r="AC127" t="s">
        <v>426</v>
      </c>
      <c r="AD127" t="s">
        <v>408</v>
      </c>
      <c r="AE127" t="s">
        <v>566</v>
      </c>
      <c r="AF127">
        <v>9</v>
      </c>
      <c r="AG127" s="122">
        <v>2074</v>
      </c>
      <c r="AH127">
        <v>531</v>
      </c>
      <c r="AI127" s="122">
        <v>35022</v>
      </c>
      <c r="AJ127" s="122">
        <v>31838</v>
      </c>
      <c r="AK127">
        <v>89</v>
      </c>
      <c r="AL127" s="122">
        <v>5261</v>
      </c>
      <c r="AM127" s="122">
        <v>4783</v>
      </c>
      <c r="AN127" s="122">
        <v>25268</v>
      </c>
      <c r="AO127" s="122">
        <v>9358</v>
      </c>
      <c r="AP127" s="122">
        <v>19856</v>
      </c>
      <c r="AQ127" s="122">
        <v>7354</v>
      </c>
      <c r="AR127" s="122">
        <v>36161</v>
      </c>
      <c r="AS127" s="122">
        <v>32874</v>
      </c>
      <c r="AT127">
        <v>0</v>
      </c>
      <c r="AU127">
        <v>0</v>
      </c>
      <c r="AV127" s="122">
        <v>86207</v>
      </c>
    </row>
    <row r="128" spans="2:48" ht="12.75" hidden="1" customHeight="1">
      <c r="B128" t="s">
        <v>363</v>
      </c>
      <c r="C128" t="s">
        <v>54</v>
      </c>
      <c r="D128" t="s">
        <v>137</v>
      </c>
      <c r="E128" t="s">
        <v>426</v>
      </c>
      <c r="F128">
        <v>1</v>
      </c>
      <c r="G128" s="122">
        <v>329</v>
      </c>
      <c r="H128" s="122">
        <v>149</v>
      </c>
      <c r="I128" s="122">
        <v>29265</v>
      </c>
      <c r="J128" s="122">
        <v>10839</v>
      </c>
      <c r="K128">
        <v>100</v>
      </c>
      <c r="L128" s="122">
        <v>3507</v>
      </c>
      <c r="M128" s="122">
        <v>3188</v>
      </c>
      <c r="N128" s="122">
        <v>4814</v>
      </c>
      <c r="O128" s="122">
        <v>1783</v>
      </c>
      <c r="P128" s="122">
        <v>0</v>
      </c>
      <c r="Q128" s="122">
        <v>0</v>
      </c>
      <c r="R128" s="122">
        <v>7017</v>
      </c>
      <c r="S128" s="122">
        <v>6379</v>
      </c>
      <c r="T128" s="122">
        <v>4546</v>
      </c>
      <c r="U128" s="122">
        <v>1684</v>
      </c>
      <c r="V128" s="122">
        <v>23873</v>
      </c>
      <c r="W128" s="122">
        <f t="shared" si="2"/>
        <v>23873</v>
      </c>
      <c r="X128" s="122">
        <f t="shared" si="3"/>
        <v>49149</v>
      </c>
      <c r="Y128" s="122"/>
      <c r="AA128" t="s">
        <v>48</v>
      </c>
      <c r="AB128" t="s">
        <v>408</v>
      </c>
      <c r="AC128" t="s">
        <v>566</v>
      </c>
      <c r="AD128" t="s">
        <v>137</v>
      </c>
      <c r="AE128" t="s">
        <v>566</v>
      </c>
      <c r="AF128">
        <v>1</v>
      </c>
      <c r="AG128" s="122">
        <v>205</v>
      </c>
      <c r="AH128">
        <v>69</v>
      </c>
      <c r="AI128" s="122">
        <v>3292</v>
      </c>
      <c r="AJ128" s="122">
        <v>2993</v>
      </c>
      <c r="AK128">
        <v>85</v>
      </c>
      <c r="AL128">
        <v>0</v>
      </c>
      <c r="AM128">
        <v>0</v>
      </c>
      <c r="AN128" s="122">
        <v>3169</v>
      </c>
      <c r="AO128" s="122">
        <v>1174</v>
      </c>
      <c r="AP128" s="122">
        <v>2173</v>
      </c>
      <c r="AQ128" s="122">
        <v>805</v>
      </c>
      <c r="AR128" s="122">
        <v>5573</v>
      </c>
      <c r="AS128" s="122">
        <v>2064</v>
      </c>
      <c r="AT128">
        <v>0</v>
      </c>
      <c r="AU128">
        <v>0</v>
      </c>
      <c r="AV128" s="122">
        <v>7036</v>
      </c>
    </row>
    <row r="129" spans="2:48" ht="12.75" customHeight="1">
      <c r="B129" t="s">
        <v>363</v>
      </c>
      <c r="C129" t="s">
        <v>54</v>
      </c>
      <c r="D129" t="s">
        <v>406</v>
      </c>
      <c r="E129" t="s">
        <v>406</v>
      </c>
      <c r="F129">
        <v>470</v>
      </c>
      <c r="G129" s="122">
        <v>98923</v>
      </c>
      <c r="H129" s="122">
        <v>65983</v>
      </c>
      <c r="I129" s="122">
        <v>7715866</v>
      </c>
      <c r="J129" s="122">
        <v>7014424</v>
      </c>
      <c r="K129">
        <v>90</v>
      </c>
      <c r="L129" s="122">
        <v>1792243</v>
      </c>
      <c r="M129" s="122">
        <v>1607951</v>
      </c>
      <c r="N129" s="122">
        <v>2007170</v>
      </c>
      <c r="O129" s="122">
        <v>743396</v>
      </c>
      <c r="P129" s="122">
        <v>313636</v>
      </c>
      <c r="Q129" s="122">
        <v>116161</v>
      </c>
      <c r="R129" s="122">
        <v>2690365</v>
      </c>
      <c r="S129" s="122">
        <v>2445787</v>
      </c>
      <c r="T129" s="122">
        <v>105126</v>
      </c>
      <c r="U129" s="122">
        <v>38936</v>
      </c>
      <c r="V129" s="122">
        <v>11966654</v>
      </c>
      <c r="W129" s="122">
        <f t="shared" si="2"/>
        <v>11966655</v>
      </c>
      <c r="X129" s="122">
        <f t="shared" si="3"/>
        <v>14624406</v>
      </c>
      <c r="Y129" s="122"/>
      <c r="AA129" t="s">
        <v>48</v>
      </c>
      <c r="AB129" t="s">
        <v>408</v>
      </c>
      <c r="AC129" t="s">
        <v>566</v>
      </c>
      <c r="AD129" t="s">
        <v>408</v>
      </c>
      <c r="AE129" t="s">
        <v>137</v>
      </c>
      <c r="AF129">
        <v>7</v>
      </c>
      <c r="AG129" s="122">
        <v>1046</v>
      </c>
      <c r="AH129">
        <v>515</v>
      </c>
      <c r="AI129" s="122">
        <v>35243</v>
      </c>
      <c r="AJ129" s="122">
        <v>32039</v>
      </c>
      <c r="AK129">
        <v>94</v>
      </c>
      <c r="AL129" s="122">
        <v>0</v>
      </c>
      <c r="AM129">
        <v>0</v>
      </c>
      <c r="AN129" s="122">
        <v>12748</v>
      </c>
      <c r="AO129" s="122">
        <v>4721</v>
      </c>
      <c r="AP129" s="122">
        <v>15692</v>
      </c>
      <c r="AQ129" s="122">
        <v>5812</v>
      </c>
      <c r="AR129" s="122">
        <v>13303</v>
      </c>
      <c r="AS129" s="122">
        <v>12094</v>
      </c>
      <c r="AT129">
        <v>0</v>
      </c>
      <c r="AU129">
        <v>0</v>
      </c>
      <c r="AV129" s="122">
        <v>54666</v>
      </c>
    </row>
    <row r="130" spans="2:48" ht="12.75" hidden="1" customHeight="1">
      <c r="B130" t="s">
        <v>363</v>
      </c>
      <c r="C130" t="s">
        <v>54</v>
      </c>
      <c r="D130" t="s">
        <v>406</v>
      </c>
      <c r="E130" t="s">
        <v>426</v>
      </c>
      <c r="F130">
        <v>1</v>
      </c>
      <c r="G130">
        <v>277</v>
      </c>
      <c r="H130" s="122">
        <v>133</v>
      </c>
      <c r="I130" s="122">
        <v>29165</v>
      </c>
      <c r="J130" s="122">
        <v>26514</v>
      </c>
      <c r="K130">
        <v>97</v>
      </c>
      <c r="L130" s="122">
        <v>4974</v>
      </c>
      <c r="M130" s="122">
        <v>4522</v>
      </c>
      <c r="N130" s="122">
        <v>4792</v>
      </c>
      <c r="O130" s="122">
        <v>1775</v>
      </c>
      <c r="P130">
        <v>621</v>
      </c>
      <c r="Q130">
        <v>230</v>
      </c>
      <c r="R130" s="122">
        <v>3470</v>
      </c>
      <c r="S130" s="122">
        <v>3154</v>
      </c>
      <c r="T130" s="122">
        <v>2382</v>
      </c>
      <c r="U130">
        <v>882</v>
      </c>
      <c r="V130" s="122">
        <v>37077</v>
      </c>
      <c r="W130" s="122">
        <f t="shared" si="2"/>
        <v>37077</v>
      </c>
      <c r="X130" s="122">
        <f t="shared" si="3"/>
        <v>45404</v>
      </c>
      <c r="Y130" s="122"/>
      <c r="AA130" t="s">
        <v>48</v>
      </c>
      <c r="AB130" t="s">
        <v>408</v>
      </c>
      <c r="AC130" t="s">
        <v>566</v>
      </c>
      <c r="AD130" t="s">
        <v>408</v>
      </c>
      <c r="AE130" t="s">
        <v>566</v>
      </c>
      <c r="AF130">
        <v>8</v>
      </c>
      <c r="AG130" s="122">
        <v>1830</v>
      </c>
      <c r="AH130">
        <v>551</v>
      </c>
      <c r="AI130" s="122">
        <v>54402</v>
      </c>
      <c r="AJ130" s="122">
        <v>49457</v>
      </c>
      <c r="AK130">
        <v>88</v>
      </c>
      <c r="AL130" s="122">
        <v>1445</v>
      </c>
      <c r="AM130" s="122">
        <v>535</v>
      </c>
      <c r="AN130" s="122">
        <v>23502</v>
      </c>
      <c r="AO130" s="122">
        <v>8705</v>
      </c>
      <c r="AP130" s="122">
        <v>15706</v>
      </c>
      <c r="AQ130" s="122">
        <v>5817</v>
      </c>
      <c r="AR130" s="122">
        <v>26965</v>
      </c>
      <c r="AS130" s="122">
        <v>24513</v>
      </c>
      <c r="AT130">
        <v>0</v>
      </c>
      <c r="AU130">
        <v>0</v>
      </c>
      <c r="AV130" s="122">
        <v>89027</v>
      </c>
    </row>
    <row r="131" spans="2:48" ht="12.75" hidden="1" customHeight="1">
      <c r="B131" t="s">
        <v>363</v>
      </c>
      <c r="C131" t="s">
        <v>54</v>
      </c>
      <c r="D131" t="s">
        <v>427</v>
      </c>
      <c r="E131" t="s">
        <v>427</v>
      </c>
      <c r="F131" s="122">
        <v>1</v>
      </c>
      <c r="G131" s="122">
        <v>312</v>
      </c>
      <c r="H131" s="122">
        <v>127</v>
      </c>
      <c r="I131" s="122">
        <v>20524</v>
      </c>
      <c r="J131" s="122">
        <v>18658</v>
      </c>
      <c r="K131">
        <v>82</v>
      </c>
      <c r="L131" s="122">
        <v>5899</v>
      </c>
      <c r="M131" s="122">
        <v>5363</v>
      </c>
      <c r="N131" s="122">
        <v>3796</v>
      </c>
      <c r="O131" s="122">
        <v>1406</v>
      </c>
      <c r="P131" s="122">
        <v>621</v>
      </c>
      <c r="Q131" s="122">
        <v>230</v>
      </c>
      <c r="R131" s="122">
        <v>8822</v>
      </c>
      <c r="S131" s="122">
        <v>8020</v>
      </c>
      <c r="T131" s="122">
        <v>0</v>
      </c>
      <c r="U131" s="122">
        <v>0</v>
      </c>
      <c r="V131" s="122">
        <v>33677</v>
      </c>
      <c r="W131" s="122">
        <f t="shared" si="2"/>
        <v>33677</v>
      </c>
      <c r="X131" s="122">
        <f t="shared" si="3"/>
        <v>39662</v>
      </c>
      <c r="Y131" s="122"/>
      <c r="AA131" t="s">
        <v>48</v>
      </c>
      <c r="AB131" t="s">
        <v>408</v>
      </c>
      <c r="AC131" t="s">
        <v>433</v>
      </c>
      <c r="AD131" t="s">
        <v>408</v>
      </c>
      <c r="AE131" t="s">
        <v>566</v>
      </c>
      <c r="AF131">
        <v>4</v>
      </c>
      <c r="AG131" s="122">
        <v>1001</v>
      </c>
      <c r="AH131">
        <v>240</v>
      </c>
      <c r="AI131" s="122">
        <v>17338</v>
      </c>
      <c r="AJ131" s="122">
        <v>15762</v>
      </c>
      <c r="AK131">
        <v>90</v>
      </c>
      <c r="AL131" s="122">
        <v>2631</v>
      </c>
      <c r="AM131" s="122">
        <v>2392</v>
      </c>
      <c r="AN131" s="122">
        <v>13478</v>
      </c>
      <c r="AO131" s="122">
        <v>4992</v>
      </c>
      <c r="AP131" s="122">
        <v>10563</v>
      </c>
      <c r="AQ131" s="122">
        <v>3912</v>
      </c>
      <c r="AR131" s="122">
        <v>17982</v>
      </c>
      <c r="AS131" s="122">
        <v>16347</v>
      </c>
      <c r="AT131">
        <v>0</v>
      </c>
      <c r="AU131">
        <v>0</v>
      </c>
      <c r="AV131" s="122">
        <v>43405</v>
      </c>
    </row>
    <row r="132" spans="2:48" ht="12.75" hidden="1" customHeight="1">
      <c r="B132" t="s">
        <v>363</v>
      </c>
      <c r="C132" t="s">
        <v>54</v>
      </c>
      <c r="D132" t="s">
        <v>407</v>
      </c>
      <c r="E132" t="s">
        <v>407</v>
      </c>
      <c r="F132">
        <v>37</v>
      </c>
      <c r="G132" s="122">
        <v>6335</v>
      </c>
      <c r="H132" s="122">
        <v>5275</v>
      </c>
      <c r="I132" s="122">
        <v>505287</v>
      </c>
      <c r="J132" s="122">
        <v>459352</v>
      </c>
      <c r="K132">
        <v>84</v>
      </c>
      <c r="L132" s="122">
        <v>100577</v>
      </c>
      <c r="M132" s="122">
        <v>83582</v>
      </c>
      <c r="N132" s="122">
        <v>123517</v>
      </c>
      <c r="O132" s="122">
        <v>45747</v>
      </c>
      <c r="P132" s="122">
        <v>19933</v>
      </c>
      <c r="Q132" s="122">
        <v>7383</v>
      </c>
      <c r="R132" s="122">
        <v>216695</v>
      </c>
      <c r="S132" s="122">
        <v>196996</v>
      </c>
      <c r="T132" s="122">
        <v>7072</v>
      </c>
      <c r="U132" s="122">
        <v>2619</v>
      </c>
      <c r="V132" s="122">
        <v>795679</v>
      </c>
      <c r="W132" s="122">
        <f t="shared" si="2"/>
        <v>795679</v>
      </c>
      <c r="X132" s="122">
        <f t="shared" si="3"/>
        <v>973081</v>
      </c>
      <c r="Y132" s="122"/>
      <c r="AA132" t="s">
        <v>48</v>
      </c>
      <c r="AB132" t="s">
        <v>408</v>
      </c>
      <c r="AC132" t="s">
        <v>429</v>
      </c>
      <c r="AD132" t="s">
        <v>408</v>
      </c>
      <c r="AE132" t="s">
        <v>566</v>
      </c>
      <c r="AF132">
        <v>1</v>
      </c>
      <c r="AG132">
        <v>203</v>
      </c>
      <c r="AH132">
        <v>75</v>
      </c>
      <c r="AI132" s="122">
        <v>4611</v>
      </c>
      <c r="AJ132" s="122">
        <v>4192</v>
      </c>
      <c r="AK132">
        <v>65</v>
      </c>
      <c r="AL132">
        <v>555</v>
      </c>
      <c r="AM132">
        <v>505</v>
      </c>
      <c r="AN132" s="122">
        <v>2473</v>
      </c>
      <c r="AO132">
        <v>916</v>
      </c>
      <c r="AP132" s="122">
        <v>2023</v>
      </c>
      <c r="AQ132">
        <v>749</v>
      </c>
      <c r="AR132" s="122">
        <v>5485</v>
      </c>
      <c r="AS132" s="122">
        <v>4987</v>
      </c>
      <c r="AT132">
        <v>0</v>
      </c>
      <c r="AU132">
        <v>0</v>
      </c>
      <c r="AV132" s="122">
        <v>11348</v>
      </c>
    </row>
    <row r="133" spans="2:48" ht="12.75" hidden="1" customHeight="1">
      <c r="B133" t="s">
        <v>363</v>
      </c>
      <c r="C133" t="s">
        <v>56</v>
      </c>
      <c r="D133" t="s">
        <v>425</v>
      </c>
      <c r="E133" t="s">
        <v>425</v>
      </c>
      <c r="F133">
        <v>4</v>
      </c>
      <c r="G133" s="122">
        <v>710</v>
      </c>
      <c r="H133" s="122">
        <v>780</v>
      </c>
      <c r="I133" s="122">
        <v>73338</v>
      </c>
      <c r="J133" s="122">
        <v>66671</v>
      </c>
      <c r="K133">
        <v>80</v>
      </c>
      <c r="L133" s="122">
        <v>17942</v>
      </c>
      <c r="M133" s="122">
        <v>16311</v>
      </c>
      <c r="N133" s="122">
        <v>16032</v>
      </c>
      <c r="O133" s="122">
        <v>5938</v>
      </c>
      <c r="P133" s="122">
        <v>1890</v>
      </c>
      <c r="Q133" s="122">
        <v>700</v>
      </c>
      <c r="R133" s="122">
        <v>25936</v>
      </c>
      <c r="S133" s="122">
        <v>23578</v>
      </c>
      <c r="T133" s="122">
        <v>4418</v>
      </c>
      <c r="U133" s="122">
        <v>1636</v>
      </c>
      <c r="V133" s="122">
        <v>114834</v>
      </c>
      <c r="W133" s="122">
        <f t="shared" si="2"/>
        <v>114834</v>
      </c>
      <c r="X133" s="122">
        <f t="shared" si="3"/>
        <v>139556</v>
      </c>
      <c r="Y133" s="122"/>
      <c r="AA133" t="s">
        <v>48</v>
      </c>
      <c r="AB133" t="s">
        <v>429</v>
      </c>
      <c r="AC133" t="s">
        <v>566</v>
      </c>
      <c r="AD133" t="s">
        <v>429</v>
      </c>
      <c r="AE133" t="s">
        <v>566</v>
      </c>
      <c r="AF133">
        <v>1</v>
      </c>
      <c r="AG133">
        <v>102</v>
      </c>
      <c r="AH133">
        <v>75</v>
      </c>
      <c r="AI133" s="122">
        <v>4392</v>
      </c>
      <c r="AJ133" s="122">
        <v>3992</v>
      </c>
      <c r="AK133">
        <v>92</v>
      </c>
      <c r="AL133">
        <v>0</v>
      </c>
      <c r="AM133">
        <v>0</v>
      </c>
      <c r="AN133" s="122">
        <v>1245</v>
      </c>
      <c r="AO133" s="122">
        <v>461</v>
      </c>
      <c r="AP133" s="122">
        <v>351</v>
      </c>
      <c r="AQ133">
        <v>130</v>
      </c>
      <c r="AR133" s="122">
        <v>1649</v>
      </c>
      <c r="AS133" s="122">
        <v>1499</v>
      </c>
      <c r="AT133">
        <v>0</v>
      </c>
      <c r="AU133">
        <v>0</v>
      </c>
      <c r="AV133" s="122">
        <v>6082</v>
      </c>
    </row>
    <row r="134" spans="2:48" ht="12.75" hidden="1" customHeight="1">
      <c r="B134" t="s">
        <v>363</v>
      </c>
      <c r="C134" t="s">
        <v>56</v>
      </c>
      <c r="D134" t="s">
        <v>425</v>
      </c>
      <c r="E134" t="s">
        <v>405</v>
      </c>
      <c r="F134">
        <v>1</v>
      </c>
      <c r="G134">
        <v>237</v>
      </c>
      <c r="H134" s="122">
        <v>169</v>
      </c>
      <c r="I134" s="122">
        <v>24757</v>
      </c>
      <c r="J134" s="122">
        <v>22506</v>
      </c>
      <c r="K134">
        <v>81</v>
      </c>
      <c r="L134" s="122">
        <v>3535</v>
      </c>
      <c r="M134" s="122">
        <v>3213</v>
      </c>
      <c r="N134" s="122">
        <v>3259</v>
      </c>
      <c r="O134" s="122">
        <v>1207</v>
      </c>
      <c r="P134" s="122">
        <v>473</v>
      </c>
      <c r="Q134" s="122">
        <v>175</v>
      </c>
      <c r="R134" s="122">
        <v>8093</v>
      </c>
      <c r="S134" s="122">
        <v>7357</v>
      </c>
      <c r="T134" s="122">
        <v>0</v>
      </c>
      <c r="U134" s="122">
        <v>0</v>
      </c>
      <c r="V134" s="122">
        <v>34458</v>
      </c>
      <c r="W134" s="122">
        <f t="shared" si="2"/>
        <v>34458</v>
      </c>
      <c r="X134" s="122">
        <f t="shared" si="3"/>
        <v>40117</v>
      </c>
      <c r="Y134" s="122"/>
      <c r="AA134" t="s">
        <v>48</v>
      </c>
      <c r="AB134" t="s">
        <v>429</v>
      </c>
      <c r="AC134" t="s">
        <v>429</v>
      </c>
      <c r="AD134" t="s">
        <v>429</v>
      </c>
      <c r="AE134" t="s">
        <v>566</v>
      </c>
      <c r="AF134">
        <v>1</v>
      </c>
      <c r="AG134" s="122">
        <v>269</v>
      </c>
      <c r="AH134" s="122">
        <v>44</v>
      </c>
      <c r="AI134">
        <v>-289</v>
      </c>
      <c r="AJ134">
        <v>-263</v>
      </c>
      <c r="AK134">
        <v>93</v>
      </c>
      <c r="AL134">
        <v>-36</v>
      </c>
      <c r="AM134">
        <v>-32</v>
      </c>
      <c r="AN134" s="122">
        <v>3280</v>
      </c>
      <c r="AO134" s="122">
        <v>1215</v>
      </c>
      <c r="AP134" s="122">
        <v>2694</v>
      </c>
      <c r="AQ134" s="122">
        <v>998</v>
      </c>
      <c r="AR134" s="122">
        <v>6215</v>
      </c>
      <c r="AS134" s="122">
        <v>5650</v>
      </c>
      <c r="AT134">
        <v>0</v>
      </c>
      <c r="AU134">
        <v>0</v>
      </c>
      <c r="AV134" s="122">
        <v>7567</v>
      </c>
    </row>
    <row r="135" spans="2:48" ht="12.75" hidden="1" customHeight="1">
      <c r="B135" t="s">
        <v>363</v>
      </c>
      <c r="C135" t="s">
        <v>56</v>
      </c>
      <c r="D135" t="s">
        <v>405</v>
      </c>
      <c r="E135" t="s">
        <v>405</v>
      </c>
      <c r="F135">
        <v>85</v>
      </c>
      <c r="G135" s="122">
        <v>13100</v>
      </c>
      <c r="H135" s="122">
        <v>15621</v>
      </c>
      <c r="I135" s="122">
        <v>1346966</v>
      </c>
      <c r="J135" s="122">
        <v>1224514</v>
      </c>
      <c r="K135">
        <v>82</v>
      </c>
      <c r="L135" s="122">
        <v>294488</v>
      </c>
      <c r="M135" s="122">
        <v>246560</v>
      </c>
      <c r="N135" s="122">
        <v>284935</v>
      </c>
      <c r="O135" s="122">
        <v>105532</v>
      </c>
      <c r="P135" s="122">
        <v>45509</v>
      </c>
      <c r="Q135" s="122">
        <v>16855</v>
      </c>
      <c r="R135" s="122">
        <v>454298</v>
      </c>
      <c r="S135" s="122">
        <v>412998</v>
      </c>
      <c r="T135" s="122">
        <v>39597</v>
      </c>
      <c r="U135" s="122">
        <v>14666</v>
      </c>
      <c r="V135" s="122">
        <v>2021125</v>
      </c>
      <c r="W135" s="122">
        <f t="shared" ref="W135:W198" si="4">SUM(ABS(J135),ABS(M135),ABS(O135),ABS(Q135),ABS(S135),ABS(U135))</f>
        <v>2021125</v>
      </c>
      <c r="X135" s="122">
        <f t="shared" ref="X135:X198" si="5">SUM(ABS(I135),ABS(N135),ABS(P135),ABS(R135),ABS(T135),ABS(L135))</f>
        <v>2465793</v>
      </c>
      <c r="Y135" s="122"/>
      <c r="AA135" t="s">
        <v>50</v>
      </c>
      <c r="AC135" t="s">
        <v>566</v>
      </c>
      <c r="AE135" t="s">
        <v>566</v>
      </c>
      <c r="AF135">
        <v>22</v>
      </c>
      <c r="AG135" s="122">
        <v>3677</v>
      </c>
      <c r="AH135" s="122">
        <v>1942</v>
      </c>
      <c r="AI135" s="122"/>
      <c r="AJ135" s="122">
        <v>0</v>
      </c>
      <c r="AL135" s="122"/>
      <c r="AM135" s="122">
        <v>0</v>
      </c>
      <c r="AN135" s="122">
        <v>53834</v>
      </c>
      <c r="AO135" s="122">
        <v>19938</v>
      </c>
      <c r="AP135" s="122">
        <v>17224</v>
      </c>
      <c r="AQ135" s="122">
        <v>6379</v>
      </c>
      <c r="AR135" s="122"/>
      <c r="AS135" s="122">
        <v>0</v>
      </c>
      <c r="AT135">
        <v>0</v>
      </c>
      <c r="AU135">
        <v>0</v>
      </c>
      <c r="AV135" s="122">
        <v>26318</v>
      </c>
    </row>
    <row r="136" spans="2:48" ht="12.75" hidden="1" customHeight="1">
      <c r="B136" t="s">
        <v>363</v>
      </c>
      <c r="C136" t="s">
        <v>56</v>
      </c>
      <c r="D136" t="s">
        <v>405</v>
      </c>
      <c r="E136" t="s">
        <v>137</v>
      </c>
      <c r="F136">
        <v>1</v>
      </c>
      <c r="G136" s="122">
        <v>286</v>
      </c>
      <c r="H136" s="122">
        <v>210</v>
      </c>
      <c r="I136" s="122">
        <v>32561</v>
      </c>
      <c r="J136" s="122">
        <v>29601</v>
      </c>
      <c r="K136">
        <v>92</v>
      </c>
      <c r="L136" s="122">
        <v>10564</v>
      </c>
      <c r="M136" s="122">
        <v>9604</v>
      </c>
      <c r="N136" s="122">
        <v>6977</v>
      </c>
      <c r="O136" s="122">
        <v>2584</v>
      </c>
      <c r="P136" s="122">
        <v>473</v>
      </c>
      <c r="Q136" s="122">
        <v>175</v>
      </c>
      <c r="R136" s="122">
        <v>9628</v>
      </c>
      <c r="S136" s="122">
        <v>3566</v>
      </c>
      <c r="T136" s="122">
        <v>0</v>
      </c>
      <c r="U136" s="122">
        <v>0</v>
      </c>
      <c r="V136" s="122">
        <v>45530</v>
      </c>
      <c r="W136" s="122">
        <f t="shared" si="4"/>
        <v>45530</v>
      </c>
      <c r="X136" s="122">
        <f t="shared" si="5"/>
        <v>60203</v>
      </c>
      <c r="Y136" s="122"/>
      <c r="AA136" t="s">
        <v>50</v>
      </c>
      <c r="AB136" t="s">
        <v>425</v>
      </c>
      <c r="AC136" t="s">
        <v>425</v>
      </c>
      <c r="AD136" t="s">
        <v>425</v>
      </c>
      <c r="AE136" t="s">
        <v>566</v>
      </c>
      <c r="AF136">
        <v>1</v>
      </c>
      <c r="AG136">
        <v>215</v>
      </c>
      <c r="AH136">
        <v>76</v>
      </c>
      <c r="AI136" s="122">
        <v>6460</v>
      </c>
      <c r="AJ136" s="122">
        <v>5873</v>
      </c>
      <c r="AK136">
        <v>300</v>
      </c>
      <c r="AL136" s="122">
        <v>2658</v>
      </c>
      <c r="AM136" s="122">
        <v>2417</v>
      </c>
      <c r="AN136" s="122">
        <v>2621</v>
      </c>
      <c r="AO136">
        <v>971</v>
      </c>
      <c r="AP136" s="122">
        <v>2307</v>
      </c>
      <c r="AQ136">
        <v>854</v>
      </c>
      <c r="AR136" s="122">
        <v>2245</v>
      </c>
      <c r="AS136" s="122">
        <v>2041</v>
      </c>
      <c r="AT136">
        <v>0</v>
      </c>
      <c r="AU136">
        <v>0</v>
      </c>
      <c r="AV136" s="122">
        <v>12155</v>
      </c>
    </row>
    <row r="137" spans="2:48" ht="12.75" hidden="1" customHeight="1">
      <c r="B137" t="s">
        <v>363</v>
      </c>
      <c r="C137" t="s">
        <v>56</v>
      </c>
      <c r="D137" t="s">
        <v>137</v>
      </c>
      <c r="E137" t="s">
        <v>137</v>
      </c>
      <c r="F137" s="122">
        <v>26</v>
      </c>
      <c r="G137" s="122">
        <v>5251</v>
      </c>
      <c r="H137" s="122">
        <v>5128</v>
      </c>
      <c r="I137" s="122">
        <v>660570</v>
      </c>
      <c r="J137" s="122">
        <v>244656</v>
      </c>
      <c r="K137">
        <v>177</v>
      </c>
      <c r="L137" s="122">
        <v>93469</v>
      </c>
      <c r="M137" s="122">
        <v>78723</v>
      </c>
      <c r="N137" s="122">
        <v>121040</v>
      </c>
      <c r="O137" s="122">
        <v>44830</v>
      </c>
      <c r="P137" s="122">
        <v>7220</v>
      </c>
      <c r="Q137" s="122">
        <v>2674</v>
      </c>
      <c r="R137" s="122">
        <v>216678</v>
      </c>
      <c r="S137" s="122">
        <v>80251</v>
      </c>
      <c r="T137" s="122">
        <v>0</v>
      </c>
      <c r="U137" s="122">
        <v>0</v>
      </c>
      <c r="V137" s="122">
        <v>451133</v>
      </c>
      <c r="W137" s="122">
        <f t="shared" si="4"/>
        <v>451134</v>
      </c>
      <c r="X137" s="122">
        <f t="shared" si="5"/>
        <v>1098977</v>
      </c>
      <c r="Y137" s="122"/>
      <c r="AA137" t="s">
        <v>50</v>
      </c>
      <c r="AB137" t="s">
        <v>425</v>
      </c>
      <c r="AC137" t="s">
        <v>405</v>
      </c>
      <c r="AD137" t="s">
        <v>405</v>
      </c>
      <c r="AE137" t="s">
        <v>566</v>
      </c>
      <c r="AF137">
        <v>1</v>
      </c>
      <c r="AG137">
        <v>198</v>
      </c>
      <c r="AH137">
        <v>93</v>
      </c>
      <c r="AI137" s="122">
        <v>8368</v>
      </c>
      <c r="AJ137" s="122">
        <v>7608</v>
      </c>
      <c r="AK137">
        <v>91</v>
      </c>
      <c r="AL137" s="122">
        <v>1464</v>
      </c>
      <c r="AM137" s="122">
        <v>1331</v>
      </c>
      <c r="AN137" s="122">
        <v>2410</v>
      </c>
      <c r="AO137" s="122">
        <v>893</v>
      </c>
      <c r="AP137" s="122">
        <v>2167</v>
      </c>
      <c r="AQ137">
        <v>803</v>
      </c>
      <c r="AR137" s="122">
        <v>3958</v>
      </c>
      <c r="AS137" s="122">
        <v>3598</v>
      </c>
      <c r="AT137">
        <v>0</v>
      </c>
      <c r="AU137">
        <v>0</v>
      </c>
      <c r="AV137" s="122">
        <v>14231</v>
      </c>
    </row>
    <row r="138" spans="2:48" ht="12.75" hidden="1" customHeight="1">
      <c r="B138" t="s">
        <v>363</v>
      </c>
      <c r="C138" t="s">
        <v>56</v>
      </c>
      <c r="D138" t="s">
        <v>406</v>
      </c>
      <c r="E138" t="s">
        <v>425</v>
      </c>
      <c r="F138">
        <v>3</v>
      </c>
      <c r="G138" s="122">
        <v>427</v>
      </c>
      <c r="H138" s="122">
        <v>585</v>
      </c>
      <c r="I138" s="122">
        <v>52360</v>
      </c>
      <c r="J138" s="122">
        <v>47600</v>
      </c>
      <c r="K138">
        <v>77</v>
      </c>
      <c r="L138" s="122">
        <v>9509</v>
      </c>
      <c r="M138" s="122">
        <v>8645</v>
      </c>
      <c r="N138" s="122">
        <v>10516</v>
      </c>
      <c r="O138" s="122">
        <v>3895</v>
      </c>
      <c r="P138" s="122">
        <v>1863</v>
      </c>
      <c r="Q138" s="122">
        <v>690</v>
      </c>
      <c r="R138" s="122">
        <v>18331</v>
      </c>
      <c r="S138" s="122">
        <v>16664</v>
      </c>
      <c r="T138" s="122">
        <v>2914</v>
      </c>
      <c r="U138" s="122">
        <v>1079</v>
      </c>
      <c r="V138" s="122">
        <v>78573</v>
      </c>
      <c r="W138" s="122">
        <f t="shared" si="4"/>
        <v>78573</v>
      </c>
      <c r="X138" s="122">
        <f t="shared" si="5"/>
        <v>95493</v>
      </c>
      <c r="Y138" s="122"/>
      <c r="AA138" t="s">
        <v>50</v>
      </c>
      <c r="AB138" t="s">
        <v>425</v>
      </c>
      <c r="AC138" t="s">
        <v>427</v>
      </c>
      <c r="AD138" t="s">
        <v>425</v>
      </c>
      <c r="AE138" t="s">
        <v>566</v>
      </c>
      <c r="AF138">
        <v>1</v>
      </c>
      <c r="AG138">
        <v>251</v>
      </c>
      <c r="AH138">
        <v>95</v>
      </c>
      <c r="AI138" s="122">
        <v>12979</v>
      </c>
      <c r="AJ138" s="122">
        <v>11799</v>
      </c>
      <c r="AK138">
        <v>90</v>
      </c>
      <c r="AL138" s="122">
        <v>4341</v>
      </c>
      <c r="AM138" s="122">
        <v>3946</v>
      </c>
      <c r="AN138" s="122">
        <v>3605</v>
      </c>
      <c r="AO138" s="122">
        <v>1335</v>
      </c>
      <c r="AP138" s="122">
        <v>473</v>
      </c>
      <c r="AQ138">
        <v>175</v>
      </c>
      <c r="AR138" s="122">
        <v>2401</v>
      </c>
      <c r="AS138" s="122">
        <v>2183</v>
      </c>
      <c r="AT138">
        <v>0</v>
      </c>
      <c r="AU138">
        <v>0</v>
      </c>
      <c r="AV138" s="122">
        <v>19438</v>
      </c>
    </row>
    <row r="139" spans="2:48" ht="12.75" hidden="1" customHeight="1">
      <c r="B139" t="s">
        <v>363</v>
      </c>
      <c r="C139" t="s">
        <v>56</v>
      </c>
      <c r="D139" t="s">
        <v>406</v>
      </c>
      <c r="E139" t="s">
        <v>406</v>
      </c>
      <c r="F139" s="122">
        <v>2230</v>
      </c>
      <c r="G139" s="122">
        <v>387105</v>
      </c>
      <c r="H139" s="122">
        <v>418715</v>
      </c>
      <c r="I139" s="122">
        <v>41465476</v>
      </c>
      <c r="J139" s="122">
        <v>37695887</v>
      </c>
      <c r="K139">
        <v>85</v>
      </c>
      <c r="L139" s="122">
        <v>9529832</v>
      </c>
      <c r="M139" s="122">
        <v>8551552</v>
      </c>
      <c r="N139" s="122">
        <v>8418182</v>
      </c>
      <c r="O139" s="122">
        <v>3117845</v>
      </c>
      <c r="P139" s="122">
        <v>1452022</v>
      </c>
      <c r="Q139" s="122">
        <v>537786</v>
      </c>
      <c r="R139" s="122">
        <v>12920642</v>
      </c>
      <c r="S139" s="122">
        <v>11746039</v>
      </c>
      <c r="T139" s="122">
        <v>2394211</v>
      </c>
      <c r="U139" s="122">
        <v>886745</v>
      </c>
      <c r="V139" s="122">
        <v>62535853</v>
      </c>
      <c r="W139" s="122">
        <f t="shared" si="4"/>
        <v>62535854</v>
      </c>
      <c r="X139" s="122">
        <f t="shared" si="5"/>
        <v>76180365</v>
      </c>
      <c r="Y139" s="122"/>
      <c r="AA139" t="s">
        <v>50</v>
      </c>
      <c r="AB139" t="s">
        <v>425</v>
      </c>
      <c r="AC139" t="s">
        <v>426</v>
      </c>
      <c r="AD139" t="s">
        <v>425</v>
      </c>
      <c r="AE139" t="s">
        <v>566</v>
      </c>
      <c r="AF139">
        <v>2</v>
      </c>
      <c r="AG139">
        <v>494</v>
      </c>
      <c r="AH139">
        <v>169</v>
      </c>
      <c r="AI139" s="122">
        <v>22116</v>
      </c>
      <c r="AJ139" s="122">
        <v>20105</v>
      </c>
      <c r="AK139">
        <v>92</v>
      </c>
      <c r="AL139" s="122">
        <v>2841</v>
      </c>
      <c r="AM139" s="122">
        <v>2583</v>
      </c>
      <c r="AN139" s="122">
        <v>6022</v>
      </c>
      <c r="AO139" s="122">
        <v>2230</v>
      </c>
      <c r="AP139" s="122">
        <v>1647</v>
      </c>
      <c r="AQ139">
        <v>610</v>
      </c>
      <c r="AR139" s="122">
        <v>8934</v>
      </c>
      <c r="AS139" s="122">
        <v>8121</v>
      </c>
      <c r="AT139">
        <v>0</v>
      </c>
      <c r="AU139">
        <v>0</v>
      </c>
      <c r="AV139" s="122">
        <v>33650</v>
      </c>
    </row>
    <row r="140" spans="2:48" ht="12.75" hidden="1" customHeight="1">
      <c r="B140" t="s">
        <v>363</v>
      </c>
      <c r="C140" t="s">
        <v>56</v>
      </c>
      <c r="D140" t="s">
        <v>406</v>
      </c>
      <c r="E140" t="s">
        <v>408</v>
      </c>
      <c r="F140">
        <v>1</v>
      </c>
      <c r="G140">
        <v>198</v>
      </c>
      <c r="H140">
        <v>183</v>
      </c>
      <c r="I140" s="122">
        <v>21652</v>
      </c>
      <c r="J140" s="122">
        <v>19684</v>
      </c>
      <c r="K140">
        <v>86</v>
      </c>
      <c r="L140" s="122">
        <v>3013</v>
      </c>
      <c r="M140" s="122">
        <v>2739</v>
      </c>
      <c r="N140" s="122">
        <v>3789</v>
      </c>
      <c r="O140" s="122">
        <v>1403</v>
      </c>
      <c r="P140" s="122">
        <v>621</v>
      </c>
      <c r="Q140">
        <v>230</v>
      </c>
      <c r="R140" s="122">
        <v>7204</v>
      </c>
      <c r="S140" s="122">
        <v>6549</v>
      </c>
      <c r="T140" s="122">
        <v>0</v>
      </c>
      <c r="U140" s="122">
        <v>0</v>
      </c>
      <c r="V140" s="122">
        <v>30605</v>
      </c>
      <c r="W140" s="122">
        <f t="shared" si="4"/>
        <v>30605</v>
      </c>
      <c r="X140" s="122">
        <f t="shared" si="5"/>
        <v>36279</v>
      </c>
      <c r="Y140" s="122"/>
      <c r="AA140" t="s">
        <v>50</v>
      </c>
      <c r="AB140" t="s">
        <v>405</v>
      </c>
      <c r="AC140" t="s">
        <v>578</v>
      </c>
      <c r="AD140" t="s">
        <v>405</v>
      </c>
      <c r="AE140" t="s">
        <v>566</v>
      </c>
      <c r="AF140">
        <v>1</v>
      </c>
      <c r="AG140">
        <v>260</v>
      </c>
      <c r="AH140">
        <v>95</v>
      </c>
      <c r="AI140" s="122">
        <v>12525</v>
      </c>
      <c r="AJ140" s="122">
        <v>11387</v>
      </c>
      <c r="AK140">
        <v>88</v>
      </c>
      <c r="AL140" s="122">
        <v>1891</v>
      </c>
      <c r="AM140" s="122">
        <v>1719</v>
      </c>
      <c r="AN140" s="122">
        <v>3454</v>
      </c>
      <c r="AO140" s="122">
        <v>1279</v>
      </c>
      <c r="AP140" s="122">
        <v>473</v>
      </c>
      <c r="AQ140">
        <v>175</v>
      </c>
      <c r="AR140" s="122">
        <v>6367</v>
      </c>
      <c r="AS140" s="122">
        <v>5788</v>
      </c>
      <c r="AT140" s="122">
        <v>0</v>
      </c>
      <c r="AU140">
        <v>0</v>
      </c>
      <c r="AV140" s="122">
        <v>20347</v>
      </c>
    </row>
    <row r="141" spans="2:48" ht="12.75" hidden="1" customHeight="1">
      <c r="B141" t="s">
        <v>363</v>
      </c>
      <c r="C141" t="s">
        <v>56</v>
      </c>
      <c r="D141" t="s">
        <v>407</v>
      </c>
      <c r="E141" t="s">
        <v>137</v>
      </c>
      <c r="F141">
        <v>1</v>
      </c>
      <c r="G141">
        <v>115</v>
      </c>
      <c r="H141">
        <v>196</v>
      </c>
      <c r="I141" s="122">
        <v>10927</v>
      </c>
      <c r="J141" s="122">
        <v>9934</v>
      </c>
      <c r="K141">
        <v>72</v>
      </c>
      <c r="L141" s="122">
        <v>2146</v>
      </c>
      <c r="M141" s="122">
        <v>795</v>
      </c>
      <c r="N141" s="122">
        <v>2797</v>
      </c>
      <c r="O141" s="122">
        <v>1036</v>
      </c>
      <c r="P141" s="122">
        <v>1025</v>
      </c>
      <c r="Q141">
        <v>379</v>
      </c>
      <c r="R141" s="122">
        <v>5581</v>
      </c>
      <c r="S141" s="122">
        <v>2067</v>
      </c>
      <c r="T141" s="122">
        <v>0</v>
      </c>
      <c r="U141">
        <v>0</v>
      </c>
      <c r="V141" s="122">
        <v>14211</v>
      </c>
      <c r="W141" s="122">
        <f t="shared" si="4"/>
        <v>14211</v>
      </c>
      <c r="X141" s="122">
        <f t="shared" si="5"/>
        <v>22476</v>
      </c>
      <c r="Y141" s="122"/>
      <c r="AA141" t="s">
        <v>50</v>
      </c>
      <c r="AB141" t="s">
        <v>405</v>
      </c>
      <c r="AC141" t="s">
        <v>405</v>
      </c>
      <c r="AD141" t="s">
        <v>405</v>
      </c>
      <c r="AE141" t="s">
        <v>137</v>
      </c>
      <c r="AF141">
        <v>1</v>
      </c>
      <c r="AG141" s="122">
        <v>464</v>
      </c>
      <c r="AH141">
        <v>77</v>
      </c>
      <c r="AI141" s="122">
        <v>21701</v>
      </c>
      <c r="AJ141" s="122">
        <v>19728</v>
      </c>
      <c r="AK141">
        <v>92</v>
      </c>
      <c r="AL141" s="122">
        <v>2735</v>
      </c>
      <c r="AM141" s="122">
        <v>2486</v>
      </c>
      <c r="AN141" s="122">
        <v>5649</v>
      </c>
      <c r="AO141" s="122">
        <v>2092</v>
      </c>
      <c r="AP141" s="122">
        <v>1296</v>
      </c>
      <c r="AQ141" s="122">
        <v>480</v>
      </c>
      <c r="AR141" s="122">
        <v>2840</v>
      </c>
      <c r="AS141" s="122">
        <v>2582</v>
      </c>
      <c r="AT141" s="122">
        <v>1375</v>
      </c>
      <c r="AU141">
        <v>509</v>
      </c>
      <c r="AV141" s="122">
        <v>27878</v>
      </c>
    </row>
    <row r="142" spans="2:48" ht="12.75" hidden="1" customHeight="1">
      <c r="B142" t="s">
        <v>363</v>
      </c>
      <c r="C142" t="s">
        <v>56</v>
      </c>
      <c r="D142" t="s">
        <v>407</v>
      </c>
      <c r="E142" t="s">
        <v>407</v>
      </c>
      <c r="F142">
        <v>227</v>
      </c>
      <c r="G142" s="122">
        <v>37298</v>
      </c>
      <c r="H142" s="122">
        <v>40751</v>
      </c>
      <c r="I142" s="122">
        <v>3655593</v>
      </c>
      <c r="J142" s="122">
        <v>3323267</v>
      </c>
      <c r="K142">
        <v>80</v>
      </c>
      <c r="L142" s="122">
        <v>853287</v>
      </c>
      <c r="M142" s="122">
        <v>758691</v>
      </c>
      <c r="N142" s="122">
        <v>790215</v>
      </c>
      <c r="O142" s="122">
        <v>292672</v>
      </c>
      <c r="P142" s="122">
        <v>111212</v>
      </c>
      <c r="Q142" s="122">
        <v>41190</v>
      </c>
      <c r="R142" s="122">
        <v>1405370</v>
      </c>
      <c r="S142" s="122">
        <v>1277610</v>
      </c>
      <c r="T142" s="122">
        <v>91561</v>
      </c>
      <c r="U142" s="122">
        <v>33912</v>
      </c>
      <c r="V142" s="122">
        <v>5727341</v>
      </c>
      <c r="W142" s="122">
        <f t="shared" si="4"/>
        <v>5727342</v>
      </c>
      <c r="X142" s="122">
        <f t="shared" si="5"/>
        <v>6907238</v>
      </c>
      <c r="Y142" s="122"/>
      <c r="AA142" t="s">
        <v>50</v>
      </c>
      <c r="AB142" t="s">
        <v>405</v>
      </c>
      <c r="AC142" t="s">
        <v>405</v>
      </c>
      <c r="AD142" t="s">
        <v>405</v>
      </c>
      <c r="AE142" t="s">
        <v>566</v>
      </c>
      <c r="AF142">
        <v>11</v>
      </c>
      <c r="AG142" s="122">
        <v>3683</v>
      </c>
      <c r="AH142">
        <v>991</v>
      </c>
      <c r="AI142" s="122">
        <v>186727</v>
      </c>
      <c r="AJ142" s="122">
        <v>169752</v>
      </c>
      <c r="AK142">
        <v>91</v>
      </c>
      <c r="AL142" s="122">
        <v>25569</v>
      </c>
      <c r="AM142" s="122">
        <v>23245</v>
      </c>
      <c r="AN142" s="122">
        <v>70223</v>
      </c>
      <c r="AO142" s="122">
        <v>26009</v>
      </c>
      <c r="AP142" s="122">
        <v>18118</v>
      </c>
      <c r="AQ142" s="122">
        <v>6711</v>
      </c>
      <c r="AR142" s="122">
        <v>50087</v>
      </c>
      <c r="AS142" s="122">
        <v>45533</v>
      </c>
      <c r="AT142">
        <v>0</v>
      </c>
      <c r="AU142">
        <v>0</v>
      </c>
      <c r="AV142" s="122">
        <v>271249</v>
      </c>
    </row>
    <row r="143" spans="2:48" ht="12.75" hidden="1" customHeight="1">
      <c r="B143" t="s">
        <v>363</v>
      </c>
      <c r="C143" t="s">
        <v>56</v>
      </c>
      <c r="D143" t="s">
        <v>407</v>
      </c>
      <c r="E143" t="s">
        <v>426</v>
      </c>
      <c r="F143">
        <v>1</v>
      </c>
      <c r="G143">
        <v>163</v>
      </c>
      <c r="H143" s="122">
        <v>198</v>
      </c>
      <c r="I143" s="122">
        <v>20029</v>
      </c>
      <c r="J143" s="122">
        <v>18208</v>
      </c>
      <c r="K143">
        <v>81</v>
      </c>
      <c r="L143" s="122">
        <v>2626</v>
      </c>
      <c r="M143" s="122">
        <v>2387</v>
      </c>
      <c r="N143" s="122">
        <v>1990</v>
      </c>
      <c r="O143" s="122">
        <v>737</v>
      </c>
      <c r="P143" s="122">
        <v>473</v>
      </c>
      <c r="Q143" s="122">
        <v>175</v>
      </c>
      <c r="R143" s="122">
        <v>3998</v>
      </c>
      <c r="S143" s="122">
        <v>3635</v>
      </c>
      <c r="T143" s="122">
        <v>3162</v>
      </c>
      <c r="U143" s="122">
        <v>1171</v>
      </c>
      <c r="V143" s="122">
        <v>26313</v>
      </c>
      <c r="W143" s="122">
        <f t="shared" si="4"/>
        <v>26313</v>
      </c>
      <c r="X143" s="122">
        <f t="shared" si="5"/>
        <v>32278</v>
      </c>
      <c r="Y143" s="122"/>
      <c r="AA143" t="s">
        <v>50</v>
      </c>
      <c r="AB143" t="s">
        <v>405</v>
      </c>
      <c r="AC143" t="s">
        <v>137</v>
      </c>
      <c r="AD143" t="s">
        <v>405</v>
      </c>
      <c r="AE143" t="s">
        <v>566</v>
      </c>
      <c r="AF143">
        <v>8</v>
      </c>
      <c r="AG143" s="122">
        <v>1925</v>
      </c>
      <c r="AH143">
        <v>720</v>
      </c>
      <c r="AI143" s="122">
        <v>72536</v>
      </c>
      <c r="AJ143" s="122">
        <v>65942</v>
      </c>
      <c r="AK143">
        <v>91</v>
      </c>
      <c r="AL143" s="122">
        <v>19439</v>
      </c>
      <c r="AM143" s="122">
        <v>7200</v>
      </c>
      <c r="AN143" s="122">
        <v>27575</v>
      </c>
      <c r="AO143" s="122">
        <v>10213</v>
      </c>
      <c r="AP143" s="122">
        <v>8447</v>
      </c>
      <c r="AQ143" s="122">
        <v>3129</v>
      </c>
      <c r="AR143" s="122">
        <v>45570</v>
      </c>
      <c r="AS143" s="122">
        <v>41427</v>
      </c>
      <c r="AT143">
        <v>0</v>
      </c>
      <c r="AU143">
        <v>0</v>
      </c>
      <c r="AV143" s="122">
        <v>127910</v>
      </c>
    </row>
    <row r="144" spans="2:48" ht="12.75" hidden="1" customHeight="1">
      <c r="B144" t="s">
        <v>363</v>
      </c>
      <c r="C144" t="s">
        <v>56</v>
      </c>
      <c r="D144" t="s">
        <v>426</v>
      </c>
      <c r="E144" t="s">
        <v>426</v>
      </c>
      <c r="F144" s="122">
        <v>13</v>
      </c>
      <c r="G144" s="122">
        <v>2749</v>
      </c>
      <c r="H144" s="122">
        <v>2635</v>
      </c>
      <c r="I144" s="122">
        <v>373164</v>
      </c>
      <c r="J144" s="122">
        <v>339240</v>
      </c>
      <c r="K144">
        <v>67</v>
      </c>
      <c r="L144" s="122">
        <v>33862</v>
      </c>
      <c r="M144" s="122">
        <v>30784</v>
      </c>
      <c r="N144" s="122">
        <v>46419</v>
      </c>
      <c r="O144" s="122">
        <v>17192</v>
      </c>
      <c r="P144" s="122">
        <v>6264</v>
      </c>
      <c r="Q144" s="122">
        <v>2320</v>
      </c>
      <c r="R144" s="122">
        <v>89370</v>
      </c>
      <c r="S144" s="122">
        <v>81245</v>
      </c>
      <c r="T144" s="122">
        <v>29776</v>
      </c>
      <c r="U144" s="122">
        <v>11028</v>
      </c>
      <c r="V144" s="122">
        <v>481809</v>
      </c>
      <c r="W144" s="122">
        <f t="shared" si="4"/>
        <v>481809</v>
      </c>
      <c r="X144" s="122">
        <f t="shared" si="5"/>
        <v>578855</v>
      </c>
      <c r="Y144" s="122"/>
      <c r="AA144" t="s">
        <v>50</v>
      </c>
      <c r="AB144" t="s">
        <v>405</v>
      </c>
      <c r="AC144" t="s">
        <v>427</v>
      </c>
      <c r="AD144" t="s">
        <v>405</v>
      </c>
      <c r="AE144" t="s">
        <v>566</v>
      </c>
      <c r="AF144">
        <v>1</v>
      </c>
      <c r="AG144">
        <v>255</v>
      </c>
      <c r="AH144">
        <v>95</v>
      </c>
      <c r="AI144" s="122">
        <v>9725</v>
      </c>
      <c r="AJ144" s="122">
        <v>8841</v>
      </c>
      <c r="AK144">
        <v>91</v>
      </c>
      <c r="AL144" s="122">
        <v>3288</v>
      </c>
      <c r="AM144" s="122">
        <v>2989</v>
      </c>
      <c r="AN144" s="122">
        <v>5686</v>
      </c>
      <c r="AO144" s="122">
        <v>2106</v>
      </c>
      <c r="AP144" s="122">
        <v>3049</v>
      </c>
      <c r="AQ144" s="122">
        <v>1129</v>
      </c>
      <c r="AR144" s="122">
        <v>2408</v>
      </c>
      <c r="AS144" s="122">
        <v>2189</v>
      </c>
      <c r="AT144">
        <v>0</v>
      </c>
      <c r="AU144">
        <v>0</v>
      </c>
      <c r="AV144" s="122">
        <v>17254</v>
      </c>
    </row>
    <row r="145" spans="2:48" ht="12.75" hidden="1" customHeight="1">
      <c r="B145" t="s">
        <v>363</v>
      </c>
      <c r="C145" t="s">
        <v>56</v>
      </c>
      <c r="D145" t="s">
        <v>433</v>
      </c>
      <c r="E145" t="s">
        <v>433</v>
      </c>
      <c r="F145">
        <v>1</v>
      </c>
      <c r="G145" s="122">
        <v>156</v>
      </c>
      <c r="H145" s="122">
        <v>186</v>
      </c>
      <c r="I145" s="122">
        <v>24426</v>
      </c>
      <c r="J145" s="122">
        <v>22206</v>
      </c>
      <c r="K145">
        <v>75</v>
      </c>
      <c r="L145" s="122">
        <v>6821</v>
      </c>
      <c r="M145" s="122">
        <v>6201</v>
      </c>
      <c r="N145" s="122">
        <v>6055</v>
      </c>
      <c r="O145" s="122">
        <v>2243</v>
      </c>
      <c r="P145" s="122">
        <v>351</v>
      </c>
      <c r="Q145" s="122">
        <v>130</v>
      </c>
      <c r="R145" s="122">
        <v>4806</v>
      </c>
      <c r="S145" s="122">
        <v>4369</v>
      </c>
      <c r="T145" s="122">
        <v>3837</v>
      </c>
      <c r="U145" s="122">
        <v>1421</v>
      </c>
      <c r="V145" s="122">
        <v>36570</v>
      </c>
      <c r="W145" s="122">
        <f t="shared" si="4"/>
        <v>36570</v>
      </c>
      <c r="X145" s="122">
        <f t="shared" si="5"/>
        <v>46296</v>
      </c>
      <c r="Y145" s="122"/>
      <c r="AA145" t="s">
        <v>50</v>
      </c>
      <c r="AB145" t="s">
        <v>405</v>
      </c>
      <c r="AC145" t="s">
        <v>579</v>
      </c>
      <c r="AD145" t="s">
        <v>405</v>
      </c>
      <c r="AE145" t="s">
        <v>566</v>
      </c>
      <c r="AF145">
        <v>2</v>
      </c>
      <c r="AG145">
        <v>610</v>
      </c>
      <c r="AH145">
        <v>195</v>
      </c>
      <c r="AI145" s="122">
        <v>29395</v>
      </c>
      <c r="AJ145" s="122">
        <v>26722</v>
      </c>
      <c r="AK145">
        <v>92</v>
      </c>
      <c r="AL145" s="122">
        <v>5348</v>
      </c>
      <c r="AM145" s="122">
        <v>4456</v>
      </c>
      <c r="AN145" s="122">
        <v>10487</v>
      </c>
      <c r="AO145" s="122">
        <v>3884</v>
      </c>
      <c r="AP145">
        <v>945</v>
      </c>
      <c r="AQ145">
        <v>350</v>
      </c>
      <c r="AR145" s="122">
        <v>13271</v>
      </c>
      <c r="AS145" s="122">
        <v>12064</v>
      </c>
      <c r="AT145">
        <v>0</v>
      </c>
      <c r="AU145">
        <v>0</v>
      </c>
      <c r="AV145" s="122">
        <v>47477</v>
      </c>
    </row>
    <row r="146" spans="2:48" ht="12.75" hidden="1" customHeight="1">
      <c r="B146" t="s">
        <v>363</v>
      </c>
      <c r="C146" t="s">
        <v>56</v>
      </c>
      <c r="D146" t="s">
        <v>408</v>
      </c>
      <c r="E146" t="s">
        <v>408</v>
      </c>
      <c r="F146" s="122">
        <v>9</v>
      </c>
      <c r="G146" s="122">
        <v>2108</v>
      </c>
      <c r="H146" s="122">
        <v>1672</v>
      </c>
      <c r="I146" s="122">
        <v>233655</v>
      </c>
      <c r="J146" s="122">
        <v>212414</v>
      </c>
      <c r="K146">
        <v>75</v>
      </c>
      <c r="L146" s="122">
        <v>33055</v>
      </c>
      <c r="M146" s="122">
        <v>30050</v>
      </c>
      <c r="N146" s="122">
        <v>44875</v>
      </c>
      <c r="O146" s="122">
        <v>16621</v>
      </c>
      <c r="P146" s="122">
        <v>4685</v>
      </c>
      <c r="Q146" s="122">
        <v>1735</v>
      </c>
      <c r="R146" s="122">
        <v>55650</v>
      </c>
      <c r="S146" s="122">
        <v>50591</v>
      </c>
      <c r="T146" s="122">
        <v>17787</v>
      </c>
      <c r="U146" s="122">
        <v>6588</v>
      </c>
      <c r="V146" s="122">
        <v>317998</v>
      </c>
      <c r="W146" s="122">
        <f t="shared" si="4"/>
        <v>317999</v>
      </c>
      <c r="X146" s="122">
        <f t="shared" si="5"/>
        <v>389707</v>
      </c>
      <c r="Y146" s="122"/>
      <c r="AA146" t="s">
        <v>50</v>
      </c>
      <c r="AB146" t="s">
        <v>405</v>
      </c>
      <c r="AC146" t="s">
        <v>428</v>
      </c>
      <c r="AD146" t="s">
        <v>405</v>
      </c>
      <c r="AE146" t="s">
        <v>566</v>
      </c>
      <c r="AF146">
        <v>1</v>
      </c>
      <c r="AG146">
        <v>168</v>
      </c>
      <c r="AH146">
        <v>97</v>
      </c>
      <c r="AI146" s="122">
        <v>9530</v>
      </c>
      <c r="AJ146" s="122">
        <v>8663</v>
      </c>
      <c r="AK146">
        <v>92</v>
      </c>
      <c r="AL146" s="122">
        <v>0</v>
      </c>
      <c r="AM146" s="122">
        <v>0</v>
      </c>
      <c r="AN146" s="122">
        <v>3132</v>
      </c>
      <c r="AO146" s="122">
        <v>1160</v>
      </c>
      <c r="AP146">
        <v>473</v>
      </c>
      <c r="AQ146">
        <v>175</v>
      </c>
      <c r="AR146" s="122">
        <v>3214</v>
      </c>
      <c r="AS146" s="122">
        <v>2921</v>
      </c>
      <c r="AT146">
        <v>0</v>
      </c>
      <c r="AU146">
        <v>0</v>
      </c>
      <c r="AV146" s="122">
        <v>12920</v>
      </c>
    </row>
    <row r="147" spans="2:48" ht="12.75" hidden="1" customHeight="1">
      <c r="B147" t="s">
        <v>363</v>
      </c>
      <c r="C147" t="s">
        <v>56</v>
      </c>
      <c r="D147" t="s">
        <v>429</v>
      </c>
      <c r="E147" t="s">
        <v>429</v>
      </c>
      <c r="F147">
        <v>1</v>
      </c>
      <c r="G147">
        <v>82</v>
      </c>
      <c r="H147">
        <v>205</v>
      </c>
      <c r="I147" s="122">
        <v>20127</v>
      </c>
      <c r="J147" s="122">
        <v>18297</v>
      </c>
      <c r="K147">
        <v>65</v>
      </c>
      <c r="L147" s="122">
        <v>0</v>
      </c>
      <c r="M147" s="122">
        <v>0</v>
      </c>
      <c r="N147" s="122">
        <v>1777</v>
      </c>
      <c r="O147" s="122">
        <v>658</v>
      </c>
      <c r="P147" s="122">
        <v>351</v>
      </c>
      <c r="Q147">
        <v>130</v>
      </c>
      <c r="R147" s="122">
        <v>7714</v>
      </c>
      <c r="S147" s="122">
        <v>7013</v>
      </c>
      <c r="T147" s="122">
        <v>0</v>
      </c>
      <c r="U147">
        <v>0</v>
      </c>
      <c r="V147" s="122">
        <v>26098</v>
      </c>
      <c r="W147" s="122">
        <f t="shared" si="4"/>
        <v>26098</v>
      </c>
      <c r="X147" s="122">
        <f t="shared" si="5"/>
        <v>29969</v>
      </c>
      <c r="Y147" s="122"/>
      <c r="AA147" t="s">
        <v>50</v>
      </c>
      <c r="AB147" t="s">
        <v>405</v>
      </c>
      <c r="AC147" t="s">
        <v>426</v>
      </c>
      <c r="AD147" t="s">
        <v>405</v>
      </c>
      <c r="AE147" t="s">
        <v>137</v>
      </c>
      <c r="AF147">
        <v>2</v>
      </c>
      <c r="AG147" s="122">
        <v>374</v>
      </c>
      <c r="AH147" s="122">
        <v>187</v>
      </c>
      <c r="AI147" s="122">
        <v>29268</v>
      </c>
      <c r="AJ147" s="122">
        <v>26607</v>
      </c>
      <c r="AK147">
        <v>92</v>
      </c>
      <c r="AL147" s="122">
        <v>6665</v>
      </c>
      <c r="AM147" s="122">
        <v>6059</v>
      </c>
      <c r="AN147" s="122">
        <v>6132</v>
      </c>
      <c r="AO147" s="122">
        <v>2271</v>
      </c>
      <c r="AP147" s="122">
        <v>945</v>
      </c>
      <c r="AQ147" s="122">
        <v>350</v>
      </c>
      <c r="AR147" s="122">
        <v>3519</v>
      </c>
      <c r="AS147" s="122">
        <v>3199</v>
      </c>
      <c r="AT147">
        <v>0</v>
      </c>
      <c r="AU147">
        <v>0</v>
      </c>
      <c r="AV147" s="122">
        <v>38486</v>
      </c>
    </row>
    <row r="148" spans="2:48" ht="12.75" hidden="1" customHeight="1">
      <c r="B148" t="s">
        <v>363</v>
      </c>
      <c r="C148" t="s">
        <v>58</v>
      </c>
      <c r="D148" t="s">
        <v>425</v>
      </c>
      <c r="E148" t="s">
        <v>425</v>
      </c>
      <c r="F148">
        <v>3</v>
      </c>
      <c r="G148" s="122">
        <v>379</v>
      </c>
      <c r="H148">
        <v>759</v>
      </c>
      <c r="I148" s="122">
        <v>60642</v>
      </c>
      <c r="J148" s="122">
        <v>55129</v>
      </c>
      <c r="K148">
        <v>79</v>
      </c>
      <c r="L148" s="122">
        <v>8530</v>
      </c>
      <c r="M148" s="122">
        <v>7754</v>
      </c>
      <c r="N148" s="122">
        <v>7898</v>
      </c>
      <c r="O148" s="122">
        <v>2925</v>
      </c>
      <c r="P148" s="122">
        <v>1566</v>
      </c>
      <c r="Q148" s="122">
        <v>580</v>
      </c>
      <c r="R148" s="122">
        <v>13435</v>
      </c>
      <c r="S148" s="122">
        <v>12214</v>
      </c>
      <c r="T148" s="122">
        <v>1948</v>
      </c>
      <c r="U148" s="122">
        <v>721</v>
      </c>
      <c r="V148" s="122">
        <v>79323</v>
      </c>
      <c r="W148" s="122">
        <f t="shared" si="4"/>
        <v>79323</v>
      </c>
      <c r="X148" s="122">
        <f t="shared" si="5"/>
        <v>94019</v>
      </c>
      <c r="Y148" s="122"/>
      <c r="AA148" t="s">
        <v>50</v>
      </c>
      <c r="AB148" t="s">
        <v>405</v>
      </c>
      <c r="AC148" t="s">
        <v>426</v>
      </c>
      <c r="AD148" t="s">
        <v>405</v>
      </c>
      <c r="AE148" t="s">
        <v>566</v>
      </c>
      <c r="AF148">
        <v>23</v>
      </c>
      <c r="AG148" s="122">
        <v>5300</v>
      </c>
      <c r="AH148" s="122">
        <v>2126</v>
      </c>
      <c r="AI148" s="122">
        <v>266636</v>
      </c>
      <c r="AJ148" s="122">
        <v>242396</v>
      </c>
      <c r="AK148">
        <v>91</v>
      </c>
      <c r="AL148" s="122">
        <v>49367</v>
      </c>
      <c r="AM148" s="122">
        <v>44879</v>
      </c>
      <c r="AN148" s="122">
        <v>79885</v>
      </c>
      <c r="AO148" s="122">
        <v>29587</v>
      </c>
      <c r="AP148" s="122">
        <v>13905</v>
      </c>
      <c r="AQ148" s="122">
        <v>5150</v>
      </c>
      <c r="AR148" s="122">
        <v>110281</v>
      </c>
      <c r="AS148" s="122">
        <v>100255</v>
      </c>
      <c r="AT148">
        <v>0</v>
      </c>
      <c r="AU148">
        <v>0</v>
      </c>
      <c r="AV148" s="122">
        <v>422268</v>
      </c>
    </row>
    <row r="149" spans="2:48" ht="12.75" hidden="1" customHeight="1">
      <c r="B149" t="s">
        <v>363</v>
      </c>
      <c r="C149" t="s">
        <v>58</v>
      </c>
      <c r="D149" t="s">
        <v>425</v>
      </c>
      <c r="E149" t="s">
        <v>406</v>
      </c>
      <c r="F149">
        <v>2</v>
      </c>
      <c r="G149">
        <v>173</v>
      </c>
      <c r="H149" s="122">
        <v>458</v>
      </c>
      <c r="I149" s="122">
        <v>22637</v>
      </c>
      <c r="J149" s="122">
        <v>20579</v>
      </c>
      <c r="K149">
        <v>92</v>
      </c>
      <c r="L149" s="122">
        <v>3712</v>
      </c>
      <c r="M149" s="122">
        <v>3374</v>
      </c>
      <c r="N149" s="122">
        <v>3535</v>
      </c>
      <c r="O149" s="122">
        <v>1309</v>
      </c>
      <c r="P149" s="122">
        <v>1242</v>
      </c>
      <c r="Q149" s="122">
        <v>460</v>
      </c>
      <c r="R149" s="122">
        <v>8500</v>
      </c>
      <c r="S149" s="122">
        <v>7727</v>
      </c>
      <c r="T149" s="122">
        <v>0</v>
      </c>
      <c r="U149" s="122">
        <v>0</v>
      </c>
      <c r="V149" s="122">
        <v>33450</v>
      </c>
      <c r="W149" s="122">
        <f t="shared" si="4"/>
        <v>33449</v>
      </c>
      <c r="X149" s="122">
        <f t="shared" si="5"/>
        <v>39626</v>
      </c>
      <c r="Y149" s="122"/>
      <c r="AA149" t="s">
        <v>50</v>
      </c>
      <c r="AB149" t="s">
        <v>405</v>
      </c>
      <c r="AC149" t="s">
        <v>426</v>
      </c>
      <c r="AD149" t="s">
        <v>137</v>
      </c>
      <c r="AE149" t="s">
        <v>566</v>
      </c>
      <c r="AF149">
        <v>1</v>
      </c>
      <c r="AG149">
        <v>154</v>
      </c>
      <c r="AH149">
        <v>89</v>
      </c>
      <c r="AI149" s="122">
        <v>4124</v>
      </c>
      <c r="AJ149" s="122">
        <v>3749</v>
      </c>
      <c r="AK149">
        <v>91</v>
      </c>
      <c r="AL149">
        <v>584</v>
      </c>
      <c r="AM149" s="122">
        <v>531</v>
      </c>
      <c r="AN149" s="122">
        <v>1881</v>
      </c>
      <c r="AO149" s="122">
        <v>697</v>
      </c>
      <c r="AP149" s="122">
        <v>2909</v>
      </c>
      <c r="AQ149" s="122">
        <v>1077</v>
      </c>
      <c r="AR149" s="122">
        <v>4269</v>
      </c>
      <c r="AS149" s="122">
        <v>1581</v>
      </c>
      <c r="AT149">
        <v>0</v>
      </c>
      <c r="AU149">
        <v>0</v>
      </c>
      <c r="AV149" s="122">
        <v>7635</v>
      </c>
    </row>
    <row r="150" spans="2:48" ht="12.75" hidden="1" customHeight="1">
      <c r="B150" t="s">
        <v>363</v>
      </c>
      <c r="C150" t="s">
        <v>58</v>
      </c>
      <c r="D150" t="s">
        <v>405</v>
      </c>
      <c r="E150" t="s">
        <v>405</v>
      </c>
      <c r="F150">
        <v>20</v>
      </c>
      <c r="G150" s="122">
        <v>3278</v>
      </c>
      <c r="H150" s="122">
        <v>5258</v>
      </c>
      <c r="I150" s="122">
        <v>601168</v>
      </c>
      <c r="J150" s="122">
        <v>546516</v>
      </c>
      <c r="K150">
        <v>81</v>
      </c>
      <c r="L150" s="122">
        <v>94894</v>
      </c>
      <c r="M150" s="122">
        <v>84283</v>
      </c>
      <c r="N150" s="122">
        <v>67222</v>
      </c>
      <c r="O150" s="122">
        <v>24897</v>
      </c>
      <c r="P150" s="122">
        <v>11381</v>
      </c>
      <c r="Q150" s="122">
        <v>4215</v>
      </c>
      <c r="R150" s="122">
        <v>107854</v>
      </c>
      <c r="S150" s="122">
        <v>98049</v>
      </c>
      <c r="T150" s="122">
        <v>18705</v>
      </c>
      <c r="U150" s="122">
        <v>6928</v>
      </c>
      <c r="V150" s="122">
        <v>764888</v>
      </c>
      <c r="W150" s="122">
        <f t="shared" si="4"/>
        <v>764888</v>
      </c>
      <c r="X150" s="122">
        <f t="shared" si="5"/>
        <v>901224</v>
      </c>
      <c r="Y150" s="122"/>
      <c r="AA150" t="s">
        <v>50</v>
      </c>
      <c r="AB150" t="s">
        <v>405</v>
      </c>
      <c r="AC150" t="s">
        <v>566</v>
      </c>
      <c r="AD150" t="s">
        <v>405</v>
      </c>
      <c r="AE150" t="s">
        <v>137</v>
      </c>
      <c r="AF150">
        <v>1</v>
      </c>
      <c r="AG150" s="122">
        <v>263</v>
      </c>
      <c r="AH150">
        <v>99</v>
      </c>
      <c r="AI150" s="122">
        <v>15736</v>
      </c>
      <c r="AJ150" s="122">
        <v>14306</v>
      </c>
      <c r="AK150">
        <v>91</v>
      </c>
      <c r="AL150">
        <v>0</v>
      </c>
      <c r="AM150" s="122">
        <v>2113</v>
      </c>
      <c r="AN150" s="122">
        <v>3204</v>
      </c>
      <c r="AO150" s="122">
        <v>1187</v>
      </c>
      <c r="AP150" s="122">
        <v>473</v>
      </c>
      <c r="AQ150" s="122">
        <v>175</v>
      </c>
      <c r="AR150" s="122">
        <v>6603</v>
      </c>
      <c r="AS150" s="122">
        <v>6003</v>
      </c>
      <c r="AT150">
        <v>0</v>
      </c>
      <c r="AU150">
        <v>0</v>
      </c>
      <c r="AV150" s="122">
        <v>23783</v>
      </c>
    </row>
    <row r="151" spans="2:48" ht="12.75" hidden="1" customHeight="1">
      <c r="B151" t="s">
        <v>363</v>
      </c>
      <c r="C151" t="s">
        <v>58</v>
      </c>
      <c r="D151" t="s">
        <v>137</v>
      </c>
      <c r="E151" t="s">
        <v>137</v>
      </c>
      <c r="F151">
        <v>68</v>
      </c>
      <c r="G151" s="122">
        <v>11359</v>
      </c>
      <c r="H151" s="122">
        <v>17732</v>
      </c>
      <c r="I151" s="122">
        <v>1941883</v>
      </c>
      <c r="J151" s="122">
        <v>719216</v>
      </c>
      <c r="K151">
        <v>101</v>
      </c>
      <c r="L151" s="122">
        <v>262660</v>
      </c>
      <c r="M151" s="122">
        <v>199802</v>
      </c>
      <c r="N151" s="122">
        <v>273658</v>
      </c>
      <c r="O151" s="122">
        <v>101355</v>
      </c>
      <c r="P151" s="122">
        <v>7476</v>
      </c>
      <c r="Q151" s="122">
        <v>2769</v>
      </c>
      <c r="R151" s="122">
        <v>625116</v>
      </c>
      <c r="S151" s="122">
        <v>231524</v>
      </c>
      <c r="T151" s="122">
        <v>0</v>
      </c>
      <c r="U151" s="122">
        <v>0</v>
      </c>
      <c r="V151" s="122">
        <v>1254666</v>
      </c>
      <c r="W151" s="122">
        <f t="shared" si="4"/>
        <v>1254666</v>
      </c>
      <c r="X151" s="122">
        <f t="shared" si="5"/>
        <v>3110793</v>
      </c>
      <c r="Y151" s="122"/>
      <c r="AA151" t="s">
        <v>50</v>
      </c>
      <c r="AB151" t="s">
        <v>405</v>
      </c>
      <c r="AC151" t="s">
        <v>566</v>
      </c>
      <c r="AD151" t="s">
        <v>405</v>
      </c>
      <c r="AE151" t="s">
        <v>566</v>
      </c>
      <c r="AF151">
        <v>8</v>
      </c>
      <c r="AG151" s="122">
        <v>1915</v>
      </c>
      <c r="AH151">
        <v>707</v>
      </c>
      <c r="AI151" s="122">
        <v>100877</v>
      </c>
      <c r="AJ151" s="122">
        <v>91706</v>
      </c>
      <c r="AK151">
        <v>91</v>
      </c>
      <c r="AL151" s="122">
        <v>0</v>
      </c>
      <c r="AM151" s="122">
        <v>0</v>
      </c>
      <c r="AN151" s="122">
        <v>26407</v>
      </c>
      <c r="AO151" s="122">
        <v>9780</v>
      </c>
      <c r="AP151" s="122">
        <v>7795</v>
      </c>
      <c r="AQ151" s="122">
        <v>2887</v>
      </c>
      <c r="AR151" s="122">
        <v>43659</v>
      </c>
      <c r="AS151" s="122">
        <v>39690</v>
      </c>
      <c r="AT151">
        <v>0</v>
      </c>
      <c r="AU151">
        <v>0</v>
      </c>
      <c r="AV151" s="122">
        <v>144064</v>
      </c>
    </row>
    <row r="152" spans="2:48" ht="12.75" hidden="1" customHeight="1">
      <c r="B152" t="s">
        <v>363</v>
      </c>
      <c r="C152" t="s">
        <v>58</v>
      </c>
      <c r="D152" t="s">
        <v>406</v>
      </c>
      <c r="E152" t="s">
        <v>137</v>
      </c>
      <c r="F152">
        <v>2</v>
      </c>
      <c r="G152" s="122">
        <v>235</v>
      </c>
      <c r="H152" s="122">
        <v>483</v>
      </c>
      <c r="I152" s="122">
        <v>34473</v>
      </c>
      <c r="J152" s="122">
        <v>31339</v>
      </c>
      <c r="K152">
        <v>90</v>
      </c>
      <c r="L152" s="122">
        <v>22065</v>
      </c>
      <c r="M152" s="122">
        <v>20059</v>
      </c>
      <c r="N152" s="122">
        <v>7969</v>
      </c>
      <c r="O152" s="122">
        <v>2952</v>
      </c>
      <c r="P152" s="122">
        <v>1242</v>
      </c>
      <c r="Q152" s="122">
        <v>460</v>
      </c>
      <c r="R152" s="122">
        <v>21716</v>
      </c>
      <c r="S152" s="122">
        <v>8043</v>
      </c>
      <c r="T152" s="122">
        <v>0</v>
      </c>
      <c r="U152">
        <v>0</v>
      </c>
      <c r="V152" s="122">
        <v>62853</v>
      </c>
      <c r="W152" s="122">
        <f t="shared" si="4"/>
        <v>62853</v>
      </c>
      <c r="X152" s="122">
        <f t="shared" si="5"/>
        <v>87465</v>
      </c>
      <c r="Y152" s="122"/>
      <c r="AA152" t="s">
        <v>50</v>
      </c>
      <c r="AB152" t="s">
        <v>405</v>
      </c>
      <c r="AC152" t="s">
        <v>433</v>
      </c>
      <c r="AD152" t="s">
        <v>405</v>
      </c>
      <c r="AE152" t="s">
        <v>137</v>
      </c>
      <c r="AF152">
        <v>1</v>
      </c>
      <c r="AG152" s="122">
        <v>256</v>
      </c>
      <c r="AH152" s="122">
        <v>96</v>
      </c>
      <c r="AI152" s="122">
        <v>11984</v>
      </c>
      <c r="AJ152" s="122">
        <v>10894</v>
      </c>
      <c r="AK152">
        <v>91</v>
      </c>
      <c r="AL152" s="122">
        <v>2039</v>
      </c>
      <c r="AM152" s="122">
        <v>1854</v>
      </c>
      <c r="AN152" s="122">
        <v>3432</v>
      </c>
      <c r="AO152" s="122">
        <v>1271</v>
      </c>
      <c r="AP152" s="122">
        <v>3020</v>
      </c>
      <c r="AQ152" s="122">
        <v>1119</v>
      </c>
      <c r="AR152" s="122">
        <v>4178</v>
      </c>
      <c r="AS152" s="122">
        <v>3798</v>
      </c>
      <c r="AT152">
        <v>0</v>
      </c>
      <c r="AU152">
        <v>0</v>
      </c>
      <c r="AV152" s="122">
        <v>18936</v>
      </c>
    </row>
    <row r="153" spans="2:48" ht="12.75" hidden="1" customHeight="1">
      <c r="B153" t="s">
        <v>363</v>
      </c>
      <c r="C153" t="s">
        <v>58</v>
      </c>
      <c r="D153" t="s">
        <v>406</v>
      </c>
      <c r="E153" t="s">
        <v>406</v>
      </c>
      <c r="F153" s="122">
        <v>1219</v>
      </c>
      <c r="G153" s="122">
        <v>162539</v>
      </c>
      <c r="H153" s="122">
        <v>315840</v>
      </c>
      <c r="I153" s="122">
        <v>24744505</v>
      </c>
      <c r="J153" s="122">
        <v>22495004</v>
      </c>
      <c r="K153">
        <v>79</v>
      </c>
      <c r="L153" s="122">
        <v>5237514</v>
      </c>
      <c r="M153" s="122">
        <v>4687252</v>
      </c>
      <c r="N153" s="122">
        <v>3452475</v>
      </c>
      <c r="O153" s="122">
        <v>1278694</v>
      </c>
      <c r="P153" s="122">
        <v>788387</v>
      </c>
      <c r="Q153" s="122">
        <v>291995</v>
      </c>
      <c r="R153" s="122">
        <v>6561176</v>
      </c>
      <c r="S153" s="122">
        <v>5964706</v>
      </c>
      <c r="T153" s="122">
        <v>2145676</v>
      </c>
      <c r="U153" s="122">
        <v>794695</v>
      </c>
      <c r="V153" s="122">
        <v>35512347</v>
      </c>
      <c r="W153" s="122">
        <f t="shared" si="4"/>
        <v>35512346</v>
      </c>
      <c r="X153" s="122">
        <f t="shared" si="5"/>
        <v>42929733</v>
      </c>
      <c r="Y153" s="122"/>
      <c r="AA153" t="s">
        <v>50</v>
      </c>
      <c r="AB153" t="s">
        <v>405</v>
      </c>
      <c r="AC153" t="s">
        <v>433</v>
      </c>
      <c r="AD153" t="s">
        <v>405</v>
      </c>
      <c r="AE153" t="s">
        <v>566</v>
      </c>
      <c r="AF153">
        <v>15</v>
      </c>
      <c r="AG153" s="122">
        <v>3384</v>
      </c>
      <c r="AH153" s="122">
        <v>1302</v>
      </c>
      <c r="AI153" s="122">
        <v>156149</v>
      </c>
      <c r="AJ153" s="122">
        <v>141954</v>
      </c>
      <c r="AK153">
        <v>93</v>
      </c>
      <c r="AL153" s="122">
        <v>21680</v>
      </c>
      <c r="AM153" s="122">
        <v>19709</v>
      </c>
      <c r="AN153" s="122">
        <v>59573</v>
      </c>
      <c r="AO153" s="122">
        <v>22064</v>
      </c>
      <c r="AP153" s="122">
        <v>14486</v>
      </c>
      <c r="AQ153" s="122">
        <v>5365</v>
      </c>
      <c r="AR153" s="122">
        <v>60590</v>
      </c>
      <c r="AS153" s="122">
        <v>55081</v>
      </c>
      <c r="AT153">
        <v>0</v>
      </c>
      <c r="AU153">
        <v>0</v>
      </c>
      <c r="AV153" s="122">
        <v>244174</v>
      </c>
    </row>
    <row r="154" spans="2:48" ht="12.75" hidden="1" customHeight="1">
      <c r="B154" t="s">
        <v>363</v>
      </c>
      <c r="C154" t="s">
        <v>58</v>
      </c>
      <c r="D154" t="s">
        <v>406</v>
      </c>
      <c r="E154" t="s">
        <v>427</v>
      </c>
      <c r="F154">
        <v>1</v>
      </c>
      <c r="G154">
        <v>166</v>
      </c>
      <c r="H154" s="122">
        <v>255</v>
      </c>
      <c r="I154" s="122">
        <v>25877</v>
      </c>
      <c r="J154" s="122">
        <v>23525</v>
      </c>
      <c r="K154">
        <v>79</v>
      </c>
      <c r="L154" s="122">
        <v>4543</v>
      </c>
      <c r="M154" s="122">
        <v>4130</v>
      </c>
      <c r="N154" s="122">
        <v>3388</v>
      </c>
      <c r="O154" s="122">
        <v>1255</v>
      </c>
      <c r="P154" s="122">
        <v>2968</v>
      </c>
      <c r="Q154" s="122">
        <v>1099</v>
      </c>
      <c r="R154" s="122">
        <v>6942</v>
      </c>
      <c r="S154" s="122">
        <v>6311</v>
      </c>
      <c r="T154" s="122">
        <v>3653</v>
      </c>
      <c r="U154" s="122">
        <v>1353</v>
      </c>
      <c r="V154" s="122">
        <v>37673</v>
      </c>
      <c r="W154" s="122">
        <f t="shared" si="4"/>
        <v>37673</v>
      </c>
      <c r="X154" s="122">
        <f t="shared" si="5"/>
        <v>47371</v>
      </c>
      <c r="Y154" s="122"/>
      <c r="AA154" t="s">
        <v>50</v>
      </c>
      <c r="AB154" t="s">
        <v>405</v>
      </c>
      <c r="AC154" t="s">
        <v>433</v>
      </c>
      <c r="AD154" t="s">
        <v>137</v>
      </c>
      <c r="AE154" t="s">
        <v>566</v>
      </c>
      <c r="AF154">
        <v>2</v>
      </c>
      <c r="AG154">
        <v>403</v>
      </c>
      <c r="AH154">
        <v>189</v>
      </c>
      <c r="AI154" s="122">
        <v>17990</v>
      </c>
      <c r="AJ154" s="122">
        <v>16355</v>
      </c>
      <c r="AK154">
        <v>87</v>
      </c>
      <c r="AL154" s="122">
        <v>2213</v>
      </c>
      <c r="AM154" s="122">
        <v>2012</v>
      </c>
      <c r="AN154" s="122">
        <v>5683</v>
      </c>
      <c r="AO154" s="122">
        <v>2105</v>
      </c>
      <c r="AP154" s="122">
        <v>2700</v>
      </c>
      <c r="AQ154" s="122">
        <v>1000</v>
      </c>
      <c r="AR154" s="122">
        <v>9740</v>
      </c>
      <c r="AS154" s="122">
        <v>3607</v>
      </c>
      <c r="AT154">
        <v>0</v>
      </c>
      <c r="AU154">
        <v>0</v>
      </c>
      <c r="AV154" s="122">
        <v>25079</v>
      </c>
    </row>
    <row r="155" spans="2:48" ht="12.75" hidden="1" customHeight="1">
      <c r="B155" t="s">
        <v>363</v>
      </c>
      <c r="C155" t="s">
        <v>58</v>
      </c>
      <c r="D155" t="s">
        <v>406</v>
      </c>
      <c r="E155" t="s">
        <v>407</v>
      </c>
      <c r="F155">
        <v>1</v>
      </c>
      <c r="G155" s="122">
        <v>141</v>
      </c>
      <c r="H155" s="122">
        <v>294</v>
      </c>
      <c r="I155" s="122">
        <v>28069</v>
      </c>
      <c r="J155" s="122">
        <v>25517</v>
      </c>
      <c r="K155">
        <v>86</v>
      </c>
      <c r="L155" s="122">
        <v>3906</v>
      </c>
      <c r="M155" s="122">
        <v>3551</v>
      </c>
      <c r="N155" s="122">
        <v>1712</v>
      </c>
      <c r="O155" s="122">
        <v>634</v>
      </c>
      <c r="P155" s="122">
        <v>621</v>
      </c>
      <c r="Q155" s="122">
        <v>230</v>
      </c>
      <c r="R155" s="122">
        <v>4065</v>
      </c>
      <c r="S155" s="122">
        <v>3696</v>
      </c>
      <c r="T155" s="122">
        <v>2914</v>
      </c>
      <c r="U155" s="122">
        <v>1079</v>
      </c>
      <c r="V155" s="122">
        <v>34706</v>
      </c>
      <c r="W155" s="122">
        <f t="shared" si="4"/>
        <v>34707</v>
      </c>
      <c r="X155" s="122">
        <f t="shared" si="5"/>
        <v>41287</v>
      </c>
      <c r="Y155" s="122"/>
      <c r="AA155" t="s">
        <v>50</v>
      </c>
      <c r="AB155" t="s">
        <v>405</v>
      </c>
      <c r="AC155" t="s">
        <v>429</v>
      </c>
      <c r="AD155" t="s">
        <v>405</v>
      </c>
      <c r="AE155" t="s">
        <v>566</v>
      </c>
      <c r="AF155">
        <v>1</v>
      </c>
      <c r="AG155" s="122">
        <v>263</v>
      </c>
      <c r="AH155">
        <v>85</v>
      </c>
      <c r="AI155" s="122">
        <v>13138</v>
      </c>
      <c r="AJ155" s="122">
        <v>11944</v>
      </c>
      <c r="AK155">
        <v>87</v>
      </c>
      <c r="AL155" s="122">
        <v>1952</v>
      </c>
      <c r="AM155" s="122">
        <v>1774</v>
      </c>
      <c r="AN155" s="122">
        <v>3198</v>
      </c>
      <c r="AO155" s="122">
        <v>1185</v>
      </c>
      <c r="AP155" s="122">
        <v>473</v>
      </c>
      <c r="AQ155">
        <v>175</v>
      </c>
      <c r="AR155" s="122">
        <v>3518</v>
      </c>
      <c r="AS155" s="122">
        <v>3198</v>
      </c>
      <c r="AT155">
        <v>0</v>
      </c>
      <c r="AU155">
        <v>0</v>
      </c>
      <c r="AV155" s="122">
        <v>18276</v>
      </c>
    </row>
    <row r="156" spans="2:48" ht="12.75" hidden="1" customHeight="1">
      <c r="B156" t="s">
        <v>363</v>
      </c>
      <c r="C156" t="s">
        <v>58</v>
      </c>
      <c r="D156" t="s">
        <v>406</v>
      </c>
      <c r="E156" t="s">
        <v>426</v>
      </c>
      <c r="F156">
        <v>3</v>
      </c>
      <c r="G156">
        <v>293</v>
      </c>
      <c r="H156" s="122">
        <v>786</v>
      </c>
      <c r="I156" s="122">
        <v>39615</v>
      </c>
      <c r="J156" s="122">
        <v>36014</v>
      </c>
      <c r="K156">
        <v>85</v>
      </c>
      <c r="L156" s="122">
        <v>6228</v>
      </c>
      <c r="M156" s="122">
        <v>5662</v>
      </c>
      <c r="N156" s="122">
        <v>5350</v>
      </c>
      <c r="O156" s="122">
        <v>1981</v>
      </c>
      <c r="P156" s="122">
        <v>1863</v>
      </c>
      <c r="Q156">
        <v>690</v>
      </c>
      <c r="R156" s="122">
        <v>19374</v>
      </c>
      <c r="S156" s="122">
        <v>17613</v>
      </c>
      <c r="T156" s="122">
        <v>4640</v>
      </c>
      <c r="U156" s="122">
        <v>1719</v>
      </c>
      <c r="V156" s="122">
        <v>63679</v>
      </c>
      <c r="W156" s="122">
        <f t="shared" si="4"/>
        <v>63679</v>
      </c>
      <c r="X156" s="122">
        <f t="shared" si="5"/>
        <v>77070</v>
      </c>
      <c r="Y156" s="122"/>
      <c r="AA156" t="s">
        <v>50</v>
      </c>
      <c r="AB156" t="s">
        <v>137</v>
      </c>
      <c r="AC156" t="s">
        <v>425</v>
      </c>
      <c r="AD156" t="s">
        <v>137</v>
      </c>
      <c r="AE156" t="s">
        <v>137</v>
      </c>
      <c r="AF156">
        <v>5</v>
      </c>
      <c r="AG156" s="122">
        <v>1896</v>
      </c>
      <c r="AH156" s="122">
        <v>444</v>
      </c>
      <c r="AI156" s="122">
        <v>79920</v>
      </c>
      <c r="AJ156" s="122">
        <v>29600</v>
      </c>
      <c r="AK156">
        <v>312</v>
      </c>
      <c r="AL156" s="122">
        <v>15806</v>
      </c>
      <c r="AM156" s="122">
        <v>14369</v>
      </c>
      <c r="AN156" s="122">
        <v>31609</v>
      </c>
      <c r="AO156" s="122">
        <v>11707</v>
      </c>
      <c r="AP156" s="122">
        <v>1755</v>
      </c>
      <c r="AQ156" s="122">
        <v>650</v>
      </c>
      <c r="AR156" s="122">
        <v>38458</v>
      </c>
      <c r="AS156" s="122">
        <v>14244</v>
      </c>
      <c r="AT156">
        <v>0</v>
      </c>
      <c r="AU156">
        <v>0</v>
      </c>
      <c r="AV156" s="122">
        <v>70570</v>
      </c>
    </row>
    <row r="157" spans="2:48" ht="12.75" hidden="1" customHeight="1">
      <c r="B157" t="s">
        <v>363</v>
      </c>
      <c r="C157" t="s">
        <v>58</v>
      </c>
      <c r="D157" t="s">
        <v>407</v>
      </c>
      <c r="E157" t="s">
        <v>137</v>
      </c>
      <c r="F157">
        <v>1</v>
      </c>
      <c r="G157" s="122">
        <v>128</v>
      </c>
      <c r="H157" s="122">
        <v>260</v>
      </c>
      <c r="I157" s="122">
        <v>12691</v>
      </c>
      <c r="J157" s="122">
        <v>11537</v>
      </c>
      <c r="K157">
        <v>87</v>
      </c>
      <c r="L157" s="122">
        <v>2859</v>
      </c>
      <c r="M157" s="122">
        <v>1059</v>
      </c>
      <c r="N157" s="122">
        <v>3054</v>
      </c>
      <c r="O157" s="122">
        <v>1131</v>
      </c>
      <c r="P157" s="122">
        <v>473</v>
      </c>
      <c r="Q157" s="122">
        <v>175</v>
      </c>
      <c r="R157" s="122">
        <v>14138</v>
      </c>
      <c r="S157" s="122">
        <v>5236</v>
      </c>
      <c r="T157" s="122">
        <v>0</v>
      </c>
      <c r="U157" s="122">
        <v>0</v>
      </c>
      <c r="V157" s="122">
        <v>19139</v>
      </c>
      <c r="W157" s="122">
        <f t="shared" si="4"/>
        <v>19138</v>
      </c>
      <c r="X157" s="122">
        <f t="shared" si="5"/>
        <v>33215</v>
      </c>
      <c r="Y157" s="122"/>
      <c r="AA157" t="s">
        <v>50</v>
      </c>
      <c r="AB157" t="s">
        <v>137</v>
      </c>
      <c r="AC157" t="s">
        <v>425</v>
      </c>
      <c r="AD157" t="s">
        <v>137</v>
      </c>
      <c r="AE157" t="s">
        <v>566</v>
      </c>
      <c r="AF157">
        <v>27</v>
      </c>
      <c r="AG157" s="122">
        <v>7903</v>
      </c>
      <c r="AH157" s="122">
        <v>2400</v>
      </c>
      <c r="AI157" s="122">
        <v>316132</v>
      </c>
      <c r="AJ157" s="122">
        <v>117086</v>
      </c>
      <c r="AK157">
        <v>350</v>
      </c>
      <c r="AL157" s="122">
        <v>80821</v>
      </c>
      <c r="AM157" s="122">
        <v>73474</v>
      </c>
      <c r="AN157" s="122">
        <v>138455</v>
      </c>
      <c r="AO157" s="122">
        <v>51280</v>
      </c>
      <c r="AP157" s="122">
        <v>34839</v>
      </c>
      <c r="AQ157" s="122">
        <v>12903</v>
      </c>
      <c r="AR157" s="122">
        <v>178357</v>
      </c>
      <c r="AS157" s="122">
        <v>66058</v>
      </c>
      <c r="AT157">
        <v>0</v>
      </c>
      <c r="AU157">
        <v>0</v>
      </c>
      <c r="AV157" s="122">
        <v>320801</v>
      </c>
    </row>
    <row r="158" spans="2:48" ht="12.75" hidden="1" customHeight="1">
      <c r="B158" t="s">
        <v>363</v>
      </c>
      <c r="C158" t="s">
        <v>58</v>
      </c>
      <c r="D158" t="s">
        <v>407</v>
      </c>
      <c r="E158" t="s">
        <v>407</v>
      </c>
      <c r="F158" s="122">
        <v>30</v>
      </c>
      <c r="G158" s="122">
        <v>3691</v>
      </c>
      <c r="H158" s="122">
        <v>7613</v>
      </c>
      <c r="I158" s="122">
        <v>500069</v>
      </c>
      <c r="J158" s="122">
        <v>454609</v>
      </c>
      <c r="K158">
        <v>77</v>
      </c>
      <c r="L158" s="122">
        <v>148057</v>
      </c>
      <c r="M158" s="122">
        <v>132037</v>
      </c>
      <c r="N158" s="122">
        <v>78464</v>
      </c>
      <c r="O158" s="122">
        <v>29061</v>
      </c>
      <c r="P158" s="122">
        <v>14405</v>
      </c>
      <c r="Q158" s="122">
        <v>5335</v>
      </c>
      <c r="R158" s="122">
        <v>152010</v>
      </c>
      <c r="S158" s="122">
        <v>138191</v>
      </c>
      <c r="T158" s="122">
        <v>42204</v>
      </c>
      <c r="U158" s="122">
        <v>15631</v>
      </c>
      <c r="V158" s="122">
        <v>774864</v>
      </c>
      <c r="W158" s="122">
        <f t="shared" si="4"/>
        <v>774864</v>
      </c>
      <c r="X158" s="122">
        <f t="shared" si="5"/>
        <v>935209</v>
      </c>
      <c r="Y158" s="122"/>
      <c r="AA158" t="s">
        <v>50</v>
      </c>
      <c r="AB158" t="s">
        <v>137</v>
      </c>
      <c r="AC158" t="s">
        <v>405</v>
      </c>
      <c r="AD158" t="s">
        <v>405</v>
      </c>
      <c r="AE158" t="s">
        <v>566</v>
      </c>
      <c r="AF158">
        <v>1</v>
      </c>
      <c r="AG158" s="122">
        <v>368</v>
      </c>
      <c r="AH158">
        <v>86</v>
      </c>
      <c r="AI158" s="122">
        <v>11954</v>
      </c>
      <c r="AJ158" s="122">
        <v>4427</v>
      </c>
      <c r="AK158">
        <v>440</v>
      </c>
      <c r="AL158" s="122">
        <v>3307</v>
      </c>
      <c r="AM158" s="122">
        <v>3006</v>
      </c>
      <c r="AN158" s="122">
        <v>8519</v>
      </c>
      <c r="AO158" s="122">
        <v>3155</v>
      </c>
      <c r="AP158" s="122">
        <v>2203</v>
      </c>
      <c r="AQ158">
        <v>816</v>
      </c>
      <c r="AR158" s="122">
        <v>5497</v>
      </c>
      <c r="AS158" s="122">
        <v>4998</v>
      </c>
      <c r="AT158" s="122">
        <v>0</v>
      </c>
      <c r="AU158" s="122">
        <v>0</v>
      </c>
      <c r="AV158" s="122">
        <v>16402</v>
      </c>
    </row>
    <row r="159" spans="2:48" ht="12.75" hidden="1" customHeight="1">
      <c r="B159" t="s">
        <v>363</v>
      </c>
      <c r="C159" t="s">
        <v>58</v>
      </c>
      <c r="D159" t="s">
        <v>431</v>
      </c>
      <c r="E159" t="s">
        <v>431</v>
      </c>
      <c r="F159">
        <v>1</v>
      </c>
      <c r="G159" s="122">
        <v>127</v>
      </c>
      <c r="H159" s="122">
        <v>270</v>
      </c>
      <c r="I159" s="122">
        <v>21875</v>
      </c>
      <c r="J159" s="122">
        <v>19886</v>
      </c>
      <c r="K159">
        <v>65</v>
      </c>
      <c r="L159" s="122">
        <v>2431</v>
      </c>
      <c r="M159" s="122">
        <v>2210</v>
      </c>
      <c r="N159" s="122">
        <v>2814</v>
      </c>
      <c r="O159" s="122">
        <v>1042</v>
      </c>
      <c r="P159" s="122">
        <v>702</v>
      </c>
      <c r="Q159" s="122">
        <v>260</v>
      </c>
      <c r="R159" s="122">
        <v>6455</v>
      </c>
      <c r="S159" s="122">
        <v>5868</v>
      </c>
      <c r="T159" s="122">
        <v>0</v>
      </c>
      <c r="U159" s="122">
        <v>0</v>
      </c>
      <c r="V159" s="122">
        <v>29266</v>
      </c>
      <c r="W159" s="122">
        <f t="shared" si="4"/>
        <v>29266</v>
      </c>
      <c r="X159" s="122">
        <f t="shared" si="5"/>
        <v>34277</v>
      </c>
      <c r="Y159" s="122"/>
      <c r="AA159" t="s">
        <v>50</v>
      </c>
      <c r="AB159" t="s">
        <v>137</v>
      </c>
      <c r="AC159" t="s">
        <v>405</v>
      </c>
      <c r="AD159" t="s">
        <v>137</v>
      </c>
      <c r="AE159" t="s">
        <v>137</v>
      </c>
      <c r="AF159">
        <v>3</v>
      </c>
      <c r="AG159" s="122">
        <v>1208</v>
      </c>
      <c r="AH159" s="122">
        <v>272</v>
      </c>
      <c r="AI159" s="122">
        <v>59122</v>
      </c>
      <c r="AJ159" s="122">
        <v>21897</v>
      </c>
      <c r="AK159">
        <v>364</v>
      </c>
      <c r="AL159" s="122">
        <v>7291</v>
      </c>
      <c r="AM159" s="122">
        <v>6628</v>
      </c>
      <c r="AN159" s="122">
        <v>22356</v>
      </c>
      <c r="AO159" s="122">
        <v>8280</v>
      </c>
      <c r="AP159" s="122">
        <v>1877</v>
      </c>
      <c r="AQ159" s="122">
        <v>695</v>
      </c>
      <c r="AR159" s="122">
        <v>10722</v>
      </c>
      <c r="AS159" s="122">
        <v>3971</v>
      </c>
      <c r="AT159" s="122">
        <v>4431</v>
      </c>
      <c r="AU159" s="122">
        <v>1641</v>
      </c>
      <c r="AV159" s="122">
        <v>43112</v>
      </c>
    </row>
    <row r="160" spans="2:48" ht="12.75" hidden="1" customHeight="1">
      <c r="B160" t="s">
        <v>363</v>
      </c>
      <c r="C160" t="s">
        <v>58</v>
      </c>
      <c r="D160" t="s">
        <v>426</v>
      </c>
      <c r="E160" t="s">
        <v>426</v>
      </c>
      <c r="F160">
        <v>28</v>
      </c>
      <c r="G160" s="122">
        <v>4171</v>
      </c>
      <c r="H160" s="122">
        <v>7279</v>
      </c>
      <c r="I160" s="122">
        <v>662371</v>
      </c>
      <c r="J160" s="122">
        <v>602155</v>
      </c>
      <c r="K160">
        <v>65</v>
      </c>
      <c r="L160" s="122">
        <v>81913</v>
      </c>
      <c r="M160" s="122">
        <v>74466</v>
      </c>
      <c r="N160" s="122">
        <v>87009</v>
      </c>
      <c r="O160" s="122">
        <v>32225</v>
      </c>
      <c r="P160" s="122">
        <v>16632</v>
      </c>
      <c r="Q160" s="122">
        <v>6160</v>
      </c>
      <c r="R160" s="122">
        <v>164883</v>
      </c>
      <c r="S160" s="122">
        <v>149894</v>
      </c>
      <c r="T160" s="122">
        <v>73926</v>
      </c>
      <c r="U160" s="122">
        <v>27380</v>
      </c>
      <c r="V160" s="122">
        <v>892281</v>
      </c>
      <c r="W160" s="122">
        <f t="shared" si="4"/>
        <v>892280</v>
      </c>
      <c r="X160" s="122">
        <f t="shared" si="5"/>
        <v>1086734</v>
      </c>
      <c r="Y160" s="122"/>
      <c r="AA160" t="s">
        <v>50</v>
      </c>
      <c r="AB160" t="s">
        <v>137</v>
      </c>
      <c r="AC160" t="s">
        <v>405</v>
      </c>
      <c r="AD160" t="s">
        <v>137</v>
      </c>
      <c r="AE160" t="s">
        <v>566</v>
      </c>
      <c r="AF160">
        <v>12</v>
      </c>
      <c r="AG160" s="122">
        <v>4541</v>
      </c>
      <c r="AH160" s="122">
        <v>1084</v>
      </c>
      <c r="AI160" s="122">
        <v>185258</v>
      </c>
      <c r="AJ160" s="122">
        <v>68614</v>
      </c>
      <c r="AK160">
        <v>357</v>
      </c>
      <c r="AL160" s="122">
        <v>42071</v>
      </c>
      <c r="AM160" s="122">
        <v>38246</v>
      </c>
      <c r="AN160" s="122">
        <v>72924</v>
      </c>
      <c r="AO160" s="122">
        <v>27009</v>
      </c>
      <c r="AP160" s="122">
        <v>22748</v>
      </c>
      <c r="AQ160" s="122">
        <v>8425</v>
      </c>
      <c r="AR160" s="122">
        <v>91769</v>
      </c>
      <c r="AS160" s="122">
        <v>33988</v>
      </c>
      <c r="AT160">
        <v>0</v>
      </c>
      <c r="AU160">
        <v>0</v>
      </c>
      <c r="AV160" s="122">
        <v>176283</v>
      </c>
    </row>
    <row r="161" spans="2:48" ht="12.75" hidden="1" customHeight="1">
      <c r="B161" t="s">
        <v>363</v>
      </c>
      <c r="C161" t="s">
        <v>58</v>
      </c>
      <c r="D161" t="s">
        <v>408</v>
      </c>
      <c r="E161" t="s">
        <v>408</v>
      </c>
      <c r="F161">
        <v>1</v>
      </c>
      <c r="G161" s="122">
        <v>126</v>
      </c>
      <c r="H161" s="122">
        <v>284</v>
      </c>
      <c r="I161" s="122">
        <v>24154</v>
      </c>
      <c r="J161" s="122">
        <v>21958</v>
      </c>
      <c r="K161">
        <v>65</v>
      </c>
      <c r="L161" s="122">
        <v>3877</v>
      </c>
      <c r="M161" s="122">
        <v>3524</v>
      </c>
      <c r="N161" s="122">
        <v>2366</v>
      </c>
      <c r="O161" s="122">
        <v>876</v>
      </c>
      <c r="P161" s="122">
        <v>351</v>
      </c>
      <c r="Q161" s="122">
        <v>130</v>
      </c>
      <c r="R161" s="122">
        <v>3648</v>
      </c>
      <c r="S161" s="122">
        <v>3316</v>
      </c>
      <c r="T161" s="122">
        <v>1444</v>
      </c>
      <c r="U161" s="122">
        <v>535</v>
      </c>
      <c r="V161" s="122">
        <v>30340</v>
      </c>
      <c r="W161" s="122">
        <f t="shared" si="4"/>
        <v>30339</v>
      </c>
      <c r="X161" s="122">
        <f t="shared" si="5"/>
        <v>35840</v>
      </c>
      <c r="Y161" s="122"/>
      <c r="AA161" t="s">
        <v>50</v>
      </c>
      <c r="AB161" t="s">
        <v>137</v>
      </c>
      <c r="AC161" t="s">
        <v>137</v>
      </c>
      <c r="AD161" t="s">
        <v>137</v>
      </c>
      <c r="AE161" t="s">
        <v>137</v>
      </c>
      <c r="AF161">
        <v>4</v>
      </c>
      <c r="AG161" s="122">
        <v>782</v>
      </c>
      <c r="AH161" s="122">
        <v>371</v>
      </c>
      <c r="AI161" s="122">
        <v>43812</v>
      </c>
      <c r="AJ161" s="122">
        <v>16227</v>
      </c>
      <c r="AK161">
        <v>319</v>
      </c>
      <c r="AL161" s="122">
        <v>4171</v>
      </c>
      <c r="AM161" s="122">
        <v>1545</v>
      </c>
      <c r="AN161" s="122">
        <v>12231</v>
      </c>
      <c r="AO161" s="122">
        <v>4530</v>
      </c>
      <c r="AP161" s="122">
        <v>6517</v>
      </c>
      <c r="AQ161" s="122">
        <v>2414</v>
      </c>
      <c r="AR161" s="122">
        <v>15465</v>
      </c>
      <c r="AS161" s="122">
        <v>5728</v>
      </c>
      <c r="AT161">
        <v>0</v>
      </c>
      <c r="AU161">
        <v>0</v>
      </c>
      <c r="AV161" s="122">
        <v>30443</v>
      </c>
    </row>
    <row r="162" spans="2:48" ht="12.75" hidden="1" customHeight="1">
      <c r="B162" t="s">
        <v>363</v>
      </c>
      <c r="C162" t="s">
        <v>60</v>
      </c>
      <c r="F162">
        <v>1</v>
      </c>
      <c r="G162">
        <v>179</v>
      </c>
      <c r="H162">
        <v>338</v>
      </c>
      <c r="I162" s="122"/>
      <c r="J162" s="122">
        <v>0</v>
      </c>
      <c r="L162" s="122"/>
      <c r="M162" s="122">
        <v>0</v>
      </c>
      <c r="N162" s="122">
        <v>3119</v>
      </c>
      <c r="O162" s="122">
        <v>1155</v>
      </c>
      <c r="P162">
        <v>0</v>
      </c>
      <c r="Q162">
        <v>0</v>
      </c>
      <c r="R162" s="122"/>
      <c r="S162" s="122">
        <v>0</v>
      </c>
      <c r="T162" s="122">
        <v>0</v>
      </c>
      <c r="U162">
        <v>0</v>
      </c>
      <c r="V162" s="122">
        <v>1155</v>
      </c>
      <c r="W162" s="122">
        <f t="shared" si="4"/>
        <v>1155</v>
      </c>
      <c r="X162" s="122">
        <f t="shared" si="5"/>
        <v>3119</v>
      </c>
      <c r="Y162" s="122"/>
      <c r="AA162" t="s">
        <v>50</v>
      </c>
      <c r="AB162" t="s">
        <v>137</v>
      </c>
      <c r="AC162" t="s">
        <v>137</v>
      </c>
      <c r="AD162" t="s">
        <v>137</v>
      </c>
      <c r="AE162" t="s">
        <v>566</v>
      </c>
      <c r="AF162">
        <v>28</v>
      </c>
      <c r="AG162" s="122">
        <v>8083</v>
      </c>
      <c r="AH162" s="122">
        <v>2475</v>
      </c>
      <c r="AI162" s="122">
        <v>283453</v>
      </c>
      <c r="AJ162" s="122">
        <v>104983</v>
      </c>
      <c r="AK162">
        <v>359</v>
      </c>
      <c r="AL162" s="122">
        <v>100979</v>
      </c>
      <c r="AM162" s="122">
        <v>37400</v>
      </c>
      <c r="AN162" s="122">
        <v>146531</v>
      </c>
      <c r="AO162" s="122">
        <v>54271</v>
      </c>
      <c r="AP162" s="122">
        <v>46863</v>
      </c>
      <c r="AQ162" s="122">
        <v>17357</v>
      </c>
      <c r="AR162" s="122">
        <v>177935</v>
      </c>
      <c r="AS162" s="122">
        <v>65902</v>
      </c>
      <c r="AT162" s="122">
        <v>0</v>
      </c>
      <c r="AU162" s="122">
        <v>0</v>
      </c>
      <c r="AV162" s="122">
        <v>279912</v>
      </c>
    </row>
    <row r="163" spans="2:48" ht="12.75" hidden="1" customHeight="1">
      <c r="B163" t="s">
        <v>363</v>
      </c>
      <c r="C163" t="s">
        <v>60</v>
      </c>
      <c r="D163" t="s">
        <v>425</v>
      </c>
      <c r="E163" t="s">
        <v>425</v>
      </c>
      <c r="F163">
        <v>3</v>
      </c>
      <c r="G163" s="122">
        <v>287</v>
      </c>
      <c r="H163" s="122">
        <v>1030</v>
      </c>
      <c r="I163" s="122">
        <v>68159</v>
      </c>
      <c r="J163" s="122">
        <v>61963</v>
      </c>
      <c r="K163">
        <v>73</v>
      </c>
      <c r="L163" s="122">
        <v>9185</v>
      </c>
      <c r="M163" s="122">
        <v>8350</v>
      </c>
      <c r="N163" s="122">
        <v>6240</v>
      </c>
      <c r="O163" s="122">
        <v>2311</v>
      </c>
      <c r="P163" s="122">
        <v>1418</v>
      </c>
      <c r="Q163" s="122">
        <v>525</v>
      </c>
      <c r="R163" s="122">
        <v>13551</v>
      </c>
      <c r="S163" s="122">
        <v>12320</v>
      </c>
      <c r="T163" s="122">
        <v>0</v>
      </c>
      <c r="U163" s="122">
        <v>0</v>
      </c>
      <c r="V163" s="122">
        <v>85468</v>
      </c>
      <c r="W163" s="122">
        <f t="shared" si="4"/>
        <v>85469</v>
      </c>
      <c r="X163" s="122">
        <f t="shared" si="5"/>
        <v>98553</v>
      </c>
      <c r="Y163" s="122"/>
      <c r="AA163" t="s">
        <v>50</v>
      </c>
      <c r="AB163" t="s">
        <v>137</v>
      </c>
      <c r="AC163" t="s">
        <v>580</v>
      </c>
      <c r="AD163" t="s">
        <v>137</v>
      </c>
      <c r="AE163" t="s">
        <v>137</v>
      </c>
      <c r="AF163">
        <v>2</v>
      </c>
      <c r="AG163" s="122">
        <v>929</v>
      </c>
      <c r="AH163" s="122">
        <v>184</v>
      </c>
      <c r="AI163" s="122">
        <v>36982</v>
      </c>
      <c r="AJ163" s="122">
        <v>13697</v>
      </c>
      <c r="AK163">
        <v>395</v>
      </c>
      <c r="AL163" s="122">
        <v>7917</v>
      </c>
      <c r="AM163" s="122">
        <v>7198</v>
      </c>
      <c r="AN163" s="122">
        <v>17935</v>
      </c>
      <c r="AO163" s="122">
        <v>6642</v>
      </c>
      <c r="AP163" s="122">
        <v>1674</v>
      </c>
      <c r="AQ163" s="122">
        <v>620</v>
      </c>
      <c r="AR163" s="122">
        <v>14758</v>
      </c>
      <c r="AS163" s="122">
        <v>5466</v>
      </c>
      <c r="AT163" s="122">
        <v>4431</v>
      </c>
      <c r="AU163" s="122">
        <v>1641</v>
      </c>
      <c r="AV163" s="122">
        <v>35264</v>
      </c>
    </row>
    <row r="164" spans="2:48" ht="12.75" hidden="1" customHeight="1">
      <c r="B164" t="s">
        <v>363</v>
      </c>
      <c r="C164" t="s">
        <v>60</v>
      </c>
      <c r="D164" t="s">
        <v>405</v>
      </c>
      <c r="E164" t="s">
        <v>405</v>
      </c>
      <c r="F164">
        <v>3</v>
      </c>
      <c r="G164" s="122">
        <v>331</v>
      </c>
      <c r="H164" s="122">
        <v>1027</v>
      </c>
      <c r="I164" s="122">
        <v>66651</v>
      </c>
      <c r="J164" s="122">
        <v>60592</v>
      </c>
      <c r="K164">
        <v>77</v>
      </c>
      <c r="L164" s="122">
        <v>18483</v>
      </c>
      <c r="M164" s="122">
        <v>16802</v>
      </c>
      <c r="N164" s="122">
        <v>7057</v>
      </c>
      <c r="O164" s="122">
        <v>2614</v>
      </c>
      <c r="P164" s="122">
        <v>1296</v>
      </c>
      <c r="Q164" s="122">
        <v>480</v>
      </c>
      <c r="R164" s="122">
        <v>13488</v>
      </c>
      <c r="S164" s="122">
        <v>12262</v>
      </c>
      <c r="T164" s="122">
        <v>6465</v>
      </c>
      <c r="U164" s="122">
        <v>2394</v>
      </c>
      <c r="V164" s="122">
        <v>95144</v>
      </c>
      <c r="W164" s="122">
        <f t="shared" si="4"/>
        <v>95144</v>
      </c>
      <c r="X164" s="122">
        <f t="shared" si="5"/>
        <v>113440</v>
      </c>
      <c r="Y164" s="122"/>
      <c r="AA164" t="s">
        <v>50</v>
      </c>
      <c r="AB164" t="s">
        <v>137</v>
      </c>
      <c r="AC164" t="s">
        <v>580</v>
      </c>
      <c r="AD164" t="s">
        <v>137</v>
      </c>
      <c r="AE164" t="s">
        <v>566</v>
      </c>
      <c r="AF164">
        <v>18</v>
      </c>
      <c r="AG164" s="122">
        <v>5008</v>
      </c>
      <c r="AH164" s="122">
        <v>1622</v>
      </c>
      <c r="AI164" s="122">
        <v>236952</v>
      </c>
      <c r="AJ164" s="122">
        <v>87760</v>
      </c>
      <c r="AK164">
        <v>349</v>
      </c>
      <c r="AL164" s="122">
        <v>44038</v>
      </c>
      <c r="AM164" s="122">
        <v>40034</v>
      </c>
      <c r="AN164" s="122">
        <v>99273</v>
      </c>
      <c r="AO164" s="122">
        <v>36768</v>
      </c>
      <c r="AP164" s="122">
        <v>16090</v>
      </c>
      <c r="AQ164" s="122">
        <v>5959</v>
      </c>
      <c r="AR164" s="122">
        <v>95425</v>
      </c>
      <c r="AS164" s="122">
        <v>35343</v>
      </c>
      <c r="AT164" s="122">
        <v>0</v>
      </c>
      <c r="AU164" s="122">
        <v>0</v>
      </c>
      <c r="AV164" s="122">
        <v>205864</v>
      </c>
    </row>
    <row r="165" spans="2:48" ht="12.75" hidden="1" customHeight="1">
      <c r="B165" t="s">
        <v>363</v>
      </c>
      <c r="C165" t="s">
        <v>60</v>
      </c>
      <c r="D165" t="s">
        <v>137</v>
      </c>
      <c r="E165" t="s">
        <v>137</v>
      </c>
      <c r="F165">
        <v>65</v>
      </c>
      <c r="G165" s="122">
        <v>7331</v>
      </c>
      <c r="H165" s="122">
        <v>22334</v>
      </c>
      <c r="I165" s="122">
        <v>1697803</v>
      </c>
      <c r="J165" s="122">
        <v>628816</v>
      </c>
      <c r="K165">
        <v>100</v>
      </c>
      <c r="L165" s="122">
        <v>221447</v>
      </c>
      <c r="M165" s="122">
        <v>131125</v>
      </c>
      <c r="N165" s="122">
        <v>174618</v>
      </c>
      <c r="O165" s="122">
        <v>64673</v>
      </c>
      <c r="P165" s="122">
        <v>351</v>
      </c>
      <c r="Q165">
        <v>130</v>
      </c>
      <c r="R165" s="122">
        <v>537240</v>
      </c>
      <c r="S165" s="122">
        <v>198978</v>
      </c>
      <c r="T165" s="122">
        <v>2557</v>
      </c>
      <c r="U165" s="122">
        <v>947</v>
      </c>
      <c r="V165" s="122">
        <v>1024669</v>
      </c>
      <c r="W165" s="122">
        <f t="shared" si="4"/>
        <v>1024669</v>
      </c>
      <c r="X165" s="122">
        <f t="shared" si="5"/>
        <v>2634016</v>
      </c>
      <c r="Y165" s="122"/>
      <c r="AA165" t="s">
        <v>50</v>
      </c>
      <c r="AB165" t="s">
        <v>137</v>
      </c>
      <c r="AC165" t="s">
        <v>580</v>
      </c>
      <c r="AD165" t="s">
        <v>406</v>
      </c>
      <c r="AE165" t="s">
        <v>137</v>
      </c>
      <c r="AF165">
        <v>1</v>
      </c>
      <c r="AG165" s="122">
        <v>503</v>
      </c>
      <c r="AH165">
        <v>98</v>
      </c>
      <c r="AI165" s="122">
        <v>22862</v>
      </c>
      <c r="AJ165" s="122">
        <v>8468</v>
      </c>
      <c r="AK165">
        <v>320</v>
      </c>
      <c r="AL165" s="122">
        <v>4416</v>
      </c>
      <c r="AM165" s="122">
        <v>4014</v>
      </c>
      <c r="AN165" s="122">
        <v>11040</v>
      </c>
      <c r="AO165" s="122">
        <v>4089</v>
      </c>
      <c r="AP165" s="122">
        <v>351</v>
      </c>
      <c r="AQ165" s="122">
        <v>130</v>
      </c>
      <c r="AR165" s="122">
        <v>5781</v>
      </c>
      <c r="AS165" s="122">
        <v>5255</v>
      </c>
      <c r="AT165" s="122">
        <v>4698</v>
      </c>
      <c r="AU165" s="122">
        <v>1740</v>
      </c>
      <c r="AV165" s="122">
        <v>23696</v>
      </c>
    </row>
    <row r="166" spans="2:48" ht="12.75" hidden="1" customHeight="1">
      <c r="B166" t="s">
        <v>363</v>
      </c>
      <c r="C166" t="s">
        <v>60</v>
      </c>
      <c r="D166" t="s">
        <v>137</v>
      </c>
      <c r="E166" t="s">
        <v>426</v>
      </c>
      <c r="F166">
        <v>1</v>
      </c>
      <c r="G166" s="122">
        <v>69</v>
      </c>
      <c r="H166" s="122">
        <v>377</v>
      </c>
      <c r="I166" s="122">
        <v>15661</v>
      </c>
      <c r="J166" s="122">
        <v>5800</v>
      </c>
      <c r="K166">
        <v>100</v>
      </c>
      <c r="L166" s="122">
        <v>1575</v>
      </c>
      <c r="M166" s="122">
        <v>1432</v>
      </c>
      <c r="N166" s="122">
        <v>1032</v>
      </c>
      <c r="O166" s="122">
        <v>382</v>
      </c>
      <c r="P166" s="122">
        <v>0</v>
      </c>
      <c r="Q166" s="122">
        <v>0</v>
      </c>
      <c r="R166" s="122">
        <v>5700</v>
      </c>
      <c r="S166" s="122">
        <v>5182</v>
      </c>
      <c r="T166" s="122">
        <v>2014</v>
      </c>
      <c r="U166" s="122">
        <v>746</v>
      </c>
      <c r="V166" s="122">
        <v>13543</v>
      </c>
      <c r="W166" s="122">
        <f t="shared" si="4"/>
        <v>13542</v>
      </c>
      <c r="X166" s="122">
        <f t="shared" si="5"/>
        <v>25982</v>
      </c>
      <c r="Y166" s="122"/>
      <c r="AA166" t="s">
        <v>50</v>
      </c>
      <c r="AB166" t="s">
        <v>137</v>
      </c>
      <c r="AC166" t="s">
        <v>427</v>
      </c>
      <c r="AD166" t="s">
        <v>137</v>
      </c>
      <c r="AE166" t="s">
        <v>137</v>
      </c>
      <c r="AF166">
        <v>4</v>
      </c>
      <c r="AG166" s="122">
        <v>1180</v>
      </c>
      <c r="AH166" s="122">
        <v>361</v>
      </c>
      <c r="AI166" s="122">
        <v>44236</v>
      </c>
      <c r="AJ166" s="122">
        <v>16384</v>
      </c>
      <c r="AK166">
        <v>334</v>
      </c>
      <c r="AL166" s="122">
        <v>17852</v>
      </c>
      <c r="AM166" s="122">
        <v>16229</v>
      </c>
      <c r="AN166" s="122">
        <v>20390</v>
      </c>
      <c r="AO166" s="122">
        <v>7552</v>
      </c>
      <c r="AP166" s="122">
        <v>4268</v>
      </c>
      <c r="AQ166" s="122">
        <v>1581</v>
      </c>
      <c r="AR166" s="122">
        <v>27171</v>
      </c>
      <c r="AS166" s="122">
        <v>10063</v>
      </c>
      <c r="AT166">
        <v>0</v>
      </c>
      <c r="AU166">
        <v>0</v>
      </c>
      <c r="AV166" s="122">
        <v>51809</v>
      </c>
    </row>
    <row r="167" spans="2:48" ht="12.75" hidden="1" customHeight="1">
      <c r="B167" t="s">
        <v>363</v>
      </c>
      <c r="C167" t="s">
        <v>60</v>
      </c>
      <c r="D167" t="s">
        <v>406</v>
      </c>
      <c r="E167" t="s">
        <v>137</v>
      </c>
      <c r="F167">
        <v>4</v>
      </c>
      <c r="G167">
        <v>593</v>
      </c>
      <c r="H167" s="122">
        <v>1349</v>
      </c>
      <c r="I167" s="122">
        <v>121679</v>
      </c>
      <c r="J167" s="122">
        <v>110617</v>
      </c>
      <c r="K167">
        <v>75</v>
      </c>
      <c r="L167" s="122">
        <v>25829</v>
      </c>
      <c r="M167" s="122">
        <v>23481</v>
      </c>
      <c r="N167" s="122">
        <v>11948</v>
      </c>
      <c r="O167" s="122">
        <v>4425</v>
      </c>
      <c r="P167" s="122">
        <v>2484</v>
      </c>
      <c r="Q167" s="122">
        <v>920</v>
      </c>
      <c r="R167" s="122">
        <v>36796</v>
      </c>
      <c r="S167" s="122">
        <v>13628</v>
      </c>
      <c r="T167" s="122">
        <v>0</v>
      </c>
      <c r="U167">
        <v>0</v>
      </c>
      <c r="V167" s="122">
        <v>153071</v>
      </c>
      <c r="W167" s="122">
        <f t="shared" si="4"/>
        <v>153071</v>
      </c>
      <c r="X167" s="122">
        <f t="shared" si="5"/>
        <v>198736</v>
      </c>
      <c r="Y167" s="122"/>
      <c r="AA167" t="s">
        <v>50</v>
      </c>
      <c r="AB167" t="s">
        <v>137</v>
      </c>
      <c r="AC167" t="s">
        <v>427</v>
      </c>
      <c r="AD167" t="s">
        <v>137</v>
      </c>
      <c r="AE167" t="s">
        <v>566</v>
      </c>
      <c r="AF167">
        <v>19</v>
      </c>
      <c r="AG167" s="122">
        <v>4645</v>
      </c>
      <c r="AH167" s="122">
        <v>1703</v>
      </c>
      <c r="AI167" s="122">
        <v>181576</v>
      </c>
      <c r="AJ167" s="122">
        <v>67250</v>
      </c>
      <c r="AK167">
        <v>368</v>
      </c>
      <c r="AL167" s="122">
        <v>65800</v>
      </c>
      <c r="AM167" s="122">
        <v>59819</v>
      </c>
      <c r="AN167" s="122">
        <v>88459</v>
      </c>
      <c r="AO167" s="122">
        <v>32763</v>
      </c>
      <c r="AP167" s="122">
        <v>10120</v>
      </c>
      <c r="AQ167" s="122">
        <v>3748</v>
      </c>
      <c r="AR167" s="122">
        <v>96327</v>
      </c>
      <c r="AS167" s="122">
        <v>35677</v>
      </c>
      <c r="AT167" s="122">
        <v>0</v>
      </c>
      <c r="AU167" s="122">
        <v>0</v>
      </c>
      <c r="AV167" s="122">
        <v>199256</v>
      </c>
    </row>
    <row r="168" spans="2:48" ht="12.75" hidden="1" customHeight="1">
      <c r="B168" t="s">
        <v>363</v>
      </c>
      <c r="C168" t="s">
        <v>60</v>
      </c>
      <c r="D168" t="s">
        <v>406</v>
      </c>
      <c r="E168" t="s">
        <v>406</v>
      </c>
      <c r="F168">
        <v>514</v>
      </c>
      <c r="G168" s="122">
        <v>61085</v>
      </c>
      <c r="H168" s="122">
        <v>173590</v>
      </c>
      <c r="I168" s="122">
        <v>12894652</v>
      </c>
      <c r="J168" s="122">
        <v>11722411</v>
      </c>
      <c r="K168">
        <v>75</v>
      </c>
      <c r="L168" s="122">
        <v>2543331</v>
      </c>
      <c r="M168" s="122">
        <v>2270316</v>
      </c>
      <c r="N168" s="122">
        <v>1323164</v>
      </c>
      <c r="O168" s="122">
        <v>490061</v>
      </c>
      <c r="P168" s="122">
        <v>332046</v>
      </c>
      <c r="Q168" s="122">
        <v>122980</v>
      </c>
      <c r="R168" s="122">
        <v>2797925</v>
      </c>
      <c r="S168" s="122">
        <v>2543568</v>
      </c>
      <c r="T168" s="122">
        <v>986254</v>
      </c>
      <c r="U168" s="122">
        <v>365279</v>
      </c>
      <c r="V168" s="122">
        <v>17514615</v>
      </c>
      <c r="W168" s="122">
        <f t="shared" si="4"/>
        <v>17514615</v>
      </c>
      <c r="X168" s="122">
        <f t="shared" si="5"/>
        <v>20877372</v>
      </c>
      <c r="Y168" s="122"/>
      <c r="AA168" t="s">
        <v>50</v>
      </c>
      <c r="AB168" t="s">
        <v>137</v>
      </c>
      <c r="AC168" t="s">
        <v>407</v>
      </c>
      <c r="AD168" t="s">
        <v>137</v>
      </c>
      <c r="AE168" t="s">
        <v>137</v>
      </c>
      <c r="AF168">
        <v>3</v>
      </c>
      <c r="AG168" s="122">
        <v>734</v>
      </c>
      <c r="AH168" s="122">
        <v>267</v>
      </c>
      <c r="AI168" s="122">
        <v>27233</v>
      </c>
      <c r="AJ168" s="122">
        <v>10086</v>
      </c>
      <c r="AK168">
        <v>352</v>
      </c>
      <c r="AL168" s="122">
        <v>4540</v>
      </c>
      <c r="AM168" s="122">
        <v>4127</v>
      </c>
      <c r="AN168" s="122">
        <v>8944</v>
      </c>
      <c r="AO168" s="122">
        <v>3313</v>
      </c>
      <c r="AP168" s="122">
        <v>2579</v>
      </c>
      <c r="AQ168" s="122">
        <v>955</v>
      </c>
      <c r="AR168" s="122">
        <v>17621</v>
      </c>
      <c r="AS168" s="122">
        <v>6526</v>
      </c>
      <c r="AT168" s="122">
        <v>4503</v>
      </c>
      <c r="AU168" s="122">
        <v>1668</v>
      </c>
      <c r="AV168" s="122">
        <v>26675</v>
      </c>
    </row>
    <row r="169" spans="2:48" ht="12.75" hidden="1" customHeight="1">
      <c r="B169" t="s">
        <v>363</v>
      </c>
      <c r="C169" t="s">
        <v>60</v>
      </c>
      <c r="D169" t="s">
        <v>406</v>
      </c>
      <c r="E169" t="s">
        <v>431</v>
      </c>
      <c r="F169">
        <v>1</v>
      </c>
      <c r="G169" s="122">
        <v>114</v>
      </c>
      <c r="H169" s="122">
        <v>332</v>
      </c>
      <c r="I169" s="122">
        <v>20383</v>
      </c>
      <c r="J169" s="122">
        <v>18530</v>
      </c>
      <c r="K169">
        <v>95</v>
      </c>
      <c r="L169" s="122">
        <v>4535</v>
      </c>
      <c r="M169" s="122">
        <v>4122</v>
      </c>
      <c r="N169" s="122">
        <v>2776</v>
      </c>
      <c r="O169" s="122">
        <v>1028</v>
      </c>
      <c r="P169" s="122">
        <v>621</v>
      </c>
      <c r="Q169" s="122">
        <v>230</v>
      </c>
      <c r="R169" s="122">
        <v>6517</v>
      </c>
      <c r="S169" s="122">
        <v>5924</v>
      </c>
      <c r="T169" s="122">
        <v>3047</v>
      </c>
      <c r="U169" s="122">
        <v>1129</v>
      </c>
      <c r="V169" s="122">
        <v>30964</v>
      </c>
      <c r="W169" s="122">
        <f t="shared" si="4"/>
        <v>30963</v>
      </c>
      <c r="X169" s="122">
        <f t="shared" si="5"/>
        <v>37879</v>
      </c>
      <c r="Y169" s="122"/>
      <c r="AA169" t="s">
        <v>50</v>
      </c>
      <c r="AB169" t="s">
        <v>137</v>
      </c>
      <c r="AC169" t="s">
        <v>407</v>
      </c>
      <c r="AD169" t="s">
        <v>137</v>
      </c>
      <c r="AE169" t="s">
        <v>566</v>
      </c>
      <c r="AF169">
        <v>22</v>
      </c>
      <c r="AG169" s="122">
        <v>6606</v>
      </c>
      <c r="AH169" s="122">
        <v>2005</v>
      </c>
      <c r="AI169" s="122">
        <v>283580</v>
      </c>
      <c r="AJ169" s="122">
        <v>105030</v>
      </c>
      <c r="AK169">
        <v>351</v>
      </c>
      <c r="AL169" s="122">
        <v>64041</v>
      </c>
      <c r="AM169" s="122">
        <v>58219</v>
      </c>
      <c r="AN169" s="122">
        <v>121257</v>
      </c>
      <c r="AO169" s="122">
        <v>44910</v>
      </c>
      <c r="AP169" s="122">
        <v>34113</v>
      </c>
      <c r="AQ169" s="122">
        <v>12634</v>
      </c>
      <c r="AR169" s="122">
        <v>133545</v>
      </c>
      <c r="AS169" s="122">
        <v>49461</v>
      </c>
      <c r="AT169">
        <v>0</v>
      </c>
      <c r="AU169">
        <v>0</v>
      </c>
      <c r="AV169" s="122">
        <v>270254</v>
      </c>
    </row>
    <row r="170" spans="2:48" ht="12.75" hidden="1" customHeight="1">
      <c r="B170" t="s">
        <v>363</v>
      </c>
      <c r="C170" t="s">
        <v>60</v>
      </c>
      <c r="D170" t="s">
        <v>406</v>
      </c>
      <c r="E170" t="s">
        <v>433</v>
      </c>
      <c r="F170">
        <v>1</v>
      </c>
      <c r="G170">
        <v>99</v>
      </c>
      <c r="H170">
        <v>312</v>
      </c>
      <c r="I170" s="122">
        <v>13729</v>
      </c>
      <c r="J170" s="122">
        <v>12481</v>
      </c>
      <c r="K170">
        <v>86</v>
      </c>
      <c r="L170" s="122">
        <v>2753</v>
      </c>
      <c r="M170" s="122">
        <v>2502</v>
      </c>
      <c r="N170" s="122">
        <v>2362</v>
      </c>
      <c r="O170" s="122">
        <v>875</v>
      </c>
      <c r="P170">
        <v>621</v>
      </c>
      <c r="Q170">
        <v>230</v>
      </c>
      <c r="R170" s="122">
        <v>11578</v>
      </c>
      <c r="S170" s="122">
        <v>10525</v>
      </c>
      <c r="T170">
        <v>0</v>
      </c>
      <c r="U170">
        <v>0</v>
      </c>
      <c r="V170" s="122">
        <v>26613</v>
      </c>
      <c r="W170" s="122">
        <f t="shared" si="4"/>
        <v>26613</v>
      </c>
      <c r="X170" s="122">
        <f t="shared" si="5"/>
        <v>31043</v>
      </c>
      <c r="Y170" s="122"/>
      <c r="AA170" t="s">
        <v>50</v>
      </c>
      <c r="AB170" t="s">
        <v>137</v>
      </c>
      <c r="AC170" t="s">
        <v>579</v>
      </c>
      <c r="AD170" t="s">
        <v>137</v>
      </c>
      <c r="AE170" t="s">
        <v>137</v>
      </c>
      <c r="AF170">
        <v>5</v>
      </c>
      <c r="AG170" s="122">
        <v>1405</v>
      </c>
      <c r="AH170" s="122">
        <v>448</v>
      </c>
      <c r="AI170" s="122">
        <v>60967</v>
      </c>
      <c r="AJ170" s="122">
        <v>22580</v>
      </c>
      <c r="AK170">
        <v>374</v>
      </c>
      <c r="AL170" s="122">
        <v>20605</v>
      </c>
      <c r="AM170" s="122">
        <v>17171</v>
      </c>
      <c r="AN170" s="122">
        <v>24826</v>
      </c>
      <c r="AO170" s="122">
        <v>9195</v>
      </c>
      <c r="AP170" s="122">
        <v>3655</v>
      </c>
      <c r="AQ170" s="122">
        <v>1354</v>
      </c>
      <c r="AR170" s="122">
        <v>28439</v>
      </c>
      <c r="AS170" s="122">
        <v>10533</v>
      </c>
      <c r="AT170">
        <v>0</v>
      </c>
      <c r="AU170">
        <v>0</v>
      </c>
      <c r="AV170" s="122">
        <v>60833</v>
      </c>
    </row>
    <row r="171" spans="2:48" ht="12.75" hidden="1" customHeight="1">
      <c r="B171" t="s">
        <v>363</v>
      </c>
      <c r="C171" t="s">
        <v>60</v>
      </c>
      <c r="D171" t="s">
        <v>427</v>
      </c>
      <c r="E171" t="s">
        <v>406</v>
      </c>
      <c r="F171">
        <v>1</v>
      </c>
      <c r="G171" s="122">
        <v>111</v>
      </c>
      <c r="H171" s="122">
        <v>373</v>
      </c>
      <c r="I171" s="122">
        <v>32092</v>
      </c>
      <c r="J171" s="122">
        <v>29175</v>
      </c>
      <c r="K171">
        <v>60</v>
      </c>
      <c r="L171" s="122">
        <v>3127</v>
      </c>
      <c r="M171" s="122">
        <v>2843</v>
      </c>
      <c r="N171" s="122">
        <v>2368</v>
      </c>
      <c r="O171" s="122">
        <v>877</v>
      </c>
      <c r="P171" s="122">
        <v>972</v>
      </c>
      <c r="Q171" s="122">
        <v>360</v>
      </c>
      <c r="R171" s="122">
        <v>3031</v>
      </c>
      <c r="S171" s="122">
        <v>2755</v>
      </c>
      <c r="T171" s="122">
        <v>-129</v>
      </c>
      <c r="U171" s="122">
        <v>-48</v>
      </c>
      <c r="V171" s="122">
        <v>35962</v>
      </c>
      <c r="W171" s="122">
        <f t="shared" si="4"/>
        <v>36058</v>
      </c>
      <c r="X171" s="122">
        <f t="shared" si="5"/>
        <v>41719</v>
      </c>
      <c r="Y171" s="122"/>
      <c r="AA171" t="s">
        <v>50</v>
      </c>
      <c r="AB171" t="s">
        <v>137</v>
      </c>
      <c r="AC171" t="s">
        <v>579</v>
      </c>
      <c r="AD171" t="s">
        <v>137</v>
      </c>
      <c r="AE171" t="s">
        <v>566</v>
      </c>
      <c r="AF171">
        <v>74</v>
      </c>
      <c r="AG171" s="122">
        <v>17206</v>
      </c>
      <c r="AH171" s="122">
        <v>6554</v>
      </c>
      <c r="AI171" s="122">
        <v>527637</v>
      </c>
      <c r="AJ171" s="122">
        <v>195421</v>
      </c>
      <c r="AK171">
        <v>401</v>
      </c>
      <c r="AL171" s="122">
        <v>186861</v>
      </c>
      <c r="AM171" s="122">
        <v>155717</v>
      </c>
      <c r="AN171" s="122">
        <v>283243</v>
      </c>
      <c r="AO171" s="122">
        <v>104905</v>
      </c>
      <c r="AP171" s="122">
        <v>69166</v>
      </c>
      <c r="AQ171" s="122">
        <v>25617</v>
      </c>
      <c r="AR171" s="122">
        <v>479654</v>
      </c>
      <c r="AS171" s="122">
        <v>177650</v>
      </c>
      <c r="AT171">
        <v>0</v>
      </c>
      <c r="AU171">
        <v>0</v>
      </c>
      <c r="AV171" s="122">
        <v>659310</v>
      </c>
    </row>
    <row r="172" spans="2:48" ht="12.75" hidden="1" customHeight="1">
      <c r="B172" t="s">
        <v>363</v>
      </c>
      <c r="C172" t="s">
        <v>60</v>
      </c>
      <c r="D172" t="s">
        <v>427</v>
      </c>
      <c r="E172" t="s">
        <v>427</v>
      </c>
      <c r="F172">
        <v>2</v>
      </c>
      <c r="G172">
        <v>156</v>
      </c>
      <c r="H172" s="122">
        <v>638</v>
      </c>
      <c r="I172" s="122">
        <v>45488</v>
      </c>
      <c r="J172" s="122">
        <v>41353</v>
      </c>
      <c r="K172">
        <v>60</v>
      </c>
      <c r="L172" s="122">
        <v>7259</v>
      </c>
      <c r="M172" s="122">
        <v>2689</v>
      </c>
      <c r="N172" s="122">
        <v>4564</v>
      </c>
      <c r="O172" s="122">
        <v>1690</v>
      </c>
      <c r="P172" s="122">
        <v>351</v>
      </c>
      <c r="Q172">
        <v>130</v>
      </c>
      <c r="R172" s="122">
        <v>11258</v>
      </c>
      <c r="S172" s="122">
        <v>10234</v>
      </c>
      <c r="T172" s="122">
        <v>1844</v>
      </c>
      <c r="U172" s="122">
        <v>683</v>
      </c>
      <c r="V172" s="122">
        <v>56779</v>
      </c>
      <c r="W172" s="122">
        <f t="shared" si="4"/>
        <v>56779</v>
      </c>
      <c r="X172" s="122">
        <f t="shared" si="5"/>
        <v>70764</v>
      </c>
      <c r="Y172" s="122"/>
      <c r="AA172" t="s">
        <v>50</v>
      </c>
      <c r="AB172" t="s">
        <v>137</v>
      </c>
      <c r="AC172" t="s">
        <v>428</v>
      </c>
      <c r="AD172" t="s">
        <v>137</v>
      </c>
      <c r="AE172" t="s">
        <v>566</v>
      </c>
      <c r="AF172">
        <v>6</v>
      </c>
      <c r="AG172" s="122">
        <v>1355</v>
      </c>
      <c r="AH172">
        <v>544</v>
      </c>
      <c r="AI172" s="122">
        <v>49926</v>
      </c>
      <c r="AJ172" s="122">
        <v>18491</v>
      </c>
      <c r="AK172">
        <v>373</v>
      </c>
      <c r="AL172" s="122">
        <v>16764</v>
      </c>
      <c r="AM172" s="122">
        <v>15240</v>
      </c>
      <c r="AN172" s="122">
        <v>21325</v>
      </c>
      <c r="AO172" s="122">
        <v>7898</v>
      </c>
      <c r="AP172" s="122">
        <v>3429</v>
      </c>
      <c r="AQ172" s="122">
        <v>1270</v>
      </c>
      <c r="AR172" s="122">
        <v>31680</v>
      </c>
      <c r="AS172" s="122">
        <v>11733</v>
      </c>
      <c r="AT172">
        <v>0</v>
      </c>
      <c r="AU172">
        <v>0</v>
      </c>
      <c r="AV172" s="122">
        <v>54633</v>
      </c>
    </row>
    <row r="173" spans="2:48" ht="12.75" hidden="1" customHeight="1">
      <c r="B173" t="s">
        <v>363</v>
      </c>
      <c r="C173" t="s">
        <v>60</v>
      </c>
      <c r="D173" t="s">
        <v>407</v>
      </c>
      <c r="E173" t="s">
        <v>407</v>
      </c>
      <c r="F173">
        <v>6</v>
      </c>
      <c r="G173" s="122">
        <v>863</v>
      </c>
      <c r="H173" s="122">
        <v>1916</v>
      </c>
      <c r="I173" s="122">
        <v>155442</v>
      </c>
      <c r="J173" s="122">
        <v>141311</v>
      </c>
      <c r="K173">
        <v>80</v>
      </c>
      <c r="L173" s="122">
        <v>61043</v>
      </c>
      <c r="M173" s="122">
        <v>46337</v>
      </c>
      <c r="N173" s="122">
        <v>18511</v>
      </c>
      <c r="O173" s="122">
        <v>6856</v>
      </c>
      <c r="P173" s="122">
        <v>2835</v>
      </c>
      <c r="Q173" s="122">
        <v>1050</v>
      </c>
      <c r="R173" s="122">
        <v>31955</v>
      </c>
      <c r="S173" s="122">
        <v>29050</v>
      </c>
      <c r="T173" s="122">
        <v>8138</v>
      </c>
      <c r="U173" s="122">
        <v>3014</v>
      </c>
      <c r="V173" s="122">
        <v>227618</v>
      </c>
      <c r="W173" s="122">
        <f t="shared" si="4"/>
        <v>227618</v>
      </c>
      <c r="X173" s="122">
        <f t="shared" si="5"/>
        <v>277924</v>
      </c>
      <c r="Y173" s="122"/>
      <c r="AA173" t="s">
        <v>50</v>
      </c>
      <c r="AB173" t="s">
        <v>137</v>
      </c>
      <c r="AC173" t="s">
        <v>431</v>
      </c>
      <c r="AD173" t="s">
        <v>137</v>
      </c>
      <c r="AE173" t="s">
        <v>566</v>
      </c>
      <c r="AF173">
        <v>4</v>
      </c>
      <c r="AG173">
        <v>793</v>
      </c>
      <c r="AH173">
        <v>378</v>
      </c>
      <c r="AI173" s="122">
        <v>35660</v>
      </c>
      <c r="AJ173" s="122">
        <v>13207</v>
      </c>
      <c r="AK173">
        <v>370</v>
      </c>
      <c r="AL173" s="122">
        <v>10180</v>
      </c>
      <c r="AM173" s="122">
        <v>9254</v>
      </c>
      <c r="AN173" s="122">
        <v>13497</v>
      </c>
      <c r="AO173" s="122">
        <v>4999</v>
      </c>
      <c r="AP173" s="122">
        <v>2106</v>
      </c>
      <c r="AQ173">
        <v>780</v>
      </c>
      <c r="AR173" s="122">
        <v>20023</v>
      </c>
      <c r="AS173" s="122">
        <v>7416</v>
      </c>
      <c r="AT173">
        <v>0</v>
      </c>
      <c r="AU173">
        <v>0</v>
      </c>
      <c r="AV173" s="122">
        <v>35656</v>
      </c>
    </row>
    <row r="174" spans="2:48" ht="12.75" hidden="1" customHeight="1">
      <c r="B174" t="s">
        <v>363</v>
      </c>
      <c r="C174" t="s">
        <v>60</v>
      </c>
      <c r="D174" t="s">
        <v>426</v>
      </c>
      <c r="E174" t="s">
        <v>137</v>
      </c>
      <c r="F174">
        <v>2</v>
      </c>
      <c r="G174" s="122">
        <v>246</v>
      </c>
      <c r="H174" s="122">
        <v>682</v>
      </c>
      <c r="I174" s="122">
        <v>70726</v>
      </c>
      <c r="J174" s="122">
        <v>64297</v>
      </c>
      <c r="K174">
        <v>45</v>
      </c>
      <c r="L174" s="122">
        <v>6773</v>
      </c>
      <c r="M174" s="122">
        <v>3696</v>
      </c>
      <c r="N174" s="122">
        <v>6861</v>
      </c>
      <c r="O174" s="122">
        <v>2541</v>
      </c>
      <c r="P174" s="122">
        <v>0</v>
      </c>
      <c r="Q174" s="122">
        <v>0</v>
      </c>
      <c r="R174" s="122">
        <v>15475</v>
      </c>
      <c r="S174" s="122">
        <v>5731</v>
      </c>
      <c r="T174" s="122">
        <v>0</v>
      </c>
      <c r="U174" s="122">
        <v>0</v>
      </c>
      <c r="V174" s="122">
        <v>76264</v>
      </c>
      <c r="W174" s="122">
        <f t="shared" si="4"/>
        <v>76265</v>
      </c>
      <c r="X174" s="122">
        <f t="shared" si="5"/>
        <v>99835</v>
      </c>
      <c r="Y174" s="122"/>
      <c r="AA174" t="s">
        <v>50</v>
      </c>
      <c r="AB174" t="s">
        <v>137</v>
      </c>
      <c r="AC174" t="s">
        <v>426</v>
      </c>
      <c r="AD174" t="s">
        <v>405</v>
      </c>
      <c r="AE174" t="s">
        <v>566</v>
      </c>
      <c r="AF174">
        <v>1</v>
      </c>
      <c r="AG174" s="122">
        <v>467</v>
      </c>
      <c r="AH174" s="122">
        <v>89</v>
      </c>
      <c r="AI174" s="122">
        <v>31978</v>
      </c>
      <c r="AJ174" s="122">
        <v>11844</v>
      </c>
      <c r="AK174">
        <v>320</v>
      </c>
      <c r="AL174" s="122">
        <v>15441</v>
      </c>
      <c r="AM174" s="122">
        <v>14037</v>
      </c>
      <c r="AN174" s="122">
        <v>18956</v>
      </c>
      <c r="AO174" s="122">
        <v>7021</v>
      </c>
      <c r="AP174" s="122">
        <v>351</v>
      </c>
      <c r="AQ174" s="122">
        <v>130</v>
      </c>
      <c r="AR174" s="122">
        <v>2802</v>
      </c>
      <c r="AS174" s="122">
        <v>2548</v>
      </c>
      <c r="AT174" s="122">
        <v>0</v>
      </c>
      <c r="AU174" s="122">
        <v>0</v>
      </c>
      <c r="AV174" s="122">
        <v>35579</v>
      </c>
    </row>
    <row r="175" spans="2:48" ht="12.75" hidden="1" customHeight="1">
      <c r="B175" t="s">
        <v>363</v>
      </c>
      <c r="C175" t="s">
        <v>60</v>
      </c>
      <c r="D175" t="s">
        <v>426</v>
      </c>
      <c r="E175" t="s">
        <v>426</v>
      </c>
      <c r="F175">
        <v>62</v>
      </c>
      <c r="G175" s="122">
        <v>7115</v>
      </c>
      <c r="H175" s="122">
        <v>21425</v>
      </c>
      <c r="I175" s="122">
        <v>1595188</v>
      </c>
      <c r="J175" s="122">
        <v>1450171</v>
      </c>
      <c r="K175">
        <v>55</v>
      </c>
      <c r="L175" s="122">
        <v>193538</v>
      </c>
      <c r="M175" s="122">
        <v>173257</v>
      </c>
      <c r="N175" s="122">
        <v>148697</v>
      </c>
      <c r="O175" s="122">
        <v>55073</v>
      </c>
      <c r="P175" s="122">
        <v>28215</v>
      </c>
      <c r="Q175" s="122">
        <v>10450</v>
      </c>
      <c r="R175" s="122">
        <v>375068</v>
      </c>
      <c r="S175" s="122">
        <v>340971</v>
      </c>
      <c r="T175" s="122">
        <v>131702</v>
      </c>
      <c r="U175" s="122">
        <v>48778</v>
      </c>
      <c r="V175" s="122">
        <v>2078700</v>
      </c>
      <c r="W175" s="122">
        <f t="shared" si="4"/>
        <v>2078700</v>
      </c>
      <c r="X175" s="122">
        <f t="shared" si="5"/>
        <v>2472408</v>
      </c>
      <c r="Y175" s="122"/>
      <c r="AA175" t="s">
        <v>50</v>
      </c>
      <c r="AB175" t="s">
        <v>137</v>
      </c>
      <c r="AC175" t="s">
        <v>426</v>
      </c>
      <c r="AD175" t="s">
        <v>137</v>
      </c>
      <c r="AE175" t="s">
        <v>137</v>
      </c>
      <c r="AF175">
        <v>41</v>
      </c>
      <c r="AG175" s="122">
        <v>9824</v>
      </c>
      <c r="AH175" s="122">
        <v>3630</v>
      </c>
      <c r="AI175" s="122">
        <v>353330</v>
      </c>
      <c r="AJ175" s="122">
        <v>130863</v>
      </c>
      <c r="AK175">
        <v>392</v>
      </c>
      <c r="AL175" s="122">
        <v>125280</v>
      </c>
      <c r="AM175" s="122">
        <v>113891</v>
      </c>
      <c r="AN175" s="122">
        <v>176208</v>
      </c>
      <c r="AO175" s="122">
        <v>65262</v>
      </c>
      <c r="AP175" s="122">
        <v>33120</v>
      </c>
      <c r="AQ175" s="122">
        <v>12267</v>
      </c>
      <c r="AR175" s="122">
        <v>237350</v>
      </c>
      <c r="AS175" s="122">
        <v>87908</v>
      </c>
      <c r="AT175" s="122">
        <v>15473</v>
      </c>
      <c r="AU175" s="122">
        <v>5731</v>
      </c>
      <c r="AV175" s="122">
        <v>415921</v>
      </c>
    </row>
    <row r="176" spans="2:48" ht="12.75" hidden="1" customHeight="1">
      <c r="B176" t="s">
        <v>363</v>
      </c>
      <c r="C176" t="s">
        <v>60</v>
      </c>
      <c r="D176" t="s">
        <v>433</v>
      </c>
      <c r="E176" t="s">
        <v>433</v>
      </c>
      <c r="F176">
        <v>1</v>
      </c>
      <c r="G176">
        <v>487</v>
      </c>
      <c r="H176" s="122">
        <v>351</v>
      </c>
      <c r="I176" s="122">
        <v>153150</v>
      </c>
      <c r="J176" s="122">
        <v>139227</v>
      </c>
      <c r="K176">
        <v>30</v>
      </c>
      <c r="L176" s="122">
        <v>0</v>
      </c>
      <c r="M176" s="122">
        <v>0</v>
      </c>
      <c r="N176" s="122">
        <v>6297</v>
      </c>
      <c r="O176" s="122">
        <v>2332</v>
      </c>
      <c r="P176" s="122">
        <v>0</v>
      </c>
      <c r="Q176">
        <v>0</v>
      </c>
      <c r="R176" s="122">
        <v>21973</v>
      </c>
      <c r="S176" s="122">
        <v>19975</v>
      </c>
      <c r="T176" s="122">
        <v>0</v>
      </c>
      <c r="U176" s="122">
        <v>0</v>
      </c>
      <c r="V176" s="122">
        <v>161534</v>
      </c>
      <c r="W176" s="122">
        <f t="shared" si="4"/>
        <v>161534</v>
      </c>
      <c r="X176" s="122">
        <f t="shared" si="5"/>
        <v>181420</v>
      </c>
      <c r="Y176" s="122"/>
      <c r="AA176" t="s">
        <v>50</v>
      </c>
      <c r="AB176" t="s">
        <v>137</v>
      </c>
      <c r="AC176" t="s">
        <v>426</v>
      </c>
      <c r="AD176" t="s">
        <v>137</v>
      </c>
      <c r="AE176" t="s">
        <v>566</v>
      </c>
      <c r="AF176">
        <v>474</v>
      </c>
      <c r="AG176" s="122">
        <v>113248</v>
      </c>
      <c r="AH176" s="122">
        <v>42108</v>
      </c>
      <c r="AI176" s="122">
        <v>3855403</v>
      </c>
      <c r="AJ176" s="122">
        <v>1427927</v>
      </c>
      <c r="AK176">
        <v>381</v>
      </c>
      <c r="AL176" s="122">
        <v>1209404</v>
      </c>
      <c r="AM176" s="122">
        <v>1099458</v>
      </c>
      <c r="AN176" s="122">
        <v>1942118</v>
      </c>
      <c r="AO176" s="122">
        <v>719303</v>
      </c>
      <c r="AP176" s="122">
        <v>423283</v>
      </c>
      <c r="AQ176" s="122">
        <v>156771</v>
      </c>
      <c r="AR176" s="122">
        <v>2918571</v>
      </c>
      <c r="AS176" s="122">
        <v>1080952</v>
      </c>
      <c r="AT176">
        <v>0</v>
      </c>
      <c r="AU176">
        <v>0</v>
      </c>
      <c r="AV176" s="122">
        <v>4484412</v>
      </c>
    </row>
    <row r="177" spans="2:48" ht="12.75" hidden="1" customHeight="1">
      <c r="B177" t="s">
        <v>363</v>
      </c>
      <c r="C177" t="s">
        <v>60</v>
      </c>
      <c r="D177" t="s">
        <v>408</v>
      </c>
      <c r="E177" t="s">
        <v>408</v>
      </c>
      <c r="F177">
        <v>1</v>
      </c>
      <c r="G177" s="122">
        <v>218</v>
      </c>
      <c r="H177" s="122">
        <v>327</v>
      </c>
      <c r="I177" s="122">
        <v>54009</v>
      </c>
      <c r="J177" s="122">
        <v>49099</v>
      </c>
      <c r="K177">
        <v>65</v>
      </c>
      <c r="L177" s="122">
        <v>6001</v>
      </c>
      <c r="M177" s="122">
        <v>5455</v>
      </c>
      <c r="N177" s="122">
        <v>2946</v>
      </c>
      <c r="O177" s="122">
        <v>1091</v>
      </c>
      <c r="P177" s="122">
        <v>972</v>
      </c>
      <c r="Q177" s="122">
        <v>360</v>
      </c>
      <c r="R177" s="122">
        <v>4828</v>
      </c>
      <c r="S177" s="122">
        <v>4389</v>
      </c>
      <c r="T177" s="122">
        <v>2545</v>
      </c>
      <c r="U177" s="122">
        <v>943</v>
      </c>
      <c r="V177" s="122">
        <v>61337</v>
      </c>
      <c r="W177" s="122">
        <f t="shared" si="4"/>
        <v>61337</v>
      </c>
      <c r="X177" s="122">
        <f t="shared" si="5"/>
        <v>71301</v>
      </c>
      <c r="Y177" s="122"/>
      <c r="AA177" t="s">
        <v>50</v>
      </c>
      <c r="AB177" t="s">
        <v>137</v>
      </c>
      <c r="AC177" t="s">
        <v>426</v>
      </c>
      <c r="AD177" t="s">
        <v>406</v>
      </c>
      <c r="AE177" t="s">
        <v>566</v>
      </c>
      <c r="AF177">
        <v>4</v>
      </c>
      <c r="AG177" s="122">
        <v>1262</v>
      </c>
      <c r="AH177">
        <v>374</v>
      </c>
      <c r="AI177" s="122">
        <v>48814</v>
      </c>
      <c r="AJ177" s="122">
        <v>18079</v>
      </c>
      <c r="AK177">
        <v>318</v>
      </c>
      <c r="AL177" s="122">
        <v>13041</v>
      </c>
      <c r="AM177" s="122">
        <v>11855</v>
      </c>
      <c r="AN177" s="122">
        <v>24828</v>
      </c>
      <c r="AO177" s="122">
        <v>9195</v>
      </c>
      <c r="AP177" s="122">
        <v>4612</v>
      </c>
      <c r="AQ177" s="122">
        <v>1708</v>
      </c>
      <c r="AR177" s="122">
        <v>32606</v>
      </c>
      <c r="AS177" s="122">
        <v>29642</v>
      </c>
      <c r="AT177">
        <v>0</v>
      </c>
      <c r="AU177">
        <v>0</v>
      </c>
      <c r="AV177" s="122">
        <v>70480</v>
      </c>
    </row>
    <row r="178" spans="2:48" ht="12.75" hidden="1" customHeight="1">
      <c r="B178" t="s">
        <v>363</v>
      </c>
      <c r="C178" t="s">
        <v>62</v>
      </c>
      <c r="D178" t="s">
        <v>405</v>
      </c>
      <c r="E178" t="s">
        <v>405</v>
      </c>
      <c r="F178">
        <v>5</v>
      </c>
      <c r="G178" s="122">
        <v>779</v>
      </c>
      <c r="H178" s="122">
        <v>1973</v>
      </c>
      <c r="I178" s="122">
        <v>225362</v>
      </c>
      <c r="J178" s="122">
        <v>204875</v>
      </c>
      <c r="K178">
        <v>81</v>
      </c>
      <c r="L178" s="122">
        <v>60076</v>
      </c>
      <c r="M178" s="122">
        <v>54614</v>
      </c>
      <c r="N178" s="122">
        <v>20251</v>
      </c>
      <c r="O178" s="122">
        <v>7501</v>
      </c>
      <c r="P178" s="122">
        <v>2363</v>
      </c>
      <c r="Q178" s="122">
        <v>875</v>
      </c>
      <c r="R178" s="122">
        <v>24795</v>
      </c>
      <c r="S178" s="122">
        <v>22540</v>
      </c>
      <c r="T178" s="122">
        <v>2720</v>
      </c>
      <c r="U178" s="122">
        <v>1007</v>
      </c>
      <c r="V178" s="122">
        <v>291412</v>
      </c>
      <c r="W178" s="122">
        <f t="shared" si="4"/>
        <v>291412</v>
      </c>
      <c r="X178" s="122">
        <f t="shared" si="5"/>
        <v>335567</v>
      </c>
      <c r="Y178" s="122"/>
      <c r="AA178" t="s">
        <v>50</v>
      </c>
      <c r="AB178" t="s">
        <v>137</v>
      </c>
      <c r="AC178" t="s">
        <v>566</v>
      </c>
      <c r="AD178" t="s">
        <v>425</v>
      </c>
      <c r="AE178" t="s">
        <v>566</v>
      </c>
      <c r="AF178">
        <v>1</v>
      </c>
      <c r="AG178">
        <v>443</v>
      </c>
      <c r="AH178">
        <v>99</v>
      </c>
      <c r="AI178" s="122">
        <v>25037</v>
      </c>
      <c r="AJ178" s="122">
        <v>9273</v>
      </c>
      <c r="AK178">
        <v>300</v>
      </c>
      <c r="AL178">
        <v>0</v>
      </c>
      <c r="AM178" s="122">
        <v>0</v>
      </c>
      <c r="AN178" s="122">
        <v>6902</v>
      </c>
      <c r="AO178" s="122">
        <v>2556</v>
      </c>
      <c r="AP178" s="122">
        <v>4495</v>
      </c>
      <c r="AQ178" s="122">
        <v>1665</v>
      </c>
      <c r="AR178" s="122">
        <v>7570</v>
      </c>
      <c r="AS178" s="122">
        <v>6882</v>
      </c>
      <c r="AT178" s="122">
        <v>0</v>
      </c>
      <c r="AU178" s="122">
        <v>0</v>
      </c>
      <c r="AV178" s="122">
        <v>20375</v>
      </c>
    </row>
    <row r="179" spans="2:48" ht="12.75" hidden="1" customHeight="1">
      <c r="B179" t="s">
        <v>363</v>
      </c>
      <c r="C179" t="s">
        <v>62</v>
      </c>
      <c r="D179" t="s">
        <v>137</v>
      </c>
      <c r="E179" t="s">
        <v>137</v>
      </c>
      <c r="F179">
        <v>23</v>
      </c>
      <c r="G179" s="122">
        <v>2492</v>
      </c>
      <c r="H179" s="122">
        <v>9365</v>
      </c>
      <c r="I179" s="122">
        <v>725175</v>
      </c>
      <c r="J179" s="122">
        <v>268583</v>
      </c>
      <c r="K179">
        <v>100</v>
      </c>
      <c r="L179" s="122">
        <v>90364</v>
      </c>
      <c r="M179" s="122">
        <v>80381</v>
      </c>
      <c r="N179" s="122">
        <v>55611</v>
      </c>
      <c r="O179" s="122">
        <v>20597</v>
      </c>
      <c r="P179" s="122">
        <v>0</v>
      </c>
      <c r="Q179" s="122">
        <v>0</v>
      </c>
      <c r="R179" s="122">
        <v>161913</v>
      </c>
      <c r="S179" s="122">
        <v>59968</v>
      </c>
      <c r="T179" s="122">
        <v>2177</v>
      </c>
      <c r="U179" s="122">
        <v>806</v>
      </c>
      <c r="V179" s="122">
        <v>430336</v>
      </c>
      <c r="W179" s="122">
        <f t="shared" si="4"/>
        <v>430335</v>
      </c>
      <c r="X179" s="122">
        <f t="shared" si="5"/>
        <v>1035240</v>
      </c>
      <c r="Y179" s="122"/>
      <c r="AA179" t="s">
        <v>50</v>
      </c>
      <c r="AB179" t="s">
        <v>137</v>
      </c>
      <c r="AC179" t="s">
        <v>566</v>
      </c>
      <c r="AD179" t="s">
        <v>137</v>
      </c>
      <c r="AE179" t="s">
        <v>137</v>
      </c>
      <c r="AF179">
        <v>3</v>
      </c>
      <c r="AG179" s="122">
        <v>852</v>
      </c>
      <c r="AH179" s="122">
        <v>249</v>
      </c>
      <c r="AI179" s="122">
        <v>34000</v>
      </c>
      <c r="AJ179" s="122">
        <v>12592</v>
      </c>
      <c r="AK179">
        <v>353</v>
      </c>
      <c r="AL179">
        <v>0</v>
      </c>
      <c r="AM179" s="122">
        <v>6542</v>
      </c>
      <c r="AN179" s="122">
        <v>16423</v>
      </c>
      <c r="AO179" s="122">
        <v>6083</v>
      </c>
      <c r="AP179" s="122">
        <v>1053</v>
      </c>
      <c r="AQ179" s="122">
        <v>390</v>
      </c>
      <c r="AR179" s="122">
        <v>14427</v>
      </c>
      <c r="AS179" s="122">
        <v>5343</v>
      </c>
      <c r="AT179" s="122">
        <v>3291</v>
      </c>
      <c r="AU179" s="122">
        <v>1219</v>
      </c>
      <c r="AV179" s="122">
        <v>32169</v>
      </c>
    </row>
    <row r="180" spans="2:48" ht="12.75" hidden="1" customHeight="1">
      <c r="B180" t="s">
        <v>363</v>
      </c>
      <c r="C180" t="s">
        <v>62</v>
      </c>
      <c r="D180" t="s">
        <v>406</v>
      </c>
      <c r="E180" t="s">
        <v>137</v>
      </c>
      <c r="F180">
        <v>2</v>
      </c>
      <c r="G180">
        <v>199</v>
      </c>
      <c r="H180">
        <v>789</v>
      </c>
      <c r="I180" s="122">
        <v>46705</v>
      </c>
      <c r="J180" s="122">
        <v>42459</v>
      </c>
      <c r="K180">
        <v>89</v>
      </c>
      <c r="L180" s="122">
        <v>11508</v>
      </c>
      <c r="M180" s="122">
        <v>10462</v>
      </c>
      <c r="N180" s="122">
        <v>4098</v>
      </c>
      <c r="O180" s="122">
        <v>1518</v>
      </c>
      <c r="P180" s="122">
        <v>1242</v>
      </c>
      <c r="Q180">
        <v>460</v>
      </c>
      <c r="R180" s="122">
        <v>14222</v>
      </c>
      <c r="S180" s="122">
        <v>5267</v>
      </c>
      <c r="T180" s="122">
        <v>0</v>
      </c>
      <c r="U180">
        <v>0</v>
      </c>
      <c r="V180" s="122">
        <v>60167</v>
      </c>
      <c r="W180" s="122">
        <f t="shared" si="4"/>
        <v>60166</v>
      </c>
      <c r="X180" s="122">
        <f t="shared" si="5"/>
        <v>77775</v>
      </c>
      <c r="Y180" s="122"/>
      <c r="AA180" t="s">
        <v>50</v>
      </c>
      <c r="AB180" t="s">
        <v>137</v>
      </c>
      <c r="AC180" t="s">
        <v>566</v>
      </c>
      <c r="AD180" t="s">
        <v>137</v>
      </c>
      <c r="AE180" t="s">
        <v>566</v>
      </c>
      <c r="AF180">
        <v>79</v>
      </c>
      <c r="AG180" s="122">
        <v>15131</v>
      </c>
      <c r="AH180" s="122">
        <v>6850</v>
      </c>
      <c r="AI180" s="122">
        <v>510996</v>
      </c>
      <c r="AJ180" s="122">
        <v>189258</v>
      </c>
      <c r="AK180">
        <v>372</v>
      </c>
      <c r="AL180">
        <v>0</v>
      </c>
      <c r="AM180" s="122">
        <v>19598</v>
      </c>
      <c r="AN180" s="122">
        <v>238033</v>
      </c>
      <c r="AO180" s="122">
        <v>88160</v>
      </c>
      <c r="AP180" s="122">
        <v>96482</v>
      </c>
      <c r="AQ180" s="122">
        <v>35734</v>
      </c>
      <c r="AR180" s="122">
        <v>496045</v>
      </c>
      <c r="AS180" s="122">
        <v>183721</v>
      </c>
      <c r="AT180">
        <v>0</v>
      </c>
      <c r="AU180">
        <v>0</v>
      </c>
      <c r="AV180" s="122">
        <v>516470</v>
      </c>
    </row>
    <row r="181" spans="2:48" ht="12.75" hidden="1" customHeight="1">
      <c r="B181" t="s">
        <v>363</v>
      </c>
      <c r="C181" t="s">
        <v>62</v>
      </c>
      <c r="D181" t="s">
        <v>406</v>
      </c>
      <c r="E181" t="s">
        <v>406</v>
      </c>
      <c r="F181">
        <v>239</v>
      </c>
      <c r="G181" s="122">
        <v>27601</v>
      </c>
      <c r="H181" s="122">
        <v>99133</v>
      </c>
      <c r="I181" s="122">
        <v>7571382</v>
      </c>
      <c r="J181" s="122">
        <v>6883075</v>
      </c>
      <c r="K181">
        <v>74</v>
      </c>
      <c r="L181" s="122">
        <v>1546873</v>
      </c>
      <c r="M181" s="122">
        <v>1370162</v>
      </c>
      <c r="N181" s="122">
        <v>599208</v>
      </c>
      <c r="O181" s="122">
        <v>221929</v>
      </c>
      <c r="P181" s="122">
        <v>152901</v>
      </c>
      <c r="Q181" s="122">
        <v>56630</v>
      </c>
      <c r="R181" s="122">
        <v>1265180</v>
      </c>
      <c r="S181" s="122">
        <v>1150164</v>
      </c>
      <c r="T181" s="122">
        <v>443480</v>
      </c>
      <c r="U181" s="122">
        <v>164252</v>
      </c>
      <c r="V181" s="122">
        <v>9846212</v>
      </c>
      <c r="W181" s="122">
        <f t="shared" si="4"/>
        <v>9846212</v>
      </c>
      <c r="X181" s="122">
        <f t="shared" si="5"/>
        <v>11579024</v>
      </c>
      <c r="Y181" s="122"/>
      <c r="AA181" t="s">
        <v>50</v>
      </c>
      <c r="AB181" t="s">
        <v>137</v>
      </c>
      <c r="AC181" t="s">
        <v>566</v>
      </c>
      <c r="AD181" t="s">
        <v>407</v>
      </c>
      <c r="AE181" t="s">
        <v>566</v>
      </c>
      <c r="AF181">
        <v>1</v>
      </c>
      <c r="AG181" s="122">
        <v>203</v>
      </c>
      <c r="AH181">
        <v>97</v>
      </c>
      <c r="AI181" s="122">
        <v>19086</v>
      </c>
      <c r="AJ181" s="122">
        <v>7069</v>
      </c>
      <c r="AK181">
        <v>250</v>
      </c>
      <c r="AL181" s="122">
        <v>0</v>
      </c>
      <c r="AM181" s="122">
        <v>604</v>
      </c>
      <c r="AN181" s="122">
        <v>3767</v>
      </c>
      <c r="AO181" s="122">
        <v>1395</v>
      </c>
      <c r="AP181" s="122">
        <v>3030</v>
      </c>
      <c r="AQ181" s="122">
        <v>1122</v>
      </c>
      <c r="AR181" s="122">
        <v>4031</v>
      </c>
      <c r="AS181" s="122">
        <v>3665</v>
      </c>
      <c r="AT181" s="122">
        <v>0</v>
      </c>
      <c r="AU181" s="122">
        <v>0</v>
      </c>
      <c r="AV181" s="122">
        <v>13855</v>
      </c>
    </row>
    <row r="182" spans="2:48" ht="12.75" hidden="1" customHeight="1">
      <c r="B182" t="s">
        <v>363</v>
      </c>
      <c r="C182" t="s">
        <v>62</v>
      </c>
      <c r="D182" t="s">
        <v>407</v>
      </c>
      <c r="E182" t="s">
        <v>407</v>
      </c>
      <c r="F182">
        <v>1</v>
      </c>
      <c r="G182" s="122">
        <v>112</v>
      </c>
      <c r="H182" s="122">
        <v>400</v>
      </c>
      <c r="I182" s="122">
        <v>32216</v>
      </c>
      <c r="J182" s="122">
        <v>29287</v>
      </c>
      <c r="K182">
        <v>78</v>
      </c>
      <c r="L182" s="122">
        <v>3799</v>
      </c>
      <c r="M182" s="122">
        <v>3454</v>
      </c>
      <c r="N182" s="122">
        <v>1858</v>
      </c>
      <c r="O182" s="122">
        <v>688</v>
      </c>
      <c r="P182" s="122">
        <v>473</v>
      </c>
      <c r="Q182" s="122">
        <v>175</v>
      </c>
      <c r="R182" s="122">
        <v>4032</v>
      </c>
      <c r="S182" s="122">
        <v>3666</v>
      </c>
      <c r="T182" s="122">
        <v>2535</v>
      </c>
      <c r="U182" s="122">
        <v>939</v>
      </c>
      <c r="V182" s="122">
        <v>38209</v>
      </c>
      <c r="W182" s="122">
        <f t="shared" si="4"/>
        <v>38209</v>
      </c>
      <c r="X182" s="122">
        <f t="shared" si="5"/>
        <v>44913</v>
      </c>
      <c r="Y182" s="122"/>
      <c r="AA182" t="s">
        <v>50</v>
      </c>
      <c r="AB182" t="s">
        <v>137</v>
      </c>
      <c r="AC182" t="s">
        <v>433</v>
      </c>
      <c r="AD182" t="s">
        <v>137</v>
      </c>
      <c r="AE182" t="s">
        <v>137</v>
      </c>
      <c r="AF182">
        <v>6</v>
      </c>
      <c r="AG182" s="122">
        <v>1437</v>
      </c>
      <c r="AH182" s="122">
        <v>530</v>
      </c>
      <c r="AI182" s="122">
        <v>55199</v>
      </c>
      <c r="AJ182" s="122">
        <v>20444</v>
      </c>
      <c r="AK182">
        <v>356</v>
      </c>
      <c r="AL182" s="122">
        <v>11826</v>
      </c>
      <c r="AM182" s="122">
        <v>10751</v>
      </c>
      <c r="AN182" s="122">
        <v>19369</v>
      </c>
      <c r="AO182" s="122">
        <v>7174</v>
      </c>
      <c r="AP182" s="122">
        <v>7937</v>
      </c>
      <c r="AQ182" s="122">
        <v>2940</v>
      </c>
      <c r="AR182" s="122">
        <v>33203</v>
      </c>
      <c r="AS182" s="122">
        <v>12298</v>
      </c>
      <c r="AT182" s="122">
        <v>3849</v>
      </c>
      <c r="AU182" s="122">
        <v>1426</v>
      </c>
      <c r="AV182" s="122">
        <v>55032</v>
      </c>
    </row>
    <row r="183" spans="2:48" ht="12.75" hidden="1" customHeight="1">
      <c r="B183" t="s">
        <v>363</v>
      </c>
      <c r="C183" t="s">
        <v>62</v>
      </c>
      <c r="D183" t="s">
        <v>556</v>
      </c>
      <c r="E183" t="s">
        <v>556</v>
      </c>
      <c r="F183">
        <v>1</v>
      </c>
      <c r="G183">
        <v>105</v>
      </c>
      <c r="H183">
        <v>447</v>
      </c>
      <c r="I183" s="122">
        <v>37378</v>
      </c>
      <c r="J183" s="122">
        <v>31148</v>
      </c>
      <c r="K183">
        <v>65</v>
      </c>
      <c r="L183" s="122">
        <v>0</v>
      </c>
      <c r="M183" s="122">
        <v>0</v>
      </c>
      <c r="N183" s="122">
        <v>1631</v>
      </c>
      <c r="O183" s="122">
        <v>604</v>
      </c>
      <c r="P183">
        <v>351</v>
      </c>
      <c r="Q183">
        <v>130</v>
      </c>
      <c r="R183" s="122">
        <v>5159</v>
      </c>
      <c r="S183" s="122">
        <v>4299</v>
      </c>
      <c r="T183" s="122">
        <v>2629</v>
      </c>
      <c r="U183" s="122">
        <v>974</v>
      </c>
      <c r="V183" s="122">
        <v>37156</v>
      </c>
      <c r="W183" s="122">
        <f t="shared" si="4"/>
        <v>37155</v>
      </c>
      <c r="X183" s="122">
        <f t="shared" si="5"/>
        <v>47148</v>
      </c>
      <c r="Y183" s="122"/>
      <c r="AA183" t="s">
        <v>50</v>
      </c>
      <c r="AB183" t="s">
        <v>137</v>
      </c>
      <c r="AC183" t="s">
        <v>433</v>
      </c>
      <c r="AD183" t="s">
        <v>137</v>
      </c>
      <c r="AE183" t="s">
        <v>566</v>
      </c>
      <c r="AF183">
        <v>80</v>
      </c>
      <c r="AG183" s="122">
        <v>17888</v>
      </c>
      <c r="AH183" s="122">
        <v>6940</v>
      </c>
      <c r="AI183" s="122">
        <v>580335</v>
      </c>
      <c r="AJ183" s="122">
        <v>214939</v>
      </c>
      <c r="AK183">
        <v>372</v>
      </c>
      <c r="AL183" s="122">
        <v>133075</v>
      </c>
      <c r="AM183" s="122">
        <v>120977</v>
      </c>
      <c r="AN183" s="122">
        <v>285239</v>
      </c>
      <c r="AO183" s="122">
        <v>105644</v>
      </c>
      <c r="AP183" s="122">
        <v>122192</v>
      </c>
      <c r="AQ183" s="122">
        <v>45256</v>
      </c>
      <c r="AR183" s="122">
        <v>494767</v>
      </c>
      <c r="AS183" s="122">
        <v>183247</v>
      </c>
      <c r="AT183">
        <v>0</v>
      </c>
      <c r="AU183">
        <v>0</v>
      </c>
      <c r="AV183" s="122">
        <v>670064</v>
      </c>
    </row>
    <row r="184" spans="2:48" ht="12.75" hidden="1" customHeight="1">
      <c r="B184" t="s">
        <v>363</v>
      </c>
      <c r="C184" t="s">
        <v>62</v>
      </c>
      <c r="D184" t="s">
        <v>426</v>
      </c>
      <c r="E184" t="s">
        <v>137</v>
      </c>
      <c r="F184">
        <v>2</v>
      </c>
      <c r="G184">
        <v>443</v>
      </c>
      <c r="H184" s="122">
        <v>807</v>
      </c>
      <c r="I184" s="122">
        <v>127652</v>
      </c>
      <c r="J184" s="122">
        <v>116047</v>
      </c>
      <c r="K184">
        <v>30</v>
      </c>
      <c r="L184" s="122">
        <v>23500</v>
      </c>
      <c r="M184" s="122">
        <v>8704</v>
      </c>
      <c r="N184" s="122">
        <v>10803</v>
      </c>
      <c r="O184" s="122">
        <v>4001</v>
      </c>
      <c r="P184" s="122">
        <v>0</v>
      </c>
      <c r="Q184" s="122">
        <v>0</v>
      </c>
      <c r="R184" s="122">
        <v>16835</v>
      </c>
      <c r="S184" s="122">
        <v>6235</v>
      </c>
      <c r="T184" s="122">
        <v>0</v>
      </c>
      <c r="U184" s="122">
        <v>0</v>
      </c>
      <c r="V184" s="122">
        <v>134987</v>
      </c>
      <c r="W184" s="122">
        <f t="shared" si="4"/>
        <v>134987</v>
      </c>
      <c r="X184" s="122">
        <f t="shared" si="5"/>
        <v>178790</v>
      </c>
      <c r="Y184" s="122"/>
      <c r="AA184" t="s">
        <v>50</v>
      </c>
      <c r="AB184" t="s">
        <v>137</v>
      </c>
      <c r="AC184" t="s">
        <v>429</v>
      </c>
      <c r="AD184" t="s">
        <v>137</v>
      </c>
      <c r="AE184" t="s">
        <v>566</v>
      </c>
      <c r="AF184">
        <v>10</v>
      </c>
      <c r="AG184" s="122">
        <v>1933</v>
      </c>
      <c r="AH184">
        <v>813</v>
      </c>
      <c r="AI184" s="122">
        <v>48172</v>
      </c>
      <c r="AJ184" s="122">
        <v>17841</v>
      </c>
      <c r="AK184">
        <v>451</v>
      </c>
      <c r="AL184" s="122">
        <v>13520</v>
      </c>
      <c r="AM184" s="122">
        <v>12291</v>
      </c>
      <c r="AN184" s="122">
        <v>26652</v>
      </c>
      <c r="AO184" s="122">
        <v>9871</v>
      </c>
      <c r="AP184" s="122">
        <v>10610</v>
      </c>
      <c r="AQ184" s="122">
        <v>3930</v>
      </c>
      <c r="AR184" s="122">
        <v>58744</v>
      </c>
      <c r="AS184" s="122">
        <v>21757</v>
      </c>
      <c r="AT184">
        <v>0</v>
      </c>
      <c r="AU184">
        <v>0</v>
      </c>
      <c r="AV184" s="122">
        <v>65690</v>
      </c>
    </row>
    <row r="185" spans="2:48" ht="12.75" hidden="1" customHeight="1">
      <c r="B185" t="s">
        <v>363</v>
      </c>
      <c r="C185" t="s">
        <v>62</v>
      </c>
      <c r="D185" t="s">
        <v>426</v>
      </c>
      <c r="E185" t="s">
        <v>426</v>
      </c>
      <c r="F185">
        <v>66</v>
      </c>
      <c r="G185" s="122">
        <v>5682</v>
      </c>
      <c r="H185" s="122">
        <v>27138</v>
      </c>
      <c r="I185" s="122">
        <v>1460153</v>
      </c>
      <c r="J185" s="122">
        <v>1327412</v>
      </c>
      <c r="K185">
        <v>48</v>
      </c>
      <c r="L185" s="122">
        <v>199777</v>
      </c>
      <c r="M185" s="122">
        <v>181616</v>
      </c>
      <c r="N185" s="122">
        <v>118940</v>
      </c>
      <c r="O185" s="122">
        <v>44052</v>
      </c>
      <c r="P185" s="122">
        <v>24786</v>
      </c>
      <c r="Q185" s="122">
        <v>9180</v>
      </c>
      <c r="R185" s="122">
        <v>398558</v>
      </c>
      <c r="S185" s="122">
        <v>362326</v>
      </c>
      <c r="T185" s="122">
        <v>147006</v>
      </c>
      <c r="U185" s="122">
        <v>54447</v>
      </c>
      <c r="V185" s="122">
        <v>1979032</v>
      </c>
      <c r="W185" s="122">
        <f t="shared" si="4"/>
        <v>1979033</v>
      </c>
      <c r="X185" s="122">
        <f t="shared" si="5"/>
        <v>2349220</v>
      </c>
      <c r="Y185" s="122"/>
      <c r="AA185" t="s">
        <v>50</v>
      </c>
      <c r="AB185" t="s">
        <v>483</v>
      </c>
      <c r="AC185" t="s">
        <v>426</v>
      </c>
      <c r="AD185" t="s">
        <v>483</v>
      </c>
      <c r="AE185" t="s">
        <v>566</v>
      </c>
      <c r="AF185">
        <v>1</v>
      </c>
      <c r="AG185">
        <v>451</v>
      </c>
      <c r="AH185">
        <v>97</v>
      </c>
      <c r="AI185" s="122">
        <v>19652</v>
      </c>
      <c r="AJ185" s="122">
        <v>7279</v>
      </c>
      <c r="AK185">
        <v>320</v>
      </c>
      <c r="AL185" s="122">
        <v>9489</v>
      </c>
      <c r="AM185" s="122">
        <v>8626</v>
      </c>
      <c r="AN185" s="122">
        <v>10440</v>
      </c>
      <c r="AO185" s="122">
        <v>3867</v>
      </c>
      <c r="AP185" s="122">
        <v>351</v>
      </c>
      <c r="AQ185">
        <v>130</v>
      </c>
      <c r="AR185" s="122">
        <v>3825</v>
      </c>
      <c r="AS185" s="122">
        <v>1417</v>
      </c>
      <c r="AT185">
        <v>0</v>
      </c>
      <c r="AU185">
        <v>0</v>
      </c>
      <c r="AV185" s="122">
        <v>21318</v>
      </c>
    </row>
    <row r="186" spans="2:48" ht="12.75" hidden="1" customHeight="1">
      <c r="B186" t="s">
        <v>363</v>
      </c>
      <c r="C186" t="s">
        <v>62</v>
      </c>
      <c r="D186" t="s">
        <v>433</v>
      </c>
      <c r="E186" t="s">
        <v>433</v>
      </c>
      <c r="F186">
        <v>1</v>
      </c>
      <c r="G186" s="122">
        <v>76</v>
      </c>
      <c r="H186" s="122">
        <v>404</v>
      </c>
      <c r="I186" s="122">
        <v>15451</v>
      </c>
      <c r="J186" s="122">
        <v>14047</v>
      </c>
      <c r="K186">
        <v>65</v>
      </c>
      <c r="L186" s="122">
        <v>2739</v>
      </c>
      <c r="M186" s="122">
        <v>1014</v>
      </c>
      <c r="N186" s="122">
        <v>1850</v>
      </c>
      <c r="O186" s="122">
        <v>685</v>
      </c>
      <c r="P186" s="122">
        <v>351</v>
      </c>
      <c r="Q186" s="122">
        <v>130</v>
      </c>
      <c r="R186" s="122">
        <v>10305</v>
      </c>
      <c r="S186" s="122">
        <v>9368</v>
      </c>
      <c r="T186" s="122">
        <v>0</v>
      </c>
      <c r="U186" s="122">
        <v>0</v>
      </c>
      <c r="V186" s="122">
        <v>25244</v>
      </c>
      <c r="W186" s="122">
        <f t="shared" si="4"/>
        <v>25244</v>
      </c>
      <c r="X186" s="122">
        <f t="shared" si="5"/>
        <v>30696</v>
      </c>
      <c r="Y186" s="122"/>
      <c r="AA186" t="s">
        <v>50</v>
      </c>
      <c r="AB186" t="s">
        <v>430</v>
      </c>
      <c r="AC186" t="s">
        <v>426</v>
      </c>
      <c r="AD186" t="s">
        <v>430</v>
      </c>
      <c r="AE186" t="s">
        <v>566</v>
      </c>
      <c r="AF186">
        <v>1</v>
      </c>
      <c r="AG186">
        <v>238</v>
      </c>
      <c r="AH186">
        <v>100</v>
      </c>
      <c r="AI186" s="122">
        <v>10403</v>
      </c>
      <c r="AJ186" s="122">
        <v>3853</v>
      </c>
      <c r="AK186">
        <v>320</v>
      </c>
      <c r="AL186" s="122">
        <v>2740</v>
      </c>
      <c r="AM186" s="122">
        <v>2491</v>
      </c>
      <c r="AN186" s="122">
        <v>2896</v>
      </c>
      <c r="AO186" s="122">
        <v>1072</v>
      </c>
      <c r="AP186" s="122">
        <v>2439</v>
      </c>
      <c r="AQ186">
        <v>903</v>
      </c>
      <c r="AR186" s="122">
        <v>5200</v>
      </c>
      <c r="AS186" s="122">
        <v>1926</v>
      </c>
      <c r="AT186" s="122">
        <v>0</v>
      </c>
      <c r="AU186" s="122">
        <v>0</v>
      </c>
      <c r="AV186" s="122">
        <v>10245</v>
      </c>
    </row>
    <row r="187" spans="2:48" ht="12.75" hidden="1" customHeight="1">
      <c r="B187" t="s">
        <v>363</v>
      </c>
      <c r="C187" t="s">
        <v>64</v>
      </c>
      <c r="F187">
        <v>1</v>
      </c>
      <c r="G187" s="122">
        <v>157</v>
      </c>
      <c r="H187" s="122">
        <v>606</v>
      </c>
      <c r="I187" s="122"/>
      <c r="J187" s="122">
        <v>0</v>
      </c>
      <c r="L187" s="122"/>
      <c r="M187" s="122">
        <v>0</v>
      </c>
      <c r="N187" s="122">
        <v>3661</v>
      </c>
      <c r="O187" s="122">
        <v>1356</v>
      </c>
      <c r="P187" s="122">
        <v>0</v>
      </c>
      <c r="Q187" s="122">
        <v>0</v>
      </c>
      <c r="R187" s="122"/>
      <c r="S187" s="122">
        <v>0</v>
      </c>
      <c r="T187" s="122">
        <v>3803</v>
      </c>
      <c r="U187" s="122">
        <v>1409</v>
      </c>
      <c r="V187" s="122">
        <v>2764</v>
      </c>
      <c r="W187" s="122">
        <f t="shared" si="4"/>
        <v>2765</v>
      </c>
      <c r="X187" s="122">
        <f t="shared" si="5"/>
        <v>7464</v>
      </c>
      <c r="Y187" s="122"/>
      <c r="AA187" t="s">
        <v>50</v>
      </c>
      <c r="AB187" t="s">
        <v>430</v>
      </c>
      <c r="AC187" t="s">
        <v>566</v>
      </c>
      <c r="AD187" t="s">
        <v>430</v>
      </c>
      <c r="AE187" t="s">
        <v>566</v>
      </c>
      <c r="AF187">
        <v>1</v>
      </c>
      <c r="AG187">
        <v>213</v>
      </c>
      <c r="AH187">
        <v>95</v>
      </c>
      <c r="AI187" s="122">
        <v>6799</v>
      </c>
      <c r="AJ187" s="122">
        <v>2518</v>
      </c>
      <c r="AK187">
        <v>320</v>
      </c>
      <c r="AL187" s="122">
        <v>0</v>
      </c>
      <c r="AM187" s="122">
        <v>0</v>
      </c>
      <c r="AN187" s="122">
        <v>2858</v>
      </c>
      <c r="AO187" s="122">
        <v>1059</v>
      </c>
      <c r="AP187" s="122">
        <v>1935</v>
      </c>
      <c r="AQ187">
        <v>717</v>
      </c>
      <c r="AR187" s="122">
        <v>5174</v>
      </c>
      <c r="AS187" s="122">
        <v>1916</v>
      </c>
      <c r="AT187" s="122">
        <v>3553</v>
      </c>
      <c r="AU187" s="122">
        <v>1316</v>
      </c>
      <c r="AV187" s="122">
        <v>7526</v>
      </c>
    </row>
    <row r="188" spans="2:48" ht="12.75" hidden="1" customHeight="1">
      <c r="B188" t="s">
        <v>363</v>
      </c>
      <c r="C188" t="s">
        <v>64</v>
      </c>
      <c r="D188" t="s">
        <v>425</v>
      </c>
      <c r="E188" t="s">
        <v>425</v>
      </c>
      <c r="F188">
        <v>1</v>
      </c>
      <c r="G188" s="122">
        <v>51</v>
      </c>
      <c r="H188" s="122">
        <v>588</v>
      </c>
      <c r="I188" s="122">
        <v>20208</v>
      </c>
      <c r="J188" s="122">
        <v>18370</v>
      </c>
      <c r="K188">
        <v>91</v>
      </c>
      <c r="L188" s="122">
        <v>6436</v>
      </c>
      <c r="M188" s="122">
        <v>5851</v>
      </c>
      <c r="N188" s="122">
        <v>1176</v>
      </c>
      <c r="O188" s="122">
        <v>436</v>
      </c>
      <c r="P188" s="122">
        <v>473</v>
      </c>
      <c r="Q188" s="122">
        <v>175</v>
      </c>
      <c r="R188" s="122">
        <v>1896</v>
      </c>
      <c r="S188" s="122">
        <v>1724</v>
      </c>
      <c r="T188" s="122">
        <v>0</v>
      </c>
      <c r="U188" s="122">
        <v>0</v>
      </c>
      <c r="V188" s="122">
        <v>26556</v>
      </c>
      <c r="W188" s="122">
        <f t="shared" si="4"/>
        <v>26556</v>
      </c>
      <c r="X188" s="122">
        <f t="shared" si="5"/>
        <v>30189</v>
      </c>
      <c r="Y188" s="122"/>
      <c r="AA188" t="s">
        <v>50</v>
      </c>
      <c r="AB188" t="s">
        <v>430</v>
      </c>
      <c r="AC188" t="s">
        <v>433</v>
      </c>
      <c r="AD188" t="s">
        <v>430</v>
      </c>
      <c r="AE188" t="s">
        <v>566</v>
      </c>
      <c r="AF188">
        <v>1</v>
      </c>
      <c r="AG188">
        <v>183</v>
      </c>
      <c r="AH188">
        <v>99</v>
      </c>
      <c r="AI188" s="122">
        <v>6679</v>
      </c>
      <c r="AJ188" s="122">
        <v>2474</v>
      </c>
      <c r="AK188">
        <v>250</v>
      </c>
      <c r="AL188" s="122">
        <v>1260</v>
      </c>
      <c r="AM188" s="122">
        <v>1145</v>
      </c>
      <c r="AN188" s="122">
        <v>2452</v>
      </c>
      <c r="AO188" s="122">
        <v>908</v>
      </c>
      <c r="AP188" s="122">
        <v>1905</v>
      </c>
      <c r="AQ188">
        <v>705</v>
      </c>
      <c r="AR188" s="122">
        <v>5725</v>
      </c>
      <c r="AS188" s="122">
        <v>2121</v>
      </c>
      <c r="AT188">
        <v>0</v>
      </c>
      <c r="AU188">
        <v>0</v>
      </c>
      <c r="AV188" s="122">
        <v>7353</v>
      </c>
    </row>
    <row r="189" spans="2:48" ht="12.75" hidden="1" customHeight="1">
      <c r="B189" t="s">
        <v>363</v>
      </c>
      <c r="C189" t="s">
        <v>64</v>
      </c>
      <c r="D189" t="s">
        <v>405</v>
      </c>
      <c r="E189" t="s">
        <v>405</v>
      </c>
      <c r="F189">
        <v>2</v>
      </c>
      <c r="G189" s="122">
        <v>259</v>
      </c>
      <c r="H189" s="122">
        <v>1061</v>
      </c>
      <c r="I189" s="122">
        <v>97297</v>
      </c>
      <c r="J189" s="122">
        <v>88452</v>
      </c>
      <c r="K189">
        <v>69</v>
      </c>
      <c r="L189" s="122">
        <v>18498</v>
      </c>
      <c r="M189" s="122">
        <v>16817</v>
      </c>
      <c r="N189" s="122">
        <v>5797</v>
      </c>
      <c r="O189" s="122">
        <v>2147</v>
      </c>
      <c r="P189" s="122">
        <v>945</v>
      </c>
      <c r="Q189" s="122">
        <v>350</v>
      </c>
      <c r="R189" s="122">
        <v>8681</v>
      </c>
      <c r="S189" s="122">
        <v>7891</v>
      </c>
      <c r="T189" s="122">
        <v>4630</v>
      </c>
      <c r="U189" s="122">
        <v>1715</v>
      </c>
      <c r="V189" s="122">
        <v>117372</v>
      </c>
      <c r="W189" s="122">
        <f t="shared" si="4"/>
        <v>117372</v>
      </c>
      <c r="X189" s="122">
        <f t="shared" si="5"/>
        <v>135848</v>
      </c>
      <c r="Y189" s="122"/>
      <c r="AA189" t="s">
        <v>50</v>
      </c>
      <c r="AB189" t="s">
        <v>406</v>
      </c>
      <c r="AC189" t="s">
        <v>578</v>
      </c>
      <c r="AD189" t="s">
        <v>406</v>
      </c>
      <c r="AE189" t="s">
        <v>566</v>
      </c>
      <c r="AF189">
        <v>1</v>
      </c>
      <c r="AG189">
        <v>171</v>
      </c>
      <c r="AH189">
        <v>95</v>
      </c>
      <c r="AI189" s="122">
        <v>7824</v>
      </c>
      <c r="AJ189" s="122">
        <v>7113</v>
      </c>
      <c r="AK189">
        <v>94</v>
      </c>
      <c r="AL189" s="122">
        <v>1078</v>
      </c>
      <c r="AM189" s="122">
        <v>980</v>
      </c>
      <c r="AN189" s="122">
        <v>3750</v>
      </c>
      <c r="AO189" s="122">
        <v>1389</v>
      </c>
      <c r="AP189">
        <v>621</v>
      </c>
      <c r="AQ189">
        <v>230</v>
      </c>
      <c r="AR189" s="122">
        <v>2938</v>
      </c>
      <c r="AS189" s="122">
        <v>2671</v>
      </c>
      <c r="AT189">
        <v>0</v>
      </c>
      <c r="AU189">
        <v>0</v>
      </c>
      <c r="AV189" s="122">
        <v>12384</v>
      </c>
    </row>
    <row r="190" spans="2:48" ht="12.75" hidden="1" customHeight="1">
      <c r="B190" t="s">
        <v>363</v>
      </c>
      <c r="C190" t="s">
        <v>64</v>
      </c>
      <c r="D190" t="s">
        <v>137</v>
      </c>
      <c r="E190" t="s">
        <v>137</v>
      </c>
      <c r="F190">
        <v>85</v>
      </c>
      <c r="G190" s="122">
        <v>7874</v>
      </c>
      <c r="H190" s="122">
        <v>64667</v>
      </c>
      <c r="I190" s="122">
        <v>4437086</v>
      </c>
      <c r="J190" s="122">
        <v>1643365</v>
      </c>
      <c r="K190">
        <v>100</v>
      </c>
      <c r="L190" s="122">
        <v>657413</v>
      </c>
      <c r="M190" s="122">
        <v>506700</v>
      </c>
      <c r="N190" s="122">
        <v>180967</v>
      </c>
      <c r="O190" s="122">
        <v>67025</v>
      </c>
      <c r="P190" s="122">
        <v>1529</v>
      </c>
      <c r="Q190" s="122">
        <v>566</v>
      </c>
      <c r="R190" s="122">
        <v>571169</v>
      </c>
      <c r="S190" s="122">
        <v>211544</v>
      </c>
      <c r="T190" s="122">
        <v>3999</v>
      </c>
      <c r="U190" s="122">
        <v>1481</v>
      </c>
      <c r="V190" s="122">
        <v>2430681</v>
      </c>
      <c r="W190" s="122">
        <f t="shared" si="4"/>
        <v>2430681</v>
      </c>
      <c r="X190" s="122">
        <f t="shared" si="5"/>
        <v>5852163</v>
      </c>
      <c r="Y190" s="122"/>
      <c r="AA190" t="s">
        <v>50</v>
      </c>
      <c r="AB190" t="s">
        <v>406</v>
      </c>
      <c r="AC190" t="s">
        <v>425</v>
      </c>
      <c r="AD190" t="s">
        <v>406</v>
      </c>
      <c r="AE190" t="s">
        <v>137</v>
      </c>
      <c r="AF190">
        <v>1</v>
      </c>
      <c r="AG190" s="122">
        <v>334</v>
      </c>
      <c r="AH190" s="122">
        <v>77</v>
      </c>
      <c r="AI190" s="122">
        <v>14079</v>
      </c>
      <c r="AJ190" s="122">
        <v>12799</v>
      </c>
      <c r="AK190">
        <v>94</v>
      </c>
      <c r="AL190" s="122">
        <v>2339</v>
      </c>
      <c r="AM190" s="122">
        <v>2126</v>
      </c>
      <c r="AN190" s="122">
        <v>4069</v>
      </c>
      <c r="AO190" s="122">
        <v>1507</v>
      </c>
      <c r="AP190" s="122">
        <v>621</v>
      </c>
      <c r="AQ190" s="122">
        <v>230</v>
      </c>
      <c r="AR190" s="122">
        <v>4640</v>
      </c>
      <c r="AS190" s="122">
        <v>4218</v>
      </c>
      <c r="AT190">
        <v>0</v>
      </c>
      <c r="AU190">
        <v>0</v>
      </c>
      <c r="AV190" s="122">
        <v>20881</v>
      </c>
    </row>
    <row r="191" spans="2:48" ht="12.75" hidden="1" customHeight="1">
      <c r="B191" t="s">
        <v>363</v>
      </c>
      <c r="C191" t="s">
        <v>64</v>
      </c>
      <c r="D191" t="s">
        <v>137</v>
      </c>
      <c r="E191" t="s">
        <v>406</v>
      </c>
      <c r="F191">
        <v>1</v>
      </c>
      <c r="G191">
        <v>73</v>
      </c>
      <c r="H191" s="122">
        <v>774</v>
      </c>
      <c r="I191" s="122">
        <v>43835</v>
      </c>
      <c r="J191" s="122">
        <v>16235</v>
      </c>
      <c r="K191">
        <v>100</v>
      </c>
      <c r="L191" s="122">
        <v>5253</v>
      </c>
      <c r="M191" s="122">
        <v>4775</v>
      </c>
      <c r="N191" s="122">
        <v>1778</v>
      </c>
      <c r="O191" s="122">
        <v>659</v>
      </c>
      <c r="P191" s="122">
        <v>270</v>
      </c>
      <c r="Q191" s="122">
        <v>100</v>
      </c>
      <c r="R191" s="122">
        <v>3739</v>
      </c>
      <c r="S191" s="122">
        <v>3399</v>
      </c>
      <c r="T191" s="122">
        <v>1625</v>
      </c>
      <c r="U191" s="122">
        <v>602</v>
      </c>
      <c r="V191" s="122">
        <v>25769</v>
      </c>
      <c r="W191" s="122">
        <f t="shared" si="4"/>
        <v>25770</v>
      </c>
      <c r="X191" s="122">
        <f t="shared" si="5"/>
        <v>56500</v>
      </c>
      <c r="Y191" s="122"/>
      <c r="AA191" t="s">
        <v>50</v>
      </c>
      <c r="AB191" t="s">
        <v>406</v>
      </c>
      <c r="AC191" t="s">
        <v>425</v>
      </c>
      <c r="AD191" t="s">
        <v>406</v>
      </c>
      <c r="AE191" t="s">
        <v>566</v>
      </c>
      <c r="AF191">
        <v>28</v>
      </c>
      <c r="AG191" s="122">
        <v>7793</v>
      </c>
      <c r="AH191" s="122">
        <v>2660</v>
      </c>
      <c r="AI191" s="122">
        <v>382962</v>
      </c>
      <c r="AJ191" s="122">
        <v>348147</v>
      </c>
      <c r="AK191">
        <v>93</v>
      </c>
      <c r="AL191" s="122">
        <v>61360</v>
      </c>
      <c r="AM191" s="122">
        <v>55781</v>
      </c>
      <c r="AN191" s="122">
        <v>126487</v>
      </c>
      <c r="AO191" s="122">
        <v>46847</v>
      </c>
      <c r="AP191" s="122">
        <v>40342</v>
      </c>
      <c r="AQ191" s="122">
        <v>14941</v>
      </c>
      <c r="AR191" s="122">
        <v>131620</v>
      </c>
      <c r="AS191" s="122">
        <v>119655</v>
      </c>
      <c r="AT191">
        <v>0</v>
      </c>
      <c r="AU191">
        <v>0</v>
      </c>
      <c r="AV191" s="122">
        <v>585372</v>
      </c>
    </row>
    <row r="192" spans="2:48" ht="12.75" hidden="1" customHeight="1">
      <c r="B192" t="s">
        <v>363</v>
      </c>
      <c r="C192" t="s">
        <v>64</v>
      </c>
      <c r="D192" t="s">
        <v>137</v>
      </c>
      <c r="E192" t="s">
        <v>427</v>
      </c>
      <c r="F192">
        <v>1</v>
      </c>
      <c r="G192" s="122">
        <v>71</v>
      </c>
      <c r="H192" s="122">
        <v>564</v>
      </c>
      <c r="I192" s="122">
        <v>23242</v>
      </c>
      <c r="J192" s="122">
        <v>8608</v>
      </c>
      <c r="K192">
        <v>100</v>
      </c>
      <c r="L192" s="122">
        <v>2104</v>
      </c>
      <c r="M192" s="122">
        <v>1913</v>
      </c>
      <c r="N192" s="122">
        <v>1511</v>
      </c>
      <c r="O192" s="122">
        <v>560</v>
      </c>
      <c r="P192" s="122">
        <v>0</v>
      </c>
      <c r="Q192" s="122">
        <v>0</v>
      </c>
      <c r="R192" s="122">
        <v>8861</v>
      </c>
      <c r="S192" s="122">
        <v>8055</v>
      </c>
      <c r="T192" s="122">
        <v>4269</v>
      </c>
      <c r="U192" s="122">
        <v>1581</v>
      </c>
      <c r="V192" s="122">
        <v>20717</v>
      </c>
      <c r="W192" s="122">
        <f t="shared" si="4"/>
        <v>20717</v>
      </c>
      <c r="X192" s="122">
        <f t="shared" si="5"/>
        <v>39987</v>
      </c>
      <c r="Y192" s="122"/>
      <c r="AA192" t="s">
        <v>50</v>
      </c>
      <c r="AB192" t="s">
        <v>406</v>
      </c>
      <c r="AC192" t="s">
        <v>405</v>
      </c>
      <c r="AD192" t="s">
        <v>406</v>
      </c>
      <c r="AE192" t="s">
        <v>137</v>
      </c>
      <c r="AF192">
        <v>1</v>
      </c>
      <c r="AG192">
        <v>254</v>
      </c>
      <c r="AH192">
        <v>97</v>
      </c>
      <c r="AI192" s="122">
        <v>12843</v>
      </c>
      <c r="AJ192" s="122">
        <v>11675</v>
      </c>
      <c r="AK192">
        <v>95</v>
      </c>
      <c r="AL192" s="122">
        <v>2075</v>
      </c>
      <c r="AM192" s="122">
        <v>1886</v>
      </c>
      <c r="AN192" s="122">
        <v>3089</v>
      </c>
      <c r="AO192" s="122">
        <v>1144</v>
      </c>
      <c r="AP192" s="122">
        <v>621</v>
      </c>
      <c r="AQ192">
        <v>230</v>
      </c>
      <c r="AR192" s="122">
        <v>6062</v>
      </c>
      <c r="AS192" s="122">
        <v>5511</v>
      </c>
      <c r="AT192">
        <v>0</v>
      </c>
      <c r="AU192">
        <v>0</v>
      </c>
      <c r="AV192" s="122">
        <v>20446</v>
      </c>
    </row>
    <row r="193" spans="2:48" ht="12.75" hidden="1" customHeight="1">
      <c r="B193" t="s">
        <v>363</v>
      </c>
      <c r="C193" t="s">
        <v>64</v>
      </c>
      <c r="D193" t="s">
        <v>137</v>
      </c>
      <c r="E193" t="s">
        <v>426</v>
      </c>
      <c r="F193">
        <v>8</v>
      </c>
      <c r="G193" s="122">
        <v>832</v>
      </c>
      <c r="H193" s="122">
        <v>6196</v>
      </c>
      <c r="I193" s="122">
        <v>493249</v>
      </c>
      <c r="J193" s="122">
        <v>182685</v>
      </c>
      <c r="K193">
        <v>100</v>
      </c>
      <c r="L193" s="122">
        <v>58805</v>
      </c>
      <c r="M193" s="122">
        <v>53459</v>
      </c>
      <c r="N193" s="122">
        <v>19730</v>
      </c>
      <c r="O193" s="122">
        <v>7307</v>
      </c>
      <c r="P193" s="122">
        <v>702</v>
      </c>
      <c r="Q193" s="122">
        <v>260</v>
      </c>
      <c r="R193" s="122">
        <v>49634</v>
      </c>
      <c r="S193" s="122">
        <v>45122</v>
      </c>
      <c r="T193" s="122">
        <v>13813</v>
      </c>
      <c r="U193" s="122">
        <v>5116</v>
      </c>
      <c r="V193" s="122">
        <v>293949</v>
      </c>
      <c r="W193" s="122">
        <f t="shared" si="4"/>
        <v>293949</v>
      </c>
      <c r="X193" s="122">
        <f t="shared" si="5"/>
        <v>635933</v>
      </c>
      <c r="Y193" s="122"/>
      <c r="AA193" t="s">
        <v>50</v>
      </c>
      <c r="AB193" t="s">
        <v>406</v>
      </c>
      <c r="AC193" t="s">
        <v>405</v>
      </c>
      <c r="AD193" t="s">
        <v>406</v>
      </c>
      <c r="AE193" t="s">
        <v>566</v>
      </c>
      <c r="AF193">
        <v>1</v>
      </c>
      <c r="AG193">
        <v>270</v>
      </c>
      <c r="AH193">
        <v>92</v>
      </c>
      <c r="AI193" s="122">
        <v>12517</v>
      </c>
      <c r="AJ193" s="122">
        <v>11379</v>
      </c>
      <c r="AK193">
        <v>94</v>
      </c>
      <c r="AL193" s="122">
        <v>2077</v>
      </c>
      <c r="AM193" s="122">
        <v>1889</v>
      </c>
      <c r="AN193" s="122">
        <v>4934</v>
      </c>
      <c r="AO193" s="122">
        <v>1828</v>
      </c>
      <c r="AP193" s="122">
        <v>2025</v>
      </c>
      <c r="AQ193" s="122">
        <v>750</v>
      </c>
      <c r="AR193" s="122">
        <v>3177</v>
      </c>
      <c r="AS193" s="122">
        <v>2888</v>
      </c>
      <c r="AT193">
        <v>0</v>
      </c>
      <c r="AU193">
        <v>0</v>
      </c>
      <c r="AV193" s="122">
        <v>18733</v>
      </c>
    </row>
    <row r="194" spans="2:48" ht="12.75" hidden="1" customHeight="1">
      <c r="B194" t="s">
        <v>363</v>
      </c>
      <c r="C194" t="s">
        <v>64</v>
      </c>
      <c r="D194" t="s">
        <v>406</v>
      </c>
      <c r="E194" t="s">
        <v>137</v>
      </c>
      <c r="F194">
        <v>6</v>
      </c>
      <c r="G194">
        <v>488</v>
      </c>
      <c r="H194" s="122">
        <v>3476</v>
      </c>
      <c r="I194" s="122">
        <v>197585</v>
      </c>
      <c r="J194" s="122">
        <v>179623</v>
      </c>
      <c r="K194">
        <v>63</v>
      </c>
      <c r="L194" s="122">
        <v>25124</v>
      </c>
      <c r="M194" s="122">
        <v>22840</v>
      </c>
      <c r="N194" s="122">
        <v>11207</v>
      </c>
      <c r="O194" s="122">
        <v>4151</v>
      </c>
      <c r="P194" s="122">
        <v>3726</v>
      </c>
      <c r="Q194" s="122">
        <v>1380</v>
      </c>
      <c r="R194" s="122">
        <v>36069</v>
      </c>
      <c r="S194" s="122">
        <v>13359</v>
      </c>
      <c r="T194" s="122">
        <v>0</v>
      </c>
      <c r="U194" s="122">
        <v>0</v>
      </c>
      <c r="V194" s="122">
        <v>221352</v>
      </c>
      <c r="W194" s="122">
        <f t="shared" si="4"/>
        <v>221353</v>
      </c>
      <c r="X194" s="122">
        <f t="shared" si="5"/>
        <v>273711</v>
      </c>
      <c r="Y194" s="122"/>
      <c r="AA194" t="s">
        <v>50</v>
      </c>
      <c r="AB194" t="s">
        <v>406</v>
      </c>
      <c r="AC194" t="s">
        <v>137</v>
      </c>
      <c r="AD194" t="s">
        <v>406</v>
      </c>
      <c r="AE194" t="s">
        <v>137</v>
      </c>
      <c r="AF194">
        <v>3</v>
      </c>
      <c r="AG194" s="122">
        <v>989</v>
      </c>
      <c r="AH194" s="122">
        <v>272</v>
      </c>
      <c r="AI194" s="122">
        <v>69564</v>
      </c>
      <c r="AJ194" s="122">
        <v>63240</v>
      </c>
      <c r="AK194">
        <v>94</v>
      </c>
      <c r="AL194" s="122">
        <v>5608</v>
      </c>
      <c r="AM194" s="122">
        <v>2077</v>
      </c>
      <c r="AN194" s="122">
        <v>13018</v>
      </c>
      <c r="AO194" s="122">
        <v>4821</v>
      </c>
      <c r="AP194" s="122">
        <v>3151</v>
      </c>
      <c r="AQ194" s="122">
        <v>1167</v>
      </c>
      <c r="AR194" s="122">
        <v>5353</v>
      </c>
      <c r="AS194" s="122">
        <v>4866</v>
      </c>
      <c r="AT194">
        <v>0</v>
      </c>
      <c r="AU194">
        <v>0</v>
      </c>
      <c r="AV194" s="122">
        <v>76172</v>
      </c>
    </row>
    <row r="195" spans="2:48" ht="12.75" hidden="1" customHeight="1">
      <c r="B195" t="s">
        <v>363</v>
      </c>
      <c r="C195" t="s">
        <v>64</v>
      </c>
      <c r="D195" t="s">
        <v>406</v>
      </c>
      <c r="E195" t="s">
        <v>406</v>
      </c>
      <c r="F195">
        <v>374</v>
      </c>
      <c r="G195" s="122">
        <v>36081</v>
      </c>
      <c r="H195" s="122">
        <v>209119</v>
      </c>
      <c r="I195" s="122">
        <v>13747761</v>
      </c>
      <c r="J195" s="122">
        <v>12497964</v>
      </c>
      <c r="K195">
        <v>71</v>
      </c>
      <c r="L195" s="122">
        <v>2760745</v>
      </c>
      <c r="M195" s="122">
        <v>2451541</v>
      </c>
      <c r="N195" s="122">
        <v>807137</v>
      </c>
      <c r="O195" s="122">
        <v>298940</v>
      </c>
      <c r="P195" s="122">
        <v>237411</v>
      </c>
      <c r="Q195" s="122">
        <v>87930</v>
      </c>
      <c r="R195" s="122">
        <v>1898183</v>
      </c>
      <c r="S195" s="122">
        <v>1725621</v>
      </c>
      <c r="T195" s="122">
        <v>686751</v>
      </c>
      <c r="U195" s="122">
        <v>254352</v>
      </c>
      <c r="V195" s="122">
        <v>17316349</v>
      </c>
      <c r="W195" s="122">
        <f t="shared" si="4"/>
        <v>17316348</v>
      </c>
      <c r="X195" s="122">
        <f t="shared" si="5"/>
        <v>20137988</v>
      </c>
      <c r="Y195" s="122"/>
      <c r="AA195" t="s">
        <v>50</v>
      </c>
      <c r="AB195" t="s">
        <v>406</v>
      </c>
      <c r="AC195" t="s">
        <v>137</v>
      </c>
      <c r="AD195" t="s">
        <v>406</v>
      </c>
      <c r="AE195" t="s">
        <v>566</v>
      </c>
      <c r="AF195">
        <v>12</v>
      </c>
      <c r="AG195" s="122">
        <v>3070</v>
      </c>
      <c r="AH195" s="122">
        <v>1067</v>
      </c>
      <c r="AI195" s="122">
        <v>132752</v>
      </c>
      <c r="AJ195" s="122">
        <v>120683</v>
      </c>
      <c r="AK195">
        <v>93</v>
      </c>
      <c r="AL195" s="122">
        <v>29567</v>
      </c>
      <c r="AM195" s="122">
        <v>10951</v>
      </c>
      <c r="AN195" s="122">
        <v>43294</v>
      </c>
      <c r="AO195" s="122">
        <v>16035</v>
      </c>
      <c r="AP195" s="122">
        <v>11650</v>
      </c>
      <c r="AQ195" s="122">
        <v>4315</v>
      </c>
      <c r="AR195" s="122">
        <v>57757</v>
      </c>
      <c r="AS195" s="122">
        <v>52506</v>
      </c>
      <c r="AT195" s="122">
        <v>0</v>
      </c>
      <c r="AU195">
        <v>0</v>
      </c>
      <c r="AV195" s="122">
        <v>204490</v>
      </c>
    </row>
    <row r="196" spans="2:48" ht="12.75" hidden="1" customHeight="1">
      <c r="B196" t="s">
        <v>363</v>
      </c>
      <c r="C196" t="s">
        <v>64</v>
      </c>
      <c r="D196" t="s">
        <v>406</v>
      </c>
      <c r="E196" t="s">
        <v>426</v>
      </c>
      <c r="F196">
        <v>2</v>
      </c>
      <c r="G196" s="122">
        <v>191</v>
      </c>
      <c r="H196" s="122">
        <v>947</v>
      </c>
      <c r="I196" s="122">
        <v>58139</v>
      </c>
      <c r="J196" s="122">
        <v>52853</v>
      </c>
      <c r="K196">
        <v>78</v>
      </c>
      <c r="L196" s="122">
        <v>13054</v>
      </c>
      <c r="M196" s="122">
        <v>11868</v>
      </c>
      <c r="N196" s="122">
        <v>3675</v>
      </c>
      <c r="O196" s="122">
        <v>1361</v>
      </c>
      <c r="P196" s="122">
        <v>1242</v>
      </c>
      <c r="Q196" s="122">
        <v>460</v>
      </c>
      <c r="R196" s="122">
        <v>12562</v>
      </c>
      <c r="S196" s="122">
        <v>11420</v>
      </c>
      <c r="T196" s="122">
        <v>1913</v>
      </c>
      <c r="U196" s="122">
        <v>709</v>
      </c>
      <c r="V196" s="122">
        <v>78671</v>
      </c>
      <c r="W196" s="122">
        <f t="shared" si="4"/>
        <v>78671</v>
      </c>
      <c r="X196" s="122">
        <f t="shared" si="5"/>
        <v>90585</v>
      </c>
      <c r="Y196" s="122"/>
      <c r="AA196" t="s">
        <v>50</v>
      </c>
      <c r="AB196" t="s">
        <v>406</v>
      </c>
      <c r="AC196" t="s">
        <v>580</v>
      </c>
      <c r="AD196" t="s">
        <v>406</v>
      </c>
      <c r="AE196" t="s">
        <v>137</v>
      </c>
      <c r="AF196">
        <v>3</v>
      </c>
      <c r="AG196" s="122">
        <v>767</v>
      </c>
      <c r="AH196" s="122">
        <v>295</v>
      </c>
      <c r="AI196" s="122">
        <v>52582</v>
      </c>
      <c r="AJ196" s="122">
        <v>47802</v>
      </c>
      <c r="AK196">
        <v>92</v>
      </c>
      <c r="AL196" s="122">
        <v>7826</v>
      </c>
      <c r="AM196" s="122">
        <v>7114</v>
      </c>
      <c r="AN196" s="122">
        <v>15051</v>
      </c>
      <c r="AO196" s="122">
        <v>5575</v>
      </c>
      <c r="AP196" s="122">
        <v>2214</v>
      </c>
      <c r="AQ196" s="122">
        <v>820</v>
      </c>
      <c r="AR196" s="122">
        <v>14047</v>
      </c>
      <c r="AS196" s="122">
        <v>12770</v>
      </c>
      <c r="AT196" s="122">
        <v>1022</v>
      </c>
      <c r="AU196">
        <v>378</v>
      </c>
      <c r="AV196" s="122">
        <v>74459</v>
      </c>
    </row>
    <row r="197" spans="2:48" ht="12.75" hidden="1" customHeight="1">
      <c r="B197" t="s">
        <v>363</v>
      </c>
      <c r="C197" t="s">
        <v>64</v>
      </c>
      <c r="D197" t="s">
        <v>427</v>
      </c>
      <c r="E197" t="s">
        <v>137</v>
      </c>
      <c r="F197" s="122">
        <v>3</v>
      </c>
      <c r="G197" s="122">
        <v>280</v>
      </c>
      <c r="H197" s="122">
        <v>3346</v>
      </c>
      <c r="I197" s="122">
        <v>227905</v>
      </c>
      <c r="J197" s="122">
        <v>207186</v>
      </c>
      <c r="K197">
        <v>30</v>
      </c>
      <c r="L197" s="122">
        <v>9624</v>
      </c>
      <c r="M197" s="122">
        <v>5628</v>
      </c>
      <c r="N197" s="122">
        <v>6080</v>
      </c>
      <c r="O197" s="122">
        <v>2252</v>
      </c>
      <c r="P197" s="122">
        <v>621</v>
      </c>
      <c r="Q197" s="122">
        <v>230</v>
      </c>
      <c r="R197" s="122">
        <v>15238</v>
      </c>
      <c r="S197" s="122">
        <v>5644</v>
      </c>
      <c r="T197" s="122">
        <v>0</v>
      </c>
      <c r="U197" s="122">
        <v>0</v>
      </c>
      <c r="V197" s="122">
        <v>220940</v>
      </c>
      <c r="W197" s="122">
        <f t="shared" si="4"/>
        <v>220940</v>
      </c>
      <c r="X197" s="122">
        <f t="shared" si="5"/>
        <v>259468</v>
      </c>
      <c r="Y197" s="122"/>
      <c r="AA197" t="s">
        <v>50</v>
      </c>
      <c r="AB197" t="s">
        <v>406</v>
      </c>
      <c r="AC197" t="s">
        <v>580</v>
      </c>
      <c r="AD197" t="s">
        <v>406</v>
      </c>
      <c r="AE197" t="s">
        <v>566</v>
      </c>
      <c r="AF197">
        <v>20</v>
      </c>
      <c r="AG197" s="122">
        <v>5036</v>
      </c>
      <c r="AH197" s="122">
        <v>1846</v>
      </c>
      <c r="AI197" s="122">
        <v>260352</v>
      </c>
      <c r="AJ197" s="122">
        <v>236684</v>
      </c>
      <c r="AK197">
        <v>94</v>
      </c>
      <c r="AL197" s="122">
        <v>41531</v>
      </c>
      <c r="AM197" s="122">
        <v>37756</v>
      </c>
      <c r="AN197" s="122">
        <v>79846</v>
      </c>
      <c r="AO197" s="122">
        <v>29572</v>
      </c>
      <c r="AP197" s="122">
        <v>22231</v>
      </c>
      <c r="AQ197" s="122">
        <v>8234</v>
      </c>
      <c r="AR197" s="122">
        <v>97453</v>
      </c>
      <c r="AS197" s="122">
        <v>88594</v>
      </c>
      <c r="AT197">
        <v>0</v>
      </c>
      <c r="AU197">
        <v>0</v>
      </c>
      <c r="AV197" s="122">
        <v>400840</v>
      </c>
    </row>
    <row r="198" spans="2:48" ht="12.75" hidden="1" customHeight="1">
      <c r="B198" t="s">
        <v>363</v>
      </c>
      <c r="C198" t="s">
        <v>64</v>
      </c>
      <c r="D198" t="s">
        <v>427</v>
      </c>
      <c r="E198" t="s">
        <v>427</v>
      </c>
      <c r="F198">
        <v>10</v>
      </c>
      <c r="G198">
        <v>912</v>
      </c>
      <c r="H198" s="122">
        <v>6860</v>
      </c>
      <c r="I198" s="122">
        <v>452556</v>
      </c>
      <c r="J198" s="122">
        <v>411415</v>
      </c>
      <c r="K198">
        <v>58</v>
      </c>
      <c r="L198" s="122">
        <v>93179</v>
      </c>
      <c r="M198" s="122">
        <v>80103</v>
      </c>
      <c r="N198" s="122">
        <v>21449</v>
      </c>
      <c r="O198" s="122">
        <v>7944</v>
      </c>
      <c r="P198" s="122">
        <v>3159</v>
      </c>
      <c r="Q198" s="122">
        <v>1170</v>
      </c>
      <c r="R198" s="122">
        <v>61405</v>
      </c>
      <c r="S198" s="122">
        <v>55823</v>
      </c>
      <c r="T198" s="122">
        <v>12028</v>
      </c>
      <c r="U198" s="122">
        <v>4455</v>
      </c>
      <c r="V198" s="122">
        <v>560909</v>
      </c>
      <c r="W198" s="122">
        <f t="shared" si="4"/>
        <v>560910</v>
      </c>
      <c r="X198" s="122">
        <f t="shared" si="5"/>
        <v>643776</v>
      </c>
      <c r="Y198" s="122"/>
      <c r="AA198" t="s">
        <v>50</v>
      </c>
      <c r="AB198" t="s">
        <v>406</v>
      </c>
      <c r="AC198" t="s">
        <v>427</v>
      </c>
      <c r="AD198" t="s">
        <v>406</v>
      </c>
      <c r="AE198" t="s">
        <v>137</v>
      </c>
      <c r="AF198">
        <v>2</v>
      </c>
      <c r="AG198" s="122">
        <v>431</v>
      </c>
      <c r="AH198" s="122">
        <v>195</v>
      </c>
      <c r="AI198" s="122">
        <v>27867</v>
      </c>
      <c r="AJ198" s="122">
        <v>25333</v>
      </c>
      <c r="AK198">
        <v>94</v>
      </c>
      <c r="AL198" s="122">
        <v>4561</v>
      </c>
      <c r="AM198" s="122">
        <v>4147</v>
      </c>
      <c r="AN198" s="122">
        <v>12495</v>
      </c>
      <c r="AO198" s="122">
        <v>4628</v>
      </c>
      <c r="AP198" s="122">
        <v>1242</v>
      </c>
      <c r="AQ198" s="122">
        <v>460</v>
      </c>
      <c r="AR198" s="122">
        <v>8624</v>
      </c>
      <c r="AS198" s="122">
        <v>7840</v>
      </c>
      <c r="AT198">
        <v>0</v>
      </c>
      <c r="AU198">
        <v>0</v>
      </c>
      <c r="AV198" s="122">
        <v>42408</v>
      </c>
    </row>
    <row r="199" spans="2:48" ht="12.75" hidden="1" customHeight="1">
      <c r="B199" t="s">
        <v>363</v>
      </c>
      <c r="C199" t="s">
        <v>64</v>
      </c>
      <c r="D199" t="s">
        <v>407</v>
      </c>
      <c r="E199" t="s">
        <v>407</v>
      </c>
      <c r="F199">
        <v>1</v>
      </c>
      <c r="G199" s="122">
        <v>318</v>
      </c>
      <c r="H199" s="122">
        <v>521</v>
      </c>
      <c r="I199" s="122">
        <v>125202</v>
      </c>
      <c r="J199" s="122">
        <v>113820</v>
      </c>
      <c r="K199">
        <v>65</v>
      </c>
      <c r="L199" s="122">
        <v>21102</v>
      </c>
      <c r="M199" s="122">
        <v>7816</v>
      </c>
      <c r="N199" s="122">
        <v>7644</v>
      </c>
      <c r="O199" s="122">
        <v>2831</v>
      </c>
      <c r="P199" s="122">
        <v>473</v>
      </c>
      <c r="Q199" s="122">
        <v>175</v>
      </c>
      <c r="R199" s="122">
        <v>11426</v>
      </c>
      <c r="S199" s="122">
        <v>10388</v>
      </c>
      <c r="T199">
        <v>0</v>
      </c>
      <c r="U199">
        <v>0</v>
      </c>
      <c r="V199" s="122">
        <v>135029</v>
      </c>
      <c r="W199" s="122">
        <f t="shared" ref="W199:W262" si="6">SUM(ABS(J199),ABS(M199),ABS(O199),ABS(Q199),ABS(S199),ABS(U199))</f>
        <v>135030</v>
      </c>
      <c r="X199" s="122">
        <f t="shared" ref="X199:X262" si="7">SUM(ABS(I199),ABS(N199),ABS(P199),ABS(R199),ABS(T199),ABS(L199))</f>
        <v>165847</v>
      </c>
      <c r="Y199" s="122"/>
      <c r="AA199" t="s">
        <v>50</v>
      </c>
      <c r="AB199" t="s">
        <v>406</v>
      </c>
      <c r="AC199" t="s">
        <v>427</v>
      </c>
      <c r="AD199" t="s">
        <v>406</v>
      </c>
      <c r="AE199" t="s">
        <v>566</v>
      </c>
      <c r="AF199">
        <v>45</v>
      </c>
      <c r="AG199" s="122">
        <v>11631</v>
      </c>
      <c r="AH199" s="122">
        <v>4200</v>
      </c>
      <c r="AI199" s="122">
        <v>567390</v>
      </c>
      <c r="AJ199" s="122">
        <v>515810</v>
      </c>
      <c r="AK199">
        <v>94</v>
      </c>
      <c r="AL199" s="122">
        <v>138055</v>
      </c>
      <c r="AM199" s="122">
        <v>125505</v>
      </c>
      <c r="AN199" s="122">
        <v>174035</v>
      </c>
      <c r="AO199" s="122">
        <v>64458</v>
      </c>
      <c r="AP199" s="122">
        <v>40694</v>
      </c>
      <c r="AQ199" s="122">
        <v>15072</v>
      </c>
      <c r="AR199" s="122">
        <v>188845</v>
      </c>
      <c r="AS199" s="122">
        <v>171677</v>
      </c>
      <c r="AT199" s="122">
        <v>0</v>
      </c>
      <c r="AU199" s="122">
        <v>0</v>
      </c>
      <c r="AV199" s="122">
        <v>892521</v>
      </c>
    </row>
    <row r="200" spans="2:48" ht="12.75" hidden="1" customHeight="1">
      <c r="B200" t="s">
        <v>363</v>
      </c>
      <c r="C200" t="s">
        <v>64</v>
      </c>
      <c r="D200" t="s">
        <v>556</v>
      </c>
      <c r="E200" t="s">
        <v>556</v>
      </c>
      <c r="F200">
        <v>1</v>
      </c>
      <c r="G200" s="122">
        <v>91</v>
      </c>
      <c r="H200" s="122">
        <v>701</v>
      </c>
      <c r="I200" s="122">
        <v>44917</v>
      </c>
      <c r="J200" s="122">
        <v>37430</v>
      </c>
      <c r="K200">
        <v>74</v>
      </c>
      <c r="L200" s="122">
        <v>11346</v>
      </c>
      <c r="M200" s="122">
        <v>10314</v>
      </c>
      <c r="N200" s="122">
        <v>1743</v>
      </c>
      <c r="O200" s="122">
        <v>645</v>
      </c>
      <c r="P200" s="122">
        <v>351</v>
      </c>
      <c r="Q200" s="122">
        <v>130</v>
      </c>
      <c r="R200" s="122">
        <v>3584</v>
      </c>
      <c r="S200" s="122">
        <v>2986</v>
      </c>
      <c r="T200" s="122">
        <v>1868</v>
      </c>
      <c r="U200" s="122">
        <v>692</v>
      </c>
      <c r="V200" s="122">
        <v>52198</v>
      </c>
      <c r="W200" s="122">
        <f t="shared" si="6"/>
        <v>52197</v>
      </c>
      <c r="X200" s="122">
        <f t="shared" si="7"/>
        <v>63809</v>
      </c>
      <c r="Y200" s="122"/>
      <c r="AA200" t="s">
        <v>50</v>
      </c>
      <c r="AB200" t="s">
        <v>406</v>
      </c>
      <c r="AC200" t="s">
        <v>407</v>
      </c>
      <c r="AD200" t="s">
        <v>406</v>
      </c>
      <c r="AE200" t="s">
        <v>137</v>
      </c>
      <c r="AF200">
        <v>2</v>
      </c>
      <c r="AG200">
        <v>632</v>
      </c>
      <c r="AH200">
        <v>176</v>
      </c>
      <c r="AI200" s="122">
        <v>27626</v>
      </c>
      <c r="AJ200" s="122">
        <v>25114</v>
      </c>
      <c r="AK200">
        <v>93</v>
      </c>
      <c r="AL200" s="122">
        <v>4471</v>
      </c>
      <c r="AM200" s="122">
        <v>4064</v>
      </c>
      <c r="AN200" s="122">
        <v>9413</v>
      </c>
      <c r="AO200" s="122">
        <v>3486</v>
      </c>
      <c r="AP200" s="122">
        <v>1242</v>
      </c>
      <c r="AQ200" s="122">
        <v>460</v>
      </c>
      <c r="AR200" s="122">
        <v>6887</v>
      </c>
      <c r="AS200" s="122">
        <v>6261</v>
      </c>
      <c r="AT200" s="122">
        <v>5181</v>
      </c>
      <c r="AU200" s="122">
        <v>1919</v>
      </c>
      <c r="AV200" s="122">
        <v>41304</v>
      </c>
    </row>
    <row r="201" spans="2:48" ht="12.75" hidden="1" customHeight="1">
      <c r="B201" t="s">
        <v>363</v>
      </c>
      <c r="C201" t="s">
        <v>64</v>
      </c>
      <c r="D201" t="s">
        <v>428</v>
      </c>
      <c r="E201" t="s">
        <v>428</v>
      </c>
      <c r="F201" s="122">
        <v>1</v>
      </c>
      <c r="G201" s="122">
        <v>66</v>
      </c>
      <c r="H201" s="122">
        <v>827</v>
      </c>
      <c r="I201" s="122">
        <v>38607</v>
      </c>
      <c r="J201" s="122">
        <v>35097</v>
      </c>
      <c r="K201">
        <v>65</v>
      </c>
      <c r="L201" s="122">
        <v>9294</v>
      </c>
      <c r="M201" s="122">
        <v>8449</v>
      </c>
      <c r="N201" s="122">
        <v>1604</v>
      </c>
      <c r="O201" s="122">
        <v>594</v>
      </c>
      <c r="P201" s="122">
        <v>0</v>
      </c>
      <c r="Q201" s="122">
        <v>0</v>
      </c>
      <c r="R201" s="122">
        <v>4964</v>
      </c>
      <c r="S201" s="122">
        <v>4513</v>
      </c>
      <c r="T201" s="122">
        <v>0</v>
      </c>
      <c r="U201" s="122">
        <v>0</v>
      </c>
      <c r="V201" s="122">
        <v>48653</v>
      </c>
      <c r="W201" s="122">
        <f t="shared" si="6"/>
        <v>48653</v>
      </c>
      <c r="X201" s="122">
        <f t="shared" si="7"/>
        <v>54469</v>
      </c>
      <c r="Y201" s="122"/>
      <c r="AA201" t="s">
        <v>50</v>
      </c>
      <c r="AB201" t="s">
        <v>406</v>
      </c>
      <c r="AC201" t="s">
        <v>407</v>
      </c>
      <c r="AD201" t="s">
        <v>406</v>
      </c>
      <c r="AE201" t="s">
        <v>566</v>
      </c>
      <c r="AF201">
        <v>1</v>
      </c>
      <c r="AG201">
        <v>377</v>
      </c>
      <c r="AH201">
        <v>93</v>
      </c>
      <c r="AI201" s="122">
        <v>16958</v>
      </c>
      <c r="AJ201" s="122">
        <v>15416</v>
      </c>
      <c r="AK201">
        <v>97</v>
      </c>
      <c r="AL201" s="122">
        <v>2225</v>
      </c>
      <c r="AM201" s="122">
        <v>2023</v>
      </c>
      <c r="AN201" s="122">
        <v>10918</v>
      </c>
      <c r="AO201" s="122">
        <v>4044</v>
      </c>
      <c r="AP201" s="122">
        <v>6581</v>
      </c>
      <c r="AQ201" s="122">
        <v>2438</v>
      </c>
      <c r="AR201" s="122">
        <v>5188</v>
      </c>
      <c r="AS201" s="122">
        <v>4716</v>
      </c>
      <c r="AT201">
        <v>0</v>
      </c>
      <c r="AU201">
        <v>0</v>
      </c>
      <c r="AV201" s="122">
        <v>28636</v>
      </c>
    </row>
    <row r="202" spans="2:48" ht="12.75" hidden="1" customHeight="1">
      <c r="B202" t="s">
        <v>363</v>
      </c>
      <c r="C202" t="s">
        <v>64</v>
      </c>
      <c r="D202" t="s">
        <v>426</v>
      </c>
      <c r="E202" t="s">
        <v>137</v>
      </c>
      <c r="F202" s="122">
        <v>40</v>
      </c>
      <c r="G202" s="122">
        <v>3244</v>
      </c>
      <c r="H202" s="122">
        <v>45975</v>
      </c>
      <c r="I202" s="122">
        <v>3022162</v>
      </c>
      <c r="J202" s="122">
        <v>2747420</v>
      </c>
      <c r="K202">
        <v>39</v>
      </c>
      <c r="L202" s="122">
        <v>271254</v>
      </c>
      <c r="M202" s="122">
        <v>4210548</v>
      </c>
      <c r="N202" s="122">
        <v>76252</v>
      </c>
      <c r="O202" s="122">
        <v>28242</v>
      </c>
      <c r="P202" s="122">
        <v>972</v>
      </c>
      <c r="Q202" s="122">
        <v>360</v>
      </c>
      <c r="R202" s="122">
        <v>237898</v>
      </c>
      <c r="S202" s="122">
        <v>88110</v>
      </c>
      <c r="T202" s="122">
        <v>0</v>
      </c>
      <c r="U202">
        <v>0</v>
      </c>
      <c r="V202" s="122">
        <v>7074680</v>
      </c>
      <c r="W202" s="122">
        <f t="shared" si="6"/>
        <v>7074680</v>
      </c>
      <c r="X202" s="122">
        <f t="shared" si="7"/>
        <v>3608538</v>
      </c>
      <c r="Y202" s="122"/>
      <c r="AA202" t="s">
        <v>50</v>
      </c>
      <c r="AB202" t="s">
        <v>406</v>
      </c>
      <c r="AC202" t="s">
        <v>579</v>
      </c>
      <c r="AD202" t="s">
        <v>137</v>
      </c>
      <c r="AE202" t="s">
        <v>566</v>
      </c>
      <c r="AF202">
        <v>1</v>
      </c>
      <c r="AG202" s="122">
        <v>270</v>
      </c>
      <c r="AH202">
        <v>92</v>
      </c>
      <c r="AI202" s="122">
        <v>8551</v>
      </c>
      <c r="AJ202" s="122">
        <v>7773</v>
      </c>
      <c r="AK202">
        <v>97</v>
      </c>
      <c r="AL202" s="122">
        <v>1676</v>
      </c>
      <c r="AM202" s="122">
        <v>1396</v>
      </c>
      <c r="AN202" s="122">
        <v>4176</v>
      </c>
      <c r="AO202" s="122">
        <v>1547</v>
      </c>
      <c r="AP202" s="122">
        <v>2904</v>
      </c>
      <c r="AQ202" s="122">
        <v>1076</v>
      </c>
      <c r="AR202" s="122">
        <v>7602</v>
      </c>
      <c r="AS202" s="122">
        <v>2816</v>
      </c>
      <c r="AT202" s="122">
        <v>0</v>
      </c>
      <c r="AU202" s="122">
        <v>0</v>
      </c>
      <c r="AV202" s="122">
        <v>14608</v>
      </c>
    </row>
    <row r="203" spans="2:48" ht="12.75" hidden="1" customHeight="1">
      <c r="B203" t="s">
        <v>363</v>
      </c>
      <c r="C203" t="s">
        <v>64</v>
      </c>
      <c r="D203" t="s">
        <v>426</v>
      </c>
      <c r="E203" t="s">
        <v>406</v>
      </c>
      <c r="F203">
        <v>1</v>
      </c>
      <c r="G203" s="122">
        <v>73</v>
      </c>
      <c r="H203" s="122">
        <v>482</v>
      </c>
      <c r="I203" s="122">
        <v>21717</v>
      </c>
      <c r="J203" s="122">
        <v>19743</v>
      </c>
      <c r="K203">
        <v>45</v>
      </c>
      <c r="L203" s="122">
        <v>3619</v>
      </c>
      <c r="M203" s="122">
        <v>3290</v>
      </c>
      <c r="N203" s="122">
        <v>1774</v>
      </c>
      <c r="O203" s="122">
        <v>657</v>
      </c>
      <c r="P203" s="122">
        <v>351</v>
      </c>
      <c r="Q203" s="122">
        <v>130</v>
      </c>
      <c r="R203" s="122">
        <v>5292</v>
      </c>
      <c r="S203" s="122">
        <v>4811</v>
      </c>
      <c r="T203" s="122">
        <v>2336</v>
      </c>
      <c r="U203" s="122">
        <v>865</v>
      </c>
      <c r="V203" s="122">
        <v>29497</v>
      </c>
      <c r="W203" s="122">
        <f t="shared" si="6"/>
        <v>29496</v>
      </c>
      <c r="X203" s="122">
        <f t="shared" si="7"/>
        <v>35089</v>
      </c>
      <c r="Y203" s="122"/>
      <c r="AA203" t="s">
        <v>50</v>
      </c>
      <c r="AB203" t="s">
        <v>406</v>
      </c>
      <c r="AC203" t="s">
        <v>579</v>
      </c>
      <c r="AD203" t="s">
        <v>406</v>
      </c>
      <c r="AE203" t="s">
        <v>137</v>
      </c>
      <c r="AF203">
        <v>7</v>
      </c>
      <c r="AG203" s="122">
        <v>1737</v>
      </c>
      <c r="AH203" s="122">
        <v>660</v>
      </c>
      <c r="AI203" s="122">
        <v>81694</v>
      </c>
      <c r="AJ203" s="122">
        <v>74267</v>
      </c>
      <c r="AK203">
        <v>92</v>
      </c>
      <c r="AL203" s="122">
        <v>16456</v>
      </c>
      <c r="AM203" s="122">
        <v>13713</v>
      </c>
      <c r="AN203" s="122">
        <v>25971</v>
      </c>
      <c r="AO203" s="122">
        <v>9619</v>
      </c>
      <c r="AP203" s="122">
        <v>5049</v>
      </c>
      <c r="AQ203" s="122">
        <v>1870</v>
      </c>
      <c r="AR203" s="122">
        <v>30679</v>
      </c>
      <c r="AS203" s="122">
        <v>27890</v>
      </c>
      <c r="AT203" s="122">
        <v>10083</v>
      </c>
      <c r="AU203" s="122">
        <v>3735</v>
      </c>
      <c r="AV203" s="122">
        <v>131093</v>
      </c>
    </row>
    <row r="204" spans="2:48" ht="12.75" hidden="1" customHeight="1">
      <c r="B204" t="s">
        <v>363</v>
      </c>
      <c r="C204" t="s">
        <v>64</v>
      </c>
      <c r="D204" t="s">
        <v>426</v>
      </c>
      <c r="E204" t="s">
        <v>426</v>
      </c>
      <c r="F204">
        <v>131</v>
      </c>
      <c r="G204" s="122">
        <v>11517</v>
      </c>
      <c r="H204" s="122">
        <v>98830</v>
      </c>
      <c r="I204" s="122">
        <v>6295983</v>
      </c>
      <c r="J204" s="122">
        <v>5723621</v>
      </c>
      <c r="K204">
        <v>49</v>
      </c>
      <c r="L204" s="122">
        <v>997077</v>
      </c>
      <c r="M204" s="122">
        <v>780473</v>
      </c>
      <c r="N204" s="122">
        <v>255519</v>
      </c>
      <c r="O204" s="122">
        <v>94637</v>
      </c>
      <c r="P204" s="122">
        <v>42687</v>
      </c>
      <c r="Q204" s="122">
        <v>15810</v>
      </c>
      <c r="R204" s="122">
        <v>778053</v>
      </c>
      <c r="S204" s="122">
        <v>707321</v>
      </c>
      <c r="T204" s="122">
        <v>271675</v>
      </c>
      <c r="U204" s="122">
        <v>100620</v>
      </c>
      <c r="V204" s="122">
        <v>7422481</v>
      </c>
      <c r="W204" s="122">
        <f t="shared" si="6"/>
        <v>7422482</v>
      </c>
      <c r="X204" s="122">
        <f t="shared" si="7"/>
        <v>8640994</v>
      </c>
      <c r="Y204" s="122"/>
      <c r="AA204" t="s">
        <v>50</v>
      </c>
      <c r="AB204" t="s">
        <v>406</v>
      </c>
      <c r="AC204" t="s">
        <v>579</v>
      </c>
      <c r="AD204" t="s">
        <v>406</v>
      </c>
      <c r="AE204" t="s">
        <v>566</v>
      </c>
      <c r="AF204">
        <v>53</v>
      </c>
      <c r="AG204" s="122">
        <v>13150</v>
      </c>
      <c r="AH204" s="122">
        <v>4852</v>
      </c>
      <c r="AI204" s="122">
        <v>624041</v>
      </c>
      <c r="AJ204" s="122">
        <v>567310</v>
      </c>
      <c r="AK204">
        <v>93</v>
      </c>
      <c r="AL204" s="122">
        <v>125774</v>
      </c>
      <c r="AM204" s="122">
        <v>104811</v>
      </c>
      <c r="AN204" s="122">
        <v>193754</v>
      </c>
      <c r="AO204" s="122">
        <v>71761</v>
      </c>
      <c r="AP204" s="122">
        <v>57978</v>
      </c>
      <c r="AQ204" s="122">
        <v>21473</v>
      </c>
      <c r="AR204" s="122">
        <v>243555</v>
      </c>
      <c r="AS204" s="122">
        <v>221414</v>
      </c>
      <c r="AT204">
        <v>0</v>
      </c>
      <c r="AU204">
        <v>0</v>
      </c>
      <c r="AV204" s="122">
        <v>986770</v>
      </c>
    </row>
    <row r="205" spans="2:48" ht="12.75" hidden="1" customHeight="1">
      <c r="B205" t="s">
        <v>363</v>
      </c>
      <c r="C205" t="s">
        <v>64</v>
      </c>
      <c r="D205" t="s">
        <v>433</v>
      </c>
      <c r="E205" t="s">
        <v>433</v>
      </c>
      <c r="F205" s="122">
        <v>4</v>
      </c>
      <c r="G205" s="122">
        <v>361</v>
      </c>
      <c r="H205" s="122">
        <v>2703</v>
      </c>
      <c r="I205" s="122">
        <v>168139</v>
      </c>
      <c r="J205" s="122">
        <v>152853</v>
      </c>
      <c r="K205">
        <v>55</v>
      </c>
      <c r="L205" s="122">
        <v>27605</v>
      </c>
      <c r="M205" s="122">
        <v>20420</v>
      </c>
      <c r="N205" s="122">
        <v>8710</v>
      </c>
      <c r="O205" s="122">
        <v>3226</v>
      </c>
      <c r="P205" s="122">
        <v>1404</v>
      </c>
      <c r="Q205" s="122">
        <v>520</v>
      </c>
      <c r="R205" s="122">
        <v>20025</v>
      </c>
      <c r="S205" s="122">
        <v>18204</v>
      </c>
      <c r="T205" s="122">
        <v>9170</v>
      </c>
      <c r="U205" s="122">
        <v>3396</v>
      </c>
      <c r="V205" s="122">
        <v>198620</v>
      </c>
      <c r="W205" s="122">
        <f t="shared" si="6"/>
        <v>198619</v>
      </c>
      <c r="X205" s="122">
        <f t="shared" si="7"/>
        <v>235053</v>
      </c>
      <c r="Y205" s="122"/>
      <c r="AA205" t="s">
        <v>50</v>
      </c>
      <c r="AB205" t="s">
        <v>406</v>
      </c>
      <c r="AC205" t="s">
        <v>428</v>
      </c>
      <c r="AD205" t="s">
        <v>406</v>
      </c>
      <c r="AE205" t="s">
        <v>566</v>
      </c>
      <c r="AF205">
        <v>5</v>
      </c>
      <c r="AG205" s="122">
        <v>1113</v>
      </c>
      <c r="AH205">
        <v>482</v>
      </c>
      <c r="AI205" s="122">
        <v>54317</v>
      </c>
      <c r="AJ205" s="122">
        <v>49379</v>
      </c>
      <c r="AK205">
        <v>94</v>
      </c>
      <c r="AL205" s="122">
        <v>11799</v>
      </c>
      <c r="AM205" s="122">
        <v>10726</v>
      </c>
      <c r="AN205" s="122">
        <v>15698</v>
      </c>
      <c r="AO205" s="122">
        <v>5814</v>
      </c>
      <c r="AP205" s="122">
        <v>4947</v>
      </c>
      <c r="AQ205" s="122">
        <v>1832</v>
      </c>
      <c r="AR205" s="122">
        <v>21115</v>
      </c>
      <c r="AS205" s="122">
        <v>19195</v>
      </c>
      <c r="AT205">
        <v>0</v>
      </c>
      <c r="AU205">
        <v>0</v>
      </c>
      <c r="AV205" s="122">
        <v>86947</v>
      </c>
    </row>
    <row r="206" spans="2:48" ht="12.75" hidden="1" customHeight="1">
      <c r="B206" t="s">
        <v>363</v>
      </c>
      <c r="C206" t="s">
        <v>64</v>
      </c>
      <c r="D206" t="s">
        <v>408</v>
      </c>
      <c r="E206" t="s">
        <v>137</v>
      </c>
      <c r="F206" s="122">
        <v>1</v>
      </c>
      <c r="G206" s="122">
        <v>65</v>
      </c>
      <c r="H206" s="122">
        <v>502</v>
      </c>
      <c r="I206" s="122">
        <v>21058</v>
      </c>
      <c r="J206" s="122">
        <v>19144</v>
      </c>
      <c r="K206">
        <v>65</v>
      </c>
      <c r="L206" s="122">
        <v>5069</v>
      </c>
      <c r="M206" s="122">
        <v>4609</v>
      </c>
      <c r="N206" s="122">
        <v>1587</v>
      </c>
      <c r="O206" s="122">
        <v>588</v>
      </c>
      <c r="P206" s="122">
        <v>351</v>
      </c>
      <c r="Q206" s="122">
        <v>130</v>
      </c>
      <c r="R206" s="122">
        <v>4595</v>
      </c>
      <c r="S206" s="122">
        <v>1702</v>
      </c>
      <c r="T206" s="122">
        <v>0</v>
      </c>
      <c r="U206" s="122">
        <v>0</v>
      </c>
      <c r="V206" s="122">
        <v>26172</v>
      </c>
      <c r="W206" s="122">
        <f t="shared" si="6"/>
        <v>26173</v>
      </c>
      <c r="X206" s="122">
        <f t="shared" si="7"/>
        <v>32660</v>
      </c>
      <c r="Y206" s="122"/>
      <c r="AA206" t="s">
        <v>50</v>
      </c>
      <c r="AB206" t="s">
        <v>406</v>
      </c>
      <c r="AC206" t="s">
        <v>431</v>
      </c>
      <c r="AD206" t="s">
        <v>406</v>
      </c>
      <c r="AE206" t="s">
        <v>137</v>
      </c>
      <c r="AF206">
        <v>2</v>
      </c>
      <c r="AG206" s="122">
        <v>451</v>
      </c>
      <c r="AH206">
        <v>174</v>
      </c>
      <c r="AI206" s="122">
        <v>19551</v>
      </c>
      <c r="AJ206" s="122">
        <v>17774</v>
      </c>
      <c r="AK206">
        <v>95</v>
      </c>
      <c r="AL206" s="122">
        <v>3003</v>
      </c>
      <c r="AM206" s="122">
        <v>2730</v>
      </c>
      <c r="AN206" s="122">
        <v>7340</v>
      </c>
      <c r="AO206" s="122">
        <v>2719</v>
      </c>
      <c r="AP206" s="122">
        <v>2295</v>
      </c>
      <c r="AQ206" s="122">
        <v>850</v>
      </c>
      <c r="AR206" s="122">
        <v>7176</v>
      </c>
      <c r="AS206" s="122">
        <v>6523</v>
      </c>
      <c r="AT206">
        <v>0</v>
      </c>
      <c r="AU206">
        <v>0</v>
      </c>
      <c r="AV206" s="122">
        <v>30595</v>
      </c>
    </row>
    <row r="207" spans="2:48" ht="12.75" hidden="1" customHeight="1">
      <c r="B207" t="s">
        <v>364</v>
      </c>
      <c r="C207" t="s">
        <v>48</v>
      </c>
      <c r="D207" t="s">
        <v>425</v>
      </c>
      <c r="E207" t="s">
        <v>425</v>
      </c>
      <c r="F207">
        <v>1</v>
      </c>
      <c r="G207" s="122">
        <v>235</v>
      </c>
      <c r="H207" s="122">
        <v>71</v>
      </c>
      <c r="I207" s="122">
        <v>7799</v>
      </c>
      <c r="J207" s="122">
        <v>7090</v>
      </c>
      <c r="K207">
        <v>92</v>
      </c>
      <c r="L207" s="122">
        <v>1063</v>
      </c>
      <c r="M207" s="122">
        <v>966</v>
      </c>
      <c r="N207" s="122">
        <v>2863</v>
      </c>
      <c r="O207" s="122">
        <v>1060</v>
      </c>
      <c r="P207" s="122">
        <v>473</v>
      </c>
      <c r="Q207" s="122">
        <v>175</v>
      </c>
      <c r="R207" s="122">
        <v>4392</v>
      </c>
      <c r="S207" s="122">
        <v>3993</v>
      </c>
      <c r="T207" s="122">
        <v>0</v>
      </c>
      <c r="U207" s="122">
        <v>0</v>
      </c>
      <c r="V207" s="122">
        <v>13284</v>
      </c>
      <c r="W207" s="122">
        <f t="shared" si="6"/>
        <v>13284</v>
      </c>
      <c r="X207" s="122">
        <f t="shared" si="7"/>
        <v>16590</v>
      </c>
      <c r="Y207" s="122"/>
      <c r="AA207" t="s">
        <v>50</v>
      </c>
      <c r="AB207" t="s">
        <v>406</v>
      </c>
      <c r="AC207" t="s">
        <v>431</v>
      </c>
      <c r="AD207" t="s">
        <v>406</v>
      </c>
      <c r="AE207" t="s">
        <v>566</v>
      </c>
      <c r="AF207">
        <v>8</v>
      </c>
      <c r="AG207" s="122">
        <v>2351</v>
      </c>
      <c r="AH207" s="122">
        <v>731</v>
      </c>
      <c r="AI207" s="122">
        <v>112741</v>
      </c>
      <c r="AJ207" s="122">
        <v>102492</v>
      </c>
      <c r="AK207">
        <v>94</v>
      </c>
      <c r="AL207" s="122">
        <v>18668</v>
      </c>
      <c r="AM207" s="122">
        <v>16971</v>
      </c>
      <c r="AN207" s="122">
        <v>29450</v>
      </c>
      <c r="AO207" s="122">
        <v>10907</v>
      </c>
      <c r="AP207" s="122">
        <v>16119</v>
      </c>
      <c r="AQ207" s="122">
        <v>5970</v>
      </c>
      <c r="AR207" s="122">
        <v>38081</v>
      </c>
      <c r="AS207" s="122">
        <v>34619</v>
      </c>
      <c r="AT207">
        <v>0</v>
      </c>
      <c r="AU207">
        <v>0</v>
      </c>
      <c r="AV207" s="122">
        <v>170959</v>
      </c>
    </row>
    <row r="208" spans="2:48" ht="12.75" hidden="1" customHeight="1">
      <c r="B208" t="s">
        <v>364</v>
      </c>
      <c r="C208" t="s">
        <v>48</v>
      </c>
      <c r="D208" t="s">
        <v>405</v>
      </c>
      <c r="E208" t="s">
        <v>405</v>
      </c>
      <c r="F208">
        <v>1</v>
      </c>
      <c r="G208" s="122">
        <v>288</v>
      </c>
      <c r="H208" s="122">
        <v>45</v>
      </c>
      <c r="I208" s="122">
        <v>144</v>
      </c>
      <c r="J208" s="122">
        <v>131</v>
      </c>
      <c r="K208">
        <v>90</v>
      </c>
      <c r="L208" s="122">
        <v>24</v>
      </c>
      <c r="M208" s="122">
        <v>22</v>
      </c>
      <c r="N208" s="122">
        <v>3508</v>
      </c>
      <c r="O208" s="122">
        <v>1299</v>
      </c>
      <c r="P208" s="122">
        <v>3056</v>
      </c>
      <c r="Q208" s="122">
        <v>1132</v>
      </c>
      <c r="R208" s="122">
        <v>6116</v>
      </c>
      <c r="S208" s="122">
        <v>5560</v>
      </c>
      <c r="T208">
        <v>0</v>
      </c>
      <c r="U208">
        <v>0</v>
      </c>
      <c r="V208" s="122">
        <v>8144</v>
      </c>
      <c r="W208" s="122">
        <f t="shared" si="6"/>
        <v>8144</v>
      </c>
      <c r="X208" s="122">
        <f t="shared" si="7"/>
        <v>12848</v>
      </c>
      <c r="Y208" s="122"/>
      <c r="AA208" t="s">
        <v>50</v>
      </c>
      <c r="AB208" t="s">
        <v>406</v>
      </c>
      <c r="AC208" t="s">
        <v>426</v>
      </c>
      <c r="AD208" t="s">
        <v>137</v>
      </c>
      <c r="AE208" t="s">
        <v>566</v>
      </c>
      <c r="AF208">
        <v>12</v>
      </c>
      <c r="AG208" s="122">
        <v>2609</v>
      </c>
      <c r="AH208" s="122">
        <v>1104</v>
      </c>
      <c r="AI208" s="122">
        <v>96463</v>
      </c>
      <c r="AJ208" s="122">
        <v>87694</v>
      </c>
      <c r="AK208">
        <v>104</v>
      </c>
      <c r="AL208" s="122">
        <v>15887</v>
      </c>
      <c r="AM208" s="122">
        <v>14443</v>
      </c>
      <c r="AN208" s="122">
        <v>38399</v>
      </c>
      <c r="AO208" s="122">
        <v>14222</v>
      </c>
      <c r="AP208" s="122">
        <v>11992</v>
      </c>
      <c r="AQ208" s="122">
        <v>4441</v>
      </c>
      <c r="AR208" s="122">
        <v>78649</v>
      </c>
      <c r="AS208" s="122">
        <v>29129</v>
      </c>
      <c r="AT208" s="122">
        <v>0</v>
      </c>
      <c r="AU208" s="122">
        <v>0</v>
      </c>
      <c r="AV208" s="122">
        <v>149929</v>
      </c>
    </row>
    <row r="209" spans="2:48" ht="12.75" hidden="1" customHeight="1">
      <c r="B209" t="s">
        <v>364</v>
      </c>
      <c r="C209" t="s">
        <v>48</v>
      </c>
      <c r="D209" t="s">
        <v>405</v>
      </c>
      <c r="E209" t="s">
        <v>137</v>
      </c>
      <c r="F209">
        <v>1</v>
      </c>
      <c r="G209" s="122">
        <v>264</v>
      </c>
      <c r="H209" s="122">
        <v>36</v>
      </c>
      <c r="I209" s="122">
        <v>-710</v>
      </c>
      <c r="J209" s="122">
        <v>-646</v>
      </c>
      <c r="K209">
        <v>91</v>
      </c>
      <c r="L209" s="122">
        <v>-92</v>
      </c>
      <c r="M209" s="122">
        <v>-84</v>
      </c>
      <c r="N209" s="122">
        <v>3215</v>
      </c>
      <c r="O209" s="122">
        <v>1191</v>
      </c>
      <c r="P209" s="122">
        <v>2827</v>
      </c>
      <c r="Q209" s="122">
        <v>1047</v>
      </c>
      <c r="R209" s="122">
        <v>4353</v>
      </c>
      <c r="S209" s="122">
        <v>1612</v>
      </c>
      <c r="T209" s="122">
        <v>0</v>
      </c>
      <c r="U209" s="122">
        <v>0</v>
      </c>
      <c r="V209" s="122">
        <v>3121</v>
      </c>
      <c r="W209" s="122">
        <f t="shared" si="6"/>
        <v>4580</v>
      </c>
      <c r="X209" s="122">
        <f t="shared" si="7"/>
        <v>11197</v>
      </c>
      <c r="Y209" s="122"/>
      <c r="AA209" t="s">
        <v>50</v>
      </c>
      <c r="AB209" t="s">
        <v>406</v>
      </c>
      <c r="AC209" t="s">
        <v>426</v>
      </c>
      <c r="AD209" t="s">
        <v>406</v>
      </c>
      <c r="AE209" t="s">
        <v>137</v>
      </c>
      <c r="AF209">
        <v>101</v>
      </c>
      <c r="AG209" s="122">
        <v>24003</v>
      </c>
      <c r="AH209" s="122">
        <v>9226</v>
      </c>
      <c r="AI209" s="122">
        <v>1110944</v>
      </c>
      <c r="AJ209" s="122">
        <v>1009949</v>
      </c>
      <c r="AK209">
        <v>94</v>
      </c>
      <c r="AL209" s="122">
        <v>197840</v>
      </c>
      <c r="AM209" s="122">
        <v>179854</v>
      </c>
      <c r="AN209" s="122">
        <v>341311</v>
      </c>
      <c r="AO209" s="122">
        <v>126411</v>
      </c>
      <c r="AP209" s="122">
        <v>91147</v>
      </c>
      <c r="AQ209" s="122">
        <v>33758</v>
      </c>
      <c r="AR209" s="122">
        <v>456422</v>
      </c>
      <c r="AS209" s="122">
        <v>414929</v>
      </c>
      <c r="AT209" s="122">
        <v>47705</v>
      </c>
      <c r="AU209" s="122">
        <v>17669</v>
      </c>
      <c r="AV209" s="122">
        <v>1782571</v>
      </c>
    </row>
    <row r="210" spans="2:48" ht="12.75" hidden="1" customHeight="1">
      <c r="B210" t="s">
        <v>364</v>
      </c>
      <c r="C210" t="s">
        <v>48</v>
      </c>
      <c r="D210" t="s">
        <v>137</v>
      </c>
      <c r="E210" t="s">
        <v>137</v>
      </c>
      <c r="F210" s="122">
        <v>125</v>
      </c>
      <c r="G210" s="122">
        <v>23525</v>
      </c>
      <c r="H210" s="122">
        <v>6887</v>
      </c>
      <c r="I210" s="122">
        <v>172431</v>
      </c>
      <c r="J210" s="122">
        <v>63863</v>
      </c>
      <c r="K210">
        <v>470</v>
      </c>
      <c r="L210" s="122">
        <v>54049</v>
      </c>
      <c r="M210" s="122">
        <v>46209</v>
      </c>
      <c r="N210" s="122">
        <v>309213</v>
      </c>
      <c r="O210" s="122">
        <v>114523</v>
      </c>
      <c r="P210" s="122">
        <v>149900</v>
      </c>
      <c r="Q210" s="122">
        <v>55519</v>
      </c>
      <c r="R210" s="122">
        <v>577784</v>
      </c>
      <c r="S210" s="122">
        <v>213994</v>
      </c>
      <c r="T210" s="122">
        <v>0</v>
      </c>
      <c r="U210" s="122">
        <v>0</v>
      </c>
      <c r="V210" s="122">
        <v>494108</v>
      </c>
      <c r="W210" s="122">
        <f t="shared" si="6"/>
        <v>494108</v>
      </c>
      <c r="X210" s="122">
        <f t="shared" si="7"/>
        <v>1263377</v>
      </c>
      <c r="Y210" s="122"/>
      <c r="AA210" t="s">
        <v>50</v>
      </c>
      <c r="AB210" t="s">
        <v>406</v>
      </c>
      <c r="AC210" t="s">
        <v>426</v>
      </c>
      <c r="AD210" t="s">
        <v>406</v>
      </c>
      <c r="AE210" t="s">
        <v>566</v>
      </c>
      <c r="AF210">
        <v>632</v>
      </c>
      <c r="AG210" s="122">
        <v>143845</v>
      </c>
      <c r="AH210" s="122">
        <v>57866</v>
      </c>
      <c r="AI210" s="122">
        <v>6803063</v>
      </c>
      <c r="AJ210" s="122">
        <v>6184603</v>
      </c>
      <c r="AK210">
        <v>94</v>
      </c>
      <c r="AL210" s="122">
        <v>1203079</v>
      </c>
      <c r="AM210" s="122">
        <v>1093708</v>
      </c>
      <c r="AN210" s="122">
        <v>2143723</v>
      </c>
      <c r="AO210" s="122">
        <v>793972</v>
      </c>
      <c r="AP210" s="122">
        <v>627396</v>
      </c>
      <c r="AQ210" s="122">
        <v>232369</v>
      </c>
      <c r="AR210" s="122">
        <v>2767587</v>
      </c>
      <c r="AS210" s="122">
        <v>2515989</v>
      </c>
      <c r="AT210">
        <v>0</v>
      </c>
      <c r="AU210">
        <v>0</v>
      </c>
      <c r="AV210" s="122">
        <v>10820640</v>
      </c>
    </row>
    <row r="211" spans="2:48" ht="12.75" hidden="1" customHeight="1">
      <c r="B211" t="s">
        <v>364</v>
      </c>
      <c r="C211" t="s">
        <v>48</v>
      </c>
      <c r="D211" t="s">
        <v>406</v>
      </c>
      <c r="E211" t="s">
        <v>406</v>
      </c>
      <c r="F211">
        <v>24</v>
      </c>
      <c r="G211" s="122">
        <v>4969</v>
      </c>
      <c r="H211" s="122">
        <v>1464</v>
      </c>
      <c r="I211" s="122">
        <v>114832</v>
      </c>
      <c r="J211" s="122">
        <v>104393</v>
      </c>
      <c r="K211">
        <v>95</v>
      </c>
      <c r="L211" s="122">
        <v>17725</v>
      </c>
      <c r="M211" s="122">
        <v>16114</v>
      </c>
      <c r="N211" s="122">
        <v>62874</v>
      </c>
      <c r="O211" s="122">
        <v>23287</v>
      </c>
      <c r="P211" s="122">
        <v>27596</v>
      </c>
      <c r="Q211" s="122">
        <v>10221</v>
      </c>
      <c r="R211" s="122">
        <v>84700</v>
      </c>
      <c r="S211" s="122">
        <v>77000</v>
      </c>
      <c r="T211" s="122">
        <v>0</v>
      </c>
      <c r="U211" s="122">
        <v>0</v>
      </c>
      <c r="V211" s="122">
        <v>231014</v>
      </c>
      <c r="W211" s="122">
        <f t="shared" si="6"/>
        <v>231015</v>
      </c>
      <c r="X211" s="122">
        <f t="shared" si="7"/>
        <v>307727</v>
      </c>
      <c r="Y211" s="122"/>
      <c r="AA211" t="s">
        <v>50</v>
      </c>
      <c r="AB211" t="s">
        <v>406</v>
      </c>
      <c r="AC211" t="s">
        <v>426</v>
      </c>
      <c r="AD211" t="s">
        <v>426</v>
      </c>
      <c r="AE211" t="s">
        <v>137</v>
      </c>
      <c r="AF211">
        <v>1</v>
      </c>
      <c r="AG211" s="122">
        <v>245</v>
      </c>
      <c r="AH211" s="122">
        <v>98</v>
      </c>
      <c r="AI211" s="122">
        <v>11114</v>
      </c>
      <c r="AJ211" s="122">
        <v>10104</v>
      </c>
      <c r="AK211">
        <v>92</v>
      </c>
      <c r="AL211" s="122">
        <v>3598</v>
      </c>
      <c r="AM211" s="122">
        <v>3271</v>
      </c>
      <c r="AN211" s="122">
        <v>2989</v>
      </c>
      <c r="AO211" s="122">
        <v>1107</v>
      </c>
      <c r="AP211" s="122">
        <v>621</v>
      </c>
      <c r="AQ211" s="122">
        <v>230</v>
      </c>
      <c r="AR211" s="122">
        <v>5680</v>
      </c>
      <c r="AS211" s="122">
        <v>5164</v>
      </c>
      <c r="AT211" s="122">
        <v>0</v>
      </c>
      <c r="AU211" s="122">
        <v>0</v>
      </c>
      <c r="AV211" s="122">
        <v>19876</v>
      </c>
    </row>
    <row r="212" spans="2:48" ht="12.75" hidden="1" customHeight="1">
      <c r="B212" t="s">
        <v>364</v>
      </c>
      <c r="C212" t="s">
        <v>48</v>
      </c>
      <c r="D212" t="s">
        <v>407</v>
      </c>
      <c r="E212" t="s">
        <v>137</v>
      </c>
      <c r="F212">
        <v>1</v>
      </c>
      <c r="G212" s="122">
        <v>246</v>
      </c>
      <c r="H212" s="122">
        <v>49</v>
      </c>
      <c r="I212" s="122">
        <v>2131</v>
      </c>
      <c r="J212" s="122">
        <v>1937</v>
      </c>
      <c r="K212">
        <v>91</v>
      </c>
      <c r="L212" s="122">
        <v>290</v>
      </c>
      <c r="M212" s="122">
        <v>263</v>
      </c>
      <c r="N212" s="122">
        <v>2997</v>
      </c>
      <c r="O212" s="122">
        <v>1110</v>
      </c>
      <c r="P212" s="122">
        <v>2589</v>
      </c>
      <c r="Q212" s="122">
        <v>959</v>
      </c>
      <c r="R212" s="122">
        <v>4062</v>
      </c>
      <c r="S212" s="122">
        <v>1504</v>
      </c>
      <c r="T212" s="122">
        <v>0</v>
      </c>
      <c r="U212" s="122">
        <v>0</v>
      </c>
      <c r="V212" s="122">
        <v>5774</v>
      </c>
      <c r="W212" s="122">
        <f t="shared" si="6"/>
        <v>5773</v>
      </c>
      <c r="X212" s="122">
        <f t="shared" si="7"/>
        <v>12069</v>
      </c>
      <c r="Y212" s="122"/>
      <c r="AA212" t="s">
        <v>50</v>
      </c>
      <c r="AB212" t="s">
        <v>406</v>
      </c>
      <c r="AC212" t="s">
        <v>566</v>
      </c>
      <c r="AD212" t="s">
        <v>406</v>
      </c>
      <c r="AE212" t="s">
        <v>137</v>
      </c>
      <c r="AF212">
        <v>12</v>
      </c>
      <c r="AG212" s="122">
        <v>2828</v>
      </c>
      <c r="AH212" s="122">
        <v>1105</v>
      </c>
      <c r="AI212" s="122">
        <v>163631</v>
      </c>
      <c r="AJ212" s="122">
        <v>148756</v>
      </c>
      <c r="AK212">
        <v>94</v>
      </c>
      <c r="AL212">
        <v>0</v>
      </c>
      <c r="AM212" s="122">
        <v>7138</v>
      </c>
      <c r="AN212" s="122">
        <v>44127</v>
      </c>
      <c r="AO212" s="122">
        <v>16343</v>
      </c>
      <c r="AP212" s="122">
        <v>13614</v>
      </c>
      <c r="AQ212" s="122">
        <v>5042</v>
      </c>
      <c r="AR212" s="122">
        <v>56305</v>
      </c>
      <c r="AS212" s="122">
        <v>51187</v>
      </c>
      <c r="AT212" s="122">
        <v>3578</v>
      </c>
      <c r="AU212" s="122">
        <v>1325</v>
      </c>
      <c r="AV212" s="122">
        <v>229790</v>
      </c>
    </row>
    <row r="213" spans="2:48" ht="12.75" hidden="1" customHeight="1">
      <c r="B213" t="s">
        <v>364</v>
      </c>
      <c r="C213" t="s">
        <v>48</v>
      </c>
      <c r="D213" t="s">
        <v>407</v>
      </c>
      <c r="E213" t="s">
        <v>407</v>
      </c>
      <c r="F213">
        <v>13</v>
      </c>
      <c r="G213" s="122">
        <v>2083</v>
      </c>
      <c r="H213" s="122">
        <v>757</v>
      </c>
      <c r="I213" s="122">
        <v>34788</v>
      </c>
      <c r="J213" s="122">
        <v>31626</v>
      </c>
      <c r="K213">
        <v>91</v>
      </c>
      <c r="L213" s="122">
        <v>4938</v>
      </c>
      <c r="M213" s="122">
        <v>4489</v>
      </c>
      <c r="N213" s="122">
        <v>26988</v>
      </c>
      <c r="O213" s="122">
        <v>9995</v>
      </c>
      <c r="P213" s="122">
        <v>6143</v>
      </c>
      <c r="Q213" s="122">
        <v>2275</v>
      </c>
      <c r="R213" s="122">
        <v>48387</v>
      </c>
      <c r="S213" s="122">
        <v>43988</v>
      </c>
      <c r="T213" s="122">
        <v>0</v>
      </c>
      <c r="U213">
        <v>0</v>
      </c>
      <c r="V213" s="122">
        <v>92374</v>
      </c>
      <c r="W213" s="122">
        <f t="shared" si="6"/>
        <v>92373</v>
      </c>
      <c r="X213" s="122">
        <f t="shared" si="7"/>
        <v>121244</v>
      </c>
      <c r="Y213" s="122"/>
      <c r="AA213" t="s">
        <v>50</v>
      </c>
      <c r="AB213" t="s">
        <v>406</v>
      </c>
      <c r="AC213" t="s">
        <v>566</v>
      </c>
      <c r="AD213" t="s">
        <v>406</v>
      </c>
      <c r="AE213" t="s">
        <v>566</v>
      </c>
      <c r="AF213">
        <v>71</v>
      </c>
      <c r="AG213" s="122">
        <v>13062</v>
      </c>
      <c r="AH213" s="122">
        <v>6453</v>
      </c>
      <c r="AI213" s="122">
        <v>686675</v>
      </c>
      <c r="AJ213" s="122">
        <v>624250</v>
      </c>
      <c r="AK213">
        <v>93</v>
      </c>
      <c r="AL213">
        <v>0</v>
      </c>
      <c r="AM213" s="122">
        <v>856225</v>
      </c>
      <c r="AN213" s="122">
        <v>197913</v>
      </c>
      <c r="AO213" s="122">
        <v>73301</v>
      </c>
      <c r="AP213" s="122">
        <v>71875</v>
      </c>
      <c r="AQ213" s="122">
        <v>26621</v>
      </c>
      <c r="AR213" s="122">
        <v>271489</v>
      </c>
      <c r="AS213" s="122">
        <v>246808</v>
      </c>
      <c r="AT213">
        <v>0</v>
      </c>
      <c r="AU213">
        <v>0</v>
      </c>
      <c r="AV213" s="122">
        <v>1827205</v>
      </c>
    </row>
    <row r="214" spans="2:48" ht="12.75" hidden="1" customHeight="1">
      <c r="B214" t="s">
        <v>364</v>
      </c>
      <c r="C214" t="s">
        <v>50</v>
      </c>
      <c r="D214" t="s">
        <v>405</v>
      </c>
      <c r="E214" t="s">
        <v>405</v>
      </c>
      <c r="F214">
        <v>3</v>
      </c>
      <c r="G214">
        <v>756</v>
      </c>
      <c r="H214">
        <v>293</v>
      </c>
      <c r="I214" s="122">
        <v>41848</v>
      </c>
      <c r="J214" s="122">
        <v>38044</v>
      </c>
      <c r="K214">
        <v>92</v>
      </c>
      <c r="L214" s="122">
        <v>4360</v>
      </c>
      <c r="M214" s="122">
        <v>3780</v>
      </c>
      <c r="N214" s="122">
        <v>9713</v>
      </c>
      <c r="O214" s="122">
        <v>3597</v>
      </c>
      <c r="P214" s="122">
        <v>1418</v>
      </c>
      <c r="Q214" s="122">
        <v>525</v>
      </c>
      <c r="R214" s="122">
        <v>16305</v>
      </c>
      <c r="S214" s="122">
        <v>14822</v>
      </c>
      <c r="T214">
        <v>0</v>
      </c>
      <c r="U214">
        <v>0</v>
      </c>
      <c r="V214" s="122">
        <v>60769</v>
      </c>
      <c r="W214" s="122">
        <f t="shared" si="6"/>
        <v>60768</v>
      </c>
      <c r="X214" s="122">
        <f t="shared" si="7"/>
        <v>73644</v>
      </c>
      <c r="Y214" s="122"/>
      <c r="AA214" t="s">
        <v>50</v>
      </c>
      <c r="AB214" t="s">
        <v>406</v>
      </c>
      <c r="AC214" t="s">
        <v>566</v>
      </c>
      <c r="AD214" t="s">
        <v>427</v>
      </c>
      <c r="AE214" t="s">
        <v>566</v>
      </c>
      <c r="AF214">
        <v>1</v>
      </c>
      <c r="AG214">
        <v>138</v>
      </c>
      <c r="AH214">
        <v>97</v>
      </c>
      <c r="AI214" s="122">
        <v>7695</v>
      </c>
      <c r="AJ214" s="122">
        <v>6995</v>
      </c>
      <c r="AK214">
        <v>93</v>
      </c>
      <c r="AL214" s="122">
        <v>0</v>
      </c>
      <c r="AM214" s="122">
        <v>0</v>
      </c>
      <c r="AN214" s="122">
        <v>1681</v>
      </c>
      <c r="AO214" s="122">
        <v>623</v>
      </c>
      <c r="AP214" s="122">
        <v>1848</v>
      </c>
      <c r="AQ214">
        <v>685</v>
      </c>
      <c r="AR214" s="122">
        <v>2168</v>
      </c>
      <c r="AS214" s="122">
        <v>1971</v>
      </c>
      <c r="AT214">
        <v>0</v>
      </c>
      <c r="AU214">
        <v>0</v>
      </c>
      <c r="AV214" s="122">
        <v>10273</v>
      </c>
    </row>
    <row r="215" spans="2:48" ht="12.75" hidden="1" customHeight="1">
      <c r="B215" t="s">
        <v>364</v>
      </c>
      <c r="C215" t="s">
        <v>50</v>
      </c>
      <c r="D215" t="s">
        <v>137</v>
      </c>
      <c r="E215" t="s">
        <v>137</v>
      </c>
      <c r="F215">
        <v>24</v>
      </c>
      <c r="G215" s="122">
        <v>5472</v>
      </c>
      <c r="H215" s="122">
        <v>2090</v>
      </c>
      <c r="I215" s="122">
        <v>189933</v>
      </c>
      <c r="J215" s="122">
        <v>70346</v>
      </c>
      <c r="K215">
        <v>395</v>
      </c>
      <c r="L215" s="122">
        <v>54155</v>
      </c>
      <c r="M215" s="122">
        <v>46199</v>
      </c>
      <c r="N215" s="122">
        <v>95455</v>
      </c>
      <c r="O215" s="122">
        <v>35354</v>
      </c>
      <c r="P215" s="122">
        <v>20676</v>
      </c>
      <c r="Q215" s="122">
        <v>7658</v>
      </c>
      <c r="R215" s="122">
        <v>143345</v>
      </c>
      <c r="S215" s="122">
        <v>53091</v>
      </c>
      <c r="T215" s="122">
        <v>0</v>
      </c>
      <c r="U215" s="122">
        <v>0</v>
      </c>
      <c r="V215" s="122">
        <v>212647</v>
      </c>
      <c r="W215" s="122">
        <f t="shared" si="6"/>
        <v>212648</v>
      </c>
      <c r="X215" s="122">
        <f t="shared" si="7"/>
        <v>503564</v>
      </c>
      <c r="Y215" s="122"/>
      <c r="AA215" t="s">
        <v>50</v>
      </c>
      <c r="AB215" t="s">
        <v>406</v>
      </c>
      <c r="AC215" t="s">
        <v>481</v>
      </c>
      <c r="AD215" t="s">
        <v>406</v>
      </c>
      <c r="AE215" t="s">
        <v>137</v>
      </c>
      <c r="AF215">
        <v>1</v>
      </c>
      <c r="AG215">
        <v>281</v>
      </c>
      <c r="AH215">
        <v>92</v>
      </c>
      <c r="AI215" s="122">
        <v>12680</v>
      </c>
      <c r="AJ215" s="122">
        <v>11527</v>
      </c>
      <c r="AK215">
        <v>94</v>
      </c>
      <c r="AL215" s="122">
        <v>4396</v>
      </c>
      <c r="AM215" s="122">
        <v>3996</v>
      </c>
      <c r="AN215" s="122">
        <v>3421</v>
      </c>
      <c r="AO215" s="122">
        <v>1267</v>
      </c>
      <c r="AP215" s="122">
        <v>621</v>
      </c>
      <c r="AQ215">
        <v>230</v>
      </c>
      <c r="AR215" s="122">
        <v>4578</v>
      </c>
      <c r="AS215" s="122">
        <v>4162</v>
      </c>
      <c r="AT215">
        <v>0</v>
      </c>
      <c r="AU215">
        <v>0</v>
      </c>
      <c r="AV215" s="122">
        <v>21182</v>
      </c>
    </row>
    <row r="216" spans="2:48" ht="12.75" hidden="1" customHeight="1">
      <c r="B216" t="s">
        <v>364</v>
      </c>
      <c r="C216" t="s">
        <v>50</v>
      </c>
      <c r="D216" t="s">
        <v>406</v>
      </c>
      <c r="E216" t="s">
        <v>137</v>
      </c>
      <c r="F216">
        <v>1</v>
      </c>
      <c r="G216" s="122">
        <v>234</v>
      </c>
      <c r="H216" s="122">
        <v>89</v>
      </c>
      <c r="I216" s="122">
        <v>10534</v>
      </c>
      <c r="J216" s="122">
        <v>9576</v>
      </c>
      <c r="K216">
        <v>95</v>
      </c>
      <c r="L216" s="122">
        <v>1853</v>
      </c>
      <c r="M216" s="122">
        <v>1685</v>
      </c>
      <c r="N216" s="122">
        <v>3678</v>
      </c>
      <c r="O216" s="122">
        <v>1362</v>
      </c>
      <c r="P216" s="122">
        <v>621</v>
      </c>
      <c r="Q216" s="122">
        <v>230</v>
      </c>
      <c r="R216" s="122">
        <v>4094</v>
      </c>
      <c r="S216" s="122">
        <v>1516</v>
      </c>
      <c r="T216" s="122">
        <v>0</v>
      </c>
      <c r="U216" s="122">
        <v>0</v>
      </c>
      <c r="V216" s="122">
        <v>14369</v>
      </c>
      <c r="W216" s="122">
        <f t="shared" si="6"/>
        <v>14369</v>
      </c>
      <c r="X216" s="122">
        <f t="shared" si="7"/>
        <v>20780</v>
      </c>
      <c r="Y216" s="122"/>
      <c r="AA216" t="s">
        <v>50</v>
      </c>
      <c r="AB216" t="s">
        <v>406</v>
      </c>
      <c r="AC216" t="s">
        <v>481</v>
      </c>
      <c r="AD216" t="s">
        <v>406</v>
      </c>
      <c r="AE216" t="s">
        <v>566</v>
      </c>
      <c r="AF216">
        <v>2</v>
      </c>
      <c r="AG216" s="122">
        <v>397</v>
      </c>
      <c r="AH216">
        <v>185</v>
      </c>
      <c r="AI216" s="122">
        <v>19268</v>
      </c>
      <c r="AJ216" s="122">
        <v>17517</v>
      </c>
      <c r="AK216">
        <v>94</v>
      </c>
      <c r="AL216" s="122">
        <v>3550</v>
      </c>
      <c r="AM216" s="122">
        <v>3227</v>
      </c>
      <c r="AN216" s="122">
        <v>4842</v>
      </c>
      <c r="AO216" s="122">
        <v>1793</v>
      </c>
      <c r="AP216" s="122">
        <v>1242</v>
      </c>
      <c r="AQ216" s="122">
        <v>460</v>
      </c>
      <c r="AR216" s="122">
        <v>7618</v>
      </c>
      <c r="AS216" s="122">
        <v>6926</v>
      </c>
      <c r="AT216">
        <v>0</v>
      </c>
      <c r="AU216">
        <v>0</v>
      </c>
      <c r="AV216" s="122">
        <v>29923</v>
      </c>
    </row>
    <row r="217" spans="2:48" ht="12.75" hidden="1" customHeight="1">
      <c r="B217" t="s">
        <v>364</v>
      </c>
      <c r="C217" t="s">
        <v>50</v>
      </c>
      <c r="D217" t="s">
        <v>406</v>
      </c>
      <c r="E217" t="s">
        <v>406</v>
      </c>
      <c r="F217">
        <v>43</v>
      </c>
      <c r="G217" s="122">
        <v>10360</v>
      </c>
      <c r="H217" s="122">
        <v>3907</v>
      </c>
      <c r="I217" s="122">
        <v>525494</v>
      </c>
      <c r="J217" s="122">
        <v>477722</v>
      </c>
      <c r="K217">
        <v>94</v>
      </c>
      <c r="L217" s="122">
        <v>84684</v>
      </c>
      <c r="M217" s="122">
        <v>76873</v>
      </c>
      <c r="N217" s="122">
        <v>149919</v>
      </c>
      <c r="O217" s="122">
        <v>55526</v>
      </c>
      <c r="P217" s="122">
        <v>51459</v>
      </c>
      <c r="Q217" s="122">
        <v>19059</v>
      </c>
      <c r="R217" s="122">
        <v>192652</v>
      </c>
      <c r="S217" s="122">
        <v>175138</v>
      </c>
      <c r="T217">
        <v>0</v>
      </c>
      <c r="U217">
        <v>0</v>
      </c>
      <c r="V217" s="122">
        <v>804317</v>
      </c>
      <c r="W217" s="122">
        <f t="shared" si="6"/>
        <v>804318</v>
      </c>
      <c r="X217" s="122">
        <f t="shared" si="7"/>
        <v>1004208</v>
      </c>
      <c r="Y217" s="122"/>
      <c r="AA217" t="s">
        <v>50</v>
      </c>
      <c r="AB217" t="s">
        <v>406</v>
      </c>
      <c r="AC217" t="s">
        <v>433</v>
      </c>
      <c r="AD217" t="s">
        <v>137</v>
      </c>
      <c r="AE217" t="s">
        <v>566</v>
      </c>
      <c r="AF217">
        <v>5</v>
      </c>
      <c r="AG217" s="122">
        <v>1352</v>
      </c>
      <c r="AH217" s="122">
        <v>425</v>
      </c>
      <c r="AI217" s="122">
        <v>60743</v>
      </c>
      <c r="AJ217" s="122">
        <v>55221</v>
      </c>
      <c r="AK217">
        <v>94</v>
      </c>
      <c r="AL217" s="122">
        <v>8694</v>
      </c>
      <c r="AM217" s="122">
        <v>7903</v>
      </c>
      <c r="AN217" s="122">
        <v>16468</v>
      </c>
      <c r="AO217" s="122">
        <v>6099</v>
      </c>
      <c r="AP217" s="122">
        <v>5481</v>
      </c>
      <c r="AQ217" s="122">
        <v>2030</v>
      </c>
      <c r="AR217" s="122">
        <v>23182</v>
      </c>
      <c r="AS217" s="122">
        <v>8586</v>
      </c>
      <c r="AT217" s="122">
        <v>0</v>
      </c>
      <c r="AU217" s="122">
        <v>0</v>
      </c>
      <c r="AV217" s="122">
        <v>79839</v>
      </c>
    </row>
    <row r="218" spans="2:48" ht="12.75" hidden="1" customHeight="1">
      <c r="B218" t="s">
        <v>364</v>
      </c>
      <c r="C218" t="s">
        <v>50</v>
      </c>
      <c r="D218" t="s">
        <v>406</v>
      </c>
      <c r="E218" t="s">
        <v>426</v>
      </c>
      <c r="F218">
        <v>1</v>
      </c>
      <c r="G218" s="122">
        <v>245</v>
      </c>
      <c r="H218" s="122">
        <v>98</v>
      </c>
      <c r="I218" s="122">
        <v>11114</v>
      </c>
      <c r="J218" s="122">
        <v>10104</v>
      </c>
      <c r="K218">
        <v>92</v>
      </c>
      <c r="L218" s="122">
        <v>3598</v>
      </c>
      <c r="M218" s="122">
        <v>3271</v>
      </c>
      <c r="N218" s="122">
        <v>2989</v>
      </c>
      <c r="O218" s="122">
        <v>1107</v>
      </c>
      <c r="P218" s="122">
        <v>621</v>
      </c>
      <c r="Q218" s="122">
        <v>230</v>
      </c>
      <c r="R218" s="122">
        <v>5680</v>
      </c>
      <c r="S218" s="122">
        <v>5164</v>
      </c>
      <c r="T218">
        <v>0</v>
      </c>
      <c r="U218">
        <v>0</v>
      </c>
      <c r="V218" s="122">
        <v>19876</v>
      </c>
      <c r="W218" s="122">
        <f t="shared" si="6"/>
        <v>19876</v>
      </c>
      <c r="X218" s="122">
        <f t="shared" si="7"/>
        <v>24002</v>
      </c>
      <c r="Y218" s="122"/>
      <c r="AA218" t="s">
        <v>50</v>
      </c>
      <c r="AB218" t="s">
        <v>406</v>
      </c>
      <c r="AC218" t="s">
        <v>433</v>
      </c>
      <c r="AD218" t="s">
        <v>406</v>
      </c>
      <c r="AE218" t="s">
        <v>137</v>
      </c>
      <c r="AF218">
        <v>35</v>
      </c>
      <c r="AG218" s="122">
        <v>8037</v>
      </c>
      <c r="AH218" s="122">
        <v>3126</v>
      </c>
      <c r="AI218" s="122">
        <v>383963</v>
      </c>
      <c r="AJ218" s="122">
        <v>349057</v>
      </c>
      <c r="AK218">
        <v>94</v>
      </c>
      <c r="AL218" s="122">
        <v>62000</v>
      </c>
      <c r="AM218" s="122">
        <v>56363</v>
      </c>
      <c r="AN218" s="122">
        <v>103942</v>
      </c>
      <c r="AO218" s="122">
        <v>38497</v>
      </c>
      <c r="AP218" s="122">
        <v>25324</v>
      </c>
      <c r="AQ218" s="122">
        <v>9379</v>
      </c>
      <c r="AR218" s="122">
        <v>137435</v>
      </c>
      <c r="AS218" s="122">
        <v>124941</v>
      </c>
      <c r="AT218" s="122">
        <v>9335</v>
      </c>
      <c r="AU218" s="122">
        <v>3457</v>
      </c>
      <c r="AV218" s="122">
        <v>581695</v>
      </c>
    </row>
    <row r="219" spans="2:48" ht="12.75" hidden="1" customHeight="1">
      <c r="B219" t="s">
        <v>364</v>
      </c>
      <c r="C219" t="s">
        <v>50</v>
      </c>
      <c r="D219" t="s">
        <v>406</v>
      </c>
      <c r="E219" t="s">
        <v>433</v>
      </c>
      <c r="F219" s="122">
        <v>1</v>
      </c>
      <c r="G219" s="122">
        <v>190</v>
      </c>
      <c r="H219" s="122">
        <v>100</v>
      </c>
      <c r="I219" s="122">
        <v>10793</v>
      </c>
      <c r="J219" s="122">
        <v>9812</v>
      </c>
      <c r="K219">
        <v>92</v>
      </c>
      <c r="L219" s="122">
        <v>1721</v>
      </c>
      <c r="M219" s="122">
        <v>1565</v>
      </c>
      <c r="N219" s="122">
        <v>2309</v>
      </c>
      <c r="O219" s="122">
        <v>855</v>
      </c>
      <c r="P219" s="122">
        <v>621</v>
      </c>
      <c r="Q219" s="122">
        <v>230</v>
      </c>
      <c r="R219" s="122">
        <v>3489</v>
      </c>
      <c r="S219" s="122">
        <v>3172</v>
      </c>
      <c r="T219" s="122">
        <v>0</v>
      </c>
      <c r="U219" s="122">
        <v>0</v>
      </c>
      <c r="V219" s="122">
        <v>15633</v>
      </c>
      <c r="W219" s="122">
        <f t="shared" si="6"/>
        <v>15634</v>
      </c>
      <c r="X219" s="122">
        <f t="shared" si="7"/>
        <v>18933</v>
      </c>
      <c r="Y219" s="122"/>
      <c r="AA219" t="s">
        <v>50</v>
      </c>
      <c r="AB219" t="s">
        <v>406</v>
      </c>
      <c r="AC219" t="s">
        <v>433</v>
      </c>
      <c r="AD219" t="s">
        <v>406</v>
      </c>
      <c r="AE219" t="s">
        <v>566</v>
      </c>
      <c r="AF219">
        <v>249</v>
      </c>
      <c r="AG219" s="122">
        <v>56798</v>
      </c>
      <c r="AH219" s="122">
        <v>21933</v>
      </c>
      <c r="AI219" s="122">
        <v>2568115</v>
      </c>
      <c r="AJ219" s="122">
        <v>2334650</v>
      </c>
      <c r="AK219">
        <v>94</v>
      </c>
      <c r="AL219" s="122">
        <v>419041</v>
      </c>
      <c r="AM219" s="122">
        <v>380946</v>
      </c>
      <c r="AN219" s="122">
        <v>784505</v>
      </c>
      <c r="AO219" s="122">
        <v>290558</v>
      </c>
      <c r="AP219" s="122">
        <v>264289</v>
      </c>
      <c r="AQ219" s="122">
        <v>97885</v>
      </c>
      <c r="AR219" s="122">
        <v>1040400</v>
      </c>
      <c r="AS219" s="122">
        <v>945819</v>
      </c>
      <c r="AT219">
        <v>0</v>
      </c>
      <c r="AU219">
        <v>0</v>
      </c>
      <c r="AV219" s="122">
        <v>4049857</v>
      </c>
    </row>
    <row r="220" spans="2:48" ht="12.75" hidden="1" customHeight="1">
      <c r="B220" t="s">
        <v>364</v>
      </c>
      <c r="C220" t="s">
        <v>50</v>
      </c>
      <c r="D220" t="s">
        <v>407</v>
      </c>
      <c r="E220" t="s">
        <v>407</v>
      </c>
      <c r="F220">
        <v>5</v>
      </c>
      <c r="G220" s="122">
        <v>1125</v>
      </c>
      <c r="H220" s="122">
        <v>459</v>
      </c>
      <c r="I220" s="122">
        <v>50321</v>
      </c>
      <c r="J220" s="122">
        <v>45747</v>
      </c>
      <c r="K220">
        <v>91</v>
      </c>
      <c r="L220" s="122">
        <v>7891</v>
      </c>
      <c r="M220" s="122">
        <v>6961</v>
      </c>
      <c r="N220" s="122">
        <v>13704</v>
      </c>
      <c r="O220" s="122">
        <v>5075</v>
      </c>
      <c r="P220" s="122">
        <v>2363</v>
      </c>
      <c r="Q220" s="122">
        <v>875</v>
      </c>
      <c r="R220" s="122">
        <v>28284</v>
      </c>
      <c r="S220" s="122">
        <v>25713</v>
      </c>
      <c r="T220" s="122">
        <v>0</v>
      </c>
      <c r="U220" s="122">
        <v>0</v>
      </c>
      <c r="V220" s="122">
        <v>84371</v>
      </c>
      <c r="W220" s="122">
        <f t="shared" si="6"/>
        <v>84371</v>
      </c>
      <c r="X220" s="122">
        <f t="shared" si="7"/>
        <v>102563</v>
      </c>
      <c r="Y220" s="122"/>
      <c r="AA220" t="s">
        <v>50</v>
      </c>
      <c r="AB220" t="s">
        <v>406</v>
      </c>
      <c r="AC220" t="s">
        <v>433</v>
      </c>
      <c r="AD220" t="s">
        <v>433</v>
      </c>
      <c r="AE220" t="s">
        <v>566</v>
      </c>
      <c r="AF220">
        <v>1</v>
      </c>
      <c r="AG220">
        <v>190</v>
      </c>
      <c r="AH220">
        <v>100</v>
      </c>
      <c r="AI220" s="122">
        <v>10793</v>
      </c>
      <c r="AJ220" s="122">
        <v>9812</v>
      </c>
      <c r="AK220">
        <v>92</v>
      </c>
      <c r="AL220" s="122">
        <v>1721</v>
      </c>
      <c r="AM220" s="122">
        <v>1565</v>
      </c>
      <c r="AN220" s="122">
        <v>2309</v>
      </c>
      <c r="AO220">
        <v>855</v>
      </c>
      <c r="AP220">
        <v>621</v>
      </c>
      <c r="AQ220">
        <v>230</v>
      </c>
      <c r="AR220" s="122">
        <v>3489</v>
      </c>
      <c r="AS220" s="122">
        <v>3172</v>
      </c>
      <c r="AT220">
        <v>0</v>
      </c>
      <c r="AU220">
        <v>0</v>
      </c>
      <c r="AV220" s="122">
        <v>15633</v>
      </c>
    </row>
    <row r="221" spans="2:48" ht="12.75" hidden="1" customHeight="1">
      <c r="B221" t="s">
        <v>364</v>
      </c>
      <c r="C221" t="s">
        <v>52</v>
      </c>
      <c r="D221" t="s">
        <v>405</v>
      </c>
      <c r="E221" t="s">
        <v>425</v>
      </c>
      <c r="F221">
        <v>1</v>
      </c>
      <c r="G221" s="122">
        <v>85</v>
      </c>
      <c r="H221" s="122">
        <v>121</v>
      </c>
      <c r="I221" s="122">
        <v>9433</v>
      </c>
      <c r="J221" s="122">
        <v>8575</v>
      </c>
      <c r="K221">
        <v>91</v>
      </c>
      <c r="L221" s="122">
        <v>1517</v>
      </c>
      <c r="M221" s="122">
        <v>1379</v>
      </c>
      <c r="N221" s="122">
        <v>1990</v>
      </c>
      <c r="O221" s="122">
        <v>737</v>
      </c>
      <c r="P221" s="122">
        <v>473</v>
      </c>
      <c r="Q221" s="122">
        <v>175</v>
      </c>
      <c r="R221" s="122">
        <v>4499</v>
      </c>
      <c r="S221" s="122">
        <v>4090</v>
      </c>
      <c r="T221" s="122">
        <v>0</v>
      </c>
      <c r="U221" s="122">
        <v>0</v>
      </c>
      <c r="V221" s="122">
        <v>14957</v>
      </c>
      <c r="W221" s="122">
        <f t="shared" si="6"/>
        <v>14956</v>
      </c>
      <c r="X221" s="122">
        <f t="shared" si="7"/>
        <v>17912</v>
      </c>
      <c r="Y221" s="122"/>
      <c r="AA221" t="s">
        <v>50</v>
      </c>
      <c r="AB221" t="s">
        <v>406</v>
      </c>
      <c r="AC221" t="s">
        <v>429</v>
      </c>
      <c r="AD221" t="s">
        <v>137</v>
      </c>
      <c r="AE221" t="s">
        <v>566</v>
      </c>
      <c r="AF221">
        <v>1</v>
      </c>
      <c r="AG221" s="122">
        <v>158</v>
      </c>
      <c r="AH221">
        <v>78</v>
      </c>
      <c r="AI221" s="122">
        <v>5610</v>
      </c>
      <c r="AJ221" s="122">
        <v>5100</v>
      </c>
      <c r="AK221">
        <v>92</v>
      </c>
      <c r="AL221" s="122">
        <v>884</v>
      </c>
      <c r="AM221" s="122">
        <v>804</v>
      </c>
      <c r="AN221" s="122">
        <v>1977</v>
      </c>
      <c r="AO221" s="122">
        <v>732</v>
      </c>
      <c r="AP221" s="122">
        <v>621</v>
      </c>
      <c r="AQ221" s="122">
        <v>230</v>
      </c>
      <c r="AR221" s="122">
        <v>3115</v>
      </c>
      <c r="AS221" s="122">
        <v>1154</v>
      </c>
      <c r="AT221" s="122">
        <v>0</v>
      </c>
      <c r="AU221">
        <v>0</v>
      </c>
      <c r="AV221" s="122">
        <v>8020</v>
      </c>
    </row>
    <row r="222" spans="2:48" ht="12.75" hidden="1" customHeight="1">
      <c r="B222" t="s">
        <v>364</v>
      </c>
      <c r="C222" t="s">
        <v>52</v>
      </c>
      <c r="D222" t="s">
        <v>405</v>
      </c>
      <c r="E222" t="s">
        <v>405</v>
      </c>
      <c r="F222">
        <v>15</v>
      </c>
      <c r="G222" s="122">
        <v>3716</v>
      </c>
      <c r="H222" s="122">
        <v>1727</v>
      </c>
      <c r="I222" s="122">
        <v>245954</v>
      </c>
      <c r="J222" s="122">
        <v>223595</v>
      </c>
      <c r="K222">
        <v>91</v>
      </c>
      <c r="L222" s="122">
        <v>41492</v>
      </c>
      <c r="M222" s="122">
        <v>37465</v>
      </c>
      <c r="N222" s="122">
        <v>60149</v>
      </c>
      <c r="O222" s="122">
        <v>22277</v>
      </c>
      <c r="P222" s="122">
        <v>7263</v>
      </c>
      <c r="Q222" s="122">
        <v>2690</v>
      </c>
      <c r="R222" s="122">
        <v>85311</v>
      </c>
      <c r="S222" s="122">
        <v>77556</v>
      </c>
      <c r="T222" s="122">
        <v>0</v>
      </c>
      <c r="U222" s="122">
        <v>0</v>
      </c>
      <c r="V222" s="122">
        <v>363583</v>
      </c>
      <c r="W222" s="122">
        <f t="shared" si="6"/>
        <v>363583</v>
      </c>
      <c r="X222" s="122">
        <f t="shared" si="7"/>
        <v>440169</v>
      </c>
      <c r="Y222" s="122"/>
      <c r="AA222" t="s">
        <v>50</v>
      </c>
      <c r="AB222" t="s">
        <v>406</v>
      </c>
      <c r="AC222" t="s">
        <v>429</v>
      </c>
      <c r="AD222" t="s">
        <v>406</v>
      </c>
      <c r="AE222" t="s">
        <v>137</v>
      </c>
      <c r="AF222">
        <v>3</v>
      </c>
      <c r="AG222" s="122">
        <v>1046</v>
      </c>
      <c r="AH222" s="122">
        <v>241</v>
      </c>
      <c r="AI222" s="122">
        <v>42930</v>
      </c>
      <c r="AJ222" s="122">
        <v>39027</v>
      </c>
      <c r="AK222">
        <v>96</v>
      </c>
      <c r="AL222" s="122">
        <v>6851</v>
      </c>
      <c r="AM222" s="122">
        <v>6229</v>
      </c>
      <c r="AN222" s="122">
        <v>16393</v>
      </c>
      <c r="AO222" s="122">
        <v>6071</v>
      </c>
      <c r="AP222" s="122">
        <v>9503</v>
      </c>
      <c r="AQ222" s="122">
        <v>3520</v>
      </c>
      <c r="AR222" s="122">
        <v>8044</v>
      </c>
      <c r="AS222" s="122">
        <v>7313</v>
      </c>
      <c r="AT222" s="122">
        <v>1088</v>
      </c>
      <c r="AU222">
        <v>403</v>
      </c>
      <c r="AV222" s="122">
        <v>62563</v>
      </c>
    </row>
    <row r="223" spans="2:48" ht="12.75" hidden="1" customHeight="1">
      <c r="B223" t="s">
        <v>364</v>
      </c>
      <c r="C223" t="s">
        <v>52</v>
      </c>
      <c r="D223" t="s">
        <v>405</v>
      </c>
      <c r="E223" t="s">
        <v>137</v>
      </c>
      <c r="F223">
        <v>1</v>
      </c>
      <c r="G223">
        <v>181</v>
      </c>
      <c r="H223">
        <v>119</v>
      </c>
      <c r="I223" s="122">
        <v>10305</v>
      </c>
      <c r="J223" s="122">
        <v>9369</v>
      </c>
      <c r="K223">
        <v>93</v>
      </c>
      <c r="L223" s="122">
        <v>1769</v>
      </c>
      <c r="M223" s="122">
        <v>1608</v>
      </c>
      <c r="N223" s="122">
        <v>3396</v>
      </c>
      <c r="O223" s="122">
        <v>1258</v>
      </c>
      <c r="P223" s="122">
        <v>473</v>
      </c>
      <c r="Q223">
        <v>175</v>
      </c>
      <c r="R223" s="122">
        <v>5517</v>
      </c>
      <c r="S223" s="122">
        <v>2043</v>
      </c>
      <c r="T223" s="122">
        <v>0</v>
      </c>
      <c r="U223" s="122">
        <v>0</v>
      </c>
      <c r="V223" s="122">
        <v>14453</v>
      </c>
      <c r="W223" s="122">
        <f t="shared" si="6"/>
        <v>14453</v>
      </c>
      <c r="X223" s="122">
        <f t="shared" si="7"/>
        <v>21460</v>
      </c>
      <c r="Y223" s="122"/>
      <c r="AA223" t="s">
        <v>50</v>
      </c>
      <c r="AB223" t="s">
        <v>406</v>
      </c>
      <c r="AC223" t="s">
        <v>429</v>
      </c>
      <c r="AD223" t="s">
        <v>406</v>
      </c>
      <c r="AE223" t="s">
        <v>566</v>
      </c>
      <c r="AF223">
        <v>24</v>
      </c>
      <c r="AG223" s="122">
        <v>5262</v>
      </c>
      <c r="AH223" s="122">
        <v>2128</v>
      </c>
      <c r="AI223" s="122">
        <v>253168</v>
      </c>
      <c r="AJ223" s="122">
        <v>230153</v>
      </c>
      <c r="AK223">
        <v>94</v>
      </c>
      <c r="AL223" s="122">
        <v>38631</v>
      </c>
      <c r="AM223" s="122">
        <v>35119</v>
      </c>
      <c r="AN223" s="122">
        <v>70518</v>
      </c>
      <c r="AO223" s="122">
        <v>26118</v>
      </c>
      <c r="AP223" s="122">
        <v>21168</v>
      </c>
      <c r="AQ223" s="122">
        <v>7840</v>
      </c>
      <c r="AR223" s="122">
        <v>94123</v>
      </c>
      <c r="AS223" s="122">
        <v>85566</v>
      </c>
      <c r="AT223" s="122">
        <v>0</v>
      </c>
      <c r="AU223">
        <v>0</v>
      </c>
      <c r="AV223" s="122">
        <v>384797</v>
      </c>
    </row>
    <row r="224" spans="2:48" ht="12.75" hidden="1" customHeight="1">
      <c r="B224" t="s">
        <v>364</v>
      </c>
      <c r="C224" t="s">
        <v>52</v>
      </c>
      <c r="D224" t="s">
        <v>137</v>
      </c>
      <c r="E224" t="s">
        <v>405</v>
      </c>
      <c r="F224">
        <v>1</v>
      </c>
      <c r="G224" s="122">
        <v>379</v>
      </c>
      <c r="H224" s="122">
        <v>105</v>
      </c>
      <c r="I224" s="122">
        <v>16789</v>
      </c>
      <c r="J224" s="122">
        <v>6218</v>
      </c>
      <c r="K224">
        <v>385</v>
      </c>
      <c r="L224" s="122">
        <v>9753</v>
      </c>
      <c r="M224" s="122">
        <v>8867</v>
      </c>
      <c r="N224" s="122">
        <v>4614</v>
      </c>
      <c r="O224" s="122">
        <v>1709</v>
      </c>
      <c r="P224" s="122">
        <v>351</v>
      </c>
      <c r="Q224" s="122">
        <v>130</v>
      </c>
      <c r="R224" s="122">
        <v>8386</v>
      </c>
      <c r="S224" s="122">
        <v>7624</v>
      </c>
      <c r="T224" s="122">
        <v>0</v>
      </c>
      <c r="U224" s="122">
        <v>0</v>
      </c>
      <c r="V224" s="122">
        <v>24548</v>
      </c>
      <c r="W224" s="122">
        <f t="shared" si="6"/>
        <v>24548</v>
      </c>
      <c r="X224" s="122">
        <f t="shared" si="7"/>
        <v>39893</v>
      </c>
      <c r="Y224" s="122"/>
      <c r="AA224" t="s">
        <v>50</v>
      </c>
      <c r="AB224" t="s">
        <v>407</v>
      </c>
      <c r="AC224" t="s">
        <v>137</v>
      </c>
      <c r="AD224" t="s">
        <v>407</v>
      </c>
      <c r="AE224" t="s">
        <v>137</v>
      </c>
      <c r="AF224">
        <v>4</v>
      </c>
      <c r="AG224" s="122">
        <v>650</v>
      </c>
      <c r="AH224" s="122">
        <v>354</v>
      </c>
      <c r="AI224" s="122">
        <v>23662</v>
      </c>
      <c r="AJ224" s="122">
        <v>21511</v>
      </c>
      <c r="AK224">
        <v>91</v>
      </c>
      <c r="AL224" s="122">
        <v>5806</v>
      </c>
      <c r="AM224" s="122">
        <v>2150</v>
      </c>
      <c r="AN224" s="122">
        <v>8602</v>
      </c>
      <c r="AO224" s="122">
        <v>3186</v>
      </c>
      <c r="AP224" s="122">
        <v>1890</v>
      </c>
      <c r="AQ224" s="122">
        <v>700</v>
      </c>
      <c r="AR224" s="122">
        <v>16960</v>
      </c>
      <c r="AS224" s="122">
        <v>15418</v>
      </c>
      <c r="AT224" s="122">
        <v>1292</v>
      </c>
      <c r="AU224">
        <v>478</v>
      </c>
      <c r="AV224" s="122">
        <v>43444</v>
      </c>
    </row>
    <row r="225" spans="2:48" ht="12.75" hidden="1" customHeight="1">
      <c r="B225" t="s">
        <v>364</v>
      </c>
      <c r="C225" t="s">
        <v>52</v>
      </c>
      <c r="D225" t="s">
        <v>137</v>
      </c>
      <c r="E225" t="s">
        <v>137</v>
      </c>
      <c r="F225">
        <v>25</v>
      </c>
      <c r="G225" s="122">
        <v>6239</v>
      </c>
      <c r="H225" s="122">
        <v>2855</v>
      </c>
      <c r="I225" s="122">
        <v>337769</v>
      </c>
      <c r="J225" s="122">
        <v>125099</v>
      </c>
      <c r="K225">
        <v>320</v>
      </c>
      <c r="L225" s="122">
        <v>73070</v>
      </c>
      <c r="M225" s="122">
        <v>76310</v>
      </c>
      <c r="N225" s="122">
        <v>111108</v>
      </c>
      <c r="O225" s="122">
        <v>41151</v>
      </c>
      <c r="P225" s="122">
        <v>23024</v>
      </c>
      <c r="Q225" s="122">
        <v>8527</v>
      </c>
      <c r="R225" s="122">
        <v>180887</v>
      </c>
      <c r="S225" s="122">
        <v>66995</v>
      </c>
      <c r="T225" s="122">
        <v>0</v>
      </c>
      <c r="U225">
        <v>0</v>
      </c>
      <c r="V225" s="122">
        <v>318083</v>
      </c>
      <c r="W225" s="122">
        <f t="shared" si="6"/>
        <v>318082</v>
      </c>
      <c r="X225" s="122">
        <f t="shared" si="7"/>
        <v>725858</v>
      </c>
      <c r="Y225" s="122"/>
      <c r="AA225" t="s">
        <v>50</v>
      </c>
      <c r="AB225" t="s">
        <v>407</v>
      </c>
      <c r="AC225" t="s">
        <v>137</v>
      </c>
      <c r="AD225" t="s">
        <v>407</v>
      </c>
      <c r="AE225" t="s">
        <v>566</v>
      </c>
      <c r="AF225">
        <v>16</v>
      </c>
      <c r="AG225" s="122">
        <v>2482</v>
      </c>
      <c r="AH225" s="122">
        <v>1433</v>
      </c>
      <c r="AI225" s="122">
        <v>91234</v>
      </c>
      <c r="AJ225" s="122">
        <v>82940</v>
      </c>
      <c r="AK225">
        <v>91</v>
      </c>
      <c r="AL225" s="122">
        <v>22553</v>
      </c>
      <c r="AM225" s="122">
        <v>8353</v>
      </c>
      <c r="AN225" s="122">
        <v>32429</v>
      </c>
      <c r="AO225" s="122">
        <v>12011</v>
      </c>
      <c r="AP225" s="122">
        <v>12821</v>
      </c>
      <c r="AQ225" s="122">
        <v>4748</v>
      </c>
      <c r="AR225" s="122">
        <v>61473</v>
      </c>
      <c r="AS225" s="122">
        <v>55885</v>
      </c>
      <c r="AT225">
        <v>0</v>
      </c>
      <c r="AU225">
        <v>0</v>
      </c>
      <c r="AV225" s="122">
        <v>163937</v>
      </c>
    </row>
    <row r="226" spans="2:48" ht="12.75" hidden="1" customHeight="1">
      <c r="B226" t="s">
        <v>364</v>
      </c>
      <c r="C226" t="s">
        <v>52</v>
      </c>
      <c r="D226" t="s">
        <v>406</v>
      </c>
      <c r="E226" t="s">
        <v>406</v>
      </c>
      <c r="F226" s="122">
        <v>163</v>
      </c>
      <c r="G226" s="122">
        <v>37669</v>
      </c>
      <c r="H226" s="122">
        <v>19011</v>
      </c>
      <c r="I226" s="122">
        <v>2579222</v>
      </c>
      <c r="J226" s="122">
        <v>2344748</v>
      </c>
      <c r="K226">
        <v>92</v>
      </c>
      <c r="L226" s="122">
        <v>474344</v>
      </c>
      <c r="M226" s="122">
        <v>426629</v>
      </c>
      <c r="N226" s="122">
        <v>640339</v>
      </c>
      <c r="O226" s="122">
        <v>237162</v>
      </c>
      <c r="P226" s="122">
        <v>124285</v>
      </c>
      <c r="Q226" s="122">
        <v>46032</v>
      </c>
      <c r="R226" s="122">
        <v>782885</v>
      </c>
      <c r="S226" s="122">
        <v>711714</v>
      </c>
      <c r="T226" s="122">
        <v>32134</v>
      </c>
      <c r="U226" s="122">
        <v>11901</v>
      </c>
      <c r="V226" s="122">
        <v>3778186</v>
      </c>
      <c r="W226" s="122">
        <f t="shared" si="6"/>
        <v>3778186</v>
      </c>
      <c r="X226" s="122">
        <f t="shared" si="7"/>
        <v>4633209</v>
      </c>
      <c r="Y226" s="122"/>
      <c r="AA226" t="s">
        <v>50</v>
      </c>
      <c r="AB226" t="s">
        <v>407</v>
      </c>
      <c r="AC226" t="s">
        <v>427</v>
      </c>
      <c r="AD226" t="s">
        <v>407</v>
      </c>
      <c r="AE226" t="s">
        <v>137</v>
      </c>
      <c r="AF226">
        <v>2</v>
      </c>
      <c r="AG226" s="122">
        <v>330</v>
      </c>
      <c r="AH226">
        <v>193</v>
      </c>
      <c r="AI226" s="122">
        <v>13548</v>
      </c>
      <c r="AJ226" s="122">
        <v>12316</v>
      </c>
      <c r="AK226">
        <v>90</v>
      </c>
      <c r="AL226" s="122">
        <v>4526</v>
      </c>
      <c r="AM226" s="122">
        <v>4115</v>
      </c>
      <c r="AN226" s="122">
        <v>4026</v>
      </c>
      <c r="AO226" s="122">
        <v>1491</v>
      </c>
      <c r="AP226" s="122">
        <v>945</v>
      </c>
      <c r="AQ226" s="122">
        <v>350</v>
      </c>
      <c r="AR226" s="122">
        <v>8872</v>
      </c>
      <c r="AS226" s="122">
        <v>8066</v>
      </c>
      <c r="AT226">
        <v>0</v>
      </c>
      <c r="AU226">
        <v>0</v>
      </c>
      <c r="AV226" s="122">
        <v>26338</v>
      </c>
    </row>
    <row r="227" spans="2:48" ht="12.75" hidden="1" customHeight="1">
      <c r="B227" t="s">
        <v>364</v>
      </c>
      <c r="C227" t="s">
        <v>52</v>
      </c>
      <c r="D227" t="s">
        <v>407</v>
      </c>
      <c r="E227" t="s">
        <v>137</v>
      </c>
      <c r="F227" s="122">
        <v>1</v>
      </c>
      <c r="G227" s="122">
        <v>210</v>
      </c>
      <c r="H227" s="122">
        <v>123</v>
      </c>
      <c r="I227" s="122">
        <v>14259</v>
      </c>
      <c r="J227" s="122">
        <v>12963</v>
      </c>
      <c r="K227">
        <v>91</v>
      </c>
      <c r="L227" s="122">
        <v>2403</v>
      </c>
      <c r="M227" s="122">
        <v>2184</v>
      </c>
      <c r="N227" s="122">
        <v>3359</v>
      </c>
      <c r="O227" s="122">
        <v>1244</v>
      </c>
      <c r="P227" s="122">
        <v>473</v>
      </c>
      <c r="Q227" s="122">
        <v>175</v>
      </c>
      <c r="R227" s="122">
        <v>5489</v>
      </c>
      <c r="S227" s="122">
        <v>2033</v>
      </c>
      <c r="T227" s="122">
        <v>0</v>
      </c>
      <c r="U227" s="122">
        <v>0</v>
      </c>
      <c r="V227" s="122">
        <v>18599</v>
      </c>
      <c r="W227" s="122">
        <f t="shared" si="6"/>
        <v>18599</v>
      </c>
      <c r="X227" s="122">
        <f t="shared" si="7"/>
        <v>25983</v>
      </c>
      <c r="Y227" s="122"/>
      <c r="AA227" t="s">
        <v>50</v>
      </c>
      <c r="AB227" t="s">
        <v>407</v>
      </c>
      <c r="AC227" t="s">
        <v>427</v>
      </c>
      <c r="AD227" t="s">
        <v>407</v>
      </c>
      <c r="AE227" t="s">
        <v>566</v>
      </c>
      <c r="AF227">
        <v>10</v>
      </c>
      <c r="AG227" s="122">
        <v>1980</v>
      </c>
      <c r="AH227">
        <v>929</v>
      </c>
      <c r="AI227" s="122">
        <v>87850</v>
      </c>
      <c r="AJ227" s="122">
        <v>79864</v>
      </c>
      <c r="AK227">
        <v>91</v>
      </c>
      <c r="AL227" s="122">
        <v>27613</v>
      </c>
      <c r="AM227" s="122">
        <v>25103</v>
      </c>
      <c r="AN227" s="122">
        <v>31278</v>
      </c>
      <c r="AO227" s="122">
        <v>11585</v>
      </c>
      <c r="AP227" s="122">
        <v>8965</v>
      </c>
      <c r="AQ227" s="122">
        <v>3320</v>
      </c>
      <c r="AR227" s="122">
        <v>37388</v>
      </c>
      <c r="AS227" s="122">
        <v>33989</v>
      </c>
      <c r="AT227">
        <v>0</v>
      </c>
      <c r="AU227">
        <v>0</v>
      </c>
      <c r="AV227" s="122">
        <v>153861</v>
      </c>
    </row>
    <row r="228" spans="2:48" ht="12.75" hidden="1" customHeight="1">
      <c r="B228" t="s">
        <v>364</v>
      </c>
      <c r="C228" t="s">
        <v>52</v>
      </c>
      <c r="D228" t="s">
        <v>407</v>
      </c>
      <c r="E228" t="s">
        <v>407</v>
      </c>
      <c r="F228">
        <v>28</v>
      </c>
      <c r="G228" s="122">
        <v>5251</v>
      </c>
      <c r="H228" s="122">
        <v>3211</v>
      </c>
      <c r="I228" s="122">
        <v>321420</v>
      </c>
      <c r="J228" s="122">
        <v>292200</v>
      </c>
      <c r="K228">
        <v>90</v>
      </c>
      <c r="L228" s="122">
        <v>65171</v>
      </c>
      <c r="M228" s="122">
        <v>60288</v>
      </c>
      <c r="N228" s="122">
        <v>92735</v>
      </c>
      <c r="O228" s="122">
        <v>34346</v>
      </c>
      <c r="P228" s="122">
        <v>18068</v>
      </c>
      <c r="Q228" s="122">
        <v>6692</v>
      </c>
      <c r="R228" s="122">
        <v>124460</v>
      </c>
      <c r="S228" s="122">
        <v>113146</v>
      </c>
      <c r="T228" s="122">
        <v>0</v>
      </c>
      <c r="U228" s="122">
        <v>0</v>
      </c>
      <c r="V228" s="122">
        <v>506671</v>
      </c>
      <c r="W228" s="122">
        <f t="shared" si="6"/>
        <v>506672</v>
      </c>
      <c r="X228" s="122">
        <f t="shared" si="7"/>
        <v>621854</v>
      </c>
      <c r="Y228" s="122"/>
      <c r="AA228" t="s">
        <v>50</v>
      </c>
      <c r="AB228" t="s">
        <v>407</v>
      </c>
      <c r="AC228" t="s">
        <v>407</v>
      </c>
      <c r="AD228" t="s">
        <v>137</v>
      </c>
      <c r="AE228" t="s">
        <v>566</v>
      </c>
      <c r="AF228">
        <v>1</v>
      </c>
      <c r="AG228" s="122">
        <v>117</v>
      </c>
      <c r="AH228" s="122">
        <v>96</v>
      </c>
      <c r="AI228" s="122">
        <v>3104</v>
      </c>
      <c r="AJ228" s="122">
        <v>2822</v>
      </c>
      <c r="AK228">
        <v>90</v>
      </c>
      <c r="AL228" s="122">
        <v>446</v>
      </c>
      <c r="AM228" s="122">
        <v>405</v>
      </c>
      <c r="AN228" s="122">
        <v>1425</v>
      </c>
      <c r="AO228" s="122">
        <v>528</v>
      </c>
      <c r="AP228" s="122">
        <v>1604</v>
      </c>
      <c r="AQ228" s="122">
        <v>594</v>
      </c>
      <c r="AR228" s="122">
        <v>4686</v>
      </c>
      <c r="AS228" s="122">
        <v>1735</v>
      </c>
      <c r="AT228" s="122">
        <v>0</v>
      </c>
      <c r="AU228" s="122">
        <v>0</v>
      </c>
      <c r="AV228" s="122">
        <v>6085</v>
      </c>
    </row>
    <row r="229" spans="2:48" ht="12.75" hidden="1" customHeight="1">
      <c r="B229" t="s">
        <v>364</v>
      </c>
      <c r="C229" t="s">
        <v>52</v>
      </c>
      <c r="D229" t="s">
        <v>426</v>
      </c>
      <c r="E229" t="s">
        <v>426</v>
      </c>
      <c r="F229">
        <v>2</v>
      </c>
      <c r="G229" s="122">
        <v>507</v>
      </c>
      <c r="H229" s="122">
        <v>243</v>
      </c>
      <c r="I229" s="122">
        <v>39785</v>
      </c>
      <c r="J229" s="122">
        <v>36168</v>
      </c>
      <c r="K229">
        <v>60</v>
      </c>
      <c r="L229" s="122">
        <v>1929</v>
      </c>
      <c r="M229" s="122">
        <v>1753</v>
      </c>
      <c r="N229" s="122">
        <v>7846</v>
      </c>
      <c r="O229" s="122">
        <v>2906</v>
      </c>
      <c r="P229" s="122">
        <v>2927</v>
      </c>
      <c r="Q229" s="122">
        <v>1084</v>
      </c>
      <c r="R229" s="122">
        <v>9198</v>
      </c>
      <c r="S229" s="122">
        <v>8362</v>
      </c>
      <c r="T229">
        <v>0</v>
      </c>
      <c r="U229">
        <v>0</v>
      </c>
      <c r="V229" s="122">
        <v>50274</v>
      </c>
      <c r="W229" s="122">
        <f t="shared" si="6"/>
        <v>50273</v>
      </c>
      <c r="X229" s="122">
        <f t="shared" si="7"/>
        <v>61685</v>
      </c>
      <c r="Y229" s="122"/>
      <c r="AA229" t="s">
        <v>50</v>
      </c>
      <c r="AB229" t="s">
        <v>407</v>
      </c>
      <c r="AC229" t="s">
        <v>407</v>
      </c>
      <c r="AD229" t="s">
        <v>407</v>
      </c>
      <c r="AE229" t="s">
        <v>137</v>
      </c>
      <c r="AF229">
        <v>18</v>
      </c>
      <c r="AG229" s="122">
        <v>3514</v>
      </c>
      <c r="AH229" s="122">
        <v>1660</v>
      </c>
      <c r="AI229" s="122">
        <v>173240</v>
      </c>
      <c r="AJ229" s="122">
        <v>157491</v>
      </c>
      <c r="AK229">
        <v>91</v>
      </c>
      <c r="AL229" s="122">
        <v>27801</v>
      </c>
      <c r="AM229" s="122">
        <v>25274</v>
      </c>
      <c r="AN229" s="122">
        <v>49001</v>
      </c>
      <c r="AO229" s="122">
        <v>18148</v>
      </c>
      <c r="AP229" s="122">
        <v>15736</v>
      </c>
      <c r="AQ229" s="122">
        <v>5828</v>
      </c>
      <c r="AR229" s="122">
        <v>55310</v>
      </c>
      <c r="AS229" s="122">
        <v>50281</v>
      </c>
      <c r="AT229" s="122">
        <v>3809</v>
      </c>
      <c r="AU229" s="122">
        <v>1411</v>
      </c>
      <c r="AV229" s="122">
        <v>258433</v>
      </c>
    </row>
    <row r="230" spans="2:48" ht="12.75" hidden="1" customHeight="1">
      <c r="B230" t="s">
        <v>364</v>
      </c>
      <c r="C230" t="s">
        <v>52</v>
      </c>
      <c r="D230" t="s">
        <v>433</v>
      </c>
      <c r="E230" t="s">
        <v>433</v>
      </c>
      <c r="F230">
        <v>2</v>
      </c>
      <c r="G230" s="122">
        <v>472</v>
      </c>
      <c r="H230" s="122">
        <v>214</v>
      </c>
      <c r="I230" s="122">
        <v>29662</v>
      </c>
      <c r="J230" s="122">
        <v>26965</v>
      </c>
      <c r="K230">
        <v>75</v>
      </c>
      <c r="L230" s="122">
        <v>2442</v>
      </c>
      <c r="M230" s="122">
        <v>2220</v>
      </c>
      <c r="N230" s="122">
        <v>5756</v>
      </c>
      <c r="O230" s="122">
        <v>2132</v>
      </c>
      <c r="P230" s="122">
        <v>2132</v>
      </c>
      <c r="Q230" s="122">
        <v>789</v>
      </c>
      <c r="R230" s="122">
        <v>10347</v>
      </c>
      <c r="S230" s="122">
        <v>9407</v>
      </c>
      <c r="T230" s="122">
        <v>0</v>
      </c>
      <c r="U230">
        <v>0</v>
      </c>
      <c r="V230" s="122">
        <v>41513</v>
      </c>
      <c r="W230" s="122">
        <f t="shared" si="6"/>
        <v>41513</v>
      </c>
      <c r="X230" s="122">
        <f t="shared" si="7"/>
        <v>50339</v>
      </c>
      <c r="Y230" s="122"/>
      <c r="AA230" t="s">
        <v>50</v>
      </c>
      <c r="AB230" t="s">
        <v>407</v>
      </c>
      <c r="AC230" t="s">
        <v>407</v>
      </c>
      <c r="AD230" t="s">
        <v>407</v>
      </c>
      <c r="AE230" t="s">
        <v>566</v>
      </c>
      <c r="AF230">
        <v>176</v>
      </c>
      <c r="AG230" s="122">
        <v>34657</v>
      </c>
      <c r="AH230" s="122">
        <v>16292</v>
      </c>
      <c r="AI230" s="122">
        <v>1669944</v>
      </c>
      <c r="AJ230" s="122">
        <v>1518131</v>
      </c>
      <c r="AK230">
        <v>92</v>
      </c>
      <c r="AL230" s="122">
        <v>248306</v>
      </c>
      <c r="AM230" s="122">
        <v>225733</v>
      </c>
      <c r="AN230" s="122">
        <v>518626</v>
      </c>
      <c r="AO230" s="122">
        <v>192084</v>
      </c>
      <c r="AP230" s="122">
        <v>145643</v>
      </c>
      <c r="AQ230" s="122">
        <v>53942</v>
      </c>
      <c r="AR230" s="122">
        <v>693142</v>
      </c>
      <c r="AS230" s="122">
        <v>630129</v>
      </c>
      <c r="AT230">
        <v>-249</v>
      </c>
      <c r="AU230">
        <v>-92</v>
      </c>
      <c r="AV230" s="122">
        <v>2619926</v>
      </c>
    </row>
    <row r="231" spans="2:48" ht="12.75" hidden="1" customHeight="1">
      <c r="B231" t="s">
        <v>364</v>
      </c>
      <c r="C231" t="s">
        <v>52</v>
      </c>
      <c r="D231" t="s">
        <v>408</v>
      </c>
      <c r="E231" t="s">
        <v>408</v>
      </c>
      <c r="F231" s="122">
        <v>2</v>
      </c>
      <c r="G231" s="122">
        <v>421</v>
      </c>
      <c r="H231" s="122">
        <v>247</v>
      </c>
      <c r="I231" s="122">
        <v>32297</v>
      </c>
      <c r="J231" s="122">
        <v>29361</v>
      </c>
      <c r="K231">
        <v>90</v>
      </c>
      <c r="L231" s="122">
        <v>2995</v>
      </c>
      <c r="M231" s="122">
        <v>2723</v>
      </c>
      <c r="N231" s="122">
        <v>5838</v>
      </c>
      <c r="O231" s="122">
        <v>2162</v>
      </c>
      <c r="P231" s="122">
        <v>2035</v>
      </c>
      <c r="Q231" s="122">
        <v>754</v>
      </c>
      <c r="R231" s="122">
        <v>8909</v>
      </c>
      <c r="S231" s="122">
        <v>8099</v>
      </c>
      <c r="T231" s="122">
        <v>0</v>
      </c>
      <c r="U231" s="122">
        <v>0</v>
      </c>
      <c r="V231" s="122">
        <v>43099</v>
      </c>
      <c r="W231" s="122">
        <f t="shared" si="6"/>
        <v>43099</v>
      </c>
      <c r="X231" s="122">
        <f t="shared" si="7"/>
        <v>52074</v>
      </c>
      <c r="Y231" s="122"/>
      <c r="AA231" t="s">
        <v>50</v>
      </c>
      <c r="AB231" t="s">
        <v>407</v>
      </c>
      <c r="AC231" t="s">
        <v>579</v>
      </c>
      <c r="AD231" t="s">
        <v>137</v>
      </c>
      <c r="AE231" t="s">
        <v>566</v>
      </c>
      <c r="AF231">
        <v>2</v>
      </c>
      <c r="AG231">
        <v>274</v>
      </c>
      <c r="AH231">
        <v>192</v>
      </c>
      <c r="AI231" s="122">
        <v>12994</v>
      </c>
      <c r="AJ231" s="122">
        <v>11813</v>
      </c>
      <c r="AK231">
        <v>91</v>
      </c>
      <c r="AL231" s="122">
        <v>2154</v>
      </c>
      <c r="AM231" s="122">
        <v>1795</v>
      </c>
      <c r="AN231" s="122">
        <v>3885</v>
      </c>
      <c r="AO231" s="122">
        <v>1439</v>
      </c>
      <c r="AP231" s="122">
        <v>945</v>
      </c>
      <c r="AQ231">
        <v>350</v>
      </c>
      <c r="AR231" s="122">
        <v>6464</v>
      </c>
      <c r="AS231" s="122">
        <v>2394</v>
      </c>
      <c r="AT231">
        <v>0</v>
      </c>
      <c r="AU231">
        <v>0</v>
      </c>
      <c r="AV231" s="122">
        <v>17791</v>
      </c>
    </row>
    <row r="232" spans="2:48" ht="12.75" hidden="1" customHeight="1">
      <c r="B232" t="s">
        <v>364</v>
      </c>
      <c r="C232" t="s">
        <v>54</v>
      </c>
      <c r="D232" t="s">
        <v>425</v>
      </c>
      <c r="E232" t="s">
        <v>425</v>
      </c>
      <c r="F232">
        <v>3</v>
      </c>
      <c r="G232" s="122">
        <v>536</v>
      </c>
      <c r="H232" s="122">
        <v>416</v>
      </c>
      <c r="I232" s="122">
        <v>36008</v>
      </c>
      <c r="J232" s="122">
        <v>32735</v>
      </c>
      <c r="K232">
        <v>92</v>
      </c>
      <c r="L232" s="122">
        <v>11614</v>
      </c>
      <c r="M232" s="122">
        <v>10558</v>
      </c>
      <c r="N232" s="122">
        <v>9551</v>
      </c>
      <c r="O232" s="122">
        <v>3537</v>
      </c>
      <c r="P232" s="122">
        <v>1418</v>
      </c>
      <c r="Q232" s="122">
        <v>525</v>
      </c>
      <c r="R232" s="122">
        <v>15460</v>
      </c>
      <c r="S232" s="122">
        <v>14055</v>
      </c>
      <c r="T232" s="122">
        <v>0</v>
      </c>
      <c r="U232" s="122">
        <v>0</v>
      </c>
      <c r="V232" s="122">
        <v>61410</v>
      </c>
      <c r="W232" s="122">
        <f t="shared" si="6"/>
        <v>61410</v>
      </c>
      <c r="X232" s="122">
        <f t="shared" si="7"/>
        <v>74051</v>
      </c>
      <c r="Y232" s="122"/>
      <c r="AA232" t="s">
        <v>50</v>
      </c>
      <c r="AB232" t="s">
        <v>407</v>
      </c>
      <c r="AC232" t="s">
        <v>579</v>
      </c>
      <c r="AD232" t="s">
        <v>407</v>
      </c>
      <c r="AE232" t="s">
        <v>137</v>
      </c>
      <c r="AF232">
        <v>3</v>
      </c>
      <c r="AG232" s="122">
        <v>656</v>
      </c>
      <c r="AH232" s="122">
        <v>264</v>
      </c>
      <c r="AI232" s="122">
        <v>32521</v>
      </c>
      <c r="AJ232" s="122">
        <v>29564</v>
      </c>
      <c r="AK232">
        <v>91</v>
      </c>
      <c r="AL232" s="122">
        <v>5467</v>
      </c>
      <c r="AM232" s="122">
        <v>4555</v>
      </c>
      <c r="AN232" s="122">
        <v>12761</v>
      </c>
      <c r="AO232" s="122">
        <v>4726</v>
      </c>
      <c r="AP232" s="122">
        <v>1418</v>
      </c>
      <c r="AQ232" s="122">
        <v>525</v>
      </c>
      <c r="AR232" s="122">
        <v>8914</v>
      </c>
      <c r="AS232" s="122">
        <v>8104</v>
      </c>
      <c r="AT232">
        <v>0</v>
      </c>
      <c r="AU232">
        <v>0</v>
      </c>
      <c r="AV232" s="122">
        <v>47475</v>
      </c>
    </row>
    <row r="233" spans="2:48" ht="12.75" hidden="1" customHeight="1">
      <c r="B233" t="s">
        <v>364</v>
      </c>
      <c r="C233" t="s">
        <v>54</v>
      </c>
      <c r="D233" t="s">
        <v>405</v>
      </c>
      <c r="E233" t="s">
        <v>425</v>
      </c>
      <c r="F233">
        <v>1</v>
      </c>
      <c r="G233" s="122">
        <v>108</v>
      </c>
      <c r="H233" s="122">
        <v>134</v>
      </c>
      <c r="I233" s="122">
        <v>13697</v>
      </c>
      <c r="J233" s="122">
        <v>12452</v>
      </c>
      <c r="K233">
        <v>95</v>
      </c>
      <c r="L233" s="122">
        <v>2295</v>
      </c>
      <c r="M233" s="122">
        <v>2086</v>
      </c>
      <c r="N233" s="122">
        <v>3960</v>
      </c>
      <c r="O233" s="122">
        <v>1467</v>
      </c>
      <c r="P233" s="122">
        <v>621</v>
      </c>
      <c r="Q233" s="122">
        <v>230</v>
      </c>
      <c r="R233" s="122">
        <v>5120</v>
      </c>
      <c r="S233" s="122">
        <v>4655</v>
      </c>
      <c r="T233" s="122">
        <v>0</v>
      </c>
      <c r="U233" s="122">
        <v>0</v>
      </c>
      <c r="V233" s="122">
        <v>20890</v>
      </c>
      <c r="W233" s="122">
        <f t="shared" si="6"/>
        <v>20890</v>
      </c>
      <c r="X233" s="122">
        <f t="shared" si="7"/>
        <v>25693</v>
      </c>
      <c r="Y233" s="122"/>
      <c r="AA233" t="s">
        <v>50</v>
      </c>
      <c r="AB233" t="s">
        <v>407</v>
      </c>
      <c r="AC233" t="s">
        <v>579</v>
      </c>
      <c r="AD233" t="s">
        <v>407</v>
      </c>
      <c r="AE233" t="s">
        <v>566</v>
      </c>
      <c r="AF233">
        <v>64</v>
      </c>
      <c r="AG233" s="122">
        <v>13472</v>
      </c>
      <c r="AH233" s="122">
        <v>5838</v>
      </c>
      <c r="AI233" s="122">
        <v>612977</v>
      </c>
      <c r="AJ233" s="122">
        <v>557252</v>
      </c>
      <c r="AK233">
        <v>90</v>
      </c>
      <c r="AL233" s="122">
        <v>141302</v>
      </c>
      <c r="AM233" s="122">
        <v>117751</v>
      </c>
      <c r="AN233" s="122">
        <v>197538</v>
      </c>
      <c r="AO233" s="122">
        <v>73162</v>
      </c>
      <c r="AP233" s="122">
        <v>36357</v>
      </c>
      <c r="AQ233" s="122">
        <v>13465</v>
      </c>
      <c r="AR233" s="122">
        <v>265389</v>
      </c>
      <c r="AS233" s="122">
        <v>241263</v>
      </c>
      <c r="AT233">
        <v>0</v>
      </c>
      <c r="AU233">
        <v>0</v>
      </c>
      <c r="AV233" s="122">
        <v>1002893</v>
      </c>
    </row>
    <row r="234" spans="2:48" ht="12.75" hidden="1" customHeight="1">
      <c r="B234" t="s">
        <v>364</v>
      </c>
      <c r="C234" t="s">
        <v>54</v>
      </c>
      <c r="D234" t="s">
        <v>405</v>
      </c>
      <c r="E234" t="s">
        <v>405</v>
      </c>
      <c r="F234" s="122">
        <v>53</v>
      </c>
      <c r="G234" s="122">
        <v>11744</v>
      </c>
      <c r="H234" s="122">
        <v>7458</v>
      </c>
      <c r="I234" s="122">
        <v>1015154</v>
      </c>
      <c r="J234" s="122">
        <v>922867</v>
      </c>
      <c r="K234">
        <v>89</v>
      </c>
      <c r="L234" s="122">
        <v>189083</v>
      </c>
      <c r="M234" s="122">
        <v>170409</v>
      </c>
      <c r="N234" s="122">
        <v>211597</v>
      </c>
      <c r="O234" s="122">
        <v>78369</v>
      </c>
      <c r="P234" s="122">
        <v>30390</v>
      </c>
      <c r="Q234" s="122">
        <v>11255</v>
      </c>
      <c r="R234" s="122">
        <v>273485</v>
      </c>
      <c r="S234" s="122">
        <v>248623</v>
      </c>
      <c r="T234" s="122">
        <v>16535</v>
      </c>
      <c r="U234" s="122">
        <v>6124</v>
      </c>
      <c r="V234" s="122">
        <v>1437648</v>
      </c>
      <c r="W234" s="122">
        <f t="shared" si="6"/>
        <v>1437647</v>
      </c>
      <c r="X234" s="122">
        <f t="shared" si="7"/>
        <v>1736244</v>
      </c>
      <c r="Y234" s="122"/>
      <c r="AA234" t="s">
        <v>50</v>
      </c>
      <c r="AB234" t="s">
        <v>407</v>
      </c>
      <c r="AC234" t="s">
        <v>428</v>
      </c>
      <c r="AD234" t="s">
        <v>137</v>
      </c>
      <c r="AE234" t="s">
        <v>566</v>
      </c>
      <c r="AF234">
        <v>1</v>
      </c>
      <c r="AG234">
        <v>341</v>
      </c>
      <c r="AH234">
        <v>92</v>
      </c>
      <c r="AI234" s="122">
        <v>19562</v>
      </c>
      <c r="AJ234" s="122">
        <v>17784</v>
      </c>
      <c r="AK234">
        <v>90</v>
      </c>
      <c r="AL234" s="122">
        <v>2858</v>
      </c>
      <c r="AM234" s="122">
        <v>2598</v>
      </c>
      <c r="AN234" s="122">
        <v>4149</v>
      </c>
      <c r="AO234" s="122">
        <v>1537</v>
      </c>
      <c r="AP234">
        <v>473</v>
      </c>
      <c r="AQ234">
        <v>175</v>
      </c>
      <c r="AR234" s="122">
        <v>4127</v>
      </c>
      <c r="AS234" s="122">
        <v>1529</v>
      </c>
      <c r="AT234">
        <v>0</v>
      </c>
      <c r="AU234">
        <v>0</v>
      </c>
      <c r="AV234" s="122">
        <v>23622</v>
      </c>
    </row>
    <row r="235" spans="2:48" ht="12.75" hidden="1" customHeight="1">
      <c r="B235" t="s">
        <v>364</v>
      </c>
      <c r="C235" t="s">
        <v>54</v>
      </c>
      <c r="D235" t="s">
        <v>405</v>
      </c>
      <c r="E235" t="s">
        <v>407</v>
      </c>
      <c r="F235">
        <v>1</v>
      </c>
      <c r="G235">
        <v>95</v>
      </c>
      <c r="H235" s="122">
        <v>144</v>
      </c>
      <c r="I235" s="122">
        <v>12047</v>
      </c>
      <c r="J235" s="122">
        <v>10952</v>
      </c>
      <c r="K235">
        <v>80</v>
      </c>
      <c r="L235" s="122">
        <v>1652</v>
      </c>
      <c r="M235" s="122">
        <v>1501</v>
      </c>
      <c r="N235" s="122">
        <v>2945</v>
      </c>
      <c r="O235" s="122">
        <v>1091</v>
      </c>
      <c r="P235">
        <v>824</v>
      </c>
      <c r="Q235">
        <v>305</v>
      </c>
      <c r="R235" s="122">
        <v>6514</v>
      </c>
      <c r="S235" s="122">
        <v>5922</v>
      </c>
      <c r="T235">
        <v>0</v>
      </c>
      <c r="U235">
        <v>0</v>
      </c>
      <c r="V235" s="122">
        <v>19771</v>
      </c>
      <c r="W235" s="122">
        <f t="shared" si="6"/>
        <v>19771</v>
      </c>
      <c r="X235" s="122">
        <f t="shared" si="7"/>
        <v>23982</v>
      </c>
      <c r="Y235" s="122"/>
      <c r="AA235" t="s">
        <v>50</v>
      </c>
      <c r="AB235" t="s">
        <v>407</v>
      </c>
      <c r="AC235" t="s">
        <v>428</v>
      </c>
      <c r="AD235" t="s">
        <v>407</v>
      </c>
      <c r="AE235" t="s">
        <v>566</v>
      </c>
      <c r="AF235">
        <v>2</v>
      </c>
      <c r="AG235">
        <v>440</v>
      </c>
      <c r="AH235">
        <v>194</v>
      </c>
      <c r="AI235" s="122">
        <v>21902</v>
      </c>
      <c r="AJ235" s="122">
        <v>19911</v>
      </c>
      <c r="AK235">
        <v>91</v>
      </c>
      <c r="AL235" s="122">
        <v>3029</v>
      </c>
      <c r="AM235" s="122">
        <v>2753</v>
      </c>
      <c r="AN235" s="122">
        <v>7428</v>
      </c>
      <c r="AO235" s="122">
        <v>2751</v>
      </c>
      <c r="AP235">
        <v>945</v>
      </c>
      <c r="AQ235">
        <v>350</v>
      </c>
      <c r="AR235" s="122">
        <v>9746</v>
      </c>
      <c r="AS235" s="122">
        <v>8860</v>
      </c>
      <c r="AT235">
        <v>0</v>
      </c>
      <c r="AU235">
        <v>0</v>
      </c>
      <c r="AV235" s="122">
        <v>34626</v>
      </c>
    </row>
    <row r="236" spans="2:48" ht="12.75" hidden="1" customHeight="1">
      <c r="B236" t="s">
        <v>364</v>
      </c>
      <c r="C236" t="s">
        <v>54</v>
      </c>
      <c r="D236" t="s">
        <v>137</v>
      </c>
      <c r="E236" t="s">
        <v>137</v>
      </c>
      <c r="F236">
        <v>23</v>
      </c>
      <c r="G236" s="122">
        <v>5516</v>
      </c>
      <c r="H236" s="122">
        <v>3305</v>
      </c>
      <c r="I236" s="122">
        <v>413501</v>
      </c>
      <c r="J236" s="122">
        <v>153149</v>
      </c>
      <c r="K236">
        <v>309</v>
      </c>
      <c r="L236" s="122">
        <v>92468</v>
      </c>
      <c r="M236" s="122">
        <v>83071</v>
      </c>
      <c r="N236" s="122">
        <v>101866</v>
      </c>
      <c r="O236" s="122">
        <v>37728</v>
      </c>
      <c r="P236" s="122">
        <v>21246</v>
      </c>
      <c r="Q236" s="122">
        <v>7869</v>
      </c>
      <c r="R236" s="122">
        <v>193582</v>
      </c>
      <c r="S236" s="122">
        <v>71697</v>
      </c>
      <c r="T236" s="122">
        <v>3493</v>
      </c>
      <c r="U236" s="122">
        <v>1294</v>
      </c>
      <c r="V236" s="122">
        <v>354808</v>
      </c>
      <c r="W236" s="122">
        <f t="shared" si="6"/>
        <v>354808</v>
      </c>
      <c r="X236" s="122">
        <f t="shared" si="7"/>
        <v>826156</v>
      </c>
      <c r="Y236" s="122"/>
      <c r="AA236" t="s">
        <v>50</v>
      </c>
      <c r="AB236" t="s">
        <v>407</v>
      </c>
      <c r="AC236" t="s">
        <v>426</v>
      </c>
      <c r="AD236" t="s">
        <v>137</v>
      </c>
      <c r="AE236" t="s">
        <v>566</v>
      </c>
      <c r="AF236">
        <v>1</v>
      </c>
      <c r="AG236" s="122">
        <v>288</v>
      </c>
      <c r="AH236" s="122">
        <v>80</v>
      </c>
      <c r="AI236" s="122">
        <v>13164</v>
      </c>
      <c r="AJ236" s="122">
        <v>11967</v>
      </c>
      <c r="AK236">
        <v>78</v>
      </c>
      <c r="AL236" s="122">
        <v>1906</v>
      </c>
      <c r="AM236" s="122">
        <v>1733</v>
      </c>
      <c r="AN236" s="122">
        <v>3510</v>
      </c>
      <c r="AO236" s="122">
        <v>1300</v>
      </c>
      <c r="AP236" s="122">
        <v>473</v>
      </c>
      <c r="AQ236" s="122">
        <v>175</v>
      </c>
      <c r="AR236" s="122">
        <v>4001</v>
      </c>
      <c r="AS236" s="122">
        <v>1482</v>
      </c>
      <c r="AT236" s="122">
        <v>0</v>
      </c>
      <c r="AU236" s="122">
        <v>0</v>
      </c>
      <c r="AV236" s="122">
        <v>16657</v>
      </c>
    </row>
    <row r="237" spans="2:48" ht="12.75" hidden="1" customHeight="1">
      <c r="B237" t="s">
        <v>364</v>
      </c>
      <c r="C237" t="s">
        <v>54</v>
      </c>
      <c r="D237" t="s">
        <v>137</v>
      </c>
      <c r="E237" t="s">
        <v>426</v>
      </c>
      <c r="F237" s="122">
        <v>1</v>
      </c>
      <c r="G237" s="122">
        <v>257</v>
      </c>
      <c r="H237" s="122">
        <v>145</v>
      </c>
      <c r="I237" s="122">
        <v>17874</v>
      </c>
      <c r="J237" s="122">
        <v>6620</v>
      </c>
      <c r="K237">
        <v>320</v>
      </c>
      <c r="L237" s="122">
        <v>2538</v>
      </c>
      <c r="M237" s="122">
        <v>2308</v>
      </c>
      <c r="N237" s="122">
        <v>6018</v>
      </c>
      <c r="O237" s="122">
        <v>2229</v>
      </c>
      <c r="P237" s="122">
        <v>702</v>
      </c>
      <c r="Q237" s="122">
        <v>260</v>
      </c>
      <c r="R237" s="122">
        <v>6037</v>
      </c>
      <c r="S237" s="122">
        <v>5488</v>
      </c>
      <c r="T237" s="122">
        <v>4124</v>
      </c>
      <c r="U237" s="122">
        <v>1527</v>
      </c>
      <c r="V237" s="122">
        <v>18432</v>
      </c>
      <c r="W237" s="122">
        <f t="shared" si="6"/>
        <v>18432</v>
      </c>
      <c r="X237" s="122">
        <f t="shared" si="7"/>
        <v>37293</v>
      </c>
      <c r="Y237" s="122"/>
      <c r="AA237" t="s">
        <v>50</v>
      </c>
      <c r="AB237" t="s">
        <v>407</v>
      </c>
      <c r="AC237" t="s">
        <v>426</v>
      </c>
      <c r="AD237" t="s">
        <v>407</v>
      </c>
      <c r="AE237" t="s">
        <v>137</v>
      </c>
      <c r="AF237">
        <v>15</v>
      </c>
      <c r="AG237" s="122">
        <v>3583</v>
      </c>
      <c r="AH237" s="122">
        <v>1438</v>
      </c>
      <c r="AI237" s="122">
        <v>189493</v>
      </c>
      <c r="AJ237" s="122">
        <v>172266</v>
      </c>
      <c r="AK237">
        <v>91</v>
      </c>
      <c r="AL237" s="122">
        <v>35766</v>
      </c>
      <c r="AM237" s="122">
        <v>32514</v>
      </c>
      <c r="AN237" s="122">
        <v>47126</v>
      </c>
      <c r="AO237" s="122">
        <v>17454</v>
      </c>
      <c r="AP237" s="122">
        <v>9376</v>
      </c>
      <c r="AQ237" s="122">
        <v>3473</v>
      </c>
      <c r="AR237" s="122">
        <v>51799</v>
      </c>
      <c r="AS237" s="122">
        <v>47090</v>
      </c>
      <c r="AT237" s="122">
        <v>14543</v>
      </c>
      <c r="AU237" s="122">
        <v>5386</v>
      </c>
      <c r="AV237" s="122">
        <v>278184</v>
      </c>
    </row>
    <row r="238" spans="2:48" ht="12.75" hidden="1" customHeight="1">
      <c r="B238" t="s">
        <v>364</v>
      </c>
      <c r="C238" t="s">
        <v>54</v>
      </c>
      <c r="D238" t="s">
        <v>406</v>
      </c>
      <c r="E238" t="s">
        <v>137</v>
      </c>
      <c r="F238">
        <v>3</v>
      </c>
      <c r="G238" s="122">
        <v>575</v>
      </c>
      <c r="H238" s="122">
        <v>413</v>
      </c>
      <c r="I238" s="122">
        <v>52497</v>
      </c>
      <c r="J238" s="122">
        <v>47724</v>
      </c>
      <c r="K238">
        <v>92</v>
      </c>
      <c r="L238" s="122">
        <v>8658</v>
      </c>
      <c r="M238" s="122">
        <v>7871</v>
      </c>
      <c r="N238" s="122">
        <v>10895</v>
      </c>
      <c r="O238" s="122">
        <v>4035</v>
      </c>
      <c r="P238" s="122">
        <v>1863</v>
      </c>
      <c r="Q238" s="122">
        <v>690</v>
      </c>
      <c r="R238" s="122">
        <v>20447</v>
      </c>
      <c r="S238" s="122">
        <v>7573</v>
      </c>
      <c r="T238" s="122">
        <v>0</v>
      </c>
      <c r="U238" s="122">
        <v>0</v>
      </c>
      <c r="V238" s="122">
        <v>67894</v>
      </c>
      <c r="W238" s="122">
        <f t="shared" si="6"/>
        <v>67893</v>
      </c>
      <c r="X238" s="122">
        <f t="shared" si="7"/>
        <v>94360</v>
      </c>
      <c r="Y238" s="122"/>
      <c r="AA238" t="s">
        <v>50</v>
      </c>
      <c r="AB238" t="s">
        <v>407</v>
      </c>
      <c r="AC238" t="s">
        <v>426</v>
      </c>
      <c r="AD238" t="s">
        <v>407</v>
      </c>
      <c r="AE238" t="s">
        <v>566</v>
      </c>
      <c r="AF238">
        <v>68</v>
      </c>
      <c r="AG238" s="122">
        <v>13838</v>
      </c>
      <c r="AH238" s="122">
        <v>6211</v>
      </c>
      <c r="AI238" s="122">
        <v>632239</v>
      </c>
      <c r="AJ238" s="122">
        <v>574763</v>
      </c>
      <c r="AK238">
        <v>91</v>
      </c>
      <c r="AL238" s="122">
        <v>138611</v>
      </c>
      <c r="AM238" s="122">
        <v>126010</v>
      </c>
      <c r="AN238" s="122">
        <v>212259</v>
      </c>
      <c r="AO238" s="122">
        <v>78614</v>
      </c>
      <c r="AP238" s="122">
        <v>61893</v>
      </c>
      <c r="AQ238" s="122">
        <v>22924</v>
      </c>
      <c r="AR238" s="122">
        <v>249531</v>
      </c>
      <c r="AS238" s="122">
        <v>226846</v>
      </c>
      <c r="AT238">
        <v>0</v>
      </c>
      <c r="AU238">
        <v>0</v>
      </c>
      <c r="AV238" s="122">
        <v>1029156</v>
      </c>
    </row>
    <row r="239" spans="2:48" ht="12.75" hidden="1" customHeight="1">
      <c r="B239" t="s">
        <v>364</v>
      </c>
      <c r="C239" t="s">
        <v>54</v>
      </c>
      <c r="D239" t="s">
        <v>406</v>
      </c>
      <c r="E239" t="s">
        <v>406</v>
      </c>
      <c r="F239">
        <v>542</v>
      </c>
      <c r="G239" s="122">
        <v>113250</v>
      </c>
      <c r="H239" s="122">
        <v>76127</v>
      </c>
      <c r="I239" s="122">
        <v>9575782</v>
      </c>
      <c r="J239" s="122">
        <v>8705256</v>
      </c>
      <c r="K239">
        <v>89</v>
      </c>
      <c r="L239" s="122">
        <v>1817425</v>
      </c>
      <c r="M239" s="122">
        <v>1686131</v>
      </c>
      <c r="N239" s="122">
        <v>2165359</v>
      </c>
      <c r="O239" s="122">
        <v>801985</v>
      </c>
      <c r="P239" s="122">
        <v>363253</v>
      </c>
      <c r="Q239" s="122">
        <v>134538</v>
      </c>
      <c r="R239" s="122">
        <v>2980232</v>
      </c>
      <c r="S239" s="122">
        <v>2709302</v>
      </c>
      <c r="T239" s="122">
        <v>193352</v>
      </c>
      <c r="U239" s="122">
        <v>71612</v>
      </c>
      <c r="V239" s="122">
        <v>14108824</v>
      </c>
      <c r="W239" s="122">
        <f t="shared" si="6"/>
        <v>14108824</v>
      </c>
      <c r="X239" s="122">
        <f t="shared" si="7"/>
        <v>17095403</v>
      </c>
      <c r="Y239" s="122"/>
      <c r="AA239" t="s">
        <v>50</v>
      </c>
      <c r="AB239" t="s">
        <v>407</v>
      </c>
      <c r="AC239" t="s">
        <v>426</v>
      </c>
      <c r="AD239" t="s">
        <v>433</v>
      </c>
      <c r="AE239" t="s">
        <v>566</v>
      </c>
      <c r="AF239">
        <v>1</v>
      </c>
      <c r="AG239">
        <v>110</v>
      </c>
      <c r="AH239">
        <v>95</v>
      </c>
      <c r="AI239" s="122">
        <v>4251</v>
      </c>
      <c r="AJ239" s="122">
        <v>3865</v>
      </c>
      <c r="AK239">
        <v>91</v>
      </c>
      <c r="AL239" s="122">
        <v>1362</v>
      </c>
      <c r="AM239" s="122">
        <v>1238</v>
      </c>
      <c r="AN239" s="122">
        <v>1340</v>
      </c>
      <c r="AO239">
        <v>496</v>
      </c>
      <c r="AP239" s="122">
        <v>473</v>
      </c>
      <c r="AQ239">
        <v>175</v>
      </c>
      <c r="AR239" s="122">
        <v>3048</v>
      </c>
      <c r="AS239" s="122">
        <v>2770</v>
      </c>
      <c r="AT239">
        <v>0</v>
      </c>
      <c r="AU239">
        <v>0</v>
      </c>
      <c r="AV239" s="122">
        <v>8545</v>
      </c>
    </row>
    <row r="240" spans="2:48" ht="12.75" hidden="1" customHeight="1">
      <c r="B240" t="s">
        <v>364</v>
      </c>
      <c r="C240" t="s">
        <v>54</v>
      </c>
      <c r="D240" t="s">
        <v>407</v>
      </c>
      <c r="E240" t="s">
        <v>407</v>
      </c>
      <c r="F240">
        <v>72</v>
      </c>
      <c r="G240" s="122">
        <v>15336</v>
      </c>
      <c r="H240" s="122">
        <v>10052</v>
      </c>
      <c r="I240" s="122">
        <v>1208126</v>
      </c>
      <c r="J240" s="122">
        <v>1098296</v>
      </c>
      <c r="K240">
        <v>86</v>
      </c>
      <c r="L240" s="122">
        <v>237541</v>
      </c>
      <c r="M240" s="122">
        <v>218684</v>
      </c>
      <c r="N240" s="122">
        <v>309769</v>
      </c>
      <c r="O240" s="122">
        <v>114729</v>
      </c>
      <c r="P240" s="122">
        <v>37071</v>
      </c>
      <c r="Q240" s="122">
        <v>13730</v>
      </c>
      <c r="R240" s="122">
        <v>402633</v>
      </c>
      <c r="S240" s="122">
        <v>366030</v>
      </c>
      <c r="T240" s="122">
        <v>22615</v>
      </c>
      <c r="U240" s="122">
        <v>8376</v>
      </c>
      <c r="V240" s="122">
        <v>1819845</v>
      </c>
      <c r="W240" s="122">
        <f t="shared" si="6"/>
        <v>1819845</v>
      </c>
      <c r="X240" s="122">
        <f t="shared" si="7"/>
        <v>2217755</v>
      </c>
      <c r="Y240" s="122"/>
      <c r="AA240" t="s">
        <v>50</v>
      </c>
      <c r="AB240" t="s">
        <v>407</v>
      </c>
      <c r="AC240" t="s">
        <v>566</v>
      </c>
      <c r="AD240" t="s">
        <v>137</v>
      </c>
      <c r="AE240" t="s">
        <v>566</v>
      </c>
      <c r="AF240">
        <v>1</v>
      </c>
      <c r="AG240" s="122">
        <v>147</v>
      </c>
      <c r="AH240">
        <v>78</v>
      </c>
      <c r="AI240" s="122">
        <v>4339</v>
      </c>
      <c r="AJ240" s="122">
        <v>3945</v>
      </c>
      <c r="AK240">
        <v>90</v>
      </c>
      <c r="AL240">
        <v>0</v>
      </c>
      <c r="AM240">
        <v>0</v>
      </c>
      <c r="AN240" s="122">
        <v>1796</v>
      </c>
      <c r="AO240" s="122">
        <v>665</v>
      </c>
      <c r="AP240" s="122">
        <v>1827</v>
      </c>
      <c r="AQ240" s="122">
        <v>677</v>
      </c>
      <c r="AR240" s="122">
        <v>3598</v>
      </c>
      <c r="AS240" s="122">
        <v>1332</v>
      </c>
      <c r="AT240" s="122">
        <v>0</v>
      </c>
      <c r="AU240" s="122">
        <v>0</v>
      </c>
      <c r="AV240" s="122">
        <v>6619</v>
      </c>
    </row>
    <row r="241" spans="2:48" ht="12.75" hidden="1" customHeight="1">
      <c r="B241" t="s">
        <v>364</v>
      </c>
      <c r="C241" t="s">
        <v>54</v>
      </c>
      <c r="D241" t="s">
        <v>481</v>
      </c>
      <c r="E241" t="s">
        <v>481</v>
      </c>
      <c r="F241">
        <v>1</v>
      </c>
      <c r="G241" s="122">
        <v>213</v>
      </c>
      <c r="H241" s="122">
        <v>144</v>
      </c>
      <c r="I241" s="122">
        <v>16216</v>
      </c>
      <c r="J241" s="122">
        <v>14742</v>
      </c>
      <c r="K241">
        <v>87</v>
      </c>
      <c r="L241" s="122">
        <v>2613</v>
      </c>
      <c r="M241" s="122">
        <v>2375</v>
      </c>
      <c r="N241" s="122">
        <v>5198</v>
      </c>
      <c r="O241" s="122">
        <v>1925</v>
      </c>
      <c r="P241" s="122">
        <v>1053</v>
      </c>
      <c r="Q241" s="122">
        <v>390</v>
      </c>
      <c r="R241" s="122">
        <v>5624</v>
      </c>
      <c r="S241" s="122">
        <v>5113</v>
      </c>
      <c r="T241" s="122">
        <v>0</v>
      </c>
      <c r="U241" s="122">
        <v>0</v>
      </c>
      <c r="V241" s="122">
        <v>24545</v>
      </c>
      <c r="W241" s="122">
        <f t="shared" si="6"/>
        <v>24545</v>
      </c>
      <c r="X241" s="122">
        <f t="shared" si="7"/>
        <v>30704</v>
      </c>
      <c r="Y241" s="122"/>
      <c r="AA241" t="s">
        <v>50</v>
      </c>
      <c r="AB241" t="s">
        <v>407</v>
      </c>
      <c r="AC241" t="s">
        <v>566</v>
      </c>
      <c r="AD241" t="s">
        <v>407</v>
      </c>
      <c r="AE241" t="s">
        <v>137</v>
      </c>
      <c r="AF241">
        <v>9</v>
      </c>
      <c r="AG241" s="122">
        <v>1193</v>
      </c>
      <c r="AH241" s="122">
        <v>823</v>
      </c>
      <c r="AI241" s="122">
        <v>54174</v>
      </c>
      <c r="AJ241" s="122">
        <v>49249</v>
      </c>
      <c r="AK241">
        <v>91</v>
      </c>
      <c r="AL241" s="122">
        <v>0</v>
      </c>
      <c r="AM241" s="122">
        <v>0</v>
      </c>
      <c r="AN241" s="122">
        <v>17282</v>
      </c>
      <c r="AO241" s="122">
        <v>6401</v>
      </c>
      <c r="AP241" s="122">
        <v>6121</v>
      </c>
      <c r="AQ241" s="122">
        <v>2267</v>
      </c>
      <c r="AR241" s="122">
        <v>26566</v>
      </c>
      <c r="AS241" s="122">
        <v>24151</v>
      </c>
      <c r="AT241" s="122">
        <v>12195</v>
      </c>
      <c r="AU241" s="122">
        <v>4517</v>
      </c>
      <c r="AV241" s="122">
        <v>86585</v>
      </c>
    </row>
    <row r="242" spans="2:48" ht="12.75" hidden="1" customHeight="1">
      <c r="B242" t="s">
        <v>364</v>
      </c>
      <c r="C242" t="s">
        <v>54</v>
      </c>
      <c r="D242" t="s">
        <v>433</v>
      </c>
      <c r="E242" t="s">
        <v>433</v>
      </c>
      <c r="F242">
        <v>1</v>
      </c>
      <c r="G242" s="122">
        <v>195</v>
      </c>
      <c r="H242">
        <v>138</v>
      </c>
      <c r="I242" s="122">
        <v>13045</v>
      </c>
      <c r="J242" s="122">
        <v>11859</v>
      </c>
      <c r="K242">
        <v>80</v>
      </c>
      <c r="L242" s="122">
        <v>1933</v>
      </c>
      <c r="M242" s="122">
        <v>1757</v>
      </c>
      <c r="N242" s="122">
        <v>3566</v>
      </c>
      <c r="O242" s="122">
        <v>1321</v>
      </c>
      <c r="P242" s="122">
        <v>351</v>
      </c>
      <c r="Q242" s="122">
        <v>130</v>
      </c>
      <c r="R242" s="122">
        <v>4931</v>
      </c>
      <c r="S242" s="122">
        <v>4483</v>
      </c>
      <c r="T242" s="122">
        <v>3179</v>
      </c>
      <c r="U242" s="122">
        <v>1177</v>
      </c>
      <c r="V242" s="122">
        <v>20726</v>
      </c>
      <c r="W242" s="122">
        <f t="shared" si="6"/>
        <v>20727</v>
      </c>
      <c r="X242" s="122">
        <f t="shared" si="7"/>
        <v>27005</v>
      </c>
      <c r="Y242" s="122"/>
      <c r="AA242" t="s">
        <v>50</v>
      </c>
      <c r="AB242" t="s">
        <v>407</v>
      </c>
      <c r="AC242" t="s">
        <v>566</v>
      </c>
      <c r="AD242" t="s">
        <v>407</v>
      </c>
      <c r="AE242" t="s">
        <v>566</v>
      </c>
      <c r="AF242">
        <v>88</v>
      </c>
      <c r="AG242" s="122">
        <v>15099</v>
      </c>
      <c r="AH242" s="122">
        <v>7996</v>
      </c>
      <c r="AI242" s="122">
        <v>745939</v>
      </c>
      <c r="AJ242" s="122">
        <v>678127</v>
      </c>
      <c r="AK242">
        <v>90</v>
      </c>
      <c r="AL242" s="122">
        <v>3650</v>
      </c>
      <c r="AM242" s="122">
        <v>19726</v>
      </c>
      <c r="AN242" s="122">
        <v>221973</v>
      </c>
      <c r="AO242" s="122">
        <v>82212</v>
      </c>
      <c r="AP242" s="122">
        <v>83716</v>
      </c>
      <c r="AQ242" s="122">
        <v>31006</v>
      </c>
      <c r="AR242" s="122">
        <v>348958</v>
      </c>
      <c r="AS242" s="122">
        <v>317235</v>
      </c>
      <c r="AT242">
        <v>0</v>
      </c>
      <c r="AU242">
        <v>0</v>
      </c>
      <c r="AV242" s="122">
        <v>1128306</v>
      </c>
    </row>
    <row r="243" spans="2:48" ht="12.75" hidden="1" customHeight="1">
      <c r="B243" t="s">
        <v>364</v>
      </c>
      <c r="C243" t="s">
        <v>54</v>
      </c>
      <c r="D243" t="s">
        <v>408</v>
      </c>
      <c r="E243" t="s">
        <v>408</v>
      </c>
      <c r="F243">
        <v>6</v>
      </c>
      <c r="G243" s="122">
        <v>1535</v>
      </c>
      <c r="H243">
        <v>836</v>
      </c>
      <c r="I243" s="122">
        <v>141070</v>
      </c>
      <c r="J243" s="122">
        <v>128245</v>
      </c>
      <c r="K243">
        <v>84</v>
      </c>
      <c r="L243" s="122">
        <v>19728</v>
      </c>
      <c r="M243" s="122">
        <v>17935</v>
      </c>
      <c r="N243" s="122">
        <v>31180</v>
      </c>
      <c r="O243" s="122">
        <v>11548</v>
      </c>
      <c r="P243" s="122">
        <v>3159</v>
      </c>
      <c r="Q243" s="122">
        <v>1170</v>
      </c>
      <c r="R243" s="122">
        <v>29762</v>
      </c>
      <c r="S243" s="122">
        <v>27057</v>
      </c>
      <c r="T243" s="122">
        <v>4455</v>
      </c>
      <c r="U243" s="122">
        <v>1650</v>
      </c>
      <c r="V243" s="122">
        <v>187605</v>
      </c>
      <c r="W243" s="122">
        <f t="shared" si="6"/>
        <v>187605</v>
      </c>
      <c r="X243" s="122">
        <f t="shared" si="7"/>
        <v>229354</v>
      </c>
      <c r="Y243" s="122"/>
      <c r="AA243" t="s">
        <v>50</v>
      </c>
      <c r="AB243" t="s">
        <v>407</v>
      </c>
      <c r="AC243" t="s">
        <v>433</v>
      </c>
      <c r="AD243" t="s">
        <v>407</v>
      </c>
      <c r="AE243" t="s">
        <v>137</v>
      </c>
      <c r="AF243">
        <v>1</v>
      </c>
      <c r="AG243" s="122">
        <v>92</v>
      </c>
      <c r="AH243" s="122">
        <v>99</v>
      </c>
      <c r="AI243" s="122">
        <v>7457</v>
      </c>
      <c r="AJ243" s="122">
        <v>6779</v>
      </c>
      <c r="AK243">
        <v>90</v>
      </c>
      <c r="AL243" s="122">
        <v>945</v>
      </c>
      <c r="AM243" s="122">
        <v>859</v>
      </c>
      <c r="AN243" s="122">
        <v>1690</v>
      </c>
      <c r="AO243" s="122">
        <v>626</v>
      </c>
      <c r="AP243" s="122">
        <v>473</v>
      </c>
      <c r="AQ243" s="122">
        <v>175</v>
      </c>
      <c r="AR243" s="122">
        <v>3207</v>
      </c>
      <c r="AS243" s="122">
        <v>2915</v>
      </c>
      <c r="AT243">
        <v>0</v>
      </c>
      <c r="AU243">
        <v>0</v>
      </c>
      <c r="AV243" s="122">
        <v>11355</v>
      </c>
    </row>
    <row r="244" spans="2:48" ht="12.75" hidden="1" customHeight="1">
      <c r="B244" t="s">
        <v>364</v>
      </c>
      <c r="C244" t="s">
        <v>54</v>
      </c>
      <c r="D244" t="s">
        <v>429</v>
      </c>
      <c r="E244" t="s">
        <v>429</v>
      </c>
      <c r="F244">
        <v>1</v>
      </c>
      <c r="G244" s="122">
        <v>186</v>
      </c>
      <c r="H244" s="122">
        <v>142</v>
      </c>
      <c r="I244" s="122">
        <v>9568</v>
      </c>
      <c r="J244" s="122">
        <v>8698</v>
      </c>
      <c r="K244">
        <v>65</v>
      </c>
      <c r="L244" s="122">
        <v>1152</v>
      </c>
      <c r="M244" s="122">
        <v>1047</v>
      </c>
      <c r="N244" s="122">
        <v>3233</v>
      </c>
      <c r="O244" s="122">
        <v>1198</v>
      </c>
      <c r="P244" s="122">
        <v>1404</v>
      </c>
      <c r="Q244" s="122">
        <v>520</v>
      </c>
      <c r="R244" s="122">
        <v>10951</v>
      </c>
      <c r="S244" s="122">
        <v>9956</v>
      </c>
      <c r="T244" s="122">
        <v>0</v>
      </c>
      <c r="U244" s="122">
        <v>0</v>
      </c>
      <c r="V244" s="122">
        <v>21418</v>
      </c>
      <c r="W244" s="122">
        <f t="shared" si="6"/>
        <v>21419</v>
      </c>
      <c r="X244" s="122">
        <f t="shared" si="7"/>
        <v>26308</v>
      </c>
      <c r="Y244" s="122"/>
      <c r="AA244" t="s">
        <v>50</v>
      </c>
      <c r="AB244" t="s">
        <v>407</v>
      </c>
      <c r="AC244" t="s">
        <v>433</v>
      </c>
      <c r="AD244" t="s">
        <v>407</v>
      </c>
      <c r="AE244" t="s">
        <v>566</v>
      </c>
      <c r="AF244">
        <v>97</v>
      </c>
      <c r="AG244" s="122">
        <v>20121</v>
      </c>
      <c r="AH244" s="122">
        <v>8580</v>
      </c>
      <c r="AI244" s="122">
        <v>905973</v>
      </c>
      <c r="AJ244" s="122">
        <v>823612</v>
      </c>
      <c r="AK244">
        <v>91</v>
      </c>
      <c r="AL244" s="122">
        <v>135899</v>
      </c>
      <c r="AM244" s="122">
        <v>123544</v>
      </c>
      <c r="AN244" s="122">
        <v>273206</v>
      </c>
      <c r="AO244" s="122">
        <v>101188</v>
      </c>
      <c r="AP244" s="122">
        <v>69712</v>
      </c>
      <c r="AQ244" s="122">
        <v>25819</v>
      </c>
      <c r="AR244" s="122">
        <v>404546</v>
      </c>
      <c r="AS244" s="122">
        <v>367769</v>
      </c>
      <c r="AT244">
        <v>0</v>
      </c>
      <c r="AU244">
        <v>0</v>
      </c>
      <c r="AV244" s="122">
        <v>1441932</v>
      </c>
    </row>
    <row r="245" spans="2:48" ht="12.75" hidden="1" customHeight="1">
      <c r="B245" t="s">
        <v>364</v>
      </c>
      <c r="C245" t="s">
        <v>56</v>
      </c>
      <c r="D245" t="s">
        <v>425</v>
      </c>
      <c r="E245" t="s">
        <v>425</v>
      </c>
      <c r="F245">
        <v>11</v>
      </c>
      <c r="G245" s="122">
        <v>1365</v>
      </c>
      <c r="H245" s="122">
        <v>2238</v>
      </c>
      <c r="I245" s="122">
        <v>181728</v>
      </c>
      <c r="J245" s="122">
        <v>165208</v>
      </c>
      <c r="K245">
        <v>82</v>
      </c>
      <c r="L245" s="122">
        <v>30327</v>
      </c>
      <c r="M245" s="122">
        <v>27570</v>
      </c>
      <c r="N245" s="122">
        <v>30943</v>
      </c>
      <c r="O245" s="122">
        <v>11461</v>
      </c>
      <c r="P245" s="122">
        <v>5076</v>
      </c>
      <c r="Q245" s="122">
        <v>1880</v>
      </c>
      <c r="R245" s="122">
        <v>55218</v>
      </c>
      <c r="S245" s="122">
        <v>50199</v>
      </c>
      <c r="T245" s="122">
        <v>2974</v>
      </c>
      <c r="U245" s="122">
        <v>1101</v>
      </c>
      <c r="V245" s="122">
        <v>257418</v>
      </c>
      <c r="W245" s="122">
        <f t="shared" si="6"/>
        <v>257419</v>
      </c>
      <c r="X245" s="122">
        <f t="shared" si="7"/>
        <v>306266</v>
      </c>
      <c r="Y245" s="122"/>
      <c r="AA245" t="s">
        <v>50</v>
      </c>
      <c r="AB245" t="s">
        <v>407</v>
      </c>
      <c r="AC245" t="s">
        <v>429</v>
      </c>
      <c r="AD245" t="s">
        <v>407</v>
      </c>
      <c r="AE245" t="s">
        <v>137</v>
      </c>
      <c r="AF245">
        <v>2</v>
      </c>
      <c r="AG245">
        <v>744</v>
      </c>
      <c r="AH245">
        <v>176</v>
      </c>
      <c r="AI245" s="122">
        <v>34926</v>
      </c>
      <c r="AJ245" s="122">
        <v>31751</v>
      </c>
      <c r="AK245">
        <v>91</v>
      </c>
      <c r="AL245" s="122">
        <v>5176</v>
      </c>
      <c r="AM245" s="122">
        <v>4706</v>
      </c>
      <c r="AN245" s="122">
        <v>9070</v>
      </c>
      <c r="AO245" s="122">
        <v>3359</v>
      </c>
      <c r="AP245" s="122">
        <v>8335</v>
      </c>
      <c r="AQ245" s="122">
        <v>3087</v>
      </c>
      <c r="AR245" s="122">
        <v>8353</v>
      </c>
      <c r="AS245" s="122">
        <v>7593</v>
      </c>
      <c r="AT245">
        <v>0</v>
      </c>
      <c r="AU245">
        <v>0</v>
      </c>
      <c r="AV245" s="122">
        <v>50496</v>
      </c>
    </row>
    <row r="246" spans="2:48" ht="12.75" hidden="1" customHeight="1">
      <c r="B246" t="s">
        <v>364</v>
      </c>
      <c r="C246" t="s">
        <v>56</v>
      </c>
      <c r="D246" t="s">
        <v>425</v>
      </c>
      <c r="E246" t="s">
        <v>405</v>
      </c>
      <c r="F246">
        <v>1</v>
      </c>
      <c r="G246" s="122">
        <v>204</v>
      </c>
      <c r="H246" s="122">
        <v>221</v>
      </c>
      <c r="I246" s="122">
        <v>25884</v>
      </c>
      <c r="J246" s="122">
        <v>23531</v>
      </c>
      <c r="K246">
        <v>70</v>
      </c>
      <c r="L246" s="122">
        <v>6375</v>
      </c>
      <c r="M246" s="122">
        <v>5796</v>
      </c>
      <c r="N246" s="122">
        <v>2486</v>
      </c>
      <c r="O246" s="122">
        <v>921</v>
      </c>
      <c r="P246" s="122">
        <v>351</v>
      </c>
      <c r="Q246" s="122">
        <v>130</v>
      </c>
      <c r="R246" s="122">
        <v>5714</v>
      </c>
      <c r="S246" s="122">
        <v>5194</v>
      </c>
      <c r="T246" s="122">
        <v>4273</v>
      </c>
      <c r="U246" s="122">
        <v>1583</v>
      </c>
      <c r="V246" s="122">
        <v>37154</v>
      </c>
      <c r="W246" s="122">
        <f t="shared" si="6"/>
        <v>37155</v>
      </c>
      <c r="X246" s="122">
        <f t="shared" si="7"/>
        <v>45083</v>
      </c>
      <c r="Y246" s="122"/>
      <c r="AA246" t="s">
        <v>50</v>
      </c>
      <c r="AB246" t="s">
        <v>407</v>
      </c>
      <c r="AC246" t="s">
        <v>429</v>
      </c>
      <c r="AD246" t="s">
        <v>407</v>
      </c>
      <c r="AE246" t="s">
        <v>566</v>
      </c>
      <c r="AF246">
        <v>6</v>
      </c>
      <c r="AG246">
        <v>892</v>
      </c>
      <c r="AH246">
        <v>508</v>
      </c>
      <c r="AI246" s="122">
        <v>37430</v>
      </c>
      <c r="AJ246" s="122">
        <v>34028</v>
      </c>
      <c r="AK246">
        <v>91</v>
      </c>
      <c r="AL246" s="122">
        <v>5422</v>
      </c>
      <c r="AM246" s="122">
        <v>4929</v>
      </c>
      <c r="AN246" s="122">
        <v>10866</v>
      </c>
      <c r="AO246" s="122">
        <v>4024</v>
      </c>
      <c r="AP246" s="122">
        <v>2835</v>
      </c>
      <c r="AQ246" s="122">
        <v>1050</v>
      </c>
      <c r="AR246" s="122">
        <v>19190</v>
      </c>
      <c r="AS246" s="122">
        <v>17445</v>
      </c>
      <c r="AT246">
        <v>0</v>
      </c>
      <c r="AU246">
        <v>0</v>
      </c>
      <c r="AV246" s="122">
        <v>61477</v>
      </c>
    </row>
    <row r="247" spans="2:48" ht="12.75" hidden="1" customHeight="1">
      <c r="B247" t="s">
        <v>364</v>
      </c>
      <c r="C247" t="s">
        <v>56</v>
      </c>
      <c r="D247" t="s">
        <v>425</v>
      </c>
      <c r="E247" t="s">
        <v>406</v>
      </c>
      <c r="F247" s="122">
        <v>2</v>
      </c>
      <c r="G247" s="122">
        <v>290</v>
      </c>
      <c r="H247" s="122">
        <v>374</v>
      </c>
      <c r="I247" s="122">
        <v>27759</v>
      </c>
      <c r="J247" s="122">
        <v>25236</v>
      </c>
      <c r="K247">
        <v>89</v>
      </c>
      <c r="L247" s="122">
        <v>8905</v>
      </c>
      <c r="M247" s="122">
        <v>8095</v>
      </c>
      <c r="N247" s="122">
        <v>3834</v>
      </c>
      <c r="O247" s="122">
        <v>1420</v>
      </c>
      <c r="P247" s="122">
        <v>1242</v>
      </c>
      <c r="Q247" s="122">
        <v>460</v>
      </c>
      <c r="R247" s="122">
        <v>9038</v>
      </c>
      <c r="S247" s="122">
        <v>8216</v>
      </c>
      <c r="T247" s="122">
        <v>3264</v>
      </c>
      <c r="U247" s="122">
        <v>1209</v>
      </c>
      <c r="V247" s="122">
        <v>44636</v>
      </c>
      <c r="W247" s="122">
        <f t="shared" si="6"/>
        <v>44636</v>
      </c>
      <c r="X247" s="122">
        <f t="shared" si="7"/>
        <v>54042</v>
      </c>
      <c r="Y247" s="122"/>
      <c r="AA247" t="s">
        <v>50</v>
      </c>
      <c r="AB247" t="s">
        <v>579</v>
      </c>
      <c r="AC247" t="s">
        <v>137</v>
      </c>
      <c r="AD247" t="s">
        <v>137</v>
      </c>
      <c r="AE247" t="s">
        <v>566</v>
      </c>
      <c r="AF247">
        <v>1</v>
      </c>
      <c r="AG247">
        <v>282</v>
      </c>
      <c r="AH247">
        <v>91</v>
      </c>
      <c r="AI247" s="122">
        <v>6086</v>
      </c>
      <c r="AJ247" s="122">
        <v>5072</v>
      </c>
      <c r="AK247">
        <v>78</v>
      </c>
      <c r="AL247" s="122">
        <v>1191</v>
      </c>
      <c r="AM247">
        <v>441</v>
      </c>
      <c r="AN247" s="122">
        <v>3433</v>
      </c>
      <c r="AO247" s="122">
        <v>1271</v>
      </c>
      <c r="AP247" s="122">
        <v>2460</v>
      </c>
      <c r="AQ247">
        <v>911</v>
      </c>
      <c r="AR247" s="122">
        <v>12590</v>
      </c>
      <c r="AS247" s="122">
        <v>4663</v>
      </c>
      <c r="AT247">
        <v>0</v>
      </c>
      <c r="AU247">
        <v>0</v>
      </c>
      <c r="AV247" s="122">
        <v>12358</v>
      </c>
    </row>
    <row r="248" spans="2:48" ht="12.75" hidden="1" customHeight="1">
      <c r="B248" t="s">
        <v>364</v>
      </c>
      <c r="C248" t="s">
        <v>56</v>
      </c>
      <c r="D248" t="s">
        <v>405</v>
      </c>
      <c r="E248" t="s">
        <v>425</v>
      </c>
      <c r="F248" s="122">
        <v>2</v>
      </c>
      <c r="G248" s="122">
        <v>438</v>
      </c>
      <c r="H248" s="122">
        <v>342</v>
      </c>
      <c r="I248" s="122">
        <v>47805</v>
      </c>
      <c r="J248" s="122">
        <v>43459</v>
      </c>
      <c r="K248">
        <v>87</v>
      </c>
      <c r="L248" s="122">
        <v>5413</v>
      </c>
      <c r="M248" s="122">
        <v>3842</v>
      </c>
      <c r="N248" s="122">
        <v>8404</v>
      </c>
      <c r="O248" s="122">
        <v>3112</v>
      </c>
      <c r="P248" s="122">
        <v>945</v>
      </c>
      <c r="Q248" s="122">
        <v>350</v>
      </c>
      <c r="R248" s="122">
        <v>12373</v>
      </c>
      <c r="S248" s="122">
        <v>11248</v>
      </c>
      <c r="T248" s="122">
        <v>0</v>
      </c>
      <c r="U248" s="122">
        <v>0</v>
      </c>
      <c r="V248" s="122">
        <v>62011</v>
      </c>
      <c r="W248" s="122">
        <f t="shared" si="6"/>
        <v>62011</v>
      </c>
      <c r="X248" s="122">
        <f t="shared" si="7"/>
        <v>74940</v>
      </c>
      <c r="Y248" s="122"/>
      <c r="AA248" t="s">
        <v>50</v>
      </c>
      <c r="AB248" t="s">
        <v>579</v>
      </c>
      <c r="AC248" t="s">
        <v>433</v>
      </c>
      <c r="AD248" t="s">
        <v>137</v>
      </c>
      <c r="AE248" t="s">
        <v>566</v>
      </c>
      <c r="AF248">
        <v>1</v>
      </c>
      <c r="AG248">
        <v>123</v>
      </c>
      <c r="AH248">
        <v>80</v>
      </c>
      <c r="AI248" s="122">
        <v>-323</v>
      </c>
      <c r="AJ248" s="122">
        <v>-269</v>
      </c>
      <c r="AK248">
        <v>417</v>
      </c>
      <c r="AL248" s="122">
        <v>-174</v>
      </c>
      <c r="AM248">
        <v>-158</v>
      </c>
      <c r="AN248" s="122">
        <v>2800</v>
      </c>
      <c r="AO248" s="122">
        <v>1037</v>
      </c>
      <c r="AP248" s="122">
        <v>1376</v>
      </c>
      <c r="AQ248">
        <v>510</v>
      </c>
      <c r="AR248" s="122">
        <v>6123</v>
      </c>
      <c r="AS248" s="122">
        <v>2268</v>
      </c>
      <c r="AT248" s="122">
        <v>0</v>
      </c>
      <c r="AU248" s="122">
        <v>0</v>
      </c>
      <c r="AV248" s="122">
        <v>3388</v>
      </c>
    </row>
    <row r="249" spans="2:48" ht="12.75" hidden="1" customHeight="1">
      <c r="B249" t="s">
        <v>364</v>
      </c>
      <c r="C249" t="s">
        <v>56</v>
      </c>
      <c r="D249" t="s">
        <v>405</v>
      </c>
      <c r="E249" t="s">
        <v>405</v>
      </c>
      <c r="F249">
        <v>151</v>
      </c>
      <c r="G249" s="122">
        <v>24398</v>
      </c>
      <c r="H249" s="122">
        <v>28118</v>
      </c>
      <c r="I249" s="122">
        <v>2745628</v>
      </c>
      <c r="J249" s="122">
        <v>2496025</v>
      </c>
      <c r="K249">
        <v>85</v>
      </c>
      <c r="L249" s="122">
        <v>592209</v>
      </c>
      <c r="M249" s="122">
        <v>517992</v>
      </c>
      <c r="N249" s="122">
        <v>488665</v>
      </c>
      <c r="O249" s="122">
        <v>180987</v>
      </c>
      <c r="P249" s="122">
        <v>77556</v>
      </c>
      <c r="Q249" s="122">
        <v>28725</v>
      </c>
      <c r="R249" s="122">
        <v>798794</v>
      </c>
      <c r="S249" s="122">
        <v>726176</v>
      </c>
      <c r="T249" s="122">
        <v>57551</v>
      </c>
      <c r="U249" s="122">
        <v>21315</v>
      </c>
      <c r="V249" s="122">
        <v>3971220</v>
      </c>
      <c r="W249" s="122">
        <f t="shared" si="6"/>
        <v>3971220</v>
      </c>
      <c r="X249" s="122">
        <f t="shared" si="7"/>
        <v>4760403</v>
      </c>
      <c r="Y249" s="122"/>
      <c r="AA249" t="s">
        <v>50</v>
      </c>
      <c r="AB249" t="s">
        <v>426</v>
      </c>
      <c r="AC249" t="s">
        <v>137</v>
      </c>
      <c r="AD249" t="s">
        <v>426</v>
      </c>
      <c r="AE249" t="s">
        <v>137</v>
      </c>
      <c r="AF249">
        <v>1</v>
      </c>
      <c r="AG249">
        <v>303</v>
      </c>
      <c r="AH249">
        <v>97</v>
      </c>
      <c r="AI249" s="122">
        <v>12551</v>
      </c>
      <c r="AJ249" s="122">
        <v>11410</v>
      </c>
      <c r="AK249">
        <v>72</v>
      </c>
      <c r="AL249" s="122">
        <v>2465</v>
      </c>
      <c r="AM249">
        <v>913</v>
      </c>
      <c r="AN249" s="122">
        <v>3692</v>
      </c>
      <c r="AO249" s="122">
        <v>1368</v>
      </c>
      <c r="AP249">
        <v>621</v>
      </c>
      <c r="AQ249">
        <v>230</v>
      </c>
      <c r="AR249" s="122">
        <v>5593</v>
      </c>
      <c r="AS249" s="122">
        <v>5084</v>
      </c>
      <c r="AT249" s="122">
        <v>4547</v>
      </c>
      <c r="AU249" s="122">
        <v>1684</v>
      </c>
      <c r="AV249" s="122">
        <v>20689</v>
      </c>
    </row>
    <row r="250" spans="2:48" ht="12.75" hidden="1" customHeight="1">
      <c r="B250" t="s">
        <v>364</v>
      </c>
      <c r="C250" t="s">
        <v>56</v>
      </c>
      <c r="D250" t="s">
        <v>405</v>
      </c>
      <c r="E250" t="s">
        <v>137</v>
      </c>
      <c r="F250">
        <v>2</v>
      </c>
      <c r="G250" s="122">
        <v>312</v>
      </c>
      <c r="H250" s="122">
        <v>410</v>
      </c>
      <c r="I250" s="122">
        <v>36502</v>
      </c>
      <c r="J250" s="122">
        <v>33184</v>
      </c>
      <c r="K250">
        <v>92</v>
      </c>
      <c r="L250" s="122">
        <v>6906</v>
      </c>
      <c r="M250" s="122">
        <v>4174</v>
      </c>
      <c r="N250" s="122">
        <v>6900</v>
      </c>
      <c r="O250" s="122">
        <v>2556</v>
      </c>
      <c r="P250" s="122">
        <v>824</v>
      </c>
      <c r="Q250" s="122">
        <v>305</v>
      </c>
      <c r="R250" s="122">
        <v>12839</v>
      </c>
      <c r="S250" s="122">
        <v>4755</v>
      </c>
      <c r="T250" s="122">
        <v>0</v>
      </c>
      <c r="U250" s="122">
        <v>0</v>
      </c>
      <c r="V250" s="122">
        <v>44974</v>
      </c>
      <c r="W250" s="122">
        <f t="shared" si="6"/>
        <v>44974</v>
      </c>
      <c r="X250" s="122">
        <f t="shared" si="7"/>
        <v>63971</v>
      </c>
      <c r="Y250" s="122"/>
      <c r="AA250" t="s">
        <v>50</v>
      </c>
      <c r="AB250" t="s">
        <v>426</v>
      </c>
      <c r="AC250" t="s">
        <v>566</v>
      </c>
      <c r="AD250" t="s">
        <v>137</v>
      </c>
      <c r="AE250" t="s">
        <v>566</v>
      </c>
      <c r="AF250">
        <v>1</v>
      </c>
      <c r="AG250">
        <v>160</v>
      </c>
      <c r="AH250">
        <v>97</v>
      </c>
      <c r="AI250" s="122">
        <v>6648</v>
      </c>
      <c r="AJ250" s="122">
        <v>6044</v>
      </c>
      <c r="AK250">
        <v>79</v>
      </c>
      <c r="AL250" s="122">
        <v>0</v>
      </c>
      <c r="AM250" s="122">
        <v>0</v>
      </c>
      <c r="AN250" s="122">
        <v>1951</v>
      </c>
      <c r="AO250" s="122">
        <v>723</v>
      </c>
      <c r="AP250" s="122">
        <v>0</v>
      </c>
      <c r="AQ250">
        <v>0</v>
      </c>
      <c r="AR250" s="122">
        <v>6911</v>
      </c>
      <c r="AS250" s="122">
        <v>2560</v>
      </c>
      <c r="AT250">
        <v>0</v>
      </c>
      <c r="AU250">
        <v>0</v>
      </c>
      <c r="AV250" s="122">
        <v>9326</v>
      </c>
    </row>
    <row r="251" spans="2:48" ht="12.75" hidden="1" customHeight="1">
      <c r="B251" t="s">
        <v>364</v>
      </c>
      <c r="C251" t="s">
        <v>56</v>
      </c>
      <c r="D251" t="s">
        <v>405</v>
      </c>
      <c r="E251" t="s">
        <v>407</v>
      </c>
      <c r="F251">
        <v>1</v>
      </c>
      <c r="G251" s="122">
        <v>100</v>
      </c>
      <c r="H251" s="122">
        <v>183</v>
      </c>
      <c r="I251" s="122">
        <v>9837</v>
      </c>
      <c r="J251" s="122">
        <v>8943</v>
      </c>
      <c r="K251">
        <v>79</v>
      </c>
      <c r="L251" s="122">
        <v>2725</v>
      </c>
      <c r="M251" s="122">
        <v>2477</v>
      </c>
      <c r="N251" s="122">
        <v>1214</v>
      </c>
      <c r="O251" s="122">
        <v>450</v>
      </c>
      <c r="P251" s="122">
        <v>473</v>
      </c>
      <c r="Q251" s="122">
        <v>175</v>
      </c>
      <c r="R251" s="122">
        <v>4002</v>
      </c>
      <c r="S251" s="122">
        <v>3638</v>
      </c>
      <c r="T251" s="122">
        <v>0</v>
      </c>
      <c r="U251" s="122">
        <v>0</v>
      </c>
      <c r="V251" s="122">
        <v>15683</v>
      </c>
      <c r="W251" s="122">
        <f t="shared" si="6"/>
        <v>15683</v>
      </c>
      <c r="X251" s="122">
        <f t="shared" si="7"/>
        <v>18251</v>
      </c>
      <c r="Y251" s="122"/>
      <c r="AA251" t="s">
        <v>50</v>
      </c>
      <c r="AB251" t="s">
        <v>426</v>
      </c>
      <c r="AC251" t="s">
        <v>433</v>
      </c>
      <c r="AD251" t="s">
        <v>426</v>
      </c>
      <c r="AE251" t="s">
        <v>566</v>
      </c>
      <c r="AF251">
        <v>1</v>
      </c>
      <c r="AG251">
        <v>232</v>
      </c>
      <c r="AH251">
        <v>86</v>
      </c>
      <c r="AI251" s="122">
        <v>9841</v>
      </c>
      <c r="AJ251" s="122">
        <v>8946</v>
      </c>
      <c r="AK251">
        <v>76</v>
      </c>
      <c r="AL251" s="122">
        <v>1108</v>
      </c>
      <c r="AM251" s="122">
        <v>1007</v>
      </c>
      <c r="AN251" s="122">
        <v>2824</v>
      </c>
      <c r="AO251" s="122">
        <v>1046</v>
      </c>
      <c r="AP251" s="122">
        <v>2672</v>
      </c>
      <c r="AQ251" s="122">
        <v>990</v>
      </c>
      <c r="AR251" s="122">
        <v>3525</v>
      </c>
      <c r="AS251" s="122">
        <v>3204</v>
      </c>
      <c r="AT251">
        <v>0</v>
      </c>
      <c r="AU251">
        <v>0</v>
      </c>
      <c r="AV251" s="122">
        <v>15193</v>
      </c>
    </row>
    <row r="252" spans="2:48" ht="12.75" hidden="1" customHeight="1">
      <c r="B252" t="s">
        <v>364</v>
      </c>
      <c r="C252" t="s">
        <v>56</v>
      </c>
      <c r="D252" t="s">
        <v>137</v>
      </c>
      <c r="E252" t="s">
        <v>137</v>
      </c>
      <c r="F252">
        <v>29</v>
      </c>
      <c r="G252" s="122">
        <v>5543</v>
      </c>
      <c r="H252" s="122">
        <v>5698</v>
      </c>
      <c r="I252" s="122">
        <v>622113</v>
      </c>
      <c r="J252" s="122">
        <v>230412</v>
      </c>
      <c r="K252">
        <v>177</v>
      </c>
      <c r="L252" s="122">
        <v>122363</v>
      </c>
      <c r="M252" s="122">
        <v>98681</v>
      </c>
      <c r="N252" s="122">
        <v>112290</v>
      </c>
      <c r="O252" s="122">
        <v>41589</v>
      </c>
      <c r="P252" s="122">
        <v>13866</v>
      </c>
      <c r="Q252" s="122">
        <v>5135</v>
      </c>
      <c r="R252" s="122">
        <v>259287</v>
      </c>
      <c r="S252" s="122">
        <v>96032</v>
      </c>
      <c r="T252">
        <v>0</v>
      </c>
      <c r="U252">
        <v>0</v>
      </c>
      <c r="V252" s="122">
        <v>471850</v>
      </c>
      <c r="W252" s="122">
        <f t="shared" si="6"/>
        <v>471849</v>
      </c>
      <c r="X252" s="122">
        <f t="shared" si="7"/>
        <v>1129919</v>
      </c>
      <c r="Y252" s="122"/>
      <c r="AA252" t="s">
        <v>50</v>
      </c>
      <c r="AB252" t="s">
        <v>481</v>
      </c>
      <c r="AC252" t="s">
        <v>481</v>
      </c>
      <c r="AD252" t="s">
        <v>481</v>
      </c>
      <c r="AE252" t="s">
        <v>566</v>
      </c>
      <c r="AF252">
        <v>1</v>
      </c>
      <c r="AG252">
        <v>265</v>
      </c>
      <c r="AH252">
        <v>86</v>
      </c>
      <c r="AI252" s="122">
        <v>7763</v>
      </c>
      <c r="AJ252" s="122">
        <v>7057</v>
      </c>
      <c r="AK252">
        <v>94</v>
      </c>
      <c r="AL252" s="122">
        <v>2703</v>
      </c>
      <c r="AM252" s="122">
        <v>2457</v>
      </c>
      <c r="AN252" s="122">
        <v>3552</v>
      </c>
      <c r="AO252" s="122">
        <v>1315</v>
      </c>
      <c r="AP252" s="122">
        <v>3727</v>
      </c>
      <c r="AQ252" s="122">
        <v>1381</v>
      </c>
      <c r="AR252" s="122">
        <v>5148</v>
      </c>
      <c r="AS252" s="122">
        <v>4680</v>
      </c>
      <c r="AT252">
        <v>0</v>
      </c>
      <c r="AU252">
        <v>0</v>
      </c>
      <c r="AV252" s="122">
        <v>16890</v>
      </c>
    </row>
    <row r="253" spans="2:48" ht="12.75" hidden="1" customHeight="1">
      <c r="B253" t="s">
        <v>364</v>
      </c>
      <c r="C253" t="s">
        <v>56</v>
      </c>
      <c r="D253" t="s">
        <v>137</v>
      </c>
      <c r="E253" t="s">
        <v>406</v>
      </c>
      <c r="F253">
        <v>1</v>
      </c>
      <c r="G253">
        <v>345</v>
      </c>
      <c r="H253" s="122">
        <v>204</v>
      </c>
      <c r="I253" s="122">
        <v>45669</v>
      </c>
      <c r="J253" s="122">
        <v>16914</v>
      </c>
      <c r="K253">
        <v>398</v>
      </c>
      <c r="L253" s="122">
        <v>27426</v>
      </c>
      <c r="M253" s="122">
        <v>24933</v>
      </c>
      <c r="N253" s="122">
        <v>5460</v>
      </c>
      <c r="O253" s="122">
        <v>2022</v>
      </c>
      <c r="P253" s="122">
        <v>1674</v>
      </c>
      <c r="Q253" s="122">
        <v>620</v>
      </c>
      <c r="R253" s="122">
        <v>2740</v>
      </c>
      <c r="S253" s="122">
        <v>2491</v>
      </c>
      <c r="T253" s="122">
        <v>0</v>
      </c>
      <c r="U253" s="122">
        <v>0</v>
      </c>
      <c r="V253" s="122">
        <v>46981</v>
      </c>
      <c r="W253" s="122">
        <f t="shared" si="6"/>
        <v>46980</v>
      </c>
      <c r="X253" s="122">
        <f t="shared" si="7"/>
        <v>82969</v>
      </c>
      <c r="Y253" s="122"/>
      <c r="AA253" t="s">
        <v>50</v>
      </c>
      <c r="AB253" t="s">
        <v>481</v>
      </c>
      <c r="AC253" t="s">
        <v>433</v>
      </c>
      <c r="AD253" t="s">
        <v>481</v>
      </c>
      <c r="AE253" t="s">
        <v>566</v>
      </c>
      <c r="AF253">
        <v>2</v>
      </c>
      <c r="AG253">
        <v>739</v>
      </c>
      <c r="AH253">
        <v>197</v>
      </c>
      <c r="AI253" s="122">
        <v>40482</v>
      </c>
      <c r="AJ253" s="122">
        <v>36802</v>
      </c>
      <c r="AK253">
        <v>89</v>
      </c>
      <c r="AL253" s="122">
        <v>5584</v>
      </c>
      <c r="AM253" s="122">
        <v>5077</v>
      </c>
      <c r="AN253" s="122">
        <v>10653</v>
      </c>
      <c r="AO253" s="122">
        <v>3945</v>
      </c>
      <c r="AP253" s="122">
        <v>1755</v>
      </c>
      <c r="AQ253" s="122">
        <v>650</v>
      </c>
      <c r="AR253" s="122">
        <v>14248</v>
      </c>
      <c r="AS253" s="122">
        <v>12952</v>
      </c>
      <c r="AT253">
        <v>0</v>
      </c>
      <c r="AU253">
        <v>0</v>
      </c>
      <c r="AV253" s="122">
        <v>59426</v>
      </c>
    </row>
    <row r="254" spans="2:48" ht="12.75" hidden="1" customHeight="1">
      <c r="B254" t="s">
        <v>364</v>
      </c>
      <c r="C254" t="s">
        <v>56</v>
      </c>
      <c r="D254" t="s">
        <v>137</v>
      </c>
      <c r="E254" t="s">
        <v>407</v>
      </c>
      <c r="F254">
        <v>1</v>
      </c>
      <c r="G254" s="122">
        <v>460</v>
      </c>
      <c r="H254" s="122">
        <v>173</v>
      </c>
      <c r="I254" s="122">
        <v>50135</v>
      </c>
      <c r="J254" s="122">
        <v>18568</v>
      </c>
      <c r="K254">
        <v>300</v>
      </c>
      <c r="L254" s="122">
        <v>11427</v>
      </c>
      <c r="M254" s="122">
        <v>9522</v>
      </c>
      <c r="N254" s="122">
        <v>10767</v>
      </c>
      <c r="O254" s="122">
        <v>3988</v>
      </c>
      <c r="P254" s="122">
        <v>473</v>
      </c>
      <c r="Q254" s="122">
        <v>175</v>
      </c>
      <c r="R254" s="122">
        <v>6587</v>
      </c>
      <c r="S254" s="122">
        <v>5988</v>
      </c>
      <c r="T254" s="122">
        <v>0</v>
      </c>
      <c r="U254">
        <v>0</v>
      </c>
      <c r="V254" s="122">
        <v>38242</v>
      </c>
      <c r="W254" s="122">
        <f t="shared" si="6"/>
        <v>38241</v>
      </c>
      <c r="X254" s="122">
        <f t="shared" si="7"/>
        <v>79389</v>
      </c>
      <c r="Y254" s="122"/>
      <c r="AA254" t="s">
        <v>50</v>
      </c>
      <c r="AB254" t="s">
        <v>433</v>
      </c>
      <c r="AC254" t="s">
        <v>137</v>
      </c>
      <c r="AD254" t="s">
        <v>137</v>
      </c>
      <c r="AE254" t="s">
        <v>566</v>
      </c>
      <c r="AF254">
        <v>1</v>
      </c>
      <c r="AG254">
        <v>244</v>
      </c>
      <c r="AH254">
        <v>83</v>
      </c>
      <c r="AI254" s="122">
        <v>6325</v>
      </c>
      <c r="AJ254" s="122">
        <v>5750</v>
      </c>
      <c r="AK254">
        <v>81</v>
      </c>
      <c r="AL254" s="122">
        <v>1397</v>
      </c>
      <c r="AM254" s="122">
        <v>518</v>
      </c>
      <c r="AN254" s="122">
        <v>3126</v>
      </c>
      <c r="AO254" s="122">
        <v>1158</v>
      </c>
      <c r="AP254" s="122">
        <v>2950</v>
      </c>
      <c r="AQ254" s="122">
        <v>1092</v>
      </c>
      <c r="AR254" s="122">
        <v>6446</v>
      </c>
      <c r="AS254" s="122">
        <v>2388</v>
      </c>
      <c r="AT254">
        <v>0</v>
      </c>
      <c r="AU254">
        <v>0</v>
      </c>
      <c r="AV254" s="122">
        <v>10906</v>
      </c>
    </row>
    <row r="255" spans="2:48" ht="12.75" hidden="1" customHeight="1">
      <c r="B255" t="s">
        <v>364</v>
      </c>
      <c r="C255" t="s">
        <v>56</v>
      </c>
      <c r="D255" t="s">
        <v>137</v>
      </c>
      <c r="E255" t="s">
        <v>426</v>
      </c>
      <c r="F255">
        <v>1</v>
      </c>
      <c r="G255" s="122">
        <v>169</v>
      </c>
      <c r="H255" s="122">
        <v>220</v>
      </c>
      <c r="I255" s="122">
        <v>20241</v>
      </c>
      <c r="J255" s="122">
        <v>7497</v>
      </c>
      <c r="K255">
        <v>100</v>
      </c>
      <c r="L255" s="122">
        <v>8012</v>
      </c>
      <c r="M255" s="122">
        <v>2967</v>
      </c>
      <c r="N255" s="122">
        <v>4111</v>
      </c>
      <c r="O255" s="122">
        <v>1523</v>
      </c>
      <c r="P255" s="122">
        <v>621</v>
      </c>
      <c r="Q255" s="122">
        <v>230</v>
      </c>
      <c r="R255" s="122">
        <v>4183</v>
      </c>
      <c r="S255" s="122">
        <v>3802</v>
      </c>
      <c r="T255" s="122">
        <v>0</v>
      </c>
      <c r="U255" s="122">
        <v>0</v>
      </c>
      <c r="V255" s="122">
        <v>16019</v>
      </c>
      <c r="W255" s="122">
        <f t="shared" si="6"/>
        <v>16019</v>
      </c>
      <c r="X255" s="122">
        <f t="shared" si="7"/>
        <v>37168</v>
      </c>
      <c r="Y255" s="122"/>
      <c r="AA255" t="s">
        <v>50</v>
      </c>
      <c r="AB255" t="s">
        <v>433</v>
      </c>
      <c r="AC255" t="s">
        <v>580</v>
      </c>
      <c r="AD255" t="s">
        <v>433</v>
      </c>
      <c r="AE255" t="s">
        <v>566</v>
      </c>
      <c r="AF255">
        <v>2</v>
      </c>
      <c r="AG255">
        <v>664</v>
      </c>
      <c r="AH255">
        <v>190</v>
      </c>
      <c r="AI255" s="122">
        <v>33324</v>
      </c>
      <c r="AJ255" s="122">
        <v>30294</v>
      </c>
      <c r="AK255">
        <v>86</v>
      </c>
      <c r="AL255" s="122">
        <v>4789</v>
      </c>
      <c r="AM255" s="122">
        <v>4354</v>
      </c>
      <c r="AN255" s="122">
        <v>11540</v>
      </c>
      <c r="AO255" s="122">
        <v>4274</v>
      </c>
      <c r="AP255" s="122">
        <v>2376</v>
      </c>
      <c r="AQ255" s="122">
        <v>880</v>
      </c>
      <c r="AR255" s="122">
        <v>11766</v>
      </c>
      <c r="AS255" s="122">
        <v>10696</v>
      </c>
      <c r="AT255">
        <v>0</v>
      </c>
      <c r="AU255">
        <v>0</v>
      </c>
      <c r="AV255" s="122">
        <v>50499</v>
      </c>
    </row>
    <row r="256" spans="2:48" ht="12.75" hidden="1" customHeight="1">
      <c r="B256" t="s">
        <v>364</v>
      </c>
      <c r="C256" t="s">
        <v>56</v>
      </c>
      <c r="D256" t="s">
        <v>406</v>
      </c>
      <c r="E256" t="s">
        <v>555</v>
      </c>
      <c r="F256" s="122">
        <v>2</v>
      </c>
      <c r="G256" s="122">
        <v>410</v>
      </c>
      <c r="H256" s="122">
        <v>365</v>
      </c>
      <c r="I256" s="122">
        <v>46533</v>
      </c>
      <c r="J256" s="122">
        <v>42303</v>
      </c>
      <c r="K256">
        <v>78</v>
      </c>
      <c r="L256" s="122">
        <v>5672</v>
      </c>
      <c r="M256" s="122">
        <v>11574</v>
      </c>
      <c r="N256" s="122">
        <v>7159</v>
      </c>
      <c r="O256" s="122">
        <v>2652</v>
      </c>
      <c r="P256" s="122">
        <v>972</v>
      </c>
      <c r="Q256" s="122">
        <v>360</v>
      </c>
      <c r="R256" s="122">
        <v>13283</v>
      </c>
      <c r="S256" s="122">
        <v>12075</v>
      </c>
      <c r="T256" s="122">
        <v>0</v>
      </c>
      <c r="U256" s="122">
        <v>0</v>
      </c>
      <c r="V256" s="122">
        <v>68964</v>
      </c>
      <c r="W256" s="122">
        <f t="shared" si="6"/>
        <v>68964</v>
      </c>
      <c r="X256" s="122">
        <f t="shared" si="7"/>
        <v>73619</v>
      </c>
      <c r="Y256" s="122"/>
      <c r="AA256" t="s">
        <v>50</v>
      </c>
      <c r="AB256" t="s">
        <v>433</v>
      </c>
      <c r="AC256" t="s">
        <v>426</v>
      </c>
      <c r="AD256" t="s">
        <v>433</v>
      </c>
      <c r="AE256" t="s">
        <v>566</v>
      </c>
      <c r="AF256">
        <v>1</v>
      </c>
      <c r="AG256">
        <v>285</v>
      </c>
      <c r="AH256">
        <v>79</v>
      </c>
      <c r="AI256" s="122">
        <v>7738</v>
      </c>
      <c r="AJ256" s="122">
        <v>7035</v>
      </c>
      <c r="AK256">
        <v>80</v>
      </c>
      <c r="AL256">
        <v>988</v>
      </c>
      <c r="AM256">
        <v>898</v>
      </c>
      <c r="AN256" s="122">
        <v>3467</v>
      </c>
      <c r="AO256" s="122">
        <v>1284</v>
      </c>
      <c r="AP256" s="122">
        <v>2835</v>
      </c>
      <c r="AQ256" s="122">
        <v>1050</v>
      </c>
      <c r="AR256" s="122">
        <v>7447</v>
      </c>
      <c r="AS256" s="122">
        <v>6770</v>
      </c>
      <c r="AT256" s="122">
        <v>0</v>
      </c>
      <c r="AU256" s="122">
        <v>0</v>
      </c>
      <c r="AV256" s="122">
        <v>17036</v>
      </c>
    </row>
    <row r="257" spans="2:48" ht="12.75" hidden="1" customHeight="1">
      <c r="B257" t="s">
        <v>364</v>
      </c>
      <c r="C257" t="s">
        <v>56</v>
      </c>
      <c r="D257" t="s">
        <v>406</v>
      </c>
      <c r="E257" t="s">
        <v>425</v>
      </c>
      <c r="F257" s="122">
        <v>4</v>
      </c>
      <c r="G257" s="122">
        <v>688</v>
      </c>
      <c r="H257" s="122">
        <v>794</v>
      </c>
      <c r="I257" s="122">
        <v>84395</v>
      </c>
      <c r="J257" s="122">
        <v>76723</v>
      </c>
      <c r="K257">
        <v>80</v>
      </c>
      <c r="L257" s="122">
        <v>14386</v>
      </c>
      <c r="M257" s="122">
        <v>13078</v>
      </c>
      <c r="N257" s="122">
        <v>12757</v>
      </c>
      <c r="O257" s="122">
        <v>4725</v>
      </c>
      <c r="P257" s="122">
        <v>2835</v>
      </c>
      <c r="Q257" s="122">
        <v>1050</v>
      </c>
      <c r="R257" s="122">
        <v>26622</v>
      </c>
      <c r="S257" s="122">
        <v>24202</v>
      </c>
      <c r="T257" s="122">
        <v>4272</v>
      </c>
      <c r="U257" s="122">
        <v>1582</v>
      </c>
      <c r="V257" s="122">
        <v>121360</v>
      </c>
      <c r="W257" s="122">
        <f t="shared" si="6"/>
        <v>121360</v>
      </c>
      <c r="X257" s="122">
        <f t="shared" si="7"/>
        <v>145267</v>
      </c>
      <c r="Y257" s="122"/>
      <c r="AA257" t="s">
        <v>50</v>
      </c>
      <c r="AB257" t="s">
        <v>433</v>
      </c>
      <c r="AC257" t="s">
        <v>566</v>
      </c>
      <c r="AD257" t="s">
        <v>433</v>
      </c>
      <c r="AE257" t="s">
        <v>137</v>
      </c>
      <c r="AF257">
        <v>2</v>
      </c>
      <c r="AG257">
        <v>396</v>
      </c>
      <c r="AH257">
        <v>165</v>
      </c>
      <c r="AI257" s="122">
        <v>9893</v>
      </c>
      <c r="AJ257" s="122">
        <v>8993</v>
      </c>
      <c r="AK257">
        <v>78</v>
      </c>
      <c r="AL257">
        <v>0</v>
      </c>
      <c r="AM257" s="122">
        <v>0</v>
      </c>
      <c r="AN257" s="122">
        <v>4827</v>
      </c>
      <c r="AO257" s="122">
        <v>1788</v>
      </c>
      <c r="AP257" s="122">
        <v>5115</v>
      </c>
      <c r="AQ257" s="122">
        <v>1894</v>
      </c>
      <c r="AR257" s="122">
        <v>7358</v>
      </c>
      <c r="AS257" s="122">
        <v>6689</v>
      </c>
      <c r="AT257" s="122">
        <v>5138</v>
      </c>
      <c r="AU257" s="122">
        <v>1903</v>
      </c>
      <c r="AV257" s="122">
        <v>21268</v>
      </c>
    </row>
    <row r="258" spans="2:48" ht="12.75" hidden="1" customHeight="1">
      <c r="B258" t="s">
        <v>364</v>
      </c>
      <c r="C258" t="s">
        <v>56</v>
      </c>
      <c r="D258" t="s">
        <v>406</v>
      </c>
      <c r="E258" t="s">
        <v>405</v>
      </c>
      <c r="F258">
        <v>1</v>
      </c>
      <c r="G258" s="122">
        <v>234</v>
      </c>
      <c r="H258" s="122">
        <v>191</v>
      </c>
      <c r="I258" s="122">
        <v>28516</v>
      </c>
      <c r="J258" s="122">
        <v>25924</v>
      </c>
      <c r="K258">
        <v>86</v>
      </c>
      <c r="L258" s="122">
        <v>5731</v>
      </c>
      <c r="M258" s="122">
        <v>5210</v>
      </c>
      <c r="N258" s="122">
        <v>2851</v>
      </c>
      <c r="O258" s="122">
        <v>1056</v>
      </c>
      <c r="P258" s="122">
        <v>621</v>
      </c>
      <c r="Q258" s="122">
        <v>230</v>
      </c>
      <c r="R258" s="122">
        <v>7095</v>
      </c>
      <c r="S258" s="122">
        <v>6450</v>
      </c>
      <c r="T258" s="122">
        <v>0</v>
      </c>
      <c r="U258" s="122">
        <v>0</v>
      </c>
      <c r="V258" s="122">
        <v>38870</v>
      </c>
      <c r="W258" s="122">
        <f t="shared" si="6"/>
        <v>38870</v>
      </c>
      <c r="X258" s="122">
        <f t="shared" si="7"/>
        <v>44814</v>
      </c>
      <c r="Y258" s="122"/>
      <c r="AA258" t="s">
        <v>50</v>
      </c>
      <c r="AB258" t="s">
        <v>433</v>
      </c>
      <c r="AC258" t="s">
        <v>566</v>
      </c>
      <c r="AD258" t="s">
        <v>433</v>
      </c>
      <c r="AE258" t="s">
        <v>566</v>
      </c>
      <c r="AF258">
        <v>2</v>
      </c>
      <c r="AG258">
        <v>583</v>
      </c>
      <c r="AH258">
        <v>188</v>
      </c>
      <c r="AI258" s="122">
        <v>28735</v>
      </c>
      <c r="AJ258" s="122">
        <v>26123</v>
      </c>
      <c r="AK258">
        <v>73</v>
      </c>
      <c r="AL258">
        <v>0</v>
      </c>
      <c r="AM258" s="122">
        <v>2042</v>
      </c>
      <c r="AN258" s="122">
        <v>7103</v>
      </c>
      <c r="AO258" s="122">
        <v>2631</v>
      </c>
      <c r="AP258" s="122">
        <v>8023</v>
      </c>
      <c r="AQ258" s="122">
        <v>2972</v>
      </c>
      <c r="AR258" s="122">
        <v>10853</v>
      </c>
      <c r="AS258" s="122">
        <v>9866</v>
      </c>
      <c r="AT258">
        <v>0</v>
      </c>
      <c r="AU258">
        <v>0</v>
      </c>
      <c r="AV258" s="122">
        <v>43634</v>
      </c>
    </row>
    <row r="259" spans="2:48" ht="12.75" hidden="1" customHeight="1">
      <c r="B259" t="s">
        <v>364</v>
      </c>
      <c r="C259" t="s">
        <v>56</v>
      </c>
      <c r="D259" t="s">
        <v>406</v>
      </c>
      <c r="E259" t="s">
        <v>137</v>
      </c>
      <c r="F259">
        <v>14</v>
      </c>
      <c r="G259" s="122">
        <v>2516</v>
      </c>
      <c r="H259" s="122">
        <v>2661</v>
      </c>
      <c r="I259" s="122">
        <v>268002</v>
      </c>
      <c r="J259" s="122">
        <v>243638</v>
      </c>
      <c r="K259">
        <v>84</v>
      </c>
      <c r="L259" s="122">
        <v>54460</v>
      </c>
      <c r="M259" s="122">
        <v>49509</v>
      </c>
      <c r="N259" s="122">
        <v>47630</v>
      </c>
      <c r="O259" s="122">
        <v>17641</v>
      </c>
      <c r="P259" s="122">
        <v>8694</v>
      </c>
      <c r="Q259" s="122">
        <v>3220</v>
      </c>
      <c r="R259" s="122">
        <v>120192</v>
      </c>
      <c r="S259" s="122">
        <v>44515</v>
      </c>
      <c r="T259" s="122">
        <v>0</v>
      </c>
      <c r="U259" s="122">
        <v>0</v>
      </c>
      <c r="V259" s="122">
        <v>358523</v>
      </c>
      <c r="W259" s="122">
        <f t="shared" si="6"/>
        <v>358523</v>
      </c>
      <c r="X259" s="122">
        <f t="shared" si="7"/>
        <v>498978</v>
      </c>
      <c r="Y259" s="122"/>
      <c r="AA259" t="s">
        <v>50</v>
      </c>
      <c r="AB259" t="s">
        <v>433</v>
      </c>
      <c r="AC259" t="s">
        <v>433</v>
      </c>
      <c r="AD259" t="s">
        <v>137</v>
      </c>
      <c r="AE259" t="s">
        <v>566</v>
      </c>
      <c r="AF259">
        <v>1</v>
      </c>
      <c r="AG259">
        <v>186</v>
      </c>
      <c r="AH259">
        <v>95</v>
      </c>
      <c r="AI259" s="122">
        <v>4473</v>
      </c>
      <c r="AJ259" s="122">
        <v>4066</v>
      </c>
      <c r="AK259">
        <v>78</v>
      </c>
      <c r="AL259" s="122">
        <v>500</v>
      </c>
      <c r="AM259" s="122">
        <v>454</v>
      </c>
      <c r="AN259" s="122">
        <v>2267</v>
      </c>
      <c r="AO259" s="122">
        <v>840</v>
      </c>
      <c r="AP259" s="122">
        <v>1545</v>
      </c>
      <c r="AQ259">
        <v>572</v>
      </c>
      <c r="AR259" s="122">
        <v>8928</v>
      </c>
      <c r="AS259" s="122">
        <v>3307</v>
      </c>
      <c r="AT259">
        <v>0</v>
      </c>
      <c r="AU259">
        <v>0</v>
      </c>
      <c r="AV259" s="122">
        <v>9239</v>
      </c>
    </row>
    <row r="260" spans="2:48" ht="12.75" hidden="1" customHeight="1">
      <c r="B260" t="s">
        <v>364</v>
      </c>
      <c r="C260" t="s">
        <v>56</v>
      </c>
      <c r="D260" t="s">
        <v>406</v>
      </c>
      <c r="E260" t="s">
        <v>406</v>
      </c>
      <c r="F260" s="122">
        <v>3444</v>
      </c>
      <c r="G260" s="122">
        <v>575113</v>
      </c>
      <c r="H260" s="122">
        <v>662607</v>
      </c>
      <c r="I260" s="122">
        <v>65670841</v>
      </c>
      <c r="J260" s="122">
        <v>59700764</v>
      </c>
      <c r="K260">
        <v>85</v>
      </c>
      <c r="L260" s="122">
        <v>13908705</v>
      </c>
      <c r="M260" s="122">
        <v>12499634</v>
      </c>
      <c r="N260" s="122">
        <v>11863913</v>
      </c>
      <c r="O260" s="122">
        <v>4394042</v>
      </c>
      <c r="P260" s="122">
        <v>2248223</v>
      </c>
      <c r="Q260" s="122">
        <v>832675</v>
      </c>
      <c r="R260" s="122">
        <v>18360352</v>
      </c>
      <c r="S260" s="122">
        <v>16691229</v>
      </c>
      <c r="T260" s="122">
        <v>4968588</v>
      </c>
      <c r="U260" s="122">
        <v>1840218</v>
      </c>
      <c r="V260" s="122">
        <v>95958562</v>
      </c>
      <c r="W260" s="122">
        <f t="shared" si="6"/>
        <v>95958562</v>
      </c>
      <c r="X260" s="122">
        <f t="shared" si="7"/>
        <v>117020622</v>
      </c>
      <c r="Y260" s="122"/>
      <c r="AA260" t="s">
        <v>50</v>
      </c>
      <c r="AB260" t="s">
        <v>408</v>
      </c>
      <c r="AC260" t="s">
        <v>137</v>
      </c>
      <c r="AD260" t="s">
        <v>408</v>
      </c>
      <c r="AE260" t="s">
        <v>566</v>
      </c>
      <c r="AF260">
        <v>1</v>
      </c>
      <c r="AG260">
        <v>406</v>
      </c>
      <c r="AH260">
        <v>84</v>
      </c>
      <c r="AI260" s="122">
        <v>22847</v>
      </c>
      <c r="AJ260" s="122">
        <v>20770</v>
      </c>
      <c r="AK260">
        <v>88</v>
      </c>
      <c r="AL260" s="122">
        <v>6932</v>
      </c>
      <c r="AM260" s="122">
        <v>2567</v>
      </c>
      <c r="AN260" s="122">
        <v>4947</v>
      </c>
      <c r="AO260" s="122">
        <v>1832</v>
      </c>
      <c r="AP260" s="122">
        <v>351</v>
      </c>
      <c r="AQ260">
        <v>130</v>
      </c>
      <c r="AR260" s="122">
        <v>-824</v>
      </c>
      <c r="AS260" s="122">
        <v>-749</v>
      </c>
      <c r="AT260">
        <v>0</v>
      </c>
      <c r="AU260">
        <v>0</v>
      </c>
      <c r="AV260" s="122">
        <v>24551</v>
      </c>
    </row>
    <row r="261" spans="2:48" ht="12.75" hidden="1" customHeight="1">
      <c r="B261" t="s">
        <v>364</v>
      </c>
      <c r="C261" t="s">
        <v>56</v>
      </c>
      <c r="D261" t="s">
        <v>406</v>
      </c>
      <c r="E261" t="s">
        <v>427</v>
      </c>
      <c r="F261">
        <v>2</v>
      </c>
      <c r="G261" s="122">
        <v>236</v>
      </c>
      <c r="H261" s="122">
        <v>407</v>
      </c>
      <c r="I261" s="122">
        <v>23655</v>
      </c>
      <c r="J261" s="122">
        <v>21504</v>
      </c>
      <c r="K261">
        <v>80</v>
      </c>
      <c r="L261" s="122">
        <v>5693</v>
      </c>
      <c r="M261" s="122">
        <v>5176</v>
      </c>
      <c r="N261" s="122">
        <v>3835</v>
      </c>
      <c r="O261" s="122">
        <v>1420</v>
      </c>
      <c r="P261" s="122">
        <v>1242</v>
      </c>
      <c r="Q261" s="122">
        <v>460</v>
      </c>
      <c r="R261" s="122">
        <v>7351</v>
      </c>
      <c r="S261" s="122">
        <v>6683</v>
      </c>
      <c r="T261" s="122">
        <v>5164</v>
      </c>
      <c r="U261" s="122">
        <v>1913</v>
      </c>
      <c r="V261" s="122">
        <v>37156</v>
      </c>
      <c r="W261" s="122">
        <f t="shared" si="6"/>
        <v>37156</v>
      </c>
      <c r="X261" s="122">
        <f t="shared" si="7"/>
        <v>46940</v>
      </c>
      <c r="Y261" s="122"/>
      <c r="AA261" t="s">
        <v>50</v>
      </c>
      <c r="AB261" t="s">
        <v>408</v>
      </c>
      <c r="AC261" t="s">
        <v>427</v>
      </c>
      <c r="AD261" t="s">
        <v>408</v>
      </c>
      <c r="AE261" t="s">
        <v>566</v>
      </c>
      <c r="AF261">
        <v>1</v>
      </c>
      <c r="AG261">
        <v>235</v>
      </c>
      <c r="AH261">
        <v>80</v>
      </c>
      <c r="AI261" s="122">
        <v>9258</v>
      </c>
      <c r="AJ261" s="122">
        <v>8416</v>
      </c>
      <c r="AK261">
        <v>90</v>
      </c>
      <c r="AL261" s="122">
        <v>1251</v>
      </c>
      <c r="AM261" s="122">
        <v>1137</v>
      </c>
      <c r="AN261" s="122">
        <v>2867</v>
      </c>
      <c r="AO261" s="122">
        <v>1062</v>
      </c>
      <c r="AP261" s="122">
        <v>2554</v>
      </c>
      <c r="AQ261">
        <v>946</v>
      </c>
      <c r="AR261" s="122">
        <v>2832</v>
      </c>
      <c r="AS261" s="122">
        <v>2575</v>
      </c>
      <c r="AT261">
        <v>0</v>
      </c>
      <c r="AU261">
        <v>0</v>
      </c>
      <c r="AV261" s="122">
        <v>14137</v>
      </c>
    </row>
    <row r="262" spans="2:48" ht="12.75" hidden="1" customHeight="1">
      <c r="B262" t="s">
        <v>364</v>
      </c>
      <c r="C262" t="s">
        <v>56</v>
      </c>
      <c r="D262" t="s">
        <v>406</v>
      </c>
      <c r="E262" t="s">
        <v>407</v>
      </c>
      <c r="F262">
        <v>1</v>
      </c>
      <c r="G262" s="122">
        <v>98</v>
      </c>
      <c r="H262" s="122">
        <v>166</v>
      </c>
      <c r="I262" s="122">
        <v>7858</v>
      </c>
      <c r="J262" s="122">
        <v>7144</v>
      </c>
      <c r="K262">
        <v>86</v>
      </c>
      <c r="L262" s="122">
        <v>2515</v>
      </c>
      <c r="M262" s="122">
        <v>2286</v>
      </c>
      <c r="N262" s="122">
        <v>1193</v>
      </c>
      <c r="O262" s="122">
        <v>442</v>
      </c>
      <c r="P262" s="122">
        <v>621</v>
      </c>
      <c r="Q262" s="122">
        <v>230</v>
      </c>
      <c r="R262" s="122">
        <v>4082</v>
      </c>
      <c r="S262" s="122">
        <v>3711</v>
      </c>
      <c r="T262" s="122">
        <v>0</v>
      </c>
      <c r="U262" s="122">
        <v>0</v>
      </c>
      <c r="V262" s="122">
        <v>13813</v>
      </c>
      <c r="W262" s="122">
        <f t="shared" si="6"/>
        <v>13813</v>
      </c>
      <c r="X262" s="122">
        <f t="shared" si="7"/>
        <v>16269</v>
      </c>
      <c r="Y262" s="122"/>
      <c r="AA262" t="s">
        <v>50</v>
      </c>
      <c r="AB262" t="s">
        <v>408</v>
      </c>
      <c r="AC262" t="s">
        <v>407</v>
      </c>
      <c r="AD262" t="s">
        <v>408</v>
      </c>
      <c r="AE262" t="s">
        <v>566</v>
      </c>
      <c r="AF262">
        <v>1</v>
      </c>
      <c r="AG262">
        <v>235</v>
      </c>
      <c r="AH262">
        <v>100</v>
      </c>
      <c r="AI262" s="122">
        <v>13983</v>
      </c>
      <c r="AJ262" s="122">
        <v>12712</v>
      </c>
      <c r="AK262">
        <v>87</v>
      </c>
      <c r="AL262" s="122">
        <v>1877</v>
      </c>
      <c r="AM262" s="122">
        <v>1707</v>
      </c>
      <c r="AN262" s="122">
        <v>2866</v>
      </c>
      <c r="AO262" s="122">
        <v>1061</v>
      </c>
      <c r="AP262">
        <v>351</v>
      </c>
      <c r="AQ262">
        <v>130</v>
      </c>
      <c r="AR262" s="122">
        <v>4428</v>
      </c>
      <c r="AS262" s="122">
        <v>4025</v>
      </c>
      <c r="AT262">
        <v>0</v>
      </c>
      <c r="AU262">
        <v>0</v>
      </c>
      <c r="AV262" s="122">
        <v>19635</v>
      </c>
    </row>
    <row r="263" spans="2:48" ht="12.75" hidden="1" customHeight="1">
      <c r="B263" t="s">
        <v>364</v>
      </c>
      <c r="C263" t="s">
        <v>56</v>
      </c>
      <c r="D263" t="s">
        <v>406</v>
      </c>
      <c r="E263" t="s">
        <v>426</v>
      </c>
      <c r="F263">
        <v>1</v>
      </c>
      <c r="G263" s="122">
        <v>93</v>
      </c>
      <c r="H263" s="122">
        <v>191</v>
      </c>
      <c r="I263" s="122">
        <v>10236</v>
      </c>
      <c r="J263" s="122">
        <v>9305</v>
      </c>
      <c r="K263">
        <v>94</v>
      </c>
      <c r="L263" s="122">
        <v>1564</v>
      </c>
      <c r="M263" s="122">
        <v>1422</v>
      </c>
      <c r="N263" s="122">
        <v>1367</v>
      </c>
      <c r="O263" s="122">
        <v>506</v>
      </c>
      <c r="P263" s="122">
        <v>621</v>
      </c>
      <c r="Q263" s="122">
        <v>230</v>
      </c>
      <c r="R263" s="122">
        <v>2202</v>
      </c>
      <c r="S263" s="122">
        <v>2002</v>
      </c>
      <c r="T263" s="122">
        <v>1836</v>
      </c>
      <c r="U263">
        <v>680</v>
      </c>
      <c r="V263" s="122">
        <v>14145</v>
      </c>
      <c r="W263" s="122">
        <f t="shared" ref="W263:W326" si="8">SUM(ABS(J263),ABS(M263),ABS(O263),ABS(Q263),ABS(S263),ABS(U263))</f>
        <v>14145</v>
      </c>
      <c r="X263" s="122">
        <f t="shared" ref="X263:X326" si="9">SUM(ABS(I263),ABS(N263),ABS(P263),ABS(R263),ABS(T263),ABS(L263))</f>
        <v>17826</v>
      </c>
      <c r="Y263" s="122"/>
      <c r="AA263" t="s">
        <v>50</v>
      </c>
      <c r="AB263" t="s">
        <v>408</v>
      </c>
      <c r="AC263" t="s">
        <v>426</v>
      </c>
      <c r="AD263" t="s">
        <v>408</v>
      </c>
      <c r="AE263" t="s">
        <v>137</v>
      </c>
      <c r="AF263">
        <v>1</v>
      </c>
      <c r="AG263" s="122">
        <v>306</v>
      </c>
      <c r="AH263">
        <v>97</v>
      </c>
      <c r="AI263" s="122">
        <v>16389</v>
      </c>
      <c r="AJ263" s="122">
        <v>14899</v>
      </c>
      <c r="AK263">
        <v>95</v>
      </c>
      <c r="AL263" s="122">
        <v>5791</v>
      </c>
      <c r="AM263" s="122">
        <v>5264</v>
      </c>
      <c r="AN263" s="122">
        <v>3728</v>
      </c>
      <c r="AO263" s="122">
        <v>1381</v>
      </c>
      <c r="AP263" s="122">
        <v>351</v>
      </c>
      <c r="AQ263" s="122">
        <v>130</v>
      </c>
      <c r="AR263" s="122">
        <v>2716</v>
      </c>
      <c r="AS263" s="122">
        <v>2469</v>
      </c>
      <c r="AT263">
        <v>685</v>
      </c>
      <c r="AU263">
        <v>254</v>
      </c>
      <c r="AV263" s="122">
        <v>24397</v>
      </c>
    </row>
    <row r="264" spans="2:48" ht="12.75" hidden="1" customHeight="1">
      <c r="B264" t="s">
        <v>364</v>
      </c>
      <c r="C264" t="s">
        <v>56</v>
      </c>
      <c r="D264" t="s">
        <v>406</v>
      </c>
      <c r="E264" t="s">
        <v>433</v>
      </c>
      <c r="F264">
        <v>1</v>
      </c>
      <c r="G264" s="122">
        <v>162</v>
      </c>
      <c r="H264" s="122">
        <v>209</v>
      </c>
      <c r="I264" s="122">
        <v>20383</v>
      </c>
      <c r="J264" s="122">
        <v>18530</v>
      </c>
      <c r="K264">
        <v>70</v>
      </c>
      <c r="L264" s="122">
        <v>5020</v>
      </c>
      <c r="M264" s="122">
        <v>4564</v>
      </c>
      <c r="N264" s="122">
        <v>3957</v>
      </c>
      <c r="O264" s="122">
        <v>1466</v>
      </c>
      <c r="P264" s="122">
        <v>621</v>
      </c>
      <c r="Q264" s="122">
        <v>230</v>
      </c>
      <c r="R264" s="122">
        <v>3968</v>
      </c>
      <c r="S264" s="122">
        <v>3607</v>
      </c>
      <c r="T264" s="122">
        <v>0</v>
      </c>
      <c r="U264" s="122">
        <v>0</v>
      </c>
      <c r="V264" s="122">
        <v>28397</v>
      </c>
      <c r="W264" s="122">
        <f t="shared" si="8"/>
        <v>28397</v>
      </c>
      <c r="X264" s="122">
        <f t="shared" si="9"/>
        <v>33949</v>
      </c>
      <c r="Y264" s="122"/>
      <c r="AA264" t="s">
        <v>50</v>
      </c>
      <c r="AB264" t="s">
        <v>408</v>
      </c>
      <c r="AC264" t="s">
        <v>426</v>
      </c>
      <c r="AD264" t="s">
        <v>408</v>
      </c>
      <c r="AE264" t="s">
        <v>566</v>
      </c>
      <c r="AF264">
        <v>9</v>
      </c>
      <c r="AG264" s="122">
        <v>2535</v>
      </c>
      <c r="AH264">
        <v>834</v>
      </c>
      <c r="AI264" s="122">
        <v>131746</v>
      </c>
      <c r="AJ264" s="122">
        <v>119769</v>
      </c>
      <c r="AK264">
        <v>87</v>
      </c>
      <c r="AL264" s="122">
        <v>19215</v>
      </c>
      <c r="AM264" s="122">
        <v>17468</v>
      </c>
      <c r="AN264" s="122">
        <v>41230</v>
      </c>
      <c r="AO264" s="122">
        <v>15271</v>
      </c>
      <c r="AP264" s="122">
        <v>4914</v>
      </c>
      <c r="AQ264" s="122">
        <v>1820</v>
      </c>
      <c r="AR264" s="122">
        <v>52183</v>
      </c>
      <c r="AS264" s="122">
        <v>47439</v>
      </c>
      <c r="AT264">
        <v>0</v>
      </c>
      <c r="AU264">
        <v>0</v>
      </c>
      <c r="AV264" s="122">
        <v>201767</v>
      </c>
    </row>
    <row r="265" spans="2:48" ht="12.75" hidden="1" customHeight="1">
      <c r="B265" t="s">
        <v>364</v>
      </c>
      <c r="C265" t="s">
        <v>56</v>
      </c>
      <c r="D265" t="s">
        <v>427</v>
      </c>
      <c r="E265" t="s">
        <v>427</v>
      </c>
      <c r="F265">
        <v>1</v>
      </c>
      <c r="G265" s="122">
        <v>110</v>
      </c>
      <c r="H265" s="122">
        <v>206</v>
      </c>
      <c r="I265" s="122">
        <v>19982</v>
      </c>
      <c r="J265" s="122">
        <v>18166</v>
      </c>
      <c r="K265">
        <v>62</v>
      </c>
      <c r="L265" s="122">
        <v>2220</v>
      </c>
      <c r="M265" s="122">
        <v>2018</v>
      </c>
      <c r="N265" s="122">
        <v>4101</v>
      </c>
      <c r="O265" s="122">
        <v>1519</v>
      </c>
      <c r="P265" s="122">
        <v>351</v>
      </c>
      <c r="Q265" s="122">
        <v>130</v>
      </c>
      <c r="R265" s="122">
        <v>5809</v>
      </c>
      <c r="S265" s="122">
        <v>5281</v>
      </c>
      <c r="T265" s="122">
        <v>3267</v>
      </c>
      <c r="U265" s="122">
        <v>1210</v>
      </c>
      <c r="V265" s="122">
        <v>28324</v>
      </c>
      <c r="W265" s="122">
        <f t="shared" si="8"/>
        <v>28324</v>
      </c>
      <c r="X265" s="122">
        <f t="shared" si="9"/>
        <v>35730</v>
      </c>
      <c r="Y265" s="122"/>
      <c r="AA265" t="s">
        <v>50</v>
      </c>
      <c r="AB265" t="s">
        <v>408</v>
      </c>
      <c r="AC265" t="s">
        <v>566</v>
      </c>
      <c r="AD265" t="s">
        <v>408</v>
      </c>
      <c r="AE265" t="s">
        <v>137</v>
      </c>
      <c r="AF265">
        <v>8</v>
      </c>
      <c r="AG265" s="122">
        <v>867</v>
      </c>
      <c r="AH265">
        <v>727</v>
      </c>
      <c r="AI265" s="122">
        <v>49415</v>
      </c>
      <c r="AJ265" s="122">
        <v>44922</v>
      </c>
      <c r="AK265">
        <v>94</v>
      </c>
      <c r="AL265">
        <v>0</v>
      </c>
      <c r="AM265" s="122">
        <v>1481</v>
      </c>
      <c r="AN265" s="122">
        <v>10564</v>
      </c>
      <c r="AO265" s="122">
        <v>3912</v>
      </c>
      <c r="AP265" s="122">
        <v>10865</v>
      </c>
      <c r="AQ265" s="122">
        <v>4024</v>
      </c>
      <c r="AR265" s="122">
        <v>7967</v>
      </c>
      <c r="AS265" s="122">
        <v>7243</v>
      </c>
      <c r="AT265">
        <v>0</v>
      </c>
      <c r="AU265">
        <v>0</v>
      </c>
      <c r="AV265" s="122">
        <v>61583</v>
      </c>
    </row>
    <row r="266" spans="2:48" ht="12.75" hidden="1" customHeight="1">
      <c r="B266" t="s">
        <v>364</v>
      </c>
      <c r="C266" t="s">
        <v>56</v>
      </c>
      <c r="D266" t="s">
        <v>407</v>
      </c>
      <c r="E266" t="s">
        <v>427</v>
      </c>
      <c r="F266">
        <v>1</v>
      </c>
      <c r="G266">
        <v>111</v>
      </c>
      <c r="H266">
        <v>196</v>
      </c>
      <c r="I266" s="122">
        <v>20004</v>
      </c>
      <c r="J266" s="122">
        <v>18185</v>
      </c>
      <c r="K266">
        <v>73</v>
      </c>
      <c r="L266" s="122">
        <v>5142</v>
      </c>
      <c r="M266" s="122">
        <v>4674</v>
      </c>
      <c r="N266" s="122">
        <v>2297</v>
      </c>
      <c r="O266">
        <v>851</v>
      </c>
      <c r="P266" s="122">
        <v>473</v>
      </c>
      <c r="Q266">
        <v>175</v>
      </c>
      <c r="R266" s="122">
        <v>4924</v>
      </c>
      <c r="S266" s="122">
        <v>4476</v>
      </c>
      <c r="T266" s="122">
        <v>4128</v>
      </c>
      <c r="U266" s="122">
        <v>1529</v>
      </c>
      <c r="V266" s="122">
        <v>29890</v>
      </c>
      <c r="W266" s="122">
        <f t="shared" si="8"/>
        <v>29890</v>
      </c>
      <c r="X266" s="122">
        <f t="shared" si="9"/>
        <v>36968</v>
      </c>
      <c r="Y266" s="122"/>
      <c r="AA266" t="s">
        <v>50</v>
      </c>
      <c r="AB266" t="s">
        <v>408</v>
      </c>
      <c r="AC266" t="s">
        <v>566</v>
      </c>
      <c r="AD266" t="s">
        <v>408</v>
      </c>
      <c r="AE266" t="s">
        <v>566</v>
      </c>
      <c r="AF266">
        <v>5</v>
      </c>
      <c r="AG266" s="122">
        <v>1159</v>
      </c>
      <c r="AH266">
        <v>470</v>
      </c>
      <c r="AI266" s="122">
        <v>64053</v>
      </c>
      <c r="AJ266" s="122">
        <v>58230</v>
      </c>
      <c r="AK266">
        <v>89</v>
      </c>
      <c r="AL266" s="122">
        <v>0</v>
      </c>
      <c r="AM266" s="122">
        <v>6777</v>
      </c>
      <c r="AN266" s="122">
        <v>19068</v>
      </c>
      <c r="AO266" s="122">
        <v>7062</v>
      </c>
      <c r="AP266" s="122">
        <v>9020</v>
      </c>
      <c r="AQ266" s="122">
        <v>3341</v>
      </c>
      <c r="AR266" s="122">
        <v>18049</v>
      </c>
      <c r="AS266" s="122">
        <v>16408</v>
      </c>
      <c r="AT266">
        <v>0</v>
      </c>
      <c r="AU266">
        <v>0</v>
      </c>
      <c r="AV266" s="122">
        <v>91817</v>
      </c>
    </row>
    <row r="267" spans="2:48" ht="12.75" hidden="1" customHeight="1">
      <c r="B267" t="s">
        <v>364</v>
      </c>
      <c r="C267" t="s">
        <v>56</v>
      </c>
      <c r="D267" t="s">
        <v>407</v>
      </c>
      <c r="E267" t="s">
        <v>407</v>
      </c>
      <c r="F267" s="122">
        <v>330</v>
      </c>
      <c r="G267" s="122">
        <v>55181</v>
      </c>
      <c r="H267" s="122">
        <v>61529</v>
      </c>
      <c r="I267" s="122">
        <v>5566369</v>
      </c>
      <c r="J267" s="122">
        <v>5060335</v>
      </c>
      <c r="K267">
        <v>83</v>
      </c>
      <c r="L267" s="122">
        <v>1386887</v>
      </c>
      <c r="M267" s="122">
        <v>1238983</v>
      </c>
      <c r="N267" s="122">
        <v>1141093</v>
      </c>
      <c r="O267" s="122">
        <v>422627</v>
      </c>
      <c r="P267" s="122">
        <v>168772</v>
      </c>
      <c r="Q267" s="122">
        <v>62508</v>
      </c>
      <c r="R267" s="122">
        <v>1815119</v>
      </c>
      <c r="S267" s="122">
        <v>1650108</v>
      </c>
      <c r="T267" s="122">
        <v>321764</v>
      </c>
      <c r="U267" s="122">
        <v>119172</v>
      </c>
      <c r="V267" s="122">
        <v>8553733</v>
      </c>
      <c r="W267" s="122">
        <f t="shared" si="8"/>
        <v>8553733</v>
      </c>
      <c r="X267" s="122">
        <f t="shared" si="9"/>
        <v>10400004</v>
      </c>
      <c r="Y267" s="122"/>
      <c r="AA267" t="s">
        <v>50</v>
      </c>
      <c r="AB267" t="s">
        <v>408</v>
      </c>
      <c r="AC267" t="s">
        <v>433</v>
      </c>
      <c r="AD267" t="s">
        <v>408</v>
      </c>
      <c r="AE267" t="s">
        <v>566</v>
      </c>
      <c r="AF267">
        <v>6</v>
      </c>
      <c r="AG267" s="122">
        <v>1717</v>
      </c>
      <c r="AH267">
        <v>540</v>
      </c>
      <c r="AI267" s="122">
        <v>81278</v>
      </c>
      <c r="AJ267" s="122">
        <v>73889</v>
      </c>
      <c r="AK267">
        <v>89</v>
      </c>
      <c r="AL267" s="122">
        <v>12176</v>
      </c>
      <c r="AM267" s="122">
        <v>11069</v>
      </c>
      <c r="AN267" s="122">
        <v>36696</v>
      </c>
      <c r="AO267" s="122">
        <v>13591</v>
      </c>
      <c r="AP267" s="122">
        <v>15825</v>
      </c>
      <c r="AQ267" s="122">
        <v>5861</v>
      </c>
      <c r="AR267" s="122">
        <v>26106</v>
      </c>
      <c r="AS267" s="122">
        <v>23732</v>
      </c>
      <c r="AT267">
        <v>0</v>
      </c>
      <c r="AU267">
        <v>0</v>
      </c>
      <c r="AV267" s="122">
        <v>128143</v>
      </c>
    </row>
    <row r="268" spans="2:48" ht="12.75" hidden="1" customHeight="1">
      <c r="B268" t="s">
        <v>364</v>
      </c>
      <c r="C268" t="s">
        <v>56</v>
      </c>
      <c r="D268" t="s">
        <v>556</v>
      </c>
      <c r="E268" t="s">
        <v>556</v>
      </c>
      <c r="F268">
        <v>4</v>
      </c>
      <c r="G268" s="122">
        <v>450</v>
      </c>
      <c r="H268" s="122">
        <v>864</v>
      </c>
      <c r="I268" s="122">
        <v>57618</v>
      </c>
      <c r="J268" s="122">
        <v>48015</v>
      </c>
      <c r="K268">
        <v>67</v>
      </c>
      <c r="L268" s="122">
        <v>3611</v>
      </c>
      <c r="M268" s="122">
        <v>3282</v>
      </c>
      <c r="N268" s="122">
        <v>6931</v>
      </c>
      <c r="O268" s="122">
        <v>2567</v>
      </c>
      <c r="P268" s="122">
        <v>1944</v>
      </c>
      <c r="Q268" s="122">
        <v>720</v>
      </c>
      <c r="R268" s="122">
        <v>21117</v>
      </c>
      <c r="S268" s="122">
        <v>17598</v>
      </c>
      <c r="T268" s="122">
        <v>6992</v>
      </c>
      <c r="U268" s="122">
        <v>2590</v>
      </c>
      <c r="V268" s="122">
        <v>74772</v>
      </c>
      <c r="W268" s="122">
        <f t="shared" si="8"/>
        <v>74772</v>
      </c>
      <c r="X268" s="122">
        <f t="shared" si="9"/>
        <v>98213</v>
      </c>
      <c r="Y268" s="122"/>
      <c r="AA268" t="s">
        <v>50</v>
      </c>
      <c r="AB268" t="s">
        <v>408</v>
      </c>
      <c r="AC268" t="s">
        <v>408</v>
      </c>
      <c r="AD268" t="s">
        <v>408</v>
      </c>
      <c r="AE268" t="s">
        <v>566</v>
      </c>
      <c r="AF268">
        <v>2</v>
      </c>
      <c r="AG268">
        <v>312</v>
      </c>
      <c r="AH268">
        <v>176</v>
      </c>
      <c r="AI268" s="122">
        <v>13954</v>
      </c>
      <c r="AJ268" s="122">
        <v>12686</v>
      </c>
      <c r="AK268">
        <v>86</v>
      </c>
      <c r="AL268" s="122">
        <v>1879</v>
      </c>
      <c r="AM268" s="122">
        <v>1708</v>
      </c>
      <c r="AN268" s="122">
        <v>3805</v>
      </c>
      <c r="AO268" s="122">
        <v>1409</v>
      </c>
      <c r="AP268">
        <v>351</v>
      </c>
      <c r="AQ268">
        <v>130</v>
      </c>
      <c r="AR268" s="122">
        <v>6594</v>
      </c>
      <c r="AS268" s="122">
        <v>5994</v>
      </c>
      <c r="AT268">
        <v>0</v>
      </c>
      <c r="AU268">
        <v>0</v>
      </c>
      <c r="AV268" s="122">
        <v>21927</v>
      </c>
    </row>
    <row r="269" spans="2:48" ht="12.75" hidden="1" customHeight="1">
      <c r="B269" t="s">
        <v>364</v>
      </c>
      <c r="C269" t="s">
        <v>56</v>
      </c>
      <c r="D269" t="s">
        <v>426</v>
      </c>
      <c r="E269" t="s">
        <v>426</v>
      </c>
      <c r="F269">
        <v>17</v>
      </c>
      <c r="G269" s="122">
        <v>2548</v>
      </c>
      <c r="H269" s="122">
        <v>3426</v>
      </c>
      <c r="I269" s="122">
        <v>339789</v>
      </c>
      <c r="J269" s="122">
        <v>308899</v>
      </c>
      <c r="K269">
        <v>65</v>
      </c>
      <c r="L269" s="122">
        <v>34214</v>
      </c>
      <c r="M269" s="122">
        <v>28739</v>
      </c>
      <c r="N269" s="122">
        <v>46451</v>
      </c>
      <c r="O269" s="122">
        <v>17204</v>
      </c>
      <c r="P269" s="122">
        <v>10016</v>
      </c>
      <c r="Q269" s="122">
        <v>3710</v>
      </c>
      <c r="R269" s="122">
        <v>83903</v>
      </c>
      <c r="S269" s="122">
        <v>76276</v>
      </c>
      <c r="T269" s="122">
        <v>23828</v>
      </c>
      <c r="U269" s="122">
        <v>8825</v>
      </c>
      <c r="V269" s="122">
        <v>443653</v>
      </c>
      <c r="W269" s="122">
        <f t="shared" si="8"/>
        <v>443653</v>
      </c>
      <c r="X269" s="122">
        <f t="shared" si="9"/>
        <v>538201</v>
      </c>
      <c r="Y269" s="122"/>
      <c r="AA269" t="s">
        <v>50</v>
      </c>
      <c r="AB269" t="s">
        <v>408</v>
      </c>
      <c r="AC269" t="s">
        <v>429</v>
      </c>
      <c r="AD269" t="s">
        <v>408</v>
      </c>
      <c r="AE269" t="s">
        <v>566</v>
      </c>
      <c r="AF269">
        <v>1</v>
      </c>
      <c r="AG269">
        <v>241</v>
      </c>
      <c r="AH269">
        <v>95</v>
      </c>
      <c r="AI269" s="122">
        <v>13205</v>
      </c>
      <c r="AJ269" s="122">
        <v>12004</v>
      </c>
      <c r="AK269">
        <v>90</v>
      </c>
      <c r="AL269" s="122">
        <v>2025</v>
      </c>
      <c r="AM269" s="122">
        <v>1841</v>
      </c>
      <c r="AN269" s="122">
        <v>2939</v>
      </c>
      <c r="AO269" s="122">
        <v>1088</v>
      </c>
      <c r="AP269">
        <v>351</v>
      </c>
      <c r="AQ269">
        <v>130</v>
      </c>
      <c r="AR269" s="122">
        <v>4334</v>
      </c>
      <c r="AS269" s="122">
        <v>3940</v>
      </c>
      <c r="AT269">
        <v>0</v>
      </c>
      <c r="AU269">
        <v>0</v>
      </c>
      <c r="AV269" s="122">
        <v>19004</v>
      </c>
    </row>
    <row r="270" spans="2:48" ht="12.75" hidden="1" customHeight="1">
      <c r="B270" t="s">
        <v>364</v>
      </c>
      <c r="C270" t="s">
        <v>56</v>
      </c>
      <c r="D270" t="s">
        <v>433</v>
      </c>
      <c r="E270" t="s">
        <v>433</v>
      </c>
      <c r="F270">
        <v>3</v>
      </c>
      <c r="G270" s="122">
        <v>320</v>
      </c>
      <c r="H270" s="122">
        <v>610</v>
      </c>
      <c r="I270" s="122">
        <v>64238</v>
      </c>
      <c r="J270" s="122">
        <v>58398</v>
      </c>
      <c r="K270">
        <v>70</v>
      </c>
      <c r="L270" s="122">
        <v>3754</v>
      </c>
      <c r="M270" s="122">
        <v>3412</v>
      </c>
      <c r="N270" s="122">
        <v>7489</v>
      </c>
      <c r="O270" s="122">
        <v>2774</v>
      </c>
      <c r="P270" s="122">
        <v>1404</v>
      </c>
      <c r="Q270" s="122">
        <v>520</v>
      </c>
      <c r="R270" s="122">
        <v>12892</v>
      </c>
      <c r="S270" s="122">
        <v>11720</v>
      </c>
      <c r="T270" s="122">
        <v>4921</v>
      </c>
      <c r="U270" s="122">
        <v>1823</v>
      </c>
      <c r="V270" s="122">
        <v>78647</v>
      </c>
      <c r="W270" s="122">
        <f t="shared" si="8"/>
        <v>78647</v>
      </c>
      <c r="X270" s="122">
        <f t="shared" si="9"/>
        <v>94698</v>
      </c>
      <c r="Y270" s="122"/>
      <c r="AA270" t="s">
        <v>50</v>
      </c>
      <c r="AB270" t="s">
        <v>429</v>
      </c>
      <c r="AC270" t="s">
        <v>566</v>
      </c>
      <c r="AD270" t="s">
        <v>429</v>
      </c>
      <c r="AE270" t="s">
        <v>137</v>
      </c>
      <c r="AF270">
        <v>1</v>
      </c>
      <c r="AG270">
        <v>162</v>
      </c>
      <c r="AH270">
        <v>84</v>
      </c>
      <c r="AI270" s="122">
        <v>7084</v>
      </c>
      <c r="AJ270" s="122">
        <v>6440</v>
      </c>
      <c r="AK270">
        <v>83</v>
      </c>
      <c r="AL270">
        <v>0</v>
      </c>
      <c r="AM270">
        <v>0</v>
      </c>
      <c r="AN270" s="122">
        <v>1975</v>
      </c>
      <c r="AO270">
        <v>731</v>
      </c>
      <c r="AP270" s="122">
        <v>351</v>
      </c>
      <c r="AQ270">
        <v>130</v>
      </c>
      <c r="AR270" s="122">
        <v>4237</v>
      </c>
      <c r="AS270" s="122">
        <v>3852</v>
      </c>
      <c r="AT270">
        <v>0</v>
      </c>
      <c r="AU270">
        <v>0</v>
      </c>
      <c r="AV270" s="122">
        <v>11153</v>
      </c>
    </row>
    <row r="271" spans="2:48" ht="12.75" hidden="1" customHeight="1">
      <c r="B271" t="s">
        <v>364</v>
      </c>
      <c r="C271" t="s">
        <v>56</v>
      </c>
      <c r="D271" t="s">
        <v>408</v>
      </c>
      <c r="E271" t="s">
        <v>408</v>
      </c>
      <c r="F271">
        <v>16</v>
      </c>
      <c r="G271" s="122">
        <v>3391</v>
      </c>
      <c r="H271" s="122">
        <v>2935</v>
      </c>
      <c r="I271" s="122">
        <v>373157</v>
      </c>
      <c r="J271" s="122">
        <v>339234</v>
      </c>
      <c r="K271">
        <v>76</v>
      </c>
      <c r="L271" s="122">
        <v>66661</v>
      </c>
      <c r="M271" s="122">
        <v>55130</v>
      </c>
      <c r="N271" s="122">
        <v>63102</v>
      </c>
      <c r="O271" s="122">
        <v>23371</v>
      </c>
      <c r="P271" s="122">
        <v>7020</v>
      </c>
      <c r="Q271" s="122">
        <v>2600</v>
      </c>
      <c r="R271" s="122">
        <v>82735</v>
      </c>
      <c r="S271" s="122">
        <v>75214</v>
      </c>
      <c r="T271" s="122">
        <v>26008</v>
      </c>
      <c r="U271" s="122">
        <v>9633</v>
      </c>
      <c r="V271" s="122">
        <v>505182</v>
      </c>
      <c r="W271" s="122">
        <f t="shared" si="8"/>
        <v>505182</v>
      </c>
      <c r="X271" s="122">
        <f t="shared" si="9"/>
        <v>618683</v>
      </c>
      <c r="Y271" s="122"/>
      <c r="AA271" t="s">
        <v>50</v>
      </c>
      <c r="AB271" t="s">
        <v>429</v>
      </c>
      <c r="AC271" t="s">
        <v>566</v>
      </c>
      <c r="AD271" t="s">
        <v>429</v>
      </c>
      <c r="AE271" t="s">
        <v>566</v>
      </c>
      <c r="AF271">
        <v>1</v>
      </c>
      <c r="AG271">
        <v>156</v>
      </c>
      <c r="AH271">
        <v>95</v>
      </c>
      <c r="AI271" s="122">
        <v>8182</v>
      </c>
      <c r="AJ271" s="122">
        <v>7438</v>
      </c>
      <c r="AK271">
        <v>96</v>
      </c>
      <c r="AL271">
        <v>0</v>
      </c>
      <c r="AM271">
        <v>0</v>
      </c>
      <c r="AN271" s="122">
        <v>2090</v>
      </c>
      <c r="AO271" s="122">
        <v>774</v>
      </c>
      <c r="AP271" s="122">
        <v>1649</v>
      </c>
      <c r="AQ271">
        <v>611</v>
      </c>
      <c r="AR271" s="122">
        <v>2949</v>
      </c>
      <c r="AS271" s="122">
        <v>2681</v>
      </c>
      <c r="AT271">
        <v>0</v>
      </c>
      <c r="AU271">
        <v>0</v>
      </c>
      <c r="AV271" s="122">
        <v>11505</v>
      </c>
    </row>
    <row r="272" spans="2:48" ht="12.75" hidden="1" customHeight="1">
      <c r="B272" t="s">
        <v>364</v>
      </c>
      <c r="C272" t="s">
        <v>56</v>
      </c>
      <c r="D272" t="s">
        <v>408</v>
      </c>
      <c r="E272" t="s">
        <v>429</v>
      </c>
      <c r="F272">
        <v>1</v>
      </c>
      <c r="G272" s="122">
        <v>130</v>
      </c>
      <c r="H272" s="122">
        <v>169</v>
      </c>
      <c r="I272" s="122">
        <v>21299</v>
      </c>
      <c r="J272" s="122">
        <v>19362</v>
      </c>
      <c r="K272">
        <v>85</v>
      </c>
      <c r="L272" s="122">
        <v>2938</v>
      </c>
      <c r="M272" s="122">
        <v>2671</v>
      </c>
      <c r="N272" s="122">
        <v>2895</v>
      </c>
      <c r="O272" s="122">
        <v>1072</v>
      </c>
      <c r="P272" s="122">
        <v>2784</v>
      </c>
      <c r="Q272" s="122">
        <v>1031</v>
      </c>
      <c r="R272" s="122">
        <v>3635</v>
      </c>
      <c r="S272" s="122">
        <v>3305</v>
      </c>
      <c r="T272" s="122">
        <v>0</v>
      </c>
      <c r="U272" s="122">
        <v>0</v>
      </c>
      <c r="V272" s="122">
        <v>27441</v>
      </c>
      <c r="W272" s="122">
        <f t="shared" si="8"/>
        <v>27441</v>
      </c>
      <c r="X272" s="122">
        <f t="shared" si="9"/>
        <v>33551</v>
      </c>
      <c r="Y272" s="122"/>
      <c r="AA272" t="s">
        <v>52</v>
      </c>
      <c r="AC272" t="s">
        <v>566</v>
      </c>
      <c r="AE272" t="s">
        <v>566</v>
      </c>
      <c r="AF272">
        <v>4</v>
      </c>
      <c r="AG272">
        <v>479</v>
      </c>
      <c r="AH272">
        <v>453</v>
      </c>
      <c r="AI272" s="122"/>
      <c r="AJ272" s="122">
        <v>0</v>
      </c>
      <c r="AL272" s="122"/>
      <c r="AM272" s="122">
        <v>0</v>
      </c>
      <c r="AN272" s="122">
        <v>7664</v>
      </c>
      <c r="AO272" s="122">
        <v>2838</v>
      </c>
      <c r="AP272" s="122">
        <v>1404</v>
      </c>
      <c r="AQ272">
        <v>520</v>
      </c>
      <c r="AR272" s="122"/>
      <c r="AS272" s="122">
        <v>0</v>
      </c>
      <c r="AT272">
        <v>0</v>
      </c>
      <c r="AU272">
        <v>0</v>
      </c>
      <c r="AV272" s="122">
        <v>3358</v>
      </c>
    </row>
    <row r="273" spans="2:48" ht="12.75" hidden="1" customHeight="1">
      <c r="B273" t="s">
        <v>364</v>
      </c>
      <c r="C273" t="s">
        <v>56</v>
      </c>
      <c r="D273" t="s">
        <v>429</v>
      </c>
      <c r="E273" t="s">
        <v>429</v>
      </c>
      <c r="F273">
        <v>1</v>
      </c>
      <c r="G273">
        <v>144</v>
      </c>
      <c r="H273">
        <v>172</v>
      </c>
      <c r="I273" s="122">
        <v>15542</v>
      </c>
      <c r="J273" s="122">
        <v>14129</v>
      </c>
      <c r="K273">
        <v>94</v>
      </c>
      <c r="L273" s="122">
        <v>2492</v>
      </c>
      <c r="M273" s="122">
        <v>2265</v>
      </c>
      <c r="N273" s="122">
        <v>1751</v>
      </c>
      <c r="O273" s="122">
        <v>649</v>
      </c>
      <c r="P273" s="122">
        <v>351</v>
      </c>
      <c r="Q273">
        <v>130</v>
      </c>
      <c r="R273" s="122">
        <v>4598</v>
      </c>
      <c r="S273" s="122">
        <v>4180</v>
      </c>
      <c r="T273">
        <v>0</v>
      </c>
      <c r="U273">
        <v>0</v>
      </c>
      <c r="V273" s="122">
        <v>21353</v>
      </c>
      <c r="W273" s="122">
        <f t="shared" si="8"/>
        <v>21353</v>
      </c>
      <c r="X273" s="122">
        <f t="shared" si="9"/>
        <v>24734</v>
      </c>
      <c r="Y273" s="122"/>
      <c r="AA273" t="s">
        <v>52</v>
      </c>
      <c r="AB273" t="s">
        <v>425</v>
      </c>
      <c r="AC273" t="s">
        <v>425</v>
      </c>
      <c r="AD273" t="s">
        <v>425</v>
      </c>
      <c r="AE273" t="s">
        <v>566</v>
      </c>
      <c r="AF273">
        <v>1</v>
      </c>
      <c r="AG273">
        <v>159</v>
      </c>
      <c r="AH273">
        <v>111</v>
      </c>
      <c r="AI273" s="122">
        <v>16445</v>
      </c>
      <c r="AJ273" s="122">
        <v>14950</v>
      </c>
      <c r="AK273">
        <v>91</v>
      </c>
      <c r="AL273" s="122">
        <v>2181</v>
      </c>
      <c r="AM273" s="122">
        <v>1982</v>
      </c>
      <c r="AN273" s="122">
        <v>3024</v>
      </c>
      <c r="AO273" s="122">
        <v>1120</v>
      </c>
      <c r="AP273">
        <v>473</v>
      </c>
      <c r="AQ273">
        <v>175</v>
      </c>
      <c r="AR273" s="122">
        <v>5475</v>
      </c>
      <c r="AS273" s="122">
        <v>4977</v>
      </c>
      <c r="AT273">
        <v>0</v>
      </c>
      <c r="AU273">
        <v>0</v>
      </c>
      <c r="AV273" s="122">
        <v>23205</v>
      </c>
    </row>
    <row r="274" spans="2:48" ht="12.75" hidden="1" customHeight="1">
      <c r="B274" t="s">
        <v>364</v>
      </c>
      <c r="C274" t="s">
        <v>58</v>
      </c>
      <c r="F274">
        <v>1</v>
      </c>
      <c r="G274" s="122">
        <v>141</v>
      </c>
      <c r="H274" s="122">
        <v>252</v>
      </c>
      <c r="I274" s="122"/>
      <c r="J274" s="122">
        <v>0</v>
      </c>
      <c r="L274" s="122"/>
      <c r="M274" s="122">
        <v>0</v>
      </c>
      <c r="N274" s="122">
        <v>3263</v>
      </c>
      <c r="O274" s="122">
        <v>1209</v>
      </c>
      <c r="P274" s="122">
        <v>0</v>
      </c>
      <c r="Q274" s="122">
        <v>0</v>
      </c>
      <c r="R274" s="122"/>
      <c r="S274" s="122">
        <v>0</v>
      </c>
      <c r="T274" s="122">
        <v>0</v>
      </c>
      <c r="U274">
        <v>0</v>
      </c>
      <c r="V274" s="122">
        <v>1209</v>
      </c>
      <c r="W274" s="122">
        <f t="shared" si="8"/>
        <v>1209</v>
      </c>
      <c r="X274" s="122">
        <f t="shared" si="9"/>
        <v>3263</v>
      </c>
      <c r="Y274" s="122"/>
      <c r="AA274" t="s">
        <v>52</v>
      </c>
      <c r="AB274" t="s">
        <v>425</v>
      </c>
      <c r="AC274" t="s">
        <v>427</v>
      </c>
      <c r="AD274" t="s">
        <v>425</v>
      </c>
      <c r="AE274" t="s">
        <v>566</v>
      </c>
      <c r="AF274">
        <v>1</v>
      </c>
      <c r="AG274">
        <v>200</v>
      </c>
      <c r="AH274">
        <v>119</v>
      </c>
      <c r="AI274" s="122">
        <v>14854</v>
      </c>
      <c r="AJ274" s="122">
        <v>13504</v>
      </c>
      <c r="AK274">
        <v>93</v>
      </c>
      <c r="AL274" s="122">
        <v>2547</v>
      </c>
      <c r="AM274" s="122">
        <v>2316</v>
      </c>
      <c r="AN274" s="122">
        <v>2439</v>
      </c>
      <c r="AO274" s="122">
        <v>903</v>
      </c>
      <c r="AP274">
        <v>473</v>
      </c>
      <c r="AQ274">
        <v>175</v>
      </c>
      <c r="AR274" s="122">
        <v>3547</v>
      </c>
      <c r="AS274" s="122">
        <v>3224</v>
      </c>
      <c r="AT274">
        <v>0</v>
      </c>
      <c r="AU274">
        <v>0</v>
      </c>
      <c r="AV274" s="122">
        <v>20122</v>
      </c>
    </row>
    <row r="275" spans="2:48" ht="12.75" hidden="1" customHeight="1">
      <c r="B275" t="s">
        <v>364</v>
      </c>
      <c r="C275" t="s">
        <v>58</v>
      </c>
      <c r="D275" t="s">
        <v>555</v>
      </c>
      <c r="E275" t="s">
        <v>555</v>
      </c>
      <c r="F275">
        <v>1</v>
      </c>
      <c r="G275">
        <v>161</v>
      </c>
      <c r="H275" s="122">
        <v>264</v>
      </c>
      <c r="I275" s="122">
        <v>22183</v>
      </c>
      <c r="J275" s="122">
        <v>20166</v>
      </c>
      <c r="K275">
        <v>71</v>
      </c>
      <c r="L275" s="122">
        <v>5866</v>
      </c>
      <c r="M275" s="122">
        <v>5333</v>
      </c>
      <c r="N275" s="122">
        <v>3544</v>
      </c>
      <c r="O275" s="122">
        <v>1313</v>
      </c>
      <c r="P275" s="122">
        <v>351</v>
      </c>
      <c r="Q275" s="122">
        <v>130</v>
      </c>
      <c r="R275" s="122">
        <v>6233</v>
      </c>
      <c r="S275" s="122">
        <v>5667</v>
      </c>
      <c r="T275" s="122">
        <v>4293</v>
      </c>
      <c r="U275" s="122">
        <v>1590</v>
      </c>
      <c r="V275" s="122">
        <v>34198</v>
      </c>
      <c r="W275" s="122">
        <f t="shared" si="8"/>
        <v>34199</v>
      </c>
      <c r="X275" s="122">
        <f t="shared" si="9"/>
        <v>42470</v>
      </c>
      <c r="Y275" s="122"/>
      <c r="AA275" t="s">
        <v>52</v>
      </c>
      <c r="AB275" t="s">
        <v>425</v>
      </c>
      <c r="AC275" t="s">
        <v>426</v>
      </c>
      <c r="AD275" t="s">
        <v>425</v>
      </c>
      <c r="AE275" t="s">
        <v>137</v>
      </c>
      <c r="AF275">
        <v>1</v>
      </c>
      <c r="AG275" s="122">
        <v>283</v>
      </c>
      <c r="AH275">
        <v>124</v>
      </c>
      <c r="AI275" s="122">
        <v>16004</v>
      </c>
      <c r="AJ275" s="122">
        <v>14549</v>
      </c>
      <c r="AK275">
        <v>90</v>
      </c>
      <c r="AL275" s="122">
        <v>5341</v>
      </c>
      <c r="AM275" s="122">
        <v>4855</v>
      </c>
      <c r="AN275" s="122">
        <v>6900</v>
      </c>
      <c r="AO275" s="122">
        <v>2556</v>
      </c>
      <c r="AP275" s="122">
        <v>473</v>
      </c>
      <c r="AQ275" s="122">
        <v>175</v>
      </c>
      <c r="AR275" s="122">
        <v>6450</v>
      </c>
      <c r="AS275" s="122">
        <v>5863</v>
      </c>
      <c r="AT275">
        <v>0</v>
      </c>
      <c r="AU275">
        <v>0</v>
      </c>
      <c r="AV275" s="122">
        <v>27998</v>
      </c>
    </row>
    <row r="276" spans="2:48" ht="12.75" hidden="1" customHeight="1">
      <c r="B276" t="s">
        <v>364</v>
      </c>
      <c r="C276" t="s">
        <v>58</v>
      </c>
      <c r="D276" t="s">
        <v>425</v>
      </c>
      <c r="E276" t="s">
        <v>425</v>
      </c>
      <c r="F276">
        <v>1</v>
      </c>
      <c r="G276">
        <v>126</v>
      </c>
      <c r="H276">
        <v>263</v>
      </c>
      <c r="I276" s="122">
        <v>18478</v>
      </c>
      <c r="J276" s="122">
        <v>16798</v>
      </c>
      <c r="K276">
        <v>65</v>
      </c>
      <c r="L276" s="122">
        <v>4229</v>
      </c>
      <c r="M276" s="122">
        <v>3845</v>
      </c>
      <c r="N276" s="122">
        <v>3061</v>
      </c>
      <c r="O276" s="122">
        <v>1134</v>
      </c>
      <c r="P276" s="122">
        <v>473</v>
      </c>
      <c r="Q276" s="122">
        <v>175</v>
      </c>
      <c r="R276" s="122">
        <v>6837</v>
      </c>
      <c r="S276" s="122">
        <v>6215</v>
      </c>
      <c r="T276" s="122">
        <v>0</v>
      </c>
      <c r="U276" s="122">
        <v>0</v>
      </c>
      <c r="V276" s="122">
        <v>28167</v>
      </c>
      <c r="W276" s="122">
        <f t="shared" si="8"/>
        <v>28167</v>
      </c>
      <c r="X276" s="122">
        <f t="shared" si="9"/>
        <v>33078</v>
      </c>
      <c r="Y276" s="122"/>
      <c r="AA276" t="s">
        <v>52</v>
      </c>
      <c r="AB276" t="s">
        <v>425</v>
      </c>
      <c r="AC276" t="s">
        <v>426</v>
      </c>
      <c r="AD276" t="s">
        <v>425</v>
      </c>
      <c r="AE276" t="s">
        <v>566</v>
      </c>
      <c r="AF276">
        <v>5</v>
      </c>
      <c r="AG276" s="122">
        <v>1260</v>
      </c>
      <c r="AH276">
        <v>556</v>
      </c>
      <c r="AI276" s="122">
        <v>72923</v>
      </c>
      <c r="AJ276" s="122">
        <v>66294</v>
      </c>
      <c r="AK276">
        <v>92</v>
      </c>
      <c r="AL276" s="122">
        <v>9895</v>
      </c>
      <c r="AM276" s="122">
        <v>8995</v>
      </c>
      <c r="AN276" s="122">
        <v>23629</v>
      </c>
      <c r="AO276" s="122">
        <v>8752</v>
      </c>
      <c r="AP276" s="122">
        <v>3996</v>
      </c>
      <c r="AQ276" s="122">
        <v>1480</v>
      </c>
      <c r="AR276" s="122">
        <v>29854</v>
      </c>
      <c r="AS276" s="122">
        <v>27140</v>
      </c>
      <c r="AT276" s="122">
        <v>0</v>
      </c>
      <c r="AU276" s="122">
        <v>0</v>
      </c>
      <c r="AV276" s="122">
        <v>112661</v>
      </c>
    </row>
    <row r="277" spans="2:48" ht="12.75" hidden="1" customHeight="1">
      <c r="B277" t="s">
        <v>364</v>
      </c>
      <c r="C277" t="s">
        <v>58</v>
      </c>
      <c r="D277" t="s">
        <v>425</v>
      </c>
      <c r="E277" t="s">
        <v>406</v>
      </c>
      <c r="F277">
        <v>3</v>
      </c>
      <c r="G277" s="122">
        <v>396</v>
      </c>
      <c r="H277" s="122">
        <v>762</v>
      </c>
      <c r="I277" s="122">
        <v>53660</v>
      </c>
      <c r="J277" s="122">
        <v>48782</v>
      </c>
      <c r="K277">
        <v>80</v>
      </c>
      <c r="L277" s="122">
        <v>13538</v>
      </c>
      <c r="M277" s="122">
        <v>10170</v>
      </c>
      <c r="N277" s="122">
        <v>8949</v>
      </c>
      <c r="O277" s="122">
        <v>3314</v>
      </c>
      <c r="P277" s="122">
        <v>1863</v>
      </c>
      <c r="Q277" s="122">
        <v>690</v>
      </c>
      <c r="R277" s="122">
        <v>16026</v>
      </c>
      <c r="S277" s="122">
        <v>14569</v>
      </c>
      <c r="T277" s="122">
        <v>6893</v>
      </c>
      <c r="U277" s="122">
        <v>2553</v>
      </c>
      <c r="V277" s="122">
        <v>80078</v>
      </c>
      <c r="W277" s="122">
        <f t="shared" si="8"/>
        <v>80078</v>
      </c>
      <c r="X277" s="122">
        <f t="shared" si="9"/>
        <v>100929</v>
      </c>
      <c r="Y277" s="122"/>
      <c r="AA277" t="s">
        <v>52</v>
      </c>
      <c r="AB277" t="s">
        <v>425</v>
      </c>
      <c r="AC277" t="s">
        <v>426</v>
      </c>
      <c r="AD277" t="s">
        <v>406</v>
      </c>
      <c r="AE277" t="s">
        <v>137</v>
      </c>
      <c r="AF277">
        <v>1</v>
      </c>
      <c r="AG277">
        <v>283</v>
      </c>
      <c r="AH277">
        <v>125</v>
      </c>
      <c r="AI277" s="122">
        <v>18994</v>
      </c>
      <c r="AJ277" s="122">
        <v>17268</v>
      </c>
      <c r="AK277">
        <v>85</v>
      </c>
      <c r="AL277" s="122">
        <v>2846</v>
      </c>
      <c r="AM277" s="122">
        <v>2587</v>
      </c>
      <c r="AN277" s="122">
        <v>5168</v>
      </c>
      <c r="AO277" s="122">
        <v>1914</v>
      </c>
      <c r="AP277">
        <v>621</v>
      </c>
      <c r="AQ277">
        <v>230</v>
      </c>
      <c r="AR277" s="122">
        <v>4011</v>
      </c>
      <c r="AS277" s="122">
        <v>3646</v>
      </c>
      <c r="AT277" s="122">
        <v>3604</v>
      </c>
      <c r="AU277" s="122">
        <v>1335</v>
      </c>
      <c r="AV277" s="122">
        <v>26979</v>
      </c>
    </row>
    <row r="278" spans="2:48" ht="12.75" hidden="1" customHeight="1">
      <c r="B278" t="s">
        <v>364</v>
      </c>
      <c r="C278" t="s">
        <v>58</v>
      </c>
      <c r="D278" t="s">
        <v>405</v>
      </c>
      <c r="E278" t="s">
        <v>425</v>
      </c>
      <c r="F278">
        <v>1</v>
      </c>
      <c r="G278">
        <v>129</v>
      </c>
      <c r="H278" s="122">
        <v>271</v>
      </c>
      <c r="I278" s="122">
        <v>24163</v>
      </c>
      <c r="J278" s="122">
        <v>21966</v>
      </c>
      <c r="K278">
        <v>69</v>
      </c>
      <c r="L278" s="122">
        <v>2931</v>
      </c>
      <c r="M278" s="122">
        <v>2664</v>
      </c>
      <c r="N278" s="122">
        <v>3052</v>
      </c>
      <c r="O278" s="122">
        <v>1130</v>
      </c>
      <c r="P278" s="122">
        <v>473</v>
      </c>
      <c r="Q278" s="122">
        <v>175</v>
      </c>
      <c r="R278" s="122">
        <v>4403</v>
      </c>
      <c r="S278" s="122">
        <v>4003</v>
      </c>
      <c r="T278">
        <v>0</v>
      </c>
      <c r="U278">
        <v>0</v>
      </c>
      <c r="V278" s="122">
        <v>29938</v>
      </c>
      <c r="W278" s="122">
        <f t="shared" si="8"/>
        <v>29938</v>
      </c>
      <c r="X278" s="122">
        <f t="shared" si="9"/>
        <v>35022</v>
      </c>
      <c r="Y278" s="122"/>
      <c r="AA278" t="s">
        <v>52</v>
      </c>
      <c r="AB278" t="s">
        <v>425</v>
      </c>
      <c r="AC278" t="s">
        <v>566</v>
      </c>
      <c r="AD278" t="s">
        <v>425</v>
      </c>
      <c r="AE278" t="s">
        <v>137</v>
      </c>
      <c r="AF278">
        <v>2</v>
      </c>
      <c r="AG278">
        <v>407</v>
      </c>
      <c r="AH278">
        <v>240</v>
      </c>
      <c r="AI278" s="122">
        <v>28118</v>
      </c>
      <c r="AJ278" s="122">
        <v>25561</v>
      </c>
      <c r="AK278">
        <v>91</v>
      </c>
      <c r="AL278">
        <v>0</v>
      </c>
      <c r="AM278">
        <v>0</v>
      </c>
      <c r="AN278" s="122">
        <v>9926</v>
      </c>
      <c r="AO278" s="122">
        <v>3676</v>
      </c>
      <c r="AP278">
        <v>945</v>
      </c>
      <c r="AQ278">
        <v>350</v>
      </c>
      <c r="AR278" s="122">
        <v>9659</v>
      </c>
      <c r="AS278" s="122">
        <v>8781</v>
      </c>
      <c r="AT278">
        <v>0</v>
      </c>
      <c r="AU278">
        <v>0</v>
      </c>
      <c r="AV278" s="122">
        <v>38369</v>
      </c>
    </row>
    <row r="279" spans="2:48" ht="12.75" hidden="1" customHeight="1">
      <c r="B279" t="s">
        <v>364</v>
      </c>
      <c r="C279" t="s">
        <v>58</v>
      </c>
      <c r="D279" t="s">
        <v>405</v>
      </c>
      <c r="E279" t="s">
        <v>405</v>
      </c>
      <c r="F279">
        <v>65</v>
      </c>
      <c r="G279" s="122">
        <v>8922</v>
      </c>
      <c r="H279" s="122">
        <v>16680</v>
      </c>
      <c r="I279" s="122">
        <v>1403743</v>
      </c>
      <c r="J279" s="122">
        <v>1276130</v>
      </c>
      <c r="K279">
        <v>82</v>
      </c>
      <c r="L279" s="122">
        <v>294472</v>
      </c>
      <c r="M279" s="122">
        <v>257199</v>
      </c>
      <c r="N279" s="122">
        <v>185666</v>
      </c>
      <c r="O279" s="122">
        <v>68765</v>
      </c>
      <c r="P279" s="122">
        <v>32782</v>
      </c>
      <c r="Q279" s="122">
        <v>12142</v>
      </c>
      <c r="R279" s="122">
        <v>313563</v>
      </c>
      <c r="S279" s="122">
        <v>285057</v>
      </c>
      <c r="T279" s="122">
        <v>82888</v>
      </c>
      <c r="U279" s="122">
        <v>30699</v>
      </c>
      <c r="V279" s="122">
        <v>1929992</v>
      </c>
      <c r="W279" s="122">
        <f t="shared" si="8"/>
        <v>1929992</v>
      </c>
      <c r="X279" s="122">
        <f t="shared" si="9"/>
        <v>2313114</v>
      </c>
      <c r="Y279" s="122"/>
      <c r="AA279" t="s">
        <v>52</v>
      </c>
      <c r="AB279" t="s">
        <v>425</v>
      </c>
      <c r="AC279" t="s">
        <v>566</v>
      </c>
      <c r="AD279" t="s">
        <v>425</v>
      </c>
      <c r="AE279" t="s">
        <v>566</v>
      </c>
      <c r="AF279">
        <v>1</v>
      </c>
      <c r="AG279">
        <v>107</v>
      </c>
      <c r="AH279">
        <v>108</v>
      </c>
      <c r="AI279" s="122">
        <v>7406</v>
      </c>
      <c r="AJ279" s="122">
        <v>6733</v>
      </c>
      <c r="AK279">
        <v>92</v>
      </c>
      <c r="AL279" s="122">
        <v>0</v>
      </c>
      <c r="AM279" s="122">
        <v>0</v>
      </c>
      <c r="AN279" s="122">
        <v>1303</v>
      </c>
      <c r="AO279" s="122">
        <v>482</v>
      </c>
      <c r="AP279">
        <v>473</v>
      </c>
      <c r="AQ279">
        <v>175</v>
      </c>
      <c r="AR279" s="122">
        <v>2368</v>
      </c>
      <c r="AS279" s="122">
        <v>2152</v>
      </c>
      <c r="AT279">
        <v>0</v>
      </c>
      <c r="AU279">
        <v>0</v>
      </c>
      <c r="AV279" s="122">
        <v>9543</v>
      </c>
    </row>
    <row r="280" spans="2:48" ht="12.75" hidden="1" customHeight="1">
      <c r="B280" t="s">
        <v>364</v>
      </c>
      <c r="C280" t="s">
        <v>58</v>
      </c>
      <c r="D280" t="s">
        <v>405</v>
      </c>
      <c r="E280" t="s">
        <v>407</v>
      </c>
      <c r="F280">
        <v>1</v>
      </c>
      <c r="G280" s="122">
        <v>151</v>
      </c>
      <c r="H280" s="122">
        <v>239</v>
      </c>
      <c r="I280" s="122">
        <v>19748</v>
      </c>
      <c r="J280" s="122">
        <v>17953</v>
      </c>
      <c r="K280">
        <v>75</v>
      </c>
      <c r="L280" s="122">
        <v>2417</v>
      </c>
      <c r="M280" s="122">
        <v>2197</v>
      </c>
      <c r="N280" s="122">
        <v>3670</v>
      </c>
      <c r="O280" s="122">
        <v>1359</v>
      </c>
      <c r="P280" s="122">
        <v>473</v>
      </c>
      <c r="Q280" s="122">
        <v>175</v>
      </c>
      <c r="R280" s="122">
        <v>5779</v>
      </c>
      <c r="S280" s="122">
        <v>5254</v>
      </c>
      <c r="T280" s="122">
        <v>3918</v>
      </c>
      <c r="U280" s="122">
        <v>1451</v>
      </c>
      <c r="V280" s="122">
        <v>28389</v>
      </c>
      <c r="W280" s="122">
        <f t="shared" si="8"/>
        <v>28389</v>
      </c>
      <c r="X280" s="122">
        <f t="shared" si="9"/>
        <v>36005</v>
      </c>
      <c r="Y280" s="122"/>
      <c r="AA280" t="s">
        <v>52</v>
      </c>
      <c r="AB280" t="s">
        <v>425</v>
      </c>
      <c r="AC280" t="s">
        <v>433</v>
      </c>
      <c r="AD280" t="s">
        <v>425</v>
      </c>
      <c r="AE280" t="s">
        <v>566</v>
      </c>
      <c r="AF280">
        <v>1</v>
      </c>
      <c r="AG280">
        <v>247</v>
      </c>
      <c r="AH280">
        <v>123</v>
      </c>
      <c r="AI280" s="122">
        <v>17511</v>
      </c>
      <c r="AJ280" s="122">
        <v>15919</v>
      </c>
      <c r="AK280">
        <v>91</v>
      </c>
      <c r="AL280" s="122">
        <v>2792</v>
      </c>
      <c r="AM280" s="122">
        <v>2538</v>
      </c>
      <c r="AN280" s="122">
        <v>6019</v>
      </c>
      <c r="AO280" s="122">
        <v>2229</v>
      </c>
      <c r="AP280">
        <v>473</v>
      </c>
      <c r="AQ280">
        <v>175</v>
      </c>
      <c r="AR280" s="122">
        <v>3621</v>
      </c>
      <c r="AS280" s="122">
        <v>3292</v>
      </c>
      <c r="AT280">
        <v>0</v>
      </c>
      <c r="AU280">
        <v>0</v>
      </c>
      <c r="AV280" s="122">
        <v>24154</v>
      </c>
    </row>
    <row r="281" spans="2:48" ht="12.75" hidden="1" customHeight="1">
      <c r="B281" t="s">
        <v>364</v>
      </c>
      <c r="C281" t="s">
        <v>58</v>
      </c>
      <c r="D281" t="s">
        <v>137</v>
      </c>
      <c r="E281" t="s">
        <v>137</v>
      </c>
      <c r="F281">
        <v>116</v>
      </c>
      <c r="G281" s="122">
        <v>14348</v>
      </c>
      <c r="H281" s="122">
        <v>31499</v>
      </c>
      <c r="I281" s="122">
        <v>2575831</v>
      </c>
      <c r="J281" s="122">
        <v>954012</v>
      </c>
      <c r="K281">
        <v>104</v>
      </c>
      <c r="L281" s="122">
        <v>458602</v>
      </c>
      <c r="M281" s="122">
        <v>308440</v>
      </c>
      <c r="N281" s="122">
        <v>347834</v>
      </c>
      <c r="O281" s="122">
        <v>128827</v>
      </c>
      <c r="P281" s="122">
        <v>2579</v>
      </c>
      <c r="Q281" s="122">
        <v>955</v>
      </c>
      <c r="R281" s="122">
        <v>978202</v>
      </c>
      <c r="S281" s="122">
        <v>362297</v>
      </c>
      <c r="T281" s="122">
        <v>0</v>
      </c>
      <c r="U281" s="122">
        <v>0</v>
      </c>
      <c r="V281" s="122">
        <v>1754531</v>
      </c>
      <c r="W281" s="122">
        <f t="shared" si="8"/>
        <v>1754531</v>
      </c>
      <c r="X281" s="122">
        <f t="shared" si="9"/>
        <v>4363048</v>
      </c>
      <c r="Y281" s="122"/>
      <c r="AA281" t="s">
        <v>52</v>
      </c>
      <c r="AB281" t="s">
        <v>405</v>
      </c>
      <c r="AC281" t="s">
        <v>578</v>
      </c>
      <c r="AD281" t="s">
        <v>405</v>
      </c>
      <c r="AE281" t="s">
        <v>566</v>
      </c>
      <c r="AF281">
        <v>1</v>
      </c>
      <c r="AG281">
        <v>245</v>
      </c>
      <c r="AH281">
        <v>116</v>
      </c>
      <c r="AI281" s="122">
        <v>16125</v>
      </c>
      <c r="AJ281" s="122">
        <v>14659</v>
      </c>
      <c r="AK281">
        <v>92</v>
      </c>
      <c r="AL281" s="122">
        <v>2544</v>
      </c>
      <c r="AM281" s="122">
        <v>2313</v>
      </c>
      <c r="AN281" s="122">
        <v>3582</v>
      </c>
      <c r="AO281" s="122">
        <v>1327</v>
      </c>
      <c r="AP281">
        <v>473</v>
      </c>
      <c r="AQ281">
        <v>175</v>
      </c>
      <c r="AR281" s="122">
        <v>5586</v>
      </c>
      <c r="AS281" s="122">
        <v>5078</v>
      </c>
      <c r="AT281">
        <v>0</v>
      </c>
      <c r="AU281">
        <v>0</v>
      </c>
      <c r="AV281" s="122">
        <v>23552</v>
      </c>
    </row>
    <row r="282" spans="2:48" ht="12.75" hidden="1" customHeight="1">
      <c r="B282" t="s">
        <v>364</v>
      </c>
      <c r="C282" t="s">
        <v>58</v>
      </c>
      <c r="D282" t="s">
        <v>137</v>
      </c>
      <c r="E282" t="s">
        <v>406</v>
      </c>
      <c r="F282">
        <v>2</v>
      </c>
      <c r="G282" s="122">
        <v>366</v>
      </c>
      <c r="H282" s="122">
        <v>501</v>
      </c>
      <c r="I282" s="122">
        <v>62921</v>
      </c>
      <c r="J282" s="122">
        <v>23304</v>
      </c>
      <c r="K282">
        <v>100</v>
      </c>
      <c r="L282" s="122">
        <v>4747</v>
      </c>
      <c r="M282" s="122">
        <v>4316</v>
      </c>
      <c r="N282" s="122">
        <v>8363</v>
      </c>
      <c r="O282" s="122">
        <v>3097</v>
      </c>
      <c r="P282" s="122">
        <v>351</v>
      </c>
      <c r="Q282" s="122">
        <v>130</v>
      </c>
      <c r="R282" s="122">
        <v>11042</v>
      </c>
      <c r="S282" s="122">
        <v>10039</v>
      </c>
      <c r="T282" s="122">
        <v>3524</v>
      </c>
      <c r="U282" s="122">
        <v>1305</v>
      </c>
      <c r="V282" s="122">
        <v>42191</v>
      </c>
      <c r="W282" s="122">
        <f t="shared" si="8"/>
        <v>42191</v>
      </c>
      <c r="X282" s="122">
        <f t="shared" si="9"/>
        <v>90948</v>
      </c>
      <c r="Y282" s="122"/>
      <c r="AA282" t="s">
        <v>52</v>
      </c>
      <c r="AB282" t="s">
        <v>405</v>
      </c>
      <c r="AC282" t="s">
        <v>425</v>
      </c>
      <c r="AD282" t="s">
        <v>407</v>
      </c>
      <c r="AE282" t="s">
        <v>137</v>
      </c>
      <c r="AF282">
        <v>1</v>
      </c>
      <c r="AG282">
        <v>239</v>
      </c>
      <c r="AH282">
        <v>105</v>
      </c>
      <c r="AI282" s="122">
        <v>13091</v>
      </c>
      <c r="AJ282" s="122">
        <v>11901</v>
      </c>
      <c r="AK282">
        <v>90</v>
      </c>
      <c r="AL282" s="122">
        <v>2075</v>
      </c>
      <c r="AM282" s="122">
        <v>1887</v>
      </c>
      <c r="AN282" s="122">
        <v>2910</v>
      </c>
      <c r="AO282" s="122">
        <v>1078</v>
      </c>
      <c r="AP282">
        <v>473</v>
      </c>
      <c r="AQ282">
        <v>175</v>
      </c>
      <c r="AR282" s="122">
        <v>6533</v>
      </c>
      <c r="AS282" s="122">
        <v>5940</v>
      </c>
      <c r="AT282">
        <v>0</v>
      </c>
      <c r="AU282">
        <v>0</v>
      </c>
      <c r="AV282" s="122">
        <v>20980</v>
      </c>
    </row>
    <row r="283" spans="2:48" ht="12.75" hidden="1" customHeight="1">
      <c r="B283" t="s">
        <v>364</v>
      </c>
      <c r="C283" t="s">
        <v>58</v>
      </c>
      <c r="D283" t="s">
        <v>137</v>
      </c>
      <c r="E283" t="s">
        <v>407</v>
      </c>
      <c r="F283">
        <v>1</v>
      </c>
      <c r="G283" s="122">
        <v>198</v>
      </c>
      <c r="H283" s="122">
        <v>235</v>
      </c>
      <c r="I283" s="122">
        <v>34335</v>
      </c>
      <c r="J283" s="122">
        <v>12717</v>
      </c>
      <c r="K283">
        <v>100</v>
      </c>
      <c r="L283" s="122">
        <v>0</v>
      </c>
      <c r="M283" s="122">
        <v>0</v>
      </c>
      <c r="N283" s="122">
        <v>4835</v>
      </c>
      <c r="O283" s="122">
        <v>1791</v>
      </c>
      <c r="P283" s="122">
        <v>1675</v>
      </c>
      <c r="Q283" s="122">
        <v>620</v>
      </c>
      <c r="R283" s="122">
        <v>5819</v>
      </c>
      <c r="S283" s="122">
        <v>5290</v>
      </c>
      <c r="T283">
        <v>0</v>
      </c>
      <c r="U283">
        <v>0</v>
      </c>
      <c r="V283" s="122">
        <v>20418</v>
      </c>
      <c r="W283" s="122">
        <f t="shared" si="8"/>
        <v>20418</v>
      </c>
      <c r="X283" s="122">
        <f t="shared" si="9"/>
        <v>46664</v>
      </c>
      <c r="Y283" s="122"/>
      <c r="AA283" t="s">
        <v>52</v>
      </c>
      <c r="AB283" t="s">
        <v>405</v>
      </c>
      <c r="AC283" t="s">
        <v>405</v>
      </c>
      <c r="AD283" t="s">
        <v>425</v>
      </c>
      <c r="AE283" t="s">
        <v>137</v>
      </c>
      <c r="AF283">
        <v>1</v>
      </c>
      <c r="AG283" s="122">
        <v>85</v>
      </c>
      <c r="AH283" s="122">
        <v>121</v>
      </c>
      <c r="AI283" s="122">
        <v>9433</v>
      </c>
      <c r="AJ283" s="122">
        <v>8575</v>
      </c>
      <c r="AK283">
        <v>91</v>
      </c>
      <c r="AL283" s="122">
        <v>1517</v>
      </c>
      <c r="AM283" s="122">
        <v>1379</v>
      </c>
      <c r="AN283" s="122">
        <v>1990</v>
      </c>
      <c r="AO283" s="122">
        <v>737</v>
      </c>
      <c r="AP283" s="122">
        <v>473</v>
      </c>
      <c r="AQ283" s="122">
        <v>175</v>
      </c>
      <c r="AR283" s="122">
        <v>4499</v>
      </c>
      <c r="AS283" s="122">
        <v>4090</v>
      </c>
      <c r="AT283" s="122">
        <v>0</v>
      </c>
      <c r="AU283">
        <v>0</v>
      </c>
      <c r="AV283" s="122">
        <v>14957</v>
      </c>
    </row>
    <row r="284" spans="2:48" ht="12.75" hidden="1" customHeight="1">
      <c r="B284" t="s">
        <v>364</v>
      </c>
      <c r="C284" t="s">
        <v>58</v>
      </c>
      <c r="D284" t="s">
        <v>137</v>
      </c>
      <c r="E284" t="s">
        <v>426</v>
      </c>
      <c r="F284">
        <v>1</v>
      </c>
      <c r="G284" s="122">
        <v>154</v>
      </c>
      <c r="H284" s="122">
        <v>250</v>
      </c>
      <c r="I284" s="122">
        <v>29347</v>
      </c>
      <c r="J284" s="122">
        <v>10869</v>
      </c>
      <c r="K284">
        <v>100</v>
      </c>
      <c r="L284" s="122">
        <v>2044</v>
      </c>
      <c r="M284" s="122">
        <v>1858</v>
      </c>
      <c r="N284" s="122">
        <v>2936</v>
      </c>
      <c r="O284" s="122">
        <v>1087</v>
      </c>
      <c r="P284" s="122">
        <v>351</v>
      </c>
      <c r="Q284" s="122">
        <v>130</v>
      </c>
      <c r="R284" s="122">
        <v>3327</v>
      </c>
      <c r="S284" s="122">
        <v>3025</v>
      </c>
      <c r="T284" s="122">
        <v>432</v>
      </c>
      <c r="U284" s="122">
        <v>160</v>
      </c>
      <c r="V284" s="122">
        <v>17130</v>
      </c>
      <c r="W284" s="122">
        <f t="shared" si="8"/>
        <v>17129</v>
      </c>
      <c r="X284" s="122">
        <f t="shared" si="9"/>
        <v>38437</v>
      </c>
      <c r="Y284" s="122"/>
      <c r="AA284" t="s">
        <v>52</v>
      </c>
      <c r="AB284" t="s">
        <v>405</v>
      </c>
      <c r="AC284" t="s">
        <v>405</v>
      </c>
      <c r="AD284" t="s">
        <v>405</v>
      </c>
      <c r="AE284" t="s">
        <v>137</v>
      </c>
      <c r="AF284">
        <v>13</v>
      </c>
      <c r="AG284" s="122">
        <v>2812</v>
      </c>
      <c r="AH284" s="122">
        <v>1553</v>
      </c>
      <c r="AI284" s="122">
        <v>212655</v>
      </c>
      <c r="AJ284" s="122">
        <v>193323</v>
      </c>
      <c r="AK284">
        <v>90</v>
      </c>
      <c r="AL284" s="122">
        <v>30907</v>
      </c>
      <c r="AM284" s="122">
        <v>28097</v>
      </c>
      <c r="AN284" s="122">
        <v>48844</v>
      </c>
      <c r="AO284" s="122">
        <v>18090</v>
      </c>
      <c r="AP284" s="122">
        <v>11929</v>
      </c>
      <c r="AQ284" s="122">
        <v>4418</v>
      </c>
      <c r="AR284" s="122">
        <v>60843</v>
      </c>
      <c r="AS284" s="122">
        <v>55312</v>
      </c>
      <c r="AT284" s="122">
        <v>1225</v>
      </c>
      <c r="AU284">
        <v>454</v>
      </c>
      <c r="AV284" s="122">
        <v>299694</v>
      </c>
    </row>
    <row r="285" spans="2:48" ht="12.75" hidden="1" customHeight="1">
      <c r="B285" t="s">
        <v>364</v>
      </c>
      <c r="C285" t="s">
        <v>58</v>
      </c>
      <c r="D285" t="s">
        <v>406</v>
      </c>
      <c r="E285" t="s">
        <v>425</v>
      </c>
      <c r="F285">
        <v>1</v>
      </c>
      <c r="G285">
        <v>157</v>
      </c>
      <c r="H285">
        <v>257</v>
      </c>
      <c r="I285" s="122">
        <v>22623</v>
      </c>
      <c r="J285" s="122">
        <v>20566</v>
      </c>
      <c r="K285">
        <v>79</v>
      </c>
      <c r="L285" s="122">
        <v>6284</v>
      </c>
      <c r="M285" s="122">
        <v>5713</v>
      </c>
      <c r="N285" s="122">
        <v>3651</v>
      </c>
      <c r="O285" s="122">
        <v>1352</v>
      </c>
      <c r="P285" s="122">
        <v>621</v>
      </c>
      <c r="Q285">
        <v>230</v>
      </c>
      <c r="R285" s="122">
        <v>7098</v>
      </c>
      <c r="S285" s="122">
        <v>6453</v>
      </c>
      <c r="T285">
        <v>0</v>
      </c>
      <c r="U285">
        <v>0</v>
      </c>
      <c r="V285" s="122">
        <v>34314</v>
      </c>
      <c r="W285" s="122">
        <f t="shared" si="8"/>
        <v>34314</v>
      </c>
      <c r="X285" s="122">
        <f t="shared" si="9"/>
        <v>40277</v>
      </c>
      <c r="Y285" s="122"/>
      <c r="AA285" t="s">
        <v>52</v>
      </c>
      <c r="AB285" t="s">
        <v>405</v>
      </c>
      <c r="AC285" t="s">
        <v>405</v>
      </c>
      <c r="AD285" t="s">
        <v>405</v>
      </c>
      <c r="AE285" t="s">
        <v>566</v>
      </c>
      <c r="AF285">
        <v>53</v>
      </c>
      <c r="AG285" s="122">
        <v>13540</v>
      </c>
      <c r="AH285" s="122">
        <v>6128</v>
      </c>
      <c r="AI285" s="122">
        <v>879290</v>
      </c>
      <c r="AJ285" s="122">
        <v>799354</v>
      </c>
      <c r="AK285">
        <v>91</v>
      </c>
      <c r="AL285" s="122">
        <v>151903</v>
      </c>
      <c r="AM285" s="122">
        <v>138094</v>
      </c>
      <c r="AN285" s="122">
        <v>247688</v>
      </c>
      <c r="AO285" s="122">
        <v>91736</v>
      </c>
      <c r="AP285" s="122">
        <v>50908</v>
      </c>
      <c r="AQ285" s="122">
        <v>18855</v>
      </c>
      <c r="AR285" s="122">
        <v>276261</v>
      </c>
      <c r="AS285" s="122">
        <v>251147</v>
      </c>
      <c r="AT285">
        <v>0</v>
      </c>
      <c r="AU285">
        <v>0</v>
      </c>
      <c r="AV285" s="122">
        <v>1299186</v>
      </c>
    </row>
    <row r="286" spans="2:48" ht="12.75" hidden="1" customHeight="1">
      <c r="B286" t="s">
        <v>364</v>
      </c>
      <c r="C286" t="s">
        <v>58</v>
      </c>
      <c r="D286" t="s">
        <v>406</v>
      </c>
      <c r="E286" t="s">
        <v>137</v>
      </c>
      <c r="F286">
        <v>9</v>
      </c>
      <c r="G286" s="122">
        <v>1542</v>
      </c>
      <c r="H286" s="122">
        <v>2288</v>
      </c>
      <c r="I286" s="122">
        <v>217052</v>
      </c>
      <c r="J286" s="122">
        <v>197320</v>
      </c>
      <c r="K286">
        <v>75</v>
      </c>
      <c r="L286" s="122">
        <v>47066</v>
      </c>
      <c r="M286" s="122">
        <v>42787</v>
      </c>
      <c r="N286" s="122">
        <v>34456</v>
      </c>
      <c r="O286" s="122">
        <v>12761</v>
      </c>
      <c r="P286" s="122">
        <v>5319</v>
      </c>
      <c r="Q286" s="122">
        <v>1970</v>
      </c>
      <c r="R286" s="122">
        <v>103692</v>
      </c>
      <c r="S286" s="122">
        <v>38404</v>
      </c>
      <c r="T286" s="122">
        <v>0</v>
      </c>
      <c r="U286" s="122">
        <v>0</v>
      </c>
      <c r="V286" s="122">
        <v>293243</v>
      </c>
      <c r="W286" s="122">
        <f t="shared" si="8"/>
        <v>293242</v>
      </c>
      <c r="X286" s="122">
        <f t="shared" si="9"/>
        <v>407585</v>
      </c>
      <c r="Y286" s="122"/>
      <c r="AA286" t="s">
        <v>52</v>
      </c>
      <c r="AB286" t="s">
        <v>405</v>
      </c>
      <c r="AC286" t="s">
        <v>137</v>
      </c>
      <c r="AD286" t="s">
        <v>405</v>
      </c>
      <c r="AE286" t="s">
        <v>566</v>
      </c>
      <c r="AF286">
        <v>2</v>
      </c>
      <c r="AG286">
        <v>400</v>
      </c>
      <c r="AH286">
        <v>237</v>
      </c>
      <c r="AI286" s="122">
        <v>24561</v>
      </c>
      <c r="AJ286" s="122">
        <v>22328</v>
      </c>
      <c r="AK286">
        <v>92</v>
      </c>
      <c r="AL286" s="122">
        <v>6190</v>
      </c>
      <c r="AM286" s="122">
        <v>2293</v>
      </c>
      <c r="AN286" s="122">
        <v>4868</v>
      </c>
      <c r="AO286" s="122">
        <v>1803</v>
      </c>
      <c r="AP286">
        <v>945</v>
      </c>
      <c r="AQ286">
        <v>350</v>
      </c>
      <c r="AR286" s="122">
        <v>10526</v>
      </c>
      <c r="AS286" s="122">
        <v>9569</v>
      </c>
      <c r="AT286">
        <v>0</v>
      </c>
      <c r="AU286">
        <v>0</v>
      </c>
      <c r="AV286" s="122">
        <v>36343</v>
      </c>
    </row>
    <row r="287" spans="2:48" ht="12.75" hidden="1" customHeight="1">
      <c r="B287" t="s">
        <v>364</v>
      </c>
      <c r="C287" t="s">
        <v>58</v>
      </c>
      <c r="D287" t="s">
        <v>406</v>
      </c>
      <c r="E287" t="s">
        <v>406</v>
      </c>
      <c r="F287" s="122">
        <v>2066</v>
      </c>
      <c r="G287" s="122">
        <v>274844</v>
      </c>
      <c r="H287" s="122">
        <v>536283</v>
      </c>
      <c r="I287" s="122">
        <v>42178325</v>
      </c>
      <c r="J287" s="122">
        <v>38343932</v>
      </c>
      <c r="K287">
        <v>79</v>
      </c>
      <c r="L287" s="122">
        <v>8725128</v>
      </c>
      <c r="M287" s="122">
        <v>7717794</v>
      </c>
      <c r="N287" s="122">
        <v>5755073</v>
      </c>
      <c r="O287" s="122">
        <v>2131509</v>
      </c>
      <c r="P287" s="122">
        <v>1351133</v>
      </c>
      <c r="Q287" s="122">
        <v>500420</v>
      </c>
      <c r="R287" s="122">
        <v>10614198</v>
      </c>
      <c r="S287" s="122">
        <v>9649270</v>
      </c>
      <c r="T287" s="122">
        <v>4234450</v>
      </c>
      <c r="U287" s="122">
        <v>1568315</v>
      </c>
      <c r="V287" s="122">
        <v>59911239</v>
      </c>
      <c r="W287" s="122">
        <f t="shared" si="8"/>
        <v>59911240</v>
      </c>
      <c r="X287" s="122">
        <f t="shared" si="9"/>
        <v>72858307</v>
      </c>
      <c r="Y287" s="122"/>
      <c r="AA287" t="s">
        <v>52</v>
      </c>
      <c r="AB287" t="s">
        <v>405</v>
      </c>
      <c r="AC287" t="s">
        <v>580</v>
      </c>
      <c r="AD287" t="s">
        <v>405</v>
      </c>
      <c r="AE287" t="s">
        <v>566</v>
      </c>
      <c r="AF287">
        <v>1</v>
      </c>
      <c r="AG287">
        <v>215</v>
      </c>
      <c r="AH287">
        <v>125</v>
      </c>
      <c r="AI287" s="122">
        <v>14981</v>
      </c>
      <c r="AJ287" s="122">
        <v>13619</v>
      </c>
      <c r="AK287">
        <v>91</v>
      </c>
      <c r="AL287" s="122">
        <v>2516</v>
      </c>
      <c r="AM287" s="122">
        <v>2288</v>
      </c>
      <c r="AN287" s="122">
        <v>3267</v>
      </c>
      <c r="AO287" s="122">
        <v>1210</v>
      </c>
      <c r="AP287">
        <v>473</v>
      </c>
      <c r="AQ287">
        <v>175</v>
      </c>
      <c r="AR287" s="122">
        <v>5469</v>
      </c>
      <c r="AS287" s="122">
        <v>4971</v>
      </c>
      <c r="AT287">
        <v>0</v>
      </c>
      <c r="AU287">
        <v>0</v>
      </c>
      <c r="AV287" s="122">
        <v>22263</v>
      </c>
    </row>
    <row r="288" spans="2:48" ht="12.75" hidden="1" customHeight="1">
      <c r="B288" t="s">
        <v>364</v>
      </c>
      <c r="C288" t="s">
        <v>58</v>
      </c>
      <c r="D288" t="s">
        <v>406</v>
      </c>
      <c r="E288" t="s">
        <v>427</v>
      </c>
      <c r="F288">
        <v>3</v>
      </c>
      <c r="G288" s="122">
        <v>423</v>
      </c>
      <c r="H288" s="122">
        <v>729</v>
      </c>
      <c r="I288" s="122">
        <v>66901</v>
      </c>
      <c r="J288" s="122">
        <v>60819</v>
      </c>
      <c r="K288">
        <v>72</v>
      </c>
      <c r="L288" s="122">
        <v>16718</v>
      </c>
      <c r="M288" s="122">
        <v>15199</v>
      </c>
      <c r="N288" s="122">
        <v>9758</v>
      </c>
      <c r="O288" s="122">
        <v>3614</v>
      </c>
      <c r="P288" s="122">
        <v>1863</v>
      </c>
      <c r="Q288" s="122">
        <v>690</v>
      </c>
      <c r="R288" s="122">
        <v>17931</v>
      </c>
      <c r="S288" s="122">
        <v>16301</v>
      </c>
      <c r="T288" s="122">
        <v>6743</v>
      </c>
      <c r="U288" s="122">
        <v>2498</v>
      </c>
      <c r="V288" s="122">
        <v>99121</v>
      </c>
      <c r="W288" s="122">
        <f t="shared" si="8"/>
        <v>99121</v>
      </c>
      <c r="X288" s="122">
        <f t="shared" si="9"/>
        <v>119914</v>
      </c>
      <c r="Y288" s="122"/>
      <c r="AA288" t="s">
        <v>52</v>
      </c>
      <c r="AB288" t="s">
        <v>405</v>
      </c>
      <c r="AC288" t="s">
        <v>427</v>
      </c>
      <c r="AD288" t="s">
        <v>425</v>
      </c>
      <c r="AE288" t="s">
        <v>566</v>
      </c>
      <c r="AF288">
        <v>1</v>
      </c>
      <c r="AG288" s="122">
        <v>271</v>
      </c>
      <c r="AH288">
        <v>119</v>
      </c>
      <c r="AI288" s="122">
        <v>18933</v>
      </c>
      <c r="AJ288" s="122">
        <v>17212</v>
      </c>
      <c r="AK288">
        <v>91</v>
      </c>
      <c r="AL288" s="122">
        <v>3201</v>
      </c>
      <c r="AM288" s="122">
        <v>2910</v>
      </c>
      <c r="AN288" s="122">
        <v>3494</v>
      </c>
      <c r="AO288" s="122">
        <v>1294</v>
      </c>
      <c r="AP288" s="122">
        <v>473</v>
      </c>
      <c r="AQ288" s="122">
        <v>175</v>
      </c>
      <c r="AR288" s="122">
        <v>6134</v>
      </c>
      <c r="AS288" s="122">
        <v>5577</v>
      </c>
      <c r="AT288">
        <v>0</v>
      </c>
      <c r="AU288">
        <v>0</v>
      </c>
      <c r="AV288" s="122">
        <v>27168</v>
      </c>
    </row>
    <row r="289" spans="2:48" ht="12.75" hidden="1" customHeight="1">
      <c r="B289" t="s">
        <v>364</v>
      </c>
      <c r="C289" t="s">
        <v>58</v>
      </c>
      <c r="D289" t="s">
        <v>406</v>
      </c>
      <c r="E289" t="s">
        <v>426</v>
      </c>
      <c r="F289" s="122">
        <v>4</v>
      </c>
      <c r="G289" s="122">
        <v>595</v>
      </c>
      <c r="H289" s="122">
        <v>1045</v>
      </c>
      <c r="I289" s="122">
        <v>115425</v>
      </c>
      <c r="J289" s="122">
        <v>104931</v>
      </c>
      <c r="K289">
        <v>82</v>
      </c>
      <c r="L289" s="122">
        <v>20564</v>
      </c>
      <c r="M289" s="122">
        <v>18275</v>
      </c>
      <c r="N289" s="122">
        <v>13497</v>
      </c>
      <c r="O289" s="122">
        <v>4999</v>
      </c>
      <c r="P289" s="122">
        <v>2484</v>
      </c>
      <c r="Q289" s="122">
        <v>920</v>
      </c>
      <c r="R289" s="122">
        <v>17023</v>
      </c>
      <c r="S289" s="122">
        <v>15475</v>
      </c>
      <c r="T289" s="122">
        <v>11232</v>
      </c>
      <c r="U289" s="122">
        <v>4160</v>
      </c>
      <c r="V289" s="122">
        <v>148761</v>
      </c>
      <c r="W289" s="122">
        <f t="shared" si="8"/>
        <v>148760</v>
      </c>
      <c r="X289" s="122">
        <f t="shared" si="9"/>
        <v>180225</v>
      </c>
      <c r="Y289" s="122"/>
      <c r="AA289" t="s">
        <v>52</v>
      </c>
      <c r="AB289" t="s">
        <v>405</v>
      </c>
      <c r="AC289" t="s">
        <v>427</v>
      </c>
      <c r="AD289" t="s">
        <v>405</v>
      </c>
      <c r="AE289" t="s">
        <v>137</v>
      </c>
      <c r="AF289">
        <v>7</v>
      </c>
      <c r="AG289" s="122">
        <v>1532</v>
      </c>
      <c r="AH289">
        <v>840</v>
      </c>
      <c r="AI289" s="122">
        <v>83507</v>
      </c>
      <c r="AJ289" s="122">
        <v>75916</v>
      </c>
      <c r="AK289">
        <v>91</v>
      </c>
      <c r="AL289" s="122">
        <v>22865</v>
      </c>
      <c r="AM289" s="122">
        <v>20786</v>
      </c>
      <c r="AN289" s="122">
        <v>36597</v>
      </c>
      <c r="AO289" s="122">
        <v>13555</v>
      </c>
      <c r="AP289" s="122">
        <v>3186</v>
      </c>
      <c r="AQ289" s="122">
        <v>1180</v>
      </c>
      <c r="AR289" s="122">
        <v>37910</v>
      </c>
      <c r="AS289" s="122">
        <v>34463</v>
      </c>
      <c r="AT289">
        <v>0</v>
      </c>
      <c r="AU289">
        <v>0</v>
      </c>
      <c r="AV289" s="122">
        <v>145900</v>
      </c>
    </row>
    <row r="290" spans="2:48" ht="12.75" hidden="1" customHeight="1">
      <c r="B290" t="s">
        <v>364</v>
      </c>
      <c r="C290" t="s">
        <v>58</v>
      </c>
      <c r="D290" t="s">
        <v>427</v>
      </c>
      <c r="E290" t="s">
        <v>137</v>
      </c>
      <c r="F290">
        <v>1</v>
      </c>
      <c r="G290" s="122">
        <v>98</v>
      </c>
      <c r="H290" s="122">
        <v>280</v>
      </c>
      <c r="I290" s="122">
        <v>17735</v>
      </c>
      <c r="J290" s="122">
        <v>16122</v>
      </c>
      <c r="K290">
        <v>55</v>
      </c>
      <c r="L290" s="122">
        <v>0</v>
      </c>
      <c r="M290" s="122">
        <v>0</v>
      </c>
      <c r="N290" s="122">
        <v>2278</v>
      </c>
      <c r="O290" s="122">
        <v>844</v>
      </c>
      <c r="P290" s="122">
        <v>351</v>
      </c>
      <c r="Q290" s="122">
        <v>130</v>
      </c>
      <c r="R290" s="122">
        <v>7160</v>
      </c>
      <c r="S290" s="122">
        <v>2652</v>
      </c>
      <c r="T290" s="122">
        <v>0</v>
      </c>
      <c r="U290" s="122">
        <v>0</v>
      </c>
      <c r="V290" s="122">
        <v>19748</v>
      </c>
      <c r="W290" s="122">
        <f t="shared" si="8"/>
        <v>19748</v>
      </c>
      <c r="X290" s="122">
        <f t="shared" si="9"/>
        <v>27524</v>
      </c>
      <c r="Y290" s="122"/>
      <c r="AA290" t="s">
        <v>52</v>
      </c>
      <c r="AB290" t="s">
        <v>405</v>
      </c>
      <c r="AC290" t="s">
        <v>427</v>
      </c>
      <c r="AD290" t="s">
        <v>405</v>
      </c>
      <c r="AE290" t="s">
        <v>566</v>
      </c>
      <c r="AF290">
        <v>5</v>
      </c>
      <c r="AG290" s="122">
        <v>1023</v>
      </c>
      <c r="AH290">
        <v>580</v>
      </c>
      <c r="AI290" s="122">
        <v>54763</v>
      </c>
      <c r="AJ290" s="122">
        <v>49784</v>
      </c>
      <c r="AK290">
        <v>90</v>
      </c>
      <c r="AL290" s="122">
        <v>10597</v>
      </c>
      <c r="AM290" s="122">
        <v>9634</v>
      </c>
      <c r="AN290" s="122">
        <v>21041</v>
      </c>
      <c r="AO290" s="122">
        <v>7793</v>
      </c>
      <c r="AP290" s="122">
        <v>5974</v>
      </c>
      <c r="AQ290" s="122">
        <v>2212</v>
      </c>
      <c r="AR290" s="122">
        <v>25595</v>
      </c>
      <c r="AS290" s="122">
        <v>23268</v>
      </c>
      <c r="AT290">
        <v>0</v>
      </c>
      <c r="AU290">
        <v>0</v>
      </c>
      <c r="AV290" s="122">
        <v>92692</v>
      </c>
    </row>
    <row r="291" spans="2:48" ht="12.75" hidden="1" customHeight="1">
      <c r="B291" t="s">
        <v>364</v>
      </c>
      <c r="C291" t="s">
        <v>58</v>
      </c>
      <c r="D291" t="s">
        <v>427</v>
      </c>
      <c r="E291" t="s">
        <v>406</v>
      </c>
      <c r="F291">
        <v>1</v>
      </c>
      <c r="G291" s="122">
        <v>212</v>
      </c>
      <c r="H291" s="122">
        <v>293</v>
      </c>
      <c r="I291" s="122">
        <v>41796</v>
      </c>
      <c r="J291" s="122">
        <v>37996</v>
      </c>
      <c r="K291">
        <v>75</v>
      </c>
      <c r="L291" s="122">
        <v>5519</v>
      </c>
      <c r="M291" s="122">
        <v>5017</v>
      </c>
      <c r="N291" s="122">
        <v>5166</v>
      </c>
      <c r="O291" s="122">
        <v>1913</v>
      </c>
      <c r="P291" s="122">
        <v>621</v>
      </c>
      <c r="Q291" s="122">
        <v>230</v>
      </c>
      <c r="R291" s="122">
        <v>5477</v>
      </c>
      <c r="S291" s="122">
        <v>4979</v>
      </c>
      <c r="T291" s="122">
        <v>3631</v>
      </c>
      <c r="U291" s="122">
        <v>1345</v>
      </c>
      <c r="V291" s="122">
        <v>51480</v>
      </c>
      <c r="W291" s="122">
        <f t="shared" si="8"/>
        <v>51480</v>
      </c>
      <c r="X291" s="122">
        <f t="shared" si="9"/>
        <v>62210</v>
      </c>
      <c r="Y291" s="122"/>
      <c r="AA291" t="s">
        <v>52</v>
      </c>
      <c r="AB291" t="s">
        <v>405</v>
      </c>
      <c r="AC291" t="s">
        <v>407</v>
      </c>
      <c r="AD291" t="s">
        <v>405</v>
      </c>
      <c r="AE291" t="s">
        <v>566</v>
      </c>
      <c r="AF291">
        <v>1</v>
      </c>
      <c r="AG291" s="122">
        <v>323</v>
      </c>
      <c r="AH291">
        <v>116</v>
      </c>
      <c r="AI291" s="122">
        <v>22263</v>
      </c>
      <c r="AJ291" s="122">
        <v>20239</v>
      </c>
      <c r="AK291">
        <v>91</v>
      </c>
      <c r="AL291" s="122">
        <v>2972</v>
      </c>
      <c r="AM291" s="122">
        <v>2702</v>
      </c>
      <c r="AN291" s="122">
        <v>4715</v>
      </c>
      <c r="AO291" s="122">
        <v>1746</v>
      </c>
      <c r="AP291" s="122">
        <v>473</v>
      </c>
      <c r="AQ291" s="122">
        <v>175</v>
      </c>
      <c r="AR291" s="122">
        <v>6841</v>
      </c>
      <c r="AS291" s="122">
        <v>6219</v>
      </c>
      <c r="AT291">
        <v>0</v>
      </c>
      <c r="AU291">
        <v>0</v>
      </c>
      <c r="AV291" s="122">
        <v>31082</v>
      </c>
    </row>
    <row r="292" spans="2:48" ht="12.75" hidden="1" customHeight="1">
      <c r="B292" t="s">
        <v>364</v>
      </c>
      <c r="C292" t="s">
        <v>58</v>
      </c>
      <c r="D292" t="s">
        <v>427</v>
      </c>
      <c r="E292" t="s">
        <v>427</v>
      </c>
      <c r="F292" s="122">
        <v>4</v>
      </c>
      <c r="G292" s="122">
        <v>413</v>
      </c>
      <c r="H292" s="122">
        <v>1105</v>
      </c>
      <c r="I292" s="122">
        <v>75299</v>
      </c>
      <c r="J292" s="122">
        <v>68454</v>
      </c>
      <c r="K292">
        <v>63</v>
      </c>
      <c r="L292" s="122">
        <v>11701</v>
      </c>
      <c r="M292" s="122">
        <v>8926</v>
      </c>
      <c r="N292" s="122">
        <v>8336</v>
      </c>
      <c r="O292" s="122">
        <v>3087</v>
      </c>
      <c r="P292" s="122">
        <v>1404</v>
      </c>
      <c r="Q292" s="122">
        <v>520</v>
      </c>
      <c r="R292" s="122">
        <v>20451</v>
      </c>
      <c r="S292" s="122">
        <v>18592</v>
      </c>
      <c r="T292" s="122">
        <v>8516</v>
      </c>
      <c r="U292" s="122">
        <v>3154</v>
      </c>
      <c r="V292" s="122">
        <v>102733</v>
      </c>
      <c r="W292" s="122">
        <f t="shared" si="8"/>
        <v>102733</v>
      </c>
      <c r="X292" s="122">
        <f t="shared" si="9"/>
        <v>125707</v>
      </c>
      <c r="Y292" s="122"/>
      <c r="AA292" t="s">
        <v>52</v>
      </c>
      <c r="AB292" t="s">
        <v>405</v>
      </c>
      <c r="AC292" t="s">
        <v>579</v>
      </c>
      <c r="AD292" t="s">
        <v>405</v>
      </c>
      <c r="AE292" t="s">
        <v>137</v>
      </c>
      <c r="AF292">
        <v>7</v>
      </c>
      <c r="AG292" s="122">
        <v>1552</v>
      </c>
      <c r="AH292" s="122">
        <v>794</v>
      </c>
      <c r="AI292" s="122">
        <v>86086</v>
      </c>
      <c r="AJ292" s="122">
        <v>78260</v>
      </c>
      <c r="AK292">
        <v>91</v>
      </c>
      <c r="AL292" s="122">
        <v>27078</v>
      </c>
      <c r="AM292" s="122">
        <v>22565</v>
      </c>
      <c r="AN292" s="122">
        <v>30261</v>
      </c>
      <c r="AO292" s="122">
        <v>11208</v>
      </c>
      <c r="AP292" s="122">
        <v>3456</v>
      </c>
      <c r="AQ292" s="122">
        <v>1280</v>
      </c>
      <c r="AR292" s="122">
        <v>35472</v>
      </c>
      <c r="AS292" s="122">
        <v>32247</v>
      </c>
      <c r="AT292">
        <v>0</v>
      </c>
      <c r="AU292">
        <v>0</v>
      </c>
      <c r="AV292" s="122">
        <v>145559</v>
      </c>
    </row>
    <row r="293" spans="2:48" ht="12.75" hidden="1" customHeight="1">
      <c r="B293" t="s">
        <v>364</v>
      </c>
      <c r="C293" t="s">
        <v>58</v>
      </c>
      <c r="D293" t="s">
        <v>407</v>
      </c>
      <c r="E293" t="s">
        <v>407</v>
      </c>
      <c r="F293">
        <v>77</v>
      </c>
      <c r="G293" s="122">
        <v>10194</v>
      </c>
      <c r="H293" s="122">
        <v>19477</v>
      </c>
      <c r="I293" s="122">
        <v>1514813</v>
      </c>
      <c r="J293" s="122">
        <v>1377103</v>
      </c>
      <c r="K293">
        <v>77</v>
      </c>
      <c r="L293" s="122">
        <v>361076</v>
      </c>
      <c r="M293" s="122">
        <v>314891</v>
      </c>
      <c r="N293" s="122">
        <v>217796</v>
      </c>
      <c r="O293" s="122">
        <v>80665</v>
      </c>
      <c r="P293" s="122">
        <v>37868</v>
      </c>
      <c r="Q293" s="122">
        <v>14025</v>
      </c>
      <c r="R293" s="122">
        <v>414665</v>
      </c>
      <c r="S293" s="122">
        <v>376969</v>
      </c>
      <c r="T293" s="122">
        <v>126436</v>
      </c>
      <c r="U293" s="122">
        <v>46828</v>
      </c>
      <c r="V293" s="122">
        <v>2210481</v>
      </c>
      <c r="W293" s="122">
        <f t="shared" si="8"/>
        <v>2210481</v>
      </c>
      <c r="X293" s="122">
        <f t="shared" si="9"/>
        <v>2672654</v>
      </c>
      <c r="Y293" s="122"/>
      <c r="AA293" t="s">
        <v>52</v>
      </c>
      <c r="AB293" t="s">
        <v>405</v>
      </c>
      <c r="AC293" t="s">
        <v>579</v>
      </c>
      <c r="AD293" t="s">
        <v>405</v>
      </c>
      <c r="AE293" t="s">
        <v>566</v>
      </c>
      <c r="AF293">
        <v>16</v>
      </c>
      <c r="AG293" s="122">
        <v>3848</v>
      </c>
      <c r="AH293" s="122">
        <v>1817</v>
      </c>
      <c r="AI293" s="122">
        <v>244741</v>
      </c>
      <c r="AJ293" s="122">
        <v>222492</v>
      </c>
      <c r="AK293">
        <v>89</v>
      </c>
      <c r="AL293" s="122">
        <v>47386</v>
      </c>
      <c r="AM293" s="122">
        <v>39489</v>
      </c>
      <c r="AN293" s="122">
        <v>77875</v>
      </c>
      <c r="AO293" s="122">
        <v>28842</v>
      </c>
      <c r="AP293" s="122">
        <v>10490</v>
      </c>
      <c r="AQ293" s="122">
        <v>3885</v>
      </c>
      <c r="AR293" s="122">
        <v>86319</v>
      </c>
      <c r="AS293" s="122">
        <v>78472</v>
      </c>
      <c r="AT293">
        <v>0</v>
      </c>
      <c r="AU293">
        <v>0</v>
      </c>
      <c r="AV293" s="122">
        <v>373180</v>
      </c>
    </row>
    <row r="294" spans="2:48" ht="12.75" hidden="1" customHeight="1">
      <c r="B294" t="s">
        <v>364</v>
      </c>
      <c r="C294" t="s">
        <v>58</v>
      </c>
      <c r="D294" t="s">
        <v>556</v>
      </c>
      <c r="E294" t="s">
        <v>556</v>
      </c>
      <c r="F294">
        <v>7</v>
      </c>
      <c r="G294" s="122">
        <v>844</v>
      </c>
      <c r="H294" s="122">
        <v>1779</v>
      </c>
      <c r="I294" s="122">
        <v>131728</v>
      </c>
      <c r="J294" s="122">
        <v>109773</v>
      </c>
      <c r="K294">
        <v>67</v>
      </c>
      <c r="L294" s="122">
        <v>10808</v>
      </c>
      <c r="M294" s="122">
        <v>9825</v>
      </c>
      <c r="N294" s="122">
        <v>14286</v>
      </c>
      <c r="O294" s="122">
        <v>5291</v>
      </c>
      <c r="P294" s="122">
        <v>4158</v>
      </c>
      <c r="Q294" s="122">
        <v>1540</v>
      </c>
      <c r="R294" s="122">
        <v>36905</v>
      </c>
      <c r="S294" s="122">
        <v>30755</v>
      </c>
      <c r="T294" s="122">
        <v>15646</v>
      </c>
      <c r="U294" s="122">
        <v>5795</v>
      </c>
      <c r="V294" s="122">
        <v>162979</v>
      </c>
      <c r="W294" s="122">
        <f t="shared" si="8"/>
        <v>162979</v>
      </c>
      <c r="X294" s="122">
        <f t="shared" si="9"/>
        <v>213531</v>
      </c>
      <c r="Y294" s="122"/>
      <c r="AA294" t="s">
        <v>52</v>
      </c>
      <c r="AB294" t="s">
        <v>405</v>
      </c>
      <c r="AC294" t="s">
        <v>428</v>
      </c>
      <c r="AD294" t="s">
        <v>405</v>
      </c>
      <c r="AE294" t="s">
        <v>566</v>
      </c>
      <c r="AF294">
        <v>1</v>
      </c>
      <c r="AG294" s="122">
        <v>326</v>
      </c>
      <c r="AH294" s="122">
        <v>112</v>
      </c>
      <c r="AI294" s="122">
        <v>22770</v>
      </c>
      <c r="AJ294" s="122">
        <v>20700</v>
      </c>
      <c r="AK294">
        <v>92</v>
      </c>
      <c r="AL294" s="122">
        <v>3690</v>
      </c>
      <c r="AM294" s="122">
        <v>3354</v>
      </c>
      <c r="AN294" s="122">
        <v>3968</v>
      </c>
      <c r="AO294" s="122">
        <v>1470</v>
      </c>
      <c r="AP294" s="122">
        <v>473</v>
      </c>
      <c r="AQ294" s="122">
        <v>175</v>
      </c>
      <c r="AR294" s="122">
        <v>5574</v>
      </c>
      <c r="AS294" s="122">
        <v>5067</v>
      </c>
      <c r="AT294" s="122">
        <v>0</v>
      </c>
      <c r="AU294" s="122">
        <v>0</v>
      </c>
      <c r="AV294" s="122">
        <v>30766</v>
      </c>
    </row>
    <row r="295" spans="2:48" ht="12.75" hidden="1" customHeight="1">
      <c r="B295" t="s">
        <v>364</v>
      </c>
      <c r="C295" t="s">
        <v>58</v>
      </c>
      <c r="D295" t="s">
        <v>426</v>
      </c>
      <c r="E295" t="s">
        <v>137</v>
      </c>
      <c r="F295" s="122">
        <v>1</v>
      </c>
      <c r="G295" s="122">
        <v>112</v>
      </c>
      <c r="H295" s="122">
        <v>263</v>
      </c>
      <c r="I295" s="122">
        <v>16516</v>
      </c>
      <c r="J295" s="122">
        <v>15014</v>
      </c>
      <c r="K295">
        <v>55</v>
      </c>
      <c r="L295" s="122">
        <v>2477</v>
      </c>
      <c r="M295" s="122">
        <v>918</v>
      </c>
      <c r="N295" s="122">
        <v>1590</v>
      </c>
      <c r="O295" s="122">
        <v>589</v>
      </c>
      <c r="P295" s="122">
        <v>0</v>
      </c>
      <c r="Q295" s="122">
        <v>0</v>
      </c>
      <c r="R295" s="122">
        <v>8772</v>
      </c>
      <c r="S295" s="122">
        <v>3249</v>
      </c>
      <c r="T295" s="122">
        <v>0</v>
      </c>
      <c r="U295" s="122">
        <v>0</v>
      </c>
      <c r="V295" s="122">
        <v>19769</v>
      </c>
      <c r="W295" s="122">
        <f t="shared" si="8"/>
        <v>19770</v>
      </c>
      <c r="X295" s="122">
        <f t="shared" si="9"/>
        <v>29355</v>
      </c>
      <c r="Y295" s="122"/>
      <c r="AA295" t="s">
        <v>52</v>
      </c>
      <c r="AB295" t="s">
        <v>405</v>
      </c>
      <c r="AC295" t="s">
        <v>426</v>
      </c>
      <c r="AD295" t="s">
        <v>405</v>
      </c>
      <c r="AE295" t="s">
        <v>137</v>
      </c>
      <c r="AF295">
        <v>11</v>
      </c>
      <c r="AG295" s="122">
        <v>2549</v>
      </c>
      <c r="AH295" s="122">
        <v>1261</v>
      </c>
      <c r="AI295" s="122">
        <v>164318</v>
      </c>
      <c r="AJ295" s="122">
        <v>149380</v>
      </c>
      <c r="AK295">
        <v>91</v>
      </c>
      <c r="AL295" s="122">
        <v>30816</v>
      </c>
      <c r="AM295" s="122">
        <v>28015</v>
      </c>
      <c r="AN295" s="122">
        <v>57637</v>
      </c>
      <c r="AO295" s="122">
        <v>21347</v>
      </c>
      <c r="AP295" s="122">
        <v>5697</v>
      </c>
      <c r="AQ295" s="122">
        <v>2110</v>
      </c>
      <c r="AR295" s="122">
        <v>57137</v>
      </c>
      <c r="AS295" s="122">
        <v>51943</v>
      </c>
      <c r="AT295" s="122">
        <v>8605</v>
      </c>
      <c r="AU295" s="122">
        <v>3187</v>
      </c>
      <c r="AV295" s="122">
        <v>255981</v>
      </c>
    </row>
    <row r="296" spans="2:48" ht="12.75" hidden="1" customHeight="1">
      <c r="B296" t="s">
        <v>364</v>
      </c>
      <c r="C296" t="s">
        <v>58</v>
      </c>
      <c r="D296" t="s">
        <v>426</v>
      </c>
      <c r="E296" t="s">
        <v>426</v>
      </c>
      <c r="F296">
        <v>42</v>
      </c>
      <c r="G296" s="122">
        <v>5406</v>
      </c>
      <c r="H296" s="122">
        <v>11390</v>
      </c>
      <c r="I296" s="122">
        <v>943613</v>
      </c>
      <c r="J296" s="122">
        <v>857830</v>
      </c>
      <c r="K296">
        <v>65</v>
      </c>
      <c r="L296" s="122">
        <v>121008</v>
      </c>
      <c r="M296" s="122">
        <v>99631</v>
      </c>
      <c r="N296" s="122">
        <v>109508</v>
      </c>
      <c r="O296" s="122">
        <v>40559</v>
      </c>
      <c r="P296" s="122">
        <v>18875</v>
      </c>
      <c r="Q296" s="122">
        <v>6991</v>
      </c>
      <c r="R296" s="122">
        <v>215262</v>
      </c>
      <c r="S296" s="122">
        <v>195692</v>
      </c>
      <c r="T296" s="122">
        <v>103270</v>
      </c>
      <c r="U296" s="122">
        <v>38248</v>
      </c>
      <c r="V296" s="122">
        <v>1238951</v>
      </c>
      <c r="W296" s="122">
        <f t="shared" si="8"/>
        <v>1238951</v>
      </c>
      <c r="X296" s="122">
        <f t="shared" si="9"/>
        <v>1511536</v>
      </c>
      <c r="Y296" s="122"/>
      <c r="AA296" t="s">
        <v>52</v>
      </c>
      <c r="AB296" t="s">
        <v>405</v>
      </c>
      <c r="AC296" t="s">
        <v>426</v>
      </c>
      <c r="AD296" t="s">
        <v>405</v>
      </c>
      <c r="AE296" t="s">
        <v>566</v>
      </c>
      <c r="AF296">
        <v>98</v>
      </c>
      <c r="AG296" s="122">
        <v>23202</v>
      </c>
      <c r="AH296" s="122">
        <v>11468</v>
      </c>
      <c r="AI296" s="122">
        <v>1599253</v>
      </c>
      <c r="AJ296" s="122">
        <v>1453867</v>
      </c>
      <c r="AK296">
        <v>90</v>
      </c>
      <c r="AL296" s="122">
        <v>318882</v>
      </c>
      <c r="AM296" s="122">
        <v>289893</v>
      </c>
      <c r="AN296" s="122">
        <v>418386</v>
      </c>
      <c r="AO296" s="122">
        <v>154958</v>
      </c>
      <c r="AP296" s="122">
        <v>85112</v>
      </c>
      <c r="AQ296" s="122">
        <v>31523</v>
      </c>
      <c r="AR296" s="122">
        <v>508346</v>
      </c>
      <c r="AS296" s="122">
        <v>462133</v>
      </c>
      <c r="AT296">
        <v>0</v>
      </c>
      <c r="AU296">
        <v>0</v>
      </c>
      <c r="AV296" s="122">
        <v>2392373</v>
      </c>
    </row>
    <row r="297" spans="2:48" ht="12.75" hidden="1" customHeight="1">
      <c r="B297" t="s">
        <v>364</v>
      </c>
      <c r="C297" t="s">
        <v>58</v>
      </c>
      <c r="D297" t="s">
        <v>433</v>
      </c>
      <c r="E297" t="s">
        <v>433</v>
      </c>
      <c r="F297" s="122">
        <v>3</v>
      </c>
      <c r="G297" s="122">
        <v>287</v>
      </c>
      <c r="H297" s="122">
        <v>806</v>
      </c>
      <c r="I297" s="122">
        <v>51585</v>
      </c>
      <c r="J297" s="122">
        <v>46895</v>
      </c>
      <c r="K297">
        <v>65</v>
      </c>
      <c r="L297" s="122">
        <v>5067</v>
      </c>
      <c r="M297" s="122">
        <v>4606</v>
      </c>
      <c r="N297" s="122">
        <v>4999</v>
      </c>
      <c r="O297" s="122">
        <v>1851</v>
      </c>
      <c r="P297" s="122">
        <v>1323</v>
      </c>
      <c r="Q297" s="122">
        <v>490</v>
      </c>
      <c r="R297" s="122">
        <v>10543</v>
      </c>
      <c r="S297" s="122">
        <v>9585</v>
      </c>
      <c r="T297" s="122">
        <v>2715</v>
      </c>
      <c r="U297" s="122">
        <v>1006</v>
      </c>
      <c r="V297" s="122">
        <v>64433</v>
      </c>
      <c r="W297" s="122">
        <f t="shared" si="8"/>
        <v>64433</v>
      </c>
      <c r="X297" s="122">
        <f t="shared" si="9"/>
        <v>76232</v>
      </c>
      <c r="Y297" s="122"/>
      <c r="AA297" t="s">
        <v>52</v>
      </c>
      <c r="AB297" t="s">
        <v>405</v>
      </c>
      <c r="AC297" t="s">
        <v>426</v>
      </c>
      <c r="AD297" t="s">
        <v>137</v>
      </c>
      <c r="AE297" t="s">
        <v>566</v>
      </c>
      <c r="AF297">
        <v>4</v>
      </c>
      <c r="AG297">
        <v>612</v>
      </c>
      <c r="AH297">
        <v>456</v>
      </c>
      <c r="AI297" s="122">
        <v>37704</v>
      </c>
      <c r="AJ297" s="122">
        <v>34277</v>
      </c>
      <c r="AK297">
        <v>92</v>
      </c>
      <c r="AL297" s="122">
        <v>5939</v>
      </c>
      <c r="AM297" s="122">
        <v>5399</v>
      </c>
      <c r="AN297" s="122">
        <v>11503</v>
      </c>
      <c r="AO297" s="122">
        <v>4260</v>
      </c>
      <c r="AP297" s="122">
        <v>2592</v>
      </c>
      <c r="AQ297">
        <v>960</v>
      </c>
      <c r="AR297" s="122">
        <v>20982</v>
      </c>
      <c r="AS297" s="122">
        <v>7771</v>
      </c>
      <c r="AT297">
        <v>0</v>
      </c>
      <c r="AU297">
        <v>0</v>
      </c>
      <c r="AV297" s="122">
        <v>52667</v>
      </c>
    </row>
    <row r="298" spans="2:48" ht="12.75" hidden="1" customHeight="1">
      <c r="B298" t="s">
        <v>364</v>
      </c>
      <c r="C298" t="s">
        <v>58</v>
      </c>
      <c r="D298" t="s">
        <v>408</v>
      </c>
      <c r="E298" t="s">
        <v>408</v>
      </c>
      <c r="F298">
        <v>3</v>
      </c>
      <c r="G298">
        <v>382</v>
      </c>
      <c r="H298" s="122">
        <v>797</v>
      </c>
      <c r="I298" s="122">
        <v>68333</v>
      </c>
      <c r="J298" s="122">
        <v>62121</v>
      </c>
      <c r="K298">
        <v>65</v>
      </c>
      <c r="L298" s="122">
        <v>5902</v>
      </c>
      <c r="M298" s="122">
        <v>5366</v>
      </c>
      <c r="N298" s="122">
        <v>6275</v>
      </c>
      <c r="O298" s="122">
        <v>2324</v>
      </c>
      <c r="P298" s="122">
        <v>1053</v>
      </c>
      <c r="Q298">
        <v>390</v>
      </c>
      <c r="R298" s="122">
        <v>16662</v>
      </c>
      <c r="S298" s="122">
        <v>15147</v>
      </c>
      <c r="T298" s="122">
        <v>0</v>
      </c>
      <c r="U298" s="122">
        <v>0</v>
      </c>
      <c r="V298" s="122">
        <v>85348</v>
      </c>
      <c r="W298" s="122">
        <f t="shared" si="8"/>
        <v>85348</v>
      </c>
      <c r="X298" s="122">
        <f t="shared" si="9"/>
        <v>98225</v>
      </c>
      <c r="Y298" s="122"/>
      <c r="AA298" t="s">
        <v>52</v>
      </c>
      <c r="AB298" t="s">
        <v>405</v>
      </c>
      <c r="AC298" t="s">
        <v>426</v>
      </c>
      <c r="AD298" t="s">
        <v>407</v>
      </c>
      <c r="AE298" t="s">
        <v>566</v>
      </c>
      <c r="AF298">
        <v>1</v>
      </c>
      <c r="AG298">
        <v>227</v>
      </c>
      <c r="AH298">
        <v>110</v>
      </c>
      <c r="AI298" s="122">
        <v>13186</v>
      </c>
      <c r="AJ298" s="122">
        <v>11987</v>
      </c>
      <c r="AK298">
        <v>90</v>
      </c>
      <c r="AL298" s="122">
        <v>2205</v>
      </c>
      <c r="AM298" s="122">
        <v>2004</v>
      </c>
      <c r="AN298" s="122">
        <v>3867</v>
      </c>
      <c r="AO298" s="122">
        <v>1432</v>
      </c>
      <c r="AP298">
        <v>473</v>
      </c>
      <c r="AQ298">
        <v>175</v>
      </c>
      <c r="AR298" s="122">
        <v>5268</v>
      </c>
      <c r="AS298" s="122">
        <v>4789</v>
      </c>
      <c r="AT298">
        <v>0</v>
      </c>
      <c r="AU298">
        <v>0</v>
      </c>
      <c r="AV298" s="122">
        <v>20388</v>
      </c>
    </row>
    <row r="299" spans="2:48" ht="12.75" hidden="1" customHeight="1">
      <c r="B299" t="s">
        <v>364</v>
      </c>
      <c r="C299" t="s">
        <v>58</v>
      </c>
      <c r="D299" t="s">
        <v>429</v>
      </c>
      <c r="E299" t="s">
        <v>429</v>
      </c>
      <c r="F299">
        <v>1</v>
      </c>
      <c r="G299">
        <v>118</v>
      </c>
      <c r="H299" s="122">
        <v>238</v>
      </c>
      <c r="I299" s="122">
        <v>17395</v>
      </c>
      <c r="J299" s="122">
        <v>15814</v>
      </c>
      <c r="K299">
        <v>65</v>
      </c>
      <c r="L299" s="122">
        <v>0</v>
      </c>
      <c r="M299" s="122">
        <v>0</v>
      </c>
      <c r="N299" s="122">
        <v>2871</v>
      </c>
      <c r="O299" s="122">
        <v>1063</v>
      </c>
      <c r="P299" s="122">
        <v>351</v>
      </c>
      <c r="Q299">
        <v>130</v>
      </c>
      <c r="R299" s="122">
        <v>4754</v>
      </c>
      <c r="S299" s="122">
        <v>4322</v>
      </c>
      <c r="T299" s="122">
        <v>2649</v>
      </c>
      <c r="U299" s="122">
        <v>981</v>
      </c>
      <c r="V299" s="122">
        <v>22310</v>
      </c>
      <c r="W299" s="122">
        <f t="shared" si="8"/>
        <v>22310</v>
      </c>
      <c r="X299" s="122">
        <f t="shared" si="9"/>
        <v>28020</v>
      </c>
      <c r="Y299" s="122"/>
      <c r="AA299" t="s">
        <v>52</v>
      </c>
      <c r="AB299" t="s">
        <v>405</v>
      </c>
      <c r="AC299" t="s">
        <v>566</v>
      </c>
      <c r="AD299" t="s">
        <v>405</v>
      </c>
      <c r="AE299" t="s">
        <v>137</v>
      </c>
      <c r="AF299">
        <v>2</v>
      </c>
      <c r="AG299" s="122">
        <v>444</v>
      </c>
      <c r="AH299" s="122">
        <v>247</v>
      </c>
      <c r="AI299" s="122">
        <v>44998</v>
      </c>
      <c r="AJ299" s="122">
        <v>40907</v>
      </c>
      <c r="AK299">
        <v>90</v>
      </c>
      <c r="AL299">
        <v>0</v>
      </c>
      <c r="AM299">
        <v>0</v>
      </c>
      <c r="AN299" s="122">
        <v>8164</v>
      </c>
      <c r="AO299" s="122">
        <v>3024</v>
      </c>
      <c r="AP299" s="122">
        <v>945</v>
      </c>
      <c r="AQ299" s="122">
        <v>350</v>
      </c>
      <c r="AR299" s="122">
        <v>12937</v>
      </c>
      <c r="AS299" s="122">
        <v>11761</v>
      </c>
      <c r="AT299">
        <v>0</v>
      </c>
      <c r="AU299">
        <v>0</v>
      </c>
      <c r="AV299" s="122">
        <v>56042</v>
      </c>
    </row>
    <row r="300" spans="2:48" ht="12.75" hidden="1" customHeight="1">
      <c r="B300" t="s">
        <v>364</v>
      </c>
      <c r="C300" t="s">
        <v>60</v>
      </c>
      <c r="D300" t="s">
        <v>405</v>
      </c>
      <c r="E300" t="s">
        <v>405</v>
      </c>
      <c r="F300">
        <v>22</v>
      </c>
      <c r="G300" s="122">
        <v>2388</v>
      </c>
      <c r="H300" s="122">
        <v>7466</v>
      </c>
      <c r="I300" s="122">
        <v>523729</v>
      </c>
      <c r="J300" s="122">
        <v>476118</v>
      </c>
      <c r="K300">
        <v>78</v>
      </c>
      <c r="L300" s="122">
        <v>103033</v>
      </c>
      <c r="M300" s="122">
        <v>90800</v>
      </c>
      <c r="N300" s="122">
        <v>48588</v>
      </c>
      <c r="O300" s="122">
        <v>17996</v>
      </c>
      <c r="P300" s="122">
        <v>9680</v>
      </c>
      <c r="Q300" s="122">
        <v>3585</v>
      </c>
      <c r="R300" s="122">
        <v>100999</v>
      </c>
      <c r="S300" s="122">
        <v>91818</v>
      </c>
      <c r="T300" s="122">
        <v>31197</v>
      </c>
      <c r="U300" s="122">
        <v>11554</v>
      </c>
      <c r="V300" s="122">
        <v>691870</v>
      </c>
      <c r="W300" s="122">
        <f t="shared" si="8"/>
        <v>691871</v>
      </c>
      <c r="X300" s="122">
        <f t="shared" si="9"/>
        <v>817226</v>
      </c>
      <c r="Y300" s="122"/>
      <c r="AA300" t="s">
        <v>52</v>
      </c>
      <c r="AB300" t="s">
        <v>405</v>
      </c>
      <c r="AC300" t="s">
        <v>566</v>
      </c>
      <c r="AD300" t="s">
        <v>405</v>
      </c>
      <c r="AE300" t="s">
        <v>566</v>
      </c>
      <c r="AF300">
        <v>15</v>
      </c>
      <c r="AG300" s="122">
        <v>2895</v>
      </c>
      <c r="AH300" s="122">
        <v>1740</v>
      </c>
      <c r="AI300" s="122">
        <v>210951</v>
      </c>
      <c r="AJ300" s="122">
        <v>191773</v>
      </c>
      <c r="AK300">
        <v>90</v>
      </c>
      <c r="AL300" s="122">
        <v>0</v>
      </c>
      <c r="AM300" s="122">
        <v>0</v>
      </c>
      <c r="AN300" s="122">
        <v>52857</v>
      </c>
      <c r="AO300" s="122">
        <v>19577</v>
      </c>
      <c r="AP300" s="122">
        <v>8843</v>
      </c>
      <c r="AQ300" s="122">
        <v>3275</v>
      </c>
      <c r="AR300" s="122">
        <v>71228</v>
      </c>
      <c r="AS300" s="122">
        <v>64753</v>
      </c>
      <c r="AT300">
        <v>0</v>
      </c>
      <c r="AU300">
        <v>0</v>
      </c>
      <c r="AV300" s="122">
        <v>279378</v>
      </c>
    </row>
    <row r="301" spans="2:48" ht="12.75" hidden="1" customHeight="1">
      <c r="B301" t="s">
        <v>364</v>
      </c>
      <c r="C301" t="s">
        <v>60</v>
      </c>
      <c r="D301" t="s">
        <v>405</v>
      </c>
      <c r="E301" t="s">
        <v>137</v>
      </c>
      <c r="F301">
        <v>1</v>
      </c>
      <c r="G301">
        <v>111</v>
      </c>
      <c r="H301" s="122">
        <v>315</v>
      </c>
      <c r="I301" s="122">
        <v>18412</v>
      </c>
      <c r="J301" s="122">
        <v>16738</v>
      </c>
      <c r="K301">
        <v>87</v>
      </c>
      <c r="L301" s="122">
        <v>5633</v>
      </c>
      <c r="M301" s="122">
        <v>5121</v>
      </c>
      <c r="N301" s="122">
        <v>2714</v>
      </c>
      <c r="O301" s="122">
        <v>1005</v>
      </c>
      <c r="P301" s="122">
        <v>351</v>
      </c>
      <c r="Q301" s="122">
        <v>130</v>
      </c>
      <c r="R301" s="122">
        <v>7914</v>
      </c>
      <c r="S301" s="122">
        <v>2931</v>
      </c>
      <c r="T301" s="122">
        <v>0</v>
      </c>
      <c r="U301" s="122">
        <v>0</v>
      </c>
      <c r="V301" s="122">
        <v>25925</v>
      </c>
      <c r="W301" s="122">
        <f t="shared" si="8"/>
        <v>25925</v>
      </c>
      <c r="X301" s="122">
        <f t="shared" si="9"/>
        <v>35024</v>
      </c>
      <c r="Y301" s="122"/>
      <c r="AA301" t="s">
        <v>52</v>
      </c>
      <c r="AB301" t="s">
        <v>405</v>
      </c>
      <c r="AC301" t="s">
        <v>433</v>
      </c>
      <c r="AD301" t="s">
        <v>405</v>
      </c>
      <c r="AE301" t="s">
        <v>137</v>
      </c>
      <c r="AF301">
        <v>2</v>
      </c>
      <c r="AG301" s="122">
        <v>362</v>
      </c>
      <c r="AH301" s="122">
        <v>240</v>
      </c>
      <c r="AI301" s="122">
        <v>24651</v>
      </c>
      <c r="AJ301" s="122">
        <v>22410</v>
      </c>
      <c r="AK301">
        <v>93</v>
      </c>
      <c r="AL301" s="122">
        <v>3900</v>
      </c>
      <c r="AM301" s="122">
        <v>3545</v>
      </c>
      <c r="AN301" s="122">
        <v>5081</v>
      </c>
      <c r="AO301" s="122">
        <v>1882</v>
      </c>
      <c r="AP301" s="122">
        <v>945</v>
      </c>
      <c r="AQ301" s="122">
        <v>350</v>
      </c>
      <c r="AR301" s="122">
        <v>8289</v>
      </c>
      <c r="AS301" s="122">
        <v>7536</v>
      </c>
      <c r="AT301">
        <v>0</v>
      </c>
      <c r="AU301">
        <v>0</v>
      </c>
      <c r="AV301" s="122">
        <v>35723</v>
      </c>
    </row>
    <row r="302" spans="2:48" ht="12.75" hidden="1" customHeight="1">
      <c r="B302" t="s">
        <v>364</v>
      </c>
      <c r="C302" t="s">
        <v>60</v>
      </c>
      <c r="D302" t="s">
        <v>137</v>
      </c>
      <c r="E302" t="s">
        <v>405</v>
      </c>
      <c r="F302">
        <v>1</v>
      </c>
      <c r="G302" s="122">
        <v>471</v>
      </c>
      <c r="H302" s="122">
        <v>380</v>
      </c>
      <c r="I302" s="122">
        <v>158380</v>
      </c>
      <c r="J302" s="122">
        <v>58659</v>
      </c>
      <c r="K302">
        <v>100</v>
      </c>
      <c r="L302" s="122">
        <v>7169</v>
      </c>
      <c r="M302" s="122">
        <v>6518</v>
      </c>
      <c r="N302" s="122">
        <v>5739</v>
      </c>
      <c r="O302" s="122">
        <v>2125</v>
      </c>
      <c r="P302" s="122">
        <v>0</v>
      </c>
      <c r="Q302" s="122">
        <v>0</v>
      </c>
      <c r="R302" s="122">
        <v>7570</v>
      </c>
      <c r="S302" s="122">
        <v>6882</v>
      </c>
      <c r="T302" s="122">
        <v>0</v>
      </c>
      <c r="U302" s="122">
        <v>0</v>
      </c>
      <c r="V302" s="122">
        <v>74184</v>
      </c>
      <c r="W302" s="122">
        <f t="shared" si="8"/>
        <v>74184</v>
      </c>
      <c r="X302" s="122">
        <f t="shared" si="9"/>
        <v>178858</v>
      </c>
      <c r="Y302" s="122"/>
      <c r="AA302" t="s">
        <v>52</v>
      </c>
      <c r="AB302" t="s">
        <v>405</v>
      </c>
      <c r="AC302" t="s">
        <v>433</v>
      </c>
      <c r="AD302" t="s">
        <v>405</v>
      </c>
      <c r="AE302" t="s">
        <v>566</v>
      </c>
      <c r="AF302">
        <v>15</v>
      </c>
      <c r="AG302" s="122">
        <v>2625</v>
      </c>
      <c r="AH302" s="122">
        <v>1713</v>
      </c>
      <c r="AI302" s="122">
        <v>173025</v>
      </c>
      <c r="AJ302" s="122">
        <v>157296</v>
      </c>
      <c r="AK302">
        <v>91</v>
      </c>
      <c r="AL302" s="122">
        <v>29375</v>
      </c>
      <c r="AM302" s="122">
        <v>26705</v>
      </c>
      <c r="AN302" s="122">
        <v>40572</v>
      </c>
      <c r="AO302" s="122">
        <v>15027</v>
      </c>
      <c r="AP302" s="122">
        <v>14092</v>
      </c>
      <c r="AQ302" s="122">
        <v>5219</v>
      </c>
      <c r="AR302" s="122">
        <v>68724</v>
      </c>
      <c r="AS302" s="122">
        <v>62476</v>
      </c>
      <c r="AT302">
        <v>0</v>
      </c>
      <c r="AU302">
        <v>0</v>
      </c>
      <c r="AV302" s="122">
        <v>266723</v>
      </c>
    </row>
    <row r="303" spans="2:48" ht="12.75" hidden="1" customHeight="1">
      <c r="B303" t="s">
        <v>364</v>
      </c>
      <c r="C303" t="s">
        <v>60</v>
      </c>
      <c r="D303" t="s">
        <v>137</v>
      </c>
      <c r="E303" t="s">
        <v>137</v>
      </c>
      <c r="F303">
        <v>145</v>
      </c>
      <c r="G303" s="122">
        <v>15070</v>
      </c>
      <c r="H303" s="122">
        <v>49111</v>
      </c>
      <c r="I303" s="122">
        <v>3434695</v>
      </c>
      <c r="J303" s="122">
        <v>1272109</v>
      </c>
      <c r="K303">
        <v>101</v>
      </c>
      <c r="L303" s="122">
        <v>506543</v>
      </c>
      <c r="M303" s="122">
        <v>409255</v>
      </c>
      <c r="N303" s="122">
        <v>340166</v>
      </c>
      <c r="O303" s="122">
        <v>125987</v>
      </c>
      <c r="P303" s="122">
        <v>9832</v>
      </c>
      <c r="Q303" s="122">
        <v>3641</v>
      </c>
      <c r="R303" s="122">
        <v>1144239</v>
      </c>
      <c r="S303" s="122">
        <v>423792</v>
      </c>
      <c r="T303" s="122">
        <v>3877</v>
      </c>
      <c r="U303" s="122">
        <v>1436</v>
      </c>
      <c r="V303" s="122">
        <v>2236221</v>
      </c>
      <c r="W303" s="122">
        <f t="shared" si="8"/>
        <v>2236220</v>
      </c>
      <c r="X303" s="122">
        <f t="shared" si="9"/>
        <v>5439352</v>
      </c>
      <c r="Y303" s="122"/>
      <c r="AA303" t="s">
        <v>52</v>
      </c>
      <c r="AB303" t="s">
        <v>405</v>
      </c>
      <c r="AC303" t="s">
        <v>429</v>
      </c>
      <c r="AD303" t="s">
        <v>405</v>
      </c>
      <c r="AE303" t="s">
        <v>566</v>
      </c>
      <c r="AF303">
        <v>4</v>
      </c>
      <c r="AG303">
        <v>918</v>
      </c>
      <c r="AH303">
        <v>456</v>
      </c>
      <c r="AI303" s="122">
        <v>67584</v>
      </c>
      <c r="AJ303" s="122">
        <v>61440</v>
      </c>
      <c r="AK303">
        <v>92</v>
      </c>
      <c r="AL303" s="122">
        <v>10404</v>
      </c>
      <c r="AM303" s="122">
        <v>9459</v>
      </c>
      <c r="AN303" s="122">
        <v>16678</v>
      </c>
      <c r="AO303" s="122">
        <v>6177</v>
      </c>
      <c r="AP303" s="122">
        <v>1890</v>
      </c>
      <c r="AQ303">
        <v>700</v>
      </c>
      <c r="AR303" s="122">
        <v>14986</v>
      </c>
      <c r="AS303" s="122">
        <v>13624</v>
      </c>
      <c r="AT303">
        <v>0</v>
      </c>
      <c r="AU303">
        <v>0</v>
      </c>
      <c r="AV303" s="122">
        <v>91399</v>
      </c>
    </row>
    <row r="304" spans="2:48" ht="12.75" hidden="1" customHeight="1">
      <c r="B304" t="s">
        <v>364</v>
      </c>
      <c r="C304" t="s">
        <v>60</v>
      </c>
      <c r="D304" t="s">
        <v>137</v>
      </c>
      <c r="E304" t="s">
        <v>406</v>
      </c>
      <c r="F304" s="122">
        <v>1</v>
      </c>
      <c r="G304" s="122">
        <v>434</v>
      </c>
      <c r="H304" s="122">
        <v>379</v>
      </c>
      <c r="I304" s="122">
        <v>137630</v>
      </c>
      <c r="J304" s="122">
        <v>50974</v>
      </c>
      <c r="K304">
        <v>100</v>
      </c>
      <c r="L304" s="122">
        <v>7287</v>
      </c>
      <c r="M304" s="122">
        <v>6624</v>
      </c>
      <c r="N304" s="122">
        <v>9259</v>
      </c>
      <c r="O304" s="122">
        <v>3429</v>
      </c>
      <c r="P304" s="122">
        <v>621</v>
      </c>
      <c r="Q304" s="122">
        <v>230</v>
      </c>
      <c r="R304" s="122">
        <v>4520</v>
      </c>
      <c r="S304" s="122">
        <v>4109</v>
      </c>
      <c r="T304" s="122">
        <v>5144</v>
      </c>
      <c r="U304" s="122">
        <v>1905</v>
      </c>
      <c r="V304" s="122">
        <v>67272</v>
      </c>
      <c r="W304" s="122">
        <f t="shared" si="8"/>
        <v>67271</v>
      </c>
      <c r="X304" s="122">
        <f t="shared" si="9"/>
        <v>164461</v>
      </c>
      <c r="Y304" s="122"/>
      <c r="AA304" t="s">
        <v>52</v>
      </c>
      <c r="AB304" t="s">
        <v>137</v>
      </c>
      <c r="AC304" t="s">
        <v>578</v>
      </c>
      <c r="AD304" t="s">
        <v>137</v>
      </c>
      <c r="AE304" t="s">
        <v>566</v>
      </c>
      <c r="AF304">
        <v>1</v>
      </c>
      <c r="AG304">
        <v>200</v>
      </c>
      <c r="AH304">
        <v>123</v>
      </c>
      <c r="AI304" s="122">
        <v>15928</v>
      </c>
      <c r="AJ304" s="122">
        <v>5899</v>
      </c>
      <c r="AK304">
        <v>320</v>
      </c>
      <c r="AL304" s="122">
        <v>7691</v>
      </c>
      <c r="AM304" s="122">
        <v>6992</v>
      </c>
      <c r="AN304" s="122">
        <v>7944</v>
      </c>
      <c r="AO304" s="122">
        <v>2942</v>
      </c>
      <c r="AP304" s="122">
        <v>1755</v>
      </c>
      <c r="AQ304">
        <v>650</v>
      </c>
      <c r="AR304" s="122">
        <v>6648</v>
      </c>
      <c r="AS304" s="122">
        <v>2462</v>
      </c>
      <c r="AT304">
        <v>0</v>
      </c>
      <c r="AU304">
        <v>0</v>
      </c>
      <c r="AV304" s="122">
        <v>18945</v>
      </c>
    </row>
    <row r="305" spans="2:48" ht="12.75" hidden="1" customHeight="1">
      <c r="B305" t="s">
        <v>364</v>
      </c>
      <c r="C305" t="s">
        <v>60</v>
      </c>
      <c r="D305" t="s">
        <v>137</v>
      </c>
      <c r="E305" t="s">
        <v>426</v>
      </c>
      <c r="F305">
        <v>2</v>
      </c>
      <c r="G305">
        <v>214</v>
      </c>
      <c r="H305">
        <v>693</v>
      </c>
      <c r="I305" s="122">
        <v>63876</v>
      </c>
      <c r="J305" s="122">
        <v>23658</v>
      </c>
      <c r="K305">
        <v>100</v>
      </c>
      <c r="L305" s="122">
        <v>10051</v>
      </c>
      <c r="M305" s="122">
        <v>9138</v>
      </c>
      <c r="N305" s="122">
        <v>4174</v>
      </c>
      <c r="O305" s="122">
        <v>1546</v>
      </c>
      <c r="P305">
        <v>0</v>
      </c>
      <c r="Q305">
        <v>0</v>
      </c>
      <c r="R305" s="122">
        <v>10285</v>
      </c>
      <c r="S305" s="122">
        <v>9350</v>
      </c>
      <c r="T305" s="122">
        <v>2454</v>
      </c>
      <c r="U305">
        <v>909</v>
      </c>
      <c r="V305" s="122">
        <v>44600</v>
      </c>
      <c r="W305" s="122">
        <f t="shared" si="8"/>
        <v>44601</v>
      </c>
      <c r="X305" s="122">
        <f t="shared" si="9"/>
        <v>90840</v>
      </c>
      <c r="Y305" s="122"/>
      <c r="AA305" t="s">
        <v>52</v>
      </c>
      <c r="AB305" t="s">
        <v>137</v>
      </c>
      <c r="AC305" t="s">
        <v>425</v>
      </c>
      <c r="AD305" t="s">
        <v>137</v>
      </c>
      <c r="AE305" t="s">
        <v>137</v>
      </c>
      <c r="AF305">
        <v>1</v>
      </c>
      <c r="AG305" s="122">
        <v>156</v>
      </c>
      <c r="AH305" s="122">
        <v>102</v>
      </c>
      <c r="AI305" s="122">
        <v>12801</v>
      </c>
      <c r="AJ305" s="122">
        <v>4741</v>
      </c>
      <c r="AK305">
        <v>390</v>
      </c>
      <c r="AL305" s="122">
        <v>2692</v>
      </c>
      <c r="AM305" s="122">
        <v>2447</v>
      </c>
      <c r="AN305" s="122">
        <v>2888</v>
      </c>
      <c r="AO305" s="122">
        <v>1070</v>
      </c>
      <c r="AP305" s="122">
        <v>351</v>
      </c>
      <c r="AQ305" s="122">
        <v>130</v>
      </c>
      <c r="AR305" s="122">
        <v>5344</v>
      </c>
      <c r="AS305" s="122">
        <v>1979</v>
      </c>
      <c r="AT305">
        <v>0</v>
      </c>
      <c r="AU305">
        <v>0</v>
      </c>
      <c r="AV305" s="122">
        <v>10367</v>
      </c>
    </row>
    <row r="306" spans="2:48" ht="12.75" hidden="1" customHeight="1">
      <c r="B306" t="s">
        <v>364</v>
      </c>
      <c r="C306" t="s">
        <v>60</v>
      </c>
      <c r="D306" t="s">
        <v>406</v>
      </c>
      <c r="E306" t="s">
        <v>555</v>
      </c>
      <c r="F306">
        <v>1</v>
      </c>
      <c r="G306" s="122">
        <v>47</v>
      </c>
      <c r="H306" s="122">
        <v>325</v>
      </c>
      <c r="I306" s="122">
        <v>6846</v>
      </c>
      <c r="J306" s="122">
        <v>6223</v>
      </c>
      <c r="K306">
        <v>85</v>
      </c>
      <c r="L306" s="122">
        <v>1228</v>
      </c>
      <c r="M306" s="122">
        <v>1116</v>
      </c>
      <c r="N306" s="122">
        <v>958</v>
      </c>
      <c r="O306" s="122">
        <v>355</v>
      </c>
      <c r="P306" s="122">
        <v>972</v>
      </c>
      <c r="Q306" s="122">
        <v>360</v>
      </c>
      <c r="R306" s="122">
        <v>3224</v>
      </c>
      <c r="S306" s="122">
        <v>2931</v>
      </c>
      <c r="T306" s="122">
        <v>2061</v>
      </c>
      <c r="U306" s="122">
        <v>763</v>
      </c>
      <c r="V306" s="122">
        <v>11749</v>
      </c>
      <c r="W306" s="122">
        <f t="shared" si="8"/>
        <v>11748</v>
      </c>
      <c r="X306" s="122">
        <f t="shared" si="9"/>
        <v>15289</v>
      </c>
      <c r="Y306" s="122"/>
      <c r="AA306" t="s">
        <v>52</v>
      </c>
      <c r="AB306" t="s">
        <v>137</v>
      </c>
      <c r="AC306" t="s">
        <v>425</v>
      </c>
      <c r="AD306" t="s">
        <v>137</v>
      </c>
      <c r="AE306" t="s">
        <v>566</v>
      </c>
      <c r="AF306">
        <v>34</v>
      </c>
      <c r="AG306" s="122">
        <v>10036</v>
      </c>
      <c r="AH306" s="122">
        <v>3832</v>
      </c>
      <c r="AI306" s="122">
        <v>526615</v>
      </c>
      <c r="AJ306" s="122">
        <v>195042</v>
      </c>
      <c r="AK306">
        <v>316</v>
      </c>
      <c r="AL306" s="122">
        <v>187627</v>
      </c>
      <c r="AM306" s="122">
        <v>170570</v>
      </c>
      <c r="AN306" s="122">
        <v>194916</v>
      </c>
      <c r="AO306" s="122">
        <v>72191</v>
      </c>
      <c r="AP306" s="122">
        <v>32653</v>
      </c>
      <c r="AQ306" s="122">
        <v>12094</v>
      </c>
      <c r="AR306" s="122">
        <v>242904</v>
      </c>
      <c r="AS306" s="122">
        <v>89964</v>
      </c>
      <c r="AT306">
        <v>0</v>
      </c>
      <c r="AU306">
        <v>0</v>
      </c>
      <c r="AV306" s="122">
        <v>539862</v>
      </c>
    </row>
    <row r="307" spans="2:48" ht="12.75" hidden="1" customHeight="1">
      <c r="B307" t="s">
        <v>364</v>
      </c>
      <c r="C307" t="s">
        <v>60</v>
      </c>
      <c r="D307" t="s">
        <v>406</v>
      </c>
      <c r="E307" t="s">
        <v>425</v>
      </c>
      <c r="F307">
        <v>2</v>
      </c>
      <c r="G307" s="122">
        <v>247</v>
      </c>
      <c r="H307" s="122">
        <v>643</v>
      </c>
      <c r="I307" s="122">
        <v>46002</v>
      </c>
      <c r="J307" s="122">
        <v>41820</v>
      </c>
      <c r="K307">
        <v>79</v>
      </c>
      <c r="L307" s="122">
        <v>12778</v>
      </c>
      <c r="M307" s="122">
        <v>11617</v>
      </c>
      <c r="N307" s="122">
        <v>5547</v>
      </c>
      <c r="O307" s="122">
        <v>2054</v>
      </c>
      <c r="P307" s="122">
        <v>1242</v>
      </c>
      <c r="Q307" s="122">
        <v>460</v>
      </c>
      <c r="R307" s="122">
        <v>8378</v>
      </c>
      <c r="S307" s="122">
        <v>7616</v>
      </c>
      <c r="T307" s="122">
        <v>5428</v>
      </c>
      <c r="U307" s="122">
        <v>2010</v>
      </c>
      <c r="V307" s="122">
        <v>65578</v>
      </c>
      <c r="W307" s="122">
        <f t="shared" si="8"/>
        <v>65577</v>
      </c>
      <c r="X307" s="122">
        <f t="shared" si="9"/>
        <v>79375</v>
      </c>
      <c r="Y307" s="122"/>
      <c r="AA307" t="s">
        <v>52</v>
      </c>
      <c r="AB307" t="s">
        <v>137</v>
      </c>
      <c r="AC307" t="s">
        <v>405</v>
      </c>
      <c r="AD307" t="s">
        <v>405</v>
      </c>
      <c r="AE307" t="s">
        <v>566</v>
      </c>
      <c r="AF307">
        <v>1</v>
      </c>
      <c r="AG307">
        <v>523</v>
      </c>
      <c r="AH307">
        <v>104</v>
      </c>
      <c r="AI307" s="122">
        <v>33722</v>
      </c>
      <c r="AJ307" s="122">
        <v>12490</v>
      </c>
      <c r="AK307">
        <v>320</v>
      </c>
      <c r="AL307" s="122">
        <v>5392</v>
      </c>
      <c r="AM307" s="122">
        <v>4902</v>
      </c>
      <c r="AN307" s="122">
        <v>6372</v>
      </c>
      <c r="AO307" s="122">
        <v>2360</v>
      </c>
      <c r="AP307" s="122">
        <v>473</v>
      </c>
      <c r="AQ307">
        <v>175</v>
      </c>
      <c r="AR307" s="122">
        <v>8207</v>
      </c>
      <c r="AS307" s="122">
        <v>7461</v>
      </c>
      <c r="AT307" s="122">
        <v>0</v>
      </c>
      <c r="AU307" s="122">
        <v>0</v>
      </c>
      <c r="AV307" s="122">
        <v>27387</v>
      </c>
    </row>
    <row r="308" spans="2:48" ht="12.75" hidden="1" customHeight="1">
      <c r="B308" t="s">
        <v>364</v>
      </c>
      <c r="C308" t="s">
        <v>60</v>
      </c>
      <c r="D308" t="s">
        <v>406</v>
      </c>
      <c r="E308" t="s">
        <v>137</v>
      </c>
      <c r="F308">
        <v>7</v>
      </c>
      <c r="G308" s="122">
        <v>768</v>
      </c>
      <c r="H308" s="122">
        <v>2381</v>
      </c>
      <c r="I308" s="122">
        <v>158852</v>
      </c>
      <c r="J308" s="122">
        <v>144411</v>
      </c>
      <c r="K308">
        <v>73</v>
      </c>
      <c r="L308" s="122">
        <v>22897</v>
      </c>
      <c r="M308" s="122">
        <v>18632</v>
      </c>
      <c r="N308" s="122">
        <v>14185</v>
      </c>
      <c r="O308" s="122">
        <v>5254</v>
      </c>
      <c r="P308" s="122">
        <v>4347</v>
      </c>
      <c r="Q308" s="122">
        <v>1610</v>
      </c>
      <c r="R308" s="122">
        <v>58785</v>
      </c>
      <c r="S308" s="122">
        <v>21772</v>
      </c>
      <c r="T308" s="122">
        <v>1956</v>
      </c>
      <c r="U308" s="122">
        <v>725</v>
      </c>
      <c r="V308" s="122">
        <v>192404</v>
      </c>
      <c r="W308" s="122">
        <f t="shared" si="8"/>
        <v>192404</v>
      </c>
      <c r="X308" s="122">
        <f t="shared" si="9"/>
        <v>261022</v>
      </c>
      <c r="Y308" s="122"/>
      <c r="AA308" t="s">
        <v>52</v>
      </c>
      <c r="AB308" t="s">
        <v>137</v>
      </c>
      <c r="AC308" t="s">
        <v>405</v>
      </c>
      <c r="AD308" t="s">
        <v>137</v>
      </c>
      <c r="AE308" t="s">
        <v>137</v>
      </c>
      <c r="AF308">
        <v>2</v>
      </c>
      <c r="AG308" s="122">
        <v>554</v>
      </c>
      <c r="AH308" s="122">
        <v>245</v>
      </c>
      <c r="AI308" s="122">
        <v>32831</v>
      </c>
      <c r="AJ308" s="122">
        <v>12159</v>
      </c>
      <c r="AK308">
        <v>285</v>
      </c>
      <c r="AL308" s="122">
        <v>6511</v>
      </c>
      <c r="AM308" s="122">
        <v>5919</v>
      </c>
      <c r="AN308" s="122">
        <v>10633</v>
      </c>
      <c r="AO308" s="122">
        <v>3938</v>
      </c>
      <c r="AP308" s="122">
        <v>2106</v>
      </c>
      <c r="AQ308" s="122">
        <v>780</v>
      </c>
      <c r="AR308" s="122">
        <v>11577</v>
      </c>
      <c r="AS308" s="122">
        <v>4288</v>
      </c>
      <c r="AT308" s="122">
        <v>4086</v>
      </c>
      <c r="AU308" s="122">
        <v>1513</v>
      </c>
      <c r="AV308" s="122">
        <v>28597</v>
      </c>
    </row>
    <row r="309" spans="2:48" ht="12.75" hidden="1" customHeight="1">
      <c r="B309" t="s">
        <v>364</v>
      </c>
      <c r="C309" t="s">
        <v>60</v>
      </c>
      <c r="D309" t="s">
        <v>406</v>
      </c>
      <c r="E309" t="s">
        <v>406</v>
      </c>
      <c r="F309" s="122">
        <v>836</v>
      </c>
      <c r="G309" s="122">
        <v>99888</v>
      </c>
      <c r="H309" s="122">
        <v>282376</v>
      </c>
      <c r="I309" s="122">
        <v>21483272</v>
      </c>
      <c r="J309" s="122">
        <v>19530247</v>
      </c>
      <c r="K309">
        <v>76</v>
      </c>
      <c r="L309" s="122">
        <v>4110551</v>
      </c>
      <c r="M309" s="122">
        <v>3632831</v>
      </c>
      <c r="N309" s="122">
        <v>2122005</v>
      </c>
      <c r="O309" s="122">
        <v>785928</v>
      </c>
      <c r="P309" s="122">
        <v>544764</v>
      </c>
      <c r="Q309" s="122">
        <v>201764</v>
      </c>
      <c r="R309" s="122">
        <v>4367172</v>
      </c>
      <c r="S309" s="122">
        <v>3970156</v>
      </c>
      <c r="T309" s="122">
        <v>1619247</v>
      </c>
      <c r="U309" s="122">
        <v>599721</v>
      </c>
      <c r="V309" s="122">
        <v>28720647</v>
      </c>
      <c r="W309" s="122">
        <f t="shared" si="8"/>
        <v>28720647</v>
      </c>
      <c r="X309" s="122">
        <f t="shared" si="9"/>
        <v>34247011</v>
      </c>
      <c r="Y309" s="122"/>
      <c r="AA309" t="s">
        <v>52</v>
      </c>
      <c r="AB309" t="s">
        <v>137</v>
      </c>
      <c r="AC309" t="s">
        <v>405</v>
      </c>
      <c r="AD309" t="s">
        <v>137</v>
      </c>
      <c r="AE309" t="s">
        <v>566</v>
      </c>
      <c r="AF309">
        <v>11</v>
      </c>
      <c r="AG309" s="122">
        <v>4017</v>
      </c>
      <c r="AH309" s="122">
        <v>1231</v>
      </c>
      <c r="AI309" s="122">
        <v>243254</v>
      </c>
      <c r="AJ309" s="122">
        <v>90094</v>
      </c>
      <c r="AK309">
        <v>334</v>
      </c>
      <c r="AL309" s="122">
        <v>65355</v>
      </c>
      <c r="AM309" s="122">
        <v>59413</v>
      </c>
      <c r="AN309" s="122">
        <v>89666</v>
      </c>
      <c r="AO309" s="122">
        <v>33210</v>
      </c>
      <c r="AP309" s="122">
        <v>22332</v>
      </c>
      <c r="AQ309" s="122">
        <v>8271</v>
      </c>
      <c r="AR309" s="122">
        <v>62497</v>
      </c>
      <c r="AS309" s="122">
        <v>23147</v>
      </c>
      <c r="AT309">
        <v>0</v>
      </c>
      <c r="AU309">
        <v>0</v>
      </c>
      <c r="AV309" s="122">
        <v>214135</v>
      </c>
    </row>
    <row r="310" spans="2:48" ht="12.75" hidden="1" customHeight="1">
      <c r="B310" t="s">
        <v>364</v>
      </c>
      <c r="C310" t="s">
        <v>60</v>
      </c>
      <c r="D310" t="s">
        <v>406</v>
      </c>
      <c r="E310" t="s">
        <v>427</v>
      </c>
      <c r="F310">
        <v>2</v>
      </c>
      <c r="G310">
        <v>214</v>
      </c>
      <c r="H310">
        <v>693</v>
      </c>
      <c r="I310" s="122">
        <v>46415</v>
      </c>
      <c r="J310" s="122">
        <v>42196</v>
      </c>
      <c r="K310">
        <v>68</v>
      </c>
      <c r="L310" s="122">
        <v>7213</v>
      </c>
      <c r="M310" s="122">
        <v>6234</v>
      </c>
      <c r="N310" s="122">
        <v>4736</v>
      </c>
      <c r="O310" s="122">
        <v>1754</v>
      </c>
      <c r="P310" s="122">
        <v>1242</v>
      </c>
      <c r="Q310">
        <v>460</v>
      </c>
      <c r="R310" s="122">
        <v>9602</v>
      </c>
      <c r="S310" s="122">
        <v>8730</v>
      </c>
      <c r="T310" s="122">
        <v>5294</v>
      </c>
      <c r="U310" s="122">
        <v>1961</v>
      </c>
      <c r="V310" s="122">
        <v>61335</v>
      </c>
      <c r="W310" s="122">
        <f t="shared" si="8"/>
        <v>61335</v>
      </c>
      <c r="X310" s="122">
        <f t="shared" si="9"/>
        <v>74502</v>
      </c>
      <c r="Y310" s="122"/>
      <c r="AA310" t="s">
        <v>52</v>
      </c>
      <c r="AB310" t="s">
        <v>137</v>
      </c>
      <c r="AC310" t="s">
        <v>137</v>
      </c>
      <c r="AD310" t="s">
        <v>137</v>
      </c>
      <c r="AE310" t="s">
        <v>566</v>
      </c>
      <c r="AF310">
        <v>28</v>
      </c>
      <c r="AG310" s="122">
        <v>6555</v>
      </c>
      <c r="AH310" s="122">
        <v>3175</v>
      </c>
      <c r="AI310" s="122">
        <v>317395</v>
      </c>
      <c r="AJ310" s="122">
        <v>117554</v>
      </c>
      <c r="AK310">
        <v>328</v>
      </c>
      <c r="AL310" s="122">
        <v>109338</v>
      </c>
      <c r="AM310" s="122">
        <v>40496</v>
      </c>
      <c r="AN310" s="122">
        <v>110556</v>
      </c>
      <c r="AO310" s="122">
        <v>40947</v>
      </c>
      <c r="AP310" s="122">
        <v>41878</v>
      </c>
      <c r="AQ310" s="122">
        <v>15510</v>
      </c>
      <c r="AR310" s="122">
        <v>193732</v>
      </c>
      <c r="AS310" s="122">
        <v>71753</v>
      </c>
      <c r="AT310" s="122">
        <v>0</v>
      </c>
      <c r="AU310" s="122">
        <v>0</v>
      </c>
      <c r="AV310" s="122">
        <v>286259</v>
      </c>
    </row>
    <row r="311" spans="2:48" ht="12.75" hidden="1" customHeight="1">
      <c r="B311" t="s">
        <v>364</v>
      </c>
      <c r="C311" t="s">
        <v>60</v>
      </c>
      <c r="D311" t="s">
        <v>406</v>
      </c>
      <c r="E311" t="s">
        <v>426</v>
      </c>
      <c r="F311">
        <v>2</v>
      </c>
      <c r="G311" s="122">
        <v>264</v>
      </c>
      <c r="H311" s="122">
        <v>687</v>
      </c>
      <c r="I311" s="122">
        <v>58945</v>
      </c>
      <c r="J311" s="122">
        <v>53587</v>
      </c>
      <c r="K311">
        <v>78</v>
      </c>
      <c r="L311" s="122">
        <v>11033</v>
      </c>
      <c r="M311" s="122">
        <v>10030</v>
      </c>
      <c r="N311" s="122">
        <v>5300</v>
      </c>
      <c r="O311" s="122">
        <v>1963</v>
      </c>
      <c r="P311" s="122">
        <v>1242</v>
      </c>
      <c r="Q311" s="122">
        <v>460</v>
      </c>
      <c r="R311" s="122">
        <v>11374</v>
      </c>
      <c r="S311" s="122">
        <v>10340</v>
      </c>
      <c r="T311" s="122">
        <v>3085</v>
      </c>
      <c r="U311" s="122">
        <v>1143</v>
      </c>
      <c r="V311" s="122">
        <v>77523</v>
      </c>
      <c r="W311" s="122">
        <f t="shared" si="8"/>
        <v>77523</v>
      </c>
      <c r="X311" s="122">
        <f t="shared" si="9"/>
        <v>90979</v>
      </c>
      <c r="Y311" s="122"/>
      <c r="AA311" t="s">
        <v>52</v>
      </c>
      <c r="AB311" t="s">
        <v>137</v>
      </c>
      <c r="AC311" t="s">
        <v>580</v>
      </c>
      <c r="AD311" t="s">
        <v>137</v>
      </c>
      <c r="AE311" t="s">
        <v>137</v>
      </c>
      <c r="AF311">
        <v>5</v>
      </c>
      <c r="AG311" s="122">
        <v>1391</v>
      </c>
      <c r="AH311" s="122">
        <v>572</v>
      </c>
      <c r="AI311" s="122">
        <v>85207</v>
      </c>
      <c r="AJ311" s="122">
        <v>31558</v>
      </c>
      <c r="AK311">
        <v>307</v>
      </c>
      <c r="AL311" s="122">
        <v>17524</v>
      </c>
      <c r="AM311" s="122">
        <v>15931</v>
      </c>
      <c r="AN311" s="122">
        <v>29489</v>
      </c>
      <c r="AO311" s="122">
        <v>10922</v>
      </c>
      <c r="AP311" s="122">
        <v>4860</v>
      </c>
      <c r="AQ311" s="122">
        <v>1800</v>
      </c>
      <c r="AR311" s="122">
        <v>43177</v>
      </c>
      <c r="AS311" s="122">
        <v>15992</v>
      </c>
      <c r="AT311" s="122">
        <v>7689</v>
      </c>
      <c r="AU311" s="122">
        <v>2848</v>
      </c>
      <c r="AV311" s="122">
        <v>79050</v>
      </c>
    </row>
    <row r="312" spans="2:48" ht="12.75" hidden="1" customHeight="1">
      <c r="B312" t="s">
        <v>364</v>
      </c>
      <c r="C312" t="s">
        <v>60</v>
      </c>
      <c r="D312" t="s">
        <v>427</v>
      </c>
      <c r="E312" t="s">
        <v>427</v>
      </c>
      <c r="F312">
        <v>9</v>
      </c>
      <c r="G312" s="122">
        <v>862</v>
      </c>
      <c r="H312" s="122">
        <v>3183</v>
      </c>
      <c r="I312" s="122">
        <v>176825</v>
      </c>
      <c r="J312" s="122">
        <v>160750</v>
      </c>
      <c r="K312">
        <v>56</v>
      </c>
      <c r="L312" s="122">
        <v>40959</v>
      </c>
      <c r="M312" s="122">
        <v>18900</v>
      </c>
      <c r="N312" s="122">
        <v>17232</v>
      </c>
      <c r="O312" s="122">
        <v>6382</v>
      </c>
      <c r="P312" s="122">
        <v>3159</v>
      </c>
      <c r="Q312" s="122">
        <v>1170</v>
      </c>
      <c r="R312" s="122">
        <v>42234</v>
      </c>
      <c r="S312" s="122">
        <v>38395</v>
      </c>
      <c r="T312" s="122">
        <v>19252</v>
      </c>
      <c r="U312" s="122">
        <v>7130</v>
      </c>
      <c r="V312" s="122">
        <v>232727</v>
      </c>
      <c r="W312" s="122">
        <f t="shared" si="8"/>
        <v>232727</v>
      </c>
      <c r="X312" s="122">
        <f t="shared" si="9"/>
        <v>299661</v>
      </c>
      <c r="Y312" s="122"/>
      <c r="AA312" t="s">
        <v>52</v>
      </c>
      <c r="AB312" t="s">
        <v>137</v>
      </c>
      <c r="AC312" t="s">
        <v>580</v>
      </c>
      <c r="AD312" t="s">
        <v>137</v>
      </c>
      <c r="AE312" t="s">
        <v>566</v>
      </c>
      <c r="AF312">
        <v>32</v>
      </c>
      <c r="AG312" s="122">
        <v>10338</v>
      </c>
      <c r="AH312" s="122">
        <v>3673</v>
      </c>
      <c r="AI312" s="122">
        <v>664527</v>
      </c>
      <c r="AJ312" s="122">
        <v>246121</v>
      </c>
      <c r="AK312">
        <v>317</v>
      </c>
      <c r="AL312" s="122">
        <v>100523</v>
      </c>
      <c r="AM312" s="122">
        <v>91384</v>
      </c>
      <c r="AN312" s="122">
        <v>205153</v>
      </c>
      <c r="AO312" s="122">
        <v>75983</v>
      </c>
      <c r="AP312" s="122">
        <v>32986</v>
      </c>
      <c r="AQ312" s="122">
        <v>12217</v>
      </c>
      <c r="AR312" s="122">
        <v>266347</v>
      </c>
      <c r="AS312" s="122">
        <v>98647</v>
      </c>
      <c r="AT312">
        <v>0</v>
      </c>
      <c r="AU312">
        <v>0</v>
      </c>
      <c r="AV312" s="122">
        <v>524352</v>
      </c>
    </row>
    <row r="313" spans="2:48" ht="12.75" hidden="1" customHeight="1">
      <c r="B313" t="s">
        <v>364</v>
      </c>
      <c r="C313" t="s">
        <v>60</v>
      </c>
      <c r="D313" t="s">
        <v>407</v>
      </c>
      <c r="E313" t="s">
        <v>407</v>
      </c>
      <c r="F313">
        <v>15</v>
      </c>
      <c r="G313" s="122">
        <v>1321</v>
      </c>
      <c r="H313" s="122">
        <v>5114</v>
      </c>
      <c r="I313" s="122">
        <v>245443</v>
      </c>
      <c r="J313" s="122">
        <v>223130</v>
      </c>
      <c r="K313">
        <v>69</v>
      </c>
      <c r="L313" s="122">
        <v>50970</v>
      </c>
      <c r="M313" s="122">
        <v>43285</v>
      </c>
      <c r="N313" s="122">
        <v>29927</v>
      </c>
      <c r="O313" s="122">
        <v>11084</v>
      </c>
      <c r="P313" s="122">
        <v>7088</v>
      </c>
      <c r="Q313" s="122">
        <v>2625</v>
      </c>
      <c r="R313" s="122">
        <v>76227</v>
      </c>
      <c r="S313" s="122">
        <v>69297</v>
      </c>
      <c r="T313" s="122">
        <v>34685</v>
      </c>
      <c r="U313" s="122">
        <v>12846</v>
      </c>
      <c r="V313" s="122">
        <v>362268</v>
      </c>
      <c r="W313" s="122">
        <f t="shared" si="8"/>
        <v>362267</v>
      </c>
      <c r="X313" s="122">
        <f t="shared" si="9"/>
        <v>444340</v>
      </c>
      <c r="Y313" s="122"/>
      <c r="AA313" t="s">
        <v>52</v>
      </c>
      <c r="AB313" t="s">
        <v>137</v>
      </c>
      <c r="AC313" t="s">
        <v>580</v>
      </c>
      <c r="AD313" t="s">
        <v>406</v>
      </c>
      <c r="AE313" t="s">
        <v>566</v>
      </c>
      <c r="AF313">
        <v>6</v>
      </c>
      <c r="AG313" s="122">
        <v>1897</v>
      </c>
      <c r="AH313" s="122">
        <v>660</v>
      </c>
      <c r="AI313" s="122">
        <v>99840</v>
      </c>
      <c r="AJ313" s="122">
        <v>36978</v>
      </c>
      <c r="AK313">
        <v>360</v>
      </c>
      <c r="AL313" s="122">
        <v>19462</v>
      </c>
      <c r="AM313" s="122">
        <v>17693</v>
      </c>
      <c r="AN313" s="122">
        <v>34841</v>
      </c>
      <c r="AO313" s="122">
        <v>12904</v>
      </c>
      <c r="AP313" s="122">
        <v>5562</v>
      </c>
      <c r="AQ313" s="122">
        <v>2060</v>
      </c>
      <c r="AR313" s="122">
        <v>47923</v>
      </c>
      <c r="AS313" s="122">
        <v>43566</v>
      </c>
      <c r="AT313" s="122">
        <v>0</v>
      </c>
      <c r="AU313" s="122">
        <v>0</v>
      </c>
      <c r="AV313" s="122">
        <v>113201</v>
      </c>
    </row>
    <row r="314" spans="2:48" ht="12.75" hidden="1" customHeight="1">
      <c r="B314" t="s">
        <v>364</v>
      </c>
      <c r="C314" t="s">
        <v>60</v>
      </c>
      <c r="D314" t="s">
        <v>556</v>
      </c>
      <c r="E314" t="s">
        <v>556</v>
      </c>
      <c r="F314">
        <v>5</v>
      </c>
      <c r="G314" s="122">
        <v>678</v>
      </c>
      <c r="H314" s="122">
        <v>1705</v>
      </c>
      <c r="I314" s="122">
        <v>158167</v>
      </c>
      <c r="J314" s="122">
        <v>131806</v>
      </c>
      <c r="K314">
        <v>61</v>
      </c>
      <c r="L314" s="122">
        <v>12396</v>
      </c>
      <c r="M314" s="122">
        <v>11269</v>
      </c>
      <c r="N314" s="122">
        <v>13523</v>
      </c>
      <c r="O314" s="122">
        <v>5009</v>
      </c>
      <c r="P314" s="122">
        <v>3186</v>
      </c>
      <c r="Q314" s="122">
        <v>1180</v>
      </c>
      <c r="R314" s="122">
        <v>30070</v>
      </c>
      <c r="S314" s="122">
        <v>25058</v>
      </c>
      <c r="T314" s="122">
        <v>14603</v>
      </c>
      <c r="U314" s="122">
        <v>5408</v>
      </c>
      <c r="V314" s="122">
        <v>179731</v>
      </c>
      <c r="W314" s="122">
        <f t="shared" si="8"/>
        <v>179730</v>
      </c>
      <c r="X314" s="122">
        <f t="shared" si="9"/>
        <v>231945</v>
      </c>
      <c r="Y314" s="122"/>
      <c r="AA314" t="s">
        <v>52</v>
      </c>
      <c r="AB314" t="s">
        <v>137</v>
      </c>
      <c r="AC314" t="s">
        <v>427</v>
      </c>
      <c r="AD314" t="s">
        <v>137</v>
      </c>
      <c r="AE314" t="s">
        <v>137</v>
      </c>
      <c r="AF314">
        <v>12</v>
      </c>
      <c r="AG314" s="122">
        <v>2575</v>
      </c>
      <c r="AH314" s="122">
        <v>1381</v>
      </c>
      <c r="AI314" s="122">
        <v>125793</v>
      </c>
      <c r="AJ314" s="122">
        <v>46590</v>
      </c>
      <c r="AK314">
        <v>319</v>
      </c>
      <c r="AL314" s="122">
        <v>55903</v>
      </c>
      <c r="AM314" s="122">
        <v>50821</v>
      </c>
      <c r="AN314" s="122">
        <v>45419</v>
      </c>
      <c r="AO314" s="122">
        <v>16822</v>
      </c>
      <c r="AP314" s="122">
        <v>9288</v>
      </c>
      <c r="AQ314" s="122">
        <v>3440</v>
      </c>
      <c r="AR314" s="122">
        <v>35169</v>
      </c>
      <c r="AS314" s="122">
        <v>13025</v>
      </c>
      <c r="AT314" s="122">
        <v>24298</v>
      </c>
      <c r="AU314" s="122">
        <v>8999</v>
      </c>
      <c r="AV314" s="122">
        <v>139698</v>
      </c>
    </row>
    <row r="315" spans="2:48" ht="12.75" hidden="1" customHeight="1">
      <c r="B315" t="s">
        <v>364</v>
      </c>
      <c r="C315" t="s">
        <v>60</v>
      </c>
      <c r="D315" t="s">
        <v>431</v>
      </c>
      <c r="E315" t="s">
        <v>431</v>
      </c>
      <c r="F315">
        <v>6</v>
      </c>
      <c r="G315">
        <v>690</v>
      </c>
      <c r="H315" s="122">
        <v>1967</v>
      </c>
      <c r="I315" s="122">
        <v>137296</v>
      </c>
      <c r="J315" s="122">
        <v>124814</v>
      </c>
      <c r="K315">
        <v>62</v>
      </c>
      <c r="L315" s="122">
        <v>27598</v>
      </c>
      <c r="M315" s="122">
        <v>18421</v>
      </c>
      <c r="N315" s="122">
        <v>13949</v>
      </c>
      <c r="O315" s="122">
        <v>5166</v>
      </c>
      <c r="P315" s="122">
        <v>2376</v>
      </c>
      <c r="Q315">
        <v>880</v>
      </c>
      <c r="R315" s="122">
        <v>37222</v>
      </c>
      <c r="S315" s="122">
        <v>33839</v>
      </c>
      <c r="T315" s="122">
        <v>19163</v>
      </c>
      <c r="U315" s="122">
        <v>7097</v>
      </c>
      <c r="V315" s="122">
        <v>190217</v>
      </c>
      <c r="W315" s="122">
        <f t="shared" si="8"/>
        <v>190217</v>
      </c>
      <c r="X315" s="122">
        <f t="shared" si="9"/>
        <v>237604</v>
      </c>
      <c r="Y315" s="122"/>
      <c r="AA315" t="s">
        <v>52</v>
      </c>
      <c r="AB315" t="s">
        <v>137</v>
      </c>
      <c r="AC315" t="s">
        <v>427</v>
      </c>
      <c r="AD315" t="s">
        <v>137</v>
      </c>
      <c r="AE315" t="s">
        <v>566</v>
      </c>
      <c r="AF315">
        <v>19</v>
      </c>
      <c r="AG315" s="122">
        <v>4398</v>
      </c>
      <c r="AH315" s="122">
        <v>2220</v>
      </c>
      <c r="AI315" s="122">
        <v>254588</v>
      </c>
      <c r="AJ315" s="122">
        <v>94292</v>
      </c>
      <c r="AK315">
        <v>343</v>
      </c>
      <c r="AL315" s="122">
        <v>91777</v>
      </c>
      <c r="AM315" s="122">
        <v>83434</v>
      </c>
      <c r="AN315" s="122">
        <v>97953</v>
      </c>
      <c r="AO315" s="122">
        <v>36279</v>
      </c>
      <c r="AP315" s="122">
        <v>12151</v>
      </c>
      <c r="AQ315" s="122">
        <v>4500</v>
      </c>
      <c r="AR315" s="122">
        <v>131524</v>
      </c>
      <c r="AS315" s="122">
        <v>48713</v>
      </c>
      <c r="AT315" s="122">
        <v>0</v>
      </c>
      <c r="AU315" s="122">
        <v>0</v>
      </c>
      <c r="AV315" s="122">
        <v>267217</v>
      </c>
    </row>
    <row r="316" spans="2:48" ht="12.75" hidden="1" customHeight="1">
      <c r="B316" t="s">
        <v>364</v>
      </c>
      <c r="C316" t="s">
        <v>60</v>
      </c>
      <c r="D316" t="s">
        <v>426</v>
      </c>
      <c r="E316" t="s">
        <v>137</v>
      </c>
      <c r="F316">
        <v>4</v>
      </c>
      <c r="G316">
        <v>493</v>
      </c>
      <c r="H316" s="122">
        <v>1409</v>
      </c>
      <c r="I316" s="122">
        <v>112931</v>
      </c>
      <c r="J316" s="122">
        <v>102664</v>
      </c>
      <c r="K316">
        <v>53</v>
      </c>
      <c r="L316" s="122">
        <v>11242</v>
      </c>
      <c r="M316" s="122">
        <v>11207</v>
      </c>
      <c r="N316" s="122">
        <v>9632</v>
      </c>
      <c r="O316" s="122">
        <v>3567</v>
      </c>
      <c r="P316" s="122">
        <v>1053</v>
      </c>
      <c r="Q316" s="122">
        <v>390</v>
      </c>
      <c r="R316" s="122">
        <v>32455</v>
      </c>
      <c r="S316" s="122">
        <v>12020</v>
      </c>
      <c r="T316" s="122">
        <v>3127</v>
      </c>
      <c r="U316" s="122">
        <v>1158</v>
      </c>
      <c r="V316" s="122">
        <v>131007</v>
      </c>
      <c r="W316" s="122">
        <f t="shared" si="8"/>
        <v>131006</v>
      </c>
      <c r="X316" s="122">
        <f t="shared" si="9"/>
        <v>170440</v>
      </c>
      <c r="Y316" s="122"/>
      <c r="AA316" t="s">
        <v>52</v>
      </c>
      <c r="AB316" t="s">
        <v>137</v>
      </c>
      <c r="AC316" t="s">
        <v>407</v>
      </c>
      <c r="AD316" t="s">
        <v>137</v>
      </c>
      <c r="AE316" t="s">
        <v>137</v>
      </c>
      <c r="AF316">
        <v>2</v>
      </c>
      <c r="AG316" s="122">
        <v>639</v>
      </c>
      <c r="AH316" s="122">
        <v>232</v>
      </c>
      <c r="AI316" s="122">
        <v>34353</v>
      </c>
      <c r="AJ316" s="122">
        <v>12723</v>
      </c>
      <c r="AK316">
        <v>330</v>
      </c>
      <c r="AL316" s="122">
        <v>6892</v>
      </c>
      <c r="AM316" s="122">
        <v>6265</v>
      </c>
      <c r="AN316" s="122">
        <v>15394</v>
      </c>
      <c r="AO316" s="122">
        <v>5702</v>
      </c>
      <c r="AP316" s="122">
        <v>4453</v>
      </c>
      <c r="AQ316" s="122">
        <v>1649</v>
      </c>
      <c r="AR316" s="122">
        <v>15279</v>
      </c>
      <c r="AS316" s="122">
        <v>5659</v>
      </c>
      <c r="AT316" s="122">
        <v>4431</v>
      </c>
      <c r="AU316" s="122">
        <v>1641</v>
      </c>
      <c r="AV316" s="122">
        <v>33639</v>
      </c>
    </row>
    <row r="317" spans="2:48" ht="12.75" hidden="1" customHeight="1">
      <c r="B317" t="s">
        <v>364</v>
      </c>
      <c r="C317" t="s">
        <v>60</v>
      </c>
      <c r="D317" t="s">
        <v>426</v>
      </c>
      <c r="E317" t="s">
        <v>426</v>
      </c>
      <c r="F317">
        <v>106</v>
      </c>
      <c r="G317" s="122">
        <v>11327</v>
      </c>
      <c r="H317" s="122">
        <v>36127</v>
      </c>
      <c r="I317" s="122">
        <v>2504669</v>
      </c>
      <c r="J317" s="122">
        <v>2276972</v>
      </c>
      <c r="K317">
        <v>60</v>
      </c>
      <c r="L317" s="122">
        <v>324175</v>
      </c>
      <c r="M317" s="122">
        <v>281505</v>
      </c>
      <c r="N317" s="122">
        <v>230779</v>
      </c>
      <c r="O317" s="122">
        <v>85474</v>
      </c>
      <c r="P317" s="122">
        <v>43173</v>
      </c>
      <c r="Q317" s="122">
        <v>15990</v>
      </c>
      <c r="R317" s="122">
        <v>583713</v>
      </c>
      <c r="S317" s="122">
        <v>530648</v>
      </c>
      <c r="T317" s="122">
        <v>234187</v>
      </c>
      <c r="U317" s="122">
        <v>86736</v>
      </c>
      <c r="V317" s="122">
        <v>3277325</v>
      </c>
      <c r="W317" s="122">
        <f t="shared" si="8"/>
        <v>3277325</v>
      </c>
      <c r="X317" s="122">
        <f t="shared" si="9"/>
        <v>3920696</v>
      </c>
      <c r="Y317" s="122"/>
      <c r="AA317" t="s">
        <v>52</v>
      </c>
      <c r="AB317" t="s">
        <v>137</v>
      </c>
      <c r="AC317" t="s">
        <v>407</v>
      </c>
      <c r="AD317" t="s">
        <v>137</v>
      </c>
      <c r="AE317" t="s">
        <v>566</v>
      </c>
      <c r="AF317">
        <v>18</v>
      </c>
      <c r="AG317" s="122">
        <v>7769</v>
      </c>
      <c r="AH317" s="122">
        <v>1990</v>
      </c>
      <c r="AI317" s="122">
        <v>398549</v>
      </c>
      <c r="AJ317" s="122">
        <v>147611</v>
      </c>
      <c r="AK317">
        <v>362</v>
      </c>
      <c r="AL317" s="122">
        <v>176668</v>
      </c>
      <c r="AM317" s="122">
        <v>160607</v>
      </c>
      <c r="AN317" s="122">
        <v>175958</v>
      </c>
      <c r="AO317" s="122">
        <v>65170</v>
      </c>
      <c r="AP317" s="122">
        <v>29793</v>
      </c>
      <c r="AQ317" s="122">
        <v>11034</v>
      </c>
      <c r="AR317" s="122">
        <v>138838</v>
      </c>
      <c r="AS317" s="122">
        <v>51421</v>
      </c>
      <c r="AT317">
        <v>0</v>
      </c>
      <c r="AU317">
        <v>0</v>
      </c>
      <c r="AV317" s="122">
        <v>435844</v>
      </c>
    </row>
    <row r="318" spans="2:48" ht="12.75" hidden="1" customHeight="1">
      <c r="B318" t="s">
        <v>364</v>
      </c>
      <c r="C318" t="s">
        <v>60</v>
      </c>
      <c r="D318" t="s">
        <v>433</v>
      </c>
      <c r="E318" t="s">
        <v>433</v>
      </c>
      <c r="F318">
        <v>4</v>
      </c>
      <c r="G318" s="122">
        <v>427</v>
      </c>
      <c r="H318" s="122">
        <v>1357</v>
      </c>
      <c r="I318" s="122">
        <v>95381</v>
      </c>
      <c r="J318" s="122">
        <v>86710</v>
      </c>
      <c r="K318">
        <v>64</v>
      </c>
      <c r="L318" s="122">
        <v>5248</v>
      </c>
      <c r="M318" s="122">
        <v>13538</v>
      </c>
      <c r="N318" s="122">
        <v>9427</v>
      </c>
      <c r="O318" s="122">
        <v>3491</v>
      </c>
      <c r="P318" s="122">
        <v>1404</v>
      </c>
      <c r="Q318" s="122">
        <v>520</v>
      </c>
      <c r="R318" s="122">
        <v>19567</v>
      </c>
      <c r="S318" s="122">
        <v>17788</v>
      </c>
      <c r="T318" s="122">
        <v>10798</v>
      </c>
      <c r="U318" s="122">
        <v>3999</v>
      </c>
      <c r="V318" s="122">
        <v>126046</v>
      </c>
      <c r="W318" s="122">
        <f t="shared" si="8"/>
        <v>126046</v>
      </c>
      <c r="X318" s="122">
        <f t="shared" si="9"/>
        <v>141825</v>
      </c>
      <c r="Y318" s="122"/>
      <c r="AA318" t="s">
        <v>52</v>
      </c>
      <c r="AB318" t="s">
        <v>137</v>
      </c>
      <c r="AC318" t="s">
        <v>407</v>
      </c>
      <c r="AD318" t="s">
        <v>407</v>
      </c>
      <c r="AE318" t="s">
        <v>566</v>
      </c>
      <c r="AF318">
        <v>1</v>
      </c>
      <c r="AG318" s="122">
        <v>334</v>
      </c>
      <c r="AH318">
        <v>120</v>
      </c>
      <c r="AI318" s="122">
        <v>21938</v>
      </c>
      <c r="AJ318" s="122">
        <v>8125</v>
      </c>
      <c r="AK318">
        <v>330</v>
      </c>
      <c r="AL318" s="122">
        <v>2941</v>
      </c>
      <c r="AM318" s="122">
        <v>2674</v>
      </c>
      <c r="AN318" s="122">
        <v>9372</v>
      </c>
      <c r="AO318" s="122">
        <v>3471</v>
      </c>
      <c r="AP318" s="122">
        <v>473</v>
      </c>
      <c r="AQ318" s="122">
        <v>175</v>
      </c>
      <c r="AR318" s="122">
        <v>11751</v>
      </c>
      <c r="AS318" s="122">
        <v>10683</v>
      </c>
      <c r="AT318">
        <v>0</v>
      </c>
      <c r="AU318">
        <v>0</v>
      </c>
      <c r="AV318" s="122">
        <v>25128</v>
      </c>
    </row>
    <row r="319" spans="2:48" ht="12.75" hidden="1" customHeight="1">
      <c r="B319" t="s">
        <v>364</v>
      </c>
      <c r="C319" t="s">
        <v>60</v>
      </c>
      <c r="D319" t="s">
        <v>408</v>
      </c>
      <c r="E319" t="s">
        <v>408</v>
      </c>
      <c r="F319">
        <v>3</v>
      </c>
      <c r="G319" s="122">
        <v>609</v>
      </c>
      <c r="H319" s="122">
        <v>979</v>
      </c>
      <c r="I319" s="122">
        <v>145126</v>
      </c>
      <c r="J319" s="122">
        <v>131932</v>
      </c>
      <c r="K319">
        <v>73</v>
      </c>
      <c r="L319" s="122">
        <v>17003</v>
      </c>
      <c r="M319" s="122">
        <v>15457</v>
      </c>
      <c r="N319" s="122">
        <v>11280</v>
      </c>
      <c r="O319" s="122">
        <v>4178</v>
      </c>
      <c r="P319" s="122">
        <v>1796</v>
      </c>
      <c r="Q319" s="122">
        <v>665</v>
      </c>
      <c r="R319" s="122">
        <v>16993</v>
      </c>
      <c r="S319" s="122">
        <v>15448</v>
      </c>
      <c r="T319" s="122">
        <v>5942</v>
      </c>
      <c r="U319" s="122">
        <v>2201</v>
      </c>
      <c r="V319" s="122">
        <v>169881</v>
      </c>
      <c r="W319" s="122">
        <f t="shared" si="8"/>
        <v>169881</v>
      </c>
      <c r="X319" s="122">
        <f t="shared" si="9"/>
        <v>198140</v>
      </c>
      <c r="Y319" s="122"/>
      <c r="AA319" t="s">
        <v>52</v>
      </c>
      <c r="AB319" t="s">
        <v>137</v>
      </c>
      <c r="AC319" t="s">
        <v>579</v>
      </c>
      <c r="AD319" t="s">
        <v>137</v>
      </c>
      <c r="AE319" t="s">
        <v>137</v>
      </c>
      <c r="AF319">
        <v>5</v>
      </c>
      <c r="AG319" s="122">
        <v>1568</v>
      </c>
      <c r="AH319" s="122">
        <v>548</v>
      </c>
      <c r="AI319" s="122">
        <v>76976</v>
      </c>
      <c r="AJ319" s="122">
        <v>28510</v>
      </c>
      <c r="AK319">
        <v>334</v>
      </c>
      <c r="AL319" s="122">
        <v>27500</v>
      </c>
      <c r="AM319" s="122">
        <v>22917</v>
      </c>
      <c r="AN319" s="122">
        <v>31496</v>
      </c>
      <c r="AO319" s="122">
        <v>11665</v>
      </c>
      <c r="AP319" s="122">
        <v>5261</v>
      </c>
      <c r="AQ319" s="122">
        <v>1949</v>
      </c>
      <c r="AR319" s="122">
        <v>40478</v>
      </c>
      <c r="AS319" s="122">
        <v>14992</v>
      </c>
      <c r="AT319">
        <v>0</v>
      </c>
      <c r="AU319">
        <v>0</v>
      </c>
      <c r="AV319" s="122">
        <v>80033</v>
      </c>
    </row>
    <row r="320" spans="2:48" ht="12.75" hidden="1" customHeight="1">
      <c r="B320" t="s">
        <v>364</v>
      </c>
      <c r="C320" t="s">
        <v>62</v>
      </c>
      <c r="D320" t="s">
        <v>425</v>
      </c>
      <c r="E320" t="s">
        <v>425</v>
      </c>
      <c r="F320" s="122">
        <v>1</v>
      </c>
      <c r="G320" s="122">
        <v>131</v>
      </c>
      <c r="H320" s="122">
        <v>412</v>
      </c>
      <c r="I320" s="122">
        <v>39760</v>
      </c>
      <c r="J320" s="122">
        <v>36145</v>
      </c>
      <c r="K320">
        <v>83</v>
      </c>
      <c r="L320" s="122">
        <v>5802</v>
      </c>
      <c r="M320" s="122">
        <v>5275</v>
      </c>
      <c r="N320" s="122">
        <v>3112</v>
      </c>
      <c r="O320" s="122">
        <v>1153</v>
      </c>
      <c r="P320" s="122">
        <v>621</v>
      </c>
      <c r="Q320" s="122">
        <v>230</v>
      </c>
      <c r="R320" s="122">
        <v>4755</v>
      </c>
      <c r="S320" s="122">
        <v>4322</v>
      </c>
      <c r="T320" s="122">
        <v>0</v>
      </c>
      <c r="U320" s="122">
        <v>0</v>
      </c>
      <c r="V320" s="122">
        <v>47125</v>
      </c>
      <c r="W320" s="122">
        <f t="shared" si="8"/>
        <v>47125</v>
      </c>
      <c r="X320" s="122">
        <f t="shared" si="9"/>
        <v>54050</v>
      </c>
      <c r="Y320" s="122"/>
      <c r="AA320" t="s">
        <v>52</v>
      </c>
      <c r="AB320" t="s">
        <v>137</v>
      </c>
      <c r="AC320" t="s">
        <v>579</v>
      </c>
      <c r="AD320" t="s">
        <v>137</v>
      </c>
      <c r="AE320" t="s">
        <v>566</v>
      </c>
      <c r="AF320">
        <v>44</v>
      </c>
      <c r="AG320" s="122">
        <v>11834</v>
      </c>
      <c r="AH320" s="122">
        <v>4945</v>
      </c>
      <c r="AI320" s="122">
        <v>547752</v>
      </c>
      <c r="AJ320" s="122">
        <v>202871</v>
      </c>
      <c r="AK320">
        <v>357</v>
      </c>
      <c r="AL320" s="122">
        <v>191239</v>
      </c>
      <c r="AM320" s="122">
        <v>159366</v>
      </c>
      <c r="AN320" s="122">
        <v>231957</v>
      </c>
      <c r="AO320" s="122">
        <v>85910</v>
      </c>
      <c r="AP320" s="122">
        <v>42467</v>
      </c>
      <c r="AQ320" s="122">
        <v>15729</v>
      </c>
      <c r="AR320" s="122">
        <v>367558</v>
      </c>
      <c r="AS320" s="122">
        <v>136133</v>
      </c>
      <c r="AT320">
        <v>0</v>
      </c>
      <c r="AU320">
        <v>0</v>
      </c>
      <c r="AV320" s="122">
        <v>600008</v>
      </c>
    </row>
    <row r="321" spans="2:48" ht="12.75" hidden="1" customHeight="1">
      <c r="B321" t="s">
        <v>364</v>
      </c>
      <c r="C321" t="s">
        <v>62</v>
      </c>
      <c r="D321" t="s">
        <v>405</v>
      </c>
      <c r="E321" t="s">
        <v>405</v>
      </c>
      <c r="F321">
        <v>11</v>
      </c>
      <c r="G321" s="122">
        <v>1044</v>
      </c>
      <c r="H321" s="122">
        <v>4501</v>
      </c>
      <c r="I321" s="122">
        <v>264368</v>
      </c>
      <c r="J321" s="122">
        <v>240334</v>
      </c>
      <c r="K321">
        <v>81</v>
      </c>
      <c r="L321" s="122">
        <v>68190</v>
      </c>
      <c r="M321" s="122">
        <v>54323</v>
      </c>
      <c r="N321" s="122">
        <v>22746</v>
      </c>
      <c r="O321" s="122">
        <v>8424</v>
      </c>
      <c r="P321" s="122">
        <v>5076</v>
      </c>
      <c r="Q321" s="122">
        <v>1880</v>
      </c>
      <c r="R321" s="122">
        <v>47653</v>
      </c>
      <c r="S321" s="122">
        <v>43321</v>
      </c>
      <c r="T321" s="122">
        <v>15198</v>
      </c>
      <c r="U321" s="122">
        <v>5629</v>
      </c>
      <c r="V321" s="122">
        <v>353912</v>
      </c>
      <c r="W321" s="122">
        <f t="shared" si="8"/>
        <v>353911</v>
      </c>
      <c r="X321" s="122">
        <f t="shared" si="9"/>
        <v>423231</v>
      </c>
      <c r="Y321" s="122"/>
      <c r="AA321" t="s">
        <v>52</v>
      </c>
      <c r="AB321" t="s">
        <v>137</v>
      </c>
      <c r="AC321" t="s">
        <v>428</v>
      </c>
      <c r="AD321" t="s">
        <v>137</v>
      </c>
      <c r="AE321" t="s">
        <v>566</v>
      </c>
      <c r="AF321">
        <v>3</v>
      </c>
      <c r="AG321">
        <v>599</v>
      </c>
      <c r="AH321">
        <v>349</v>
      </c>
      <c r="AI321" s="122">
        <v>34019</v>
      </c>
      <c r="AJ321" s="122">
        <v>12600</v>
      </c>
      <c r="AK321">
        <v>344</v>
      </c>
      <c r="AL321" s="122">
        <v>10976</v>
      </c>
      <c r="AM321" s="122">
        <v>9979</v>
      </c>
      <c r="AN321" s="122">
        <v>7998</v>
      </c>
      <c r="AO321" s="122">
        <v>2962</v>
      </c>
      <c r="AP321" s="122">
        <v>2106</v>
      </c>
      <c r="AQ321" s="122">
        <v>780</v>
      </c>
      <c r="AR321" s="122">
        <v>15100</v>
      </c>
      <c r="AS321" s="122">
        <v>5593</v>
      </c>
      <c r="AT321">
        <v>0</v>
      </c>
      <c r="AU321">
        <v>0</v>
      </c>
      <c r="AV321" s="122">
        <v>31913</v>
      </c>
    </row>
    <row r="322" spans="2:48" ht="12.75" hidden="1" customHeight="1">
      <c r="B322" t="s">
        <v>364</v>
      </c>
      <c r="C322" t="s">
        <v>62</v>
      </c>
      <c r="D322" t="s">
        <v>137</v>
      </c>
      <c r="E322" t="s">
        <v>137</v>
      </c>
      <c r="F322">
        <v>55</v>
      </c>
      <c r="G322" s="122">
        <v>5648</v>
      </c>
      <c r="H322" s="122">
        <v>22820</v>
      </c>
      <c r="I322" s="122">
        <v>1580256</v>
      </c>
      <c r="J322" s="122">
        <v>585280</v>
      </c>
      <c r="K322">
        <v>100</v>
      </c>
      <c r="L322" s="122">
        <v>281621</v>
      </c>
      <c r="M322" s="122">
        <v>190615</v>
      </c>
      <c r="N322" s="122">
        <v>125574</v>
      </c>
      <c r="O322" s="122">
        <v>46509</v>
      </c>
      <c r="P322" s="122">
        <v>1479</v>
      </c>
      <c r="Q322">
        <v>548</v>
      </c>
      <c r="R322" s="122">
        <v>425127</v>
      </c>
      <c r="S322" s="122">
        <v>157454</v>
      </c>
      <c r="T322" s="122">
        <v>2774</v>
      </c>
      <c r="U322" s="122">
        <v>1027</v>
      </c>
      <c r="V322" s="122">
        <v>981434</v>
      </c>
      <c r="W322" s="122">
        <f t="shared" si="8"/>
        <v>981433</v>
      </c>
      <c r="X322" s="122">
        <f t="shared" si="9"/>
        <v>2416831</v>
      </c>
      <c r="Y322" s="122"/>
      <c r="AA322" t="s">
        <v>52</v>
      </c>
      <c r="AB322" t="s">
        <v>137</v>
      </c>
      <c r="AC322" t="s">
        <v>431</v>
      </c>
      <c r="AD322" t="s">
        <v>137</v>
      </c>
      <c r="AE322" t="s">
        <v>566</v>
      </c>
      <c r="AF322">
        <v>4</v>
      </c>
      <c r="AG322">
        <v>656</v>
      </c>
      <c r="AH322">
        <v>458</v>
      </c>
      <c r="AI322" s="122">
        <v>37030</v>
      </c>
      <c r="AJ322" s="122">
        <v>13715</v>
      </c>
      <c r="AK322">
        <v>320</v>
      </c>
      <c r="AL322" s="122">
        <v>14583</v>
      </c>
      <c r="AM322" s="122">
        <v>13257</v>
      </c>
      <c r="AN322" s="122">
        <v>10824</v>
      </c>
      <c r="AO322" s="122">
        <v>4009</v>
      </c>
      <c r="AP322" s="122">
        <v>3241</v>
      </c>
      <c r="AQ322" s="122">
        <v>1200</v>
      </c>
      <c r="AR322" s="122">
        <v>13396</v>
      </c>
      <c r="AS322" s="122">
        <v>4962</v>
      </c>
      <c r="AT322">
        <v>0</v>
      </c>
      <c r="AU322">
        <v>0</v>
      </c>
      <c r="AV322" s="122">
        <v>37142</v>
      </c>
    </row>
    <row r="323" spans="2:48" ht="12.75" hidden="1" customHeight="1">
      <c r="B323" t="s">
        <v>364</v>
      </c>
      <c r="C323" t="s">
        <v>62</v>
      </c>
      <c r="D323" t="s">
        <v>137</v>
      </c>
      <c r="E323" t="s">
        <v>426</v>
      </c>
      <c r="F323">
        <v>4</v>
      </c>
      <c r="G323" s="122">
        <v>336</v>
      </c>
      <c r="H323" s="122">
        <v>1634</v>
      </c>
      <c r="I323" s="122">
        <v>82303</v>
      </c>
      <c r="J323" s="122">
        <v>30483</v>
      </c>
      <c r="K323">
        <v>100</v>
      </c>
      <c r="L323" s="122">
        <v>9952</v>
      </c>
      <c r="M323" s="122">
        <v>6075</v>
      </c>
      <c r="N323" s="122">
        <v>6719</v>
      </c>
      <c r="O323" s="122">
        <v>2488</v>
      </c>
      <c r="P323" s="122">
        <v>0</v>
      </c>
      <c r="Q323" s="122">
        <v>0</v>
      </c>
      <c r="R323" s="122">
        <v>32438</v>
      </c>
      <c r="S323" s="122">
        <v>29489</v>
      </c>
      <c r="T323" s="122">
        <v>4622</v>
      </c>
      <c r="U323" s="122">
        <v>1712</v>
      </c>
      <c r="V323" s="122">
        <v>70247</v>
      </c>
      <c r="W323" s="122">
        <f t="shared" si="8"/>
        <v>70247</v>
      </c>
      <c r="X323" s="122">
        <f t="shared" si="9"/>
        <v>136034</v>
      </c>
      <c r="Y323" s="122"/>
      <c r="AA323" t="s">
        <v>52</v>
      </c>
      <c r="AB323" t="s">
        <v>137</v>
      </c>
      <c r="AC323" t="s">
        <v>426</v>
      </c>
      <c r="AD323" t="s">
        <v>425</v>
      </c>
      <c r="AE323" t="s">
        <v>566</v>
      </c>
      <c r="AF323">
        <v>1</v>
      </c>
      <c r="AG323">
        <v>310</v>
      </c>
      <c r="AH323">
        <v>122</v>
      </c>
      <c r="AI323" s="122">
        <v>23009</v>
      </c>
      <c r="AJ323" s="122">
        <v>8522</v>
      </c>
      <c r="AK323">
        <v>250</v>
      </c>
      <c r="AL323" s="122">
        <v>4340</v>
      </c>
      <c r="AM323" s="122">
        <v>3945</v>
      </c>
      <c r="AN323" s="122">
        <v>6043</v>
      </c>
      <c r="AO323" s="122">
        <v>2238</v>
      </c>
      <c r="AP323" s="122">
        <v>1053</v>
      </c>
      <c r="AQ323">
        <v>390</v>
      </c>
      <c r="AR323" s="122">
        <v>3467</v>
      </c>
      <c r="AS323" s="122">
        <v>3152</v>
      </c>
      <c r="AT323">
        <v>0</v>
      </c>
      <c r="AU323">
        <v>0</v>
      </c>
      <c r="AV323" s="122">
        <v>18247</v>
      </c>
    </row>
    <row r="324" spans="2:48" ht="12.75" hidden="1" customHeight="1">
      <c r="B324" t="s">
        <v>364</v>
      </c>
      <c r="C324" t="s">
        <v>62</v>
      </c>
      <c r="D324" t="s">
        <v>406</v>
      </c>
      <c r="E324" t="s">
        <v>555</v>
      </c>
      <c r="F324">
        <v>1</v>
      </c>
      <c r="G324">
        <v>109</v>
      </c>
      <c r="H324" s="122">
        <v>429</v>
      </c>
      <c r="I324" s="122">
        <v>29253</v>
      </c>
      <c r="J324" s="122">
        <v>26594</v>
      </c>
      <c r="K324">
        <v>65</v>
      </c>
      <c r="L324" s="122">
        <v>6696</v>
      </c>
      <c r="M324" s="122">
        <v>6087</v>
      </c>
      <c r="N324" s="122">
        <v>2513</v>
      </c>
      <c r="O324" s="122">
        <v>931</v>
      </c>
      <c r="P324" s="122">
        <v>621</v>
      </c>
      <c r="Q324" s="122">
        <v>230</v>
      </c>
      <c r="R324" s="122">
        <v>7509</v>
      </c>
      <c r="S324" s="122">
        <v>6826</v>
      </c>
      <c r="T324" s="122">
        <v>0</v>
      </c>
      <c r="U324">
        <v>0</v>
      </c>
      <c r="V324" s="122">
        <v>40668</v>
      </c>
      <c r="W324" s="122">
        <f t="shared" si="8"/>
        <v>40668</v>
      </c>
      <c r="X324" s="122">
        <f t="shared" si="9"/>
        <v>46592</v>
      </c>
      <c r="Y324" s="122"/>
      <c r="AA324" t="s">
        <v>52</v>
      </c>
      <c r="AB324" t="s">
        <v>137</v>
      </c>
      <c r="AC324" t="s">
        <v>426</v>
      </c>
      <c r="AD324" t="s">
        <v>405</v>
      </c>
      <c r="AE324" t="s">
        <v>566</v>
      </c>
      <c r="AF324">
        <v>2</v>
      </c>
      <c r="AG324" s="122">
        <v>743</v>
      </c>
      <c r="AH324" s="122">
        <v>228</v>
      </c>
      <c r="AI324" s="122">
        <v>39229</v>
      </c>
      <c r="AJ324" s="122">
        <v>14529</v>
      </c>
      <c r="AK324">
        <v>350</v>
      </c>
      <c r="AL324" s="122">
        <v>20419</v>
      </c>
      <c r="AM324" s="122">
        <v>18563</v>
      </c>
      <c r="AN324" s="122">
        <v>10162</v>
      </c>
      <c r="AO324" s="122">
        <v>3764</v>
      </c>
      <c r="AP324" s="122">
        <v>702</v>
      </c>
      <c r="AQ324" s="122">
        <v>260</v>
      </c>
      <c r="AR324" s="122">
        <v>13884</v>
      </c>
      <c r="AS324" s="122">
        <v>12621</v>
      </c>
      <c r="AT324" s="122">
        <v>0</v>
      </c>
      <c r="AU324" s="122">
        <v>0</v>
      </c>
      <c r="AV324" s="122">
        <v>49737</v>
      </c>
    </row>
    <row r="325" spans="2:48" ht="12.75" hidden="1" customHeight="1">
      <c r="B325" t="s">
        <v>364</v>
      </c>
      <c r="C325" t="s">
        <v>62</v>
      </c>
      <c r="D325" t="s">
        <v>406</v>
      </c>
      <c r="E325" t="s">
        <v>425</v>
      </c>
      <c r="F325">
        <v>1</v>
      </c>
      <c r="G325" s="122">
        <v>151</v>
      </c>
      <c r="H325" s="122">
        <v>400</v>
      </c>
      <c r="I325" s="122">
        <v>40084</v>
      </c>
      <c r="J325" s="122">
        <v>36440</v>
      </c>
      <c r="K325">
        <v>70</v>
      </c>
      <c r="L325" s="122">
        <v>9873</v>
      </c>
      <c r="M325" s="122">
        <v>8975</v>
      </c>
      <c r="N325" s="122">
        <v>1844</v>
      </c>
      <c r="O325" s="122">
        <v>683</v>
      </c>
      <c r="P325" s="122">
        <v>621</v>
      </c>
      <c r="Q325" s="122">
        <v>230</v>
      </c>
      <c r="R325" s="122">
        <v>5127</v>
      </c>
      <c r="S325" s="122">
        <v>4661</v>
      </c>
      <c r="T325" s="122">
        <v>3035</v>
      </c>
      <c r="U325" s="122">
        <v>1124</v>
      </c>
      <c r="V325" s="122">
        <v>52113</v>
      </c>
      <c r="W325" s="122">
        <f t="shared" si="8"/>
        <v>52113</v>
      </c>
      <c r="X325" s="122">
        <f t="shared" si="9"/>
        <v>60584</v>
      </c>
      <c r="Y325" s="122"/>
      <c r="AA325" t="s">
        <v>52</v>
      </c>
      <c r="AB325" t="s">
        <v>137</v>
      </c>
      <c r="AC325" t="s">
        <v>426</v>
      </c>
      <c r="AD325" t="s">
        <v>137</v>
      </c>
      <c r="AE325" t="s">
        <v>137</v>
      </c>
      <c r="AF325">
        <v>46</v>
      </c>
      <c r="AG325" s="122">
        <v>11534</v>
      </c>
      <c r="AH325" s="122">
        <v>5183</v>
      </c>
      <c r="AI325" s="122">
        <v>565133</v>
      </c>
      <c r="AJ325" s="122">
        <v>209309</v>
      </c>
      <c r="AK325">
        <v>330</v>
      </c>
      <c r="AL325" s="122">
        <v>188508</v>
      </c>
      <c r="AM325" s="122">
        <v>171371</v>
      </c>
      <c r="AN325" s="122">
        <v>212663</v>
      </c>
      <c r="AO325" s="122">
        <v>78764</v>
      </c>
      <c r="AP325" s="122">
        <v>28466</v>
      </c>
      <c r="AQ325" s="122">
        <v>10543</v>
      </c>
      <c r="AR325" s="122">
        <v>303485</v>
      </c>
      <c r="AS325" s="122">
        <v>112402</v>
      </c>
      <c r="AT325" s="122">
        <v>27728</v>
      </c>
      <c r="AU325" s="122">
        <v>10270</v>
      </c>
      <c r="AV325" s="122">
        <v>592658</v>
      </c>
    </row>
    <row r="326" spans="2:48" ht="12.75" hidden="1" customHeight="1">
      <c r="B326" t="s">
        <v>364</v>
      </c>
      <c r="C326" t="s">
        <v>62</v>
      </c>
      <c r="D326" t="s">
        <v>406</v>
      </c>
      <c r="E326" t="s">
        <v>137</v>
      </c>
      <c r="F326">
        <v>4</v>
      </c>
      <c r="G326" s="122">
        <v>384</v>
      </c>
      <c r="H326" s="122">
        <v>1629</v>
      </c>
      <c r="I326" s="122">
        <v>103355</v>
      </c>
      <c r="J326" s="122">
        <v>93959</v>
      </c>
      <c r="K326">
        <v>70</v>
      </c>
      <c r="L326" s="122">
        <v>20291</v>
      </c>
      <c r="M326" s="122">
        <v>17362</v>
      </c>
      <c r="N326" s="122">
        <v>7748</v>
      </c>
      <c r="O326" s="122">
        <v>2869</v>
      </c>
      <c r="P326" s="122">
        <v>2484</v>
      </c>
      <c r="Q326" s="122">
        <v>920</v>
      </c>
      <c r="R326" s="122">
        <v>21845</v>
      </c>
      <c r="S326" s="122">
        <v>8091</v>
      </c>
      <c r="T326" s="122">
        <v>0</v>
      </c>
      <c r="U326">
        <v>0</v>
      </c>
      <c r="V326" s="122">
        <v>123201</v>
      </c>
      <c r="W326" s="122">
        <f t="shared" si="8"/>
        <v>123201</v>
      </c>
      <c r="X326" s="122">
        <f t="shared" si="9"/>
        <v>155723</v>
      </c>
      <c r="Y326" s="122"/>
      <c r="AA326" t="s">
        <v>52</v>
      </c>
      <c r="AB326" t="s">
        <v>137</v>
      </c>
      <c r="AC326" t="s">
        <v>426</v>
      </c>
      <c r="AD326" t="s">
        <v>137</v>
      </c>
      <c r="AE326" t="s">
        <v>566</v>
      </c>
      <c r="AF326">
        <v>390</v>
      </c>
      <c r="AG326" s="122">
        <v>92720</v>
      </c>
      <c r="AH326" s="122">
        <v>44224</v>
      </c>
      <c r="AI326" s="122">
        <v>4681091</v>
      </c>
      <c r="AJ326" s="122">
        <v>1733738</v>
      </c>
      <c r="AK326">
        <v>334</v>
      </c>
      <c r="AL326" s="122">
        <v>1429094</v>
      </c>
      <c r="AM326" s="122">
        <v>1299176</v>
      </c>
      <c r="AN326" s="122">
        <v>1812454</v>
      </c>
      <c r="AO326" s="122">
        <v>671279</v>
      </c>
      <c r="AP326" s="122">
        <v>315417</v>
      </c>
      <c r="AQ326" s="122">
        <v>116821</v>
      </c>
      <c r="AR326" s="122">
        <v>2899226</v>
      </c>
      <c r="AS326" s="122">
        <v>1073787</v>
      </c>
      <c r="AT326">
        <v>0</v>
      </c>
      <c r="AU326">
        <v>0</v>
      </c>
      <c r="AV326" s="122">
        <v>4894801</v>
      </c>
    </row>
    <row r="327" spans="2:48" ht="12.75" hidden="1" customHeight="1">
      <c r="B327" t="s">
        <v>364</v>
      </c>
      <c r="C327" t="s">
        <v>62</v>
      </c>
      <c r="D327" t="s">
        <v>406</v>
      </c>
      <c r="E327" t="s">
        <v>406</v>
      </c>
      <c r="F327">
        <v>362</v>
      </c>
      <c r="G327" s="122">
        <v>39779</v>
      </c>
      <c r="H327" s="122">
        <v>150494</v>
      </c>
      <c r="I327" s="122">
        <v>11121685</v>
      </c>
      <c r="J327" s="122">
        <v>10110622</v>
      </c>
      <c r="K327">
        <v>77</v>
      </c>
      <c r="L327" s="122">
        <v>2131177</v>
      </c>
      <c r="M327" s="122">
        <v>1881618</v>
      </c>
      <c r="N327" s="122">
        <v>849742</v>
      </c>
      <c r="O327" s="122">
        <v>314719</v>
      </c>
      <c r="P327" s="122">
        <v>237492</v>
      </c>
      <c r="Q327" s="122">
        <v>87960</v>
      </c>
      <c r="R327" s="122">
        <v>1775252</v>
      </c>
      <c r="S327" s="122">
        <v>1613865</v>
      </c>
      <c r="T327" s="122">
        <v>706118</v>
      </c>
      <c r="U327" s="122">
        <v>261525</v>
      </c>
      <c r="V327" s="122">
        <v>14270310</v>
      </c>
      <c r="W327" s="122">
        <f t="shared" ref="W327:W390" si="10">SUM(ABS(J327),ABS(M327),ABS(O327),ABS(Q327),ABS(S327),ABS(U327))</f>
        <v>14270309</v>
      </c>
      <c r="X327" s="122">
        <f t="shared" ref="X327:X390" si="11">SUM(ABS(I327),ABS(N327),ABS(P327),ABS(R327),ABS(T327),ABS(L327))</f>
        <v>16821466</v>
      </c>
      <c r="Y327" s="122"/>
      <c r="AA327" t="s">
        <v>52</v>
      </c>
      <c r="AB327" t="s">
        <v>137</v>
      </c>
      <c r="AC327" t="s">
        <v>426</v>
      </c>
      <c r="AD327" t="s">
        <v>406</v>
      </c>
      <c r="AE327" t="s">
        <v>566</v>
      </c>
      <c r="AF327">
        <v>2</v>
      </c>
      <c r="AG327">
        <v>840</v>
      </c>
      <c r="AH327">
        <v>226</v>
      </c>
      <c r="AI327" s="122">
        <v>56402</v>
      </c>
      <c r="AJ327" s="122">
        <v>20890</v>
      </c>
      <c r="AK327">
        <v>263</v>
      </c>
      <c r="AL327" s="122">
        <v>10279</v>
      </c>
      <c r="AM327" s="122">
        <v>9345</v>
      </c>
      <c r="AN327" s="122">
        <v>18909</v>
      </c>
      <c r="AO327" s="122">
        <v>7003</v>
      </c>
      <c r="AP327" s="122">
        <v>1323</v>
      </c>
      <c r="AQ327">
        <v>490</v>
      </c>
      <c r="AR327" s="122">
        <v>7796</v>
      </c>
      <c r="AS327" s="122">
        <v>7087</v>
      </c>
      <c r="AT327">
        <v>0</v>
      </c>
      <c r="AU327">
        <v>0</v>
      </c>
      <c r="AV327" s="122">
        <v>44815</v>
      </c>
    </row>
    <row r="328" spans="2:48" ht="12.75" hidden="1" customHeight="1">
      <c r="B328" t="s">
        <v>364</v>
      </c>
      <c r="C328" t="s">
        <v>62</v>
      </c>
      <c r="D328" t="s">
        <v>406</v>
      </c>
      <c r="E328" t="s">
        <v>427</v>
      </c>
      <c r="F328">
        <v>1</v>
      </c>
      <c r="G328">
        <v>81</v>
      </c>
      <c r="H328" s="122">
        <v>414</v>
      </c>
      <c r="I328" s="122">
        <v>20507</v>
      </c>
      <c r="J328" s="122">
        <v>18643</v>
      </c>
      <c r="K328">
        <v>95</v>
      </c>
      <c r="L328" s="122">
        <v>6843</v>
      </c>
      <c r="M328" s="122">
        <v>6221</v>
      </c>
      <c r="N328" s="122">
        <v>1729</v>
      </c>
      <c r="O328" s="122">
        <v>640</v>
      </c>
      <c r="P328" s="122">
        <v>621</v>
      </c>
      <c r="Q328" s="122">
        <v>230</v>
      </c>
      <c r="R328" s="122">
        <v>3868</v>
      </c>
      <c r="S328" s="122">
        <v>3517</v>
      </c>
      <c r="T328" s="122">
        <v>0</v>
      </c>
      <c r="U328">
        <v>0</v>
      </c>
      <c r="V328" s="122">
        <v>29251</v>
      </c>
      <c r="W328" s="122">
        <f t="shared" si="10"/>
        <v>29251</v>
      </c>
      <c r="X328" s="122">
        <f t="shared" si="11"/>
        <v>33568</v>
      </c>
      <c r="Y328" s="122"/>
      <c r="AA328" t="s">
        <v>52</v>
      </c>
      <c r="AB328" t="s">
        <v>137</v>
      </c>
      <c r="AC328" t="s">
        <v>426</v>
      </c>
      <c r="AD328" t="s">
        <v>407</v>
      </c>
      <c r="AE328" t="s">
        <v>566</v>
      </c>
      <c r="AF328">
        <v>1</v>
      </c>
      <c r="AG328">
        <v>302</v>
      </c>
      <c r="AH328">
        <v>119</v>
      </c>
      <c r="AI328" s="122">
        <v>19011</v>
      </c>
      <c r="AJ328" s="122">
        <v>7041</v>
      </c>
      <c r="AK328">
        <v>320</v>
      </c>
      <c r="AL328" s="122">
        <v>4590</v>
      </c>
      <c r="AM328" s="122">
        <v>4172</v>
      </c>
      <c r="AN328" s="122">
        <v>3902</v>
      </c>
      <c r="AO328" s="122">
        <v>1445</v>
      </c>
      <c r="AP328" s="122">
        <v>351</v>
      </c>
      <c r="AQ328">
        <v>130</v>
      </c>
      <c r="AR328" s="122">
        <v>8206</v>
      </c>
      <c r="AS328" s="122">
        <v>7460</v>
      </c>
      <c r="AT328" s="122">
        <v>0</v>
      </c>
      <c r="AU328">
        <v>0</v>
      </c>
      <c r="AV328" s="122">
        <v>20248</v>
      </c>
    </row>
    <row r="329" spans="2:48" ht="12.75" hidden="1" customHeight="1">
      <c r="B329" t="s">
        <v>364</v>
      </c>
      <c r="C329" t="s">
        <v>62</v>
      </c>
      <c r="D329" t="s">
        <v>406</v>
      </c>
      <c r="E329" t="s">
        <v>426</v>
      </c>
      <c r="F329">
        <v>1</v>
      </c>
      <c r="G329" s="122">
        <v>97</v>
      </c>
      <c r="H329" s="122">
        <v>384</v>
      </c>
      <c r="I329" s="122">
        <v>18177</v>
      </c>
      <c r="J329" s="122">
        <v>16524</v>
      </c>
      <c r="K329">
        <v>79</v>
      </c>
      <c r="L329" s="122">
        <v>5049</v>
      </c>
      <c r="M329" s="122">
        <v>4590</v>
      </c>
      <c r="N329" s="122">
        <v>2354</v>
      </c>
      <c r="O329" s="122">
        <v>872</v>
      </c>
      <c r="P329" s="122">
        <v>621</v>
      </c>
      <c r="Q329" s="122">
        <v>230</v>
      </c>
      <c r="R329" s="122">
        <v>6281</v>
      </c>
      <c r="S329" s="122">
        <v>5710</v>
      </c>
      <c r="T329" s="122">
        <v>4612</v>
      </c>
      <c r="U329" s="122">
        <v>1708</v>
      </c>
      <c r="V329" s="122">
        <v>29634</v>
      </c>
      <c r="W329" s="122">
        <f t="shared" si="10"/>
        <v>29634</v>
      </c>
      <c r="X329" s="122">
        <f t="shared" si="11"/>
        <v>37094</v>
      </c>
      <c r="Y329" s="122"/>
      <c r="AA329" t="s">
        <v>52</v>
      </c>
      <c r="AB329" t="s">
        <v>137</v>
      </c>
      <c r="AC329" t="s">
        <v>426</v>
      </c>
      <c r="AD329" t="s">
        <v>426</v>
      </c>
      <c r="AE329" t="s">
        <v>137</v>
      </c>
      <c r="AF329">
        <v>1</v>
      </c>
      <c r="AG329">
        <v>220</v>
      </c>
      <c r="AH329">
        <v>112</v>
      </c>
      <c r="AI329" s="122">
        <v>9851</v>
      </c>
      <c r="AJ329" s="122">
        <v>3648</v>
      </c>
      <c r="AK329">
        <v>250</v>
      </c>
      <c r="AL329" s="122">
        <v>3716</v>
      </c>
      <c r="AM329" s="122">
        <v>3378</v>
      </c>
      <c r="AN329" s="122">
        <v>3651</v>
      </c>
      <c r="AO329" s="122">
        <v>1352</v>
      </c>
      <c r="AP329" s="122">
        <v>1682</v>
      </c>
      <c r="AQ329">
        <v>623</v>
      </c>
      <c r="AR329" s="122">
        <v>4542</v>
      </c>
      <c r="AS329" s="122">
        <v>4129</v>
      </c>
      <c r="AT329" s="122">
        <v>1341</v>
      </c>
      <c r="AU329">
        <v>497</v>
      </c>
      <c r="AV329" s="122">
        <v>13628</v>
      </c>
    </row>
    <row r="330" spans="2:48" ht="12.75" hidden="1" customHeight="1">
      <c r="B330" t="s">
        <v>364</v>
      </c>
      <c r="C330" t="s">
        <v>62</v>
      </c>
      <c r="D330" t="s">
        <v>427</v>
      </c>
      <c r="E330" t="s">
        <v>406</v>
      </c>
      <c r="F330">
        <v>1</v>
      </c>
      <c r="G330" s="122">
        <v>82</v>
      </c>
      <c r="H330" s="122">
        <v>389</v>
      </c>
      <c r="I330" s="122">
        <v>18843</v>
      </c>
      <c r="J330" s="122">
        <v>17130</v>
      </c>
      <c r="K330">
        <v>65</v>
      </c>
      <c r="L330" s="122">
        <v>4536</v>
      </c>
      <c r="M330" s="122">
        <v>4124</v>
      </c>
      <c r="N330" s="122">
        <v>1629</v>
      </c>
      <c r="O330" s="122">
        <v>603</v>
      </c>
      <c r="P330" s="122">
        <v>351</v>
      </c>
      <c r="Q330" s="122">
        <v>130</v>
      </c>
      <c r="R330" s="122">
        <v>4165</v>
      </c>
      <c r="S330" s="122">
        <v>3787</v>
      </c>
      <c r="T330" s="122">
        <v>2186</v>
      </c>
      <c r="U330">
        <v>810</v>
      </c>
      <c r="V330" s="122">
        <v>26584</v>
      </c>
      <c r="W330" s="122">
        <f t="shared" si="10"/>
        <v>26584</v>
      </c>
      <c r="X330" s="122">
        <f t="shared" si="11"/>
        <v>31710</v>
      </c>
      <c r="Y330" s="122"/>
      <c r="AA330" t="s">
        <v>52</v>
      </c>
      <c r="AB330" t="s">
        <v>137</v>
      </c>
      <c r="AC330" t="s">
        <v>426</v>
      </c>
      <c r="AD330" t="s">
        <v>426</v>
      </c>
      <c r="AE330" t="s">
        <v>566</v>
      </c>
      <c r="AF330">
        <v>1</v>
      </c>
      <c r="AG330" s="122">
        <v>244</v>
      </c>
      <c r="AH330">
        <v>121</v>
      </c>
      <c r="AI330" s="122">
        <v>11187</v>
      </c>
      <c r="AJ330" s="122">
        <v>4143</v>
      </c>
      <c r="AK330">
        <v>300</v>
      </c>
      <c r="AL330" s="122">
        <v>2337</v>
      </c>
      <c r="AM330" s="122">
        <v>2125</v>
      </c>
      <c r="AN330" s="122">
        <v>5436</v>
      </c>
      <c r="AO330" s="122">
        <v>2013</v>
      </c>
      <c r="AP330" s="122">
        <v>351</v>
      </c>
      <c r="AQ330" s="122">
        <v>130</v>
      </c>
      <c r="AR330" s="122">
        <v>10301</v>
      </c>
      <c r="AS330" s="122">
        <v>9365</v>
      </c>
      <c r="AT330">
        <v>0</v>
      </c>
      <c r="AU330">
        <v>0</v>
      </c>
      <c r="AV330" s="122">
        <v>17776</v>
      </c>
    </row>
    <row r="331" spans="2:48" ht="12.75" hidden="1" customHeight="1">
      <c r="B331" t="s">
        <v>364</v>
      </c>
      <c r="C331" t="s">
        <v>62</v>
      </c>
      <c r="D331" t="s">
        <v>427</v>
      </c>
      <c r="E331" t="s">
        <v>427</v>
      </c>
      <c r="F331" s="122">
        <v>9</v>
      </c>
      <c r="G331" s="122">
        <v>819</v>
      </c>
      <c r="H331" s="122">
        <v>3692</v>
      </c>
      <c r="I331" s="122">
        <v>219412</v>
      </c>
      <c r="J331" s="122">
        <v>199466</v>
      </c>
      <c r="K331">
        <v>53</v>
      </c>
      <c r="L331" s="122">
        <v>29569</v>
      </c>
      <c r="M331" s="122">
        <v>26003</v>
      </c>
      <c r="N331" s="122">
        <v>16643</v>
      </c>
      <c r="O331" s="122">
        <v>6164</v>
      </c>
      <c r="P331" s="122">
        <v>2808</v>
      </c>
      <c r="Q331" s="122">
        <v>1040</v>
      </c>
      <c r="R331" s="122">
        <v>64674</v>
      </c>
      <c r="S331" s="122">
        <v>58795</v>
      </c>
      <c r="T331" s="122">
        <v>18914</v>
      </c>
      <c r="U331" s="122">
        <v>7005</v>
      </c>
      <c r="V331" s="122">
        <v>298473</v>
      </c>
      <c r="W331" s="122">
        <f t="shared" si="10"/>
        <v>298473</v>
      </c>
      <c r="X331" s="122">
        <f t="shared" si="11"/>
        <v>352020</v>
      </c>
      <c r="Y331" s="122"/>
      <c r="AA331" t="s">
        <v>52</v>
      </c>
      <c r="AB331" t="s">
        <v>137</v>
      </c>
      <c r="AC331" t="s">
        <v>566</v>
      </c>
      <c r="AD331" t="s">
        <v>137</v>
      </c>
      <c r="AE331" t="s">
        <v>137</v>
      </c>
      <c r="AF331">
        <v>5</v>
      </c>
      <c r="AG331" s="122">
        <v>1407</v>
      </c>
      <c r="AH331" s="122">
        <v>566</v>
      </c>
      <c r="AI331" s="122">
        <v>96910</v>
      </c>
      <c r="AJ331" s="122">
        <v>35893</v>
      </c>
      <c r="AK331">
        <v>338</v>
      </c>
      <c r="AL331">
        <v>0</v>
      </c>
      <c r="AM331" s="122">
        <v>0</v>
      </c>
      <c r="AN331" s="122">
        <v>20466</v>
      </c>
      <c r="AO331" s="122">
        <v>7580</v>
      </c>
      <c r="AP331" s="122">
        <v>8305</v>
      </c>
      <c r="AQ331" s="122">
        <v>3076</v>
      </c>
      <c r="AR331" s="122">
        <v>34473</v>
      </c>
      <c r="AS331" s="122">
        <v>12768</v>
      </c>
      <c r="AT331">
        <v>0</v>
      </c>
      <c r="AU331">
        <v>0</v>
      </c>
      <c r="AV331" s="122">
        <v>59316</v>
      </c>
    </row>
    <row r="332" spans="2:48" ht="12.75" hidden="1" customHeight="1">
      <c r="B332" t="s">
        <v>364</v>
      </c>
      <c r="C332" t="s">
        <v>62</v>
      </c>
      <c r="D332" t="s">
        <v>407</v>
      </c>
      <c r="E332" t="s">
        <v>407</v>
      </c>
      <c r="F332">
        <v>2</v>
      </c>
      <c r="G332">
        <v>319</v>
      </c>
      <c r="H332">
        <v>836</v>
      </c>
      <c r="I332" s="122">
        <v>91334</v>
      </c>
      <c r="J332" s="122">
        <v>83031</v>
      </c>
      <c r="K332">
        <v>72</v>
      </c>
      <c r="L332" s="122">
        <v>16291</v>
      </c>
      <c r="M332" s="122">
        <v>14144</v>
      </c>
      <c r="N332" s="122">
        <v>6626</v>
      </c>
      <c r="O332" s="122">
        <v>2454</v>
      </c>
      <c r="P332" s="122">
        <v>945</v>
      </c>
      <c r="Q332" s="122">
        <v>350</v>
      </c>
      <c r="R332" s="122">
        <v>15066</v>
      </c>
      <c r="S332" s="122">
        <v>13697</v>
      </c>
      <c r="T332" s="122">
        <v>2858</v>
      </c>
      <c r="U332" s="122">
        <v>1058</v>
      </c>
      <c r="V332" s="122">
        <v>114735</v>
      </c>
      <c r="W332" s="122">
        <f t="shared" si="10"/>
        <v>114734</v>
      </c>
      <c r="X332" s="122">
        <f t="shared" si="11"/>
        <v>133120</v>
      </c>
      <c r="Y332" s="122"/>
      <c r="AA332" t="s">
        <v>52</v>
      </c>
      <c r="AB332" t="s">
        <v>137</v>
      </c>
      <c r="AC332" t="s">
        <v>566</v>
      </c>
      <c r="AD332" t="s">
        <v>137</v>
      </c>
      <c r="AE332" t="s">
        <v>566</v>
      </c>
      <c r="AF332">
        <v>51</v>
      </c>
      <c r="AG332" s="122">
        <v>10128</v>
      </c>
      <c r="AH332" s="122">
        <v>5733</v>
      </c>
      <c r="AI332" s="122">
        <v>606753</v>
      </c>
      <c r="AJ332" s="122">
        <v>224723</v>
      </c>
      <c r="AK332">
        <v>300</v>
      </c>
      <c r="AL332" s="122">
        <v>0</v>
      </c>
      <c r="AM332" s="122">
        <v>15199</v>
      </c>
      <c r="AN332" s="122">
        <v>180070</v>
      </c>
      <c r="AO332" s="122">
        <v>66692</v>
      </c>
      <c r="AP332" s="122">
        <v>52714</v>
      </c>
      <c r="AQ332" s="122">
        <v>19524</v>
      </c>
      <c r="AR332" s="122">
        <v>360688</v>
      </c>
      <c r="AS332" s="122">
        <v>133588</v>
      </c>
      <c r="AT332">
        <v>0</v>
      </c>
      <c r="AU332">
        <v>0</v>
      </c>
      <c r="AV332" s="122">
        <v>459727</v>
      </c>
    </row>
    <row r="333" spans="2:48" ht="12.75" hidden="1" customHeight="1">
      <c r="B333" t="s">
        <v>364</v>
      </c>
      <c r="C333" t="s">
        <v>62</v>
      </c>
      <c r="D333" t="s">
        <v>556</v>
      </c>
      <c r="E333" t="s">
        <v>556</v>
      </c>
      <c r="F333">
        <v>6</v>
      </c>
      <c r="G333" s="122">
        <v>617</v>
      </c>
      <c r="H333" s="122">
        <v>2469</v>
      </c>
      <c r="I333" s="122">
        <v>163419</v>
      </c>
      <c r="J333" s="122">
        <v>136182</v>
      </c>
      <c r="K333">
        <v>53</v>
      </c>
      <c r="L333" s="122">
        <v>21487</v>
      </c>
      <c r="M333" s="122">
        <v>18162</v>
      </c>
      <c r="N333" s="122">
        <v>11258</v>
      </c>
      <c r="O333" s="122">
        <v>4170</v>
      </c>
      <c r="P333" s="122">
        <v>2376</v>
      </c>
      <c r="Q333" s="122">
        <v>880</v>
      </c>
      <c r="R333" s="122">
        <v>38087</v>
      </c>
      <c r="S333" s="122">
        <v>31739</v>
      </c>
      <c r="T333" s="122">
        <v>15259</v>
      </c>
      <c r="U333" s="122">
        <v>5651</v>
      </c>
      <c r="V333" s="122">
        <v>196785</v>
      </c>
      <c r="W333" s="122">
        <f t="shared" si="10"/>
        <v>196784</v>
      </c>
      <c r="X333" s="122">
        <f t="shared" si="11"/>
        <v>251886</v>
      </c>
      <c r="Y333" s="122"/>
      <c r="AA333" t="s">
        <v>52</v>
      </c>
      <c r="AB333" t="s">
        <v>137</v>
      </c>
      <c r="AC333" t="s">
        <v>433</v>
      </c>
      <c r="AD333" t="s">
        <v>137</v>
      </c>
      <c r="AE333" t="s">
        <v>137</v>
      </c>
      <c r="AF333">
        <v>2</v>
      </c>
      <c r="AG333" s="122">
        <v>568</v>
      </c>
      <c r="AH333" s="122">
        <v>237</v>
      </c>
      <c r="AI333" s="122">
        <v>29007</v>
      </c>
      <c r="AJ333" s="122">
        <v>10743</v>
      </c>
      <c r="AK333">
        <v>347</v>
      </c>
      <c r="AL333" s="122">
        <v>8939</v>
      </c>
      <c r="AM333" s="122">
        <v>8126</v>
      </c>
      <c r="AN333" s="122">
        <v>8595</v>
      </c>
      <c r="AO333" s="122">
        <v>3183</v>
      </c>
      <c r="AP333" s="122">
        <v>1053</v>
      </c>
      <c r="AQ333" s="122">
        <v>390</v>
      </c>
      <c r="AR333" s="122">
        <v>19552</v>
      </c>
      <c r="AS333" s="122">
        <v>7241</v>
      </c>
      <c r="AT333">
        <v>0</v>
      </c>
      <c r="AU333">
        <v>0</v>
      </c>
      <c r="AV333" s="122">
        <v>29685</v>
      </c>
    </row>
    <row r="334" spans="2:48" ht="12.75" hidden="1" customHeight="1">
      <c r="B334" t="s">
        <v>364</v>
      </c>
      <c r="C334" t="s">
        <v>62</v>
      </c>
      <c r="D334" t="s">
        <v>431</v>
      </c>
      <c r="E334" t="s">
        <v>431</v>
      </c>
      <c r="F334">
        <v>1</v>
      </c>
      <c r="G334" s="122">
        <v>120</v>
      </c>
      <c r="H334" s="122">
        <v>407</v>
      </c>
      <c r="I334" s="122">
        <v>31820</v>
      </c>
      <c r="J334" s="122">
        <v>28927</v>
      </c>
      <c r="K334">
        <v>55</v>
      </c>
      <c r="L334" s="122">
        <v>6482</v>
      </c>
      <c r="M334" s="122">
        <v>5893</v>
      </c>
      <c r="N334" s="122">
        <v>1901</v>
      </c>
      <c r="O334" s="122">
        <v>704</v>
      </c>
      <c r="P334" s="122">
        <v>351</v>
      </c>
      <c r="Q334" s="122">
        <v>130</v>
      </c>
      <c r="R334" s="122">
        <v>5658</v>
      </c>
      <c r="S334" s="122">
        <v>5144</v>
      </c>
      <c r="T334" s="122">
        <v>2675</v>
      </c>
      <c r="U334" s="122">
        <v>991</v>
      </c>
      <c r="V334" s="122">
        <v>41788</v>
      </c>
      <c r="W334" s="122">
        <f t="shared" si="10"/>
        <v>41789</v>
      </c>
      <c r="X334" s="122">
        <f t="shared" si="11"/>
        <v>48887</v>
      </c>
      <c r="Y334" s="122"/>
      <c r="AA334" t="s">
        <v>52</v>
      </c>
      <c r="AB334" t="s">
        <v>137</v>
      </c>
      <c r="AC334" t="s">
        <v>433</v>
      </c>
      <c r="AD334" t="s">
        <v>137</v>
      </c>
      <c r="AE334" t="s">
        <v>566</v>
      </c>
      <c r="AF334">
        <v>36</v>
      </c>
      <c r="AG334" s="122">
        <v>6683</v>
      </c>
      <c r="AH334" s="122">
        <v>4071</v>
      </c>
      <c r="AI334" s="122">
        <v>340926</v>
      </c>
      <c r="AJ334" s="122">
        <v>126269</v>
      </c>
      <c r="AK334">
        <v>343</v>
      </c>
      <c r="AL334" s="122">
        <v>79444</v>
      </c>
      <c r="AM334" s="122">
        <v>72221</v>
      </c>
      <c r="AN334" s="122">
        <v>115240</v>
      </c>
      <c r="AO334" s="122">
        <v>42681</v>
      </c>
      <c r="AP334" s="122">
        <v>31096</v>
      </c>
      <c r="AQ334" s="122">
        <v>11517</v>
      </c>
      <c r="AR334" s="122">
        <v>203774</v>
      </c>
      <c r="AS334" s="122">
        <v>75472</v>
      </c>
      <c r="AT334" s="122">
        <v>0</v>
      </c>
      <c r="AU334" s="122">
        <v>0</v>
      </c>
      <c r="AV334" s="122">
        <v>328161</v>
      </c>
    </row>
    <row r="335" spans="2:48" ht="12.75" hidden="1" customHeight="1">
      <c r="B335" t="s">
        <v>364</v>
      </c>
      <c r="C335" t="s">
        <v>62</v>
      </c>
      <c r="D335" t="s">
        <v>426</v>
      </c>
      <c r="E335" t="s">
        <v>137</v>
      </c>
      <c r="F335">
        <v>3</v>
      </c>
      <c r="G335" s="122">
        <v>278</v>
      </c>
      <c r="H335" s="122">
        <v>1222</v>
      </c>
      <c r="I335" s="122">
        <v>65328</v>
      </c>
      <c r="J335" s="122">
        <v>59389</v>
      </c>
      <c r="K335">
        <v>60</v>
      </c>
      <c r="L335" s="122">
        <v>15584</v>
      </c>
      <c r="M335" s="122">
        <v>5772</v>
      </c>
      <c r="N335" s="122">
        <v>3997</v>
      </c>
      <c r="O335" s="122">
        <v>1480</v>
      </c>
      <c r="P335" s="122">
        <v>0</v>
      </c>
      <c r="Q335" s="122">
        <v>0</v>
      </c>
      <c r="R335" s="122">
        <v>27980</v>
      </c>
      <c r="S335" s="122">
        <v>10363</v>
      </c>
      <c r="T335">
        <v>0</v>
      </c>
      <c r="U335">
        <v>0</v>
      </c>
      <c r="V335" s="122">
        <v>77004</v>
      </c>
      <c r="W335" s="122">
        <f t="shared" si="10"/>
        <v>77004</v>
      </c>
      <c r="X335" s="122">
        <f t="shared" si="11"/>
        <v>112889</v>
      </c>
      <c r="Y335" s="122"/>
      <c r="AA335" t="s">
        <v>52</v>
      </c>
      <c r="AB335" t="s">
        <v>137</v>
      </c>
      <c r="AC335" t="s">
        <v>429</v>
      </c>
      <c r="AD335" t="s">
        <v>137</v>
      </c>
      <c r="AE335" t="s">
        <v>137</v>
      </c>
      <c r="AF335">
        <v>2</v>
      </c>
      <c r="AG335" s="122">
        <v>575</v>
      </c>
      <c r="AH335">
        <v>230</v>
      </c>
      <c r="AI335" s="122">
        <v>34386</v>
      </c>
      <c r="AJ335" s="122">
        <v>12736</v>
      </c>
      <c r="AK335">
        <v>310</v>
      </c>
      <c r="AL335" s="122">
        <v>7220</v>
      </c>
      <c r="AM335" s="122">
        <v>6563</v>
      </c>
      <c r="AN335" s="122">
        <v>9959</v>
      </c>
      <c r="AO335" s="122">
        <v>3689</v>
      </c>
      <c r="AP335" s="122">
        <v>2917</v>
      </c>
      <c r="AQ335" s="122">
        <v>1080</v>
      </c>
      <c r="AR335" s="122">
        <v>15072</v>
      </c>
      <c r="AS335" s="122">
        <v>5582</v>
      </c>
      <c r="AT335" s="122">
        <v>4086</v>
      </c>
      <c r="AU335" s="122">
        <v>1513</v>
      </c>
      <c r="AV335" s="122">
        <v>31163</v>
      </c>
    </row>
    <row r="336" spans="2:48" ht="12.75" hidden="1" customHeight="1">
      <c r="B336" t="s">
        <v>364</v>
      </c>
      <c r="C336" t="s">
        <v>62</v>
      </c>
      <c r="D336" t="s">
        <v>426</v>
      </c>
      <c r="E336" t="s">
        <v>406</v>
      </c>
      <c r="F336">
        <v>1</v>
      </c>
      <c r="G336" s="122">
        <v>98</v>
      </c>
      <c r="H336" s="122">
        <v>436</v>
      </c>
      <c r="I336" s="122">
        <v>34614</v>
      </c>
      <c r="J336" s="122">
        <v>31467</v>
      </c>
      <c r="K336">
        <v>60</v>
      </c>
      <c r="L336" s="122">
        <v>0</v>
      </c>
      <c r="M336" s="122">
        <v>0</v>
      </c>
      <c r="N336" s="122">
        <v>1192</v>
      </c>
      <c r="O336" s="122">
        <v>441</v>
      </c>
      <c r="P336" s="122">
        <v>702</v>
      </c>
      <c r="Q336">
        <v>260</v>
      </c>
      <c r="R336" s="122">
        <v>4192</v>
      </c>
      <c r="S336" s="122">
        <v>3811</v>
      </c>
      <c r="T336" s="122">
        <v>1954</v>
      </c>
      <c r="U336" s="122">
        <v>724</v>
      </c>
      <c r="V336" s="122">
        <v>36704</v>
      </c>
      <c r="W336" s="122">
        <f t="shared" si="10"/>
        <v>36703</v>
      </c>
      <c r="X336" s="122">
        <f t="shared" si="11"/>
        <v>42654</v>
      </c>
      <c r="Y336" s="122"/>
      <c r="AA336" t="s">
        <v>52</v>
      </c>
      <c r="AB336" t="s">
        <v>137</v>
      </c>
      <c r="AC336" t="s">
        <v>429</v>
      </c>
      <c r="AD336" t="s">
        <v>137</v>
      </c>
      <c r="AE336" t="s">
        <v>566</v>
      </c>
      <c r="AF336">
        <v>6</v>
      </c>
      <c r="AG336" s="122">
        <v>1108</v>
      </c>
      <c r="AH336">
        <v>692</v>
      </c>
      <c r="AI336" s="122">
        <v>60808</v>
      </c>
      <c r="AJ336" s="122">
        <v>22522</v>
      </c>
      <c r="AK336">
        <v>304</v>
      </c>
      <c r="AL336" s="122">
        <v>12217</v>
      </c>
      <c r="AM336" s="122">
        <v>11106</v>
      </c>
      <c r="AN336" s="122">
        <v>18028</v>
      </c>
      <c r="AO336" s="122">
        <v>6677</v>
      </c>
      <c r="AP336" s="122">
        <v>5103</v>
      </c>
      <c r="AQ336" s="122">
        <v>1890</v>
      </c>
      <c r="AR336" s="122">
        <v>38629</v>
      </c>
      <c r="AS336" s="122">
        <v>14307</v>
      </c>
      <c r="AT336">
        <v>0</v>
      </c>
      <c r="AU336">
        <v>0</v>
      </c>
      <c r="AV336" s="122">
        <v>56502</v>
      </c>
    </row>
    <row r="337" spans="2:48" ht="12.75" hidden="1" customHeight="1">
      <c r="B337" t="s">
        <v>364</v>
      </c>
      <c r="C337" t="s">
        <v>62</v>
      </c>
      <c r="D337" t="s">
        <v>426</v>
      </c>
      <c r="E337" t="s">
        <v>426</v>
      </c>
      <c r="F337">
        <v>61</v>
      </c>
      <c r="G337" s="122">
        <v>6163</v>
      </c>
      <c r="H337" s="122">
        <v>25197</v>
      </c>
      <c r="I337" s="122">
        <v>1716709</v>
      </c>
      <c r="J337" s="122">
        <v>1560644</v>
      </c>
      <c r="K337">
        <v>57</v>
      </c>
      <c r="L337" s="122">
        <v>213182</v>
      </c>
      <c r="M337" s="122">
        <v>172926</v>
      </c>
      <c r="N337" s="122">
        <v>126472</v>
      </c>
      <c r="O337" s="122">
        <v>46842</v>
      </c>
      <c r="P337" s="122">
        <v>23463</v>
      </c>
      <c r="Q337" s="122">
        <v>8690</v>
      </c>
      <c r="R337" s="122">
        <v>348114</v>
      </c>
      <c r="S337" s="122">
        <v>316467</v>
      </c>
      <c r="T337" s="122">
        <v>134408</v>
      </c>
      <c r="U337" s="122">
        <v>49781</v>
      </c>
      <c r="V337" s="122">
        <v>2155350</v>
      </c>
      <c r="W337" s="122">
        <f t="shared" si="10"/>
        <v>2155350</v>
      </c>
      <c r="X337" s="122">
        <f t="shared" si="11"/>
        <v>2562348</v>
      </c>
      <c r="Y337" s="122"/>
      <c r="AA337" t="s">
        <v>52</v>
      </c>
      <c r="AB337" t="s">
        <v>483</v>
      </c>
      <c r="AC337" t="s">
        <v>579</v>
      </c>
      <c r="AD337" t="s">
        <v>483</v>
      </c>
      <c r="AE337" t="s">
        <v>566</v>
      </c>
      <c r="AF337">
        <v>1</v>
      </c>
      <c r="AG337">
        <v>533</v>
      </c>
      <c r="AH337">
        <v>115</v>
      </c>
      <c r="AI337" s="122">
        <v>27277</v>
      </c>
      <c r="AJ337" s="122">
        <v>10103</v>
      </c>
      <c r="AK337">
        <v>320</v>
      </c>
      <c r="AL337" s="122">
        <v>14368</v>
      </c>
      <c r="AM337" s="122">
        <v>11973</v>
      </c>
      <c r="AN337" s="122">
        <v>12997</v>
      </c>
      <c r="AO337" s="122">
        <v>4814</v>
      </c>
      <c r="AP337">
        <v>351</v>
      </c>
      <c r="AQ337">
        <v>130</v>
      </c>
      <c r="AR337" s="122">
        <v>6428</v>
      </c>
      <c r="AS337" s="122">
        <v>2381</v>
      </c>
      <c r="AT337">
        <v>0</v>
      </c>
      <c r="AU337">
        <v>0</v>
      </c>
      <c r="AV337" s="122">
        <v>29401</v>
      </c>
    </row>
    <row r="338" spans="2:48" ht="12.75" hidden="1" customHeight="1">
      <c r="B338" t="s">
        <v>364</v>
      </c>
      <c r="C338" t="s">
        <v>62</v>
      </c>
      <c r="D338" t="s">
        <v>433</v>
      </c>
      <c r="E338" t="s">
        <v>433</v>
      </c>
      <c r="F338">
        <v>2</v>
      </c>
      <c r="G338" s="122">
        <v>108</v>
      </c>
      <c r="H338" s="122">
        <v>883</v>
      </c>
      <c r="I338" s="122">
        <v>50468</v>
      </c>
      <c r="J338" s="122">
        <v>45880</v>
      </c>
      <c r="K338">
        <v>60</v>
      </c>
      <c r="L338" s="122">
        <v>6010</v>
      </c>
      <c r="M338" s="122">
        <v>4362</v>
      </c>
      <c r="N338" s="122">
        <v>4104</v>
      </c>
      <c r="O338" s="122">
        <v>1520</v>
      </c>
      <c r="P338" s="122">
        <v>702</v>
      </c>
      <c r="Q338" s="122">
        <v>260</v>
      </c>
      <c r="R338" s="122">
        <v>8587</v>
      </c>
      <c r="S338" s="122">
        <v>7806</v>
      </c>
      <c r="T338" s="122">
        <v>4528</v>
      </c>
      <c r="U338" s="122">
        <v>1677</v>
      </c>
      <c r="V338" s="122">
        <v>61505</v>
      </c>
      <c r="W338" s="122">
        <f t="shared" si="10"/>
        <v>61505</v>
      </c>
      <c r="X338" s="122">
        <f t="shared" si="11"/>
        <v>74399</v>
      </c>
      <c r="Y338" s="122"/>
      <c r="AA338" t="s">
        <v>52</v>
      </c>
      <c r="AB338" t="s">
        <v>483</v>
      </c>
      <c r="AC338" t="s">
        <v>426</v>
      </c>
      <c r="AD338" t="s">
        <v>483</v>
      </c>
      <c r="AE338" t="s">
        <v>566</v>
      </c>
      <c r="AF338">
        <v>1</v>
      </c>
      <c r="AG338">
        <v>323</v>
      </c>
      <c r="AH338">
        <v>115</v>
      </c>
      <c r="AI338" s="122">
        <v>15934</v>
      </c>
      <c r="AJ338" s="122">
        <v>5901</v>
      </c>
      <c r="AK338">
        <v>300</v>
      </c>
      <c r="AL338" s="122">
        <v>7213</v>
      </c>
      <c r="AM338" s="122">
        <v>6557</v>
      </c>
      <c r="AN338" s="122">
        <v>6461</v>
      </c>
      <c r="AO338" s="122">
        <v>2393</v>
      </c>
      <c r="AP338" s="122">
        <v>351</v>
      </c>
      <c r="AQ338">
        <v>130</v>
      </c>
      <c r="AR338" s="122">
        <v>7369</v>
      </c>
      <c r="AS338" s="122">
        <v>2729</v>
      </c>
      <c r="AT338">
        <v>0</v>
      </c>
      <c r="AU338">
        <v>0</v>
      </c>
      <c r="AV338" s="122">
        <v>17711</v>
      </c>
    </row>
    <row r="339" spans="2:48" ht="12.75" hidden="1" customHeight="1">
      <c r="B339" t="s">
        <v>364</v>
      </c>
      <c r="C339" t="s">
        <v>64</v>
      </c>
      <c r="D339" t="s">
        <v>425</v>
      </c>
      <c r="E339" t="s">
        <v>406</v>
      </c>
      <c r="F339">
        <v>1</v>
      </c>
      <c r="G339" s="122">
        <v>95</v>
      </c>
      <c r="H339" s="122">
        <v>685</v>
      </c>
      <c r="I339" s="122">
        <v>48587</v>
      </c>
      <c r="J339" s="122">
        <v>44170</v>
      </c>
      <c r="K339">
        <v>65</v>
      </c>
      <c r="L339" s="122">
        <v>5133</v>
      </c>
      <c r="M339" s="122">
        <v>4666</v>
      </c>
      <c r="N339" s="122">
        <v>2312</v>
      </c>
      <c r="O339" s="122">
        <v>856</v>
      </c>
      <c r="P339" s="122">
        <v>621</v>
      </c>
      <c r="Q339" s="122">
        <v>230</v>
      </c>
      <c r="R339" s="122">
        <v>5085</v>
      </c>
      <c r="S339" s="122">
        <v>4623</v>
      </c>
      <c r="T339" s="122">
        <v>3253</v>
      </c>
      <c r="U339" s="122">
        <v>1205</v>
      </c>
      <c r="V339" s="122">
        <v>55751</v>
      </c>
      <c r="W339" s="122">
        <f t="shared" si="10"/>
        <v>55750</v>
      </c>
      <c r="X339" s="122">
        <f t="shared" si="11"/>
        <v>64991</v>
      </c>
      <c r="Y339" s="122"/>
      <c r="AA339" t="s">
        <v>52</v>
      </c>
      <c r="AB339" t="s">
        <v>406</v>
      </c>
      <c r="AC339" t="s">
        <v>578</v>
      </c>
      <c r="AD339" t="s">
        <v>406</v>
      </c>
      <c r="AE339" t="s">
        <v>137</v>
      </c>
      <c r="AF339">
        <v>2</v>
      </c>
      <c r="AG339">
        <v>280</v>
      </c>
      <c r="AH339">
        <v>235</v>
      </c>
      <c r="AI339" s="122">
        <v>30113</v>
      </c>
      <c r="AJ339" s="122">
        <v>27376</v>
      </c>
      <c r="AK339">
        <v>93</v>
      </c>
      <c r="AL339" s="122">
        <v>5179</v>
      </c>
      <c r="AM339" s="122">
        <v>4709</v>
      </c>
      <c r="AN339" s="122">
        <v>9042</v>
      </c>
      <c r="AO339" s="122">
        <v>3349</v>
      </c>
      <c r="AP339" s="122">
        <v>1593</v>
      </c>
      <c r="AQ339">
        <v>590</v>
      </c>
      <c r="AR339" s="122">
        <v>10065</v>
      </c>
      <c r="AS339" s="122">
        <v>9150</v>
      </c>
      <c r="AT339">
        <v>0</v>
      </c>
      <c r="AU339">
        <v>0</v>
      </c>
      <c r="AV339" s="122">
        <v>45173</v>
      </c>
    </row>
    <row r="340" spans="2:48" ht="12.75" hidden="1" customHeight="1">
      <c r="B340" t="s">
        <v>364</v>
      </c>
      <c r="C340" t="s">
        <v>64</v>
      </c>
      <c r="D340" t="s">
        <v>405</v>
      </c>
      <c r="E340" t="s">
        <v>405</v>
      </c>
      <c r="F340">
        <v>7</v>
      </c>
      <c r="G340">
        <v>622</v>
      </c>
      <c r="H340" s="122">
        <v>3756</v>
      </c>
      <c r="I340" s="122">
        <v>232687</v>
      </c>
      <c r="J340" s="122">
        <v>211533</v>
      </c>
      <c r="K340">
        <v>72</v>
      </c>
      <c r="L340" s="122">
        <v>45938</v>
      </c>
      <c r="M340" s="122">
        <v>41762</v>
      </c>
      <c r="N340" s="122">
        <v>12557</v>
      </c>
      <c r="O340" s="122">
        <v>4651</v>
      </c>
      <c r="P340" s="122">
        <v>2943</v>
      </c>
      <c r="Q340" s="122">
        <v>1090</v>
      </c>
      <c r="R340" s="122">
        <v>28399</v>
      </c>
      <c r="S340" s="122">
        <v>25817</v>
      </c>
      <c r="T340" s="122">
        <v>11541</v>
      </c>
      <c r="U340" s="122">
        <v>4274</v>
      </c>
      <c r="V340" s="122">
        <v>289127</v>
      </c>
      <c r="W340" s="122">
        <f t="shared" si="10"/>
        <v>289127</v>
      </c>
      <c r="X340" s="122">
        <f t="shared" si="11"/>
        <v>334065</v>
      </c>
      <c r="Y340" s="122"/>
      <c r="AA340" t="s">
        <v>52</v>
      </c>
      <c r="AB340" t="s">
        <v>406</v>
      </c>
      <c r="AC340" t="s">
        <v>578</v>
      </c>
      <c r="AD340" t="s">
        <v>406</v>
      </c>
      <c r="AE340" t="s">
        <v>566</v>
      </c>
      <c r="AF340">
        <v>2</v>
      </c>
      <c r="AG340">
        <v>507</v>
      </c>
      <c r="AH340">
        <v>229</v>
      </c>
      <c r="AI340" s="122">
        <v>43119</v>
      </c>
      <c r="AJ340" s="122">
        <v>39200</v>
      </c>
      <c r="AK340">
        <v>88</v>
      </c>
      <c r="AL340" s="122">
        <v>9641</v>
      </c>
      <c r="AM340" s="122">
        <v>8765</v>
      </c>
      <c r="AN340" s="122">
        <v>11402</v>
      </c>
      <c r="AO340" s="122">
        <v>4223</v>
      </c>
      <c r="AP340" s="122">
        <v>1242</v>
      </c>
      <c r="AQ340">
        <v>460</v>
      </c>
      <c r="AR340" s="122">
        <v>14271</v>
      </c>
      <c r="AS340" s="122">
        <v>12974</v>
      </c>
      <c r="AT340">
        <v>0</v>
      </c>
      <c r="AU340">
        <v>0</v>
      </c>
      <c r="AV340" s="122">
        <v>65621</v>
      </c>
    </row>
    <row r="341" spans="2:48" ht="12.75" hidden="1" customHeight="1">
      <c r="B341" t="s">
        <v>364</v>
      </c>
      <c r="C341" t="s">
        <v>64</v>
      </c>
      <c r="D341" t="s">
        <v>137</v>
      </c>
      <c r="E341" t="s">
        <v>137</v>
      </c>
      <c r="F341">
        <v>198</v>
      </c>
      <c r="G341" s="122">
        <v>16298</v>
      </c>
      <c r="H341" s="122">
        <v>150125</v>
      </c>
      <c r="I341" s="122">
        <v>8848353</v>
      </c>
      <c r="J341" s="122">
        <v>3277168</v>
      </c>
      <c r="K341">
        <v>100</v>
      </c>
      <c r="L341" s="122">
        <v>1446783</v>
      </c>
      <c r="M341" s="122">
        <v>1256533</v>
      </c>
      <c r="N341" s="122">
        <v>368570</v>
      </c>
      <c r="O341" s="122">
        <v>136507</v>
      </c>
      <c r="P341" s="122">
        <v>3171</v>
      </c>
      <c r="Q341" s="122">
        <v>1174</v>
      </c>
      <c r="R341" s="122">
        <v>1290622</v>
      </c>
      <c r="S341" s="122">
        <v>478008</v>
      </c>
      <c r="T341" s="122">
        <v>4895</v>
      </c>
      <c r="U341" s="122">
        <v>1813</v>
      </c>
      <c r="V341" s="122">
        <v>5151204</v>
      </c>
      <c r="W341" s="122">
        <f t="shared" si="10"/>
        <v>5151203</v>
      </c>
      <c r="X341" s="122">
        <f t="shared" si="11"/>
        <v>11962394</v>
      </c>
      <c r="Y341" s="122"/>
      <c r="AA341" t="s">
        <v>52</v>
      </c>
      <c r="AB341" t="s">
        <v>406</v>
      </c>
      <c r="AC341" t="s">
        <v>425</v>
      </c>
      <c r="AD341" t="s">
        <v>425</v>
      </c>
      <c r="AE341" t="s">
        <v>137</v>
      </c>
      <c r="AF341">
        <v>1</v>
      </c>
      <c r="AG341" s="122">
        <v>285</v>
      </c>
      <c r="AH341" s="122">
        <v>104</v>
      </c>
      <c r="AI341" s="122">
        <v>19144</v>
      </c>
      <c r="AJ341" s="122">
        <v>17403</v>
      </c>
      <c r="AK341">
        <v>93</v>
      </c>
      <c r="AL341" s="122">
        <v>2612</v>
      </c>
      <c r="AM341" s="122">
        <v>2374</v>
      </c>
      <c r="AN341" s="122">
        <v>3468</v>
      </c>
      <c r="AO341" s="122">
        <v>1285</v>
      </c>
      <c r="AP341" s="122">
        <v>972</v>
      </c>
      <c r="AQ341" s="122">
        <v>360</v>
      </c>
      <c r="AR341" s="122">
        <v>3474</v>
      </c>
      <c r="AS341" s="122">
        <v>3158</v>
      </c>
      <c r="AT341" s="122">
        <v>0</v>
      </c>
      <c r="AU341" s="122">
        <v>0</v>
      </c>
      <c r="AV341" s="122">
        <v>24580</v>
      </c>
    </row>
    <row r="342" spans="2:48" ht="12.75" hidden="1" customHeight="1">
      <c r="B342" t="s">
        <v>364</v>
      </c>
      <c r="C342" t="s">
        <v>64</v>
      </c>
      <c r="D342" t="s">
        <v>137</v>
      </c>
      <c r="E342" t="s">
        <v>406</v>
      </c>
      <c r="F342" s="122">
        <v>3</v>
      </c>
      <c r="G342" s="122">
        <v>210</v>
      </c>
      <c r="H342" s="122">
        <v>2190</v>
      </c>
      <c r="I342" s="122">
        <v>122431</v>
      </c>
      <c r="J342" s="122">
        <v>45345</v>
      </c>
      <c r="K342">
        <v>100</v>
      </c>
      <c r="L342" s="122">
        <v>22821</v>
      </c>
      <c r="M342" s="122">
        <v>20746</v>
      </c>
      <c r="N342" s="122">
        <v>4417</v>
      </c>
      <c r="O342" s="122">
        <v>1636</v>
      </c>
      <c r="P342" s="122">
        <v>270</v>
      </c>
      <c r="Q342" s="122">
        <v>100</v>
      </c>
      <c r="R342" s="122">
        <v>14465</v>
      </c>
      <c r="S342" s="122">
        <v>13150</v>
      </c>
      <c r="T342" s="122">
        <v>1747</v>
      </c>
      <c r="U342" s="122">
        <v>647</v>
      </c>
      <c r="V342" s="122">
        <v>81624</v>
      </c>
      <c r="W342" s="122">
        <f t="shared" si="10"/>
        <v>81624</v>
      </c>
      <c r="X342" s="122">
        <f t="shared" si="11"/>
        <v>166151</v>
      </c>
      <c r="Y342" s="122"/>
      <c r="AA342" t="s">
        <v>52</v>
      </c>
      <c r="AB342" t="s">
        <v>406</v>
      </c>
      <c r="AC342" t="s">
        <v>425</v>
      </c>
      <c r="AD342" t="s">
        <v>406</v>
      </c>
      <c r="AE342" t="s">
        <v>137</v>
      </c>
      <c r="AF342">
        <v>24</v>
      </c>
      <c r="AG342" s="122">
        <v>6541</v>
      </c>
      <c r="AH342" s="122">
        <v>2880</v>
      </c>
      <c r="AI342" s="122">
        <v>487055</v>
      </c>
      <c r="AJ342" s="122">
        <v>442777</v>
      </c>
      <c r="AK342">
        <v>92</v>
      </c>
      <c r="AL342" s="122">
        <v>82773</v>
      </c>
      <c r="AM342" s="122">
        <v>75248</v>
      </c>
      <c r="AN342" s="122">
        <v>122800</v>
      </c>
      <c r="AO342" s="122">
        <v>45481</v>
      </c>
      <c r="AP342" s="122">
        <v>20725</v>
      </c>
      <c r="AQ342" s="122">
        <v>7676</v>
      </c>
      <c r="AR342" s="122">
        <v>124993</v>
      </c>
      <c r="AS342" s="122">
        <v>113630</v>
      </c>
      <c r="AT342" s="122">
        <v>15573</v>
      </c>
      <c r="AU342" s="122">
        <v>5768</v>
      </c>
      <c r="AV342" s="122">
        <v>690581</v>
      </c>
    </row>
    <row r="343" spans="2:48" ht="12.75" hidden="1" customHeight="1">
      <c r="B343" t="s">
        <v>364</v>
      </c>
      <c r="C343" t="s">
        <v>64</v>
      </c>
      <c r="D343" t="s">
        <v>137</v>
      </c>
      <c r="E343" t="s">
        <v>427</v>
      </c>
      <c r="F343">
        <v>2</v>
      </c>
      <c r="G343" s="122">
        <v>142</v>
      </c>
      <c r="H343" s="122">
        <v>1473</v>
      </c>
      <c r="I343" s="122">
        <v>81217</v>
      </c>
      <c r="J343" s="122">
        <v>30080</v>
      </c>
      <c r="K343">
        <v>100</v>
      </c>
      <c r="L343" s="122">
        <v>6303</v>
      </c>
      <c r="M343" s="122">
        <v>5730</v>
      </c>
      <c r="N343" s="122">
        <v>3199</v>
      </c>
      <c r="O343" s="122">
        <v>1185</v>
      </c>
      <c r="P343" s="122">
        <v>0</v>
      </c>
      <c r="Q343">
        <v>0</v>
      </c>
      <c r="R343" s="122">
        <v>12631</v>
      </c>
      <c r="S343" s="122">
        <v>11483</v>
      </c>
      <c r="T343" s="122">
        <v>6703</v>
      </c>
      <c r="U343" s="122">
        <v>2482</v>
      </c>
      <c r="V343" s="122">
        <v>50960</v>
      </c>
      <c r="W343" s="122">
        <f t="shared" si="10"/>
        <v>50960</v>
      </c>
      <c r="X343" s="122">
        <f t="shared" si="11"/>
        <v>110053</v>
      </c>
      <c r="Y343" s="122"/>
      <c r="AA343" t="s">
        <v>52</v>
      </c>
      <c r="AB343" t="s">
        <v>406</v>
      </c>
      <c r="AC343" t="s">
        <v>425</v>
      </c>
      <c r="AD343" t="s">
        <v>406</v>
      </c>
      <c r="AE343" t="s">
        <v>566</v>
      </c>
      <c r="AF343">
        <v>73</v>
      </c>
      <c r="AG343" s="122">
        <v>19461</v>
      </c>
      <c r="AH343" s="122">
        <v>8588</v>
      </c>
      <c r="AI343" s="122">
        <v>1399563</v>
      </c>
      <c r="AJ343" s="122">
        <v>1272330</v>
      </c>
      <c r="AK343">
        <v>91</v>
      </c>
      <c r="AL343" s="122">
        <v>243567</v>
      </c>
      <c r="AM343" s="122">
        <v>221424</v>
      </c>
      <c r="AN343" s="122">
        <v>368342</v>
      </c>
      <c r="AO343" s="122">
        <v>136423</v>
      </c>
      <c r="AP343" s="122">
        <v>60159</v>
      </c>
      <c r="AQ343" s="122">
        <v>22281</v>
      </c>
      <c r="AR343" s="122">
        <v>384332</v>
      </c>
      <c r="AS343" s="122">
        <v>349392</v>
      </c>
      <c r="AT343" s="122">
        <v>0</v>
      </c>
      <c r="AU343">
        <v>0</v>
      </c>
      <c r="AV343" s="122">
        <v>2001851</v>
      </c>
    </row>
    <row r="344" spans="2:48" ht="12.75" hidden="1" customHeight="1">
      <c r="B344" t="s">
        <v>364</v>
      </c>
      <c r="C344" t="s">
        <v>64</v>
      </c>
      <c r="D344" t="s">
        <v>137</v>
      </c>
      <c r="E344" t="s">
        <v>426</v>
      </c>
      <c r="F344" s="122">
        <v>26</v>
      </c>
      <c r="G344" s="122">
        <v>2216</v>
      </c>
      <c r="H344" s="122">
        <v>18935</v>
      </c>
      <c r="I344" s="122">
        <v>1184474</v>
      </c>
      <c r="J344" s="122">
        <v>438694</v>
      </c>
      <c r="K344">
        <v>100</v>
      </c>
      <c r="L344" s="122">
        <v>173123</v>
      </c>
      <c r="M344" s="122">
        <v>147641</v>
      </c>
      <c r="N344" s="122">
        <v>50840</v>
      </c>
      <c r="O344" s="122">
        <v>18830</v>
      </c>
      <c r="P344" s="122">
        <v>1053</v>
      </c>
      <c r="Q344" s="122">
        <v>390</v>
      </c>
      <c r="R344" s="122">
        <v>147727</v>
      </c>
      <c r="S344" s="122">
        <v>134297</v>
      </c>
      <c r="T344" s="122">
        <v>53510</v>
      </c>
      <c r="U344" s="122">
        <v>19819</v>
      </c>
      <c r="V344" s="122">
        <v>759671</v>
      </c>
      <c r="W344" s="122">
        <f t="shared" si="10"/>
        <v>759671</v>
      </c>
      <c r="X344" s="122">
        <f t="shared" si="11"/>
        <v>1610727</v>
      </c>
      <c r="Y344" s="122"/>
      <c r="AA344" t="s">
        <v>52</v>
      </c>
      <c r="AB344" t="s">
        <v>406</v>
      </c>
      <c r="AC344" t="s">
        <v>405</v>
      </c>
      <c r="AD344" t="s">
        <v>406</v>
      </c>
      <c r="AE344" t="s">
        <v>137</v>
      </c>
      <c r="AF344">
        <v>4</v>
      </c>
      <c r="AG344" s="122">
        <v>1212</v>
      </c>
      <c r="AH344" s="122">
        <v>463</v>
      </c>
      <c r="AI344" s="122">
        <v>87463</v>
      </c>
      <c r="AJ344" s="122">
        <v>79512</v>
      </c>
      <c r="AK344">
        <v>91</v>
      </c>
      <c r="AL344" s="122">
        <v>9863</v>
      </c>
      <c r="AM344" s="122">
        <v>8966</v>
      </c>
      <c r="AN344" s="122">
        <v>17946</v>
      </c>
      <c r="AO344" s="122">
        <v>6647</v>
      </c>
      <c r="AP344" s="122">
        <v>6279</v>
      </c>
      <c r="AQ344" s="122">
        <v>2326</v>
      </c>
      <c r="AR344" s="122">
        <v>14253</v>
      </c>
      <c r="AS344" s="122">
        <v>12957</v>
      </c>
      <c r="AT344" s="122">
        <v>2620</v>
      </c>
      <c r="AU344">
        <v>970</v>
      </c>
      <c r="AV344" s="122">
        <v>111378</v>
      </c>
    </row>
    <row r="345" spans="2:48" ht="12.75" hidden="1" customHeight="1">
      <c r="B345" t="s">
        <v>364</v>
      </c>
      <c r="C345" t="s">
        <v>64</v>
      </c>
      <c r="D345" t="s">
        <v>406</v>
      </c>
      <c r="E345" t="s">
        <v>137</v>
      </c>
      <c r="F345">
        <v>9</v>
      </c>
      <c r="G345" s="122">
        <v>733</v>
      </c>
      <c r="H345" s="122">
        <v>5555</v>
      </c>
      <c r="I345" s="122">
        <v>302691</v>
      </c>
      <c r="J345" s="122">
        <v>275173</v>
      </c>
      <c r="K345">
        <v>75</v>
      </c>
      <c r="L345" s="122">
        <v>65652</v>
      </c>
      <c r="M345" s="122">
        <v>56345</v>
      </c>
      <c r="N345" s="122">
        <v>16034</v>
      </c>
      <c r="O345" s="122">
        <v>5938</v>
      </c>
      <c r="P345" s="122">
        <v>4617</v>
      </c>
      <c r="Q345" s="122">
        <v>1710</v>
      </c>
      <c r="R345" s="122">
        <v>53132</v>
      </c>
      <c r="S345" s="122">
        <v>19679</v>
      </c>
      <c r="T345" s="122">
        <v>0</v>
      </c>
      <c r="U345" s="122">
        <v>0</v>
      </c>
      <c r="V345" s="122">
        <v>358845</v>
      </c>
      <c r="W345" s="122">
        <f t="shared" si="10"/>
        <v>358845</v>
      </c>
      <c r="X345" s="122">
        <f t="shared" si="11"/>
        <v>442126</v>
      </c>
      <c r="Y345" s="122"/>
      <c r="AA345" t="s">
        <v>52</v>
      </c>
      <c r="AB345" t="s">
        <v>406</v>
      </c>
      <c r="AC345" t="s">
        <v>405</v>
      </c>
      <c r="AD345" t="s">
        <v>406</v>
      </c>
      <c r="AE345" t="s">
        <v>566</v>
      </c>
      <c r="AF345">
        <v>14</v>
      </c>
      <c r="AG345" s="122">
        <v>3552</v>
      </c>
      <c r="AH345" s="122">
        <v>1674</v>
      </c>
      <c r="AI345" s="122">
        <v>262839</v>
      </c>
      <c r="AJ345" s="122">
        <v>238945</v>
      </c>
      <c r="AK345">
        <v>91</v>
      </c>
      <c r="AL345" s="122">
        <v>48818</v>
      </c>
      <c r="AM345" s="122">
        <v>44380</v>
      </c>
      <c r="AN345" s="122">
        <v>60521</v>
      </c>
      <c r="AO345" s="122">
        <v>22415</v>
      </c>
      <c r="AP345" s="122">
        <v>14468</v>
      </c>
      <c r="AQ345" s="122">
        <v>5359</v>
      </c>
      <c r="AR345" s="122">
        <v>74377</v>
      </c>
      <c r="AS345" s="122">
        <v>67616</v>
      </c>
      <c r="AT345">
        <v>0</v>
      </c>
      <c r="AU345">
        <v>0</v>
      </c>
      <c r="AV345" s="122">
        <v>378715</v>
      </c>
    </row>
    <row r="346" spans="2:48" ht="12.75" hidden="1" customHeight="1">
      <c r="B346" t="s">
        <v>364</v>
      </c>
      <c r="C346" t="s">
        <v>64</v>
      </c>
      <c r="D346" t="s">
        <v>406</v>
      </c>
      <c r="E346" t="s">
        <v>406</v>
      </c>
      <c r="F346">
        <v>472</v>
      </c>
      <c r="G346" s="122">
        <v>45746</v>
      </c>
      <c r="H346" s="122">
        <v>263802</v>
      </c>
      <c r="I346" s="122">
        <v>17674817</v>
      </c>
      <c r="J346" s="122">
        <v>16068015</v>
      </c>
      <c r="K346">
        <v>71</v>
      </c>
      <c r="L346" s="122">
        <v>3400260</v>
      </c>
      <c r="M346" s="122">
        <v>2952868</v>
      </c>
      <c r="N346" s="122">
        <v>1005888</v>
      </c>
      <c r="O346" s="122">
        <v>372551</v>
      </c>
      <c r="P346" s="122">
        <v>301035</v>
      </c>
      <c r="Q346" s="122">
        <v>111495</v>
      </c>
      <c r="R346" s="122">
        <v>2345253</v>
      </c>
      <c r="S346" s="122">
        <v>2132048</v>
      </c>
      <c r="T346" s="122">
        <v>867112</v>
      </c>
      <c r="U346" s="122">
        <v>321153</v>
      </c>
      <c r="V346" s="122">
        <v>21958130</v>
      </c>
      <c r="W346" s="122">
        <f t="shared" si="10"/>
        <v>21958130</v>
      </c>
      <c r="X346" s="122">
        <f t="shared" si="11"/>
        <v>25594365</v>
      </c>
      <c r="Y346" s="122"/>
      <c r="AA346" t="s">
        <v>52</v>
      </c>
      <c r="AB346" t="s">
        <v>406</v>
      </c>
      <c r="AC346" t="s">
        <v>137</v>
      </c>
      <c r="AD346" t="s">
        <v>137</v>
      </c>
      <c r="AE346" t="s">
        <v>137</v>
      </c>
      <c r="AF346">
        <v>1</v>
      </c>
      <c r="AG346">
        <v>240</v>
      </c>
      <c r="AH346">
        <v>113</v>
      </c>
      <c r="AI346" s="122">
        <v>14127</v>
      </c>
      <c r="AJ346" s="122">
        <v>12843</v>
      </c>
      <c r="AK346">
        <v>94</v>
      </c>
      <c r="AL346" s="122">
        <v>3637</v>
      </c>
      <c r="AM346" s="122">
        <v>1347</v>
      </c>
      <c r="AN346" s="122">
        <v>4386</v>
      </c>
      <c r="AO346" s="122">
        <v>1625</v>
      </c>
      <c r="AP346" s="122">
        <v>972</v>
      </c>
      <c r="AQ346">
        <v>360</v>
      </c>
      <c r="AR346" s="122">
        <v>3918</v>
      </c>
      <c r="AS346" s="122">
        <v>1451</v>
      </c>
      <c r="AT346" s="122">
        <v>0</v>
      </c>
      <c r="AU346">
        <v>0</v>
      </c>
      <c r="AV346" s="122">
        <v>17626</v>
      </c>
    </row>
    <row r="347" spans="2:48" ht="12.75" hidden="1" customHeight="1">
      <c r="B347" t="s">
        <v>364</v>
      </c>
      <c r="C347" t="s">
        <v>64</v>
      </c>
      <c r="D347" t="s">
        <v>427</v>
      </c>
      <c r="E347" t="s">
        <v>137</v>
      </c>
      <c r="F347">
        <v>3</v>
      </c>
      <c r="G347" s="122">
        <v>387</v>
      </c>
      <c r="H347" s="122">
        <v>2362</v>
      </c>
      <c r="I347" s="122">
        <v>298415</v>
      </c>
      <c r="J347" s="122">
        <v>271287</v>
      </c>
      <c r="K347">
        <v>52</v>
      </c>
      <c r="L347" s="122">
        <v>14785</v>
      </c>
      <c r="M347" s="122">
        <v>11487</v>
      </c>
      <c r="N347" s="122">
        <v>8634</v>
      </c>
      <c r="O347" s="122">
        <v>3198</v>
      </c>
      <c r="P347" s="122">
        <v>351</v>
      </c>
      <c r="Q347" s="122">
        <v>130</v>
      </c>
      <c r="R347" s="122">
        <v>27501</v>
      </c>
      <c r="S347" s="122">
        <v>10185</v>
      </c>
      <c r="T347" s="122">
        <v>0</v>
      </c>
      <c r="U347" s="122">
        <v>0</v>
      </c>
      <c r="V347" s="122">
        <v>296287</v>
      </c>
      <c r="W347" s="122">
        <f t="shared" si="10"/>
        <v>296287</v>
      </c>
      <c r="X347" s="122">
        <f t="shared" si="11"/>
        <v>349686</v>
      </c>
      <c r="Y347" s="122"/>
      <c r="AA347" t="s">
        <v>52</v>
      </c>
      <c r="AB347" t="s">
        <v>406</v>
      </c>
      <c r="AC347" t="s">
        <v>137</v>
      </c>
      <c r="AD347" t="s">
        <v>406</v>
      </c>
      <c r="AE347" t="s">
        <v>137</v>
      </c>
      <c r="AF347">
        <v>3</v>
      </c>
      <c r="AG347" s="122">
        <v>783</v>
      </c>
      <c r="AH347" s="122">
        <v>353</v>
      </c>
      <c r="AI347" s="122">
        <v>45800</v>
      </c>
      <c r="AJ347" s="122">
        <v>41636</v>
      </c>
      <c r="AK347">
        <v>85</v>
      </c>
      <c r="AL347" s="122">
        <v>14080</v>
      </c>
      <c r="AM347" s="122">
        <v>5215</v>
      </c>
      <c r="AN347" s="122">
        <v>15374</v>
      </c>
      <c r="AO347" s="122">
        <v>5694</v>
      </c>
      <c r="AP347" s="122">
        <v>2214</v>
      </c>
      <c r="AQ347" s="122">
        <v>820</v>
      </c>
      <c r="AR347" s="122">
        <v>13020</v>
      </c>
      <c r="AS347" s="122">
        <v>11836</v>
      </c>
      <c r="AT347" s="122">
        <v>1169</v>
      </c>
      <c r="AU347">
        <v>433</v>
      </c>
      <c r="AV347" s="122">
        <v>65634</v>
      </c>
    </row>
    <row r="348" spans="2:48" ht="12.75" hidden="1" customHeight="1">
      <c r="B348" t="s">
        <v>364</v>
      </c>
      <c r="C348" t="s">
        <v>64</v>
      </c>
      <c r="D348" t="s">
        <v>427</v>
      </c>
      <c r="E348" t="s">
        <v>427</v>
      </c>
      <c r="F348">
        <v>16</v>
      </c>
      <c r="G348" s="122">
        <v>1365</v>
      </c>
      <c r="H348" s="122">
        <v>9615</v>
      </c>
      <c r="I348" s="122">
        <v>549624</v>
      </c>
      <c r="J348" s="122">
        <v>499658</v>
      </c>
      <c r="K348">
        <v>54</v>
      </c>
      <c r="L348" s="122">
        <v>87879</v>
      </c>
      <c r="M348" s="122">
        <v>66031</v>
      </c>
      <c r="N348" s="122">
        <v>27307</v>
      </c>
      <c r="O348" s="122">
        <v>10114</v>
      </c>
      <c r="P348" s="122">
        <v>5886</v>
      </c>
      <c r="Q348" s="122">
        <v>2180</v>
      </c>
      <c r="R348" s="122">
        <v>100102</v>
      </c>
      <c r="S348" s="122">
        <v>91001</v>
      </c>
      <c r="T348" s="122">
        <v>39842</v>
      </c>
      <c r="U348" s="122">
        <v>14756</v>
      </c>
      <c r="V348" s="122">
        <v>683741</v>
      </c>
      <c r="W348" s="122">
        <f t="shared" si="10"/>
        <v>683740</v>
      </c>
      <c r="X348" s="122">
        <f t="shared" si="11"/>
        <v>810640</v>
      </c>
      <c r="Y348" s="122"/>
      <c r="AA348" t="s">
        <v>52</v>
      </c>
      <c r="AB348" t="s">
        <v>406</v>
      </c>
      <c r="AC348" t="s">
        <v>137</v>
      </c>
      <c r="AD348" t="s">
        <v>406</v>
      </c>
      <c r="AE348" t="s">
        <v>566</v>
      </c>
      <c r="AF348">
        <v>34</v>
      </c>
      <c r="AG348" s="122">
        <v>6866</v>
      </c>
      <c r="AH348" s="122">
        <v>3968</v>
      </c>
      <c r="AI348" s="122">
        <v>444097</v>
      </c>
      <c r="AJ348" s="122">
        <v>403725</v>
      </c>
      <c r="AK348">
        <v>93</v>
      </c>
      <c r="AL348" s="122">
        <v>114824</v>
      </c>
      <c r="AM348" s="122">
        <v>42527</v>
      </c>
      <c r="AN348" s="122">
        <v>127087</v>
      </c>
      <c r="AO348" s="122">
        <v>47069</v>
      </c>
      <c r="AP348" s="122">
        <v>30293</v>
      </c>
      <c r="AQ348" s="122">
        <v>11219</v>
      </c>
      <c r="AR348" s="122">
        <v>182846</v>
      </c>
      <c r="AS348" s="122">
        <v>166223</v>
      </c>
      <c r="AT348">
        <v>0</v>
      </c>
      <c r="AU348">
        <v>0</v>
      </c>
      <c r="AV348" s="122">
        <v>670764</v>
      </c>
    </row>
    <row r="349" spans="2:48" ht="12.75" hidden="1" customHeight="1">
      <c r="B349" t="s">
        <v>364</v>
      </c>
      <c r="C349" t="s">
        <v>64</v>
      </c>
      <c r="D349" t="s">
        <v>407</v>
      </c>
      <c r="E349" t="s">
        <v>407</v>
      </c>
      <c r="F349">
        <v>3</v>
      </c>
      <c r="G349" s="122">
        <v>283</v>
      </c>
      <c r="H349" s="122">
        <v>1483</v>
      </c>
      <c r="I349" s="122">
        <v>98436</v>
      </c>
      <c r="J349" s="122">
        <v>89487</v>
      </c>
      <c r="K349">
        <v>73</v>
      </c>
      <c r="L349" s="122">
        <v>18163</v>
      </c>
      <c r="M349" s="122">
        <v>13070</v>
      </c>
      <c r="N349" s="122">
        <v>6395</v>
      </c>
      <c r="O349" s="122">
        <v>2368</v>
      </c>
      <c r="P349" s="122">
        <v>1296</v>
      </c>
      <c r="Q349" s="122">
        <v>480</v>
      </c>
      <c r="R349" s="122">
        <v>13700</v>
      </c>
      <c r="S349" s="122">
        <v>12454</v>
      </c>
      <c r="T349" s="122">
        <v>2471</v>
      </c>
      <c r="U349" s="122">
        <v>915</v>
      </c>
      <c r="V349" s="122">
        <v>118775</v>
      </c>
      <c r="W349" s="122">
        <f t="shared" si="10"/>
        <v>118774</v>
      </c>
      <c r="X349" s="122">
        <f t="shared" si="11"/>
        <v>140461</v>
      </c>
      <c r="Y349" s="122"/>
      <c r="AA349" t="s">
        <v>52</v>
      </c>
      <c r="AB349" t="s">
        <v>406</v>
      </c>
      <c r="AC349" t="s">
        <v>580</v>
      </c>
      <c r="AD349" t="s">
        <v>425</v>
      </c>
      <c r="AE349" t="s">
        <v>566</v>
      </c>
      <c r="AF349">
        <v>2</v>
      </c>
      <c r="AG349">
        <v>501</v>
      </c>
      <c r="AH349">
        <v>241</v>
      </c>
      <c r="AI349" s="122">
        <v>33488</v>
      </c>
      <c r="AJ349" s="122">
        <v>30443</v>
      </c>
      <c r="AK349">
        <v>90</v>
      </c>
      <c r="AL349" s="122">
        <v>4747</v>
      </c>
      <c r="AM349" s="122">
        <v>4316</v>
      </c>
      <c r="AN349" s="122">
        <v>9292</v>
      </c>
      <c r="AO349" s="122">
        <v>3441</v>
      </c>
      <c r="AP349" s="122">
        <v>1242</v>
      </c>
      <c r="AQ349">
        <v>460</v>
      </c>
      <c r="AR349" s="122">
        <v>11630</v>
      </c>
      <c r="AS349" s="122">
        <v>10573</v>
      </c>
      <c r="AT349">
        <v>0</v>
      </c>
      <c r="AU349">
        <v>0</v>
      </c>
      <c r="AV349" s="122">
        <v>49233</v>
      </c>
    </row>
    <row r="350" spans="2:48" ht="12.75" hidden="1" customHeight="1">
      <c r="B350" t="s">
        <v>364</v>
      </c>
      <c r="C350" t="s">
        <v>64</v>
      </c>
      <c r="D350" t="s">
        <v>556</v>
      </c>
      <c r="E350" t="s">
        <v>556</v>
      </c>
      <c r="F350">
        <v>3</v>
      </c>
      <c r="G350">
        <v>329</v>
      </c>
      <c r="H350" s="122">
        <v>1987</v>
      </c>
      <c r="I350" s="122">
        <v>154579</v>
      </c>
      <c r="J350" s="122">
        <v>128816</v>
      </c>
      <c r="K350">
        <v>55</v>
      </c>
      <c r="L350" s="122">
        <v>16758</v>
      </c>
      <c r="M350" s="122">
        <v>9902</v>
      </c>
      <c r="N350" s="122">
        <v>7002</v>
      </c>
      <c r="O350" s="122">
        <v>2593</v>
      </c>
      <c r="P350" s="122">
        <v>1242</v>
      </c>
      <c r="Q350">
        <v>460</v>
      </c>
      <c r="R350" s="122">
        <v>17505</v>
      </c>
      <c r="S350" s="122">
        <v>14588</v>
      </c>
      <c r="T350" s="122">
        <v>7409</v>
      </c>
      <c r="U350" s="122">
        <v>2744</v>
      </c>
      <c r="V350" s="122">
        <v>159103</v>
      </c>
      <c r="W350" s="122">
        <f t="shared" si="10"/>
        <v>159103</v>
      </c>
      <c r="X350" s="122">
        <f t="shared" si="11"/>
        <v>204495</v>
      </c>
      <c r="Y350" s="122"/>
      <c r="AA350" t="s">
        <v>52</v>
      </c>
      <c r="AB350" t="s">
        <v>406</v>
      </c>
      <c r="AC350" t="s">
        <v>580</v>
      </c>
      <c r="AD350" t="s">
        <v>405</v>
      </c>
      <c r="AE350" t="s">
        <v>566</v>
      </c>
      <c r="AF350">
        <v>1</v>
      </c>
      <c r="AG350">
        <v>250</v>
      </c>
      <c r="AH350">
        <v>120</v>
      </c>
      <c r="AI350" s="122">
        <v>18532</v>
      </c>
      <c r="AJ350" s="122">
        <v>16848</v>
      </c>
      <c r="AK350">
        <v>90</v>
      </c>
      <c r="AL350" s="122">
        <v>2080</v>
      </c>
      <c r="AM350" s="122">
        <v>1891</v>
      </c>
      <c r="AN350" s="122">
        <v>3050</v>
      </c>
      <c r="AO350" s="122">
        <v>1130</v>
      </c>
      <c r="AP350">
        <v>621</v>
      </c>
      <c r="AQ350">
        <v>230</v>
      </c>
      <c r="AR350" s="122">
        <v>5740</v>
      </c>
      <c r="AS350" s="122">
        <v>5219</v>
      </c>
      <c r="AT350">
        <v>0</v>
      </c>
      <c r="AU350">
        <v>0</v>
      </c>
      <c r="AV350" s="122">
        <v>25317</v>
      </c>
    </row>
    <row r="351" spans="2:48" ht="12.75" hidden="1" customHeight="1">
      <c r="B351" t="s">
        <v>364</v>
      </c>
      <c r="C351" t="s">
        <v>64</v>
      </c>
      <c r="D351" t="s">
        <v>428</v>
      </c>
      <c r="E351" t="s">
        <v>428</v>
      </c>
      <c r="F351">
        <v>1</v>
      </c>
      <c r="G351">
        <v>70</v>
      </c>
      <c r="H351" s="122">
        <v>585</v>
      </c>
      <c r="I351" s="122">
        <v>39367</v>
      </c>
      <c r="J351" s="122">
        <v>35788</v>
      </c>
      <c r="K351">
        <v>65</v>
      </c>
      <c r="L351" s="122">
        <v>0</v>
      </c>
      <c r="M351" s="122">
        <v>0</v>
      </c>
      <c r="N351" s="122">
        <v>1454</v>
      </c>
      <c r="O351" s="122">
        <v>539</v>
      </c>
      <c r="P351" s="122">
        <v>351</v>
      </c>
      <c r="Q351">
        <v>130</v>
      </c>
      <c r="R351" s="122">
        <v>4160</v>
      </c>
      <c r="S351" s="122">
        <v>3782</v>
      </c>
      <c r="T351" s="122">
        <v>2182</v>
      </c>
      <c r="U351" s="122">
        <v>808</v>
      </c>
      <c r="V351" s="122">
        <v>41047</v>
      </c>
      <c r="W351" s="122">
        <f t="shared" si="10"/>
        <v>41047</v>
      </c>
      <c r="X351" s="122">
        <f t="shared" si="11"/>
        <v>47514</v>
      </c>
      <c r="Y351" s="122"/>
      <c r="AA351" t="s">
        <v>52</v>
      </c>
      <c r="AB351" t="s">
        <v>406</v>
      </c>
      <c r="AC351" t="s">
        <v>580</v>
      </c>
      <c r="AD351" t="s">
        <v>137</v>
      </c>
      <c r="AE351" t="s">
        <v>566</v>
      </c>
      <c r="AF351">
        <v>1</v>
      </c>
      <c r="AG351" s="122">
        <v>264</v>
      </c>
      <c r="AH351" s="122">
        <v>107</v>
      </c>
      <c r="AI351" s="122">
        <v>16855</v>
      </c>
      <c r="AJ351" s="122">
        <v>15323</v>
      </c>
      <c r="AK351">
        <v>95</v>
      </c>
      <c r="AL351" s="122">
        <v>2547</v>
      </c>
      <c r="AM351" s="122">
        <v>2315</v>
      </c>
      <c r="AN351" s="122">
        <v>3474</v>
      </c>
      <c r="AO351" s="122">
        <v>1287</v>
      </c>
      <c r="AP351" s="122">
        <v>621</v>
      </c>
      <c r="AQ351" s="122">
        <v>230</v>
      </c>
      <c r="AR351" s="122">
        <v>4672</v>
      </c>
      <c r="AS351" s="122">
        <v>1731</v>
      </c>
      <c r="AT351" s="122">
        <v>0</v>
      </c>
      <c r="AU351" s="122">
        <v>0</v>
      </c>
      <c r="AV351" s="122">
        <v>20886</v>
      </c>
    </row>
    <row r="352" spans="2:48" ht="12.75" hidden="1" customHeight="1">
      <c r="B352" t="s">
        <v>364</v>
      </c>
      <c r="C352" t="s">
        <v>64</v>
      </c>
      <c r="D352" t="s">
        <v>431</v>
      </c>
      <c r="E352" t="s">
        <v>137</v>
      </c>
      <c r="F352">
        <v>3</v>
      </c>
      <c r="G352" s="122">
        <v>233</v>
      </c>
      <c r="H352" s="122">
        <v>3016</v>
      </c>
      <c r="I352" s="122">
        <v>168048</v>
      </c>
      <c r="J352" s="122">
        <v>152771</v>
      </c>
      <c r="K352">
        <v>45</v>
      </c>
      <c r="L352" s="122">
        <v>33371</v>
      </c>
      <c r="M352" s="122">
        <v>12360</v>
      </c>
      <c r="N352" s="122">
        <v>5667</v>
      </c>
      <c r="O352" s="122">
        <v>2099</v>
      </c>
      <c r="P352" s="122">
        <v>0</v>
      </c>
      <c r="Q352" s="122">
        <v>0</v>
      </c>
      <c r="R352" s="122">
        <v>19029</v>
      </c>
      <c r="S352" s="122">
        <v>7048</v>
      </c>
      <c r="T352" s="122">
        <v>0</v>
      </c>
      <c r="U352" s="122">
        <v>0</v>
      </c>
      <c r="V352" s="122">
        <v>174277</v>
      </c>
      <c r="W352" s="122">
        <f t="shared" si="10"/>
        <v>174278</v>
      </c>
      <c r="X352" s="122">
        <f t="shared" si="11"/>
        <v>226115</v>
      </c>
      <c r="Y352" s="122"/>
      <c r="AA352" t="s">
        <v>52</v>
      </c>
      <c r="AB352" t="s">
        <v>406</v>
      </c>
      <c r="AC352" t="s">
        <v>580</v>
      </c>
      <c r="AD352" t="s">
        <v>406</v>
      </c>
      <c r="AE352" t="s">
        <v>137</v>
      </c>
      <c r="AF352">
        <v>23</v>
      </c>
      <c r="AG352" s="122">
        <v>5555</v>
      </c>
      <c r="AH352" s="122">
        <v>2723</v>
      </c>
      <c r="AI352" s="122">
        <v>402940</v>
      </c>
      <c r="AJ352" s="122">
        <v>366309</v>
      </c>
      <c r="AK352">
        <v>90</v>
      </c>
      <c r="AL352" s="122">
        <v>62815</v>
      </c>
      <c r="AM352" s="122">
        <v>57104</v>
      </c>
      <c r="AN352" s="122">
        <v>102224</v>
      </c>
      <c r="AO352" s="122">
        <v>37861</v>
      </c>
      <c r="AP352" s="122">
        <v>19151</v>
      </c>
      <c r="AQ352" s="122">
        <v>7093</v>
      </c>
      <c r="AR352" s="122">
        <v>109723</v>
      </c>
      <c r="AS352" s="122">
        <v>99749</v>
      </c>
      <c r="AT352" s="122">
        <v>9104</v>
      </c>
      <c r="AU352" s="122">
        <v>3372</v>
      </c>
      <c r="AV352" s="122">
        <v>571488</v>
      </c>
    </row>
    <row r="353" spans="2:48" ht="12.75" hidden="1" customHeight="1">
      <c r="B353" t="s">
        <v>364</v>
      </c>
      <c r="C353" t="s">
        <v>64</v>
      </c>
      <c r="D353" t="s">
        <v>431</v>
      </c>
      <c r="E353" t="s">
        <v>431</v>
      </c>
      <c r="F353">
        <v>20</v>
      </c>
      <c r="G353" s="122">
        <v>1833</v>
      </c>
      <c r="H353" s="122">
        <v>14167</v>
      </c>
      <c r="I353" s="122">
        <v>912289</v>
      </c>
      <c r="J353" s="122">
        <v>829353</v>
      </c>
      <c r="K353">
        <v>51</v>
      </c>
      <c r="L353" s="122">
        <v>150352</v>
      </c>
      <c r="M353" s="122">
        <v>109035</v>
      </c>
      <c r="N353" s="122">
        <v>39682</v>
      </c>
      <c r="O353" s="122">
        <v>14697</v>
      </c>
      <c r="P353" s="122">
        <v>5616</v>
      </c>
      <c r="Q353" s="122">
        <v>2080</v>
      </c>
      <c r="R353" s="122">
        <v>148793</v>
      </c>
      <c r="S353" s="122">
        <v>135267</v>
      </c>
      <c r="T353" s="122">
        <v>40279</v>
      </c>
      <c r="U353" s="122">
        <v>14918</v>
      </c>
      <c r="V353" s="122">
        <v>1105350</v>
      </c>
      <c r="W353" s="122">
        <f t="shared" si="10"/>
        <v>1105350</v>
      </c>
      <c r="X353" s="122">
        <f t="shared" si="11"/>
        <v>1297011</v>
      </c>
      <c r="Y353" s="122"/>
      <c r="AA353" t="s">
        <v>52</v>
      </c>
      <c r="AB353" t="s">
        <v>406</v>
      </c>
      <c r="AC353" t="s">
        <v>580</v>
      </c>
      <c r="AD353" t="s">
        <v>406</v>
      </c>
      <c r="AE353" t="s">
        <v>566</v>
      </c>
      <c r="AF353">
        <v>88</v>
      </c>
      <c r="AG353" s="122">
        <v>22738</v>
      </c>
      <c r="AH353" s="122">
        <v>10304</v>
      </c>
      <c r="AI353" s="122">
        <v>1609578</v>
      </c>
      <c r="AJ353" s="122">
        <v>1463253</v>
      </c>
      <c r="AK353">
        <v>92</v>
      </c>
      <c r="AL353" s="122">
        <v>247257</v>
      </c>
      <c r="AM353" s="122">
        <v>224779</v>
      </c>
      <c r="AN353" s="122">
        <v>391703</v>
      </c>
      <c r="AO353" s="122">
        <v>145075</v>
      </c>
      <c r="AP353" s="122">
        <v>72391</v>
      </c>
      <c r="AQ353" s="122">
        <v>26811</v>
      </c>
      <c r="AR353" s="122">
        <v>450772</v>
      </c>
      <c r="AS353" s="122">
        <v>409793</v>
      </c>
      <c r="AT353">
        <v>0</v>
      </c>
      <c r="AU353">
        <v>0</v>
      </c>
      <c r="AV353" s="122">
        <v>2269711</v>
      </c>
    </row>
    <row r="354" spans="2:48" ht="12.75" hidden="1" customHeight="1">
      <c r="B354" t="s">
        <v>364</v>
      </c>
      <c r="C354" t="s">
        <v>64</v>
      </c>
      <c r="D354" t="s">
        <v>426</v>
      </c>
      <c r="E354" t="s">
        <v>137</v>
      </c>
      <c r="F354">
        <v>83</v>
      </c>
      <c r="G354" s="122">
        <v>7061</v>
      </c>
      <c r="H354" s="122">
        <v>97181</v>
      </c>
      <c r="I354" s="122">
        <v>6534028</v>
      </c>
      <c r="J354" s="122">
        <v>5940025</v>
      </c>
      <c r="K354">
        <v>40</v>
      </c>
      <c r="L354" s="122">
        <v>521647</v>
      </c>
      <c r="M354" s="122">
        <v>300711</v>
      </c>
      <c r="N354" s="122">
        <v>161261</v>
      </c>
      <c r="O354" s="122">
        <v>59726</v>
      </c>
      <c r="P354" s="122">
        <v>2025</v>
      </c>
      <c r="Q354" s="122">
        <v>750</v>
      </c>
      <c r="R354" s="122">
        <v>524889</v>
      </c>
      <c r="S354" s="122">
        <v>194403</v>
      </c>
      <c r="T354" s="122">
        <v>2001</v>
      </c>
      <c r="U354">
        <v>741</v>
      </c>
      <c r="V354" s="122">
        <v>6496357</v>
      </c>
      <c r="W354" s="122">
        <f t="shared" si="10"/>
        <v>6496356</v>
      </c>
      <c r="X354" s="122">
        <f t="shared" si="11"/>
        <v>7745851</v>
      </c>
      <c r="Y354" s="122"/>
      <c r="AA354" t="s">
        <v>52</v>
      </c>
      <c r="AB354" t="s">
        <v>406</v>
      </c>
      <c r="AC354" t="s">
        <v>580</v>
      </c>
      <c r="AD354" t="s">
        <v>427</v>
      </c>
      <c r="AE354" t="s">
        <v>137</v>
      </c>
      <c r="AF354">
        <v>1</v>
      </c>
      <c r="AG354">
        <v>166</v>
      </c>
      <c r="AH354">
        <v>123</v>
      </c>
      <c r="AI354" s="122">
        <v>10168</v>
      </c>
      <c r="AJ354" s="122">
        <v>9244</v>
      </c>
      <c r="AK354">
        <v>93</v>
      </c>
      <c r="AL354" s="122">
        <v>3495</v>
      </c>
      <c r="AM354" s="122">
        <v>3177</v>
      </c>
      <c r="AN354" s="122">
        <v>2017</v>
      </c>
      <c r="AO354" s="122">
        <v>747</v>
      </c>
      <c r="AP354">
        <v>621</v>
      </c>
      <c r="AQ354">
        <v>230</v>
      </c>
      <c r="AR354" s="122">
        <v>4125</v>
      </c>
      <c r="AS354" s="122">
        <v>3750</v>
      </c>
      <c r="AT354">
        <v>0</v>
      </c>
      <c r="AU354">
        <v>0</v>
      </c>
      <c r="AV354" s="122">
        <v>17148</v>
      </c>
    </row>
    <row r="355" spans="2:48" ht="12.75" hidden="1" customHeight="1">
      <c r="B355" t="s">
        <v>364</v>
      </c>
      <c r="C355" t="s">
        <v>64</v>
      </c>
      <c r="D355" t="s">
        <v>426</v>
      </c>
      <c r="E355" t="s">
        <v>406</v>
      </c>
      <c r="F355">
        <v>2</v>
      </c>
      <c r="G355" s="122">
        <v>192</v>
      </c>
      <c r="H355" s="122">
        <v>2798</v>
      </c>
      <c r="I355" s="122">
        <v>207423</v>
      </c>
      <c r="J355" s="122">
        <v>188566</v>
      </c>
      <c r="K355">
        <v>30</v>
      </c>
      <c r="L355" s="122">
        <v>16971</v>
      </c>
      <c r="M355" s="122">
        <v>6286</v>
      </c>
      <c r="N355" s="122">
        <v>3810</v>
      </c>
      <c r="O355" s="122">
        <v>1411</v>
      </c>
      <c r="P355" s="122">
        <v>621</v>
      </c>
      <c r="Q355" s="122">
        <v>230</v>
      </c>
      <c r="R355" s="122">
        <v>7260</v>
      </c>
      <c r="S355" s="122">
        <v>6600</v>
      </c>
      <c r="T355" s="122">
        <v>3081</v>
      </c>
      <c r="U355" s="122">
        <v>1141</v>
      </c>
      <c r="V355" s="122">
        <v>204234</v>
      </c>
      <c r="W355" s="122">
        <f t="shared" si="10"/>
        <v>204234</v>
      </c>
      <c r="X355" s="122">
        <f t="shared" si="11"/>
        <v>239166</v>
      </c>
      <c r="Y355" s="122"/>
      <c r="AA355" t="s">
        <v>52</v>
      </c>
      <c r="AB355" t="s">
        <v>406</v>
      </c>
      <c r="AC355" t="s">
        <v>580</v>
      </c>
      <c r="AD355" t="s">
        <v>427</v>
      </c>
      <c r="AE355" t="s">
        <v>566</v>
      </c>
      <c r="AF355">
        <v>1</v>
      </c>
      <c r="AG355">
        <v>265</v>
      </c>
      <c r="AH355">
        <v>116</v>
      </c>
      <c r="AI355" s="122">
        <v>14312</v>
      </c>
      <c r="AJ355" s="122">
        <v>13010</v>
      </c>
      <c r="AK355">
        <v>93</v>
      </c>
      <c r="AL355" s="122">
        <v>4680</v>
      </c>
      <c r="AM355" s="122">
        <v>4255</v>
      </c>
      <c r="AN355" s="122">
        <v>4197</v>
      </c>
      <c r="AO355" s="122">
        <v>1555</v>
      </c>
      <c r="AP355" s="122">
        <v>972</v>
      </c>
      <c r="AQ355" s="122">
        <v>360</v>
      </c>
      <c r="AR355" s="122">
        <v>6598</v>
      </c>
      <c r="AS355" s="122">
        <v>5998</v>
      </c>
      <c r="AT355">
        <v>0</v>
      </c>
      <c r="AU355">
        <v>0</v>
      </c>
      <c r="AV355" s="122">
        <v>25178</v>
      </c>
    </row>
    <row r="356" spans="2:48" ht="12.75" hidden="1" customHeight="1">
      <c r="B356" t="s">
        <v>364</v>
      </c>
      <c r="C356" t="s">
        <v>64</v>
      </c>
      <c r="D356" t="s">
        <v>426</v>
      </c>
      <c r="E356" t="s">
        <v>426</v>
      </c>
      <c r="F356" s="122">
        <v>238</v>
      </c>
      <c r="G356" s="122">
        <v>21379</v>
      </c>
      <c r="H356" s="122">
        <v>173931</v>
      </c>
      <c r="I356" s="122">
        <v>11478874</v>
      </c>
      <c r="J356" s="122">
        <v>10435340</v>
      </c>
      <c r="K356">
        <v>53</v>
      </c>
      <c r="L356" s="122">
        <v>1562739</v>
      </c>
      <c r="M356" s="122">
        <v>1162020</v>
      </c>
      <c r="N356" s="122">
        <v>466653</v>
      </c>
      <c r="O356" s="122">
        <v>172834</v>
      </c>
      <c r="P356" s="122">
        <v>82863</v>
      </c>
      <c r="Q356" s="122">
        <v>30690</v>
      </c>
      <c r="R356" s="122">
        <v>1389354</v>
      </c>
      <c r="S356" s="122">
        <v>1263049</v>
      </c>
      <c r="T356" s="122">
        <v>465055</v>
      </c>
      <c r="U356" s="122">
        <v>172243</v>
      </c>
      <c r="V356" s="122">
        <v>13236176</v>
      </c>
      <c r="W356" s="122">
        <f t="shared" si="10"/>
        <v>13236176</v>
      </c>
      <c r="X356" s="122">
        <f t="shared" si="11"/>
        <v>15445538</v>
      </c>
      <c r="Y356" s="122"/>
      <c r="AA356" t="s">
        <v>52</v>
      </c>
      <c r="AB356" t="s">
        <v>406</v>
      </c>
      <c r="AC356" t="s">
        <v>580</v>
      </c>
      <c r="AD356" t="s">
        <v>426</v>
      </c>
      <c r="AE356" t="s">
        <v>137</v>
      </c>
      <c r="AF356">
        <v>3</v>
      </c>
      <c r="AG356">
        <v>501</v>
      </c>
      <c r="AH356">
        <v>345</v>
      </c>
      <c r="AI356" s="122">
        <v>25829</v>
      </c>
      <c r="AJ356" s="122">
        <v>23481</v>
      </c>
      <c r="AK356">
        <v>85</v>
      </c>
      <c r="AL356" s="122">
        <v>5935</v>
      </c>
      <c r="AM356" s="122">
        <v>5395</v>
      </c>
      <c r="AN356" s="122">
        <v>7616</v>
      </c>
      <c r="AO356" s="122">
        <v>2821</v>
      </c>
      <c r="AP356" s="122">
        <v>3267</v>
      </c>
      <c r="AQ356" s="122">
        <v>1210</v>
      </c>
      <c r="AR356" s="122">
        <v>14851</v>
      </c>
      <c r="AS356" s="122">
        <v>13500</v>
      </c>
      <c r="AT356">
        <v>0</v>
      </c>
      <c r="AU356">
        <v>0</v>
      </c>
      <c r="AV356" s="122">
        <v>46407</v>
      </c>
    </row>
    <row r="357" spans="2:48" ht="12.75" hidden="1" customHeight="1">
      <c r="B357" t="s">
        <v>364</v>
      </c>
      <c r="C357" t="s">
        <v>64</v>
      </c>
      <c r="D357" t="s">
        <v>433</v>
      </c>
      <c r="E357" t="s">
        <v>433</v>
      </c>
      <c r="F357">
        <v>4</v>
      </c>
      <c r="G357" s="122">
        <v>334</v>
      </c>
      <c r="H357" s="122">
        <v>2271</v>
      </c>
      <c r="I357" s="122">
        <v>163411</v>
      </c>
      <c r="J357" s="122">
        <v>148555</v>
      </c>
      <c r="K357">
        <v>58</v>
      </c>
      <c r="L357" s="122">
        <v>19384</v>
      </c>
      <c r="M357" s="122">
        <v>12195</v>
      </c>
      <c r="N357" s="122">
        <v>8442</v>
      </c>
      <c r="O357" s="122">
        <v>3127</v>
      </c>
      <c r="P357" s="122">
        <v>1674</v>
      </c>
      <c r="Q357" s="122">
        <v>620</v>
      </c>
      <c r="R357" s="122">
        <v>19243</v>
      </c>
      <c r="S357" s="122">
        <v>17493</v>
      </c>
      <c r="T357" s="122">
        <v>9437</v>
      </c>
      <c r="U357" s="122">
        <v>3495</v>
      </c>
      <c r="V357" s="122">
        <v>185486</v>
      </c>
      <c r="W357" s="122">
        <f t="shared" si="10"/>
        <v>185485</v>
      </c>
      <c r="X357" s="122">
        <f t="shared" si="11"/>
        <v>221591</v>
      </c>
      <c r="Y357" s="122"/>
      <c r="AA357" t="s">
        <v>52</v>
      </c>
      <c r="AB357" t="s">
        <v>406</v>
      </c>
      <c r="AC357" t="s">
        <v>427</v>
      </c>
      <c r="AD357" t="s">
        <v>137</v>
      </c>
      <c r="AE357" t="s">
        <v>566</v>
      </c>
      <c r="AF357">
        <v>2</v>
      </c>
      <c r="AG357" s="122">
        <v>399</v>
      </c>
      <c r="AH357" s="122">
        <v>226</v>
      </c>
      <c r="AI357" s="122">
        <v>27282</v>
      </c>
      <c r="AJ357" s="122">
        <v>24802</v>
      </c>
      <c r="AK357">
        <v>89</v>
      </c>
      <c r="AL357" s="122">
        <v>4148</v>
      </c>
      <c r="AM357" s="122">
        <v>3771</v>
      </c>
      <c r="AN357" s="122">
        <v>7825</v>
      </c>
      <c r="AO357" s="122">
        <v>2898</v>
      </c>
      <c r="AP357" s="122">
        <v>1242</v>
      </c>
      <c r="AQ357" s="122">
        <v>460</v>
      </c>
      <c r="AR357" s="122">
        <v>8667</v>
      </c>
      <c r="AS357" s="122">
        <v>3210</v>
      </c>
      <c r="AT357" s="122">
        <v>0</v>
      </c>
      <c r="AU357" s="122">
        <v>0</v>
      </c>
      <c r="AV357" s="122">
        <v>35141</v>
      </c>
    </row>
    <row r="358" spans="2:48" ht="12.75" hidden="1" customHeight="1">
      <c r="B358" t="s">
        <v>365</v>
      </c>
      <c r="C358" t="s">
        <v>48</v>
      </c>
      <c r="D358" t="s">
        <v>405</v>
      </c>
      <c r="E358" t="s">
        <v>405</v>
      </c>
      <c r="F358">
        <v>6</v>
      </c>
      <c r="G358" s="122">
        <v>1044</v>
      </c>
      <c r="H358" s="122">
        <v>352</v>
      </c>
      <c r="I358" s="122">
        <v>15572</v>
      </c>
      <c r="J358" s="122">
        <v>14156</v>
      </c>
      <c r="K358">
        <v>91</v>
      </c>
      <c r="L358" s="122">
        <v>1314</v>
      </c>
      <c r="M358" s="122">
        <v>3292</v>
      </c>
      <c r="N358" s="122">
        <v>14789</v>
      </c>
      <c r="O358" s="122">
        <v>5477</v>
      </c>
      <c r="P358" s="122">
        <v>7680</v>
      </c>
      <c r="Q358" s="122">
        <v>2844</v>
      </c>
      <c r="R358" s="122">
        <v>23326</v>
      </c>
      <c r="S358" s="122">
        <v>21206</v>
      </c>
      <c r="T358" s="122">
        <v>0</v>
      </c>
      <c r="U358" s="122">
        <v>0</v>
      </c>
      <c r="V358" s="122">
        <v>46976</v>
      </c>
      <c r="W358" s="122">
        <f t="shared" si="10"/>
        <v>46975</v>
      </c>
      <c r="X358" s="122">
        <f t="shared" si="11"/>
        <v>62681</v>
      </c>
      <c r="Y358" s="122"/>
      <c r="AA358" t="s">
        <v>52</v>
      </c>
      <c r="AB358" t="s">
        <v>406</v>
      </c>
      <c r="AC358" t="s">
        <v>427</v>
      </c>
      <c r="AD358" t="s">
        <v>406</v>
      </c>
      <c r="AE358" t="s">
        <v>137</v>
      </c>
      <c r="AF358">
        <v>64</v>
      </c>
      <c r="AG358" s="122">
        <v>14661</v>
      </c>
      <c r="AH358" s="122">
        <v>7420</v>
      </c>
      <c r="AI358" s="122">
        <v>942624</v>
      </c>
      <c r="AJ358" s="122">
        <v>856931</v>
      </c>
      <c r="AK358">
        <v>92</v>
      </c>
      <c r="AL358" s="122">
        <v>223290</v>
      </c>
      <c r="AM358" s="122">
        <v>202990</v>
      </c>
      <c r="AN358" s="122">
        <v>250225</v>
      </c>
      <c r="AO358" s="122">
        <v>92676</v>
      </c>
      <c r="AP358" s="122">
        <v>46252</v>
      </c>
      <c r="AQ358" s="122">
        <v>17131</v>
      </c>
      <c r="AR358" s="122">
        <v>290166</v>
      </c>
      <c r="AS358" s="122">
        <v>263787</v>
      </c>
      <c r="AT358" s="122">
        <v>54894</v>
      </c>
      <c r="AU358" s="122">
        <v>20331</v>
      </c>
      <c r="AV358" s="122">
        <v>1453846</v>
      </c>
    </row>
    <row r="359" spans="2:48" ht="12.75" hidden="1" customHeight="1">
      <c r="B359" t="s">
        <v>365</v>
      </c>
      <c r="C359" t="s">
        <v>48</v>
      </c>
      <c r="D359" t="s">
        <v>137</v>
      </c>
      <c r="E359" t="s">
        <v>405</v>
      </c>
      <c r="F359">
        <v>1</v>
      </c>
      <c r="G359">
        <v>449</v>
      </c>
      <c r="H359" s="122">
        <v>67</v>
      </c>
      <c r="I359" s="122">
        <v>8908</v>
      </c>
      <c r="J359" s="122">
        <v>3299</v>
      </c>
      <c r="K359">
        <v>322</v>
      </c>
      <c r="L359" s="122">
        <v>1621</v>
      </c>
      <c r="M359" s="122">
        <v>1474</v>
      </c>
      <c r="N359" s="122">
        <v>7653</v>
      </c>
      <c r="O359" s="122">
        <v>2834</v>
      </c>
      <c r="P359" s="122">
        <v>5665</v>
      </c>
      <c r="Q359" s="122">
        <v>2098</v>
      </c>
      <c r="R359" s="122">
        <v>6421</v>
      </c>
      <c r="S359" s="122">
        <v>5838</v>
      </c>
      <c r="T359" s="122">
        <v>0</v>
      </c>
      <c r="U359" s="122">
        <v>0</v>
      </c>
      <c r="V359" s="122">
        <v>15543</v>
      </c>
      <c r="W359" s="122">
        <f t="shared" si="10"/>
        <v>15543</v>
      </c>
      <c r="X359" s="122">
        <f t="shared" si="11"/>
        <v>30268</v>
      </c>
      <c r="Y359" s="122"/>
      <c r="AA359" t="s">
        <v>52</v>
      </c>
      <c r="AB359" t="s">
        <v>406</v>
      </c>
      <c r="AC359" t="s">
        <v>427</v>
      </c>
      <c r="AD359" t="s">
        <v>406</v>
      </c>
      <c r="AE359" t="s">
        <v>566</v>
      </c>
      <c r="AF359">
        <v>251</v>
      </c>
      <c r="AG359" s="122">
        <v>56891</v>
      </c>
      <c r="AH359" s="122">
        <v>29503</v>
      </c>
      <c r="AI359" s="122">
        <v>3805808</v>
      </c>
      <c r="AJ359" s="122">
        <v>3459826</v>
      </c>
      <c r="AK359">
        <v>92</v>
      </c>
      <c r="AL359" s="122">
        <v>811303</v>
      </c>
      <c r="AM359" s="122">
        <v>737548</v>
      </c>
      <c r="AN359" s="122">
        <v>1064835</v>
      </c>
      <c r="AO359" s="122">
        <v>394383</v>
      </c>
      <c r="AP359" s="122">
        <v>190561</v>
      </c>
      <c r="AQ359" s="122">
        <v>70578</v>
      </c>
      <c r="AR359" s="122">
        <v>1255376</v>
      </c>
      <c r="AS359" s="122">
        <v>1141251</v>
      </c>
      <c r="AT359">
        <v>0</v>
      </c>
      <c r="AU359">
        <v>0</v>
      </c>
      <c r="AV359" s="122">
        <v>5803586</v>
      </c>
    </row>
    <row r="360" spans="2:48" ht="12.75" hidden="1" customHeight="1">
      <c r="B360" t="s">
        <v>365</v>
      </c>
      <c r="C360" t="s">
        <v>48</v>
      </c>
      <c r="D360" t="s">
        <v>137</v>
      </c>
      <c r="E360" t="s">
        <v>137</v>
      </c>
      <c r="F360">
        <v>818</v>
      </c>
      <c r="G360" s="122">
        <v>169224</v>
      </c>
      <c r="H360" s="122">
        <v>44109</v>
      </c>
      <c r="I360" s="122">
        <v>927678</v>
      </c>
      <c r="J360" s="122">
        <v>343585</v>
      </c>
      <c r="K360">
        <v>460</v>
      </c>
      <c r="L360" s="122">
        <v>251882</v>
      </c>
      <c r="M360" s="122">
        <v>221657</v>
      </c>
      <c r="N360" s="122">
        <v>2258258</v>
      </c>
      <c r="O360" s="122">
        <v>836392</v>
      </c>
      <c r="P360" s="122">
        <v>1246964</v>
      </c>
      <c r="Q360" s="122">
        <v>461839</v>
      </c>
      <c r="R360" s="122">
        <v>4325056</v>
      </c>
      <c r="S360" s="122">
        <v>1601873</v>
      </c>
      <c r="T360" s="122">
        <v>3125</v>
      </c>
      <c r="U360" s="122">
        <v>1157</v>
      </c>
      <c r="V360" s="122">
        <v>3466503</v>
      </c>
      <c r="W360" s="122">
        <f t="shared" si="10"/>
        <v>3466503</v>
      </c>
      <c r="X360" s="122">
        <f t="shared" si="11"/>
        <v>9012963</v>
      </c>
      <c r="Y360" s="122"/>
      <c r="AA360" t="s">
        <v>52</v>
      </c>
      <c r="AB360" t="s">
        <v>406</v>
      </c>
      <c r="AC360" t="s">
        <v>427</v>
      </c>
      <c r="AD360" t="s">
        <v>427</v>
      </c>
      <c r="AE360" t="s">
        <v>137</v>
      </c>
      <c r="AF360">
        <v>1</v>
      </c>
      <c r="AG360">
        <v>250</v>
      </c>
      <c r="AH360">
        <v>114</v>
      </c>
      <c r="AI360" s="122">
        <v>14898</v>
      </c>
      <c r="AJ360" s="122">
        <v>13543</v>
      </c>
      <c r="AK360">
        <v>92</v>
      </c>
      <c r="AL360" s="122">
        <v>3059</v>
      </c>
      <c r="AM360" s="122">
        <v>2781</v>
      </c>
      <c r="AN360" s="122">
        <v>4569</v>
      </c>
      <c r="AO360" s="122">
        <v>1692</v>
      </c>
      <c r="AP360">
        <v>621</v>
      </c>
      <c r="AQ360">
        <v>230</v>
      </c>
      <c r="AR360" s="122">
        <v>5440</v>
      </c>
      <c r="AS360" s="122">
        <v>4945</v>
      </c>
      <c r="AT360" s="122">
        <v>0</v>
      </c>
      <c r="AU360" s="122">
        <v>0</v>
      </c>
      <c r="AV360" s="122">
        <v>23191</v>
      </c>
    </row>
    <row r="361" spans="2:48" ht="12.75" hidden="1" customHeight="1">
      <c r="B361" t="s">
        <v>365</v>
      </c>
      <c r="C361" t="s">
        <v>48</v>
      </c>
      <c r="D361" t="s">
        <v>137</v>
      </c>
      <c r="E361" t="s">
        <v>406</v>
      </c>
      <c r="F361">
        <v>1</v>
      </c>
      <c r="G361" s="122">
        <v>569</v>
      </c>
      <c r="H361" s="122">
        <v>75</v>
      </c>
      <c r="I361" s="122">
        <v>23420</v>
      </c>
      <c r="J361" s="122">
        <v>8674</v>
      </c>
      <c r="K361">
        <v>250</v>
      </c>
      <c r="L361" s="122">
        <v>4078</v>
      </c>
      <c r="M361" s="122">
        <v>3707</v>
      </c>
      <c r="N361" s="122">
        <v>6933</v>
      </c>
      <c r="O361" s="122">
        <v>2568</v>
      </c>
      <c r="P361" s="122">
        <v>5914</v>
      </c>
      <c r="Q361" s="122">
        <v>2190</v>
      </c>
      <c r="R361" s="122">
        <v>2166</v>
      </c>
      <c r="S361" s="122">
        <v>1969</v>
      </c>
      <c r="T361" s="122">
        <v>0</v>
      </c>
      <c r="U361" s="122">
        <v>0</v>
      </c>
      <c r="V361" s="122">
        <v>19108</v>
      </c>
      <c r="W361" s="122">
        <f t="shared" si="10"/>
        <v>19108</v>
      </c>
      <c r="X361" s="122">
        <f t="shared" si="11"/>
        <v>42511</v>
      </c>
      <c r="Y361" s="122"/>
      <c r="AA361" t="s">
        <v>52</v>
      </c>
      <c r="AB361" t="s">
        <v>406</v>
      </c>
      <c r="AC361" t="s">
        <v>427</v>
      </c>
      <c r="AD361" t="s">
        <v>407</v>
      </c>
      <c r="AE361" t="s">
        <v>137</v>
      </c>
      <c r="AF361">
        <v>1</v>
      </c>
      <c r="AG361">
        <v>386</v>
      </c>
      <c r="AH361">
        <v>123</v>
      </c>
      <c r="AI361" s="122">
        <v>29183</v>
      </c>
      <c r="AJ361" s="122">
        <v>26530</v>
      </c>
      <c r="AK361">
        <v>86</v>
      </c>
      <c r="AL361" s="122">
        <v>4061</v>
      </c>
      <c r="AM361" s="122">
        <v>3692</v>
      </c>
      <c r="AN361" s="122">
        <v>4703</v>
      </c>
      <c r="AO361" s="122">
        <v>1742</v>
      </c>
      <c r="AP361" s="122">
        <v>621</v>
      </c>
      <c r="AQ361">
        <v>230</v>
      </c>
      <c r="AR361" s="122">
        <v>4737</v>
      </c>
      <c r="AS361" s="122">
        <v>4306</v>
      </c>
      <c r="AT361" s="122">
        <v>4342</v>
      </c>
      <c r="AU361" s="122">
        <v>1608</v>
      </c>
      <c r="AV361" s="122">
        <v>38108</v>
      </c>
    </row>
    <row r="362" spans="2:48" ht="12.75" hidden="1" customHeight="1">
      <c r="B362" t="s">
        <v>365</v>
      </c>
      <c r="C362" t="s">
        <v>48</v>
      </c>
      <c r="D362" t="s">
        <v>137</v>
      </c>
      <c r="E362" t="s">
        <v>407</v>
      </c>
      <c r="F362">
        <v>8</v>
      </c>
      <c r="G362" s="122">
        <v>1651</v>
      </c>
      <c r="H362" s="122">
        <v>403</v>
      </c>
      <c r="I362" s="122">
        <v>17179</v>
      </c>
      <c r="J362" s="122">
        <v>6363</v>
      </c>
      <c r="K362">
        <v>422</v>
      </c>
      <c r="L362" s="122">
        <v>3160</v>
      </c>
      <c r="M362" s="122">
        <v>2698</v>
      </c>
      <c r="N362" s="122">
        <v>20114</v>
      </c>
      <c r="O362" s="122">
        <v>7450</v>
      </c>
      <c r="P362" s="122">
        <v>15985</v>
      </c>
      <c r="Q362" s="122">
        <v>5920</v>
      </c>
      <c r="R362" s="122">
        <v>25917</v>
      </c>
      <c r="S362" s="122">
        <v>23561</v>
      </c>
      <c r="T362" s="122">
        <v>0</v>
      </c>
      <c r="U362" s="122">
        <v>0</v>
      </c>
      <c r="V362" s="122">
        <v>45991</v>
      </c>
      <c r="W362" s="122">
        <f t="shared" si="10"/>
        <v>45992</v>
      </c>
      <c r="X362" s="122">
        <f t="shared" si="11"/>
        <v>82355</v>
      </c>
      <c r="Y362" s="122"/>
      <c r="AA362" t="s">
        <v>52</v>
      </c>
      <c r="AB362" t="s">
        <v>406</v>
      </c>
      <c r="AC362" t="s">
        <v>407</v>
      </c>
      <c r="AD362" t="s">
        <v>406</v>
      </c>
      <c r="AE362" t="s">
        <v>137</v>
      </c>
      <c r="AF362">
        <v>3</v>
      </c>
      <c r="AG362" s="122">
        <v>945</v>
      </c>
      <c r="AH362" s="122">
        <v>346</v>
      </c>
      <c r="AI362" s="122">
        <v>60187</v>
      </c>
      <c r="AJ362" s="122">
        <v>54715</v>
      </c>
      <c r="AK362">
        <v>93</v>
      </c>
      <c r="AL362" s="122">
        <v>8919</v>
      </c>
      <c r="AM362" s="122">
        <v>8108</v>
      </c>
      <c r="AN362" s="122">
        <v>19311</v>
      </c>
      <c r="AO362" s="122">
        <v>7152</v>
      </c>
      <c r="AP362" s="122">
        <v>1863</v>
      </c>
      <c r="AQ362" s="122">
        <v>690</v>
      </c>
      <c r="AR362" s="122">
        <v>18133</v>
      </c>
      <c r="AS362" s="122">
        <v>16485</v>
      </c>
      <c r="AT362">
        <v>0</v>
      </c>
      <c r="AU362">
        <v>0</v>
      </c>
      <c r="AV362" s="122">
        <v>87150</v>
      </c>
    </row>
    <row r="363" spans="2:48" ht="12.75" hidden="1" customHeight="1">
      <c r="B363" t="s">
        <v>365</v>
      </c>
      <c r="C363" t="s">
        <v>48</v>
      </c>
      <c r="D363" t="s">
        <v>430</v>
      </c>
      <c r="E363" t="s">
        <v>430</v>
      </c>
      <c r="F363">
        <v>1</v>
      </c>
      <c r="G363" s="122">
        <v>150</v>
      </c>
      <c r="H363" s="122">
        <v>74</v>
      </c>
      <c r="I363" s="122">
        <v>3203</v>
      </c>
      <c r="J363" s="122">
        <v>1186</v>
      </c>
      <c r="K363">
        <v>320</v>
      </c>
      <c r="L363" s="122">
        <v>580</v>
      </c>
      <c r="M363" s="122">
        <v>527</v>
      </c>
      <c r="N363" s="122">
        <v>1833</v>
      </c>
      <c r="O363" s="122">
        <v>679</v>
      </c>
      <c r="P363" s="122">
        <v>1625</v>
      </c>
      <c r="Q363" s="122">
        <v>602</v>
      </c>
      <c r="R363" s="122">
        <v>3851</v>
      </c>
      <c r="S363" s="122">
        <v>1426</v>
      </c>
      <c r="T363" s="122">
        <v>0</v>
      </c>
      <c r="U363" s="122">
        <v>0</v>
      </c>
      <c r="V363" s="122">
        <v>4421</v>
      </c>
      <c r="W363" s="122">
        <f t="shared" si="10"/>
        <v>4420</v>
      </c>
      <c r="X363" s="122">
        <f t="shared" si="11"/>
        <v>11092</v>
      </c>
      <c r="Y363" s="122"/>
      <c r="AA363" t="s">
        <v>52</v>
      </c>
      <c r="AB363" t="s">
        <v>406</v>
      </c>
      <c r="AC363" t="s">
        <v>407</v>
      </c>
      <c r="AD363" t="s">
        <v>406</v>
      </c>
      <c r="AE363" t="s">
        <v>566</v>
      </c>
      <c r="AF363">
        <v>9</v>
      </c>
      <c r="AG363" s="122">
        <v>2156</v>
      </c>
      <c r="AH363" s="122">
        <v>1078</v>
      </c>
      <c r="AI363" s="122">
        <v>158234</v>
      </c>
      <c r="AJ363" s="122">
        <v>143849</v>
      </c>
      <c r="AK363">
        <v>87</v>
      </c>
      <c r="AL363" s="122">
        <v>22701</v>
      </c>
      <c r="AM363" s="122">
        <v>20638</v>
      </c>
      <c r="AN363" s="122">
        <v>39620</v>
      </c>
      <c r="AO363" s="122">
        <v>14674</v>
      </c>
      <c r="AP363" s="122">
        <v>5589</v>
      </c>
      <c r="AQ363" s="122">
        <v>2070</v>
      </c>
      <c r="AR363" s="122">
        <v>51221</v>
      </c>
      <c r="AS363" s="122">
        <v>46564</v>
      </c>
      <c r="AT363">
        <v>0</v>
      </c>
      <c r="AU363">
        <v>0</v>
      </c>
      <c r="AV363" s="122">
        <v>227795</v>
      </c>
    </row>
    <row r="364" spans="2:48" ht="12.75" hidden="1" customHeight="1">
      <c r="B364" t="s">
        <v>365</v>
      </c>
      <c r="C364" t="s">
        <v>48</v>
      </c>
      <c r="D364" t="s">
        <v>406</v>
      </c>
      <c r="E364" t="s">
        <v>425</v>
      </c>
      <c r="F364">
        <v>1</v>
      </c>
      <c r="G364" s="122">
        <v>150</v>
      </c>
      <c r="H364" s="122">
        <v>71</v>
      </c>
      <c r="I364" s="122">
        <v>3806</v>
      </c>
      <c r="J364" s="122">
        <v>3460</v>
      </c>
      <c r="K364">
        <v>93</v>
      </c>
      <c r="L364" s="122">
        <v>627</v>
      </c>
      <c r="M364" s="122">
        <v>570</v>
      </c>
      <c r="N364" s="122">
        <v>1831</v>
      </c>
      <c r="O364" s="122">
        <v>678</v>
      </c>
      <c r="P364" s="122">
        <v>1901</v>
      </c>
      <c r="Q364" s="122">
        <v>704</v>
      </c>
      <c r="R364" s="122">
        <v>2507</v>
      </c>
      <c r="S364" s="122">
        <v>2279</v>
      </c>
      <c r="T364" s="122">
        <v>0</v>
      </c>
      <c r="U364" s="122">
        <v>0</v>
      </c>
      <c r="V364" s="122">
        <v>7692</v>
      </c>
      <c r="W364" s="122">
        <f t="shared" si="10"/>
        <v>7691</v>
      </c>
      <c r="X364" s="122">
        <f t="shared" si="11"/>
        <v>10672</v>
      </c>
      <c r="Y364" s="122"/>
      <c r="AA364" t="s">
        <v>52</v>
      </c>
      <c r="AB364" t="s">
        <v>406</v>
      </c>
      <c r="AC364" t="s">
        <v>579</v>
      </c>
      <c r="AD364" t="s">
        <v>137</v>
      </c>
      <c r="AE364" t="s">
        <v>566</v>
      </c>
      <c r="AF364">
        <v>4</v>
      </c>
      <c r="AG364" s="122">
        <v>882</v>
      </c>
      <c r="AH364" s="122">
        <v>487</v>
      </c>
      <c r="AI364" s="122">
        <v>50833</v>
      </c>
      <c r="AJ364" s="122">
        <v>46212</v>
      </c>
      <c r="AK364">
        <v>92</v>
      </c>
      <c r="AL364" s="122">
        <v>11730</v>
      </c>
      <c r="AM364" s="122">
        <v>9775</v>
      </c>
      <c r="AN364" s="122">
        <v>12274</v>
      </c>
      <c r="AO364" s="122">
        <v>4546</v>
      </c>
      <c r="AP364" s="122">
        <v>5152</v>
      </c>
      <c r="AQ364" s="122">
        <v>1908</v>
      </c>
      <c r="AR364" s="122">
        <v>27811</v>
      </c>
      <c r="AS364" s="122">
        <v>10300</v>
      </c>
      <c r="AT364" s="122">
        <v>0</v>
      </c>
      <c r="AU364" s="122">
        <v>0</v>
      </c>
      <c r="AV364" s="122">
        <v>72741</v>
      </c>
    </row>
    <row r="365" spans="2:48" ht="12.75" hidden="1" customHeight="1">
      <c r="B365" t="s">
        <v>365</v>
      </c>
      <c r="C365" t="s">
        <v>48</v>
      </c>
      <c r="D365" t="s">
        <v>406</v>
      </c>
      <c r="E365" t="s">
        <v>137</v>
      </c>
      <c r="F365">
        <v>2</v>
      </c>
      <c r="G365" s="122">
        <v>480</v>
      </c>
      <c r="H365" s="122">
        <v>136</v>
      </c>
      <c r="I365" s="122">
        <v>12235</v>
      </c>
      <c r="J365" s="122">
        <v>11123</v>
      </c>
      <c r="K365">
        <v>94</v>
      </c>
      <c r="L365" s="122">
        <v>2134</v>
      </c>
      <c r="M365" s="122">
        <v>1940</v>
      </c>
      <c r="N365" s="122">
        <v>5852</v>
      </c>
      <c r="O365" s="122">
        <v>2168</v>
      </c>
      <c r="P365" s="122">
        <v>1242</v>
      </c>
      <c r="Q365" s="122">
        <v>460</v>
      </c>
      <c r="R365" s="122">
        <v>11723</v>
      </c>
      <c r="S365" s="122">
        <v>4342</v>
      </c>
      <c r="T365" s="122">
        <v>0</v>
      </c>
      <c r="U365" s="122">
        <v>0</v>
      </c>
      <c r="V365" s="122">
        <v>20033</v>
      </c>
      <c r="W365" s="122">
        <f t="shared" si="10"/>
        <v>20033</v>
      </c>
      <c r="X365" s="122">
        <f t="shared" si="11"/>
        <v>33186</v>
      </c>
      <c r="Y365" s="122"/>
      <c r="AA365" t="s">
        <v>52</v>
      </c>
      <c r="AB365" t="s">
        <v>406</v>
      </c>
      <c r="AC365" t="s">
        <v>579</v>
      </c>
      <c r="AD365" t="s">
        <v>406</v>
      </c>
      <c r="AE365" t="s">
        <v>137</v>
      </c>
      <c r="AF365">
        <v>47</v>
      </c>
      <c r="AG365" s="122">
        <v>10421</v>
      </c>
      <c r="AH365" s="122">
        <v>5409</v>
      </c>
      <c r="AI365" s="122">
        <v>711785</v>
      </c>
      <c r="AJ365" s="122">
        <v>647078</v>
      </c>
      <c r="AK365">
        <v>92</v>
      </c>
      <c r="AL365" s="122">
        <v>133750</v>
      </c>
      <c r="AM365" s="122">
        <v>111458</v>
      </c>
      <c r="AN365" s="122">
        <v>170979</v>
      </c>
      <c r="AO365" s="122">
        <v>63326</v>
      </c>
      <c r="AP365" s="122">
        <v>34230</v>
      </c>
      <c r="AQ365" s="122">
        <v>12678</v>
      </c>
      <c r="AR365" s="122">
        <v>249889</v>
      </c>
      <c r="AS365" s="122">
        <v>227172</v>
      </c>
      <c r="AT365" s="122">
        <v>28557</v>
      </c>
      <c r="AU365" s="122">
        <v>10577</v>
      </c>
      <c r="AV365" s="122">
        <v>1072288</v>
      </c>
    </row>
    <row r="366" spans="2:48" ht="12.75" hidden="1" customHeight="1">
      <c r="B366" t="s">
        <v>365</v>
      </c>
      <c r="C366" t="s">
        <v>48</v>
      </c>
      <c r="D366" t="s">
        <v>406</v>
      </c>
      <c r="E366" t="s">
        <v>406</v>
      </c>
      <c r="F366" s="122">
        <v>253</v>
      </c>
      <c r="G366" s="122">
        <v>52214</v>
      </c>
      <c r="H366" s="122">
        <v>15492</v>
      </c>
      <c r="I366" s="122">
        <v>1209822</v>
      </c>
      <c r="J366" s="122">
        <v>1099838</v>
      </c>
      <c r="K366">
        <v>95</v>
      </c>
      <c r="L366" s="122">
        <v>181229</v>
      </c>
      <c r="M366" s="122">
        <v>163859</v>
      </c>
      <c r="N366" s="122">
        <v>661481</v>
      </c>
      <c r="O366" s="122">
        <v>244993</v>
      </c>
      <c r="P366" s="122">
        <v>281554</v>
      </c>
      <c r="Q366" s="122">
        <v>104279</v>
      </c>
      <c r="R366" s="122">
        <v>901784</v>
      </c>
      <c r="S366" s="122">
        <v>819804</v>
      </c>
      <c r="T366" s="122">
        <v>0</v>
      </c>
      <c r="U366" s="122">
        <v>0</v>
      </c>
      <c r="V366" s="122">
        <v>2432773</v>
      </c>
      <c r="W366" s="122">
        <f t="shared" si="10"/>
        <v>2432773</v>
      </c>
      <c r="X366" s="122">
        <f t="shared" si="11"/>
        <v>3235870</v>
      </c>
      <c r="Y366" s="122"/>
      <c r="AA366" t="s">
        <v>52</v>
      </c>
      <c r="AB366" t="s">
        <v>406</v>
      </c>
      <c r="AC366" t="s">
        <v>579</v>
      </c>
      <c r="AD366" t="s">
        <v>406</v>
      </c>
      <c r="AE366" t="s">
        <v>566</v>
      </c>
      <c r="AF366">
        <v>245</v>
      </c>
      <c r="AG366" s="122">
        <v>57316</v>
      </c>
      <c r="AH366" s="122">
        <v>28523</v>
      </c>
      <c r="AI366" s="122">
        <v>3908738</v>
      </c>
      <c r="AJ366" s="122">
        <v>3553398</v>
      </c>
      <c r="AK366">
        <v>93</v>
      </c>
      <c r="AL366" s="122">
        <v>802088</v>
      </c>
      <c r="AM366" s="122">
        <v>668407</v>
      </c>
      <c r="AN366" s="122">
        <v>1004981</v>
      </c>
      <c r="AO366" s="122">
        <v>372215</v>
      </c>
      <c r="AP366" s="122">
        <v>197133</v>
      </c>
      <c r="AQ366" s="122">
        <v>73012</v>
      </c>
      <c r="AR366" s="122">
        <v>1291011</v>
      </c>
      <c r="AS366" s="122">
        <v>1173646</v>
      </c>
      <c r="AT366">
        <v>0</v>
      </c>
      <c r="AU366">
        <v>0</v>
      </c>
      <c r="AV366" s="122">
        <v>5840678</v>
      </c>
    </row>
    <row r="367" spans="2:48" ht="12.75" hidden="1" customHeight="1">
      <c r="B367" t="s">
        <v>365</v>
      </c>
      <c r="C367" t="s">
        <v>48</v>
      </c>
      <c r="D367" t="s">
        <v>407</v>
      </c>
      <c r="E367" t="s">
        <v>407</v>
      </c>
      <c r="F367">
        <v>333</v>
      </c>
      <c r="G367" s="122">
        <v>58910</v>
      </c>
      <c r="H367" s="122">
        <v>19736</v>
      </c>
      <c r="I367" s="122">
        <v>1135627</v>
      </c>
      <c r="J367" s="122">
        <v>1032388</v>
      </c>
      <c r="K367">
        <v>91</v>
      </c>
      <c r="L367" s="122">
        <v>193724</v>
      </c>
      <c r="M367" s="122">
        <v>168211</v>
      </c>
      <c r="N367" s="122">
        <v>737922</v>
      </c>
      <c r="O367" s="122">
        <v>273304</v>
      </c>
      <c r="P367" s="122">
        <v>437782</v>
      </c>
      <c r="Q367" s="122">
        <v>162142</v>
      </c>
      <c r="R367" s="122">
        <v>972325</v>
      </c>
      <c r="S367" s="122">
        <v>883931</v>
      </c>
      <c r="T367" s="122">
        <v>2340</v>
      </c>
      <c r="U367">
        <v>867</v>
      </c>
      <c r="V367" s="122">
        <v>2520843</v>
      </c>
      <c r="W367" s="122">
        <f t="shared" si="10"/>
        <v>2520843</v>
      </c>
      <c r="X367" s="122">
        <f t="shared" si="11"/>
        <v>3479720</v>
      </c>
      <c r="Y367" s="122"/>
      <c r="AA367" t="s">
        <v>52</v>
      </c>
      <c r="AB367" t="s">
        <v>406</v>
      </c>
      <c r="AC367" t="s">
        <v>579</v>
      </c>
      <c r="AD367" t="s">
        <v>427</v>
      </c>
      <c r="AE367" t="s">
        <v>137</v>
      </c>
      <c r="AF367">
        <v>1</v>
      </c>
      <c r="AG367">
        <v>311</v>
      </c>
      <c r="AH367">
        <v>117</v>
      </c>
      <c r="AI367" s="122">
        <v>22290</v>
      </c>
      <c r="AJ367" s="122">
        <v>20263</v>
      </c>
      <c r="AK367">
        <v>86</v>
      </c>
      <c r="AL367" s="122">
        <v>3172</v>
      </c>
      <c r="AM367" s="122">
        <v>2643</v>
      </c>
      <c r="AN367" s="122">
        <v>5676</v>
      </c>
      <c r="AO367" s="122">
        <v>2102</v>
      </c>
      <c r="AP367" s="122">
        <v>621</v>
      </c>
      <c r="AQ367">
        <v>230</v>
      </c>
      <c r="AR367" s="122">
        <v>4589</v>
      </c>
      <c r="AS367" s="122">
        <v>4172</v>
      </c>
      <c r="AT367">
        <v>0</v>
      </c>
      <c r="AU367">
        <v>0</v>
      </c>
      <c r="AV367" s="122">
        <v>29411</v>
      </c>
    </row>
    <row r="368" spans="2:48" ht="12.75" hidden="1" customHeight="1">
      <c r="B368" t="s">
        <v>365</v>
      </c>
      <c r="C368" t="s">
        <v>48</v>
      </c>
      <c r="D368" t="s">
        <v>433</v>
      </c>
      <c r="E368" t="s">
        <v>433</v>
      </c>
      <c r="F368">
        <v>2</v>
      </c>
      <c r="G368" s="122">
        <v>642</v>
      </c>
      <c r="H368" s="122">
        <v>93</v>
      </c>
      <c r="I368" s="122">
        <v>4005</v>
      </c>
      <c r="J368" s="122">
        <v>3641</v>
      </c>
      <c r="K368">
        <v>81</v>
      </c>
      <c r="L368" s="122">
        <v>1178</v>
      </c>
      <c r="M368" s="122">
        <v>1071</v>
      </c>
      <c r="N368" s="122">
        <v>7825</v>
      </c>
      <c r="O368" s="122">
        <v>2898</v>
      </c>
      <c r="P368" s="122">
        <v>6820</v>
      </c>
      <c r="Q368" s="122">
        <v>2526</v>
      </c>
      <c r="R368" s="122">
        <v>9961</v>
      </c>
      <c r="S368" s="122">
        <v>9056</v>
      </c>
      <c r="T368" s="122">
        <v>0</v>
      </c>
      <c r="U368" s="122">
        <v>0</v>
      </c>
      <c r="V368" s="122">
        <v>19192</v>
      </c>
      <c r="W368" s="122">
        <f t="shared" si="10"/>
        <v>19192</v>
      </c>
      <c r="X368" s="122">
        <f t="shared" si="11"/>
        <v>29789</v>
      </c>
      <c r="Y368" s="122"/>
      <c r="AA368" t="s">
        <v>52</v>
      </c>
      <c r="AB368" t="s">
        <v>406</v>
      </c>
      <c r="AC368" t="s">
        <v>428</v>
      </c>
      <c r="AD368" t="s">
        <v>406</v>
      </c>
      <c r="AE368" t="s">
        <v>137</v>
      </c>
      <c r="AF368">
        <v>2</v>
      </c>
      <c r="AG368" s="122">
        <v>453</v>
      </c>
      <c r="AH368" s="122">
        <v>248</v>
      </c>
      <c r="AI368" s="122">
        <v>35835</v>
      </c>
      <c r="AJ368" s="122">
        <v>32578</v>
      </c>
      <c r="AK368">
        <v>96</v>
      </c>
      <c r="AL368" s="122">
        <v>8674</v>
      </c>
      <c r="AM368" s="122">
        <v>7885</v>
      </c>
      <c r="AN368" s="122">
        <v>10293</v>
      </c>
      <c r="AO368" s="122">
        <v>3812</v>
      </c>
      <c r="AP368" s="122">
        <v>1242</v>
      </c>
      <c r="AQ368" s="122">
        <v>460</v>
      </c>
      <c r="AR368" s="122">
        <v>10627</v>
      </c>
      <c r="AS368" s="122">
        <v>9661</v>
      </c>
      <c r="AT368">
        <v>0</v>
      </c>
      <c r="AU368">
        <v>0</v>
      </c>
      <c r="AV368" s="122">
        <v>54396</v>
      </c>
    </row>
    <row r="369" spans="2:48" ht="12.75" hidden="1" customHeight="1">
      <c r="B369" t="s">
        <v>365</v>
      </c>
      <c r="C369" t="s">
        <v>48</v>
      </c>
      <c r="D369" t="s">
        <v>408</v>
      </c>
      <c r="E369" t="s">
        <v>137</v>
      </c>
      <c r="F369">
        <v>1</v>
      </c>
      <c r="G369">
        <v>205</v>
      </c>
      <c r="H369" s="122">
        <v>69</v>
      </c>
      <c r="I369" s="122">
        <v>3292</v>
      </c>
      <c r="J369" s="122">
        <v>2993</v>
      </c>
      <c r="K369">
        <v>85</v>
      </c>
      <c r="L369" s="122">
        <v>0</v>
      </c>
      <c r="M369" s="122">
        <v>0</v>
      </c>
      <c r="N369" s="122">
        <v>3169</v>
      </c>
      <c r="O369" s="122">
        <v>1174</v>
      </c>
      <c r="P369" s="122">
        <v>2173</v>
      </c>
      <c r="Q369">
        <v>805</v>
      </c>
      <c r="R369" s="122">
        <v>5573</v>
      </c>
      <c r="S369" s="122">
        <v>2064</v>
      </c>
      <c r="T369" s="122">
        <v>0</v>
      </c>
      <c r="U369" s="122">
        <v>0</v>
      </c>
      <c r="V369" s="122">
        <v>7036</v>
      </c>
      <c r="W369" s="122">
        <f t="shared" si="10"/>
        <v>7036</v>
      </c>
      <c r="X369" s="122">
        <f t="shared" si="11"/>
        <v>14207</v>
      </c>
      <c r="Y369" s="122"/>
      <c r="AA369" t="s">
        <v>52</v>
      </c>
      <c r="AB369" t="s">
        <v>406</v>
      </c>
      <c r="AC369" t="s">
        <v>428</v>
      </c>
      <c r="AD369" t="s">
        <v>406</v>
      </c>
      <c r="AE369" t="s">
        <v>566</v>
      </c>
      <c r="AF369">
        <v>12</v>
      </c>
      <c r="AG369" s="122">
        <v>2429</v>
      </c>
      <c r="AH369" s="122">
        <v>1416</v>
      </c>
      <c r="AI369" s="122">
        <v>165476</v>
      </c>
      <c r="AJ369" s="122">
        <v>150433</v>
      </c>
      <c r="AK369">
        <v>92</v>
      </c>
      <c r="AL369" s="122">
        <v>26653</v>
      </c>
      <c r="AM369" s="122">
        <v>24230</v>
      </c>
      <c r="AN369" s="122">
        <v>40118</v>
      </c>
      <c r="AO369" s="122">
        <v>14858</v>
      </c>
      <c r="AP369" s="122">
        <v>8235</v>
      </c>
      <c r="AQ369" s="122">
        <v>3050</v>
      </c>
      <c r="AR369" s="122">
        <v>53584</v>
      </c>
      <c r="AS369" s="122">
        <v>48712</v>
      </c>
      <c r="AT369">
        <v>0</v>
      </c>
      <c r="AU369">
        <v>0</v>
      </c>
      <c r="AV369" s="122">
        <v>241283</v>
      </c>
    </row>
    <row r="370" spans="2:48" ht="12.75" hidden="1" customHeight="1">
      <c r="B370" t="s">
        <v>365</v>
      </c>
      <c r="C370" t="s">
        <v>48</v>
      </c>
      <c r="D370" t="s">
        <v>408</v>
      </c>
      <c r="E370" t="s">
        <v>408</v>
      </c>
      <c r="F370">
        <v>9</v>
      </c>
      <c r="G370" s="122">
        <v>1399</v>
      </c>
      <c r="H370" s="122">
        <v>663</v>
      </c>
      <c r="I370" s="122">
        <v>44873</v>
      </c>
      <c r="J370" s="122">
        <v>40794</v>
      </c>
      <c r="K370">
        <v>91</v>
      </c>
      <c r="L370" s="122">
        <v>555</v>
      </c>
      <c r="M370" s="122">
        <v>505</v>
      </c>
      <c r="N370" s="122">
        <v>17042</v>
      </c>
      <c r="O370" s="122">
        <v>6312</v>
      </c>
      <c r="P370" s="122">
        <v>19956</v>
      </c>
      <c r="Q370" s="122">
        <v>7391</v>
      </c>
      <c r="R370" s="122">
        <v>20689</v>
      </c>
      <c r="S370" s="122">
        <v>18808</v>
      </c>
      <c r="T370" s="122">
        <v>0</v>
      </c>
      <c r="U370" s="122">
        <v>0</v>
      </c>
      <c r="V370" s="122">
        <v>73809</v>
      </c>
      <c r="W370" s="122">
        <f t="shared" si="10"/>
        <v>73810</v>
      </c>
      <c r="X370" s="122">
        <f t="shared" si="11"/>
        <v>103115</v>
      </c>
      <c r="Y370" s="122"/>
      <c r="AA370" t="s">
        <v>52</v>
      </c>
      <c r="AB370" t="s">
        <v>406</v>
      </c>
      <c r="AC370" t="s">
        <v>431</v>
      </c>
      <c r="AD370" t="s">
        <v>406</v>
      </c>
      <c r="AE370" t="s">
        <v>137</v>
      </c>
      <c r="AF370">
        <v>6</v>
      </c>
      <c r="AG370" s="122">
        <v>1251</v>
      </c>
      <c r="AH370" s="122">
        <v>739</v>
      </c>
      <c r="AI370" s="122">
        <v>98678</v>
      </c>
      <c r="AJ370" s="122">
        <v>89707</v>
      </c>
      <c r="AK370">
        <v>92</v>
      </c>
      <c r="AL370" s="122">
        <v>19063</v>
      </c>
      <c r="AM370" s="122">
        <v>17330</v>
      </c>
      <c r="AN370" s="122">
        <v>22895</v>
      </c>
      <c r="AO370" s="122">
        <v>8480</v>
      </c>
      <c r="AP370" s="122">
        <v>5129</v>
      </c>
      <c r="AQ370" s="122">
        <v>1900</v>
      </c>
      <c r="AR370" s="122">
        <v>34725</v>
      </c>
      <c r="AS370" s="122">
        <v>31568</v>
      </c>
      <c r="AT370">
        <v>0</v>
      </c>
      <c r="AU370">
        <v>0</v>
      </c>
      <c r="AV370" s="122">
        <v>148985</v>
      </c>
    </row>
    <row r="371" spans="2:48" ht="12.75" hidden="1" customHeight="1">
      <c r="B371" t="s">
        <v>365</v>
      </c>
      <c r="C371" t="s">
        <v>48</v>
      </c>
      <c r="D371" t="s">
        <v>429</v>
      </c>
      <c r="E371" t="s">
        <v>429</v>
      </c>
      <c r="F371">
        <v>1</v>
      </c>
      <c r="G371">
        <v>102</v>
      </c>
      <c r="H371" s="122">
        <v>75</v>
      </c>
      <c r="I371" s="122">
        <v>4392</v>
      </c>
      <c r="J371" s="122">
        <v>3992</v>
      </c>
      <c r="K371">
        <v>92</v>
      </c>
      <c r="L371" s="122">
        <v>0</v>
      </c>
      <c r="M371" s="122">
        <v>0</v>
      </c>
      <c r="N371" s="122">
        <v>1245</v>
      </c>
      <c r="O371" s="122">
        <v>461</v>
      </c>
      <c r="P371" s="122">
        <v>351</v>
      </c>
      <c r="Q371" s="122">
        <v>130</v>
      </c>
      <c r="R371" s="122">
        <v>1649</v>
      </c>
      <c r="S371" s="122">
        <v>1499</v>
      </c>
      <c r="T371">
        <v>0</v>
      </c>
      <c r="U371">
        <v>0</v>
      </c>
      <c r="V371" s="122">
        <v>6082</v>
      </c>
      <c r="W371" s="122">
        <f t="shared" si="10"/>
        <v>6082</v>
      </c>
      <c r="X371" s="122">
        <f t="shared" si="11"/>
        <v>7637</v>
      </c>
      <c r="Y371" s="122"/>
      <c r="AA371" t="s">
        <v>52</v>
      </c>
      <c r="AB371" t="s">
        <v>406</v>
      </c>
      <c r="AC371" t="s">
        <v>431</v>
      </c>
      <c r="AD371" t="s">
        <v>406</v>
      </c>
      <c r="AE371" t="s">
        <v>566</v>
      </c>
      <c r="AF371">
        <v>22</v>
      </c>
      <c r="AG371" s="122">
        <v>5104</v>
      </c>
      <c r="AH371" s="122">
        <v>2507</v>
      </c>
      <c r="AI371" s="122">
        <v>332710</v>
      </c>
      <c r="AJ371" s="122">
        <v>302464</v>
      </c>
      <c r="AK371">
        <v>93</v>
      </c>
      <c r="AL371" s="122">
        <v>63489</v>
      </c>
      <c r="AM371" s="122">
        <v>57718</v>
      </c>
      <c r="AN371" s="122">
        <v>94105</v>
      </c>
      <c r="AO371" s="122">
        <v>34854</v>
      </c>
      <c r="AP371" s="122">
        <v>19972</v>
      </c>
      <c r="AQ371" s="122">
        <v>7397</v>
      </c>
      <c r="AR371" s="122">
        <v>109236</v>
      </c>
      <c r="AS371" s="122">
        <v>99305</v>
      </c>
      <c r="AT371" s="122">
        <v>0</v>
      </c>
      <c r="AU371" s="122">
        <v>0</v>
      </c>
      <c r="AV371" s="122">
        <v>501737</v>
      </c>
    </row>
    <row r="372" spans="2:48" ht="12.75" hidden="1" customHeight="1">
      <c r="B372" t="s">
        <v>365</v>
      </c>
      <c r="C372" t="s">
        <v>50</v>
      </c>
      <c r="F372">
        <v>1</v>
      </c>
      <c r="G372" s="122">
        <v>128</v>
      </c>
      <c r="H372" s="122">
        <v>100</v>
      </c>
      <c r="I372" s="122"/>
      <c r="J372" s="122">
        <v>0</v>
      </c>
      <c r="L372" s="122"/>
      <c r="M372" s="122">
        <v>0</v>
      </c>
      <c r="N372" s="122">
        <v>3109</v>
      </c>
      <c r="O372" s="122">
        <v>1152</v>
      </c>
      <c r="P372" s="122">
        <v>621</v>
      </c>
      <c r="Q372" s="122">
        <v>230</v>
      </c>
      <c r="R372" s="122"/>
      <c r="S372" s="122">
        <v>0</v>
      </c>
      <c r="T372" s="122">
        <v>0</v>
      </c>
      <c r="U372" s="122">
        <v>0</v>
      </c>
      <c r="V372" s="122">
        <v>1382</v>
      </c>
      <c r="W372" s="122">
        <f t="shared" si="10"/>
        <v>1382</v>
      </c>
      <c r="X372" s="122">
        <f t="shared" si="11"/>
        <v>3730</v>
      </c>
      <c r="Y372" s="122"/>
      <c r="AA372" t="s">
        <v>52</v>
      </c>
      <c r="AB372" t="s">
        <v>406</v>
      </c>
      <c r="AC372" t="s">
        <v>426</v>
      </c>
      <c r="AD372" t="s">
        <v>405</v>
      </c>
      <c r="AE372" t="s">
        <v>137</v>
      </c>
      <c r="AF372">
        <v>1</v>
      </c>
      <c r="AG372" s="122">
        <v>242</v>
      </c>
      <c r="AH372" s="122">
        <v>112</v>
      </c>
      <c r="AI372" s="122">
        <v>14186</v>
      </c>
      <c r="AJ372" s="122">
        <v>12897</v>
      </c>
      <c r="AK372">
        <v>83</v>
      </c>
      <c r="AL372" s="122">
        <v>1911</v>
      </c>
      <c r="AM372" s="122">
        <v>1737</v>
      </c>
      <c r="AN372" s="122">
        <v>4281</v>
      </c>
      <c r="AO372" s="122">
        <v>1585</v>
      </c>
      <c r="AP372" s="122">
        <v>621</v>
      </c>
      <c r="AQ372" s="122">
        <v>230</v>
      </c>
      <c r="AR372" s="122">
        <v>3217</v>
      </c>
      <c r="AS372" s="122">
        <v>2924</v>
      </c>
      <c r="AT372" s="122">
        <v>2919</v>
      </c>
      <c r="AU372" s="122">
        <v>1081</v>
      </c>
      <c r="AV372" s="122">
        <v>20455</v>
      </c>
    </row>
    <row r="373" spans="2:48" ht="12.75" hidden="1" customHeight="1">
      <c r="B373" t="s">
        <v>365</v>
      </c>
      <c r="C373" t="s">
        <v>50</v>
      </c>
      <c r="D373" t="s">
        <v>425</v>
      </c>
      <c r="E373" t="s">
        <v>425</v>
      </c>
      <c r="F373">
        <v>1</v>
      </c>
      <c r="G373" s="122">
        <v>251</v>
      </c>
      <c r="H373" s="122">
        <v>95</v>
      </c>
      <c r="I373" s="122">
        <v>12979</v>
      </c>
      <c r="J373" s="122">
        <v>11799</v>
      </c>
      <c r="K373">
        <v>90</v>
      </c>
      <c r="L373" s="122">
        <v>4341</v>
      </c>
      <c r="M373" s="122">
        <v>3946</v>
      </c>
      <c r="N373" s="122">
        <v>3605</v>
      </c>
      <c r="O373" s="122">
        <v>1335</v>
      </c>
      <c r="P373" s="122">
        <v>473</v>
      </c>
      <c r="Q373" s="122">
        <v>175</v>
      </c>
      <c r="R373" s="122">
        <v>2401</v>
      </c>
      <c r="S373" s="122">
        <v>2183</v>
      </c>
      <c r="T373" s="122">
        <v>0</v>
      </c>
      <c r="U373" s="122">
        <v>0</v>
      </c>
      <c r="V373" s="122">
        <v>19438</v>
      </c>
      <c r="W373" s="122">
        <f t="shared" si="10"/>
        <v>19438</v>
      </c>
      <c r="X373" s="122">
        <f t="shared" si="11"/>
        <v>23799</v>
      </c>
      <c r="Y373" s="122"/>
      <c r="AA373" t="s">
        <v>52</v>
      </c>
      <c r="AB373" t="s">
        <v>406</v>
      </c>
      <c r="AC373" t="s">
        <v>426</v>
      </c>
      <c r="AD373" t="s">
        <v>137</v>
      </c>
      <c r="AE373" t="s">
        <v>566</v>
      </c>
      <c r="AF373">
        <v>15</v>
      </c>
      <c r="AG373" s="122">
        <v>3202</v>
      </c>
      <c r="AH373" s="122">
        <v>1667</v>
      </c>
      <c r="AI373" s="122">
        <v>199468</v>
      </c>
      <c r="AJ373" s="122">
        <v>181335</v>
      </c>
      <c r="AK373">
        <v>93</v>
      </c>
      <c r="AL373" s="122">
        <v>36037</v>
      </c>
      <c r="AM373" s="122">
        <v>32761</v>
      </c>
      <c r="AN373" s="122">
        <v>54247</v>
      </c>
      <c r="AO373" s="122">
        <v>20091</v>
      </c>
      <c r="AP373" s="122">
        <v>12274</v>
      </c>
      <c r="AQ373" s="122">
        <v>4546</v>
      </c>
      <c r="AR373" s="122">
        <v>76858</v>
      </c>
      <c r="AS373" s="122">
        <v>28466</v>
      </c>
      <c r="AT373" s="122">
        <v>0</v>
      </c>
      <c r="AU373" s="122">
        <v>0</v>
      </c>
      <c r="AV373" s="122">
        <v>267199</v>
      </c>
    </row>
    <row r="374" spans="2:48" ht="12.75" hidden="1" customHeight="1">
      <c r="B374" t="s">
        <v>365</v>
      </c>
      <c r="C374" t="s">
        <v>50</v>
      </c>
      <c r="D374" t="s">
        <v>405</v>
      </c>
      <c r="E374" t="s">
        <v>405</v>
      </c>
      <c r="F374">
        <v>11</v>
      </c>
      <c r="G374" s="122">
        <v>2962</v>
      </c>
      <c r="H374" s="122">
        <v>970</v>
      </c>
      <c r="I374" s="122">
        <v>141306</v>
      </c>
      <c r="J374" s="122">
        <v>128460</v>
      </c>
      <c r="K374">
        <v>91</v>
      </c>
      <c r="L374" s="122">
        <v>28872</v>
      </c>
      <c r="M374" s="122">
        <v>26025</v>
      </c>
      <c r="N374" s="122">
        <v>44924</v>
      </c>
      <c r="O374" s="122">
        <v>16639</v>
      </c>
      <c r="P374" s="122">
        <v>7223</v>
      </c>
      <c r="Q374" s="122">
        <v>2675</v>
      </c>
      <c r="R374" s="122">
        <v>38237</v>
      </c>
      <c r="S374" s="122">
        <v>34761</v>
      </c>
      <c r="T374" s="122">
        <v>1375</v>
      </c>
      <c r="U374" s="122">
        <v>509</v>
      </c>
      <c r="V374" s="122">
        <v>209070</v>
      </c>
      <c r="W374" s="122">
        <f t="shared" si="10"/>
        <v>209069</v>
      </c>
      <c r="X374" s="122">
        <f t="shared" si="11"/>
        <v>261937</v>
      </c>
      <c r="Y374" s="122"/>
      <c r="AA374" t="s">
        <v>52</v>
      </c>
      <c r="AB374" t="s">
        <v>406</v>
      </c>
      <c r="AC374" t="s">
        <v>426</v>
      </c>
      <c r="AD374" t="s">
        <v>406</v>
      </c>
      <c r="AE374" t="s">
        <v>137</v>
      </c>
      <c r="AF374" s="122">
        <v>492</v>
      </c>
      <c r="AG374" s="122">
        <v>113513</v>
      </c>
      <c r="AH374" s="122">
        <v>57594</v>
      </c>
      <c r="AI374" s="122">
        <v>7654905</v>
      </c>
      <c r="AJ374" s="122">
        <v>6959004</v>
      </c>
      <c r="AK374">
        <v>92</v>
      </c>
      <c r="AL374" s="122">
        <v>1548515</v>
      </c>
      <c r="AM374" s="122">
        <v>1407741</v>
      </c>
      <c r="AN374" s="122">
        <v>2111312</v>
      </c>
      <c r="AO374" s="122">
        <v>781967</v>
      </c>
      <c r="AP374" s="122">
        <v>365913</v>
      </c>
      <c r="AQ374" s="122">
        <v>135523</v>
      </c>
      <c r="AR374" s="122">
        <v>2409016</v>
      </c>
      <c r="AS374" s="122">
        <v>2190014</v>
      </c>
      <c r="AT374" s="122">
        <v>445221</v>
      </c>
      <c r="AU374" s="122">
        <v>164897</v>
      </c>
      <c r="AV374" s="122">
        <v>11639146</v>
      </c>
    </row>
    <row r="375" spans="2:48" ht="12.75" hidden="1" customHeight="1">
      <c r="B375" t="s">
        <v>365</v>
      </c>
      <c r="C375" t="s">
        <v>50</v>
      </c>
      <c r="D375" t="s">
        <v>137</v>
      </c>
      <c r="E375" t="s">
        <v>425</v>
      </c>
      <c r="F375">
        <v>1</v>
      </c>
      <c r="G375" s="122">
        <v>443</v>
      </c>
      <c r="H375" s="122">
        <v>99</v>
      </c>
      <c r="I375" s="122">
        <v>25037</v>
      </c>
      <c r="J375" s="122">
        <v>9273</v>
      </c>
      <c r="K375">
        <v>300</v>
      </c>
      <c r="L375" s="122">
        <v>0</v>
      </c>
      <c r="M375" s="122">
        <v>0</v>
      </c>
      <c r="N375" s="122">
        <v>6902</v>
      </c>
      <c r="O375" s="122">
        <v>2556</v>
      </c>
      <c r="P375" s="122">
        <v>4495</v>
      </c>
      <c r="Q375" s="122">
        <v>1665</v>
      </c>
      <c r="R375" s="122">
        <v>7570</v>
      </c>
      <c r="S375" s="122">
        <v>6882</v>
      </c>
      <c r="T375" s="122">
        <v>0</v>
      </c>
      <c r="U375" s="122">
        <v>0</v>
      </c>
      <c r="V375" s="122">
        <v>20375</v>
      </c>
      <c r="W375" s="122">
        <f t="shared" si="10"/>
        <v>20376</v>
      </c>
      <c r="X375" s="122">
        <f t="shared" si="11"/>
        <v>44004</v>
      </c>
      <c r="Y375" s="122"/>
      <c r="AA375" t="s">
        <v>52</v>
      </c>
      <c r="AB375" t="s">
        <v>406</v>
      </c>
      <c r="AC375" t="s">
        <v>426</v>
      </c>
      <c r="AD375" t="s">
        <v>406</v>
      </c>
      <c r="AE375" t="s">
        <v>566</v>
      </c>
      <c r="AF375" s="122">
        <v>2239</v>
      </c>
      <c r="AG375" s="122">
        <v>508334</v>
      </c>
      <c r="AH375" s="122">
        <v>261150</v>
      </c>
      <c r="AI375" s="122">
        <v>33740731</v>
      </c>
      <c r="AJ375" s="122">
        <v>30673391</v>
      </c>
      <c r="AK375">
        <v>92</v>
      </c>
      <c r="AL375" s="122">
        <v>6564759</v>
      </c>
      <c r="AM375" s="122">
        <v>5967962</v>
      </c>
      <c r="AN375" s="122">
        <v>9048247</v>
      </c>
      <c r="AO375" s="122">
        <v>3351202</v>
      </c>
      <c r="AP375" s="122">
        <v>1817401</v>
      </c>
      <c r="AQ375" s="122">
        <v>673111</v>
      </c>
      <c r="AR375" s="122">
        <v>11582434</v>
      </c>
      <c r="AS375" s="122">
        <v>10529486</v>
      </c>
      <c r="AT375" s="122">
        <v>12036</v>
      </c>
      <c r="AU375" s="122">
        <v>4458</v>
      </c>
      <c r="AV375" s="122">
        <v>51199611</v>
      </c>
    </row>
    <row r="376" spans="2:48" ht="12.75" hidden="1" customHeight="1">
      <c r="B376" t="s">
        <v>365</v>
      </c>
      <c r="C376" t="s">
        <v>50</v>
      </c>
      <c r="D376" t="s">
        <v>137</v>
      </c>
      <c r="E376" t="s">
        <v>405</v>
      </c>
      <c r="F376">
        <v>1</v>
      </c>
      <c r="G376" s="122">
        <v>368</v>
      </c>
      <c r="H376" s="122">
        <v>86</v>
      </c>
      <c r="I376" s="122">
        <v>11954</v>
      </c>
      <c r="J376" s="122">
        <v>4427</v>
      </c>
      <c r="K376">
        <v>440</v>
      </c>
      <c r="L376" s="122">
        <v>3307</v>
      </c>
      <c r="M376" s="122">
        <v>3006</v>
      </c>
      <c r="N376" s="122">
        <v>8519</v>
      </c>
      <c r="O376" s="122">
        <v>3155</v>
      </c>
      <c r="P376" s="122">
        <v>2203</v>
      </c>
      <c r="Q376" s="122">
        <v>816</v>
      </c>
      <c r="R376" s="122">
        <v>5497</v>
      </c>
      <c r="S376" s="122">
        <v>4998</v>
      </c>
      <c r="T376" s="122">
        <v>0</v>
      </c>
      <c r="U376" s="122">
        <v>0</v>
      </c>
      <c r="V376" s="122">
        <v>16402</v>
      </c>
      <c r="W376" s="122">
        <f t="shared" si="10"/>
        <v>16402</v>
      </c>
      <c r="X376" s="122">
        <f t="shared" si="11"/>
        <v>31480</v>
      </c>
      <c r="Y376" s="122"/>
      <c r="AA376" t="s">
        <v>52</v>
      </c>
      <c r="AB376" t="s">
        <v>406</v>
      </c>
      <c r="AC376" t="s">
        <v>426</v>
      </c>
      <c r="AD376" t="s">
        <v>427</v>
      </c>
      <c r="AE376" t="s">
        <v>566</v>
      </c>
      <c r="AF376">
        <v>1</v>
      </c>
      <c r="AG376">
        <v>142</v>
      </c>
      <c r="AH376">
        <v>118</v>
      </c>
      <c r="AI376" s="122">
        <v>15012</v>
      </c>
      <c r="AJ376" s="122">
        <v>13647</v>
      </c>
      <c r="AK376">
        <v>97</v>
      </c>
      <c r="AL376" s="122">
        <v>2560</v>
      </c>
      <c r="AM376" s="122">
        <v>2328</v>
      </c>
      <c r="AN376" s="122">
        <v>2709</v>
      </c>
      <c r="AO376" s="122">
        <v>1003</v>
      </c>
      <c r="AP376">
        <v>621</v>
      </c>
      <c r="AQ376">
        <v>230</v>
      </c>
      <c r="AR376" s="122">
        <v>5413</v>
      </c>
      <c r="AS376" s="122">
        <v>4921</v>
      </c>
      <c r="AT376">
        <v>0</v>
      </c>
      <c r="AU376">
        <v>0</v>
      </c>
      <c r="AV376" s="122">
        <v>22129</v>
      </c>
    </row>
    <row r="377" spans="2:48" ht="12.75" hidden="1" customHeight="1">
      <c r="B377" t="s">
        <v>365</v>
      </c>
      <c r="C377" t="s">
        <v>50</v>
      </c>
      <c r="D377" t="s">
        <v>137</v>
      </c>
      <c r="E377" t="s">
        <v>137</v>
      </c>
      <c r="F377">
        <v>128</v>
      </c>
      <c r="G377" s="122">
        <v>30183</v>
      </c>
      <c r="H377" s="122">
        <v>11372</v>
      </c>
      <c r="I377" s="122">
        <v>1033121</v>
      </c>
      <c r="J377" s="122">
        <v>382637</v>
      </c>
      <c r="K377">
        <v>383</v>
      </c>
      <c r="L377" s="122">
        <v>302345</v>
      </c>
      <c r="M377" s="122">
        <v>276393</v>
      </c>
      <c r="N377" s="122">
        <v>497659</v>
      </c>
      <c r="O377" s="122">
        <v>184318</v>
      </c>
      <c r="P377" s="122">
        <v>129578</v>
      </c>
      <c r="Q377" s="122">
        <v>47992</v>
      </c>
      <c r="R377" s="122">
        <v>770030</v>
      </c>
      <c r="S377" s="122">
        <v>285196</v>
      </c>
      <c r="T377" s="122">
        <v>0</v>
      </c>
      <c r="U377" s="122">
        <v>0</v>
      </c>
      <c r="V377" s="122">
        <v>1176537</v>
      </c>
      <c r="W377" s="122">
        <f t="shared" si="10"/>
        <v>1176536</v>
      </c>
      <c r="X377" s="122">
        <f t="shared" si="11"/>
        <v>2732733</v>
      </c>
      <c r="Y377" s="122"/>
      <c r="AA377" t="s">
        <v>52</v>
      </c>
      <c r="AB377" t="s">
        <v>406</v>
      </c>
      <c r="AC377" t="s">
        <v>426</v>
      </c>
      <c r="AD377" t="s">
        <v>407</v>
      </c>
      <c r="AE377" t="s">
        <v>137</v>
      </c>
      <c r="AF377">
        <v>1</v>
      </c>
      <c r="AG377">
        <v>194</v>
      </c>
      <c r="AH377">
        <v>118</v>
      </c>
      <c r="AI377" s="122">
        <v>21627</v>
      </c>
      <c r="AJ377" s="122">
        <v>19661</v>
      </c>
      <c r="AK377">
        <v>86</v>
      </c>
      <c r="AL377" s="122">
        <v>6520</v>
      </c>
      <c r="AM377" s="122">
        <v>5927</v>
      </c>
      <c r="AN377" s="122">
        <v>7898</v>
      </c>
      <c r="AO377" s="122">
        <v>2925</v>
      </c>
      <c r="AP377">
        <v>621</v>
      </c>
      <c r="AQ377">
        <v>230</v>
      </c>
      <c r="AR377" s="122">
        <v>8219</v>
      </c>
      <c r="AS377" s="122">
        <v>7472</v>
      </c>
      <c r="AT377">
        <v>0</v>
      </c>
      <c r="AU377">
        <v>0</v>
      </c>
      <c r="AV377" s="122">
        <v>36215</v>
      </c>
    </row>
    <row r="378" spans="2:48" ht="12.75" hidden="1" customHeight="1">
      <c r="B378" t="s">
        <v>365</v>
      </c>
      <c r="C378" t="s">
        <v>50</v>
      </c>
      <c r="D378" t="s">
        <v>406</v>
      </c>
      <c r="E378" t="s">
        <v>137</v>
      </c>
      <c r="F378">
        <v>4</v>
      </c>
      <c r="G378" s="122">
        <v>885</v>
      </c>
      <c r="H378" s="122">
        <v>364</v>
      </c>
      <c r="I378" s="122">
        <v>33933</v>
      </c>
      <c r="J378" s="122">
        <v>30848</v>
      </c>
      <c r="K378">
        <v>94</v>
      </c>
      <c r="L378" s="122">
        <v>4697</v>
      </c>
      <c r="M378" s="122">
        <v>4270</v>
      </c>
      <c r="N378" s="122">
        <v>11868</v>
      </c>
      <c r="O378" s="122">
        <v>4395</v>
      </c>
      <c r="P378" s="122">
        <v>2484</v>
      </c>
      <c r="Q378" s="122">
        <v>920</v>
      </c>
      <c r="R378" s="122">
        <v>28958</v>
      </c>
      <c r="S378" s="122">
        <v>10725</v>
      </c>
      <c r="T378" s="122">
        <v>0</v>
      </c>
      <c r="U378" s="122">
        <v>0</v>
      </c>
      <c r="V378" s="122">
        <v>51158</v>
      </c>
      <c r="W378" s="122">
        <f t="shared" si="10"/>
        <v>51158</v>
      </c>
      <c r="X378" s="122">
        <f t="shared" si="11"/>
        <v>81940</v>
      </c>
      <c r="Y378" s="122"/>
      <c r="AA378" t="s">
        <v>52</v>
      </c>
      <c r="AB378" t="s">
        <v>406</v>
      </c>
      <c r="AC378" t="s">
        <v>426</v>
      </c>
      <c r="AD378" t="s">
        <v>426</v>
      </c>
      <c r="AE378" t="s">
        <v>566</v>
      </c>
      <c r="AF378">
        <v>1</v>
      </c>
      <c r="AG378" s="122">
        <v>128</v>
      </c>
      <c r="AH378" s="122">
        <v>123</v>
      </c>
      <c r="AI378" s="122">
        <v>7863</v>
      </c>
      <c r="AJ378" s="122">
        <v>7148</v>
      </c>
      <c r="AK378">
        <v>95</v>
      </c>
      <c r="AL378" s="122">
        <v>1383</v>
      </c>
      <c r="AM378" s="122">
        <v>1258</v>
      </c>
      <c r="AN378" s="122">
        <v>1563</v>
      </c>
      <c r="AO378" s="122">
        <v>579</v>
      </c>
      <c r="AP378" s="122">
        <v>621</v>
      </c>
      <c r="AQ378" s="122">
        <v>230</v>
      </c>
      <c r="AR378" s="122">
        <v>4311</v>
      </c>
      <c r="AS378" s="122">
        <v>3919</v>
      </c>
      <c r="AT378" s="122">
        <v>0</v>
      </c>
      <c r="AU378" s="122">
        <v>0</v>
      </c>
      <c r="AV378" s="122">
        <v>13133</v>
      </c>
    </row>
    <row r="379" spans="2:48" ht="12.75" hidden="1" customHeight="1">
      <c r="B379" t="s">
        <v>365</v>
      </c>
      <c r="C379" t="s">
        <v>50</v>
      </c>
      <c r="D379" t="s">
        <v>406</v>
      </c>
      <c r="E379" t="s">
        <v>406</v>
      </c>
      <c r="F379" s="122">
        <v>191</v>
      </c>
      <c r="G379" s="122">
        <v>44549</v>
      </c>
      <c r="H379" s="122">
        <v>17252</v>
      </c>
      <c r="I379" s="122">
        <v>2157334</v>
      </c>
      <c r="J379" s="122">
        <v>1961213</v>
      </c>
      <c r="K379">
        <v>94</v>
      </c>
      <c r="L379" s="122">
        <v>351559</v>
      </c>
      <c r="M379" s="122">
        <v>313622</v>
      </c>
      <c r="N379" s="122">
        <v>638371</v>
      </c>
      <c r="O379" s="122">
        <v>236434</v>
      </c>
      <c r="P379" s="122">
        <v>185608</v>
      </c>
      <c r="Q379" s="122">
        <v>68744</v>
      </c>
      <c r="R379" s="122">
        <v>785224</v>
      </c>
      <c r="S379" s="122">
        <v>713840</v>
      </c>
      <c r="T379" s="122">
        <v>1657</v>
      </c>
      <c r="U379" s="122">
        <v>614</v>
      </c>
      <c r="V379" s="122">
        <v>3294466</v>
      </c>
      <c r="W379" s="122">
        <f t="shared" si="10"/>
        <v>3294467</v>
      </c>
      <c r="X379" s="122">
        <f t="shared" si="11"/>
        <v>4119753</v>
      </c>
      <c r="Y379" s="122"/>
      <c r="AA379" t="s">
        <v>52</v>
      </c>
      <c r="AB379" t="s">
        <v>406</v>
      </c>
      <c r="AC379" t="s">
        <v>566</v>
      </c>
      <c r="AD379" t="s">
        <v>406</v>
      </c>
      <c r="AE379" t="s">
        <v>137</v>
      </c>
      <c r="AF379">
        <v>28</v>
      </c>
      <c r="AG379" s="122">
        <v>5485</v>
      </c>
      <c r="AH379" s="122">
        <v>3230</v>
      </c>
      <c r="AI379" s="122">
        <v>425872</v>
      </c>
      <c r="AJ379" s="122">
        <v>387157</v>
      </c>
      <c r="AK379">
        <v>92</v>
      </c>
      <c r="AL379">
        <v>0</v>
      </c>
      <c r="AM379" s="122">
        <v>427667</v>
      </c>
      <c r="AN379" s="122">
        <v>93412</v>
      </c>
      <c r="AO379" s="122">
        <v>34597</v>
      </c>
      <c r="AP379" s="122">
        <v>18372</v>
      </c>
      <c r="AQ379" s="122">
        <v>6804</v>
      </c>
      <c r="AR379" s="122">
        <v>115428</v>
      </c>
      <c r="AS379" s="122">
        <v>104934</v>
      </c>
      <c r="AT379" s="122">
        <v>42172</v>
      </c>
      <c r="AU379" s="122">
        <v>15619</v>
      </c>
      <c r="AV379" s="122">
        <v>976779</v>
      </c>
    </row>
    <row r="380" spans="2:48" ht="12.75" hidden="1" customHeight="1">
      <c r="B380" t="s">
        <v>365</v>
      </c>
      <c r="C380" t="s">
        <v>50</v>
      </c>
      <c r="D380" t="s">
        <v>407</v>
      </c>
      <c r="E380" t="s">
        <v>137</v>
      </c>
      <c r="F380">
        <v>1</v>
      </c>
      <c r="G380" s="122">
        <v>172</v>
      </c>
      <c r="H380" s="122">
        <v>97</v>
      </c>
      <c r="I380" s="122">
        <v>9187</v>
      </c>
      <c r="J380" s="122">
        <v>8352</v>
      </c>
      <c r="K380">
        <v>90</v>
      </c>
      <c r="L380" s="122">
        <v>1589</v>
      </c>
      <c r="M380" s="122">
        <v>1324</v>
      </c>
      <c r="N380" s="122">
        <v>2574</v>
      </c>
      <c r="O380" s="122">
        <v>953</v>
      </c>
      <c r="P380" s="122">
        <v>473</v>
      </c>
      <c r="Q380" s="122">
        <v>175</v>
      </c>
      <c r="R380" s="122">
        <v>2874</v>
      </c>
      <c r="S380" s="122">
        <v>1064</v>
      </c>
      <c r="T380" s="122">
        <v>0</v>
      </c>
      <c r="U380" s="122">
        <v>0</v>
      </c>
      <c r="V380" s="122">
        <v>11869</v>
      </c>
      <c r="W380" s="122">
        <f t="shared" si="10"/>
        <v>11868</v>
      </c>
      <c r="X380" s="122">
        <f t="shared" si="11"/>
        <v>16697</v>
      </c>
      <c r="Y380" s="122"/>
      <c r="AA380" t="s">
        <v>52</v>
      </c>
      <c r="AB380" t="s">
        <v>406</v>
      </c>
      <c r="AC380" t="s">
        <v>566</v>
      </c>
      <c r="AD380" t="s">
        <v>406</v>
      </c>
      <c r="AE380" t="s">
        <v>566</v>
      </c>
      <c r="AF380">
        <v>154</v>
      </c>
      <c r="AG380" s="122">
        <v>29697</v>
      </c>
      <c r="AH380" s="122">
        <v>17812</v>
      </c>
      <c r="AI380" s="122">
        <v>2174158</v>
      </c>
      <c r="AJ380" s="122">
        <v>1976508</v>
      </c>
      <c r="AK380">
        <v>93</v>
      </c>
      <c r="AL380">
        <v>0</v>
      </c>
      <c r="AM380" s="122">
        <v>594431</v>
      </c>
      <c r="AN380" s="122">
        <v>503680</v>
      </c>
      <c r="AO380" s="122">
        <v>186548</v>
      </c>
      <c r="AP380" s="122">
        <v>123814</v>
      </c>
      <c r="AQ380" s="122">
        <v>45857</v>
      </c>
      <c r="AR380" s="122">
        <v>749680</v>
      </c>
      <c r="AS380" s="122">
        <v>681527</v>
      </c>
      <c r="AT380" s="122">
        <v>0</v>
      </c>
      <c r="AU380" s="122">
        <v>0</v>
      </c>
      <c r="AV380" s="122">
        <v>3484871</v>
      </c>
    </row>
    <row r="381" spans="2:48" ht="12.75" hidden="1" customHeight="1">
      <c r="B381" t="s">
        <v>365</v>
      </c>
      <c r="C381" t="s">
        <v>50</v>
      </c>
      <c r="D381" t="s">
        <v>407</v>
      </c>
      <c r="E381" t="s">
        <v>407</v>
      </c>
      <c r="F381">
        <v>106</v>
      </c>
      <c r="G381" s="122">
        <v>21776</v>
      </c>
      <c r="H381" s="122">
        <v>9589</v>
      </c>
      <c r="I381" s="122">
        <v>1017112</v>
      </c>
      <c r="J381" s="122">
        <v>924647</v>
      </c>
      <c r="K381">
        <v>91</v>
      </c>
      <c r="L381" s="122">
        <v>171560</v>
      </c>
      <c r="M381" s="122">
        <v>152233</v>
      </c>
      <c r="N381" s="122">
        <v>322734</v>
      </c>
      <c r="O381" s="122">
        <v>119531</v>
      </c>
      <c r="P381" s="122">
        <v>84936</v>
      </c>
      <c r="Q381" s="122">
        <v>31458</v>
      </c>
      <c r="R381" s="122">
        <v>376008</v>
      </c>
      <c r="S381" s="122">
        <v>341826</v>
      </c>
      <c r="T381" s="122">
        <v>7204</v>
      </c>
      <c r="U381" s="122">
        <v>2668</v>
      </c>
      <c r="V381" s="122">
        <v>1572363</v>
      </c>
      <c r="W381" s="122">
        <f t="shared" si="10"/>
        <v>1572363</v>
      </c>
      <c r="X381" s="122">
        <f t="shared" si="11"/>
        <v>1979554</v>
      </c>
      <c r="Y381" s="122"/>
      <c r="AA381" t="s">
        <v>52</v>
      </c>
      <c r="AB381" t="s">
        <v>406</v>
      </c>
      <c r="AC381" t="s">
        <v>566</v>
      </c>
      <c r="AD381" t="s">
        <v>427</v>
      </c>
      <c r="AE381" t="s">
        <v>137</v>
      </c>
      <c r="AF381">
        <v>1</v>
      </c>
      <c r="AG381">
        <v>250</v>
      </c>
      <c r="AH381">
        <v>110</v>
      </c>
      <c r="AI381" s="122">
        <v>20743</v>
      </c>
      <c r="AJ381" s="122">
        <v>18857</v>
      </c>
      <c r="AK381">
        <v>92</v>
      </c>
      <c r="AL381">
        <v>0</v>
      </c>
      <c r="AM381" s="122">
        <v>321615</v>
      </c>
      <c r="AN381" s="122">
        <v>3767</v>
      </c>
      <c r="AO381" s="122">
        <v>1395</v>
      </c>
      <c r="AP381" s="122">
        <v>1323</v>
      </c>
      <c r="AQ381">
        <v>490</v>
      </c>
      <c r="AR381" s="122">
        <v>4042</v>
      </c>
      <c r="AS381" s="122">
        <v>3675</v>
      </c>
      <c r="AT381" s="122">
        <v>4180</v>
      </c>
      <c r="AU381" s="122">
        <v>1548</v>
      </c>
      <c r="AV381" s="122">
        <v>347580</v>
      </c>
    </row>
    <row r="382" spans="2:48" ht="12.75" hidden="1" customHeight="1">
      <c r="B382" t="s">
        <v>365</v>
      </c>
      <c r="C382" t="s">
        <v>50</v>
      </c>
      <c r="D382" t="s">
        <v>433</v>
      </c>
      <c r="E382" t="s">
        <v>137</v>
      </c>
      <c r="F382">
        <v>1</v>
      </c>
      <c r="G382" s="122">
        <v>186</v>
      </c>
      <c r="H382" s="122">
        <v>95</v>
      </c>
      <c r="I382" s="122">
        <v>4473</v>
      </c>
      <c r="J382" s="122">
        <v>4066</v>
      </c>
      <c r="K382">
        <v>78</v>
      </c>
      <c r="L382" s="122">
        <v>500</v>
      </c>
      <c r="M382" s="122">
        <v>454</v>
      </c>
      <c r="N382" s="122">
        <v>2267</v>
      </c>
      <c r="O382" s="122">
        <v>840</v>
      </c>
      <c r="P382" s="122">
        <v>1545</v>
      </c>
      <c r="Q382" s="122">
        <v>572</v>
      </c>
      <c r="R382" s="122">
        <v>8928</v>
      </c>
      <c r="S382" s="122">
        <v>3307</v>
      </c>
      <c r="T382" s="122">
        <v>0</v>
      </c>
      <c r="U382" s="122">
        <v>0</v>
      </c>
      <c r="V382" s="122">
        <v>9239</v>
      </c>
      <c r="W382" s="122">
        <f t="shared" si="10"/>
        <v>9239</v>
      </c>
      <c r="X382" s="122">
        <f t="shared" si="11"/>
        <v>17713</v>
      </c>
      <c r="Y382" s="122"/>
      <c r="AA382" t="s">
        <v>52</v>
      </c>
      <c r="AB382" t="s">
        <v>406</v>
      </c>
      <c r="AC382" t="s">
        <v>566</v>
      </c>
      <c r="AD382" t="s">
        <v>407</v>
      </c>
      <c r="AE382" t="s">
        <v>137</v>
      </c>
      <c r="AF382">
        <v>1</v>
      </c>
      <c r="AG382">
        <v>227</v>
      </c>
      <c r="AH382">
        <v>106</v>
      </c>
      <c r="AI382" s="122">
        <v>13826</v>
      </c>
      <c r="AJ382" s="122">
        <v>12570</v>
      </c>
      <c r="AK382">
        <v>92</v>
      </c>
      <c r="AL382" s="122">
        <v>0</v>
      </c>
      <c r="AM382" s="122">
        <v>0</v>
      </c>
      <c r="AN382" s="122">
        <v>7049</v>
      </c>
      <c r="AO382" s="122">
        <v>2611</v>
      </c>
      <c r="AP382" s="122">
        <v>621</v>
      </c>
      <c r="AQ382">
        <v>230</v>
      </c>
      <c r="AR382" s="122">
        <v>9049</v>
      </c>
      <c r="AS382" s="122">
        <v>8227</v>
      </c>
      <c r="AT382">
        <v>0</v>
      </c>
      <c r="AU382">
        <v>0</v>
      </c>
      <c r="AV382" s="122">
        <v>23637</v>
      </c>
    </row>
    <row r="383" spans="2:48" ht="12.75" hidden="1" customHeight="1">
      <c r="B383" t="s">
        <v>365</v>
      </c>
      <c r="C383" t="s">
        <v>50</v>
      </c>
      <c r="D383" t="s">
        <v>433</v>
      </c>
      <c r="E383" t="s">
        <v>433</v>
      </c>
      <c r="F383">
        <v>1</v>
      </c>
      <c r="G383">
        <v>294</v>
      </c>
      <c r="H383" s="122">
        <v>99</v>
      </c>
      <c r="I383" s="122">
        <v>18956</v>
      </c>
      <c r="J383" s="122">
        <v>17233</v>
      </c>
      <c r="K383">
        <v>80</v>
      </c>
      <c r="L383" s="122">
        <v>0</v>
      </c>
      <c r="M383" s="122">
        <v>2042</v>
      </c>
      <c r="N383" s="122">
        <v>3577</v>
      </c>
      <c r="O383" s="122">
        <v>1325</v>
      </c>
      <c r="P383" s="122">
        <v>4817</v>
      </c>
      <c r="Q383" s="122">
        <v>1784</v>
      </c>
      <c r="R383" s="122">
        <v>1755</v>
      </c>
      <c r="S383" s="122">
        <v>1595</v>
      </c>
      <c r="T383">
        <v>0</v>
      </c>
      <c r="U383">
        <v>0</v>
      </c>
      <c r="V383" s="122">
        <v>23979</v>
      </c>
      <c r="W383" s="122">
        <f t="shared" si="10"/>
        <v>23979</v>
      </c>
      <c r="X383" s="122">
        <f t="shared" si="11"/>
        <v>29105</v>
      </c>
      <c r="Y383" s="122"/>
      <c r="AA383" t="s">
        <v>52</v>
      </c>
      <c r="AB383" t="s">
        <v>406</v>
      </c>
      <c r="AC383" t="s">
        <v>481</v>
      </c>
      <c r="AD383" t="s">
        <v>406</v>
      </c>
      <c r="AE383" t="s">
        <v>137</v>
      </c>
      <c r="AF383">
        <v>1</v>
      </c>
      <c r="AG383" s="122">
        <v>235</v>
      </c>
      <c r="AH383">
        <v>108</v>
      </c>
      <c r="AI383" s="122">
        <v>13453</v>
      </c>
      <c r="AJ383" s="122">
        <v>12230</v>
      </c>
      <c r="AK383">
        <v>95</v>
      </c>
      <c r="AL383" s="122">
        <v>2180</v>
      </c>
      <c r="AM383" s="122">
        <v>1982</v>
      </c>
      <c r="AN383" s="122">
        <v>2860</v>
      </c>
      <c r="AO383" s="122">
        <v>1059</v>
      </c>
      <c r="AP383" s="122">
        <v>2677</v>
      </c>
      <c r="AQ383" s="122">
        <v>992</v>
      </c>
      <c r="AR383" s="122">
        <v>4157</v>
      </c>
      <c r="AS383" s="122">
        <v>3779</v>
      </c>
      <c r="AT383">
        <v>0</v>
      </c>
      <c r="AU383">
        <v>0</v>
      </c>
      <c r="AV383" s="122">
        <v>20041</v>
      </c>
    </row>
    <row r="384" spans="2:48" ht="12.75" hidden="1" customHeight="1">
      <c r="B384" t="s">
        <v>365</v>
      </c>
      <c r="C384" t="s">
        <v>50</v>
      </c>
      <c r="D384" t="s">
        <v>408</v>
      </c>
      <c r="E384" t="s">
        <v>408</v>
      </c>
      <c r="F384" s="122">
        <v>9</v>
      </c>
      <c r="G384" s="122">
        <v>1326</v>
      </c>
      <c r="H384" s="122">
        <v>824</v>
      </c>
      <c r="I384" s="122">
        <v>66379</v>
      </c>
      <c r="J384" s="122">
        <v>60344</v>
      </c>
      <c r="K384">
        <v>93</v>
      </c>
      <c r="L384" s="122">
        <v>4881</v>
      </c>
      <c r="M384" s="122">
        <v>4437</v>
      </c>
      <c r="N384" s="122">
        <v>24763</v>
      </c>
      <c r="O384" s="122">
        <v>9171</v>
      </c>
      <c r="P384" s="122">
        <v>16704</v>
      </c>
      <c r="Q384" s="122">
        <v>6187</v>
      </c>
      <c r="R384" s="122">
        <v>19060</v>
      </c>
      <c r="S384" s="122">
        <v>17327</v>
      </c>
      <c r="T384" s="122">
        <v>0</v>
      </c>
      <c r="U384" s="122">
        <v>0</v>
      </c>
      <c r="V384" s="122">
        <v>97467</v>
      </c>
      <c r="W384" s="122">
        <f t="shared" si="10"/>
        <v>97466</v>
      </c>
      <c r="X384" s="122">
        <f t="shared" si="11"/>
        <v>131787</v>
      </c>
      <c r="Y384" s="122"/>
      <c r="AA384" t="s">
        <v>52</v>
      </c>
      <c r="AB384" t="s">
        <v>406</v>
      </c>
      <c r="AC384" t="s">
        <v>481</v>
      </c>
      <c r="AD384" t="s">
        <v>406</v>
      </c>
      <c r="AE384" t="s">
        <v>566</v>
      </c>
      <c r="AF384">
        <v>4</v>
      </c>
      <c r="AG384" s="122">
        <v>1180</v>
      </c>
      <c r="AH384">
        <v>462</v>
      </c>
      <c r="AI384" s="122">
        <v>79714</v>
      </c>
      <c r="AJ384" s="122">
        <v>72467</v>
      </c>
      <c r="AK384">
        <v>91</v>
      </c>
      <c r="AL384" s="122">
        <v>12179</v>
      </c>
      <c r="AM384" s="122">
        <v>11072</v>
      </c>
      <c r="AN384" s="122">
        <v>25254</v>
      </c>
      <c r="AO384" s="122">
        <v>9353</v>
      </c>
      <c r="AP384" s="122">
        <v>5040</v>
      </c>
      <c r="AQ384" s="122">
        <v>1867</v>
      </c>
      <c r="AR384" s="122">
        <v>23454</v>
      </c>
      <c r="AS384" s="122">
        <v>21322</v>
      </c>
      <c r="AT384">
        <v>0</v>
      </c>
      <c r="AU384">
        <v>0</v>
      </c>
      <c r="AV384" s="122">
        <v>116081</v>
      </c>
    </row>
    <row r="385" spans="2:48" ht="12.75" hidden="1" customHeight="1">
      <c r="B385" t="s">
        <v>365</v>
      </c>
      <c r="C385" t="s">
        <v>50</v>
      </c>
      <c r="D385" t="s">
        <v>429</v>
      </c>
      <c r="E385" t="s">
        <v>429</v>
      </c>
      <c r="F385">
        <v>1</v>
      </c>
      <c r="G385">
        <v>156</v>
      </c>
      <c r="H385" s="122">
        <v>95</v>
      </c>
      <c r="I385" s="122">
        <v>8182</v>
      </c>
      <c r="J385" s="122">
        <v>7438</v>
      </c>
      <c r="K385">
        <v>96</v>
      </c>
      <c r="L385" s="122">
        <v>0</v>
      </c>
      <c r="M385" s="122">
        <v>0</v>
      </c>
      <c r="N385" s="122">
        <v>2090</v>
      </c>
      <c r="O385" s="122">
        <v>774</v>
      </c>
      <c r="P385" s="122">
        <v>1649</v>
      </c>
      <c r="Q385">
        <v>611</v>
      </c>
      <c r="R385" s="122">
        <v>2949</v>
      </c>
      <c r="S385" s="122">
        <v>2681</v>
      </c>
      <c r="T385" s="122">
        <v>0</v>
      </c>
      <c r="U385" s="122">
        <v>0</v>
      </c>
      <c r="V385" s="122">
        <v>11505</v>
      </c>
      <c r="W385" s="122">
        <f t="shared" si="10"/>
        <v>11504</v>
      </c>
      <c r="X385" s="122">
        <f t="shared" si="11"/>
        <v>14870</v>
      </c>
      <c r="Y385" s="122"/>
      <c r="AA385" t="s">
        <v>52</v>
      </c>
      <c r="AB385" t="s">
        <v>406</v>
      </c>
      <c r="AC385" t="s">
        <v>433</v>
      </c>
      <c r="AD385" t="s">
        <v>137</v>
      </c>
      <c r="AE385" t="s">
        <v>566</v>
      </c>
      <c r="AF385">
        <v>1</v>
      </c>
      <c r="AG385" s="122">
        <v>212</v>
      </c>
      <c r="AH385" s="122">
        <v>106</v>
      </c>
      <c r="AI385" s="122">
        <v>11751</v>
      </c>
      <c r="AJ385" s="122">
        <v>10683</v>
      </c>
      <c r="AK385">
        <v>79</v>
      </c>
      <c r="AL385" s="122">
        <v>1719</v>
      </c>
      <c r="AM385" s="122">
        <v>1563</v>
      </c>
      <c r="AN385" s="122">
        <v>2892</v>
      </c>
      <c r="AO385" s="122">
        <v>1071</v>
      </c>
      <c r="AP385" s="122">
        <v>621</v>
      </c>
      <c r="AQ385" s="122">
        <v>230</v>
      </c>
      <c r="AR385" s="122">
        <v>5545</v>
      </c>
      <c r="AS385" s="122">
        <v>2054</v>
      </c>
      <c r="AT385" s="122">
        <v>0</v>
      </c>
      <c r="AU385" s="122">
        <v>0</v>
      </c>
      <c r="AV385" s="122">
        <v>15601</v>
      </c>
    </row>
    <row r="386" spans="2:48" ht="12.75" hidden="1" customHeight="1">
      <c r="B386" t="s">
        <v>365</v>
      </c>
      <c r="C386" t="s">
        <v>52</v>
      </c>
      <c r="F386">
        <v>1</v>
      </c>
      <c r="G386" s="122">
        <v>108</v>
      </c>
      <c r="H386" s="122">
        <v>106</v>
      </c>
      <c r="I386" s="122"/>
      <c r="J386" s="122">
        <v>0</v>
      </c>
      <c r="L386" s="122"/>
      <c r="M386" s="122">
        <v>0</v>
      </c>
      <c r="N386" s="122">
        <v>1315</v>
      </c>
      <c r="O386" s="122">
        <v>487</v>
      </c>
      <c r="P386" s="122">
        <v>351</v>
      </c>
      <c r="Q386" s="122">
        <v>130</v>
      </c>
      <c r="R386" s="122"/>
      <c r="S386" s="122">
        <v>0</v>
      </c>
      <c r="T386" s="122">
        <v>0</v>
      </c>
      <c r="U386" s="122">
        <v>0</v>
      </c>
      <c r="V386" s="122">
        <v>617</v>
      </c>
      <c r="W386" s="122">
        <f t="shared" si="10"/>
        <v>617</v>
      </c>
      <c r="X386" s="122">
        <f t="shared" si="11"/>
        <v>1666</v>
      </c>
      <c r="Y386" s="122"/>
      <c r="AA386" t="s">
        <v>52</v>
      </c>
      <c r="AB386" t="s">
        <v>406</v>
      </c>
      <c r="AC386" t="s">
        <v>433</v>
      </c>
      <c r="AD386" t="s">
        <v>406</v>
      </c>
      <c r="AE386" t="s">
        <v>137</v>
      </c>
      <c r="AF386">
        <v>76</v>
      </c>
      <c r="AG386" s="122">
        <v>16817</v>
      </c>
      <c r="AH386" s="122">
        <v>8716</v>
      </c>
      <c r="AI386" s="122">
        <v>1126883</v>
      </c>
      <c r="AJ386" s="122">
        <v>1024439</v>
      </c>
      <c r="AK386">
        <v>91</v>
      </c>
      <c r="AL386" s="122">
        <v>183477</v>
      </c>
      <c r="AM386" s="122">
        <v>166798</v>
      </c>
      <c r="AN386" s="122">
        <v>298053</v>
      </c>
      <c r="AO386" s="122">
        <v>110390</v>
      </c>
      <c r="AP386" s="122">
        <v>67043</v>
      </c>
      <c r="AQ386" s="122">
        <v>24831</v>
      </c>
      <c r="AR386" s="122">
        <v>367601</v>
      </c>
      <c r="AS386" s="122">
        <v>334183</v>
      </c>
      <c r="AT386" s="122">
        <v>74919</v>
      </c>
      <c r="AU386" s="122">
        <v>27748</v>
      </c>
      <c r="AV386" s="122">
        <v>1688388</v>
      </c>
    </row>
    <row r="387" spans="2:48" ht="12.75" hidden="1" customHeight="1">
      <c r="B387" t="s">
        <v>365</v>
      </c>
      <c r="C387" t="s">
        <v>52</v>
      </c>
      <c r="D387" t="s">
        <v>425</v>
      </c>
      <c r="E387" t="s">
        <v>425</v>
      </c>
      <c r="F387">
        <v>1</v>
      </c>
      <c r="G387">
        <v>228</v>
      </c>
      <c r="H387" s="122">
        <v>109</v>
      </c>
      <c r="I387" s="122">
        <v>13344</v>
      </c>
      <c r="J387" s="122">
        <v>12131</v>
      </c>
      <c r="K387">
        <v>90</v>
      </c>
      <c r="L387" s="122">
        <v>2115</v>
      </c>
      <c r="M387" s="122">
        <v>1923</v>
      </c>
      <c r="N387" s="122">
        <v>2776</v>
      </c>
      <c r="O387" s="122">
        <v>1028</v>
      </c>
      <c r="P387">
        <v>473</v>
      </c>
      <c r="Q387">
        <v>175</v>
      </c>
      <c r="R387" s="122">
        <v>6213</v>
      </c>
      <c r="S387" s="122">
        <v>5648</v>
      </c>
      <c r="T387" s="122">
        <v>0</v>
      </c>
      <c r="U387" s="122">
        <v>0</v>
      </c>
      <c r="V387" s="122">
        <v>20906</v>
      </c>
      <c r="W387" s="122">
        <f t="shared" si="10"/>
        <v>20905</v>
      </c>
      <c r="X387" s="122">
        <f t="shared" si="11"/>
        <v>24921</v>
      </c>
      <c r="Y387" s="122"/>
      <c r="AA387" t="s">
        <v>52</v>
      </c>
      <c r="AB387" t="s">
        <v>406</v>
      </c>
      <c r="AC387" t="s">
        <v>433</v>
      </c>
      <c r="AD387" t="s">
        <v>406</v>
      </c>
      <c r="AE387" t="s">
        <v>566</v>
      </c>
      <c r="AF387">
        <v>246</v>
      </c>
      <c r="AG387" s="122">
        <v>54308</v>
      </c>
      <c r="AH387" s="122">
        <v>28346</v>
      </c>
      <c r="AI387" s="122">
        <v>3583220</v>
      </c>
      <c r="AJ387" s="122">
        <v>3257472</v>
      </c>
      <c r="AK387">
        <v>92</v>
      </c>
      <c r="AL387" s="122">
        <v>595856</v>
      </c>
      <c r="AM387" s="122">
        <v>541688</v>
      </c>
      <c r="AN387" s="122">
        <v>921136</v>
      </c>
      <c r="AO387" s="122">
        <v>341161</v>
      </c>
      <c r="AP387" s="122">
        <v>204296</v>
      </c>
      <c r="AQ387" s="122">
        <v>75665</v>
      </c>
      <c r="AR387" s="122">
        <v>1217371</v>
      </c>
      <c r="AS387" s="122">
        <v>1106701</v>
      </c>
      <c r="AT387">
        <v>603</v>
      </c>
      <c r="AU387">
        <v>223</v>
      </c>
      <c r="AV387" s="122">
        <v>5322911</v>
      </c>
    </row>
    <row r="388" spans="2:48" ht="12.75" hidden="1" customHeight="1">
      <c r="B388" t="s">
        <v>365</v>
      </c>
      <c r="C388" t="s">
        <v>52</v>
      </c>
      <c r="D388" t="s">
        <v>405</v>
      </c>
      <c r="E388" t="s">
        <v>405</v>
      </c>
      <c r="F388">
        <v>43</v>
      </c>
      <c r="G388" s="122">
        <v>9844</v>
      </c>
      <c r="H388" s="122">
        <v>5013</v>
      </c>
      <c r="I388" s="122">
        <v>593137</v>
      </c>
      <c r="J388" s="122">
        <v>539216</v>
      </c>
      <c r="K388">
        <v>90</v>
      </c>
      <c r="L388" s="122">
        <v>125586</v>
      </c>
      <c r="M388" s="122">
        <v>112038</v>
      </c>
      <c r="N388" s="122">
        <v>189557</v>
      </c>
      <c r="O388" s="122">
        <v>70206</v>
      </c>
      <c r="P388" s="122">
        <v>32190</v>
      </c>
      <c r="Q388" s="122">
        <v>11922</v>
      </c>
      <c r="R388" s="122">
        <v>240541</v>
      </c>
      <c r="S388" s="122">
        <v>218673</v>
      </c>
      <c r="T388">
        <v>0</v>
      </c>
      <c r="U388">
        <v>0</v>
      </c>
      <c r="V388" s="122">
        <v>952056</v>
      </c>
      <c r="W388" s="122">
        <f t="shared" si="10"/>
        <v>952055</v>
      </c>
      <c r="X388" s="122">
        <f t="shared" si="11"/>
        <v>1181011</v>
      </c>
      <c r="Y388" s="122"/>
      <c r="AA388" t="s">
        <v>52</v>
      </c>
      <c r="AB388" t="s">
        <v>406</v>
      </c>
      <c r="AC388" t="s">
        <v>408</v>
      </c>
      <c r="AD388" t="s">
        <v>137</v>
      </c>
      <c r="AE388" t="s">
        <v>566</v>
      </c>
      <c r="AF388">
        <v>1</v>
      </c>
      <c r="AG388" s="122">
        <v>187</v>
      </c>
      <c r="AH388">
        <v>124</v>
      </c>
      <c r="AI388" s="122">
        <v>10485</v>
      </c>
      <c r="AJ388" s="122">
        <v>9532</v>
      </c>
      <c r="AK388">
        <v>95</v>
      </c>
      <c r="AL388" s="122">
        <v>1214</v>
      </c>
      <c r="AM388" s="122">
        <v>1103</v>
      </c>
      <c r="AN388" s="122">
        <v>3393</v>
      </c>
      <c r="AO388" s="122">
        <v>1257</v>
      </c>
      <c r="AP388" s="122">
        <v>621</v>
      </c>
      <c r="AQ388" s="122">
        <v>230</v>
      </c>
      <c r="AR388" s="122">
        <v>7549</v>
      </c>
      <c r="AS388" s="122">
        <v>2796</v>
      </c>
      <c r="AT388">
        <v>0</v>
      </c>
      <c r="AU388">
        <v>0</v>
      </c>
      <c r="AV388" s="122">
        <v>14918</v>
      </c>
    </row>
    <row r="389" spans="2:48" ht="12.75" hidden="1" customHeight="1">
      <c r="B389" t="s">
        <v>365</v>
      </c>
      <c r="C389" t="s">
        <v>52</v>
      </c>
      <c r="D389" t="s">
        <v>405</v>
      </c>
      <c r="E389" t="s">
        <v>407</v>
      </c>
      <c r="F389">
        <v>2</v>
      </c>
      <c r="G389">
        <v>466</v>
      </c>
      <c r="H389" s="122">
        <v>215</v>
      </c>
      <c r="I389" s="122">
        <v>26277</v>
      </c>
      <c r="J389" s="122">
        <v>23888</v>
      </c>
      <c r="K389">
        <v>90</v>
      </c>
      <c r="L389" s="122">
        <v>4280</v>
      </c>
      <c r="M389" s="122">
        <v>3891</v>
      </c>
      <c r="N389" s="122">
        <v>6777</v>
      </c>
      <c r="O389" s="122">
        <v>2510</v>
      </c>
      <c r="P389" s="122">
        <v>945</v>
      </c>
      <c r="Q389">
        <v>350</v>
      </c>
      <c r="R389" s="122">
        <v>11802</v>
      </c>
      <c r="S389" s="122">
        <v>10729</v>
      </c>
      <c r="T389">
        <v>0</v>
      </c>
      <c r="U389">
        <v>0</v>
      </c>
      <c r="V389" s="122">
        <v>41368</v>
      </c>
      <c r="W389" s="122">
        <f t="shared" si="10"/>
        <v>41368</v>
      </c>
      <c r="X389" s="122">
        <f t="shared" si="11"/>
        <v>50081</v>
      </c>
      <c r="Y389" s="122"/>
      <c r="AA389" t="s">
        <v>52</v>
      </c>
      <c r="AB389" t="s">
        <v>406</v>
      </c>
      <c r="AC389" t="s">
        <v>408</v>
      </c>
      <c r="AD389" t="s">
        <v>406</v>
      </c>
      <c r="AE389" t="s">
        <v>566</v>
      </c>
      <c r="AF389">
        <v>5</v>
      </c>
      <c r="AG389" s="122">
        <v>1524</v>
      </c>
      <c r="AH389" s="122">
        <v>567</v>
      </c>
      <c r="AI389" s="122">
        <v>99294</v>
      </c>
      <c r="AJ389" s="122">
        <v>90268</v>
      </c>
      <c r="AK389">
        <v>96</v>
      </c>
      <c r="AL389" s="122">
        <v>15299</v>
      </c>
      <c r="AM389" s="122">
        <v>13908</v>
      </c>
      <c r="AN389" s="122">
        <v>25988</v>
      </c>
      <c r="AO389" s="122">
        <v>9625</v>
      </c>
      <c r="AP389" s="122">
        <v>5913</v>
      </c>
      <c r="AQ389" s="122">
        <v>2190</v>
      </c>
      <c r="AR389" s="122">
        <v>32412</v>
      </c>
      <c r="AS389" s="122">
        <v>29465</v>
      </c>
      <c r="AT389" s="122">
        <v>0</v>
      </c>
      <c r="AU389" s="122">
        <v>0</v>
      </c>
      <c r="AV389" s="122">
        <v>145456</v>
      </c>
    </row>
    <row r="390" spans="2:48" ht="12.75" hidden="1" customHeight="1">
      <c r="B390" t="s">
        <v>365</v>
      </c>
      <c r="C390" t="s">
        <v>52</v>
      </c>
      <c r="D390" t="s">
        <v>137</v>
      </c>
      <c r="E390" t="s">
        <v>137</v>
      </c>
      <c r="F390">
        <v>88</v>
      </c>
      <c r="G390" s="122">
        <v>19386</v>
      </c>
      <c r="H390" s="122">
        <v>10100</v>
      </c>
      <c r="I390" s="122">
        <v>1043864</v>
      </c>
      <c r="J390" s="122">
        <v>386616</v>
      </c>
      <c r="K390">
        <v>333</v>
      </c>
      <c r="L390" s="122">
        <v>297463</v>
      </c>
      <c r="M390" s="122">
        <v>251119</v>
      </c>
      <c r="N390" s="122">
        <v>367833</v>
      </c>
      <c r="O390" s="122">
        <v>136234</v>
      </c>
      <c r="P390" s="122">
        <v>84084</v>
      </c>
      <c r="Q390" s="122">
        <v>31142</v>
      </c>
      <c r="R390" s="122">
        <v>538215</v>
      </c>
      <c r="S390" s="122">
        <v>199339</v>
      </c>
      <c r="T390" s="122">
        <v>2466</v>
      </c>
      <c r="U390" s="122">
        <v>913</v>
      </c>
      <c r="V390" s="122">
        <v>1005364</v>
      </c>
      <c r="W390" s="122">
        <f t="shared" si="10"/>
        <v>1005363</v>
      </c>
      <c r="X390" s="122">
        <f t="shared" si="11"/>
        <v>2333925</v>
      </c>
      <c r="Y390" s="122"/>
      <c r="AA390" t="s">
        <v>52</v>
      </c>
      <c r="AB390" t="s">
        <v>406</v>
      </c>
      <c r="AC390" t="s">
        <v>429</v>
      </c>
      <c r="AD390" t="s">
        <v>406</v>
      </c>
      <c r="AE390" t="s">
        <v>137</v>
      </c>
      <c r="AF390">
        <v>19</v>
      </c>
      <c r="AG390" s="122">
        <v>3960</v>
      </c>
      <c r="AH390" s="122">
        <v>2211</v>
      </c>
      <c r="AI390" s="122">
        <v>266789</v>
      </c>
      <c r="AJ390" s="122">
        <v>242536</v>
      </c>
      <c r="AK390">
        <v>91</v>
      </c>
      <c r="AL390" s="122">
        <v>39045</v>
      </c>
      <c r="AM390" s="122">
        <v>35496</v>
      </c>
      <c r="AN390" s="122">
        <v>70903</v>
      </c>
      <c r="AO390" s="122">
        <v>26260</v>
      </c>
      <c r="AP390" s="122">
        <v>15071</v>
      </c>
      <c r="AQ390" s="122">
        <v>5582</v>
      </c>
      <c r="AR390" s="122">
        <v>90618</v>
      </c>
      <c r="AS390" s="122">
        <v>82380</v>
      </c>
      <c r="AT390" s="122">
        <v>17250</v>
      </c>
      <c r="AU390" s="122">
        <v>6389</v>
      </c>
      <c r="AV390" s="122">
        <v>398642</v>
      </c>
    </row>
    <row r="391" spans="2:48" ht="12.75" hidden="1" customHeight="1">
      <c r="B391" t="s">
        <v>365</v>
      </c>
      <c r="C391" t="s">
        <v>52</v>
      </c>
      <c r="D391" t="s">
        <v>406</v>
      </c>
      <c r="E391" t="s">
        <v>425</v>
      </c>
      <c r="F391">
        <v>1</v>
      </c>
      <c r="G391">
        <v>285</v>
      </c>
      <c r="H391" s="122">
        <v>104</v>
      </c>
      <c r="I391" s="122">
        <v>19144</v>
      </c>
      <c r="J391" s="122">
        <v>17403</v>
      </c>
      <c r="K391">
        <v>93</v>
      </c>
      <c r="L391" s="122">
        <v>2612</v>
      </c>
      <c r="M391" s="122">
        <v>2374</v>
      </c>
      <c r="N391" s="122">
        <v>3468</v>
      </c>
      <c r="O391" s="122">
        <v>1285</v>
      </c>
      <c r="P391" s="122">
        <v>972</v>
      </c>
      <c r="Q391">
        <v>360</v>
      </c>
      <c r="R391" s="122">
        <v>3474</v>
      </c>
      <c r="S391" s="122">
        <v>3158</v>
      </c>
      <c r="T391">
        <v>0</v>
      </c>
      <c r="U391">
        <v>0</v>
      </c>
      <c r="V391" s="122">
        <v>24580</v>
      </c>
      <c r="W391" s="122">
        <f t="shared" ref="W391:W454" si="12">SUM(ABS(J391),ABS(M391),ABS(O391),ABS(Q391),ABS(S391),ABS(U391))</f>
        <v>24580</v>
      </c>
      <c r="X391" s="122">
        <f t="shared" ref="X391:X454" si="13">SUM(ABS(I391),ABS(N391),ABS(P391),ABS(R391),ABS(T391),ABS(L391))</f>
        <v>29670</v>
      </c>
      <c r="Y391" s="122"/>
      <c r="AA391" t="s">
        <v>52</v>
      </c>
      <c r="AB391" t="s">
        <v>406</v>
      </c>
      <c r="AC391" t="s">
        <v>429</v>
      </c>
      <c r="AD391" t="s">
        <v>406</v>
      </c>
      <c r="AE391" t="s">
        <v>566</v>
      </c>
      <c r="AF391">
        <v>50</v>
      </c>
      <c r="AG391" s="122">
        <v>11386</v>
      </c>
      <c r="AH391" s="122">
        <v>5778</v>
      </c>
      <c r="AI391" s="122">
        <v>820876</v>
      </c>
      <c r="AJ391" s="122">
        <v>746251</v>
      </c>
      <c r="AK391">
        <v>93</v>
      </c>
      <c r="AL391" s="122">
        <v>124292</v>
      </c>
      <c r="AM391" s="122">
        <v>112993</v>
      </c>
      <c r="AN391" s="122">
        <v>185251</v>
      </c>
      <c r="AO391" s="122">
        <v>68611</v>
      </c>
      <c r="AP391" s="122">
        <v>48678</v>
      </c>
      <c r="AQ391" s="122">
        <v>18029</v>
      </c>
      <c r="AR391" s="122">
        <v>245438</v>
      </c>
      <c r="AS391" s="122">
        <v>223125</v>
      </c>
      <c r="AT391">
        <v>0</v>
      </c>
      <c r="AU391">
        <v>0</v>
      </c>
      <c r="AV391" s="122">
        <v>1169009</v>
      </c>
    </row>
    <row r="392" spans="2:48" ht="12.75" hidden="1" customHeight="1">
      <c r="B392" t="s">
        <v>365</v>
      </c>
      <c r="C392" t="s">
        <v>52</v>
      </c>
      <c r="D392" t="s">
        <v>406</v>
      </c>
      <c r="E392" t="s">
        <v>137</v>
      </c>
      <c r="F392">
        <v>2</v>
      </c>
      <c r="G392" s="122">
        <v>465</v>
      </c>
      <c r="H392" s="122">
        <v>238</v>
      </c>
      <c r="I392" s="122">
        <v>32341</v>
      </c>
      <c r="J392" s="122">
        <v>29401</v>
      </c>
      <c r="K392">
        <v>86</v>
      </c>
      <c r="L392" s="122">
        <v>5042</v>
      </c>
      <c r="M392" s="122">
        <v>4372</v>
      </c>
      <c r="N392" s="122">
        <v>7450</v>
      </c>
      <c r="O392" s="122">
        <v>2759</v>
      </c>
      <c r="P392" s="122">
        <v>1242</v>
      </c>
      <c r="Q392" s="122">
        <v>460</v>
      </c>
      <c r="R392" s="122">
        <v>13351</v>
      </c>
      <c r="S392" s="122">
        <v>4945</v>
      </c>
      <c r="T392" s="122">
        <v>0</v>
      </c>
      <c r="U392" s="122">
        <v>0</v>
      </c>
      <c r="V392" s="122">
        <v>41938</v>
      </c>
      <c r="W392" s="122">
        <f t="shared" si="12"/>
        <v>41937</v>
      </c>
      <c r="X392" s="122">
        <f t="shared" si="13"/>
        <v>59426</v>
      </c>
      <c r="Y392" s="122"/>
      <c r="AA392" t="s">
        <v>52</v>
      </c>
      <c r="AB392" t="s">
        <v>406</v>
      </c>
      <c r="AC392" t="s">
        <v>429</v>
      </c>
      <c r="AD392" t="s">
        <v>429</v>
      </c>
      <c r="AE392" t="s">
        <v>137</v>
      </c>
      <c r="AF392">
        <v>2</v>
      </c>
      <c r="AG392">
        <v>329</v>
      </c>
      <c r="AH392">
        <v>241</v>
      </c>
      <c r="AI392" s="122">
        <v>20598</v>
      </c>
      <c r="AJ392" s="122">
        <v>18725</v>
      </c>
      <c r="AK392">
        <v>85</v>
      </c>
      <c r="AL392" s="122">
        <v>2745</v>
      </c>
      <c r="AM392" s="122">
        <v>2496</v>
      </c>
      <c r="AN392" s="122">
        <v>4006</v>
      </c>
      <c r="AO392" s="122">
        <v>1484</v>
      </c>
      <c r="AP392" s="122">
        <v>1593</v>
      </c>
      <c r="AQ392">
        <v>590</v>
      </c>
      <c r="AR392" s="122">
        <v>10781</v>
      </c>
      <c r="AS392" s="122">
        <v>9801</v>
      </c>
      <c r="AT392">
        <v>0</v>
      </c>
      <c r="AU392">
        <v>0</v>
      </c>
      <c r="AV392" s="122">
        <v>33096</v>
      </c>
    </row>
    <row r="393" spans="2:48" ht="12.75" hidden="1" customHeight="1">
      <c r="B393" t="s">
        <v>365</v>
      </c>
      <c r="C393" t="s">
        <v>52</v>
      </c>
      <c r="D393" t="s">
        <v>406</v>
      </c>
      <c r="E393" t="s">
        <v>406</v>
      </c>
      <c r="F393">
        <v>612</v>
      </c>
      <c r="G393" s="122">
        <v>140189</v>
      </c>
      <c r="H393" s="122">
        <v>71568</v>
      </c>
      <c r="I393" s="122">
        <v>9374329</v>
      </c>
      <c r="J393" s="122">
        <v>8522117</v>
      </c>
      <c r="K393">
        <v>92</v>
      </c>
      <c r="L393" s="122">
        <v>1864642</v>
      </c>
      <c r="M393" s="122">
        <v>1717988</v>
      </c>
      <c r="N393" s="122">
        <v>2596747</v>
      </c>
      <c r="O393" s="122">
        <v>961758</v>
      </c>
      <c r="P393" s="122">
        <v>470960</v>
      </c>
      <c r="Q393" s="122">
        <v>174430</v>
      </c>
      <c r="R393" s="122">
        <v>3094061</v>
      </c>
      <c r="S393" s="122">
        <v>2812783</v>
      </c>
      <c r="T393" s="122">
        <v>23126</v>
      </c>
      <c r="U393" s="122">
        <v>8565</v>
      </c>
      <c r="V393" s="122">
        <v>14197640</v>
      </c>
      <c r="W393" s="122">
        <f t="shared" si="12"/>
        <v>14197641</v>
      </c>
      <c r="X393" s="122">
        <f t="shared" si="13"/>
        <v>17423865</v>
      </c>
      <c r="Y393" s="122"/>
      <c r="AA393" t="s">
        <v>52</v>
      </c>
      <c r="AB393" t="s">
        <v>406</v>
      </c>
      <c r="AC393" t="s">
        <v>429</v>
      </c>
      <c r="AD393" t="s">
        <v>429</v>
      </c>
      <c r="AE393" t="s">
        <v>566</v>
      </c>
      <c r="AF393">
        <v>2</v>
      </c>
      <c r="AG393">
        <v>433</v>
      </c>
      <c r="AH393">
        <v>220</v>
      </c>
      <c r="AI393" s="122">
        <v>24198</v>
      </c>
      <c r="AJ393" s="122">
        <v>21999</v>
      </c>
      <c r="AK393">
        <v>86</v>
      </c>
      <c r="AL393" s="122">
        <v>3219</v>
      </c>
      <c r="AM393" s="122">
        <v>2927</v>
      </c>
      <c r="AN393" s="122">
        <v>5271</v>
      </c>
      <c r="AO393" s="122">
        <v>1952</v>
      </c>
      <c r="AP393" s="122">
        <v>1593</v>
      </c>
      <c r="AQ393">
        <v>590</v>
      </c>
      <c r="AR393" s="122">
        <v>13756</v>
      </c>
      <c r="AS393" s="122">
        <v>12506</v>
      </c>
      <c r="AT393">
        <v>0</v>
      </c>
      <c r="AU393">
        <v>0</v>
      </c>
      <c r="AV393" s="122">
        <v>39973</v>
      </c>
    </row>
    <row r="394" spans="2:48" ht="12.75" hidden="1" customHeight="1">
      <c r="B394" t="s">
        <v>365</v>
      </c>
      <c r="C394" t="s">
        <v>52</v>
      </c>
      <c r="D394" t="s">
        <v>406</v>
      </c>
      <c r="E394" t="s">
        <v>427</v>
      </c>
      <c r="F394">
        <v>1</v>
      </c>
      <c r="G394" s="122">
        <v>311</v>
      </c>
      <c r="H394" s="122">
        <v>117</v>
      </c>
      <c r="I394" s="122">
        <v>22290</v>
      </c>
      <c r="J394" s="122">
        <v>20263</v>
      </c>
      <c r="K394">
        <v>86</v>
      </c>
      <c r="L394" s="122">
        <v>3172</v>
      </c>
      <c r="M394" s="122">
        <v>2643</v>
      </c>
      <c r="N394" s="122">
        <v>5676</v>
      </c>
      <c r="O394" s="122">
        <v>2102</v>
      </c>
      <c r="P394" s="122">
        <v>621</v>
      </c>
      <c r="Q394" s="122">
        <v>230</v>
      </c>
      <c r="R394" s="122">
        <v>4589</v>
      </c>
      <c r="S394" s="122">
        <v>4172</v>
      </c>
      <c r="T394" s="122">
        <v>0</v>
      </c>
      <c r="U394" s="122">
        <v>0</v>
      </c>
      <c r="V394" s="122">
        <v>29411</v>
      </c>
      <c r="W394" s="122">
        <f t="shared" si="12"/>
        <v>29410</v>
      </c>
      <c r="X394" s="122">
        <f t="shared" si="13"/>
        <v>36348</v>
      </c>
      <c r="Y394" s="122"/>
      <c r="AA394" t="s">
        <v>52</v>
      </c>
      <c r="AB394" t="s">
        <v>427</v>
      </c>
      <c r="AC394" t="s">
        <v>429</v>
      </c>
      <c r="AD394" t="s">
        <v>427</v>
      </c>
      <c r="AE394" t="s">
        <v>566</v>
      </c>
      <c r="AF394">
        <v>1</v>
      </c>
      <c r="AG394">
        <v>236</v>
      </c>
      <c r="AH394">
        <v>123</v>
      </c>
      <c r="AI394" s="122">
        <v>19071</v>
      </c>
      <c r="AJ394" s="122">
        <v>17337</v>
      </c>
      <c r="AK394">
        <v>75</v>
      </c>
      <c r="AL394" s="122">
        <v>1718</v>
      </c>
      <c r="AM394" s="122">
        <v>1562</v>
      </c>
      <c r="AN394" s="122">
        <v>2875</v>
      </c>
      <c r="AO394" s="122">
        <v>1065</v>
      </c>
      <c r="AP394" s="122">
        <v>621</v>
      </c>
      <c r="AQ394">
        <v>230</v>
      </c>
      <c r="AR394" s="122">
        <v>4817</v>
      </c>
      <c r="AS394" s="122">
        <v>4379</v>
      </c>
      <c r="AT394">
        <v>0</v>
      </c>
      <c r="AU394">
        <v>0</v>
      </c>
      <c r="AV394" s="122">
        <v>24574</v>
      </c>
    </row>
    <row r="395" spans="2:48" ht="12.75" hidden="1" customHeight="1">
      <c r="B395" t="s">
        <v>365</v>
      </c>
      <c r="C395" t="s">
        <v>52</v>
      </c>
      <c r="D395" t="s">
        <v>406</v>
      </c>
      <c r="E395" t="s">
        <v>426</v>
      </c>
      <c r="F395">
        <v>1</v>
      </c>
      <c r="G395" s="122">
        <v>225</v>
      </c>
      <c r="H395" s="122">
        <v>113</v>
      </c>
      <c r="I395" s="122">
        <v>13136</v>
      </c>
      <c r="J395" s="122">
        <v>11942</v>
      </c>
      <c r="K395">
        <v>86</v>
      </c>
      <c r="L395" s="122">
        <v>1924</v>
      </c>
      <c r="M395" s="122">
        <v>1749</v>
      </c>
      <c r="N395" s="122">
        <v>4245</v>
      </c>
      <c r="O395" s="122">
        <v>1572</v>
      </c>
      <c r="P395" s="122">
        <v>621</v>
      </c>
      <c r="Q395" s="122">
        <v>230</v>
      </c>
      <c r="R395" s="122">
        <v>5558</v>
      </c>
      <c r="S395" s="122">
        <v>5053</v>
      </c>
      <c r="T395" s="122">
        <v>0</v>
      </c>
      <c r="U395" s="122">
        <v>0</v>
      </c>
      <c r="V395" s="122">
        <v>20546</v>
      </c>
      <c r="W395" s="122">
        <f t="shared" si="12"/>
        <v>20546</v>
      </c>
      <c r="X395" s="122">
        <f t="shared" si="13"/>
        <v>25484</v>
      </c>
      <c r="Y395" s="122"/>
      <c r="AA395" t="s">
        <v>52</v>
      </c>
      <c r="AB395" t="s">
        <v>407</v>
      </c>
      <c r="AC395" t="s">
        <v>578</v>
      </c>
      <c r="AD395" t="s">
        <v>407</v>
      </c>
      <c r="AE395" t="s">
        <v>137</v>
      </c>
      <c r="AF395">
        <v>2</v>
      </c>
      <c r="AG395">
        <v>347</v>
      </c>
      <c r="AH395">
        <v>241</v>
      </c>
      <c r="AI395" s="122">
        <v>18585</v>
      </c>
      <c r="AJ395" s="122">
        <v>16895</v>
      </c>
      <c r="AK395">
        <v>92</v>
      </c>
      <c r="AL395" s="122">
        <v>6376</v>
      </c>
      <c r="AM395" s="122">
        <v>5796</v>
      </c>
      <c r="AN395" s="122">
        <v>6350</v>
      </c>
      <c r="AO395" s="122">
        <v>2352</v>
      </c>
      <c r="AP395" s="122">
        <v>1647</v>
      </c>
      <c r="AQ395">
        <v>610</v>
      </c>
      <c r="AR395" s="122">
        <v>8747</v>
      </c>
      <c r="AS395" s="122">
        <v>7952</v>
      </c>
      <c r="AT395">
        <v>0</v>
      </c>
      <c r="AU395">
        <v>0</v>
      </c>
      <c r="AV395" s="122">
        <v>33605</v>
      </c>
    </row>
    <row r="396" spans="2:48" ht="12.75" hidden="1" customHeight="1">
      <c r="B396" t="s">
        <v>365</v>
      </c>
      <c r="C396" t="s">
        <v>52</v>
      </c>
      <c r="D396" t="s">
        <v>407</v>
      </c>
      <c r="E396" t="s">
        <v>407</v>
      </c>
      <c r="F396">
        <v>347</v>
      </c>
      <c r="G396" s="122">
        <v>65665</v>
      </c>
      <c r="H396" s="122">
        <v>40426</v>
      </c>
      <c r="I396" s="122">
        <v>4172542</v>
      </c>
      <c r="J396" s="122">
        <v>3793220</v>
      </c>
      <c r="K396">
        <v>90</v>
      </c>
      <c r="L396" s="122">
        <v>789180</v>
      </c>
      <c r="M396" s="122">
        <v>1234108</v>
      </c>
      <c r="N396" s="122">
        <v>1152335</v>
      </c>
      <c r="O396" s="122">
        <v>426791</v>
      </c>
      <c r="P396" s="122">
        <v>196870</v>
      </c>
      <c r="Q396" s="122">
        <v>72915</v>
      </c>
      <c r="R396" s="122">
        <v>1626587</v>
      </c>
      <c r="S396" s="122">
        <v>1478716</v>
      </c>
      <c r="T396" s="122">
        <v>8885</v>
      </c>
      <c r="U396" s="122">
        <v>3291</v>
      </c>
      <c r="V396" s="122">
        <v>7009040</v>
      </c>
      <c r="W396" s="122">
        <f t="shared" si="12"/>
        <v>7009041</v>
      </c>
      <c r="X396" s="122">
        <f t="shared" si="13"/>
        <v>7946399</v>
      </c>
      <c r="Y396" s="122"/>
      <c r="AA396" t="s">
        <v>52</v>
      </c>
      <c r="AB396" t="s">
        <v>407</v>
      </c>
      <c r="AC396" t="s">
        <v>578</v>
      </c>
      <c r="AD396" t="s">
        <v>407</v>
      </c>
      <c r="AE396" t="s">
        <v>566</v>
      </c>
      <c r="AF396">
        <v>2</v>
      </c>
      <c r="AG396" s="122">
        <v>521</v>
      </c>
      <c r="AH396">
        <v>231</v>
      </c>
      <c r="AI396" s="122">
        <v>31558</v>
      </c>
      <c r="AJ396" s="122">
        <v>28689</v>
      </c>
      <c r="AK396">
        <v>91</v>
      </c>
      <c r="AL396" s="122">
        <v>4966</v>
      </c>
      <c r="AM396" s="122">
        <v>4515</v>
      </c>
      <c r="AN396" s="122">
        <v>10260</v>
      </c>
      <c r="AO396" s="122">
        <v>3800</v>
      </c>
      <c r="AP396" s="122">
        <v>945</v>
      </c>
      <c r="AQ396" s="122">
        <v>350</v>
      </c>
      <c r="AR396" s="122">
        <v>12290</v>
      </c>
      <c r="AS396" s="122">
        <v>11173</v>
      </c>
      <c r="AT396" s="122">
        <v>0</v>
      </c>
      <c r="AU396" s="122">
        <v>0</v>
      </c>
      <c r="AV396" s="122">
        <v>48527</v>
      </c>
    </row>
    <row r="397" spans="2:48" ht="12.75" hidden="1" customHeight="1">
      <c r="B397" t="s">
        <v>365</v>
      </c>
      <c r="C397" t="s">
        <v>52</v>
      </c>
      <c r="D397" t="s">
        <v>426</v>
      </c>
      <c r="E397" t="s">
        <v>426</v>
      </c>
      <c r="F397">
        <v>1</v>
      </c>
      <c r="G397" s="122">
        <v>194</v>
      </c>
      <c r="H397" s="122">
        <v>122</v>
      </c>
      <c r="I397" s="122">
        <v>18683</v>
      </c>
      <c r="J397" s="122">
        <v>16985</v>
      </c>
      <c r="K397">
        <v>65</v>
      </c>
      <c r="L397" s="122">
        <v>2076</v>
      </c>
      <c r="M397" s="122">
        <v>1887</v>
      </c>
      <c r="N397" s="122">
        <v>2600</v>
      </c>
      <c r="O397" s="122">
        <v>963</v>
      </c>
      <c r="P397" s="122">
        <v>351</v>
      </c>
      <c r="Q397" s="122">
        <v>130</v>
      </c>
      <c r="R397" s="122">
        <v>1725</v>
      </c>
      <c r="S397" s="122">
        <v>1568</v>
      </c>
      <c r="T397" s="122">
        <v>-1692</v>
      </c>
      <c r="U397">
        <v>-627</v>
      </c>
      <c r="V397" s="122">
        <v>20907</v>
      </c>
      <c r="W397" s="122">
        <f t="shared" si="12"/>
        <v>22160</v>
      </c>
      <c r="X397" s="122">
        <f t="shared" si="13"/>
        <v>27127</v>
      </c>
      <c r="Y397" s="122"/>
      <c r="AA397" t="s">
        <v>52</v>
      </c>
      <c r="AB397" t="s">
        <v>407</v>
      </c>
      <c r="AC397" t="s">
        <v>137</v>
      </c>
      <c r="AD397" t="s">
        <v>407</v>
      </c>
      <c r="AE397" t="s">
        <v>137</v>
      </c>
      <c r="AF397">
        <v>8</v>
      </c>
      <c r="AG397" s="122">
        <v>1583</v>
      </c>
      <c r="AH397" s="122">
        <v>950</v>
      </c>
      <c r="AI397" s="122">
        <v>91979</v>
      </c>
      <c r="AJ397" s="122">
        <v>83617</v>
      </c>
      <c r="AK397">
        <v>86</v>
      </c>
      <c r="AL397" s="122">
        <v>21597</v>
      </c>
      <c r="AM397" s="122">
        <v>7999</v>
      </c>
      <c r="AN397" s="122">
        <v>28647</v>
      </c>
      <c r="AO397" s="122">
        <v>10610</v>
      </c>
      <c r="AP397" s="122">
        <v>8007</v>
      </c>
      <c r="AQ397" s="122">
        <v>2965</v>
      </c>
      <c r="AR397" s="122">
        <v>40810</v>
      </c>
      <c r="AS397" s="122">
        <v>37100</v>
      </c>
      <c r="AT397" s="122">
        <v>4564</v>
      </c>
      <c r="AU397" s="122">
        <v>1690</v>
      </c>
      <c r="AV397" s="122">
        <v>143982</v>
      </c>
    </row>
    <row r="398" spans="2:48" ht="12.75" hidden="1" customHeight="1">
      <c r="B398" t="s">
        <v>365</v>
      </c>
      <c r="C398" t="s">
        <v>52</v>
      </c>
      <c r="D398" t="s">
        <v>433</v>
      </c>
      <c r="E398" t="s">
        <v>137</v>
      </c>
      <c r="F398">
        <v>1</v>
      </c>
      <c r="G398" s="122">
        <v>123</v>
      </c>
      <c r="H398" s="122">
        <v>120</v>
      </c>
      <c r="I398" s="122">
        <v>4261</v>
      </c>
      <c r="J398" s="122">
        <v>3874</v>
      </c>
      <c r="K398">
        <v>80</v>
      </c>
      <c r="L398" s="122">
        <v>934</v>
      </c>
      <c r="M398" s="122">
        <v>346</v>
      </c>
      <c r="N398" s="122">
        <v>1936</v>
      </c>
      <c r="O398" s="122">
        <v>717</v>
      </c>
      <c r="P398" s="122">
        <v>1103</v>
      </c>
      <c r="Q398" s="122">
        <v>409</v>
      </c>
      <c r="R398" s="122">
        <v>6519</v>
      </c>
      <c r="S398" s="122">
        <v>2415</v>
      </c>
      <c r="T398" s="122">
        <v>0</v>
      </c>
      <c r="U398" s="122">
        <v>0</v>
      </c>
      <c r="V398" s="122">
        <v>7760</v>
      </c>
      <c r="W398" s="122">
        <f t="shared" si="12"/>
        <v>7761</v>
      </c>
      <c r="X398" s="122">
        <f t="shared" si="13"/>
        <v>14753</v>
      </c>
      <c r="Y398" s="122"/>
      <c r="AA398" t="s">
        <v>52</v>
      </c>
      <c r="AB398" t="s">
        <v>407</v>
      </c>
      <c r="AC398" t="s">
        <v>137</v>
      </c>
      <c r="AD398" t="s">
        <v>407</v>
      </c>
      <c r="AE398" t="s">
        <v>566</v>
      </c>
      <c r="AF398">
        <v>57</v>
      </c>
      <c r="AG398" s="122">
        <v>10567</v>
      </c>
      <c r="AH398" s="122">
        <v>6701</v>
      </c>
      <c r="AI398" s="122">
        <v>618456</v>
      </c>
      <c r="AJ398" s="122">
        <v>562233</v>
      </c>
      <c r="AK398">
        <v>90</v>
      </c>
      <c r="AL398" s="122">
        <v>151936</v>
      </c>
      <c r="AM398" s="122">
        <v>56273</v>
      </c>
      <c r="AN398" s="122">
        <v>178740</v>
      </c>
      <c r="AO398" s="122">
        <v>66200</v>
      </c>
      <c r="AP398" s="122">
        <v>39164</v>
      </c>
      <c r="AQ398" s="122">
        <v>14505</v>
      </c>
      <c r="AR398" s="122">
        <v>266178</v>
      </c>
      <c r="AS398" s="122">
        <v>241980</v>
      </c>
      <c r="AT398">
        <v>0</v>
      </c>
      <c r="AU398">
        <v>0</v>
      </c>
      <c r="AV398" s="122">
        <v>941190</v>
      </c>
    </row>
    <row r="399" spans="2:48" ht="12.75" hidden="1" customHeight="1">
      <c r="B399" t="s">
        <v>365</v>
      </c>
      <c r="C399" t="s">
        <v>52</v>
      </c>
      <c r="D399" t="s">
        <v>408</v>
      </c>
      <c r="E399" t="s">
        <v>408</v>
      </c>
      <c r="F399">
        <v>20</v>
      </c>
      <c r="G399" s="122">
        <v>3602</v>
      </c>
      <c r="H399" s="122">
        <v>2288</v>
      </c>
      <c r="I399" s="122">
        <v>244884</v>
      </c>
      <c r="J399" s="122">
        <v>222621</v>
      </c>
      <c r="K399">
        <v>92</v>
      </c>
      <c r="L399" s="122">
        <v>31444</v>
      </c>
      <c r="M399" s="122">
        <v>26206</v>
      </c>
      <c r="N399" s="122">
        <v>62134</v>
      </c>
      <c r="O399" s="122">
        <v>23013</v>
      </c>
      <c r="P399" s="122">
        <v>26197</v>
      </c>
      <c r="Q399" s="122">
        <v>9703</v>
      </c>
      <c r="R399" s="122">
        <v>57610</v>
      </c>
      <c r="S399" s="122">
        <v>52373</v>
      </c>
      <c r="T399">
        <v>0</v>
      </c>
      <c r="U399">
        <v>0</v>
      </c>
      <c r="V399" s="122">
        <v>333916</v>
      </c>
      <c r="W399" s="122">
        <f t="shared" si="12"/>
        <v>333916</v>
      </c>
      <c r="X399" s="122">
        <f t="shared" si="13"/>
        <v>422269</v>
      </c>
      <c r="Y399" s="122"/>
      <c r="AA399" t="s">
        <v>52</v>
      </c>
      <c r="AB399" t="s">
        <v>407</v>
      </c>
      <c r="AC399" t="s">
        <v>580</v>
      </c>
      <c r="AD399" t="s">
        <v>407</v>
      </c>
      <c r="AE399" t="s">
        <v>137</v>
      </c>
      <c r="AF399">
        <v>1</v>
      </c>
      <c r="AG399">
        <v>183</v>
      </c>
      <c r="AH399">
        <v>124</v>
      </c>
      <c r="AI399" s="122">
        <v>14128</v>
      </c>
      <c r="AJ399" s="122">
        <v>12843</v>
      </c>
      <c r="AK399">
        <v>90</v>
      </c>
      <c r="AL399" s="122">
        <v>2360</v>
      </c>
      <c r="AM399" s="122">
        <v>2145</v>
      </c>
      <c r="AN399" s="122">
        <v>4254</v>
      </c>
      <c r="AO399" s="122">
        <v>1575</v>
      </c>
      <c r="AP399">
        <v>473</v>
      </c>
      <c r="AQ399">
        <v>175</v>
      </c>
      <c r="AR399" s="122">
        <v>6184</v>
      </c>
      <c r="AS399" s="122">
        <v>5622</v>
      </c>
      <c r="AT399">
        <v>0</v>
      </c>
      <c r="AU399">
        <v>0</v>
      </c>
      <c r="AV399" s="122">
        <v>22361</v>
      </c>
    </row>
    <row r="400" spans="2:48" ht="12.75" hidden="1" customHeight="1">
      <c r="B400" t="s">
        <v>365</v>
      </c>
      <c r="C400" t="s">
        <v>54</v>
      </c>
      <c r="F400" s="122">
        <v>2</v>
      </c>
      <c r="G400" s="122">
        <v>337</v>
      </c>
      <c r="H400" s="122">
        <v>288</v>
      </c>
      <c r="I400" s="122"/>
      <c r="J400" s="122">
        <v>0</v>
      </c>
      <c r="L400" s="122"/>
      <c r="M400" s="122">
        <v>0</v>
      </c>
      <c r="N400" s="122">
        <v>5387</v>
      </c>
      <c r="O400" s="122">
        <v>1995</v>
      </c>
      <c r="P400" s="122">
        <v>2376</v>
      </c>
      <c r="Q400" s="122">
        <v>880</v>
      </c>
      <c r="R400" s="122"/>
      <c r="S400" s="122">
        <v>0</v>
      </c>
      <c r="T400" s="122">
        <v>0</v>
      </c>
      <c r="U400" s="122">
        <v>0</v>
      </c>
      <c r="V400" s="122">
        <v>2875</v>
      </c>
      <c r="W400" s="122">
        <f t="shared" si="12"/>
        <v>2875</v>
      </c>
      <c r="X400" s="122">
        <f t="shared" si="13"/>
        <v>7763</v>
      </c>
      <c r="Y400" s="122"/>
      <c r="AA400" t="s">
        <v>52</v>
      </c>
      <c r="AB400" t="s">
        <v>407</v>
      </c>
      <c r="AC400" t="s">
        <v>580</v>
      </c>
      <c r="AD400" t="s">
        <v>407</v>
      </c>
      <c r="AE400" t="s">
        <v>566</v>
      </c>
      <c r="AF400">
        <v>1</v>
      </c>
      <c r="AG400" s="122">
        <v>189</v>
      </c>
      <c r="AH400" s="122">
        <v>123</v>
      </c>
      <c r="AI400" s="122">
        <v>10524</v>
      </c>
      <c r="AJ400" s="122">
        <v>9567</v>
      </c>
      <c r="AK400">
        <v>90</v>
      </c>
      <c r="AL400" s="122">
        <v>3516</v>
      </c>
      <c r="AM400" s="122">
        <v>3196</v>
      </c>
      <c r="AN400" s="122">
        <v>3363</v>
      </c>
      <c r="AO400" s="122">
        <v>1246</v>
      </c>
      <c r="AP400" s="122">
        <v>473</v>
      </c>
      <c r="AQ400" s="122">
        <v>175</v>
      </c>
      <c r="AR400" s="122">
        <v>5425</v>
      </c>
      <c r="AS400" s="122">
        <v>4932</v>
      </c>
      <c r="AT400" s="122">
        <v>0</v>
      </c>
      <c r="AU400" s="122">
        <v>0</v>
      </c>
      <c r="AV400" s="122">
        <v>19116</v>
      </c>
    </row>
    <row r="401" spans="2:48" ht="12.75" hidden="1" customHeight="1">
      <c r="B401" t="s">
        <v>365</v>
      </c>
      <c r="C401" t="s">
        <v>54</v>
      </c>
      <c r="D401" t="s">
        <v>425</v>
      </c>
      <c r="E401" t="s">
        <v>425</v>
      </c>
      <c r="F401">
        <v>3</v>
      </c>
      <c r="G401">
        <v>681</v>
      </c>
      <c r="H401">
        <v>396</v>
      </c>
      <c r="I401" s="122">
        <v>52250</v>
      </c>
      <c r="J401" s="122">
        <v>47500</v>
      </c>
      <c r="K401">
        <v>91</v>
      </c>
      <c r="L401" s="122">
        <v>8557</v>
      </c>
      <c r="M401" s="122">
        <v>7779</v>
      </c>
      <c r="N401" s="122">
        <v>12351</v>
      </c>
      <c r="O401" s="122">
        <v>4574</v>
      </c>
      <c r="P401" s="122">
        <v>1418</v>
      </c>
      <c r="Q401">
        <v>525</v>
      </c>
      <c r="R401" s="122">
        <v>15268</v>
      </c>
      <c r="S401" s="122">
        <v>13880</v>
      </c>
      <c r="T401">
        <v>0</v>
      </c>
      <c r="U401">
        <v>0</v>
      </c>
      <c r="V401" s="122">
        <v>74258</v>
      </c>
      <c r="W401" s="122">
        <f t="shared" si="12"/>
        <v>74258</v>
      </c>
      <c r="X401" s="122">
        <f t="shared" si="13"/>
        <v>89844</v>
      </c>
      <c r="Y401" s="122"/>
      <c r="AA401" t="s">
        <v>52</v>
      </c>
      <c r="AB401" t="s">
        <v>407</v>
      </c>
      <c r="AC401" t="s">
        <v>427</v>
      </c>
      <c r="AD401" t="s">
        <v>407</v>
      </c>
      <c r="AE401" t="s">
        <v>137</v>
      </c>
      <c r="AF401">
        <v>20</v>
      </c>
      <c r="AG401" s="122">
        <v>3832</v>
      </c>
      <c r="AH401" s="122">
        <v>2331</v>
      </c>
      <c r="AI401" s="122">
        <v>221641</v>
      </c>
      <c r="AJ401" s="122">
        <v>201492</v>
      </c>
      <c r="AK401">
        <v>90</v>
      </c>
      <c r="AL401" s="122">
        <v>66303</v>
      </c>
      <c r="AM401" s="122">
        <v>60276</v>
      </c>
      <c r="AN401" s="122">
        <v>56483</v>
      </c>
      <c r="AO401" s="122">
        <v>20920</v>
      </c>
      <c r="AP401" s="122">
        <v>9680</v>
      </c>
      <c r="AQ401" s="122">
        <v>3585</v>
      </c>
      <c r="AR401" s="122">
        <v>94730</v>
      </c>
      <c r="AS401" s="122">
        <v>86118</v>
      </c>
      <c r="AT401" s="122">
        <v>14137</v>
      </c>
      <c r="AU401" s="122">
        <v>5236</v>
      </c>
      <c r="AV401" s="122">
        <v>377626</v>
      </c>
    </row>
    <row r="402" spans="2:48" ht="12.75" hidden="1" customHeight="1">
      <c r="B402" t="s">
        <v>365</v>
      </c>
      <c r="C402" t="s">
        <v>54</v>
      </c>
      <c r="D402" t="s">
        <v>425</v>
      </c>
      <c r="E402" t="s">
        <v>406</v>
      </c>
      <c r="F402">
        <v>1</v>
      </c>
      <c r="G402">
        <v>151</v>
      </c>
      <c r="H402">
        <v>138</v>
      </c>
      <c r="I402" s="122">
        <v>10279</v>
      </c>
      <c r="J402" s="122">
        <v>9344</v>
      </c>
      <c r="K402">
        <v>86</v>
      </c>
      <c r="L402" s="122">
        <v>3091</v>
      </c>
      <c r="M402" s="122">
        <v>2810</v>
      </c>
      <c r="N402" s="122">
        <v>1837</v>
      </c>
      <c r="O402" s="122">
        <v>680</v>
      </c>
      <c r="P402" s="122">
        <v>621</v>
      </c>
      <c r="Q402">
        <v>230</v>
      </c>
      <c r="R402" s="122">
        <v>5022</v>
      </c>
      <c r="S402" s="122">
        <v>4566</v>
      </c>
      <c r="T402">
        <v>0</v>
      </c>
      <c r="U402">
        <v>0</v>
      </c>
      <c r="V402" s="122">
        <v>17631</v>
      </c>
      <c r="W402" s="122">
        <f t="shared" si="12"/>
        <v>17630</v>
      </c>
      <c r="X402" s="122">
        <f t="shared" si="13"/>
        <v>20850</v>
      </c>
      <c r="Y402" s="122"/>
      <c r="AA402" t="s">
        <v>52</v>
      </c>
      <c r="AB402" t="s">
        <v>407</v>
      </c>
      <c r="AC402" t="s">
        <v>427</v>
      </c>
      <c r="AD402" t="s">
        <v>407</v>
      </c>
      <c r="AE402" t="s">
        <v>566</v>
      </c>
      <c r="AF402">
        <v>57</v>
      </c>
      <c r="AG402" s="122">
        <v>10838</v>
      </c>
      <c r="AH402" s="122">
        <v>6698</v>
      </c>
      <c r="AI402" s="122">
        <v>619920</v>
      </c>
      <c r="AJ402" s="122">
        <v>563564</v>
      </c>
      <c r="AK402">
        <v>90</v>
      </c>
      <c r="AL402" s="122">
        <v>178565</v>
      </c>
      <c r="AM402" s="122">
        <v>162332</v>
      </c>
      <c r="AN402" s="122">
        <v>206750</v>
      </c>
      <c r="AO402" s="122">
        <v>76574</v>
      </c>
      <c r="AP402" s="122">
        <v>37592</v>
      </c>
      <c r="AQ402" s="122">
        <v>13923</v>
      </c>
      <c r="AR402" s="122">
        <v>284877</v>
      </c>
      <c r="AS402" s="122">
        <v>258979</v>
      </c>
      <c r="AT402" s="122">
        <v>3352</v>
      </c>
      <c r="AU402" s="122">
        <v>1242</v>
      </c>
      <c r="AV402" s="122">
        <v>1076613</v>
      </c>
    </row>
    <row r="403" spans="2:48" ht="12.75" hidden="1" customHeight="1">
      <c r="B403" t="s">
        <v>365</v>
      </c>
      <c r="C403" t="s">
        <v>54</v>
      </c>
      <c r="D403" t="s">
        <v>405</v>
      </c>
      <c r="E403" t="s">
        <v>405</v>
      </c>
      <c r="F403">
        <v>109</v>
      </c>
      <c r="G403" s="122">
        <v>20061</v>
      </c>
      <c r="H403" s="122">
        <v>15174</v>
      </c>
      <c r="I403" s="122">
        <v>1621871</v>
      </c>
      <c r="J403" s="122">
        <v>1474428</v>
      </c>
      <c r="K403">
        <v>89</v>
      </c>
      <c r="L403" s="122">
        <v>319173</v>
      </c>
      <c r="M403" s="122">
        <v>282847</v>
      </c>
      <c r="N403" s="122">
        <v>392597</v>
      </c>
      <c r="O403" s="122">
        <v>145406</v>
      </c>
      <c r="P403" s="122">
        <v>62854</v>
      </c>
      <c r="Q403" s="122">
        <v>23279</v>
      </c>
      <c r="R403" s="122">
        <v>551172</v>
      </c>
      <c r="S403" s="122">
        <v>501065</v>
      </c>
      <c r="T403" s="122">
        <v>6849</v>
      </c>
      <c r="U403" s="122">
        <v>2537</v>
      </c>
      <c r="V403" s="122">
        <v>2429562</v>
      </c>
      <c r="W403" s="122">
        <f t="shared" si="12"/>
        <v>2429562</v>
      </c>
      <c r="X403" s="122">
        <f t="shared" si="13"/>
        <v>2954516</v>
      </c>
      <c r="Y403" s="122"/>
      <c r="AA403" t="s">
        <v>52</v>
      </c>
      <c r="AB403" t="s">
        <v>407</v>
      </c>
      <c r="AC403" t="s">
        <v>407</v>
      </c>
      <c r="AD403" t="s">
        <v>137</v>
      </c>
      <c r="AE403" t="s">
        <v>566</v>
      </c>
      <c r="AF403">
        <v>2</v>
      </c>
      <c r="AG403" s="122">
        <v>528</v>
      </c>
      <c r="AH403" s="122">
        <v>226</v>
      </c>
      <c r="AI403" s="122">
        <v>29921</v>
      </c>
      <c r="AJ403" s="122">
        <v>27201</v>
      </c>
      <c r="AK403">
        <v>91</v>
      </c>
      <c r="AL403" s="122">
        <v>11292</v>
      </c>
      <c r="AM403" s="122">
        <v>10266</v>
      </c>
      <c r="AN403" s="122">
        <v>9126</v>
      </c>
      <c r="AO403" s="122">
        <v>3380</v>
      </c>
      <c r="AP403" s="122">
        <v>1296</v>
      </c>
      <c r="AQ403" s="122">
        <v>480</v>
      </c>
      <c r="AR403" s="122">
        <v>9048</v>
      </c>
      <c r="AS403" s="122">
        <v>3351</v>
      </c>
      <c r="AT403" s="122">
        <v>0</v>
      </c>
      <c r="AU403" s="122">
        <v>0</v>
      </c>
      <c r="AV403" s="122">
        <v>44678</v>
      </c>
    </row>
    <row r="404" spans="2:48" ht="12.75" hidden="1" customHeight="1">
      <c r="B404" t="s">
        <v>365</v>
      </c>
      <c r="C404" t="s">
        <v>54</v>
      </c>
      <c r="D404" t="s">
        <v>405</v>
      </c>
      <c r="E404" t="s">
        <v>406</v>
      </c>
      <c r="F404">
        <v>1</v>
      </c>
      <c r="G404">
        <v>227</v>
      </c>
      <c r="H404">
        <v>144</v>
      </c>
      <c r="I404" s="122">
        <v>19665</v>
      </c>
      <c r="J404" s="122">
        <v>17877</v>
      </c>
      <c r="K404">
        <v>90</v>
      </c>
      <c r="L404" s="122">
        <v>3117</v>
      </c>
      <c r="M404" s="122">
        <v>2834</v>
      </c>
      <c r="N404" s="122">
        <v>4288</v>
      </c>
      <c r="O404" s="122">
        <v>1588</v>
      </c>
      <c r="P404" s="122">
        <v>473</v>
      </c>
      <c r="Q404">
        <v>175</v>
      </c>
      <c r="R404" s="122">
        <v>5040</v>
      </c>
      <c r="S404" s="122">
        <v>4582</v>
      </c>
      <c r="T404">
        <v>0</v>
      </c>
      <c r="U404">
        <v>0</v>
      </c>
      <c r="V404" s="122">
        <v>27056</v>
      </c>
      <c r="W404" s="122">
        <f t="shared" si="12"/>
        <v>27056</v>
      </c>
      <c r="X404" s="122">
        <f t="shared" si="13"/>
        <v>32583</v>
      </c>
      <c r="Y404" s="122"/>
      <c r="AA404" t="s">
        <v>52</v>
      </c>
      <c r="AB404" t="s">
        <v>407</v>
      </c>
      <c r="AC404" t="s">
        <v>407</v>
      </c>
      <c r="AD404" t="s">
        <v>407</v>
      </c>
      <c r="AE404" t="s">
        <v>137</v>
      </c>
      <c r="AF404">
        <v>69</v>
      </c>
      <c r="AG404" s="122">
        <v>13497</v>
      </c>
      <c r="AH404" s="122">
        <v>7948</v>
      </c>
      <c r="AI404" s="122">
        <v>839965</v>
      </c>
      <c r="AJ404" s="122">
        <v>763605</v>
      </c>
      <c r="AK404">
        <v>90</v>
      </c>
      <c r="AL404" s="122">
        <v>138362</v>
      </c>
      <c r="AM404" s="122">
        <v>125783</v>
      </c>
      <c r="AN404" s="122">
        <v>234209</v>
      </c>
      <c r="AO404" s="122">
        <v>86744</v>
      </c>
      <c r="AP404" s="122">
        <v>44208</v>
      </c>
      <c r="AQ404" s="122">
        <v>16373</v>
      </c>
      <c r="AR404" s="122">
        <v>328959</v>
      </c>
      <c r="AS404" s="122">
        <v>299054</v>
      </c>
      <c r="AT404" s="122">
        <v>32127</v>
      </c>
      <c r="AU404" s="122">
        <v>11899</v>
      </c>
      <c r="AV404" s="122">
        <v>1303458</v>
      </c>
    </row>
    <row r="405" spans="2:48" ht="12.75" hidden="1" customHeight="1">
      <c r="B405" t="s">
        <v>365</v>
      </c>
      <c r="C405" t="s">
        <v>54</v>
      </c>
      <c r="D405" t="s">
        <v>137</v>
      </c>
      <c r="E405" t="s">
        <v>137</v>
      </c>
      <c r="F405">
        <v>69</v>
      </c>
      <c r="G405" s="122">
        <v>15149</v>
      </c>
      <c r="H405" s="122">
        <v>9552</v>
      </c>
      <c r="I405" s="122">
        <v>1056259</v>
      </c>
      <c r="J405" s="122">
        <v>391207</v>
      </c>
      <c r="K405">
        <v>315</v>
      </c>
      <c r="L405" s="122">
        <v>271952</v>
      </c>
      <c r="M405" s="122">
        <v>239436</v>
      </c>
      <c r="N405" s="122">
        <v>315552</v>
      </c>
      <c r="O405" s="122">
        <v>116871</v>
      </c>
      <c r="P405" s="122">
        <v>59588</v>
      </c>
      <c r="Q405" s="122">
        <v>22070</v>
      </c>
      <c r="R405" s="122">
        <v>505914</v>
      </c>
      <c r="S405" s="122">
        <v>187375</v>
      </c>
      <c r="T405" s="122">
        <v>0</v>
      </c>
      <c r="U405" s="122">
        <v>0</v>
      </c>
      <c r="V405" s="122">
        <v>956959</v>
      </c>
      <c r="W405" s="122">
        <f t="shared" si="12"/>
        <v>956959</v>
      </c>
      <c r="X405" s="122">
        <f t="shared" si="13"/>
        <v>2209265</v>
      </c>
      <c r="Y405" s="122"/>
      <c r="AA405" t="s">
        <v>52</v>
      </c>
      <c r="AB405" t="s">
        <v>407</v>
      </c>
      <c r="AC405" t="s">
        <v>407</v>
      </c>
      <c r="AD405" t="s">
        <v>407</v>
      </c>
      <c r="AE405" t="s">
        <v>566</v>
      </c>
      <c r="AF405">
        <v>486</v>
      </c>
      <c r="AG405" s="122">
        <v>98480</v>
      </c>
      <c r="AH405" s="122">
        <v>56837</v>
      </c>
      <c r="AI405" s="122">
        <v>6343060</v>
      </c>
      <c r="AJ405" s="122">
        <v>5766418</v>
      </c>
      <c r="AK405">
        <v>90</v>
      </c>
      <c r="AL405" s="122">
        <v>1163132</v>
      </c>
      <c r="AM405" s="122">
        <v>1057393</v>
      </c>
      <c r="AN405" s="122">
        <v>1806487</v>
      </c>
      <c r="AO405" s="122">
        <v>669069</v>
      </c>
      <c r="AP405" s="122">
        <v>294561</v>
      </c>
      <c r="AQ405" s="122">
        <v>109097</v>
      </c>
      <c r="AR405" s="122">
        <v>2385911</v>
      </c>
      <c r="AS405" s="122">
        <v>2169010</v>
      </c>
      <c r="AT405">
        <v>0</v>
      </c>
      <c r="AU405">
        <v>0</v>
      </c>
      <c r="AV405" s="122">
        <v>9770987</v>
      </c>
    </row>
    <row r="406" spans="2:48" ht="12.75" hidden="1" customHeight="1">
      <c r="B406" t="s">
        <v>365</v>
      </c>
      <c r="C406" t="s">
        <v>54</v>
      </c>
      <c r="D406" t="s">
        <v>406</v>
      </c>
      <c r="E406" t="s">
        <v>425</v>
      </c>
      <c r="F406">
        <v>1</v>
      </c>
      <c r="G406" s="122">
        <v>239</v>
      </c>
      <c r="H406" s="122">
        <v>147</v>
      </c>
      <c r="I406" s="122">
        <v>16438</v>
      </c>
      <c r="J406" s="122">
        <v>14943</v>
      </c>
      <c r="K406">
        <v>86</v>
      </c>
      <c r="L406" s="122">
        <v>5217</v>
      </c>
      <c r="M406" s="122">
        <v>4743</v>
      </c>
      <c r="N406" s="122">
        <v>5833</v>
      </c>
      <c r="O406" s="122">
        <v>2160</v>
      </c>
      <c r="P406" s="122">
        <v>621</v>
      </c>
      <c r="Q406" s="122">
        <v>230</v>
      </c>
      <c r="R406" s="122">
        <v>7045</v>
      </c>
      <c r="S406" s="122">
        <v>6405</v>
      </c>
      <c r="T406" s="122">
        <v>0</v>
      </c>
      <c r="U406" s="122">
        <v>0</v>
      </c>
      <c r="V406" s="122">
        <v>28482</v>
      </c>
      <c r="W406" s="122">
        <f t="shared" si="12"/>
        <v>28481</v>
      </c>
      <c r="X406" s="122">
        <f t="shared" si="13"/>
        <v>35154</v>
      </c>
      <c r="Y406" s="122"/>
      <c r="AA406" t="s">
        <v>52</v>
      </c>
      <c r="AB406" t="s">
        <v>407</v>
      </c>
      <c r="AC406" t="s">
        <v>579</v>
      </c>
      <c r="AD406" t="s">
        <v>137</v>
      </c>
      <c r="AE406" t="s">
        <v>566</v>
      </c>
      <c r="AF406">
        <v>6</v>
      </c>
      <c r="AG406" s="122">
        <v>1240</v>
      </c>
      <c r="AH406" s="122">
        <v>652</v>
      </c>
      <c r="AI406" s="122">
        <v>73585</v>
      </c>
      <c r="AJ406" s="122">
        <v>66895</v>
      </c>
      <c r="AK406">
        <v>89</v>
      </c>
      <c r="AL406" s="122">
        <v>16246</v>
      </c>
      <c r="AM406" s="122">
        <v>13538</v>
      </c>
      <c r="AN406" s="122">
        <v>19388</v>
      </c>
      <c r="AO406" s="122">
        <v>7181</v>
      </c>
      <c r="AP406" s="122">
        <v>7145</v>
      </c>
      <c r="AQ406" s="122">
        <v>2646</v>
      </c>
      <c r="AR406" s="122">
        <v>21617</v>
      </c>
      <c r="AS406" s="122">
        <v>8006</v>
      </c>
      <c r="AT406" s="122">
        <v>0</v>
      </c>
      <c r="AU406" s="122">
        <v>0</v>
      </c>
      <c r="AV406" s="122">
        <v>98267</v>
      </c>
    </row>
    <row r="407" spans="2:48" ht="12.75" hidden="1" customHeight="1">
      <c r="B407" t="s">
        <v>365</v>
      </c>
      <c r="C407" t="s">
        <v>54</v>
      </c>
      <c r="D407" t="s">
        <v>406</v>
      </c>
      <c r="E407" t="s">
        <v>137</v>
      </c>
      <c r="F407">
        <v>9</v>
      </c>
      <c r="G407" s="122">
        <v>2123</v>
      </c>
      <c r="H407" s="122">
        <v>1232</v>
      </c>
      <c r="I407" s="122">
        <v>152410</v>
      </c>
      <c r="J407" s="122">
        <v>138554</v>
      </c>
      <c r="K407">
        <v>92</v>
      </c>
      <c r="L407" s="122">
        <v>36347</v>
      </c>
      <c r="M407" s="122">
        <v>33043</v>
      </c>
      <c r="N407" s="122">
        <v>37975</v>
      </c>
      <c r="O407" s="122">
        <v>14065</v>
      </c>
      <c r="P407" s="122">
        <v>5940</v>
      </c>
      <c r="Q407" s="122">
        <v>2200</v>
      </c>
      <c r="R407" s="122">
        <v>55923</v>
      </c>
      <c r="S407" s="122">
        <v>20712</v>
      </c>
      <c r="T407" s="122">
        <v>2301</v>
      </c>
      <c r="U407">
        <v>852</v>
      </c>
      <c r="V407" s="122">
        <v>209426</v>
      </c>
      <c r="W407" s="122">
        <f t="shared" si="12"/>
        <v>209426</v>
      </c>
      <c r="X407" s="122">
        <f t="shared" si="13"/>
        <v>290896</v>
      </c>
      <c r="Y407" s="122"/>
      <c r="AA407" t="s">
        <v>52</v>
      </c>
      <c r="AB407" t="s">
        <v>407</v>
      </c>
      <c r="AC407" t="s">
        <v>579</v>
      </c>
      <c r="AD407" t="s">
        <v>407</v>
      </c>
      <c r="AE407" t="s">
        <v>137</v>
      </c>
      <c r="AF407">
        <v>27</v>
      </c>
      <c r="AG407" s="122">
        <v>5579</v>
      </c>
      <c r="AH407" s="122">
        <v>3181</v>
      </c>
      <c r="AI407" s="122">
        <v>346510</v>
      </c>
      <c r="AJ407" s="122">
        <v>315009</v>
      </c>
      <c r="AK407">
        <v>91</v>
      </c>
      <c r="AL407" s="122">
        <v>78626</v>
      </c>
      <c r="AM407" s="122">
        <v>65522</v>
      </c>
      <c r="AN407" s="122">
        <v>84670</v>
      </c>
      <c r="AO407" s="122">
        <v>31359</v>
      </c>
      <c r="AP407" s="122">
        <v>17522</v>
      </c>
      <c r="AQ407" s="122">
        <v>6490</v>
      </c>
      <c r="AR407" s="122">
        <v>138267</v>
      </c>
      <c r="AS407" s="122">
        <v>125697</v>
      </c>
      <c r="AT407" s="122">
        <v>16362</v>
      </c>
      <c r="AU407" s="122">
        <v>6060</v>
      </c>
      <c r="AV407" s="122">
        <v>550137</v>
      </c>
    </row>
    <row r="408" spans="2:48" ht="12.75" hidden="1" customHeight="1">
      <c r="B408" t="s">
        <v>365</v>
      </c>
      <c r="C408" t="s">
        <v>54</v>
      </c>
      <c r="D408" t="s">
        <v>406</v>
      </c>
      <c r="E408" t="s">
        <v>406</v>
      </c>
      <c r="F408" s="122">
        <v>2034</v>
      </c>
      <c r="G408" s="122">
        <v>408282</v>
      </c>
      <c r="H408" s="122">
        <v>284659</v>
      </c>
      <c r="I408" s="122">
        <v>32606283</v>
      </c>
      <c r="J408" s="122">
        <v>29642075</v>
      </c>
      <c r="K408">
        <v>89</v>
      </c>
      <c r="L408" s="122">
        <v>7180963</v>
      </c>
      <c r="M408" s="122">
        <v>6400893</v>
      </c>
      <c r="N408" s="122">
        <v>8202962</v>
      </c>
      <c r="O408" s="122">
        <v>3038134</v>
      </c>
      <c r="P408" s="122">
        <v>1425148</v>
      </c>
      <c r="Q408" s="122">
        <v>527833</v>
      </c>
      <c r="R408" s="122">
        <v>11124275</v>
      </c>
      <c r="S408" s="122">
        <v>10112978</v>
      </c>
      <c r="T408" s="122">
        <v>398989</v>
      </c>
      <c r="U408" s="122">
        <v>147774</v>
      </c>
      <c r="V408" s="122">
        <v>49869686</v>
      </c>
      <c r="W408" s="122">
        <f t="shared" si="12"/>
        <v>49869687</v>
      </c>
      <c r="X408" s="122">
        <f t="shared" si="13"/>
        <v>60938620</v>
      </c>
      <c r="Y408" s="122"/>
      <c r="AA408" t="s">
        <v>52</v>
      </c>
      <c r="AB408" t="s">
        <v>407</v>
      </c>
      <c r="AC408" t="s">
        <v>579</v>
      </c>
      <c r="AD408" t="s">
        <v>407</v>
      </c>
      <c r="AE408" t="s">
        <v>566</v>
      </c>
      <c r="AF408">
        <v>294</v>
      </c>
      <c r="AG408" s="122">
        <v>63612</v>
      </c>
      <c r="AH408" s="122">
        <v>34181</v>
      </c>
      <c r="AI408" s="122">
        <v>4055893</v>
      </c>
      <c r="AJ408" s="122">
        <v>3687176</v>
      </c>
      <c r="AK408">
        <v>90</v>
      </c>
      <c r="AL408" s="122">
        <v>921939</v>
      </c>
      <c r="AM408" s="122">
        <v>768282</v>
      </c>
      <c r="AN408" s="122">
        <v>1080742</v>
      </c>
      <c r="AO408" s="122">
        <v>400275</v>
      </c>
      <c r="AP408" s="122">
        <v>172956</v>
      </c>
      <c r="AQ408" s="122">
        <v>64058</v>
      </c>
      <c r="AR408" s="122">
        <v>1481419</v>
      </c>
      <c r="AS408" s="122">
        <v>1346744</v>
      </c>
      <c r="AT408">
        <v>0</v>
      </c>
      <c r="AU408">
        <v>0</v>
      </c>
      <c r="AV408" s="122">
        <v>6266535</v>
      </c>
    </row>
    <row r="409" spans="2:48" ht="12.75" hidden="1" customHeight="1">
      <c r="B409" t="s">
        <v>365</v>
      </c>
      <c r="C409" t="s">
        <v>54</v>
      </c>
      <c r="D409" t="s">
        <v>406</v>
      </c>
      <c r="E409" t="s">
        <v>427</v>
      </c>
      <c r="F409">
        <v>2</v>
      </c>
      <c r="G409">
        <v>443</v>
      </c>
      <c r="H409">
        <v>262</v>
      </c>
      <c r="I409" s="122">
        <v>28476</v>
      </c>
      <c r="J409" s="122">
        <v>25887</v>
      </c>
      <c r="K409">
        <v>97</v>
      </c>
      <c r="L409" s="122">
        <v>7863</v>
      </c>
      <c r="M409" s="122">
        <v>7148</v>
      </c>
      <c r="N409" s="122">
        <v>9332</v>
      </c>
      <c r="O409" s="122">
        <v>3456</v>
      </c>
      <c r="P409" s="122">
        <v>1242</v>
      </c>
      <c r="Q409">
        <v>460</v>
      </c>
      <c r="R409" s="122">
        <v>10604</v>
      </c>
      <c r="S409" s="122">
        <v>9640</v>
      </c>
      <c r="T409" s="122">
        <v>0</v>
      </c>
      <c r="U409" s="122">
        <v>0</v>
      </c>
      <c r="V409" s="122">
        <v>46591</v>
      </c>
      <c r="W409" s="122">
        <f t="shared" si="12"/>
        <v>46591</v>
      </c>
      <c r="X409" s="122">
        <f t="shared" si="13"/>
        <v>57517</v>
      </c>
      <c r="Y409" s="122"/>
      <c r="AA409" t="s">
        <v>52</v>
      </c>
      <c r="AB409" t="s">
        <v>407</v>
      </c>
      <c r="AC409" t="s">
        <v>428</v>
      </c>
      <c r="AD409" t="s">
        <v>407</v>
      </c>
      <c r="AE409" t="s">
        <v>566</v>
      </c>
      <c r="AF409">
        <v>6</v>
      </c>
      <c r="AG409">
        <v>952</v>
      </c>
      <c r="AH409">
        <v>724</v>
      </c>
      <c r="AI409" s="122">
        <v>66090</v>
      </c>
      <c r="AJ409" s="122">
        <v>60082</v>
      </c>
      <c r="AK409">
        <v>90</v>
      </c>
      <c r="AL409" s="122">
        <v>15436</v>
      </c>
      <c r="AM409" s="122">
        <v>14033</v>
      </c>
      <c r="AN409" s="122">
        <v>16947</v>
      </c>
      <c r="AO409" s="122">
        <v>6277</v>
      </c>
      <c r="AP409" s="122">
        <v>2835</v>
      </c>
      <c r="AQ409" s="122">
        <v>1050</v>
      </c>
      <c r="AR409" s="122">
        <v>24882</v>
      </c>
      <c r="AS409" s="122">
        <v>22620</v>
      </c>
      <c r="AT409">
        <v>0</v>
      </c>
      <c r="AU409">
        <v>0</v>
      </c>
      <c r="AV409" s="122">
        <v>104062</v>
      </c>
    </row>
    <row r="410" spans="2:48" ht="12.75" hidden="1" customHeight="1">
      <c r="B410" t="s">
        <v>365</v>
      </c>
      <c r="C410" t="s">
        <v>54</v>
      </c>
      <c r="D410" t="s">
        <v>406</v>
      </c>
      <c r="E410" t="s">
        <v>426</v>
      </c>
      <c r="F410">
        <v>2</v>
      </c>
      <c r="G410" s="122">
        <v>427</v>
      </c>
      <c r="H410" s="122">
        <v>292</v>
      </c>
      <c r="I410" s="122">
        <v>32322</v>
      </c>
      <c r="J410" s="122">
        <v>29383</v>
      </c>
      <c r="K410">
        <v>89</v>
      </c>
      <c r="L410" s="122">
        <v>6566</v>
      </c>
      <c r="M410" s="122">
        <v>5969</v>
      </c>
      <c r="N410" s="122">
        <v>7653</v>
      </c>
      <c r="O410" s="122">
        <v>2835</v>
      </c>
      <c r="P410" s="122">
        <v>1242</v>
      </c>
      <c r="Q410" s="122">
        <v>460</v>
      </c>
      <c r="R410" s="122">
        <v>10538</v>
      </c>
      <c r="S410" s="122">
        <v>9580</v>
      </c>
      <c r="T410" s="122">
        <v>3850</v>
      </c>
      <c r="U410" s="122">
        <v>1426</v>
      </c>
      <c r="V410" s="122">
        <v>49652</v>
      </c>
      <c r="W410" s="122">
        <f t="shared" si="12"/>
        <v>49653</v>
      </c>
      <c r="X410" s="122">
        <f t="shared" si="13"/>
        <v>62171</v>
      </c>
      <c r="Y410" s="122"/>
      <c r="AA410" t="s">
        <v>52</v>
      </c>
      <c r="AB410" t="s">
        <v>407</v>
      </c>
      <c r="AC410" t="s">
        <v>431</v>
      </c>
      <c r="AD410" t="s">
        <v>407</v>
      </c>
      <c r="AE410" t="s">
        <v>566</v>
      </c>
      <c r="AF410">
        <v>2</v>
      </c>
      <c r="AG410" s="122">
        <v>372</v>
      </c>
      <c r="AH410">
        <v>239</v>
      </c>
      <c r="AI410" s="122">
        <v>23844</v>
      </c>
      <c r="AJ410" s="122">
        <v>21676</v>
      </c>
      <c r="AK410">
        <v>91</v>
      </c>
      <c r="AL410" s="122">
        <v>4000</v>
      </c>
      <c r="AM410" s="122">
        <v>3636</v>
      </c>
      <c r="AN410" s="122">
        <v>7117</v>
      </c>
      <c r="AO410" s="122">
        <v>2636</v>
      </c>
      <c r="AP410" s="122">
        <v>945</v>
      </c>
      <c r="AQ410" s="122">
        <v>350</v>
      </c>
      <c r="AR410" s="122">
        <v>8950</v>
      </c>
      <c r="AS410" s="122">
        <v>8136</v>
      </c>
      <c r="AT410">
        <v>0</v>
      </c>
      <c r="AU410">
        <v>0</v>
      </c>
      <c r="AV410" s="122">
        <v>36434</v>
      </c>
    </row>
    <row r="411" spans="2:48" ht="12.75" hidden="1" customHeight="1">
      <c r="B411" t="s">
        <v>365</v>
      </c>
      <c r="C411" t="s">
        <v>54</v>
      </c>
      <c r="D411" t="s">
        <v>407</v>
      </c>
      <c r="E411" t="s">
        <v>425</v>
      </c>
      <c r="F411">
        <v>1</v>
      </c>
      <c r="G411">
        <v>157</v>
      </c>
      <c r="H411" s="122">
        <v>149</v>
      </c>
      <c r="I411" s="122">
        <v>13285</v>
      </c>
      <c r="J411" s="122">
        <v>12077</v>
      </c>
      <c r="K411">
        <v>91</v>
      </c>
      <c r="L411" s="122">
        <v>2126</v>
      </c>
      <c r="M411" s="122">
        <v>1932</v>
      </c>
      <c r="N411" s="122">
        <v>2531</v>
      </c>
      <c r="O411" s="122">
        <v>937</v>
      </c>
      <c r="P411" s="122">
        <v>473</v>
      </c>
      <c r="Q411" s="122">
        <v>175</v>
      </c>
      <c r="R411" s="122">
        <v>5081</v>
      </c>
      <c r="S411" s="122">
        <v>4619</v>
      </c>
      <c r="T411">
        <v>0</v>
      </c>
      <c r="U411">
        <v>0</v>
      </c>
      <c r="V411" s="122">
        <v>19741</v>
      </c>
      <c r="W411" s="122">
        <f t="shared" si="12"/>
        <v>19740</v>
      </c>
      <c r="X411" s="122">
        <f t="shared" si="13"/>
        <v>23496</v>
      </c>
      <c r="Y411" s="122"/>
      <c r="AA411" t="s">
        <v>52</v>
      </c>
      <c r="AB411" t="s">
        <v>407</v>
      </c>
      <c r="AC411" t="s">
        <v>426</v>
      </c>
      <c r="AD411" t="s">
        <v>137</v>
      </c>
      <c r="AE411" t="s">
        <v>566</v>
      </c>
      <c r="AF411">
        <v>6</v>
      </c>
      <c r="AG411" s="122">
        <v>1140</v>
      </c>
      <c r="AH411" s="122">
        <v>685</v>
      </c>
      <c r="AI411" s="122">
        <v>69625</v>
      </c>
      <c r="AJ411" s="122">
        <v>63296</v>
      </c>
      <c r="AK411">
        <v>91</v>
      </c>
      <c r="AL411" s="122">
        <v>11556</v>
      </c>
      <c r="AM411" s="122">
        <v>10505</v>
      </c>
      <c r="AN411" s="122">
        <v>18949</v>
      </c>
      <c r="AO411" s="122">
        <v>7018</v>
      </c>
      <c r="AP411" s="122">
        <v>3888</v>
      </c>
      <c r="AQ411" s="122">
        <v>1440</v>
      </c>
      <c r="AR411" s="122">
        <v>26869</v>
      </c>
      <c r="AS411" s="122">
        <v>9951</v>
      </c>
      <c r="AT411" s="122">
        <v>0</v>
      </c>
      <c r="AU411" s="122">
        <v>0</v>
      </c>
      <c r="AV411" s="122">
        <v>92210</v>
      </c>
    </row>
    <row r="412" spans="2:48" ht="12.75" hidden="1" customHeight="1">
      <c r="B412" t="s">
        <v>365</v>
      </c>
      <c r="C412" t="s">
        <v>54</v>
      </c>
      <c r="D412" t="s">
        <v>407</v>
      </c>
      <c r="E412" t="s">
        <v>405</v>
      </c>
      <c r="F412">
        <v>4</v>
      </c>
      <c r="G412" s="122">
        <v>742</v>
      </c>
      <c r="H412" s="122">
        <v>576</v>
      </c>
      <c r="I412" s="122">
        <v>54615</v>
      </c>
      <c r="J412" s="122">
        <v>49650</v>
      </c>
      <c r="K412">
        <v>83</v>
      </c>
      <c r="L412" s="122">
        <v>12814</v>
      </c>
      <c r="M412" s="122">
        <v>11649</v>
      </c>
      <c r="N412" s="122">
        <v>13973</v>
      </c>
      <c r="O412" s="122">
        <v>5175</v>
      </c>
      <c r="P412" s="122">
        <v>1890</v>
      </c>
      <c r="Q412" s="122">
        <v>700</v>
      </c>
      <c r="R412" s="122">
        <v>23262</v>
      </c>
      <c r="S412" s="122">
        <v>21147</v>
      </c>
      <c r="T412" s="122">
        <v>0</v>
      </c>
      <c r="U412" s="122">
        <v>0</v>
      </c>
      <c r="V412" s="122">
        <v>88321</v>
      </c>
      <c r="W412" s="122">
        <f t="shared" si="12"/>
        <v>88321</v>
      </c>
      <c r="X412" s="122">
        <f t="shared" si="13"/>
        <v>106554</v>
      </c>
      <c r="Y412" s="122"/>
      <c r="AA412" t="s">
        <v>52</v>
      </c>
      <c r="AB412" t="s">
        <v>407</v>
      </c>
      <c r="AC412" t="s">
        <v>426</v>
      </c>
      <c r="AD412" t="s">
        <v>407</v>
      </c>
      <c r="AE412" t="s">
        <v>137</v>
      </c>
      <c r="AF412">
        <v>58</v>
      </c>
      <c r="AG412" s="122">
        <v>12520</v>
      </c>
      <c r="AH412" s="122">
        <v>6815</v>
      </c>
      <c r="AI412" s="122">
        <v>774106</v>
      </c>
      <c r="AJ412" s="122">
        <v>703733</v>
      </c>
      <c r="AK412">
        <v>90</v>
      </c>
      <c r="AL412" s="122">
        <v>197558</v>
      </c>
      <c r="AM412" s="122">
        <v>179599</v>
      </c>
      <c r="AN412" s="122">
        <v>244982</v>
      </c>
      <c r="AO412" s="122">
        <v>90734</v>
      </c>
      <c r="AP412" s="122">
        <v>31853</v>
      </c>
      <c r="AQ412" s="122">
        <v>11797</v>
      </c>
      <c r="AR412" s="122">
        <v>262865</v>
      </c>
      <c r="AS412" s="122">
        <v>238968</v>
      </c>
      <c r="AT412" s="122">
        <v>13189</v>
      </c>
      <c r="AU412" s="122">
        <v>4885</v>
      </c>
      <c r="AV412" s="122">
        <v>1229716</v>
      </c>
    </row>
    <row r="413" spans="2:48" ht="12.75" hidden="1" customHeight="1">
      <c r="B413" t="s">
        <v>365</v>
      </c>
      <c r="C413" t="s">
        <v>54</v>
      </c>
      <c r="D413" t="s">
        <v>407</v>
      </c>
      <c r="E413" t="s">
        <v>407</v>
      </c>
      <c r="F413" s="122">
        <v>1084</v>
      </c>
      <c r="G413" s="122">
        <v>187216</v>
      </c>
      <c r="H413" s="122">
        <v>151745</v>
      </c>
      <c r="I413" s="122">
        <v>14212772</v>
      </c>
      <c r="J413" s="122">
        <v>12920701</v>
      </c>
      <c r="K413">
        <v>87</v>
      </c>
      <c r="L413" s="122">
        <v>3255391</v>
      </c>
      <c r="M413" s="122">
        <v>2876711</v>
      </c>
      <c r="N413" s="122">
        <v>3716641</v>
      </c>
      <c r="O413" s="122">
        <v>1376534</v>
      </c>
      <c r="P413" s="122">
        <v>561204</v>
      </c>
      <c r="Q413" s="122">
        <v>207853</v>
      </c>
      <c r="R413" s="122">
        <v>5645653</v>
      </c>
      <c r="S413" s="122">
        <v>5132412</v>
      </c>
      <c r="T413" s="122">
        <v>99899</v>
      </c>
      <c r="U413" s="122">
        <v>37000</v>
      </c>
      <c r="V413" s="122">
        <v>22551211</v>
      </c>
      <c r="W413" s="122">
        <f t="shared" si="12"/>
        <v>22551211</v>
      </c>
      <c r="X413" s="122">
        <f t="shared" si="13"/>
        <v>27491560</v>
      </c>
      <c r="Y413" s="122"/>
      <c r="AA413" t="s">
        <v>52</v>
      </c>
      <c r="AB413" t="s">
        <v>407</v>
      </c>
      <c r="AC413" t="s">
        <v>426</v>
      </c>
      <c r="AD413" t="s">
        <v>407</v>
      </c>
      <c r="AE413" t="s">
        <v>566</v>
      </c>
      <c r="AF413">
        <v>231</v>
      </c>
      <c r="AG413" s="122">
        <v>41825</v>
      </c>
      <c r="AH413" s="122">
        <v>26875</v>
      </c>
      <c r="AI413" s="122">
        <v>2566508</v>
      </c>
      <c r="AJ413" s="122">
        <v>2333189</v>
      </c>
      <c r="AK413">
        <v>90</v>
      </c>
      <c r="AL413" s="122">
        <v>577565</v>
      </c>
      <c r="AM413" s="122">
        <v>525059</v>
      </c>
      <c r="AN413" s="122">
        <v>699057</v>
      </c>
      <c r="AO413" s="122">
        <v>258910</v>
      </c>
      <c r="AP413" s="122">
        <v>157001</v>
      </c>
      <c r="AQ413" s="122">
        <v>58148</v>
      </c>
      <c r="AR413" s="122">
        <v>1079440</v>
      </c>
      <c r="AS413" s="122">
        <v>981309</v>
      </c>
      <c r="AT413">
        <v>0</v>
      </c>
      <c r="AU413">
        <v>0</v>
      </c>
      <c r="AV413" s="122">
        <v>4156616</v>
      </c>
    </row>
    <row r="414" spans="2:48" ht="12.75" hidden="1" customHeight="1">
      <c r="B414" t="s">
        <v>365</v>
      </c>
      <c r="C414" t="s">
        <v>54</v>
      </c>
      <c r="D414" t="s">
        <v>426</v>
      </c>
      <c r="E414" t="s">
        <v>406</v>
      </c>
      <c r="F414" s="122">
        <v>1</v>
      </c>
      <c r="G414" s="122">
        <v>257</v>
      </c>
      <c r="H414" s="122">
        <v>142</v>
      </c>
      <c r="I414" s="122">
        <v>18754</v>
      </c>
      <c r="J414" s="122">
        <v>17049</v>
      </c>
      <c r="K414">
        <v>86</v>
      </c>
      <c r="L414" s="122">
        <v>5953</v>
      </c>
      <c r="M414" s="122">
        <v>5411</v>
      </c>
      <c r="N414" s="122">
        <v>4673</v>
      </c>
      <c r="O414" s="122">
        <v>1731</v>
      </c>
      <c r="P414" s="122">
        <v>621</v>
      </c>
      <c r="Q414" s="122">
        <v>230</v>
      </c>
      <c r="R414" s="122">
        <v>6533</v>
      </c>
      <c r="S414" s="122">
        <v>5939</v>
      </c>
      <c r="T414" s="122">
        <v>0</v>
      </c>
      <c r="U414" s="122">
        <v>0</v>
      </c>
      <c r="V414" s="122">
        <v>30360</v>
      </c>
      <c r="W414" s="122">
        <f t="shared" si="12"/>
        <v>30360</v>
      </c>
      <c r="X414" s="122">
        <f t="shared" si="13"/>
        <v>36534</v>
      </c>
      <c r="Y414" s="122"/>
      <c r="AA414" t="s">
        <v>52</v>
      </c>
      <c r="AB414" t="s">
        <v>407</v>
      </c>
      <c r="AC414" t="s">
        <v>566</v>
      </c>
      <c r="AD414" t="s">
        <v>405</v>
      </c>
      <c r="AE414" t="s">
        <v>566</v>
      </c>
      <c r="AF414">
        <v>1</v>
      </c>
      <c r="AG414" s="122">
        <v>152</v>
      </c>
      <c r="AH414" s="122">
        <v>106</v>
      </c>
      <c r="AI414" s="122">
        <v>16134</v>
      </c>
      <c r="AJ414" s="122">
        <v>14667</v>
      </c>
      <c r="AK414">
        <v>90</v>
      </c>
      <c r="AL414">
        <v>0</v>
      </c>
      <c r="AM414" s="122">
        <v>0</v>
      </c>
      <c r="AN414" s="122">
        <v>3583</v>
      </c>
      <c r="AO414" s="122">
        <v>1327</v>
      </c>
      <c r="AP414" s="122">
        <v>473</v>
      </c>
      <c r="AQ414" s="122">
        <v>175</v>
      </c>
      <c r="AR414" s="122">
        <v>6125</v>
      </c>
      <c r="AS414" s="122">
        <v>5568</v>
      </c>
      <c r="AT414" s="122">
        <v>0</v>
      </c>
      <c r="AU414" s="122">
        <v>0</v>
      </c>
      <c r="AV414" s="122">
        <v>21738</v>
      </c>
    </row>
    <row r="415" spans="2:48" ht="12.75" hidden="1" customHeight="1">
      <c r="B415" t="s">
        <v>365</v>
      </c>
      <c r="C415" t="s">
        <v>54</v>
      </c>
      <c r="D415" t="s">
        <v>426</v>
      </c>
      <c r="E415" t="s">
        <v>426</v>
      </c>
      <c r="F415">
        <v>2</v>
      </c>
      <c r="G415">
        <v>337</v>
      </c>
      <c r="H415">
        <v>288</v>
      </c>
      <c r="I415" s="122">
        <v>29155</v>
      </c>
      <c r="J415" s="122">
        <v>26504</v>
      </c>
      <c r="K415">
        <v>72</v>
      </c>
      <c r="L415" s="122">
        <v>684</v>
      </c>
      <c r="M415" s="122">
        <v>622</v>
      </c>
      <c r="N415" s="122">
        <v>4106</v>
      </c>
      <c r="O415" s="122">
        <v>1521</v>
      </c>
      <c r="P415" s="122">
        <v>2124</v>
      </c>
      <c r="Q415">
        <v>787</v>
      </c>
      <c r="R415" s="122">
        <v>7581</v>
      </c>
      <c r="S415" s="122">
        <v>6892</v>
      </c>
      <c r="T415" s="122">
        <v>4174</v>
      </c>
      <c r="U415" s="122">
        <v>1546</v>
      </c>
      <c r="V415" s="122">
        <v>37871</v>
      </c>
      <c r="W415" s="122">
        <f t="shared" si="12"/>
        <v>37872</v>
      </c>
      <c r="X415" s="122">
        <f t="shared" si="13"/>
        <v>47824</v>
      </c>
      <c r="Y415" s="122"/>
      <c r="AA415" t="s">
        <v>52</v>
      </c>
      <c r="AB415" t="s">
        <v>407</v>
      </c>
      <c r="AC415" t="s">
        <v>566</v>
      </c>
      <c r="AD415" t="s">
        <v>407</v>
      </c>
      <c r="AE415" t="s">
        <v>137</v>
      </c>
      <c r="AF415">
        <v>11</v>
      </c>
      <c r="AG415" s="122">
        <v>2030</v>
      </c>
      <c r="AH415" s="122">
        <v>1254</v>
      </c>
      <c r="AI415" s="122">
        <v>155180</v>
      </c>
      <c r="AJ415" s="122">
        <v>141073</v>
      </c>
      <c r="AK415">
        <v>91</v>
      </c>
      <c r="AL415" s="122">
        <v>0</v>
      </c>
      <c r="AM415" s="122">
        <v>546976</v>
      </c>
      <c r="AN415" s="122">
        <v>41341</v>
      </c>
      <c r="AO415" s="122">
        <v>15312</v>
      </c>
      <c r="AP415" s="122">
        <v>5076</v>
      </c>
      <c r="AQ415" s="122">
        <v>1880</v>
      </c>
      <c r="AR415" s="122">
        <v>55999</v>
      </c>
      <c r="AS415" s="122">
        <v>50908</v>
      </c>
      <c r="AT415" s="122">
        <v>8633</v>
      </c>
      <c r="AU415" s="122">
        <v>3198</v>
      </c>
      <c r="AV415" s="122">
        <v>759347</v>
      </c>
    </row>
    <row r="416" spans="2:48" ht="12.75" hidden="1" customHeight="1">
      <c r="B416" t="s">
        <v>365</v>
      </c>
      <c r="C416" t="s">
        <v>54</v>
      </c>
      <c r="D416" t="s">
        <v>481</v>
      </c>
      <c r="E416" t="s">
        <v>481</v>
      </c>
      <c r="F416">
        <v>1</v>
      </c>
      <c r="G416" s="122">
        <v>260</v>
      </c>
      <c r="H416" s="122">
        <v>145</v>
      </c>
      <c r="I416" s="122">
        <v>20684</v>
      </c>
      <c r="J416" s="122">
        <v>18804</v>
      </c>
      <c r="K416">
        <v>73</v>
      </c>
      <c r="L416" s="122">
        <v>1958</v>
      </c>
      <c r="M416" s="122">
        <v>1780</v>
      </c>
      <c r="N416" s="122">
        <v>5507</v>
      </c>
      <c r="O416" s="122">
        <v>2040</v>
      </c>
      <c r="P416" s="122">
        <v>351</v>
      </c>
      <c r="Q416" s="122">
        <v>130</v>
      </c>
      <c r="R416" s="122">
        <v>9186</v>
      </c>
      <c r="S416" s="122">
        <v>8351</v>
      </c>
      <c r="T416" s="122">
        <v>0</v>
      </c>
      <c r="U416" s="122">
        <v>0</v>
      </c>
      <c r="V416" s="122">
        <v>31104</v>
      </c>
      <c r="W416" s="122">
        <f t="shared" si="12"/>
        <v>31105</v>
      </c>
      <c r="X416" s="122">
        <f t="shared" si="13"/>
        <v>37686</v>
      </c>
      <c r="Y416" s="122"/>
      <c r="AA416" t="s">
        <v>52</v>
      </c>
      <c r="AB416" t="s">
        <v>407</v>
      </c>
      <c r="AC416" t="s">
        <v>566</v>
      </c>
      <c r="AD416" t="s">
        <v>407</v>
      </c>
      <c r="AE416" t="s">
        <v>566</v>
      </c>
      <c r="AF416">
        <v>175</v>
      </c>
      <c r="AG416" s="122">
        <v>30008</v>
      </c>
      <c r="AH416" s="122">
        <v>20025</v>
      </c>
      <c r="AI416" s="122">
        <v>2072649</v>
      </c>
      <c r="AJ416" s="122">
        <v>1884226</v>
      </c>
      <c r="AK416">
        <v>89</v>
      </c>
      <c r="AL416" s="122">
        <v>4924</v>
      </c>
      <c r="AM416" s="122">
        <v>77313</v>
      </c>
      <c r="AN416" s="122">
        <v>499706</v>
      </c>
      <c r="AO416" s="122">
        <v>185076</v>
      </c>
      <c r="AP416" s="122">
        <v>111950</v>
      </c>
      <c r="AQ416" s="122">
        <v>41463</v>
      </c>
      <c r="AR416" s="122">
        <v>807451</v>
      </c>
      <c r="AS416" s="122">
        <v>734047</v>
      </c>
      <c r="AT416">
        <v>0</v>
      </c>
      <c r="AU416">
        <v>0</v>
      </c>
      <c r="AV416" s="122">
        <v>2922126</v>
      </c>
    </row>
    <row r="417" spans="2:48" ht="12.75" hidden="1" customHeight="1">
      <c r="B417" t="s">
        <v>365</v>
      </c>
      <c r="C417" t="s">
        <v>54</v>
      </c>
      <c r="D417" t="s">
        <v>433</v>
      </c>
      <c r="E417" t="s">
        <v>433</v>
      </c>
      <c r="F417">
        <v>4</v>
      </c>
      <c r="G417" s="122">
        <v>853</v>
      </c>
      <c r="H417" s="122">
        <v>574</v>
      </c>
      <c r="I417" s="122">
        <v>80386</v>
      </c>
      <c r="J417" s="122">
        <v>73078</v>
      </c>
      <c r="K417">
        <v>77</v>
      </c>
      <c r="L417" s="122">
        <v>14099</v>
      </c>
      <c r="M417" s="122">
        <v>12817</v>
      </c>
      <c r="N417" s="122">
        <v>14139</v>
      </c>
      <c r="O417" s="122">
        <v>5237</v>
      </c>
      <c r="P417" s="122">
        <v>4572</v>
      </c>
      <c r="Q417" s="122">
        <v>1693</v>
      </c>
      <c r="R417" s="122">
        <v>9606</v>
      </c>
      <c r="S417" s="122">
        <v>8733</v>
      </c>
      <c r="T417" s="122">
        <v>-1110</v>
      </c>
      <c r="U417" s="122">
        <v>-411</v>
      </c>
      <c r="V417" s="122">
        <v>101146</v>
      </c>
      <c r="W417" s="122">
        <f t="shared" si="12"/>
        <v>101969</v>
      </c>
      <c r="X417" s="122">
        <f t="shared" si="13"/>
        <v>123912</v>
      </c>
      <c r="Y417" s="122"/>
      <c r="AA417" t="s">
        <v>52</v>
      </c>
      <c r="AB417" t="s">
        <v>407</v>
      </c>
      <c r="AC417" t="s">
        <v>481</v>
      </c>
      <c r="AD417" t="s">
        <v>407</v>
      </c>
      <c r="AE417" t="s">
        <v>566</v>
      </c>
      <c r="AF417">
        <v>1</v>
      </c>
      <c r="AG417">
        <v>145</v>
      </c>
      <c r="AH417">
        <v>124</v>
      </c>
      <c r="AI417" s="122">
        <v>12664</v>
      </c>
      <c r="AJ417" s="122">
        <v>11513</v>
      </c>
      <c r="AK417">
        <v>91</v>
      </c>
      <c r="AL417" s="122">
        <v>1875</v>
      </c>
      <c r="AM417" s="122">
        <v>1704</v>
      </c>
      <c r="AN417" s="122">
        <v>5236</v>
      </c>
      <c r="AO417" s="122">
        <v>1939</v>
      </c>
      <c r="AP417" s="122">
        <v>473</v>
      </c>
      <c r="AQ417">
        <v>175</v>
      </c>
      <c r="AR417" s="122">
        <v>6365</v>
      </c>
      <c r="AS417" s="122">
        <v>5786</v>
      </c>
      <c r="AT417">
        <v>0</v>
      </c>
      <c r="AU417">
        <v>0</v>
      </c>
      <c r="AV417" s="122">
        <v>21118</v>
      </c>
    </row>
    <row r="418" spans="2:48" ht="12.75" hidden="1" customHeight="1">
      <c r="B418" t="s">
        <v>365</v>
      </c>
      <c r="C418" t="s">
        <v>54</v>
      </c>
      <c r="D418" t="s">
        <v>408</v>
      </c>
      <c r="E418" t="s">
        <v>408</v>
      </c>
      <c r="F418">
        <v>22</v>
      </c>
      <c r="G418" s="122">
        <v>5072</v>
      </c>
      <c r="H418" s="122">
        <v>3054</v>
      </c>
      <c r="I418" s="122">
        <v>426426</v>
      </c>
      <c r="J418" s="122">
        <v>387660</v>
      </c>
      <c r="K418">
        <v>85</v>
      </c>
      <c r="L418" s="122">
        <v>78356</v>
      </c>
      <c r="M418" s="122">
        <v>71233</v>
      </c>
      <c r="N418" s="122">
        <v>93031</v>
      </c>
      <c r="O418" s="122">
        <v>34456</v>
      </c>
      <c r="P418" s="122">
        <v>14507</v>
      </c>
      <c r="Q418" s="122">
        <v>5373</v>
      </c>
      <c r="R418" s="122">
        <v>104576</v>
      </c>
      <c r="S418" s="122">
        <v>95069</v>
      </c>
      <c r="T418" s="122">
        <v>0</v>
      </c>
      <c r="U418" s="122">
        <v>0</v>
      </c>
      <c r="V418" s="122">
        <v>593791</v>
      </c>
      <c r="W418" s="122">
        <f t="shared" si="12"/>
        <v>593791</v>
      </c>
      <c r="X418" s="122">
        <f t="shared" si="13"/>
        <v>716896</v>
      </c>
      <c r="Y418" s="122"/>
      <c r="AA418" t="s">
        <v>52</v>
      </c>
      <c r="AB418" t="s">
        <v>407</v>
      </c>
      <c r="AC418" t="s">
        <v>433</v>
      </c>
      <c r="AD418" t="s">
        <v>137</v>
      </c>
      <c r="AE418" t="s">
        <v>566</v>
      </c>
      <c r="AF418">
        <v>1</v>
      </c>
      <c r="AG418" s="122">
        <v>138</v>
      </c>
      <c r="AH418">
        <v>113</v>
      </c>
      <c r="AI418" s="122">
        <v>5925</v>
      </c>
      <c r="AJ418" s="122">
        <v>5386</v>
      </c>
      <c r="AK418">
        <v>91</v>
      </c>
      <c r="AL418" s="122">
        <v>740</v>
      </c>
      <c r="AM418" s="122">
        <v>672</v>
      </c>
      <c r="AN418" s="122">
        <v>1680</v>
      </c>
      <c r="AO418" s="122">
        <v>622</v>
      </c>
      <c r="AP418" s="122">
        <v>1567</v>
      </c>
      <c r="AQ418" s="122">
        <v>580</v>
      </c>
      <c r="AR418" s="122">
        <v>5627</v>
      </c>
      <c r="AS418" s="122">
        <v>2084</v>
      </c>
      <c r="AT418" s="122">
        <v>0</v>
      </c>
      <c r="AU418" s="122">
        <v>0</v>
      </c>
      <c r="AV418" s="122">
        <v>9346</v>
      </c>
    </row>
    <row r="419" spans="2:48" ht="12.75" hidden="1" customHeight="1">
      <c r="B419" t="s">
        <v>365</v>
      </c>
      <c r="C419" t="s">
        <v>54</v>
      </c>
      <c r="D419" t="s">
        <v>408</v>
      </c>
      <c r="E419" t="s">
        <v>429</v>
      </c>
      <c r="F419">
        <v>1</v>
      </c>
      <c r="G419">
        <v>259</v>
      </c>
      <c r="H419">
        <v>145</v>
      </c>
      <c r="I419" s="122">
        <v>23650</v>
      </c>
      <c r="J419" s="122">
        <v>21500</v>
      </c>
      <c r="K419">
        <v>65</v>
      </c>
      <c r="L419" s="122">
        <v>2847</v>
      </c>
      <c r="M419" s="122">
        <v>2588</v>
      </c>
      <c r="N419" s="122">
        <v>3152</v>
      </c>
      <c r="O419" s="122">
        <v>1167</v>
      </c>
      <c r="P419" s="122">
        <v>351</v>
      </c>
      <c r="Q419">
        <v>130</v>
      </c>
      <c r="R419" s="122">
        <v>7599</v>
      </c>
      <c r="S419" s="122">
        <v>6908</v>
      </c>
      <c r="T419" s="122">
        <v>0</v>
      </c>
      <c r="U419" s="122">
        <v>0</v>
      </c>
      <c r="V419" s="122">
        <v>32293</v>
      </c>
      <c r="W419" s="122">
        <f t="shared" si="12"/>
        <v>32293</v>
      </c>
      <c r="X419" s="122">
        <f t="shared" si="13"/>
        <v>37599</v>
      </c>
      <c r="Y419" s="122"/>
      <c r="AA419" t="s">
        <v>52</v>
      </c>
      <c r="AB419" t="s">
        <v>407</v>
      </c>
      <c r="AC419" t="s">
        <v>433</v>
      </c>
      <c r="AD419" t="s">
        <v>407</v>
      </c>
      <c r="AE419" t="s">
        <v>137</v>
      </c>
      <c r="AF419">
        <v>8</v>
      </c>
      <c r="AG419" s="122">
        <v>1463</v>
      </c>
      <c r="AH419" s="122">
        <v>926</v>
      </c>
      <c r="AI419" s="122">
        <v>101661</v>
      </c>
      <c r="AJ419" s="122">
        <v>92419</v>
      </c>
      <c r="AK419">
        <v>91</v>
      </c>
      <c r="AL419" s="122">
        <v>18827</v>
      </c>
      <c r="AM419" s="122">
        <v>17115</v>
      </c>
      <c r="AN419" s="122">
        <v>22494</v>
      </c>
      <c r="AO419" s="122">
        <v>8331</v>
      </c>
      <c r="AP419" s="122">
        <v>5900</v>
      </c>
      <c r="AQ419" s="122">
        <v>2185</v>
      </c>
      <c r="AR419" s="122">
        <v>37283</v>
      </c>
      <c r="AS419" s="122">
        <v>33894</v>
      </c>
      <c r="AT419" s="122">
        <v>3731</v>
      </c>
      <c r="AU419" s="122">
        <v>1382</v>
      </c>
      <c r="AV419" s="122">
        <v>155326</v>
      </c>
    </row>
    <row r="420" spans="2:48" ht="12.75" hidden="1" customHeight="1">
      <c r="B420" t="s">
        <v>365</v>
      </c>
      <c r="C420" t="s">
        <v>56</v>
      </c>
      <c r="F420">
        <v>3</v>
      </c>
      <c r="G420" s="122">
        <v>616</v>
      </c>
      <c r="H420" s="122">
        <v>596</v>
      </c>
      <c r="I420" s="122"/>
      <c r="J420" s="122">
        <v>0</v>
      </c>
      <c r="L420" s="122"/>
      <c r="M420" s="122">
        <v>0</v>
      </c>
      <c r="N420" s="122">
        <v>16801</v>
      </c>
      <c r="O420" s="122">
        <v>6223</v>
      </c>
      <c r="P420" s="122">
        <v>1242</v>
      </c>
      <c r="Q420" s="122">
        <v>460</v>
      </c>
      <c r="R420" s="122"/>
      <c r="S420" s="122">
        <v>0</v>
      </c>
      <c r="T420" s="122">
        <v>2962</v>
      </c>
      <c r="U420" s="122">
        <v>1097</v>
      </c>
      <c r="V420" s="122">
        <v>7780</v>
      </c>
      <c r="W420" s="122">
        <f t="shared" si="12"/>
        <v>7780</v>
      </c>
      <c r="X420" s="122">
        <f t="shared" si="13"/>
        <v>21005</v>
      </c>
      <c r="Y420" s="122"/>
      <c r="AA420" t="s">
        <v>52</v>
      </c>
      <c r="AB420" t="s">
        <v>407</v>
      </c>
      <c r="AC420" t="s">
        <v>433</v>
      </c>
      <c r="AD420" t="s">
        <v>407</v>
      </c>
      <c r="AE420" t="s">
        <v>566</v>
      </c>
      <c r="AF420">
        <v>75</v>
      </c>
      <c r="AG420" s="122">
        <v>14301</v>
      </c>
      <c r="AH420" s="122">
        <v>8588</v>
      </c>
      <c r="AI420" s="122">
        <v>897508</v>
      </c>
      <c r="AJ420" s="122">
        <v>815917</v>
      </c>
      <c r="AK420">
        <v>91</v>
      </c>
      <c r="AL420" s="122">
        <v>146523</v>
      </c>
      <c r="AM420" s="122">
        <v>133203</v>
      </c>
      <c r="AN420" s="122">
        <v>227874</v>
      </c>
      <c r="AO420" s="122">
        <v>84398</v>
      </c>
      <c r="AP420" s="122">
        <v>51418</v>
      </c>
      <c r="AQ420" s="122">
        <v>19044</v>
      </c>
      <c r="AR420" s="122">
        <v>351101</v>
      </c>
      <c r="AS420" s="122">
        <v>319183</v>
      </c>
      <c r="AT420">
        <v>0</v>
      </c>
      <c r="AU420">
        <v>0</v>
      </c>
      <c r="AV420" s="122">
        <v>1371744</v>
      </c>
    </row>
    <row r="421" spans="2:48" ht="12.75" hidden="1" customHeight="1">
      <c r="B421" t="s">
        <v>365</v>
      </c>
      <c r="C421" t="s">
        <v>56</v>
      </c>
      <c r="D421" t="s">
        <v>555</v>
      </c>
      <c r="E421" t="s">
        <v>555</v>
      </c>
      <c r="F421">
        <v>1</v>
      </c>
      <c r="G421">
        <v>114</v>
      </c>
      <c r="H421" s="122">
        <v>206</v>
      </c>
      <c r="I421" s="122">
        <v>12117</v>
      </c>
      <c r="J421" s="122">
        <v>11016</v>
      </c>
      <c r="K421">
        <v>85</v>
      </c>
      <c r="L421" s="122">
        <v>3815</v>
      </c>
      <c r="M421" s="122">
        <v>3468</v>
      </c>
      <c r="N421" s="122">
        <v>1395</v>
      </c>
      <c r="O421" s="122">
        <v>517</v>
      </c>
      <c r="P421" s="122">
        <v>621</v>
      </c>
      <c r="Q421" s="122">
        <v>230</v>
      </c>
      <c r="R421" s="122">
        <v>5596</v>
      </c>
      <c r="S421" s="122">
        <v>5087</v>
      </c>
      <c r="T421" s="122">
        <v>0</v>
      </c>
      <c r="U421" s="122">
        <v>0</v>
      </c>
      <c r="V421" s="122">
        <v>20317</v>
      </c>
      <c r="W421" s="122">
        <f t="shared" si="12"/>
        <v>20318</v>
      </c>
      <c r="X421" s="122">
        <f t="shared" si="13"/>
        <v>23544</v>
      </c>
      <c r="Y421" s="122"/>
      <c r="AA421" t="s">
        <v>52</v>
      </c>
      <c r="AB421" t="s">
        <v>407</v>
      </c>
      <c r="AC421" t="s">
        <v>429</v>
      </c>
      <c r="AD421" t="s">
        <v>407</v>
      </c>
      <c r="AE421" t="s">
        <v>566</v>
      </c>
      <c r="AF421">
        <v>11</v>
      </c>
      <c r="AG421" s="122">
        <v>2602</v>
      </c>
      <c r="AH421" s="122">
        <v>1267</v>
      </c>
      <c r="AI421" s="122">
        <v>179206</v>
      </c>
      <c r="AJ421" s="122">
        <v>162915</v>
      </c>
      <c r="AK421">
        <v>91</v>
      </c>
      <c r="AL421" s="122">
        <v>26877</v>
      </c>
      <c r="AM421" s="122">
        <v>24434</v>
      </c>
      <c r="AN421" s="122">
        <v>46189</v>
      </c>
      <c r="AO421" s="122">
        <v>17107</v>
      </c>
      <c r="AP421" s="122">
        <v>5549</v>
      </c>
      <c r="AQ421" s="122">
        <v>2055</v>
      </c>
      <c r="AR421" s="122">
        <v>55120</v>
      </c>
      <c r="AS421" s="122">
        <v>50109</v>
      </c>
      <c r="AT421">
        <v>0</v>
      </c>
      <c r="AU421">
        <v>0</v>
      </c>
      <c r="AV421" s="122">
        <v>256619</v>
      </c>
    </row>
    <row r="422" spans="2:48" ht="12.75" hidden="1" customHeight="1">
      <c r="B422" t="s">
        <v>365</v>
      </c>
      <c r="C422" t="s">
        <v>56</v>
      </c>
      <c r="D422" t="s">
        <v>425</v>
      </c>
      <c r="E422" t="s">
        <v>425</v>
      </c>
      <c r="F422">
        <v>8</v>
      </c>
      <c r="G422" s="122">
        <v>1056</v>
      </c>
      <c r="H422" s="122">
        <v>1520</v>
      </c>
      <c r="I422" s="122">
        <v>134483</v>
      </c>
      <c r="J422" s="122">
        <v>122257</v>
      </c>
      <c r="K422">
        <v>86</v>
      </c>
      <c r="L422" s="122">
        <v>25412</v>
      </c>
      <c r="M422" s="122">
        <v>23102</v>
      </c>
      <c r="N422" s="122">
        <v>22003</v>
      </c>
      <c r="O422" s="122">
        <v>8149</v>
      </c>
      <c r="P422" s="122">
        <v>3807</v>
      </c>
      <c r="Q422" s="122">
        <v>1410</v>
      </c>
      <c r="R422" s="122">
        <v>31504</v>
      </c>
      <c r="S422" s="122">
        <v>28640</v>
      </c>
      <c r="T422" s="122">
        <v>3941</v>
      </c>
      <c r="U422" s="122">
        <v>1460</v>
      </c>
      <c r="V422" s="122">
        <v>185018</v>
      </c>
      <c r="W422" s="122">
        <f t="shared" si="12"/>
        <v>185018</v>
      </c>
      <c r="X422" s="122">
        <f t="shared" si="13"/>
        <v>221150</v>
      </c>
      <c r="Y422" s="122"/>
      <c r="AA422" t="s">
        <v>52</v>
      </c>
      <c r="AB422" t="s">
        <v>426</v>
      </c>
      <c r="AC422" t="s">
        <v>137</v>
      </c>
      <c r="AD422" t="s">
        <v>426</v>
      </c>
      <c r="AE422" t="s">
        <v>566</v>
      </c>
      <c r="AF422">
        <v>1</v>
      </c>
      <c r="AG422">
        <v>295</v>
      </c>
      <c r="AH422">
        <v>119</v>
      </c>
      <c r="AI422" s="122">
        <v>18336</v>
      </c>
      <c r="AJ422" s="122">
        <v>16669</v>
      </c>
      <c r="AK422">
        <v>72</v>
      </c>
      <c r="AL422" s="122">
        <v>3575</v>
      </c>
      <c r="AM422" s="122">
        <v>1324</v>
      </c>
      <c r="AN422" s="122">
        <v>4464</v>
      </c>
      <c r="AO422" s="122">
        <v>1653</v>
      </c>
      <c r="AP422" s="122">
        <v>3170</v>
      </c>
      <c r="AQ422" s="122">
        <v>1174</v>
      </c>
      <c r="AR422" s="122">
        <v>5677</v>
      </c>
      <c r="AS422" s="122">
        <v>5161</v>
      </c>
      <c r="AT422">
        <v>0</v>
      </c>
      <c r="AU422">
        <v>0</v>
      </c>
      <c r="AV422" s="122">
        <v>25981</v>
      </c>
    </row>
    <row r="423" spans="2:48" ht="12.75" hidden="1" customHeight="1">
      <c r="B423" t="s">
        <v>365</v>
      </c>
      <c r="C423" t="s">
        <v>56</v>
      </c>
      <c r="D423" t="s">
        <v>425</v>
      </c>
      <c r="E423" t="s">
        <v>405</v>
      </c>
      <c r="F423">
        <v>3</v>
      </c>
      <c r="G423" s="122">
        <v>564</v>
      </c>
      <c r="H423" s="122">
        <v>557</v>
      </c>
      <c r="I423" s="122">
        <v>62315</v>
      </c>
      <c r="J423" s="122">
        <v>56650</v>
      </c>
      <c r="K423">
        <v>82</v>
      </c>
      <c r="L423" s="122">
        <v>12660</v>
      </c>
      <c r="M423" s="122">
        <v>10515</v>
      </c>
      <c r="N423" s="122">
        <v>10175</v>
      </c>
      <c r="O423" s="122">
        <v>3769</v>
      </c>
      <c r="P423" s="122">
        <v>1418</v>
      </c>
      <c r="Q423" s="122">
        <v>525</v>
      </c>
      <c r="R423" s="122">
        <v>20522</v>
      </c>
      <c r="S423" s="122">
        <v>18656</v>
      </c>
      <c r="T423" s="122">
        <v>0</v>
      </c>
      <c r="U423" s="122">
        <v>0</v>
      </c>
      <c r="V423" s="122">
        <v>90115</v>
      </c>
      <c r="W423" s="122">
        <f t="shared" si="12"/>
        <v>90115</v>
      </c>
      <c r="X423" s="122">
        <f t="shared" si="13"/>
        <v>107090</v>
      </c>
      <c r="Y423" s="122"/>
      <c r="AA423" t="s">
        <v>52</v>
      </c>
      <c r="AB423" t="s">
        <v>426</v>
      </c>
      <c r="AC423" t="s">
        <v>426</v>
      </c>
      <c r="AD423" t="s">
        <v>137</v>
      </c>
      <c r="AE423" t="s">
        <v>566</v>
      </c>
      <c r="AF423">
        <v>1</v>
      </c>
      <c r="AG423">
        <v>371</v>
      </c>
      <c r="AH423">
        <v>109</v>
      </c>
      <c r="AI423" s="122">
        <v>27710</v>
      </c>
      <c r="AJ423" s="122">
        <v>25191</v>
      </c>
      <c r="AK423">
        <v>80</v>
      </c>
      <c r="AL423" s="122">
        <v>4105</v>
      </c>
      <c r="AM423" s="122">
        <v>3732</v>
      </c>
      <c r="AN423" s="122">
        <v>4519</v>
      </c>
      <c r="AO423" s="122">
        <v>1674</v>
      </c>
      <c r="AP423">
        <v>351</v>
      </c>
      <c r="AQ423">
        <v>130</v>
      </c>
      <c r="AR423" s="122">
        <v>3776</v>
      </c>
      <c r="AS423" s="122">
        <v>1398</v>
      </c>
      <c r="AT423" s="122">
        <v>0</v>
      </c>
      <c r="AU423">
        <v>0</v>
      </c>
      <c r="AV423" s="122">
        <v>32125</v>
      </c>
    </row>
    <row r="424" spans="2:48" ht="12.75" hidden="1" customHeight="1">
      <c r="B424" t="s">
        <v>365</v>
      </c>
      <c r="C424" t="s">
        <v>56</v>
      </c>
      <c r="D424" t="s">
        <v>425</v>
      </c>
      <c r="E424" t="s">
        <v>406</v>
      </c>
      <c r="F424">
        <v>7</v>
      </c>
      <c r="G424" s="122">
        <v>1108</v>
      </c>
      <c r="H424" s="122">
        <v>1301</v>
      </c>
      <c r="I424" s="122">
        <v>110823</v>
      </c>
      <c r="J424" s="122">
        <v>100748</v>
      </c>
      <c r="K424">
        <v>87</v>
      </c>
      <c r="L424" s="122">
        <v>26383</v>
      </c>
      <c r="M424" s="122">
        <v>23985</v>
      </c>
      <c r="N424" s="122">
        <v>22774</v>
      </c>
      <c r="O424" s="122">
        <v>8435</v>
      </c>
      <c r="P424" s="122">
        <v>4698</v>
      </c>
      <c r="Q424" s="122">
        <v>1740</v>
      </c>
      <c r="R424" s="122">
        <v>37752</v>
      </c>
      <c r="S424" s="122">
        <v>34320</v>
      </c>
      <c r="T424" s="122">
        <v>1008</v>
      </c>
      <c r="U424" s="122">
        <v>373</v>
      </c>
      <c r="V424" s="122">
        <v>169601</v>
      </c>
      <c r="W424" s="122">
        <f t="shared" si="12"/>
        <v>169601</v>
      </c>
      <c r="X424" s="122">
        <f t="shared" si="13"/>
        <v>203438</v>
      </c>
      <c r="Y424" s="122"/>
      <c r="AA424" t="s">
        <v>52</v>
      </c>
      <c r="AB424" t="s">
        <v>426</v>
      </c>
      <c r="AC424" t="s">
        <v>426</v>
      </c>
      <c r="AD424" t="s">
        <v>426</v>
      </c>
      <c r="AE424" t="s">
        <v>137</v>
      </c>
      <c r="AF424">
        <v>1</v>
      </c>
      <c r="AG424">
        <v>194</v>
      </c>
      <c r="AH424">
        <v>122</v>
      </c>
      <c r="AI424" s="122">
        <v>18683</v>
      </c>
      <c r="AJ424" s="122">
        <v>16985</v>
      </c>
      <c r="AK424">
        <v>65</v>
      </c>
      <c r="AL424" s="122">
        <v>2076</v>
      </c>
      <c r="AM424" s="122">
        <v>1887</v>
      </c>
      <c r="AN424" s="122">
        <v>2600</v>
      </c>
      <c r="AO424" s="122">
        <v>963</v>
      </c>
      <c r="AP424" s="122">
        <v>351</v>
      </c>
      <c r="AQ424" s="122">
        <v>130</v>
      </c>
      <c r="AR424" s="122">
        <v>1725</v>
      </c>
      <c r="AS424" s="122">
        <v>1568</v>
      </c>
      <c r="AT424" s="122">
        <v>-1692</v>
      </c>
      <c r="AU424">
        <v>-627</v>
      </c>
      <c r="AV424" s="122">
        <v>20907</v>
      </c>
    </row>
    <row r="425" spans="2:48" ht="12.75" hidden="1" customHeight="1">
      <c r="B425" t="s">
        <v>365</v>
      </c>
      <c r="C425" t="s">
        <v>56</v>
      </c>
      <c r="D425" t="s">
        <v>425</v>
      </c>
      <c r="E425" t="s">
        <v>407</v>
      </c>
      <c r="F425" s="122">
        <v>1</v>
      </c>
      <c r="G425" s="122">
        <v>126</v>
      </c>
      <c r="H425" s="122">
        <v>224</v>
      </c>
      <c r="I425" s="122">
        <v>14188</v>
      </c>
      <c r="J425" s="122">
        <v>12898</v>
      </c>
      <c r="K425">
        <v>91</v>
      </c>
      <c r="L425" s="122">
        <v>7188</v>
      </c>
      <c r="M425" s="122">
        <v>6535</v>
      </c>
      <c r="N425" s="122">
        <v>1837</v>
      </c>
      <c r="O425" s="122">
        <v>680</v>
      </c>
      <c r="P425" s="122">
        <v>473</v>
      </c>
      <c r="Q425" s="122">
        <v>175</v>
      </c>
      <c r="R425" s="122">
        <v>4388</v>
      </c>
      <c r="S425" s="122">
        <v>3989</v>
      </c>
      <c r="T425" s="122">
        <v>0</v>
      </c>
      <c r="U425" s="122">
        <v>0</v>
      </c>
      <c r="V425" s="122">
        <v>24277</v>
      </c>
      <c r="W425" s="122">
        <f t="shared" si="12"/>
        <v>24277</v>
      </c>
      <c r="X425" s="122">
        <f t="shared" si="13"/>
        <v>28074</v>
      </c>
      <c r="Y425" s="122"/>
      <c r="AA425" t="s">
        <v>52</v>
      </c>
      <c r="AB425" t="s">
        <v>426</v>
      </c>
      <c r="AC425" t="s">
        <v>426</v>
      </c>
      <c r="AD425" t="s">
        <v>426</v>
      </c>
      <c r="AE425" t="s">
        <v>566</v>
      </c>
      <c r="AF425">
        <v>2</v>
      </c>
      <c r="AG425">
        <v>393</v>
      </c>
      <c r="AH425">
        <v>247</v>
      </c>
      <c r="AI425" s="122">
        <v>30972</v>
      </c>
      <c r="AJ425" s="122">
        <v>28157</v>
      </c>
      <c r="AK425">
        <v>62</v>
      </c>
      <c r="AL425" s="122">
        <v>3198</v>
      </c>
      <c r="AM425" s="122">
        <v>2908</v>
      </c>
      <c r="AN425" s="122">
        <v>8406</v>
      </c>
      <c r="AO425" s="122">
        <v>3113</v>
      </c>
      <c r="AP425" s="122">
        <v>2927</v>
      </c>
      <c r="AQ425" s="122">
        <v>1084</v>
      </c>
      <c r="AR425" s="122">
        <v>14633</v>
      </c>
      <c r="AS425" s="122">
        <v>13303</v>
      </c>
      <c r="AT425" s="122">
        <v>0</v>
      </c>
      <c r="AU425">
        <v>0</v>
      </c>
      <c r="AV425" s="122">
        <v>48565</v>
      </c>
    </row>
    <row r="426" spans="2:48" ht="12.75" hidden="1" customHeight="1">
      <c r="B426" t="s">
        <v>365</v>
      </c>
      <c r="C426" t="s">
        <v>56</v>
      </c>
      <c r="D426" t="s">
        <v>405</v>
      </c>
      <c r="E426" t="s">
        <v>425</v>
      </c>
      <c r="F426">
        <v>3</v>
      </c>
      <c r="G426">
        <v>476</v>
      </c>
      <c r="H426" s="122">
        <v>524</v>
      </c>
      <c r="I426" s="122">
        <v>43710</v>
      </c>
      <c r="J426" s="122">
        <v>39736</v>
      </c>
      <c r="K426">
        <v>88</v>
      </c>
      <c r="L426" s="122">
        <v>11122</v>
      </c>
      <c r="M426" s="122">
        <v>10111</v>
      </c>
      <c r="N426" s="122">
        <v>8230</v>
      </c>
      <c r="O426" s="122">
        <v>3048</v>
      </c>
      <c r="P426" s="122">
        <v>1296</v>
      </c>
      <c r="Q426">
        <v>480</v>
      </c>
      <c r="R426" s="122">
        <v>18189</v>
      </c>
      <c r="S426" s="122">
        <v>16535</v>
      </c>
      <c r="T426" s="122">
        <v>0</v>
      </c>
      <c r="U426" s="122">
        <v>0</v>
      </c>
      <c r="V426" s="122">
        <v>69910</v>
      </c>
      <c r="W426" s="122">
        <f t="shared" si="12"/>
        <v>69910</v>
      </c>
      <c r="X426" s="122">
        <f t="shared" si="13"/>
        <v>82547</v>
      </c>
      <c r="Y426" s="122"/>
      <c r="AA426" t="s">
        <v>52</v>
      </c>
      <c r="AB426" t="s">
        <v>426</v>
      </c>
      <c r="AC426" t="s">
        <v>566</v>
      </c>
      <c r="AD426" t="s">
        <v>426</v>
      </c>
      <c r="AE426" t="s">
        <v>137</v>
      </c>
      <c r="AF426">
        <v>1</v>
      </c>
      <c r="AG426">
        <v>111</v>
      </c>
      <c r="AH426">
        <v>117</v>
      </c>
      <c r="AI426" s="122">
        <v>5854</v>
      </c>
      <c r="AJ426" s="122">
        <v>5322</v>
      </c>
      <c r="AK426">
        <v>76</v>
      </c>
      <c r="AL426">
        <v>0</v>
      </c>
      <c r="AM426">
        <v>0</v>
      </c>
      <c r="AN426" s="122">
        <v>1358</v>
      </c>
      <c r="AO426" s="122">
        <v>503</v>
      </c>
      <c r="AP426" s="122">
        <v>1250</v>
      </c>
      <c r="AQ426" s="122">
        <v>463</v>
      </c>
      <c r="AR426" s="122">
        <v>2914</v>
      </c>
      <c r="AS426" s="122">
        <v>2649</v>
      </c>
      <c r="AT426" s="122">
        <v>1701</v>
      </c>
      <c r="AU426">
        <v>630</v>
      </c>
      <c r="AV426" s="122">
        <v>9567</v>
      </c>
    </row>
    <row r="427" spans="2:48" ht="12.75" hidden="1" customHeight="1">
      <c r="B427" t="s">
        <v>365</v>
      </c>
      <c r="C427" t="s">
        <v>56</v>
      </c>
      <c r="D427" t="s">
        <v>405</v>
      </c>
      <c r="E427" t="s">
        <v>405</v>
      </c>
      <c r="F427">
        <v>335</v>
      </c>
      <c r="G427" s="122">
        <v>51328</v>
      </c>
      <c r="H427" s="122">
        <v>62507</v>
      </c>
      <c r="I427" s="122">
        <v>5611403</v>
      </c>
      <c r="J427" s="122">
        <v>5101276</v>
      </c>
      <c r="K427">
        <v>86</v>
      </c>
      <c r="L427" s="122">
        <v>1280725</v>
      </c>
      <c r="M427" s="122">
        <v>1140219</v>
      </c>
      <c r="N427" s="122">
        <v>1096302</v>
      </c>
      <c r="O427" s="122">
        <v>406038</v>
      </c>
      <c r="P427" s="122">
        <v>172879</v>
      </c>
      <c r="Q427" s="122">
        <v>64029</v>
      </c>
      <c r="R427" s="122">
        <v>1747429</v>
      </c>
      <c r="S427" s="122">
        <v>1588571</v>
      </c>
      <c r="T427" s="122">
        <v>96625</v>
      </c>
      <c r="U427" s="122">
        <v>35787</v>
      </c>
      <c r="V427" s="122">
        <v>8335920</v>
      </c>
      <c r="W427" s="122">
        <f t="shared" si="12"/>
        <v>8335920</v>
      </c>
      <c r="X427" s="122">
        <f t="shared" si="13"/>
        <v>10005363</v>
      </c>
      <c r="Y427" s="122"/>
      <c r="AA427" t="s">
        <v>52</v>
      </c>
      <c r="AB427" t="s">
        <v>426</v>
      </c>
      <c r="AC427" t="s">
        <v>566</v>
      </c>
      <c r="AD427" t="s">
        <v>426</v>
      </c>
      <c r="AE427" t="s">
        <v>566</v>
      </c>
      <c r="AF427">
        <v>3</v>
      </c>
      <c r="AG427">
        <v>764</v>
      </c>
      <c r="AH427">
        <v>352</v>
      </c>
      <c r="AI427" s="122">
        <v>57268</v>
      </c>
      <c r="AJ427" s="122">
        <v>52062</v>
      </c>
      <c r="AK427">
        <v>72</v>
      </c>
      <c r="AL427" s="122">
        <v>0</v>
      </c>
      <c r="AM427" s="122">
        <v>0</v>
      </c>
      <c r="AN427" s="122">
        <v>10976</v>
      </c>
      <c r="AO427" s="122">
        <v>4065</v>
      </c>
      <c r="AP427" s="122">
        <v>3806</v>
      </c>
      <c r="AQ427" s="122">
        <v>1410</v>
      </c>
      <c r="AR427" s="122">
        <v>17026</v>
      </c>
      <c r="AS427" s="122">
        <v>15478</v>
      </c>
      <c r="AT427">
        <v>0</v>
      </c>
      <c r="AU427">
        <v>0</v>
      </c>
      <c r="AV427" s="122">
        <v>73015</v>
      </c>
    </row>
    <row r="428" spans="2:48" ht="12.75" hidden="1" customHeight="1">
      <c r="B428" t="s">
        <v>365</v>
      </c>
      <c r="C428" t="s">
        <v>56</v>
      </c>
      <c r="D428" t="s">
        <v>405</v>
      </c>
      <c r="E428" t="s">
        <v>137</v>
      </c>
      <c r="F428">
        <v>1</v>
      </c>
      <c r="G428" s="122">
        <v>109</v>
      </c>
      <c r="H428" s="122">
        <v>224</v>
      </c>
      <c r="I428" s="122">
        <v>19333</v>
      </c>
      <c r="J428" s="122">
        <v>17575</v>
      </c>
      <c r="K428">
        <v>92</v>
      </c>
      <c r="L428" s="122">
        <v>6272</v>
      </c>
      <c r="M428" s="122">
        <v>5702</v>
      </c>
      <c r="N428" s="122">
        <v>4109</v>
      </c>
      <c r="O428" s="122">
        <v>1522</v>
      </c>
      <c r="P428" s="122">
        <v>473</v>
      </c>
      <c r="Q428" s="122">
        <v>175</v>
      </c>
      <c r="R428" s="122">
        <v>7516</v>
      </c>
      <c r="S428" s="122">
        <v>2784</v>
      </c>
      <c r="T428" s="122">
        <v>0</v>
      </c>
      <c r="U428" s="122">
        <v>0</v>
      </c>
      <c r="V428" s="122">
        <v>27758</v>
      </c>
      <c r="W428" s="122">
        <f t="shared" si="12"/>
        <v>27758</v>
      </c>
      <c r="X428" s="122">
        <f t="shared" si="13"/>
        <v>37703</v>
      </c>
      <c r="Y428" s="122"/>
      <c r="AA428" t="s">
        <v>52</v>
      </c>
      <c r="AB428" t="s">
        <v>426</v>
      </c>
      <c r="AC428" t="s">
        <v>433</v>
      </c>
      <c r="AD428" t="s">
        <v>405</v>
      </c>
      <c r="AE428" t="s">
        <v>566</v>
      </c>
      <c r="AF428">
        <v>1</v>
      </c>
      <c r="AG428">
        <v>252</v>
      </c>
      <c r="AH428">
        <v>120</v>
      </c>
      <c r="AI428" s="122">
        <v>14486</v>
      </c>
      <c r="AJ428" s="122">
        <v>13169</v>
      </c>
      <c r="AK428">
        <v>91</v>
      </c>
      <c r="AL428" s="122">
        <v>2323</v>
      </c>
      <c r="AM428" s="122">
        <v>2112</v>
      </c>
      <c r="AN428" s="122">
        <v>6068</v>
      </c>
      <c r="AO428" s="122">
        <v>2247</v>
      </c>
      <c r="AP428" s="122">
        <v>3240</v>
      </c>
      <c r="AQ428" s="122">
        <v>1200</v>
      </c>
      <c r="AR428" s="122">
        <v>4078</v>
      </c>
      <c r="AS428" s="122">
        <v>3707</v>
      </c>
      <c r="AT428">
        <v>0</v>
      </c>
      <c r="AU428">
        <v>0</v>
      </c>
      <c r="AV428" s="122">
        <v>22436</v>
      </c>
    </row>
    <row r="429" spans="2:48" ht="12.75" hidden="1" customHeight="1">
      <c r="B429" t="s">
        <v>365</v>
      </c>
      <c r="C429" t="s">
        <v>56</v>
      </c>
      <c r="D429" t="s">
        <v>405</v>
      </c>
      <c r="E429" t="s">
        <v>407</v>
      </c>
      <c r="F429" s="122">
        <v>1</v>
      </c>
      <c r="G429" s="122">
        <v>99</v>
      </c>
      <c r="H429" s="122">
        <v>187</v>
      </c>
      <c r="I429" s="122">
        <v>8535</v>
      </c>
      <c r="J429" s="122">
        <v>7759</v>
      </c>
      <c r="K429">
        <v>80</v>
      </c>
      <c r="L429" s="122">
        <v>2529</v>
      </c>
      <c r="M429" s="122">
        <v>2299</v>
      </c>
      <c r="N429" s="122">
        <v>2417</v>
      </c>
      <c r="O429" s="122">
        <v>895</v>
      </c>
      <c r="P429" s="122">
        <v>473</v>
      </c>
      <c r="Q429" s="122">
        <v>175</v>
      </c>
      <c r="R429" s="122">
        <v>4569</v>
      </c>
      <c r="S429" s="122">
        <v>4154</v>
      </c>
      <c r="T429" s="122">
        <v>0</v>
      </c>
      <c r="U429" s="122">
        <v>0</v>
      </c>
      <c r="V429" s="122">
        <v>15282</v>
      </c>
      <c r="W429" s="122">
        <f t="shared" si="12"/>
        <v>15282</v>
      </c>
      <c r="X429" s="122">
        <f t="shared" si="13"/>
        <v>18523</v>
      </c>
      <c r="Y429" s="122"/>
      <c r="AA429" t="s">
        <v>52</v>
      </c>
      <c r="AB429" t="s">
        <v>433</v>
      </c>
      <c r="AC429" t="s">
        <v>425</v>
      </c>
      <c r="AD429" t="s">
        <v>433</v>
      </c>
      <c r="AE429" t="s">
        <v>566</v>
      </c>
      <c r="AF429">
        <v>1</v>
      </c>
      <c r="AG429">
        <v>267</v>
      </c>
      <c r="AH429">
        <v>104</v>
      </c>
      <c r="AI429" s="122">
        <v>16290</v>
      </c>
      <c r="AJ429" s="122">
        <v>14809</v>
      </c>
      <c r="AK429">
        <v>85</v>
      </c>
      <c r="AL429" s="122">
        <v>2442</v>
      </c>
      <c r="AM429" s="122">
        <v>2220</v>
      </c>
      <c r="AN429" s="122">
        <v>3256</v>
      </c>
      <c r="AO429" s="122">
        <v>1206</v>
      </c>
      <c r="AP429" s="122">
        <v>351</v>
      </c>
      <c r="AQ429">
        <v>130</v>
      </c>
      <c r="AR429" s="122">
        <v>5437</v>
      </c>
      <c r="AS429" s="122">
        <v>4942</v>
      </c>
      <c r="AT429">
        <v>0</v>
      </c>
      <c r="AU429">
        <v>0</v>
      </c>
      <c r="AV429" s="122">
        <v>23307</v>
      </c>
    </row>
    <row r="430" spans="2:48" ht="12.75" hidden="1" customHeight="1">
      <c r="B430" t="s">
        <v>365</v>
      </c>
      <c r="C430" t="s">
        <v>56</v>
      </c>
      <c r="D430" t="s">
        <v>137</v>
      </c>
      <c r="E430" t="s">
        <v>137</v>
      </c>
      <c r="F430">
        <v>71</v>
      </c>
      <c r="G430" s="122">
        <v>13210</v>
      </c>
      <c r="H430" s="122">
        <v>13289</v>
      </c>
      <c r="I430" s="122">
        <v>1368814</v>
      </c>
      <c r="J430" s="122">
        <v>506968</v>
      </c>
      <c r="K430">
        <v>223</v>
      </c>
      <c r="L430" s="122">
        <v>287878</v>
      </c>
      <c r="M430" s="122">
        <v>250397</v>
      </c>
      <c r="N430" s="122">
        <v>276688</v>
      </c>
      <c r="O430" s="122">
        <v>102477</v>
      </c>
      <c r="P430" s="122">
        <v>33237</v>
      </c>
      <c r="Q430" s="122">
        <v>12310</v>
      </c>
      <c r="R430" s="122">
        <v>564444</v>
      </c>
      <c r="S430" s="122">
        <v>209054</v>
      </c>
      <c r="T430" s="122">
        <v>0</v>
      </c>
      <c r="U430" s="122">
        <v>0</v>
      </c>
      <c r="V430" s="122">
        <v>1081206</v>
      </c>
      <c r="W430" s="122">
        <f t="shared" si="12"/>
        <v>1081206</v>
      </c>
      <c r="X430" s="122">
        <f t="shared" si="13"/>
        <v>2531061</v>
      </c>
      <c r="Y430" s="122"/>
      <c r="AA430" t="s">
        <v>52</v>
      </c>
      <c r="AB430" t="s">
        <v>433</v>
      </c>
      <c r="AC430" t="s">
        <v>137</v>
      </c>
      <c r="AD430" t="s">
        <v>137</v>
      </c>
      <c r="AE430" t="s">
        <v>566</v>
      </c>
      <c r="AF430">
        <v>2</v>
      </c>
      <c r="AG430">
        <v>293</v>
      </c>
      <c r="AH430">
        <v>229</v>
      </c>
      <c r="AI430" s="122">
        <v>13271</v>
      </c>
      <c r="AJ430" s="122">
        <v>12065</v>
      </c>
      <c r="AK430">
        <v>80</v>
      </c>
      <c r="AL430" s="122">
        <v>2876</v>
      </c>
      <c r="AM430" s="122">
        <v>1065</v>
      </c>
      <c r="AN430" s="122">
        <v>4006</v>
      </c>
      <c r="AO430" s="122">
        <v>1484</v>
      </c>
      <c r="AP430" s="122">
        <v>2553</v>
      </c>
      <c r="AQ430">
        <v>945</v>
      </c>
      <c r="AR430" s="122">
        <v>10550</v>
      </c>
      <c r="AS430" s="122">
        <v>3907</v>
      </c>
      <c r="AT430">
        <v>0</v>
      </c>
      <c r="AU430">
        <v>0</v>
      </c>
      <c r="AV430" s="122">
        <v>19466</v>
      </c>
    </row>
    <row r="431" spans="2:48" ht="12.75" hidden="1" customHeight="1">
      <c r="B431" t="s">
        <v>365</v>
      </c>
      <c r="C431" t="s">
        <v>56</v>
      </c>
      <c r="D431" t="s">
        <v>137</v>
      </c>
      <c r="E431" t="s">
        <v>406</v>
      </c>
      <c r="F431">
        <v>1</v>
      </c>
      <c r="G431" s="122">
        <v>232</v>
      </c>
      <c r="H431" s="122">
        <v>167</v>
      </c>
      <c r="I431" s="122">
        <v>22060</v>
      </c>
      <c r="J431" s="122">
        <v>8171</v>
      </c>
      <c r="K431">
        <v>100</v>
      </c>
      <c r="L431" s="122">
        <v>3745</v>
      </c>
      <c r="M431" s="122">
        <v>3404</v>
      </c>
      <c r="N431" s="122">
        <v>3029</v>
      </c>
      <c r="O431" s="122">
        <v>1122</v>
      </c>
      <c r="P431" s="122">
        <v>1901</v>
      </c>
      <c r="Q431" s="122">
        <v>704</v>
      </c>
      <c r="R431" s="122">
        <v>8066</v>
      </c>
      <c r="S431" s="122">
        <v>7333</v>
      </c>
      <c r="T431" s="122">
        <v>0</v>
      </c>
      <c r="U431" s="122">
        <v>0</v>
      </c>
      <c r="V431" s="122">
        <v>20734</v>
      </c>
      <c r="W431" s="122">
        <f t="shared" si="12"/>
        <v>20734</v>
      </c>
      <c r="X431" s="122">
        <f t="shared" si="13"/>
        <v>38801</v>
      </c>
      <c r="Y431" s="122"/>
      <c r="AA431" t="s">
        <v>52</v>
      </c>
      <c r="AB431" t="s">
        <v>433</v>
      </c>
      <c r="AC431" t="s">
        <v>580</v>
      </c>
      <c r="AD431" t="s">
        <v>433</v>
      </c>
      <c r="AE431" t="s">
        <v>137</v>
      </c>
      <c r="AF431">
        <v>1</v>
      </c>
      <c r="AG431">
        <v>191</v>
      </c>
      <c r="AH431">
        <v>114</v>
      </c>
      <c r="AI431" s="122">
        <v>12033</v>
      </c>
      <c r="AJ431" s="122">
        <v>10939</v>
      </c>
      <c r="AK431">
        <v>92</v>
      </c>
      <c r="AL431" s="122">
        <v>1500</v>
      </c>
      <c r="AM431" s="122">
        <v>1364</v>
      </c>
      <c r="AN431" s="122">
        <v>3070</v>
      </c>
      <c r="AO431" s="122">
        <v>1137</v>
      </c>
      <c r="AP431">
        <v>621</v>
      </c>
      <c r="AQ431">
        <v>230</v>
      </c>
      <c r="AR431" s="122">
        <v>4621</v>
      </c>
      <c r="AS431" s="122">
        <v>4201</v>
      </c>
      <c r="AT431">
        <v>0</v>
      </c>
      <c r="AU431">
        <v>0</v>
      </c>
      <c r="AV431" s="122">
        <v>17871</v>
      </c>
    </row>
    <row r="432" spans="2:48" ht="12.75" hidden="1" customHeight="1">
      <c r="B432" t="s">
        <v>365</v>
      </c>
      <c r="C432" t="s">
        <v>56</v>
      </c>
      <c r="D432" t="s">
        <v>406</v>
      </c>
      <c r="E432" t="s">
        <v>425</v>
      </c>
      <c r="F432">
        <v>4</v>
      </c>
      <c r="G432">
        <v>494</v>
      </c>
      <c r="H432" s="122">
        <v>745</v>
      </c>
      <c r="I432" s="122">
        <v>47184</v>
      </c>
      <c r="J432" s="122">
        <v>42894</v>
      </c>
      <c r="K432">
        <v>85</v>
      </c>
      <c r="L432" s="122">
        <v>11973</v>
      </c>
      <c r="M432" s="122">
        <v>10885</v>
      </c>
      <c r="N432" s="122">
        <v>8627</v>
      </c>
      <c r="O432" s="122">
        <v>3195</v>
      </c>
      <c r="P432" s="122">
        <v>2835</v>
      </c>
      <c r="Q432" s="122">
        <v>1050</v>
      </c>
      <c r="R432" s="122">
        <v>21404</v>
      </c>
      <c r="S432" s="122">
        <v>19458</v>
      </c>
      <c r="T432" s="122">
        <v>0</v>
      </c>
      <c r="U432" s="122">
        <v>0</v>
      </c>
      <c r="V432" s="122">
        <v>77482</v>
      </c>
      <c r="W432" s="122">
        <f t="shared" si="12"/>
        <v>77482</v>
      </c>
      <c r="X432" s="122">
        <f t="shared" si="13"/>
        <v>92023</v>
      </c>
      <c r="Y432" s="122"/>
      <c r="AA432" t="s">
        <v>52</v>
      </c>
      <c r="AB432" t="s">
        <v>433</v>
      </c>
      <c r="AC432" t="s">
        <v>580</v>
      </c>
      <c r="AD432" t="s">
        <v>433</v>
      </c>
      <c r="AE432" t="s">
        <v>566</v>
      </c>
      <c r="AF432">
        <v>1</v>
      </c>
      <c r="AG432">
        <v>331</v>
      </c>
      <c r="AH432">
        <v>116</v>
      </c>
      <c r="AI432" s="122">
        <v>23848</v>
      </c>
      <c r="AJ432" s="122">
        <v>21680</v>
      </c>
      <c r="AK432">
        <v>55</v>
      </c>
      <c r="AL432" s="122">
        <v>2650</v>
      </c>
      <c r="AM432" s="122">
        <v>2409</v>
      </c>
      <c r="AN432" s="122">
        <v>4114</v>
      </c>
      <c r="AO432" s="122">
        <v>1524</v>
      </c>
      <c r="AP432" s="122">
        <v>621</v>
      </c>
      <c r="AQ432" s="122">
        <v>230</v>
      </c>
      <c r="AR432" s="122">
        <v>7299</v>
      </c>
      <c r="AS432" s="122">
        <v>6635</v>
      </c>
      <c r="AT432">
        <v>0</v>
      </c>
      <c r="AU432">
        <v>0</v>
      </c>
      <c r="AV432" s="122">
        <v>32477</v>
      </c>
    </row>
    <row r="433" spans="2:48" ht="12.75" hidden="1" customHeight="1">
      <c r="B433" t="s">
        <v>365</v>
      </c>
      <c r="C433" t="s">
        <v>56</v>
      </c>
      <c r="D433" t="s">
        <v>406</v>
      </c>
      <c r="E433" t="s">
        <v>405</v>
      </c>
      <c r="F433">
        <v>3</v>
      </c>
      <c r="G433" s="122">
        <v>676</v>
      </c>
      <c r="H433">
        <v>529</v>
      </c>
      <c r="I433" s="122">
        <v>81161</v>
      </c>
      <c r="J433" s="122">
        <v>73783</v>
      </c>
      <c r="K433">
        <v>87</v>
      </c>
      <c r="L433" s="122">
        <v>15389</v>
      </c>
      <c r="M433" s="122">
        <v>13990</v>
      </c>
      <c r="N433" s="122">
        <v>17360</v>
      </c>
      <c r="O433" s="122">
        <v>6430</v>
      </c>
      <c r="P433" s="122">
        <v>2106</v>
      </c>
      <c r="Q433">
        <v>780</v>
      </c>
      <c r="R433" s="122">
        <v>19348</v>
      </c>
      <c r="S433" s="122">
        <v>17589</v>
      </c>
      <c r="T433" s="122">
        <v>3632</v>
      </c>
      <c r="U433" s="122">
        <v>1345</v>
      </c>
      <c r="V433" s="122">
        <v>113917</v>
      </c>
      <c r="W433" s="122">
        <f t="shared" si="12"/>
        <v>113917</v>
      </c>
      <c r="X433" s="122">
        <f t="shared" si="13"/>
        <v>138996</v>
      </c>
      <c r="Y433" s="122"/>
      <c r="AA433" t="s">
        <v>52</v>
      </c>
      <c r="AB433" t="s">
        <v>433</v>
      </c>
      <c r="AC433" t="s">
        <v>426</v>
      </c>
      <c r="AD433" t="s">
        <v>433</v>
      </c>
      <c r="AE433" t="s">
        <v>566</v>
      </c>
      <c r="AF433">
        <v>3</v>
      </c>
      <c r="AG433">
        <v>792</v>
      </c>
      <c r="AH433">
        <v>368</v>
      </c>
      <c r="AI433" s="122">
        <v>63453</v>
      </c>
      <c r="AJ433" s="122">
        <v>57685</v>
      </c>
      <c r="AK433">
        <v>80</v>
      </c>
      <c r="AL433" s="122">
        <v>10846</v>
      </c>
      <c r="AM433" s="122">
        <v>9860</v>
      </c>
      <c r="AN433" s="122">
        <v>14946</v>
      </c>
      <c r="AO433" s="122">
        <v>5536</v>
      </c>
      <c r="AP433" s="122">
        <v>5515</v>
      </c>
      <c r="AQ433" s="122">
        <v>2043</v>
      </c>
      <c r="AR433" s="122">
        <v>15527</v>
      </c>
      <c r="AS433" s="122">
        <v>14116</v>
      </c>
      <c r="AT433" s="122">
        <v>0</v>
      </c>
      <c r="AU433" s="122">
        <v>0</v>
      </c>
      <c r="AV433" s="122">
        <v>89239</v>
      </c>
    </row>
    <row r="434" spans="2:48" ht="12.75" hidden="1" customHeight="1">
      <c r="B434" t="s">
        <v>365</v>
      </c>
      <c r="C434" t="s">
        <v>56</v>
      </c>
      <c r="D434" t="s">
        <v>406</v>
      </c>
      <c r="E434" t="s">
        <v>137</v>
      </c>
      <c r="F434">
        <v>36</v>
      </c>
      <c r="G434" s="122">
        <v>6040</v>
      </c>
      <c r="H434" s="122">
        <v>6944</v>
      </c>
      <c r="I434" s="122">
        <v>667774</v>
      </c>
      <c r="J434" s="122">
        <v>607067</v>
      </c>
      <c r="K434">
        <v>85</v>
      </c>
      <c r="L434" s="122">
        <v>129807</v>
      </c>
      <c r="M434" s="122">
        <v>115238</v>
      </c>
      <c r="N434" s="122">
        <v>112023</v>
      </c>
      <c r="O434" s="122">
        <v>41490</v>
      </c>
      <c r="P434" s="122">
        <v>26607</v>
      </c>
      <c r="Q434" s="122">
        <v>9854</v>
      </c>
      <c r="R434" s="122">
        <v>235475</v>
      </c>
      <c r="S434" s="122">
        <v>87213</v>
      </c>
      <c r="T434" s="122">
        <v>0</v>
      </c>
      <c r="U434" s="122">
        <v>0</v>
      </c>
      <c r="V434" s="122">
        <v>860862</v>
      </c>
      <c r="W434" s="122">
        <f t="shared" si="12"/>
        <v>860862</v>
      </c>
      <c r="X434" s="122">
        <f t="shared" si="13"/>
        <v>1171686</v>
      </c>
      <c r="Y434" s="122"/>
      <c r="AA434" t="s">
        <v>52</v>
      </c>
      <c r="AB434" t="s">
        <v>433</v>
      </c>
      <c r="AC434" t="s">
        <v>566</v>
      </c>
      <c r="AD434" t="s">
        <v>433</v>
      </c>
      <c r="AE434" t="s">
        <v>137</v>
      </c>
      <c r="AF434">
        <v>1</v>
      </c>
      <c r="AG434">
        <v>223</v>
      </c>
      <c r="AH434">
        <v>111</v>
      </c>
      <c r="AI434" s="122">
        <v>12079</v>
      </c>
      <c r="AJ434" s="122">
        <v>10981</v>
      </c>
      <c r="AK434">
        <v>90</v>
      </c>
      <c r="AL434">
        <v>0</v>
      </c>
      <c r="AM434">
        <v>0</v>
      </c>
      <c r="AN434" s="122">
        <v>2874</v>
      </c>
      <c r="AO434" s="122">
        <v>1064</v>
      </c>
      <c r="AP434" s="122">
        <v>2709</v>
      </c>
      <c r="AQ434" s="122">
        <v>1003</v>
      </c>
      <c r="AR434" s="122">
        <v>3420</v>
      </c>
      <c r="AS434" s="122">
        <v>3109</v>
      </c>
      <c r="AT434" s="122">
        <v>3721</v>
      </c>
      <c r="AU434" s="122">
        <v>1378</v>
      </c>
      <c r="AV434" s="122">
        <v>17536</v>
      </c>
    </row>
    <row r="435" spans="2:48" ht="12.75" hidden="1" customHeight="1">
      <c r="B435" t="s">
        <v>365</v>
      </c>
      <c r="C435" t="s">
        <v>56</v>
      </c>
      <c r="D435" t="s">
        <v>406</v>
      </c>
      <c r="E435" t="s">
        <v>406</v>
      </c>
      <c r="F435" s="122">
        <v>7976</v>
      </c>
      <c r="G435" s="122">
        <v>1304240</v>
      </c>
      <c r="H435" s="122">
        <v>1510477</v>
      </c>
      <c r="I435" s="122">
        <v>143841110</v>
      </c>
      <c r="J435" s="122">
        <v>130764645</v>
      </c>
      <c r="K435">
        <v>85</v>
      </c>
      <c r="L435" s="122">
        <v>32377359</v>
      </c>
      <c r="M435" s="122">
        <v>29267104</v>
      </c>
      <c r="N435" s="122">
        <v>27446841</v>
      </c>
      <c r="O435" s="122">
        <v>10165497</v>
      </c>
      <c r="P435" s="122">
        <v>5295784</v>
      </c>
      <c r="Q435" s="122">
        <v>1961402</v>
      </c>
      <c r="R435" s="122">
        <v>43889212</v>
      </c>
      <c r="S435" s="122">
        <v>39899284</v>
      </c>
      <c r="T435" s="122">
        <v>5559105</v>
      </c>
      <c r="U435" s="122">
        <v>2058928</v>
      </c>
      <c r="V435" s="122">
        <v>214116858</v>
      </c>
      <c r="W435" s="122">
        <f t="shared" si="12"/>
        <v>214116860</v>
      </c>
      <c r="X435" s="122">
        <f t="shared" si="13"/>
        <v>258409411</v>
      </c>
      <c r="Y435" s="122"/>
      <c r="AA435" t="s">
        <v>52</v>
      </c>
      <c r="AB435" t="s">
        <v>433</v>
      </c>
      <c r="AC435" t="s">
        <v>566</v>
      </c>
      <c r="AD435" t="s">
        <v>433</v>
      </c>
      <c r="AE435" t="s">
        <v>566</v>
      </c>
      <c r="AF435">
        <v>1</v>
      </c>
      <c r="AG435">
        <v>205</v>
      </c>
      <c r="AH435">
        <v>110</v>
      </c>
      <c r="AI435" s="122">
        <v>13372</v>
      </c>
      <c r="AJ435" s="122">
        <v>12157</v>
      </c>
      <c r="AK435">
        <v>65</v>
      </c>
      <c r="AL435" s="122">
        <v>0</v>
      </c>
      <c r="AM435" s="122">
        <v>0</v>
      </c>
      <c r="AN435" s="122">
        <v>2500</v>
      </c>
      <c r="AO435" s="122">
        <v>926</v>
      </c>
      <c r="AP435" s="122">
        <v>1781</v>
      </c>
      <c r="AQ435" s="122">
        <v>659</v>
      </c>
      <c r="AR435" s="122">
        <v>4911</v>
      </c>
      <c r="AS435" s="122">
        <v>4464</v>
      </c>
      <c r="AT435">
        <v>0</v>
      </c>
      <c r="AU435">
        <v>0</v>
      </c>
      <c r="AV435" s="122">
        <v>18206</v>
      </c>
    </row>
    <row r="436" spans="2:48" ht="12.75" hidden="1" customHeight="1">
      <c r="B436" t="s">
        <v>365</v>
      </c>
      <c r="C436" t="s">
        <v>56</v>
      </c>
      <c r="D436" t="s">
        <v>406</v>
      </c>
      <c r="E436" t="s">
        <v>427</v>
      </c>
      <c r="F436">
        <v>7</v>
      </c>
      <c r="G436" s="122">
        <v>1092</v>
      </c>
      <c r="H436" s="122">
        <v>1344</v>
      </c>
      <c r="I436" s="122">
        <v>121389</v>
      </c>
      <c r="J436" s="122">
        <v>110354</v>
      </c>
      <c r="K436">
        <v>84</v>
      </c>
      <c r="L436" s="122">
        <v>25941</v>
      </c>
      <c r="M436" s="122">
        <v>28958</v>
      </c>
      <c r="N436" s="122">
        <v>20132</v>
      </c>
      <c r="O436" s="122">
        <v>7456</v>
      </c>
      <c r="P436" s="122">
        <v>4347</v>
      </c>
      <c r="Q436" s="122">
        <v>1610</v>
      </c>
      <c r="R436" s="122">
        <v>34009</v>
      </c>
      <c r="S436" s="122">
        <v>30917</v>
      </c>
      <c r="T436" s="122">
        <v>2914</v>
      </c>
      <c r="U436" s="122">
        <v>1079</v>
      </c>
      <c r="V436" s="122">
        <v>180374</v>
      </c>
      <c r="W436" s="122">
        <f t="shared" si="12"/>
        <v>180374</v>
      </c>
      <c r="X436" s="122">
        <f t="shared" si="13"/>
        <v>208732</v>
      </c>
      <c r="Y436" s="122"/>
      <c r="AA436" t="s">
        <v>52</v>
      </c>
      <c r="AB436" t="s">
        <v>433</v>
      </c>
      <c r="AC436" t="s">
        <v>433</v>
      </c>
      <c r="AD436" t="s">
        <v>137</v>
      </c>
      <c r="AE436" t="s">
        <v>566</v>
      </c>
      <c r="AF436">
        <v>1</v>
      </c>
      <c r="AG436">
        <v>363</v>
      </c>
      <c r="AH436">
        <v>121</v>
      </c>
      <c r="AI436" s="122">
        <v>26937</v>
      </c>
      <c r="AJ436" s="122">
        <v>24488</v>
      </c>
      <c r="AK436">
        <v>75</v>
      </c>
      <c r="AL436" s="122">
        <v>2993</v>
      </c>
      <c r="AM436" s="122">
        <v>2721</v>
      </c>
      <c r="AN436" s="122">
        <v>4423</v>
      </c>
      <c r="AO436" s="122">
        <v>1638</v>
      </c>
      <c r="AP436" s="122">
        <v>3204</v>
      </c>
      <c r="AQ436" s="122">
        <v>1187</v>
      </c>
      <c r="AR436" s="122">
        <v>6356</v>
      </c>
      <c r="AS436" s="122">
        <v>2354</v>
      </c>
      <c r="AT436">
        <v>0</v>
      </c>
      <c r="AU436">
        <v>0</v>
      </c>
      <c r="AV436" s="122">
        <v>32388</v>
      </c>
    </row>
    <row r="437" spans="2:48" ht="12.75" hidden="1" customHeight="1">
      <c r="B437" t="s">
        <v>365</v>
      </c>
      <c r="C437" t="s">
        <v>56</v>
      </c>
      <c r="D437" t="s">
        <v>406</v>
      </c>
      <c r="E437" t="s">
        <v>407</v>
      </c>
      <c r="F437">
        <v>4</v>
      </c>
      <c r="G437" s="122">
        <v>754</v>
      </c>
      <c r="H437" s="122">
        <v>782</v>
      </c>
      <c r="I437" s="122">
        <v>88456</v>
      </c>
      <c r="J437" s="122">
        <v>80415</v>
      </c>
      <c r="K437">
        <v>86</v>
      </c>
      <c r="L437" s="122">
        <v>14969</v>
      </c>
      <c r="M437" s="122">
        <v>13608</v>
      </c>
      <c r="N437" s="122">
        <v>14272</v>
      </c>
      <c r="O437" s="122">
        <v>5286</v>
      </c>
      <c r="P437" s="122">
        <v>2214</v>
      </c>
      <c r="Q437" s="122">
        <v>820</v>
      </c>
      <c r="R437" s="122">
        <v>24245</v>
      </c>
      <c r="S437" s="122">
        <v>22041</v>
      </c>
      <c r="T437" s="122">
        <v>4370</v>
      </c>
      <c r="U437" s="122">
        <v>1619</v>
      </c>
      <c r="V437" s="122">
        <v>123788</v>
      </c>
      <c r="W437" s="122">
        <f t="shared" si="12"/>
        <v>123789</v>
      </c>
      <c r="X437" s="122">
        <f t="shared" si="13"/>
        <v>148526</v>
      </c>
      <c r="Y437" s="122"/>
      <c r="AA437" t="s">
        <v>52</v>
      </c>
      <c r="AB437" t="s">
        <v>408</v>
      </c>
      <c r="AC437" t="s">
        <v>425</v>
      </c>
      <c r="AD437" t="s">
        <v>408</v>
      </c>
      <c r="AE437" t="s">
        <v>566</v>
      </c>
      <c r="AF437">
        <v>3</v>
      </c>
      <c r="AG437">
        <v>552</v>
      </c>
      <c r="AH437">
        <v>355</v>
      </c>
      <c r="AI437" s="122">
        <v>42590</v>
      </c>
      <c r="AJ437" s="122">
        <v>38718</v>
      </c>
      <c r="AK437">
        <v>86</v>
      </c>
      <c r="AL437" s="122">
        <v>8074</v>
      </c>
      <c r="AM437" s="122">
        <v>7340</v>
      </c>
      <c r="AN437" s="122">
        <v>8882</v>
      </c>
      <c r="AO437" s="122">
        <v>3290</v>
      </c>
      <c r="AP437" s="122">
        <v>1053</v>
      </c>
      <c r="AQ437" s="122">
        <v>390</v>
      </c>
      <c r="AR437" s="122">
        <v>18052</v>
      </c>
      <c r="AS437" s="122">
        <v>16411</v>
      </c>
      <c r="AT437">
        <v>0</v>
      </c>
      <c r="AU437">
        <v>0</v>
      </c>
      <c r="AV437" s="122">
        <v>66149</v>
      </c>
    </row>
    <row r="438" spans="2:48" ht="12.75" hidden="1" customHeight="1">
      <c r="B438" t="s">
        <v>365</v>
      </c>
      <c r="C438" t="s">
        <v>56</v>
      </c>
      <c r="D438" t="s">
        <v>406</v>
      </c>
      <c r="E438" t="s">
        <v>426</v>
      </c>
      <c r="F438">
        <v>6</v>
      </c>
      <c r="G438" s="122">
        <v>1246</v>
      </c>
      <c r="H438" s="122">
        <v>1149</v>
      </c>
      <c r="I438" s="122">
        <v>135324</v>
      </c>
      <c r="J438" s="122">
        <v>123022</v>
      </c>
      <c r="K438">
        <v>83</v>
      </c>
      <c r="L438" s="122">
        <v>35209</v>
      </c>
      <c r="M438" s="122">
        <v>32008</v>
      </c>
      <c r="N438" s="122">
        <v>26827</v>
      </c>
      <c r="O438" s="122">
        <v>9936</v>
      </c>
      <c r="P438" s="122">
        <v>7155</v>
      </c>
      <c r="Q438" s="122">
        <v>2650</v>
      </c>
      <c r="R438" s="122">
        <v>48783</v>
      </c>
      <c r="S438" s="122">
        <v>44348</v>
      </c>
      <c r="T438" s="122">
        <v>3479</v>
      </c>
      <c r="U438" s="122">
        <v>1289</v>
      </c>
      <c r="V438" s="122">
        <v>213253</v>
      </c>
      <c r="W438" s="122">
        <f t="shared" si="12"/>
        <v>213253</v>
      </c>
      <c r="X438" s="122">
        <f t="shared" si="13"/>
        <v>256777</v>
      </c>
      <c r="Y438" s="122"/>
      <c r="AA438" t="s">
        <v>52</v>
      </c>
      <c r="AB438" t="s">
        <v>408</v>
      </c>
      <c r="AC438" t="s">
        <v>137</v>
      </c>
      <c r="AD438" t="s">
        <v>408</v>
      </c>
      <c r="AE438" t="s">
        <v>566</v>
      </c>
      <c r="AF438">
        <v>2</v>
      </c>
      <c r="AG438" s="122">
        <v>508</v>
      </c>
      <c r="AH438">
        <v>244</v>
      </c>
      <c r="AI438" s="122">
        <v>39279</v>
      </c>
      <c r="AJ438" s="122">
        <v>35708</v>
      </c>
      <c r="AK438">
        <v>79</v>
      </c>
      <c r="AL438" s="122">
        <v>8060</v>
      </c>
      <c r="AM438" s="122">
        <v>2985</v>
      </c>
      <c r="AN438" s="122">
        <v>7157</v>
      </c>
      <c r="AO438" s="122">
        <v>2651</v>
      </c>
      <c r="AP438" s="122">
        <v>6693</v>
      </c>
      <c r="AQ438" s="122">
        <v>2479</v>
      </c>
      <c r="AR438" s="122">
        <v>858</v>
      </c>
      <c r="AS438" s="122">
        <v>780</v>
      </c>
      <c r="AT438">
        <v>0</v>
      </c>
      <c r="AU438">
        <v>0</v>
      </c>
      <c r="AV438" s="122">
        <v>44603</v>
      </c>
    </row>
    <row r="439" spans="2:48" ht="12.75" hidden="1" customHeight="1">
      <c r="B439" t="s">
        <v>365</v>
      </c>
      <c r="C439" t="s">
        <v>56</v>
      </c>
      <c r="D439" t="s">
        <v>427</v>
      </c>
      <c r="E439" t="s">
        <v>406</v>
      </c>
      <c r="F439">
        <v>4</v>
      </c>
      <c r="G439" s="122">
        <v>660</v>
      </c>
      <c r="H439" s="122">
        <v>743</v>
      </c>
      <c r="I439" s="122">
        <v>65202</v>
      </c>
      <c r="J439" s="122">
        <v>59275</v>
      </c>
      <c r="K439">
        <v>87</v>
      </c>
      <c r="L439" s="122">
        <v>11682</v>
      </c>
      <c r="M439" s="122">
        <v>10620</v>
      </c>
      <c r="N439" s="122">
        <v>13327</v>
      </c>
      <c r="O439" s="122">
        <v>4936</v>
      </c>
      <c r="P439" s="122">
        <v>2484</v>
      </c>
      <c r="Q439" s="122">
        <v>920</v>
      </c>
      <c r="R439" s="122">
        <v>24248</v>
      </c>
      <c r="S439" s="122">
        <v>22044</v>
      </c>
      <c r="T439" s="122">
        <v>3683</v>
      </c>
      <c r="U439" s="122">
        <v>1364</v>
      </c>
      <c r="V439" s="122">
        <v>99159</v>
      </c>
      <c r="W439" s="122">
        <f t="shared" si="12"/>
        <v>99159</v>
      </c>
      <c r="X439" s="122">
        <f t="shared" si="13"/>
        <v>120626</v>
      </c>
      <c r="Y439" s="122"/>
      <c r="AA439" t="s">
        <v>52</v>
      </c>
      <c r="AB439" t="s">
        <v>408</v>
      </c>
      <c r="AC439" t="s">
        <v>580</v>
      </c>
      <c r="AD439" t="s">
        <v>408</v>
      </c>
      <c r="AE439" t="s">
        <v>566</v>
      </c>
      <c r="AF439">
        <v>5</v>
      </c>
      <c r="AG439" s="122">
        <v>1018</v>
      </c>
      <c r="AH439">
        <v>579</v>
      </c>
      <c r="AI439" s="122">
        <v>85721</v>
      </c>
      <c r="AJ439" s="122">
        <v>77928</v>
      </c>
      <c r="AK439">
        <v>91</v>
      </c>
      <c r="AL439" s="122">
        <v>11452</v>
      </c>
      <c r="AM439" s="122">
        <v>10411</v>
      </c>
      <c r="AN439" s="122">
        <v>20684</v>
      </c>
      <c r="AO439" s="122">
        <v>7661</v>
      </c>
      <c r="AP439" s="122">
        <v>8935</v>
      </c>
      <c r="AQ439" s="122">
        <v>3309</v>
      </c>
      <c r="AR439" s="122">
        <v>21311</v>
      </c>
      <c r="AS439" s="122">
        <v>19374</v>
      </c>
      <c r="AT439">
        <v>0</v>
      </c>
      <c r="AU439">
        <v>0</v>
      </c>
      <c r="AV439" s="122">
        <v>118683</v>
      </c>
    </row>
    <row r="440" spans="2:48" ht="12.75" hidden="1" customHeight="1">
      <c r="B440" t="s">
        <v>365</v>
      </c>
      <c r="C440" t="s">
        <v>56</v>
      </c>
      <c r="D440" t="s">
        <v>407</v>
      </c>
      <c r="E440" t="s">
        <v>405</v>
      </c>
      <c r="F440" s="122">
        <v>1</v>
      </c>
      <c r="G440" s="122">
        <v>134</v>
      </c>
      <c r="H440" s="122">
        <v>224</v>
      </c>
      <c r="I440" s="122">
        <v>16233</v>
      </c>
      <c r="J440" s="122">
        <v>14758</v>
      </c>
      <c r="K440">
        <v>78</v>
      </c>
      <c r="L440" s="122">
        <v>4479</v>
      </c>
      <c r="M440" s="122">
        <v>4072</v>
      </c>
      <c r="N440" s="122">
        <v>1698</v>
      </c>
      <c r="O440" s="122">
        <v>629</v>
      </c>
      <c r="P440" s="122">
        <v>473</v>
      </c>
      <c r="Q440" s="122">
        <v>175</v>
      </c>
      <c r="R440" s="122">
        <v>7086</v>
      </c>
      <c r="S440" s="122">
        <v>6441</v>
      </c>
      <c r="T440" s="122">
        <v>0</v>
      </c>
      <c r="U440" s="122">
        <v>0</v>
      </c>
      <c r="V440" s="122">
        <v>26075</v>
      </c>
      <c r="W440" s="122">
        <f t="shared" si="12"/>
        <v>26075</v>
      </c>
      <c r="X440" s="122">
        <f t="shared" si="13"/>
        <v>29969</v>
      </c>
      <c r="Y440" s="122"/>
      <c r="AA440" t="s">
        <v>52</v>
      </c>
      <c r="AB440" t="s">
        <v>408</v>
      </c>
      <c r="AC440" t="s">
        <v>427</v>
      </c>
      <c r="AD440" t="s">
        <v>408</v>
      </c>
      <c r="AE440" t="s">
        <v>137</v>
      </c>
      <c r="AF440">
        <v>1</v>
      </c>
      <c r="AG440">
        <v>219</v>
      </c>
      <c r="AH440">
        <v>124</v>
      </c>
      <c r="AI440" s="122">
        <v>11900</v>
      </c>
      <c r="AJ440" s="122">
        <v>10818</v>
      </c>
      <c r="AK440">
        <v>93</v>
      </c>
      <c r="AL440" s="122">
        <v>3855</v>
      </c>
      <c r="AM440" s="122">
        <v>3505</v>
      </c>
      <c r="AN440" s="122">
        <v>5326</v>
      </c>
      <c r="AO440" s="122">
        <v>1973</v>
      </c>
      <c r="AP440">
        <v>351</v>
      </c>
      <c r="AQ440">
        <v>130</v>
      </c>
      <c r="AR440" s="122">
        <v>5775</v>
      </c>
      <c r="AS440" s="122">
        <v>5250</v>
      </c>
      <c r="AT440">
        <v>0</v>
      </c>
      <c r="AU440">
        <v>0</v>
      </c>
      <c r="AV440" s="122">
        <v>21675</v>
      </c>
    </row>
    <row r="441" spans="2:48" ht="12.75" hidden="1" customHeight="1">
      <c r="B441" t="s">
        <v>365</v>
      </c>
      <c r="C441" t="s">
        <v>56</v>
      </c>
      <c r="D441" t="s">
        <v>407</v>
      </c>
      <c r="E441" t="s">
        <v>137</v>
      </c>
      <c r="F441" s="122">
        <v>3</v>
      </c>
      <c r="G441" s="122">
        <v>474</v>
      </c>
      <c r="H441" s="122">
        <v>525</v>
      </c>
      <c r="I441" s="122">
        <v>42555</v>
      </c>
      <c r="J441" s="122">
        <v>38687</v>
      </c>
      <c r="K441">
        <v>82</v>
      </c>
      <c r="L441" s="122">
        <v>7076</v>
      </c>
      <c r="M441" s="122">
        <v>6433</v>
      </c>
      <c r="N441" s="122">
        <v>8909</v>
      </c>
      <c r="O441" s="122">
        <v>3300</v>
      </c>
      <c r="P441" s="122">
        <v>2471</v>
      </c>
      <c r="Q441" s="122">
        <v>915</v>
      </c>
      <c r="R441" s="122">
        <v>22710</v>
      </c>
      <c r="S441" s="122">
        <v>8411</v>
      </c>
      <c r="T441" s="122">
        <v>0</v>
      </c>
      <c r="U441" s="122">
        <v>0</v>
      </c>
      <c r="V441" s="122">
        <v>57746</v>
      </c>
      <c r="W441" s="122">
        <f t="shared" si="12"/>
        <v>57746</v>
      </c>
      <c r="X441" s="122">
        <f t="shared" si="13"/>
        <v>83721</v>
      </c>
      <c r="Y441" s="122"/>
      <c r="AA441" t="s">
        <v>52</v>
      </c>
      <c r="AB441" t="s">
        <v>408</v>
      </c>
      <c r="AC441" t="s">
        <v>427</v>
      </c>
      <c r="AD441" t="s">
        <v>408</v>
      </c>
      <c r="AE441" t="s">
        <v>566</v>
      </c>
      <c r="AF441">
        <v>1</v>
      </c>
      <c r="AG441">
        <v>199</v>
      </c>
      <c r="AH441">
        <v>118</v>
      </c>
      <c r="AI441" s="122">
        <v>14320</v>
      </c>
      <c r="AJ441" s="122">
        <v>13018</v>
      </c>
      <c r="AK441">
        <v>91</v>
      </c>
      <c r="AL441" s="122">
        <v>2413</v>
      </c>
      <c r="AM441" s="122">
        <v>2194</v>
      </c>
      <c r="AN441" s="122">
        <v>3128</v>
      </c>
      <c r="AO441" s="122">
        <v>1158</v>
      </c>
      <c r="AP441">
        <v>351</v>
      </c>
      <c r="AQ441">
        <v>130</v>
      </c>
      <c r="AR441" s="122">
        <v>3229</v>
      </c>
      <c r="AS441" s="122">
        <v>2936</v>
      </c>
      <c r="AT441">
        <v>0</v>
      </c>
      <c r="AU441">
        <v>0</v>
      </c>
      <c r="AV441" s="122">
        <v>19436</v>
      </c>
    </row>
    <row r="442" spans="2:48" ht="12.75" hidden="1" customHeight="1">
      <c r="B442" t="s">
        <v>365</v>
      </c>
      <c r="C442" t="s">
        <v>56</v>
      </c>
      <c r="D442" t="s">
        <v>407</v>
      </c>
      <c r="E442" t="s">
        <v>406</v>
      </c>
      <c r="F442">
        <v>3</v>
      </c>
      <c r="G442" s="122">
        <v>483</v>
      </c>
      <c r="H442" s="122">
        <v>542</v>
      </c>
      <c r="I442" s="122">
        <v>43276</v>
      </c>
      <c r="J442" s="122">
        <v>39342</v>
      </c>
      <c r="K442">
        <v>83</v>
      </c>
      <c r="L442" s="122">
        <v>13898</v>
      </c>
      <c r="M442" s="122">
        <v>11285</v>
      </c>
      <c r="N442" s="122">
        <v>11319</v>
      </c>
      <c r="O442" s="122">
        <v>4192</v>
      </c>
      <c r="P442" s="122">
        <v>1566</v>
      </c>
      <c r="Q442" s="122">
        <v>580</v>
      </c>
      <c r="R442" s="122">
        <v>14816</v>
      </c>
      <c r="S442" s="122">
        <v>13469</v>
      </c>
      <c r="T442" s="122">
        <v>2553</v>
      </c>
      <c r="U442" s="122">
        <v>945</v>
      </c>
      <c r="V442" s="122">
        <v>69814</v>
      </c>
      <c r="W442" s="122">
        <f t="shared" si="12"/>
        <v>69813</v>
      </c>
      <c r="X442" s="122">
        <f t="shared" si="13"/>
        <v>87428</v>
      </c>
      <c r="Y442" s="122"/>
      <c r="AA442" t="s">
        <v>52</v>
      </c>
      <c r="AB442" t="s">
        <v>408</v>
      </c>
      <c r="AC442" t="s">
        <v>407</v>
      </c>
      <c r="AD442" t="s">
        <v>408</v>
      </c>
      <c r="AE442" t="s">
        <v>566</v>
      </c>
      <c r="AF442">
        <v>1</v>
      </c>
      <c r="AG442">
        <v>229</v>
      </c>
      <c r="AH442">
        <v>120</v>
      </c>
      <c r="AI442" s="122">
        <v>20202</v>
      </c>
      <c r="AJ442" s="122">
        <v>18366</v>
      </c>
      <c r="AK442">
        <v>95</v>
      </c>
      <c r="AL442" s="122">
        <v>3378</v>
      </c>
      <c r="AM442" s="122">
        <v>3071</v>
      </c>
      <c r="AN442" s="122">
        <v>5055</v>
      </c>
      <c r="AO442" s="122">
        <v>1872</v>
      </c>
      <c r="AP442">
        <v>351</v>
      </c>
      <c r="AQ442">
        <v>130</v>
      </c>
      <c r="AR442" s="122">
        <v>2708</v>
      </c>
      <c r="AS442" s="122">
        <v>2462</v>
      </c>
      <c r="AT442">
        <v>0</v>
      </c>
      <c r="AU442">
        <v>0</v>
      </c>
      <c r="AV442" s="122">
        <v>25901</v>
      </c>
    </row>
    <row r="443" spans="2:48" ht="12.75" hidden="1" customHeight="1">
      <c r="B443" t="s">
        <v>365</v>
      </c>
      <c r="C443" t="s">
        <v>56</v>
      </c>
      <c r="D443" t="s">
        <v>407</v>
      </c>
      <c r="E443" t="s">
        <v>427</v>
      </c>
      <c r="F443">
        <v>1</v>
      </c>
      <c r="G443" s="122">
        <v>132</v>
      </c>
      <c r="H443" s="122">
        <v>215</v>
      </c>
      <c r="I443" s="122">
        <v>15952</v>
      </c>
      <c r="J443" s="122">
        <v>14502</v>
      </c>
      <c r="K443">
        <v>78</v>
      </c>
      <c r="L443" s="122">
        <v>4372</v>
      </c>
      <c r="M443" s="122">
        <v>3975</v>
      </c>
      <c r="N443" s="122">
        <v>1963</v>
      </c>
      <c r="O443" s="122">
        <v>727</v>
      </c>
      <c r="P443" s="122">
        <v>473</v>
      </c>
      <c r="Q443" s="122">
        <v>175</v>
      </c>
      <c r="R443" s="122">
        <v>5607</v>
      </c>
      <c r="S443" s="122">
        <v>5097</v>
      </c>
      <c r="T443" s="122">
        <v>0</v>
      </c>
      <c r="U443" s="122">
        <v>0</v>
      </c>
      <c r="V443" s="122">
        <v>24476</v>
      </c>
      <c r="W443" s="122">
        <f t="shared" si="12"/>
        <v>24476</v>
      </c>
      <c r="X443" s="122">
        <f t="shared" si="13"/>
        <v>28367</v>
      </c>
      <c r="Y443" s="122"/>
      <c r="AA443" t="s">
        <v>52</v>
      </c>
      <c r="AB443" t="s">
        <v>408</v>
      </c>
      <c r="AC443" t="s">
        <v>579</v>
      </c>
      <c r="AD443" t="s">
        <v>408</v>
      </c>
      <c r="AE443" t="s">
        <v>566</v>
      </c>
      <c r="AF443">
        <v>2</v>
      </c>
      <c r="AG443">
        <v>628</v>
      </c>
      <c r="AH443">
        <v>238</v>
      </c>
      <c r="AI443" s="122">
        <v>41183</v>
      </c>
      <c r="AJ443" s="122">
        <v>37439</v>
      </c>
      <c r="AK443">
        <v>90</v>
      </c>
      <c r="AL443" s="122">
        <v>7472</v>
      </c>
      <c r="AM443" s="122">
        <v>6227</v>
      </c>
      <c r="AN443" s="122">
        <v>12137</v>
      </c>
      <c r="AO443" s="122">
        <v>4495</v>
      </c>
      <c r="AP443">
        <v>702</v>
      </c>
      <c r="AQ443">
        <v>260</v>
      </c>
      <c r="AR443" s="122">
        <v>13210</v>
      </c>
      <c r="AS443" s="122">
        <v>12009</v>
      </c>
      <c r="AT443">
        <v>0</v>
      </c>
      <c r="AU443">
        <v>0</v>
      </c>
      <c r="AV443" s="122">
        <v>60430</v>
      </c>
    </row>
    <row r="444" spans="2:48" ht="12.75" hidden="1" customHeight="1">
      <c r="B444" t="s">
        <v>365</v>
      </c>
      <c r="C444" t="s">
        <v>56</v>
      </c>
      <c r="D444" t="s">
        <v>407</v>
      </c>
      <c r="E444" t="s">
        <v>407</v>
      </c>
      <c r="F444" s="122">
        <v>3528</v>
      </c>
      <c r="G444" s="122">
        <v>512390</v>
      </c>
      <c r="H444" s="122">
        <v>651967</v>
      </c>
      <c r="I444" s="122">
        <v>51381194</v>
      </c>
      <c r="J444" s="122">
        <v>46710176</v>
      </c>
      <c r="K444">
        <v>83</v>
      </c>
      <c r="L444" s="122">
        <v>13244158</v>
      </c>
      <c r="M444" s="122">
        <v>11628460</v>
      </c>
      <c r="N444" s="122">
        <v>10550853</v>
      </c>
      <c r="O444" s="122">
        <v>3907723</v>
      </c>
      <c r="P444" s="122">
        <v>1744965</v>
      </c>
      <c r="Q444" s="122">
        <v>646283</v>
      </c>
      <c r="R444" s="122">
        <v>18779345</v>
      </c>
      <c r="S444" s="122">
        <v>17072132</v>
      </c>
      <c r="T444" s="122">
        <v>1391567</v>
      </c>
      <c r="U444" s="122">
        <v>515395</v>
      </c>
      <c r="V444" s="122">
        <v>80480170</v>
      </c>
      <c r="W444" s="122">
        <f t="shared" si="12"/>
        <v>80480169</v>
      </c>
      <c r="X444" s="122">
        <f t="shared" si="13"/>
        <v>97092082</v>
      </c>
      <c r="Y444" s="122"/>
      <c r="AA444" t="s">
        <v>52</v>
      </c>
      <c r="AB444" t="s">
        <v>408</v>
      </c>
      <c r="AC444" t="s">
        <v>428</v>
      </c>
      <c r="AD444" t="s">
        <v>408</v>
      </c>
      <c r="AE444" t="s">
        <v>137</v>
      </c>
      <c r="AF444">
        <v>1</v>
      </c>
      <c r="AG444">
        <v>117</v>
      </c>
      <c r="AH444">
        <v>118</v>
      </c>
      <c r="AI444" s="122">
        <v>7963</v>
      </c>
      <c r="AJ444" s="122">
        <v>7239</v>
      </c>
      <c r="AK444">
        <v>84</v>
      </c>
      <c r="AL444" s="122">
        <v>1175</v>
      </c>
      <c r="AM444" s="122">
        <v>1068</v>
      </c>
      <c r="AN444" s="122">
        <v>1782</v>
      </c>
      <c r="AO444" s="122">
        <v>660</v>
      </c>
      <c r="AP444" s="122">
        <v>351</v>
      </c>
      <c r="AQ444">
        <v>130</v>
      </c>
      <c r="AR444" s="122">
        <v>2556</v>
      </c>
      <c r="AS444" s="122">
        <v>2324</v>
      </c>
      <c r="AT444" s="122">
        <v>0</v>
      </c>
      <c r="AU444" s="122">
        <v>0</v>
      </c>
      <c r="AV444" s="122">
        <v>11420</v>
      </c>
    </row>
    <row r="445" spans="2:48" ht="12.75" hidden="1" customHeight="1">
      <c r="B445" t="s">
        <v>365</v>
      </c>
      <c r="C445" t="s">
        <v>56</v>
      </c>
      <c r="D445" t="s">
        <v>407</v>
      </c>
      <c r="E445" t="s">
        <v>428</v>
      </c>
      <c r="F445">
        <v>1</v>
      </c>
      <c r="G445">
        <v>242</v>
      </c>
      <c r="H445" s="122">
        <v>174</v>
      </c>
      <c r="I445" s="122">
        <v>21748</v>
      </c>
      <c r="J445" s="122">
        <v>19771</v>
      </c>
      <c r="K445">
        <v>91</v>
      </c>
      <c r="L445" s="122">
        <v>7289</v>
      </c>
      <c r="M445" s="122">
        <v>6627</v>
      </c>
      <c r="N445" s="122">
        <v>4725</v>
      </c>
      <c r="O445" s="122">
        <v>1750</v>
      </c>
      <c r="P445" s="122">
        <v>351</v>
      </c>
      <c r="Q445">
        <v>130</v>
      </c>
      <c r="R445" s="122">
        <v>3790</v>
      </c>
      <c r="S445" s="122">
        <v>3446</v>
      </c>
      <c r="T445" s="122">
        <v>4147</v>
      </c>
      <c r="U445" s="122">
        <v>1536</v>
      </c>
      <c r="V445" s="122">
        <v>33259</v>
      </c>
      <c r="W445" s="122">
        <f t="shared" si="12"/>
        <v>33260</v>
      </c>
      <c r="X445" s="122">
        <f t="shared" si="13"/>
        <v>42050</v>
      </c>
      <c r="Y445" s="122"/>
      <c r="AA445" t="s">
        <v>52</v>
      </c>
      <c r="AB445" t="s">
        <v>408</v>
      </c>
      <c r="AC445" t="s">
        <v>426</v>
      </c>
      <c r="AD445" t="s">
        <v>408</v>
      </c>
      <c r="AE445" t="s">
        <v>137</v>
      </c>
      <c r="AF445">
        <v>4</v>
      </c>
      <c r="AG445" s="122">
        <v>978</v>
      </c>
      <c r="AH445" s="122">
        <v>481</v>
      </c>
      <c r="AI445" s="122">
        <v>71461</v>
      </c>
      <c r="AJ445" s="122">
        <v>64965</v>
      </c>
      <c r="AK445">
        <v>88</v>
      </c>
      <c r="AL445" s="122">
        <v>11323</v>
      </c>
      <c r="AM445" s="122">
        <v>10294</v>
      </c>
      <c r="AN445" s="122">
        <v>17023</v>
      </c>
      <c r="AO445" s="122">
        <v>6305</v>
      </c>
      <c r="AP445" s="122">
        <v>1674</v>
      </c>
      <c r="AQ445" s="122">
        <v>620</v>
      </c>
      <c r="AR445" s="122">
        <v>19794</v>
      </c>
      <c r="AS445" s="122">
        <v>17995</v>
      </c>
      <c r="AT445" s="122">
        <v>3520</v>
      </c>
      <c r="AU445" s="122">
        <v>1304</v>
      </c>
      <c r="AV445" s="122">
        <v>101482</v>
      </c>
    </row>
    <row r="446" spans="2:48" ht="12.75" hidden="1" customHeight="1">
      <c r="B446" t="s">
        <v>365</v>
      </c>
      <c r="C446" t="s">
        <v>56</v>
      </c>
      <c r="D446" t="s">
        <v>407</v>
      </c>
      <c r="E446" t="s">
        <v>426</v>
      </c>
      <c r="F446">
        <v>1</v>
      </c>
      <c r="G446">
        <v>108</v>
      </c>
      <c r="H446" s="122">
        <v>215</v>
      </c>
      <c r="I446" s="122">
        <v>12471</v>
      </c>
      <c r="J446" s="122">
        <v>11337</v>
      </c>
      <c r="K446">
        <v>73</v>
      </c>
      <c r="L446" s="122">
        <v>3206</v>
      </c>
      <c r="M446" s="122">
        <v>2914</v>
      </c>
      <c r="N446" s="122">
        <v>2241</v>
      </c>
      <c r="O446" s="122">
        <v>830</v>
      </c>
      <c r="P446" s="122">
        <v>473</v>
      </c>
      <c r="Q446">
        <v>175</v>
      </c>
      <c r="R446" s="122">
        <v>4838</v>
      </c>
      <c r="S446" s="122">
        <v>4398</v>
      </c>
      <c r="T446" s="122">
        <v>0</v>
      </c>
      <c r="U446" s="122">
        <v>0</v>
      </c>
      <c r="V446" s="122">
        <v>19655</v>
      </c>
      <c r="W446" s="122">
        <f t="shared" si="12"/>
        <v>19654</v>
      </c>
      <c r="X446" s="122">
        <f t="shared" si="13"/>
        <v>23229</v>
      </c>
      <c r="Y446" s="122"/>
      <c r="AA446" t="s">
        <v>52</v>
      </c>
      <c r="AB446" t="s">
        <v>408</v>
      </c>
      <c r="AC446" t="s">
        <v>426</v>
      </c>
      <c r="AD446" t="s">
        <v>408</v>
      </c>
      <c r="AE446" t="s">
        <v>566</v>
      </c>
      <c r="AF446">
        <v>23</v>
      </c>
      <c r="AG446" s="122">
        <v>5386</v>
      </c>
      <c r="AH446" s="122">
        <v>2699</v>
      </c>
      <c r="AI446" s="122">
        <v>356710</v>
      </c>
      <c r="AJ446" s="122">
        <v>324282</v>
      </c>
      <c r="AK446">
        <v>87</v>
      </c>
      <c r="AL446" s="122">
        <v>75242</v>
      </c>
      <c r="AM446" s="122">
        <v>68402</v>
      </c>
      <c r="AN446" s="122">
        <v>96769</v>
      </c>
      <c r="AO446" s="122">
        <v>35840</v>
      </c>
      <c r="AP446" s="122">
        <v>14229</v>
      </c>
      <c r="AQ446" s="122">
        <v>5270</v>
      </c>
      <c r="AR446" s="122">
        <v>111026</v>
      </c>
      <c r="AS446" s="122">
        <v>100933</v>
      </c>
      <c r="AT446">
        <v>0</v>
      </c>
      <c r="AU446">
        <v>0</v>
      </c>
      <c r="AV446" s="122">
        <v>534727</v>
      </c>
    </row>
    <row r="447" spans="2:48" ht="12.75" hidden="1" customHeight="1">
      <c r="B447" t="s">
        <v>365</v>
      </c>
      <c r="C447" t="s">
        <v>56</v>
      </c>
      <c r="D447" t="s">
        <v>426</v>
      </c>
      <c r="E447" t="s">
        <v>137</v>
      </c>
      <c r="F447">
        <v>1</v>
      </c>
      <c r="G447" s="122">
        <v>86</v>
      </c>
      <c r="H447" s="122">
        <v>209</v>
      </c>
      <c r="I447" s="122">
        <v>23177</v>
      </c>
      <c r="J447" s="122">
        <v>21070</v>
      </c>
      <c r="K447">
        <v>60</v>
      </c>
      <c r="L447" s="122">
        <v>0</v>
      </c>
      <c r="M447" s="122">
        <v>0</v>
      </c>
      <c r="N447" s="122">
        <v>2266</v>
      </c>
      <c r="O447" s="122">
        <v>839</v>
      </c>
      <c r="P447" s="122">
        <v>1497</v>
      </c>
      <c r="Q447" s="122">
        <v>554</v>
      </c>
      <c r="R447" s="122">
        <v>6886</v>
      </c>
      <c r="S447" s="122">
        <v>2550</v>
      </c>
      <c r="T447" s="122">
        <v>0</v>
      </c>
      <c r="U447" s="122">
        <v>0</v>
      </c>
      <c r="V447" s="122">
        <v>25014</v>
      </c>
      <c r="W447" s="122">
        <f t="shared" si="12"/>
        <v>25013</v>
      </c>
      <c r="X447" s="122">
        <f t="shared" si="13"/>
        <v>33826</v>
      </c>
      <c r="Y447" s="122"/>
      <c r="AA447" t="s">
        <v>52</v>
      </c>
      <c r="AB447" t="s">
        <v>408</v>
      </c>
      <c r="AC447" t="s">
        <v>566</v>
      </c>
      <c r="AD447" t="s">
        <v>408</v>
      </c>
      <c r="AE447" t="s">
        <v>137</v>
      </c>
      <c r="AF447">
        <v>11</v>
      </c>
      <c r="AG447" s="122">
        <v>1316</v>
      </c>
      <c r="AH447" s="122">
        <v>1216</v>
      </c>
      <c r="AI447" s="122">
        <v>96425</v>
      </c>
      <c r="AJ447" s="122">
        <v>87659</v>
      </c>
      <c r="AK447">
        <v>94</v>
      </c>
      <c r="AL447">
        <v>0</v>
      </c>
      <c r="AM447">
        <v>0</v>
      </c>
      <c r="AN447" s="122">
        <v>17186</v>
      </c>
      <c r="AO447" s="122">
        <v>6365</v>
      </c>
      <c r="AP447" s="122">
        <v>19330</v>
      </c>
      <c r="AQ447" s="122">
        <v>7159</v>
      </c>
      <c r="AR447" s="122">
        <v>13295</v>
      </c>
      <c r="AS447" s="122">
        <v>12087</v>
      </c>
      <c r="AT447">
        <v>0</v>
      </c>
      <c r="AU447">
        <v>0</v>
      </c>
      <c r="AV447" s="122">
        <v>113270</v>
      </c>
    </row>
    <row r="448" spans="2:48" ht="12.75" hidden="1" customHeight="1">
      <c r="B448" t="s">
        <v>365</v>
      </c>
      <c r="C448" t="s">
        <v>56</v>
      </c>
      <c r="D448" t="s">
        <v>426</v>
      </c>
      <c r="E448" t="s">
        <v>406</v>
      </c>
      <c r="F448">
        <v>1</v>
      </c>
      <c r="G448">
        <v>312</v>
      </c>
      <c r="H448" s="122">
        <v>185</v>
      </c>
      <c r="I448" s="122">
        <v>35162</v>
      </c>
      <c r="J448" s="122">
        <v>31966</v>
      </c>
      <c r="K448">
        <v>60</v>
      </c>
      <c r="L448" s="122">
        <v>7423</v>
      </c>
      <c r="M448" s="122">
        <v>6748</v>
      </c>
      <c r="N448" s="122">
        <v>5701</v>
      </c>
      <c r="O448" s="122">
        <v>2112</v>
      </c>
      <c r="P448" s="122">
        <v>1053</v>
      </c>
      <c r="Q448">
        <v>390</v>
      </c>
      <c r="R448" s="122">
        <v>8275</v>
      </c>
      <c r="S448" s="122">
        <v>7523</v>
      </c>
      <c r="T448" s="122">
        <v>0</v>
      </c>
      <c r="U448" s="122">
        <v>0</v>
      </c>
      <c r="V448" s="122">
        <v>48739</v>
      </c>
      <c r="W448" s="122">
        <f t="shared" si="12"/>
        <v>48739</v>
      </c>
      <c r="X448" s="122">
        <f t="shared" si="13"/>
        <v>57614</v>
      </c>
      <c r="Y448" s="122"/>
      <c r="AA448" t="s">
        <v>52</v>
      </c>
      <c r="AB448" t="s">
        <v>408</v>
      </c>
      <c r="AC448" t="s">
        <v>566</v>
      </c>
      <c r="AD448" t="s">
        <v>408</v>
      </c>
      <c r="AE448" t="s">
        <v>566</v>
      </c>
      <c r="AF448">
        <v>3</v>
      </c>
      <c r="AG448" s="122">
        <v>369</v>
      </c>
      <c r="AH448">
        <v>362</v>
      </c>
      <c r="AI448" s="122">
        <v>34699</v>
      </c>
      <c r="AJ448" s="122">
        <v>31545</v>
      </c>
      <c r="AK448">
        <v>83</v>
      </c>
      <c r="AL448" s="122">
        <v>0</v>
      </c>
      <c r="AM448" s="122">
        <v>0</v>
      </c>
      <c r="AN448" s="122">
        <v>5785</v>
      </c>
      <c r="AO448" s="122">
        <v>2142</v>
      </c>
      <c r="AP448" s="122">
        <v>3325</v>
      </c>
      <c r="AQ448" s="122">
        <v>1231</v>
      </c>
      <c r="AR448" s="122">
        <v>9955</v>
      </c>
      <c r="AS448" s="122">
        <v>9050</v>
      </c>
      <c r="AT448">
        <v>0</v>
      </c>
      <c r="AU448">
        <v>0</v>
      </c>
      <c r="AV448" s="122">
        <v>43969</v>
      </c>
    </row>
    <row r="449" spans="2:48" ht="12.75" hidden="1" customHeight="1">
      <c r="B449" t="s">
        <v>365</v>
      </c>
      <c r="C449" t="s">
        <v>56</v>
      </c>
      <c r="D449" t="s">
        <v>426</v>
      </c>
      <c r="E449" t="s">
        <v>426</v>
      </c>
      <c r="F449">
        <v>14</v>
      </c>
      <c r="G449" s="122">
        <v>2449</v>
      </c>
      <c r="H449" s="122">
        <v>2876</v>
      </c>
      <c r="I449" s="122">
        <v>318156</v>
      </c>
      <c r="J449" s="122">
        <v>289233</v>
      </c>
      <c r="K449">
        <v>67</v>
      </c>
      <c r="L449" s="122">
        <v>36195</v>
      </c>
      <c r="M449" s="122">
        <v>27933</v>
      </c>
      <c r="N449" s="122">
        <v>41845</v>
      </c>
      <c r="O449" s="122">
        <v>15498</v>
      </c>
      <c r="P449" s="122">
        <v>9722</v>
      </c>
      <c r="Q449" s="122">
        <v>3601</v>
      </c>
      <c r="R449" s="122">
        <v>77909</v>
      </c>
      <c r="S449" s="122">
        <v>70826</v>
      </c>
      <c r="T449" s="122">
        <v>28738</v>
      </c>
      <c r="U449" s="122">
        <v>10644</v>
      </c>
      <c r="V449" s="122">
        <v>417735</v>
      </c>
      <c r="W449" s="122">
        <f t="shared" si="12"/>
        <v>417735</v>
      </c>
      <c r="X449" s="122">
        <f t="shared" si="13"/>
        <v>512565</v>
      </c>
      <c r="Y449" s="122"/>
      <c r="AA449" t="s">
        <v>52</v>
      </c>
      <c r="AB449" t="s">
        <v>408</v>
      </c>
      <c r="AC449" t="s">
        <v>433</v>
      </c>
      <c r="AD449" t="s">
        <v>408</v>
      </c>
      <c r="AE449" t="s">
        <v>566</v>
      </c>
      <c r="AF449">
        <v>6</v>
      </c>
      <c r="AG449" s="122">
        <v>1464</v>
      </c>
      <c r="AH449">
        <v>718</v>
      </c>
      <c r="AI449" s="122">
        <v>102747</v>
      </c>
      <c r="AJ449" s="122">
        <v>93406</v>
      </c>
      <c r="AK449">
        <v>87</v>
      </c>
      <c r="AL449" s="122">
        <v>14044</v>
      </c>
      <c r="AM449" s="122">
        <v>12767</v>
      </c>
      <c r="AN449" s="122">
        <v>24691</v>
      </c>
      <c r="AO449" s="122">
        <v>9145</v>
      </c>
      <c r="AP449" s="122">
        <v>8338</v>
      </c>
      <c r="AQ449" s="122">
        <v>3088</v>
      </c>
      <c r="AR449" s="122">
        <v>33743</v>
      </c>
      <c r="AS449" s="122">
        <v>30675</v>
      </c>
      <c r="AT449">
        <v>0</v>
      </c>
      <c r="AU449">
        <v>0</v>
      </c>
      <c r="AV449" s="122">
        <v>149081</v>
      </c>
    </row>
    <row r="450" spans="2:48" ht="12.75" hidden="1" customHeight="1">
      <c r="B450" t="s">
        <v>365</v>
      </c>
      <c r="C450" t="s">
        <v>56</v>
      </c>
      <c r="D450" t="s">
        <v>433</v>
      </c>
      <c r="E450" t="s">
        <v>433</v>
      </c>
      <c r="F450">
        <v>3</v>
      </c>
      <c r="G450" s="122">
        <v>441</v>
      </c>
      <c r="H450" s="122">
        <v>601</v>
      </c>
      <c r="I450" s="122">
        <v>62700</v>
      </c>
      <c r="J450" s="122">
        <v>57000</v>
      </c>
      <c r="K450">
        <v>74</v>
      </c>
      <c r="L450" s="122">
        <v>7575</v>
      </c>
      <c r="M450" s="122">
        <v>6886</v>
      </c>
      <c r="N450" s="122">
        <v>7749</v>
      </c>
      <c r="O450" s="122">
        <v>2870</v>
      </c>
      <c r="P450" s="122">
        <v>2552</v>
      </c>
      <c r="Q450" s="122">
        <v>945</v>
      </c>
      <c r="R450" s="122">
        <v>7210</v>
      </c>
      <c r="S450" s="122">
        <v>6554</v>
      </c>
      <c r="T450" s="122">
        <v>2583</v>
      </c>
      <c r="U450" s="122">
        <v>957</v>
      </c>
      <c r="V450" s="122">
        <v>75213</v>
      </c>
      <c r="W450" s="122">
        <f t="shared" si="12"/>
        <v>75212</v>
      </c>
      <c r="X450" s="122">
        <f t="shared" si="13"/>
        <v>90369</v>
      </c>
      <c r="Y450" s="122"/>
      <c r="AA450" t="s">
        <v>52</v>
      </c>
      <c r="AB450" t="s">
        <v>408</v>
      </c>
      <c r="AC450" t="s">
        <v>408</v>
      </c>
      <c r="AD450" t="s">
        <v>408</v>
      </c>
      <c r="AE450" t="s">
        <v>137</v>
      </c>
      <c r="AF450">
        <v>1</v>
      </c>
      <c r="AG450">
        <v>276</v>
      </c>
      <c r="AH450">
        <v>124</v>
      </c>
      <c r="AI450" s="122">
        <v>20612</v>
      </c>
      <c r="AJ450" s="122">
        <v>18738</v>
      </c>
      <c r="AK450">
        <v>85</v>
      </c>
      <c r="AL450" s="122">
        <v>2995</v>
      </c>
      <c r="AM450" s="122">
        <v>2723</v>
      </c>
      <c r="AN450" s="122">
        <v>4064</v>
      </c>
      <c r="AO450" s="122">
        <v>1505</v>
      </c>
      <c r="AP450" s="122">
        <v>351</v>
      </c>
      <c r="AQ450" s="122">
        <v>130</v>
      </c>
      <c r="AR450" s="122">
        <v>6055</v>
      </c>
      <c r="AS450" s="122">
        <v>5505</v>
      </c>
      <c r="AT450">
        <v>0</v>
      </c>
      <c r="AU450">
        <v>0</v>
      </c>
      <c r="AV450" s="122">
        <v>28600</v>
      </c>
    </row>
    <row r="451" spans="2:48" ht="12.75" hidden="1" customHeight="1">
      <c r="B451" t="s">
        <v>365</v>
      </c>
      <c r="C451" t="s">
        <v>56</v>
      </c>
      <c r="D451" t="s">
        <v>408</v>
      </c>
      <c r="E451" t="s">
        <v>408</v>
      </c>
      <c r="F451">
        <v>29</v>
      </c>
      <c r="G451" s="122">
        <v>4834</v>
      </c>
      <c r="H451" s="122">
        <v>5816</v>
      </c>
      <c r="I451" s="122">
        <v>605958</v>
      </c>
      <c r="J451" s="122">
        <v>550871</v>
      </c>
      <c r="K451">
        <v>71</v>
      </c>
      <c r="L451" s="122">
        <v>105728</v>
      </c>
      <c r="M451" s="122">
        <v>95000</v>
      </c>
      <c r="N451" s="122">
        <v>94353</v>
      </c>
      <c r="O451" s="122">
        <v>34946</v>
      </c>
      <c r="P451" s="122">
        <v>13682</v>
      </c>
      <c r="Q451" s="122">
        <v>5067</v>
      </c>
      <c r="R451" s="122">
        <v>183524</v>
      </c>
      <c r="S451" s="122">
        <v>166840</v>
      </c>
      <c r="T451" s="122">
        <v>13180</v>
      </c>
      <c r="U451" s="122">
        <v>4881</v>
      </c>
      <c r="V451" s="122">
        <v>857605</v>
      </c>
      <c r="W451" s="122">
        <f t="shared" si="12"/>
        <v>857605</v>
      </c>
      <c r="X451" s="122">
        <f t="shared" si="13"/>
        <v>1016425</v>
      </c>
      <c r="Y451" s="122"/>
      <c r="AA451" t="s">
        <v>52</v>
      </c>
      <c r="AB451" t="s">
        <v>408</v>
      </c>
      <c r="AC451" t="s">
        <v>429</v>
      </c>
      <c r="AD451" t="s">
        <v>408</v>
      </c>
      <c r="AE451" t="s">
        <v>566</v>
      </c>
      <c r="AF451">
        <v>2</v>
      </c>
      <c r="AG451">
        <v>545</v>
      </c>
      <c r="AH451">
        <v>239</v>
      </c>
      <c r="AI451" s="122">
        <v>43094</v>
      </c>
      <c r="AJ451" s="122">
        <v>39177</v>
      </c>
      <c r="AK451">
        <v>74</v>
      </c>
      <c r="AL451" s="122">
        <v>5512</v>
      </c>
      <c r="AM451" s="122">
        <v>5011</v>
      </c>
      <c r="AN451" s="122">
        <v>10004</v>
      </c>
      <c r="AO451" s="122">
        <v>3705</v>
      </c>
      <c r="AP451" s="122">
        <v>6226</v>
      </c>
      <c r="AQ451" s="122">
        <v>2306</v>
      </c>
      <c r="AR451" s="122">
        <v>7663</v>
      </c>
      <c r="AS451" s="122">
        <v>6966</v>
      </c>
      <c r="AT451">
        <v>0</v>
      </c>
      <c r="AU451">
        <v>0</v>
      </c>
      <c r="AV451" s="122">
        <v>57165</v>
      </c>
    </row>
    <row r="452" spans="2:48" ht="12.75" hidden="1" customHeight="1">
      <c r="B452" t="s">
        <v>365</v>
      </c>
      <c r="C452" t="s">
        <v>56</v>
      </c>
      <c r="D452" t="s">
        <v>429</v>
      </c>
      <c r="E452" t="s">
        <v>429</v>
      </c>
      <c r="F452">
        <v>1</v>
      </c>
      <c r="G452" s="122">
        <v>135</v>
      </c>
      <c r="H452" s="122">
        <v>209</v>
      </c>
      <c r="I452" s="122">
        <v>21182</v>
      </c>
      <c r="J452" s="122">
        <v>19257</v>
      </c>
      <c r="K452">
        <v>65</v>
      </c>
      <c r="L452" s="122">
        <v>2550</v>
      </c>
      <c r="M452" s="122">
        <v>2318</v>
      </c>
      <c r="N452" s="122">
        <v>3295</v>
      </c>
      <c r="O452" s="122">
        <v>1220</v>
      </c>
      <c r="P452" s="122">
        <v>351</v>
      </c>
      <c r="Q452" s="122">
        <v>130</v>
      </c>
      <c r="R452" s="122">
        <v>831</v>
      </c>
      <c r="S452" s="122">
        <v>755</v>
      </c>
      <c r="T452" s="122">
        <v>0</v>
      </c>
      <c r="U452" s="122">
        <v>0</v>
      </c>
      <c r="V452" s="122">
        <v>23680</v>
      </c>
      <c r="W452" s="122">
        <f t="shared" si="12"/>
        <v>23680</v>
      </c>
      <c r="X452" s="122">
        <f t="shared" si="13"/>
        <v>28209</v>
      </c>
      <c r="Y452" s="122"/>
      <c r="AA452" t="s">
        <v>52</v>
      </c>
      <c r="AB452" t="s">
        <v>429</v>
      </c>
      <c r="AC452" t="s">
        <v>566</v>
      </c>
      <c r="AD452" t="s">
        <v>429</v>
      </c>
      <c r="AE452" t="s">
        <v>566</v>
      </c>
      <c r="AF452">
        <v>1</v>
      </c>
      <c r="AG452" s="122">
        <v>184</v>
      </c>
      <c r="AH452" s="122">
        <v>112</v>
      </c>
      <c r="AI452" s="122">
        <v>15319</v>
      </c>
      <c r="AJ452" s="122">
        <v>13926</v>
      </c>
      <c r="AK452">
        <v>65</v>
      </c>
      <c r="AL452">
        <v>0</v>
      </c>
      <c r="AM452">
        <v>0</v>
      </c>
      <c r="AN452" s="122">
        <v>2236</v>
      </c>
      <c r="AO452" s="122">
        <v>828</v>
      </c>
      <c r="AP452" s="122">
        <v>2002</v>
      </c>
      <c r="AQ452" s="122">
        <v>741</v>
      </c>
      <c r="AR452">
        <v>934</v>
      </c>
      <c r="AS452">
        <v>849</v>
      </c>
      <c r="AT452">
        <v>0</v>
      </c>
      <c r="AU452">
        <v>0</v>
      </c>
      <c r="AV452" s="122">
        <v>16345</v>
      </c>
    </row>
    <row r="453" spans="2:48" ht="12.75" hidden="1" customHeight="1">
      <c r="B453" t="s">
        <v>365</v>
      </c>
      <c r="C453" t="s">
        <v>58</v>
      </c>
      <c r="F453">
        <v>3</v>
      </c>
      <c r="G453" s="122">
        <v>470</v>
      </c>
      <c r="H453" s="122">
        <v>749</v>
      </c>
      <c r="I453" s="122"/>
      <c r="J453" s="122">
        <v>0</v>
      </c>
      <c r="L453" s="122"/>
      <c r="M453" s="122">
        <v>0</v>
      </c>
      <c r="N453" s="122">
        <v>7232</v>
      </c>
      <c r="O453" s="122">
        <v>2678</v>
      </c>
      <c r="P453" s="122">
        <v>1593</v>
      </c>
      <c r="Q453" s="122">
        <v>590</v>
      </c>
      <c r="R453" s="122"/>
      <c r="S453" s="122">
        <v>0</v>
      </c>
      <c r="T453" s="122">
        <v>0</v>
      </c>
      <c r="U453" s="122">
        <v>0</v>
      </c>
      <c r="V453" s="122">
        <v>3268</v>
      </c>
      <c r="W453" s="122">
        <f t="shared" si="12"/>
        <v>3268</v>
      </c>
      <c r="X453" s="122">
        <f t="shared" si="13"/>
        <v>8825</v>
      </c>
      <c r="Y453" s="122"/>
      <c r="AA453" t="s">
        <v>54</v>
      </c>
      <c r="AC453" t="s">
        <v>566</v>
      </c>
      <c r="AE453" t="s">
        <v>566</v>
      </c>
      <c r="AF453">
        <v>14</v>
      </c>
      <c r="AG453" s="122">
        <v>2402</v>
      </c>
      <c r="AH453" s="122">
        <v>1974</v>
      </c>
      <c r="AI453" s="122"/>
      <c r="AJ453" s="122">
        <v>0</v>
      </c>
      <c r="AL453" s="122"/>
      <c r="AM453" s="122">
        <v>0</v>
      </c>
      <c r="AN453" s="122">
        <v>40679</v>
      </c>
      <c r="AO453" s="122">
        <v>15066</v>
      </c>
      <c r="AP453" s="122">
        <v>8924</v>
      </c>
      <c r="AQ453" s="122">
        <v>3305</v>
      </c>
      <c r="AR453" s="122"/>
      <c r="AS453" s="122">
        <v>0</v>
      </c>
      <c r="AT453" s="122">
        <v>0</v>
      </c>
      <c r="AU453" s="122">
        <v>0</v>
      </c>
      <c r="AV453" s="122">
        <v>18371</v>
      </c>
    </row>
    <row r="454" spans="2:48" ht="12.75" hidden="1" customHeight="1">
      <c r="B454" t="s">
        <v>365</v>
      </c>
      <c r="C454" t="s">
        <v>58</v>
      </c>
      <c r="D454" t="s">
        <v>425</v>
      </c>
      <c r="E454" t="s">
        <v>425</v>
      </c>
      <c r="F454">
        <v>14</v>
      </c>
      <c r="G454" s="122">
        <v>1646</v>
      </c>
      <c r="H454" s="122">
        <v>3759</v>
      </c>
      <c r="I454" s="122">
        <v>261963</v>
      </c>
      <c r="J454" s="122">
        <v>238148</v>
      </c>
      <c r="K454">
        <v>77</v>
      </c>
      <c r="L454" s="122">
        <v>64871</v>
      </c>
      <c r="M454" s="122">
        <v>57525</v>
      </c>
      <c r="N454" s="122">
        <v>34666</v>
      </c>
      <c r="O454" s="122">
        <v>12839</v>
      </c>
      <c r="P454" s="122">
        <v>6494</v>
      </c>
      <c r="Q454" s="122">
        <v>2405</v>
      </c>
      <c r="R454" s="122">
        <v>74704</v>
      </c>
      <c r="S454" s="122">
        <v>67913</v>
      </c>
      <c r="T454" s="122">
        <v>9091</v>
      </c>
      <c r="U454" s="122">
        <v>3367</v>
      </c>
      <c r="V454" s="122">
        <v>382198</v>
      </c>
      <c r="W454" s="122">
        <f t="shared" si="12"/>
        <v>382197</v>
      </c>
      <c r="X454" s="122">
        <f t="shared" si="13"/>
        <v>451789</v>
      </c>
      <c r="Y454" s="122"/>
      <c r="AA454" t="s">
        <v>54</v>
      </c>
      <c r="AB454" t="s">
        <v>425</v>
      </c>
      <c r="AC454" t="s">
        <v>425</v>
      </c>
      <c r="AD454" t="s">
        <v>425</v>
      </c>
      <c r="AE454" t="s">
        <v>137</v>
      </c>
      <c r="AF454">
        <v>2</v>
      </c>
      <c r="AG454" s="122">
        <v>431</v>
      </c>
      <c r="AH454">
        <v>295</v>
      </c>
      <c r="AI454" s="122">
        <v>33284</v>
      </c>
      <c r="AJ454" s="122">
        <v>30258</v>
      </c>
      <c r="AK454">
        <v>82</v>
      </c>
      <c r="AL454" s="122">
        <v>4314</v>
      </c>
      <c r="AM454" s="122">
        <v>3922</v>
      </c>
      <c r="AN454" s="122">
        <v>9757</v>
      </c>
      <c r="AO454" s="122">
        <v>3614</v>
      </c>
      <c r="AP454" s="122">
        <v>824</v>
      </c>
      <c r="AQ454" s="122">
        <v>305</v>
      </c>
      <c r="AR454" s="122">
        <v>10655</v>
      </c>
      <c r="AS454" s="122">
        <v>9686</v>
      </c>
      <c r="AT454" s="122">
        <v>4322</v>
      </c>
      <c r="AU454" s="122">
        <v>1601</v>
      </c>
      <c r="AV454" s="122">
        <v>49386</v>
      </c>
    </row>
    <row r="455" spans="2:48" ht="12.75" hidden="1" customHeight="1">
      <c r="B455" t="s">
        <v>365</v>
      </c>
      <c r="C455" t="s">
        <v>58</v>
      </c>
      <c r="D455" t="s">
        <v>425</v>
      </c>
      <c r="E455" t="s">
        <v>406</v>
      </c>
      <c r="F455">
        <v>2</v>
      </c>
      <c r="G455" s="122">
        <v>191</v>
      </c>
      <c r="H455" s="122">
        <v>470</v>
      </c>
      <c r="I455" s="122">
        <v>25698</v>
      </c>
      <c r="J455" s="122">
        <v>23362</v>
      </c>
      <c r="K455">
        <v>85</v>
      </c>
      <c r="L455" s="122">
        <v>3848</v>
      </c>
      <c r="M455" s="122">
        <v>3498</v>
      </c>
      <c r="N455" s="122">
        <v>3236</v>
      </c>
      <c r="O455" s="122">
        <v>1198</v>
      </c>
      <c r="P455" s="122">
        <v>1242</v>
      </c>
      <c r="Q455" s="122">
        <v>460</v>
      </c>
      <c r="R455" s="122">
        <v>8441</v>
      </c>
      <c r="S455" s="122">
        <v>7674</v>
      </c>
      <c r="T455" s="122">
        <v>2245</v>
      </c>
      <c r="U455" s="122">
        <v>832</v>
      </c>
      <c r="V455" s="122">
        <v>37024</v>
      </c>
      <c r="W455" s="122">
        <f t="shared" ref="W455:W518" si="14">SUM(ABS(J455),ABS(M455),ABS(O455),ABS(Q455),ABS(S455),ABS(U455))</f>
        <v>37024</v>
      </c>
      <c r="X455" s="122">
        <f t="shared" ref="X455:X518" si="15">SUM(ABS(I455),ABS(N455),ABS(P455),ABS(R455),ABS(T455),ABS(L455))</f>
        <v>44710</v>
      </c>
      <c r="Y455" s="122"/>
      <c r="AA455" t="s">
        <v>54</v>
      </c>
      <c r="AB455" t="s">
        <v>425</v>
      </c>
      <c r="AC455" t="s">
        <v>425</v>
      </c>
      <c r="AD455" t="s">
        <v>425</v>
      </c>
      <c r="AE455" t="s">
        <v>566</v>
      </c>
      <c r="AF455">
        <v>4</v>
      </c>
      <c r="AG455" s="122">
        <v>2081</v>
      </c>
      <c r="AH455">
        <v>537</v>
      </c>
      <c r="AI455" s="122">
        <v>195175</v>
      </c>
      <c r="AJ455" s="122">
        <v>177431</v>
      </c>
      <c r="AK455">
        <v>85</v>
      </c>
      <c r="AL455" s="122">
        <v>26947</v>
      </c>
      <c r="AM455" s="122">
        <v>24497</v>
      </c>
      <c r="AN455" s="122">
        <v>31938</v>
      </c>
      <c r="AO455" s="122">
        <v>11829</v>
      </c>
      <c r="AP455" s="122">
        <v>4347</v>
      </c>
      <c r="AQ455" s="122">
        <v>1610</v>
      </c>
      <c r="AR455" s="122">
        <v>31195</v>
      </c>
      <c r="AS455" s="122">
        <v>28359</v>
      </c>
      <c r="AT455">
        <v>0</v>
      </c>
      <c r="AU455">
        <v>0</v>
      </c>
      <c r="AV455" s="122">
        <v>243727</v>
      </c>
    </row>
    <row r="456" spans="2:48" ht="12.75" hidden="1" customHeight="1">
      <c r="B456" t="s">
        <v>365</v>
      </c>
      <c r="C456" t="s">
        <v>58</v>
      </c>
      <c r="D456" t="s">
        <v>405</v>
      </c>
      <c r="E456" t="s">
        <v>405</v>
      </c>
      <c r="F456">
        <v>155</v>
      </c>
      <c r="G456" s="122">
        <v>23332</v>
      </c>
      <c r="H456" s="122">
        <v>40677</v>
      </c>
      <c r="I456" s="122">
        <v>3910057</v>
      </c>
      <c r="J456" s="122">
        <v>3554598</v>
      </c>
      <c r="K456">
        <v>80</v>
      </c>
      <c r="L456" s="122">
        <v>886543</v>
      </c>
      <c r="M456" s="122">
        <v>776672</v>
      </c>
      <c r="N456" s="122">
        <v>513470</v>
      </c>
      <c r="O456" s="122">
        <v>190174</v>
      </c>
      <c r="P456" s="122">
        <v>77681</v>
      </c>
      <c r="Q456" s="122">
        <v>28771</v>
      </c>
      <c r="R456" s="122">
        <v>829767</v>
      </c>
      <c r="S456" s="122">
        <v>754333</v>
      </c>
      <c r="T456" s="122">
        <v>157757</v>
      </c>
      <c r="U456" s="122">
        <v>58429</v>
      </c>
      <c r="V456" s="122">
        <v>5362977</v>
      </c>
      <c r="W456" s="122">
        <f t="shared" si="14"/>
        <v>5362977</v>
      </c>
      <c r="X456" s="122">
        <f t="shared" si="15"/>
        <v>6375275</v>
      </c>
      <c r="Y456" s="122"/>
      <c r="AA456" t="s">
        <v>54</v>
      </c>
      <c r="AB456" t="s">
        <v>425</v>
      </c>
      <c r="AC456" t="s">
        <v>425</v>
      </c>
      <c r="AD456" t="s">
        <v>405</v>
      </c>
      <c r="AE456" t="s">
        <v>566</v>
      </c>
      <c r="AF456">
        <v>1</v>
      </c>
      <c r="AG456">
        <v>268</v>
      </c>
      <c r="AH456">
        <v>136</v>
      </c>
      <c r="AI456" s="122">
        <v>18517</v>
      </c>
      <c r="AJ456" s="122">
        <v>16833</v>
      </c>
      <c r="AK456">
        <v>90</v>
      </c>
      <c r="AL456" s="122">
        <v>4408</v>
      </c>
      <c r="AM456" s="122">
        <v>4007</v>
      </c>
      <c r="AN456" s="122">
        <v>6537</v>
      </c>
      <c r="AO456" s="122">
        <v>2421</v>
      </c>
      <c r="AP456">
        <v>473</v>
      </c>
      <c r="AQ456">
        <v>175</v>
      </c>
      <c r="AR456" s="122">
        <v>6578</v>
      </c>
      <c r="AS456" s="122">
        <v>5980</v>
      </c>
      <c r="AT456">
        <v>0</v>
      </c>
      <c r="AU456">
        <v>0</v>
      </c>
      <c r="AV456" s="122">
        <v>29417</v>
      </c>
    </row>
    <row r="457" spans="2:48" ht="12.75" hidden="1" customHeight="1">
      <c r="B457" t="s">
        <v>365</v>
      </c>
      <c r="C457" t="s">
        <v>58</v>
      </c>
      <c r="D457" t="s">
        <v>405</v>
      </c>
      <c r="E457" t="s">
        <v>137</v>
      </c>
      <c r="F457">
        <v>7</v>
      </c>
      <c r="G457" s="122">
        <v>1154</v>
      </c>
      <c r="H457" s="122">
        <v>1806</v>
      </c>
      <c r="I457" s="122">
        <v>176956</v>
      </c>
      <c r="J457" s="122">
        <v>160869</v>
      </c>
      <c r="K457">
        <v>79</v>
      </c>
      <c r="L457" s="122">
        <v>16228</v>
      </c>
      <c r="M457" s="122">
        <v>14753</v>
      </c>
      <c r="N457" s="122">
        <v>22429</v>
      </c>
      <c r="O457" s="122">
        <v>8307</v>
      </c>
      <c r="P457" s="122">
        <v>3308</v>
      </c>
      <c r="Q457" s="122">
        <v>1225</v>
      </c>
      <c r="R457" s="122">
        <v>72580</v>
      </c>
      <c r="S457" s="122">
        <v>26881</v>
      </c>
      <c r="T457">
        <v>0</v>
      </c>
      <c r="U457">
        <v>0</v>
      </c>
      <c r="V457" s="122">
        <v>212035</v>
      </c>
      <c r="W457" s="122">
        <f t="shared" si="14"/>
        <v>212035</v>
      </c>
      <c r="X457" s="122">
        <f t="shared" si="15"/>
        <v>291501</v>
      </c>
      <c r="Y457" s="122"/>
      <c r="AA457" t="s">
        <v>54</v>
      </c>
      <c r="AB457" t="s">
        <v>425</v>
      </c>
      <c r="AC457" t="s">
        <v>137</v>
      </c>
      <c r="AD457" t="s">
        <v>425</v>
      </c>
      <c r="AE457" t="s">
        <v>566</v>
      </c>
      <c r="AF457">
        <v>1</v>
      </c>
      <c r="AG457">
        <v>165</v>
      </c>
      <c r="AH457">
        <v>138</v>
      </c>
      <c r="AI457" s="122">
        <v>11128</v>
      </c>
      <c r="AJ457" s="122">
        <v>10117</v>
      </c>
      <c r="AK457">
        <v>92</v>
      </c>
      <c r="AL457" s="122">
        <v>2804</v>
      </c>
      <c r="AM457" s="122">
        <v>1039</v>
      </c>
      <c r="AN457" s="122">
        <v>3241</v>
      </c>
      <c r="AO457" s="122">
        <v>1200</v>
      </c>
      <c r="AP457">
        <v>621</v>
      </c>
      <c r="AQ457">
        <v>230</v>
      </c>
      <c r="AR457" s="122">
        <v>4978</v>
      </c>
      <c r="AS457" s="122">
        <v>4525</v>
      </c>
      <c r="AT457">
        <v>0</v>
      </c>
      <c r="AU457">
        <v>0</v>
      </c>
      <c r="AV457" s="122">
        <v>17111</v>
      </c>
    </row>
    <row r="458" spans="2:48" ht="12.75" hidden="1" customHeight="1">
      <c r="B458" t="s">
        <v>365</v>
      </c>
      <c r="C458" t="s">
        <v>58</v>
      </c>
      <c r="D458" t="s">
        <v>405</v>
      </c>
      <c r="E458" t="s">
        <v>407</v>
      </c>
      <c r="F458">
        <v>1</v>
      </c>
      <c r="G458">
        <v>132</v>
      </c>
      <c r="H458" s="122">
        <v>287</v>
      </c>
      <c r="I458" s="122">
        <v>22907</v>
      </c>
      <c r="J458" s="122">
        <v>20825</v>
      </c>
      <c r="K458">
        <v>75</v>
      </c>
      <c r="L458" s="122">
        <v>3629</v>
      </c>
      <c r="M458" s="122">
        <v>3300</v>
      </c>
      <c r="N458" s="122">
        <v>2252</v>
      </c>
      <c r="O458" s="122">
        <v>834</v>
      </c>
      <c r="P458">
        <v>473</v>
      </c>
      <c r="Q458">
        <v>175</v>
      </c>
      <c r="R458" s="122">
        <v>4929</v>
      </c>
      <c r="S458" s="122">
        <v>4481</v>
      </c>
      <c r="T458" s="122">
        <v>3708</v>
      </c>
      <c r="U458" s="122">
        <v>1373</v>
      </c>
      <c r="V458" s="122">
        <v>30987</v>
      </c>
      <c r="W458" s="122">
        <f t="shared" si="14"/>
        <v>30988</v>
      </c>
      <c r="X458" s="122">
        <f t="shared" si="15"/>
        <v>37898</v>
      </c>
      <c r="Y458" s="122"/>
      <c r="AA458" t="s">
        <v>54</v>
      </c>
      <c r="AB458" t="s">
        <v>425</v>
      </c>
      <c r="AC458" t="s">
        <v>427</v>
      </c>
      <c r="AD458" t="s">
        <v>425</v>
      </c>
      <c r="AE458" t="s">
        <v>566</v>
      </c>
      <c r="AF458">
        <v>1</v>
      </c>
      <c r="AG458">
        <v>398</v>
      </c>
      <c r="AH458">
        <v>143</v>
      </c>
      <c r="AI458" s="122">
        <v>34033</v>
      </c>
      <c r="AJ458" s="122">
        <v>30939</v>
      </c>
      <c r="AK458">
        <v>92</v>
      </c>
      <c r="AL458" s="122">
        <v>11042</v>
      </c>
      <c r="AM458" s="122">
        <v>10038</v>
      </c>
      <c r="AN458" s="122">
        <v>10309</v>
      </c>
      <c r="AO458" s="122">
        <v>3818</v>
      </c>
      <c r="AP458">
        <v>945</v>
      </c>
      <c r="AQ458">
        <v>350</v>
      </c>
      <c r="AR458" s="122">
        <v>6572</v>
      </c>
      <c r="AS458" s="122">
        <v>5974</v>
      </c>
      <c r="AT458">
        <v>0</v>
      </c>
      <c r="AU458">
        <v>0</v>
      </c>
      <c r="AV458" s="122">
        <v>51119</v>
      </c>
    </row>
    <row r="459" spans="2:48" ht="12.75" hidden="1" customHeight="1">
      <c r="B459" t="s">
        <v>365</v>
      </c>
      <c r="C459" t="s">
        <v>58</v>
      </c>
      <c r="D459" t="s">
        <v>137</v>
      </c>
      <c r="E459" t="s">
        <v>137</v>
      </c>
      <c r="F459">
        <v>198</v>
      </c>
      <c r="G459" s="122">
        <v>25556</v>
      </c>
      <c r="H459" s="122">
        <v>53417</v>
      </c>
      <c r="I459" s="122">
        <v>4251135</v>
      </c>
      <c r="J459" s="122">
        <v>1574495</v>
      </c>
      <c r="K459">
        <v>108</v>
      </c>
      <c r="L459" s="122">
        <v>621372</v>
      </c>
      <c r="M459" s="122">
        <v>494662</v>
      </c>
      <c r="N459" s="122">
        <v>545899</v>
      </c>
      <c r="O459" s="122">
        <v>202185</v>
      </c>
      <c r="P459" s="122">
        <v>7006</v>
      </c>
      <c r="Q459" s="122">
        <v>2595</v>
      </c>
      <c r="R459" s="122">
        <v>1636918</v>
      </c>
      <c r="S459" s="122">
        <v>606266</v>
      </c>
      <c r="T459" s="122">
        <v>39860</v>
      </c>
      <c r="U459" s="122">
        <v>14763</v>
      </c>
      <c r="V459" s="122">
        <v>2894964</v>
      </c>
      <c r="W459" s="122">
        <f t="shared" si="14"/>
        <v>2894966</v>
      </c>
      <c r="X459" s="122">
        <f t="shared" si="15"/>
        <v>7102190</v>
      </c>
      <c r="Y459" s="122"/>
      <c r="AA459" t="s">
        <v>54</v>
      </c>
      <c r="AB459" t="s">
        <v>425</v>
      </c>
      <c r="AC459" t="s">
        <v>427</v>
      </c>
      <c r="AD459" t="s">
        <v>406</v>
      </c>
      <c r="AE459" t="s">
        <v>137</v>
      </c>
      <c r="AF459">
        <v>1</v>
      </c>
      <c r="AG459">
        <v>151</v>
      </c>
      <c r="AH459">
        <v>138</v>
      </c>
      <c r="AI459" s="122">
        <v>10279</v>
      </c>
      <c r="AJ459" s="122">
        <v>9344</v>
      </c>
      <c r="AK459">
        <v>86</v>
      </c>
      <c r="AL459" s="122">
        <v>3091</v>
      </c>
      <c r="AM459" s="122">
        <v>2810</v>
      </c>
      <c r="AN459" s="122">
        <v>1837</v>
      </c>
      <c r="AO459" s="122">
        <v>680</v>
      </c>
      <c r="AP459">
        <v>621</v>
      </c>
      <c r="AQ459">
        <v>230</v>
      </c>
      <c r="AR459" s="122">
        <v>5022</v>
      </c>
      <c r="AS459" s="122">
        <v>4566</v>
      </c>
      <c r="AT459">
        <v>0</v>
      </c>
      <c r="AU459">
        <v>0</v>
      </c>
      <c r="AV459" s="122">
        <v>17631</v>
      </c>
    </row>
    <row r="460" spans="2:48" ht="12.75" hidden="1" customHeight="1">
      <c r="B460" t="s">
        <v>365</v>
      </c>
      <c r="C460" t="s">
        <v>58</v>
      </c>
      <c r="D460" t="s">
        <v>137</v>
      </c>
      <c r="E460" t="s">
        <v>406</v>
      </c>
      <c r="F460">
        <v>2</v>
      </c>
      <c r="G460" s="122">
        <v>333</v>
      </c>
      <c r="H460" s="122">
        <v>493</v>
      </c>
      <c r="I460" s="122">
        <v>78457</v>
      </c>
      <c r="J460" s="122">
        <v>29058</v>
      </c>
      <c r="K460">
        <v>100</v>
      </c>
      <c r="L460" s="122">
        <v>8997</v>
      </c>
      <c r="M460" s="122">
        <v>8179</v>
      </c>
      <c r="N460" s="122">
        <v>10516</v>
      </c>
      <c r="O460" s="122">
        <v>3895</v>
      </c>
      <c r="P460" s="122">
        <v>0</v>
      </c>
      <c r="Q460" s="122">
        <v>0</v>
      </c>
      <c r="R460" s="122">
        <v>13915</v>
      </c>
      <c r="S460" s="122">
        <v>12650</v>
      </c>
      <c r="T460" s="122">
        <v>0</v>
      </c>
      <c r="U460" s="122">
        <v>0</v>
      </c>
      <c r="V460" s="122">
        <v>53782</v>
      </c>
      <c r="W460" s="122">
        <f t="shared" si="14"/>
        <v>53782</v>
      </c>
      <c r="X460" s="122">
        <f t="shared" si="15"/>
        <v>111885</v>
      </c>
      <c r="Y460" s="122"/>
      <c r="AA460" t="s">
        <v>54</v>
      </c>
      <c r="AB460" t="s">
        <v>425</v>
      </c>
      <c r="AC460" t="s">
        <v>579</v>
      </c>
      <c r="AD460" t="s">
        <v>425</v>
      </c>
      <c r="AE460" t="s">
        <v>566</v>
      </c>
      <c r="AF460">
        <v>2</v>
      </c>
      <c r="AG460">
        <v>440</v>
      </c>
      <c r="AH460">
        <v>273</v>
      </c>
      <c r="AI460" s="122">
        <v>40247</v>
      </c>
      <c r="AJ460" s="122">
        <v>36588</v>
      </c>
      <c r="AK460">
        <v>85</v>
      </c>
      <c r="AL460" s="122">
        <v>6415</v>
      </c>
      <c r="AM460" s="122">
        <v>5345</v>
      </c>
      <c r="AN460" s="122">
        <v>10137</v>
      </c>
      <c r="AO460" s="122">
        <v>3755</v>
      </c>
      <c r="AP460">
        <v>945</v>
      </c>
      <c r="AQ460">
        <v>350</v>
      </c>
      <c r="AR460" s="122">
        <v>14345</v>
      </c>
      <c r="AS460" s="122">
        <v>13041</v>
      </c>
      <c r="AT460">
        <v>0</v>
      </c>
      <c r="AU460">
        <v>0</v>
      </c>
      <c r="AV460" s="122">
        <v>59079</v>
      </c>
    </row>
    <row r="461" spans="2:48" ht="12.75" hidden="1" customHeight="1">
      <c r="B461" t="s">
        <v>365</v>
      </c>
      <c r="C461" t="s">
        <v>58</v>
      </c>
      <c r="D461" t="s">
        <v>137</v>
      </c>
      <c r="E461" t="s">
        <v>426</v>
      </c>
      <c r="F461">
        <v>1</v>
      </c>
      <c r="G461" s="122">
        <v>141</v>
      </c>
      <c r="H461" s="122">
        <v>299</v>
      </c>
      <c r="I461" s="122">
        <v>29748</v>
      </c>
      <c r="J461" s="122">
        <v>11018</v>
      </c>
      <c r="K461">
        <v>100</v>
      </c>
      <c r="L461" s="122">
        <v>2448</v>
      </c>
      <c r="M461" s="122">
        <v>2226</v>
      </c>
      <c r="N461" s="122">
        <v>1720</v>
      </c>
      <c r="O461" s="122">
        <v>637</v>
      </c>
      <c r="P461" s="122">
        <v>351</v>
      </c>
      <c r="Q461" s="122">
        <v>130</v>
      </c>
      <c r="R461" s="122">
        <v>5077</v>
      </c>
      <c r="S461" s="122">
        <v>4616</v>
      </c>
      <c r="T461" s="122">
        <v>2832</v>
      </c>
      <c r="U461" s="122">
        <v>1049</v>
      </c>
      <c r="V461" s="122">
        <v>19675</v>
      </c>
      <c r="W461" s="122">
        <f t="shared" si="14"/>
        <v>19676</v>
      </c>
      <c r="X461" s="122">
        <f t="shared" si="15"/>
        <v>42176</v>
      </c>
      <c r="Y461" s="122"/>
      <c r="AA461" t="s">
        <v>54</v>
      </c>
      <c r="AB461" t="s">
        <v>425</v>
      </c>
      <c r="AC461" t="s">
        <v>579</v>
      </c>
      <c r="AD461" t="s">
        <v>405</v>
      </c>
      <c r="AE461" t="s">
        <v>566</v>
      </c>
      <c r="AF461">
        <v>1</v>
      </c>
      <c r="AG461">
        <v>202</v>
      </c>
      <c r="AH461">
        <v>139</v>
      </c>
      <c r="AI461" s="122">
        <v>21082</v>
      </c>
      <c r="AJ461" s="122">
        <v>19165</v>
      </c>
      <c r="AK461">
        <v>90</v>
      </c>
      <c r="AL461" s="122">
        <v>3646</v>
      </c>
      <c r="AM461" s="122">
        <v>3038</v>
      </c>
      <c r="AN461" s="122">
        <v>4852</v>
      </c>
      <c r="AO461" s="122">
        <v>1797</v>
      </c>
      <c r="AP461">
        <v>473</v>
      </c>
      <c r="AQ461">
        <v>175</v>
      </c>
      <c r="AR461" s="122">
        <v>6815</v>
      </c>
      <c r="AS461" s="122">
        <v>6196</v>
      </c>
      <c r="AT461">
        <v>0</v>
      </c>
      <c r="AU461">
        <v>0</v>
      </c>
      <c r="AV461" s="122">
        <v>30371</v>
      </c>
    </row>
    <row r="462" spans="2:48" ht="12.75" hidden="1" customHeight="1">
      <c r="B462" t="s">
        <v>365</v>
      </c>
      <c r="C462" t="s">
        <v>58</v>
      </c>
      <c r="D462" t="s">
        <v>406</v>
      </c>
      <c r="E462" t="s">
        <v>425</v>
      </c>
      <c r="F462">
        <v>3</v>
      </c>
      <c r="G462">
        <v>304</v>
      </c>
      <c r="H462">
        <v>774</v>
      </c>
      <c r="I462" s="122">
        <v>42204</v>
      </c>
      <c r="J462" s="122">
        <v>38368</v>
      </c>
      <c r="K462">
        <v>75</v>
      </c>
      <c r="L462" s="122">
        <v>7772</v>
      </c>
      <c r="M462" s="122">
        <v>7066</v>
      </c>
      <c r="N462" s="122">
        <v>6290</v>
      </c>
      <c r="O462" s="122">
        <v>2330</v>
      </c>
      <c r="P462" s="122">
        <v>1863</v>
      </c>
      <c r="Q462">
        <v>690</v>
      </c>
      <c r="R462" s="122">
        <v>14637</v>
      </c>
      <c r="S462" s="122">
        <v>13307</v>
      </c>
      <c r="T462" s="122">
        <v>5569</v>
      </c>
      <c r="U462" s="122">
        <v>2063</v>
      </c>
      <c r="V462" s="122">
        <v>63822</v>
      </c>
      <c r="W462" s="122">
        <f t="shared" si="14"/>
        <v>63824</v>
      </c>
      <c r="X462" s="122">
        <f t="shared" si="15"/>
        <v>78335</v>
      </c>
      <c r="Y462" s="122"/>
      <c r="AA462" t="s">
        <v>54</v>
      </c>
      <c r="AB462" t="s">
        <v>425</v>
      </c>
      <c r="AC462" t="s">
        <v>428</v>
      </c>
      <c r="AD462" t="s">
        <v>425</v>
      </c>
      <c r="AE462" t="s">
        <v>566</v>
      </c>
      <c r="AF462">
        <v>1</v>
      </c>
      <c r="AG462" s="122">
        <v>139</v>
      </c>
      <c r="AH462">
        <v>128</v>
      </c>
      <c r="AI462" s="122">
        <v>8635</v>
      </c>
      <c r="AJ462" s="122">
        <v>7850</v>
      </c>
      <c r="AK462">
        <v>91</v>
      </c>
      <c r="AL462" s="122">
        <v>1460</v>
      </c>
      <c r="AM462" s="122">
        <v>1327</v>
      </c>
      <c r="AN462" s="122">
        <v>1696</v>
      </c>
      <c r="AO462" s="122">
        <v>628</v>
      </c>
      <c r="AP462" s="122">
        <v>473</v>
      </c>
      <c r="AQ462" s="122">
        <v>175</v>
      </c>
      <c r="AR462" s="122">
        <v>5545</v>
      </c>
      <c r="AS462" s="122">
        <v>5041</v>
      </c>
      <c r="AT462">
        <v>0</v>
      </c>
      <c r="AU462">
        <v>0</v>
      </c>
      <c r="AV462" s="122">
        <v>15021</v>
      </c>
    </row>
    <row r="463" spans="2:48" ht="12.75" hidden="1" customHeight="1">
      <c r="B463" t="s">
        <v>365</v>
      </c>
      <c r="C463" t="s">
        <v>58</v>
      </c>
      <c r="D463" t="s">
        <v>406</v>
      </c>
      <c r="E463" t="s">
        <v>405</v>
      </c>
      <c r="F463">
        <v>1</v>
      </c>
      <c r="G463" s="122">
        <v>243</v>
      </c>
      <c r="H463" s="122">
        <v>270</v>
      </c>
      <c r="I463" s="122">
        <v>38130</v>
      </c>
      <c r="J463" s="122">
        <v>34664</v>
      </c>
      <c r="K463">
        <v>70</v>
      </c>
      <c r="L463" s="122">
        <v>14087</v>
      </c>
      <c r="M463" s="122">
        <v>12806</v>
      </c>
      <c r="N463" s="122">
        <v>5931</v>
      </c>
      <c r="O463" s="122">
        <v>2197</v>
      </c>
      <c r="P463" s="122">
        <v>351</v>
      </c>
      <c r="Q463" s="122">
        <v>130</v>
      </c>
      <c r="R463" s="122">
        <v>7127</v>
      </c>
      <c r="S463" s="122">
        <v>6479</v>
      </c>
      <c r="T463" s="122">
        <v>0</v>
      </c>
      <c r="U463" s="122">
        <v>0</v>
      </c>
      <c r="V463" s="122">
        <v>56275</v>
      </c>
      <c r="W463" s="122">
        <f t="shared" si="14"/>
        <v>56276</v>
      </c>
      <c r="X463" s="122">
        <f t="shared" si="15"/>
        <v>65626</v>
      </c>
      <c r="Y463" s="122"/>
      <c r="AA463" t="s">
        <v>54</v>
      </c>
      <c r="AB463" t="s">
        <v>425</v>
      </c>
      <c r="AC463" t="s">
        <v>426</v>
      </c>
      <c r="AD463" t="s">
        <v>425</v>
      </c>
      <c r="AE463" t="s">
        <v>137</v>
      </c>
      <c r="AF463">
        <v>6</v>
      </c>
      <c r="AG463" s="122">
        <v>1070</v>
      </c>
      <c r="AH463" s="122">
        <v>823</v>
      </c>
      <c r="AI463" s="122">
        <v>83946</v>
      </c>
      <c r="AJ463" s="122">
        <v>76314</v>
      </c>
      <c r="AK463">
        <v>91</v>
      </c>
      <c r="AL463" s="122">
        <v>17181</v>
      </c>
      <c r="AM463" s="122">
        <v>15619</v>
      </c>
      <c r="AN463" s="122">
        <v>20894</v>
      </c>
      <c r="AO463" s="122">
        <v>7739</v>
      </c>
      <c r="AP463" s="122">
        <v>2835</v>
      </c>
      <c r="AQ463" s="122">
        <v>1050</v>
      </c>
      <c r="AR463" s="122">
        <v>30331</v>
      </c>
      <c r="AS463" s="122">
        <v>27573</v>
      </c>
      <c r="AT463">
        <v>0</v>
      </c>
      <c r="AU463">
        <v>0</v>
      </c>
      <c r="AV463" s="122">
        <v>128295</v>
      </c>
    </row>
    <row r="464" spans="2:48" ht="12.75" hidden="1" customHeight="1">
      <c r="B464" t="s">
        <v>365</v>
      </c>
      <c r="C464" t="s">
        <v>58</v>
      </c>
      <c r="D464" t="s">
        <v>406</v>
      </c>
      <c r="E464" t="s">
        <v>137</v>
      </c>
      <c r="F464">
        <v>31</v>
      </c>
      <c r="G464" s="122">
        <v>3575</v>
      </c>
      <c r="H464" s="122">
        <v>8097</v>
      </c>
      <c r="I464" s="122">
        <v>538316</v>
      </c>
      <c r="J464" s="122">
        <v>489378</v>
      </c>
      <c r="K464">
        <v>84</v>
      </c>
      <c r="L464" s="122">
        <v>105358</v>
      </c>
      <c r="M464" s="122">
        <v>84951</v>
      </c>
      <c r="N464" s="122">
        <v>69745</v>
      </c>
      <c r="O464" s="122">
        <v>25831</v>
      </c>
      <c r="P464" s="122">
        <v>18360</v>
      </c>
      <c r="Q464" s="122">
        <v>6800</v>
      </c>
      <c r="R464" s="122">
        <v>232505</v>
      </c>
      <c r="S464" s="122">
        <v>86113</v>
      </c>
      <c r="T464" s="122">
        <v>3927</v>
      </c>
      <c r="U464" s="122">
        <v>1455</v>
      </c>
      <c r="V464" s="122">
        <v>694528</v>
      </c>
      <c r="W464" s="122">
        <f t="shared" si="14"/>
        <v>694528</v>
      </c>
      <c r="X464" s="122">
        <f t="shared" si="15"/>
        <v>968211</v>
      </c>
      <c r="Y464" s="122"/>
      <c r="AA464" t="s">
        <v>54</v>
      </c>
      <c r="AB464" t="s">
        <v>425</v>
      </c>
      <c r="AC464" t="s">
        <v>426</v>
      </c>
      <c r="AD464" t="s">
        <v>425</v>
      </c>
      <c r="AE464" t="s">
        <v>566</v>
      </c>
      <c r="AF464">
        <v>16</v>
      </c>
      <c r="AG464" s="122">
        <v>3378</v>
      </c>
      <c r="AH464" s="122">
        <v>2198</v>
      </c>
      <c r="AI464" s="122">
        <v>299692</v>
      </c>
      <c r="AJ464" s="122">
        <v>272447</v>
      </c>
      <c r="AK464">
        <v>89</v>
      </c>
      <c r="AL464" s="122">
        <v>60262</v>
      </c>
      <c r="AM464" s="122">
        <v>54784</v>
      </c>
      <c r="AN464" s="122">
        <v>69622</v>
      </c>
      <c r="AO464" s="122">
        <v>25786</v>
      </c>
      <c r="AP464" s="122">
        <v>9464</v>
      </c>
      <c r="AQ464" s="122">
        <v>3505</v>
      </c>
      <c r="AR464" s="122">
        <v>85243</v>
      </c>
      <c r="AS464" s="122">
        <v>77494</v>
      </c>
      <c r="AT464">
        <v>0</v>
      </c>
      <c r="AU464">
        <v>0</v>
      </c>
      <c r="AV464" s="122">
        <v>434016</v>
      </c>
    </row>
    <row r="465" spans="2:48" ht="12.75" hidden="1" customHeight="1">
      <c r="B465" t="s">
        <v>365</v>
      </c>
      <c r="C465" t="s">
        <v>58</v>
      </c>
      <c r="D465" t="s">
        <v>406</v>
      </c>
      <c r="E465" t="s">
        <v>406</v>
      </c>
      <c r="F465" s="122">
        <v>4876</v>
      </c>
      <c r="G465" s="122">
        <v>654731</v>
      </c>
      <c r="H465" s="122">
        <v>1272534</v>
      </c>
      <c r="I465" s="122">
        <v>102397749</v>
      </c>
      <c r="J465" s="122">
        <v>93088862</v>
      </c>
      <c r="K465">
        <v>80</v>
      </c>
      <c r="L465" s="122">
        <v>21910315</v>
      </c>
      <c r="M465" s="122">
        <v>19345737</v>
      </c>
      <c r="N465" s="122">
        <v>13780723</v>
      </c>
      <c r="O465" s="122">
        <v>5103971</v>
      </c>
      <c r="P465" s="122">
        <v>3170808</v>
      </c>
      <c r="Q465" s="122">
        <v>1174373</v>
      </c>
      <c r="R465" s="122">
        <v>26364184</v>
      </c>
      <c r="S465" s="122">
        <v>23967440</v>
      </c>
      <c r="T465" s="122">
        <v>6680566</v>
      </c>
      <c r="U465" s="122">
        <v>2474284</v>
      </c>
      <c r="V465" s="122">
        <v>145154668</v>
      </c>
      <c r="W465" s="122">
        <f t="shared" si="14"/>
        <v>145154667</v>
      </c>
      <c r="X465" s="122">
        <f t="shared" si="15"/>
        <v>174304345</v>
      </c>
      <c r="Y465" s="122"/>
      <c r="AA465" t="s">
        <v>54</v>
      </c>
      <c r="AB465" t="s">
        <v>425</v>
      </c>
      <c r="AC465" t="s">
        <v>426</v>
      </c>
      <c r="AD465" t="s">
        <v>405</v>
      </c>
      <c r="AE465" t="s">
        <v>566</v>
      </c>
      <c r="AF465">
        <v>1</v>
      </c>
      <c r="AG465">
        <v>134</v>
      </c>
      <c r="AH465">
        <v>137</v>
      </c>
      <c r="AI465" s="122">
        <v>10019</v>
      </c>
      <c r="AJ465" s="122">
        <v>9108</v>
      </c>
      <c r="AK465">
        <v>93</v>
      </c>
      <c r="AL465" s="122">
        <v>1596</v>
      </c>
      <c r="AM465" s="122">
        <v>1451</v>
      </c>
      <c r="AN465" s="122">
        <v>1637</v>
      </c>
      <c r="AO465" s="122">
        <v>606</v>
      </c>
      <c r="AP465" s="122">
        <v>473</v>
      </c>
      <c r="AQ465">
        <v>175</v>
      </c>
      <c r="AR465" s="122">
        <v>4665</v>
      </c>
      <c r="AS465" s="122">
        <v>4241</v>
      </c>
      <c r="AT465">
        <v>0</v>
      </c>
      <c r="AU465">
        <v>0</v>
      </c>
      <c r="AV465" s="122">
        <v>15582</v>
      </c>
    </row>
    <row r="466" spans="2:48" hidden="1">
      <c r="B466" t="s">
        <v>365</v>
      </c>
      <c r="C466" t="s">
        <v>58</v>
      </c>
      <c r="D466" t="s">
        <v>406</v>
      </c>
      <c r="E466" t="s">
        <v>427</v>
      </c>
      <c r="F466">
        <v>5</v>
      </c>
      <c r="G466">
        <v>556</v>
      </c>
      <c r="H466" s="122">
        <v>1376</v>
      </c>
      <c r="I466" s="122">
        <v>94422</v>
      </c>
      <c r="J466" s="122">
        <v>85838</v>
      </c>
      <c r="K466">
        <v>81</v>
      </c>
      <c r="L466" s="122">
        <v>16967</v>
      </c>
      <c r="M466" s="122">
        <v>19200</v>
      </c>
      <c r="N466" s="122">
        <v>10674</v>
      </c>
      <c r="O466" s="122">
        <v>3953</v>
      </c>
      <c r="P466" s="122">
        <v>3105</v>
      </c>
      <c r="Q466" s="122">
        <v>1150</v>
      </c>
      <c r="R466" s="122">
        <v>23702</v>
      </c>
      <c r="S466" s="122">
        <v>21548</v>
      </c>
      <c r="T466" s="122">
        <v>6709</v>
      </c>
      <c r="U466" s="122">
        <v>2485</v>
      </c>
      <c r="V466" s="122">
        <v>134173</v>
      </c>
      <c r="W466" s="122">
        <f t="shared" si="14"/>
        <v>134174</v>
      </c>
      <c r="X466" s="122">
        <f t="shared" si="15"/>
        <v>155579</v>
      </c>
      <c r="Y466" s="122"/>
      <c r="AA466" t="s">
        <v>54</v>
      </c>
      <c r="AB466" t="s">
        <v>425</v>
      </c>
      <c r="AC466" t="s">
        <v>426</v>
      </c>
      <c r="AD466" t="s">
        <v>406</v>
      </c>
      <c r="AE466" t="s">
        <v>566</v>
      </c>
      <c r="AF466">
        <v>3</v>
      </c>
      <c r="AG466">
        <v>733</v>
      </c>
      <c r="AH466">
        <v>417</v>
      </c>
      <c r="AI466" s="122">
        <v>62778</v>
      </c>
      <c r="AJ466" s="122">
        <v>57071</v>
      </c>
      <c r="AK466">
        <v>89</v>
      </c>
      <c r="AL466" s="122">
        <v>9955</v>
      </c>
      <c r="AM466" s="122">
        <v>9050</v>
      </c>
      <c r="AN466" s="122">
        <v>16819</v>
      </c>
      <c r="AO466" s="122">
        <v>6229</v>
      </c>
      <c r="AP466" s="122">
        <v>2214</v>
      </c>
      <c r="AQ466">
        <v>820</v>
      </c>
      <c r="AR466" s="122">
        <v>16167</v>
      </c>
      <c r="AS466" s="122">
        <v>14697</v>
      </c>
      <c r="AT466">
        <v>0</v>
      </c>
      <c r="AU466">
        <v>0</v>
      </c>
      <c r="AV466" s="122">
        <v>87867</v>
      </c>
    </row>
    <row r="467" spans="2:48" hidden="1">
      <c r="B467" t="s">
        <v>365</v>
      </c>
      <c r="C467" t="s">
        <v>58</v>
      </c>
      <c r="D467" t="s">
        <v>406</v>
      </c>
      <c r="E467" t="s">
        <v>426</v>
      </c>
      <c r="F467" s="122">
        <v>1</v>
      </c>
      <c r="G467" s="122">
        <v>154</v>
      </c>
      <c r="H467" s="122">
        <v>238</v>
      </c>
      <c r="I467" s="122">
        <v>22033</v>
      </c>
      <c r="J467" s="122">
        <v>20030</v>
      </c>
      <c r="K467">
        <v>65</v>
      </c>
      <c r="L467" s="122">
        <v>3026</v>
      </c>
      <c r="M467" s="122">
        <v>2751</v>
      </c>
      <c r="N467" s="122">
        <v>3740</v>
      </c>
      <c r="O467" s="122">
        <v>1385</v>
      </c>
      <c r="P467" s="122">
        <v>621</v>
      </c>
      <c r="Q467" s="122">
        <v>230</v>
      </c>
      <c r="R467" s="122">
        <v>7111</v>
      </c>
      <c r="S467" s="122">
        <v>6464</v>
      </c>
      <c r="T467" s="122">
        <v>0</v>
      </c>
      <c r="U467" s="122">
        <v>0</v>
      </c>
      <c r="V467" s="122">
        <v>30860</v>
      </c>
      <c r="W467" s="122">
        <f t="shared" si="14"/>
        <v>30860</v>
      </c>
      <c r="X467" s="122">
        <f t="shared" si="15"/>
        <v>36531</v>
      </c>
      <c r="Y467" s="122"/>
      <c r="AA467" t="s">
        <v>54</v>
      </c>
      <c r="AB467" t="s">
        <v>425</v>
      </c>
      <c r="AC467" t="s">
        <v>433</v>
      </c>
      <c r="AD467" t="s">
        <v>425</v>
      </c>
      <c r="AE467" t="s">
        <v>137</v>
      </c>
      <c r="AF467">
        <v>1</v>
      </c>
      <c r="AG467">
        <v>163</v>
      </c>
      <c r="AH467">
        <v>150</v>
      </c>
      <c r="AI467" s="122">
        <v>12387</v>
      </c>
      <c r="AJ467" s="122">
        <v>11261</v>
      </c>
      <c r="AK467">
        <v>91</v>
      </c>
      <c r="AL467" s="122">
        <v>3950</v>
      </c>
      <c r="AM467" s="122">
        <v>3591</v>
      </c>
      <c r="AN467" s="122">
        <v>2620</v>
      </c>
      <c r="AO467" s="122">
        <v>970</v>
      </c>
      <c r="AP467">
        <v>473</v>
      </c>
      <c r="AQ467">
        <v>175</v>
      </c>
      <c r="AR467" s="122">
        <v>4990</v>
      </c>
      <c r="AS467" s="122">
        <v>4536</v>
      </c>
      <c r="AT467">
        <v>0</v>
      </c>
      <c r="AU467">
        <v>0</v>
      </c>
      <c r="AV467" s="122">
        <v>20534</v>
      </c>
    </row>
    <row r="468" spans="2:48" hidden="1">
      <c r="B468" t="s">
        <v>365</v>
      </c>
      <c r="C468" t="s">
        <v>58</v>
      </c>
      <c r="D468" t="s">
        <v>427</v>
      </c>
      <c r="E468" t="s">
        <v>137</v>
      </c>
      <c r="F468">
        <v>1</v>
      </c>
      <c r="G468" s="122">
        <v>106</v>
      </c>
      <c r="H468" s="122">
        <v>282</v>
      </c>
      <c r="I468" s="122">
        <v>25155</v>
      </c>
      <c r="J468" s="122">
        <v>22868</v>
      </c>
      <c r="K468">
        <v>65</v>
      </c>
      <c r="L468" s="122">
        <v>4459</v>
      </c>
      <c r="M468" s="122">
        <v>1652</v>
      </c>
      <c r="N468" s="122">
        <v>3706</v>
      </c>
      <c r="O468" s="122">
        <v>1373</v>
      </c>
      <c r="P468" s="122">
        <v>351</v>
      </c>
      <c r="Q468" s="122">
        <v>130</v>
      </c>
      <c r="R468" s="122">
        <v>14165</v>
      </c>
      <c r="S468" s="122">
        <v>5246</v>
      </c>
      <c r="T468" s="122">
        <v>0</v>
      </c>
      <c r="U468" s="122">
        <v>0</v>
      </c>
      <c r="V468" s="122">
        <v>31268</v>
      </c>
      <c r="W468" s="122">
        <f t="shared" si="14"/>
        <v>31269</v>
      </c>
      <c r="X468" s="122">
        <f t="shared" si="15"/>
        <v>47836</v>
      </c>
      <c r="Y468" s="122"/>
      <c r="AA468" t="s">
        <v>54</v>
      </c>
      <c r="AB468" t="s">
        <v>425</v>
      </c>
      <c r="AC468" t="s">
        <v>433</v>
      </c>
      <c r="AD468" t="s">
        <v>425</v>
      </c>
      <c r="AE468" t="s">
        <v>566</v>
      </c>
      <c r="AF468">
        <v>1</v>
      </c>
      <c r="AG468">
        <v>253</v>
      </c>
      <c r="AH468">
        <v>142</v>
      </c>
      <c r="AI468" s="122">
        <v>23097</v>
      </c>
      <c r="AJ468" s="122">
        <v>20997</v>
      </c>
      <c r="AK468">
        <v>79</v>
      </c>
      <c r="AL468" s="122">
        <v>3276</v>
      </c>
      <c r="AM468" s="122">
        <v>2978</v>
      </c>
      <c r="AN468" s="122">
        <v>3076</v>
      </c>
      <c r="AO468" s="122">
        <v>1139</v>
      </c>
      <c r="AP468">
        <v>824</v>
      </c>
      <c r="AQ468">
        <v>305</v>
      </c>
      <c r="AR468" s="122">
        <v>5661</v>
      </c>
      <c r="AS468" s="122">
        <v>5146</v>
      </c>
      <c r="AT468">
        <v>0</v>
      </c>
      <c r="AU468">
        <v>0</v>
      </c>
      <c r="AV468" s="122">
        <v>30567</v>
      </c>
    </row>
    <row r="469" spans="2:48" hidden="1">
      <c r="B469" t="s">
        <v>365</v>
      </c>
      <c r="C469" t="s">
        <v>58</v>
      </c>
      <c r="D469" t="s">
        <v>427</v>
      </c>
      <c r="E469" t="s">
        <v>427</v>
      </c>
      <c r="F469" s="122">
        <v>3</v>
      </c>
      <c r="G469" s="122">
        <v>366</v>
      </c>
      <c r="H469" s="122">
        <v>741</v>
      </c>
      <c r="I469" s="122">
        <v>52112</v>
      </c>
      <c r="J469" s="122">
        <v>47375</v>
      </c>
      <c r="K469">
        <v>65</v>
      </c>
      <c r="L469" s="122">
        <v>7757</v>
      </c>
      <c r="M469" s="122">
        <v>7052</v>
      </c>
      <c r="N469" s="122">
        <v>8190</v>
      </c>
      <c r="O469" s="122">
        <v>3034</v>
      </c>
      <c r="P469" s="122">
        <v>1323</v>
      </c>
      <c r="Q469" s="122">
        <v>490</v>
      </c>
      <c r="R469" s="122">
        <v>17418</v>
      </c>
      <c r="S469" s="122">
        <v>15835</v>
      </c>
      <c r="T469" s="122">
        <v>2659</v>
      </c>
      <c r="U469" s="122">
        <v>985</v>
      </c>
      <c r="V469" s="122">
        <v>74770</v>
      </c>
      <c r="W469" s="122">
        <f t="shared" si="14"/>
        <v>74771</v>
      </c>
      <c r="X469" s="122">
        <f t="shared" si="15"/>
        <v>89459</v>
      </c>
      <c r="Y469" s="122"/>
      <c r="AA469" t="s">
        <v>54</v>
      </c>
      <c r="AB469" t="s">
        <v>425</v>
      </c>
      <c r="AC469" t="s">
        <v>433</v>
      </c>
      <c r="AD469" t="s">
        <v>405</v>
      </c>
      <c r="AE469" t="s">
        <v>566</v>
      </c>
      <c r="AF469">
        <v>1</v>
      </c>
      <c r="AG469">
        <v>144</v>
      </c>
      <c r="AH469">
        <v>134</v>
      </c>
      <c r="AI469" s="122">
        <v>19365</v>
      </c>
      <c r="AJ469" s="122">
        <v>17604</v>
      </c>
      <c r="AK469">
        <v>91</v>
      </c>
      <c r="AL469" s="122">
        <v>3263</v>
      </c>
      <c r="AM469" s="122">
        <v>2967</v>
      </c>
      <c r="AN469" s="122">
        <v>4951</v>
      </c>
      <c r="AO469" s="122">
        <v>1834</v>
      </c>
      <c r="AP469">
        <v>824</v>
      </c>
      <c r="AQ469">
        <v>305</v>
      </c>
      <c r="AR469" s="122">
        <v>5696</v>
      </c>
      <c r="AS469" s="122">
        <v>5178</v>
      </c>
      <c r="AT469">
        <v>0</v>
      </c>
      <c r="AU469">
        <v>0</v>
      </c>
      <c r="AV469" s="122">
        <v>27888</v>
      </c>
    </row>
    <row r="470" spans="2:48" hidden="1">
      <c r="B470" t="s">
        <v>365</v>
      </c>
      <c r="C470" t="s">
        <v>58</v>
      </c>
      <c r="D470" t="s">
        <v>407</v>
      </c>
      <c r="E470" t="s">
        <v>405</v>
      </c>
      <c r="F470">
        <v>1</v>
      </c>
      <c r="G470" s="122">
        <v>86</v>
      </c>
      <c r="H470" s="122">
        <v>239</v>
      </c>
      <c r="I470" s="122">
        <v>10052</v>
      </c>
      <c r="J470" s="122">
        <v>9139</v>
      </c>
      <c r="K470">
        <v>79</v>
      </c>
      <c r="L470" s="122">
        <v>3046</v>
      </c>
      <c r="M470" s="122">
        <v>2538</v>
      </c>
      <c r="N470" s="122">
        <v>1576</v>
      </c>
      <c r="O470" s="122">
        <v>584</v>
      </c>
      <c r="P470" s="122">
        <v>473</v>
      </c>
      <c r="Q470" s="122">
        <v>175</v>
      </c>
      <c r="R470" s="122">
        <v>5487</v>
      </c>
      <c r="S470" s="122">
        <v>4988</v>
      </c>
      <c r="T470" s="122">
        <v>0</v>
      </c>
      <c r="U470" s="122">
        <v>0</v>
      </c>
      <c r="V470" s="122">
        <v>17424</v>
      </c>
      <c r="W470" s="122">
        <f t="shared" si="14"/>
        <v>17424</v>
      </c>
      <c r="X470" s="122">
        <f t="shared" si="15"/>
        <v>20634</v>
      </c>
      <c r="Y470" s="122"/>
      <c r="AA470" t="s">
        <v>54</v>
      </c>
      <c r="AB470" t="s">
        <v>405</v>
      </c>
      <c r="AC470" t="s">
        <v>425</v>
      </c>
      <c r="AD470" t="s">
        <v>425</v>
      </c>
      <c r="AE470" t="s">
        <v>137</v>
      </c>
      <c r="AF470">
        <v>1</v>
      </c>
      <c r="AG470">
        <v>108</v>
      </c>
      <c r="AH470">
        <v>134</v>
      </c>
      <c r="AI470" s="122">
        <v>13697</v>
      </c>
      <c r="AJ470" s="122">
        <v>12452</v>
      </c>
      <c r="AK470">
        <v>95</v>
      </c>
      <c r="AL470" s="122">
        <v>2295</v>
      </c>
      <c r="AM470" s="122">
        <v>2086</v>
      </c>
      <c r="AN470" s="122">
        <v>3960</v>
      </c>
      <c r="AO470" s="122">
        <v>1467</v>
      </c>
      <c r="AP470">
        <v>621</v>
      </c>
      <c r="AQ470">
        <v>230</v>
      </c>
      <c r="AR470" s="122">
        <v>5120</v>
      </c>
      <c r="AS470" s="122">
        <v>4655</v>
      </c>
      <c r="AT470">
        <v>0</v>
      </c>
      <c r="AU470">
        <v>0</v>
      </c>
      <c r="AV470" s="122">
        <v>20890</v>
      </c>
    </row>
    <row r="471" spans="2:48" hidden="1">
      <c r="B471" t="s">
        <v>365</v>
      </c>
      <c r="C471" t="s">
        <v>58</v>
      </c>
      <c r="D471" t="s">
        <v>407</v>
      </c>
      <c r="E471" t="s">
        <v>137</v>
      </c>
      <c r="F471">
        <v>3</v>
      </c>
      <c r="G471" s="122">
        <v>436</v>
      </c>
      <c r="H471" s="122">
        <v>767</v>
      </c>
      <c r="I471" s="122">
        <v>61473</v>
      </c>
      <c r="J471" s="122">
        <v>55885</v>
      </c>
      <c r="K471">
        <v>87</v>
      </c>
      <c r="L471" s="122">
        <v>13666</v>
      </c>
      <c r="M471" s="122">
        <v>11883</v>
      </c>
      <c r="N471" s="122">
        <v>9943</v>
      </c>
      <c r="O471" s="122">
        <v>3683</v>
      </c>
      <c r="P471" s="122">
        <v>1418</v>
      </c>
      <c r="Q471" s="122">
        <v>525</v>
      </c>
      <c r="R471" s="122">
        <v>25734</v>
      </c>
      <c r="S471" s="122">
        <v>9531</v>
      </c>
      <c r="T471" s="122">
        <v>0</v>
      </c>
      <c r="U471" s="122">
        <v>0</v>
      </c>
      <c r="V471" s="122">
        <v>81506</v>
      </c>
      <c r="W471" s="122">
        <f t="shared" si="14"/>
        <v>81507</v>
      </c>
      <c r="X471" s="122">
        <f t="shared" si="15"/>
        <v>112234</v>
      </c>
      <c r="Y471" s="122"/>
      <c r="AA471" t="s">
        <v>54</v>
      </c>
      <c r="AB471" t="s">
        <v>405</v>
      </c>
      <c r="AC471" t="s">
        <v>425</v>
      </c>
      <c r="AD471" t="s">
        <v>405</v>
      </c>
      <c r="AE471" t="s">
        <v>137</v>
      </c>
      <c r="AF471">
        <v>2</v>
      </c>
      <c r="AG471">
        <v>362</v>
      </c>
      <c r="AH471">
        <v>287</v>
      </c>
      <c r="AI471" s="122">
        <v>30972</v>
      </c>
      <c r="AJ471" s="122">
        <v>28156</v>
      </c>
      <c r="AK471">
        <v>91</v>
      </c>
      <c r="AL471" s="122">
        <v>4452</v>
      </c>
      <c r="AM471" s="122">
        <v>4047</v>
      </c>
      <c r="AN471" s="122">
        <v>5308</v>
      </c>
      <c r="AO471" s="122">
        <v>1966</v>
      </c>
      <c r="AP471">
        <v>824</v>
      </c>
      <c r="AQ471">
        <v>305</v>
      </c>
      <c r="AR471" s="122">
        <v>10180</v>
      </c>
      <c r="AS471" s="122">
        <v>9254</v>
      </c>
      <c r="AT471">
        <v>0</v>
      </c>
      <c r="AU471">
        <v>0</v>
      </c>
      <c r="AV471" s="122">
        <v>43729</v>
      </c>
    </row>
    <row r="472" spans="2:48" hidden="1">
      <c r="B472" t="s">
        <v>365</v>
      </c>
      <c r="C472" t="s">
        <v>58</v>
      </c>
      <c r="D472" t="s">
        <v>407</v>
      </c>
      <c r="E472" t="s">
        <v>406</v>
      </c>
      <c r="F472">
        <v>2</v>
      </c>
      <c r="G472">
        <v>354</v>
      </c>
      <c r="H472" s="122">
        <v>542</v>
      </c>
      <c r="I472" s="122">
        <v>59405</v>
      </c>
      <c r="J472" s="122">
        <v>54004</v>
      </c>
      <c r="K472">
        <v>65</v>
      </c>
      <c r="L472" s="122">
        <v>8911</v>
      </c>
      <c r="M472" s="122">
        <v>8101</v>
      </c>
      <c r="N472" s="122">
        <v>7566</v>
      </c>
      <c r="O472" s="122">
        <v>2802</v>
      </c>
      <c r="P472">
        <v>945</v>
      </c>
      <c r="Q472">
        <v>350</v>
      </c>
      <c r="R472" s="122">
        <v>11298</v>
      </c>
      <c r="S472" s="122">
        <v>10271</v>
      </c>
      <c r="T472" s="122">
        <v>6804</v>
      </c>
      <c r="U472" s="122">
        <v>2520</v>
      </c>
      <c r="V472" s="122">
        <v>78048</v>
      </c>
      <c r="W472" s="122">
        <f t="shared" si="14"/>
        <v>78048</v>
      </c>
      <c r="X472" s="122">
        <f t="shared" si="15"/>
        <v>94929</v>
      </c>
      <c r="Y472" s="122"/>
      <c r="AA472" t="s">
        <v>54</v>
      </c>
      <c r="AB472" t="s">
        <v>405</v>
      </c>
      <c r="AC472" t="s">
        <v>425</v>
      </c>
      <c r="AD472" t="s">
        <v>405</v>
      </c>
      <c r="AE472" t="s">
        <v>566</v>
      </c>
      <c r="AF472">
        <v>2</v>
      </c>
      <c r="AG472">
        <v>619</v>
      </c>
      <c r="AH472">
        <v>261</v>
      </c>
      <c r="AI472" s="122">
        <v>53290</v>
      </c>
      <c r="AJ472" s="122">
        <v>48446</v>
      </c>
      <c r="AK472">
        <v>91</v>
      </c>
      <c r="AL472" s="122">
        <v>7119</v>
      </c>
      <c r="AM472" s="122">
        <v>6472</v>
      </c>
      <c r="AN472" s="122">
        <v>8696</v>
      </c>
      <c r="AO472" s="122">
        <v>3221</v>
      </c>
      <c r="AP472">
        <v>824</v>
      </c>
      <c r="AQ472">
        <v>305</v>
      </c>
      <c r="AR472" s="122">
        <v>9812</v>
      </c>
      <c r="AS472" s="122">
        <v>8920</v>
      </c>
      <c r="AT472">
        <v>0</v>
      </c>
      <c r="AU472">
        <v>0</v>
      </c>
      <c r="AV472" s="122">
        <v>67364</v>
      </c>
    </row>
    <row r="473" spans="2:48" hidden="1">
      <c r="B473" t="s">
        <v>365</v>
      </c>
      <c r="C473" t="s">
        <v>58</v>
      </c>
      <c r="D473" t="s">
        <v>407</v>
      </c>
      <c r="E473" t="s">
        <v>407</v>
      </c>
      <c r="F473" s="122">
        <v>1272</v>
      </c>
      <c r="G473" s="122">
        <v>153569</v>
      </c>
      <c r="H473" s="122">
        <v>329829</v>
      </c>
      <c r="I473" s="122">
        <v>22732597</v>
      </c>
      <c r="J473" s="122">
        <v>20665997</v>
      </c>
      <c r="K473">
        <v>79</v>
      </c>
      <c r="L473" s="122">
        <v>5843571</v>
      </c>
      <c r="M473" s="122">
        <v>5072331</v>
      </c>
      <c r="N473" s="122">
        <v>3204564</v>
      </c>
      <c r="O473" s="122">
        <v>1186876</v>
      </c>
      <c r="P473" s="122">
        <v>620726</v>
      </c>
      <c r="Q473" s="122">
        <v>229898</v>
      </c>
      <c r="R473" s="122">
        <v>6754361</v>
      </c>
      <c r="S473" s="122">
        <v>6140328</v>
      </c>
      <c r="T473" s="122">
        <v>1378240</v>
      </c>
      <c r="U473" s="122">
        <v>510459</v>
      </c>
      <c r="V473" s="122">
        <v>33805889</v>
      </c>
      <c r="W473" s="122">
        <f t="shared" si="14"/>
        <v>33805889</v>
      </c>
      <c r="X473" s="122">
        <f t="shared" si="15"/>
        <v>40534059</v>
      </c>
      <c r="Y473" s="122"/>
      <c r="AA473" t="s">
        <v>54</v>
      </c>
      <c r="AB473" t="s">
        <v>405</v>
      </c>
      <c r="AC473" t="s">
        <v>405</v>
      </c>
      <c r="AD473" t="s">
        <v>425</v>
      </c>
      <c r="AE473" t="s">
        <v>566</v>
      </c>
      <c r="AF473">
        <v>1</v>
      </c>
      <c r="AG473" s="122">
        <v>126</v>
      </c>
      <c r="AH473" s="122">
        <v>147</v>
      </c>
      <c r="AI473" s="122">
        <v>18039</v>
      </c>
      <c r="AJ473" s="122">
        <v>16399</v>
      </c>
      <c r="AK473">
        <v>92</v>
      </c>
      <c r="AL473" s="122">
        <v>2793</v>
      </c>
      <c r="AM473" s="122">
        <v>2539</v>
      </c>
      <c r="AN473" s="122">
        <v>4600</v>
      </c>
      <c r="AO473" s="122">
        <v>1704</v>
      </c>
      <c r="AP473" s="122">
        <v>824</v>
      </c>
      <c r="AQ473" s="122">
        <v>305</v>
      </c>
      <c r="AR473" s="122">
        <v>5503</v>
      </c>
      <c r="AS473" s="122">
        <v>5003</v>
      </c>
      <c r="AT473" s="122">
        <v>0</v>
      </c>
      <c r="AU473" s="122">
        <v>0</v>
      </c>
      <c r="AV473" s="122">
        <v>25950</v>
      </c>
    </row>
    <row r="474" spans="2:48" hidden="1">
      <c r="B474" t="s">
        <v>365</v>
      </c>
      <c r="C474" t="s">
        <v>58</v>
      </c>
      <c r="D474" t="s">
        <v>407</v>
      </c>
      <c r="E474" t="s">
        <v>426</v>
      </c>
      <c r="F474">
        <v>2</v>
      </c>
      <c r="G474" s="122">
        <v>306</v>
      </c>
      <c r="H474" s="122">
        <v>578</v>
      </c>
      <c r="I474" s="122">
        <v>57304</v>
      </c>
      <c r="J474" s="122">
        <v>52095</v>
      </c>
      <c r="K474">
        <v>77</v>
      </c>
      <c r="L474" s="122">
        <v>9364</v>
      </c>
      <c r="M474" s="122">
        <v>8513</v>
      </c>
      <c r="N474" s="122">
        <v>6784</v>
      </c>
      <c r="O474" s="122">
        <v>2512</v>
      </c>
      <c r="P474" s="122">
        <v>945</v>
      </c>
      <c r="Q474" s="122">
        <v>350</v>
      </c>
      <c r="R474" s="122">
        <v>11954</v>
      </c>
      <c r="S474" s="122">
        <v>10867</v>
      </c>
      <c r="T474" s="122">
        <v>2055</v>
      </c>
      <c r="U474" s="122">
        <v>761</v>
      </c>
      <c r="V474" s="122">
        <v>75098</v>
      </c>
      <c r="W474" s="122">
        <f t="shared" si="14"/>
        <v>75098</v>
      </c>
      <c r="X474" s="122">
        <f t="shared" si="15"/>
        <v>88406</v>
      </c>
      <c r="Y474" s="122"/>
      <c r="AA474" t="s">
        <v>54</v>
      </c>
      <c r="AB474" t="s">
        <v>405</v>
      </c>
      <c r="AC474" t="s">
        <v>405</v>
      </c>
      <c r="AD474" t="s">
        <v>405</v>
      </c>
      <c r="AE474" t="s">
        <v>137</v>
      </c>
      <c r="AF474">
        <v>27</v>
      </c>
      <c r="AG474" s="122">
        <v>5822</v>
      </c>
      <c r="AH474" s="122">
        <v>3797</v>
      </c>
      <c r="AI474" s="122">
        <v>472476</v>
      </c>
      <c r="AJ474" s="122">
        <v>429524</v>
      </c>
      <c r="AK474">
        <v>89</v>
      </c>
      <c r="AL474" s="122">
        <v>93315</v>
      </c>
      <c r="AM474" s="122">
        <v>84831</v>
      </c>
      <c r="AN474" s="122">
        <v>112274</v>
      </c>
      <c r="AO474" s="122">
        <v>41583</v>
      </c>
      <c r="AP474" s="122">
        <v>15222</v>
      </c>
      <c r="AQ474" s="122">
        <v>5638</v>
      </c>
      <c r="AR474" s="122">
        <v>134851</v>
      </c>
      <c r="AS474" s="122">
        <v>122592</v>
      </c>
      <c r="AT474" s="122">
        <v>36471</v>
      </c>
      <c r="AU474" s="122">
        <v>13508</v>
      </c>
      <c r="AV474" s="122">
        <v>697675</v>
      </c>
    </row>
    <row r="475" spans="2:48" hidden="1">
      <c r="B475" t="s">
        <v>365</v>
      </c>
      <c r="C475" t="s">
        <v>58</v>
      </c>
      <c r="D475" t="s">
        <v>556</v>
      </c>
      <c r="E475" t="s">
        <v>556</v>
      </c>
      <c r="F475" s="122">
        <v>2</v>
      </c>
      <c r="G475" s="122">
        <v>335</v>
      </c>
      <c r="H475" s="122">
        <v>585</v>
      </c>
      <c r="I475" s="122">
        <v>64939</v>
      </c>
      <c r="J475" s="122">
        <v>54116</v>
      </c>
      <c r="K475">
        <v>69</v>
      </c>
      <c r="L475" s="122">
        <v>8180</v>
      </c>
      <c r="M475" s="122">
        <v>6817</v>
      </c>
      <c r="N475" s="122">
        <v>7261</v>
      </c>
      <c r="O475" s="122">
        <v>2689</v>
      </c>
      <c r="P475" s="122">
        <v>702</v>
      </c>
      <c r="Q475" s="122">
        <v>260</v>
      </c>
      <c r="R475" s="122">
        <v>12971</v>
      </c>
      <c r="S475" s="122">
        <v>10809</v>
      </c>
      <c r="T475" s="122">
        <v>3509</v>
      </c>
      <c r="U475" s="122">
        <v>1300</v>
      </c>
      <c r="V475" s="122">
        <v>75991</v>
      </c>
      <c r="W475" s="122">
        <f t="shared" si="14"/>
        <v>75991</v>
      </c>
      <c r="X475" s="122">
        <f t="shared" si="15"/>
        <v>97562</v>
      </c>
      <c r="Y475" s="122"/>
      <c r="AA475" t="s">
        <v>54</v>
      </c>
      <c r="AB475" t="s">
        <v>405</v>
      </c>
      <c r="AC475" t="s">
        <v>405</v>
      </c>
      <c r="AD475" t="s">
        <v>405</v>
      </c>
      <c r="AE475" t="s">
        <v>566</v>
      </c>
      <c r="AF475">
        <v>131</v>
      </c>
      <c r="AG475" s="122">
        <v>28532</v>
      </c>
      <c r="AH475" s="122">
        <v>18234</v>
      </c>
      <c r="AI475" s="122">
        <v>2323001</v>
      </c>
      <c r="AJ475" s="122">
        <v>2111819</v>
      </c>
      <c r="AK475">
        <v>90</v>
      </c>
      <c r="AL475" s="122">
        <v>456405</v>
      </c>
      <c r="AM475" s="122">
        <v>414914</v>
      </c>
      <c r="AN475" s="122">
        <v>569458</v>
      </c>
      <c r="AO475" s="122">
        <v>210910</v>
      </c>
      <c r="AP475" s="122">
        <v>81594</v>
      </c>
      <c r="AQ475" s="122">
        <v>30220</v>
      </c>
      <c r="AR475" s="122">
        <v>731299</v>
      </c>
      <c r="AS475" s="122">
        <v>664817</v>
      </c>
      <c r="AT475" s="122">
        <v>0</v>
      </c>
      <c r="AU475" s="122">
        <v>0</v>
      </c>
      <c r="AV475" s="122">
        <v>3432680</v>
      </c>
    </row>
    <row r="476" spans="2:48" hidden="1">
      <c r="B476" t="s">
        <v>365</v>
      </c>
      <c r="C476" t="s">
        <v>58</v>
      </c>
      <c r="D476" t="s">
        <v>426</v>
      </c>
      <c r="E476" t="s">
        <v>137</v>
      </c>
      <c r="F476">
        <v>3</v>
      </c>
      <c r="G476" s="122">
        <v>375</v>
      </c>
      <c r="H476" s="122">
        <v>829</v>
      </c>
      <c r="I476" s="122">
        <v>60010</v>
      </c>
      <c r="J476" s="122">
        <v>54554</v>
      </c>
      <c r="K476">
        <v>62</v>
      </c>
      <c r="L476" s="122">
        <v>13130</v>
      </c>
      <c r="M476" s="122">
        <v>4863</v>
      </c>
      <c r="N476" s="122">
        <v>6533</v>
      </c>
      <c r="O476" s="122">
        <v>2420</v>
      </c>
      <c r="P476" s="122">
        <v>702</v>
      </c>
      <c r="Q476" s="122">
        <v>260</v>
      </c>
      <c r="R476" s="122">
        <v>22648</v>
      </c>
      <c r="S476" s="122">
        <v>8388</v>
      </c>
      <c r="T476" s="122">
        <v>0</v>
      </c>
      <c r="U476" s="122">
        <v>0</v>
      </c>
      <c r="V476" s="122">
        <v>70485</v>
      </c>
      <c r="W476" s="122">
        <f t="shared" si="14"/>
        <v>70485</v>
      </c>
      <c r="X476" s="122">
        <f t="shared" si="15"/>
        <v>103023</v>
      </c>
      <c r="Y476" s="122"/>
      <c r="AA476" t="s">
        <v>54</v>
      </c>
      <c r="AB476" t="s">
        <v>405</v>
      </c>
      <c r="AC476" t="s">
        <v>137</v>
      </c>
      <c r="AD476" t="s">
        <v>405</v>
      </c>
      <c r="AE476" t="s">
        <v>137</v>
      </c>
      <c r="AF476">
        <v>5</v>
      </c>
      <c r="AG476" s="122">
        <v>1045</v>
      </c>
      <c r="AH476" s="122">
        <v>685</v>
      </c>
      <c r="AI476" s="122">
        <v>77889</v>
      </c>
      <c r="AJ476" s="122">
        <v>70808</v>
      </c>
      <c r="AK476">
        <v>89</v>
      </c>
      <c r="AL476" s="122">
        <v>15596</v>
      </c>
      <c r="AM476" s="122">
        <v>5776</v>
      </c>
      <c r="AN476" s="122">
        <v>21934</v>
      </c>
      <c r="AO476" s="122">
        <v>8124</v>
      </c>
      <c r="AP476" s="122">
        <v>4040</v>
      </c>
      <c r="AQ476" s="122">
        <v>1496</v>
      </c>
      <c r="AR476" s="122">
        <v>25717</v>
      </c>
      <c r="AS476" s="122">
        <v>23379</v>
      </c>
      <c r="AT476" s="122">
        <v>3260</v>
      </c>
      <c r="AU476" s="122">
        <v>1207</v>
      </c>
      <c r="AV476" s="122">
        <v>110792</v>
      </c>
    </row>
    <row r="477" spans="2:48" hidden="1">
      <c r="B477" t="s">
        <v>365</v>
      </c>
      <c r="C477" t="s">
        <v>58</v>
      </c>
      <c r="D477" t="s">
        <v>426</v>
      </c>
      <c r="E477" t="s">
        <v>406</v>
      </c>
      <c r="F477">
        <v>1</v>
      </c>
      <c r="G477" s="122">
        <v>125</v>
      </c>
      <c r="H477" s="122">
        <v>276</v>
      </c>
      <c r="I477" s="122">
        <v>19807</v>
      </c>
      <c r="J477" s="122">
        <v>18006</v>
      </c>
      <c r="K477">
        <v>55</v>
      </c>
      <c r="L477" s="122">
        <v>2089</v>
      </c>
      <c r="M477" s="122">
        <v>1899</v>
      </c>
      <c r="N477" s="122">
        <v>2139</v>
      </c>
      <c r="O477" s="122">
        <v>792</v>
      </c>
      <c r="P477" s="122">
        <v>621</v>
      </c>
      <c r="Q477" s="122">
        <v>230</v>
      </c>
      <c r="R477" s="122">
        <v>6763</v>
      </c>
      <c r="S477" s="122">
        <v>6148</v>
      </c>
      <c r="T477" s="122">
        <v>3185</v>
      </c>
      <c r="U477" s="122">
        <v>1180</v>
      </c>
      <c r="V477" s="122">
        <v>28255</v>
      </c>
      <c r="W477" s="122">
        <f t="shared" si="14"/>
        <v>28255</v>
      </c>
      <c r="X477" s="122">
        <f t="shared" si="15"/>
        <v>34604</v>
      </c>
      <c r="Y477" s="122"/>
      <c r="AA477" t="s">
        <v>54</v>
      </c>
      <c r="AB477" t="s">
        <v>405</v>
      </c>
      <c r="AC477" t="s">
        <v>137</v>
      </c>
      <c r="AD477" t="s">
        <v>405</v>
      </c>
      <c r="AE477" t="s">
        <v>566</v>
      </c>
      <c r="AF477">
        <v>15</v>
      </c>
      <c r="AG477" s="122">
        <v>2971</v>
      </c>
      <c r="AH477" s="122">
        <v>2079</v>
      </c>
      <c r="AI477" s="122">
        <v>228383</v>
      </c>
      <c r="AJ477" s="122">
        <v>207621</v>
      </c>
      <c r="AK477">
        <v>89</v>
      </c>
      <c r="AL477" s="122">
        <v>62127</v>
      </c>
      <c r="AM477" s="122">
        <v>23010</v>
      </c>
      <c r="AN477" s="122">
        <v>63509</v>
      </c>
      <c r="AO477" s="122">
        <v>23522</v>
      </c>
      <c r="AP477" s="122">
        <v>7061</v>
      </c>
      <c r="AQ477" s="122">
        <v>2615</v>
      </c>
      <c r="AR477" s="122">
        <v>83284</v>
      </c>
      <c r="AS477" s="122">
        <v>75712</v>
      </c>
      <c r="AT477">
        <v>0</v>
      </c>
      <c r="AU477">
        <v>0</v>
      </c>
      <c r="AV477" s="122">
        <v>332480</v>
      </c>
    </row>
    <row r="478" spans="2:48" hidden="1">
      <c r="B478" t="s">
        <v>365</v>
      </c>
      <c r="C478" t="s">
        <v>58</v>
      </c>
      <c r="D478" t="s">
        <v>426</v>
      </c>
      <c r="E478" t="s">
        <v>426</v>
      </c>
      <c r="F478">
        <v>80</v>
      </c>
      <c r="G478" s="122">
        <v>9495</v>
      </c>
      <c r="H478" s="122">
        <v>21854</v>
      </c>
      <c r="I478" s="122">
        <v>1675152</v>
      </c>
      <c r="J478" s="122">
        <v>1522865</v>
      </c>
      <c r="K478">
        <v>65</v>
      </c>
      <c r="L478" s="122">
        <v>200061</v>
      </c>
      <c r="M478" s="122">
        <v>148880</v>
      </c>
      <c r="N478" s="122">
        <v>189025</v>
      </c>
      <c r="O478" s="122">
        <v>70009</v>
      </c>
      <c r="P478" s="122">
        <v>33696</v>
      </c>
      <c r="Q478" s="122">
        <v>12480</v>
      </c>
      <c r="R478" s="122">
        <v>408670</v>
      </c>
      <c r="S478" s="122">
        <v>371518</v>
      </c>
      <c r="T478" s="122">
        <v>168701</v>
      </c>
      <c r="U478" s="122">
        <v>62482</v>
      </c>
      <c r="V478" s="122">
        <v>2188235</v>
      </c>
      <c r="W478" s="122">
        <f t="shared" si="14"/>
        <v>2188234</v>
      </c>
      <c r="X478" s="122">
        <f t="shared" si="15"/>
        <v>2675305</v>
      </c>
      <c r="Y478" s="122"/>
      <c r="AA478" t="s">
        <v>54</v>
      </c>
      <c r="AB478" t="s">
        <v>405</v>
      </c>
      <c r="AC478" t="s">
        <v>580</v>
      </c>
      <c r="AD478" t="s">
        <v>405</v>
      </c>
      <c r="AE478" t="s">
        <v>137</v>
      </c>
      <c r="AF478">
        <v>2</v>
      </c>
      <c r="AG478">
        <v>591</v>
      </c>
      <c r="AH478">
        <v>279</v>
      </c>
      <c r="AI478" s="122">
        <v>49137</v>
      </c>
      <c r="AJ478" s="122">
        <v>44670</v>
      </c>
      <c r="AK478">
        <v>92</v>
      </c>
      <c r="AL478" s="122">
        <v>7004</v>
      </c>
      <c r="AM478" s="122">
        <v>6368</v>
      </c>
      <c r="AN478" s="122">
        <v>11269</v>
      </c>
      <c r="AO478" s="122">
        <v>4174</v>
      </c>
      <c r="AP478" s="122">
        <v>2687</v>
      </c>
      <c r="AQ478">
        <v>995</v>
      </c>
      <c r="AR478" s="122">
        <v>12542</v>
      </c>
      <c r="AS478" s="122">
        <v>11402</v>
      </c>
      <c r="AT478">
        <v>0</v>
      </c>
      <c r="AU478">
        <v>0</v>
      </c>
      <c r="AV478" s="122">
        <v>67608</v>
      </c>
    </row>
    <row r="479" spans="2:48" hidden="1">
      <c r="B479" t="s">
        <v>365</v>
      </c>
      <c r="C479" t="s">
        <v>58</v>
      </c>
      <c r="D479" t="s">
        <v>481</v>
      </c>
      <c r="E479" t="s">
        <v>426</v>
      </c>
      <c r="F479">
        <v>1</v>
      </c>
      <c r="G479" s="122">
        <v>136</v>
      </c>
      <c r="H479" s="122">
        <v>239</v>
      </c>
      <c r="I479" s="122">
        <v>17385</v>
      </c>
      <c r="J479" s="122">
        <v>15805</v>
      </c>
      <c r="K479">
        <v>65</v>
      </c>
      <c r="L479" s="122">
        <v>4185</v>
      </c>
      <c r="M479" s="122">
        <v>3805</v>
      </c>
      <c r="N479" s="122">
        <v>3320</v>
      </c>
      <c r="O479" s="122">
        <v>1230</v>
      </c>
      <c r="P479" s="122">
        <v>351</v>
      </c>
      <c r="Q479" s="122">
        <v>130</v>
      </c>
      <c r="R479" s="122">
        <v>7322</v>
      </c>
      <c r="S479" s="122">
        <v>6656</v>
      </c>
      <c r="T479" s="122">
        <v>0</v>
      </c>
      <c r="U479" s="122">
        <v>0</v>
      </c>
      <c r="V479" s="122">
        <v>27625</v>
      </c>
      <c r="W479" s="122">
        <f t="shared" si="14"/>
        <v>27626</v>
      </c>
      <c r="X479" s="122">
        <f t="shared" si="15"/>
        <v>32563</v>
      </c>
      <c r="Y479" s="122"/>
      <c r="AA479" t="s">
        <v>54</v>
      </c>
      <c r="AB479" t="s">
        <v>405</v>
      </c>
      <c r="AC479" t="s">
        <v>580</v>
      </c>
      <c r="AD479" t="s">
        <v>405</v>
      </c>
      <c r="AE479" t="s">
        <v>566</v>
      </c>
      <c r="AF479">
        <v>2</v>
      </c>
      <c r="AG479" s="122">
        <v>361</v>
      </c>
      <c r="AH479">
        <v>269</v>
      </c>
      <c r="AI479" s="122">
        <v>25781</v>
      </c>
      <c r="AJ479" s="122">
        <v>23437</v>
      </c>
      <c r="AK479">
        <v>92</v>
      </c>
      <c r="AL479" s="122">
        <v>3555</v>
      </c>
      <c r="AM479" s="122">
        <v>3232</v>
      </c>
      <c r="AN479" s="122">
        <v>7806</v>
      </c>
      <c r="AO479" s="122">
        <v>2891</v>
      </c>
      <c r="AP479" s="122">
        <v>945</v>
      </c>
      <c r="AQ479" s="122">
        <v>350</v>
      </c>
      <c r="AR479" s="122">
        <v>10373</v>
      </c>
      <c r="AS479" s="122">
        <v>9430</v>
      </c>
      <c r="AT479" s="122">
        <v>0</v>
      </c>
      <c r="AU479" s="122">
        <v>0</v>
      </c>
      <c r="AV479" s="122">
        <v>39340</v>
      </c>
    </row>
    <row r="480" spans="2:48" hidden="1">
      <c r="B480" t="s">
        <v>365</v>
      </c>
      <c r="C480" t="s">
        <v>58</v>
      </c>
      <c r="D480" t="s">
        <v>433</v>
      </c>
      <c r="E480" t="s">
        <v>137</v>
      </c>
      <c r="F480">
        <v>1</v>
      </c>
      <c r="G480" s="122">
        <v>203</v>
      </c>
      <c r="H480" s="122">
        <v>256</v>
      </c>
      <c r="I480" s="122">
        <v>35226</v>
      </c>
      <c r="J480" s="122">
        <v>32024</v>
      </c>
      <c r="K480">
        <v>60</v>
      </c>
      <c r="L480" s="122">
        <v>5764</v>
      </c>
      <c r="M480" s="122">
        <v>2135</v>
      </c>
      <c r="N480" s="122">
        <v>4132</v>
      </c>
      <c r="O480" s="122">
        <v>1531</v>
      </c>
      <c r="P480" s="122">
        <v>1640</v>
      </c>
      <c r="Q480" s="122">
        <v>607</v>
      </c>
      <c r="R480" s="122">
        <v>5285</v>
      </c>
      <c r="S480" s="122">
        <v>1957</v>
      </c>
      <c r="T480" s="122">
        <v>0</v>
      </c>
      <c r="U480" s="122">
        <v>0</v>
      </c>
      <c r="V480" s="122">
        <v>38254</v>
      </c>
      <c r="W480" s="122">
        <f t="shared" si="14"/>
        <v>38254</v>
      </c>
      <c r="X480" s="122">
        <f t="shared" si="15"/>
        <v>52047</v>
      </c>
      <c r="Y480" s="122"/>
      <c r="AA480" t="s">
        <v>54</v>
      </c>
      <c r="AB480" t="s">
        <v>405</v>
      </c>
      <c r="AC480" t="s">
        <v>427</v>
      </c>
      <c r="AD480" t="s">
        <v>405</v>
      </c>
      <c r="AE480" t="s">
        <v>137</v>
      </c>
      <c r="AF480">
        <v>6</v>
      </c>
      <c r="AG480" s="122">
        <v>1200</v>
      </c>
      <c r="AH480" s="122">
        <v>832</v>
      </c>
      <c r="AI480" s="122">
        <v>94899</v>
      </c>
      <c r="AJ480" s="122">
        <v>86272</v>
      </c>
      <c r="AK480">
        <v>91</v>
      </c>
      <c r="AL480" s="122">
        <v>23359</v>
      </c>
      <c r="AM480" s="122">
        <v>21236</v>
      </c>
      <c r="AN480" s="122">
        <v>21584</v>
      </c>
      <c r="AO480" s="122">
        <v>7994</v>
      </c>
      <c r="AP480" s="122">
        <v>4097</v>
      </c>
      <c r="AQ480" s="122">
        <v>1517</v>
      </c>
      <c r="AR480" s="122">
        <v>27650</v>
      </c>
      <c r="AS480" s="122">
        <v>25136</v>
      </c>
      <c r="AT480" s="122">
        <v>3028</v>
      </c>
      <c r="AU480" s="122">
        <v>1121</v>
      </c>
      <c r="AV480" s="122">
        <v>143276</v>
      </c>
    </row>
    <row r="481" spans="2:48" hidden="1">
      <c r="B481" t="s">
        <v>365</v>
      </c>
      <c r="C481" t="s">
        <v>58</v>
      </c>
      <c r="D481" t="s">
        <v>433</v>
      </c>
      <c r="E481" t="s">
        <v>406</v>
      </c>
      <c r="F481">
        <v>1</v>
      </c>
      <c r="G481" s="122">
        <v>172</v>
      </c>
      <c r="H481" s="122">
        <v>294</v>
      </c>
      <c r="I481" s="122">
        <v>31462</v>
      </c>
      <c r="J481" s="122">
        <v>28602</v>
      </c>
      <c r="K481">
        <v>70</v>
      </c>
      <c r="L481" s="122">
        <v>6642</v>
      </c>
      <c r="M481" s="122">
        <v>6038</v>
      </c>
      <c r="N481" s="122">
        <v>2091</v>
      </c>
      <c r="O481" s="122">
        <v>775</v>
      </c>
      <c r="P481" s="122">
        <v>621</v>
      </c>
      <c r="Q481" s="122">
        <v>230</v>
      </c>
      <c r="R481" s="122">
        <v>5978</v>
      </c>
      <c r="S481" s="122">
        <v>5435</v>
      </c>
      <c r="T481" s="122">
        <v>3719</v>
      </c>
      <c r="U481" s="122">
        <v>1377</v>
      </c>
      <c r="V481" s="122">
        <v>42457</v>
      </c>
      <c r="W481" s="122">
        <f t="shared" si="14"/>
        <v>42457</v>
      </c>
      <c r="X481" s="122">
        <f t="shared" si="15"/>
        <v>50513</v>
      </c>
      <c r="Y481" s="122"/>
      <c r="AA481" t="s">
        <v>54</v>
      </c>
      <c r="AB481" t="s">
        <v>405</v>
      </c>
      <c r="AC481" t="s">
        <v>427</v>
      </c>
      <c r="AD481" t="s">
        <v>405</v>
      </c>
      <c r="AE481" t="s">
        <v>566</v>
      </c>
      <c r="AF481">
        <v>86</v>
      </c>
      <c r="AG481" s="122">
        <v>11217</v>
      </c>
      <c r="AH481" s="122">
        <v>12242</v>
      </c>
      <c r="AI481" s="122">
        <v>820244</v>
      </c>
      <c r="AJ481" s="122">
        <v>745676</v>
      </c>
      <c r="AK481">
        <v>90</v>
      </c>
      <c r="AL481" s="122">
        <v>233084</v>
      </c>
      <c r="AM481" s="122">
        <v>211894</v>
      </c>
      <c r="AN481" s="122">
        <v>182089</v>
      </c>
      <c r="AO481" s="122">
        <v>67440</v>
      </c>
      <c r="AP481" s="122">
        <v>43308</v>
      </c>
      <c r="AQ481" s="122">
        <v>16040</v>
      </c>
      <c r="AR481" s="122">
        <v>384950</v>
      </c>
      <c r="AS481" s="122">
        <v>349955</v>
      </c>
      <c r="AT481" s="122">
        <v>0</v>
      </c>
      <c r="AU481" s="122">
        <v>0</v>
      </c>
      <c r="AV481" s="122">
        <v>1391005</v>
      </c>
    </row>
    <row r="482" spans="2:48" hidden="1">
      <c r="B482" t="s">
        <v>365</v>
      </c>
      <c r="C482" t="s">
        <v>58</v>
      </c>
      <c r="D482" t="s">
        <v>433</v>
      </c>
      <c r="E482" t="s">
        <v>433</v>
      </c>
      <c r="F482">
        <v>11</v>
      </c>
      <c r="G482" s="122">
        <v>1904</v>
      </c>
      <c r="H482" s="122">
        <v>2978</v>
      </c>
      <c r="I482" s="122">
        <v>357718</v>
      </c>
      <c r="J482" s="122">
        <v>325198</v>
      </c>
      <c r="K482">
        <v>69</v>
      </c>
      <c r="L482" s="122">
        <v>38328</v>
      </c>
      <c r="M482" s="122">
        <v>34295</v>
      </c>
      <c r="N482" s="122">
        <v>41556</v>
      </c>
      <c r="O482" s="122">
        <v>15391</v>
      </c>
      <c r="P482" s="122">
        <v>5805</v>
      </c>
      <c r="Q482" s="122">
        <v>2150</v>
      </c>
      <c r="R482" s="122">
        <v>51384</v>
      </c>
      <c r="S482" s="122">
        <v>46713</v>
      </c>
      <c r="T482" s="122">
        <v>7794</v>
      </c>
      <c r="U482" s="122">
        <v>2887</v>
      </c>
      <c r="V482" s="122">
        <v>426634</v>
      </c>
      <c r="W482" s="122">
        <f t="shared" si="14"/>
        <v>426634</v>
      </c>
      <c r="X482" s="122">
        <f t="shared" si="15"/>
        <v>502585</v>
      </c>
      <c r="Y482" s="122"/>
      <c r="AA482" t="s">
        <v>54</v>
      </c>
      <c r="AB482" t="s">
        <v>405</v>
      </c>
      <c r="AC482" t="s">
        <v>579</v>
      </c>
      <c r="AD482" t="s">
        <v>405</v>
      </c>
      <c r="AE482" t="s">
        <v>137</v>
      </c>
      <c r="AF482">
        <v>3</v>
      </c>
      <c r="AG482" s="122">
        <v>645</v>
      </c>
      <c r="AH482" s="122">
        <v>414</v>
      </c>
      <c r="AI482" s="122">
        <v>49497</v>
      </c>
      <c r="AJ482" s="122">
        <v>44997</v>
      </c>
      <c r="AK482">
        <v>91</v>
      </c>
      <c r="AL482" s="122">
        <v>7797</v>
      </c>
      <c r="AM482" s="122">
        <v>6497</v>
      </c>
      <c r="AN482" s="122">
        <v>11316</v>
      </c>
      <c r="AO482" s="122">
        <v>4191</v>
      </c>
      <c r="AP482" s="122">
        <v>1418</v>
      </c>
      <c r="AQ482" s="122">
        <v>525</v>
      </c>
      <c r="AR482" s="122">
        <v>12809</v>
      </c>
      <c r="AS482" s="122">
        <v>11645</v>
      </c>
      <c r="AT482" s="122">
        <v>5082</v>
      </c>
      <c r="AU482" s="122">
        <v>1882</v>
      </c>
      <c r="AV482" s="122">
        <v>69737</v>
      </c>
    </row>
    <row r="483" spans="2:48" hidden="1">
      <c r="B483" t="s">
        <v>365</v>
      </c>
      <c r="C483" t="s">
        <v>58</v>
      </c>
      <c r="D483" t="s">
        <v>408</v>
      </c>
      <c r="E483" t="s">
        <v>408</v>
      </c>
      <c r="F483">
        <v>8</v>
      </c>
      <c r="G483" s="122">
        <v>1043</v>
      </c>
      <c r="H483" s="122">
        <v>2068</v>
      </c>
      <c r="I483" s="122">
        <v>163535</v>
      </c>
      <c r="J483" s="122">
        <v>148668</v>
      </c>
      <c r="K483">
        <v>74</v>
      </c>
      <c r="L483" s="122">
        <v>31266</v>
      </c>
      <c r="M483" s="122">
        <v>28423</v>
      </c>
      <c r="N483" s="122">
        <v>19488</v>
      </c>
      <c r="O483" s="122">
        <v>7218</v>
      </c>
      <c r="P483" s="122">
        <v>3510</v>
      </c>
      <c r="Q483" s="122">
        <v>1300</v>
      </c>
      <c r="R483" s="122">
        <v>40898</v>
      </c>
      <c r="S483" s="122">
        <v>37180</v>
      </c>
      <c r="T483" s="122">
        <v>10141</v>
      </c>
      <c r="U483" s="122">
        <v>3756</v>
      </c>
      <c r="V483" s="122">
        <v>226545</v>
      </c>
      <c r="W483" s="122">
        <f t="shared" si="14"/>
        <v>226545</v>
      </c>
      <c r="X483" s="122">
        <f t="shared" si="15"/>
        <v>268838</v>
      </c>
      <c r="Y483" s="122"/>
      <c r="AA483" t="s">
        <v>54</v>
      </c>
      <c r="AB483" t="s">
        <v>405</v>
      </c>
      <c r="AC483" t="s">
        <v>579</v>
      </c>
      <c r="AD483" t="s">
        <v>405</v>
      </c>
      <c r="AE483" t="s">
        <v>566</v>
      </c>
      <c r="AF483">
        <v>38</v>
      </c>
      <c r="AG483" s="122">
        <v>7607</v>
      </c>
      <c r="AH483" s="122">
        <v>5250</v>
      </c>
      <c r="AI483" s="122">
        <v>605051</v>
      </c>
      <c r="AJ483" s="122">
        <v>550047</v>
      </c>
      <c r="AK483">
        <v>90</v>
      </c>
      <c r="AL483" s="122">
        <v>144842</v>
      </c>
      <c r="AM483" s="122">
        <v>120701</v>
      </c>
      <c r="AN483" s="122">
        <v>152599</v>
      </c>
      <c r="AO483" s="122">
        <v>56518</v>
      </c>
      <c r="AP483" s="122">
        <v>22026</v>
      </c>
      <c r="AQ483" s="122">
        <v>8158</v>
      </c>
      <c r="AR483" s="122">
        <v>200107</v>
      </c>
      <c r="AS483" s="122">
        <v>181915</v>
      </c>
      <c r="AT483">
        <v>0</v>
      </c>
      <c r="AU483">
        <v>0</v>
      </c>
      <c r="AV483" s="122">
        <v>917339</v>
      </c>
    </row>
    <row r="484" spans="2:48" hidden="1">
      <c r="B484" t="s">
        <v>365</v>
      </c>
      <c r="C484" t="s">
        <v>58</v>
      </c>
      <c r="D484" t="s">
        <v>408</v>
      </c>
      <c r="E484" t="s">
        <v>429</v>
      </c>
      <c r="F484">
        <v>1</v>
      </c>
      <c r="G484" s="122">
        <v>179</v>
      </c>
      <c r="H484" s="122">
        <v>253</v>
      </c>
      <c r="I484" s="122">
        <v>30829</v>
      </c>
      <c r="J484" s="122">
        <v>28026</v>
      </c>
      <c r="K484">
        <v>86</v>
      </c>
      <c r="L484" s="122">
        <v>3542</v>
      </c>
      <c r="M484" s="122">
        <v>3220</v>
      </c>
      <c r="N484" s="122">
        <v>3265</v>
      </c>
      <c r="O484" s="122">
        <v>1209</v>
      </c>
      <c r="P484" s="122">
        <v>621</v>
      </c>
      <c r="Q484" s="122">
        <v>230</v>
      </c>
      <c r="R484" s="122">
        <v>6859</v>
      </c>
      <c r="S484" s="122">
        <v>6236</v>
      </c>
      <c r="T484" s="122">
        <v>0</v>
      </c>
      <c r="U484" s="122">
        <v>0</v>
      </c>
      <c r="V484" s="122">
        <v>38922</v>
      </c>
      <c r="W484" s="122">
        <f t="shared" si="14"/>
        <v>38921</v>
      </c>
      <c r="X484" s="122">
        <f t="shared" si="15"/>
        <v>45116</v>
      </c>
      <c r="Y484" s="122"/>
      <c r="AA484" t="s">
        <v>54</v>
      </c>
      <c r="AB484" t="s">
        <v>405</v>
      </c>
      <c r="AC484" t="s">
        <v>428</v>
      </c>
      <c r="AD484" t="s">
        <v>405</v>
      </c>
      <c r="AE484" t="s">
        <v>566</v>
      </c>
      <c r="AF484">
        <v>3</v>
      </c>
      <c r="AG484">
        <v>499</v>
      </c>
      <c r="AH484">
        <v>420</v>
      </c>
      <c r="AI484" s="122">
        <v>36870</v>
      </c>
      <c r="AJ484" s="122">
        <v>33518</v>
      </c>
      <c r="AK484">
        <v>88</v>
      </c>
      <c r="AL484" s="122">
        <v>6806</v>
      </c>
      <c r="AM484" s="122">
        <v>6188</v>
      </c>
      <c r="AN484" s="122">
        <v>7343</v>
      </c>
      <c r="AO484" s="122">
        <v>2720</v>
      </c>
      <c r="AP484" s="122">
        <v>1418</v>
      </c>
      <c r="AQ484">
        <v>525</v>
      </c>
      <c r="AR484" s="122">
        <v>16988</v>
      </c>
      <c r="AS484" s="122">
        <v>15444</v>
      </c>
      <c r="AT484" s="122">
        <v>0</v>
      </c>
      <c r="AU484">
        <v>0</v>
      </c>
      <c r="AV484" s="122">
        <v>58394</v>
      </c>
    </row>
    <row r="485" spans="2:48" hidden="1">
      <c r="B485" t="s">
        <v>365</v>
      </c>
      <c r="C485" t="s">
        <v>58</v>
      </c>
      <c r="D485" t="s">
        <v>429</v>
      </c>
      <c r="E485" t="s">
        <v>429</v>
      </c>
      <c r="F485">
        <v>2</v>
      </c>
      <c r="G485" s="122">
        <v>330</v>
      </c>
      <c r="H485" s="122">
        <v>528</v>
      </c>
      <c r="I485" s="122">
        <v>56926</v>
      </c>
      <c r="J485" s="122">
        <v>51751</v>
      </c>
      <c r="K485">
        <v>72</v>
      </c>
      <c r="L485" s="122">
        <v>7810</v>
      </c>
      <c r="M485" s="122">
        <v>6827</v>
      </c>
      <c r="N485" s="122">
        <v>7706</v>
      </c>
      <c r="O485" s="122">
        <v>2854</v>
      </c>
      <c r="P485" s="122">
        <v>2025</v>
      </c>
      <c r="Q485" s="122">
        <v>750</v>
      </c>
      <c r="R485" s="122">
        <v>8770</v>
      </c>
      <c r="S485" s="122">
        <v>7973</v>
      </c>
      <c r="T485" s="122">
        <v>4878</v>
      </c>
      <c r="U485" s="122">
        <v>1807</v>
      </c>
      <c r="V485" s="122">
        <v>71962</v>
      </c>
      <c r="W485" s="122">
        <f t="shared" si="14"/>
        <v>71962</v>
      </c>
      <c r="X485" s="122">
        <f t="shared" si="15"/>
        <v>88115</v>
      </c>
      <c r="Y485" s="122"/>
      <c r="AA485" t="s">
        <v>54</v>
      </c>
      <c r="AB485" t="s">
        <v>405</v>
      </c>
      <c r="AC485" t="s">
        <v>431</v>
      </c>
      <c r="AD485" t="s">
        <v>405</v>
      </c>
      <c r="AE485" t="s">
        <v>137</v>
      </c>
      <c r="AF485">
        <v>2</v>
      </c>
      <c r="AG485">
        <v>338</v>
      </c>
      <c r="AH485">
        <v>293</v>
      </c>
      <c r="AI485" s="122">
        <v>31026</v>
      </c>
      <c r="AJ485" s="122">
        <v>28205</v>
      </c>
      <c r="AK485">
        <v>90</v>
      </c>
      <c r="AL485" s="122">
        <v>7374</v>
      </c>
      <c r="AM485" s="122">
        <v>6704</v>
      </c>
      <c r="AN485" s="122">
        <v>6038</v>
      </c>
      <c r="AO485" s="122">
        <v>2236</v>
      </c>
      <c r="AP485">
        <v>972</v>
      </c>
      <c r="AQ485">
        <v>360</v>
      </c>
      <c r="AR485" s="122">
        <v>7859</v>
      </c>
      <c r="AS485" s="122">
        <v>7144</v>
      </c>
      <c r="AT485" s="122">
        <v>2335</v>
      </c>
      <c r="AU485">
        <v>865</v>
      </c>
      <c r="AV485" s="122">
        <v>45514</v>
      </c>
    </row>
    <row r="486" spans="2:48" hidden="1">
      <c r="B486" t="s">
        <v>365</v>
      </c>
      <c r="C486" t="s">
        <v>60</v>
      </c>
      <c r="D486" t="s">
        <v>425</v>
      </c>
      <c r="E486" t="s">
        <v>425</v>
      </c>
      <c r="F486">
        <v>11</v>
      </c>
      <c r="G486" s="122">
        <v>1267</v>
      </c>
      <c r="H486" s="122">
        <v>3766</v>
      </c>
      <c r="I486" s="122">
        <v>292900</v>
      </c>
      <c r="J486" s="122">
        <v>266273</v>
      </c>
      <c r="K486">
        <v>78</v>
      </c>
      <c r="L486" s="122">
        <v>43350</v>
      </c>
      <c r="M486" s="122">
        <v>37989</v>
      </c>
      <c r="N486" s="122">
        <v>29024</v>
      </c>
      <c r="O486" s="122">
        <v>10750</v>
      </c>
      <c r="P486" s="122">
        <v>5103</v>
      </c>
      <c r="Q486" s="122">
        <v>1890</v>
      </c>
      <c r="R486" s="122">
        <v>58381</v>
      </c>
      <c r="S486" s="122">
        <v>53073</v>
      </c>
      <c r="T486" s="122">
        <v>19617</v>
      </c>
      <c r="U486" s="122">
        <v>7266</v>
      </c>
      <c r="V486" s="122">
        <v>377241</v>
      </c>
      <c r="W486" s="122">
        <f t="shared" si="14"/>
        <v>377241</v>
      </c>
      <c r="X486" s="122">
        <f t="shared" si="15"/>
        <v>448375</v>
      </c>
      <c r="Y486" s="122"/>
      <c r="AA486" t="s">
        <v>54</v>
      </c>
      <c r="AB486" t="s">
        <v>405</v>
      </c>
      <c r="AC486" t="s">
        <v>431</v>
      </c>
      <c r="AD486" t="s">
        <v>405</v>
      </c>
      <c r="AE486" t="s">
        <v>566</v>
      </c>
      <c r="AF486">
        <v>2</v>
      </c>
      <c r="AG486">
        <v>441</v>
      </c>
      <c r="AH486">
        <v>286</v>
      </c>
      <c r="AI486" s="122">
        <v>36504</v>
      </c>
      <c r="AJ486" s="122">
        <v>33185</v>
      </c>
      <c r="AK486">
        <v>93</v>
      </c>
      <c r="AL486" s="122">
        <v>9092</v>
      </c>
      <c r="AM486" s="122">
        <v>8265</v>
      </c>
      <c r="AN486" s="122">
        <v>6153</v>
      </c>
      <c r="AO486" s="122">
        <v>2279</v>
      </c>
      <c r="AP486" s="122">
        <v>945</v>
      </c>
      <c r="AQ486">
        <v>350</v>
      </c>
      <c r="AR486" s="122">
        <v>10437</v>
      </c>
      <c r="AS486" s="122">
        <v>9488</v>
      </c>
      <c r="AT486">
        <v>0</v>
      </c>
      <c r="AU486">
        <v>0</v>
      </c>
      <c r="AV486" s="122">
        <v>53567</v>
      </c>
    </row>
    <row r="487" spans="2:48" hidden="1">
      <c r="B487" t="s">
        <v>365</v>
      </c>
      <c r="C487" t="s">
        <v>60</v>
      </c>
      <c r="D487" t="s">
        <v>405</v>
      </c>
      <c r="E487" t="s">
        <v>425</v>
      </c>
      <c r="F487">
        <v>2</v>
      </c>
      <c r="G487" s="122">
        <v>386</v>
      </c>
      <c r="H487" s="122">
        <v>635</v>
      </c>
      <c r="I487" s="122">
        <v>86105</v>
      </c>
      <c r="J487" s="122">
        <v>78278</v>
      </c>
      <c r="K487">
        <v>68</v>
      </c>
      <c r="L487" s="122">
        <v>11266</v>
      </c>
      <c r="M487" s="122">
        <v>9817</v>
      </c>
      <c r="N487" s="122">
        <v>7538</v>
      </c>
      <c r="O487" s="122">
        <v>2792</v>
      </c>
      <c r="P487" s="122">
        <v>945</v>
      </c>
      <c r="Q487" s="122">
        <v>350</v>
      </c>
      <c r="R487" s="122">
        <v>19406</v>
      </c>
      <c r="S487" s="122">
        <v>17642</v>
      </c>
      <c r="T487" s="122">
        <v>0</v>
      </c>
      <c r="U487" s="122">
        <v>0</v>
      </c>
      <c r="V487" s="122">
        <v>108879</v>
      </c>
      <c r="W487" s="122">
        <f t="shared" si="14"/>
        <v>108879</v>
      </c>
      <c r="X487" s="122">
        <f t="shared" si="15"/>
        <v>125260</v>
      </c>
      <c r="Y487" s="122"/>
      <c r="AA487" t="s">
        <v>54</v>
      </c>
      <c r="AB487" t="s">
        <v>405</v>
      </c>
      <c r="AC487" t="s">
        <v>426</v>
      </c>
      <c r="AD487" t="s">
        <v>425</v>
      </c>
      <c r="AE487" t="s">
        <v>566</v>
      </c>
      <c r="AF487">
        <v>2</v>
      </c>
      <c r="AG487" s="122">
        <v>777</v>
      </c>
      <c r="AH487" s="122">
        <v>284</v>
      </c>
      <c r="AI487" s="122">
        <v>71756</v>
      </c>
      <c r="AJ487" s="122">
        <v>65232</v>
      </c>
      <c r="AK487">
        <v>93</v>
      </c>
      <c r="AL487" s="122">
        <v>18756</v>
      </c>
      <c r="AM487" s="122">
        <v>17051</v>
      </c>
      <c r="AN487" s="122">
        <v>18016</v>
      </c>
      <c r="AO487" s="122">
        <v>6673</v>
      </c>
      <c r="AP487" s="122">
        <v>1215</v>
      </c>
      <c r="AQ487" s="122">
        <v>450</v>
      </c>
      <c r="AR487" s="122">
        <v>12232</v>
      </c>
      <c r="AS487" s="122">
        <v>11120</v>
      </c>
      <c r="AT487" s="122">
        <v>0</v>
      </c>
      <c r="AU487" s="122">
        <v>0</v>
      </c>
      <c r="AV487" s="122">
        <v>100526</v>
      </c>
    </row>
    <row r="488" spans="2:48" hidden="1">
      <c r="B488" t="s">
        <v>365</v>
      </c>
      <c r="C488" t="s">
        <v>60</v>
      </c>
      <c r="D488" t="s">
        <v>405</v>
      </c>
      <c r="E488" t="s">
        <v>405</v>
      </c>
      <c r="F488" s="122">
        <v>60</v>
      </c>
      <c r="G488" s="122">
        <v>7588</v>
      </c>
      <c r="H488" s="122">
        <v>20254</v>
      </c>
      <c r="I488" s="122">
        <v>1662444</v>
      </c>
      <c r="J488" s="122">
        <v>1511312</v>
      </c>
      <c r="K488">
        <v>77</v>
      </c>
      <c r="L488" s="122">
        <v>346263</v>
      </c>
      <c r="M488" s="122">
        <v>298524</v>
      </c>
      <c r="N488" s="122">
        <v>163528</v>
      </c>
      <c r="O488" s="122">
        <v>60566</v>
      </c>
      <c r="P488" s="122">
        <v>30699</v>
      </c>
      <c r="Q488" s="122">
        <v>11370</v>
      </c>
      <c r="R488" s="122">
        <v>299580</v>
      </c>
      <c r="S488" s="122">
        <v>272345</v>
      </c>
      <c r="T488" s="122">
        <v>72729</v>
      </c>
      <c r="U488" s="122">
        <v>26937</v>
      </c>
      <c r="V488" s="122">
        <v>2181054</v>
      </c>
      <c r="W488" s="122">
        <f t="shared" si="14"/>
        <v>2181054</v>
      </c>
      <c r="X488" s="122">
        <f t="shared" si="15"/>
        <v>2575243</v>
      </c>
      <c r="Y488" s="122"/>
      <c r="AA488" t="s">
        <v>54</v>
      </c>
      <c r="AB488" t="s">
        <v>405</v>
      </c>
      <c r="AC488" t="s">
        <v>426</v>
      </c>
      <c r="AD488" t="s">
        <v>405</v>
      </c>
      <c r="AE488" t="s">
        <v>137</v>
      </c>
      <c r="AF488">
        <v>51</v>
      </c>
      <c r="AG488" s="122">
        <v>12426</v>
      </c>
      <c r="AH488" s="122">
        <v>7119</v>
      </c>
      <c r="AI488" s="122">
        <v>1041101</v>
      </c>
      <c r="AJ488" s="122">
        <v>946455</v>
      </c>
      <c r="AK488">
        <v>89</v>
      </c>
      <c r="AL488" s="122">
        <v>214799</v>
      </c>
      <c r="AM488" s="122">
        <v>195272</v>
      </c>
      <c r="AN488" s="122">
        <v>252899</v>
      </c>
      <c r="AO488" s="122">
        <v>93666</v>
      </c>
      <c r="AP488" s="122">
        <v>34705</v>
      </c>
      <c r="AQ488" s="122">
        <v>12854</v>
      </c>
      <c r="AR488" s="122">
        <v>274959</v>
      </c>
      <c r="AS488" s="122">
        <v>249962</v>
      </c>
      <c r="AT488" s="122">
        <v>57226</v>
      </c>
      <c r="AU488" s="122">
        <v>21195</v>
      </c>
      <c r="AV488" s="122">
        <v>1519404</v>
      </c>
    </row>
    <row r="489" spans="2:48" hidden="1">
      <c r="B489" t="s">
        <v>365</v>
      </c>
      <c r="C489" t="s">
        <v>60</v>
      </c>
      <c r="D489" t="s">
        <v>405</v>
      </c>
      <c r="E489" t="s">
        <v>137</v>
      </c>
      <c r="F489" s="122">
        <v>1</v>
      </c>
      <c r="G489" s="122">
        <v>153</v>
      </c>
      <c r="H489" s="122">
        <v>367</v>
      </c>
      <c r="I489" s="122">
        <v>39028</v>
      </c>
      <c r="J489" s="122">
        <v>35480</v>
      </c>
      <c r="K489">
        <v>73</v>
      </c>
      <c r="L489" s="122">
        <v>5016</v>
      </c>
      <c r="M489" s="122">
        <v>4560</v>
      </c>
      <c r="N489" s="122">
        <v>3531</v>
      </c>
      <c r="O489" s="122">
        <v>1308</v>
      </c>
      <c r="P489" s="122">
        <v>473</v>
      </c>
      <c r="Q489" s="122">
        <v>175</v>
      </c>
      <c r="R489" s="122">
        <v>7884</v>
      </c>
      <c r="S489" s="122">
        <v>2920</v>
      </c>
      <c r="T489" s="122">
        <v>0</v>
      </c>
      <c r="U489" s="122">
        <v>0</v>
      </c>
      <c r="V489" s="122">
        <v>44443</v>
      </c>
      <c r="W489" s="122">
        <f t="shared" si="14"/>
        <v>44443</v>
      </c>
      <c r="X489" s="122">
        <f t="shared" si="15"/>
        <v>55932</v>
      </c>
      <c r="Y489" s="122"/>
      <c r="AA489" t="s">
        <v>54</v>
      </c>
      <c r="AB489" t="s">
        <v>405</v>
      </c>
      <c r="AC489" t="s">
        <v>426</v>
      </c>
      <c r="AD489" t="s">
        <v>405</v>
      </c>
      <c r="AE489" t="s">
        <v>566</v>
      </c>
      <c r="AF489">
        <v>299</v>
      </c>
      <c r="AG489" s="122">
        <v>58620</v>
      </c>
      <c r="AH489" s="122">
        <v>41993</v>
      </c>
      <c r="AI489" s="122">
        <v>4790689</v>
      </c>
      <c r="AJ489" s="122">
        <v>4355171</v>
      </c>
      <c r="AK489">
        <v>89</v>
      </c>
      <c r="AL489" s="122">
        <v>1048224</v>
      </c>
      <c r="AM489" s="122">
        <v>952931</v>
      </c>
      <c r="AN489" s="122">
        <v>1131474</v>
      </c>
      <c r="AO489" s="122">
        <v>419065</v>
      </c>
      <c r="AP489" s="122">
        <v>174343</v>
      </c>
      <c r="AQ489" s="122">
        <v>64572</v>
      </c>
      <c r="AR489" s="122">
        <v>1606075</v>
      </c>
      <c r="AS489" s="122">
        <v>1460068</v>
      </c>
      <c r="AT489">
        <v>0</v>
      </c>
      <c r="AU489">
        <v>0</v>
      </c>
      <c r="AV489" s="122">
        <v>7251806</v>
      </c>
    </row>
    <row r="490" spans="2:48" hidden="1">
      <c r="B490" t="s">
        <v>365</v>
      </c>
      <c r="C490" t="s">
        <v>60</v>
      </c>
      <c r="D490" t="s">
        <v>405</v>
      </c>
      <c r="E490" t="s">
        <v>406</v>
      </c>
      <c r="F490">
        <v>1</v>
      </c>
      <c r="G490" s="122">
        <v>91</v>
      </c>
      <c r="H490" s="122">
        <v>324</v>
      </c>
      <c r="I490" s="122">
        <v>19789</v>
      </c>
      <c r="J490" s="122">
        <v>17990</v>
      </c>
      <c r="K490">
        <v>87</v>
      </c>
      <c r="L490" s="122">
        <v>3188</v>
      </c>
      <c r="M490" s="122">
        <v>2898</v>
      </c>
      <c r="N490" s="122">
        <v>1970</v>
      </c>
      <c r="O490" s="122">
        <v>730</v>
      </c>
      <c r="P490" s="122">
        <v>621</v>
      </c>
      <c r="Q490" s="122">
        <v>230</v>
      </c>
      <c r="R490" s="122">
        <v>4059</v>
      </c>
      <c r="S490" s="122">
        <v>3690</v>
      </c>
      <c r="T490" s="122">
        <v>0</v>
      </c>
      <c r="U490" s="122">
        <v>0</v>
      </c>
      <c r="V490" s="122">
        <v>25538</v>
      </c>
      <c r="W490" s="122">
        <f t="shared" si="14"/>
        <v>25538</v>
      </c>
      <c r="X490" s="122">
        <f t="shared" si="15"/>
        <v>29627</v>
      </c>
      <c r="Y490" s="122"/>
      <c r="AA490" t="s">
        <v>54</v>
      </c>
      <c r="AB490" t="s">
        <v>405</v>
      </c>
      <c r="AC490" t="s">
        <v>426</v>
      </c>
      <c r="AD490" t="s">
        <v>137</v>
      </c>
      <c r="AE490" t="s">
        <v>566</v>
      </c>
      <c r="AF490">
        <v>3</v>
      </c>
      <c r="AG490">
        <v>566</v>
      </c>
      <c r="AH490">
        <v>428</v>
      </c>
      <c r="AI490" s="122">
        <v>46898</v>
      </c>
      <c r="AJ490" s="122">
        <v>42635</v>
      </c>
      <c r="AK490">
        <v>84</v>
      </c>
      <c r="AL490" s="122">
        <v>6413</v>
      </c>
      <c r="AM490" s="122">
        <v>5830</v>
      </c>
      <c r="AN490" s="122">
        <v>8854</v>
      </c>
      <c r="AO490" s="122">
        <v>3279</v>
      </c>
      <c r="AP490" s="122">
        <v>2120</v>
      </c>
      <c r="AQ490">
        <v>785</v>
      </c>
      <c r="AR490" s="122">
        <v>19751</v>
      </c>
      <c r="AS490" s="122">
        <v>7315</v>
      </c>
      <c r="AT490">
        <v>0</v>
      </c>
      <c r="AU490">
        <v>0</v>
      </c>
      <c r="AV490" s="122">
        <v>59844</v>
      </c>
    </row>
    <row r="491" spans="2:48" hidden="1">
      <c r="B491" t="s">
        <v>365</v>
      </c>
      <c r="C491" t="s">
        <v>60</v>
      </c>
      <c r="D491" t="s">
        <v>137</v>
      </c>
      <c r="E491" t="s">
        <v>137</v>
      </c>
      <c r="F491" s="122">
        <v>191</v>
      </c>
      <c r="G491" s="122">
        <v>21555</v>
      </c>
      <c r="H491" s="122">
        <v>65293</v>
      </c>
      <c r="I491" s="122">
        <v>4926152</v>
      </c>
      <c r="J491" s="122">
        <v>1824501</v>
      </c>
      <c r="K491">
        <v>103</v>
      </c>
      <c r="L491" s="122">
        <v>725574</v>
      </c>
      <c r="M491" s="122">
        <v>592250</v>
      </c>
      <c r="N491" s="122">
        <v>469070</v>
      </c>
      <c r="O491" s="122">
        <v>173729</v>
      </c>
      <c r="P491" s="122">
        <v>6898</v>
      </c>
      <c r="Q491" s="122">
        <v>2555</v>
      </c>
      <c r="R491" s="122">
        <v>1547159</v>
      </c>
      <c r="S491" s="122">
        <v>573022</v>
      </c>
      <c r="T491" s="122">
        <v>11353</v>
      </c>
      <c r="U491" s="122">
        <v>4205</v>
      </c>
      <c r="V491" s="122">
        <v>3170262</v>
      </c>
      <c r="W491" s="122">
        <f t="shared" si="14"/>
        <v>3170262</v>
      </c>
      <c r="X491" s="122">
        <f t="shared" si="15"/>
        <v>7686206</v>
      </c>
      <c r="Y491" s="122"/>
      <c r="AA491" t="s">
        <v>54</v>
      </c>
      <c r="AB491" t="s">
        <v>405</v>
      </c>
      <c r="AC491" t="s">
        <v>426</v>
      </c>
      <c r="AD491" t="s">
        <v>407</v>
      </c>
      <c r="AE491" t="s">
        <v>566</v>
      </c>
      <c r="AF491">
        <v>2</v>
      </c>
      <c r="AG491" s="122">
        <v>349</v>
      </c>
      <c r="AH491" s="122">
        <v>288</v>
      </c>
      <c r="AI491" s="122">
        <v>32373</v>
      </c>
      <c r="AJ491" s="122">
        <v>29430</v>
      </c>
      <c r="AK491">
        <v>85</v>
      </c>
      <c r="AL491" s="122">
        <v>8465</v>
      </c>
      <c r="AM491" s="122">
        <v>7695</v>
      </c>
      <c r="AN491" s="122">
        <v>6044</v>
      </c>
      <c r="AO491" s="122">
        <v>2238</v>
      </c>
      <c r="AP491" s="122">
        <v>1296</v>
      </c>
      <c r="AQ491" s="122">
        <v>480</v>
      </c>
      <c r="AR491" s="122">
        <v>12366</v>
      </c>
      <c r="AS491" s="122">
        <v>11242</v>
      </c>
      <c r="AT491" s="122">
        <v>0</v>
      </c>
      <c r="AU491" s="122">
        <v>0</v>
      </c>
      <c r="AV491" s="122">
        <v>51086</v>
      </c>
    </row>
    <row r="492" spans="2:48" hidden="1">
      <c r="B492" t="s">
        <v>365</v>
      </c>
      <c r="C492" t="s">
        <v>60</v>
      </c>
      <c r="D492" t="s">
        <v>137</v>
      </c>
      <c r="E492" t="s">
        <v>406</v>
      </c>
      <c r="F492">
        <v>4</v>
      </c>
      <c r="G492">
        <v>514</v>
      </c>
      <c r="H492" s="122">
        <v>1371</v>
      </c>
      <c r="I492" s="122">
        <v>113978</v>
      </c>
      <c r="J492" s="122">
        <v>42214</v>
      </c>
      <c r="K492">
        <v>100</v>
      </c>
      <c r="L492" s="122">
        <v>18166</v>
      </c>
      <c r="M492" s="122">
        <v>17946</v>
      </c>
      <c r="N492" s="122">
        <v>12515</v>
      </c>
      <c r="O492" s="122">
        <v>4635</v>
      </c>
      <c r="P492" s="122">
        <v>540</v>
      </c>
      <c r="Q492">
        <v>200</v>
      </c>
      <c r="R492" s="122">
        <v>24198</v>
      </c>
      <c r="S492" s="122">
        <v>21998</v>
      </c>
      <c r="T492" s="122">
        <v>4711</v>
      </c>
      <c r="U492" s="122">
        <v>1745</v>
      </c>
      <c r="V492" s="122">
        <v>88738</v>
      </c>
      <c r="W492" s="122">
        <f t="shared" si="14"/>
        <v>88738</v>
      </c>
      <c r="X492" s="122">
        <f t="shared" si="15"/>
        <v>174108</v>
      </c>
      <c r="Y492" s="122"/>
      <c r="AA492" t="s">
        <v>54</v>
      </c>
      <c r="AB492" t="s">
        <v>405</v>
      </c>
      <c r="AC492" t="s">
        <v>566</v>
      </c>
      <c r="AD492" t="s">
        <v>405</v>
      </c>
      <c r="AE492" t="s">
        <v>137</v>
      </c>
      <c r="AF492">
        <v>12</v>
      </c>
      <c r="AG492" s="122">
        <v>2036</v>
      </c>
      <c r="AH492" s="122">
        <v>1661</v>
      </c>
      <c r="AI492" s="122">
        <v>165182</v>
      </c>
      <c r="AJ492" s="122">
        <v>150165</v>
      </c>
      <c r="AK492">
        <v>84</v>
      </c>
      <c r="AL492">
        <v>0</v>
      </c>
      <c r="AM492" s="122">
        <v>1907</v>
      </c>
      <c r="AN492" s="122">
        <v>44372</v>
      </c>
      <c r="AO492" s="122">
        <v>16434</v>
      </c>
      <c r="AP492" s="122">
        <v>7104</v>
      </c>
      <c r="AQ492" s="122">
        <v>2631</v>
      </c>
      <c r="AR492" s="122">
        <v>48540</v>
      </c>
      <c r="AS492" s="122">
        <v>44127</v>
      </c>
      <c r="AT492" s="122">
        <v>27937</v>
      </c>
      <c r="AU492" s="122">
        <v>10347</v>
      </c>
      <c r="AV492" s="122">
        <v>225612</v>
      </c>
    </row>
    <row r="493" spans="2:48" hidden="1">
      <c r="B493" t="s">
        <v>365</v>
      </c>
      <c r="C493" t="s">
        <v>60</v>
      </c>
      <c r="D493" t="s">
        <v>137</v>
      </c>
      <c r="E493" t="s">
        <v>407</v>
      </c>
      <c r="F493">
        <v>2</v>
      </c>
      <c r="G493">
        <v>379</v>
      </c>
      <c r="H493">
        <v>635</v>
      </c>
      <c r="I493" s="122">
        <v>96687</v>
      </c>
      <c r="J493" s="122">
        <v>35810</v>
      </c>
      <c r="K493">
        <v>100</v>
      </c>
      <c r="L493" s="122">
        <v>6593</v>
      </c>
      <c r="M493" s="122">
        <v>5994</v>
      </c>
      <c r="N493" s="122">
        <v>8887</v>
      </c>
      <c r="O493" s="122">
        <v>3292</v>
      </c>
      <c r="P493">
        <v>945</v>
      </c>
      <c r="Q493">
        <v>350</v>
      </c>
      <c r="R493" s="122">
        <v>8167</v>
      </c>
      <c r="S493" s="122">
        <v>7425</v>
      </c>
      <c r="T493">
        <v>0</v>
      </c>
      <c r="U493">
        <v>0</v>
      </c>
      <c r="V493" s="122">
        <v>52870</v>
      </c>
      <c r="W493" s="122">
        <f t="shared" si="14"/>
        <v>52871</v>
      </c>
      <c r="X493" s="122">
        <f t="shared" si="15"/>
        <v>121279</v>
      </c>
      <c r="Y493" s="122"/>
      <c r="AA493" t="s">
        <v>54</v>
      </c>
      <c r="AB493" t="s">
        <v>405</v>
      </c>
      <c r="AC493" t="s">
        <v>566</v>
      </c>
      <c r="AD493" t="s">
        <v>405</v>
      </c>
      <c r="AE493" t="s">
        <v>566</v>
      </c>
      <c r="AF493">
        <v>35</v>
      </c>
      <c r="AG493" s="122">
        <v>5350</v>
      </c>
      <c r="AH493" s="122">
        <v>4842</v>
      </c>
      <c r="AI493" s="122">
        <v>484184</v>
      </c>
      <c r="AJ493" s="122">
        <v>440167</v>
      </c>
      <c r="AK493">
        <v>88</v>
      </c>
      <c r="AL493" s="122">
        <v>0</v>
      </c>
      <c r="AM493" s="122">
        <v>2851</v>
      </c>
      <c r="AN493" s="122">
        <v>92597</v>
      </c>
      <c r="AO493" s="122">
        <v>34295</v>
      </c>
      <c r="AP493" s="122">
        <v>20089</v>
      </c>
      <c r="AQ493" s="122">
        <v>7440</v>
      </c>
      <c r="AR493" s="122">
        <v>163913</v>
      </c>
      <c r="AS493" s="122">
        <v>149012</v>
      </c>
      <c r="AT493">
        <v>0</v>
      </c>
      <c r="AU493">
        <v>0</v>
      </c>
      <c r="AV493" s="122">
        <v>633767</v>
      </c>
    </row>
    <row r="494" spans="2:48" hidden="1">
      <c r="B494" t="s">
        <v>365</v>
      </c>
      <c r="C494" t="s">
        <v>60</v>
      </c>
      <c r="D494" t="s">
        <v>137</v>
      </c>
      <c r="E494" t="s">
        <v>426</v>
      </c>
      <c r="F494">
        <v>2</v>
      </c>
      <c r="G494" s="122">
        <v>164</v>
      </c>
      <c r="H494" s="122">
        <v>720</v>
      </c>
      <c r="I494" s="122">
        <v>39150</v>
      </c>
      <c r="J494" s="122">
        <v>14500</v>
      </c>
      <c r="K494">
        <v>100</v>
      </c>
      <c r="L494" s="122">
        <v>3029</v>
      </c>
      <c r="M494" s="122">
        <v>2754</v>
      </c>
      <c r="N494" s="122">
        <v>3994</v>
      </c>
      <c r="O494" s="122">
        <v>1479</v>
      </c>
      <c r="P494" s="122">
        <v>0</v>
      </c>
      <c r="Q494" s="122">
        <v>0</v>
      </c>
      <c r="R494" s="122">
        <v>8789</v>
      </c>
      <c r="S494" s="122">
        <v>7990</v>
      </c>
      <c r="T494" s="122">
        <v>3841</v>
      </c>
      <c r="U494" s="122">
        <v>1423</v>
      </c>
      <c r="V494" s="122">
        <v>28146</v>
      </c>
      <c r="W494" s="122">
        <f t="shared" si="14"/>
        <v>28146</v>
      </c>
      <c r="X494" s="122">
        <f t="shared" si="15"/>
        <v>58803</v>
      </c>
      <c r="Y494" s="122"/>
      <c r="AA494" t="s">
        <v>54</v>
      </c>
      <c r="AB494" t="s">
        <v>405</v>
      </c>
      <c r="AC494" t="s">
        <v>481</v>
      </c>
      <c r="AD494" t="s">
        <v>405</v>
      </c>
      <c r="AE494" t="s">
        <v>137</v>
      </c>
      <c r="AF494">
        <v>1</v>
      </c>
      <c r="AG494">
        <v>236</v>
      </c>
      <c r="AH494">
        <v>150</v>
      </c>
      <c r="AI494" s="122">
        <v>17961</v>
      </c>
      <c r="AJ494" s="122">
        <v>16328</v>
      </c>
      <c r="AK494">
        <v>90</v>
      </c>
      <c r="AL494" s="122">
        <v>6000</v>
      </c>
      <c r="AM494" s="122">
        <v>5455</v>
      </c>
      <c r="AN494" s="122">
        <v>4688</v>
      </c>
      <c r="AO494" s="122">
        <v>1736</v>
      </c>
      <c r="AP494">
        <v>473</v>
      </c>
      <c r="AQ494">
        <v>175</v>
      </c>
      <c r="AR494" s="122">
        <v>6170</v>
      </c>
      <c r="AS494" s="122">
        <v>5609</v>
      </c>
      <c r="AT494">
        <v>0</v>
      </c>
      <c r="AU494">
        <v>0</v>
      </c>
      <c r="AV494" s="122">
        <v>29304</v>
      </c>
    </row>
    <row r="495" spans="2:48" hidden="1">
      <c r="B495" t="s">
        <v>365</v>
      </c>
      <c r="C495" t="s">
        <v>60</v>
      </c>
      <c r="D495" t="s">
        <v>137</v>
      </c>
      <c r="E495" t="s">
        <v>433</v>
      </c>
      <c r="F495">
        <v>2</v>
      </c>
      <c r="G495" s="122">
        <v>257</v>
      </c>
      <c r="H495" s="122">
        <v>696</v>
      </c>
      <c r="I495" s="122">
        <v>55154</v>
      </c>
      <c r="J495" s="122">
        <v>20427</v>
      </c>
      <c r="K495">
        <v>100</v>
      </c>
      <c r="L495" s="122">
        <v>8294</v>
      </c>
      <c r="M495" s="122">
        <v>7540</v>
      </c>
      <c r="N495" s="122">
        <v>4843</v>
      </c>
      <c r="O495" s="122">
        <v>1794</v>
      </c>
      <c r="P495" s="122">
        <v>0</v>
      </c>
      <c r="Q495" s="122">
        <v>0</v>
      </c>
      <c r="R495" s="122">
        <v>13361</v>
      </c>
      <c r="S495" s="122">
        <v>12146</v>
      </c>
      <c r="T495" s="122">
        <v>7333</v>
      </c>
      <c r="U495" s="122">
        <v>2716</v>
      </c>
      <c r="V495" s="122">
        <v>44623</v>
      </c>
      <c r="W495" s="122">
        <f t="shared" si="14"/>
        <v>44623</v>
      </c>
      <c r="X495" s="122">
        <f t="shared" si="15"/>
        <v>88985</v>
      </c>
      <c r="Y495" s="122"/>
      <c r="AA495" t="s">
        <v>54</v>
      </c>
      <c r="AB495" t="s">
        <v>405</v>
      </c>
      <c r="AC495" t="s">
        <v>433</v>
      </c>
      <c r="AD495" t="s">
        <v>425</v>
      </c>
      <c r="AE495" t="s">
        <v>566</v>
      </c>
      <c r="AF495">
        <v>1</v>
      </c>
      <c r="AG495">
        <v>400</v>
      </c>
      <c r="AH495">
        <v>132</v>
      </c>
      <c r="AI495" s="122">
        <v>30819</v>
      </c>
      <c r="AJ495" s="122">
        <v>28017</v>
      </c>
      <c r="AK495">
        <v>78</v>
      </c>
      <c r="AL495" s="122">
        <v>3904</v>
      </c>
      <c r="AM495" s="122">
        <v>3549</v>
      </c>
      <c r="AN495" s="122">
        <v>9736</v>
      </c>
      <c r="AO495" s="122">
        <v>3606</v>
      </c>
      <c r="AP495" s="122">
        <v>473</v>
      </c>
      <c r="AQ495" s="122">
        <v>175</v>
      </c>
      <c r="AR495" s="122">
        <v>7917</v>
      </c>
      <c r="AS495" s="122">
        <v>7197</v>
      </c>
      <c r="AT495">
        <v>0</v>
      </c>
      <c r="AU495">
        <v>0</v>
      </c>
      <c r="AV495" s="122">
        <v>42544</v>
      </c>
    </row>
    <row r="496" spans="2:48" hidden="1">
      <c r="B496" t="s">
        <v>365</v>
      </c>
      <c r="C496" t="s">
        <v>60</v>
      </c>
      <c r="D496" t="s">
        <v>406</v>
      </c>
      <c r="E496" t="s">
        <v>405</v>
      </c>
      <c r="F496">
        <v>1</v>
      </c>
      <c r="G496">
        <v>434</v>
      </c>
      <c r="H496" s="122">
        <v>311</v>
      </c>
      <c r="I496" s="122">
        <v>102431</v>
      </c>
      <c r="J496" s="122">
        <v>93119</v>
      </c>
      <c r="K496">
        <v>85</v>
      </c>
      <c r="L496" s="122">
        <v>14200</v>
      </c>
      <c r="M496" s="122">
        <v>12909</v>
      </c>
      <c r="N496" s="122">
        <v>9892</v>
      </c>
      <c r="O496" s="122">
        <v>3664</v>
      </c>
      <c r="P496" s="122">
        <v>621</v>
      </c>
      <c r="Q496" s="122">
        <v>230</v>
      </c>
      <c r="R496" s="122">
        <v>7936</v>
      </c>
      <c r="S496" s="122">
        <v>7214</v>
      </c>
      <c r="T496" s="122">
        <v>0</v>
      </c>
      <c r="U496" s="122">
        <v>0</v>
      </c>
      <c r="V496" s="122">
        <v>117137</v>
      </c>
      <c r="W496" s="122">
        <f t="shared" si="14"/>
        <v>117136</v>
      </c>
      <c r="X496" s="122">
        <f t="shared" si="15"/>
        <v>135080</v>
      </c>
      <c r="Y496" s="122"/>
      <c r="AA496" t="s">
        <v>54</v>
      </c>
      <c r="AB496" t="s">
        <v>405</v>
      </c>
      <c r="AC496" t="s">
        <v>433</v>
      </c>
      <c r="AD496" t="s">
        <v>405</v>
      </c>
      <c r="AE496" t="s">
        <v>137</v>
      </c>
      <c r="AF496">
        <v>6</v>
      </c>
      <c r="AG496" s="122">
        <v>875</v>
      </c>
      <c r="AH496" s="122">
        <v>812</v>
      </c>
      <c r="AI496" s="122">
        <v>68876</v>
      </c>
      <c r="AJ496" s="122">
        <v>62615</v>
      </c>
      <c r="AK496">
        <v>88</v>
      </c>
      <c r="AL496" s="122">
        <v>13118</v>
      </c>
      <c r="AM496" s="122">
        <v>11926</v>
      </c>
      <c r="AN496" s="122">
        <v>16610</v>
      </c>
      <c r="AO496" s="122">
        <v>6152</v>
      </c>
      <c r="AP496" s="122">
        <v>2835</v>
      </c>
      <c r="AQ496" s="122">
        <v>1050</v>
      </c>
      <c r="AR496" s="122">
        <v>28735</v>
      </c>
      <c r="AS496" s="122">
        <v>26123</v>
      </c>
      <c r="AT496">
        <v>0</v>
      </c>
      <c r="AU496">
        <v>0</v>
      </c>
      <c r="AV496" s="122">
        <v>107866</v>
      </c>
    </row>
    <row r="497" spans="2:48" hidden="1">
      <c r="B497" t="s">
        <v>365</v>
      </c>
      <c r="C497" t="s">
        <v>60</v>
      </c>
      <c r="D497" t="s">
        <v>406</v>
      </c>
      <c r="E497" t="s">
        <v>137</v>
      </c>
      <c r="F497">
        <v>36</v>
      </c>
      <c r="G497" s="122">
        <v>4076</v>
      </c>
      <c r="H497" s="122">
        <v>12386</v>
      </c>
      <c r="I497" s="122">
        <v>898033</v>
      </c>
      <c r="J497" s="122">
        <v>816394</v>
      </c>
      <c r="K497">
        <v>82</v>
      </c>
      <c r="L497" s="122">
        <v>182365</v>
      </c>
      <c r="M497" s="122">
        <v>156715</v>
      </c>
      <c r="N497" s="122">
        <v>90035</v>
      </c>
      <c r="O497" s="122">
        <v>33346</v>
      </c>
      <c r="P497" s="122">
        <v>22850</v>
      </c>
      <c r="Q497" s="122">
        <v>8463</v>
      </c>
      <c r="R497" s="122">
        <v>267832</v>
      </c>
      <c r="S497" s="122">
        <v>99197</v>
      </c>
      <c r="T497" s="122">
        <v>2612</v>
      </c>
      <c r="U497" s="122">
        <v>967</v>
      </c>
      <c r="V497" s="122">
        <v>1115082</v>
      </c>
      <c r="W497" s="122">
        <f t="shared" si="14"/>
        <v>1115082</v>
      </c>
      <c r="X497" s="122">
        <f t="shared" si="15"/>
        <v>1463727</v>
      </c>
      <c r="Y497" s="122"/>
      <c r="AA497" t="s">
        <v>54</v>
      </c>
      <c r="AB497" t="s">
        <v>405</v>
      </c>
      <c r="AC497" t="s">
        <v>433</v>
      </c>
      <c r="AD497" t="s">
        <v>405</v>
      </c>
      <c r="AE497" t="s">
        <v>566</v>
      </c>
      <c r="AF497">
        <v>23</v>
      </c>
      <c r="AG497" s="122">
        <v>3899</v>
      </c>
      <c r="AH497" s="122">
        <v>3270</v>
      </c>
      <c r="AI497" s="122">
        <v>378319</v>
      </c>
      <c r="AJ497" s="122">
        <v>343927</v>
      </c>
      <c r="AK497">
        <v>90</v>
      </c>
      <c r="AL497" s="122">
        <v>66842</v>
      </c>
      <c r="AM497" s="122">
        <v>60765</v>
      </c>
      <c r="AN497" s="122">
        <v>73362</v>
      </c>
      <c r="AO497" s="122">
        <v>27171</v>
      </c>
      <c r="AP497" s="122">
        <v>18791</v>
      </c>
      <c r="AQ497" s="122">
        <v>6960</v>
      </c>
      <c r="AR497" s="122">
        <v>104958</v>
      </c>
      <c r="AS497" s="122">
        <v>95416</v>
      </c>
      <c r="AT497">
        <v>0</v>
      </c>
      <c r="AU497">
        <v>0</v>
      </c>
      <c r="AV497" s="122">
        <v>534239</v>
      </c>
    </row>
    <row r="498" spans="2:48" hidden="1">
      <c r="B498" t="s">
        <v>365</v>
      </c>
      <c r="C498" t="s">
        <v>60</v>
      </c>
      <c r="D498" t="s">
        <v>406</v>
      </c>
      <c r="E498" t="s">
        <v>406</v>
      </c>
      <c r="F498" s="122">
        <v>1942</v>
      </c>
      <c r="G498" s="122">
        <v>248743</v>
      </c>
      <c r="H498" s="122">
        <v>654814</v>
      </c>
      <c r="I498" s="122">
        <v>53270285</v>
      </c>
      <c r="J498" s="122">
        <v>48427532</v>
      </c>
      <c r="K498">
        <v>77</v>
      </c>
      <c r="L498" s="122">
        <v>11273321</v>
      </c>
      <c r="M498" s="122">
        <v>9916591</v>
      </c>
      <c r="N498" s="122">
        <v>5299480</v>
      </c>
      <c r="O498" s="122">
        <v>1962770</v>
      </c>
      <c r="P498" s="122">
        <v>1256722</v>
      </c>
      <c r="Q498" s="122">
        <v>465453</v>
      </c>
      <c r="R498" s="122">
        <v>10647540</v>
      </c>
      <c r="S498" s="122">
        <v>9679582</v>
      </c>
      <c r="T498" s="122">
        <v>2997773</v>
      </c>
      <c r="U498" s="122">
        <v>1110286</v>
      </c>
      <c r="V498" s="122">
        <v>71562214</v>
      </c>
      <c r="W498" s="122">
        <f t="shared" si="14"/>
        <v>71562214</v>
      </c>
      <c r="X498" s="122">
        <f t="shared" si="15"/>
        <v>84745121</v>
      </c>
      <c r="Y498" s="122"/>
      <c r="AA498" t="s">
        <v>54</v>
      </c>
      <c r="AB498" t="s">
        <v>405</v>
      </c>
      <c r="AC498" t="s">
        <v>433</v>
      </c>
      <c r="AD498" t="s">
        <v>137</v>
      </c>
      <c r="AE498" t="s">
        <v>566</v>
      </c>
      <c r="AF498">
        <v>1</v>
      </c>
      <c r="AG498">
        <v>160</v>
      </c>
      <c r="AH498">
        <v>139</v>
      </c>
      <c r="AI498" s="122">
        <v>10038</v>
      </c>
      <c r="AJ498" s="122">
        <v>9125</v>
      </c>
      <c r="AK498">
        <v>91</v>
      </c>
      <c r="AL498" s="122">
        <v>1217</v>
      </c>
      <c r="AM498" s="122">
        <v>1106</v>
      </c>
      <c r="AN498" s="122">
        <v>3228</v>
      </c>
      <c r="AO498" s="122">
        <v>1196</v>
      </c>
      <c r="AP498">
        <v>473</v>
      </c>
      <c r="AQ498">
        <v>175</v>
      </c>
      <c r="AR498" s="122">
        <v>7192</v>
      </c>
      <c r="AS498" s="122">
        <v>2664</v>
      </c>
      <c r="AT498">
        <v>0</v>
      </c>
      <c r="AU498">
        <v>0</v>
      </c>
      <c r="AV498" s="122">
        <v>14266</v>
      </c>
    </row>
    <row r="499" spans="2:48" hidden="1">
      <c r="B499" t="s">
        <v>365</v>
      </c>
      <c r="C499" t="s">
        <v>60</v>
      </c>
      <c r="D499" t="s">
        <v>406</v>
      </c>
      <c r="E499" t="s">
        <v>407</v>
      </c>
      <c r="F499">
        <v>1</v>
      </c>
      <c r="G499" s="122">
        <v>138</v>
      </c>
      <c r="H499" s="122">
        <v>329</v>
      </c>
      <c r="I499" s="122">
        <v>30354</v>
      </c>
      <c r="J499" s="122">
        <v>27595</v>
      </c>
      <c r="K499">
        <v>86</v>
      </c>
      <c r="L499" s="122">
        <v>5491</v>
      </c>
      <c r="M499" s="122">
        <v>4992</v>
      </c>
      <c r="N499" s="122">
        <v>2943</v>
      </c>
      <c r="O499" s="122">
        <v>1090</v>
      </c>
      <c r="P499" s="122">
        <v>621</v>
      </c>
      <c r="Q499" s="122">
        <v>230</v>
      </c>
      <c r="R499" s="122">
        <v>3584</v>
      </c>
      <c r="S499" s="122">
        <v>3258</v>
      </c>
      <c r="T499" s="122">
        <v>2440</v>
      </c>
      <c r="U499" s="122">
        <v>904</v>
      </c>
      <c r="V499" s="122">
        <v>38068</v>
      </c>
      <c r="W499" s="122">
        <f t="shared" si="14"/>
        <v>38069</v>
      </c>
      <c r="X499" s="122">
        <f t="shared" si="15"/>
        <v>45433</v>
      </c>
      <c r="Y499" s="122"/>
      <c r="AA499" t="s">
        <v>54</v>
      </c>
      <c r="AB499" t="s">
        <v>405</v>
      </c>
      <c r="AC499" t="s">
        <v>433</v>
      </c>
      <c r="AD499" t="s">
        <v>406</v>
      </c>
      <c r="AE499" t="s">
        <v>566</v>
      </c>
      <c r="AF499">
        <v>1</v>
      </c>
      <c r="AG499">
        <v>227</v>
      </c>
      <c r="AH499">
        <v>144</v>
      </c>
      <c r="AI499" s="122">
        <v>19665</v>
      </c>
      <c r="AJ499" s="122">
        <v>17877</v>
      </c>
      <c r="AK499">
        <v>90</v>
      </c>
      <c r="AL499" s="122">
        <v>3117</v>
      </c>
      <c r="AM499" s="122">
        <v>2834</v>
      </c>
      <c r="AN499" s="122">
        <v>4288</v>
      </c>
      <c r="AO499" s="122">
        <v>1588</v>
      </c>
      <c r="AP499">
        <v>473</v>
      </c>
      <c r="AQ499">
        <v>175</v>
      </c>
      <c r="AR499" s="122">
        <v>5040</v>
      </c>
      <c r="AS499" s="122">
        <v>4582</v>
      </c>
      <c r="AT499">
        <v>0</v>
      </c>
      <c r="AU499">
        <v>0</v>
      </c>
      <c r="AV499" s="122">
        <v>27056</v>
      </c>
    </row>
    <row r="500" spans="2:48" hidden="1">
      <c r="B500" t="s">
        <v>365</v>
      </c>
      <c r="C500" t="s">
        <v>60</v>
      </c>
      <c r="D500" t="s">
        <v>406</v>
      </c>
      <c r="E500" t="s">
        <v>426</v>
      </c>
      <c r="F500">
        <v>2</v>
      </c>
      <c r="G500" s="122">
        <v>578</v>
      </c>
      <c r="H500" s="122">
        <v>728</v>
      </c>
      <c r="I500" s="122">
        <v>155775</v>
      </c>
      <c r="J500" s="122">
        <v>141614</v>
      </c>
      <c r="K500">
        <v>75</v>
      </c>
      <c r="L500" s="122">
        <v>18694</v>
      </c>
      <c r="M500" s="122">
        <v>16994</v>
      </c>
      <c r="N500" s="122">
        <v>11960</v>
      </c>
      <c r="O500" s="122">
        <v>4430</v>
      </c>
      <c r="P500" s="122">
        <v>1242</v>
      </c>
      <c r="Q500" s="122">
        <v>460</v>
      </c>
      <c r="R500" s="122">
        <v>15105</v>
      </c>
      <c r="S500" s="122">
        <v>13732</v>
      </c>
      <c r="T500" s="122">
        <v>9368</v>
      </c>
      <c r="U500" s="122">
        <v>3470</v>
      </c>
      <c r="V500" s="122">
        <v>180699</v>
      </c>
      <c r="W500" s="122">
        <f t="shared" si="14"/>
        <v>180700</v>
      </c>
      <c r="X500" s="122">
        <f t="shared" si="15"/>
        <v>212144</v>
      </c>
      <c r="Y500" s="122"/>
      <c r="AA500" t="s">
        <v>54</v>
      </c>
      <c r="AB500" t="s">
        <v>405</v>
      </c>
      <c r="AC500" t="s">
        <v>408</v>
      </c>
      <c r="AD500" t="s">
        <v>405</v>
      </c>
      <c r="AE500" t="s">
        <v>566</v>
      </c>
      <c r="AF500">
        <v>1</v>
      </c>
      <c r="AG500">
        <v>231</v>
      </c>
      <c r="AH500">
        <v>149</v>
      </c>
      <c r="AI500" s="122">
        <v>26763</v>
      </c>
      <c r="AJ500" s="122">
        <v>24330</v>
      </c>
      <c r="AK500">
        <v>92</v>
      </c>
      <c r="AL500" s="122">
        <v>3315</v>
      </c>
      <c r="AM500" s="122">
        <v>3014</v>
      </c>
      <c r="AN500" s="122">
        <v>2876</v>
      </c>
      <c r="AO500" s="122">
        <v>1065</v>
      </c>
      <c r="AP500">
        <v>824</v>
      </c>
      <c r="AQ500">
        <v>305</v>
      </c>
      <c r="AR500" s="122">
        <v>802</v>
      </c>
      <c r="AS500" s="122">
        <v>729</v>
      </c>
      <c r="AT500" s="122">
        <v>0</v>
      </c>
      <c r="AU500" s="122">
        <v>0</v>
      </c>
      <c r="AV500" s="122">
        <v>29443</v>
      </c>
    </row>
    <row r="501" spans="2:48" hidden="1">
      <c r="B501" t="s">
        <v>365</v>
      </c>
      <c r="C501" t="s">
        <v>60</v>
      </c>
      <c r="D501" t="s">
        <v>427</v>
      </c>
      <c r="E501" t="s">
        <v>137</v>
      </c>
      <c r="F501">
        <v>2</v>
      </c>
      <c r="G501">
        <v>197</v>
      </c>
      <c r="H501" s="122">
        <v>691</v>
      </c>
      <c r="I501" s="122">
        <v>42743</v>
      </c>
      <c r="J501" s="122">
        <v>38857</v>
      </c>
      <c r="K501">
        <v>58</v>
      </c>
      <c r="L501" s="122">
        <v>5954</v>
      </c>
      <c r="M501" s="122">
        <v>5413</v>
      </c>
      <c r="N501" s="122">
        <v>3637</v>
      </c>
      <c r="O501" s="122">
        <v>1347</v>
      </c>
      <c r="P501" s="122">
        <v>351</v>
      </c>
      <c r="Q501" s="122">
        <v>130</v>
      </c>
      <c r="R501" s="122">
        <v>13944</v>
      </c>
      <c r="S501" s="122">
        <v>5165</v>
      </c>
      <c r="T501" s="122">
        <v>0</v>
      </c>
      <c r="U501" s="122">
        <v>0</v>
      </c>
      <c r="V501" s="122">
        <v>50912</v>
      </c>
      <c r="W501" s="122">
        <f t="shared" si="14"/>
        <v>50912</v>
      </c>
      <c r="X501" s="122">
        <f t="shared" si="15"/>
        <v>66629</v>
      </c>
      <c r="Y501" s="122"/>
      <c r="AA501" t="s">
        <v>54</v>
      </c>
      <c r="AB501" t="s">
        <v>405</v>
      </c>
      <c r="AC501" t="s">
        <v>429</v>
      </c>
      <c r="AD501" t="s">
        <v>405</v>
      </c>
      <c r="AE501" t="s">
        <v>137</v>
      </c>
      <c r="AF501">
        <v>1</v>
      </c>
      <c r="AG501" s="122">
        <v>136</v>
      </c>
      <c r="AH501">
        <v>149</v>
      </c>
      <c r="AI501" s="122">
        <v>12378</v>
      </c>
      <c r="AJ501" s="122">
        <v>11253</v>
      </c>
      <c r="AK501">
        <v>81</v>
      </c>
      <c r="AL501" s="122">
        <v>1718</v>
      </c>
      <c r="AM501" s="122">
        <v>1562</v>
      </c>
      <c r="AN501" s="122">
        <v>2906</v>
      </c>
      <c r="AO501" s="122">
        <v>1076</v>
      </c>
      <c r="AP501" s="122">
        <v>473</v>
      </c>
      <c r="AQ501" s="122">
        <v>175</v>
      </c>
      <c r="AR501" s="122">
        <v>3730</v>
      </c>
      <c r="AS501" s="122">
        <v>3391</v>
      </c>
      <c r="AT501" s="122">
        <v>3118</v>
      </c>
      <c r="AU501" s="122">
        <v>1155</v>
      </c>
      <c r="AV501" s="122">
        <v>18612</v>
      </c>
    </row>
    <row r="502" spans="2:48" hidden="1">
      <c r="B502" t="s">
        <v>365</v>
      </c>
      <c r="C502" t="s">
        <v>60</v>
      </c>
      <c r="D502" t="s">
        <v>427</v>
      </c>
      <c r="E502" t="s">
        <v>406</v>
      </c>
      <c r="F502">
        <v>1</v>
      </c>
      <c r="G502">
        <v>103</v>
      </c>
      <c r="H502" s="122">
        <v>332</v>
      </c>
      <c r="I502" s="122">
        <v>19842</v>
      </c>
      <c r="J502" s="122">
        <v>18038</v>
      </c>
      <c r="K502">
        <v>70</v>
      </c>
      <c r="L502" s="122">
        <v>4887</v>
      </c>
      <c r="M502" s="122">
        <v>4443</v>
      </c>
      <c r="N502" s="122">
        <v>2102</v>
      </c>
      <c r="O502" s="122">
        <v>779</v>
      </c>
      <c r="P502" s="122">
        <v>621</v>
      </c>
      <c r="Q502" s="122">
        <v>230</v>
      </c>
      <c r="R502" s="122">
        <v>6851</v>
      </c>
      <c r="S502" s="122">
        <v>6228</v>
      </c>
      <c r="T502" s="122">
        <v>0</v>
      </c>
      <c r="U502" s="122">
        <v>0</v>
      </c>
      <c r="V502" s="122">
        <v>29718</v>
      </c>
      <c r="W502" s="122">
        <f t="shared" si="14"/>
        <v>29718</v>
      </c>
      <c r="X502" s="122">
        <f t="shared" si="15"/>
        <v>34303</v>
      </c>
      <c r="Y502" s="122"/>
      <c r="AA502" t="s">
        <v>54</v>
      </c>
      <c r="AB502" t="s">
        <v>405</v>
      </c>
      <c r="AC502" t="s">
        <v>429</v>
      </c>
      <c r="AD502" t="s">
        <v>405</v>
      </c>
      <c r="AE502" t="s">
        <v>566</v>
      </c>
      <c r="AF502">
        <v>7</v>
      </c>
      <c r="AG502" s="122">
        <v>1641</v>
      </c>
      <c r="AH502">
        <v>978</v>
      </c>
      <c r="AI502" s="122">
        <v>143132</v>
      </c>
      <c r="AJ502" s="122">
        <v>130120</v>
      </c>
      <c r="AK502">
        <v>90</v>
      </c>
      <c r="AL502" s="122">
        <v>21153</v>
      </c>
      <c r="AM502" s="122">
        <v>19230</v>
      </c>
      <c r="AN502" s="122">
        <v>31145</v>
      </c>
      <c r="AO502" s="122">
        <v>11535</v>
      </c>
      <c r="AP502" s="122">
        <v>4712</v>
      </c>
      <c r="AQ502" s="122">
        <v>1745</v>
      </c>
      <c r="AR502" s="122">
        <v>30006</v>
      </c>
      <c r="AS502" s="122">
        <v>27279</v>
      </c>
      <c r="AT502">
        <v>0</v>
      </c>
      <c r="AU502">
        <v>0</v>
      </c>
      <c r="AV502" s="122">
        <v>189909</v>
      </c>
    </row>
    <row r="503" spans="2:48" hidden="1">
      <c r="B503" t="s">
        <v>365</v>
      </c>
      <c r="C503" t="s">
        <v>60</v>
      </c>
      <c r="D503" t="s">
        <v>427</v>
      </c>
      <c r="E503" t="s">
        <v>427</v>
      </c>
      <c r="F503">
        <v>13</v>
      </c>
      <c r="G503" s="122">
        <v>1309</v>
      </c>
      <c r="H503" s="122">
        <v>4409</v>
      </c>
      <c r="I503" s="122">
        <v>274113</v>
      </c>
      <c r="J503" s="122">
        <v>249194</v>
      </c>
      <c r="K503">
        <v>58</v>
      </c>
      <c r="L503" s="122">
        <v>43263</v>
      </c>
      <c r="M503" s="122">
        <v>33073</v>
      </c>
      <c r="N503" s="122">
        <v>26430</v>
      </c>
      <c r="O503" s="122">
        <v>9789</v>
      </c>
      <c r="P503" s="122">
        <v>4833</v>
      </c>
      <c r="Q503" s="122">
        <v>1790</v>
      </c>
      <c r="R503" s="122">
        <v>72304</v>
      </c>
      <c r="S503" s="122">
        <v>65731</v>
      </c>
      <c r="T503" s="122">
        <v>25261</v>
      </c>
      <c r="U503" s="122">
        <v>9356</v>
      </c>
      <c r="V503" s="122">
        <v>368933</v>
      </c>
      <c r="W503" s="122">
        <f t="shared" si="14"/>
        <v>368933</v>
      </c>
      <c r="X503" s="122">
        <f t="shared" si="15"/>
        <v>446204</v>
      </c>
      <c r="Y503" s="122"/>
      <c r="AA503" t="s">
        <v>54</v>
      </c>
      <c r="AB503" t="s">
        <v>137</v>
      </c>
      <c r="AC503" t="s">
        <v>578</v>
      </c>
      <c r="AD503" t="s">
        <v>137</v>
      </c>
      <c r="AE503" t="s">
        <v>566</v>
      </c>
      <c r="AF503">
        <v>1</v>
      </c>
      <c r="AG503">
        <v>159</v>
      </c>
      <c r="AH503">
        <v>131</v>
      </c>
      <c r="AI503" s="122">
        <v>9319</v>
      </c>
      <c r="AJ503" s="122">
        <v>3452</v>
      </c>
      <c r="AK503">
        <v>250</v>
      </c>
      <c r="AL503" s="122">
        <v>1758</v>
      </c>
      <c r="AM503" s="122">
        <v>1598</v>
      </c>
      <c r="AN503" s="122">
        <v>2863</v>
      </c>
      <c r="AO503" s="122">
        <v>1060</v>
      </c>
      <c r="AP503" s="122">
        <v>351</v>
      </c>
      <c r="AQ503" s="122">
        <v>130</v>
      </c>
      <c r="AR503" s="122">
        <v>6534</v>
      </c>
      <c r="AS503" s="122">
        <v>2420</v>
      </c>
      <c r="AT503">
        <v>0</v>
      </c>
      <c r="AU503">
        <v>0</v>
      </c>
      <c r="AV503" s="122">
        <v>8660</v>
      </c>
    </row>
    <row r="504" spans="2:48" hidden="1">
      <c r="B504" t="s">
        <v>365</v>
      </c>
      <c r="C504" t="s">
        <v>60</v>
      </c>
      <c r="D504" t="s">
        <v>407</v>
      </c>
      <c r="E504" t="s">
        <v>137</v>
      </c>
      <c r="F504">
        <v>4</v>
      </c>
      <c r="G504" s="122">
        <v>384</v>
      </c>
      <c r="H504" s="122">
        <v>1364</v>
      </c>
      <c r="I504" s="122">
        <v>91103</v>
      </c>
      <c r="J504" s="122">
        <v>82821</v>
      </c>
      <c r="K504">
        <v>82</v>
      </c>
      <c r="L504" s="122">
        <v>19374</v>
      </c>
      <c r="M504" s="122">
        <v>17613</v>
      </c>
      <c r="N504" s="122">
        <v>7526</v>
      </c>
      <c r="O504" s="122">
        <v>2787</v>
      </c>
      <c r="P504" s="122">
        <v>1890</v>
      </c>
      <c r="Q504" s="122">
        <v>700</v>
      </c>
      <c r="R504" s="122">
        <v>28101</v>
      </c>
      <c r="S504" s="122">
        <v>10408</v>
      </c>
      <c r="T504" s="122">
        <v>0</v>
      </c>
      <c r="U504" s="122">
        <v>0</v>
      </c>
      <c r="V504" s="122">
        <v>114329</v>
      </c>
      <c r="W504" s="122">
        <f t="shared" si="14"/>
        <v>114329</v>
      </c>
      <c r="X504" s="122">
        <f t="shared" si="15"/>
        <v>147994</v>
      </c>
      <c r="Y504" s="122"/>
      <c r="AA504" t="s">
        <v>54</v>
      </c>
      <c r="AB504" t="s">
        <v>137</v>
      </c>
      <c r="AC504" t="s">
        <v>425</v>
      </c>
      <c r="AD504" t="s">
        <v>137</v>
      </c>
      <c r="AE504" t="s">
        <v>137</v>
      </c>
      <c r="AF504">
        <v>3</v>
      </c>
      <c r="AG504" s="122">
        <v>996</v>
      </c>
      <c r="AH504" s="122">
        <v>427</v>
      </c>
      <c r="AI504" s="122">
        <v>80272</v>
      </c>
      <c r="AJ504" s="122">
        <v>29730</v>
      </c>
      <c r="AK504">
        <v>267</v>
      </c>
      <c r="AL504" s="122">
        <v>9154</v>
      </c>
      <c r="AM504" s="122">
        <v>8321</v>
      </c>
      <c r="AN504" s="122">
        <v>21288</v>
      </c>
      <c r="AO504" s="122">
        <v>7884</v>
      </c>
      <c r="AP504" s="122">
        <v>4236</v>
      </c>
      <c r="AQ504" s="122">
        <v>1569</v>
      </c>
      <c r="AR504" s="122">
        <v>27803</v>
      </c>
      <c r="AS504" s="122">
        <v>10297</v>
      </c>
      <c r="AT504">
        <v>0</v>
      </c>
      <c r="AU504">
        <v>0</v>
      </c>
      <c r="AV504" s="122">
        <v>57802</v>
      </c>
    </row>
    <row r="505" spans="2:48" hidden="1">
      <c r="B505" t="s">
        <v>365</v>
      </c>
      <c r="C505" t="s">
        <v>60</v>
      </c>
      <c r="D505" t="s">
        <v>407</v>
      </c>
      <c r="E505" t="s">
        <v>407</v>
      </c>
      <c r="F505">
        <v>430</v>
      </c>
      <c r="G505" s="122">
        <v>52104</v>
      </c>
      <c r="H505" s="122">
        <v>143156</v>
      </c>
      <c r="I505" s="122">
        <v>10764092</v>
      </c>
      <c r="J505" s="122">
        <v>9785538</v>
      </c>
      <c r="K505">
        <v>78</v>
      </c>
      <c r="L505" s="122">
        <v>2749313</v>
      </c>
      <c r="M505" s="122">
        <v>2346767</v>
      </c>
      <c r="N505" s="122">
        <v>1111875</v>
      </c>
      <c r="O505" s="122">
        <v>411806</v>
      </c>
      <c r="P505" s="122">
        <v>207009</v>
      </c>
      <c r="Q505" s="122">
        <v>76670</v>
      </c>
      <c r="R505" s="122">
        <v>2232017</v>
      </c>
      <c r="S505" s="122">
        <v>2029107</v>
      </c>
      <c r="T505" s="122">
        <v>553308</v>
      </c>
      <c r="U505" s="122">
        <v>204929</v>
      </c>
      <c r="V505" s="122">
        <v>14854816</v>
      </c>
      <c r="W505" s="122">
        <f t="shared" si="14"/>
        <v>14854817</v>
      </c>
      <c r="X505" s="122">
        <f t="shared" si="15"/>
        <v>17617614</v>
      </c>
      <c r="Y505" s="122"/>
      <c r="AA505" t="s">
        <v>54</v>
      </c>
      <c r="AB505" t="s">
        <v>137</v>
      </c>
      <c r="AC505" t="s">
        <v>425</v>
      </c>
      <c r="AD505" t="s">
        <v>137</v>
      </c>
      <c r="AE505" t="s">
        <v>566</v>
      </c>
      <c r="AF505">
        <v>25</v>
      </c>
      <c r="AG505" s="122">
        <v>6054</v>
      </c>
      <c r="AH505" s="122">
        <v>3508</v>
      </c>
      <c r="AI505" s="122">
        <v>378607</v>
      </c>
      <c r="AJ505" s="122">
        <v>140225</v>
      </c>
      <c r="AK505">
        <v>315</v>
      </c>
      <c r="AL505" s="122">
        <v>156836</v>
      </c>
      <c r="AM505" s="122">
        <v>142578</v>
      </c>
      <c r="AN505" s="122">
        <v>140144</v>
      </c>
      <c r="AO505" s="122">
        <v>51905</v>
      </c>
      <c r="AP505" s="122">
        <v>28929</v>
      </c>
      <c r="AQ505" s="122">
        <v>10714</v>
      </c>
      <c r="AR505" s="122">
        <v>228161</v>
      </c>
      <c r="AS505" s="122">
        <v>84504</v>
      </c>
      <c r="AT505">
        <v>0</v>
      </c>
      <c r="AU505">
        <v>0</v>
      </c>
      <c r="AV505" s="122">
        <v>429927</v>
      </c>
    </row>
    <row r="506" spans="2:48" hidden="1">
      <c r="B506" t="s">
        <v>365</v>
      </c>
      <c r="C506" t="s">
        <v>60</v>
      </c>
      <c r="D506" t="s">
        <v>556</v>
      </c>
      <c r="E506" t="s">
        <v>137</v>
      </c>
      <c r="F506">
        <v>1</v>
      </c>
      <c r="G506" s="122">
        <v>56</v>
      </c>
      <c r="H506" s="122">
        <v>378</v>
      </c>
      <c r="I506" s="122">
        <v>11086</v>
      </c>
      <c r="J506" s="122">
        <v>9238</v>
      </c>
      <c r="K506">
        <v>65</v>
      </c>
      <c r="L506" s="122">
        <v>3002</v>
      </c>
      <c r="M506" s="122">
        <v>2502</v>
      </c>
      <c r="N506" s="122">
        <v>1356</v>
      </c>
      <c r="O506" s="122">
        <v>502</v>
      </c>
      <c r="P506" s="122">
        <v>351</v>
      </c>
      <c r="Q506" s="122">
        <v>130</v>
      </c>
      <c r="R506" s="122">
        <v>5270</v>
      </c>
      <c r="S506" s="122">
        <v>1952</v>
      </c>
      <c r="T506" s="122">
        <v>0</v>
      </c>
      <c r="U506" s="122">
        <v>0</v>
      </c>
      <c r="V506" s="122">
        <v>14324</v>
      </c>
      <c r="W506" s="122">
        <f t="shared" si="14"/>
        <v>14324</v>
      </c>
      <c r="X506" s="122">
        <f t="shared" si="15"/>
        <v>21065</v>
      </c>
      <c r="Y506" s="122"/>
      <c r="AA506" t="s">
        <v>54</v>
      </c>
      <c r="AB506" t="s">
        <v>137</v>
      </c>
      <c r="AC506" t="s">
        <v>425</v>
      </c>
      <c r="AD506" t="s">
        <v>406</v>
      </c>
      <c r="AE506" t="s">
        <v>566</v>
      </c>
      <c r="AF506">
        <v>1</v>
      </c>
      <c r="AG506">
        <v>508</v>
      </c>
      <c r="AH506">
        <v>133</v>
      </c>
      <c r="AI506" s="122">
        <v>30647</v>
      </c>
      <c r="AJ506" s="122">
        <v>11351</v>
      </c>
      <c r="AK506">
        <v>351</v>
      </c>
      <c r="AL506" s="122">
        <v>17043</v>
      </c>
      <c r="AM506" s="122">
        <v>15494</v>
      </c>
      <c r="AN506" s="122">
        <v>10466</v>
      </c>
      <c r="AO506" s="122">
        <v>3876</v>
      </c>
      <c r="AP506" s="122">
        <v>1674</v>
      </c>
      <c r="AQ506">
        <v>620</v>
      </c>
      <c r="AR506" s="122">
        <v>7789</v>
      </c>
      <c r="AS506" s="122">
        <v>7081</v>
      </c>
      <c r="AT506" s="122">
        <v>0</v>
      </c>
      <c r="AU506" s="122">
        <v>0</v>
      </c>
      <c r="AV506" s="122">
        <v>38422</v>
      </c>
    </row>
    <row r="507" spans="2:48" hidden="1">
      <c r="B507" t="s">
        <v>365</v>
      </c>
      <c r="C507" t="s">
        <v>60</v>
      </c>
      <c r="D507" t="s">
        <v>556</v>
      </c>
      <c r="E507" t="s">
        <v>556</v>
      </c>
      <c r="F507">
        <v>9</v>
      </c>
      <c r="G507" s="122">
        <v>970</v>
      </c>
      <c r="H507" s="122">
        <v>3078</v>
      </c>
      <c r="I507" s="122">
        <v>203572</v>
      </c>
      <c r="J507" s="122">
        <v>169643</v>
      </c>
      <c r="K507">
        <v>67</v>
      </c>
      <c r="L507" s="122">
        <v>40536</v>
      </c>
      <c r="M507" s="122">
        <v>25620</v>
      </c>
      <c r="N507" s="122">
        <v>19183</v>
      </c>
      <c r="O507" s="122">
        <v>7105</v>
      </c>
      <c r="P507" s="122">
        <v>3632</v>
      </c>
      <c r="Q507" s="122">
        <v>1345</v>
      </c>
      <c r="R507" s="122">
        <v>47606</v>
      </c>
      <c r="S507" s="122">
        <v>39672</v>
      </c>
      <c r="T507" s="122">
        <v>16718</v>
      </c>
      <c r="U507" s="122">
        <v>6192</v>
      </c>
      <c r="V507" s="122">
        <v>249577</v>
      </c>
      <c r="W507" s="122">
        <f t="shared" si="14"/>
        <v>249577</v>
      </c>
      <c r="X507" s="122">
        <f t="shared" si="15"/>
        <v>331247</v>
      </c>
      <c r="Y507" s="122"/>
      <c r="AA507" t="s">
        <v>54</v>
      </c>
      <c r="AB507" t="s">
        <v>137</v>
      </c>
      <c r="AC507" t="s">
        <v>405</v>
      </c>
      <c r="AD507" t="s">
        <v>405</v>
      </c>
      <c r="AE507" t="s">
        <v>137</v>
      </c>
      <c r="AF507">
        <v>1</v>
      </c>
      <c r="AG507">
        <v>244</v>
      </c>
      <c r="AH507">
        <v>133</v>
      </c>
      <c r="AI507" s="122">
        <v>19104</v>
      </c>
      <c r="AJ507" s="122">
        <v>7076</v>
      </c>
      <c r="AK507">
        <v>250</v>
      </c>
      <c r="AL507" s="122">
        <v>1762</v>
      </c>
      <c r="AM507" s="122">
        <v>1602</v>
      </c>
      <c r="AN507" s="122">
        <v>3561</v>
      </c>
      <c r="AO507" s="122">
        <v>1319</v>
      </c>
      <c r="AP507">
        <v>824</v>
      </c>
      <c r="AQ507">
        <v>305</v>
      </c>
      <c r="AR507" s="122">
        <v>3417</v>
      </c>
      <c r="AS507" s="122">
        <v>3106</v>
      </c>
      <c r="AT507" s="122">
        <v>3800</v>
      </c>
      <c r="AU507" s="122">
        <v>1407</v>
      </c>
      <c r="AV507" s="122">
        <v>14815</v>
      </c>
    </row>
    <row r="508" spans="2:48" hidden="1">
      <c r="B508" t="s">
        <v>365</v>
      </c>
      <c r="C508" t="s">
        <v>60</v>
      </c>
      <c r="D508" t="s">
        <v>431</v>
      </c>
      <c r="E508" t="s">
        <v>431</v>
      </c>
      <c r="F508">
        <v>1</v>
      </c>
      <c r="G508">
        <v>124</v>
      </c>
      <c r="H508" s="122">
        <v>378</v>
      </c>
      <c r="I508" s="122">
        <v>33340</v>
      </c>
      <c r="J508" s="122">
        <v>30309</v>
      </c>
      <c r="K508">
        <v>55</v>
      </c>
      <c r="L508" s="122">
        <v>3135</v>
      </c>
      <c r="M508" s="122">
        <v>2850</v>
      </c>
      <c r="N508" s="122">
        <v>1507</v>
      </c>
      <c r="O508" s="122">
        <v>558</v>
      </c>
      <c r="P508" s="122">
        <v>351</v>
      </c>
      <c r="Q508">
        <v>130</v>
      </c>
      <c r="R508" s="122">
        <v>5725</v>
      </c>
      <c r="S508" s="122">
        <v>5205</v>
      </c>
      <c r="T508" s="122">
        <v>2720</v>
      </c>
      <c r="U508" s="122">
        <v>1007</v>
      </c>
      <c r="V508" s="122">
        <v>40059</v>
      </c>
      <c r="W508" s="122">
        <f t="shared" si="14"/>
        <v>40059</v>
      </c>
      <c r="X508" s="122">
        <f t="shared" si="15"/>
        <v>46778</v>
      </c>
      <c r="Y508" s="122"/>
      <c r="AA508" t="s">
        <v>54</v>
      </c>
      <c r="AB508" t="s">
        <v>137</v>
      </c>
      <c r="AC508" t="s">
        <v>405</v>
      </c>
      <c r="AD508" t="s">
        <v>405</v>
      </c>
      <c r="AE508" t="s">
        <v>566</v>
      </c>
      <c r="AF508">
        <v>1</v>
      </c>
      <c r="AG508">
        <v>386</v>
      </c>
      <c r="AH508">
        <v>134</v>
      </c>
      <c r="AI508" s="122">
        <v>26740</v>
      </c>
      <c r="AJ508" s="122">
        <v>9904</v>
      </c>
      <c r="AK508">
        <v>320</v>
      </c>
      <c r="AL508" s="122">
        <v>7747</v>
      </c>
      <c r="AM508" s="122">
        <v>7043</v>
      </c>
      <c r="AN508" s="122">
        <v>9124</v>
      </c>
      <c r="AO508" s="122">
        <v>3379</v>
      </c>
      <c r="AP508">
        <v>824</v>
      </c>
      <c r="AQ508">
        <v>305</v>
      </c>
      <c r="AR508" s="122">
        <v>7303</v>
      </c>
      <c r="AS508" s="122">
        <v>6639</v>
      </c>
      <c r="AT508">
        <v>0</v>
      </c>
      <c r="AU508">
        <v>0</v>
      </c>
      <c r="AV508" s="122">
        <v>27270</v>
      </c>
    </row>
    <row r="509" spans="2:48" hidden="1">
      <c r="B509" t="s">
        <v>365</v>
      </c>
      <c r="C509" t="s">
        <v>60</v>
      </c>
      <c r="D509" t="s">
        <v>426</v>
      </c>
      <c r="E509" t="s">
        <v>425</v>
      </c>
      <c r="F509">
        <v>1</v>
      </c>
      <c r="G509">
        <v>120</v>
      </c>
      <c r="H509">
        <v>306</v>
      </c>
      <c r="I509" s="122">
        <v>26081</v>
      </c>
      <c r="J509" s="122">
        <v>23710</v>
      </c>
      <c r="K509">
        <v>65</v>
      </c>
      <c r="L509" s="122">
        <v>3139</v>
      </c>
      <c r="M509" s="122">
        <v>2854</v>
      </c>
      <c r="N509" s="122">
        <v>2922</v>
      </c>
      <c r="O509" s="122">
        <v>1082</v>
      </c>
      <c r="P509" s="122">
        <v>351</v>
      </c>
      <c r="Q509" s="122">
        <v>130</v>
      </c>
      <c r="R509" s="122">
        <v>4232</v>
      </c>
      <c r="S509" s="122">
        <v>3848</v>
      </c>
      <c r="T509">
        <v>0</v>
      </c>
      <c r="U509">
        <v>0</v>
      </c>
      <c r="V509" s="122">
        <v>31624</v>
      </c>
      <c r="W509" s="122">
        <f t="shared" si="14"/>
        <v>31624</v>
      </c>
      <c r="X509" s="122">
        <f t="shared" si="15"/>
        <v>36725</v>
      </c>
      <c r="Y509" s="122"/>
      <c r="AA509" t="s">
        <v>54</v>
      </c>
      <c r="AB509" t="s">
        <v>137</v>
      </c>
      <c r="AC509" t="s">
        <v>405</v>
      </c>
      <c r="AD509" t="s">
        <v>137</v>
      </c>
      <c r="AE509" t="s">
        <v>137</v>
      </c>
      <c r="AF509">
        <v>1</v>
      </c>
      <c r="AG509" s="122">
        <v>167</v>
      </c>
      <c r="AH509">
        <v>149</v>
      </c>
      <c r="AI509" s="122">
        <v>12497</v>
      </c>
      <c r="AJ509" s="122">
        <v>4629</v>
      </c>
      <c r="AK509">
        <v>250</v>
      </c>
      <c r="AL509" s="122">
        <v>3536</v>
      </c>
      <c r="AM509" s="122">
        <v>3214</v>
      </c>
      <c r="AN509" s="122">
        <v>2316</v>
      </c>
      <c r="AO509" s="122">
        <v>858</v>
      </c>
      <c r="AP509" s="122">
        <v>351</v>
      </c>
      <c r="AQ509" s="122">
        <v>130</v>
      </c>
      <c r="AR509" s="122">
        <v>6094</v>
      </c>
      <c r="AS509" s="122">
        <v>2257</v>
      </c>
      <c r="AT509">
        <v>0</v>
      </c>
      <c r="AU509">
        <v>0</v>
      </c>
      <c r="AV509" s="122">
        <v>11088</v>
      </c>
    </row>
    <row r="510" spans="2:48" hidden="1">
      <c r="B510" t="s">
        <v>365</v>
      </c>
      <c r="C510" t="s">
        <v>60</v>
      </c>
      <c r="D510" t="s">
        <v>426</v>
      </c>
      <c r="E510" t="s">
        <v>137</v>
      </c>
      <c r="F510">
        <v>9</v>
      </c>
      <c r="G510" s="122">
        <v>847</v>
      </c>
      <c r="H510" s="122">
        <v>3086</v>
      </c>
      <c r="I510" s="122">
        <v>175059</v>
      </c>
      <c r="J510" s="122">
        <v>159144</v>
      </c>
      <c r="K510">
        <v>62</v>
      </c>
      <c r="L510" s="122">
        <v>28947</v>
      </c>
      <c r="M510" s="122">
        <v>12561</v>
      </c>
      <c r="N510" s="122">
        <v>17447</v>
      </c>
      <c r="O510" s="122">
        <v>6462</v>
      </c>
      <c r="P510" s="122">
        <v>0</v>
      </c>
      <c r="Q510" s="122">
        <v>0</v>
      </c>
      <c r="R510" s="122">
        <v>67406</v>
      </c>
      <c r="S510" s="122">
        <v>24965</v>
      </c>
      <c r="T510" s="122">
        <v>0</v>
      </c>
      <c r="U510" s="122">
        <v>0</v>
      </c>
      <c r="V510" s="122">
        <v>203132</v>
      </c>
      <c r="W510" s="122">
        <f t="shared" si="14"/>
        <v>203132</v>
      </c>
      <c r="X510" s="122">
        <f t="shared" si="15"/>
        <v>288859</v>
      </c>
      <c r="Y510" s="122"/>
      <c r="AA510" t="s">
        <v>54</v>
      </c>
      <c r="AB510" t="s">
        <v>137</v>
      </c>
      <c r="AC510" t="s">
        <v>405</v>
      </c>
      <c r="AD510" t="s">
        <v>137</v>
      </c>
      <c r="AE510" t="s">
        <v>566</v>
      </c>
      <c r="AF510">
        <v>6</v>
      </c>
      <c r="AG510" s="122">
        <v>1829</v>
      </c>
      <c r="AH510">
        <v>836</v>
      </c>
      <c r="AI510" s="122">
        <v>107060</v>
      </c>
      <c r="AJ510" s="122">
        <v>39652</v>
      </c>
      <c r="AK510">
        <v>293</v>
      </c>
      <c r="AL510" s="122">
        <v>57799</v>
      </c>
      <c r="AM510" s="122">
        <v>52544</v>
      </c>
      <c r="AN510" s="122">
        <v>39245</v>
      </c>
      <c r="AO510" s="122">
        <v>14535</v>
      </c>
      <c r="AP510" s="122">
        <v>9620</v>
      </c>
      <c r="AQ510" s="122">
        <v>3563</v>
      </c>
      <c r="AR510" s="122">
        <v>60246</v>
      </c>
      <c r="AS510" s="122">
        <v>22313</v>
      </c>
      <c r="AT510" s="122">
        <v>0</v>
      </c>
      <c r="AU510" s="122">
        <v>0</v>
      </c>
      <c r="AV510" s="122">
        <v>132608</v>
      </c>
    </row>
    <row r="511" spans="2:48" hidden="1">
      <c r="B511" t="s">
        <v>365</v>
      </c>
      <c r="C511" t="s">
        <v>60</v>
      </c>
      <c r="D511" t="s">
        <v>426</v>
      </c>
      <c r="E511" t="s">
        <v>426</v>
      </c>
      <c r="F511">
        <v>123</v>
      </c>
      <c r="G511" s="122">
        <v>12437</v>
      </c>
      <c r="H511" s="122">
        <v>42376</v>
      </c>
      <c r="I511" s="122">
        <v>2737633</v>
      </c>
      <c r="J511" s="122">
        <v>2488757</v>
      </c>
      <c r="K511">
        <v>60</v>
      </c>
      <c r="L511" s="122">
        <v>380294</v>
      </c>
      <c r="M511" s="122">
        <v>294138</v>
      </c>
      <c r="N511" s="122">
        <v>256920</v>
      </c>
      <c r="O511" s="122">
        <v>95155</v>
      </c>
      <c r="P511" s="122">
        <v>47384</v>
      </c>
      <c r="Q511" s="122">
        <v>17550</v>
      </c>
      <c r="R511" s="122">
        <v>678261</v>
      </c>
      <c r="S511" s="122">
        <v>616601</v>
      </c>
      <c r="T511" s="122">
        <v>259217</v>
      </c>
      <c r="U511" s="122">
        <v>96006</v>
      </c>
      <c r="V511" s="122">
        <v>3608208</v>
      </c>
      <c r="W511" s="122">
        <f t="shared" si="14"/>
        <v>3608207</v>
      </c>
      <c r="X511" s="122">
        <f t="shared" si="15"/>
        <v>4359709</v>
      </c>
      <c r="Y511" s="122"/>
      <c r="AA511" t="s">
        <v>54</v>
      </c>
      <c r="AB511" t="s">
        <v>137</v>
      </c>
      <c r="AC511" t="s">
        <v>137</v>
      </c>
      <c r="AD511" t="s">
        <v>137</v>
      </c>
      <c r="AE511" t="s">
        <v>137</v>
      </c>
      <c r="AF511">
        <v>2</v>
      </c>
      <c r="AG511" s="122">
        <v>404</v>
      </c>
      <c r="AH511" s="122">
        <v>256</v>
      </c>
      <c r="AI511" s="122">
        <v>40711</v>
      </c>
      <c r="AJ511" s="122">
        <v>15078</v>
      </c>
      <c r="AK511">
        <v>350</v>
      </c>
      <c r="AL511" s="122">
        <v>13681</v>
      </c>
      <c r="AM511" s="122">
        <v>5067</v>
      </c>
      <c r="AN511" s="122">
        <v>11799</v>
      </c>
      <c r="AO511" s="122">
        <v>4370</v>
      </c>
      <c r="AP511" s="122">
        <v>4516</v>
      </c>
      <c r="AQ511" s="122">
        <v>1673</v>
      </c>
      <c r="AR511" s="122">
        <v>19228</v>
      </c>
      <c r="AS511" s="122">
        <v>7121</v>
      </c>
      <c r="AT511" s="122">
        <v>4342</v>
      </c>
      <c r="AU511" s="122">
        <v>1608</v>
      </c>
      <c r="AV511" s="122">
        <v>34917</v>
      </c>
    </row>
    <row r="512" spans="2:48" hidden="1">
      <c r="B512" t="s">
        <v>365</v>
      </c>
      <c r="C512" t="s">
        <v>60</v>
      </c>
      <c r="D512" t="s">
        <v>433</v>
      </c>
      <c r="E512" t="s">
        <v>137</v>
      </c>
      <c r="F512">
        <v>1</v>
      </c>
      <c r="G512" s="122">
        <v>109</v>
      </c>
      <c r="H512" s="122">
        <v>337</v>
      </c>
      <c r="I512" s="122">
        <v>22725</v>
      </c>
      <c r="J512" s="122">
        <v>20659</v>
      </c>
      <c r="K512">
        <v>60</v>
      </c>
      <c r="L512" s="122">
        <v>3719</v>
      </c>
      <c r="M512" s="122">
        <v>1377</v>
      </c>
      <c r="N512" s="122">
        <v>2265</v>
      </c>
      <c r="O512" s="122">
        <v>839</v>
      </c>
      <c r="P512" s="122">
        <v>351</v>
      </c>
      <c r="Q512" s="122">
        <v>130</v>
      </c>
      <c r="R512" s="122">
        <v>7553</v>
      </c>
      <c r="S512" s="122">
        <v>2798</v>
      </c>
      <c r="T512">
        <v>0</v>
      </c>
      <c r="U512">
        <v>0</v>
      </c>
      <c r="V512" s="122">
        <v>25802</v>
      </c>
      <c r="W512" s="122">
        <f t="shared" si="14"/>
        <v>25803</v>
      </c>
      <c r="X512" s="122">
        <f t="shared" si="15"/>
        <v>36613</v>
      </c>
      <c r="Y512" s="122"/>
      <c r="AA512" t="s">
        <v>54</v>
      </c>
      <c r="AB512" t="s">
        <v>137</v>
      </c>
      <c r="AC512" t="s">
        <v>137</v>
      </c>
      <c r="AD512" t="s">
        <v>137</v>
      </c>
      <c r="AE512" t="s">
        <v>566</v>
      </c>
      <c r="AF512">
        <v>19</v>
      </c>
      <c r="AG512" s="122">
        <v>4157</v>
      </c>
      <c r="AH512" s="122">
        <v>2569</v>
      </c>
      <c r="AI512" s="122">
        <v>256531</v>
      </c>
      <c r="AJ512" s="122">
        <v>95012</v>
      </c>
      <c r="AK512">
        <v>286</v>
      </c>
      <c r="AL512" s="122">
        <v>101794</v>
      </c>
      <c r="AM512" s="122">
        <v>37702</v>
      </c>
      <c r="AN512" s="122">
        <v>77058</v>
      </c>
      <c r="AO512" s="122">
        <v>28540</v>
      </c>
      <c r="AP512" s="122">
        <v>12599</v>
      </c>
      <c r="AQ512" s="122">
        <v>4666</v>
      </c>
      <c r="AR512" s="122">
        <v>142410</v>
      </c>
      <c r="AS512" s="122">
        <v>52744</v>
      </c>
      <c r="AT512" s="122">
        <v>0</v>
      </c>
      <c r="AU512" s="122">
        <v>0</v>
      </c>
      <c r="AV512" s="122">
        <v>218664</v>
      </c>
    </row>
    <row r="513" spans="2:48" hidden="1">
      <c r="B513" t="s">
        <v>365</v>
      </c>
      <c r="C513" t="s">
        <v>60</v>
      </c>
      <c r="D513" t="s">
        <v>433</v>
      </c>
      <c r="E513" t="s">
        <v>406</v>
      </c>
      <c r="F513">
        <v>1</v>
      </c>
      <c r="G513" s="122">
        <v>211</v>
      </c>
      <c r="H513" s="122">
        <v>348</v>
      </c>
      <c r="I513" s="122">
        <v>57354</v>
      </c>
      <c r="J513" s="122">
        <v>52140</v>
      </c>
      <c r="K513">
        <v>60</v>
      </c>
      <c r="L513" s="122">
        <v>12745</v>
      </c>
      <c r="M513" s="122">
        <v>11587</v>
      </c>
      <c r="N513" s="122">
        <v>5516</v>
      </c>
      <c r="O513" s="122">
        <v>2043</v>
      </c>
      <c r="P513" s="122">
        <v>351</v>
      </c>
      <c r="Q513" s="122">
        <v>130</v>
      </c>
      <c r="R513" s="122">
        <v>7309</v>
      </c>
      <c r="S513" s="122">
        <v>6645</v>
      </c>
      <c r="T513">
        <v>0</v>
      </c>
      <c r="U513">
        <v>0</v>
      </c>
      <c r="V513" s="122">
        <v>72544</v>
      </c>
      <c r="W513" s="122">
        <f t="shared" si="14"/>
        <v>72545</v>
      </c>
      <c r="X513" s="122">
        <f t="shared" si="15"/>
        <v>83275</v>
      </c>
      <c r="Y513" s="122"/>
      <c r="AA513" t="s">
        <v>54</v>
      </c>
      <c r="AB513" t="s">
        <v>137</v>
      </c>
      <c r="AC513" t="s">
        <v>580</v>
      </c>
      <c r="AD513" t="s">
        <v>137</v>
      </c>
      <c r="AE513" t="s">
        <v>137</v>
      </c>
      <c r="AF513">
        <v>3</v>
      </c>
      <c r="AG513" s="122">
        <v>933</v>
      </c>
      <c r="AH513" s="122">
        <v>417</v>
      </c>
      <c r="AI513" s="122">
        <v>88240</v>
      </c>
      <c r="AJ513" s="122">
        <v>32681</v>
      </c>
      <c r="AK513">
        <v>279</v>
      </c>
      <c r="AL513" s="122">
        <v>17640</v>
      </c>
      <c r="AM513" s="122">
        <v>16037</v>
      </c>
      <c r="AN513" s="122">
        <v>21201</v>
      </c>
      <c r="AO513" s="122">
        <v>7852</v>
      </c>
      <c r="AP513" s="122">
        <v>3386</v>
      </c>
      <c r="AQ513" s="122">
        <v>1254</v>
      </c>
      <c r="AR513" s="122">
        <v>18748</v>
      </c>
      <c r="AS513" s="122">
        <v>6944</v>
      </c>
      <c r="AT513" s="122">
        <v>4052</v>
      </c>
      <c r="AU513" s="122">
        <v>1501</v>
      </c>
      <c r="AV513" s="122">
        <v>66268</v>
      </c>
    </row>
    <row r="514" spans="2:48" hidden="1">
      <c r="B514" t="s">
        <v>365</v>
      </c>
      <c r="C514" t="s">
        <v>60</v>
      </c>
      <c r="D514" t="s">
        <v>433</v>
      </c>
      <c r="E514" t="s">
        <v>433</v>
      </c>
      <c r="F514">
        <v>5</v>
      </c>
      <c r="G514" s="122">
        <v>589</v>
      </c>
      <c r="H514" s="122">
        <v>1749</v>
      </c>
      <c r="I514" s="122">
        <v>132416</v>
      </c>
      <c r="J514" s="122">
        <v>120379</v>
      </c>
      <c r="K514">
        <v>57</v>
      </c>
      <c r="L514" s="122">
        <v>17201</v>
      </c>
      <c r="M514" s="122">
        <v>13907</v>
      </c>
      <c r="N514" s="122">
        <v>11118</v>
      </c>
      <c r="O514" s="122">
        <v>4118</v>
      </c>
      <c r="P514" s="122">
        <v>1755</v>
      </c>
      <c r="Q514" s="122">
        <v>650</v>
      </c>
      <c r="R514" s="122">
        <v>39693</v>
      </c>
      <c r="S514" s="122">
        <v>36084</v>
      </c>
      <c r="T514" s="122">
        <v>3722</v>
      </c>
      <c r="U514" s="122">
        <v>1379</v>
      </c>
      <c r="V514" s="122">
        <v>176516</v>
      </c>
      <c r="W514" s="122">
        <f t="shared" si="14"/>
        <v>176517</v>
      </c>
      <c r="X514" s="122">
        <f t="shared" si="15"/>
        <v>205905</v>
      </c>
      <c r="Y514" s="122"/>
      <c r="AA514" t="s">
        <v>54</v>
      </c>
      <c r="AB514" t="s">
        <v>137</v>
      </c>
      <c r="AC514" t="s">
        <v>580</v>
      </c>
      <c r="AD514" t="s">
        <v>137</v>
      </c>
      <c r="AE514" t="s">
        <v>566</v>
      </c>
      <c r="AF514">
        <v>20</v>
      </c>
      <c r="AG514" s="122">
        <v>5712</v>
      </c>
      <c r="AH514" s="122">
        <v>2773</v>
      </c>
      <c r="AI514" s="122">
        <v>466527</v>
      </c>
      <c r="AJ514" s="122">
        <v>172788</v>
      </c>
      <c r="AK514">
        <v>295</v>
      </c>
      <c r="AL514" s="122">
        <v>66306</v>
      </c>
      <c r="AM514" s="122">
        <v>60278</v>
      </c>
      <c r="AN514" s="122">
        <v>111794</v>
      </c>
      <c r="AO514" s="122">
        <v>41405</v>
      </c>
      <c r="AP514" s="122">
        <v>19576</v>
      </c>
      <c r="AQ514" s="122">
        <v>7250</v>
      </c>
      <c r="AR514" s="122">
        <v>160826</v>
      </c>
      <c r="AS514" s="122">
        <v>59565</v>
      </c>
      <c r="AT514" s="122">
        <v>0</v>
      </c>
      <c r="AU514" s="122">
        <v>0</v>
      </c>
      <c r="AV514" s="122">
        <v>341287</v>
      </c>
    </row>
    <row r="515" spans="2:48" hidden="1">
      <c r="B515" t="s">
        <v>365</v>
      </c>
      <c r="C515" t="s">
        <v>60</v>
      </c>
      <c r="D515" t="s">
        <v>408</v>
      </c>
      <c r="E515" t="s">
        <v>137</v>
      </c>
      <c r="F515">
        <v>1</v>
      </c>
      <c r="G515" s="122">
        <v>66</v>
      </c>
      <c r="H515" s="122">
        <v>354</v>
      </c>
      <c r="I515" s="122">
        <v>18600</v>
      </c>
      <c r="J515" s="122">
        <v>16910</v>
      </c>
      <c r="K515">
        <v>65</v>
      </c>
      <c r="L515" s="122">
        <v>0</v>
      </c>
      <c r="M515" s="122">
        <v>0</v>
      </c>
      <c r="N515" s="122">
        <v>1160</v>
      </c>
      <c r="O515" s="122">
        <v>430</v>
      </c>
      <c r="P515" s="122">
        <v>351</v>
      </c>
      <c r="Q515" s="122">
        <v>130</v>
      </c>
      <c r="R515" s="122">
        <v>3134</v>
      </c>
      <c r="S515" s="122">
        <v>1161</v>
      </c>
      <c r="T515" s="122">
        <v>0</v>
      </c>
      <c r="U515" s="122">
        <v>0</v>
      </c>
      <c r="V515" s="122">
        <v>18630</v>
      </c>
      <c r="W515" s="122">
        <f t="shared" si="14"/>
        <v>18631</v>
      </c>
      <c r="X515" s="122">
        <f t="shared" si="15"/>
        <v>23245</v>
      </c>
      <c r="Y515" s="122"/>
      <c r="AA515" t="s">
        <v>54</v>
      </c>
      <c r="AB515" t="s">
        <v>137</v>
      </c>
      <c r="AC515" t="s">
        <v>580</v>
      </c>
      <c r="AD515" t="s">
        <v>406</v>
      </c>
      <c r="AE515" t="s">
        <v>137</v>
      </c>
      <c r="AF515">
        <v>1</v>
      </c>
      <c r="AG515">
        <v>217</v>
      </c>
      <c r="AH515">
        <v>136</v>
      </c>
      <c r="AI515" s="122">
        <v>14656</v>
      </c>
      <c r="AJ515" s="122">
        <v>5428</v>
      </c>
      <c r="AK515">
        <v>320</v>
      </c>
      <c r="AL515" s="122">
        <v>1981</v>
      </c>
      <c r="AM515" s="122">
        <v>1801</v>
      </c>
      <c r="AN515" s="122">
        <v>4251</v>
      </c>
      <c r="AO515" s="122">
        <v>1574</v>
      </c>
      <c r="AP515">
        <v>351</v>
      </c>
      <c r="AQ515">
        <v>130</v>
      </c>
      <c r="AR515" s="122">
        <v>4648</v>
      </c>
      <c r="AS515" s="122">
        <v>4226</v>
      </c>
      <c r="AT515" s="122">
        <v>3671</v>
      </c>
      <c r="AU515" s="122">
        <v>1360</v>
      </c>
      <c r="AV515" s="122">
        <v>14519</v>
      </c>
    </row>
    <row r="516" spans="2:48" hidden="1">
      <c r="B516" t="s">
        <v>365</v>
      </c>
      <c r="C516" t="s">
        <v>60</v>
      </c>
      <c r="D516" t="s">
        <v>408</v>
      </c>
      <c r="E516" t="s">
        <v>408</v>
      </c>
      <c r="F516">
        <v>2</v>
      </c>
      <c r="G516" s="122">
        <v>219</v>
      </c>
      <c r="H516" s="122">
        <v>699</v>
      </c>
      <c r="I516" s="122">
        <v>54688</v>
      </c>
      <c r="J516" s="122">
        <v>49717</v>
      </c>
      <c r="K516">
        <v>76</v>
      </c>
      <c r="L516" s="122">
        <v>2401</v>
      </c>
      <c r="M516" s="122">
        <v>2183</v>
      </c>
      <c r="N516" s="122">
        <v>5184</v>
      </c>
      <c r="O516" s="122">
        <v>1920</v>
      </c>
      <c r="P516" s="122">
        <v>702</v>
      </c>
      <c r="Q516" s="122">
        <v>260</v>
      </c>
      <c r="R516" s="122">
        <v>8535</v>
      </c>
      <c r="S516" s="122">
        <v>7759</v>
      </c>
      <c r="T516" s="122">
        <v>5490</v>
      </c>
      <c r="U516" s="122">
        <v>2033</v>
      </c>
      <c r="V516" s="122">
        <v>63872</v>
      </c>
      <c r="W516" s="122">
        <f t="shared" si="14"/>
        <v>63872</v>
      </c>
      <c r="X516" s="122">
        <f t="shared" si="15"/>
        <v>77000</v>
      </c>
      <c r="Y516" s="122"/>
      <c r="AA516" t="s">
        <v>54</v>
      </c>
      <c r="AB516" t="s">
        <v>137</v>
      </c>
      <c r="AC516" t="s">
        <v>427</v>
      </c>
      <c r="AD516" t="s">
        <v>137</v>
      </c>
      <c r="AE516" t="s">
        <v>137</v>
      </c>
      <c r="AF516">
        <v>2</v>
      </c>
      <c r="AG516" s="122">
        <v>399</v>
      </c>
      <c r="AH516" s="122">
        <v>281</v>
      </c>
      <c r="AI516" s="122">
        <v>27327</v>
      </c>
      <c r="AJ516" s="122">
        <v>10121</v>
      </c>
      <c r="AK516">
        <v>320</v>
      </c>
      <c r="AL516" s="122">
        <v>8355</v>
      </c>
      <c r="AM516" s="122">
        <v>7595</v>
      </c>
      <c r="AN516" s="122">
        <v>8505</v>
      </c>
      <c r="AO516" s="122">
        <v>3150</v>
      </c>
      <c r="AP516" s="122">
        <v>702</v>
      </c>
      <c r="AQ516" s="122">
        <v>260</v>
      </c>
      <c r="AR516" s="122">
        <v>10426</v>
      </c>
      <c r="AS516" s="122">
        <v>3861</v>
      </c>
      <c r="AT516">
        <v>0</v>
      </c>
      <c r="AU516">
        <v>0</v>
      </c>
      <c r="AV516" s="122">
        <v>24988</v>
      </c>
    </row>
    <row r="517" spans="2:48" hidden="1">
      <c r="B517" t="s">
        <v>365</v>
      </c>
      <c r="C517" t="s">
        <v>60</v>
      </c>
      <c r="D517" t="s">
        <v>408</v>
      </c>
      <c r="E517" t="s">
        <v>429</v>
      </c>
      <c r="F517">
        <v>1</v>
      </c>
      <c r="G517" s="122">
        <v>133</v>
      </c>
      <c r="H517" s="122">
        <v>311</v>
      </c>
      <c r="I517" s="122">
        <v>27335</v>
      </c>
      <c r="J517" s="122">
        <v>24850</v>
      </c>
      <c r="K517">
        <v>65</v>
      </c>
      <c r="L517" s="122">
        <v>3037</v>
      </c>
      <c r="M517" s="122">
        <v>2761</v>
      </c>
      <c r="N517" s="122">
        <v>2915</v>
      </c>
      <c r="O517" s="122">
        <v>1080</v>
      </c>
      <c r="P517" s="122">
        <v>351</v>
      </c>
      <c r="Q517" s="122">
        <v>130</v>
      </c>
      <c r="R517" s="122">
        <v>4925</v>
      </c>
      <c r="S517" s="122">
        <v>4477</v>
      </c>
      <c r="T517" s="122">
        <v>2783</v>
      </c>
      <c r="U517" s="122">
        <v>1031</v>
      </c>
      <c r="V517" s="122">
        <v>34329</v>
      </c>
      <c r="W517" s="122">
        <f t="shared" si="14"/>
        <v>34329</v>
      </c>
      <c r="X517" s="122">
        <f t="shared" si="15"/>
        <v>41346</v>
      </c>
      <c r="Y517" s="122"/>
      <c r="AA517" t="s">
        <v>54</v>
      </c>
      <c r="AB517" t="s">
        <v>137</v>
      </c>
      <c r="AC517" t="s">
        <v>427</v>
      </c>
      <c r="AD517" t="s">
        <v>137</v>
      </c>
      <c r="AE517" t="s">
        <v>566</v>
      </c>
      <c r="AF517">
        <v>24</v>
      </c>
      <c r="AG517" s="122">
        <v>6584</v>
      </c>
      <c r="AH517" s="122">
        <v>3343</v>
      </c>
      <c r="AI517" s="122">
        <v>430224</v>
      </c>
      <c r="AJ517" s="122">
        <v>159342</v>
      </c>
      <c r="AK517">
        <v>321</v>
      </c>
      <c r="AL517" s="122">
        <v>150372</v>
      </c>
      <c r="AM517" s="122">
        <v>136702</v>
      </c>
      <c r="AN517" s="122">
        <v>134125</v>
      </c>
      <c r="AO517" s="122">
        <v>49676</v>
      </c>
      <c r="AP517" s="122">
        <v>18488</v>
      </c>
      <c r="AQ517" s="122">
        <v>6847</v>
      </c>
      <c r="AR517" s="122">
        <v>195515</v>
      </c>
      <c r="AS517" s="122">
        <v>72413</v>
      </c>
      <c r="AT517">
        <v>0</v>
      </c>
      <c r="AU517">
        <v>0</v>
      </c>
      <c r="AV517" s="122">
        <v>424980</v>
      </c>
    </row>
    <row r="518" spans="2:48" hidden="1">
      <c r="B518" t="s">
        <v>365</v>
      </c>
      <c r="C518" t="s">
        <v>60</v>
      </c>
      <c r="D518" t="s">
        <v>429</v>
      </c>
      <c r="E518" t="s">
        <v>429</v>
      </c>
      <c r="F518">
        <v>1</v>
      </c>
      <c r="G518">
        <v>107</v>
      </c>
      <c r="H518">
        <v>338</v>
      </c>
      <c r="I518" s="122">
        <v>22965</v>
      </c>
      <c r="J518" s="122">
        <v>20877</v>
      </c>
      <c r="K518">
        <v>65</v>
      </c>
      <c r="L518" s="122">
        <v>2628</v>
      </c>
      <c r="M518" s="122">
        <v>2389</v>
      </c>
      <c r="N518" s="122">
        <v>2380</v>
      </c>
      <c r="O518" s="122">
        <v>881</v>
      </c>
      <c r="P518" s="122">
        <v>351</v>
      </c>
      <c r="Q518">
        <v>130</v>
      </c>
      <c r="R518" s="122">
        <v>5190</v>
      </c>
      <c r="S518" s="122">
        <v>4718</v>
      </c>
      <c r="T518" s="122">
        <v>2787</v>
      </c>
      <c r="U518" s="122">
        <v>1032</v>
      </c>
      <c r="V518" s="122">
        <v>30028</v>
      </c>
      <c r="W518" s="122">
        <f t="shared" si="14"/>
        <v>30027</v>
      </c>
      <c r="X518" s="122">
        <f t="shared" si="15"/>
        <v>36301</v>
      </c>
      <c r="Y518" s="122"/>
      <c r="AA518" t="s">
        <v>54</v>
      </c>
      <c r="AB518" t="s">
        <v>137</v>
      </c>
      <c r="AC518" t="s">
        <v>407</v>
      </c>
      <c r="AD518" t="s">
        <v>137</v>
      </c>
      <c r="AE518" t="s">
        <v>566</v>
      </c>
      <c r="AF518">
        <v>14</v>
      </c>
      <c r="AG518" s="122">
        <v>3189</v>
      </c>
      <c r="AH518" s="122">
        <v>1952</v>
      </c>
      <c r="AI518" s="122">
        <v>217029</v>
      </c>
      <c r="AJ518" s="122">
        <v>80381</v>
      </c>
      <c r="AK518">
        <v>278</v>
      </c>
      <c r="AL518" s="122">
        <v>59302</v>
      </c>
      <c r="AM518" s="122">
        <v>53911</v>
      </c>
      <c r="AN518" s="122">
        <v>60760</v>
      </c>
      <c r="AO518" s="122">
        <v>22504</v>
      </c>
      <c r="AP518" s="122">
        <v>17398</v>
      </c>
      <c r="AQ518" s="122">
        <v>6444</v>
      </c>
      <c r="AR518" s="122">
        <v>118144</v>
      </c>
      <c r="AS518" s="122">
        <v>43757</v>
      </c>
      <c r="AT518" s="122">
        <v>0</v>
      </c>
      <c r="AU518" s="122">
        <v>0</v>
      </c>
      <c r="AV518" s="122">
        <v>206997</v>
      </c>
    </row>
    <row r="519" spans="2:48" hidden="1">
      <c r="B519" t="s">
        <v>365</v>
      </c>
      <c r="C519" t="s">
        <v>62</v>
      </c>
      <c r="F519">
        <v>1</v>
      </c>
      <c r="G519" s="122">
        <v>100</v>
      </c>
      <c r="H519" s="122">
        <v>409</v>
      </c>
      <c r="I519" s="122"/>
      <c r="J519" s="122">
        <v>0</v>
      </c>
      <c r="L519" s="122"/>
      <c r="M519" s="122">
        <v>0</v>
      </c>
      <c r="N519" s="122">
        <v>1957</v>
      </c>
      <c r="O519" s="122">
        <v>725</v>
      </c>
      <c r="P519" s="122">
        <v>0</v>
      </c>
      <c r="Q519" s="122">
        <v>0</v>
      </c>
      <c r="R519" s="122"/>
      <c r="S519" s="122">
        <v>0</v>
      </c>
      <c r="T519" s="122">
        <v>1979</v>
      </c>
      <c r="U519" s="122">
        <v>733</v>
      </c>
      <c r="V519" s="122">
        <v>1458</v>
      </c>
      <c r="W519" s="122">
        <f t="shared" ref="W519:W582" si="16">SUM(ABS(J519),ABS(M519),ABS(O519),ABS(Q519),ABS(S519),ABS(U519))</f>
        <v>1458</v>
      </c>
      <c r="X519" s="122">
        <f t="shared" ref="X519:X582" si="17">SUM(ABS(I519),ABS(N519),ABS(P519),ABS(R519),ABS(T519),ABS(L519))</f>
        <v>3936</v>
      </c>
      <c r="Y519" s="122"/>
      <c r="AA519" t="s">
        <v>54</v>
      </c>
      <c r="AB519" t="s">
        <v>137</v>
      </c>
      <c r="AC519" t="s">
        <v>579</v>
      </c>
      <c r="AD519" t="s">
        <v>137</v>
      </c>
      <c r="AE519" t="s">
        <v>137</v>
      </c>
      <c r="AF519">
        <v>2</v>
      </c>
      <c r="AG519" s="122">
        <v>348</v>
      </c>
      <c r="AH519" s="122">
        <v>285</v>
      </c>
      <c r="AI519" s="122">
        <v>18435</v>
      </c>
      <c r="AJ519" s="122">
        <v>6828</v>
      </c>
      <c r="AK519">
        <v>341</v>
      </c>
      <c r="AL519" s="122">
        <v>9428</v>
      </c>
      <c r="AM519" s="122">
        <v>7857</v>
      </c>
      <c r="AN519" s="122">
        <v>9285</v>
      </c>
      <c r="AO519" s="122">
        <v>3439</v>
      </c>
      <c r="AP519" s="122">
        <v>1404</v>
      </c>
      <c r="AQ519" s="122">
        <v>520</v>
      </c>
      <c r="AR519" s="122">
        <v>15368</v>
      </c>
      <c r="AS519" s="122">
        <v>5692</v>
      </c>
      <c r="AT519" s="122">
        <v>3887</v>
      </c>
      <c r="AU519" s="122">
        <v>1440</v>
      </c>
      <c r="AV519" s="122">
        <v>25775</v>
      </c>
    </row>
    <row r="520" spans="2:48" hidden="1">
      <c r="B520" t="s">
        <v>365</v>
      </c>
      <c r="C520" t="s">
        <v>62</v>
      </c>
      <c r="D520" t="s">
        <v>425</v>
      </c>
      <c r="E520" t="s">
        <v>425</v>
      </c>
      <c r="F520">
        <v>7</v>
      </c>
      <c r="G520" s="122">
        <v>671</v>
      </c>
      <c r="H520" s="122">
        <v>2991</v>
      </c>
      <c r="I520" s="122">
        <v>218226</v>
      </c>
      <c r="J520" s="122">
        <v>198387</v>
      </c>
      <c r="K520">
        <v>72</v>
      </c>
      <c r="L520" s="122">
        <v>24470</v>
      </c>
      <c r="M520" s="122">
        <v>37490</v>
      </c>
      <c r="N520" s="122">
        <v>15956</v>
      </c>
      <c r="O520" s="122">
        <v>5909</v>
      </c>
      <c r="P520" s="122">
        <v>3065</v>
      </c>
      <c r="Q520" s="122">
        <v>1135</v>
      </c>
      <c r="R520" s="122">
        <v>35867</v>
      </c>
      <c r="S520" s="122">
        <v>32606</v>
      </c>
      <c r="T520" s="122">
        <v>14058</v>
      </c>
      <c r="U520" s="122">
        <v>5207</v>
      </c>
      <c r="V520" s="122">
        <v>280734</v>
      </c>
      <c r="W520" s="122">
        <f t="shared" si="16"/>
        <v>280734</v>
      </c>
      <c r="X520" s="122">
        <f t="shared" si="17"/>
        <v>311642</v>
      </c>
      <c r="Y520" s="122"/>
      <c r="AA520" t="s">
        <v>54</v>
      </c>
      <c r="AB520" t="s">
        <v>137</v>
      </c>
      <c r="AC520" t="s">
        <v>579</v>
      </c>
      <c r="AD520" t="s">
        <v>137</v>
      </c>
      <c r="AE520" t="s">
        <v>566</v>
      </c>
      <c r="AF520">
        <v>32</v>
      </c>
      <c r="AG520" s="122">
        <v>7742</v>
      </c>
      <c r="AH520" s="122">
        <v>4354</v>
      </c>
      <c r="AI520" s="122">
        <v>495952</v>
      </c>
      <c r="AJ520" s="122">
        <v>183686</v>
      </c>
      <c r="AK520">
        <v>303</v>
      </c>
      <c r="AL520" s="122">
        <v>158233</v>
      </c>
      <c r="AM520" s="122">
        <v>131861</v>
      </c>
      <c r="AN520" s="122">
        <v>143723</v>
      </c>
      <c r="AO520" s="122">
        <v>53231</v>
      </c>
      <c r="AP520" s="122">
        <v>25540</v>
      </c>
      <c r="AQ520" s="122">
        <v>9459</v>
      </c>
      <c r="AR520" s="122">
        <v>240834</v>
      </c>
      <c r="AS520" s="122">
        <v>89198</v>
      </c>
      <c r="AT520">
        <v>0</v>
      </c>
      <c r="AU520">
        <v>0</v>
      </c>
      <c r="AV520" s="122">
        <v>467435</v>
      </c>
    </row>
    <row r="521" spans="2:48" hidden="1">
      <c r="B521" t="s">
        <v>365</v>
      </c>
      <c r="C521" t="s">
        <v>62</v>
      </c>
      <c r="D521" t="s">
        <v>405</v>
      </c>
      <c r="E521" t="s">
        <v>425</v>
      </c>
      <c r="F521">
        <v>1</v>
      </c>
      <c r="G521" s="122">
        <v>130</v>
      </c>
      <c r="H521" s="122">
        <v>417</v>
      </c>
      <c r="I521" s="122">
        <v>38670</v>
      </c>
      <c r="J521" s="122">
        <v>35155</v>
      </c>
      <c r="K521">
        <v>80</v>
      </c>
      <c r="L521" s="122">
        <v>5736</v>
      </c>
      <c r="M521" s="122">
        <v>5215</v>
      </c>
      <c r="N521" s="122">
        <v>2901</v>
      </c>
      <c r="O521" s="122">
        <v>1074</v>
      </c>
      <c r="P521" s="122">
        <v>473</v>
      </c>
      <c r="Q521" s="122">
        <v>175</v>
      </c>
      <c r="R521" s="122">
        <v>3585</v>
      </c>
      <c r="S521" s="122">
        <v>3259</v>
      </c>
      <c r="T521" s="122">
        <v>2928</v>
      </c>
      <c r="U521" s="122">
        <v>1085</v>
      </c>
      <c r="V521" s="122">
        <v>45963</v>
      </c>
      <c r="W521" s="122">
        <f t="shared" si="16"/>
        <v>45963</v>
      </c>
      <c r="X521" s="122">
        <f t="shared" si="17"/>
        <v>54293</v>
      </c>
      <c r="Y521" s="122"/>
      <c r="AA521" t="s">
        <v>54</v>
      </c>
      <c r="AB521" t="s">
        <v>137</v>
      </c>
      <c r="AC521" t="s">
        <v>428</v>
      </c>
      <c r="AD521" t="s">
        <v>137</v>
      </c>
      <c r="AE521" t="s">
        <v>566</v>
      </c>
      <c r="AF521">
        <v>4</v>
      </c>
      <c r="AG521" s="122">
        <v>1228</v>
      </c>
      <c r="AH521">
        <v>561</v>
      </c>
      <c r="AI521" s="122">
        <v>83066</v>
      </c>
      <c r="AJ521" s="122">
        <v>30765</v>
      </c>
      <c r="AK521">
        <v>285</v>
      </c>
      <c r="AL521" s="122">
        <v>36137</v>
      </c>
      <c r="AM521" s="122">
        <v>32852</v>
      </c>
      <c r="AN521" s="122">
        <v>27637</v>
      </c>
      <c r="AO521" s="122">
        <v>10236</v>
      </c>
      <c r="AP521" s="122">
        <v>1404</v>
      </c>
      <c r="AQ521">
        <v>520</v>
      </c>
      <c r="AR521" s="122">
        <v>42020</v>
      </c>
      <c r="AS521" s="122">
        <v>15563</v>
      </c>
      <c r="AT521">
        <v>0</v>
      </c>
      <c r="AU521">
        <v>0</v>
      </c>
      <c r="AV521" s="122">
        <v>89936</v>
      </c>
    </row>
    <row r="522" spans="2:48" hidden="1">
      <c r="B522" t="s">
        <v>365</v>
      </c>
      <c r="C522" t="s">
        <v>62</v>
      </c>
      <c r="D522" t="s">
        <v>405</v>
      </c>
      <c r="E522" t="s">
        <v>405</v>
      </c>
      <c r="F522" s="122">
        <v>21</v>
      </c>
      <c r="G522" s="122">
        <v>3275</v>
      </c>
      <c r="H522" s="122">
        <v>8748</v>
      </c>
      <c r="I522" s="122">
        <v>927330</v>
      </c>
      <c r="J522" s="122">
        <v>843027</v>
      </c>
      <c r="K522">
        <v>78</v>
      </c>
      <c r="L522" s="122">
        <v>223484</v>
      </c>
      <c r="M522" s="122">
        <v>197857</v>
      </c>
      <c r="N522" s="122">
        <v>76428</v>
      </c>
      <c r="O522" s="122">
        <v>28307</v>
      </c>
      <c r="P522" s="122">
        <v>12434</v>
      </c>
      <c r="Q522" s="122">
        <v>4605</v>
      </c>
      <c r="R522" s="122">
        <v>110186</v>
      </c>
      <c r="S522" s="122">
        <v>100169</v>
      </c>
      <c r="T522" s="122">
        <v>26834</v>
      </c>
      <c r="U522" s="122">
        <v>9939</v>
      </c>
      <c r="V522" s="122">
        <v>1183903</v>
      </c>
      <c r="W522" s="122">
        <f t="shared" si="16"/>
        <v>1183904</v>
      </c>
      <c r="X522" s="122">
        <f t="shared" si="17"/>
        <v>1376696</v>
      </c>
      <c r="Y522" s="122"/>
      <c r="AA522" t="s">
        <v>54</v>
      </c>
      <c r="AB522" t="s">
        <v>137</v>
      </c>
      <c r="AC522" t="s">
        <v>431</v>
      </c>
      <c r="AD522" t="s">
        <v>137</v>
      </c>
      <c r="AE522" t="s">
        <v>137</v>
      </c>
      <c r="AF522">
        <v>1</v>
      </c>
      <c r="AG522">
        <v>247</v>
      </c>
      <c r="AH522">
        <v>138</v>
      </c>
      <c r="AI522" s="122">
        <v>19964</v>
      </c>
      <c r="AJ522" s="122">
        <v>7394</v>
      </c>
      <c r="AK522">
        <v>320</v>
      </c>
      <c r="AL522" s="122">
        <v>3114</v>
      </c>
      <c r="AM522" s="122">
        <v>2831</v>
      </c>
      <c r="AN522" s="122">
        <v>5413</v>
      </c>
      <c r="AO522" s="122">
        <v>2005</v>
      </c>
      <c r="AP522" s="122">
        <v>1404</v>
      </c>
      <c r="AQ522" s="122">
        <v>520</v>
      </c>
      <c r="AR522" s="122">
        <v>4192</v>
      </c>
      <c r="AS522" s="122">
        <v>1553</v>
      </c>
      <c r="AT522">
        <v>0</v>
      </c>
      <c r="AU522">
        <v>0</v>
      </c>
      <c r="AV522" s="122">
        <v>14302</v>
      </c>
    </row>
    <row r="523" spans="2:48" hidden="1">
      <c r="B523" t="s">
        <v>365</v>
      </c>
      <c r="C523" t="s">
        <v>62</v>
      </c>
      <c r="D523" t="s">
        <v>137</v>
      </c>
      <c r="E523" t="s">
        <v>137</v>
      </c>
      <c r="F523">
        <v>124</v>
      </c>
      <c r="G523" s="122">
        <v>13013</v>
      </c>
      <c r="H523" s="122">
        <v>51545</v>
      </c>
      <c r="I523" s="122">
        <v>3677732</v>
      </c>
      <c r="J523" s="122">
        <v>1362123</v>
      </c>
      <c r="K523">
        <v>102</v>
      </c>
      <c r="L523" s="122">
        <v>553737</v>
      </c>
      <c r="M523" s="122">
        <v>460728</v>
      </c>
      <c r="N523" s="122">
        <v>279086</v>
      </c>
      <c r="O523" s="122">
        <v>103365</v>
      </c>
      <c r="P523" s="122">
        <v>3612</v>
      </c>
      <c r="Q523" s="122">
        <v>1338</v>
      </c>
      <c r="R523" s="122">
        <v>970450</v>
      </c>
      <c r="S523" s="122">
        <v>359426</v>
      </c>
      <c r="T523" s="122">
        <v>2409</v>
      </c>
      <c r="U523" s="122">
        <v>892</v>
      </c>
      <c r="V523" s="122">
        <v>2287872</v>
      </c>
      <c r="W523" s="122">
        <f t="shared" si="16"/>
        <v>2287872</v>
      </c>
      <c r="X523" s="122">
        <f t="shared" si="17"/>
        <v>5487026</v>
      </c>
      <c r="Y523" s="122"/>
      <c r="AA523" t="s">
        <v>54</v>
      </c>
      <c r="AB523" t="s">
        <v>137</v>
      </c>
      <c r="AC523" t="s">
        <v>431</v>
      </c>
      <c r="AD523" t="s">
        <v>137</v>
      </c>
      <c r="AE523" t="s">
        <v>566</v>
      </c>
      <c r="AF523">
        <v>2</v>
      </c>
      <c r="AG523" s="122">
        <v>371</v>
      </c>
      <c r="AH523" s="122">
        <v>280</v>
      </c>
      <c r="AI523" s="122">
        <v>25938</v>
      </c>
      <c r="AJ523" s="122">
        <v>9607</v>
      </c>
      <c r="AK523">
        <v>275</v>
      </c>
      <c r="AL523" s="122">
        <v>8747</v>
      </c>
      <c r="AM523" s="122">
        <v>7951</v>
      </c>
      <c r="AN523" s="122">
        <v>6969</v>
      </c>
      <c r="AO523" s="122">
        <v>2581</v>
      </c>
      <c r="AP523" s="122">
        <v>3497</v>
      </c>
      <c r="AQ523" s="122">
        <v>1295</v>
      </c>
      <c r="AR523" s="122">
        <v>15506</v>
      </c>
      <c r="AS523" s="122">
        <v>5743</v>
      </c>
      <c r="AT523" s="122">
        <v>0</v>
      </c>
      <c r="AU523" s="122">
        <v>0</v>
      </c>
      <c r="AV523" s="122">
        <v>27178</v>
      </c>
    </row>
    <row r="524" spans="2:48" hidden="1">
      <c r="B524" t="s">
        <v>365</v>
      </c>
      <c r="C524" t="s">
        <v>62</v>
      </c>
      <c r="D524" t="s">
        <v>137</v>
      </c>
      <c r="E524" t="s">
        <v>406</v>
      </c>
      <c r="F524">
        <v>1</v>
      </c>
      <c r="G524" s="122">
        <v>144</v>
      </c>
      <c r="H524" s="122">
        <v>381</v>
      </c>
      <c r="I524" s="122">
        <v>41045</v>
      </c>
      <c r="J524" s="122">
        <v>15202</v>
      </c>
      <c r="K524">
        <v>100</v>
      </c>
      <c r="L524" s="122">
        <v>3716</v>
      </c>
      <c r="M524" s="122">
        <v>3378</v>
      </c>
      <c r="N524" s="122">
        <v>3301</v>
      </c>
      <c r="O524" s="122">
        <v>1222</v>
      </c>
      <c r="P524" s="122">
        <v>0</v>
      </c>
      <c r="Q524" s="122">
        <v>0</v>
      </c>
      <c r="R524" s="122">
        <v>3858</v>
      </c>
      <c r="S524" s="122">
        <v>3507</v>
      </c>
      <c r="T524" s="122">
        <v>2955</v>
      </c>
      <c r="U524" s="122">
        <v>1094</v>
      </c>
      <c r="V524" s="122">
        <v>24404</v>
      </c>
      <c r="W524" s="122">
        <f t="shared" si="16"/>
        <v>24403</v>
      </c>
      <c r="X524" s="122">
        <f t="shared" si="17"/>
        <v>54875</v>
      </c>
      <c r="Y524" s="122"/>
      <c r="AA524" t="s">
        <v>54</v>
      </c>
      <c r="AB524" t="s">
        <v>137</v>
      </c>
      <c r="AC524" t="s">
        <v>426</v>
      </c>
      <c r="AD524" t="s">
        <v>137</v>
      </c>
      <c r="AE524" t="s">
        <v>137</v>
      </c>
      <c r="AF524">
        <v>17</v>
      </c>
      <c r="AG524" s="122">
        <v>3103</v>
      </c>
      <c r="AH524" s="122">
        <v>2362</v>
      </c>
      <c r="AI524" s="122">
        <v>236753</v>
      </c>
      <c r="AJ524" s="122">
        <v>87686</v>
      </c>
      <c r="AK524">
        <v>317</v>
      </c>
      <c r="AL524" s="122">
        <v>71494</v>
      </c>
      <c r="AM524" s="122">
        <v>64995</v>
      </c>
      <c r="AN524" s="122">
        <v>59610</v>
      </c>
      <c r="AO524" s="122">
        <v>22078</v>
      </c>
      <c r="AP524" s="122">
        <v>9575</v>
      </c>
      <c r="AQ524" s="122">
        <v>3546</v>
      </c>
      <c r="AR524" s="122">
        <v>107176</v>
      </c>
      <c r="AS524" s="122">
        <v>39695</v>
      </c>
      <c r="AT524" s="122">
        <v>3493</v>
      </c>
      <c r="AU524" s="122">
        <v>1294</v>
      </c>
      <c r="AV524" s="122">
        <v>219294</v>
      </c>
    </row>
    <row r="525" spans="2:48" hidden="1">
      <c r="B525" t="s">
        <v>365</v>
      </c>
      <c r="C525" t="s">
        <v>62</v>
      </c>
      <c r="D525" t="s">
        <v>137</v>
      </c>
      <c r="E525" t="s">
        <v>426</v>
      </c>
      <c r="F525">
        <v>6</v>
      </c>
      <c r="G525" s="122">
        <v>641</v>
      </c>
      <c r="H525" s="122">
        <v>2585</v>
      </c>
      <c r="I525" s="122">
        <v>192674</v>
      </c>
      <c r="J525" s="122">
        <v>71361</v>
      </c>
      <c r="K525">
        <v>100</v>
      </c>
      <c r="L525" s="122">
        <v>25223</v>
      </c>
      <c r="M525" s="122">
        <v>22930</v>
      </c>
      <c r="N525" s="122">
        <v>11244</v>
      </c>
      <c r="O525" s="122">
        <v>4164</v>
      </c>
      <c r="P525" s="122">
        <v>702</v>
      </c>
      <c r="Q525" s="122">
        <v>260</v>
      </c>
      <c r="R525" s="122">
        <v>38003</v>
      </c>
      <c r="S525" s="122">
        <v>34548</v>
      </c>
      <c r="T525" s="122">
        <v>8518</v>
      </c>
      <c r="U525" s="122">
        <v>3155</v>
      </c>
      <c r="V525" s="122">
        <v>136418</v>
      </c>
      <c r="W525" s="122">
        <f t="shared" si="16"/>
        <v>136418</v>
      </c>
      <c r="X525" s="122">
        <f t="shared" si="17"/>
        <v>276364</v>
      </c>
      <c r="Y525" s="122"/>
      <c r="AA525" t="s">
        <v>54</v>
      </c>
      <c r="AB525" t="s">
        <v>137</v>
      </c>
      <c r="AC525" t="s">
        <v>426</v>
      </c>
      <c r="AD525" t="s">
        <v>137</v>
      </c>
      <c r="AE525" t="s">
        <v>566</v>
      </c>
      <c r="AF525">
        <v>310</v>
      </c>
      <c r="AG525" s="122">
        <v>67673</v>
      </c>
      <c r="AH525" s="122">
        <v>43040</v>
      </c>
      <c r="AI525" s="122">
        <v>4507488</v>
      </c>
      <c r="AJ525" s="122">
        <v>1669440</v>
      </c>
      <c r="AK525">
        <v>313</v>
      </c>
      <c r="AL525" s="122">
        <v>1340230</v>
      </c>
      <c r="AM525" s="122">
        <v>1218391</v>
      </c>
      <c r="AN525" s="122">
        <v>1375402</v>
      </c>
      <c r="AO525" s="122">
        <v>509408</v>
      </c>
      <c r="AP525" s="122">
        <v>238666</v>
      </c>
      <c r="AQ525" s="122">
        <v>88395</v>
      </c>
      <c r="AR525" s="122">
        <v>2445819</v>
      </c>
      <c r="AS525" s="122">
        <v>905859</v>
      </c>
      <c r="AT525" s="122">
        <v>0</v>
      </c>
      <c r="AU525" s="122">
        <v>0</v>
      </c>
      <c r="AV525" s="122">
        <v>4391493</v>
      </c>
    </row>
    <row r="526" spans="2:48" hidden="1">
      <c r="B526" t="s">
        <v>365</v>
      </c>
      <c r="C526" t="s">
        <v>62</v>
      </c>
      <c r="D526" t="s">
        <v>406</v>
      </c>
      <c r="E526" t="s">
        <v>425</v>
      </c>
      <c r="F526">
        <v>1</v>
      </c>
      <c r="G526" s="122">
        <v>101</v>
      </c>
      <c r="H526" s="122">
        <v>431</v>
      </c>
      <c r="I526" s="122">
        <v>28753</v>
      </c>
      <c r="J526" s="122">
        <v>26139</v>
      </c>
      <c r="K526">
        <v>79</v>
      </c>
      <c r="L526" s="122">
        <v>7987</v>
      </c>
      <c r="M526" s="122">
        <v>7261</v>
      </c>
      <c r="N526" s="122">
        <v>2466</v>
      </c>
      <c r="O526" s="122">
        <v>913</v>
      </c>
      <c r="P526" s="122">
        <v>621</v>
      </c>
      <c r="Q526" s="122">
        <v>230</v>
      </c>
      <c r="R526" s="122">
        <v>3794</v>
      </c>
      <c r="S526" s="122">
        <v>3449</v>
      </c>
      <c r="T526">
        <v>0</v>
      </c>
      <c r="U526">
        <v>0</v>
      </c>
      <c r="V526" s="122">
        <v>37992</v>
      </c>
      <c r="W526" s="122">
        <f t="shared" si="16"/>
        <v>37992</v>
      </c>
      <c r="X526" s="122">
        <f t="shared" si="17"/>
        <v>43621</v>
      </c>
      <c r="Y526" s="122"/>
      <c r="AA526" t="s">
        <v>54</v>
      </c>
      <c r="AB526" t="s">
        <v>137</v>
      </c>
      <c r="AC526" t="s">
        <v>426</v>
      </c>
      <c r="AD526" t="s">
        <v>406</v>
      </c>
      <c r="AE526" t="s">
        <v>137</v>
      </c>
      <c r="AF526">
        <v>2</v>
      </c>
      <c r="AG526">
        <v>609</v>
      </c>
      <c r="AH526">
        <v>283</v>
      </c>
      <c r="AI526" s="122">
        <v>42083</v>
      </c>
      <c r="AJ526" s="122">
        <v>15586</v>
      </c>
      <c r="AK526">
        <v>172</v>
      </c>
      <c r="AL526" s="122">
        <v>11951</v>
      </c>
      <c r="AM526" s="122">
        <v>10864</v>
      </c>
      <c r="AN526" s="122">
        <v>12084</v>
      </c>
      <c r="AO526" s="122">
        <v>4476</v>
      </c>
      <c r="AP526" s="122">
        <v>3630</v>
      </c>
      <c r="AQ526" s="122">
        <v>1344</v>
      </c>
      <c r="AR526" s="122">
        <v>11770</v>
      </c>
      <c r="AS526" s="122">
        <v>10700</v>
      </c>
      <c r="AT526" s="122">
        <v>3100</v>
      </c>
      <c r="AU526" s="122">
        <v>1148</v>
      </c>
      <c r="AV526" s="122">
        <v>44119</v>
      </c>
    </row>
    <row r="527" spans="2:48" hidden="1">
      <c r="B527" t="s">
        <v>365</v>
      </c>
      <c r="C527" t="s">
        <v>62</v>
      </c>
      <c r="D527" t="s">
        <v>406</v>
      </c>
      <c r="E527" t="s">
        <v>137</v>
      </c>
      <c r="F527">
        <v>19</v>
      </c>
      <c r="G527" s="122">
        <v>2239</v>
      </c>
      <c r="H527" s="122">
        <v>7944</v>
      </c>
      <c r="I527" s="122">
        <v>641500</v>
      </c>
      <c r="J527" s="122">
        <v>583182</v>
      </c>
      <c r="K527">
        <v>80</v>
      </c>
      <c r="L527" s="122">
        <v>134652</v>
      </c>
      <c r="M527" s="122">
        <v>115111</v>
      </c>
      <c r="N527" s="122">
        <v>49798</v>
      </c>
      <c r="O527" s="122">
        <v>18444</v>
      </c>
      <c r="P527" s="122">
        <v>12150</v>
      </c>
      <c r="Q527" s="122">
        <v>4500</v>
      </c>
      <c r="R527" s="122">
        <v>125235</v>
      </c>
      <c r="S527" s="122">
        <v>46383</v>
      </c>
      <c r="T527" s="122">
        <v>0</v>
      </c>
      <c r="U527" s="122">
        <v>0</v>
      </c>
      <c r="V527" s="122">
        <v>767619</v>
      </c>
      <c r="W527" s="122">
        <f t="shared" si="16"/>
        <v>767620</v>
      </c>
      <c r="X527" s="122">
        <f t="shared" si="17"/>
        <v>963335</v>
      </c>
      <c r="Y527" s="122"/>
      <c r="AA527" t="s">
        <v>54</v>
      </c>
      <c r="AB527" t="s">
        <v>137</v>
      </c>
      <c r="AC527" t="s">
        <v>426</v>
      </c>
      <c r="AD527" t="s">
        <v>406</v>
      </c>
      <c r="AE527" t="s">
        <v>566</v>
      </c>
      <c r="AF527">
        <v>1</v>
      </c>
      <c r="AG527">
        <v>147</v>
      </c>
      <c r="AH527">
        <v>141</v>
      </c>
      <c r="AI527" s="122">
        <v>11316</v>
      </c>
      <c r="AJ527" s="122">
        <v>4191</v>
      </c>
      <c r="AK527">
        <v>320</v>
      </c>
      <c r="AL527" s="122">
        <v>2732</v>
      </c>
      <c r="AM527" s="122">
        <v>2484</v>
      </c>
      <c r="AN527" s="122">
        <v>2064</v>
      </c>
      <c r="AO527" s="122">
        <v>764</v>
      </c>
      <c r="AP527" s="122">
        <v>972</v>
      </c>
      <c r="AQ527" s="122">
        <v>360</v>
      </c>
      <c r="AR527" s="122">
        <v>3736</v>
      </c>
      <c r="AS527" s="122">
        <v>3396</v>
      </c>
      <c r="AT527">
        <v>0</v>
      </c>
      <c r="AU527">
        <v>0</v>
      </c>
      <c r="AV527" s="122">
        <v>11195</v>
      </c>
    </row>
    <row r="528" spans="2:48" hidden="1">
      <c r="B528" t="s">
        <v>365</v>
      </c>
      <c r="C528" t="s">
        <v>62</v>
      </c>
      <c r="D528" t="s">
        <v>406</v>
      </c>
      <c r="E528" t="s">
        <v>406</v>
      </c>
      <c r="F528">
        <v>871</v>
      </c>
      <c r="G528" s="122">
        <v>104645</v>
      </c>
      <c r="H528" s="122">
        <v>361520</v>
      </c>
      <c r="I528" s="122">
        <v>29052699</v>
      </c>
      <c r="J528" s="122">
        <v>26411544</v>
      </c>
      <c r="K528">
        <v>76</v>
      </c>
      <c r="L528" s="122">
        <v>5979852</v>
      </c>
      <c r="M528" s="122">
        <v>5291810</v>
      </c>
      <c r="N528" s="122">
        <v>2289189</v>
      </c>
      <c r="O528" s="122">
        <v>847848</v>
      </c>
      <c r="P528" s="122">
        <v>557791</v>
      </c>
      <c r="Q528" s="122">
        <v>206589</v>
      </c>
      <c r="R528" s="122">
        <v>4585974</v>
      </c>
      <c r="S528" s="122">
        <v>4169067</v>
      </c>
      <c r="T528" s="122">
        <v>1422922</v>
      </c>
      <c r="U528" s="122">
        <v>527008</v>
      </c>
      <c r="V528" s="122">
        <v>37453866</v>
      </c>
      <c r="W528" s="122">
        <f t="shared" si="16"/>
        <v>37453866</v>
      </c>
      <c r="X528" s="122">
        <f t="shared" si="17"/>
        <v>43888427</v>
      </c>
      <c r="Y528" s="122"/>
      <c r="AA528" t="s">
        <v>54</v>
      </c>
      <c r="AB528" t="s">
        <v>137</v>
      </c>
      <c r="AC528" t="s">
        <v>426</v>
      </c>
      <c r="AD528" t="s">
        <v>407</v>
      </c>
      <c r="AE528" t="s">
        <v>566</v>
      </c>
      <c r="AF528">
        <v>1</v>
      </c>
      <c r="AG528">
        <v>440</v>
      </c>
      <c r="AH528">
        <v>144</v>
      </c>
      <c r="AI528" s="122">
        <v>33726</v>
      </c>
      <c r="AJ528" s="122">
        <v>12491</v>
      </c>
      <c r="AK528">
        <v>250</v>
      </c>
      <c r="AL528" s="122">
        <v>9542</v>
      </c>
      <c r="AM528" s="122">
        <v>8674</v>
      </c>
      <c r="AN528" s="122">
        <v>10442</v>
      </c>
      <c r="AO528" s="122">
        <v>3867</v>
      </c>
      <c r="AP528" s="122">
        <v>4956</v>
      </c>
      <c r="AQ528" s="122">
        <v>1836</v>
      </c>
      <c r="AR528" s="122">
        <v>4675</v>
      </c>
      <c r="AS528" s="122">
        <v>4250</v>
      </c>
      <c r="AT528" s="122">
        <v>0</v>
      </c>
      <c r="AU528" s="122">
        <v>0</v>
      </c>
      <c r="AV528" s="122">
        <v>31118</v>
      </c>
    </row>
    <row r="529" spans="2:48" hidden="1">
      <c r="B529" t="s">
        <v>365</v>
      </c>
      <c r="C529" t="s">
        <v>62</v>
      </c>
      <c r="D529" t="s">
        <v>406</v>
      </c>
      <c r="E529" t="s">
        <v>427</v>
      </c>
      <c r="F529">
        <v>1</v>
      </c>
      <c r="G529" s="122">
        <v>80</v>
      </c>
      <c r="H529" s="122">
        <v>387</v>
      </c>
      <c r="I529" s="122">
        <v>20884</v>
      </c>
      <c r="J529" s="122">
        <v>18985</v>
      </c>
      <c r="K529">
        <v>86</v>
      </c>
      <c r="L529" s="122">
        <v>3148</v>
      </c>
      <c r="M529" s="122">
        <v>2862</v>
      </c>
      <c r="N529" s="122">
        <v>1939</v>
      </c>
      <c r="O529" s="122">
        <v>718</v>
      </c>
      <c r="P529" s="122">
        <v>621</v>
      </c>
      <c r="Q529" s="122">
        <v>230</v>
      </c>
      <c r="R529" s="122">
        <v>4248</v>
      </c>
      <c r="S529" s="122">
        <v>3862</v>
      </c>
      <c r="T529" s="122">
        <v>0</v>
      </c>
      <c r="U529" s="122">
        <v>0</v>
      </c>
      <c r="V529" s="122">
        <v>26658</v>
      </c>
      <c r="W529" s="122">
        <f t="shared" si="16"/>
        <v>26657</v>
      </c>
      <c r="X529" s="122">
        <f t="shared" si="17"/>
        <v>30840</v>
      </c>
      <c r="Y529" s="122"/>
      <c r="AA529" t="s">
        <v>54</v>
      </c>
      <c r="AB529" t="s">
        <v>137</v>
      </c>
      <c r="AC529" t="s">
        <v>426</v>
      </c>
      <c r="AD529" t="s">
        <v>426</v>
      </c>
      <c r="AE529" t="s">
        <v>137</v>
      </c>
      <c r="AF529">
        <v>2</v>
      </c>
      <c r="AG529">
        <v>587</v>
      </c>
      <c r="AH529">
        <v>294</v>
      </c>
      <c r="AI529" s="122">
        <v>47139</v>
      </c>
      <c r="AJ529" s="122">
        <v>17459</v>
      </c>
      <c r="AK529">
        <v>210</v>
      </c>
      <c r="AL529" s="122">
        <v>6045</v>
      </c>
      <c r="AM529" s="122">
        <v>5496</v>
      </c>
      <c r="AN529" s="122">
        <v>10832</v>
      </c>
      <c r="AO529" s="122">
        <v>4012</v>
      </c>
      <c r="AP529">
        <v>702</v>
      </c>
      <c r="AQ529">
        <v>260</v>
      </c>
      <c r="AR529" s="122">
        <v>13054</v>
      </c>
      <c r="AS529" s="122">
        <v>11867</v>
      </c>
      <c r="AT529" s="122">
        <v>8670</v>
      </c>
      <c r="AU529" s="122">
        <v>3211</v>
      </c>
      <c r="AV529" s="122">
        <v>42305</v>
      </c>
    </row>
    <row r="530" spans="2:48" hidden="1">
      <c r="B530" t="s">
        <v>365</v>
      </c>
      <c r="C530" t="s">
        <v>62</v>
      </c>
      <c r="D530" t="s">
        <v>406</v>
      </c>
      <c r="E530" t="s">
        <v>407</v>
      </c>
      <c r="F530">
        <v>2</v>
      </c>
      <c r="G530" s="122">
        <v>1167</v>
      </c>
      <c r="H530">
        <v>773</v>
      </c>
      <c r="I530" s="122">
        <v>307898</v>
      </c>
      <c r="J530" s="122">
        <v>279907</v>
      </c>
      <c r="K530">
        <v>82</v>
      </c>
      <c r="L530" s="122">
        <v>98542</v>
      </c>
      <c r="M530" s="122">
        <v>89584</v>
      </c>
      <c r="N530" s="122">
        <v>25611</v>
      </c>
      <c r="O530" s="122">
        <v>9485</v>
      </c>
      <c r="P530" s="122">
        <v>1364</v>
      </c>
      <c r="Q530" s="122">
        <v>505</v>
      </c>
      <c r="R530" s="122">
        <v>17575</v>
      </c>
      <c r="S530" s="122">
        <v>15977</v>
      </c>
      <c r="T530" s="122">
        <v>0</v>
      </c>
      <c r="U530" s="122">
        <v>0</v>
      </c>
      <c r="V530" s="122">
        <v>395458</v>
      </c>
      <c r="W530" s="122">
        <f t="shared" si="16"/>
        <v>395458</v>
      </c>
      <c r="X530" s="122">
        <f t="shared" si="17"/>
        <v>450990</v>
      </c>
      <c r="Y530" s="122"/>
      <c r="AA530" t="s">
        <v>54</v>
      </c>
      <c r="AB530" t="s">
        <v>137</v>
      </c>
      <c r="AC530" t="s">
        <v>426</v>
      </c>
      <c r="AD530" t="s">
        <v>408</v>
      </c>
      <c r="AE530" t="s">
        <v>566</v>
      </c>
      <c r="AF530">
        <v>1</v>
      </c>
      <c r="AG530">
        <v>275</v>
      </c>
      <c r="AH530">
        <v>148</v>
      </c>
      <c r="AI530" s="122">
        <v>24321</v>
      </c>
      <c r="AJ530" s="122">
        <v>9008</v>
      </c>
      <c r="AK530">
        <v>250</v>
      </c>
      <c r="AL530" s="122">
        <v>3211</v>
      </c>
      <c r="AM530" s="122">
        <v>2919</v>
      </c>
      <c r="AN530" s="122">
        <v>3346</v>
      </c>
      <c r="AO530" s="122">
        <v>1239</v>
      </c>
      <c r="AP530" s="122">
        <v>351</v>
      </c>
      <c r="AQ530">
        <v>130</v>
      </c>
      <c r="AR530" s="122">
        <v>9345</v>
      </c>
      <c r="AS530" s="122">
        <v>8495</v>
      </c>
      <c r="AT530" s="122">
        <v>0</v>
      </c>
      <c r="AU530" s="122">
        <v>0</v>
      </c>
      <c r="AV530" s="122">
        <v>21791</v>
      </c>
    </row>
    <row r="531" spans="2:48" hidden="1">
      <c r="B531" t="s">
        <v>365</v>
      </c>
      <c r="C531" t="s">
        <v>62</v>
      </c>
      <c r="D531" t="s">
        <v>406</v>
      </c>
      <c r="E531" t="s">
        <v>426</v>
      </c>
      <c r="F531">
        <v>1</v>
      </c>
      <c r="G531" s="122">
        <v>102</v>
      </c>
      <c r="H531" s="122">
        <v>439</v>
      </c>
      <c r="I531" s="122">
        <v>35479</v>
      </c>
      <c r="J531" s="122">
        <v>32253</v>
      </c>
      <c r="K531">
        <v>65</v>
      </c>
      <c r="L531" s="122">
        <v>4060</v>
      </c>
      <c r="M531" s="122">
        <v>3691</v>
      </c>
      <c r="N531" s="122">
        <v>2483</v>
      </c>
      <c r="O531" s="122">
        <v>920</v>
      </c>
      <c r="P531" s="122">
        <v>621</v>
      </c>
      <c r="Q531">
        <v>230</v>
      </c>
      <c r="R531" s="122">
        <v>2105</v>
      </c>
      <c r="S531" s="122">
        <v>1914</v>
      </c>
      <c r="T531" s="122">
        <v>0</v>
      </c>
      <c r="U531" s="122">
        <v>0</v>
      </c>
      <c r="V531" s="122">
        <v>39008</v>
      </c>
      <c r="W531" s="122">
        <f t="shared" si="16"/>
        <v>39008</v>
      </c>
      <c r="X531" s="122">
        <f t="shared" si="17"/>
        <v>44748</v>
      </c>
      <c r="Y531" s="122"/>
      <c r="AA531" t="s">
        <v>54</v>
      </c>
      <c r="AB531" t="s">
        <v>137</v>
      </c>
      <c r="AC531" t="s">
        <v>566</v>
      </c>
      <c r="AD531" t="s">
        <v>137</v>
      </c>
      <c r="AE531" t="s">
        <v>137</v>
      </c>
      <c r="AF531">
        <v>3</v>
      </c>
      <c r="AG531" s="122">
        <v>626</v>
      </c>
      <c r="AH531" s="122">
        <v>402</v>
      </c>
      <c r="AI531" s="122">
        <v>45864</v>
      </c>
      <c r="AJ531" s="122">
        <v>16987</v>
      </c>
      <c r="AK531">
        <v>300</v>
      </c>
      <c r="AL531">
        <v>0</v>
      </c>
      <c r="AM531" s="122">
        <v>0</v>
      </c>
      <c r="AN531" s="122">
        <v>9747</v>
      </c>
      <c r="AO531" s="122">
        <v>3610</v>
      </c>
      <c r="AP531" s="122">
        <v>1053</v>
      </c>
      <c r="AQ531" s="122">
        <v>390</v>
      </c>
      <c r="AR531" s="122">
        <v>32523</v>
      </c>
      <c r="AS531" s="122">
        <v>12045</v>
      </c>
      <c r="AT531" s="122">
        <v>4876</v>
      </c>
      <c r="AU531" s="122">
        <v>1806</v>
      </c>
      <c r="AV531" s="122">
        <v>34838</v>
      </c>
    </row>
    <row r="532" spans="2:48" hidden="1">
      <c r="B532" t="s">
        <v>365</v>
      </c>
      <c r="C532" t="s">
        <v>62</v>
      </c>
      <c r="D532" t="s">
        <v>427</v>
      </c>
      <c r="E532" t="s">
        <v>137</v>
      </c>
      <c r="F532">
        <v>2</v>
      </c>
      <c r="G532" s="122">
        <v>175</v>
      </c>
      <c r="H532" s="122">
        <v>816</v>
      </c>
      <c r="I532" s="122">
        <v>58362</v>
      </c>
      <c r="J532" s="122">
        <v>53057</v>
      </c>
      <c r="K532">
        <v>60</v>
      </c>
      <c r="L532" s="122">
        <v>3283</v>
      </c>
      <c r="M532" s="122">
        <v>12230</v>
      </c>
      <c r="N532" s="122">
        <v>4852</v>
      </c>
      <c r="O532" s="122">
        <v>1797</v>
      </c>
      <c r="P532" s="122">
        <v>351</v>
      </c>
      <c r="Q532" s="122">
        <v>130</v>
      </c>
      <c r="R532" s="122">
        <v>15108</v>
      </c>
      <c r="S532" s="122">
        <v>5595</v>
      </c>
      <c r="T532" s="122">
        <v>0</v>
      </c>
      <c r="U532" s="122">
        <v>0</v>
      </c>
      <c r="V532" s="122">
        <v>72810</v>
      </c>
      <c r="W532" s="122">
        <f t="shared" si="16"/>
        <v>72809</v>
      </c>
      <c r="X532" s="122">
        <f t="shared" si="17"/>
        <v>81956</v>
      </c>
      <c r="Y532" s="122"/>
      <c r="AA532" t="s">
        <v>54</v>
      </c>
      <c r="AB532" t="s">
        <v>137</v>
      </c>
      <c r="AC532" t="s">
        <v>566</v>
      </c>
      <c r="AD532" t="s">
        <v>137</v>
      </c>
      <c r="AE532" t="s">
        <v>566</v>
      </c>
      <c r="AF532">
        <v>38</v>
      </c>
      <c r="AG532" s="122">
        <v>6217</v>
      </c>
      <c r="AH532" s="122">
        <v>5271</v>
      </c>
      <c r="AI532" s="122">
        <v>508941</v>
      </c>
      <c r="AJ532" s="122">
        <v>188497</v>
      </c>
      <c r="AK532">
        <v>272</v>
      </c>
      <c r="AL532" s="122">
        <v>0</v>
      </c>
      <c r="AM532" s="122">
        <v>11025</v>
      </c>
      <c r="AN532" s="122">
        <v>129224</v>
      </c>
      <c r="AO532" s="122">
        <v>47861</v>
      </c>
      <c r="AP532" s="122">
        <v>36361</v>
      </c>
      <c r="AQ532" s="122">
        <v>13467</v>
      </c>
      <c r="AR532" s="122">
        <v>263608</v>
      </c>
      <c r="AS532" s="122">
        <v>97632</v>
      </c>
      <c r="AT532">
        <v>0</v>
      </c>
      <c r="AU532">
        <v>0</v>
      </c>
      <c r="AV532" s="122">
        <v>358481</v>
      </c>
    </row>
    <row r="533" spans="2:48" hidden="1">
      <c r="B533" t="s">
        <v>365</v>
      </c>
      <c r="C533" t="s">
        <v>62</v>
      </c>
      <c r="D533" t="s">
        <v>427</v>
      </c>
      <c r="E533" t="s">
        <v>427</v>
      </c>
      <c r="F533">
        <v>10</v>
      </c>
      <c r="G533">
        <v>998</v>
      </c>
      <c r="H533" s="122">
        <v>4129</v>
      </c>
      <c r="I533" s="122">
        <v>273789</v>
      </c>
      <c r="J533" s="122">
        <v>248899</v>
      </c>
      <c r="K533">
        <v>59</v>
      </c>
      <c r="L533" s="122">
        <v>33064</v>
      </c>
      <c r="M533" s="122">
        <v>25195</v>
      </c>
      <c r="N533" s="122">
        <v>20944</v>
      </c>
      <c r="O533" s="122">
        <v>7757</v>
      </c>
      <c r="P533" s="122">
        <v>3510</v>
      </c>
      <c r="Q533" s="122">
        <v>1300</v>
      </c>
      <c r="R533" s="122">
        <v>55830</v>
      </c>
      <c r="S533" s="122">
        <v>50754</v>
      </c>
      <c r="T533" s="122">
        <v>25325</v>
      </c>
      <c r="U533" s="122">
        <v>9380</v>
      </c>
      <c r="V533" s="122">
        <v>343284</v>
      </c>
      <c r="W533" s="122">
        <f t="shared" si="16"/>
        <v>343285</v>
      </c>
      <c r="X533" s="122">
        <f t="shared" si="17"/>
        <v>412462</v>
      </c>
      <c r="Y533" s="122"/>
      <c r="AA533" t="s">
        <v>54</v>
      </c>
      <c r="AB533" t="s">
        <v>137</v>
      </c>
      <c r="AC533" t="s">
        <v>433</v>
      </c>
      <c r="AD533" t="s">
        <v>137</v>
      </c>
      <c r="AE533" t="s">
        <v>137</v>
      </c>
      <c r="AF533">
        <v>3</v>
      </c>
      <c r="AG533" s="122">
        <v>700</v>
      </c>
      <c r="AH533" s="122">
        <v>406</v>
      </c>
      <c r="AI533" s="122">
        <v>49982</v>
      </c>
      <c r="AJ533" s="122">
        <v>18512</v>
      </c>
      <c r="AK533">
        <v>273</v>
      </c>
      <c r="AL533" s="122">
        <v>8223</v>
      </c>
      <c r="AM533" s="122">
        <v>7475</v>
      </c>
      <c r="AN533" s="122">
        <v>10580</v>
      </c>
      <c r="AO533" s="122">
        <v>3918</v>
      </c>
      <c r="AP533" s="122">
        <v>5590</v>
      </c>
      <c r="AQ533" s="122">
        <v>2070</v>
      </c>
      <c r="AR533" s="122">
        <v>20567</v>
      </c>
      <c r="AS533" s="122">
        <v>7618</v>
      </c>
      <c r="AT533">
        <v>0</v>
      </c>
      <c r="AU533">
        <v>0</v>
      </c>
      <c r="AV533" s="122">
        <v>39593</v>
      </c>
    </row>
    <row r="534" spans="2:48" hidden="1">
      <c r="B534" t="s">
        <v>365</v>
      </c>
      <c r="C534" t="s">
        <v>62</v>
      </c>
      <c r="D534" t="s">
        <v>407</v>
      </c>
      <c r="E534" t="s">
        <v>137</v>
      </c>
      <c r="F534">
        <v>3</v>
      </c>
      <c r="G534">
        <v>432</v>
      </c>
      <c r="H534" s="122">
        <v>1208</v>
      </c>
      <c r="I534" s="122">
        <v>105222</v>
      </c>
      <c r="J534" s="122">
        <v>95656</v>
      </c>
      <c r="K534">
        <v>83</v>
      </c>
      <c r="L534" s="122">
        <v>27893</v>
      </c>
      <c r="M534" s="122">
        <v>18432</v>
      </c>
      <c r="N534" s="122">
        <v>8199</v>
      </c>
      <c r="O534" s="122">
        <v>3037</v>
      </c>
      <c r="P534" s="122">
        <v>1418</v>
      </c>
      <c r="Q534">
        <v>525</v>
      </c>
      <c r="R534" s="122">
        <v>30215</v>
      </c>
      <c r="S534" s="122">
        <v>11191</v>
      </c>
      <c r="T534" s="122">
        <v>0</v>
      </c>
      <c r="U534" s="122">
        <v>0</v>
      </c>
      <c r="V534" s="122">
        <v>128841</v>
      </c>
      <c r="W534" s="122">
        <f t="shared" si="16"/>
        <v>128841</v>
      </c>
      <c r="X534" s="122">
        <f t="shared" si="17"/>
        <v>172947</v>
      </c>
      <c r="Y534" s="122"/>
      <c r="AA534" t="s">
        <v>54</v>
      </c>
      <c r="AB534" t="s">
        <v>137</v>
      </c>
      <c r="AC534" t="s">
        <v>433</v>
      </c>
      <c r="AD534" t="s">
        <v>137</v>
      </c>
      <c r="AE534" t="s">
        <v>566</v>
      </c>
      <c r="AF534">
        <v>26</v>
      </c>
      <c r="AG534" s="122">
        <v>4079</v>
      </c>
      <c r="AH534" s="122">
        <v>3551</v>
      </c>
      <c r="AI534" s="122">
        <v>279963</v>
      </c>
      <c r="AJ534" s="122">
        <v>103690</v>
      </c>
      <c r="AK534">
        <v>334</v>
      </c>
      <c r="AL534" s="122">
        <v>54862</v>
      </c>
      <c r="AM534" s="122">
        <v>49875</v>
      </c>
      <c r="AN534" s="122">
        <v>75322</v>
      </c>
      <c r="AO534" s="122">
        <v>27897</v>
      </c>
      <c r="AP534" s="122">
        <v>23342</v>
      </c>
      <c r="AQ534" s="122">
        <v>8645</v>
      </c>
      <c r="AR534" s="122">
        <v>173123</v>
      </c>
      <c r="AS534" s="122">
        <v>64120</v>
      </c>
      <c r="AT534" s="122">
        <v>0</v>
      </c>
      <c r="AU534" s="122">
        <v>0</v>
      </c>
      <c r="AV534" s="122">
        <v>254226</v>
      </c>
    </row>
    <row r="535" spans="2:48" hidden="1">
      <c r="B535" t="s">
        <v>365</v>
      </c>
      <c r="C535" t="s">
        <v>62</v>
      </c>
      <c r="D535" t="s">
        <v>407</v>
      </c>
      <c r="E535" t="s">
        <v>406</v>
      </c>
      <c r="F535">
        <v>1</v>
      </c>
      <c r="G535" s="122">
        <v>290</v>
      </c>
      <c r="H535" s="122">
        <v>410</v>
      </c>
      <c r="I535" s="122">
        <v>88966</v>
      </c>
      <c r="J535" s="122">
        <v>80878</v>
      </c>
      <c r="K535">
        <v>73</v>
      </c>
      <c r="L535" s="122">
        <v>9800</v>
      </c>
      <c r="M535" s="122">
        <v>8909</v>
      </c>
      <c r="N535" s="122">
        <v>6360</v>
      </c>
      <c r="O535" s="122">
        <v>2356</v>
      </c>
      <c r="P535" s="122">
        <v>972</v>
      </c>
      <c r="Q535" s="122">
        <v>360</v>
      </c>
      <c r="R535" s="122">
        <v>7691</v>
      </c>
      <c r="S535" s="122">
        <v>6992</v>
      </c>
      <c r="T535" s="122">
        <v>5096</v>
      </c>
      <c r="U535" s="122">
        <v>1888</v>
      </c>
      <c r="V535" s="122">
        <v>101383</v>
      </c>
      <c r="W535" s="122">
        <f t="shared" si="16"/>
        <v>101383</v>
      </c>
      <c r="X535" s="122">
        <f t="shared" si="17"/>
        <v>118885</v>
      </c>
      <c r="Y535" s="122"/>
      <c r="AA535" t="s">
        <v>54</v>
      </c>
      <c r="AB535" t="s">
        <v>137</v>
      </c>
      <c r="AC535" t="s">
        <v>408</v>
      </c>
      <c r="AD535" t="s">
        <v>137</v>
      </c>
      <c r="AE535" t="s">
        <v>137</v>
      </c>
      <c r="AF535">
        <v>1</v>
      </c>
      <c r="AG535">
        <v>344</v>
      </c>
      <c r="AH535">
        <v>127</v>
      </c>
      <c r="AI535" s="122">
        <v>18355</v>
      </c>
      <c r="AJ535" s="122">
        <v>6798</v>
      </c>
      <c r="AK535">
        <v>320</v>
      </c>
      <c r="AL535" s="122">
        <v>4091</v>
      </c>
      <c r="AM535" s="122">
        <v>3719</v>
      </c>
      <c r="AN535" s="122">
        <v>7838</v>
      </c>
      <c r="AO535" s="122">
        <v>2903</v>
      </c>
      <c r="AP535">
        <v>702</v>
      </c>
      <c r="AQ535">
        <v>260</v>
      </c>
      <c r="AR535" s="122">
        <v>7943</v>
      </c>
      <c r="AS535" s="122">
        <v>2942</v>
      </c>
      <c r="AT535" s="122">
        <v>4876</v>
      </c>
      <c r="AU535" s="122">
        <v>1806</v>
      </c>
      <c r="AV535" s="122">
        <v>18428</v>
      </c>
    </row>
    <row r="536" spans="2:48" hidden="1">
      <c r="B536" t="s">
        <v>365</v>
      </c>
      <c r="C536" t="s">
        <v>62</v>
      </c>
      <c r="D536" t="s">
        <v>407</v>
      </c>
      <c r="E536" t="s">
        <v>407</v>
      </c>
      <c r="F536">
        <v>160</v>
      </c>
      <c r="G536" s="122">
        <v>18909</v>
      </c>
      <c r="H536" s="122">
        <v>66875</v>
      </c>
      <c r="I536" s="122">
        <v>5093157</v>
      </c>
      <c r="J536" s="122">
        <v>4630143</v>
      </c>
      <c r="K536">
        <v>77</v>
      </c>
      <c r="L536" s="122">
        <v>1309676</v>
      </c>
      <c r="M536" s="122">
        <v>1116363</v>
      </c>
      <c r="N536" s="122">
        <v>407555</v>
      </c>
      <c r="O536" s="122">
        <v>150946</v>
      </c>
      <c r="P536" s="122">
        <v>75141</v>
      </c>
      <c r="Q536" s="122">
        <v>27830</v>
      </c>
      <c r="R536" s="122">
        <v>848456</v>
      </c>
      <c r="S536" s="122">
        <v>771323</v>
      </c>
      <c r="T536" s="122">
        <v>236881</v>
      </c>
      <c r="U536" s="122">
        <v>87734</v>
      </c>
      <c r="V536" s="122">
        <v>6784339</v>
      </c>
      <c r="W536" s="122">
        <f t="shared" si="16"/>
        <v>6784339</v>
      </c>
      <c r="X536" s="122">
        <f t="shared" si="17"/>
        <v>7970866</v>
      </c>
      <c r="Y536" s="122"/>
      <c r="AA536" t="s">
        <v>54</v>
      </c>
      <c r="AB536" t="s">
        <v>137</v>
      </c>
      <c r="AC536" t="s">
        <v>408</v>
      </c>
      <c r="AD536" t="s">
        <v>137</v>
      </c>
      <c r="AE536" t="s">
        <v>566</v>
      </c>
      <c r="AF536">
        <v>1</v>
      </c>
      <c r="AG536">
        <v>196</v>
      </c>
      <c r="AH536">
        <v>133</v>
      </c>
      <c r="AI536" s="122">
        <v>18927</v>
      </c>
      <c r="AJ536" s="122">
        <v>7010</v>
      </c>
      <c r="AK536">
        <v>300</v>
      </c>
      <c r="AL536" s="122">
        <v>3954</v>
      </c>
      <c r="AM536" s="122">
        <v>3595</v>
      </c>
      <c r="AN536" s="122">
        <v>6492</v>
      </c>
      <c r="AO536" s="122">
        <v>2404</v>
      </c>
      <c r="AP536">
        <v>702</v>
      </c>
      <c r="AQ536">
        <v>260</v>
      </c>
      <c r="AR536" s="122">
        <v>5816</v>
      </c>
      <c r="AS536" s="122">
        <v>2154</v>
      </c>
      <c r="AT536">
        <v>0</v>
      </c>
      <c r="AU536">
        <v>0</v>
      </c>
      <c r="AV536" s="122">
        <v>15423</v>
      </c>
    </row>
    <row r="537" spans="2:48" hidden="1">
      <c r="B537" t="s">
        <v>365</v>
      </c>
      <c r="C537" t="s">
        <v>62</v>
      </c>
      <c r="D537" t="s">
        <v>556</v>
      </c>
      <c r="E537" t="s">
        <v>556</v>
      </c>
      <c r="F537">
        <v>5</v>
      </c>
      <c r="G537" s="122">
        <v>467</v>
      </c>
      <c r="H537" s="122">
        <v>2028</v>
      </c>
      <c r="I537" s="122">
        <v>122000</v>
      </c>
      <c r="J537" s="122">
        <v>101667</v>
      </c>
      <c r="K537">
        <v>62</v>
      </c>
      <c r="L537" s="122">
        <v>26167</v>
      </c>
      <c r="M537" s="122">
        <v>20645</v>
      </c>
      <c r="N537" s="122">
        <v>8923</v>
      </c>
      <c r="O537" s="122">
        <v>3305</v>
      </c>
      <c r="P537" s="122">
        <v>1755</v>
      </c>
      <c r="Q537" s="122">
        <v>650</v>
      </c>
      <c r="R537" s="122">
        <v>22412</v>
      </c>
      <c r="S537" s="122">
        <v>18677</v>
      </c>
      <c r="T537" s="122">
        <v>9347</v>
      </c>
      <c r="U537" s="122">
        <v>3462</v>
      </c>
      <c r="V537" s="122">
        <v>148405</v>
      </c>
      <c r="W537" s="122">
        <f t="shared" si="16"/>
        <v>148406</v>
      </c>
      <c r="X537" s="122">
        <f t="shared" si="17"/>
        <v>190604</v>
      </c>
      <c r="Y537" s="122"/>
      <c r="AA537" t="s">
        <v>54</v>
      </c>
      <c r="AB537" t="s">
        <v>137</v>
      </c>
      <c r="AC537" t="s">
        <v>408</v>
      </c>
      <c r="AD537" t="s">
        <v>408</v>
      </c>
      <c r="AE537" t="s">
        <v>566</v>
      </c>
      <c r="AF537">
        <v>1</v>
      </c>
      <c r="AG537">
        <v>187</v>
      </c>
      <c r="AH537">
        <v>141</v>
      </c>
      <c r="AI537" s="122">
        <v>14919</v>
      </c>
      <c r="AJ537" s="122">
        <v>5526</v>
      </c>
      <c r="AK537">
        <v>320</v>
      </c>
      <c r="AL537" s="122">
        <v>2327</v>
      </c>
      <c r="AM537" s="122">
        <v>2116</v>
      </c>
      <c r="AN537" s="122">
        <v>3557</v>
      </c>
      <c r="AO537" s="122">
        <v>1317</v>
      </c>
      <c r="AP537" s="122">
        <v>351</v>
      </c>
      <c r="AQ537">
        <v>130</v>
      </c>
      <c r="AR537" s="122">
        <v>5294</v>
      </c>
      <c r="AS537" s="122">
        <v>4813</v>
      </c>
      <c r="AT537">
        <v>0</v>
      </c>
      <c r="AU537">
        <v>0</v>
      </c>
      <c r="AV537" s="122">
        <v>13902</v>
      </c>
    </row>
    <row r="538" spans="2:48" hidden="1">
      <c r="B538" t="s">
        <v>365</v>
      </c>
      <c r="C538" t="s">
        <v>62</v>
      </c>
      <c r="D538" t="s">
        <v>426</v>
      </c>
      <c r="E538" t="s">
        <v>137</v>
      </c>
      <c r="F538">
        <v>12</v>
      </c>
      <c r="G538" s="122">
        <v>1401</v>
      </c>
      <c r="H538" s="122">
        <v>5088</v>
      </c>
      <c r="I538" s="122">
        <v>400461</v>
      </c>
      <c r="J538" s="122">
        <v>364056</v>
      </c>
      <c r="K538">
        <v>58</v>
      </c>
      <c r="L538" s="122">
        <v>54891</v>
      </c>
      <c r="M538" s="122">
        <v>26166</v>
      </c>
      <c r="N538" s="122">
        <v>26044</v>
      </c>
      <c r="O538" s="122">
        <v>9646</v>
      </c>
      <c r="P538" s="122">
        <v>1755</v>
      </c>
      <c r="Q538" s="122">
        <v>650</v>
      </c>
      <c r="R538" s="122">
        <v>113831</v>
      </c>
      <c r="S538" s="122">
        <v>42160</v>
      </c>
      <c r="T538" s="122">
        <v>3453</v>
      </c>
      <c r="U538" s="122">
        <v>1279</v>
      </c>
      <c r="V538" s="122">
        <v>443956</v>
      </c>
      <c r="W538" s="122">
        <f t="shared" si="16"/>
        <v>443957</v>
      </c>
      <c r="X538" s="122">
        <f t="shared" si="17"/>
        <v>600435</v>
      </c>
      <c r="Y538" s="122"/>
      <c r="AA538" t="s">
        <v>54</v>
      </c>
      <c r="AB538" t="s">
        <v>137</v>
      </c>
      <c r="AC538" t="s">
        <v>429</v>
      </c>
      <c r="AD538" t="s">
        <v>137</v>
      </c>
      <c r="AE538" t="s">
        <v>137</v>
      </c>
      <c r="AF538">
        <v>3</v>
      </c>
      <c r="AG538" s="122">
        <v>589</v>
      </c>
      <c r="AH538">
        <v>406</v>
      </c>
      <c r="AI538" s="122">
        <v>39759</v>
      </c>
      <c r="AJ538" s="122">
        <v>14726</v>
      </c>
      <c r="AK538">
        <v>290</v>
      </c>
      <c r="AL538" s="122">
        <v>7593</v>
      </c>
      <c r="AM538" s="122">
        <v>6903</v>
      </c>
      <c r="AN538" s="122">
        <v>12249</v>
      </c>
      <c r="AO538" s="122">
        <v>4537</v>
      </c>
      <c r="AP538" s="122">
        <v>1053</v>
      </c>
      <c r="AQ538" s="122">
        <v>390</v>
      </c>
      <c r="AR538" s="122">
        <v>18709</v>
      </c>
      <c r="AS538" s="122">
        <v>6929</v>
      </c>
      <c r="AT538">
        <v>0</v>
      </c>
      <c r="AU538">
        <v>0</v>
      </c>
      <c r="AV538" s="122">
        <v>33484</v>
      </c>
    </row>
    <row r="539" spans="2:48" hidden="1">
      <c r="B539" t="s">
        <v>365</v>
      </c>
      <c r="C539" t="s">
        <v>62</v>
      </c>
      <c r="D539" t="s">
        <v>426</v>
      </c>
      <c r="E539" t="s">
        <v>426</v>
      </c>
      <c r="F539">
        <v>82</v>
      </c>
      <c r="G539" s="122">
        <v>8573</v>
      </c>
      <c r="H539" s="122">
        <v>33860</v>
      </c>
      <c r="I539" s="122">
        <v>2415624</v>
      </c>
      <c r="J539" s="122">
        <v>2196021</v>
      </c>
      <c r="K539">
        <v>59</v>
      </c>
      <c r="L539" s="122">
        <v>353632</v>
      </c>
      <c r="M539" s="122">
        <v>296559</v>
      </c>
      <c r="N539" s="122">
        <v>181423</v>
      </c>
      <c r="O539" s="122">
        <v>67194</v>
      </c>
      <c r="P539" s="122">
        <v>28701</v>
      </c>
      <c r="Q539" s="122">
        <v>10630</v>
      </c>
      <c r="R539" s="122">
        <v>474314</v>
      </c>
      <c r="S539" s="122">
        <v>431195</v>
      </c>
      <c r="T539" s="122">
        <v>168096</v>
      </c>
      <c r="U539" s="122">
        <v>62258</v>
      </c>
      <c r="V539" s="122">
        <v>3063856</v>
      </c>
      <c r="W539" s="122">
        <f t="shared" si="16"/>
        <v>3063857</v>
      </c>
      <c r="X539" s="122">
        <f t="shared" si="17"/>
        <v>3621790</v>
      </c>
      <c r="Y539" s="122"/>
      <c r="AA539" t="s">
        <v>54</v>
      </c>
      <c r="AB539" t="s">
        <v>137</v>
      </c>
      <c r="AC539" t="s">
        <v>429</v>
      </c>
      <c r="AD539" t="s">
        <v>137</v>
      </c>
      <c r="AE539" t="s">
        <v>566</v>
      </c>
      <c r="AF539">
        <v>5</v>
      </c>
      <c r="AG539" s="122">
        <v>1488</v>
      </c>
      <c r="AH539">
        <v>694</v>
      </c>
      <c r="AI539" s="122">
        <v>112721</v>
      </c>
      <c r="AJ539" s="122">
        <v>41748</v>
      </c>
      <c r="AK539">
        <v>302</v>
      </c>
      <c r="AL539" s="122">
        <v>20220</v>
      </c>
      <c r="AM539" s="122">
        <v>18382</v>
      </c>
      <c r="AN539" s="122">
        <v>25857</v>
      </c>
      <c r="AO539" s="122">
        <v>9577</v>
      </c>
      <c r="AP539" s="122">
        <v>4833</v>
      </c>
      <c r="AQ539" s="122">
        <v>1790</v>
      </c>
      <c r="AR539" s="122">
        <v>47956</v>
      </c>
      <c r="AS539" s="122">
        <v>17761</v>
      </c>
      <c r="AT539">
        <v>0</v>
      </c>
      <c r="AU539">
        <v>0</v>
      </c>
      <c r="AV539" s="122">
        <v>89258</v>
      </c>
    </row>
    <row r="540" spans="2:48" hidden="1">
      <c r="B540" t="s">
        <v>365</v>
      </c>
      <c r="C540" t="s">
        <v>62</v>
      </c>
      <c r="D540" t="s">
        <v>433</v>
      </c>
      <c r="E540" t="s">
        <v>137</v>
      </c>
      <c r="F540">
        <v>1</v>
      </c>
      <c r="G540" s="122">
        <v>85</v>
      </c>
      <c r="H540" s="122">
        <v>383</v>
      </c>
      <c r="I540" s="122">
        <v>25913</v>
      </c>
      <c r="J540" s="122">
        <v>23557</v>
      </c>
      <c r="K540">
        <v>60</v>
      </c>
      <c r="L540" s="122">
        <v>0</v>
      </c>
      <c r="M540" s="122">
        <v>5235</v>
      </c>
      <c r="N540" s="122">
        <v>2071</v>
      </c>
      <c r="O540" s="122">
        <v>767</v>
      </c>
      <c r="P540" s="122">
        <v>0</v>
      </c>
      <c r="Q540" s="122">
        <v>0</v>
      </c>
      <c r="R540" s="122">
        <v>4602</v>
      </c>
      <c r="S540" s="122">
        <v>1704</v>
      </c>
      <c r="T540" s="122">
        <v>0</v>
      </c>
      <c r="U540" s="122">
        <v>0</v>
      </c>
      <c r="V540" s="122">
        <v>31263</v>
      </c>
      <c r="W540" s="122">
        <f t="shared" si="16"/>
        <v>31263</v>
      </c>
      <c r="X540" s="122">
        <f t="shared" si="17"/>
        <v>32586</v>
      </c>
      <c r="Y540" s="122"/>
      <c r="AA540" t="s">
        <v>54</v>
      </c>
      <c r="AB540" t="s">
        <v>483</v>
      </c>
      <c r="AC540" t="s">
        <v>426</v>
      </c>
      <c r="AD540" t="s">
        <v>483</v>
      </c>
      <c r="AE540" t="s">
        <v>566</v>
      </c>
      <c r="AF540">
        <v>1</v>
      </c>
      <c r="AG540">
        <v>119</v>
      </c>
      <c r="AH540">
        <v>134</v>
      </c>
      <c r="AI540" s="122">
        <v>7586</v>
      </c>
      <c r="AJ540" s="122">
        <v>2810</v>
      </c>
      <c r="AK540">
        <v>250</v>
      </c>
      <c r="AL540" s="122">
        <v>1431</v>
      </c>
      <c r="AM540" s="122">
        <v>1301</v>
      </c>
      <c r="AN540" s="122">
        <v>1590</v>
      </c>
      <c r="AO540" s="122">
        <v>589</v>
      </c>
      <c r="AP540" s="122">
        <v>1847</v>
      </c>
      <c r="AQ540">
        <v>684</v>
      </c>
      <c r="AR540" s="122">
        <v>3481</v>
      </c>
      <c r="AS540" s="122">
        <v>1289</v>
      </c>
      <c r="AT540" s="122">
        <v>0</v>
      </c>
      <c r="AU540" s="122">
        <v>0</v>
      </c>
      <c r="AV540" s="122">
        <v>6673</v>
      </c>
    </row>
    <row r="541" spans="2:48" hidden="1">
      <c r="B541" t="s">
        <v>365</v>
      </c>
      <c r="C541" t="s">
        <v>62</v>
      </c>
      <c r="D541" t="s">
        <v>433</v>
      </c>
      <c r="E541" t="s">
        <v>433</v>
      </c>
      <c r="F541" s="122">
        <v>3</v>
      </c>
      <c r="G541" s="122">
        <v>533</v>
      </c>
      <c r="H541" s="122">
        <v>1224</v>
      </c>
      <c r="I541" s="122">
        <v>159787</v>
      </c>
      <c r="J541" s="122">
        <v>145261</v>
      </c>
      <c r="K541">
        <v>67</v>
      </c>
      <c r="L541" s="122">
        <v>21227</v>
      </c>
      <c r="M541" s="122">
        <v>19297</v>
      </c>
      <c r="N541" s="122">
        <v>9386</v>
      </c>
      <c r="O541" s="122">
        <v>3476</v>
      </c>
      <c r="P541" s="122">
        <v>2376</v>
      </c>
      <c r="Q541" s="122">
        <v>880</v>
      </c>
      <c r="R541" s="122">
        <v>20772</v>
      </c>
      <c r="S541" s="122">
        <v>18883</v>
      </c>
      <c r="T541" s="122">
        <v>3031</v>
      </c>
      <c r="U541" s="122">
        <v>1122</v>
      </c>
      <c r="V541" s="122">
        <v>188920</v>
      </c>
      <c r="W541" s="122">
        <f t="shared" si="16"/>
        <v>188919</v>
      </c>
      <c r="X541" s="122">
        <f t="shared" si="17"/>
        <v>216579</v>
      </c>
      <c r="Y541" s="122"/>
      <c r="AA541" t="s">
        <v>54</v>
      </c>
      <c r="AB541" t="s">
        <v>430</v>
      </c>
      <c r="AC541" t="s">
        <v>566</v>
      </c>
      <c r="AD541" t="s">
        <v>430</v>
      </c>
      <c r="AE541" t="s">
        <v>566</v>
      </c>
      <c r="AF541">
        <v>1</v>
      </c>
      <c r="AG541" s="122">
        <v>141</v>
      </c>
      <c r="AH541">
        <v>129</v>
      </c>
      <c r="AI541" s="122">
        <v>5947</v>
      </c>
      <c r="AJ541" s="122">
        <v>2202</v>
      </c>
      <c r="AK541">
        <v>250</v>
      </c>
      <c r="AL541" s="122">
        <v>0</v>
      </c>
      <c r="AM541" s="122">
        <v>0</v>
      </c>
      <c r="AN541" s="122">
        <v>3441</v>
      </c>
      <c r="AO541" s="122">
        <v>1275</v>
      </c>
      <c r="AP541" s="122">
        <v>1489</v>
      </c>
      <c r="AQ541" s="122">
        <v>552</v>
      </c>
      <c r="AR541" s="122">
        <v>4478</v>
      </c>
      <c r="AS541" s="122">
        <v>1659</v>
      </c>
      <c r="AT541" s="122">
        <v>2833</v>
      </c>
      <c r="AU541" s="122">
        <v>1049</v>
      </c>
      <c r="AV541" s="122">
        <v>6737</v>
      </c>
    </row>
    <row r="542" spans="2:48" hidden="1">
      <c r="B542" t="s">
        <v>365</v>
      </c>
      <c r="C542" t="s">
        <v>62</v>
      </c>
      <c r="D542" t="s">
        <v>408</v>
      </c>
      <c r="E542" t="s">
        <v>408</v>
      </c>
      <c r="F542">
        <v>2</v>
      </c>
      <c r="G542" s="122">
        <v>226</v>
      </c>
      <c r="H542" s="122">
        <v>840</v>
      </c>
      <c r="I542" s="122">
        <v>62342</v>
      </c>
      <c r="J542" s="122">
        <v>56674</v>
      </c>
      <c r="K542">
        <v>71</v>
      </c>
      <c r="L542" s="122">
        <v>15754</v>
      </c>
      <c r="M542" s="122">
        <v>13886</v>
      </c>
      <c r="N542" s="122">
        <v>4686</v>
      </c>
      <c r="O542" s="122">
        <v>1735</v>
      </c>
      <c r="P542" s="122">
        <v>702</v>
      </c>
      <c r="Q542" s="122">
        <v>260</v>
      </c>
      <c r="R542" s="122">
        <v>12462</v>
      </c>
      <c r="S542" s="122">
        <v>11330</v>
      </c>
      <c r="T542" s="122">
        <v>0</v>
      </c>
      <c r="U542" s="122">
        <v>0</v>
      </c>
      <c r="V542" s="122">
        <v>83885</v>
      </c>
      <c r="W542" s="122">
        <f t="shared" si="16"/>
        <v>83885</v>
      </c>
      <c r="X542" s="122">
        <f t="shared" si="17"/>
        <v>95946</v>
      </c>
      <c r="Y542" s="122"/>
      <c r="AA542" t="s">
        <v>54</v>
      </c>
      <c r="AB542" t="s">
        <v>406</v>
      </c>
      <c r="AC542" t="s">
        <v>578</v>
      </c>
      <c r="AD542" t="s">
        <v>406</v>
      </c>
      <c r="AE542" t="s">
        <v>137</v>
      </c>
      <c r="AF542">
        <v>6</v>
      </c>
      <c r="AG542" s="122">
        <v>1381</v>
      </c>
      <c r="AH542">
        <v>864</v>
      </c>
      <c r="AI542" s="122">
        <v>110627</v>
      </c>
      <c r="AJ542" s="122">
        <v>100570</v>
      </c>
      <c r="AK542">
        <v>88</v>
      </c>
      <c r="AL542" s="122">
        <v>18352</v>
      </c>
      <c r="AM542" s="122">
        <v>16683</v>
      </c>
      <c r="AN542" s="122">
        <v>24130</v>
      </c>
      <c r="AO542" s="122">
        <v>8937</v>
      </c>
      <c r="AP542" s="122">
        <v>4428</v>
      </c>
      <c r="AQ542" s="122">
        <v>1640</v>
      </c>
      <c r="AR542" s="122">
        <v>29874</v>
      </c>
      <c r="AS542" s="122">
        <v>27158</v>
      </c>
      <c r="AT542" s="122">
        <v>11335</v>
      </c>
      <c r="AU542" s="122">
        <v>4198</v>
      </c>
      <c r="AV542" s="122">
        <v>159186</v>
      </c>
    </row>
    <row r="543" spans="2:48" hidden="1">
      <c r="B543" t="s">
        <v>365</v>
      </c>
      <c r="C543" t="s">
        <v>64</v>
      </c>
      <c r="F543">
        <v>2</v>
      </c>
      <c r="G543" s="122">
        <v>297</v>
      </c>
      <c r="H543" s="122">
        <v>1159</v>
      </c>
      <c r="I543" s="122"/>
      <c r="J543" s="122">
        <v>0</v>
      </c>
      <c r="L543" s="122"/>
      <c r="M543" s="122">
        <v>0</v>
      </c>
      <c r="N543" s="122">
        <v>6608</v>
      </c>
      <c r="O543" s="122">
        <v>2448</v>
      </c>
      <c r="P543" s="122">
        <v>1242</v>
      </c>
      <c r="Q543" s="122">
        <v>460</v>
      </c>
      <c r="R543" s="122"/>
      <c r="S543" s="122">
        <v>0</v>
      </c>
      <c r="T543" s="122">
        <v>0</v>
      </c>
      <c r="U543" s="122">
        <v>0</v>
      </c>
      <c r="V543" s="122">
        <v>2908</v>
      </c>
      <c r="W543" s="122">
        <f t="shared" si="16"/>
        <v>2908</v>
      </c>
      <c r="X543" s="122">
        <f t="shared" si="17"/>
        <v>7850</v>
      </c>
      <c r="Y543" s="122"/>
      <c r="AA543" t="s">
        <v>54</v>
      </c>
      <c r="AB543" t="s">
        <v>406</v>
      </c>
      <c r="AC543" t="s">
        <v>578</v>
      </c>
      <c r="AD543" t="s">
        <v>406</v>
      </c>
      <c r="AE543" t="s">
        <v>566</v>
      </c>
      <c r="AF543">
        <v>6</v>
      </c>
      <c r="AG543" s="122">
        <v>1161</v>
      </c>
      <c r="AH543">
        <v>868</v>
      </c>
      <c r="AI543" s="122">
        <v>88411</v>
      </c>
      <c r="AJ543" s="122">
        <v>80373</v>
      </c>
      <c r="AK543">
        <v>91</v>
      </c>
      <c r="AL543" s="122">
        <v>19709</v>
      </c>
      <c r="AM543" s="122">
        <v>17917</v>
      </c>
      <c r="AN543" s="122">
        <v>23448</v>
      </c>
      <c r="AO543" s="122">
        <v>8685</v>
      </c>
      <c r="AP543" s="122">
        <v>3726</v>
      </c>
      <c r="AQ543" s="122">
        <v>1380</v>
      </c>
      <c r="AR543" s="122">
        <v>32971</v>
      </c>
      <c r="AS543" s="122">
        <v>29973</v>
      </c>
      <c r="AT543">
        <v>0</v>
      </c>
      <c r="AU543">
        <v>0</v>
      </c>
      <c r="AV543" s="122">
        <v>138328</v>
      </c>
    </row>
    <row r="544" spans="2:48" hidden="1">
      <c r="B544" t="s">
        <v>365</v>
      </c>
      <c r="C544" t="s">
        <v>64</v>
      </c>
      <c r="D544" t="s">
        <v>555</v>
      </c>
      <c r="E544" t="s">
        <v>555</v>
      </c>
      <c r="F544">
        <v>1</v>
      </c>
      <c r="G544" s="122">
        <v>181</v>
      </c>
      <c r="H544" s="122">
        <v>598</v>
      </c>
      <c r="I544" s="122">
        <v>78766</v>
      </c>
      <c r="J544" s="122">
        <v>71606</v>
      </c>
      <c r="K544">
        <v>55</v>
      </c>
      <c r="L544" s="122">
        <v>16045</v>
      </c>
      <c r="M544" s="122">
        <v>14586</v>
      </c>
      <c r="N544" s="122">
        <v>4013</v>
      </c>
      <c r="O544" s="122">
        <v>1486</v>
      </c>
      <c r="P544" s="122">
        <v>351</v>
      </c>
      <c r="Q544" s="122">
        <v>130</v>
      </c>
      <c r="R544" s="122">
        <v>8942</v>
      </c>
      <c r="S544" s="122">
        <v>8129</v>
      </c>
      <c r="T544" s="122">
        <v>0</v>
      </c>
      <c r="U544" s="122">
        <v>0</v>
      </c>
      <c r="V544" s="122">
        <v>95937</v>
      </c>
      <c r="W544" s="122">
        <f t="shared" si="16"/>
        <v>95937</v>
      </c>
      <c r="X544" s="122">
        <f t="shared" si="17"/>
        <v>108117</v>
      </c>
      <c r="Y544" s="122"/>
      <c r="AA544" t="s">
        <v>54</v>
      </c>
      <c r="AB544" t="s">
        <v>406</v>
      </c>
      <c r="AC544" t="s">
        <v>425</v>
      </c>
      <c r="AD544" t="s">
        <v>137</v>
      </c>
      <c r="AE544" t="s">
        <v>566</v>
      </c>
      <c r="AF544">
        <v>1</v>
      </c>
      <c r="AG544" s="122">
        <v>488</v>
      </c>
      <c r="AH544" s="122">
        <v>134</v>
      </c>
      <c r="AI544" s="122">
        <v>34520</v>
      </c>
      <c r="AJ544" s="122">
        <v>31382</v>
      </c>
      <c r="AK544">
        <v>79</v>
      </c>
      <c r="AL544" s="122">
        <v>4566</v>
      </c>
      <c r="AM544" s="122">
        <v>4151</v>
      </c>
      <c r="AN544" s="122">
        <v>11404</v>
      </c>
      <c r="AO544" s="122">
        <v>4224</v>
      </c>
      <c r="AP544" s="122">
        <v>621</v>
      </c>
      <c r="AQ544" s="122">
        <v>230</v>
      </c>
      <c r="AR544" s="122">
        <v>14237</v>
      </c>
      <c r="AS544" s="122">
        <v>5273</v>
      </c>
      <c r="AT544" s="122">
        <v>0</v>
      </c>
      <c r="AU544" s="122">
        <v>0</v>
      </c>
      <c r="AV544" s="122">
        <v>45260</v>
      </c>
    </row>
    <row r="545" spans="2:48" hidden="1">
      <c r="B545" t="s">
        <v>365</v>
      </c>
      <c r="C545" t="s">
        <v>64</v>
      </c>
      <c r="D545" t="s">
        <v>425</v>
      </c>
      <c r="E545" t="s">
        <v>425</v>
      </c>
      <c r="F545">
        <v>6</v>
      </c>
      <c r="G545">
        <v>600</v>
      </c>
      <c r="H545" s="122">
        <v>3541</v>
      </c>
      <c r="I545" s="122">
        <v>256390</v>
      </c>
      <c r="J545" s="122">
        <v>233082</v>
      </c>
      <c r="K545">
        <v>66</v>
      </c>
      <c r="L545" s="122">
        <v>31276</v>
      </c>
      <c r="M545" s="122">
        <v>28433</v>
      </c>
      <c r="N545" s="122">
        <v>13751</v>
      </c>
      <c r="O545" s="122">
        <v>5093</v>
      </c>
      <c r="P545" s="122">
        <v>3537</v>
      </c>
      <c r="Q545" s="122">
        <v>1310</v>
      </c>
      <c r="R545" s="122">
        <v>29733</v>
      </c>
      <c r="S545" s="122">
        <v>27030</v>
      </c>
      <c r="T545" s="122">
        <v>4237</v>
      </c>
      <c r="U545" s="122">
        <v>1569</v>
      </c>
      <c r="V545" s="122">
        <v>296517</v>
      </c>
      <c r="W545" s="122">
        <f t="shared" si="16"/>
        <v>296517</v>
      </c>
      <c r="X545" s="122">
        <f t="shared" si="17"/>
        <v>338924</v>
      </c>
      <c r="Y545" s="122"/>
      <c r="AA545" t="s">
        <v>54</v>
      </c>
      <c r="AB545" t="s">
        <v>406</v>
      </c>
      <c r="AC545" t="s">
        <v>425</v>
      </c>
      <c r="AD545" t="s">
        <v>406</v>
      </c>
      <c r="AE545" t="s">
        <v>137</v>
      </c>
      <c r="AF545">
        <v>138</v>
      </c>
      <c r="AG545" s="122">
        <v>31040</v>
      </c>
      <c r="AH545" s="122">
        <v>19418</v>
      </c>
      <c r="AI545" s="122">
        <v>2605940</v>
      </c>
      <c r="AJ545" s="122">
        <v>2369036</v>
      </c>
      <c r="AK545">
        <v>89</v>
      </c>
      <c r="AL545" s="122">
        <v>485757</v>
      </c>
      <c r="AM545" s="122">
        <v>441597</v>
      </c>
      <c r="AN545" s="122">
        <v>645473</v>
      </c>
      <c r="AO545" s="122">
        <v>239064</v>
      </c>
      <c r="AP545" s="122">
        <v>96651</v>
      </c>
      <c r="AQ545" s="122">
        <v>35797</v>
      </c>
      <c r="AR545" s="122">
        <v>737525</v>
      </c>
      <c r="AS545" s="122">
        <v>670477</v>
      </c>
      <c r="AT545" s="122">
        <v>172563</v>
      </c>
      <c r="AU545" s="122">
        <v>63912</v>
      </c>
      <c r="AV545" s="122">
        <v>3819884</v>
      </c>
    </row>
    <row r="546" spans="2:48" hidden="1">
      <c r="B546" t="s">
        <v>365</v>
      </c>
      <c r="C546" t="s">
        <v>64</v>
      </c>
      <c r="D546" t="s">
        <v>425</v>
      </c>
      <c r="E546" t="s">
        <v>405</v>
      </c>
      <c r="F546">
        <v>1</v>
      </c>
      <c r="G546" s="122">
        <v>128</v>
      </c>
      <c r="H546" s="122">
        <v>549</v>
      </c>
      <c r="I546" s="122">
        <v>46809</v>
      </c>
      <c r="J546" s="122">
        <v>42554</v>
      </c>
      <c r="K546">
        <v>68</v>
      </c>
      <c r="L546" s="122">
        <v>11789</v>
      </c>
      <c r="M546" s="122">
        <v>10717</v>
      </c>
      <c r="N546" s="122">
        <v>3109</v>
      </c>
      <c r="O546" s="122">
        <v>1151</v>
      </c>
      <c r="P546" s="122">
        <v>473</v>
      </c>
      <c r="Q546" s="122">
        <v>175</v>
      </c>
      <c r="R546" s="122">
        <v>7803</v>
      </c>
      <c r="S546" s="122">
        <v>7093</v>
      </c>
      <c r="T546" s="122">
        <v>0</v>
      </c>
      <c r="U546" s="122">
        <v>0</v>
      </c>
      <c r="V546" s="122">
        <v>61691</v>
      </c>
      <c r="W546" s="122">
        <f t="shared" si="16"/>
        <v>61690</v>
      </c>
      <c r="X546" s="122">
        <f t="shared" si="17"/>
        <v>69983</v>
      </c>
      <c r="Y546" s="122"/>
      <c r="AA546" t="s">
        <v>54</v>
      </c>
      <c r="AB546" t="s">
        <v>406</v>
      </c>
      <c r="AC546" t="s">
        <v>425</v>
      </c>
      <c r="AD546" t="s">
        <v>406</v>
      </c>
      <c r="AE546" t="s">
        <v>566</v>
      </c>
      <c r="AF546">
        <v>340</v>
      </c>
      <c r="AG546" s="122">
        <v>77106</v>
      </c>
      <c r="AH546" s="122">
        <v>47599</v>
      </c>
      <c r="AI546" s="122">
        <v>6391210</v>
      </c>
      <c r="AJ546" s="122">
        <v>5810191</v>
      </c>
      <c r="AK546">
        <v>89</v>
      </c>
      <c r="AL546" s="122">
        <v>1290012</v>
      </c>
      <c r="AM546" s="122">
        <v>1172738</v>
      </c>
      <c r="AN546" s="122">
        <v>1614271</v>
      </c>
      <c r="AO546" s="122">
        <v>597878</v>
      </c>
      <c r="AP546" s="122">
        <v>246018</v>
      </c>
      <c r="AQ546" s="122">
        <v>91118</v>
      </c>
      <c r="AR546" s="122">
        <v>1983236</v>
      </c>
      <c r="AS546" s="122">
        <v>1802941</v>
      </c>
      <c r="AT546">
        <v>0</v>
      </c>
      <c r="AU546">
        <v>0</v>
      </c>
      <c r="AV546" s="122">
        <v>9474866</v>
      </c>
    </row>
    <row r="547" spans="2:48" hidden="1">
      <c r="B547" t="s">
        <v>365</v>
      </c>
      <c r="C547" t="s">
        <v>64</v>
      </c>
      <c r="D547" t="s">
        <v>425</v>
      </c>
      <c r="E547" t="s">
        <v>137</v>
      </c>
      <c r="F547">
        <v>3</v>
      </c>
      <c r="G547" s="122">
        <v>407</v>
      </c>
      <c r="H547" s="122">
        <v>1619</v>
      </c>
      <c r="I547" s="122">
        <v>140052</v>
      </c>
      <c r="J547" s="122">
        <v>127320</v>
      </c>
      <c r="K547">
        <v>57</v>
      </c>
      <c r="L547" s="122">
        <v>28049</v>
      </c>
      <c r="M547" s="122">
        <v>25036</v>
      </c>
      <c r="N547" s="122">
        <v>9813</v>
      </c>
      <c r="O547" s="122">
        <v>3634</v>
      </c>
      <c r="P547" s="122">
        <v>1154</v>
      </c>
      <c r="Q547" s="122">
        <v>428</v>
      </c>
      <c r="R547" s="122">
        <v>32454</v>
      </c>
      <c r="S547" s="122">
        <v>12020</v>
      </c>
      <c r="T547" s="122">
        <v>0</v>
      </c>
      <c r="U547" s="122">
        <v>0</v>
      </c>
      <c r="V547" s="122">
        <v>168438</v>
      </c>
      <c r="W547" s="122">
        <f t="shared" si="16"/>
        <v>168438</v>
      </c>
      <c r="X547" s="122">
        <f t="shared" si="17"/>
        <v>211522</v>
      </c>
      <c r="Y547" s="122"/>
      <c r="AA547" t="s">
        <v>54</v>
      </c>
      <c r="AB547" t="s">
        <v>406</v>
      </c>
      <c r="AC547" t="s">
        <v>425</v>
      </c>
      <c r="AD547" t="s">
        <v>427</v>
      </c>
      <c r="AE547" t="s">
        <v>566</v>
      </c>
      <c r="AF547">
        <v>1</v>
      </c>
      <c r="AG547">
        <v>241</v>
      </c>
      <c r="AH547">
        <v>149</v>
      </c>
      <c r="AI547" s="122">
        <v>19602</v>
      </c>
      <c r="AJ547" s="122">
        <v>17820</v>
      </c>
      <c r="AK547">
        <v>86</v>
      </c>
      <c r="AL547" s="122">
        <v>9322</v>
      </c>
      <c r="AM547" s="122">
        <v>8474</v>
      </c>
      <c r="AN547" s="122">
        <v>5714</v>
      </c>
      <c r="AO547" s="122">
        <v>2116</v>
      </c>
      <c r="AP547">
        <v>621</v>
      </c>
      <c r="AQ547">
        <v>230</v>
      </c>
      <c r="AR547" s="122">
        <v>479</v>
      </c>
      <c r="AS547" s="122">
        <v>436</v>
      </c>
      <c r="AT547">
        <v>0</v>
      </c>
      <c r="AU547">
        <v>0</v>
      </c>
      <c r="AV547" s="122">
        <v>29076</v>
      </c>
    </row>
    <row r="548" spans="2:48" hidden="1">
      <c r="B548" t="s">
        <v>365</v>
      </c>
      <c r="C548" t="s">
        <v>64</v>
      </c>
      <c r="D548" t="s">
        <v>425</v>
      </c>
      <c r="E548" t="s">
        <v>406</v>
      </c>
      <c r="F548">
        <v>1</v>
      </c>
      <c r="G548" s="122">
        <v>112</v>
      </c>
      <c r="H548" s="122">
        <v>525</v>
      </c>
      <c r="I548" s="122">
        <v>41048</v>
      </c>
      <c r="J548" s="122">
        <v>37316</v>
      </c>
      <c r="K548">
        <v>65</v>
      </c>
      <c r="L548" s="122">
        <v>6918</v>
      </c>
      <c r="M548" s="122">
        <v>2562</v>
      </c>
      <c r="N548" s="122">
        <v>1968</v>
      </c>
      <c r="O548" s="122">
        <v>729</v>
      </c>
      <c r="P548" s="122">
        <v>621</v>
      </c>
      <c r="Q548" s="122">
        <v>230</v>
      </c>
      <c r="R548" s="122">
        <v>5389</v>
      </c>
      <c r="S548" s="122">
        <v>4899</v>
      </c>
      <c r="T548" s="122">
        <v>2936</v>
      </c>
      <c r="U548" s="122">
        <v>1087</v>
      </c>
      <c r="V548" s="122">
        <v>46824</v>
      </c>
      <c r="W548" s="122">
        <f t="shared" si="16"/>
        <v>46823</v>
      </c>
      <c r="X548" s="122">
        <f t="shared" si="17"/>
        <v>58880</v>
      </c>
      <c r="Y548" s="122"/>
      <c r="AA548" t="s">
        <v>54</v>
      </c>
      <c r="AB548" t="s">
        <v>406</v>
      </c>
      <c r="AC548" t="s">
        <v>425</v>
      </c>
      <c r="AD548" t="s">
        <v>407</v>
      </c>
      <c r="AE548" t="s">
        <v>137</v>
      </c>
      <c r="AF548">
        <v>1</v>
      </c>
      <c r="AG548">
        <v>162</v>
      </c>
      <c r="AH548">
        <v>132</v>
      </c>
      <c r="AI548" s="122">
        <v>15516</v>
      </c>
      <c r="AJ548" s="122">
        <v>14106</v>
      </c>
      <c r="AK548">
        <v>94</v>
      </c>
      <c r="AL548" s="122">
        <v>2154</v>
      </c>
      <c r="AM548" s="122">
        <v>1958</v>
      </c>
      <c r="AN548" s="122">
        <v>2350</v>
      </c>
      <c r="AO548" s="122">
        <v>870</v>
      </c>
      <c r="AP548">
        <v>621</v>
      </c>
      <c r="AQ548">
        <v>230</v>
      </c>
      <c r="AR548" s="122">
        <v>4736</v>
      </c>
      <c r="AS548" s="122">
        <v>4305</v>
      </c>
      <c r="AT548">
        <v>0</v>
      </c>
      <c r="AU548">
        <v>0</v>
      </c>
      <c r="AV548" s="122">
        <v>21469</v>
      </c>
    </row>
    <row r="549" spans="2:48" hidden="1">
      <c r="B549" t="s">
        <v>365</v>
      </c>
      <c r="C549" t="s">
        <v>64</v>
      </c>
      <c r="D549" t="s">
        <v>405</v>
      </c>
      <c r="E549" t="s">
        <v>405</v>
      </c>
      <c r="F549" s="122">
        <v>15</v>
      </c>
      <c r="G549" s="122">
        <v>2188</v>
      </c>
      <c r="H549" s="122">
        <v>8656</v>
      </c>
      <c r="I549" s="122">
        <v>847575</v>
      </c>
      <c r="J549" s="122">
        <v>770523</v>
      </c>
      <c r="K549">
        <v>67</v>
      </c>
      <c r="L549" s="122">
        <v>183765</v>
      </c>
      <c r="M549" s="122">
        <v>158551</v>
      </c>
      <c r="N549" s="122">
        <v>50612</v>
      </c>
      <c r="O549" s="122">
        <v>18745</v>
      </c>
      <c r="P549" s="122">
        <v>6872</v>
      </c>
      <c r="Q549" s="122">
        <v>2545</v>
      </c>
      <c r="R549" s="122">
        <v>83884</v>
      </c>
      <c r="S549" s="122">
        <v>76258</v>
      </c>
      <c r="T549" s="122">
        <v>25206</v>
      </c>
      <c r="U549" s="122">
        <v>9336</v>
      </c>
      <c r="V549" s="122">
        <v>1035957</v>
      </c>
      <c r="W549" s="122">
        <f t="shared" si="16"/>
        <v>1035958</v>
      </c>
      <c r="X549" s="122">
        <f t="shared" si="17"/>
        <v>1197914</v>
      </c>
      <c r="Y549" s="122"/>
      <c r="AA549" t="s">
        <v>54</v>
      </c>
      <c r="AB549" t="s">
        <v>406</v>
      </c>
      <c r="AC549" t="s">
        <v>405</v>
      </c>
      <c r="AD549" t="s">
        <v>137</v>
      </c>
      <c r="AE549" t="s">
        <v>566</v>
      </c>
      <c r="AF549">
        <v>1</v>
      </c>
      <c r="AG549" s="122">
        <v>232</v>
      </c>
      <c r="AH549" s="122">
        <v>149</v>
      </c>
      <c r="AI549" s="122">
        <v>27108</v>
      </c>
      <c r="AJ549" s="122">
        <v>24644</v>
      </c>
      <c r="AK549">
        <v>85</v>
      </c>
      <c r="AL549" s="122">
        <v>4064</v>
      </c>
      <c r="AM549" s="122">
        <v>3694</v>
      </c>
      <c r="AN549" s="122">
        <v>4256</v>
      </c>
      <c r="AO549" s="122">
        <v>1576</v>
      </c>
      <c r="AP549" s="122">
        <v>621</v>
      </c>
      <c r="AQ549" s="122">
        <v>230</v>
      </c>
      <c r="AR549" s="122">
        <v>3759</v>
      </c>
      <c r="AS549" s="122">
        <v>1392</v>
      </c>
      <c r="AT549" s="122">
        <v>0</v>
      </c>
      <c r="AU549" s="122">
        <v>0</v>
      </c>
      <c r="AV549" s="122">
        <v>31537</v>
      </c>
    </row>
    <row r="550" spans="2:48" hidden="1">
      <c r="B550" t="s">
        <v>365</v>
      </c>
      <c r="C550" t="s">
        <v>64</v>
      </c>
      <c r="D550" t="s">
        <v>405</v>
      </c>
      <c r="E550" t="s">
        <v>137</v>
      </c>
      <c r="F550">
        <v>1</v>
      </c>
      <c r="G550" s="122">
        <v>102</v>
      </c>
      <c r="H550" s="122">
        <v>466</v>
      </c>
      <c r="I550" s="122">
        <v>24016</v>
      </c>
      <c r="J550" s="122">
        <v>21833</v>
      </c>
      <c r="K550">
        <v>65</v>
      </c>
      <c r="L550" s="122">
        <v>3298</v>
      </c>
      <c r="M550" s="122">
        <v>2998</v>
      </c>
      <c r="N550" s="122">
        <v>2468</v>
      </c>
      <c r="O550" s="122">
        <v>914</v>
      </c>
      <c r="P550" s="122">
        <v>473</v>
      </c>
      <c r="Q550" s="122">
        <v>175</v>
      </c>
      <c r="R550" s="122">
        <v>13974</v>
      </c>
      <c r="S550" s="122">
        <v>5176</v>
      </c>
      <c r="T550" s="122">
        <v>3163</v>
      </c>
      <c r="U550" s="122">
        <v>1172</v>
      </c>
      <c r="V550" s="122">
        <v>32267</v>
      </c>
      <c r="W550" s="122">
        <f t="shared" si="16"/>
        <v>32268</v>
      </c>
      <c r="X550" s="122">
        <f t="shared" si="17"/>
        <v>47392</v>
      </c>
      <c r="Y550" s="122"/>
      <c r="AA550" t="s">
        <v>54</v>
      </c>
      <c r="AB550" t="s">
        <v>406</v>
      </c>
      <c r="AC550" t="s">
        <v>405</v>
      </c>
      <c r="AD550" t="s">
        <v>406</v>
      </c>
      <c r="AE550" t="s">
        <v>137</v>
      </c>
      <c r="AF550">
        <v>9</v>
      </c>
      <c r="AG550" s="122">
        <v>2397</v>
      </c>
      <c r="AH550" s="122">
        <v>1260</v>
      </c>
      <c r="AI550" s="122">
        <v>209208</v>
      </c>
      <c r="AJ550" s="122">
        <v>190189</v>
      </c>
      <c r="AK550">
        <v>87</v>
      </c>
      <c r="AL550" s="122">
        <v>44819</v>
      </c>
      <c r="AM550" s="122">
        <v>40744</v>
      </c>
      <c r="AN550" s="122">
        <v>45099</v>
      </c>
      <c r="AO550" s="122">
        <v>16703</v>
      </c>
      <c r="AP550" s="122">
        <v>6021</v>
      </c>
      <c r="AQ550" s="122">
        <v>2230</v>
      </c>
      <c r="AR550" s="122">
        <v>44562</v>
      </c>
      <c r="AS550" s="122">
        <v>40511</v>
      </c>
      <c r="AT550" s="122">
        <v>25624</v>
      </c>
      <c r="AU550" s="122">
        <v>9490</v>
      </c>
      <c r="AV550" s="122">
        <v>299868</v>
      </c>
    </row>
    <row r="551" spans="2:48" hidden="1">
      <c r="B551" t="s">
        <v>365</v>
      </c>
      <c r="C551" t="s">
        <v>64</v>
      </c>
      <c r="D551" t="s">
        <v>137</v>
      </c>
      <c r="E551" t="s">
        <v>425</v>
      </c>
      <c r="F551">
        <v>3</v>
      </c>
      <c r="G551" s="122">
        <v>165</v>
      </c>
      <c r="H551" s="122">
        <v>2364</v>
      </c>
      <c r="I551" s="122">
        <v>104008</v>
      </c>
      <c r="J551" s="122">
        <v>38522</v>
      </c>
      <c r="K551">
        <v>100</v>
      </c>
      <c r="L551" s="122">
        <v>8595</v>
      </c>
      <c r="M551" s="122">
        <v>7814</v>
      </c>
      <c r="N551" s="122">
        <v>3094</v>
      </c>
      <c r="O551" s="122">
        <v>1146</v>
      </c>
      <c r="P551" s="122">
        <v>0</v>
      </c>
      <c r="Q551" s="122">
        <v>0</v>
      </c>
      <c r="R551" s="122">
        <v>9882</v>
      </c>
      <c r="S551" s="122">
        <v>8983</v>
      </c>
      <c r="T551">
        <v>0</v>
      </c>
      <c r="U551">
        <v>0</v>
      </c>
      <c r="V551" s="122">
        <v>56465</v>
      </c>
      <c r="W551" s="122">
        <f t="shared" si="16"/>
        <v>56465</v>
      </c>
      <c r="X551" s="122">
        <f t="shared" si="17"/>
        <v>125579</v>
      </c>
      <c r="Y551" s="122"/>
      <c r="AA551" t="s">
        <v>54</v>
      </c>
      <c r="AB551" t="s">
        <v>406</v>
      </c>
      <c r="AC551" t="s">
        <v>405</v>
      </c>
      <c r="AD551" t="s">
        <v>406</v>
      </c>
      <c r="AE551" t="s">
        <v>566</v>
      </c>
      <c r="AF551">
        <v>54</v>
      </c>
      <c r="AG551" s="122">
        <v>13510</v>
      </c>
      <c r="AH551" s="122">
        <v>7665</v>
      </c>
      <c r="AI551" s="122">
        <v>1103448</v>
      </c>
      <c r="AJ551" s="122">
        <v>1003135</v>
      </c>
      <c r="AK551">
        <v>88</v>
      </c>
      <c r="AL551" s="122">
        <v>228606</v>
      </c>
      <c r="AM551" s="122">
        <v>207824</v>
      </c>
      <c r="AN551" s="122">
        <v>274147</v>
      </c>
      <c r="AO551" s="122">
        <v>101536</v>
      </c>
      <c r="AP551" s="122">
        <v>42350</v>
      </c>
      <c r="AQ551" s="122">
        <v>15685</v>
      </c>
      <c r="AR551" s="122">
        <v>338109</v>
      </c>
      <c r="AS551" s="122">
        <v>307372</v>
      </c>
      <c r="AT551" s="122">
        <v>0</v>
      </c>
      <c r="AU551" s="122">
        <v>0</v>
      </c>
      <c r="AV551" s="122">
        <v>1635552</v>
      </c>
    </row>
    <row r="552" spans="2:48" hidden="1">
      <c r="B552" t="s">
        <v>365</v>
      </c>
      <c r="C552" t="s">
        <v>64</v>
      </c>
      <c r="D552" t="s">
        <v>137</v>
      </c>
      <c r="E552" t="s">
        <v>137</v>
      </c>
      <c r="F552" s="122">
        <v>707</v>
      </c>
      <c r="G552" s="122">
        <v>65720</v>
      </c>
      <c r="H552" s="122">
        <v>515724</v>
      </c>
      <c r="I552" s="122">
        <v>34259867</v>
      </c>
      <c r="J552" s="122">
        <v>12688840</v>
      </c>
      <c r="K552">
        <v>100</v>
      </c>
      <c r="L552" s="122">
        <v>6091860</v>
      </c>
      <c r="M552" s="122">
        <v>5264258</v>
      </c>
      <c r="N552" s="122">
        <v>1488064</v>
      </c>
      <c r="O552" s="122">
        <v>551135</v>
      </c>
      <c r="P552" s="122">
        <v>8034</v>
      </c>
      <c r="Q552" s="122">
        <v>2976</v>
      </c>
      <c r="R552" s="122">
        <v>5023685</v>
      </c>
      <c r="S552" s="122">
        <v>1860624</v>
      </c>
      <c r="T552" s="122">
        <v>18322</v>
      </c>
      <c r="U552" s="122">
        <v>6786</v>
      </c>
      <c r="V552" s="122">
        <v>20374618</v>
      </c>
      <c r="W552" s="122">
        <f t="shared" si="16"/>
        <v>20374619</v>
      </c>
      <c r="X552" s="122">
        <f t="shared" si="17"/>
        <v>46889832</v>
      </c>
      <c r="Y552" s="122"/>
      <c r="AA552" t="s">
        <v>54</v>
      </c>
      <c r="AB552" t="s">
        <v>406</v>
      </c>
      <c r="AC552" t="s">
        <v>405</v>
      </c>
      <c r="AD552" t="s">
        <v>407</v>
      </c>
      <c r="AE552" t="s">
        <v>137</v>
      </c>
      <c r="AF552">
        <v>1</v>
      </c>
      <c r="AG552" s="122">
        <v>348</v>
      </c>
      <c r="AH552" s="122">
        <v>149</v>
      </c>
      <c r="AI552" s="122">
        <v>29269</v>
      </c>
      <c r="AJ552" s="122">
        <v>26608</v>
      </c>
      <c r="AK552">
        <v>86</v>
      </c>
      <c r="AL552" s="122">
        <v>3677</v>
      </c>
      <c r="AM552" s="122">
        <v>3342</v>
      </c>
      <c r="AN552" s="122">
        <v>8473</v>
      </c>
      <c r="AO552" s="122">
        <v>3138</v>
      </c>
      <c r="AP552" s="122">
        <v>621</v>
      </c>
      <c r="AQ552" s="122">
        <v>230</v>
      </c>
      <c r="AR552" s="122">
        <v>5190</v>
      </c>
      <c r="AS552" s="122">
        <v>4718</v>
      </c>
      <c r="AT552" s="122">
        <v>4565</v>
      </c>
      <c r="AU552" s="122">
        <v>1691</v>
      </c>
      <c r="AV552" s="122">
        <v>39727</v>
      </c>
    </row>
    <row r="553" spans="2:48" hidden="1">
      <c r="B553" t="s">
        <v>365</v>
      </c>
      <c r="C553" t="s">
        <v>64</v>
      </c>
      <c r="D553" t="s">
        <v>137</v>
      </c>
      <c r="E553" t="s">
        <v>406</v>
      </c>
      <c r="F553">
        <v>8</v>
      </c>
      <c r="G553" s="122">
        <v>1253</v>
      </c>
      <c r="H553" s="122">
        <v>5184</v>
      </c>
      <c r="I553" s="122">
        <v>622386</v>
      </c>
      <c r="J553" s="122">
        <v>230513</v>
      </c>
      <c r="K553">
        <v>100</v>
      </c>
      <c r="L553" s="122">
        <v>88214</v>
      </c>
      <c r="M553" s="122">
        <v>78959</v>
      </c>
      <c r="N553" s="122">
        <v>29286</v>
      </c>
      <c r="O553" s="122">
        <v>10847</v>
      </c>
      <c r="P553" s="122">
        <v>1863</v>
      </c>
      <c r="Q553" s="122">
        <v>690</v>
      </c>
      <c r="R553" s="122">
        <v>49098</v>
      </c>
      <c r="S553" s="122">
        <v>44634</v>
      </c>
      <c r="T553" s="122">
        <v>19555</v>
      </c>
      <c r="U553" s="122">
        <v>7243</v>
      </c>
      <c r="V553" s="122">
        <v>372887</v>
      </c>
      <c r="W553" s="122">
        <f t="shared" si="16"/>
        <v>372886</v>
      </c>
      <c r="X553" s="122">
        <f t="shared" si="17"/>
        <v>810402</v>
      </c>
      <c r="Y553" s="122"/>
      <c r="AA553" t="s">
        <v>54</v>
      </c>
      <c r="AB553" t="s">
        <v>406</v>
      </c>
      <c r="AC553" t="s">
        <v>137</v>
      </c>
      <c r="AD553" t="s">
        <v>406</v>
      </c>
      <c r="AE553" t="s">
        <v>137</v>
      </c>
      <c r="AF553">
        <v>48</v>
      </c>
      <c r="AG553" s="122">
        <v>9088</v>
      </c>
      <c r="AH553" s="122">
        <v>6784</v>
      </c>
      <c r="AI553" s="122">
        <v>743356</v>
      </c>
      <c r="AJ553" s="122">
        <v>675778</v>
      </c>
      <c r="AK553">
        <v>89</v>
      </c>
      <c r="AL553" s="122">
        <v>179817</v>
      </c>
      <c r="AM553" s="122">
        <v>66599</v>
      </c>
      <c r="AN553" s="122">
        <v>182962</v>
      </c>
      <c r="AO553" s="122">
        <v>67764</v>
      </c>
      <c r="AP553" s="122">
        <v>35680</v>
      </c>
      <c r="AQ553" s="122">
        <v>13215</v>
      </c>
      <c r="AR553" s="122">
        <v>225498</v>
      </c>
      <c r="AS553" s="122">
        <v>204998</v>
      </c>
      <c r="AT553" s="122">
        <v>68963</v>
      </c>
      <c r="AU553" s="122">
        <v>25542</v>
      </c>
      <c r="AV553" s="122">
        <v>1053895</v>
      </c>
    </row>
    <row r="554" spans="2:48" hidden="1">
      <c r="B554" t="s">
        <v>365</v>
      </c>
      <c r="C554" t="s">
        <v>64</v>
      </c>
      <c r="D554" t="s">
        <v>137</v>
      </c>
      <c r="E554" t="s">
        <v>427</v>
      </c>
      <c r="F554">
        <v>1</v>
      </c>
      <c r="G554">
        <v>65</v>
      </c>
      <c r="H554">
        <v>804</v>
      </c>
      <c r="I554" s="122">
        <v>38311</v>
      </c>
      <c r="J554" s="122">
        <v>14189</v>
      </c>
      <c r="K554">
        <v>100</v>
      </c>
      <c r="L554" s="122">
        <v>3468</v>
      </c>
      <c r="M554" s="122">
        <v>3153</v>
      </c>
      <c r="N554" s="122">
        <v>1583</v>
      </c>
      <c r="O554" s="122">
        <v>586</v>
      </c>
      <c r="P554" s="122">
        <v>0</v>
      </c>
      <c r="Q554">
        <v>0</v>
      </c>
      <c r="R554" s="122">
        <v>6220</v>
      </c>
      <c r="S554" s="122">
        <v>5654</v>
      </c>
      <c r="T554" s="122">
        <v>2673</v>
      </c>
      <c r="U554" s="122">
        <v>990</v>
      </c>
      <c r="V554" s="122">
        <v>24573</v>
      </c>
      <c r="W554" s="122">
        <f t="shared" si="16"/>
        <v>24572</v>
      </c>
      <c r="X554" s="122">
        <f t="shared" si="17"/>
        <v>52255</v>
      </c>
      <c r="Y554" s="122"/>
      <c r="AA554" t="s">
        <v>54</v>
      </c>
      <c r="AB554" t="s">
        <v>406</v>
      </c>
      <c r="AC554" t="s">
        <v>137</v>
      </c>
      <c r="AD554" t="s">
        <v>406</v>
      </c>
      <c r="AE554" t="s">
        <v>566</v>
      </c>
      <c r="AF554">
        <v>184</v>
      </c>
      <c r="AG554" s="122">
        <v>38294</v>
      </c>
      <c r="AH554" s="122">
        <v>25915</v>
      </c>
      <c r="AI554" s="122">
        <v>3059282</v>
      </c>
      <c r="AJ554" s="122">
        <v>2781166</v>
      </c>
      <c r="AK554">
        <v>90</v>
      </c>
      <c r="AL554" s="122">
        <v>781999</v>
      </c>
      <c r="AM554" s="122">
        <v>289629</v>
      </c>
      <c r="AN554" s="122">
        <v>767863</v>
      </c>
      <c r="AO554" s="122">
        <v>284394</v>
      </c>
      <c r="AP554" s="122">
        <v>130988</v>
      </c>
      <c r="AQ554" s="122">
        <v>48514</v>
      </c>
      <c r="AR554" s="122">
        <v>1020492</v>
      </c>
      <c r="AS554" s="122">
        <v>927720</v>
      </c>
      <c r="AT554">
        <v>0</v>
      </c>
      <c r="AU554">
        <v>0</v>
      </c>
      <c r="AV554" s="122">
        <v>4331423</v>
      </c>
    </row>
    <row r="555" spans="2:48" hidden="1">
      <c r="B555" t="s">
        <v>365</v>
      </c>
      <c r="C555" t="s">
        <v>64</v>
      </c>
      <c r="D555" t="s">
        <v>137</v>
      </c>
      <c r="E555" t="s">
        <v>556</v>
      </c>
      <c r="F555">
        <v>1</v>
      </c>
      <c r="G555" s="122">
        <v>69</v>
      </c>
      <c r="H555" s="122">
        <v>743</v>
      </c>
      <c r="I555" s="122">
        <v>41327</v>
      </c>
      <c r="J555" s="122">
        <v>15306</v>
      </c>
      <c r="K555">
        <v>100</v>
      </c>
      <c r="L555" s="122">
        <v>3140</v>
      </c>
      <c r="M555" s="122">
        <v>2616</v>
      </c>
      <c r="N555" s="122">
        <v>1514</v>
      </c>
      <c r="O555" s="122">
        <v>561</v>
      </c>
      <c r="P555" s="122">
        <v>351</v>
      </c>
      <c r="Q555" s="122">
        <v>130</v>
      </c>
      <c r="R555" s="122">
        <v>3698</v>
      </c>
      <c r="S555" s="122">
        <v>3081</v>
      </c>
      <c r="T555" s="122">
        <v>1576</v>
      </c>
      <c r="U555" s="122">
        <v>584</v>
      </c>
      <c r="V555" s="122">
        <v>22279</v>
      </c>
      <c r="W555" s="122">
        <f t="shared" si="16"/>
        <v>22278</v>
      </c>
      <c r="X555" s="122">
        <f t="shared" si="17"/>
        <v>51606</v>
      </c>
      <c r="Y555" s="122"/>
      <c r="AA555" t="s">
        <v>54</v>
      </c>
      <c r="AB555" t="s">
        <v>406</v>
      </c>
      <c r="AC555" t="s">
        <v>580</v>
      </c>
      <c r="AD555" t="s">
        <v>425</v>
      </c>
      <c r="AE555" t="s">
        <v>137</v>
      </c>
      <c r="AF555">
        <v>1</v>
      </c>
      <c r="AG555">
        <v>258</v>
      </c>
      <c r="AH555">
        <v>134</v>
      </c>
      <c r="AI555" s="122">
        <v>17078</v>
      </c>
      <c r="AJ555" s="122">
        <v>15525</v>
      </c>
      <c r="AK555">
        <v>85</v>
      </c>
      <c r="AL555" s="122">
        <v>2781</v>
      </c>
      <c r="AM555" s="122">
        <v>2528</v>
      </c>
      <c r="AN555" s="122">
        <v>6200</v>
      </c>
      <c r="AO555" s="122">
        <v>2296</v>
      </c>
      <c r="AP555">
        <v>621</v>
      </c>
      <c r="AQ555">
        <v>230</v>
      </c>
      <c r="AR555" s="122">
        <v>8032</v>
      </c>
      <c r="AS555" s="122">
        <v>7302</v>
      </c>
      <c r="AT555">
        <v>0</v>
      </c>
      <c r="AU555">
        <v>0</v>
      </c>
      <c r="AV555" s="122">
        <v>27881</v>
      </c>
    </row>
    <row r="556" spans="2:48" hidden="1">
      <c r="B556" t="s">
        <v>365</v>
      </c>
      <c r="C556" t="s">
        <v>64</v>
      </c>
      <c r="D556" t="s">
        <v>137</v>
      </c>
      <c r="E556" t="s">
        <v>426</v>
      </c>
      <c r="F556">
        <v>42</v>
      </c>
      <c r="G556" s="122">
        <v>4841</v>
      </c>
      <c r="H556" s="122">
        <v>28016</v>
      </c>
      <c r="I556" s="122">
        <v>2302784</v>
      </c>
      <c r="J556" s="122">
        <v>852883</v>
      </c>
      <c r="K556">
        <v>100</v>
      </c>
      <c r="L556" s="122">
        <v>322538</v>
      </c>
      <c r="M556" s="122">
        <v>280320</v>
      </c>
      <c r="N556" s="122">
        <v>106060</v>
      </c>
      <c r="O556" s="122">
        <v>39281</v>
      </c>
      <c r="P556" s="122">
        <v>3078</v>
      </c>
      <c r="Q556" s="122">
        <v>1140</v>
      </c>
      <c r="R556" s="122">
        <v>273037</v>
      </c>
      <c r="S556" s="122">
        <v>248216</v>
      </c>
      <c r="T556" s="122">
        <v>87716</v>
      </c>
      <c r="U556" s="122">
        <v>32487</v>
      </c>
      <c r="V556" s="122">
        <v>1454327</v>
      </c>
      <c r="W556" s="122">
        <f t="shared" si="16"/>
        <v>1454327</v>
      </c>
      <c r="X556" s="122">
        <f t="shared" si="17"/>
        <v>3095213</v>
      </c>
      <c r="Y556" s="122"/>
      <c r="AA556" t="s">
        <v>54</v>
      </c>
      <c r="AB556" t="s">
        <v>406</v>
      </c>
      <c r="AC556" t="s">
        <v>580</v>
      </c>
      <c r="AD556" t="s">
        <v>137</v>
      </c>
      <c r="AE556" t="s">
        <v>137</v>
      </c>
      <c r="AF556">
        <v>1</v>
      </c>
      <c r="AG556">
        <v>214</v>
      </c>
      <c r="AH556">
        <v>139</v>
      </c>
      <c r="AI556" s="122">
        <v>20724</v>
      </c>
      <c r="AJ556" s="122">
        <v>18840</v>
      </c>
      <c r="AK556">
        <v>86</v>
      </c>
      <c r="AL556" s="122">
        <v>3120</v>
      </c>
      <c r="AM556" s="122">
        <v>2837</v>
      </c>
      <c r="AN556" s="122">
        <v>2611</v>
      </c>
      <c r="AO556" s="122">
        <v>967</v>
      </c>
      <c r="AP556" s="122">
        <v>621</v>
      </c>
      <c r="AQ556">
        <v>230</v>
      </c>
      <c r="AR556" s="122">
        <v>2715</v>
      </c>
      <c r="AS556" s="122">
        <v>1005</v>
      </c>
      <c r="AT556">
        <v>0</v>
      </c>
      <c r="AU556">
        <v>0</v>
      </c>
      <c r="AV556" s="122">
        <v>23879</v>
      </c>
    </row>
    <row r="557" spans="2:48" hidden="1">
      <c r="B557" t="s">
        <v>365</v>
      </c>
      <c r="C557" t="s">
        <v>64</v>
      </c>
      <c r="D557" t="s">
        <v>137</v>
      </c>
      <c r="E557" t="s">
        <v>433</v>
      </c>
      <c r="F557">
        <v>1</v>
      </c>
      <c r="G557" s="122">
        <v>128</v>
      </c>
      <c r="H557" s="122">
        <v>880</v>
      </c>
      <c r="I557" s="122">
        <v>81990</v>
      </c>
      <c r="J557" s="122">
        <v>30367</v>
      </c>
      <c r="K557">
        <v>100</v>
      </c>
      <c r="L557" s="122">
        <v>19649</v>
      </c>
      <c r="M557" s="122">
        <v>17863</v>
      </c>
      <c r="N557" s="122">
        <v>3126</v>
      </c>
      <c r="O557" s="122">
        <v>1158</v>
      </c>
      <c r="P557" s="122">
        <v>0</v>
      </c>
      <c r="Q557" s="122">
        <v>0</v>
      </c>
      <c r="R557" s="122">
        <v>8143</v>
      </c>
      <c r="S557" s="122">
        <v>7403</v>
      </c>
      <c r="T557" s="122">
        <v>0</v>
      </c>
      <c r="U557" s="122">
        <v>0</v>
      </c>
      <c r="V557" s="122">
        <v>56790</v>
      </c>
      <c r="W557" s="122">
        <f t="shared" si="16"/>
        <v>56791</v>
      </c>
      <c r="X557" s="122">
        <f t="shared" si="17"/>
        <v>112908</v>
      </c>
      <c r="Y557" s="122"/>
      <c r="AA557" t="s">
        <v>54</v>
      </c>
      <c r="AB557" t="s">
        <v>406</v>
      </c>
      <c r="AC557" t="s">
        <v>580</v>
      </c>
      <c r="AD557" t="s">
        <v>137</v>
      </c>
      <c r="AE557" t="s">
        <v>566</v>
      </c>
      <c r="AF557">
        <v>4</v>
      </c>
      <c r="AG557" s="122">
        <v>761</v>
      </c>
      <c r="AH557" s="122">
        <v>554</v>
      </c>
      <c r="AI557" s="122">
        <v>60267</v>
      </c>
      <c r="AJ557" s="122">
        <v>54788</v>
      </c>
      <c r="AK557">
        <v>86</v>
      </c>
      <c r="AL557" s="122">
        <v>8792</v>
      </c>
      <c r="AM557" s="122">
        <v>7993</v>
      </c>
      <c r="AN557" s="122">
        <v>13287</v>
      </c>
      <c r="AO557" s="122">
        <v>4921</v>
      </c>
      <c r="AP557" s="122">
        <v>2484</v>
      </c>
      <c r="AQ557" s="122">
        <v>920</v>
      </c>
      <c r="AR557" s="122">
        <v>23735</v>
      </c>
      <c r="AS557" s="122">
        <v>8791</v>
      </c>
      <c r="AT557" s="122">
        <v>0</v>
      </c>
      <c r="AU557" s="122">
        <v>0</v>
      </c>
      <c r="AV557" s="122">
        <v>77412</v>
      </c>
    </row>
    <row r="558" spans="2:48" hidden="1">
      <c r="B558" t="s">
        <v>365</v>
      </c>
      <c r="C558" t="s">
        <v>64</v>
      </c>
      <c r="D558" t="s">
        <v>406</v>
      </c>
      <c r="E558" t="s">
        <v>425</v>
      </c>
      <c r="F558">
        <v>1</v>
      </c>
      <c r="G558">
        <v>148</v>
      </c>
      <c r="H558">
        <v>491</v>
      </c>
      <c r="I558" s="122">
        <v>48180</v>
      </c>
      <c r="J558" s="122">
        <v>43800</v>
      </c>
      <c r="K558">
        <v>65</v>
      </c>
      <c r="L558" s="122">
        <v>12030</v>
      </c>
      <c r="M558" s="122">
        <v>10025</v>
      </c>
      <c r="N558" s="122">
        <v>3442</v>
      </c>
      <c r="O558" s="122">
        <v>1275</v>
      </c>
      <c r="P558" s="122">
        <v>621</v>
      </c>
      <c r="Q558">
        <v>230</v>
      </c>
      <c r="R558" s="122">
        <v>5410</v>
      </c>
      <c r="S558" s="122">
        <v>4919</v>
      </c>
      <c r="T558" s="122">
        <v>2952</v>
      </c>
      <c r="U558" s="122">
        <v>1093</v>
      </c>
      <c r="V558" s="122">
        <v>61341</v>
      </c>
      <c r="W558" s="122">
        <f t="shared" si="16"/>
        <v>61342</v>
      </c>
      <c r="X558" s="122">
        <f t="shared" si="17"/>
        <v>72635</v>
      </c>
      <c r="Y558" s="122"/>
      <c r="AA558" t="s">
        <v>54</v>
      </c>
      <c r="AB558" t="s">
        <v>406</v>
      </c>
      <c r="AC558" t="s">
        <v>580</v>
      </c>
      <c r="AD558" t="s">
        <v>406</v>
      </c>
      <c r="AE558" t="s">
        <v>137</v>
      </c>
      <c r="AF558">
        <v>94</v>
      </c>
      <c r="AG558" s="122">
        <v>21948</v>
      </c>
      <c r="AH558" s="122">
        <v>13229</v>
      </c>
      <c r="AI558" s="122">
        <v>1827795</v>
      </c>
      <c r="AJ558" s="122">
        <v>1661632</v>
      </c>
      <c r="AK558">
        <v>88</v>
      </c>
      <c r="AL558" s="122">
        <v>283126</v>
      </c>
      <c r="AM558" s="122">
        <v>257388</v>
      </c>
      <c r="AN558" s="122">
        <v>460864</v>
      </c>
      <c r="AO558" s="122">
        <v>170690</v>
      </c>
      <c r="AP558" s="122">
        <v>64922</v>
      </c>
      <c r="AQ558" s="122">
        <v>24045</v>
      </c>
      <c r="AR558" s="122">
        <v>543380</v>
      </c>
      <c r="AS558" s="122">
        <v>493982</v>
      </c>
      <c r="AT558" s="122">
        <v>122730</v>
      </c>
      <c r="AU558" s="122">
        <v>45456</v>
      </c>
      <c r="AV558" s="122">
        <v>2653192</v>
      </c>
    </row>
    <row r="559" spans="2:48" hidden="1">
      <c r="B559" t="s">
        <v>365</v>
      </c>
      <c r="C559" t="s">
        <v>64</v>
      </c>
      <c r="D559" t="s">
        <v>406</v>
      </c>
      <c r="E559" t="s">
        <v>405</v>
      </c>
      <c r="F559">
        <v>1</v>
      </c>
      <c r="G559">
        <v>753</v>
      </c>
      <c r="H559" s="122">
        <v>514</v>
      </c>
      <c r="I559" s="122">
        <v>286603</v>
      </c>
      <c r="J559" s="122">
        <v>260549</v>
      </c>
      <c r="K559">
        <v>70</v>
      </c>
      <c r="L559" s="122">
        <v>70589</v>
      </c>
      <c r="M559" s="122">
        <v>64172</v>
      </c>
      <c r="N559" s="122">
        <v>18341</v>
      </c>
      <c r="O559" s="122">
        <v>6793</v>
      </c>
      <c r="P559" s="122">
        <v>1323</v>
      </c>
      <c r="Q559" s="122">
        <v>490</v>
      </c>
      <c r="R559" s="122">
        <v>9549</v>
      </c>
      <c r="S559" s="122">
        <v>8681</v>
      </c>
      <c r="T559" s="122">
        <v>0</v>
      </c>
      <c r="U559" s="122">
        <v>0</v>
      </c>
      <c r="V559" s="122">
        <v>340685</v>
      </c>
      <c r="W559" s="122">
        <f t="shared" si="16"/>
        <v>340685</v>
      </c>
      <c r="X559" s="122">
        <f t="shared" si="17"/>
        <v>386405</v>
      </c>
      <c r="Y559" s="122"/>
      <c r="AA559" t="s">
        <v>54</v>
      </c>
      <c r="AB559" t="s">
        <v>406</v>
      </c>
      <c r="AC559" t="s">
        <v>580</v>
      </c>
      <c r="AD559" t="s">
        <v>406</v>
      </c>
      <c r="AE559" t="s">
        <v>566</v>
      </c>
      <c r="AF559">
        <v>341</v>
      </c>
      <c r="AG559" s="122">
        <v>78396</v>
      </c>
      <c r="AH559" s="122">
        <v>47656</v>
      </c>
      <c r="AI559" s="122">
        <v>6809125</v>
      </c>
      <c r="AJ559" s="122">
        <v>6190113</v>
      </c>
      <c r="AK559">
        <v>89</v>
      </c>
      <c r="AL559" s="122">
        <v>1059964</v>
      </c>
      <c r="AM559" s="122">
        <v>963603</v>
      </c>
      <c r="AN559" s="122">
        <v>1583175</v>
      </c>
      <c r="AO559" s="122">
        <v>586361</v>
      </c>
      <c r="AP559" s="122">
        <v>267821</v>
      </c>
      <c r="AQ559" s="122">
        <v>99193</v>
      </c>
      <c r="AR559" s="122">
        <v>1962085</v>
      </c>
      <c r="AS559" s="122">
        <v>1783713</v>
      </c>
      <c r="AT559">
        <v>0</v>
      </c>
      <c r="AU559">
        <v>0</v>
      </c>
      <c r="AV559" s="122">
        <v>9622984</v>
      </c>
    </row>
    <row r="560" spans="2:48" hidden="1">
      <c r="B560" t="s">
        <v>365</v>
      </c>
      <c r="C560" t="s">
        <v>64</v>
      </c>
      <c r="D560" t="s">
        <v>406</v>
      </c>
      <c r="E560" t="s">
        <v>137</v>
      </c>
      <c r="F560">
        <v>47</v>
      </c>
      <c r="G560" s="122">
        <v>4304</v>
      </c>
      <c r="H560" s="122">
        <v>27516</v>
      </c>
      <c r="I560" s="122">
        <v>1646467</v>
      </c>
      <c r="J560" s="122">
        <v>1496788</v>
      </c>
      <c r="K560">
        <v>73</v>
      </c>
      <c r="L560" s="122">
        <v>368543</v>
      </c>
      <c r="M560" s="122">
        <v>329096</v>
      </c>
      <c r="N560" s="122">
        <v>96129</v>
      </c>
      <c r="O560" s="122">
        <v>35603</v>
      </c>
      <c r="P560" s="122">
        <v>28917</v>
      </c>
      <c r="Q560" s="122">
        <v>10710</v>
      </c>
      <c r="R560" s="122">
        <v>322155</v>
      </c>
      <c r="S560" s="122">
        <v>119317</v>
      </c>
      <c r="T560" s="122">
        <v>6133</v>
      </c>
      <c r="U560" s="122">
        <v>2271</v>
      </c>
      <c r="V560" s="122">
        <v>1993786</v>
      </c>
      <c r="W560" s="122">
        <f t="shared" si="16"/>
        <v>1993785</v>
      </c>
      <c r="X560" s="122">
        <f t="shared" si="17"/>
        <v>2468344</v>
      </c>
      <c r="Y560" s="122"/>
      <c r="AA560" t="s">
        <v>54</v>
      </c>
      <c r="AB560" t="s">
        <v>406</v>
      </c>
      <c r="AC560" t="s">
        <v>580</v>
      </c>
      <c r="AD560" t="s">
        <v>427</v>
      </c>
      <c r="AE560" t="s">
        <v>566</v>
      </c>
      <c r="AF560">
        <v>2</v>
      </c>
      <c r="AG560">
        <v>514</v>
      </c>
      <c r="AH560">
        <v>278</v>
      </c>
      <c r="AI560" s="122">
        <v>43564</v>
      </c>
      <c r="AJ560" s="122">
        <v>39604</v>
      </c>
      <c r="AK560">
        <v>88</v>
      </c>
      <c r="AL560" s="122">
        <v>9583</v>
      </c>
      <c r="AM560" s="122">
        <v>8712</v>
      </c>
      <c r="AN560" s="122">
        <v>9343</v>
      </c>
      <c r="AO560" s="122">
        <v>3460</v>
      </c>
      <c r="AP560" s="122">
        <v>1512</v>
      </c>
      <c r="AQ560">
        <v>560</v>
      </c>
      <c r="AR560" s="122">
        <v>7095</v>
      </c>
      <c r="AS560" s="122">
        <v>6450</v>
      </c>
      <c r="AT560" s="122">
        <v>0</v>
      </c>
      <c r="AU560" s="122">
        <v>0</v>
      </c>
      <c r="AV560" s="122">
        <v>58787</v>
      </c>
    </row>
    <row r="561" spans="2:48" hidden="1">
      <c r="B561" t="s">
        <v>365</v>
      </c>
      <c r="C561" t="s">
        <v>64</v>
      </c>
      <c r="D561" t="s">
        <v>406</v>
      </c>
      <c r="E561" t="s">
        <v>406</v>
      </c>
      <c r="F561" s="122">
        <v>1049</v>
      </c>
      <c r="G561" s="122">
        <v>113535</v>
      </c>
      <c r="H561" s="122">
        <v>579107</v>
      </c>
      <c r="I561" s="122">
        <v>42143051</v>
      </c>
      <c r="J561" s="122">
        <v>38311865</v>
      </c>
      <c r="K561">
        <v>72</v>
      </c>
      <c r="L561" s="122">
        <v>9613379</v>
      </c>
      <c r="M561" s="122">
        <v>8551386</v>
      </c>
      <c r="N561" s="122">
        <v>2518863</v>
      </c>
      <c r="O561" s="122">
        <v>932912</v>
      </c>
      <c r="P561" s="122">
        <v>665240</v>
      </c>
      <c r="Q561" s="122">
        <v>246385</v>
      </c>
      <c r="R561" s="122">
        <v>5518966</v>
      </c>
      <c r="S561" s="122">
        <v>5017242</v>
      </c>
      <c r="T561" s="122">
        <v>1789508</v>
      </c>
      <c r="U561" s="122">
        <v>662781</v>
      </c>
      <c r="V561" s="122">
        <v>53722571</v>
      </c>
      <c r="W561" s="122">
        <f t="shared" si="16"/>
        <v>53722571</v>
      </c>
      <c r="X561" s="122">
        <f t="shared" si="17"/>
        <v>62249007</v>
      </c>
      <c r="Y561" s="122"/>
      <c r="AA561" t="s">
        <v>54</v>
      </c>
      <c r="AB561" t="s">
        <v>406</v>
      </c>
      <c r="AC561" t="s">
        <v>580</v>
      </c>
      <c r="AD561" t="s">
        <v>426</v>
      </c>
      <c r="AE561" t="s">
        <v>137</v>
      </c>
      <c r="AF561">
        <v>1</v>
      </c>
      <c r="AG561">
        <v>250</v>
      </c>
      <c r="AH561">
        <v>145</v>
      </c>
      <c r="AI561" s="122">
        <v>21314</v>
      </c>
      <c r="AJ561" s="122">
        <v>19376</v>
      </c>
      <c r="AK561">
        <v>86</v>
      </c>
      <c r="AL561" s="122">
        <v>2966</v>
      </c>
      <c r="AM561" s="122">
        <v>2696</v>
      </c>
      <c r="AN561" s="122">
        <v>3354</v>
      </c>
      <c r="AO561" s="122">
        <v>1242</v>
      </c>
      <c r="AP561">
        <v>621</v>
      </c>
      <c r="AQ561">
        <v>230</v>
      </c>
      <c r="AR561" s="122">
        <v>4237</v>
      </c>
      <c r="AS561" s="122">
        <v>3852</v>
      </c>
      <c r="AT561" s="122">
        <v>3850</v>
      </c>
      <c r="AU561" s="122">
        <v>1426</v>
      </c>
      <c r="AV561" s="122">
        <v>28822</v>
      </c>
    </row>
    <row r="562" spans="2:48" hidden="1">
      <c r="B562" t="s">
        <v>365</v>
      </c>
      <c r="C562" t="s">
        <v>64</v>
      </c>
      <c r="D562" t="s">
        <v>406</v>
      </c>
      <c r="E562" t="s">
        <v>427</v>
      </c>
      <c r="F562" s="122">
        <v>1</v>
      </c>
      <c r="G562" s="122">
        <v>96</v>
      </c>
      <c r="H562" s="122">
        <v>669</v>
      </c>
      <c r="I562" s="122">
        <v>44921</v>
      </c>
      <c r="J562" s="122">
        <v>40837</v>
      </c>
      <c r="K562">
        <v>65</v>
      </c>
      <c r="L562" s="122">
        <v>10282</v>
      </c>
      <c r="M562" s="122">
        <v>9347</v>
      </c>
      <c r="N562" s="122">
        <v>2339</v>
      </c>
      <c r="O562" s="122">
        <v>866</v>
      </c>
      <c r="P562" s="122">
        <v>621</v>
      </c>
      <c r="Q562" s="122">
        <v>230</v>
      </c>
      <c r="R562" s="122">
        <v>6033</v>
      </c>
      <c r="S562" s="122">
        <v>5485</v>
      </c>
      <c r="T562" s="122">
        <v>0</v>
      </c>
      <c r="U562" s="122">
        <v>0</v>
      </c>
      <c r="V562" s="122">
        <v>56766</v>
      </c>
      <c r="W562" s="122">
        <f t="shared" si="16"/>
        <v>56765</v>
      </c>
      <c r="X562" s="122">
        <f t="shared" si="17"/>
        <v>64196</v>
      </c>
      <c r="Y562" s="122"/>
      <c r="AA562" t="s">
        <v>54</v>
      </c>
      <c r="AB562" t="s">
        <v>406</v>
      </c>
      <c r="AC562" t="s">
        <v>427</v>
      </c>
      <c r="AD562" t="s">
        <v>137</v>
      </c>
      <c r="AE562" t="s">
        <v>566</v>
      </c>
      <c r="AF562">
        <v>1</v>
      </c>
      <c r="AG562" s="122">
        <v>260</v>
      </c>
      <c r="AH562" s="122">
        <v>148</v>
      </c>
      <c r="AI562" s="122">
        <v>22627</v>
      </c>
      <c r="AJ562" s="122">
        <v>20570</v>
      </c>
      <c r="AK562">
        <v>79</v>
      </c>
      <c r="AL562" s="122">
        <v>6620</v>
      </c>
      <c r="AM562" s="122">
        <v>6019</v>
      </c>
      <c r="AN562" s="122">
        <v>5902</v>
      </c>
      <c r="AO562" s="122">
        <v>2186</v>
      </c>
      <c r="AP562" s="122">
        <v>621</v>
      </c>
      <c r="AQ562" s="122">
        <v>230</v>
      </c>
      <c r="AR562" s="122">
        <v>2780</v>
      </c>
      <c r="AS562" s="122">
        <v>1029</v>
      </c>
      <c r="AT562" s="122">
        <v>0</v>
      </c>
      <c r="AU562" s="122">
        <v>0</v>
      </c>
      <c r="AV562" s="122">
        <v>30034</v>
      </c>
    </row>
    <row r="563" spans="2:48" hidden="1">
      <c r="B563" t="s">
        <v>365</v>
      </c>
      <c r="C563" t="s">
        <v>64</v>
      </c>
      <c r="D563" t="s">
        <v>406</v>
      </c>
      <c r="E563" t="s">
        <v>407</v>
      </c>
      <c r="F563">
        <v>1</v>
      </c>
      <c r="G563" s="122">
        <v>63</v>
      </c>
      <c r="H563" s="122">
        <v>453</v>
      </c>
      <c r="I563" s="122">
        <v>24004</v>
      </c>
      <c r="J563" s="122">
        <v>21821</v>
      </c>
      <c r="K563">
        <v>83</v>
      </c>
      <c r="L563" s="122">
        <v>0</v>
      </c>
      <c r="M563" s="122">
        <v>0</v>
      </c>
      <c r="N563" s="122">
        <v>1530</v>
      </c>
      <c r="O563" s="122">
        <v>567</v>
      </c>
      <c r="P563" s="122">
        <v>621</v>
      </c>
      <c r="Q563" s="122">
        <v>230</v>
      </c>
      <c r="R563" s="122">
        <v>2332</v>
      </c>
      <c r="S563" s="122">
        <v>2120</v>
      </c>
      <c r="T563" s="122">
        <v>0</v>
      </c>
      <c r="U563" s="122">
        <v>0</v>
      </c>
      <c r="V563" s="122">
        <v>24738</v>
      </c>
      <c r="W563" s="122">
        <f t="shared" si="16"/>
        <v>24738</v>
      </c>
      <c r="X563" s="122">
        <f t="shared" si="17"/>
        <v>28487</v>
      </c>
      <c r="Y563" s="122"/>
      <c r="AA563" t="s">
        <v>54</v>
      </c>
      <c r="AB563" t="s">
        <v>406</v>
      </c>
      <c r="AC563" t="s">
        <v>427</v>
      </c>
      <c r="AD563" t="s">
        <v>406</v>
      </c>
      <c r="AE563" t="s">
        <v>137</v>
      </c>
      <c r="AF563">
        <v>353</v>
      </c>
      <c r="AG563" s="122">
        <v>70587</v>
      </c>
      <c r="AH563" s="122">
        <v>50076</v>
      </c>
      <c r="AI563" s="122">
        <v>5666475</v>
      </c>
      <c r="AJ563" s="122">
        <v>5151341</v>
      </c>
      <c r="AK563">
        <v>89</v>
      </c>
      <c r="AL563" s="122">
        <v>1325522</v>
      </c>
      <c r="AM563" s="122">
        <v>1205020</v>
      </c>
      <c r="AN563" s="122">
        <v>1410667</v>
      </c>
      <c r="AO563" s="122">
        <v>522469</v>
      </c>
      <c r="AP563" s="122">
        <v>230373</v>
      </c>
      <c r="AQ563" s="122">
        <v>85323</v>
      </c>
      <c r="AR563" s="122">
        <v>1825709</v>
      </c>
      <c r="AS563" s="122">
        <v>1659735</v>
      </c>
      <c r="AT563" s="122">
        <v>398087</v>
      </c>
      <c r="AU563" s="122">
        <v>147440</v>
      </c>
      <c r="AV563" s="122">
        <v>8771329</v>
      </c>
    </row>
    <row r="564" spans="2:48" hidden="1">
      <c r="B564" t="s">
        <v>365</v>
      </c>
      <c r="C564" t="s">
        <v>64</v>
      </c>
      <c r="D564" t="s">
        <v>406</v>
      </c>
      <c r="E564" t="s">
        <v>426</v>
      </c>
      <c r="F564">
        <v>1</v>
      </c>
      <c r="G564" s="122">
        <v>131</v>
      </c>
      <c r="H564" s="122">
        <v>576</v>
      </c>
      <c r="I564" s="122">
        <v>51843</v>
      </c>
      <c r="J564" s="122">
        <v>47130</v>
      </c>
      <c r="K564">
        <v>86</v>
      </c>
      <c r="L564" s="122">
        <v>7796</v>
      </c>
      <c r="M564" s="122">
        <v>7087</v>
      </c>
      <c r="N564" s="122">
        <v>2168</v>
      </c>
      <c r="O564" s="122">
        <v>803</v>
      </c>
      <c r="P564" s="122">
        <v>621</v>
      </c>
      <c r="Q564" s="122">
        <v>230</v>
      </c>
      <c r="R564" s="122">
        <v>9252</v>
      </c>
      <c r="S564" s="122">
        <v>8411</v>
      </c>
      <c r="T564" s="122">
        <v>3695</v>
      </c>
      <c r="U564" s="122">
        <v>1368</v>
      </c>
      <c r="V564" s="122">
        <v>65030</v>
      </c>
      <c r="W564" s="122">
        <f t="shared" si="16"/>
        <v>65029</v>
      </c>
      <c r="X564" s="122">
        <f t="shared" si="17"/>
        <v>75375</v>
      </c>
      <c r="Y564" s="122"/>
      <c r="AA564" t="s">
        <v>54</v>
      </c>
      <c r="AB564" t="s">
        <v>406</v>
      </c>
      <c r="AC564" t="s">
        <v>427</v>
      </c>
      <c r="AD564" t="s">
        <v>406</v>
      </c>
      <c r="AE564" t="s">
        <v>566</v>
      </c>
      <c r="AF564">
        <v>873</v>
      </c>
      <c r="AG564" s="122">
        <v>177381</v>
      </c>
      <c r="AH564" s="122">
        <v>122216</v>
      </c>
      <c r="AI564" s="122">
        <v>14012376</v>
      </c>
      <c r="AJ564" s="122">
        <v>12738524</v>
      </c>
      <c r="AK564">
        <v>89</v>
      </c>
      <c r="AL564" s="122">
        <v>3463828</v>
      </c>
      <c r="AM564" s="122">
        <v>3148935</v>
      </c>
      <c r="AN564" s="122">
        <v>3539260</v>
      </c>
      <c r="AO564" s="122">
        <v>1310837</v>
      </c>
      <c r="AP564" s="122">
        <v>610898</v>
      </c>
      <c r="AQ564" s="122">
        <v>226258</v>
      </c>
      <c r="AR564" s="122">
        <v>4901103</v>
      </c>
      <c r="AS564" s="122">
        <v>4455548</v>
      </c>
      <c r="AT564" s="122">
        <v>3479</v>
      </c>
      <c r="AU564" s="122">
        <v>1289</v>
      </c>
      <c r="AV564" s="122">
        <v>21881391</v>
      </c>
    </row>
    <row r="565" spans="2:48" hidden="1">
      <c r="B565" t="s">
        <v>365</v>
      </c>
      <c r="C565" t="s">
        <v>64</v>
      </c>
      <c r="D565" t="s">
        <v>427</v>
      </c>
      <c r="E565" t="s">
        <v>137</v>
      </c>
      <c r="F565">
        <v>26</v>
      </c>
      <c r="G565" s="122">
        <v>2167</v>
      </c>
      <c r="H565" s="122">
        <v>30159</v>
      </c>
      <c r="I565" s="122">
        <v>1864061</v>
      </c>
      <c r="J565" s="122">
        <v>1694601</v>
      </c>
      <c r="K565">
        <v>37</v>
      </c>
      <c r="L565" s="122">
        <v>150300</v>
      </c>
      <c r="M565" s="122">
        <v>85954</v>
      </c>
      <c r="N565" s="122">
        <v>51008</v>
      </c>
      <c r="O565" s="122">
        <v>18892</v>
      </c>
      <c r="P565" s="122">
        <v>1053</v>
      </c>
      <c r="Q565">
        <v>390</v>
      </c>
      <c r="R565" s="122">
        <v>304958</v>
      </c>
      <c r="S565" s="122">
        <v>112948</v>
      </c>
      <c r="T565" s="122">
        <v>2000</v>
      </c>
      <c r="U565" s="122">
        <v>741</v>
      </c>
      <c r="V565" s="122">
        <v>1913526</v>
      </c>
      <c r="W565" s="122">
        <f t="shared" si="16"/>
        <v>1913526</v>
      </c>
      <c r="X565" s="122">
        <f t="shared" si="17"/>
        <v>2373380</v>
      </c>
      <c r="Y565" s="122"/>
      <c r="AA565" t="s">
        <v>54</v>
      </c>
      <c r="AB565" t="s">
        <v>406</v>
      </c>
      <c r="AC565" t="s">
        <v>427</v>
      </c>
      <c r="AD565" t="s">
        <v>427</v>
      </c>
      <c r="AE565" t="s">
        <v>566</v>
      </c>
      <c r="AF565">
        <v>9</v>
      </c>
      <c r="AG565" s="122">
        <v>1732</v>
      </c>
      <c r="AH565" s="122">
        <v>1270</v>
      </c>
      <c r="AI565" s="122">
        <v>135958</v>
      </c>
      <c r="AJ565" s="122">
        <v>123598</v>
      </c>
      <c r="AK565">
        <v>90</v>
      </c>
      <c r="AL565" s="122">
        <v>34675</v>
      </c>
      <c r="AM565" s="122">
        <v>31523</v>
      </c>
      <c r="AN565" s="122">
        <v>35263</v>
      </c>
      <c r="AO565" s="122">
        <v>13061</v>
      </c>
      <c r="AP565" s="122">
        <v>5589</v>
      </c>
      <c r="AQ565" s="122">
        <v>2070</v>
      </c>
      <c r="AR565" s="122">
        <v>46662</v>
      </c>
      <c r="AS565" s="122">
        <v>42420</v>
      </c>
      <c r="AT565" s="122">
        <v>0</v>
      </c>
      <c r="AU565" s="122">
        <v>0</v>
      </c>
      <c r="AV565" s="122">
        <v>212671</v>
      </c>
    </row>
    <row r="566" spans="2:48" hidden="1">
      <c r="B566" t="s">
        <v>365</v>
      </c>
      <c r="C566" t="s">
        <v>64</v>
      </c>
      <c r="D566" t="s">
        <v>427</v>
      </c>
      <c r="E566" t="s">
        <v>427</v>
      </c>
      <c r="F566">
        <v>36</v>
      </c>
      <c r="G566" s="122">
        <v>2988</v>
      </c>
      <c r="H566" s="122">
        <v>24786</v>
      </c>
      <c r="I566" s="122">
        <v>1573307</v>
      </c>
      <c r="J566" s="122">
        <v>1430279</v>
      </c>
      <c r="K566">
        <v>55</v>
      </c>
      <c r="L566" s="122">
        <v>202892</v>
      </c>
      <c r="M566" s="122">
        <v>151032</v>
      </c>
      <c r="N566" s="122">
        <v>71362</v>
      </c>
      <c r="O566" s="122">
        <v>26430</v>
      </c>
      <c r="P566" s="122">
        <v>10881</v>
      </c>
      <c r="Q566" s="122">
        <v>4030</v>
      </c>
      <c r="R566" s="122">
        <v>220980</v>
      </c>
      <c r="S566" s="122">
        <v>200891</v>
      </c>
      <c r="T566" s="122">
        <v>73738</v>
      </c>
      <c r="U566" s="122">
        <v>27310</v>
      </c>
      <c r="V566" s="122">
        <v>1839972</v>
      </c>
      <c r="W566" s="122">
        <f t="shared" si="16"/>
        <v>1839972</v>
      </c>
      <c r="X566" s="122">
        <f t="shared" si="17"/>
        <v>2153160</v>
      </c>
      <c r="Y566" s="122"/>
      <c r="AA566" t="s">
        <v>54</v>
      </c>
      <c r="AB566" t="s">
        <v>406</v>
      </c>
      <c r="AC566" t="s">
        <v>427</v>
      </c>
      <c r="AD566" t="s">
        <v>433</v>
      </c>
      <c r="AE566" t="s">
        <v>137</v>
      </c>
      <c r="AF566">
        <v>1</v>
      </c>
      <c r="AG566" s="122">
        <v>213</v>
      </c>
      <c r="AH566" s="122">
        <v>147</v>
      </c>
      <c r="AI566" s="122">
        <v>17471</v>
      </c>
      <c r="AJ566" s="122">
        <v>15883</v>
      </c>
      <c r="AK566">
        <v>86</v>
      </c>
      <c r="AL566" s="122">
        <v>2201</v>
      </c>
      <c r="AM566" s="122">
        <v>2001</v>
      </c>
      <c r="AN566" s="122">
        <v>2591</v>
      </c>
      <c r="AO566" s="122">
        <v>960</v>
      </c>
      <c r="AP566" s="122">
        <v>621</v>
      </c>
      <c r="AQ566" s="122">
        <v>230</v>
      </c>
      <c r="AR566" s="122">
        <v>4754</v>
      </c>
      <c r="AS566" s="122">
        <v>4322</v>
      </c>
      <c r="AT566" s="122">
        <v>3592</v>
      </c>
      <c r="AU566" s="122">
        <v>1330</v>
      </c>
      <c r="AV566" s="122">
        <v>24725</v>
      </c>
    </row>
    <row r="567" spans="2:48" hidden="1">
      <c r="B567" t="s">
        <v>365</v>
      </c>
      <c r="C567" t="s">
        <v>64</v>
      </c>
      <c r="D567" t="s">
        <v>407</v>
      </c>
      <c r="E567" t="s">
        <v>137</v>
      </c>
      <c r="F567">
        <v>7</v>
      </c>
      <c r="G567">
        <v>764</v>
      </c>
      <c r="H567" s="122">
        <v>4101</v>
      </c>
      <c r="I567" s="122">
        <v>282947</v>
      </c>
      <c r="J567" s="122">
        <v>257224</v>
      </c>
      <c r="K567">
        <v>72</v>
      </c>
      <c r="L567" s="122">
        <v>64164</v>
      </c>
      <c r="M567" s="122">
        <v>54888</v>
      </c>
      <c r="N567" s="122">
        <v>16791</v>
      </c>
      <c r="O567" s="122">
        <v>6219</v>
      </c>
      <c r="P567" s="122">
        <v>3456</v>
      </c>
      <c r="Q567" s="122">
        <v>1280</v>
      </c>
      <c r="R567" s="122">
        <v>59261</v>
      </c>
      <c r="S567" s="122">
        <v>21949</v>
      </c>
      <c r="T567" s="122">
        <v>4989</v>
      </c>
      <c r="U567" s="122">
        <v>1848</v>
      </c>
      <c r="V567" s="122">
        <v>343408</v>
      </c>
      <c r="W567" s="122">
        <f t="shared" si="16"/>
        <v>343408</v>
      </c>
      <c r="X567" s="122">
        <f t="shared" si="17"/>
        <v>431608</v>
      </c>
      <c r="Y567" s="122"/>
      <c r="AA567" t="s">
        <v>54</v>
      </c>
      <c r="AB567" t="s">
        <v>406</v>
      </c>
      <c r="AC567" t="s">
        <v>407</v>
      </c>
      <c r="AD567" t="s">
        <v>406</v>
      </c>
      <c r="AE567" t="s">
        <v>137</v>
      </c>
      <c r="AF567">
        <v>8</v>
      </c>
      <c r="AG567" s="122">
        <v>1452</v>
      </c>
      <c r="AH567" s="122">
        <v>1173</v>
      </c>
      <c r="AI567" s="122">
        <v>124898</v>
      </c>
      <c r="AJ567" s="122">
        <v>113543</v>
      </c>
      <c r="AK567">
        <v>85</v>
      </c>
      <c r="AL567" s="122">
        <v>18326</v>
      </c>
      <c r="AM567" s="122">
        <v>16660</v>
      </c>
      <c r="AN567" s="122">
        <v>30192</v>
      </c>
      <c r="AO567" s="122">
        <v>11182</v>
      </c>
      <c r="AP567" s="122">
        <v>4968</v>
      </c>
      <c r="AQ567" s="122">
        <v>1840</v>
      </c>
      <c r="AR567" s="122">
        <v>33335</v>
      </c>
      <c r="AS567" s="122">
        <v>30305</v>
      </c>
      <c r="AT567" s="122">
        <v>22016</v>
      </c>
      <c r="AU567" s="122">
        <v>8154</v>
      </c>
      <c r="AV567" s="122">
        <v>181685</v>
      </c>
    </row>
    <row r="568" spans="2:48" hidden="1">
      <c r="B568" t="s">
        <v>365</v>
      </c>
      <c r="C568" t="s">
        <v>64</v>
      </c>
      <c r="D568" t="s">
        <v>407</v>
      </c>
      <c r="E568" t="s">
        <v>407</v>
      </c>
      <c r="F568">
        <v>138</v>
      </c>
      <c r="G568" s="122">
        <v>14202</v>
      </c>
      <c r="H568" s="122">
        <v>75049</v>
      </c>
      <c r="I568" s="122">
        <v>5227101</v>
      </c>
      <c r="J568" s="122">
        <v>4751910</v>
      </c>
      <c r="K568">
        <v>73</v>
      </c>
      <c r="L568" s="122">
        <v>1307934</v>
      </c>
      <c r="M568" s="122">
        <v>1149693</v>
      </c>
      <c r="N568" s="122">
        <v>325200</v>
      </c>
      <c r="O568" s="122">
        <v>120444</v>
      </c>
      <c r="P568" s="122">
        <v>65597</v>
      </c>
      <c r="Q568" s="122">
        <v>24295</v>
      </c>
      <c r="R568" s="122">
        <v>702350</v>
      </c>
      <c r="S568" s="122">
        <v>638500</v>
      </c>
      <c r="T568" s="122">
        <v>233346</v>
      </c>
      <c r="U568" s="122">
        <v>86424</v>
      </c>
      <c r="V568" s="122">
        <v>6771266</v>
      </c>
      <c r="W568" s="122">
        <f t="shared" si="16"/>
        <v>6771266</v>
      </c>
      <c r="X568" s="122">
        <f t="shared" si="17"/>
        <v>7861528</v>
      </c>
      <c r="Y568" s="122"/>
      <c r="AA568" t="s">
        <v>54</v>
      </c>
      <c r="AB568" t="s">
        <v>406</v>
      </c>
      <c r="AC568" t="s">
        <v>407</v>
      </c>
      <c r="AD568" t="s">
        <v>406</v>
      </c>
      <c r="AE568" t="s">
        <v>566</v>
      </c>
      <c r="AF568">
        <v>44</v>
      </c>
      <c r="AG568" s="122">
        <v>9387</v>
      </c>
      <c r="AH568" s="122">
        <v>6115</v>
      </c>
      <c r="AI568" s="122">
        <v>792479</v>
      </c>
      <c r="AJ568" s="122">
        <v>720435</v>
      </c>
      <c r="AK568">
        <v>89</v>
      </c>
      <c r="AL568" s="122">
        <v>144047</v>
      </c>
      <c r="AM568" s="122">
        <v>130952</v>
      </c>
      <c r="AN568" s="122">
        <v>191716</v>
      </c>
      <c r="AO568" s="122">
        <v>71006</v>
      </c>
      <c r="AP568" s="122">
        <v>30416</v>
      </c>
      <c r="AQ568" s="122">
        <v>11265</v>
      </c>
      <c r="AR568" s="122">
        <v>266473</v>
      </c>
      <c r="AS568" s="122">
        <v>242248</v>
      </c>
      <c r="AT568">
        <v>0</v>
      </c>
      <c r="AU568">
        <v>0</v>
      </c>
      <c r="AV568" s="122">
        <v>1175906</v>
      </c>
    </row>
    <row r="569" spans="2:48" hidden="1">
      <c r="B569" t="s">
        <v>365</v>
      </c>
      <c r="C569" t="s">
        <v>64</v>
      </c>
      <c r="D569" t="s">
        <v>556</v>
      </c>
      <c r="E569" t="s">
        <v>425</v>
      </c>
      <c r="F569">
        <v>1</v>
      </c>
      <c r="G569" s="122">
        <v>67</v>
      </c>
      <c r="H569" s="122">
        <v>643</v>
      </c>
      <c r="I569" s="122">
        <v>25177</v>
      </c>
      <c r="J569" s="122">
        <v>20981</v>
      </c>
      <c r="K569">
        <v>86</v>
      </c>
      <c r="L569" s="122">
        <v>11528</v>
      </c>
      <c r="M569" s="122">
        <v>4270</v>
      </c>
      <c r="N569" s="122">
        <v>1626</v>
      </c>
      <c r="O569" s="122">
        <v>602</v>
      </c>
      <c r="P569" s="122">
        <v>621</v>
      </c>
      <c r="Q569" s="122">
        <v>230</v>
      </c>
      <c r="R569" s="122">
        <v>3982</v>
      </c>
      <c r="S569" s="122">
        <v>3620</v>
      </c>
      <c r="T569" s="122">
        <v>0</v>
      </c>
      <c r="U569" s="122">
        <v>0</v>
      </c>
      <c r="V569" s="122">
        <v>29703</v>
      </c>
      <c r="W569" s="122">
        <f t="shared" si="16"/>
        <v>29703</v>
      </c>
      <c r="X569" s="122">
        <f t="shared" si="17"/>
        <v>42934</v>
      </c>
      <c r="Y569" s="122"/>
      <c r="AA569" t="s">
        <v>54</v>
      </c>
      <c r="AB569" t="s">
        <v>406</v>
      </c>
      <c r="AC569" t="s">
        <v>579</v>
      </c>
      <c r="AD569" t="s">
        <v>137</v>
      </c>
      <c r="AE569" t="s">
        <v>566</v>
      </c>
      <c r="AF569">
        <v>2</v>
      </c>
      <c r="AG569" s="122">
        <v>372</v>
      </c>
      <c r="AH569" s="122">
        <v>284</v>
      </c>
      <c r="AI569" s="122">
        <v>37912</v>
      </c>
      <c r="AJ569" s="122">
        <v>34465</v>
      </c>
      <c r="AK569">
        <v>90</v>
      </c>
      <c r="AL569" s="122">
        <v>10336</v>
      </c>
      <c r="AM569" s="122">
        <v>8613</v>
      </c>
      <c r="AN569" s="122">
        <v>8068</v>
      </c>
      <c r="AO569" s="122">
        <v>2988</v>
      </c>
      <c r="AP569" s="122">
        <v>1242</v>
      </c>
      <c r="AQ569" s="122">
        <v>460</v>
      </c>
      <c r="AR569" s="122">
        <v>7338</v>
      </c>
      <c r="AS569" s="122">
        <v>2718</v>
      </c>
      <c r="AT569" s="122">
        <v>0</v>
      </c>
      <c r="AU569" s="122">
        <v>0</v>
      </c>
      <c r="AV569" s="122">
        <v>49244</v>
      </c>
    </row>
    <row r="570" spans="2:48" hidden="1">
      <c r="B570" t="s">
        <v>365</v>
      </c>
      <c r="C570" t="s">
        <v>64</v>
      </c>
      <c r="D570" t="s">
        <v>556</v>
      </c>
      <c r="E570" t="s">
        <v>137</v>
      </c>
      <c r="F570" s="122">
        <v>13</v>
      </c>
      <c r="G570" s="122">
        <v>1329</v>
      </c>
      <c r="H570" s="122">
        <v>14634</v>
      </c>
      <c r="I570" s="122">
        <v>1220002</v>
      </c>
      <c r="J570" s="122">
        <v>1016668</v>
      </c>
      <c r="K570">
        <v>39</v>
      </c>
      <c r="L570" s="122">
        <v>110883</v>
      </c>
      <c r="M570" s="122">
        <v>54242</v>
      </c>
      <c r="N570" s="122">
        <v>30964</v>
      </c>
      <c r="O570" s="122">
        <v>11468</v>
      </c>
      <c r="P570" s="122">
        <v>1053</v>
      </c>
      <c r="Q570" s="122">
        <v>390</v>
      </c>
      <c r="R570" s="122">
        <v>91692</v>
      </c>
      <c r="S570" s="122">
        <v>33960</v>
      </c>
      <c r="T570" s="122">
        <v>0</v>
      </c>
      <c r="U570" s="122">
        <v>0</v>
      </c>
      <c r="V570" s="122">
        <v>1116729</v>
      </c>
      <c r="W570" s="122">
        <f t="shared" si="16"/>
        <v>1116728</v>
      </c>
      <c r="X570" s="122">
        <f t="shared" si="17"/>
        <v>1454594</v>
      </c>
      <c r="Y570" s="122"/>
      <c r="AA570" t="s">
        <v>54</v>
      </c>
      <c r="AB570" t="s">
        <v>406</v>
      </c>
      <c r="AC570" t="s">
        <v>579</v>
      </c>
      <c r="AD570" t="s">
        <v>406</v>
      </c>
      <c r="AE570" t="s">
        <v>137</v>
      </c>
      <c r="AF570">
        <v>237</v>
      </c>
      <c r="AG570" s="122">
        <v>48546</v>
      </c>
      <c r="AH570" s="122">
        <v>33230</v>
      </c>
      <c r="AI570" s="122">
        <v>3886817</v>
      </c>
      <c r="AJ570" s="122">
        <v>3533470</v>
      </c>
      <c r="AK570">
        <v>91</v>
      </c>
      <c r="AL570" s="122">
        <v>825241</v>
      </c>
      <c r="AM570" s="122">
        <v>687701</v>
      </c>
      <c r="AN570" s="122">
        <v>914133</v>
      </c>
      <c r="AO570" s="122">
        <v>338568</v>
      </c>
      <c r="AP570" s="122">
        <v>159619</v>
      </c>
      <c r="AQ570" s="122">
        <v>59118</v>
      </c>
      <c r="AR570" s="122">
        <v>1182188</v>
      </c>
      <c r="AS570" s="122">
        <v>1074716</v>
      </c>
      <c r="AT570" s="122">
        <v>301914</v>
      </c>
      <c r="AU570" s="122">
        <v>111820</v>
      </c>
      <c r="AV570" s="122">
        <v>5805393</v>
      </c>
    </row>
    <row r="571" spans="2:48" hidden="1">
      <c r="B571" t="s">
        <v>365</v>
      </c>
      <c r="C571" t="s">
        <v>64</v>
      </c>
      <c r="D571" t="s">
        <v>556</v>
      </c>
      <c r="E571" t="s">
        <v>556</v>
      </c>
      <c r="F571">
        <v>12</v>
      </c>
      <c r="G571" s="122">
        <v>1068</v>
      </c>
      <c r="H571" s="122">
        <v>8279</v>
      </c>
      <c r="I571" s="122">
        <v>543980</v>
      </c>
      <c r="J571" s="122">
        <v>453317</v>
      </c>
      <c r="K571">
        <v>55</v>
      </c>
      <c r="L571" s="122">
        <v>79992</v>
      </c>
      <c r="M571" s="122">
        <v>54601</v>
      </c>
      <c r="N571" s="122">
        <v>19430</v>
      </c>
      <c r="O571" s="122">
        <v>7196</v>
      </c>
      <c r="P571" s="122">
        <v>3780</v>
      </c>
      <c r="Q571" s="122">
        <v>1400</v>
      </c>
      <c r="R571" s="122">
        <v>67192</v>
      </c>
      <c r="S571" s="122">
        <v>55993</v>
      </c>
      <c r="T571" s="122">
        <v>22230</v>
      </c>
      <c r="U571" s="122">
        <v>8233</v>
      </c>
      <c r="V571" s="122">
        <v>580740</v>
      </c>
      <c r="W571" s="122">
        <f t="shared" si="16"/>
        <v>580740</v>
      </c>
      <c r="X571" s="122">
        <f t="shared" si="17"/>
        <v>736604</v>
      </c>
      <c r="Y571" s="122"/>
      <c r="AA571" t="s">
        <v>54</v>
      </c>
      <c r="AB571" t="s">
        <v>406</v>
      </c>
      <c r="AC571" t="s">
        <v>579</v>
      </c>
      <c r="AD571" t="s">
        <v>406</v>
      </c>
      <c r="AE571" t="s">
        <v>566</v>
      </c>
      <c r="AF571">
        <v>751</v>
      </c>
      <c r="AG571" s="122">
        <v>153626</v>
      </c>
      <c r="AH571" s="122">
        <v>105251</v>
      </c>
      <c r="AI571" s="122">
        <v>12484380</v>
      </c>
      <c r="AJ571" s="122">
        <v>11349436</v>
      </c>
      <c r="AK571">
        <v>91</v>
      </c>
      <c r="AL571" s="122">
        <v>2868566</v>
      </c>
      <c r="AM571" s="122">
        <v>2390471</v>
      </c>
      <c r="AN571" s="122">
        <v>2907212</v>
      </c>
      <c r="AO571" s="122">
        <v>1076745</v>
      </c>
      <c r="AP571" s="122">
        <v>539151</v>
      </c>
      <c r="AQ571" s="122">
        <v>199685</v>
      </c>
      <c r="AR571" s="122">
        <v>4054473</v>
      </c>
      <c r="AS571" s="122">
        <v>3685885</v>
      </c>
      <c r="AT571">
        <v>0</v>
      </c>
      <c r="AU571">
        <v>0</v>
      </c>
      <c r="AV571" s="122">
        <v>18702223</v>
      </c>
    </row>
    <row r="572" spans="2:48" hidden="1">
      <c r="B572" t="s">
        <v>365</v>
      </c>
      <c r="C572" t="s">
        <v>64</v>
      </c>
      <c r="D572" t="s">
        <v>428</v>
      </c>
      <c r="E572" t="s">
        <v>428</v>
      </c>
      <c r="F572">
        <v>1</v>
      </c>
      <c r="G572">
        <v>154</v>
      </c>
      <c r="H572" s="122">
        <v>477</v>
      </c>
      <c r="I572" s="122">
        <v>54731</v>
      </c>
      <c r="J572" s="122">
        <v>49756</v>
      </c>
      <c r="K572">
        <v>45</v>
      </c>
      <c r="L572" s="122">
        <v>4561</v>
      </c>
      <c r="M572" s="122">
        <v>4146</v>
      </c>
      <c r="N572" s="122">
        <v>3174</v>
      </c>
      <c r="O572" s="122">
        <v>1175</v>
      </c>
      <c r="P572" s="122">
        <v>351</v>
      </c>
      <c r="Q572" s="122">
        <v>130</v>
      </c>
      <c r="R572" s="122">
        <v>7631</v>
      </c>
      <c r="S572" s="122">
        <v>6938</v>
      </c>
      <c r="T572" s="122">
        <v>3065</v>
      </c>
      <c r="U572" s="122">
        <v>1135</v>
      </c>
      <c r="V572" s="122">
        <v>63280</v>
      </c>
      <c r="W572" s="122">
        <f t="shared" si="16"/>
        <v>63280</v>
      </c>
      <c r="X572" s="122">
        <f t="shared" si="17"/>
        <v>73513</v>
      </c>
      <c r="Y572" s="122"/>
      <c r="AA572" t="s">
        <v>54</v>
      </c>
      <c r="AB572" t="s">
        <v>406</v>
      </c>
      <c r="AC572" t="s">
        <v>428</v>
      </c>
      <c r="AD572" t="s">
        <v>425</v>
      </c>
      <c r="AE572" t="s">
        <v>566</v>
      </c>
      <c r="AF572">
        <v>1</v>
      </c>
      <c r="AG572" s="122">
        <v>245</v>
      </c>
      <c r="AH572" s="122">
        <v>147</v>
      </c>
      <c r="AI572" s="122">
        <v>22319</v>
      </c>
      <c r="AJ572" s="122">
        <v>20290</v>
      </c>
      <c r="AK572">
        <v>83</v>
      </c>
      <c r="AL572" s="122">
        <v>3918</v>
      </c>
      <c r="AM572" s="122">
        <v>3562</v>
      </c>
      <c r="AN572" s="122">
        <v>2980</v>
      </c>
      <c r="AO572" s="122">
        <v>1104</v>
      </c>
      <c r="AP572" s="122">
        <v>621</v>
      </c>
      <c r="AQ572" s="122">
        <v>230</v>
      </c>
      <c r="AR572" s="122">
        <v>6240</v>
      </c>
      <c r="AS572" s="122">
        <v>5673</v>
      </c>
      <c r="AT572" s="122">
        <v>0</v>
      </c>
      <c r="AU572" s="122">
        <v>0</v>
      </c>
      <c r="AV572" s="122">
        <v>30859</v>
      </c>
    </row>
    <row r="573" spans="2:48" hidden="1">
      <c r="B573" t="s">
        <v>365</v>
      </c>
      <c r="C573" t="s">
        <v>64</v>
      </c>
      <c r="D573" t="s">
        <v>431</v>
      </c>
      <c r="E573" t="s">
        <v>137</v>
      </c>
      <c r="F573">
        <v>1</v>
      </c>
      <c r="G573" s="122">
        <v>89</v>
      </c>
      <c r="H573" s="122">
        <v>1283</v>
      </c>
      <c r="I573" s="122">
        <v>107534</v>
      </c>
      <c r="J573" s="122">
        <v>97758</v>
      </c>
      <c r="K573">
        <v>30</v>
      </c>
      <c r="L573" s="122">
        <v>0</v>
      </c>
      <c r="M573" s="122">
        <v>0</v>
      </c>
      <c r="N573" s="122">
        <v>2174</v>
      </c>
      <c r="O573" s="122">
        <v>805</v>
      </c>
      <c r="P573" s="122">
        <v>0</v>
      </c>
      <c r="Q573" s="122">
        <v>0</v>
      </c>
      <c r="R573" s="122">
        <v>4746</v>
      </c>
      <c r="S573" s="122">
        <v>1758</v>
      </c>
      <c r="T573" s="122">
        <v>0</v>
      </c>
      <c r="U573">
        <v>0</v>
      </c>
      <c r="V573" s="122">
        <v>100321</v>
      </c>
      <c r="W573" s="122">
        <f t="shared" si="16"/>
        <v>100321</v>
      </c>
      <c r="X573" s="122">
        <f t="shared" si="17"/>
        <v>114454</v>
      </c>
      <c r="Y573" s="122"/>
      <c r="AA573" t="s">
        <v>54</v>
      </c>
      <c r="AB573" t="s">
        <v>406</v>
      </c>
      <c r="AC573" t="s">
        <v>428</v>
      </c>
      <c r="AD573" t="s">
        <v>406</v>
      </c>
      <c r="AE573" t="s">
        <v>137</v>
      </c>
      <c r="AF573">
        <v>30</v>
      </c>
      <c r="AG573" s="122">
        <v>5567</v>
      </c>
      <c r="AH573" s="122">
        <v>4240</v>
      </c>
      <c r="AI573" s="122">
        <v>486152</v>
      </c>
      <c r="AJ573" s="122">
        <v>441956</v>
      </c>
      <c r="AK573">
        <v>90</v>
      </c>
      <c r="AL573" s="122">
        <v>104850</v>
      </c>
      <c r="AM573" s="122">
        <v>95318</v>
      </c>
      <c r="AN573" s="122">
        <v>106551</v>
      </c>
      <c r="AO573" s="122">
        <v>39463</v>
      </c>
      <c r="AP573" s="122">
        <v>20385</v>
      </c>
      <c r="AQ573" s="122">
        <v>7550</v>
      </c>
      <c r="AR573" s="122">
        <v>139581</v>
      </c>
      <c r="AS573" s="122">
        <v>126892</v>
      </c>
      <c r="AT573" s="122">
        <v>31945</v>
      </c>
      <c r="AU573" s="122">
        <v>11831</v>
      </c>
      <c r="AV573" s="122">
        <v>723010</v>
      </c>
    </row>
    <row r="574" spans="2:48" hidden="1">
      <c r="B574" t="s">
        <v>365</v>
      </c>
      <c r="C574" t="s">
        <v>64</v>
      </c>
      <c r="D574" t="s">
        <v>431</v>
      </c>
      <c r="E574" t="s">
        <v>431</v>
      </c>
      <c r="F574">
        <v>1</v>
      </c>
      <c r="G574" s="122">
        <v>95</v>
      </c>
      <c r="H574" s="122">
        <v>504</v>
      </c>
      <c r="I574" s="122">
        <v>33723</v>
      </c>
      <c r="J574" s="122">
        <v>30657</v>
      </c>
      <c r="K574">
        <v>65</v>
      </c>
      <c r="L574" s="122">
        <v>5978</v>
      </c>
      <c r="M574" s="122">
        <v>2214</v>
      </c>
      <c r="N574" s="122">
        <v>2204</v>
      </c>
      <c r="O574" s="122">
        <v>816</v>
      </c>
      <c r="P574" s="122">
        <v>351</v>
      </c>
      <c r="Q574" s="122">
        <v>130</v>
      </c>
      <c r="R574" s="122">
        <v>3828</v>
      </c>
      <c r="S574" s="122">
        <v>3480</v>
      </c>
      <c r="T574" s="122">
        <v>1921</v>
      </c>
      <c r="U574" s="122">
        <v>711</v>
      </c>
      <c r="V574" s="122">
        <v>38009</v>
      </c>
      <c r="W574" s="122">
        <f t="shared" si="16"/>
        <v>38008</v>
      </c>
      <c r="X574" s="122">
        <f t="shared" si="17"/>
        <v>48005</v>
      </c>
      <c r="Y574" s="122"/>
      <c r="AA574" t="s">
        <v>54</v>
      </c>
      <c r="AB574" t="s">
        <v>406</v>
      </c>
      <c r="AC574" t="s">
        <v>428</v>
      </c>
      <c r="AD574" t="s">
        <v>406</v>
      </c>
      <c r="AE574" t="s">
        <v>566</v>
      </c>
      <c r="AF574">
        <v>80</v>
      </c>
      <c r="AG574" s="122">
        <v>15834</v>
      </c>
      <c r="AH574" s="122">
        <v>11229</v>
      </c>
      <c r="AI574" s="122">
        <v>1284981</v>
      </c>
      <c r="AJ574" s="122">
        <v>1168164</v>
      </c>
      <c r="AK574">
        <v>89</v>
      </c>
      <c r="AL574" s="122">
        <v>283448</v>
      </c>
      <c r="AM574" s="122">
        <v>257680</v>
      </c>
      <c r="AN574" s="122">
        <v>304083</v>
      </c>
      <c r="AO574" s="122">
        <v>112623</v>
      </c>
      <c r="AP574" s="122">
        <v>54054</v>
      </c>
      <c r="AQ574" s="122">
        <v>20020</v>
      </c>
      <c r="AR574" s="122">
        <v>437269</v>
      </c>
      <c r="AS574" s="122">
        <v>397517</v>
      </c>
      <c r="AT574">
        <v>0</v>
      </c>
      <c r="AU574">
        <v>0</v>
      </c>
      <c r="AV574" s="122">
        <v>1956006</v>
      </c>
    </row>
    <row r="575" spans="2:48" hidden="1">
      <c r="B575" t="s">
        <v>365</v>
      </c>
      <c r="C575" t="s">
        <v>64</v>
      </c>
      <c r="D575" t="s">
        <v>426</v>
      </c>
      <c r="E575" t="s">
        <v>405</v>
      </c>
      <c r="F575">
        <v>1</v>
      </c>
      <c r="G575" s="122">
        <v>82</v>
      </c>
      <c r="H575" s="122">
        <v>1189</v>
      </c>
      <c r="I575" s="122">
        <v>84832</v>
      </c>
      <c r="J575" s="122">
        <v>77120</v>
      </c>
      <c r="K575">
        <v>30</v>
      </c>
      <c r="L575" s="122">
        <v>6941</v>
      </c>
      <c r="M575" s="122">
        <v>2571</v>
      </c>
      <c r="N575" s="122">
        <v>1989</v>
      </c>
      <c r="O575" s="122">
        <v>737</v>
      </c>
      <c r="P575" s="122">
        <v>0</v>
      </c>
      <c r="Q575">
        <v>0</v>
      </c>
      <c r="R575" s="122">
        <v>3309</v>
      </c>
      <c r="S575" s="122">
        <v>3008</v>
      </c>
      <c r="T575" s="122">
        <v>0</v>
      </c>
      <c r="U575" s="122">
        <v>0</v>
      </c>
      <c r="V575" s="122">
        <v>83436</v>
      </c>
      <c r="W575" s="122">
        <f t="shared" si="16"/>
        <v>83436</v>
      </c>
      <c r="X575" s="122">
        <f t="shared" si="17"/>
        <v>97071</v>
      </c>
      <c r="Y575" s="122"/>
      <c r="AA575" t="s">
        <v>54</v>
      </c>
      <c r="AB575" t="s">
        <v>406</v>
      </c>
      <c r="AC575" t="s">
        <v>431</v>
      </c>
      <c r="AD575" t="s">
        <v>137</v>
      </c>
      <c r="AE575" t="s">
        <v>566</v>
      </c>
      <c r="AF575">
        <v>1</v>
      </c>
      <c r="AG575" s="122">
        <v>309</v>
      </c>
      <c r="AH575" s="122">
        <v>127</v>
      </c>
      <c r="AI575" s="122">
        <v>22248</v>
      </c>
      <c r="AJ575" s="122">
        <v>20225</v>
      </c>
      <c r="AK575">
        <v>86</v>
      </c>
      <c r="AL575" s="122">
        <v>3350</v>
      </c>
      <c r="AM575" s="122">
        <v>3045</v>
      </c>
      <c r="AN575" s="122">
        <v>5463</v>
      </c>
      <c r="AO575" s="122">
        <v>2023</v>
      </c>
      <c r="AP575" s="122">
        <v>621</v>
      </c>
      <c r="AQ575" s="122">
        <v>230</v>
      </c>
      <c r="AR575" s="122">
        <v>7469</v>
      </c>
      <c r="AS575" s="122">
        <v>2766</v>
      </c>
      <c r="AT575" s="122">
        <v>0</v>
      </c>
      <c r="AU575" s="122">
        <v>0</v>
      </c>
      <c r="AV575" s="122">
        <v>28290</v>
      </c>
    </row>
    <row r="576" spans="2:48" hidden="1">
      <c r="B576" t="s">
        <v>365</v>
      </c>
      <c r="C576" t="s">
        <v>64</v>
      </c>
      <c r="D576" t="s">
        <v>426</v>
      </c>
      <c r="E576" t="s">
        <v>137</v>
      </c>
      <c r="F576">
        <v>227</v>
      </c>
      <c r="G576" s="122">
        <v>20843</v>
      </c>
      <c r="H576" s="122">
        <v>240879</v>
      </c>
      <c r="I576" s="122">
        <v>17442348</v>
      </c>
      <c r="J576" s="122">
        <v>15856680</v>
      </c>
      <c r="K576">
        <v>39</v>
      </c>
      <c r="L576" s="122">
        <v>1612703</v>
      </c>
      <c r="M576" s="122">
        <v>850261</v>
      </c>
      <c r="N576" s="122">
        <v>479027</v>
      </c>
      <c r="O576" s="122">
        <v>177417</v>
      </c>
      <c r="P576" s="122">
        <v>7151</v>
      </c>
      <c r="Q576" s="122">
        <v>2649</v>
      </c>
      <c r="R576" s="122">
        <v>1598545</v>
      </c>
      <c r="S576" s="122">
        <v>592054</v>
      </c>
      <c r="T576" s="122">
        <v>6037</v>
      </c>
      <c r="U576" s="122">
        <v>2236</v>
      </c>
      <c r="V576" s="122">
        <v>17481296</v>
      </c>
      <c r="W576" s="122">
        <f t="shared" si="16"/>
        <v>17481297</v>
      </c>
      <c r="X576" s="122">
        <f t="shared" si="17"/>
        <v>21145811</v>
      </c>
      <c r="Y576" s="122"/>
      <c r="AA576" t="s">
        <v>54</v>
      </c>
      <c r="AB576" t="s">
        <v>406</v>
      </c>
      <c r="AC576" t="s">
        <v>431</v>
      </c>
      <c r="AD576" t="s">
        <v>406</v>
      </c>
      <c r="AE576" t="s">
        <v>137</v>
      </c>
      <c r="AF576">
        <v>43</v>
      </c>
      <c r="AG576" s="122">
        <v>8963</v>
      </c>
      <c r="AH576" s="122">
        <v>6070</v>
      </c>
      <c r="AI576" s="122">
        <v>780443</v>
      </c>
      <c r="AJ576" s="122">
        <v>709494</v>
      </c>
      <c r="AK576">
        <v>89</v>
      </c>
      <c r="AL576" s="122">
        <v>152666</v>
      </c>
      <c r="AM576" s="122">
        <v>138787</v>
      </c>
      <c r="AN576" s="122">
        <v>198270</v>
      </c>
      <c r="AO576" s="122">
        <v>73433</v>
      </c>
      <c r="AP576" s="122">
        <v>30915</v>
      </c>
      <c r="AQ576" s="122">
        <v>11450</v>
      </c>
      <c r="AR576" s="122">
        <v>238074</v>
      </c>
      <c r="AS576" s="122">
        <v>216431</v>
      </c>
      <c r="AT576" s="122">
        <v>59583</v>
      </c>
      <c r="AU576" s="122">
        <v>22068</v>
      </c>
      <c r="AV576" s="122">
        <v>1171664</v>
      </c>
    </row>
    <row r="577" spans="2:48" hidden="1">
      <c r="B577" t="s">
        <v>365</v>
      </c>
      <c r="C577" t="s">
        <v>64</v>
      </c>
      <c r="D577" t="s">
        <v>426</v>
      </c>
      <c r="E577" t="s">
        <v>406</v>
      </c>
      <c r="F577">
        <v>4</v>
      </c>
      <c r="G577" s="122">
        <v>779</v>
      </c>
      <c r="H577" s="122">
        <v>4239</v>
      </c>
      <c r="I577" s="122">
        <v>608488</v>
      </c>
      <c r="J577" s="122">
        <v>553171</v>
      </c>
      <c r="K577">
        <v>39</v>
      </c>
      <c r="L577" s="122">
        <v>69106</v>
      </c>
      <c r="M577" s="122">
        <v>25595</v>
      </c>
      <c r="N577" s="122">
        <v>18076</v>
      </c>
      <c r="O577" s="122">
        <v>6695</v>
      </c>
      <c r="P577" s="122">
        <v>621</v>
      </c>
      <c r="Q577" s="122">
        <v>230</v>
      </c>
      <c r="R577" s="122">
        <v>28891</v>
      </c>
      <c r="S577" s="122">
        <v>26265</v>
      </c>
      <c r="T577" s="122">
        <v>8564</v>
      </c>
      <c r="U577" s="122">
        <v>3172</v>
      </c>
      <c r="V577" s="122">
        <v>615128</v>
      </c>
      <c r="W577" s="122">
        <f t="shared" si="16"/>
        <v>615128</v>
      </c>
      <c r="X577" s="122">
        <f t="shared" si="17"/>
        <v>733746</v>
      </c>
      <c r="Y577" s="122"/>
      <c r="AA577" t="s">
        <v>54</v>
      </c>
      <c r="AB577" t="s">
        <v>406</v>
      </c>
      <c r="AC577" t="s">
        <v>431</v>
      </c>
      <c r="AD577" t="s">
        <v>406</v>
      </c>
      <c r="AE577" t="s">
        <v>566</v>
      </c>
      <c r="AF577">
        <v>57</v>
      </c>
      <c r="AG577" s="122">
        <v>11222</v>
      </c>
      <c r="AH577" s="122">
        <v>7999</v>
      </c>
      <c r="AI577" s="122">
        <v>959928</v>
      </c>
      <c r="AJ577" s="122">
        <v>872662</v>
      </c>
      <c r="AK577">
        <v>88</v>
      </c>
      <c r="AL577" s="122">
        <v>212106</v>
      </c>
      <c r="AM577" s="122">
        <v>192823</v>
      </c>
      <c r="AN577" s="122">
        <v>233451</v>
      </c>
      <c r="AO577" s="122">
        <v>86463</v>
      </c>
      <c r="AP577" s="122">
        <v>48114</v>
      </c>
      <c r="AQ577" s="122">
        <v>17820</v>
      </c>
      <c r="AR577" s="122">
        <v>329456</v>
      </c>
      <c r="AS577" s="122">
        <v>299506</v>
      </c>
      <c r="AT577">
        <v>0</v>
      </c>
      <c r="AU577">
        <v>0</v>
      </c>
      <c r="AV577" s="122">
        <v>1469274</v>
      </c>
    </row>
    <row r="578" spans="2:48" hidden="1">
      <c r="B578" t="s">
        <v>365</v>
      </c>
      <c r="C578" t="s">
        <v>64</v>
      </c>
      <c r="D578" t="s">
        <v>426</v>
      </c>
      <c r="E578" t="s">
        <v>426</v>
      </c>
      <c r="F578">
        <v>328</v>
      </c>
      <c r="G578" s="122">
        <v>31792</v>
      </c>
      <c r="H578" s="122">
        <v>235506</v>
      </c>
      <c r="I578" s="122">
        <v>16492312</v>
      </c>
      <c r="J578" s="122">
        <v>14993011</v>
      </c>
      <c r="K578">
        <v>54</v>
      </c>
      <c r="L578" s="122">
        <v>2330667</v>
      </c>
      <c r="M578" s="122">
        <v>1677584</v>
      </c>
      <c r="N578" s="122">
        <v>706196</v>
      </c>
      <c r="O578" s="122">
        <v>261554</v>
      </c>
      <c r="P578" s="122">
        <v>101493</v>
      </c>
      <c r="Q578" s="122">
        <v>37590</v>
      </c>
      <c r="R578" s="122">
        <v>1887979</v>
      </c>
      <c r="S578" s="122">
        <v>1716344</v>
      </c>
      <c r="T578" s="122">
        <v>641355</v>
      </c>
      <c r="U578" s="122">
        <v>237539</v>
      </c>
      <c r="V578" s="122">
        <v>18923622</v>
      </c>
      <c r="W578" s="122">
        <f t="shared" si="16"/>
        <v>18923622</v>
      </c>
      <c r="X578" s="122">
        <f t="shared" si="17"/>
        <v>22160002</v>
      </c>
      <c r="Y578" s="122"/>
      <c r="AA578" t="s">
        <v>54</v>
      </c>
      <c r="AB578" t="s">
        <v>406</v>
      </c>
      <c r="AC578" t="s">
        <v>431</v>
      </c>
      <c r="AD578" t="s">
        <v>431</v>
      </c>
      <c r="AE578" t="s">
        <v>137</v>
      </c>
      <c r="AF578">
        <v>1</v>
      </c>
      <c r="AG578">
        <v>151</v>
      </c>
      <c r="AH578">
        <v>145</v>
      </c>
      <c r="AI578" s="122">
        <v>21430</v>
      </c>
      <c r="AJ578" s="122">
        <v>19482</v>
      </c>
      <c r="AK578">
        <v>86</v>
      </c>
      <c r="AL578" s="122">
        <v>2982</v>
      </c>
      <c r="AM578" s="122">
        <v>2711</v>
      </c>
      <c r="AN578" s="122">
        <v>3107</v>
      </c>
      <c r="AO578" s="122">
        <v>1151</v>
      </c>
      <c r="AP578">
        <v>621</v>
      </c>
      <c r="AQ578">
        <v>230</v>
      </c>
      <c r="AR578" s="122">
        <v>6686</v>
      </c>
      <c r="AS578" s="122">
        <v>6079</v>
      </c>
      <c r="AT578" s="122">
        <v>0</v>
      </c>
      <c r="AU578">
        <v>0</v>
      </c>
      <c r="AV578" s="122">
        <v>29652</v>
      </c>
    </row>
    <row r="579" spans="2:48" hidden="1">
      <c r="B579" t="s">
        <v>365</v>
      </c>
      <c r="C579" t="s">
        <v>64</v>
      </c>
      <c r="D579" t="s">
        <v>433</v>
      </c>
      <c r="E579" t="s">
        <v>137</v>
      </c>
      <c r="F579">
        <v>4</v>
      </c>
      <c r="G579" s="122">
        <v>390</v>
      </c>
      <c r="H579" s="122">
        <v>3042</v>
      </c>
      <c r="I579" s="122">
        <v>208929</v>
      </c>
      <c r="J579" s="122">
        <v>189936</v>
      </c>
      <c r="K579">
        <v>53</v>
      </c>
      <c r="L579" s="122">
        <v>24018</v>
      </c>
      <c r="M579" s="122">
        <v>22679</v>
      </c>
      <c r="N579" s="122">
        <v>8738</v>
      </c>
      <c r="O579" s="122">
        <v>3236</v>
      </c>
      <c r="P579" s="122">
        <v>0</v>
      </c>
      <c r="Q579" s="122">
        <v>0</v>
      </c>
      <c r="R579" s="122">
        <v>42423</v>
      </c>
      <c r="S579" s="122">
        <v>15712</v>
      </c>
      <c r="T579" s="122">
        <v>0</v>
      </c>
      <c r="U579" s="122">
        <v>0</v>
      </c>
      <c r="V579" s="122">
        <v>231563</v>
      </c>
      <c r="W579" s="122">
        <f t="shared" si="16"/>
        <v>231563</v>
      </c>
      <c r="X579" s="122">
        <f t="shared" si="17"/>
        <v>284108</v>
      </c>
      <c r="Y579" s="122"/>
      <c r="AA579" t="s">
        <v>54</v>
      </c>
      <c r="AB579" t="s">
        <v>406</v>
      </c>
      <c r="AC579" t="s">
        <v>426</v>
      </c>
      <c r="AD579" t="s">
        <v>425</v>
      </c>
      <c r="AE579" t="s">
        <v>137</v>
      </c>
      <c r="AF579">
        <v>1</v>
      </c>
      <c r="AG579">
        <v>158</v>
      </c>
      <c r="AH579">
        <v>125</v>
      </c>
      <c r="AI579" s="122">
        <v>17770</v>
      </c>
      <c r="AJ579" s="122">
        <v>16155</v>
      </c>
      <c r="AK579">
        <v>93</v>
      </c>
      <c r="AL579" s="122">
        <v>2906</v>
      </c>
      <c r="AM579" s="122">
        <v>2642</v>
      </c>
      <c r="AN579" s="122">
        <v>2984</v>
      </c>
      <c r="AO579" s="122">
        <v>1105</v>
      </c>
      <c r="AP579" s="122">
        <v>621</v>
      </c>
      <c r="AQ579" s="122">
        <v>230</v>
      </c>
      <c r="AR579" s="122">
        <v>4087</v>
      </c>
      <c r="AS579" s="122">
        <v>3715</v>
      </c>
      <c r="AT579" s="122">
        <v>2371</v>
      </c>
      <c r="AU579">
        <v>878</v>
      </c>
      <c r="AV579" s="122">
        <v>24725</v>
      </c>
    </row>
    <row r="580" spans="2:48" hidden="1">
      <c r="B580" t="s">
        <v>365</v>
      </c>
      <c r="C580" t="s">
        <v>64</v>
      </c>
      <c r="D580" t="s">
        <v>433</v>
      </c>
      <c r="E580" t="s">
        <v>426</v>
      </c>
      <c r="F580">
        <v>1</v>
      </c>
      <c r="G580" s="122">
        <v>69</v>
      </c>
      <c r="H580" s="122">
        <v>631</v>
      </c>
      <c r="I580" s="122">
        <v>63522</v>
      </c>
      <c r="J580" s="122">
        <v>57747</v>
      </c>
      <c r="K580">
        <v>55</v>
      </c>
      <c r="L580" s="122">
        <v>6470</v>
      </c>
      <c r="M580" s="122">
        <v>5882</v>
      </c>
      <c r="N580" s="122">
        <v>3165</v>
      </c>
      <c r="O580" s="122">
        <v>1172</v>
      </c>
      <c r="P580" s="122">
        <v>351</v>
      </c>
      <c r="Q580" s="122">
        <v>130</v>
      </c>
      <c r="R580" s="122">
        <v>8488</v>
      </c>
      <c r="S580" s="122">
        <v>7716</v>
      </c>
      <c r="T580" s="122">
        <v>0</v>
      </c>
      <c r="U580" s="122">
        <v>0</v>
      </c>
      <c r="V580" s="122">
        <v>72647</v>
      </c>
      <c r="W580" s="122">
        <f t="shared" si="16"/>
        <v>72647</v>
      </c>
      <c r="X580" s="122">
        <f t="shared" si="17"/>
        <v>81996</v>
      </c>
      <c r="Y580" s="122"/>
      <c r="AA580" t="s">
        <v>54</v>
      </c>
      <c r="AB580" t="s">
        <v>406</v>
      </c>
      <c r="AC580" t="s">
        <v>426</v>
      </c>
      <c r="AD580" t="s">
        <v>425</v>
      </c>
      <c r="AE580" t="s">
        <v>566</v>
      </c>
      <c r="AF580">
        <v>4</v>
      </c>
      <c r="AG580" s="122">
        <v>876</v>
      </c>
      <c r="AH580">
        <v>571</v>
      </c>
      <c r="AI580" s="122">
        <v>85571</v>
      </c>
      <c r="AJ580" s="122">
        <v>77792</v>
      </c>
      <c r="AK580">
        <v>87</v>
      </c>
      <c r="AL580" s="122">
        <v>16809</v>
      </c>
      <c r="AM580" s="122">
        <v>15281</v>
      </c>
      <c r="AN580" s="122">
        <v>18723</v>
      </c>
      <c r="AO580" s="122">
        <v>6935</v>
      </c>
      <c r="AP580" s="122">
        <v>2835</v>
      </c>
      <c r="AQ580" s="122">
        <v>1050</v>
      </c>
      <c r="AR580" s="122">
        <v>27416</v>
      </c>
      <c r="AS580" s="122">
        <v>24924</v>
      </c>
      <c r="AT580" s="122">
        <v>0</v>
      </c>
      <c r="AU580">
        <v>0</v>
      </c>
      <c r="AV580" s="122">
        <v>125982</v>
      </c>
    </row>
    <row r="581" spans="2:48" hidden="1">
      <c r="B581" t="s">
        <v>365</v>
      </c>
      <c r="C581" t="s">
        <v>64</v>
      </c>
      <c r="D581" t="s">
        <v>433</v>
      </c>
      <c r="E581" t="s">
        <v>433</v>
      </c>
      <c r="F581">
        <v>10</v>
      </c>
      <c r="G581">
        <v>922</v>
      </c>
      <c r="H581" s="122">
        <v>8003</v>
      </c>
      <c r="I581" s="122">
        <v>500933</v>
      </c>
      <c r="J581" s="122">
        <v>455394</v>
      </c>
      <c r="K581">
        <v>59</v>
      </c>
      <c r="L581" s="122">
        <v>77922</v>
      </c>
      <c r="M581" s="122">
        <v>53120</v>
      </c>
      <c r="N581" s="122">
        <v>21040</v>
      </c>
      <c r="O581" s="122">
        <v>7793</v>
      </c>
      <c r="P581" s="122">
        <v>2808</v>
      </c>
      <c r="Q581" s="122">
        <v>1040</v>
      </c>
      <c r="R581" s="122">
        <v>61199</v>
      </c>
      <c r="S581" s="122">
        <v>55635</v>
      </c>
      <c r="T581" s="122">
        <v>19568</v>
      </c>
      <c r="U581" s="122">
        <v>7247</v>
      </c>
      <c r="V581" s="122">
        <v>580229</v>
      </c>
      <c r="W581" s="122">
        <f t="shared" si="16"/>
        <v>580229</v>
      </c>
      <c r="X581" s="122">
        <f t="shared" si="17"/>
        <v>683470</v>
      </c>
      <c r="Y581" s="122"/>
      <c r="AA581" t="s">
        <v>54</v>
      </c>
      <c r="AB581" t="s">
        <v>406</v>
      </c>
      <c r="AC581" t="s">
        <v>426</v>
      </c>
      <c r="AD581" t="s">
        <v>137</v>
      </c>
      <c r="AE581" t="s">
        <v>137</v>
      </c>
      <c r="AF581">
        <v>6</v>
      </c>
      <c r="AG581" s="122">
        <v>1369</v>
      </c>
      <c r="AH581" s="122">
        <v>846</v>
      </c>
      <c r="AI581" s="122">
        <v>97535</v>
      </c>
      <c r="AJ581" s="122">
        <v>88668</v>
      </c>
      <c r="AK581">
        <v>89</v>
      </c>
      <c r="AL581" s="122">
        <v>30053</v>
      </c>
      <c r="AM581" s="122">
        <v>27321</v>
      </c>
      <c r="AN581" s="122">
        <v>21223</v>
      </c>
      <c r="AO581" s="122">
        <v>7860</v>
      </c>
      <c r="AP581" s="122">
        <v>3726</v>
      </c>
      <c r="AQ581" s="122">
        <v>1380</v>
      </c>
      <c r="AR581" s="122">
        <v>37327</v>
      </c>
      <c r="AS581" s="122">
        <v>13825</v>
      </c>
      <c r="AT581" s="122">
        <v>2301</v>
      </c>
      <c r="AU581">
        <v>852</v>
      </c>
      <c r="AV581" s="122">
        <v>139906</v>
      </c>
    </row>
    <row r="582" spans="2:48" hidden="1">
      <c r="B582" t="s">
        <v>365</v>
      </c>
      <c r="C582" t="s">
        <v>64</v>
      </c>
      <c r="D582" t="s">
        <v>408</v>
      </c>
      <c r="E582" t="s">
        <v>406</v>
      </c>
      <c r="F582" s="122">
        <v>1</v>
      </c>
      <c r="G582" s="122">
        <v>83</v>
      </c>
      <c r="H582" s="122">
        <v>490</v>
      </c>
      <c r="I582" s="122">
        <v>24970</v>
      </c>
      <c r="J582" s="122">
        <v>22700</v>
      </c>
      <c r="K582">
        <v>85</v>
      </c>
      <c r="L582" s="122">
        <v>7463</v>
      </c>
      <c r="M582" s="122">
        <v>6785</v>
      </c>
      <c r="N582" s="122">
        <v>2023</v>
      </c>
      <c r="O582" s="122">
        <v>749</v>
      </c>
      <c r="P582" s="122">
        <v>621</v>
      </c>
      <c r="Q582" s="122">
        <v>230</v>
      </c>
      <c r="R582" s="122">
        <v>3374</v>
      </c>
      <c r="S582" s="122">
        <v>3067</v>
      </c>
      <c r="T582" s="122">
        <v>2207</v>
      </c>
      <c r="U582" s="122">
        <v>817</v>
      </c>
      <c r="V582" s="122">
        <v>34349</v>
      </c>
      <c r="W582" s="122">
        <f t="shared" si="16"/>
        <v>34348</v>
      </c>
      <c r="X582" s="122">
        <f t="shared" si="17"/>
        <v>40658</v>
      </c>
      <c r="Y582" s="122"/>
      <c r="AA582" t="s">
        <v>54</v>
      </c>
      <c r="AB582" t="s">
        <v>406</v>
      </c>
      <c r="AC582" t="s">
        <v>426</v>
      </c>
      <c r="AD582" t="s">
        <v>137</v>
      </c>
      <c r="AE582" t="s">
        <v>566</v>
      </c>
      <c r="AF582" s="122">
        <v>34</v>
      </c>
      <c r="AG582" s="122">
        <v>7420</v>
      </c>
      <c r="AH582" s="122">
        <v>4727</v>
      </c>
      <c r="AI582" s="122">
        <v>597813</v>
      </c>
      <c r="AJ582" s="122">
        <v>543467</v>
      </c>
      <c r="AK582">
        <v>90</v>
      </c>
      <c r="AL582" s="122">
        <v>108726</v>
      </c>
      <c r="AM582" s="122">
        <v>98842</v>
      </c>
      <c r="AN582" s="122">
        <v>141398</v>
      </c>
      <c r="AO582" s="122">
        <v>52369</v>
      </c>
      <c r="AP582" s="122">
        <v>21816</v>
      </c>
      <c r="AQ582" s="122">
        <v>8080</v>
      </c>
      <c r="AR582" s="122">
        <v>215965</v>
      </c>
      <c r="AS582" s="122">
        <v>79987</v>
      </c>
      <c r="AT582" s="122">
        <v>0</v>
      </c>
      <c r="AU582" s="122">
        <v>0</v>
      </c>
      <c r="AV582" s="122">
        <v>782745</v>
      </c>
    </row>
    <row r="583" spans="2:48" hidden="1">
      <c r="B583" t="s">
        <v>365</v>
      </c>
      <c r="C583" t="s">
        <v>64</v>
      </c>
      <c r="D583" t="s">
        <v>408</v>
      </c>
      <c r="E583" t="s">
        <v>408</v>
      </c>
      <c r="F583">
        <v>1</v>
      </c>
      <c r="G583" s="122">
        <v>99</v>
      </c>
      <c r="H583" s="122">
        <v>569</v>
      </c>
      <c r="I583" s="122">
        <v>36376</v>
      </c>
      <c r="J583" s="122">
        <v>33069</v>
      </c>
      <c r="K583">
        <v>65</v>
      </c>
      <c r="L583" s="122">
        <v>8757</v>
      </c>
      <c r="M583" s="122">
        <v>7961</v>
      </c>
      <c r="N583" s="122">
        <v>2408</v>
      </c>
      <c r="O583" s="122">
        <v>892</v>
      </c>
      <c r="P583" s="122">
        <v>351</v>
      </c>
      <c r="Q583" s="122">
        <v>130</v>
      </c>
      <c r="R583" s="122">
        <v>8340</v>
      </c>
      <c r="S583" s="122">
        <v>7581</v>
      </c>
      <c r="T583" s="122">
        <v>0</v>
      </c>
      <c r="U583" s="122">
        <v>0</v>
      </c>
      <c r="V583" s="122">
        <v>49634</v>
      </c>
      <c r="W583" s="122">
        <f t="shared" ref="W583:W646" si="18">SUM(ABS(J583),ABS(M583),ABS(O583),ABS(Q583),ABS(S583),ABS(U583))</f>
        <v>49633</v>
      </c>
      <c r="X583" s="122">
        <f t="shared" ref="X583:X646" si="19">SUM(ABS(I583),ABS(N583),ABS(P583),ABS(R583),ABS(T583),ABS(L583))</f>
        <v>56232</v>
      </c>
      <c r="Y583" s="122"/>
      <c r="AA583" t="s">
        <v>54</v>
      </c>
      <c r="AB583" t="s">
        <v>406</v>
      </c>
      <c r="AC583" t="s">
        <v>426</v>
      </c>
      <c r="AD583" t="s">
        <v>406</v>
      </c>
      <c r="AE583" t="s">
        <v>137</v>
      </c>
      <c r="AF583" s="122">
        <v>2121</v>
      </c>
      <c r="AG583" s="122">
        <v>435526</v>
      </c>
      <c r="AH583" s="122">
        <v>299284</v>
      </c>
      <c r="AI583" s="122">
        <v>35371266</v>
      </c>
      <c r="AJ583" s="122">
        <v>32155697</v>
      </c>
      <c r="AK583">
        <v>89</v>
      </c>
      <c r="AL583" s="122">
        <v>7324394</v>
      </c>
      <c r="AM583" s="122">
        <v>6658540</v>
      </c>
      <c r="AN583" s="122">
        <v>8667392</v>
      </c>
      <c r="AO583" s="122">
        <v>3210145</v>
      </c>
      <c r="AP583" s="122">
        <v>1440275</v>
      </c>
      <c r="AQ583" s="122">
        <v>533435</v>
      </c>
      <c r="AR583" s="122">
        <v>10713616</v>
      </c>
      <c r="AS583" s="122">
        <v>9739651</v>
      </c>
      <c r="AT583" s="122">
        <v>3263701</v>
      </c>
      <c r="AU583" s="122">
        <v>1208778</v>
      </c>
      <c r="AV583" s="122">
        <v>53506246</v>
      </c>
    </row>
    <row r="584" spans="2:48" hidden="1">
      <c r="B584" t="s">
        <v>366</v>
      </c>
      <c r="C584" t="s">
        <v>48</v>
      </c>
      <c r="D584" t="s">
        <v>405</v>
      </c>
      <c r="E584" t="s">
        <v>405</v>
      </c>
      <c r="F584">
        <v>1</v>
      </c>
      <c r="G584">
        <v>344</v>
      </c>
      <c r="H584">
        <v>57</v>
      </c>
      <c r="I584" s="122">
        <v>11558</v>
      </c>
      <c r="J584" s="122">
        <v>10507</v>
      </c>
      <c r="K584">
        <v>92</v>
      </c>
      <c r="L584" s="122">
        <v>0</v>
      </c>
      <c r="M584" s="122">
        <v>0</v>
      </c>
      <c r="N584" s="122">
        <v>4188</v>
      </c>
      <c r="O584" s="122">
        <v>1551</v>
      </c>
      <c r="P584">
        <v>473</v>
      </c>
      <c r="Q584">
        <v>175</v>
      </c>
      <c r="R584" s="122">
        <v>3524</v>
      </c>
      <c r="S584" s="122">
        <v>3204</v>
      </c>
      <c r="T584" s="122">
        <v>0</v>
      </c>
      <c r="U584" s="122">
        <v>0</v>
      </c>
      <c r="V584" s="122">
        <v>15437</v>
      </c>
      <c r="W584" s="122">
        <f t="shared" si="18"/>
        <v>15437</v>
      </c>
      <c r="X584" s="122">
        <f t="shared" si="19"/>
        <v>19743</v>
      </c>
      <c r="Y584" s="122"/>
      <c r="AA584" t="s">
        <v>54</v>
      </c>
      <c r="AB584" t="s">
        <v>406</v>
      </c>
      <c r="AC584" t="s">
        <v>426</v>
      </c>
      <c r="AD584" t="s">
        <v>406</v>
      </c>
      <c r="AE584" t="s">
        <v>566</v>
      </c>
      <c r="AF584" s="122">
        <v>6792</v>
      </c>
      <c r="AG584" s="122">
        <v>1383838</v>
      </c>
      <c r="AH584" s="122">
        <v>951403</v>
      </c>
      <c r="AI584" s="122">
        <v>112202431</v>
      </c>
      <c r="AJ584" s="122">
        <v>102002210</v>
      </c>
      <c r="AK584">
        <v>90</v>
      </c>
      <c r="AL584" s="122">
        <v>23411921</v>
      </c>
      <c r="AM584" s="122">
        <v>21283564</v>
      </c>
      <c r="AN584" s="122">
        <v>27051581</v>
      </c>
      <c r="AO584" s="122">
        <v>10019104</v>
      </c>
      <c r="AP584" s="122">
        <v>4948465</v>
      </c>
      <c r="AQ584" s="122">
        <v>1832765</v>
      </c>
      <c r="AR584" s="122">
        <v>38367578</v>
      </c>
      <c r="AS584" s="122">
        <v>34879616</v>
      </c>
      <c r="AT584" s="122">
        <v>15407</v>
      </c>
      <c r="AU584" s="122">
        <v>5706</v>
      </c>
      <c r="AV584" s="122">
        <v>170022965</v>
      </c>
    </row>
    <row r="585" spans="2:48" hidden="1">
      <c r="B585" t="s">
        <v>366</v>
      </c>
      <c r="C585" t="s">
        <v>48</v>
      </c>
      <c r="D585" t="s">
        <v>137</v>
      </c>
      <c r="E585" t="s">
        <v>137</v>
      </c>
      <c r="F585">
        <v>161</v>
      </c>
      <c r="G585" s="122">
        <v>35059</v>
      </c>
      <c r="H585" s="122">
        <v>9049</v>
      </c>
      <c r="I585" s="122">
        <v>253431</v>
      </c>
      <c r="J585" s="122">
        <v>93863</v>
      </c>
      <c r="K585">
        <v>468</v>
      </c>
      <c r="L585" s="122">
        <v>68096</v>
      </c>
      <c r="M585" s="122">
        <v>58972</v>
      </c>
      <c r="N585" s="122">
        <v>495895</v>
      </c>
      <c r="O585" s="122">
        <v>183665</v>
      </c>
      <c r="P585" s="122">
        <v>179760</v>
      </c>
      <c r="Q585" s="122">
        <v>66578</v>
      </c>
      <c r="R585" s="122">
        <v>974052</v>
      </c>
      <c r="S585" s="122">
        <v>360760</v>
      </c>
      <c r="T585">
        <v>0</v>
      </c>
      <c r="U585">
        <v>0</v>
      </c>
      <c r="V585" s="122">
        <v>763838</v>
      </c>
      <c r="W585" s="122">
        <f t="shared" si="18"/>
        <v>763838</v>
      </c>
      <c r="X585" s="122">
        <f t="shared" si="19"/>
        <v>1971234</v>
      </c>
      <c r="Y585" s="122"/>
      <c r="AA585" t="s">
        <v>54</v>
      </c>
      <c r="AB585" t="s">
        <v>406</v>
      </c>
      <c r="AC585" t="s">
        <v>426</v>
      </c>
      <c r="AD585" t="s">
        <v>407</v>
      </c>
      <c r="AE585" t="s">
        <v>566</v>
      </c>
      <c r="AF585">
        <v>1</v>
      </c>
      <c r="AG585">
        <v>215</v>
      </c>
      <c r="AH585">
        <v>142</v>
      </c>
      <c r="AI585" s="122">
        <v>17836</v>
      </c>
      <c r="AJ585" s="122">
        <v>16215</v>
      </c>
      <c r="AK585">
        <v>95</v>
      </c>
      <c r="AL585" s="122">
        <v>2759</v>
      </c>
      <c r="AM585" s="122">
        <v>2508</v>
      </c>
      <c r="AN585" s="122">
        <v>2619</v>
      </c>
      <c r="AO585" s="122">
        <v>970</v>
      </c>
      <c r="AP585" s="122">
        <v>1323</v>
      </c>
      <c r="AQ585">
        <v>490</v>
      </c>
      <c r="AR585" s="122">
        <v>5934</v>
      </c>
      <c r="AS585" s="122">
        <v>5395</v>
      </c>
      <c r="AT585">
        <v>0</v>
      </c>
      <c r="AU585">
        <v>0</v>
      </c>
      <c r="AV585" s="122">
        <v>25578</v>
      </c>
    </row>
    <row r="586" spans="2:48" hidden="1">
      <c r="B586" t="s">
        <v>366</v>
      </c>
      <c r="C586" t="s">
        <v>48</v>
      </c>
      <c r="D586" t="s">
        <v>406</v>
      </c>
      <c r="E586" t="s">
        <v>137</v>
      </c>
      <c r="F586">
        <v>3</v>
      </c>
      <c r="G586" s="122">
        <v>699</v>
      </c>
      <c r="H586" s="122">
        <v>144</v>
      </c>
      <c r="I586" s="122">
        <v>7511</v>
      </c>
      <c r="J586" s="122">
        <v>6828</v>
      </c>
      <c r="K586">
        <v>95</v>
      </c>
      <c r="L586" s="122">
        <v>0</v>
      </c>
      <c r="M586" s="122">
        <v>0</v>
      </c>
      <c r="N586" s="122">
        <v>8515</v>
      </c>
      <c r="O586" s="122">
        <v>3154</v>
      </c>
      <c r="P586" s="122">
        <v>4048</v>
      </c>
      <c r="Q586" s="122">
        <v>1499</v>
      </c>
      <c r="R586" s="122">
        <v>13131</v>
      </c>
      <c r="S586" s="122">
        <v>4863</v>
      </c>
      <c r="T586" s="122">
        <v>0</v>
      </c>
      <c r="U586" s="122">
        <v>0</v>
      </c>
      <c r="V586" s="122">
        <v>16344</v>
      </c>
      <c r="W586" s="122">
        <f t="shared" si="18"/>
        <v>16344</v>
      </c>
      <c r="X586" s="122">
        <f t="shared" si="19"/>
        <v>33205</v>
      </c>
      <c r="Y586" s="122"/>
      <c r="AA586" t="s">
        <v>54</v>
      </c>
      <c r="AB586" t="s">
        <v>406</v>
      </c>
      <c r="AC586" t="s">
        <v>426</v>
      </c>
      <c r="AD586" t="s">
        <v>579</v>
      </c>
      <c r="AE586" t="s">
        <v>566</v>
      </c>
      <c r="AF586">
        <v>1</v>
      </c>
      <c r="AG586">
        <v>205</v>
      </c>
      <c r="AH586">
        <v>142</v>
      </c>
      <c r="AI586" s="122">
        <v>16096</v>
      </c>
      <c r="AJ586" s="122">
        <v>14633</v>
      </c>
      <c r="AK586">
        <v>86</v>
      </c>
      <c r="AL586" s="122">
        <v>2554</v>
      </c>
      <c r="AM586" s="122">
        <v>2322</v>
      </c>
      <c r="AN586" s="122">
        <v>3417</v>
      </c>
      <c r="AO586" s="122">
        <v>1265</v>
      </c>
      <c r="AP586" s="122">
        <v>621</v>
      </c>
      <c r="AQ586">
        <v>230</v>
      </c>
      <c r="AR586" s="122">
        <v>6458</v>
      </c>
      <c r="AS586" s="122">
        <v>5382</v>
      </c>
      <c r="AT586" s="122">
        <v>0</v>
      </c>
      <c r="AU586" s="122">
        <v>0</v>
      </c>
      <c r="AV586" s="122">
        <v>23832</v>
      </c>
    </row>
    <row r="587" spans="2:48" hidden="1">
      <c r="B587" t="s">
        <v>366</v>
      </c>
      <c r="C587" t="s">
        <v>48</v>
      </c>
      <c r="D587" t="s">
        <v>406</v>
      </c>
      <c r="E587" t="s">
        <v>406</v>
      </c>
      <c r="F587">
        <v>81</v>
      </c>
      <c r="G587" s="122">
        <v>11953</v>
      </c>
      <c r="H587" s="122">
        <v>4950</v>
      </c>
      <c r="I587" s="122">
        <v>186840</v>
      </c>
      <c r="J587" s="122">
        <v>169854</v>
      </c>
      <c r="K587">
        <v>100</v>
      </c>
      <c r="L587" s="122">
        <v>26498</v>
      </c>
      <c r="M587" s="122">
        <v>23843</v>
      </c>
      <c r="N587" s="122">
        <v>159160</v>
      </c>
      <c r="O587" s="122">
        <v>58948</v>
      </c>
      <c r="P587" s="122">
        <v>63741</v>
      </c>
      <c r="Q587" s="122">
        <v>23608</v>
      </c>
      <c r="R587" s="122">
        <v>283964</v>
      </c>
      <c r="S587" s="122">
        <v>258149</v>
      </c>
      <c r="T587" s="122">
        <v>0</v>
      </c>
      <c r="U587" s="122">
        <v>0</v>
      </c>
      <c r="V587" s="122">
        <v>534403</v>
      </c>
      <c r="W587" s="122">
        <f t="shared" si="18"/>
        <v>534402</v>
      </c>
      <c r="X587" s="122">
        <f t="shared" si="19"/>
        <v>720203</v>
      </c>
      <c r="Y587" s="122"/>
      <c r="AA587" t="s">
        <v>54</v>
      </c>
      <c r="AB587" t="s">
        <v>406</v>
      </c>
      <c r="AC587" t="s">
        <v>426</v>
      </c>
      <c r="AD587" t="s">
        <v>426</v>
      </c>
      <c r="AE587" t="s">
        <v>137</v>
      </c>
      <c r="AF587">
        <v>3</v>
      </c>
      <c r="AG587">
        <v>861</v>
      </c>
      <c r="AH587">
        <v>411</v>
      </c>
      <c r="AI587" s="122">
        <v>69157</v>
      </c>
      <c r="AJ587" s="122">
        <v>62870</v>
      </c>
      <c r="AK587">
        <v>95</v>
      </c>
      <c r="AL587" s="122">
        <v>18370</v>
      </c>
      <c r="AM587" s="122">
        <v>16700</v>
      </c>
      <c r="AN587" s="122">
        <v>15161</v>
      </c>
      <c r="AO587" s="122">
        <v>5615</v>
      </c>
      <c r="AP587" s="122">
        <v>1863</v>
      </c>
      <c r="AQ587">
        <v>690</v>
      </c>
      <c r="AR587" s="122">
        <v>13962</v>
      </c>
      <c r="AS587" s="122">
        <v>12692</v>
      </c>
      <c r="AT587" s="122">
        <v>6590</v>
      </c>
      <c r="AU587" s="122">
        <v>2441</v>
      </c>
      <c r="AV587" s="122">
        <v>101008</v>
      </c>
    </row>
    <row r="588" spans="2:48" hidden="1">
      <c r="B588" t="s">
        <v>366</v>
      </c>
      <c r="C588" t="s">
        <v>48</v>
      </c>
      <c r="D588" t="s">
        <v>426</v>
      </c>
      <c r="E588" t="s">
        <v>426</v>
      </c>
      <c r="F588">
        <v>1</v>
      </c>
      <c r="G588" s="122">
        <v>110</v>
      </c>
      <c r="H588" s="122">
        <v>61</v>
      </c>
      <c r="I588" s="122">
        <v>1194</v>
      </c>
      <c r="J588" s="122">
        <v>1085</v>
      </c>
      <c r="K588">
        <v>385</v>
      </c>
      <c r="L588" s="122">
        <v>786</v>
      </c>
      <c r="M588" s="122">
        <v>714</v>
      </c>
      <c r="N588" s="122">
        <v>1851</v>
      </c>
      <c r="O588" s="122">
        <v>685</v>
      </c>
      <c r="P588" s="122">
        <v>1254</v>
      </c>
      <c r="Q588">
        <v>464</v>
      </c>
      <c r="R588" s="122">
        <v>1668</v>
      </c>
      <c r="S588" s="122">
        <v>1516</v>
      </c>
      <c r="T588" s="122">
        <v>0</v>
      </c>
      <c r="U588" s="122">
        <v>0</v>
      </c>
      <c r="V588" s="122">
        <v>4465</v>
      </c>
      <c r="W588" s="122">
        <f t="shared" si="18"/>
        <v>4464</v>
      </c>
      <c r="X588" s="122">
        <f t="shared" si="19"/>
        <v>6753</v>
      </c>
      <c r="Y588" s="122"/>
      <c r="AA588" t="s">
        <v>54</v>
      </c>
      <c r="AB588" t="s">
        <v>406</v>
      </c>
      <c r="AC588" t="s">
        <v>426</v>
      </c>
      <c r="AD588" t="s">
        <v>426</v>
      </c>
      <c r="AE588" t="s">
        <v>566</v>
      </c>
      <c r="AF588">
        <v>2</v>
      </c>
      <c r="AG588">
        <v>421</v>
      </c>
      <c r="AH588">
        <v>288</v>
      </c>
      <c r="AI588" s="122">
        <v>30430</v>
      </c>
      <c r="AJ588" s="122">
        <v>27663</v>
      </c>
      <c r="AK588">
        <v>88</v>
      </c>
      <c r="AL588" s="122">
        <v>9570</v>
      </c>
      <c r="AM588" s="122">
        <v>8700</v>
      </c>
      <c r="AN588" s="122">
        <v>7874</v>
      </c>
      <c r="AO588" s="122">
        <v>2916</v>
      </c>
      <c r="AP588" s="122">
        <v>1242</v>
      </c>
      <c r="AQ588">
        <v>460</v>
      </c>
      <c r="AR588" s="122">
        <v>11217</v>
      </c>
      <c r="AS588" s="122">
        <v>10197</v>
      </c>
      <c r="AT588">
        <v>0</v>
      </c>
      <c r="AU588">
        <v>0</v>
      </c>
      <c r="AV588" s="122">
        <v>49937</v>
      </c>
    </row>
    <row r="589" spans="2:48" hidden="1">
      <c r="B589" t="s">
        <v>366</v>
      </c>
      <c r="C589" t="s">
        <v>48</v>
      </c>
      <c r="D589" t="s">
        <v>433</v>
      </c>
      <c r="E589" t="s">
        <v>137</v>
      </c>
      <c r="F589">
        <v>1</v>
      </c>
      <c r="G589">
        <v>174</v>
      </c>
      <c r="H589" s="122">
        <v>4</v>
      </c>
      <c r="I589" s="122">
        <v>-7268</v>
      </c>
      <c r="J589" s="122">
        <v>-6607</v>
      </c>
      <c r="K589">
        <v>60</v>
      </c>
      <c r="L589" s="122">
        <v>-1189</v>
      </c>
      <c r="M589" s="122">
        <v>-440</v>
      </c>
      <c r="N589" s="122">
        <v>2115</v>
      </c>
      <c r="O589" s="122">
        <v>783</v>
      </c>
      <c r="P589" s="122">
        <v>1672</v>
      </c>
      <c r="Q589">
        <v>619</v>
      </c>
      <c r="R589" s="122">
        <v>5345</v>
      </c>
      <c r="S589" s="122">
        <v>1980</v>
      </c>
      <c r="T589" s="122">
        <v>0</v>
      </c>
      <c r="U589" s="122">
        <v>0</v>
      </c>
      <c r="V589" s="122">
        <v>-3665</v>
      </c>
      <c r="W589" s="122">
        <f t="shared" si="18"/>
        <v>10429</v>
      </c>
      <c r="X589" s="122">
        <f t="shared" si="19"/>
        <v>17589</v>
      </c>
      <c r="Y589" s="122"/>
      <c r="AA589" t="s">
        <v>54</v>
      </c>
      <c r="AB589" t="s">
        <v>406</v>
      </c>
      <c r="AC589" t="s">
        <v>566</v>
      </c>
      <c r="AD589" t="s">
        <v>137</v>
      </c>
      <c r="AE589" t="s">
        <v>566</v>
      </c>
      <c r="AF589">
        <v>2</v>
      </c>
      <c r="AG589" s="122">
        <v>513</v>
      </c>
      <c r="AH589" s="122">
        <v>284</v>
      </c>
      <c r="AI589" s="122">
        <v>58369</v>
      </c>
      <c r="AJ589" s="122">
        <v>53063</v>
      </c>
      <c r="AK589">
        <v>86</v>
      </c>
      <c r="AL589">
        <v>0</v>
      </c>
      <c r="AM589" s="122">
        <v>0</v>
      </c>
      <c r="AN589" s="122">
        <v>9194</v>
      </c>
      <c r="AO589" s="122">
        <v>3405</v>
      </c>
      <c r="AP589" s="122">
        <v>1242</v>
      </c>
      <c r="AQ589" s="122">
        <v>460</v>
      </c>
      <c r="AR589" s="122">
        <v>14195</v>
      </c>
      <c r="AS589" s="122">
        <v>5257</v>
      </c>
      <c r="AT589" s="122">
        <v>0</v>
      </c>
      <c r="AU589" s="122">
        <v>0</v>
      </c>
      <c r="AV589" s="122">
        <v>62185</v>
      </c>
    </row>
    <row r="590" spans="2:48" hidden="1">
      <c r="B590" t="s">
        <v>366</v>
      </c>
      <c r="C590" t="s">
        <v>50</v>
      </c>
      <c r="D590" t="s">
        <v>405</v>
      </c>
      <c r="E590" t="s">
        <v>405</v>
      </c>
      <c r="F590">
        <v>1</v>
      </c>
      <c r="G590" s="122">
        <v>240</v>
      </c>
      <c r="H590" s="122">
        <v>91</v>
      </c>
      <c r="I590" s="122">
        <v>11232</v>
      </c>
      <c r="J590" s="122">
        <v>10211</v>
      </c>
      <c r="K590">
        <v>92</v>
      </c>
      <c r="L590" s="122">
        <v>1920</v>
      </c>
      <c r="M590" s="122">
        <v>1745</v>
      </c>
      <c r="N590" s="122">
        <v>5055</v>
      </c>
      <c r="O590" s="122">
        <v>1872</v>
      </c>
      <c r="P590" s="122">
        <v>473</v>
      </c>
      <c r="Q590" s="122">
        <v>175</v>
      </c>
      <c r="R590" s="122">
        <v>3119</v>
      </c>
      <c r="S590" s="122">
        <v>2836</v>
      </c>
      <c r="T590" s="122">
        <v>0</v>
      </c>
      <c r="U590" s="122">
        <v>0</v>
      </c>
      <c r="V590" s="122">
        <v>16839</v>
      </c>
      <c r="W590" s="122">
        <f t="shared" si="18"/>
        <v>16839</v>
      </c>
      <c r="X590" s="122">
        <f t="shared" si="19"/>
        <v>21799</v>
      </c>
      <c r="Y590" s="122"/>
      <c r="AA590" t="s">
        <v>54</v>
      </c>
      <c r="AB590" t="s">
        <v>406</v>
      </c>
      <c r="AC590" t="s">
        <v>566</v>
      </c>
      <c r="AD590" t="s">
        <v>406</v>
      </c>
      <c r="AE590" t="s">
        <v>137</v>
      </c>
      <c r="AF590">
        <v>81</v>
      </c>
      <c r="AG590" s="122">
        <v>14677</v>
      </c>
      <c r="AH590" s="122">
        <v>11371</v>
      </c>
      <c r="AI590" s="122">
        <v>1454337</v>
      </c>
      <c r="AJ590" s="122">
        <v>1322124</v>
      </c>
      <c r="AK590">
        <v>90</v>
      </c>
      <c r="AL590" s="122">
        <v>0</v>
      </c>
      <c r="AM590" s="122">
        <v>292124</v>
      </c>
      <c r="AN590" s="122">
        <v>302468</v>
      </c>
      <c r="AO590" s="122">
        <v>112025</v>
      </c>
      <c r="AP590" s="122">
        <v>57793</v>
      </c>
      <c r="AQ590" s="122">
        <v>21405</v>
      </c>
      <c r="AR590" s="122">
        <v>377281</v>
      </c>
      <c r="AS590" s="122">
        <v>342983</v>
      </c>
      <c r="AT590" s="122">
        <v>146226</v>
      </c>
      <c r="AU590" s="122">
        <v>54158</v>
      </c>
      <c r="AV590" s="122">
        <v>2144819</v>
      </c>
    </row>
    <row r="591" spans="2:48" hidden="1">
      <c r="B591" t="s">
        <v>366</v>
      </c>
      <c r="C591" t="s">
        <v>50</v>
      </c>
      <c r="D591" t="s">
        <v>137</v>
      </c>
      <c r="E591" t="s">
        <v>137</v>
      </c>
      <c r="F591" s="122">
        <v>44</v>
      </c>
      <c r="G591" s="122">
        <v>10639</v>
      </c>
      <c r="H591" s="122">
        <v>3861</v>
      </c>
      <c r="I591" s="122">
        <v>340932</v>
      </c>
      <c r="J591" s="122">
        <v>126271</v>
      </c>
      <c r="K591">
        <v>418</v>
      </c>
      <c r="L591" s="122">
        <v>112456</v>
      </c>
      <c r="M591" s="122">
        <v>94406</v>
      </c>
      <c r="N591" s="122">
        <v>195551</v>
      </c>
      <c r="O591" s="122">
        <v>72426</v>
      </c>
      <c r="P591" s="122">
        <v>44204</v>
      </c>
      <c r="Q591" s="122">
        <v>16372</v>
      </c>
      <c r="R591" s="122">
        <v>293334</v>
      </c>
      <c r="S591" s="122">
        <v>108642</v>
      </c>
      <c r="T591" s="122">
        <v>0</v>
      </c>
      <c r="U591" s="122">
        <v>0</v>
      </c>
      <c r="V591" s="122">
        <v>418118</v>
      </c>
      <c r="W591" s="122">
        <f t="shared" si="18"/>
        <v>418117</v>
      </c>
      <c r="X591" s="122">
        <f t="shared" si="19"/>
        <v>986477</v>
      </c>
      <c r="Y591" s="122"/>
      <c r="AA591" t="s">
        <v>54</v>
      </c>
      <c r="AB591" t="s">
        <v>406</v>
      </c>
      <c r="AC591" t="s">
        <v>566</v>
      </c>
      <c r="AD591" t="s">
        <v>406</v>
      </c>
      <c r="AE591" t="s">
        <v>566</v>
      </c>
      <c r="AF591">
        <v>262</v>
      </c>
      <c r="AG591" s="122">
        <v>44861</v>
      </c>
      <c r="AH591" s="122">
        <v>36554</v>
      </c>
      <c r="AI591" s="122">
        <v>4133121</v>
      </c>
      <c r="AJ591" s="122">
        <v>3757383</v>
      </c>
      <c r="AK591">
        <v>91</v>
      </c>
      <c r="AL591" s="122">
        <v>2240</v>
      </c>
      <c r="AM591" s="122">
        <v>393797</v>
      </c>
      <c r="AN591" s="122">
        <v>851005</v>
      </c>
      <c r="AO591" s="122">
        <v>315187</v>
      </c>
      <c r="AP591" s="122">
        <v>204074</v>
      </c>
      <c r="AQ591" s="122">
        <v>75583</v>
      </c>
      <c r="AR591" s="122">
        <v>1360322</v>
      </c>
      <c r="AS591" s="122">
        <v>1236656</v>
      </c>
      <c r="AT591" s="122">
        <v>2948</v>
      </c>
      <c r="AU591" s="122">
        <v>1092</v>
      </c>
      <c r="AV591" s="122">
        <v>5779698</v>
      </c>
    </row>
    <row r="592" spans="2:48" hidden="1">
      <c r="B592" t="s">
        <v>366</v>
      </c>
      <c r="C592" t="s">
        <v>50</v>
      </c>
      <c r="D592" t="s">
        <v>406</v>
      </c>
      <c r="E592" t="s">
        <v>137</v>
      </c>
      <c r="F592">
        <v>3</v>
      </c>
      <c r="G592">
        <v>623</v>
      </c>
      <c r="H592">
        <v>288</v>
      </c>
      <c r="I592" s="122">
        <v>28229</v>
      </c>
      <c r="J592" s="122">
        <v>25663</v>
      </c>
      <c r="K592">
        <v>94</v>
      </c>
      <c r="L592" s="122">
        <v>4675</v>
      </c>
      <c r="M592" s="122">
        <v>4250</v>
      </c>
      <c r="N592" s="122">
        <v>9838</v>
      </c>
      <c r="O592" s="122">
        <v>3644</v>
      </c>
      <c r="P592" s="122">
        <v>2214</v>
      </c>
      <c r="Q592">
        <v>820</v>
      </c>
      <c r="R592" s="122">
        <v>14990</v>
      </c>
      <c r="S592" s="122">
        <v>5552</v>
      </c>
      <c r="T592" s="122">
        <v>0</v>
      </c>
      <c r="U592" s="122">
        <v>0</v>
      </c>
      <c r="V592" s="122">
        <v>39928</v>
      </c>
      <c r="W592" s="122">
        <f t="shared" si="18"/>
        <v>39929</v>
      </c>
      <c r="X592" s="122">
        <f t="shared" si="19"/>
        <v>59946</v>
      </c>
      <c r="Y592" s="122"/>
      <c r="AA592" t="s">
        <v>54</v>
      </c>
      <c r="AB592" t="s">
        <v>406</v>
      </c>
      <c r="AC592" t="s">
        <v>481</v>
      </c>
      <c r="AD592" t="s">
        <v>425</v>
      </c>
      <c r="AE592" t="s">
        <v>566</v>
      </c>
      <c r="AF592">
        <v>1</v>
      </c>
      <c r="AG592" s="122">
        <v>239</v>
      </c>
      <c r="AH592">
        <v>147</v>
      </c>
      <c r="AI592" s="122">
        <v>16438</v>
      </c>
      <c r="AJ592" s="122">
        <v>14943</v>
      </c>
      <c r="AK592">
        <v>86</v>
      </c>
      <c r="AL592" s="122">
        <v>5217</v>
      </c>
      <c r="AM592" s="122">
        <v>4743</v>
      </c>
      <c r="AN592" s="122">
        <v>5833</v>
      </c>
      <c r="AO592" s="122">
        <v>2160</v>
      </c>
      <c r="AP592" s="122">
        <v>621</v>
      </c>
      <c r="AQ592" s="122">
        <v>230</v>
      </c>
      <c r="AR592" s="122">
        <v>7045</v>
      </c>
      <c r="AS592" s="122">
        <v>6405</v>
      </c>
      <c r="AT592" s="122">
        <v>0</v>
      </c>
      <c r="AU592" s="122">
        <v>0</v>
      </c>
      <c r="AV592" s="122">
        <v>28482</v>
      </c>
    </row>
    <row r="593" spans="2:48" hidden="1">
      <c r="B593" t="s">
        <v>366</v>
      </c>
      <c r="C593" t="s">
        <v>50</v>
      </c>
      <c r="D593" t="s">
        <v>406</v>
      </c>
      <c r="E593" t="s">
        <v>406</v>
      </c>
      <c r="F593">
        <v>71</v>
      </c>
      <c r="G593" s="122">
        <v>12098</v>
      </c>
      <c r="H593" s="122">
        <v>6488</v>
      </c>
      <c r="I593" s="122">
        <v>541184</v>
      </c>
      <c r="J593" s="122">
        <v>491985</v>
      </c>
      <c r="K593">
        <v>94</v>
      </c>
      <c r="L593" s="122">
        <v>89971</v>
      </c>
      <c r="M593" s="122">
        <v>81556</v>
      </c>
      <c r="N593" s="122">
        <v>166822</v>
      </c>
      <c r="O593" s="122">
        <v>61786</v>
      </c>
      <c r="P593" s="122">
        <v>57773</v>
      </c>
      <c r="Q593" s="122">
        <v>21397</v>
      </c>
      <c r="R593" s="122">
        <v>252803</v>
      </c>
      <c r="S593" s="122">
        <v>229820</v>
      </c>
      <c r="T593" s="122">
        <v>2962</v>
      </c>
      <c r="U593" s="122">
        <v>1097</v>
      </c>
      <c r="V593" s="122">
        <v>887642</v>
      </c>
      <c r="W593" s="122">
        <f t="shared" si="18"/>
        <v>887641</v>
      </c>
      <c r="X593" s="122">
        <f t="shared" si="19"/>
        <v>1111515</v>
      </c>
      <c r="Y593" s="122"/>
      <c r="AA593" t="s">
        <v>54</v>
      </c>
      <c r="AB593" t="s">
        <v>406</v>
      </c>
      <c r="AC593" t="s">
        <v>481</v>
      </c>
      <c r="AD593" t="s">
        <v>406</v>
      </c>
      <c r="AE593" t="s">
        <v>137</v>
      </c>
      <c r="AF593">
        <v>6</v>
      </c>
      <c r="AG593" s="122">
        <v>1317</v>
      </c>
      <c r="AH593" s="122">
        <v>864</v>
      </c>
      <c r="AI593" s="122">
        <v>107051</v>
      </c>
      <c r="AJ593" s="122">
        <v>97319</v>
      </c>
      <c r="AK593">
        <v>88</v>
      </c>
      <c r="AL593" s="122">
        <v>21671</v>
      </c>
      <c r="AM593" s="122">
        <v>19700</v>
      </c>
      <c r="AN593" s="122">
        <v>23761</v>
      </c>
      <c r="AO593" s="122">
        <v>8800</v>
      </c>
      <c r="AP593" s="122">
        <v>3726</v>
      </c>
      <c r="AQ593" s="122">
        <v>1380</v>
      </c>
      <c r="AR593" s="122">
        <v>30509</v>
      </c>
      <c r="AS593" s="122">
        <v>27735</v>
      </c>
      <c r="AT593" s="122">
        <v>13674</v>
      </c>
      <c r="AU593" s="122">
        <v>5064</v>
      </c>
      <c r="AV593" s="122">
        <v>160000</v>
      </c>
    </row>
    <row r="594" spans="2:48" hidden="1">
      <c r="B594" t="s">
        <v>366</v>
      </c>
      <c r="C594" t="s">
        <v>50</v>
      </c>
      <c r="D594" t="s">
        <v>408</v>
      </c>
      <c r="E594" t="s">
        <v>408</v>
      </c>
      <c r="F594">
        <v>1</v>
      </c>
      <c r="G594" s="122">
        <v>221</v>
      </c>
      <c r="H594" s="122">
        <v>98</v>
      </c>
      <c r="I594" s="122">
        <v>15590</v>
      </c>
      <c r="J594" s="122">
        <v>14173</v>
      </c>
      <c r="K594">
        <v>92</v>
      </c>
      <c r="L594" s="122">
        <v>2650</v>
      </c>
      <c r="M594" s="122">
        <v>2409</v>
      </c>
      <c r="N594" s="122">
        <v>3393</v>
      </c>
      <c r="O594" s="122">
        <v>1257</v>
      </c>
      <c r="P594" s="122">
        <v>351</v>
      </c>
      <c r="Q594" s="122">
        <v>130</v>
      </c>
      <c r="R594" s="122">
        <v>5254</v>
      </c>
      <c r="S594" s="122">
        <v>4776</v>
      </c>
      <c r="T594" s="122">
        <v>0</v>
      </c>
      <c r="U594" s="122">
        <v>0</v>
      </c>
      <c r="V594" s="122">
        <v>22745</v>
      </c>
      <c r="W594" s="122">
        <f t="shared" si="18"/>
        <v>22745</v>
      </c>
      <c r="X594" s="122">
        <f t="shared" si="19"/>
        <v>27238</v>
      </c>
      <c r="Y594" s="122"/>
      <c r="AA594" t="s">
        <v>54</v>
      </c>
      <c r="AB594" t="s">
        <v>406</v>
      </c>
      <c r="AC594" t="s">
        <v>481</v>
      </c>
      <c r="AD594" t="s">
        <v>406</v>
      </c>
      <c r="AE594" t="s">
        <v>566</v>
      </c>
      <c r="AF594">
        <v>11</v>
      </c>
      <c r="AG594" s="122">
        <v>2170</v>
      </c>
      <c r="AH594" s="122">
        <v>1562</v>
      </c>
      <c r="AI594" s="122">
        <v>179518</v>
      </c>
      <c r="AJ594" s="122">
        <v>163199</v>
      </c>
      <c r="AK594">
        <v>89</v>
      </c>
      <c r="AL594" s="122">
        <v>30258</v>
      </c>
      <c r="AM594" s="122">
        <v>27507</v>
      </c>
      <c r="AN594" s="122">
        <v>37660</v>
      </c>
      <c r="AO594" s="122">
        <v>13948</v>
      </c>
      <c r="AP594" s="122">
        <v>7533</v>
      </c>
      <c r="AQ594" s="122">
        <v>2790</v>
      </c>
      <c r="AR594" s="122">
        <v>60302</v>
      </c>
      <c r="AS594" s="122">
        <v>54820</v>
      </c>
      <c r="AT594">
        <v>0</v>
      </c>
      <c r="AU594">
        <v>0</v>
      </c>
      <c r="AV594" s="122">
        <v>262264</v>
      </c>
    </row>
    <row r="595" spans="2:48" hidden="1">
      <c r="B595" t="s">
        <v>366</v>
      </c>
      <c r="C595" t="s">
        <v>52</v>
      </c>
      <c r="D595" t="s">
        <v>405</v>
      </c>
      <c r="E595" t="s">
        <v>405</v>
      </c>
      <c r="F595">
        <v>1</v>
      </c>
      <c r="G595" s="122">
        <v>286</v>
      </c>
      <c r="H595">
        <v>122</v>
      </c>
      <c r="I595" s="122">
        <v>19106</v>
      </c>
      <c r="J595" s="122">
        <v>17369</v>
      </c>
      <c r="K595">
        <v>90</v>
      </c>
      <c r="L595" s="122">
        <v>2660</v>
      </c>
      <c r="M595" s="122">
        <v>2418</v>
      </c>
      <c r="N595" s="122">
        <v>6334</v>
      </c>
      <c r="O595" s="122">
        <v>2346</v>
      </c>
      <c r="P595" s="122">
        <v>824</v>
      </c>
      <c r="Q595" s="122">
        <v>305</v>
      </c>
      <c r="R595" s="122">
        <v>5854</v>
      </c>
      <c r="S595" s="122">
        <v>5322</v>
      </c>
      <c r="T595" s="122">
        <v>0</v>
      </c>
      <c r="U595">
        <v>0</v>
      </c>
      <c r="V595" s="122">
        <v>27759</v>
      </c>
      <c r="W595" s="122">
        <f t="shared" si="18"/>
        <v>27760</v>
      </c>
      <c r="X595" s="122">
        <f t="shared" si="19"/>
        <v>34778</v>
      </c>
      <c r="Y595" s="122"/>
      <c r="AA595" t="s">
        <v>54</v>
      </c>
      <c r="AB595" t="s">
        <v>406</v>
      </c>
      <c r="AC595" t="s">
        <v>433</v>
      </c>
      <c r="AD595" t="s">
        <v>137</v>
      </c>
      <c r="AE595" t="s">
        <v>566</v>
      </c>
      <c r="AF595">
        <v>8</v>
      </c>
      <c r="AG595" s="122">
        <v>1583</v>
      </c>
      <c r="AH595" s="122">
        <v>1114</v>
      </c>
      <c r="AI595" s="122">
        <v>147635</v>
      </c>
      <c r="AJ595" s="122">
        <v>134214</v>
      </c>
      <c r="AK595">
        <v>88</v>
      </c>
      <c r="AL595" s="122">
        <v>31127</v>
      </c>
      <c r="AM595" s="122">
        <v>28297</v>
      </c>
      <c r="AN595" s="122">
        <v>27003</v>
      </c>
      <c r="AO595" s="122">
        <v>10001</v>
      </c>
      <c r="AP595" s="122">
        <v>4617</v>
      </c>
      <c r="AQ595" s="122">
        <v>1710</v>
      </c>
      <c r="AR595" s="122">
        <v>35713</v>
      </c>
      <c r="AS595" s="122">
        <v>13227</v>
      </c>
      <c r="AT595" s="122">
        <v>0</v>
      </c>
      <c r="AU595" s="122">
        <v>0</v>
      </c>
      <c r="AV595" s="122">
        <v>187449</v>
      </c>
    </row>
    <row r="596" spans="2:48" hidden="1">
      <c r="B596" t="s">
        <v>366</v>
      </c>
      <c r="C596" t="s">
        <v>52</v>
      </c>
      <c r="D596" t="s">
        <v>137</v>
      </c>
      <c r="E596" t="s">
        <v>137</v>
      </c>
      <c r="F596">
        <v>65</v>
      </c>
      <c r="G596" s="122">
        <v>15777</v>
      </c>
      <c r="H596" s="122">
        <v>7383</v>
      </c>
      <c r="I596" s="122">
        <v>785770</v>
      </c>
      <c r="J596" s="122">
        <v>291026</v>
      </c>
      <c r="K596">
        <v>342</v>
      </c>
      <c r="L596" s="122">
        <v>255616</v>
      </c>
      <c r="M596" s="122">
        <v>229605</v>
      </c>
      <c r="N596" s="122">
        <v>304104</v>
      </c>
      <c r="O596" s="122">
        <v>112631</v>
      </c>
      <c r="P596" s="122">
        <v>53816</v>
      </c>
      <c r="Q596" s="122">
        <v>19932</v>
      </c>
      <c r="R596" s="122">
        <v>449309</v>
      </c>
      <c r="S596" s="122">
        <v>166411</v>
      </c>
      <c r="T596" s="122">
        <v>24298</v>
      </c>
      <c r="U596" s="122">
        <v>8999</v>
      </c>
      <c r="V596" s="122">
        <v>828604</v>
      </c>
      <c r="W596" s="122">
        <f t="shared" si="18"/>
        <v>828604</v>
      </c>
      <c r="X596" s="122">
        <f t="shared" si="19"/>
        <v>1872913</v>
      </c>
      <c r="Y596" s="122"/>
      <c r="AA596" t="s">
        <v>54</v>
      </c>
      <c r="AB596" t="s">
        <v>406</v>
      </c>
      <c r="AC596" t="s">
        <v>433</v>
      </c>
      <c r="AD596" t="s">
        <v>406</v>
      </c>
      <c r="AE596" t="s">
        <v>137</v>
      </c>
      <c r="AF596">
        <v>161</v>
      </c>
      <c r="AG596" s="122">
        <v>33968</v>
      </c>
      <c r="AH596" s="122">
        <v>22488</v>
      </c>
      <c r="AI596" s="122">
        <v>2850203</v>
      </c>
      <c r="AJ596" s="122">
        <v>2591094</v>
      </c>
      <c r="AK596">
        <v>90</v>
      </c>
      <c r="AL596" s="122">
        <v>522646</v>
      </c>
      <c r="AM596" s="122">
        <v>475133</v>
      </c>
      <c r="AN596" s="122">
        <v>633756</v>
      </c>
      <c r="AO596" s="122">
        <v>234724</v>
      </c>
      <c r="AP596" s="122">
        <v>113867</v>
      </c>
      <c r="AQ596" s="122">
        <v>42173</v>
      </c>
      <c r="AR596" s="122">
        <v>788456</v>
      </c>
      <c r="AS596" s="122">
        <v>716778</v>
      </c>
      <c r="AT596" s="122">
        <v>230388</v>
      </c>
      <c r="AU596" s="122">
        <v>85329</v>
      </c>
      <c r="AV596" s="122">
        <v>4145230</v>
      </c>
    </row>
    <row r="597" spans="2:48" hidden="1">
      <c r="B597" t="s">
        <v>366</v>
      </c>
      <c r="C597" t="s">
        <v>52</v>
      </c>
      <c r="D597" t="s">
        <v>406</v>
      </c>
      <c r="E597" t="s">
        <v>137</v>
      </c>
      <c r="F597">
        <v>1</v>
      </c>
      <c r="G597" s="122">
        <v>193</v>
      </c>
      <c r="H597" s="122">
        <v>113</v>
      </c>
      <c r="I597" s="122">
        <v>11048</v>
      </c>
      <c r="J597" s="122">
        <v>10044</v>
      </c>
      <c r="K597">
        <v>93</v>
      </c>
      <c r="L597" s="122">
        <v>1895</v>
      </c>
      <c r="M597" s="122">
        <v>1722</v>
      </c>
      <c r="N597" s="122">
        <v>3709</v>
      </c>
      <c r="O597" s="122">
        <v>1374</v>
      </c>
      <c r="P597" s="122">
        <v>621</v>
      </c>
      <c r="Q597" s="122">
        <v>230</v>
      </c>
      <c r="R597" s="122">
        <v>4457</v>
      </c>
      <c r="S597" s="122">
        <v>1651</v>
      </c>
      <c r="T597" s="122">
        <v>0</v>
      </c>
      <c r="U597" s="122">
        <v>0</v>
      </c>
      <c r="V597" s="122">
        <v>15021</v>
      </c>
      <c r="W597" s="122">
        <f t="shared" si="18"/>
        <v>15021</v>
      </c>
      <c r="X597" s="122">
        <f t="shared" si="19"/>
        <v>21730</v>
      </c>
      <c r="Y597" s="122"/>
      <c r="AA597" t="s">
        <v>54</v>
      </c>
      <c r="AB597" t="s">
        <v>406</v>
      </c>
      <c r="AC597" t="s">
        <v>433</v>
      </c>
      <c r="AD597" t="s">
        <v>406</v>
      </c>
      <c r="AE597" t="s">
        <v>566</v>
      </c>
      <c r="AF597">
        <v>442</v>
      </c>
      <c r="AG597" s="122">
        <v>87787</v>
      </c>
      <c r="AH597" s="122">
        <v>62000</v>
      </c>
      <c r="AI597" s="122">
        <v>7355910</v>
      </c>
      <c r="AJ597" s="122">
        <v>6687191</v>
      </c>
      <c r="AK597">
        <v>90</v>
      </c>
      <c r="AL597" s="122">
        <v>1345445</v>
      </c>
      <c r="AM597" s="122">
        <v>1223132</v>
      </c>
      <c r="AN597" s="122">
        <v>1659650</v>
      </c>
      <c r="AO597" s="122">
        <v>614685</v>
      </c>
      <c r="AP597" s="122">
        <v>350610</v>
      </c>
      <c r="AQ597" s="122">
        <v>129856</v>
      </c>
      <c r="AR597" s="122">
        <v>2439516</v>
      </c>
      <c r="AS597" s="122">
        <v>2217742</v>
      </c>
      <c r="AT597" s="122">
        <v>0</v>
      </c>
      <c r="AU597" s="122">
        <v>0</v>
      </c>
      <c r="AV597" s="122">
        <v>10872606</v>
      </c>
    </row>
    <row r="598" spans="2:48" hidden="1">
      <c r="B598" t="s">
        <v>366</v>
      </c>
      <c r="C598" t="s">
        <v>52</v>
      </c>
      <c r="D598" t="s">
        <v>406</v>
      </c>
      <c r="E598" t="s">
        <v>406</v>
      </c>
      <c r="F598">
        <v>205</v>
      </c>
      <c r="G598" s="122">
        <v>44484</v>
      </c>
      <c r="H598" s="122">
        <v>23846</v>
      </c>
      <c r="I598" s="122">
        <v>2890669</v>
      </c>
      <c r="J598" s="122">
        <v>2627881</v>
      </c>
      <c r="K598">
        <v>92</v>
      </c>
      <c r="L598" s="122">
        <v>523774</v>
      </c>
      <c r="M598" s="122">
        <v>473938</v>
      </c>
      <c r="N598" s="122">
        <v>748528</v>
      </c>
      <c r="O598" s="122">
        <v>277233</v>
      </c>
      <c r="P598" s="122">
        <v>154901</v>
      </c>
      <c r="Q598" s="122">
        <v>57371</v>
      </c>
      <c r="R598" s="122">
        <v>1057575</v>
      </c>
      <c r="S598" s="122">
        <v>961431</v>
      </c>
      <c r="T598" s="122">
        <v>20821</v>
      </c>
      <c r="U598" s="122">
        <v>7712</v>
      </c>
      <c r="V598" s="122">
        <v>4405565</v>
      </c>
      <c r="W598" s="122">
        <f t="shared" si="18"/>
        <v>4405566</v>
      </c>
      <c r="X598" s="122">
        <f t="shared" si="19"/>
        <v>5396268</v>
      </c>
      <c r="Y598" s="122"/>
      <c r="AA598" t="s">
        <v>54</v>
      </c>
      <c r="AB598" t="s">
        <v>406</v>
      </c>
      <c r="AC598" t="s">
        <v>433</v>
      </c>
      <c r="AD598" t="s">
        <v>427</v>
      </c>
      <c r="AE598" t="s">
        <v>137</v>
      </c>
      <c r="AF598">
        <v>1</v>
      </c>
      <c r="AG598">
        <v>208</v>
      </c>
      <c r="AH598">
        <v>131</v>
      </c>
      <c r="AI598" s="122">
        <v>14813</v>
      </c>
      <c r="AJ598" s="122">
        <v>13466</v>
      </c>
      <c r="AK598">
        <v>93</v>
      </c>
      <c r="AL598" s="122">
        <v>2365</v>
      </c>
      <c r="AM598" s="122">
        <v>2150</v>
      </c>
      <c r="AN598" s="122">
        <v>2534</v>
      </c>
      <c r="AO598" s="122">
        <v>939</v>
      </c>
      <c r="AP598">
        <v>621</v>
      </c>
      <c r="AQ598">
        <v>230</v>
      </c>
      <c r="AR598" s="122">
        <v>3389</v>
      </c>
      <c r="AS598" s="122">
        <v>3081</v>
      </c>
      <c r="AT598" s="122">
        <v>3506</v>
      </c>
      <c r="AU598" s="122">
        <v>1299</v>
      </c>
      <c r="AV598" s="122">
        <v>21164</v>
      </c>
    </row>
    <row r="599" spans="2:48" hidden="1">
      <c r="B599" t="s">
        <v>366</v>
      </c>
      <c r="C599" t="s">
        <v>52</v>
      </c>
      <c r="D599" t="s">
        <v>406</v>
      </c>
      <c r="E599" t="s">
        <v>427</v>
      </c>
      <c r="F599">
        <v>1</v>
      </c>
      <c r="G599" s="122">
        <v>250</v>
      </c>
      <c r="H599" s="122">
        <v>114</v>
      </c>
      <c r="I599" s="122">
        <v>14898</v>
      </c>
      <c r="J599" s="122">
        <v>13543</v>
      </c>
      <c r="K599">
        <v>92</v>
      </c>
      <c r="L599" s="122">
        <v>3059</v>
      </c>
      <c r="M599" s="122">
        <v>2781</v>
      </c>
      <c r="N599" s="122">
        <v>4569</v>
      </c>
      <c r="O599" s="122">
        <v>1692</v>
      </c>
      <c r="P599" s="122">
        <v>621</v>
      </c>
      <c r="Q599">
        <v>230</v>
      </c>
      <c r="R599" s="122">
        <v>5440</v>
      </c>
      <c r="S599" s="122">
        <v>4945</v>
      </c>
      <c r="T599" s="122">
        <v>0</v>
      </c>
      <c r="U599" s="122">
        <v>0</v>
      </c>
      <c r="V599" s="122">
        <v>23191</v>
      </c>
      <c r="W599" s="122">
        <f t="shared" si="18"/>
        <v>23191</v>
      </c>
      <c r="X599" s="122">
        <f t="shared" si="19"/>
        <v>28587</v>
      </c>
      <c r="Y599" s="122"/>
      <c r="AA599" t="s">
        <v>54</v>
      </c>
      <c r="AB599" t="s">
        <v>406</v>
      </c>
      <c r="AC599" t="s">
        <v>433</v>
      </c>
      <c r="AD599" t="s">
        <v>427</v>
      </c>
      <c r="AE599" t="s">
        <v>566</v>
      </c>
      <c r="AF599">
        <v>1</v>
      </c>
      <c r="AG599">
        <v>190</v>
      </c>
      <c r="AH599">
        <v>129</v>
      </c>
      <c r="AI599" s="122">
        <v>13552</v>
      </c>
      <c r="AJ599" s="122">
        <v>12320</v>
      </c>
      <c r="AK599">
        <v>93</v>
      </c>
      <c r="AL599" s="122">
        <v>2341</v>
      </c>
      <c r="AM599" s="122">
        <v>2129</v>
      </c>
      <c r="AN599" s="122">
        <v>2738</v>
      </c>
      <c r="AO599" s="122">
        <v>1014</v>
      </c>
      <c r="AP599">
        <v>621</v>
      </c>
      <c r="AQ599">
        <v>230</v>
      </c>
      <c r="AR599" s="122">
        <v>5263</v>
      </c>
      <c r="AS599" s="122">
        <v>4785</v>
      </c>
      <c r="AT599">
        <v>0</v>
      </c>
      <c r="AU599">
        <v>0</v>
      </c>
      <c r="AV599" s="122">
        <v>20478</v>
      </c>
    </row>
    <row r="600" spans="2:48" hidden="1">
      <c r="B600" t="s">
        <v>366</v>
      </c>
      <c r="C600" t="s">
        <v>52</v>
      </c>
      <c r="D600" t="s">
        <v>406</v>
      </c>
      <c r="E600" t="s">
        <v>426</v>
      </c>
      <c r="F600">
        <v>2</v>
      </c>
      <c r="G600">
        <v>277</v>
      </c>
      <c r="H600" s="122">
        <v>231</v>
      </c>
      <c r="I600" s="122">
        <v>12693</v>
      </c>
      <c r="J600" s="122">
        <v>11539</v>
      </c>
      <c r="K600">
        <v>85</v>
      </c>
      <c r="L600" s="122">
        <v>4010</v>
      </c>
      <c r="M600" s="122">
        <v>3646</v>
      </c>
      <c r="N600" s="122">
        <v>3371</v>
      </c>
      <c r="O600" s="122">
        <v>1248</v>
      </c>
      <c r="P600" s="122">
        <v>2646</v>
      </c>
      <c r="Q600">
        <v>980</v>
      </c>
      <c r="R600" s="122">
        <v>9292</v>
      </c>
      <c r="S600" s="122">
        <v>8448</v>
      </c>
      <c r="T600" s="122">
        <v>0</v>
      </c>
      <c r="U600">
        <v>0</v>
      </c>
      <c r="V600" s="122">
        <v>25861</v>
      </c>
      <c r="W600" s="122">
        <f t="shared" si="18"/>
        <v>25861</v>
      </c>
      <c r="X600" s="122">
        <f t="shared" si="19"/>
        <v>32012</v>
      </c>
      <c r="Y600" s="122"/>
      <c r="AA600" t="s">
        <v>54</v>
      </c>
      <c r="AB600" t="s">
        <v>406</v>
      </c>
      <c r="AC600" t="s">
        <v>433</v>
      </c>
      <c r="AD600" t="s">
        <v>407</v>
      </c>
      <c r="AE600" t="s">
        <v>566</v>
      </c>
      <c r="AF600">
        <v>1</v>
      </c>
      <c r="AG600">
        <v>150</v>
      </c>
      <c r="AH600">
        <v>128</v>
      </c>
      <c r="AI600" s="122">
        <v>8016</v>
      </c>
      <c r="AJ600" s="122">
        <v>7288</v>
      </c>
      <c r="AK600">
        <v>93</v>
      </c>
      <c r="AL600" s="122">
        <v>1274</v>
      </c>
      <c r="AM600" s="122">
        <v>1159</v>
      </c>
      <c r="AN600" s="122">
        <v>3538</v>
      </c>
      <c r="AO600" s="122">
        <v>1311</v>
      </c>
      <c r="AP600">
        <v>621</v>
      </c>
      <c r="AQ600">
        <v>230</v>
      </c>
      <c r="AR600" s="122">
        <v>5814</v>
      </c>
      <c r="AS600" s="122">
        <v>5285</v>
      </c>
      <c r="AT600">
        <v>0</v>
      </c>
      <c r="AU600">
        <v>0</v>
      </c>
      <c r="AV600" s="122">
        <v>15272</v>
      </c>
    </row>
    <row r="601" spans="2:48" hidden="1">
      <c r="B601" t="s">
        <v>366</v>
      </c>
      <c r="C601" t="s">
        <v>52</v>
      </c>
      <c r="D601" t="s">
        <v>406</v>
      </c>
      <c r="E601" t="s">
        <v>429</v>
      </c>
      <c r="F601">
        <v>4</v>
      </c>
      <c r="G601" s="122">
        <v>761</v>
      </c>
      <c r="H601" s="122">
        <v>461</v>
      </c>
      <c r="I601" s="122">
        <v>44796</v>
      </c>
      <c r="J601" s="122">
        <v>40724</v>
      </c>
      <c r="K601">
        <v>85</v>
      </c>
      <c r="L601" s="122">
        <v>5965</v>
      </c>
      <c r="M601" s="122">
        <v>5422</v>
      </c>
      <c r="N601" s="122">
        <v>9278</v>
      </c>
      <c r="O601" s="122">
        <v>3436</v>
      </c>
      <c r="P601" s="122">
        <v>3186</v>
      </c>
      <c r="Q601" s="122">
        <v>1180</v>
      </c>
      <c r="R601" s="122">
        <v>24537</v>
      </c>
      <c r="S601" s="122">
        <v>22306</v>
      </c>
      <c r="T601" s="122">
        <v>0</v>
      </c>
      <c r="U601" s="122">
        <v>0</v>
      </c>
      <c r="V601" s="122">
        <v>73069</v>
      </c>
      <c r="W601" s="122">
        <f t="shared" si="18"/>
        <v>73068</v>
      </c>
      <c r="X601" s="122">
        <f t="shared" si="19"/>
        <v>87762</v>
      </c>
      <c r="Y601" s="122"/>
      <c r="AA601" t="s">
        <v>54</v>
      </c>
      <c r="AB601" t="s">
        <v>406</v>
      </c>
      <c r="AC601" t="s">
        <v>433</v>
      </c>
      <c r="AD601" t="s">
        <v>426</v>
      </c>
      <c r="AE601" t="s">
        <v>566</v>
      </c>
      <c r="AF601">
        <v>1</v>
      </c>
      <c r="AG601">
        <v>193</v>
      </c>
      <c r="AH601">
        <v>148</v>
      </c>
      <c r="AI601" s="122">
        <v>18414</v>
      </c>
      <c r="AJ601" s="122">
        <v>16740</v>
      </c>
      <c r="AK601">
        <v>94</v>
      </c>
      <c r="AL601" s="122">
        <v>3000</v>
      </c>
      <c r="AM601" s="122">
        <v>2727</v>
      </c>
      <c r="AN601" s="122">
        <v>3992</v>
      </c>
      <c r="AO601" s="122">
        <v>1479</v>
      </c>
      <c r="AP601">
        <v>621</v>
      </c>
      <c r="AQ601">
        <v>230</v>
      </c>
      <c r="AR601" s="122">
        <v>2536</v>
      </c>
      <c r="AS601" s="122">
        <v>2305</v>
      </c>
      <c r="AT601">
        <v>0</v>
      </c>
      <c r="AU601">
        <v>0</v>
      </c>
      <c r="AV601" s="122">
        <v>23481</v>
      </c>
    </row>
    <row r="602" spans="2:48" hidden="1">
      <c r="B602" t="s">
        <v>366</v>
      </c>
      <c r="C602" t="s">
        <v>52</v>
      </c>
      <c r="D602" t="s">
        <v>408</v>
      </c>
      <c r="E602" t="s">
        <v>408</v>
      </c>
      <c r="F602">
        <v>1</v>
      </c>
      <c r="G602" s="122">
        <v>285</v>
      </c>
      <c r="H602" s="122">
        <v>121</v>
      </c>
      <c r="I602" s="122">
        <v>26046</v>
      </c>
      <c r="J602" s="122">
        <v>23678</v>
      </c>
      <c r="K602">
        <v>85</v>
      </c>
      <c r="L602" s="122">
        <v>3784</v>
      </c>
      <c r="M602" s="122">
        <v>3440</v>
      </c>
      <c r="N602" s="122">
        <v>5024</v>
      </c>
      <c r="O602" s="122">
        <v>1861</v>
      </c>
      <c r="P602" s="122">
        <v>351</v>
      </c>
      <c r="Q602" s="122">
        <v>130</v>
      </c>
      <c r="R602" s="122">
        <v>6436</v>
      </c>
      <c r="S602" s="122">
        <v>5851</v>
      </c>
      <c r="T602" s="122">
        <v>0</v>
      </c>
      <c r="U602" s="122">
        <v>0</v>
      </c>
      <c r="V602" s="122">
        <v>34960</v>
      </c>
      <c r="W602" s="122">
        <f t="shared" si="18"/>
        <v>34960</v>
      </c>
      <c r="X602" s="122">
        <f t="shared" si="19"/>
        <v>41641</v>
      </c>
      <c r="Y602" s="122"/>
      <c r="AA602" t="s">
        <v>54</v>
      </c>
      <c r="AB602" t="s">
        <v>406</v>
      </c>
      <c r="AC602" t="s">
        <v>408</v>
      </c>
      <c r="AD602" t="s">
        <v>137</v>
      </c>
      <c r="AE602" t="s">
        <v>566</v>
      </c>
      <c r="AF602">
        <v>1</v>
      </c>
      <c r="AG602" s="122">
        <v>231</v>
      </c>
      <c r="AH602">
        <v>140</v>
      </c>
      <c r="AI602" s="122">
        <v>17422</v>
      </c>
      <c r="AJ602" s="122">
        <v>15838</v>
      </c>
      <c r="AK602">
        <v>79</v>
      </c>
      <c r="AL602" s="122">
        <v>2353</v>
      </c>
      <c r="AM602" s="122">
        <v>2139</v>
      </c>
      <c r="AN602" s="122">
        <v>3512</v>
      </c>
      <c r="AO602" s="122">
        <v>1301</v>
      </c>
      <c r="AP602" s="122">
        <v>972</v>
      </c>
      <c r="AQ602" s="122">
        <v>360</v>
      </c>
      <c r="AR602" s="122">
        <v>8138</v>
      </c>
      <c r="AS602" s="122">
        <v>3014</v>
      </c>
      <c r="AT602" s="122">
        <v>0</v>
      </c>
      <c r="AU602" s="122">
        <v>0</v>
      </c>
      <c r="AV602" s="122">
        <v>22651</v>
      </c>
    </row>
    <row r="603" spans="2:48" hidden="1">
      <c r="B603" t="s">
        <v>366</v>
      </c>
      <c r="C603" t="s">
        <v>54</v>
      </c>
      <c r="F603">
        <v>1</v>
      </c>
      <c r="G603" s="122">
        <v>145</v>
      </c>
      <c r="H603" s="122">
        <v>147</v>
      </c>
      <c r="I603" s="122"/>
      <c r="J603" s="122">
        <v>0</v>
      </c>
      <c r="L603" s="122"/>
      <c r="M603" s="122">
        <v>0</v>
      </c>
      <c r="N603" s="122">
        <v>2821</v>
      </c>
      <c r="O603" s="122">
        <v>1045</v>
      </c>
      <c r="P603" s="122">
        <v>1323</v>
      </c>
      <c r="Q603" s="122">
        <v>490</v>
      </c>
      <c r="R603" s="122"/>
      <c r="S603" s="122">
        <v>0</v>
      </c>
      <c r="T603" s="122">
        <v>0</v>
      </c>
      <c r="U603">
        <v>0</v>
      </c>
      <c r="V603" s="122">
        <v>1535</v>
      </c>
      <c r="W603" s="122">
        <f t="shared" si="18"/>
        <v>1535</v>
      </c>
      <c r="X603" s="122">
        <f t="shared" si="19"/>
        <v>4144</v>
      </c>
      <c r="Y603" s="122"/>
      <c r="AA603" t="s">
        <v>54</v>
      </c>
      <c r="AB603" t="s">
        <v>406</v>
      </c>
      <c r="AC603" t="s">
        <v>408</v>
      </c>
      <c r="AD603" t="s">
        <v>406</v>
      </c>
      <c r="AE603" t="s">
        <v>137</v>
      </c>
      <c r="AF603">
        <v>5</v>
      </c>
      <c r="AG603" s="122">
        <v>1407</v>
      </c>
      <c r="AH603" s="122">
        <v>727</v>
      </c>
      <c r="AI603" s="122">
        <v>118055</v>
      </c>
      <c r="AJ603" s="122">
        <v>107323</v>
      </c>
      <c r="AK603">
        <v>87</v>
      </c>
      <c r="AL603" s="122">
        <v>17000</v>
      </c>
      <c r="AM603" s="122">
        <v>15454</v>
      </c>
      <c r="AN603" s="122">
        <v>31017</v>
      </c>
      <c r="AO603" s="122">
        <v>11488</v>
      </c>
      <c r="AP603" s="122">
        <v>4860</v>
      </c>
      <c r="AQ603" s="122">
        <v>1800</v>
      </c>
      <c r="AR603" s="122">
        <v>22339</v>
      </c>
      <c r="AS603" s="122">
        <v>20308</v>
      </c>
      <c r="AT603" s="122">
        <v>11011</v>
      </c>
      <c r="AU603" s="122">
        <v>4078</v>
      </c>
      <c r="AV603" s="122">
        <v>160451</v>
      </c>
    </row>
    <row r="604" spans="2:48" hidden="1">
      <c r="B604" t="s">
        <v>366</v>
      </c>
      <c r="C604" t="s">
        <v>54</v>
      </c>
      <c r="D604" t="s">
        <v>405</v>
      </c>
      <c r="E604" t="s">
        <v>405</v>
      </c>
      <c r="F604">
        <v>9</v>
      </c>
      <c r="G604" s="122">
        <v>2241</v>
      </c>
      <c r="H604" s="122">
        <v>1270</v>
      </c>
      <c r="I604" s="122">
        <v>186963</v>
      </c>
      <c r="J604" s="122">
        <v>169967</v>
      </c>
      <c r="K604">
        <v>90</v>
      </c>
      <c r="L604" s="122">
        <v>38209</v>
      </c>
      <c r="M604" s="122">
        <v>34735</v>
      </c>
      <c r="N604" s="122">
        <v>42155</v>
      </c>
      <c r="O604" s="122">
        <v>15613</v>
      </c>
      <c r="P604" s="122">
        <v>5765</v>
      </c>
      <c r="Q604" s="122">
        <v>2135</v>
      </c>
      <c r="R604" s="122">
        <v>54639</v>
      </c>
      <c r="S604" s="122">
        <v>49672</v>
      </c>
      <c r="T604" s="122">
        <v>0</v>
      </c>
      <c r="U604" s="122">
        <v>0</v>
      </c>
      <c r="V604" s="122">
        <v>272121</v>
      </c>
      <c r="W604" s="122">
        <f t="shared" si="18"/>
        <v>272122</v>
      </c>
      <c r="X604" s="122">
        <f t="shared" si="19"/>
        <v>327731</v>
      </c>
      <c r="Y604" s="122"/>
      <c r="AA604" t="s">
        <v>54</v>
      </c>
      <c r="AB604" t="s">
        <v>406</v>
      </c>
      <c r="AC604" t="s">
        <v>408</v>
      </c>
      <c r="AD604" t="s">
        <v>406</v>
      </c>
      <c r="AE604" t="s">
        <v>566</v>
      </c>
      <c r="AF604">
        <v>9</v>
      </c>
      <c r="AG604" s="122">
        <v>2165</v>
      </c>
      <c r="AH604" s="122">
        <v>1272</v>
      </c>
      <c r="AI604" s="122">
        <v>184074</v>
      </c>
      <c r="AJ604" s="122">
        <v>167340</v>
      </c>
      <c r="AK604">
        <v>90</v>
      </c>
      <c r="AL604" s="122">
        <v>27210</v>
      </c>
      <c r="AM604" s="122">
        <v>24736</v>
      </c>
      <c r="AN604" s="122">
        <v>38856</v>
      </c>
      <c r="AO604" s="122">
        <v>14391</v>
      </c>
      <c r="AP604" s="122">
        <v>8046</v>
      </c>
      <c r="AQ604" s="122">
        <v>2980</v>
      </c>
      <c r="AR604" s="122">
        <v>52808</v>
      </c>
      <c r="AS604" s="122">
        <v>48007</v>
      </c>
      <c r="AT604" s="122">
        <v>0</v>
      </c>
      <c r="AU604" s="122">
        <v>0</v>
      </c>
      <c r="AV604" s="122">
        <v>257454</v>
      </c>
    </row>
    <row r="605" spans="2:48" hidden="1">
      <c r="B605" t="s">
        <v>366</v>
      </c>
      <c r="C605" t="s">
        <v>54</v>
      </c>
      <c r="D605" t="s">
        <v>137</v>
      </c>
      <c r="E605" t="s">
        <v>137</v>
      </c>
      <c r="F605">
        <v>29</v>
      </c>
      <c r="G605" s="122">
        <v>6782</v>
      </c>
      <c r="H605" s="122">
        <v>3972</v>
      </c>
      <c r="I605" s="122">
        <v>399030</v>
      </c>
      <c r="J605" s="122">
        <v>147789</v>
      </c>
      <c r="K605">
        <v>324</v>
      </c>
      <c r="L605" s="122">
        <v>127183</v>
      </c>
      <c r="M605" s="122">
        <v>106211</v>
      </c>
      <c r="N605" s="122">
        <v>138919</v>
      </c>
      <c r="O605" s="122">
        <v>51451</v>
      </c>
      <c r="P605" s="122">
        <v>21813</v>
      </c>
      <c r="Q605" s="122">
        <v>8079</v>
      </c>
      <c r="R605" s="122">
        <v>259550</v>
      </c>
      <c r="S605" s="122">
        <v>96130</v>
      </c>
      <c r="T605" s="122">
        <v>0</v>
      </c>
      <c r="U605">
        <v>0</v>
      </c>
      <c r="V605" s="122">
        <v>409660</v>
      </c>
      <c r="W605" s="122">
        <f t="shared" si="18"/>
        <v>409660</v>
      </c>
      <c r="X605" s="122">
        <f t="shared" si="19"/>
        <v>946495</v>
      </c>
      <c r="Y605" s="122"/>
      <c r="AA605" t="s">
        <v>54</v>
      </c>
      <c r="AB605" t="s">
        <v>406</v>
      </c>
      <c r="AC605" t="s">
        <v>429</v>
      </c>
      <c r="AD605" t="s">
        <v>406</v>
      </c>
      <c r="AE605" t="s">
        <v>137</v>
      </c>
      <c r="AF605">
        <v>22</v>
      </c>
      <c r="AG605" s="122">
        <v>5037</v>
      </c>
      <c r="AH605" s="122">
        <v>3064</v>
      </c>
      <c r="AI605" s="122">
        <v>440176</v>
      </c>
      <c r="AJ605" s="122">
        <v>400160</v>
      </c>
      <c r="AK605">
        <v>89</v>
      </c>
      <c r="AL605" s="122">
        <v>67041</v>
      </c>
      <c r="AM605" s="122">
        <v>60946</v>
      </c>
      <c r="AN605" s="122">
        <v>98524</v>
      </c>
      <c r="AO605" s="122">
        <v>36490</v>
      </c>
      <c r="AP605" s="122">
        <v>16119</v>
      </c>
      <c r="AQ605" s="122">
        <v>5970</v>
      </c>
      <c r="AR605" s="122">
        <v>124097</v>
      </c>
      <c r="AS605" s="122">
        <v>112816</v>
      </c>
      <c r="AT605" s="122">
        <v>14570</v>
      </c>
      <c r="AU605" s="122">
        <v>5396</v>
      </c>
      <c r="AV605" s="122">
        <v>621779</v>
      </c>
    </row>
    <row r="606" spans="2:48" hidden="1">
      <c r="B606" t="s">
        <v>366</v>
      </c>
      <c r="C606" t="s">
        <v>54</v>
      </c>
      <c r="D606" t="s">
        <v>406</v>
      </c>
      <c r="E606" t="s">
        <v>425</v>
      </c>
      <c r="F606">
        <v>2</v>
      </c>
      <c r="G606" s="122">
        <v>425</v>
      </c>
      <c r="H606" s="122">
        <v>282</v>
      </c>
      <c r="I606" s="122">
        <v>40494</v>
      </c>
      <c r="J606" s="122">
        <v>36813</v>
      </c>
      <c r="K606">
        <v>91</v>
      </c>
      <c r="L606" s="122">
        <v>6775</v>
      </c>
      <c r="M606" s="122">
        <v>6159</v>
      </c>
      <c r="N606" s="122">
        <v>12147</v>
      </c>
      <c r="O606" s="122">
        <v>4499</v>
      </c>
      <c r="P606" s="122">
        <v>1593</v>
      </c>
      <c r="Q606" s="122">
        <v>590</v>
      </c>
      <c r="R606" s="122">
        <v>15211</v>
      </c>
      <c r="S606" s="122">
        <v>13828</v>
      </c>
      <c r="T606">
        <v>0</v>
      </c>
      <c r="U606">
        <v>0</v>
      </c>
      <c r="V606" s="122">
        <v>61888</v>
      </c>
      <c r="W606" s="122">
        <f t="shared" si="18"/>
        <v>61889</v>
      </c>
      <c r="X606" s="122">
        <f t="shared" si="19"/>
        <v>76220</v>
      </c>
      <c r="Y606" s="122"/>
      <c r="AA606" t="s">
        <v>54</v>
      </c>
      <c r="AB606" t="s">
        <v>406</v>
      </c>
      <c r="AC606" t="s">
        <v>429</v>
      </c>
      <c r="AD606" t="s">
        <v>406</v>
      </c>
      <c r="AE606" t="s">
        <v>566</v>
      </c>
      <c r="AF606">
        <v>99</v>
      </c>
      <c r="AG606" s="122">
        <v>21825</v>
      </c>
      <c r="AH606" s="122">
        <v>13901</v>
      </c>
      <c r="AI606" s="122">
        <v>1911601</v>
      </c>
      <c r="AJ606" s="122">
        <v>1737819</v>
      </c>
      <c r="AK606">
        <v>89</v>
      </c>
      <c r="AL606" s="122">
        <v>282104</v>
      </c>
      <c r="AM606" s="122">
        <v>256458</v>
      </c>
      <c r="AN606" s="122">
        <v>421426</v>
      </c>
      <c r="AO606" s="122">
        <v>156084</v>
      </c>
      <c r="AP606" s="122">
        <v>70410</v>
      </c>
      <c r="AQ606" s="122">
        <v>26078</v>
      </c>
      <c r="AR606" s="122">
        <v>579005</v>
      </c>
      <c r="AS606" s="122">
        <v>526368</v>
      </c>
      <c r="AT606">
        <v>0</v>
      </c>
      <c r="AU606">
        <v>0</v>
      </c>
      <c r="AV606" s="122">
        <v>2702807</v>
      </c>
    </row>
    <row r="607" spans="2:48" hidden="1">
      <c r="B607" t="s">
        <v>366</v>
      </c>
      <c r="C607" t="s">
        <v>54</v>
      </c>
      <c r="D607" t="s">
        <v>406</v>
      </c>
      <c r="E607" t="s">
        <v>137</v>
      </c>
      <c r="F607">
        <v>3</v>
      </c>
      <c r="G607" s="122">
        <v>801</v>
      </c>
      <c r="H607" s="122">
        <v>435</v>
      </c>
      <c r="I607" s="122">
        <v>77527</v>
      </c>
      <c r="J607" s="122">
        <v>70479</v>
      </c>
      <c r="K607">
        <v>93</v>
      </c>
      <c r="L607" s="122">
        <v>10280</v>
      </c>
      <c r="M607" s="122">
        <v>9345</v>
      </c>
      <c r="N607" s="122">
        <v>17834</v>
      </c>
      <c r="O607" s="122">
        <v>6605</v>
      </c>
      <c r="P607" s="122">
        <v>2214</v>
      </c>
      <c r="Q607" s="122">
        <v>820</v>
      </c>
      <c r="R607" s="122">
        <v>22503</v>
      </c>
      <c r="S607" s="122">
        <v>8335</v>
      </c>
      <c r="T607" s="122">
        <v>0</v>
      </c>
      <c r="U607" s="122">
        <v>0</v>
      </c>
      <c r="V607" s="122">
        <v>95584</v>
      </c>
      <c r="W607" s="122">
        <f t="shared" si="18"/>
        <v>95584</v>
      </c>
      <c r="X607" s="122">
        <f t="shared" si="19"/>
        <v>130358</v>
      </c>
      <c r="Y607" s="122"/>
      <c r="AA607" t="s">
        <v>54</v>
      </c>
      <c r="AB607" t="s">
        <v>406</v>
      </c>
      <c r="AC607" t="s">
        <v>429</v>
      </c>
      <c r="AD607" t="s">
        <v>429</v>
      </c>
      <c r="AE607" t="s">
        <v>137</v>
      </c>
      <c r="AF607">
        <v>1</v>
      </c>
      <c r="AG607">
        <v>224</v>
      </c>
      <c r="AH607">
        <v>128</v>
      </c>
      <c r="AI607" s="122">
        <v>14367</v>
      </c>
      <c r="AJ607" s="122">
        <v>13061</v>
      </c>
      <c r="AK607">
        <v>94</v>
      </c>
      <c r="AL607" s="122">
        <v>2203</v>
      </c>
      <c r="AM607" s="122">
        <v>2003</v>
      </c>
      <c r="AN607" s="122">
        <v>3008</v>
      </c>
      <c r="AO607" s="122">
        <v>1114</v>
      </c>
      <c r="AP607" s="122">
        <v>1323</v>
      </c>
      <c r="AQ607">
        <v>490</v>
      </c>
      <c r="AR607" s="122">
        <v>7790</v>
      </c>
      <c r="AS607" s="122">
        <v>7081</v>
      </c>
      <c r="AT607">
        <v>0</v>
      </c>
      <c r="AU607">
        <v>0</v>
      </c>
      <c r="AV607" s="122">
        <v>23749</v>
      </c>
    </row>
    <row r="608" spans="2:48" hidden="1">
      <c r="B608" t="s">
        <v>366</v>
      </c>
      <c r="C608" t="s">
        <v>54</v>
      </c>
      <c r="D608" t="s">
        <v>406</v>
      </c>
      <c r="E608" t="s">
        <v>406</v>
      </c>
      <c r="F608">
        <v>800</v>
      </c>
      <c r="G608" s="122">
        <v>164885</v>
      </c>
      <c r="H608" s="122">
        <v>112664</v>
      </c>
      <c r="I608" s="122">
        <v>13216791</v>
      </c>
      <c r="J608" s="122">
        <v>12015264</v>
      </c>
      <c r="K608">
        <v>89</v>
      </c>
      <c r="L608" s="122">
        <v>2573177</v>
      </c>
      <c r="M608" s="122">
        <v>2282548</v>
      </c>
      <c r="N608" s="122">
        <v>3215382</v>
      </c>
      <c r="O608" s="122">
        <v>1190882</v>
      </c>
      <c r="P608" s="122">
        <v>573301</v>
      </c>
      <c r="Q608" s="122">
        <v>212334</v>
      </c>
      <c r="R608" s="122">
        <v>4531801</v>
      </c>
      <c r="S608" s="122">
        <v>4119819</v>
      </c>
      <c r="T608" s="122">
        <v>293949</v>
      </c>
      <c r="U608" s="122">
        <v>108870</v>
      </c>
      <c r="V608" s="122">
        <v>19929717</v>
      </c>
      <c r="W608" s="122">
        <f t="shared" si="18"/>
        <v>19929717</v>
      </c>
      <c r="X608" s="122">
        <f t="shared" si="19"/>
        <v>24404401</v>
      </c>
      <c r="Y608" s="122"/>
      <c r="AA608" t="s">
        <v>54</v>
      </c>
      <c r="AB608" t="s">
        <v>406</v>
      </c>
      <c r="AC608" t="s">
        <v>429</v>
      </c>
      <c r="AD608" t="s">
        <v>429</v>
      </c>
      <c r="AE608" t="s">
        <v>566</v>
      </c>
      <c r="AF608">
        <v>1</v>
      </c>
      <c r="AG608">
        <v>212</v>
      </c>
      <c r="AH608">
        <v>130</v>
      </c>
      <c r="AI608" s="122">
        <v>11499</v>
      </c>
      <c r="AJ608" s="122">
        <v>10454</v>
      </c>
      <c r="AK608">
        <v>85</v>
      </c>
      <c r="AL608" s="122">
        <v>1671</v>
      </c>
      <c r="AM608" s="122">
        <v>1519</v>
      </c>
      <c r="AN608" s="122">
        <v>2713</v>
      </c>
      <c r="AO608" s="122">
        <v>1005</v>
      </c>
      <c r="AP608" s="122">
        <v>2389</v>
      </c>
      <c r="AQ608">
        <v>885</v>
      </c>
      <c r="AR608" s="122">
        <v>9299</v>
      </c>
      <c r="AS608" s="122">
        <v>8454</v>
      </c>
      <c r="AT608" s="122">
        <v>0</v>
      </c>
      <c r="AU608">
        <v>0</v>
      </c>
      <c r="AV608" s="122">
        <v>22316</v>
      </c>
    </row>
    <row r="609" spans="2:48" hidden="1">
      <c r="B609" t="s">
        <v>366</v>
      </c>
      <c r="C609" t="s">
        <v>54</v>
      </c>
      <c r="D609" t="s">
        <v>406</v>
      </c>
      <c r="E609" t="s">
        <v>427</v>
      </c>
      <c r="F609">
        <v>1</v>
      </c>
      <c r="G609" s="122">
        <v>241</v>
      </c>
      <c r="H609" s="122">
        <v>149</v>
      </c>
      <c r="I609" s="122">
        <v>19602</v>
      </c>
      <c r="J609" s="122">
        <v>17820</v>
      </c>
      <c r="K609">
        <v>86</v>
      </c>
      <c r="L609" s="122">
        <v>9322</v>
      </c>
      <c r="M609" s="122">
        <v>8474</v>
      </c>
      <c r="N609" s="122">
        <v>5714</v>
      </c>
      <c r="O609" s="122">
        <v>2116</v>
      </c>
      <c r="P609" s="122">
        <v>621</v>
      </c>
      <c r="Q609" s="122">
        <v>230</v>
      </c>
      <c r="R609" s="122">
        <v>479</v>
      </c>
      <c r="S609" s="122">
        <v>436</v>
      </c>
      <c r="T609" s="122">
        <v>0</v>
      </c>
      <c r="U609" s="122">
        <v>0</v>
      </c>
      <c r="V609" s="122">
        <v>29076</v>
      </c>
      <c r="W609" s="122">
        <f t="shared" si="18"/>
        <v>29076</v>
      </c>
      <c r="X609" s="122">
        <f t="shared" si="19"/>
        <v>35738</v>
      </c>
      <c r="Y609" s="122"/>
      <c r="AA609" t="s">
        <v>54</v>
      </c>
      <c r="AB609" t="s">
        <v>427</v>
      </c>
      <c r="AC609" t="s">
        <v>137</v>
      </c>
      <c r="AD609" t="s">
        <v>427</v>
      </c>
      <c r="AE609" t="s">
        <v>137</v>
      </c>
      <c r="AF609">
        <v>1</v>
      </c>
      <c r="AG609">
        <v>286</v>
      </c>
      <c r="AH609">
        <v>142</v>
      </c>
      <c r="AI609" s="122">
        <v>25180</v>
      </c>
      <c r="AJ609" s="122">
        <v>22891</v>
      </c>
      <c r="AK609">
        <v>65</v>
      </c>
      <c r="AL609" s="122">
        <v>4464</v>
      </c>
      <c r="AM609" s="122">
        <v>1653</v>
      </c>
      <c r="AN609" s="122">
        <v>4318</v>
      </c>
      <c r="AO609" s="122">
        <v>1599</v>
      </c>
      <c r="AP609">
        <v>351</v>
      </c>
      <c r="AQ609">
        <v>130</v>
      </c>
      <c r="AR609" s="122">
        <v>4517</v>
      </c>
      <c r="AS609" s="122">
        <v>4107</v>
      </c>
      <c r="AT609" s="122">
        <v>1819</v>
      </c>
      <c r="AU609">
        <v>674</v>
      </c>
      <c r="AV609" s="122">
        <v>31053</v>
      </c>
    </row>
    <row r="610" spans="2:48" hidden="1">
      <c r="B610" t="s">
        <v>366</v>
      </c>
      <c r="C610" t="s">
        <v>54</v>
      </c>
      <c r="D610" t="s">
        <v>406</v>
      </c>
      <c r="E610" t="s">
        <v>429</v>
      </c>
      <c r="F610">
        <v>1</v>
      </c>
      <c r="G610" s="122">
        <v>224</v>
      </c>
      <c r="H610" s="122">
        <v>128</v>
      </c>
      <c r="I610" s="122">
        <v>14367</v>
      </c>
      <c r="J610" s="122">
        <v>13061</v>
      </c>
      <c r="K610">
        <v>94</v>
      </c>
      <c r="L610" s="122">
        <v>2203</v>
      </c>
      <c r="M610" s="122">
        <v>2003</v>
      </c>
      <c r="N610" s="122">
        <v>3008</v>
      </c>
      <c r="O610" s="122">
        <v>1114</v>
      </c>
      <c r="P610" s="122">
        <v>1323</v>
      </c>
      <c r="Q610">
        <v>490</v>
      </c>
      <c r="R610" s="122">
        <v>7790</v>
      </c>
      <c r="S610" s="122">
        <v>7081</v>
      </c>
      <c r="T610" s="122">
        <v>0</v>
      </c>
      <c r="U610">
        <v>0</v>
      </c>
      <c r="V610" s="122">
        <v>23749</v>
      </c>
      <c r="W610" s="122">
        <f t="shared" si="18"/>
        <v>23749</v>
      </c>
      <c r="X610" s="122">
        <f t="shared" si="19"/>
        <v>28691</v>
      </c>
      <c r="Y610" s="122"/>
      <c r="AA610" t="s">
        <v>54</v>
      </c>
      <c r="AB610" t="s">
        <v>427</v>
      </c>
      <c r="AC610" t="s">
        <v>427</v>
      </c>
      <c r="AD610" t="s">
        <v>427</v>
      </c>
      <c r="AE610" t="s">
        <v>566</v>
      </c>
      <c r="AF610">
        <v>1</v>
      </c>
      <c r="AG610">
        <v>312</v>
      </c>
      <c r="AH610">
        <v>127</v>
      </c>
      <c r="AI610" s="122">
        <v>20524</v>
      </c>
      <c r="AJ610" s="122">
        <v>18658</v>
      </c>
      <c r="AK610">
        <v>82</v>
      </c>
      <c r="AL610" s="122">
        <v>5899</v>
      </c>
      <c r="AM610" s="122">
        <v>5363</v>
      </c>
      <c r="AN610" s="122">
        <v>3796</v>
      </c>
      <c r="AO610" s="122">
        <v>1406</v>
      </c>
      <c r="AP610">
        <v>621</v>
      </c>
      <c r="AQ610">
        <v>230</v>
      </c>
      <c r="AR610" s="122">
        <v>8822</v>
      </c>
      <c r="AS610" s="122">
        <v>8020</v>
      </c>
      <c r="AT610">
        <v>0</v>
      </c>
      <c r="AU610">
        <v>0</v>
      </c>
      <c r="AV610" s="122">
        <v>33677</v>
      </c>
    </row>
    <row r="611" spans="2:48" hidden="1">
      <c r="B611" t="s">
        <v>366</v>
      </c>
      <c r="C611" t="s">
        <v>54</v>
      </c>
      <c r="D611" t="s">
        <v>427</v>
      </c>
      <c r="E611" t="s">
        <v>406</v>
      </c>
      <c r="F611">
        <v>1</v>
      </c>
      <c r="G611">
        <v>172</v>
      </c>
      <c r="H611">
        <v>149</v>
      </c>
      <c r="I611" s="122">
        <v>12209</v>
      </c>
      <c r="J611" s="122">
        <v>11099</v>
      </c>
      <c r="K611">
        <v>85</v>
      </c>
      <c r="L611" s="122">
        <v>3844</v>
      </c>
      <c r="M611" s="122">
        <v>3494</v>
      </c>
      <c r="N611" s="122">
        <v>2094</v>
      </c>
      <c r="O611" s="122">
        <v>776</v>
      </c>
      <c r="P611">
        <v>621</v>
      </c>
      <c r="Q611">
        <v>230</v>
      </c>
      <c r="R611" s="122">
        <v>6806</v>
      </c>
      <c r="S611" s="122">
        <v>6187</v>
      </c>
      <c r="T611">
        <v>0</v>
      </c>
      <c r="U611">
        <v>0</v>
      </c>
      <c r="V611" s="122">
        <v>21786</v>
      </c>
      <c r="W611" s="122">
        <f t="shared" si="18"/>
        <v>21786</v>
      </c>
      <c r="X611" s="122">
        <f t="shared" si="19"/>
        <v>25574</v>
      </c>
      <c r="Y611" s="122"/>
      <c r="AA611" t="s">
        <v>54</v>
      </c>
      <c r="AB611" t="s">
        <v>427</v>
      </c>
      <c r="AC611" t="s">
        <v>426</v>
      </c>
      <c r="AD611" t="s">
        <v>406</v>
      </c>
      <c r="AE611" t="s">
        <v>566</v>
      </c>
      <c r="AF611">
        <v>1</v>
      </c>
      <c r="AG611">
        <v>172</v>
      </c>
      <c r="AH611">
        <v>149</v>
      </c>
      <c r="AI611" s="122">
        <v>12209</v>
      </c>
      <c r="AJ611" s="122">
        <v>11099</v>
      </c>
      <c r="AK611">
        <v>85</v>
      </c>
      <c r="AL611" s="122">
        <v>3844</v>
      </c>
      <c r="AM611" s="122">
        <v>3494</v>
      </c>
      <c r="AN611" s="122">
        <v>2094</v>
      </c>
      <c r="AO611" s="122">
        <v>776</v>
      </c>
      <c r="AP611">
        <v>621</v>
      </c>
      <c r="AQ611">
        <v>230</v>
      </c>
      <c r="AR611" s="122">
        <v>6806</v>
      </c>
      <c r="AS611" s="122">
        <v>6187</v>
      </c>
      <c r="AT611">
        <v>0</v>
      </c>
      <c r="AU611">
        <v>0</v>
      </c>
      <c r="AV611" s="122">
        <v>21786</v>
      </c>
    </row>
    <row r="612" spans="2:48" hidden="1">
      <c r="B612" t="s">
        <v>366</v>
      </c>
      <c r="C612" t="s">
        <v>54</v>
      </c>
      <c r="D612" t="s">
        <v>427</v>
      </c>
      <c r="E612" t="s">
        <v>427</v>
      </c>
      <c r="F612">
        <v>1</v>
      </c>
      <c r="G612" s="122">
        <v>311</v>
      </c>
      <c r="H612" s="122">
        <v>148</v>
      </c>
      <c r="I612" s="122">
        <v>26298</v>
      </c>
      <c r="J612" s="122">
        <v>23907</v>
      </c>
      <c r="K612">
        <v>83</v>
      </c>
      <c r="L612" s="122">
        <v>8104</v>
      </c>
      <c r="M612" s="122">
        <v>7367</v>
      </c>
      <c r="N612" s="122">
        <v>3789</v>
      </c>
      <c r="O612" s="122">
        <v>1403</v>
      </c>
      <c r="P612" s="122">
        <v>351</v>
      </c>
      <c r="Q612" s="122">
        <v>130</v>
      </c>
      <c r="R612" s="122">
        <v>7363</v>
      </c>
      <c r="S612" s="122">
        <v>6694</v>
      </c>
      <c r="T612" s="122">
        <v>0</v>
      </c>
      <c r="U612">
        <v>0</v>
      </c>
      <c r="V612" s="122">
        <v>39501</v>
      </c>
      <c r="W612" s="122">
        <f t="shared" si="18"/>
        <v>39501</v>
      </c>
      <c r="X612" s="122">
        <f t="shared" si="19"/>
        <v>45905</v>
      </c>
      <c r="Y612" s="122"/>
      <c r="AA612" t="s">
        <v>54</v>
      </c>
      <c r="AB612" t="s">
        <v>427</v>
      </c>
      <c r="AC612" t="s">
        <v>426</v>
      </c>
      <c r="AD612" t="s">
        <v>427</v>
      </c>
      <c r="AE612" t="s">
        <v>566</v>
      </c>
      <c r="AF612">
        <v>1</v>
      </c>
      <c r="AG612">
        <v>311</v>
      </c>
      <c r="AH612">
        <v>148</v>
      </c>
      <c r="AI612" s="122">
        <v>26298</v>
      </c>
      <c r="AJ612" s="122">
        <v>23907</v>
      </c>
      <c r="AK612">
        <v>83</v>
      </c>
      <c r="AL612" s="122">
        <v>8104</v>
      </c>
      <c r="AM612" s="122">
        <v>7367</v>
      </c>
      <c r="AN612" s="122">
        <v>3789</v>
      </c>
      <c r="AO612" s="122">
        <v>1403</v>
      </c>
      <c r="AP612">
        <v>351</v>
      </c>
      <c r="AQ612">
        <v>130</v>
      </c>
      <c r="AR612" s="122">
        <v>7363</v>
      </c>
      <c r="AS612" s="122">
        <v>6694</v>
      </c>
      <c r="AT612" s="122">
        <v>0</v>
      </c>
      <c r="AU612">
        <v>0</v>
      </c>
      <c r="AV612" s="122">
        <v>39501</v>
      </c>
    </row>
    <row r="613" spans="2:48" hidden="1">
      <c r="B613" t="s">
        <v>366</v>
      </c>
      <c r="C613" t="s">
        <v>54</v>
      </c>
      <c r="D613" t="s">
        <v>407</v>
      </c>
      <c r="E613" t="s">
        <v>407</v>
      </c>
      <c r="F613">
        <v>2</v>
      </c>
      <c r="G613" s="122">
        <v>352</v>
      </c>
      <c r="H613" s="122">
        <v>291</v>
      </c>
      <c r="I613" s="122">
        <v>53265</v>
      </c>
      <c r="J613" s="122">
        <v>48423</v>
      </c>
      <c r="K613">
        <v>83</v>
      </c>
      <c r="L613" s="122">
        <v>4918</v>
      </c>
      <c r="M613" s="122">
        <v>4471</v>
      </c>
      <c r="N613" s="122">
        <v>11939</v>
      </c>
      <c r="O613" s="122">
        <v>4422</v>
      </c>
      <c r="P613" s="122">
        <v>945</v>
      </c>
      <c r="Q613" s="122">
        <v>350</v>
      </c>
      <c r="R613" s="122">
        <v>11352</v>
      </c>
      <c r="S613" s="122">
        <v>10320</v>
      </c>
      <c r="T613" s="122">
        <v>0</v>
      </c>
      <c r="U613" s="122">
        <v>0</v>
      </c>
      <c r="V613" s="122">
        <v>67986</v>
      </c>
      <c r="W613" s="122">
        <f t="shared" si="18"/>
        <v>67986</v>
      </c>
      <c r="X613" s="122">
        <f t="shared" si="19"/>
        <v>82419</v>
      </c>
      <c r="Y613" s="122"/>
      <c r="AA613" t="s">
        <v>54</v>
      </c>
      <c r="AB613" t="s">
        <v>407</v>
      </c>
      <c r="AC613" t="s">
        <v>578</v>
      </c>
      <c r="AD613" t="s">
        <v>407</v>
      </c>
      <c r="AE613" t="s">
        <v>137</v>
      </c>
      <c r="AF613">
        <v>1</v>
      </c>
      <c r="AG613">
        <v>99</v>
      </c>
      <c r="AH613">
        <v>147</v>
      </c>
      <c r="AI613" s="122">
        <v>7378</v>
      </c>
      <c r="AJ613" s="122">
        <v>6707</v>
      </c>
      <c r="AK613">
        <v>80</v>
      </c>
      <c r="AL613" s="122">
        <v>842</v>
      </c>
      <c r="AM613" s="122">
        <v>765</v>
      </c>
      <c r="AN613" s="122">
        <v>1209</v>
      </c>
      <c r="AO613" s="122">
        <v>448</v>
      </c>
      <c r="AP613" s="122">
        <v>473</v>
      </c>
      <c r="AQ613" s="122">
        <v>175</v>
      </c>
      <c r="AR613" s="122">
        <v>2357</v>
      </c>
      <c r="AS613" s="122">
        <v>2143</v>
      </c>
      <c r="AT613" s="122">
        <v>2328</v>
      </c>
      <c r="AU613">
        <v>862</v>
      </c>
      <c r="AV613" s="122">
        <v>11100</v>
      </c>
    </row>
    <row r="614" spans="2:48" hidden="1">
      <c r="B614" t="s">
        <v>366</v>
      </c>
      <c r="C614" t="s">
        <v>54</v>
      </c>
      <c r="D614" t="s">
        <v>408</v>
      </c>
      <c r="E614" t="s">
        <v>406</v>
      </c>
      <c r="F614">
        <v>1</v>
      </c>
      <c r="G614" s="122">
        <v>272</v>
      </c>
      <c r="H614" s="122">
        <v>148</v>
      </c>
      <c r="I614" s="122">
        <v>19681</v>
      </c>
      <c r="J614" s="122">
        <v>17891</v>
      </c>
      <c r="K614">
        <v>94</v>
      </c>
      <c r="L614" s="122">
        <v>6852</v>
      </c>
      <c r="M614" s="122">
        <v>6229</v>
      </c>
      <c r="N614" s="122">
        <v>6459</v>
      </c>
      <c r="O614" s="122">
        <v>2392</v>
      </c>
      <c r="P614" s="122">
        <v>621</v>
      </c>
      <c r="Q614" s="122">
        <v>230</v>
      </c>
      <c r="R614" s="122">
        <v>6715</v>
      </c>
      <c r="S614" s="122">
        <v>6105</v>
      </c>
      <c r="T614" s="122">
        <v>0</v>
      </c>
      <c r="U614" s="122">
        <v>0</v>
      </c>
      <c r="V614" s="122">
        <v>32848</v>
      </c>
      <c r="W614" s="122">
        <f t="shared" si="18"/>
        <v>32847</v>
      </c>
      <c r="X614" s="122">
        <f t="shared" si="19"/>
        <v>40328</v>
      </c>
      <c r="Y614" s="122"/>
      <c r="AA614" t="s">
        <v>54</v>
      </c>
      <c r="AB614" t="s">
        <v>407</v>
      </c>
      <c r="AC614" t="s">
        <v>578</v>
      </c>
      <c r="AD614" t="s">
        <v>407</v>
      </c>
      <c r="AE614" t="s">
        <v>566</v>
      </c>
      <c r="AF614">
        <v>5</v>
      </c>
      <c r="AG614">
        <v>991</v>
      </c>
      <c r="AH614">
        <v>687</v>
      </c>
      <c r="AI614" s="122">
        <v>75395</v>
      </c>
      <c r="AJ614" s="122">
        <v>68541</v>
      </c>
      <c r="AK614">
        <v>91</v>
      </c>
      <c r="AL614" s="122">
        <v>20638</v>
      </c>
      <c r="AM614" s="122">
        <v>18762</v>
      </c>
      <c r="AN614" s="122">
        <v>19608</v>
      </c>
      <c r="AO614" s="122">
        <v>7262</v>
      </c>
      <c r="AP614" s="122">
        <v>4887</v>
      </c>
      <c r="AQ614" s="122">
        <v>1810</v>
      </c>
      <c r="AR614" s="122">
        <v>27880</v>
      </c>
      <c r="AS614" s="122">
        <v>25345</v>
      </c>
      <c r="AT614">
        <v>0</v>
      </c>
      <c r="AU614">
        <v>0</v>
      </c>
      <c r="AV614" s="122">
        <v>121721</v>
      </c>
    </row>
    <row r="615" spans="2:48" hidden="1">
      <c r="B615" t="s">
        <v>366</v>
      </c>
      <c r="C615" t="s">
        <v>54</v>
      </c>
      <c r="D615" t="s">
        <v>408</v>
      </c>
      <c r="E615" t="s">
        <v>481</v>
      </c>
      <c r="F615">
        <v>1</v>
      </c>
      <c r="G615" s="122">
        <v>265</v>
      </c>
      <c r="H615" s="122">
        <v>149</v>
      </c>
      <c r="I615" s="122">
        <v>22631</v>
      </c>
      <c r="J615" s="122">
        <v>20574</v>
      </c>
      <c r="K615">
        <v>65</v>
      </c>
      <c r="L615" s="122">
        <v>2724</v>
      </c>
      <c r="M615" s="122">
        <v>2476</v>
      </c>
      <c r="N615" s="122">
        <v>5842</v>
      </c>
      <c r="O615" s="122">
        <v>2164</v>
      </c>
      <c r="P615" s="122">
        <v>351</v>
      </c>
      <c r="Q615" s="122">
        <v>130</v>
      </c>
      <c r="R615" s="122">
        <v>7942</v>
      </c>
      <c r="S615" s="122">
        <v>7220</v>
      </c>
      <c r="T615" s="122">
        <v>0</v>
      </c>
      <c r="U615" s="122">
        <v>0</v>
      </c>
      <c r="V615" s="122">
        <v>32563</v>
      </c>
      <c r="W615" s="122">
        <f t="shared" si="18"/>
        <v>32564</v>
      </c>
      <c r="X615" s="122">
        <f t="shared" si="19"/>
        <v>39490</v>
      </c>
      <c r="Y615" s="122"/>
      <c r="AA615" t="s">
        <v>54</v>
      </c>
      <c r="AB615" t="s">
        <v>407</v>
      </c>
      <c r="AC615" t="s">
        <v>425</v>
      </c>
      <c r="AD615" t="s">
        <v>407</v>
      </c>
      <c r="AE615" t="s">
        <v>137</v>
      </c>
      <c r="AF615">
        <v>1</v>
      </c>
      <c r="AG615" s="122">
        <v>138</v>
      </c>
      <c r="AH615">
        <v>144</v>
      </c>
      <c r="AI615" s="122">
        <v>10187</v>
      </c>
      <c r="AJ615" s="122">
        <v>9261</v>
      </c>
      <c r="AK615">
        <v>91</v>
      </c>
      <c r="AL615" s="122">
        <v>5156</v>
      </c>
      <c r="AM615" s="122">
        <v>4687</v>
      </c>
      <c r="AN615" s="122">
        <v>2192</v>
      </c>
      <c r="AO615" s="122">
        <v>812</v>
      </c>
      <c r="AP615" s="122">
        <v>351</v>
      </c>
      <c r="AQ615" s="122">
        <v>130</v>
      </c>
      <c r="AR615" s="122">
        <v>2086</v>
      </c>
      <c r="AS615" s="122">
        <v>1896</v>
      </c>
      <c r="AT615">
        <v>0</v>
      </c>
      <c r="AU615">
        <v>0</v>
      </c>
      <c r="AV615" s="122">
        <v>16786</v>
      </c>
    </row>
    <row r="616" spans="2:48" hidden="1">
      <c r="B616" t="s">
        <v>366</v>
      </c>
      <c r="C616" t="s">
        <v>54</v>
      </c>
      <c r="D616" t="s">
        <v>408</v>
      </c>
      <c r="E616" t="s">
        <v>408</v>
      </c>
      <c r="F616">
        <v>4</v>
      </c>
      <c r="G616" s="122">
        <v>860</v>
      </c>
      <c r="H616" s="122">
        <v>576</v>
      </c>
      <c r="I616" s="122">
        <v>78784</v>
      </c>
      <c r="J616" s="122">
        <v>71622</v>
      </c>
      <c r="K616">
        <v>81</v>
      </c>
      <c r="L616" s="122">
        <v>16726</v>
      </c>
      <c r="M616" s="122">
        <v>15205</v>
      </c>
      <c r="N616" s="122">
        <v>16277</v>
      </c>
      <c r="O616" s="122">
        <v>6029</v>
      </c>
      <c r="P616" s="122">
        <v>1404</v>
      </c>
      <c r="Q616" s="122">
        <v>520</v>
      </c>
      <c r="R616" s="122">
        <v>23630</v>
      </c>
      <c r="S616" s="122">
        <v>21481</v>
      </c>
      <c r="T616" s="122">
        <v>4047</v>
      </c>
      <c r="U616" s="122">
        <v>1499</v>
      </c>
      <c r="V616" s="122">
        <v>116356</v>
      </c>
      <c r="W616" s="122">
        <f t="shared" si="18"/>
        <v>116356</v>
      </c>
      <c r="X616" s="122">
        <f t="shared" si="19"/>
        <v>140868</v>
      </c>
      <c r="Y616" s="122"/>
      <c r="AA616" t="s">
        <v>54</v>
      </c>
      <c r="AB616" t="s">
        <v>407</v>
      </c>
      <c r="AC616" t="s">
        <v>425</v>
      </c>
      <c r="AD616" t="s">
        <v>407</v>
      </c>
      <c r="AE616" t="s">
        <v>566</v>
      </c>
      <c r="AF616">
        <v>7</v>
      </c>
      <c r="AG616" s="122">
        <v>1359</v>
      </c>
      <c r="AH616">
        <v>978</v>
      </c>
      <c r="AI616" s="122">
        <v>112390</v>
      </c>
      <c r="AJ616" s="122">
        <v>102173</v>
      </c>
      <c r="AK616">
        <v>89</v>
      </c>
      <c r="AL616" s="122">
        <v>22118</v>
      </c>
      <c r="AM616" s="122">
        <v>20107</v>
      </c>
      <c r="AN616" s="122">
        <v>21267</v>
      </c>
      <c r="AO616" s="122">
        <v>7877</v>
      </c>
      <c r="AP616" s="122">
        <v>3308</v>
      </c>
      <c r="AQ616" s="122">
        <v>1225</v>
      </c>
      <c r="AR616" s="122">
        <v>29460</v>
      </c>
      <c r="AS616" s="122">
        <v>26782</v>
      </c>
      <c r="AT616">
        <v>0</v>
      </c>
      <c r="AU616">
        <v>0</v>
      </c>
      <c r="AV616" s="122">
        <v>158163</v>
      </c>
    </row>
    <row r="617" spans="2:48" hidden="1">
      <c r="B617" t="s">
        <v>366</v>
      </c>
      <c r="C617" t="s">
        <v>56</v>
      </c>
      <c r="F617">
        <v>6</v>
      </c>
      <c r="G617">
        <v>830</v>
      </c>
      <c r="H617" s="122">
        <v>1141</v>
      </c>
      <c r="I617" s="122"/>
      <c r="J617" s="122">
        <v>0</v>
      </c>
      <c r="L617" s="122"/>
      <c r="M617" s="122">
        <v>0</v>
      </c>
      <c r="N617" s="122">
        <v>18499</v>
      </c>
      <c r="O617" s="122">
        <v>6852</v>
      </c>
      <c r="P617" s="122">
        <v>3537</v>
      </c>
      <c r="Q617" s="122">
        <v>1310</v>
      </c>
      <c r="R617" s="122"/>
      <c r="S617" s="122">
        <v>0</v>
      </c>
      <c r="T617" s="122">
        <v>6766</v>
      </c>
      <c r="U617" s="122">
        <v>2506</v>
      </c>
      <c r="V617" s="122">
        <v>10667</v>
      </c>
      <c r="W617" s="122">
        <f t="shared" si="18"/>
        <v>10668</v>
      </c>
      <c r="X617" s="122">
        <f t="shared" si="19"/>
        <v>28802</v>
      </c>
      <c r="Y617" s="122"/>
      <c r="AA617" t="s">
        <v>54</v>
      </c>
      <c r="AB617" t="s">
        <v>407</v>
      </c>
      <c r="AC617" t="s">
        <v>405</v>
      </c>
      <c r="AD617" t="s">
        <v>407</v>
      </c>
      <c r="AE617" t="s">
        <v>566</v>
      </c>
      <c r="AF617">
        <v>1</v>
      </c>
      <c r="AG617" s="122">
        <v>107</v>
      </c>
      <c r="AH617" s="122">
        <v>144</v>
      </c>
      <c r="AI617" s="122">
        <v>7165</v>
      </c>
      <c r="AJ617" s="122">
        <v>6514</v>
      </c>
      <c r="AK617">
        <v>92</v>
      </c>
      <c r="AL617" s="122">
        <v>1049</v>
      </c>
      <c r="AM617" s="122">
        <v>953</v>
      </c>
      <c r="AN617" s="122">
        <v>2608</v>
      </c>
      <c r="AO617" s="122">
        <v>966</v>
      </c>
      <c r="AP617" s="122">
        <v>473</v>
      </c>
      <c r="AQ617" s="122">
        <v>175</v>
      </c>
      <c r="AR617" s="122">
        <v>4097</v>
      </c>
      <c r="AS617" s="122">
        <v>3725</v>
      </c>
      <c r="AT617" s="122">
        <v>0</v>
      </c>
      <c r="AU617" s="122">
        <v>0</v>
      </c>
      <c r="AV617" s="122">
        <v>12333</v>
      </c>
    </row>
    <row r="618" spans="2:48" hidden="1">
      <c r="B618" t="s">
        <v>366</v>
      </c>
      <c r="C618" t="s">
        <v>56</v>
      </c>
      <c r="D618" t="s">
        <v>425</v>
      </c>
      <c r="E618" t="s">
        <v>425</v>
      </c>
      <c r="F618">
        <v>5</v>
      </c>
      <c r="G618" s="122">
        <v>719</v>
      </c>
      <c r="H618" s="122">
        <v>996</v>
      </c>
      <c r="I618" s="122">
        <v>86018</v>
      </c>
      <c r="J618" s="122">
        <v>78198</v>
      </c>
      <c r="K618">
        <v>89</v>
      </c>
      <c r="L618" s="122">
        <v>14644</v>
      </c>
      <c r="M618" s="122">
        <v>13313</v>
      </c>
      <c r="N618" s="122">
        <v>14143</v>
      </c>
      <c r="O618" s="122">
        <v>5238</v>
      </c>
      <c r="P618" s="122">
        <v>2862</v>
      </c>
      <c r="Q618" s="122">
        <v>1060</v>
      </c>
      <c r="R618" s="122">
        <v>24917</v>
      </c>
      <c r="S618" s="122">
        <v>22652</v>
      </c>
      <c r="T618" s="122">
        <v>2357</v>
      </c>
      <c r="U618" s="122">
        <v>873</v>
      </c>
      <c r="V618" s="122">
        <v>121334</v>
      </c>
      <c r="W618" s="122">
        <f t="shared" si="18"/>
        <v>121334</v>
      </c>
      <c r="X618" s="122">
        <f t="shared" si="19"/>
        <v>144941</v>
      </c>
      <c r="Y618" s="122"/>
      <c r="AA618" t="s">
        <v>54</v>
      </c>
      <c r="AB618" t="s">
        <v>407</v>
      </c>
      <c r="AC618" t="s">
        <v>137</v>
      </c>
      <c r="AD618" t="s">
        <v>407</v>
      </c>
      <c r="AE618" t="s">
        <v>137</v>
      </c>
      <c r="AF618">
        <v>23</v>
      </c>
      <c r="AG618" s="122">
        <v>3655</v>
      </c>
      <c r="AH618" s="122">
        <v>3223</v>
      </c>
      <c r="AI618" s="122">
        <v>258947</v>
      </c>
      <c r="AJ618" s="122">
        <v>235406</v>
      </c>
      <c r="AK618">
        <v>88</v>
      </c>
      <c r="AL618" s="122">
        <v>72027</v>
      </c>
      <c r="AM618" s="122">
        <v>26677</v>
      </c>
      <c r="AN618" s="122">
        <v>65639</v>
      </c>
      <c r="AO618" s="122">
        <v>24311</v>
      </c>
      <c r="AP618" s="122">
        <v>11336</v>
      </c>
      <c r="AQ618" s="122">
        <v>4199</v>
      </c>
      <c r="AR618" s="122">
        <v>103099</v>
      </c>
      <c r="AS618" s="122">
        <v>93726</v>
      </c>
      <c r="AT618" s="122">
        <v>29799</v>
      </c>
      <c r="AU618" s="122">
        <v>11037</v>
      </c>
      <c r="AV618" s="122">
        <v>395355</v>
      </c>
    </row>
    <row r="619" spans="2:48" hidden="1">
      <c r="B619" t="s">
        <v>366</v>
      </c>
      <c r="C619" t="s">
        <v>56</v>
      </c>
      <c r="D619" t="s">
        <v>425</v>
      </c>
      <c r="E619" t="s">
        <v>405</v>
      </c>
      <c r="F619">
        <v>1</v>
      </c>
      <c r="G619" s="122">
        <v>103</v>
      </c>
      <c r="H619" s="122">
        <v>204</v>
      </c>
      <c r="I619" s="122">
        <v>8395</v>
      </c>
      <c r="J619" s="122">
        <v>7632</v>
      </c>
      <c r="K619">
        <v>82</v>
      </c>
      <c r="L619" s="122">
        <v>2413</v>
      </c>
      <c r="M619" s="122">
        <v>2193</v>
      </c>
      <c r="N619" s="122">
        <v>2505</v>
      </c>
      <c r="O619" s="122">
        <v>928</v>
      </c>
      <c r="P619" s="122">
        <v>473</v>
      </c>
      <c r="Q619" s="122">
        <v>175</v>
      </c>
      <c r="R619" s="122">
        <v>4258</v>
      </c>
      <c r="S619" s="122">
        <v>3871</v>
      </c>
      <c r="T619" s="122">
        <v>2909</v>
      </c>
      <c r="U619" s="122">
        <v>1077</v>
      </c>
      <c r="V619" s="122">
        <v>15876</v>
      </c>
      <c r="W619" s="122">
        <f t="shared" si="18"/>
        <v>15876</v>
      </c>
      <c r="X619" s="122">
        <f t="shared" si="19"/>
        <v>20953</v>
      </c>
      <c r="Y619" s="122"/>
      <c r="AA619" t="s">
        <v>54</v>
      </c>
      <c r="AB619" t="s">
        <v>407</v>
      </c>
      <c r="AC619" t="s">
        <v>137</v>
      </c>
      <c r="AD619" t="s">
        <v>407</v>
      </c>
      <c r="AE619" t="s">
        <v>566</v>
      </c>
      <c r="AF619">
        <v>114</v>
      </c>
      <c r="AG619" s="122">
        <v>18120</v>
      </c>
      <c r="AH619" s="122">
        <v>16042</v>
      </c>
      <c r="AI619" s="122">
        <v>1267526</v>
      </c>
      <c r="AJ619" s="122">
        <v>1152296</v>
      </c>
      <c r="AK619">
        <v>88</v>
      </c>
      <c r="AL619" s="122">
        <v>356115</v>
      </c>
      <c r="AM619" s="122">
        <v>131894</v>
      </c>
      <c r="AN619" s="122">
        <v>334767</v>
      </c>
      <c r="AO619" s="122">
        <v>123988</v>
      </c>
      <c r="AP619" s="122">
        <v>72464</v>
      </c>
      <c r="AQ619" s="122">
        <v>26838</v>
      </c>
      <c r="AR619" s="122">
        <v>560755</v>
      </c>
      <c r="AS619" s="122">
        <v>509777</v>
      </c>
      <c r="AT619">
        <v>0</v>
      </c>
      <c r="AU619">
        <v>0</v>
      </c>
      <c r="AV619" s="122">
        <v>1944794</v>
      </c>
    </row>
    <row r="620" spans="2:48" hidden="1">
      <c r="B620" t="s">
        <v>366</v>
      </c>
      <c r="C620" t="s">
        <v>56</v>
      </c>
      <c r="D620" t="s">
        <v>425</v>
      </c>
      <c r="E620" t="s">
        <v>406</v>
      </c>
      <c r="F620" s="122">
        <v>2</v>
      </c>
      <c r="G620" s="122">
        <v>320</v>
      </c>
      <c r="H620" s="122">
        <v>387</v>
      </c>
      <c r="I620" s="122">
        <v>31828</v>
      </c>
      <c r="J620" s="122">
        <v>28934</v>
      </c>
      <c r="K620">
        <v>89</v>
      </c>
      <c r="L620" s="122">
        <v>5478</v>
      </c>
      <c r="M620" s="122">
        <v>4980</v>
      </c>
      <c r="N620" s="122">
        <v>6910</v>
      </c>
      <c r="O620" s="122">
        <v>2559</v>
      </c>
      <c r="P620" s="122">
        <v>1593</v>
      </c>
      <c r="Q620" s="122">
        <v>590</v>
      </c>
      <c r="R620" s="122">
        <v>8696</v>
      </c>
      <c r="S620" s="122">
        <v>7905</v>
      </c>
      <c r="T620" s="122">
        <v>1973</v>
      </c>
      <c r="U620" s="122">
        <v>731</v>
      </c>
      <c r="V620" s="122">
        <v>45700</v>
      </c>
      <c r="W620" s="122">
        <f t="shared" si="18"/>
        <v>45699</v>
      </c>
      <c r="X620" s="122">
        <f t="shared" si="19"/>
        <v>56478</v>
      </c>
      <c r="Y620" s="122"/>
      <c r="AA620" t="s">
        <v>54</v>
      </c>
      <c r="AB620" t="s">
        <v>407</v>
      </c>
      <c r="AC620" t="s">
        <v>580</v>
      </c>
      <c r="AD620" t="s">
        <v>407</v>
      </c>
      <c r="AE620" t="s">
        <v>137</v>
      </c>
      <c r="AF620">
        <v>1</v>
      </c>
      <c r="AG620">
        <v>229</v>
      </c>
      <c r="AH620">
        <v>142</v>
      </c>
      <c r="AI620" s="122">
        <v>17848</v>
      </c>
      <c r="AJ620" s="122">
        <v>16225</v>
      </c>
      <c r="AK620">
        <v>91</v>
      </c>
      <c r="AL620" s="122">
        <v>2859</v>
      </c>
      <c r="AM620" s="122">
        <v>2599</v>
      </c>
      <c r="AN620" s="122">
        <v>4694</v>
      </c>
      <c r="AO620" s="122">
        <v>1739</v>
      </c>
      <c r="AP620" s="122">
        <v>743</v>
      </c>
      <c r="AQ620">
        <v>275</v>
      </c>
      <c r="AR620" s="122">
        <v>6354</v>
      </c>
      <c r="AS620" s="122">
        <v>5776</v>
      </c>
      <c r="AT620">
        <v>0</v>
      </c>
      <c r="AU620">
        <v>0</v>
      </c>
      <c r="AV620" s="122">
        <v>26614</v>
      </c>
    </row>
    <row r="621" spans="2:48" hidden="1">
      <c r="B621" t="s">
        <v>366</v>
      </c>
      <c r="C621" t="s">
        <v>56</v>
      </c>
      <c r="D621" t="s">
        <v>405</v>
      </c>
      <c r="E621" t="s">
        <v>405</v>
      </c>
      <c r="F621">
        <v>49</v>
      </c>
      <c r="G621" s="122">
        <v>7597</v>
      </c>
      <c r="H621" s="122">
        <v>9564</v>
      </c>
      <c r="I621" s="122">
        <v>941235</v>
      </c>
      <c r="J621" s="122">
        <v>855668</v>
      </c>
      <c r="K621">
        <v>83</v>
      </c>
      <c r="L621" s="122">
        <v>187218</v>
      </c>
      <c r="M621" s="122">
        <v>162590</v>
      </c>
      <c r="N621" s="122">
        <v>168292</v>
      </c>
      <c r="O621" s="122">
        <v>62330</v>
      </c>
      <c r="P621" s="122">
        <v>24341</v>
      </c>
      <c r="Q621" s="122">
        <v>9015</v>
      </c>
      <c r="R621" s="122">
        <v>232824</v>
      </c>
      <c r="S621" s="122">
        <v>211658</v>
      </c>
      <c r="T621" s="122">
        <v>25312</v>
      </c>
      <c r="U621" s="122">
        <v>9375</v>
      </c>
      <c r="V621" s="122">
        <v>1310636</v>
      </c>
      <c r="W621" s="122">
        <f t="shared" si="18"/>
        <v>1310636</v>
      </c>
      <c r="X621" s="122">
        <f t="shared" si="19"/>
        <v>1579222</v>
      </c>
      <c r="Y621" s="122"/>
      <c r="AA621" t="s">
        <v>54</v>
      </c>
      <c r="AB621" t="s">
        <v>407</v>
      </c>
      <c r="AC621" t="s">
        <v>580</v>
      </c>
      <c r="AD621" t="s">
        <v>407</v>
      </c>
      <c r="AE621" t="s">
        <v>566</v>
      </c>
      <c r="AF621">
        <v>3</v>
      </c>
      <c r="AG621">
        <v>602</v>
      </c>
      <c r="AH621">
        <v>438</v>
      </c>
      <c r="AI621" s="122">
        <v>48127</v>
      </c>
      <c r="AJ621" s="122">
        <v>43752</v>
      </c>
      <c r="AK621">
        <v>84</v>
      </c>
      <c r="AL621" s="122">
        <v>5810</v>
      </c>
      <c r="AM621" s="122">
        <v>5282</v>
      </c>
      <c r="AN621" s="122">
        <v>12958</v>
      </c>
      <c r="AO621" s="122">
        <v>4799</v>
      </c>
      <c r="AP621" s="122">
        <v>2039</v>
      </c>
      <c r="AQ621">
        <v>755</v>
      </c>
      <c r="AR621" s="122">
        <v>19058</v>
      </c>
      <c r="AS621" s="122">
        <v>17325</v>
      </c>
      <c r="AT621">
        <v>0</v>
      </c>
      <c r="AU621">
        <v>0</v>
      </c>
      <c r="AV621" s="122">
        <v>71914</v>
      </c>
    </row>
    <row r="622" spans="2:48" hidden="1">
      <c r="B622" t="s">
        <v>366</v>
      </c>
      <c r="C622" t="s">
        <v>56</v>
      </c>
      <c r="D622" t="s">
        <v>405</v>
      </c>
      <c r="E622" t="s">
        <v>137</v>
      </c>
      <c r="F622">
        <v>1</v>
      </c>
      <c r="G622">
        <v>350</v>
      </c>
      <c r="H622" s="122">
        <v>182</v>
      </c>
      <c r="I622" s="122">
        <v>37737</v>
      </c>
      <c r="J622" s="122">
        <v>34306</v>
      </c>
      <c r="K622">
        <v>93</v>
      </c>
      <c r="L622" s="122">
        <v>9108</v>
      </c>
      <c r="M622" s="122">
        <v>3373</v>
      </c>
      <c r="N622" s="122">
        <v>4436</v>
      </c>
      <c r="O622" s="122">
        <v>1643</v>
      </c>
      <c r="P622" s="122">
        <v>945</v>
      </c>
      <c r="Q622">
        <v>350</v>
      </c>
      <c r="R622" s="122">
        <v>11481</v>
      </c>
      <c r="S622" s="122">
        <v>4252</v>
      </c>
      <c r="T622" s="122">
        <v>0</v>
      </c>
      <c r="U622" s="122">
        <v>0</v>
      </c>
      <c r="V622" s="122">
        <v>43924</v>
      </c>
      <c r="W622" s="122">
        <f t="shared" si="18"/>
        <v>43924</v>
      </c>
      <c r="X622" s="122">
        <f t="shared" si="19"/>
        <v>63707</v>
      </c>
      <c r="Y622" s="122"/>
      <c r="AA622" t="s">
        <v>54</v>
      </c>
      <c r="AB622" t="s">
        <v>407</v>
      </c>
      <c r="AC622" t="s">
        <v>427</v>
      </c>
      <c r="AD622" t="s">
        <v>405</v>
      </c>
      <c r="AE622" t="s">
        <v>566</v>
      </c>
      <c r="AF622">
        <v>1</v>
      </c>
      <c r="AG622" s="122">
        <v>175</v>
      </c>
      <c r="AH622" s="122">
        <v>141</v>
      </c>
      <c r="AI622" s="122">
        <v>10901</v>
      </c>
      <c r="AJ622" s="122">
        <v>9910</v>
      </c>
      <c r="AK622">
        <v>86</v>
      </c>
      <c r="AL622" s="122">
        <v>3488</v>
      </c>
      <c r="AM622" s="122">
        <v>3171</v>
      </c>
      <c r="AN622" s="122">
        <v>3280</v>
      </c>
      <c r="AO622" s="122">
        <v>1215</v>
      </c>
      <c r="AP622" s="122">
        <v>473</v>
      </c>
      <c r="AQ622" s="122">
        <v>175</v>
      </c>
      <c r="AR622" s="122">
        <v>6419</v>
      </c>
      <c r="AS622" s="122">
        <v>5835</v>
      </c>
      <c r="AT622" s="122">
        <v>0</v>
      </c>
      <c r="AU622" s="122">
        <v>0</v>
      </c>
      <c r="AV622" s="122">
        <v>20306</v>
      </c>
    </row>
    <row r="623" spans="2:48" hidden="1">
      <c r="B623" t="s">
        <v>366</v>
      </c>
      <c r="C623" t="s">
        <v>56</v>
      </c>
      <c r="D623" t="s">
        <v>137</v>
      </c>
      <c r="E623" t="s">
        <v>137</v>
      </c>
      <c r="F623">
        <v>20</v>
      </c>
      <c r="G623" s="122">
        <v>4429</v>
      </c>
      <c r="H623" s="122">
        <v>3733</v>
      </c>
      <c r="I623" s="122">
        <v>454467</v>
      </c>
      <c r="J623" s="122">
        <v>168321</v>
      </c>
      <c r="K623">
        <v>201</v>
      </c>
      <c r="L623" s="122">
        <v>84028</v>
      </c>
      <c r="M623" s="122">
        <v>68520</v>
      </c>
      <c r="N623" s="122">
        <v>100115</v>
      </c>
      <c r="O623" s="122">
        <v>37079</v>
      </c>
      <c r="P623" s="122">
        <v>6910</v>
      </c>
      <c r="Q623" s="122">
        <v>2559</v>
      </c>
      <c r="R623" s="122">
        <v>187404</v>
      </c>
      <c r="S623" s="122">
        <v>69409</v>
      </c>
      <c r="T623" s="122">
        <v>0</v>
      </c>
      <c r="U623" s="122">
        <v>0</v>
      </c>
      <c r="V623" s="122">
        <v>345889</v>
      </c>
      <c r="W623" s="122">
        <f t="shared" si="18"/>
        <v>345888</v>
      </c>
      <c r="X623" s="122">
        <f t="shared" si="19"/>
        <v>832924</v>
      </c>
      <c r="Y623" s="122"/>
      <c r="AA623" t="s">
        <v>54</v>
      </c>
      <c r="AB623" t="s">
        <v>407</v>
      </c>
      <c r="AC623" t="s">
        <v>427</v>
      </c>
      <c r="AD623" t="s">
        <v>407</v>
      </c>
      <c r="AE623" t="s">
        <v>137</v>
      </c>
      <c r="AF623">
        <v>40</v>
      </c>
      <c r="AG623" s="122">
        <v>7038</v>
      </c>
      <c r="AH623" s="122">
        <v>5634</v>
      </c>
      <c r="AI623" s="122">
        <v>512804</v>
      </c>
      <c r="AJ623" s="122">
        <v>466185</v>
      </c>
      <c r="AK623">
        <v>86</v>
      </c>
      <c r="AL623" s="122">
        <v>146009</v>
      </c>
      <c r="AM623" s="122">
        <v>132735</v>
      </c>
      <c r="AN623" s="122">
        <v>134739</v>
      </c>
      <c r="AO623" s="122">
        <v>49903</v>
      </c>
      <c r="AP623" s="122">
        <v>22296</v>
      </c>
      <c r="AQ623" s="122">
        <v>8258</v>
      </c>
      <c r="AR623" s="122">
        <v>180398</v>
      </c>
      <c r="AS623" s="122">
        <v>163998</v>
      </c>
      <c r="AT623" s="122">
        <v>45557</v>
      </c>
      <c r="AU623" s="122">
        <v>16873</v>
      </c>
      <c r="AV623" s="122">
        <v>837953</v>
      </c>
    </row>
    <row r="624" spans="2:48" hidden="1">
      <c r="B624" t="s">
        <v>366</v>
      </c>
      <c r="C624" t="s">
        <v>56</v>
      </c>
      <c r="D624" t="s">
        <v>406</v>
      </c>
      <c r="E624" t="s">
        <v>425</v>
      </c>
      <c r="F624">
        <v>1</v>
      </c>
      <c r="G624" s="122">
        <v>217</v>
      </c>
      <c r="H624" s="122">
        <v>194</v>
      </c>
      <c r="I624" s="122">
        <v>19854</v>
      </c>
      <c r="J624" s="122">
        <v>18049</v>
      </c>
      <c r="K624">
        <v>85</v>
      </c>
      <c r="L624" s="122">
        <v>9734</v>
      </c>
      <c r="M624" s="122">
        <v>8112</v>
      </c>
      <c r="N624" s="122">
        <v>3762</v>
      </c>
      <c r="O624" s="122">
        <v>1393</v>
      </c>
      <c r="P624" s="122">
        <v>621</v>
      </c>
      <c r="Q624" s="122">
        <v>230</v>
      </c>
      <c r="R624" s="122">
        <v>4451</v>
      </c>
      <c r="S624" s="122">
        <v>4046</v>
      </c>
      <c r="T624" s="122">
        <v>3812</v>
      </c>
      <c r="U624" s="122">
        <v>1412</v>
      </c>
      <c r="V624" s="122">
        <v>33242</v>
      </c>
      <c r="W624" s="122">
        <f t="shared" si="18"/>
        <v>33242</v>
      </c>
      <c r="X624" s="122">
        <f t="shared" si="19"/>
        <v>42234</v>
      </c>
      <c r="Y624" s="122"/>
      <c r="AA624" t="s">
        <v>54</v>
      </c>
      <c r="AB624" t="s">
        <v>407</v>
      </c>
      <c r="AC624" t="s">
        <v>427</v>
      </c>
      <c r="AD624" t="s">
        <v>407</v>
      </c>
      <c r="AE624" t="s">
        <v>566</v>
      </c>
      <c r="AF624">
        <v>181</v>
      </c>
      <c r="AG624" s="122">
        <v>33197</v>
      </c>
      <c r="AH624" s="122">
        <v>25632</v>
      </c>
      <c r="AI624" s="122">
        <v>2518159</v>
      </c>
      <c r="AJ624" s="122">
        <v>2289236</v>
      </c>
      <c r="AK624">
        <v>88</v>
      </c>
      <c r="AL624" s="122">
        <v>677790</v>
      </c>
      <c r="AM624" s="122">
        <v>616173</v>
      </c>
      <c r="AN624" s="122">
        <v>650785</v>
      </c>
      <c r="AO624" s="122">
        <v>241032</v>
      </c>
      <c r="AP624" s="122">
        <v>105436</v>
      </c>
      <c r="AQ624" s="122">
        <v>39050</v>
      </c>
      <c r="AR624" s="122">
        <v>946866</v>
      </c>
      <c r="AS624" s="122">
        <v>860788</v>
      </c>
      <c r="AT624" s="122">
        <v>3063</v>
      </c>
      <c r="AU624" s="122">
        <v>1134</v>
      </c>
      <c r="AV624" s="122">
        <v>4047413</v>
      </c>
    </row>
    <row r="625" spans="2:48" hidden="1">
      <c r="B625" t="s">
        <v>366</v>
      </c>
      <c r="C625" t="s">
        <v>56</v>
      </c>
      <c r="D625" t="s">
        <v>406</v>
      </c>
      <c r="E625" t="s">
        <v>137</v>
      </c>
      <c r="F625">
        <v>12</v>
      </c>
      <c r="G625" s="122">
        <v>2156</v>
      </c>
      <c r="H625" s="122">
        <v>2381</v>
      </c>
      <c r="I625" s="122">
        <v>220819</v>
      </c>
      <c r="J625" s="122">
        <v>200745</v>
      </c>
      <c r="K625">
        <v>83</v>
      </c>
      <c r="L625" s="122">
        <v>48804</v>
      </c>
      <c r="M625" s="122">
        <v>41597</v>
      </c>
      <c r="N625" s="122">
        <v>49994</v>
      </c>
      <c r="O625" s="122">
        <v>18516</v>
      </c>
      <c r="P625" s="122">
        <v>7452</v>
      </c>
      <c r="Q625" s="122">
        <v>2760</v>
      </c>
      <c r="R625" s="122">
        <v>93937</v>
      </c>
      <c r="S625" s="122">
        <v>34791</v>
      </c>
      <c r="T625" s="122">
        <v>0</v>
      </c>
      <c r="U625" s="122">
        <v>0</v>
      </c>
      <c r="V625" s="122">
        <v>298409</v>
      </c>
      <c r="W625" s="122">
        <f t="shared" si="18"/>
        <v>298409</v>
      </c>
      <c r="X625" s="122">
        <f t="shared" si="19"/>
        <v>421006</v>
      </c>
      <c r="Y625" s="122"/>
      <c r="AA625" t="s">
        <v>54</v>
      </c>
      <c r="AB625" t="s">
        <v>407</v>
      </c>
      <c r="AC625" t="s">
        <v>407</v>
      </c>
      <c r="AD625" t="s">
        <v>425</v>
      </c>
      <c r="AE625" t="s">
        <v>566</v>
      </c>
      <c r="AF625">
        <v>1</v>
      </c>
      <c r="AG625">
        <v>157</v>
      </c>
      <c r="AH625">
        <v>149</v>
      </c>
      <c r="AI625" s="122">
        <v>13285</v>
      </c>
      <c r="AJ625" s="122">
        <v>12077</v>
      </c>
      <c r="AK625">
        <v>91</v>
      </c>
      <c r="AL625" s="122">
        <v>2126</v>
      </c>
      <c r="AM625" s="122">
        <v>1932</v>
      </c>
      <c r="AN625" s="122">
        <v>2531</v>
      </c>
      <c r="AO625" s="122">
        <v>937</v>
      </c>
      <c r="AP625">
        <v>473</v>
      </c>
      <c r="AQ625">
        <v>175</v>
      </c>
      <c r="AR625" s="122">
        <v>5081</v>
      </c>
      <c r="AS625" s="122">
        <v>4619</v>
      </c>
      <c r="AT625">
        <v>0</v>
      </c>
      <c r="AU625">
        <v>0</v>
      </c>
      <c r="AV625" s="122">
        <v>19741</v>
      </c>
    </row>
    <row r="626" spans="2:48" hidden="1">
      <c r="B626" t="s">
        <v>366</v>
      </c>
      <c r="C626" t="s">
        <v>56</v>
      </c>
      <c r="D626" t="s">
        <v>406</v>
      </c>
      <c r="E626" t="s">
        <v>406</v>
      </c>
      <c r="F626" s="122">
        <v>5098</v>
      </c>
      <c r="G626" s="122">
        <v>817330</v>
      </c>
      <c r="H626" s="122">
        <v>971161</v>
      </c>
      <c r="I626" s="122">
        <v>90809067</v>
      </c>
      <c r="J626" s="122">
        <v>82553697</v>
      </c>
      <c r="K626">
        <v>85</v>
      </c>
      <c r="L626" s="122">
        <v>19592016</v>
      </c>
      <c r="M626" s="122">
        <v>17452388</v>
      </c>
      <c r="N626" s="122">
        <v>17879166</v>
      </c>
      <c r="O626" s="122">
        <v>6621913</v>
      </c>
      <c r="P626" s="122">
        <v>3438185</v>
      </c>
      <c r="Q626" s="122">
        <v>1273402</v>
      </c>
      <c r="R626" s="122">
        <v>27961217</v>
      </c>
      <c r="S626" s="122">
        <v>25419288</v>
      </c>
      <c r="T626" s="122">
        <v>5612000</v>
      </c>
      <c r="U626" s="122">
        <v>2078519</v>
      </c>
      <c r="V626" s="122">
        <v>135399207</v>
      </c>
      <c r="W626" s="122">
        <f t="shared" si="18"/>
        <v>135399207</v>
      </c>
      <c r="X626" s="122">
        <f t="shared" si="19"/>
        <v>165291651</v>
      </c>
      <c r="Y626" s="122"/>
      <c r="AA626" t="s">
        <v>54</v>
      </c>
      <c r="AB626" t="s">
        <v>407</v>
      </c>
      <c r="AC626" t="s">
        <v>407</v>
      </c>
      <c r="AD626" t="s">
        <v>405</v>
      </c>
      <c r="AE626" t="s">
        <v>137</v>
      </c>
      <c r="AF626">
        <v>2</v>
      </c>
      <c r="AG626" s="122">
        <v>351</v>
      </c>
      <c r="AH626" s="122">
        <v>297</v>
      </c>
      <c r="AI626" s="122">
        <v>28881</v>
      </c>
      <c r="AJ626" s="122">
        <v>26255</v>
      </c>
      <c r="AK626">
        <v>78</v>
      </c>
      <c r="AL626" s="122">
        <v>4316</v>
      </c>
      <c r="AM626" s="122">
        <v>3923</v>
      </c>
      <c r="AN626" s="122">
        <v>6843</v>
      </c>
      <c r="AO626" s="122">
        <v>2535</v>
      </c>
      <c r="AP626" s="122">
        <v>945</v>
      </c>
      <c r="AQ626" s="122">
        <v>350</v>
      </c>
      <c r="AR626" s="122">
        <v>11141</v>
      </c>
      <c r="AS626" s="122">
        <v>10128</v>
      </c>
      <c r="AT626" s="122">
        <v>0</v>
      </c>
      <c r="AU626" s="122">
        <v>0</v>
      </c>
      <c r="AV626" s="122">
        <v>43191</v>
      </c>
    </row>
    <row r="627" spans="2:48" hidden="1">
      <c r="B627" t="s">
        <v>366</v>
      </c>
      <c r="C627" t="s">
        <v>56</v>
      </c>
      <c r="D627" t="s">
        <v>406</v>
      </c>
      <c r="E627" t="s">
        <v>427</v>
      </c>
      <c r="F627">
        <v>10</v>
      </c>
      <c r="G627" s="122">
        <v>1629</v>
      </c>
      <c r="H627" s="122">
        <v>1929</v>
      </c>
      <c r="I627" s="122">
        <v>181663</v>
      </c>
      <c r="J627" s="122">
        <v>165148</v>
      </c>
      <c r="K627">
        <v>81</v>
      </c>
      <c r="L627" s="122">
        <v>40350</v>
      </c>
      <c r="M627" s="122">
        <v>36682</v>
      </c>
      <c r="N627" s="122">
        <v>32499</v>
      </c>
      <c r="O627" s="122">
        <v>12037</v>
      </c>
      <c r="P627" s="122">
        <v>5940</v>
      </c>
      <c r="Q627" s="122">
        <v>2200</v>
      </c>
      <c r="R627" s="122">
        <v>66196</v>
      </c>
      <c r="S627" s="122">
        <v>60178</v>
      </c>
      <c r="T627" s="122">
        <v>8593</v>
      </c>
      <c r="U627" s="122">
        <v>3183</v>
      </c>
      <c r="V627" s="122">
        <v>279428</v>
      </c>
      <c r="W627" s="122">
        <f t="shared" si="18"/>
        <v>279428</v>
      </c>
      <c r="X627" s="122">
        <f t="shared" si="19"/>
        <v>335241</v>
      </c>
      <c r="Y627" s="122"/>
      <c r="AA627" t="s">
        <v>54</v>
      </c>
      <c r="AB627" t="s">
        <v>407</v>
      </c>
      <c r="AC627" t="s">
        <v>407</v>
      </c>
      <c r="AD627" t="s">
        <v>407</v>
      </c>
      <c r="AE627" t="s">
        <v>137</v>
      </c>
      <c r="AF627" s="122">
        <v>279</v>
      </c>
      <c r="AG627" s="122">
        <v>48742</v>
      </c>
      <c r="AH627" s="122">
        <v>39194</v>
      </c>
      <c r="AI627" s="122">
        <v>3835649</v>
      </c>
      <c r="AJ627" s="122">
        <v>3486954</v>
      </c>
      <c r="AK627">
        <v>87</v>
      </c>
      <c r="AL627" s="122">
        <v>715995</v>
      </c>
      <c r="AM627" s="122">
        <v>650904</v>
      </c>
      <c r="AN627" s="122">
        <v>960488</v>
      </c>
      <c r="AO627" s="122">
        <v>355736</v>
      </c>
      <c r="AP627" s="122">
        <v>150311</v>
      </c>
      <c r="AQ627" s="122">
        <v>55671</v>
      </c>
      <c r="AR627" s="122">
        <v>1334503</v>
      </c>
      <c r="AS627" s="122">
        <v>1213185</v>
      </c>
      <c r="AT627" s="122">
        <v>288219</v>
      </c>
      <c r="AU627" s="122">
        <v>106748</v>
      </c>
      <c r="AV627" s="122">
        <v>5869197</v>
      </c>
    </row>
    <row r="628" spans="2:48" hidden="1">
      <c r="B628" t="s">
        <v>366</v>
      </c>
      <c r="C628" t="s">
        <v>56</v>
      </c>
      <c r="D628" t="s">
        <v>406</v>
      </c>
      <c r="E628" t="s">
        <v>426</v>
      </c>
      <c r="F628">
        <v>6</v>
      </c>
      <c r="G628" s="122">
        <v>1132</v>
      </c>
      <c r="H628" s="122">
        <v>1117</v>
      </c>
      <c r="I628" s="122">
        <v>123265</v>
      </c>
      <c r="J628" s="122">
        <v>112059</v>
      </c>
      <c r="K628">
        <v>88</v>
      </c>
      <c r="L628" s="122">
        <v>23892</v>
      </c>
      <c r="M628" s="122">
        <v>21455</v>
      </c>
      <c r="N628" s="122">
        <v>20119</v>
      </c>
      <c r="O628" s="122">
        <v>7452</v>
      </c>
      <c r="P628" s="122">
        <v>4077</v>
      </c>
      <c r="Q628" s="122">
        <v>1510</v>
      </c>
      <c r="R628" s="122">
        <v>33222</v>
      </c>
      <c r="S628" s="122">
        <v>30202</v>
      </c>
      <c r="T628" s="122">
        <v>9831</v>
      </c>
      <c r="U628" s="122">
        <v>3641</v>
      </c>
      <c r="V628" s="122">
        <v>176319</v>
      </c>
      <c r="W628" s="122">
        <f t="shared" si="18"/>
        <v>176319</v>
      </c>
      <c r="X628" s="122">
        <f t="shared" si="19"/>
        <v>214406</v>
      </c>
      <c r="Y628" s="122"/>
      <c r="AA628" t="s">
        <v>54</v>
      </c>
      <c r="AB628" t="s">
        <v>407</v>
      </c>
      <c r="AC628" t="s">
        <v>407</v>
      </c>
      <c r="AD628" t="s">
        <v>407</v>
      </c>
      <c r="AE628" t="s">
        <v>566</v>
      </c>
      <c r="AF628" s="122">
        <v>1234</v>
      </c>
      <c r="AG628" s="122">
        <v>239942</v>
      </c>
      <c r="AH628" s="122">
        <v>172845</v>
      </c>
      <c r="AI628" s="122">
        <v>18667455</v>
      </c>
      <c r="AJ628" s="122">
        <v>16970413</v>
      </c>
      <c r="AK628">
        <v>88</v>
      </c>
      <c r="AL628" s="122">
        <v>4129828</v>
      </c>
      <c r="AM628" s="122">
        <v>3754389</v>
      </c>
      <c r="AN628" s="122">
        <v>4811254</v>
      </c>
      <c r="AO628" s="122">
        <v>1781946</v>
      </c>
      <c r="AP628" s="122">
        <v>685920</v>
      </c>
      <c r="AQ628" s="122">
        <v>254044</v>
      </c>
      <c r="AR628" s="122">
        <v>6797725</v>
      </c>
      <c r="AS628" s="122">
        <v>6179750</v>
      </c>
      <c r="AT628">
        <v>0</v>
      </c>
      <c r="AU628">
        <v>0</v>
      </c>
      <c r="AV628" s="122">
        <v>28940542</v>
      </c>
    </row>
    <row r="629" spans="2:48" hidden="1">
      <c r="B629" t="s">
        <v>366</v>
      </c>
      <c r="C629" t="s">
        <v>56</v>
      </c>
      <c r="D629" t="s">
        <v>427</v>
      </c>
      <c r="E629" t="s">
        <v>406</v>
      </c>
      <c r="F629">
        <v>1</v>
      </c>
      <c r="G629" s="122">
        <v>140</v>
      </c>
      <c r="H629" s="122">
        <v>185</v>
      </c>
      <c r="I629" s="122">
        <v>14263</v>
      </c>
      <c r="J629" s="122">
        <v>12966</v>
      </c>
      <c r="K629">
        <v>85</v>
      </c>
      <c r="L629" s="122">
        <v>1968</v>
      </c>
      <c r="M629" s="122">
        <v>1789</v>
      </c>
      <c r="N629" s="122">
        <v>3110</v>
      </c>
      <c r="O629" s="122">
        <v>1152</v>
      </c>
      <c r="P629" s="122">
        <v>621</v>
      </c>
      <c r="Q629" s="122">
        <v>230</v>
      </c>
      <c r="R629" s="122">
        <v>5977</v>
      </c>
      <c r="S629" s="122">
        <v>5433</v>
      </c>
      <c r="T629">
        <v>0</v>
      </c>
      <c r="U629">
        <v>0</v>
      </c>
      <c r="V629" s="122">
        <v>21570</v>
      </c>
      <c r="W629" s="122">
        <f t="shared" si="18"/>
        <v>21570</v>
      </c>
      <c r="X629" s="122">
        <f t="shared" si="19"/>
        <v>25939</v>
      </c>
      <c r="Y629" s="122"/>
      <c r="AA629" t="s">
        <v>54</v>
      </c>
      <c r="AB629" t="s">
        <v>407</v>
      </c>
      <c r="AC629" t="s">
        <v>407</v>
      </c>
      <c r="AD629" t="s">
        <v>426</v>
      </c>
      <c r="AE629" t="s">
        <v>566</v>
      </c>
      <c r="AF629">
        <v>3</v>
      </c>
      <c r="AG629">
        <v>407</v>
      </c>
      <c r="AH629">
        <v>396</v>
      </c>
      <c r="AI629" s="122">
        <v>30747</v>
      </c>
      <c r="AJ629" s="122">
        <v>27951</v>
      </c>
      <c r="AK629">
        <v>91</v>
      </c>
      <c r="AL629" s="122">
        <v>8059</v>
      </c>
      <c r="AM629" s="122">
        <v>7327</v>
      </c>
      <c r="AN629" s="122">
        <v>8485</v>
      </c>
      <c r="AO629" s="122">
        <v>3143</v>
      </c>
      <c r="AP629" s="122">
        <v>2039</v>
      </c>
      <c r="AQ629">
        <v>755</v>
      </c>
      <c r="AR629" s="122">
        <v>14524</v>
      </c>
      <c r="AS629" s="122">
        <v>13203</v>
      </c>
      <c r="AT629">
        <v>0</v>
      </c>
      <c r="AU629">
        <v>0</v>
      </c>
      <c r="AV629" s="122">
        <v>52379</v>
      </c>
    </row>
    <row r="630" spans="2:48" hidden="1">
      <c r="B630" t="s">
        <v>366</v>
      </c>
      <c r="C630" t="s">
        <v>56</v>
      </c>
      <c r="D630" t="s">
        <v>407</v>
      </c>
      <c r="E630" t="s">
        <v>407</v>
      </c>
      <c r="F630">
        <v>1</v>
      </c>
      <c r="G630" s="122">
        <v>122</v>
      </c>
      <c r="H630" s="122">
        <v>178</v>
      </c>
      <c r="I630" s="122">
        <v>11159</v>
      </c>
      <c r="J630" s="122">
        <v>10144</v>
      </c>
      <c r="K630">
        <v>90</v>
      </c>
      <c r="L630" s="122">
        <v>3546</v>
      </c>
      <c r="M630" s="122">
        <v>3224</v>
      </c>
      <c r="N630" s="122">
        <v>2180</v>
      </c>
      <c r="O630" s="122">
        <v>808</v>
      </c>
      <c r="P630" s="122">
        <v>473</v>
      </c>
      <c r="Q630" s="122">
        <v>175</v>
      </c>
      <c r="R630" s="122">
        <v>4342</v>
      </c>
      <c r="S630" s="122">
        <v>3947</v>
      </c>
      <c r="T630" s="122">
        <v>0</v>
      </c>
      <c r="U630" s="122">
        <v>0</v>
      </c>
      <c r="V630" s="122">
        <v>18297</v>
      </c>
      <c r="W630" s="122">
        <f t="shared" si="18"/>
        <v>18298</v>
      </c>
      <c r="X630" s="122">
        <f t="shared" si="19"/>
        <v>21700</v>
      </c>
      <c r="Y630" s="122"/>
      <c r="AA630" t="s">
        <v>54</v>
      </c>
      <c r="AB630" t="s">
        <v>407</v>
      </c>
      <c r="AC630" t="s">
        <v>579</v>
      </c>
      <c r="AD630" t="s">
        <v>137</v>
      </c>
      <c r="AE630" t="s">
        <v>137</v>
      </c>
      <c r="AF630">
        <v>1</v>
      </c>
      <c r="AG630">
        <v>154</v>
      </c>
      <c r="AH630">
        <v>142</v>
      </c>
      <c r="AI630" s="122">
        <v>13836</v>
      </c>
      <c r="AJ630" s="122">
        <v>12578</v>
      </c>
      <c r="AK630">
        <v>78</v>
      </c>
      <c r="AL630" s="122">
        <v>2177</v>
      </c>
      <c r="AM630" s="122">
        <v>1814</v>
      </c>
      <c r="AN630" s="122">
        <v>3594</v>
      </c>
      <c r="AO630" s="122">
        <v>1331</v>
      </c>
      <c r="AP630" s="122">
        <v>473</v>
      </c>
      <c r="AQ630">
        <v>175</v>
      </c>
      <c r="AR630" s="122">
        <v>1767</v>
      </c>
      <c r="AS630" s="122">
        <v>655</v>
      </c>
      <c r="AT630">
        <v>0</v>
      </c>
      <c r="AU630">
        <v>0</v>
      </c>
      <c r="AV630" s="122">
        <v>16553</v>
      </c>
    </row>
    <row r="631" spans="2:48" hidden="1">
      <c r="B631" t="s">
        <v>366</v>
      </c>
      <c r="C631" t="s">
        <v>56</v>
      </c>
      <c r="D631" t="s">
        <v>556</v>
      </c>
      <c r="E631" t="s">
        <v>556</v>
      </c>
      <c r="F631">
        <v>2</v>
      </c>
      <c r="G631">
        <v>462</v>
      </c>
      <c r="H631" s="122">
        <v>407</v>
      </c>
      <c r="I631" s="122">
        <v>56473</v>
      </c>
      <c r="J631" s="122">
        <v>47061</v>
      </c>
      <c r="K631">
        <v>67</v>
      </c>
      <c r="L631" s="122">
        <v>4729</v>
      </c>
      <c r="M631" s="122">
        <v>4299</v>
      </c>
      <c r="N631" s="122">
        <v>8558</v>
      </c>
      <c r="O631" s="122">
        <v>3170</v>
      </c>
      <c r="P631" s="122">
        <v>1323</v>
      </c>
      <c r="Q631" s="122">
        <v>490</v>
      </c>
      <c r="R631" s="122">
        <v>14196</v>
      </c>
      <c r="S631" s="122">
        <v>11830</v>
      </c>
      <c r="T631" s="122">
        <v>8428</v>
      </c>
      <c r="U631" s="122">
        <v>3121</v>
      </c>
      <c r="V631" s="122">
        <v>69971</v>
      </c>
      <c r="W631" s="122">
        <f t="shared" si="18"/>
        <v>69971</v>
      </c>
      <c r="X631" s="122">
        <f t="shared" si="19"/>
        <v>93707</v>
      </c>
      <c r="Y631" s="122"/>
      <c r="AA631" t="s">
        <v>54</v>
      </c>
      <c r="AB631" t="s">
        <v>407</v>
      </c>
      <c r="AC631" t="s">
        <v>579</v>
      </c>
      <c r="AD631" t="s">
        <v>137</v>
      </c>
      <c r="AE631" t="s">
        <v>566</v>
      </c>
      <c r="AF631">
        <v>4</v>
      </c>
      <c r="AG631" s="122">
        <v>732</v>
      </c>
      <c r="AH631" s="122">
        <v>542</v>
      </c>
      <c r="AI631" s="122">
        <v>49140</v>
      </c>
      <c r="AJ631" s="122">
        <v>44673</v>
      </c>
      <c r="AK631">
        <v>88</v>
      </c>
      <c r="AL631" s="122">
        <v>11830</v>
      </c>
      <c r="AM631" s="122">
        <v>9859</v>
      </c>
      <c r="AN631" s="122">
        <v>10063</v>
      </c>
      <c r="AO631" s="122">
        <v>3727</v>
      </c>
      <c r="AP631" s="122">
        <v>2241</v>
      </c>
      <c r="AQ631" s="122">
        <v>830</v>
      </c>
      <c r="AR631" s="122">
        <v>25801</v>
      </c>
      <c r="AS631" s="122">
        <v>9556</v>
      </c>
      <c r="AT631" s="122">
        <v>0</v>
      </c>
      <c r="AU631" s="122">
        <v>0</v>
      </c>
      <c r="AV631" s="122">
        <v>68645</v>
      </c>
    </row>
    <row r="632" spans="2:48" hidden="1">
      <c r="B632" t="s">
        <v>366</v>
      </c>
      <c r="C632" t="s">
        <v>56</v>
      </c>
      <c r="D632" t="s">
        <v>426</v>
      </c>
      <c r="E632" t="s">
        <v>426</v>
      </c>
      <c r="F632">
        <v>10</v>
      </c>
      <c r="G632" s="122">
        <v>1906</v>
      </c>
      <c r="H632" s="122">
        <v>2044</v>
      </c>
      <c r="I632" s="122">
        <v>278711</v>
      </c>
      <c r="J632" s="122">
        <v>253373</v>
      </c>
      <c r="K632">
        <v>67</v>
      </c>
      <c r="L632" s="122">
        <v>27605</v>
      </c>
      <c r="M632" s="122">
        <v>25096</v>
      </c>
      <c r="N632" s="122">
        <v>40572</v>
      </c>
      <c r="O632" s="122">
        <v>15027</v>
      </c>
      <c r="P632" s="122">
        <v>5994</v>
      </c>
      <c r="Q632" s="122">
        <v>2220</v>
      </c>
      <c r="R632" s="122">
        <v>66702</v>
      </c>
      <c r="S632" s="122">
        <v>60638</v>
      </c>
      <c r="T632" s="122">
        <v>23340</v>
      </c>
      <c r="U632" s="122">
        <v>8645</v>
      </c>
      <c r="V632" s="122">
        <v>364998</v>
      </c>
      <c r="W632" s="122">
        <f t="shared" si="18"/>
        <v>364999</v>
      </c>
      <c r="X632" s="122">
        <f t="shared" si="19"/>
        <v>442924</v>
      </c>
      <c r="Y632" s="122"/>
      <c r="AA632" t="s">
        <v>54</v>
      </c>
      <c r="AB632" t="s">
        <v>407</v>
      </c>
      <c r="AC632" t="s">
        <v>579</v>
      </c>
      <c r="AD632" t="s">
        <v>407</v>
      </c>
      <c r="AE632" t="s">
        <v>137</v>
      </c>
      <c r="AF632">
        <v>130</v>
      </c>
      <c r="AG632" s="122">
        <v>24939</v>
      </c>
      <c r="AH632" s="122">
        <v>18384</v>
      </c>
      <c r="AI632" s="122">
        <v>1937367</v>
      </c>
      <c r="AJ632" s="122">
        <v>1761242</v>
      </c>
      <c r="AK632">
        <v>89</v>
      </c>
      <c r="AL632" s="122">
        <v>452710</v>
      </c>
      <c r="AM632" s="122">
        <v>377258</v>
      </c>
      <c r="AN632" s="122">
        <v>466317</v>
      </c>
      <c r="AO632" s="122">
        <v>172710</v>
      </c>
      <c r="AP632" s="122">
        <v>63761</v>
      </c>
      <c r="AQ632" s="122">
        <v>23615</v>
      </c>
      <c r="AR632" s="122">
        <v>682994</v>
      </c>
      <c r="AS632" s="122">
        <v>620904</v>
      </c>
      <c r="AT632" s="122">
        <v>74351</v>
      </c>
      <c r="AU632" s="122">
        <v>27537</v>
      </c>
      <c r="AV632" s="122">
        <v>2983266</v>
      </c>
    </row>
    <row r="633" spans="2:48" hidden="1">
      <c r="B633" t="s">
        <v>366</v>
      </c>
      <c r="C633" t="s">
        <v>56</v>
      </c>
      <c r="D633" t="s">
        <v>481</v>
      </c>
      <c r="E633" t="s">
        <v>481</v>
      </c>
      <c r="F633">
        <v>1</v>
      </c>
      <c r="G633" s="122">
        <v>391</v>
      </c>
      <c r="H633" s="122">
        <v>162</v>
      </c>
      <c r="I633" s="122">
        <v>40665</v>
      </c>
      <c r="J633" s="122">
        <v>36968</v>
      </c>
      <c r="K633">
        <v>83</v>
      </c>
      <c r="L633" s="122">
        <v>6273</v>
      </c>
      <c r="M633" s="122">
        <v>5703</v>
      </c>
      <c r="N633" s="122">
        <v>8329</v>
      </c>
      <c r="O633" s="122">
        <v>3085</v>
      </c>
      <c r="P633" s="122">
        <v>351</v>
      </c>
      <c r="Q633" s="122">
        <v>130</v>
      </c>
      <c r="R633" s="122">
        <v>7505</v>
      </c>
      <c r="S633" s="122">
        <v>6822</v>
      </c>
      <c r="T633" s="122">
        <v>0</v>
      </c>
      <c r="U633" s="122">
        <v>0</v>
      </c>
      <c r="V633" s="122">
        <v>52708</v>
      </c>
      <c r="W633" s="122">
        <f t="shared" si="18"/>
        <v>52708</v>
      </c>
      <c r="X633" s="122">
        <f t="shared" si="19"/>
        <v>63123</v>
      </c>
      <c r="Y633" s="122"/>
      <c r="AA633" t="s">
        <v>54</v>
      </c>
      <c r="AB633" t="s">
        <v>407</v>
      </c>
      <c r="AC633" t="s">
        <v>579</v>
      </c>
      <c r="AD633" t="s">
        <v>407</v>
      </c>
      <c r="AE633" t="s">
        <v>566</v>
      </c>
      <c r="AF633">
        <v>949</v>
      </c>
      <c r="AG633" s="122">
        <v>181945</v>
      </c>
      <c r="AH633" s="122">
        <v>133101</v>
      </c>
      <c r="AI633" s="122">
        <v>14161262</v>
      </c>
      <c r="AJ633" s="122">
        <v>12873874</v>
      </c>
      <c r="AK633">
        <v>89</v>
      </c>
      <c r="AL633" s="122">
        <v>3478668</v>
      </c>
      <c r="AM633" s="122">
        <v>2898890</v>
      </c>
      <c r="AN633" s="122">
        <v>3417329</v>
      </c>
      <c r="AO633" s="122">
        <v>1265677</v>
      </c>
      <c r="AP633" s="122">
        <v>508506</v>
      </c>
      <c r="AQ633" s="122">
        <v>188336</v>
      </c>
      <c r="AR633" s="122">
        <v>5149301</v>
      </c>
      <c r="AS633" s="122">
        <v>4681183</v>
      </c>
      <c r="AT633" s="122">
        <v>0</v>
      </c>
      <c r="AU633" s="122">
        <v>0</v>
      </c>
      <c r="AV633" s="122">
        <v>21907960</v>
      </c>
    </row>
    <row r="634" spans="2:48" hidden="1">
      <c r="B634" t="s">
        <v>366</v>
      </c>
      <c r="C634" t="s">
        <v>56</v>
      </c>
      <c r="D634" t="s">
        <v>433</v>
      </c>
      <c r="E634" t="s">
        <v>426</v>
      </c>
      <c r="F634">
        <v>1</v>
      </c>
      <c r="G634" s="122">
        <v>113</v>
      </c>
      <c r="H634" s="122">
        <v>221</v>
      </c>
      <c r="I634" s="122">
        <v>24220</v>
      </c>
      <c r="J634" s="122">
        <v>22019</v>
      </c>
      <c r="K634">
        <v>65</v>
      </c>
      <c r="L634" s="122">
        <v>5831</v>
      </c>
      <c r="M634" s="122">
        <v>5301</v>
      </c>
      <c r="N634" s="122">
        <v>2118</v>
      </c>
      <c r="O634" s="122">
        <v>785</v>
      </c>
      <c r="P634" s="122">
        <v>702</v>
      </c>
      <c r="Q634" s="122">
        <v>260</v>
      </c>
      <c r="R634" s="122">
        <v>4028</v>
      </c>
      <c r="S634" s="122">
        <v>3662</v>
      </c>
      <c r="T634" s="122">
        <v>1606</v>
      </c>
      <c r="U634">
        <v>595</v>
      </c>
      <c r="V634" s="122">
        <v>32621</v>
      </c>
      <c r="W634" s="122">
        <f t="shared" si="18"/>
        <v>32622</v>
      </c>
      <c r="X634" s="122">
        <f t="shared" si="19"/>
        <v>38505</v>
      </c>
      <c r="Y634" s="122"/>
      <c r="AA634" t="s">
        <v>54</v>
      </c>
      <c r="AB634" t="s">
        <v>407</v>
      </c>
      <c r="AC634" t="s">
        <v>428</v>
      </c>
      <c r="AD634" t="s">
        <v>407</v>
      </c>
      <c r="AE634" t="s">
        <v>137</v>
      </c>
      <c r="AF634">
        <v>15</v>
      </c>
      <c r="AG634" s="122">
        <v>1921</v>
      </c>
      <c r="AH634" s="122">
        <v>2055</v>
      </c>
      <c r="AI634" s="122">
        <v>127768</v>
      </c>
      <c r="AJ634" s="122">
        <v>116153</v>
      </c>
      <c r="AK634">
        <v>90</v>
      </c>
      <c r="AL634" s="122">
        <v>21782</v>
      </c>
      <c r="AM634" s="122">
        <v>19802</v>
      </c>
      <c r="AN634" s="122">
        <v>26074</v>
      </c>
      <c r="AO634" s="122">
        <v>9657</v>
      </c>
      <c r="AP634" s="122">
        <v>7439</v>
      </c>
      <c r="AQ634" s="122">
        <v>2755</v>
      </c>
      <c r="AR634" s="122">
        <v>50077</v>
      </c>
      <c r="AS634" s="122">
        <v>45525</v>
      </c>
      <c r="AT634" s="122">
        <v>36838</v>
      </c>
      <c r="AU634" s="122">
        <v>13644</v>
      </c>
      <c r="AV634" s="122">
        <v>207535</v>
      </c>
    </row>
    <row r="635" spans="2:48" hidden="1">
      <c r="B635" t="s">
        <v>366</v>
      </c>
      <c r="C635" t="s">
        <v>56</v>
      </c>
      <c r="D635" t="s">
        <v>433</v>
      </c>
      <c r="E635" t="s">
        <v>433</v>
      </c>
      <c r="F635">
        <v>7</v>
      </c>
      <c r="G635" s="122">
        <v>1263</v>
      </c>
      <c r="H635" s="122">
        <v>1316</v>
      </c>
      <c r="I635" s="122">
        <v>155654</v>
      </c>
      <c r="J635" s="122">
        <v>141504</v>
      </c>
      <c r="K635">
        <v>80</v>
      </c>
      <c r="L635" s="122">
        <v>24702</v>
      </c>
      <c r="M635" s="122">
        <v>22457</v>
      </c>
      <c r="N635" s="122">
        <v>27706</v>
      </c>
      <c r="O635" s="122">
        <v>10262</v>
      </c>
      <c r="P635" s="122">
        <v>4239</v>
      </c>
      <c r="Q635" s="122">
        <v>1570</v>
      </c>
      <c r="R635" s="122">
        <v>58609</v>
      </c>
      <c r="S635" s="122">
        <v>53281</v>
      </c>
      <c r="T635" s="122">
        <v>0</v>
      </c>
      <c r="U635" s="122">
        <v>0</v>
      </c>
      <c r="V635" s="122">
        <v>229073</v>
      </c>
      <c r="W635" s="122">
        <f t="shared" si="18"/>
        <v>229074</v>
      </c>
      <c r="X635" s="122">
        <f t="shared" si="19"/>
        <v>270910</v>
      </c>
      <c r="Y635" s="122"/>
      <c r="AA635" t="s">
        <v>54</v>
      </c>
      <c r="AB635" t="s">
        <v>407</v>
      </c>
      <c r="AC635" t="s">
        <v>428</v>
      </c>
      <c r="AD635" t="s">
        <v>407</v>
      </c>
      <c r="AE635" t="s">
        <v>566</v>
      </c>
      <c r="AF635">
        <v>30</v>
      </c>
      <c r="AG635" s="122">
        <v>4109</v>
      </c>
      <c r="AH635" s="122">
        <v>4255</v>
      </c>
      <c r="AI635" s="122">
        <v>314459</v>
      </c>
      <c r="AJ635" s="122">
        <v>285872</v>
      </c>
      <c r="AK635">
        <v>90</v>
      </c>
      <c r="AL635" s="122">
        <v>56942</v>
      </c>
      <c r="AM635" s="122">
        <v>51765</v>
      </c>
      <c r="AN635" s="122">
        <v>60757</v>
      </c>
      <c r="AO635" s="122">
        <v>22503</v>
      </c>
      <c r="AP635" s="122">
        <v>15336</v>
      </c>
      <c r="AQ635" s="122">
        <v>5680</v>
      </c>
      <c r="AR635" s="122">
        <v>135870</v>
      </c>
      <c r="AS635" s="122">
        <v>123518</v>
      </c>
      <c r="AT635">
        <v>0</v>
      </c>
      <c r="AU635">
        <v>0</v>
      </c>
      <c r="AV635" s="122">
        <v>489338</v>
      </c>
    </row>
    <row r="636" spans="2:48" hidden="1">
      <c r="B636" t="s">
        <v>366</v>
      </c>
      <c r="C636" t="s">
        <v>56</v>
      </c>
      <c r="D636" t="s">
        <v>408</v>
      </c>
      <c r="E636" t="s">
        <v>408</v>
      </c>
      <c r="F636">
        <v>23</v>
      </c>
      <c r="G636" s="122">
        <v>5475</v>
      </c>
      <c r="H636" s="122">
        <v>4327</v>
      </c>
      <c r="I636" s="122">
        <v>670565</v>
      </c>
      <c r="J636" s="122">
        <v>609604</v>
      </c>
      <c r="K636">
        <v>70</v>
      </c>
      <c r="L636" s="122">
        <v>122292</v>
      </c>
      <c r="M636" s="122">
        <v>111058</v>
      </c>
      <c r="N636" s="122">
        <v>105551</v>
      </c>
      <c r="O636" s="122">
        <v>39093</v>
      </c>
      <c r="P636" s="122">
        <v>14243</v>
      </c>
      <c r="Q636" s="122">
        <v>5275</v>
      </c>
      <c r="R636" s="122">
        <v>148673</v>
      </c>
      <c r="S636" s="122">
        <v>135157</v>
      </c>
      <c r="T636" s="122">
        <v>8938</v>
      </c>
      <c r="U636" s="122">
        <v>3311</v>
      </c>
      <c r="V636" s="122">
        <v>903498</v>
      </c>
      <c r="W636" s="122">
        <f t="shared" si="18"/>
        <v>903498</v>
      </c>
      <c r="X636" s="122">
        <f t="shared" si="19"/>
        <v>1070262</v>
      </c>
      <c r="Y636" s="122"/>
      <c r="AA636" t="s">
        <v>54</v>
      </c>
      <c r="AB636" t="s">
        <v>407</v>
      </c>
      <c r="AC636" t="s">
        <v>426</v>
      </c>
      <c r="AD636" t="s">
        <v>405</v>
      </c>
      <c r="AE636" t="s">
        <v>566</v>
      </c>
      <c r="AF636">
        <v>2</v>
      </c>
      <c r="AG636">
        <v>343</v>
      </c>
      <c r="AH636">
        <v>282</v>
      </c>
      <c r="AI636" s="122">
        <v>24423</v>
      </c>
      <c r="AJ636" s="122">
        <v>22203</v>
      </c>
      <c r="AK636">
        <v>91</v>
      </c>
      <c r="AL636" s="122">
        <v>6618</v>
      </c>
      <c r="AM636" s="122">
        <v>6016</v>
      </c>
      <c r="AN636" s="122">
        <v>5879</v>
      </c>
      <c r="AO636" s="122">
        <v>2177</v>
      </c>
      <c r="AP636" s="122">
        <v>945</v>
      </c>
      <c r="AQ636" s="122">
        <v>350</v>
      </c>
      <c r="AR636" s="122">
        <v>10193</v>
      </c>
      <c r="AS636" s="122">
        <v>9267</v>
      </c>
      <c r="AT636">
        <v>0</v>
      </c>
      <c r="AU636">
        <v>0</v>
      </c>
      <c r="AV636" s="122">
        <v>40013</v>
      </c>
    </row>
    <row r="637" spans="2:48" hidden="1">
      <c r="B637" t="s">
        <v>366</v>
      </c>
      <c r="C637" t="s">
        <v>56</v>
      </c>
      <c r="D637" t="s">
        <v>429</v>
      </c>
      <c r="E637" t="s">
        <v>137</v>
      </c>
      <c r="F637">
        <v>3</v>
      </c>
      <c r="G637">
        <v>316</v>
      </c>
      <c r="H637">
        <v>517</v>
      </c>
      <c r="I637" s="122">
        <v>39901</v>
      </c>
      <c r="J637" s="122">
        <v>36274</v>
      </c>
      <c r="K637">
        <v>85</v>
      </c>
      <c r="L637" s="122">
        <v>0</v>
      </c>
      <c r="M637" s="122">
        <v>0</v>
      </c>
      <c r="N637" s="122">
        <v>4268</v>
      </c>
      <c r="O637" s="122">
        <v>1581</v>
      </c>
      <c r="P637" s="122">
        <v>0</v>
      </c>
      <c r="Q637">
        <v>0</v>
      </c>
      <c r="R637" s="122">
        <v>6665</v>
      </c>
      <c r="S637" s="122">
        <v>2468</v>
      </c>
      <c r="T637" s="122">
        <v>3587</v>
      </c>
      <c r="U637" s="122">
        <v>1328</v>
      </c>
      <c r="V637" s="122">
        <v>41651</v>
      </c>
      <c r="W637" s="122">
        <f t="shared" si="18"/>
        <v>41651</v>
      </c>
      <c r="X637" s="122">
        <f t="shared" si="19"/>
        <v>54421</v>
      </c>
      <c r="Y637" s="122"/>
      <c r="AA637" t="s">
        <v>54</v>
      </c>
      <c r="AB637" t="s">
        <v>407</v>
      </c>
      <c r="AC637" t="s">
        <v>426</v>
      </c>
      <c r="AD637" t="s">
        <v>137</v>
      </c>
      <c r="AE637" t="s">
        <v>566</v>
      </c>
      <c r="AF637">
        <v>1</v>
      </c>
      <c r="AG637" s="122">
        <v>450</v>
      </c>
      <c r="AH637" s="122">
        <v>147</v>
      </c>
      <c r="AI637" s="122">
        <v>38160</v>
      </c>
      <c r="AJ637" s="122">
        <v>34690</v>
      </c>
      <c r="AK637">
        <v>83</v>
      </c>
      <c r="AL637" s="122">
        <v>5865</v>
      </c>
      <c r="AM637" s="122">
        <v>5332</v>
      </c>
      <c r="AN637" s="122">
        <v>10428</v>
      </c>
      <c r="AO637" s="122">
        <v>3862</v>
      </c>
      <c r="AP637" s="122">
        <v>4727</v>
      </c>
      <c r="AQ637" s="122">
        <v>1751</v>
      </c>
      <c r="AR637" s="122">
        <v>7117</v>
      </c>
      <c r="AS637" s="122">
        <v>2636</v>
      </c>
      <c r="AT637" s="122">
        <v>0</v>
      </c>
      <c r="AU637" s="122">
        <v>0</v>
      </c>
      <c r="AV637" s="122">
        <v>48271</v>
      </c>
    </row>
    <row r="638" spans="2:48" hidden="1">
      <c r="B638" t="s">
        <v>366</v>
      </c>
      <c r="C638" t="s">
        <v>58</v>
      </c>
      <c r="F638">
        <v>5</v>
      </c>
      <c r="G638" s="122">
        <v>783</v>
      </c>
      <c r="H638" s="122">
        <v>1253</v>
      </c>
      <c r="I638" s="122"/>
      <c r="J638" s="122">
        <v>0</v>
      </c>
      <c r="L638" s="122"/>
      <c r="M638" s="122">
        <v>0</v>
      </c>
      <c r="N638" s="122">
        <v>17009</v>
      </c>
      <c r="O638" s="122">
        <v>6300</v>
      </c>
      <c r="P638" s="122">
        <v>4050</v>
      </c>
      <c r="Q638" s="122">
        <v>1500</v>
      </c>
      <c r="R638" s="122"/>
      <c r="S638" s="122">
        <v>0</v>
      </c>
      <c r="T638" s="122">
        <v>4565</v>
      </c>
      <c r="U638" s="122">
        <v>1691</v>
      </c>
      <c r="V638" s="122">
        <v>9490</v>
      </c>
      <c r="W638" s="122">
        <f t="shared" si="18"/>
        <v>9491</v>
      </c>
      <c r="X638" s="122">
        <f t="shared" si="19"/>
        <v>25624</v>
      </c>
      <c r="Y638" s="122"/>
      <c r="AA638" t="s">
        <v>54</v>
      </c>
      <c r="AB638" t="s">
        <v>407</v>
      </c>
      <c r="AC638" t="s">
        <v>426</v>
      </c>
      <c r="AD638" t="s">
        <v>407</v>
      </c>
      <c r="AE638" t="s">
        <v>137</v>
      </c>
      <c r="AF638">
        <v>251</v>
      </c>
      <c r="AG638" s="122">
        <v>42168</v>
      </c>
      <c r="AH638" s="122">
        <v>35284</v>
      </c>
      <c r="AI638" s="122">
        <v>3105425</v>
      </c>
      <c r="AJ638" s="122">
        <v>2823113</v>
      </c>
      <c r="AK638">
        <v>87</v>
      </c>
      <c r="AL638" s="122">
        <v>794074</v>
      </c>
      <c r="AM638" s="122">
        <v>721886</v>
      </c>
      <c r="AN638" s="122">
        <v>793812</v>
      </c>
      <c r="AO638" s="122">
        <v>294005</v>
      </c>
      <c r="AP638" s="122">
        <v>127875</v>
      </c>
      <c r="AQ638" s="122">
        <v>47361</v>
      </c>
      <c r="AR638" s="122">
        <v>1204804</v>
      </c>
      <c r="AS638" s="122">
        <v>1095276</v>
      </c>
      <c r="AT638" s="122">
        <v>201322</v>
      </c>
      <c r="AU638" s="122">
        <v>74564</v>
      </c>
      <c r="AV638" s="122">
        <v>5056205</v>
      </c>
    </row>
    <row r="639" spans="2:48" hidden="1">
      <c r="B639" t="s">
        <v>366</v>
      </c>
      <c r="C639" t="s">
        <v>58</v>
      </c>
      <c r="D639" t="s">
        <v>425</v>
      </c>
      <c r="E639" t="s">
        <v>425</v>
      </c>
      <c r="F639">
        <v>3</v>
      </c>
      <c r="G639" s="122">
        <v>344</v>
      </c>
      <c r="H639" s="122">
        <v>821</v>
      </c>
      <c r="I639" s="122">
        <v>57467</v>
      </c>
      <c r="J639" s="122">
        <v>52243</v>
      </c>
      <c r="K639">
        <v>73</v>
      </c>
      <c r="L639" s="122">
        <v>6605</v>
      </c>
      <c r="M639" s="122">
        <v>6004</v>
      </c>
      <c r="N639" s="122">
        <v>7910</v>
      </c>
      <c r="O639" s="122">
        <v>2929</v>
      </c>
      <c r="P639" s="122">
        <v>2039</v>
      </c>
      <c r="Q639" s="122">
        <v>755</v>
      </c>
      <c r="R639" s="122">
        <v>15249</v>
      </c>
      <c r="S639" s="122">
        <v>13863</v>
      </c>
      <c r="T639" s="122">
        <v>2756</v>
      </c>
      <c r="U639" s="122">
        <v>1021</v>
      </c>
      <c r="V639" s="122">
        <v>76815</v>
      </c>
      <c r="W639" s="122">
        <f t="shared" si="18"/>
        <v>76815</v>
      </c>
      <c r="X639" s="122">
        <f t="shared" si="19"/>
        <v>92026</v>
      </c>
      <c r="Y639" s="122"/>
      <c r="AA639" t="s">
        <v>54</v>
      </c>
      <c r="AB639" t="s">
        <v>407</v>
      </c>
      <c r="AC639" t="s">
        <v>426</v>
      </c>
      <c r="AD639" t="s">
        <v>407</v>
      </c>
      <c r="AE639" t="s">
        <v>566</v>
      </c>
      <c r="AF639">
        <v>917</v>
      </c>
      <c r="AG639" s="122">
        <v>163049</v>
      </c>
      <c r="AH639" s="122">
        <v>128825</v>
      </c>
      <c r="AI639" s="122">
        <v>12413751</v>
      </c>
      <c r="AJ639" s="122">
        <v>11285228</v>
      </c>
      <c r="AK639">
        <v>88</v>
      </c>
      <c r="AL639" s="122">
        <v>3037513</v>
      </c>
      <c r="AM639" s="122">
        <v>2761375</v>
      </c>
      <c r="AN639" s="122">
        <v>3203626</v>
      </c>
      <c r="AO639" s="122">
        <v>1186528</v>
      </c>
      <c r="AP639" s="122">
        <v>496060</v>
      </c>
      <c r="AQ639" s="122">
        <v>183726</v>
      </c>
      <c r="AR639" s="122">
        <v>4871456</v>
      </c>
      <c r="AS639" s="122">
        <v>4428597</v>
      </c>
      <c r="AT639" s="122">
        <v>0</v>
      </c>
      <c r="AU639" s="122">
        <v>0</v>
      </c>
      <c r="AV639" s="122">
        <v>19845454</v>
      </c>
    </row>
    <row r="640" spans="2:48" hidden="1">
      <c r="B640" t="s">
        <v>366</v>
      </c>
      <c r="C640" t="s">
        <v>58</v>
      </c>
      <c r="D640" t="s">
        <v>425</v>
      </c>
      <c r="E640" t="s">
        <v>406</v>
      </c>
      <c r="F640">
        <v>4</v>
      </c>
      <c r="G640" s="122">
        <v>418</v>
      </c>
      <c r="H640" s="122">
        <v>1057</v>
      </c>
      <c r="I640" s="122">
        <v>65116</v>
      </c>
      <c r="J640" s="122">
        <v>59196</v>
      </c>
      <c r="K640">
        <v>80</v>
      </c>
      <c r="L640" s="122">
        <v>12828</v>
      </c>
      <c r="M640" s="122">
        <v>11132</v>
      </c>
      <c r="N640" s="122">
        <v>10347</v>
      </c>
      <c r="O640" s="122">
        <v>3832</v>
      </c>
      <c r="P640" s="122">
        <v>2835</v>
      </c>
      <c r="Q640" s="122">
        <v>1050</v>
      </c>
      <c r="R640" s="122">
        <v>22572</v>
      </c>
      <c r="S640" s="122">
        <v>20520</v>
      </c>
      <c r="T640" s="122">
        <v>6977</v>
      </c>
      <c r="U640" s="122">
        <v>2584</v>
      </c>
      <c r="V640" s="122">
        <v>98315</v>
      </c>
      <c r="W640" s="122">
        <f t="shared" si="18"/>
        <v>98314</v>
      </c>
      <c r="X640" s="122">
        <f t="shared" si="19"/>
        <v>120675</v>
      </c>
      <c r="Y640" s="122"/>
      <c r="AA640" t="s">
        <v>54</v>
      </c>
      <c r="AB640" t="s">
        <v>407</v>
      </c>
      <c r="AC640" t="s">
        <v>566</v>
      </c>
      <c r="AD640" t="s">
        <v>407</v>
      </c>
      <c r="AE640" t="s">
        <v>137</v>
      </c>
      <c r="AF640">
        <v>57</v>
      </c>
      <c r="AG640" s="122">
        <v>8111</v>
      </c>
      <c r="AH640" s="122">
        <v>7961</v>
      </c>
      <c r="AI640" s="122">
        <v>690263</v>
      </c>
      <c r="AJ640" s="122">
        <v>627512</v>
      </c>
      <c r="AK640">
        <v>88</v>
      </c>
      <c r="AL640" s="122">
        <v>0</v>
      </c>
      <c r="AM640" s="122">
        <v>28125</v>
      </c>
      <c r="AN640" s="122">
        <v>150524</v>
      </c>
      <c r="AO640" s="122">
        <v>55750</v>
      </c>
      <c r="AP640" s="122">
        <v>27635</v>
      </c>
      <c r="AQ640" s="122">
        <v>10235</v>
      </c>
      <c r="AR640" s="122">
        <v>235037</v>
      </c>
      <c r="AS640" s="122">
        <v>213670</v>
      </c>
      <c r="AT640" s="122">
        <v>64362</v>
      </c>
      <c r="AU640" s="122">
        <v>23838</v>
      </c>
      <c r="AV640" s="122">
        <v>959129</v>
      </c>
    </row>
    <row r="641" spans="2:48" hidden="1">
      <c r="B641" t="s">
        <v>366</v>
      </c>
      <c r="C641" t="s">
        <v>58</v>
      </c>
      <c r="D641" t="s">
        <v>405</v>
      </c>
      <c r="E641" t="s">
        <v>425</v>
      </c>
      <c r="F641">
        <v>2</v>
      </c>
      <c r="G641">
        <v>246</v>
      </c>
      <c r="H641" s="122">
        <v>557</v>
      </c>
      <c r="I641" s="122">
        <v>38532</v>
      </c>
      <c r="J641" s="122">
        <v>35029</v>
      </c>
      <c r="K641">
        <v>67</v>
      </c>
      <c r="L641" s="122">
        <v>7411</v>
      </c>
      <c r="M641" s="122">
        <v>6561</v>
      </c>
      <c r="N641" s="122">
        <v>3693</v>
      </c>
      <c r="O641" s="122">
        <v>1368</v>
      </c>
      <c r="P641" s="122">
        <v>2592</v>
      </c>
      <c r="Q641" s="122">
        <v>960</v>
      </c>
      <c r="R641" s="122">
        <v>13958</v>
      </c>
      <c r="S641" s="122">
        <v>12689</v>
      </c>
      <c r="T641" s="122">
        <v>2602</v>
      </c>
      <c r="U641" s="122">
        <v>964</v>
      </c>
      <c r="V641" s="122">
        <v>57571</v>
      </c>
      <c r="W641" s="122">
        <f t="shared" si="18"/>
        <v>57571</v>
      </c>
      <c r="X641" s="122">
        <f t="shared" si="19"/>
        <v>68788</v>
      </c>
      <c r="Y641" s="122"/>
      <c r="AA641" t="s">
        <v>54</v>
      </c>
      <c r="AB641" t="s">
        <v>407</v>
      </c>
      <c r="AC641" t="s">
        <v>566</v>
      </c>
      <c r="AD641" t="s">
        <v>407</v>
      </c>
      <c r="AE641" t="s">
        <v>566</v>
      </c>
      <c r="AF641">
        <v>331</v>
      </c>
      <c r="AG641" s="122">
        <v>47977</v>
      </c>
      <c r="AH641" s="122">
        <v>45915</v>
      </c>
      <c r="AI641" s="122">
        <v>4208816</v>
      </c>
      <c r="AJ641" s="122">
        <v>3826196</v>
      </c>
      <c r="AK641">
        <v>88</v>
      </c>
      <c r="AL641" s="122">
        <v>29353</v>
      </c>
      <c r="AM641" s="122">
        <v>965718</v>
      </c>
      <c r="AN641" s="122">
        <v>919587</v>
      </c>
      <c r="AO641" s="122">
        <v>340588</v>
      </c>
      <c r="AP641" s="122">
        <v>190444</v>
      </c>
      <c r="AQ641" s="122">
        <v>70535</v>
      </c>
      <c r="AR641" s="122">
        <v>1536202</v>
      </c>
      <c r="AS641" s="122">
        <v>1396548</v>
      </c>
      <c r="AT641">
        <v>0</v>
      </c>
      <c r="AU641">
        <v>0</v>
      </c>
      <c r="AV641" s="122">
        <v>6599584</v>
      </c>
    </row>
    <row r="642" spans="2:48" hidden="1">
      <c r="B642" t="s">
        <v>366</v>
      </c>
      <c r="C642" t="s">
        <v>58</v>
      </c>
      <c r="D642" t="s">
        <v>405</v>
      </c>
      <c r="E642" t="s">
        <v>405</v>
      </c>
      <c r="F642">
        <v>61</v>
      </c>
      <c r="G642" s="122">
        <v>7490</v>
      </c>
      <c r="H642" s="122">
        <v>15883</v>
      </c>
      <c r="I642" s="122">
        <v>1221869</v>
      </c>
      <c r="J642" s="122">
        <v>1110790</v>
      </c>
      <c r="K642">
        <v>75</v>
      </c>
      <c r="L642" s="122">
        <v>255802</v>
      </c>
      <c r="M642" s="122">
        <v>220143</v>
      </c>
      <c r="N642" s="122">
        <v>174312</v>
      </c>
      <c r="O642" s="122">
        <v>64560</v>
      </c>
      <c r="P642" s="122">
        <v>30466</v>
      </c>
      <c r="Q642" s="122">
        <v>11284</v>
      </c>
      <c r="R642" s="122">
        <v>318157</v>
      </c>
      <c r="S642" s="122">
        <v>289233</v>
      </c>
      <c r="T642" s="122">
        <v>72345</v>
      </c>
      <c r="U642" s="122">
        <v>26795</v>
      </c>
      <c r="V642" s="122">
        <v>1722804</v>
      </c>
      <c r="W642" s="122">
        <f t="shared" si="18"/>
        <v>1722805</v>
      </c>
      <c r="X642" s="122">
        <f t="shared" si="19"/>
        <v>2072951</v>
      </c>
      <c r="Y642" s="122"/>
      <c r="AA642" t="s">
        <v>54</v>
      </c>
      <c r="AB642" t="s">
        <v>407</v>
      </c>
      <c r="AC642" t="s">
        <v>481</v>
      </c>
      <c r="AD642" t="s">
        <v>407</v>
      </c>
      <c r="AE642" t="s">
        <v>566</v>
      </c>
      <c r="AF642">
        <v>1</v>
      </c>
      <c r="AG642" s="122">
        <v>154</v>
      </c>
      <c r="AH642" s="122">
        <v>150</v>
      </c>
      <c r="AI642" s="122">
        <v>13403</v>
      </c>
      <c r="AJ642" s="122">
        <v>12185</v>
      </c>
      <c r="AK642">
        <v>83</v>
      </c>
      <c r="AL642" s="122">
        <v>4205</v>
      </c>
      <c r="AM642" s="122">
        <v>3822</v>
      </c>
      <c r="AN642" s="122">
        <v>1879</v>
      </c>
      <c r="AO642" s="122">
        <v>696</v>
      </c>
      <c r="AP642" s="122">
        <v>351</v>
      </c>
      <c r="AQ642" s="122">
        <v>130</v>
      </c>
      <c r="AR642" s="122">
        <v>3248</v>
      </c>
      <c r="AS642" s="122">
        <v>2952</v>
      </c>
      <c r="AT642" s="122">
        <v>0</v>
      </c>
      <c r="AU642" s="122">
        <v>0</v>
      </c>
      <c r="AV642" s="122">
        <v>19785</v>
      </c>
    </row>
    <row r="643" spans="2:48" hidden="1">
      <c r="B643" t="s">
        <v>366</v>
      </c>
      <c r="C643" t="s">
        <v>58</v>
      </c>
      <c r="D643" t="s">
        <v>137</v>
      </c>
      <c r="E643" t="s">
        <v>137</v>
      </c>
      <c r="F643" s="122">
        <v>58</v>
      </c>
      <c r="G643" s="122">
        <v>10256</v>
      </c>
      <c r="H643" s="122">
        <v>15307</v>
      </c>
      <c r="I643" s="122">
        <v>1724672</v>
      </c>
      <c r="J643" s="122">
        <v>638767</v>
      </c>
      <c r="K643">
        <v>100</v>
      </c>
      <c r="L643" s="122">
        <v>275731</v>
      </c>
      <c r="M643" s="122">
        <v>245068</v>
      </c>
      <c r="N643" s="122">
        <v>242072</v>
      </c>
      <c r="O643" s="122">
        <v>89656</v>
      </c>
      <c r="P643" s="122">
        <v>2197</v>
      </c>
      <c r="Q643" s="122">
        <v>814</v>
      </c>
      <c r="R643" s="122">
        <v>493589</v>
      </c>
      <c r="S643" s="122">
        <v>182811</v>
      </c>
      <c r="T643" s="122">
        <v>0</v>
      </c>
      <c r="U643" s="122">
        <v>0</v>
      </c>
      <c r="V643" s="122">
        <v>1157117</v>
      </c>
      <c r="W643" s="122">
        <f t="shared" si="18"/>
        <v>1157116</v>
      </c>
      <c r="X643" s="122">
        <f t="shared" si="19"/>
        <v>2738261</v>
      </c>
      <c r="Y643" s="122"/>
      <c r="AA643" t="s">
        <v>54</v>
      </c>
      <c r="AB643" t="s">
        <v>407</v>
      </c>
      <c r="AC643" t="s">
        <v>433</v>
      </c>
      <c r="AD643" t="s">
        <v>407</v>
      </c>
      <c r="AE643" t="s">
        <v>137</v>
      </c>
      <c r="AF643">
        <v>23</v>
      </c>
      <c r="AG643" s="122">
        <v>3954</v>
      </c>
      <c r="AH643" s="122">
        <v>3233</v>
      </c>
      <c r="AI643" s="122">
        <v>315017</v>
      </c>
      <c r="AJ643" s="122">
        <v>286379</v>
      </c>
      <c r="AK643">
        <v>90</v>
      </c>
      <c r="AL643" s="122">
        <v>61787</v>
      </c>
      <c r="AM643" s="122">
        <v>56170</v>
      </c>
      <c r="AN643" s="122">
        <v>86058</v>
      </c>
      <c r="AO643" s="122">
        <v>31873</v>
      </c>
      <c r="AP643" s="122">
        <v>11219</v>
      </c>
      <c r="AQ643" s="122">
        <v>4155</v>
      </c>
      <c r="AR643" s="122">
        <v>111740</v>
      </c>
      <c r="AS643" s="122">
        <v>101582</v>
      </c>
      <c r="AT643" s="122">
        <v>28894</v>
      </c>
      <c r="AU643" s="122">
        <v>10701</v>
      </c>
      <c r="AV643" s="122">
        <v>490860</v>
      </c>
    </row>
    <row r="644" spans="2:48" hidden="1">
      <c r="B644" t="s">
        <v>366</v>
      </c>
      <c r="C644" t="s">
        <v>58</v>
      </c>
      <c r="D644" t="s">
        <v>137</v>
      </c>
      <c r="E644" t="s">
        <v>406</v>
      </c>
      <c r="F644">
        <v>1</v>
      </c>
      <c r="G644">
        <v>87</v>
      </c>
      <c r="H644">
        <v>247</v>
      </c>
      <c r="I644" s="122">
        <v>27026</v>
      </c>
      <c r="J644" s="122">
        <v>10010</v>
      </c>
      <c r="K644">
        <v>100</v>
      </c>
      <c r="L644" s="122">
        <v>1631</v>
      </c>
      <c r="M644" s="122">
        <v>1483</v>
      </c>
      <c r="N644" s="122">
        <v>2261</v>
      </c>
      <c r="O644" s="122">
        <v>837</v>
      </c>
      <c r="P644" s="122">
        <v>270</v>
      </c>
      <c r="Q644">
        <v>100</v>
      </c>
      <c r="R644" s="122">
        <v>3985</v>
      </c>
      <c r="S644" s="122">
        <v>3623</v>
      </c>
      <c r="T644" s="122">
        <v>3070</v>
      </c>
      <c r="U644" s="122">
        <v>1137</v>
      </c>
      <c r="V644" s="122">
        <v>17190</v>
      </c>
      <c r="W644" s="122">
        <f t="shared" si="18"/>
        <v>17190</v>
      </c>
      <c r="X644" s="122">
        <f t="shared" si="19"/>
        <v>38243</v>
      </c>
      <c r="Y644" s="122"/>
      <c r="AA644" t="s">
        <v>54</v>
      </c>
      <c r="AB644" t="s">
        <v>407</v>
      </c>
      <c r="AC644" t="s">
        <v>433</v>
      </c>
      <c r="AD644" t="s">
        <v>407</v>
      </c>
      <c r="AE644" t="s">
        <v>566</v>
      </c>
      <c r="AF644">
        <v>120</v>
      </c>
      <c r="AG644" s="122">
        <v>22970</v>
      </c>
      <c r="AH644" s="122">
        <v>16918</v>
      </c>
      <c r="AI644" s="122">
        <v>1892409</v>
      </c>
      <c r="AJ644" s="122">
        <v>1720372</v>
      </c>
      <c r="AK644">
        <v>89</v>
      </c>
      <c r="AL644" s="122">
        <v>347191</v>
      </c>
      <c r="AM644" s="122">
        <v>315628</v>
      </c>
      <c r="AN644" s="122">
        <v>437101</v>
      </c>
      <c r="AO644" s="122">
        <v>161889</v>
      </c>
      <c r="AP644" s="122">
        <v>67403</v>
      </c>
      <c r="AQ644" s="122">
        <v>24964</v>
      </c>
      <c r="AR644" s="122">
        <v>629917</v>
      </c>
      <c r="AS644" s="122">
        <v>572651</v>
      </c>
      <c r="AT644" s="122">
        <v>0</v>
      </c>
      <c r="AU644" s="122">
        <v>0</v>
      </c>
      <c r="AV644" s="122">
        <v>2795505</v>
      </c>
    </row>
    <row r="645" spans="2:48" hidden="1">
      <c r="B645" t="s">
        <v>366</v>
      </c>
      <c r="C645" t="s">
        <v>58</v>
      </c>
      <c r="D645" t="s">
        <v>406</v>
      </c>
      <c r="E645" t="s">
        <v>137</v>
      </c>
      <c r="F645">
        <v>11</v>
      </c>
      <c r="G645" s="122">
        <v>1632</v>
      </c>
      <c r="H645" s="122">
        <v>2887</v>
      </c>
      <c r="I645" s="122">
        <v>245061</v>
      </c>
      <c r="J645" s="122">
        <v>222783</v>
      </c>
      <c r="K645">
        <v>79</v>
      </c>
      <c r="L645" s="122">
        <v>66720</v>
      </c>
      <c r="M645" s="122">
        <v>53944</v>
      </c>
      <c r="N645" s="122">
        <v>38429</v>
      </c>
      <c r="O645" s="122">
        <v>14233</v>
      </c>
      <c r="P645" s="122">
        <v>7533</v>
      </c>
      <c r="Q645" s="122">
        <v>2790</v>
      </c>
      <c r="R645" s="122">
        <v>84499</v>
      </c>
      <c r="S645" s="122">
        <v>31296</v>
      </c>
      <c r="T645" s="122">
        <v>0</v>
      </c>
      <c r="U645" s="122">
        <v>0</v>
      </c>
      <c r="V645" s="122">
        <v>325046</v>
      </c>
      <c r="W645" s="122">
        <f t="shared" si="18"/>
        <v>325046</v>
      </c>
      <c r="X645" s="122">
        <f t="shared" si="19"/>
        <v>442242</v>
      </c>
      <c r="Y645" s="122"/>
      <c r="AA645" t="s">
        <v>54</v>
      </c>
      <c r="AB645" t="s">
        <v>407</v>
      </c>
      <c r="AC645" t="s">
        <v>429</v>
      </c>
      <c r="AD645" t="s">
        <v>407</v>
      </c>
      <c r="AE645" t="s">
        <v>137</v>
      </c>
      <c r="AF645">
        <v>8</v>
      </c>
      <c r="AG645" s="122">
        <v>1422</v>
      </c>
      <c r="AH645" s="122">
        <v>1124</v>
      </c>
      <c r="AI645" s="122">
        <v>107141</v>
      </c>
      <c r="AJ645" s="122">
        <v>97401</v>
      </c>
      <c r="AK645">
        <v>88</v>
      </c>
      <c r="AL645" s="122">
        <v>15753</v>
      </c>
      <c r="AM645" s="122">
        <v>14321</v>
      </c>
      <c r="AN645" s="122">
        <v>25912</v>
      </c>
      <c r="AO645" s="122">
        <v>9597</v>
      </c>
      <c r="AP645" s="122">
        <v>4253</v>
      </c>
      <c r="AQ645" s="122">
        <v>1575</v>
      </c>
      <c r="AR645" s="122">
        <v>33846</v>
      </c>
      <c r="AS645" s="122">
        <v>30769</v>
      </c>
      <c r="AT645" s="122">
        <v>14430</v>
      </c>
      <c r="AU645" s="122">
        <v>5344</v>
      </c>
      <c r="AV645" s="122">
        <v>159008</v>
      </c>
    </row>
    <row r="646" spans="2:48" hidden="1">
      <c r="B646" t="s">
        <v>366</v>
      </c>
      <c r="C646" t="s">
        <v>58</v>
      </c>
      <c r="D646" t="s">
        <v>406</v>
      </c>
      <c r="E646" t="s">
        <v>406</v>
      </c>
      <c r="F646" s="122">
        <v>3045</v>
      </c>
      <c r="G646" s="122">
        <v>375623</v>
      </c>
      <c r="H646" s="122">
        <v>792181</v>
      </c>
      <c r="I646" s="122">
        <v>58140201</v>
      </c>
      <c r="J646" s="122">
        <v>52854728</v>
      </c>
      <c r="K646">
        <v>80</v>
      </c>
      <c r="L646" s="122">
        <v>11966492</v>
      </c>
      <c r="M646" s="122">
        <v>10551693</v>
      </c>
      <c r="N646" s="122">
        <v>8074456</v>
      </c>
      <c r="O646" s="122">
        <v>2990539</v>
      </c>
      <c r="P646" s="122">
        <v>2009047</v>
      </c>
      <c r="Q646" s="122">
        <v>744092</v>
      </c>
      <c r="R646" s="122">
        <v>15736295</v>
      </c>
      <c r="S646" s="122">
        <v>14305723</v>
      </c>
      <c r="T646" s="122">
        <v>4842519</v>
      </c>
      <c r="U646" s="122">
        <v>1793525</v>
      </c>
      <c r="V646" s="122">
        <v>83240300</v>
      </c>
      <c r="W646" s="122">
        <f t="shared" si="18"/>
        <v>83240300</v>
      </c>
      <c r="X646" s="122">
        <f t="shared" si="19"/>
        <v>100769010</v>
      </c>
      <c r="Y646" s="122"/>
      <c r="AA646" t="s">
        <v>54</v>
      </c>
      <c r="AB646" t="s">
        <v>407</v>
      </c>
      <c r="AC646" t="s">
        <v>429</v>
      </c>
      <c r="AD646" t="s">
        <v>407</v>
      </c>
      <c r="AE646" t="s">
        <v>566</v>
      </c>
      <c r="AF646">
        <v>16</v>
      </c>
      <c r="AG646" s="122">
        <v>2716</v>
      </c>
      <c r="AH646" s="122">
        <v>2301</v>
      </c>
      <c r="AI646" s="122">
        <v>238014</v>
      </c>
      <c r="AJ646" s="122">
        <v>216376</v>
      </c>
      <c r="AK646">
        <v>89</v>
      </c>
      <c r="AL646" s="122">
        <v>35498</v>
      </c>
      <c r="AM646" s="122">
        <v>32271</v>
      </c>
      <c r="AN646" s="122">
        <v>51024</v>
      </c>
      <c r="AO646" s="122">
        <v>18898</v>
      </c>
      <c r="AP646" s="122">
        <v>7560</v>
      </c>
      <c r="AQ646" s="122">
        <v>2800</v>
      </c>
      <c r="AR646" s="122">
        <v>86011</v>
      </c>
      <c r="AS646" s="122">
        <v>78191</v>
      </c>
      <c r="AT646">
        <v>0</v>
      </c>
      <c r="AU646">
        <v>0</v>
      </c>
      <c r="AV646" s="122">
        <v>348536</v>
      </c>
    </row>
    <row r="647" spans="2:48" hidden="1">
      <c r="B647" t="s">
        <v>366</v>
      </c>
      <c r="C647" t="s">
        <v>58</v>
      </c>
      <c r="D647" t="s">
        <v>406</v>
      </c>
      <c r="E647" t="s">
        <v>427</v>
      </c>
      <c r="F647">
        <v>6</v>
      </c>
      <c r="G647">
        <v>793</v>
      </c>
      <c r="H647" s="122">
        <v>1528</v>
      </c>
      <c r="I647" s="122">
        <v>121266</v>
      </c>
      <c r="J647" s="122">
        <v>110241</v>
      </c>
      <c r="K647">
        <v>82</v>
      </c>
      <c r="L647" s="122">
        <v>32206</v>
      </c>
      <c r="M647" s="122">
        <v>27069</v>
      </c>
      <c r="N647" s="122">
        <v>17500</v>
      </c>
      <c r="O647" s="122">
        <v>6481</v>
      </c>
      <c r="P647" s="122">
        <v>4077</v>
      </c>
      <c r="Q647" s="122">
        <v>1510</v>
      </c>
      <c r="R647" s="122">
        <v>35619</v>
      </c>
      <c r="S647" s="122">
        <v>32381</v>
      </c>
      <c r="T647" s="122">
        <v>11059</v>
      </c>
      <c r="U647" s="122">
        <v>4096</v>
      </c>
      <c r="V647" s="122">
        <v>181779</v>
      </c>
      <c r="W647" s="122">
        <f t="shared" ref="W647:W710" si="20">SUM(ABS(J647),ABS(M647),ABS(O647),ABS(Q647),ABS(S647),ABS(U647))</f>
        <v>181778</v>
      </c>
      <c r="X647" s="122">
        <f t="shared" ref="X647:X710" si="21">SUM(ABS(I647),ABS(N647),ABS(P647),ABS(R647),ABS(T647),ABS(L647))</f>
        <v>221727</v>
      </c>
      <c r="Y647" s="122"/>
      <c r="AA647" t="s">
        <v>54</v>
      </c>
      <c r="AB647" t="s">
        <v>579</v>
      </c>
      <c r="AC647" t="s">
        <v>137</v>
      </c>
      <c r="AD647" t="s">
        <v>579</v>
      </c>
      <c r="AE647" t="s">
        <v>137</v>
      </c>
      <c r="AF647">
        <v>1</v>
      </c>
      <c r="AG647">
        <v>94</v>
      </c>
      <c r="AH647">
        <v>143</v>
      </c>
      <c r="AI647" s="122">
        <v>13988</v>
      </c>
      <c r="AJ647" s="122">
        <v>11657</v>
      </c>
      <c r="AK647">
        <v>100</v>
      </c>
      <c r="AL647">
        <v>0</v>
      </c>
      <c r="AM647">
        <v>0</v>
      </c>
      <c r="AN647" s="122">
        <v>1801</v>
      </c>
      <c r="AO647" s="122">
        <v>667</v>
      </c>
      <c r="AP647" s="122">
        <v>1912</v>
      </c>
      <c r="AQ647" s="122">
        <v>708</v>
      </c>
      <c r="AR647" s="122">
        <v>3399</v>
      </c>
      <c r="AS647" s="122">
        <v>2833</v>
      </c>
      <c r="AT647" s="122">
        <v>0</v>
      </c>
      <c r="AU647">
        <v>0</v>
      </c>
      <c r="AV647" s="122">
        <v>15865</v>
      </c>
    </row>
    <row r="648" spans="2:48" hidden="1">
      <c r="B648" t="s">
        <v>366</v>
      </c>
      <c r="C648" t="s">
        <v>58</v>
      </c>
      <c r="D648" t="s">
        <v>406</v>
      </c>
      <c r="E648" t="s">
        <v>556</v>
      </c>
      <c r="F648">
        <v>1</v>
      </c>
      <c r="G648">
        <v>136</v>
      </c>
      <c r="H648">
        <v>236</v>
      </c>
      <c r="I648" s="122">
        <v>16595</v>
      </c>
      <c r="J648" s="122">
        <v>15087</v>
      </c>
      <c r="K648">
        <v>85</v>
      </c>
      <c r="L648" s="122">
        <v>4960</v>
      </c>
      <c r="M648" s="122">
        <v>4509</v>
      </c>
      <c r="N648" s="122">
        <v>2924</v>
      </c>
      <c r="O648" s="122">
        <v>1083</v>
      </c>
      <c r="P648" s="122">
        <v>621</v>
      </c>
      <c r="Q648">
        <v>230</v>
      </c>
      <c r="R648" s="122">
        <v>7040</v>
      </c>
      <c r="S648" s="122">
        <v>5867</v>
      </c>
      <c r="T648">
        <v>0</v>
      </c>
      <c r="U648">
        <v>0</v>
      </c>
      <c r="V648" s="122">
        <v>26776</v>
      </c>
      <c r="W648" s="122">
        <f t="shared" si="20"/>
        <v>26776</v>
      </c>
      <c r="X648" s="122">
        <f t="shared" si="21"/>
        <v>32140</v>
      </c>
      <c r="Y648" s="122"/>
      <c r="AA648" t="s">
        <v>54</v>
      </c>
      <c r="AB648" t="s">
        <v>579</v>
      </c>
      <c r="AC648" t="s">
        <v>566</v>
      </c>
      <c r="AD648" t="s">
        <v>579</v>
      </c>
      <c r="AE648" t="s">
        <v>137</v>
      </c>
      <c r="AF648">
        <v>1</v>
      </c>
      <c r="AG648">
        <v>478</v>
      </c>
      <c r="AH648">
        <v>143</v>
      </c>
      <c r="AI648" s="122">
        <v>42845</v>
      </c>
      <c r="AJ648" s="122">
        <v>35704</v>
      </c>
      <c r="AK648">
        <v>55</v>
      </c>
      <c r="AL648" s="122">
        <v>0</v>
      </c>
      <c r="AM648">
        <v>0</v>
      </c>
      <c r="AN648" s="122">
        <v>11652</v>
      </c>
      <c r="AO648" s="122">
        <v>4315</v>
      </c>
      <c r="AP648" s="122">
        <v>5052</v>
      </c>
      <c r="AQ648" s="122">
        <v>1871</v>
      </c>
      <c r="AR648" s="122">
        <v>6578</v>
      </c>
      <c r="AS648" s="122">
        <v>5482</v>
      </c>
      <c r="AT648" s="122">
        <v>2042</v>
      </c>
      <c r="AU648">
        <v>756</v>
      </c>
      <c r="AV648" s="122">
        <v>48129</v>
      </c>
    </row>
    <row r="649" spans="2:48" hidden="1">
      <c r="B649" t="s">
        <v>366</v>
      </c>
      <c r="C649" t="s">
        <v>58</v>
      </c>
      <c r="D649" t="s">
        <v>406</v>
      </c>
      <c r="E649" t="s">
        <v>426</v>
      </c>
      <c r="F649">
        <v>3</v>
      </c>
      <c r="G649" s="122">
        <v>295</v>
      </c>
      <c r="H649" s="122">
        <v>755</v>
      </c>
      <c r="I649" s="122">
        <v>37047</v>
      </c>
      <c r="J649" s="122">
        <v>33679</v>
      </c>
      <c r="K649">
        <v>83</v>
      </c>
      <c r="L649" s="122">
        <v>7950</v>
      </c>
      <c r="M649" s="122">
        <v>7227</v>
      </c>
      <c r="N649" s="122">
        <v>7184</v>
      </c>
      <c r="O649" s="122">
        <v>2661</v>
      </c>
      <c r="P649" s="122">
        <v>2214</v>
      </c>
      <c r="Q649" s="122">
        <v>820</v>
      </c>
      <c r="R649" s="122">
        <v>19139</v>
      </c>
      <c r="S649" s="122">
        <v>17399</v>
      </c>
      <c r="T649" s="122">
        <v>0</v>
      </c>
      <c r="U649" s="122">
        <v>0</v>
      </c>
      <c r="V649" s="122">
        <v>61786</v>
      </c>
      <c r="W649" s="122">
        <f t="shared" si="20"/>
        <v>61786</v>
      </c>
      <c r="X649" s="122">
        <f t="shared" si="21"/>
        <v>73534</v>
      </c>
      <c r="Y649" s="122"/>
      <c r="AA649" t="s">
        <v>54</v>
      </c>
      <c r="AB649" t="s">
        <v>426</v>
      </c>
      <c r="AC649" t="s">
        <v>137</v>
      </c>
      <c r="AD649" t="s">
        <v>137</v>
      </c>
      <c r="AE649" t="s">
        <v>566</v>
      </c>
      <c r="AF649">
        <v>1</v>
      </c>
      <c r="AG649">
        <v>159</v>
      </c>
      <c r="AH649">
        <v>146</v>
      </c>
      <c r="AI649" s="122">
        <v>9275</v>
      </c>
      <c r="AJ649" s="122">
        <v>8432</v>
      </c>
      <c r="AK649">
        <v>65</v>
      </c>
      <c r="AL649" s="122">
        <v>1644</v>
      </c>
      <c r="AM649" s="122">
        <v>609</v>
      </c>
      <c r="AN649" s="122">
        <v>1936</v>
      </c>
      <c r="AO649" s="122">
        <v>717</v>
      </c>
      <c r="AP649" s="122">
        <v>1127</v>
      </c>
      <c r="AQ649">
        <v>417</v>
      </c>
      <c r="AR649" s="122">
        <v>9171</v>
      </c>
      <c r="AS649" s="122">
        <v>3397</v>
      </c>
      <c r="AT649">
        <v>0</v>
      </c>
      <c r="AU649">
        <v>0</v>
      </c>
      <c r="AV649" s="122">
        <v>13572</v>
      </c>
    </row>
    <row r="650" spans="2:48" hidden="1">
      <c r="B650" t="s">
        <v>366</v>
      </c>
      <c r="C650" t="s">
        <v>58</v>
      </c>
      <c r="D650" t="s">
        <v>427</v>
      </c>
      <c r="E650" t="s">
        <v>427</v>
      </c>
      <c r="F650">
        <v>3</v>
      </c>
      <c r="G650" s="122">
        <v>836</v>
      </c>
      <c r="H650" s="122">
        <v>818</v>
      </c>
      <c r="I650" s="122">
        <v>135462</v>
      </c>
      <c r="J650" s="122">
        <v>123147</v>
      </c>
      <c r="K650">
        <v>60</v>
      </c>
      <c r="L650" s="122">
        <v>36803</v>
      </c>
      <c r="M650" s="122">
        <v>33458</v>
      </c>
      <c r="N650" s="122">
        <v>18797</v>
      </c>
      <c r="O650" s="122">
        <v>6962</v>
      </c>
      <c r="P650" s="122">
        <v>1404</v>
      </c>
      <c r="Q650" s="122">
        <v>520</v>
      </c>
      <c r="R650" s="122">
        <v>30987</v>
      </c>
      <c r="S650" s="122">
        <v>28170</v>
      </c>
      <c r="T650" s="122">
        <v>0</v>
      </c>
      <c r="U650" s="122">
        <v>0</v>
      </c>
      <c r="V650" s="122">
        <v>192256</v>
      </c>
      <c r="W650" s="122">
        <f t="shared" si="20"/>
        <v>192257</v>
      </c>
      <c r="X650" s="122">
        <f t="shared" si="21"/>
        <v>223453</v>
      </c>
      <c r="Y650" s="122"/>
      <c r="AA650" t="s">
        <v>54</v>
      </c>
      <c r="AB650" t="s">
        <v>426</v>
      </c>
      <c r="AC650" t="s">
        <v>137</v>
      </c>
      <c r="AD650" t="s">
        <v>426</v>
      </c>
      <c r="AE650" t="s">
        <v>566</v>
      </c>
      <c r="AF650">
        <v>1</v>
      </c>
      <c r="AG650">
        <v>230</v>
      </c>
      <c r="AH650">
        <v>141</v>
      </c>
      <c r="AI650" s="122">
        <v>18481</v>
      </c>
      <c r="AJ650" s="122">
        <v>16801</v>
      </c>
      <c r="AK650">
        <v>65</v>
      </c>
      <c r="AL650" s="122">
        <v>3276</v>
      </c>
      <c r="AM650" s="122">
        <v>1213</v>
      </c>
      <c r="AN650" s="122">
        <v>5607</v>
      </c>
      <c r="AO650" s="122">
        <v>2077</v>
      </c>
      <c r="AP650" s="122">
        <v>2315</v>
      </c>
      <c r="AQ650">
        <v>858</v>
      </c>
      <c r="AR650" s="122">
        <v>2653</v>
      </c>
      <c r="AS650" s="122">
        <v>2411</v>
      </c>
      <c r="AT650">
        <v>0</v>
      </c>
      <c r="AU650">
        <v>0</v>
      </c>
      <c r="AV650" s="122">
        <v>23360</v>
      </c>
    </row>
    <row r="651" spans="2:48" hidden="1">
      <c r="B651" t="s">
        <v>366</v>
      </c>
      <c r="C651" t="s">
        <v>58</v>
      </c>
      <c r="D651" t="s">
        <v>407</v>
      </c>
      <c r="E651" t="s">
        <v>407</v>
      </c>
      <c r="F651">
        <v>3</v>
      </c>
      <c r="G651" s="122">
        <v>325</v>
      </c>
      <c r="H651" s="122">
        <v>814</v>
      </c>
      <c r="I651" s="122">
        <v>49557</v>
      </c>
      <c r="J651" s="122">
        <v>45051</v>
      </c>
      <c r="K651">
        <v>66</v>
      </c>
      <c r="L651" s="122">
        <v>7792</v>
      </c>
      <c r="M651" s="122">
        <v>7084</v>
      </c>
      <c r="N651" s="122">
        <v>6748</v>
      </c>
      <c r="O651" s="122">
        <v>2499</v>
      </c>
      <c r="P651" s="122">
        <v>1418</v>
      </c>
      <c r="Q651" s="122">
        <v>525</v>
      </c>
      <c r="R651" s="122">
        <v>16501</v>
      </c>
      <c r="S651" s="122">
        <v>15001</v>
      </c>
      <c r="T651" s="122">
        <v>5409</v>
      </c>
      <c r="U651" s="122">
        <v>2003</v>
      </c>
      <c r="V651" s="122">
        <v>72163</v>
      </c>
      <c r="W651" s="122">
        <f t="shared" si="20"/>
        <v>72163</v>
      </c>
      <c r="X651" s="122">
        <f t="shared" si="21"/>
        <v>87425</v>
      </c>
      <c r="Y651" s="122"/>
      <c r="AA651" t="s">
        <v>54</v>
      </c>
      <c r="AB651" t="s">
        <v>426</v>
      </c>
      <c r="AC651" t="s">
        <v>580</v>
      </c>
      <c r="AD651" t="s">
        <v>426</v>
      </c>
      <c r="AE651" t="s">
        <v>137</v>
      </c>
      <c r="AF651">
        <v>1</v>
      </c>
      <c r="AG651">
        <v>217</v>
      </c>
      <c r="AH651">
        <v>143</v>
      </c>
      <c r="AI651" s="122">
        <v>36093</v>
      </c>
      <c r="AJ651" s="122">
        <v>32812</v>
      </c>
      <c r="AK651">
        <v>86</v>
      </c>
      <c r="AL651" s="122">
        <v>3992</v>
      </c>
      <c r="AM651" s="122">
        <v>3629</v>
      </c>
      <c r="AN651" s="122">
        <v>8567</v>
      </c>
      <c r="AO651" s="122">
        <v>3173</v>
      </c>
      <c r="AP651">
        <v>351</v>
      </c>
      <c r="AQ651">
        <v>130</v>
      </c>
      <c r="AR651" s="122">
        <v>1184</v>
      </c>
      <c r="AS651" s="122">
        <v>1076</v>
      </c>
      <c r="AT651">
        <v>0</v>
      </c>
      <c r="AU651">
        <v>0</v>
      </c>
      <c r="AV651" s="122">
        <v>40819</v>
      </c>
    </row>
    <row r="652" spans="2:48" hidden="1">
      <c r="B652" t="s">
        <v>366</v>
      </c>
      <c r="C652" t="s">
        <v>58</v>
      </c>
      <c r="D652" t="s">
        <v>556</v>
      </c>
      <c r="E652" t="s">
        <v>556</v>
      </c>
      <c r="F652">
        <v>1</v>
      </c>
      <c r="G652">
        <v>112</v>
      </c>
      <c r="H652" s="122">
        <v>248</v>
      </c>
      <c r="I652" s="122">
        <v>26377</v>
      </c>
      <c r="J652" s="122">
        <v>21981</v>
      </c>
      <c r="K652">
        <v>65</v>
      </c>
      <c r="L652" s="122">
        <v>4286</v>
      </c>
      <c r="M652" s="122">
        <v>1588</v>
      </c>
      <c r="N652" s="122">
        <v>4090</v>
      </c>
      <c r="O652" s="122">
        <v>1515</v>
      </c>
      <c r="P652" s="122">
        <v>351</v>
      </c>
      <c r="Q652" s="122">
        <v>130</v>
      </c>
      <c r="R652" s="122">
        <v>5991</v>
      </c>
      <c r="S652" s="122">
        <v>4993</v>
      </c>
      <c r="T652" s="122">
        <v>3229</v>
      </c>
      <c r="U652" s="122">
        <v>1196</v>
      </c>
      <c r="V652" s="122">
        <v>31402</v>
      </c>
      <c r="W652" s="122">
        <f t="shared" si="20"/>
        <v>31403</v>
      </c>
      <c r="X652" s="122">
        <f t="shared" si="21"/>
        <v>44324</v>
      </c>
      <c r="Y652" s="122"/>
      <c r="AA652" t="s">
        <v>54</v>
      </c>
      <c r="AB652" t="s">
        <v>426</v>
      </c>
      <c r="AC652" t="s">
        <v>427</v>
      </c>
      <c r="AD652" t="s">
        <v>406</v>
      </c>
      <c r="AE652" t="s">
        <v>566</v>
      </c>
      <c r="AF652">
        <v>1</v>
      </c>
      <c r="AG652">
        <v>257</v>
      </c>
      <c r="AH652">
        <v>142</v>
      </c>
      <c r="AI652" s="122">
        <v>18754</v>
      </c>
      <c r="AJ652" s="122">
        <v>17049</v>
      </c>
      <c r="AK652">
        <v>86</v>
      </c>
      <c r="AL652" s="122">
        <v>5953</v>
      </c>
      <c r="AM652" s="122">
        <v>5411</v>
      </c>
      <c r="AN652" s="122">
        <v>4673</v>
      </c>
      <c r="AO652" s="122">
        <v>1731</v>
      </c>
      <c r="AP652">
        <v>621</v>
      </c>
      <c r="AQ652">
        <v>230</v>
      </c>
      <c r="AR652" s="122">
        <v>6533</v>
      </c>
      <c r="AS652" s="122">
        <v>5939</v>
      </c>
      <c r="AT652">
        <v>0</v>
      </c>
      <c r="AU652">
        <v>0</v>
      </c>
      <c r="AV652" s="122">
        <v>30360</v>
      </c>
    </row>
    <row r="653" spans="2:48" hidden="1">
      <c r="B653" t="s">
        <v>366</v>
      </c>
      <c r="C653" t="s">
        <v>58</v>
      </c>
      <c r="D653" t="s">
        <v>431</v>
      </c>
      <c r="E653" t="s">
        <v>431</v>
      </c>
      <c r="F653">
        <v>4</v>
      </c>
      <c r="G653" s="122">
        <v>515</v>
      </c>
      <c r="H653" s="122">
        <v>1084</v>
      </c>
      <c r="I653" s="122">
        <v>98394</v>
      </c>
      <c r="J653" s="122">
        <v>89449</v>
      </c>
      <c r="K653">
        <v>63</v>
      </c>
      <c r="L653" s="122">
        <v>13710</v>
      </c>
      <c r="M653" s="122">
        <v>9355</v>
      </c>
      <c r="N653" s="122">
        <v>12145</v>
      </c>
      <c r="O653" s="122">
        <v>4498</v>
      </c>
      <c r="P653" s="122">
        <v>2025</v>
      </c>
      <c r="Q653" s="122">
        <v>750</v>
      </c>
      <c r="R653" s="122">
        <v>30741</v>
      </c>
      <c r="S653" s="122">
        <v>27947</v>
      </c>
      <c r="T653" s="122">
        <v>3211</v>
      </c>
      <c r="U653" s="122">
        <v>1189</v>
      </c>
      <c r="V653" s="122">
        <v>133189</v>
      </c>
      <c r="W653" s="122">
        <f t="shared" si="20"/>
        <v>133188</v>
      </c>
      <c r="X653" s="122">
        <f t="shared" si="21"/>
        <v>160226</v>
      </c>
      <c r="Y653" s="122"/>
      <c r="AA653" t="s">
        <v>54</v>
      </c>
      <c r="AB653" t="s">
        <v>426</v>
      </c>
      <c r="AC653" t="s">
        <v>426</v>
      </c>
      <c r="AD653" t="s">
        <v>137</v>
      </c>
      <c r="AE653" t="s">
        <v>137</v>
      </c>
      <c r="AF653">
        <v>1</v>
      </c>
      <c r="AG653">
        <v>158</v>
      </c>
      <c r="AH653">
        <v>141</v>
      </c>
      <c r="AI653" s="122">
        <v>14338</v>
      </c>
      <c r="AJ653" s="122">
        <v>13034</v>
      </c>
      <c r="AK653">
        <v>75</v>
      </c>
      <c r="AL653" s="122">
        <v>1981</v>
      </c>
      <c r="AM653" s="122">
        <v>1801</v>
      </c>
      <c r="AN653" s="122">
        <v>1929</v>
      </c>
      <c r="AO653" s="122">
        <v>714</v>
      </c>
      <c r="AP653">
        <v>351</v>
      </c>
      <c r="AQ653">
        <v>130</v>
      </c>
      <c r="AR653" s="122">
        <v>3703</v>
      </c>
      <c r="AS653" s="122">
        <v>1371</v>
      </c>
      <c r="AT653">
        <v>0</v>
      </c>
      <c r="AU653">
        <v>0</v>
      </c>
      <c r="AV653" s="122">
        <v>17051</v>
      </c>
    </row>
    <row r="654" spans="2:48" hidden="1">
      <c r="B654" t="s">
        <v>366</v>
      </c>
      <c r="C654" t="s">
        <v>58</v>
      </c>
      <c r="D654" t="s">
        <v>426</v>
      </c>
      <c r="E654" t="s">
        <v>426</v>
      </c>
      <c r="F654">
        <v>77</v>
      </c>
      <c r="G654" s="122">
        <v>9761</v>
      </c>
      <c r="H654" s="122">
        <v>21065</v>
      </c>
      <c r="I654" s="122">
        <v>1729512</v>
      </c>
      <c r="J654" s="122">
        <v>1572283</v>
      </c>
      <c r="K654">
        <v>64</v>
      </c>
      <c r="L654" s="122">
        <v>211832</v>
      </c>
      <c r="M654" s="122">
        <v>185870</v>
      </c>
      <c r="N654" s="122">
        <v>213515</v>
      </c>
      <c r="O654" s="122">
        <v>79080</v>
      </c>
      <c r="P654" s="122">
        <v>33467</v>
      </c>
      <c r="Q654" s="122">
        <v>12395</v>
      </c>
      <c r="R654" s="122">
        <v>399036</v>
      </c>
      <c r="S654" s="122">
        <v>362760</v>
      </c>
      <c r="T654" s="122">
        <v>194602</v>
      </c>
      <c r="U654" s="122">
        <v>72075</v>
      </c>
      <c r="V654" s="122">
        <v>2284462</v>
      </c>
      <c r="W654" s="122">
        <f t="shared" si="20"/>
        <v>2284463</v>
      </c>
      <c r="X654" s="122">
        <f t="shared" si="21"/>
        <v>2781964</v>
      </c>
      <c r="Y654" s="122"/>
      <c r="AA654" t="s">
        <v>54</v>
      </c>
      <c r="AB654" t="s">
        <v>426</v>
      </c>
      <c r="AC654" t="s">
        <v>426</v>
      </c>
      <c r="AD654" t="s">
        <v>137</v>
      </c>
      <c r="AE654" t="s">
        <v>566</v>
      </c>
      <c r="AF654">
        <v>2</v>
      </c>
      <c r="AG654">
        <v>389</v>
      </c>
      <c r="AH654">
        <v>290</v>
      </c>
      <c r="AI654" s="122">
        <v>44115</v>
      </c>
      <c r="AJ654" s="122">
        <v>40105</v>
      </c>
      <c r="AK654">
        <v>70</v>
      </c>
      <c r="AL654" s="122">
        <v>8379</v>
      </c>
      <c r="AM654" s="122">
        <v>7617</v>
      </c>
      <c r="AN654" s="122">
        <v>7789</v>
      </c>
      <c r="AO654" s="122">
        <v>2885</v>
      </c>
      <c r="AP654" s="122">
        <v>351</v>
      </c>
      <c r="AQ654">
        <v>130</v>
      </c>
      <c r="AR654" s="122">
        <v>10936</v>
      </c>
      <c r="AS654" s="122">
        <v>4050</v>
      </c>
      <c r="AT654" s="122">
        <v>0</v>
      </c>
      <c r="AU654" s="122">
        <v>0</v>
      </c>
      <c r="AV654" s="122">
        <v>54787</v>
      </c>
    </row>
    <row r="655" spans="2:48" hidden="1">
      <c r="B655" t="s">
        <v>366</v>
      </c>
      <c r="C655" t="s">
        <v>58</v>
      </c>
      <c r="D655" t="s">
        <v>433</v>
      </c>
      <c r="E655" t="s">
        <v>433</v>
      </c>
      <c r="F655">
        <v>4</v>
      </c>
      <c r="G655" s="122">
        <v>633</v>
      </c>
      <c r="H655" s="122">
        <v>978</v>
      </c>
      <c r="I655" s="122">
        <v>98101</v>
      </c>
      <c r="J655" s="122">
        <v>89183</v>
      </c>
      <c r="K655">
        <v>62</v>
      </c>
      <c r="L655" s="122">
        <v>13012</v>
      </c>
      <c r="M655" s="122">
        <v>11829</v>
      </c>
      <c r="N655" s="122">
        <v>11806</v>
      </c>
      <c r="O655" s="122">
        <v>4373</v>
      </c>
      <c r="P655" s="122">
        <v>3267</v>
      </c>
      <c r="Q655" s="122">
        <v>1210</v>
      </c>
      <c r="R655" s="122">
        <v>21215</v>
      </c>
      <c r="S655" s="122">
        <v>19286</v>
      </c>
      <c r="T655" s="122">
        <v>7024</v>
      </c>
      <c r="U655" s="122">
        <v>2601</v>
      </c>
      <c r="V655" s="122">
        <v>128482</v>
      </c>
      <c r="W655" s="122">
        <f t="shared" si="20"/>
        <v>128482</v>
      </c>
      <c r="X655" s="122">
        <f t="shared" si="21"/>
        <v>154425</v>
      </c>
      <c r="Y655" s="122"/>
      <c r="AA655" t="s">
        <v>54</v>
      </c>
      <c r="AB655" t="s">
        <v>426</v>
      </c>
      <c r="AC655" t="s">
        <v>426</v>
      </c>
      <c r="AD655" t="s">
        <v>426</v>
      </c>
      <c r="AE655" t="s">
        <v>137</v>
      </c>
      <c r="AF655">
        <v>3</v>
      </c>
      <c r="AG655">
        <v>654</v>
      </c>
      <c r="AH655">
        <v>430</v>
      </c>
      <c r="AI655" s="122">
        <v>44773</v>
      </c>
      <c r="AJ655" s="122">
        <v>40702</v>
      </c>
      <c r="AK655">
        <v>63</v>
      </c>
      <c r="AL655" s="122">
        <v>5053</v>
      </c>
      <c r="AM655" s="122">
        <v>4594</v>
      </c>
      <c r="AN655" s="122">
        <v>12250</v>
      </c>
      <c r="AO655" s="122">
        <v>4537</v>
      </c>
      <c r="AP655" s="122">
        <v>2475</v>
      </c>
      <c r="AQ655">
        <v>917</v>
      </c>
      <c r="AR655" s="122">
        <v>16782</v>
      </c>
      <c r="AS655" s="122">
        <v>15257</v>
      </c>
      <c r="AT655" s="122">
        <v>10621</v>
      </c>
      <c r="AU655" s="122">
        <v>3934</v>
      </c>
      <c r="AV655" s="122">
        <v>69941</v>
      </c>
    </row>
    <row r="656" spans="2:48" hidden="1">
      <c r="B656" t="s">
        <v>366</v>
      </c>
      <c r="C656" t="s">
        <v>58</v>
      </c>
      <c r="D656" t="s">
        <v>408</v>
      </c>
      <c r="E656" t="s">
        <v>408</v>
      </c>
      <c r="F656">
        <v>3</v>
      </c>
      <c r="G656" s="122">
        <v>376</v>
      </c>
      <c r="H656" s="122">
        <v>871</v>
      </c>
      <c r="I656" s="122">
        <v>66006</v>
      </c>
      <c r="J656" s="122">
        <v>60005</v>
      </c>
      <c r="K656">
        <v>69</v>
      </c>
      <c r="L656" s="122">
        <v>11725</v>
      </c>
      <c r="M656" s="122">
        <v>10659</v>
      </c>
      <c r="N656" s="122">
        <v>7184</v>
      </c>
      <c r="O656" s="122">
        <v>2661</v>
      </c>
      <c r="P656" s="122">
        <v>1404</v>
      </c>
      <c r="Q656" s="122">
        <v>520</v>
      </c>
      <c r="R656" s="122">
        <v>15889</v>
      </c>
      <c r="S656" s="122">
        <v>14445</v>
      </c>
      <c r="T656" s="122">
        <v>6547</v>
      </c>
      <c r="U656" s="122">
        <v>2425</v>
      </c>
      <c r="V656" s="122">
        <v>90714</v>
      </c>
      <c r="W656" s="122">
        <f t="shared" si="20"/>
        <v>90715</v>
      </c>
      <c r="X656" s="122">
        <f t="shared" si="21"/>
        <v>108755</v>
      </c>
      <c r="Y656" s="122"/>
      <c r="AA656" t="s">
        <v>54</v>
      </c>
      <c r="AB656" t="s">
        <v>426</v>
      </c>
      <c r="AC656" t="s">
        <v>426</v>
      </c>
      <c r="AD656" t="s">
        <v>426</v>
      </c>
      <c r="AE656" t="s">
        <v>566</v>
      </c>
      <c r="AF656">
        <v>1</v>
      </c>
      <c r="AG656">
        <v>313</v>
      </c>
      <c r="AH656">
        <v>144</v>
      </c>
      <c r="AI656" s="122">
        <v>25160</v>
      </c>
      <c r="AJ656" s="122">
        <v>22873</v>
      </c>
      <c r="AK656">
        <v>70</v>
      </c>
      <c r="AL656" s="122">
        <v>6476</v>
      </c>
      <c r="AM656" s="122">
        <v>5888</v>
      </c>
      <c r="AN656" s="122">
        <v>3809</v>
      </c>
      <c r="AO656" s="122">
        <v>1411</v>
      </c>
      <c r="AP656">
        <v>702</v>
      </c>
      <c r="AQ656">
        <v>260</v>
      </c>
      <c r="AR656" s="122">
        <v>8897</v>
      </c>
      <c r="AS656" s="122">
        <v>8088</v>
      </c>
      <c r="AT656">
        <v>0</v>
      </c>
      <c r="AU656">
        <v>0</v>
      </c>
      <c r="AV656" s="122">
        <v>38519</v>
      </c>
    </row>
    <row r="657" spans="2:48" hidden="1">
      <c r="B657" t="s">
        <v>366</v>
      </c>
      <c r="C657" t="s">
        <v>60</v>
      </c>
      <c r="F657">
        <v>2</v>
      </c>
      <c r="G657" s="122">
        <v>140</v>
      </c>
      <c r="H657" s="122">
        <v>645</v>
      </c>
      <c r="I657" s="122"/>
      <c r="J657" s="122">
        <v>0</v>
      </c>
      <c r="L657" s="122"/>
      <c r="M657" s="122">
        <v>0</v>
      </c>
      <c r="N657" s="122">
        <v>3333</v>
      </c>
      <c r="O657" s="122">
        <v>1235</v>
      </c>
      <c r="P657" s="122">
        <v>1242</v>
      </c>
      <c r="Q657" s="122">
        <v>460</v>
      </c>
      <c r="R657" s="122"/>
      <c r="S657" s="122">
        <v>0</v>
      </c>
      <c r="T657" s="122">
        <v>0</v>
      </c>
      <c r="U657" s="122">
        <v>0</v>
      </c>
      <c r="V657" s="122">
        <v>1695</v>
      </c>
      <c r="W657" s="122">
        <f t="shared" si="20"/>
        <v>1695</v>
      </c>
      <c r="X657" s="122">
        <f t="shared" si="21"/>
        <v>4575</v>
      </c>
      <c r="Y657" s="122"/>
      <c r="AA657" t="s">
        <v>54</v>
      </c>
      <c r="AB657" t="s">
        <v>426</v>
      </c>
      <c r="AC657" t="s">
        <v>566</v>
      </c>
      <c r="AD657" t="s">
        <v>137</v>
      </c>
      <c r="AE657" t="s">
        <v>566</v>
      </c>
      <c r="AF657">
        <v>1</v>
      </c>
      <c r="AG657">
        <v>222</v>
      </c>
      <c r="AH657">
        <v>146</v>
      </c>
      <c r="AI657" s="122">
        <v>25923</v>
      </c>
      <c r="AJ657" s="122">
        <v>23566</v>
      </c>
      <c r="AK657">
        <v>65</v>
      </c>
      <c r="AL657">
        <v>0</v>
      </c>
      <c r="AM657">
        <v>0</v>
      </c>
      <c r="AN657" s="122">
        <v>2700</v>
      </c>
      <c r="AO657" s="122">
        <v>1000</v>
      </c>
      <c r="AP657" s="122">
        <v>351</v>
      </c>
      <c r="AQ657" s="122">
        <v>130</v>
      </c>
      <c r="AR657" s="122">
        <v>3455</v>
      </c>
      <c r="AS657" s="122">
        <v>1279</v>
      </c>
      <c r="AT657" s="122">
        <v>0</v>
      </c>
      <c r="AU657" s="122">
        <v>0</v>
      </c>
      <c r="AV657" s="122">
        <v>25976</v>
      </c>
    </row>
    <row r="658" spans="2:48" hidden="1">
      <c r="B658" t="s">
        <v>366</v>
      </c>
      <c r="C658" t="s">
        <v>60</v>
      </c>
      <c r="D658" t="s">
        <v>425</v>
      </c>
      <c r="E658" t="s">
        <v>425</v>
      </c>
      <c r="F658">
        <v>1</v>
      </c>
      <c r="G658" s="122">
        <v>60</v>
      </c>
      <c r="H658" s="122">
        <v>368</v>
      </c>
      <c r="I658" s="122">
        <v>15560</v>
      </c>
      <c r="J658" s="122">
        <v>14145</v>
      </c>
      <c r="K658">
        <v>93</v>
      </c>
      <c r="L658" s="122">
        <v>3756</v>
      </c>
      <c r="M658" s="122">
        <v>1391</v>
      </c>
      <c r="N658" s="122">
        <v>733</v>
      </c>
      <c r="O658" s="122">
        <v>272</v>
      </c>
      <c r="P658" s="122">
        <v>351</v>
      </c>
      <c r="Q658" s="122">
        <v>130</v>
      </c>
      <c r="R658" s="122">
        <v>1715</v>
      </c>
      <c r="S658" s="122">
        <v>1559</v>
      </c>
      <c r="T658" s="122">
        <v>0</v>
      </c>
      <c r="U658" s="122">
        <v>0</v>
      </c>
      <c r="V658" s="122">
        <v>17497</v>
      </c>
      <c r="W658" s="122">
        <f t="shared" si="20"/>
        <v>17497</v>
      </c>
      <c r="X658" s="122">
        <f t="shared" si="21"/>
        <v>22115</v>
      </c>
      <c r="Y658" s="122"/>
      <c r="AA658" t="s">
        <v>54</v>
      </c>
      <c r="AB658" t="s">
        <v>426</v>
      </c>
      <c r="AC658" t="s">
        <v>566</v>
      </c>
      <c r="AD658" t="s">
        <v>426</v>
      </c>
      <c r="AE658" t="s">
        <v>137</v>
      </c>
      <c r="AF658">
        <v>3</v>
      </c>
      <c r="AG658">
        <v>714</v>
      </c>
      <c r="AH658">
        <v>430</v>
      </c>
      <c r="AI658" s="122">
        <v>70344</v>
      </c>
      <c r="AJ658" s="122">
        <v>63949</v>
      </c>
      <c r="AK658">
        <v>73</v>
      </c>
      <c r="AL658">
        <v>0</v>
      </c>
      <c r="AM658">
        <v>0</v>
      </c>
      <c r="AN658" s="122">
        <v>9007</v>
      </c>
      <c r="AO658" s="122">
        <v>3336</v>
      </c>
      <c r="AP658" s="122">
        <v>4335</v>
      </c>
      <c r="AQ658" s="122">
        <v>1605</v>
      </c>
      <c r="AR658" s="122">
        <v>15138</v>
      </c>
      <c r="AS658" s="122">
        <v>13762</v>
      </c>
      <c r="AT658" s="122">
        <v>3185</v>
      </c>
      <c r="AU658" s="122">
        <v>1179</v>
      </c>
      <c r="AV658" s="122">
        <v>83832</v>
      </c>
    </row>
    <row r="659" spans="2:48" hidden="1">
      <c r="B659" t="s">
        <v>366</v>
      </c>
      <c r="C659" t="s">
        <v>60</v>
      </c>
      <c r="D659" t="s">
        <v>425</v>
      </c>
      <c r="E659" t="s">
        <v>406</v>
      </c>
      <c r="F659">
        <v>1</v>
      </c>
      <c r="G659" s="122">
        <v>149</v>
      </c>
      <c r="H659" s="122">
        <v>349</v>
      </c>
      <c r="I659" s="122">
        <v>31341</v>
      </c>
      <c r="J659" s="122">
        <v>28492</v>
      </c>
      <c r="K659">
        <v>85</v>
      </c>
      <c r="L659" s="122">
        <v>9890</v>
      </c>
      <c r="M659" s="122">
        <v>8991</v>
      </c>
      <c r="N659" s="122">
        <v>3222</v>
      </c>
      <c r="O659" s="122">
        <v>1193</v>
      </c>
      <c r="P659" s="122">
        <v>621</v>
      </c>
      <c r="Q659" s="122">
        <v>230</v>
      </c>
      <c r="R659" s="122">
        <v>3981</v>
      </c>
      <c r="S659" s="122">
        <v>3619</v>
      </c>
      <c r="T659" s="122">
        <v>3013</v>
      </c>
      <c r="U659" s="122">
        <v>1116</v>
      </c>
      <c r="V659" s="122">
        <v>43641</v>
      </c>
      <c r="W659" s="122">
        <f t="shared" si="20"/>
        <v>43641</v>
      </c>
      <c r="X659" s="122">
        <f t="shared" si="21"/>
        <v>52068</v>
      </c>
      <c r="Y659" s="122"/>
      <c r="AA659" t="s">
        <v>54</v>
      </c>
      <c r="AB659" t="s">
        <v>426</v>
      </c>
      <c r="AC659" t="s">
        <v>566</v>
      </c>
      <c r="AD659" t="s">
        <v>426</v>
      </c>
      <c r="AE659" t="s">
        <v>566</v>
      </c>
      <c r="AF659">
        <v>1</v>
      </c>
      <c r="AG659">
        <v>372</v>
      </c>
      <c r="AH659">
        <v>144</v>
      </c>
      <c r="AI659" s="122">
        <v>42285</v>
      </c>
      <c r="AJ659" s="122">
        <v>38441</v>
      </c>
      <c r="AK659">
        <v>78</v>
      </c>
      <c r="AL659" s="122">
        <v>0</v>
      </c>
      <c r="AM659" s="122">
        <v>0</v>
      </c>
      <c r="AN659" s="122">
        <v>5897</v>
      </c>
      <c r="AO659" s="122">
        <v>2184</v>
      </c>
      <c r="AP659" s="122">
        <v>1404</v>
      </c>
      <c r="AQ659">
        <v>520</v>
      </c>
      <c r="AR659" s="122">
        <v>4131</v>
      </c>
      <c r="AS659" s="122">
        <v>3756</v>
      </c>
      <c r="AT659">
        <v>0</v>
      </c>
      <c r="AU659">
        <v>0</v>
      </c>
      <c r="AV659" s="122">
        <v>44901</v>
      </c>
    </row>
    <row r="660" spans="2:48" hidden="1">
      <c r="B660" t="s">
        <v>366</v>
      </c>
      <c r="C660" t="s">
        <v>60</v>
      </c>
      <c r="D660" t="s">
        <v>405</v>
      </c>
      <c r="E660" t="s">
        <v>405</v>
      </c>
      <c r="F660">
        <v>23</v>
      </c>
      <c r="G660" s="122">
        <v>2947</v>
      </c>
      <c r="H660" s="122">
        <v>7766</v>
      </c>
      <c r="I660" s="122">
        <v>631636</v>
      </c>
      <c r="J660" s="122">
        <v>574214</v>
      </c>
      <c r="K660">
        <v>74</v>
      </c>
      <c r="L660" s="122">
        <v>154330</v>
      </c>
      <c r="M660" s="122">
        <v>137212</v>
      </c>
      <c r="N660" s="122">
        <v>64417</v>
      </c>
      <c r="O660" s="122">
        <v>23858</v>
      </c>
      <c r="P660" s="122">
        <v>10679</v>
      </c>
      <c r="Q660" s="122">
        <v>3955</v>
      </c>
      <c r="R660" s="122">
        <v>126740</v>
      </c>
      <c r="S660" s="122">
        <v>115218</v>
      </c>
      <c r="T660" s="122">
        <v>32057</v>
      </c>
      <c r="U660" s="122">
        <v>11873</v>
      </c>
      <c r="V660" s="122">
        <v>866330</v>
      </c>
      <c r="W660" s="122">
        <f t="shared" si="20"/>
        <v>866330</v>
      </c>
      <c r="X660" s="122">
        <f t="shared" si="21"/>
        <v>1019859</v>
      </c>
      <c r="Y660" s="122"/>
      <c r="AA660" t="s">
        <v>54</v>
      </c>
      <c r="AB660" t="s">
        <v>426</v>
      </c>
      <c r="AC660" t="s">
        <v>433</v>
      </c>
      <c r="AD660" t="s">
        <v>137</v>
      </c>
      <c r="AE660" t="s">
        <v>566</v>
      </c>
      <c r="AF660">
        <v>1</v>
      </c>
      <c r="AG660">
        <v>303</v>
      </c>
      <c r="AH660">
        <v>146</v>
      </c>
      <c r="AI660" s="122">
        <v>31573</v>
      </c>
      <c r="AJ660" s="122">
        <v>28703</v>
      </c>
      <c r="AK660">
        <v>55</v>
      </c>
      <c r="AL660" s="122">
        <v>3216</v>
      </c>
      <c r="AM660" s="122">
        <v>2923</v>
      </c>
      <c r="AN660" s="122">
        <v>3686</v>
      </c>
      <c r="AO660" s="122">
        <v>1365</v>
      </c>
      <c r="AP660" s="122">
        <v>351</v>
      </c>
      <c r="AQ660">
        <v>130</v>
      </c>
      <c r="AR660" s="122">
        <v>5269</v>
      </c>
      <c r="AS660" s="122">
        <v>1952</v>
      </c>
      <c r="AT660">
        <v>0</v>
      </c>
      <c r="AU660">
        <v>0</v>
      </c>
      <c r="AV660" s="122">
        <v>35073</v>
      </c>
    </row>
    <row r="661" spans="2:48" hidden="1">
      <c r="B661" t="s">
        <v>366</v>
      </c>
      <c r="C661" t="s">
        <v>60</v>
      </c>
      <c r="D661" t="s">
        <v>137</v>
      </c>
      <c r="E661" t="s">
        <v>137</v>
      </c>
      <c r="F661">
        <v>44</v>
      </c>
      <c r="G661" s="122">
        <v>6180</v>
      </c>
      <c r="H661" s="122">
        <v>14691</v>
      </c>
      <c r="I661" s="122">
        <v>1364358</v>
      </c>
      <c r="J661" s="122">
        <v>505318</v>
      </c>
      <c r="K661">
        <v>100</v>
      </c>
      <c r="L661" s="122">
        <v>280269</v>
      </c>
      <c r="M661" s="122">
        <v>254790</v>
      </c>
      <c r="N661" s="122">
        <v>148929</v>
      </c>
      <c r="O661" s="122">
        <v>55159</v>
      </c>
      <c r="P661" s="122">
        <v>351</v>
      </c>
      <c r="Q661" s="122">
        <v>130</v>
      </c>
      <c r="R661" s="122">
        <v>371314</v>
      </c>
      <c r="S661" s="122">
        <v>137524</v>
      </c>
      <c r="T661" s="122">
        <v>0</v>
      </c>
      <c r="U661" s="122">
        <v>0</v>
      </c>
      <c r="V661" s="122">
        <v>952920</v>
      </c>
      <c r="W661" s="122">
        <f t="shared" si="20"/>
        <v>952921</v>
      </c>
      <c r="X661" s="122">
        <f t="shared" si="21"/>
        <v>2165221</v>
      </c>
      <c r="Y661" s="122"/>
      <c r="AA661" t="s">
        <v>54</v>
      </c>
      <c r="AB661" t="s">
        <v>481</v>
      </c>
      <c r="AC661" t="s">
        <v>405</v>
      </c>
      <c r="AD661" t="s">
        <v>481</v>
      </c>
      <c r="AE661" t="s">
        <v>566</v>
      </c>
      <c r="AF661">
        <v>1</v>
      </c>
      <c r="AG661">
        <v>207</v>
      </c>
      <c r="AH661">
        <v>135</v>
      </c>
      <c r="AI661" s="122">
        <v>18580</v>
      </c>
      <c r="AJ661" s="122">
        <v>16891</v>
      </c>
      <c r="AK661">
        <v>89</v>
      </c>
      <c r="AL661" s="122">
        <v>2042</v>
      </c>
      <c r="AM661" s="122">
        <v>1856</v>
      </c>
      <c r="AN661" s="122">
        <v>3788</v>
      </c>
      <c r="AO661" s="122">
        <v>1403</v>
      </c>
      <c r="AP661" s="122">
        <v>1175</v>
      </c>
      <c r="AQ661">
        <v>435</v>
      </c>
      <c r="AR661" s="122">
        <v>2337</v>
      </c>
      <c r="AS661" s="122">
        <v>2125</v>
      </c>
      <c r="AT661">
        <v>0</v>
      </c>
      <c r="AU661">
        <v>0</v>
      </c>
      <c r="AV661" s="122">
        <v>22710</v>
      </c>
    </row>
    <row r="662" spans="2:48" hidden="1">
      <c r="B662" t="s">
        <v>366</v>
      </c>
      <c r="C662" t="s">
        <v>60</v>
      </c>
      <c r="D662" t="s">
        <v>137</v>
      </c>
      <c r="E662" t="s">
        <v>427</v>
      </c>
      <c r="F662" s="122">
        <v>1</v>
      </c>
      <c r="G662" s="122">
        <v>66</v>
      </c>
      <c r="H662" s="122">
        <v>373</v>
      </c>
      <c r="I662" s="122">
        <v>14301</v>
      </c>
      <c r="J662" s="122">
        <v>5297</v>
      </c>
      <c r="K662">
        <v>100</v>
      </c>
      <c r="L662" s="122">
        <v>1439</v>
      </c>
      <c r="M662" s="122">
        <v>1308</v>
      </c>
      <c r="N662" s="122">
        <v>1440</v>
      </c>
      <c r="O662" s="122">
        <v>533</v>
      </c>
      <c r="P662" s="122">
        <v>0</v>
      </c>
      <c r="Q662" s="122">
        <v>0</v>
      </c>
      <c r="R662" s="122">
        <v>5637</v>
      </c>
      <c r="S662" s="122">
        <v>5124</v>
      </c>
      <c r="T662" s="122">
        <v>1980</v>
      </c>
      <c r="U662" s="122">
        <v>733</v>
      </c>
      <c r="V662" s="122">
        <v>12995</v>
      </c>
      <c r="W662" s="122">
        <f t="shared" si="20"/>
        <v>12995</v>
      </c>
      <c r="X662" s="122">
        <f t="shared" si="21"/>
        <v>24797</v>
      </c>
      <c r="Y662" s="122"/>
      <c r="AA662" t="s">
        <v>54</v>
      </c>
      <c r="AB662" t="s">
        <v>481</v>
      </c>
      <c r="AC662" t="s">
        <v>580</v>
      </c>
      <c r="AD662" t="s">
        <v>481</v>
      </c>
      <c r="AE662" t="s">
        <v>566</v>
      </c>
      <c r="AF662">
        <v>2</v>
      </c>
      <c r="AG662">
        <v>700</v>
      </c>
      <c r="AH662">
        <v>275</v>
      </c>
      <c r="AI662" s="122">
        <v>57741</v>
      </c>
      <c r="AJ662" s="122">
        <v>52492</v>
      </c>
      <c r="AK662">
        <v>78</v>
      </c>
      <c r="AL662" s="122">
        <v>6531</v>
      </c>
      <c r="AM662" s="122">
        <v>5937</v>
      </c>
      <c r="AN662" s="122">
        <v>13922</v>
      </c>
      <c r="AO662" s="122">
        <v>5156</v>
      </c>
      <c r="AP662">
        <v>702</v>
      </c>
      <c r="AQ662">
        <v>260</v>
      </c>
      <c r="AR662" s="122">
        <v>15904</v>
      </c>
      <c r="AS662" s="122">
        <v>14459</v>
      </c>
      <c r="AT662">
        <v>0</v>
      </c>
      <c r="AU662">
        <v>0</v>
      </c>
      <c r="AV662" s="122">
        <v>78304</v>
      </c>
    </row>
    <row r="663" spans="2:48" hidden="1">
      <c r="B663" t="s">
        <v>366</v>
      </c>
      <c r="C663" t="s">
        <v>60</v>
      </c>
      <c r="D663" t="s">
        <v>137</v>
      </c>
      <c r="E663" t="s">
        <v>426</v>
      </c>
      <c r="F663">
        <v>3</v>
      </c>
      <c r="G663">
        <v>239</v>
      </c>
      <c r="H663" s="122">
        <v>1056</v>
      </c>
      <c r="I663" s="122">
        <v>53241</v>
      </c>
      <c r="J663" s="122">
        <v>19719</v>
      </c>
      <c r="K663">
        <v>100</v>
      </c>
      <c r="L663" s="122">
        <v>4336</v>
      </c>
      <c r="M663" s="122">
        <v>3942</v>
      </c>
      <c r="N663" s="122">
        <v>4415</v>
      </c>
      <c r="O663" s="122">
        <v>1635</v>
      </c>
      <c r="P663" s="122">
        <v>0</v>
      </c>
      <c r="Q663">
        <v>0</v>
      </c>
      <c r="R663" s="122">
        <v>17735</v>
      </c>
      <c r="S663" s="122">
        <v>16123</v>
      </c>
      <c r="T663" s="122">
        <v>4520</v>
      </c>
      <c r="U663" s="122">
        <v>1674</v>
      </c>
      <c r="V663" s="122">
        <v>43093</v>
      </c>
      <c r="W663" s="122">
        <f t="shared" si="20"/>
        <v>43093</v>
      </c>
      <c r="X663" s="122">
        <f t="shared" si="21"/>
        <v>84247</v>
      </c>
      <c r="Y663" s="122"/>
      <c r="AA663" t="s">
        <v>54</v>
      </c>
      <c r="AB663" t="s">
        <v>481</v>
      </c>
      <c r="AC663" t="s">
        <v>426</v>
      </c>
      <c r="AD663" t="s">
        <v>481</v>
      </c>
      <c r="AE663" t="s">
        <v>566</v>
      </c>
      <c r="AF663">
        <v>2</v>
      </c>
      <c r="AG663">
        <v>609</v>
      </c>
      <c r="AH663">
        <v>272</v>
      </c>
      <c r="AI663" s="122">
        <v>51009</v>
      </c>
      <c r="AJ663" s="122">
        <v>46372</v>
      </c>
      <c r="AK663">
        <v>84</v>
      </c>
      <c r="AL663" s="122">
        <v>7912</v>
      </c>
      <c r="AM663" s="122">
        <v>7193</v>
      </c>
      <c r="AN663" s="122">
        <v>11013</v>
      </c>
      <c r="AO663" s="122">
        <v>4079</v>
      </c>
      <c r="AP663" s="122">
        <v>702</v>
      </c>
      <c r="AQ663">
        <v>260</v>
      </c>
      <c r="AR663" s="122">
        <v>11972</v>
      </c>
      <c r="AS663" s="122">
        <v>10884</v>
      </c>
      <c r="AT663">
        <v>0</v>
      </c>
      <c r="AU663">
        <v>0</v>
      </c>
      <c r="AV663" s="122">
        <v>68787</v>
      </c>
    </row>
    <row r="664" spans="2:48" hidden="1">
      <c r="B664" t="s">
        <v>366</v>
      </c>
      <c r="C664" t="s">
        <v>60</v>
      </c>
      <c r="D664" t="s">
        <v>406</v>
      </c>
      <c r="E664" t="s">
        <v>137</v>
      </c>
      <c r="F664">
        <v>6</v>
      </c>
      <c r="G664" s="122">
        <v>609</v>
      </c>
      <c r="H664" s="122">
        <v>2031</v>
      </c>
      <c r="I664" s="122">
        <v>111488</v>
      </c>
      <c r="J664" s="122">
        <v>101352</v>
      </c>
      <c r="K664">
        <v>80</v>
      </c>
      <c r="L664" s="122">
        <v>26437</v>
      </c>
      <c r="M664" s="122">
        <v>24034</v>
      </c>
      <c r="N664" s="122">
        <v>14328</v>
      </c>
      <c r="O664" s="122">
        <v>5307</v>
      </c>
      <c r="P664" s="122">
        <v>3726</v>
      </c>
      <c r="Q664" s="122">
        <v>1380</v>
      </c>
      <c r="R664" s="122">
        <v>62148</v>
      </c>
      <c r="S664" s="122">
        <v>23018</v>
      </c>
      <c r="T664" s="122">
        <v>0</v>
      </c>
      <c r="U664" s="122">
        <v>0</v>
      </c>
      <c r="V664" s="122">
        <v>155090</v>
      </c>
      <c r="W664" s="122">
        <f t="shared" si="20"/>
        <v>155091</v>
      </c>
      <c r="X664" s="122">
        <f t="shared" si="21"/>
        <v>218127</v>
      </c>
      <c r="Y664" s="122"/>
      <c r="AA664" t="s">
        <v>54</v>
      </c>
      <c r="AB664" t="s">
        <v>481</v>
      </c>
      <c r="AC664" t="s">
        <v>433</v>
      </c>
      <c r="AD664" t="s">
        <v>481</v>
      </c>
      <c r="AE664" t="s">
        <v>137</v>
      </c>
      <c r="AF664">
        <v>1</v>
      </c>
      <c r="AG664">
        <v>213</v>
      </c>
      <c r="AH664">
        <v>144</v>
      </c>
      <c r="AI664" s="122">
        <v>16216</v>
      </c>
      <c r="AJ664" s="122">
        <v>14742</v>
      </c>
      <c r="AK664">
        <v>87</v>
      </c>
      <c r="AL664" s="122">
        <v>2613</v>
      </c>
      <c r="AM664" s="122">
        <v>2375</v>
      </c>
      <c r="AN664" s="122">
        <v>5198</v>
      </c>
      <c r="AO664" s="122">
        <v>1925</v>
      </c>
      <c r="AP664" s="122">
        <v>1053</v>
      </c>
      <c r="AQ664">
        <v>390</v>
      </c>
      <c r="AR664" s="122">
        <v>5624</v>
      </c>
      <c r="AS664" s="122">
        <v>5113</v>
      </c>
      <c r="AT664">
        <v>0</v>
      </c>
      <c r="AU664">
        <v>0</v>
      </c>
      <c r="AV664" s="122">
        <v>24545</v>
      </c>
    </row>
    <row r="665" spans="2:48" hidden="1">
      <c r="B665" t="s">
        <v>366</v>
      </c>
      <c r="C665" t="s">
        <v>60</v>
      </c>
      <c r="D665" t="s">
        <v>406</v>
      </c>
      <c r="E665" t="s">
        <v>406</v>
      </c>
      <c r="F665" s="122">
        <v>1297</v>
      </c>
      <c r="G665" s="122">
        <v>147704</v>
      </c>
      <c r="H665" s="122">
        <v>436937</v>
      </c>
      <c r="I665" s="122">
        <v>31596098</v>
      </c>
      <c r="J665" s="122">
        <v>28723725</v>
      </c>
      <c r="K665">
        <v>76</v>
      </c>
      <c r="L665" s="122">
        <v>5970997</v>
      </c>
      <c r="M665" s="122">
        <v>5255864</v>
      </c>
      <c r="N665" s="122">
        <v>3148984</v>
      </c>
      <c r="O665" s="122">
        <v>1166291</v>
      </c>
      <c r="P665" s="122">
        <v>861793</v>
      </c>
      <c r="Q665" s="122">
        <v>319183</v>
      </c>
      <c r="R665" s="122">
        <v>6711549</v>
      </c>
      <c r="S665" s="122">
        <v>6101408</v>
      </c>
      <c r="T665" s="122">
        <v>2240359</v>
      </c>
      <c r="U665" s="122">
        <v>829763</v>
      </c>
      <c r="V665" s="122">
        <v>42396233</v>
      </c>
      <c r="W665" s="122">
        <f t="shared" si="20"/>
        <v>42396234</v>
      </c>
      <c r="X665" s="122">
        <f t="shared" si="21"/>
        <v>50529780</v>
      </c>
      <c r="Y665" s="122"/>
      <c r="AA665" t="s">
        <v>54</v>
      </c>
      <c r="AB665" t="s">
        <v>433</v>
      </c>
      <c r="AC665" t="s">
        <v>137</v>
      </c>
      <c r="AD665" t="s">
        <v>137</v>
      </c>
      <c r="AE665" t="s">
        <v>566</v>
      </c>
      <c r="AF665">
        <v>1</v>
      </c>
      <c r="AG665">
        <v>133</v>
      </c>
      <c r="AH665">
        <v>138</v>
      </c>
      <c r="AI665" s="122">
        <v>6817</v>
      </c>
      <c r="AJ665" s="122">
        <v>6198</v>
      </c>
      <c r="AK665">
        <v>80</v>
      </c>
      <c r="AL665" s="122">
        <v>1487</v>
      </c>
      <c r="AM665" s="122">
        <v>551</v>
      </c>
      <c r="AN665" s="122">
        <v>1699</v>
      </c>
      <c r="AO665">
        <v>629</v>
      </c>
      <c r="AP665">
        <v>0</v>
      </c>
      <c r="AQ665">
        <v>0</v>
      </c>
      <c r="AR665" s="122">
        <v>8295</v>
      </c>
      <c r="AS665" s="122">
        <v>3072</v>
      </c>
      <c r="AT665">
        <v>0</v>
      </c>
      <c r="AU665">
        <v>0</v>
      </c>
      <c r="AV665" s="122">
        <v>10450</v>
      </c>
    </row>
    <row r="666" spans="2:48" hidden="1">
      <c r="B666" t="s">
        <v>366</v>
      </c>
      <c r="C666" t="s">
        <v>60</v>
      </c>
      <c r="D666" t="s">
        <v>406</v>
      </c>
      <c r="E666" t="s">
        <v>427</v>
      </c>
      <c r="F666">
        <v>3</v>
      </c>
      <c r="G666" s="122">
        <v>326</v>
      </c>
      <c r="H666" s="122">
        <v>1016</v>
      </c>
      <c r="I666" s="122">
        <v>72170</v>
      </c>
      <c r="J666" s="122">
        <v>65609</v>
      </c>
      <c r="K666">
        <v>73</v>
      </c>
      <c r="L666" s="122">
        <v>11871</v>
      </c>
      <c r="M666" s="122">
        <v>10791</v>
      </c>
      <c r="N666" s="122">
        <v>7121</v>
      </c>
      <c r="O666" s="122">
        <v>2637</v>
      </c>
      <c r="P666" s="122">
        <v>1863</v>
      </c>
      <c r="Q666" s="122">
        <v>690</v>
      </c>
      <c r="R666" s="122">
        <v>13746</v>
      </c>
      <c r="S666" s="122">
        <v>12497</v>
      </c>
      <c r="T666" s="122">
        <v>3696</v>
      </c>
      <c r="U666" s="122">
        <v>1369</v>
      </c>
      <c r="V666" s="122">
        <v>93593</v>
      </c>
      <c r="W666" s="122">
        <f t="shared" si="20"/>
        <v>93593</v>
      </c>
      <c r="X666" s="122">
        <f t="shared" si="21"/>
        <v>110467</v>
      </c>
      <c r="Y666" s="122"/>
      <c r="AA666" t="s">
        <v>54</v>
      </c>
      <c r="AB666" t="s">
        <v>433</v>
      </c>
      <c r="AC666" t="s">
        <v>427</v>
      </c>
      <c r="AD666" t="s">
        <v>433</v>
      </c>
      <c r="AE666" t="s">
        <v>566</v>
      </c>
      <c r="AF666">
        <v>1</v>
      </c>
      <c r="AG666">
        <v>171</v>
      </c>
      <c r="AH666">
        <v>130</v>
      </c>
      <c r="AI666" s="122">
        <v>18364</v>
      </c>
      <c r="AJ666" s="122">
        <v>16694</v>
      </c>
      <c r="AK666">
        <v>55</v>
      </c>
      <c r="AL666" s="122">
        <v>1870</v>
      </c>
      <c r="AM666" s="122">
        <v>1700</v>
      </c>
      <c r="AN666" s="122">
        <v>2376</v>
      </c>
      <c r="AO666" s="122">
        <v>880</v>
      </c>
      <c r="AP666">
        <v>351</v>
      </c>
      <c r="AQ666">
        <v>130</v>
      </c>
      <c r="AR666" s="122">
        <v>-646</v>
      </c>
      <c r="AS666" s="122">
        <v>-587</v>
      </c>
      <c r="AT666" s="122">
        <v>0</v>
      </c>
      <c r="AU666" s="122">
        <v>0</v>
      </c>
      <c r="AV666" s="122">
        <v>18817</v>
      </c>
    </row>
    <row r="667" spans="2:48" hidden="1">
      <c r="B667" t="s">
        <v>366</v>
      </c>
      <c r="C667" t="s">
        <v>60</v>
      </c>
      <c r="D667" t="s">
        <v>406</v>
      </c>
      <c r="E667" t="s">
        <v>426</v>
      </c>
      <c r="F667">
        <v>2</v>
      </c>
      <c r="G667">
        <v>219</v>
      </c>
      <c r="H667" s="122">
        <v>722</v>
      </c>
      <c r="I667" s="122">
        <v>48441</v>
      </c>
      <c r="J667" s="122">
        <v>44037</v>
      </c>
      <c r="K667">
        <v>77</v>
      </c>
      <c r="L667" s="122">
        <v>8995</v>
      </c>
      <c r="M667" s="122">
        <v>8177</v>
      </c>
      <c r="N667" s="122">
        <v>4785</v>
      </c>
      <c r="O667" s="122">
        <v>1772</v>
      </c>
      <c r="P667" s="122">
        <v>1242</v>
      </c>
      <c r="Q667" s="122">
        <v>460</v>
      </c>
      <c r="R667" s="122">
        <v>13923</v>
      </c>
      <c r="S667" s="122">
        <v>12657</v>
      </c>
      <c r="T667" s="122">
        <v>2244</v>
      </c>
      <c r="U667" s="122">
        <v>831</v>
      </c>
      <c r="V667" s="122">
        <v>67934</v>
      </c>
      <c r="W667" s="122">
        <f t="shared" si="20"/>
        <v>67934</v>
      </c>
      <c r="X667" s="122">
        <f t="shared" si="21"/>
        <v>79630</v>
      </c>
      <c r="Y667" s="122"/>
      <c r="AA667" t="s">
        <v>54</v>
      </c>
      <c r="AB667" t="s">
        <v>433</v>
      </c>
      <c r="AC667" t="s">
        <v>426</v>
      </c>
      <c r="AD667" t="s">
        <v>433</v>
      </c>
      <c r="AE667" t="s">
        <v>137</v>
      </c>
      <c r="AF667">
        <v>1</v>
      </c>
      <c r="AG667">
        <v>195</v>
      </c>
      <c r="AH667">
        <v>138</v>
      </c>
      <c r="AI667" s="122">
        <v>13045</v>
      </c>
      <c r="AJ667" s="122">
        <v>11859</v>
      </c>
      <c r="AK667">
        <v>80</v>
      </c>
      <c r="AL667" s="122">
        <v>1933</v>
      </c>
      <c r="AM667" s="122">
        <v>1757</v>
      </c>
      <c r="AN667" s="122">
        <v>3566</v>
      </c>
      <c r="AO667" s="122">
        <v>1321</v>
      </c>
      <c r="AP667" s="122">
        <v>351</v>
      </c>
      <c r="AQ667" s="122">
        <v>130</v>
      </c>
      <c r="AR667" s="122">
        <v>4931</v>
      </c>
      <c r="AS667" s="122">
        <v>4483</v>
      </c>
      <c r="AT667" s="122">
        <v>3179</v>
      </c>
      <c r="AU667" s="122">
        <v>1177</v>
      </c>
      <c r="AV667" s="122">
        <v>20726</v>
      </c>
    </row>
    <row r="668" spans="2:48" hidden="1">
      <c r="B668" t="s">
        <v>366</v>
      </c>
      <c r="C668" t="s">
        <v>60</v>
      </c>
      <c r="D668" t="s">
        <v>427</v>
      </c>
      <c r="E668" t="s">
        <v>137</v>
      </c>
      <c r="F668">
        <v>2</v>
      </c>
      <c r="G668" s="122">
        <v>277</v>
      </c>
      <c r="H668" s="122">
        <v>696</v>
      </c>
      <c r="I668" s="122">
        <v>65630</v>
      </c>
      <c r="J668" s="122">
        <v>59663</v>
      </c>
      <c r="K668">
        <v>30</v>
      </c>
      <c r="L668" s="122">
        <v>4107</v>
      </c>
      <c r="M668" s="122">
        <v>3733</v>
      </c>
      <c r="N668" s="122">
        <v>6754</v>
      </c>
      <c r="O668" s="122">
        <v>2501</v>
      </c>
      <c r="P668" s="122">
        <v>0</v>
      </c>
      <c r="Q668" s="122">
        <v>0</v>
      </c>
      <c r="R668" s="122">
        <v>18220</v>
      </c>
      <c r="S668" s="122">
        <v>6748</v>
      </c>
      <c r="T668" s="122">
        <v>2584</v>
      </c>
      <c r="U668" s="122">
        <v>957</v>
      </c>
      <c r="V668" s="122">
        <v>73603</v>
      </c>
      <c r="W668" s="122">
        <f t="shared" si="20"/>
        <v>73602</v>
      </c>
      <c r="X668" s="122">
        <f t="shared" si="21"/>
        <v>97295</v>
      </c>
      <c r="Y668" s="122"/>
      <c r="AA668" t="s">
        <v>54</v>
      </c>
      <c r="AB668" t="s">
        <v>433</v>
      </c>
      <c r="AC668" t="s">
        <v>426</v>
      </c>
      <c r="AD668" t="s">
        <v>433</v>
      </c>
      <c r="AE668" t="s">
        <v>566</v>
      </c>
      <c r="AF668">
        <v>3</v>
      </c>
      <c r="AG668">
        <v>933</v>
      </c>
      <c r="AH668">
        <v>423</v>
      </c>
      <c r="AI668" s="122">
        <v>77820</v>
      </c>
      <c r="AJ668" s="122">
        <v>70746</v>
      </c>
      <c r="AK668">
        <v>85</v>
      </c>
      <c r="AL668" s="122">
        <v>14878</v>
      </c>
      <c r="AM668" s="122">
        <v>13526</v>
      </c>
      <c r="AN668" s="122">
        <v>15629</v>
      </c>
      <c r="AO668" s="122">
        <v>5788</v>
      </c>
      <c r="AP668" s="122">
        <v>4221</v>
      </c>
      <c r="AQ668" s="122">
        <v>1563</v>
      </c>
      <c r="AR668" s="122">
        <v>18160</v>
      </c>
      <c r="AS668" s="122">
        <v>16509</v>
      </c>
      <c r="AT668">
        <v>0</v>
      </c>
      <c r="AU668">
        <v>0</v>
      </c>
      <c r="AV668" s="122">
        <v>108132</v>
      </c>
    </row>
    <row r="669" spans="2:48" hidden="1">
      <c r="B669" t="s">
        <v>366</v>
      </c>
      <c r="C669" t="s">
        <v>60</v>
      </c>
      <c r="D669" t="s">
        <v>427</v>
      </c>
      <c r="E669" t="s">
        <v>427</v>
      </c>
      <c r="F669">
        <v>8</v>
      </c>
      <c r="G669" s="122">
        <v>665</v>
      </c>
      <c r="H669" s="122">
        <v>2698</v>
      </c>
      <c r="I669" s="122">
        <v>138734</v>
      </c>
      <c r="J669" s="122">
        <v>126122</v>
      </c>
      <c r="K669">
        <v>58</v>
      </c>
      <c r="L669" s="122">
        <v>13478</v>
      </c>
      <c r="M669" s="122">
        <v>12252</v>
      </c>
      <c r="N669" s="122">
        <v>13500</v>
      </c>
      <c r="O669" s="122">
        <v>5000</v>
      </c>
      <c r="P669" s="122">
        <v>3078</v>
      </c>
      <c r="Q669" s="122">
        <v>1140</v>
      </c>
      <c r="R669" s="122">
        <v>36462</v>
      </c>
      <c r="S669" s="122">
        <v>33147</v>
      </c>
      <c r="T669" s="122">
        <v>19022</v>
      </c>
      <c r="U669" s="122">
        <v>7045</v>
      </c>
      <c r="V669" s="122">
        <v>184707</v>
      </c>
      <c r="W669" s="122">
        <f t="shared" si="20"/>
        <v>184706</v>
      </c>
      <c r="X669" s="122">
        <f t="shared" si="21"/>
        <v>224274</v>
      </c>
      <c r="Y669" s="122"/>
      <c r="AA669" t="s">
        <v>54</v>
      </c>
      <c r="AB669" t="s">
        <v>433</v>
      </c>
      <c r="AC669" t="s">
        <v>566</v>
      </c>
      <c r="AD669" t="s">
        <v>137</v>
      </c>
      <c r="AE669" t="s">
        <v>566</v>
      </c>
      <c r="AF669">
        <v>1</v>
      </c>
      <c r="AG669">
        <v>164</v>
      </c>
      <c r="AH669">
        <v>146</v>
      </c>
      <c r="AI669" s="122">
        <v>12924</v>
      </c>
      <c r="AJ669" s="122">
        <v>11749</v>
      </c>
      <c r="AK669">
        <v>79</v>
      </c>
      <c r="AL669">
        <v>0</v>
      </c>
      <c r="AM669">
        <v>0</v>
      </c>
      <c r="AN669" s="122">
        <v>1995</v>
      </c>
      <c r="AO669" s="122">
        <v>739</v>
      </c>
      <c r="AP669" s="122">
        <v>1354</v>
      </c>
      <c r="AQ669" s="122">
        <v>501</v>
      </c>
      <c r="AR669" s="122">
        <v>7571</v>
      </c>
      <c r="AS669" s="122">
        <v>2804</v>
      </c>
      <c r="AT669" s="122">
        <v>0</v>
      </c>
      <c r="AU669" s="122">
        <v>0</v>
      </c>
      <c r="AV669" s="122">
        <v>15794</v>
      </c>
    </row>
    <row r="670" spans="2:48" hidden="1">
      <c r="B670" t="s">
        <v>366</v>
      </c>
      <c r="C670" t="s">
        <v>60</v>
      </c>
      <c r="D670" t="s">
        <v>556</v>
      </c>
      <c r="E670" t="s">
        <v>556</v>
      </c>
      <c r="F670">
        <v>4</v>
      </c>
      <c r="G670" s="122">
        <v>501</v>
      </c>
      <c r="H670" s="122">
        <v>1281</v>
      </c>
      <c r="I670" s="122">
        <v>102499</v>
      </c>
      <c r="J670" s="122">
        <v>85416</v>
      </c>
      <c r="K670">
        <v>59</v>
      </c>
      <c r="L670" s="122">
        <v>9391</v>
      </c>
      <c r="M670" s="122">
        <v>7177</v>
      </c>
      <c r="N670" s="122">
        <v>8540</v>
      </c>
      <c r="O670" s="122">
        <v>3163</v>
      </c>
      <c r="P670" s="122">
        <v>1944</v>
      </c>
      <c r="Q670" s="122">
        <v>720</v>
      </c>
      <c r="R670" s="122">
        <v>24881</v>
      </c>
      <c r="S670" s="122">
        <v>20734</v>
      </c>
      <c r="T670" s="122">
        <v>11648</v>
      </c>
      <c r="U670" s="122">
        <v>4314</v>
      </c>
      <c r="V670" s="122">
        <v>121524</v>
      </c>
      <c r="W670" s="122">
        <f t="shared" si="20"/>
        <v>121524</v>
      </c>
      <c r="X670" s="122">
        <f t="shared" si="21"/>
        <v>158903</v>
      </c>
      <c r="Y670" s="122"/>
      <c r="AA670" t="s">
        <v>54</v>
      </c>
      <c r="AB670" t="s">
        <v>433</v>
      </c>
      <c r="AC670" t="s">
        <v>566</v>
      </c>
      <c r="AD670" t="s">
        <v>433</v>
      </c>
      <c r="AE670" t="s">
        <v>137</v>
      </c>
      <c r="AF670">
        <v>1</v>
      </c>
      <c r="AG670">
        <v>258</v>
      </c>
      <c r="AH670">
        <v>131</v>
      </c>
      <c r="AI670" s="122">
        <v>19703</v>
      </c>
      <c r="AJ670" s="122">
        <v>17912</v>
      </c>
      <c r="AK670">
        <v>86</v>
      </c>
      <c r="AL670">
        <v>0</v>
      </c>
      <c r="AM670">
        <v>0</v>
      </c>
      <c r="AN670" s="122">
        <v>3148</v>
      </c>
      <c r="AO670" s="122">
        <v>1166</v>
      </c>
      <c r="AP670" s="122">
        <v>4442</v>
      </c>
      <c r="AQ670" s="122">
        <v>1645</v>
      </c>
      <c r="AR670" s="122">
        <v>3863</v>
      </c>
      <c r="AS670" s="122">
        <v>3512</v>
      </c>
      <c r="AT670" s="122">
        <v>2717</v>
      </c>
      <c r="AU670" s="122">
        <v>1006</v>
      </c>
      <c r="AV670" s="122">
        <v>25242</v>
      </c>
    </row>
    <row r="671" spans="2:48" hidden="1">
      <c r="B671" t="s">
        <v>366</v>
      </c>
      <c r="C671" t="s">
        <v>60</v>
      </c>
      <c r="D671" t="s">
        <v>431</v>
      </c>
      <c r="E671" t="s">
        <v>431</v>
      </c>
      <c r="F671">
        <v>3</v>
      </c>
      <c r="G671" s="122">
        <v>295</v>
      </c>
      <c r="H671" s="122">
        <v>1028</v>
      </c>
      <c r="I671" s="122">
        <v>62714</v>
      </c>
      <c r="J671" s="122">
        <v>57013</v>
      </c>
      <c r="K671">
        <v>58</v>
      </c>
      <c r="L671" s="122">
        <v>8087</v>
      </c>
      <c r="M671" s="122">
        <v>7352</v>
      </c>
      <c r="N671" s="122">
        <v>5959</v>
      </c>
      <c r="O671" s="122">
        <v>2207</v>
      </c>
      <c r="P671" s="122">
        <v>1053</v>
      </c>
      <c r="Q671" s="122">
        <v>390</v>
      </c>
      <c r="R671" s="122">
        <v>17749</v>
      </c>
      <c r="S671" s="122">
        <v>16135</v>
      </c>
      <c r="T671" s="122">
        <v>6219</v>
      </c>
      <c r="U671" s="122">
        <v>2303</v>
      </c>
      <c r="V671" s="122">
        <v>85401</v>
      </c>
      <c r="W671" s="122">
        <f t="shared" si="20"/>
        <v>85400</v>
      </c>
      <c r="X671" s="122">
        <f t="shared" si="21"/>
        <v>101781</v>
      </c>
      <c r="Y671" s="122"/>
      <c r="AA671" t="s">
        <v>54</v>
      </c>
      <c r="AB671" t="s">
        <v>433</v>
      </c>
      <c r="AC671" t="s">
        <v>566</v>
      </c>
      <c r="AD671" t="s">
        <v>433</v>
      </c>
      <c r="AE671" t="s">
        <v>566</v>
      </c>
      <c r="AF671">
        <v>1</v>
      </c>
      <c r="AG671">
        <v>212</v>
      </c>
      <c r="AH671">
        <v>138</v>
      </c>
      <c r="AI671" s="122">
        <v>18562</v>
      </c>
      <c r="AJ671" s="122">
        <v>16874</v>
      </c>
      <c r="AK671">
        <v>71</v>
      </c>
      <c r="AL671" s="122">
        <v>0</v>
      </c>
      <c r="AM671" s="122">
        <v>0</v>
      </c>
      <c r="AN671" s="122">
        <v>2581</v>
      </c>
      <c r="AO671" s="122">
        <v>956</v>
      </c>
      <c r="AP671" s="122">
        <v>351</v>
      </c>
      <c r="AQ671">
        <v>130</v>
      </c>
      <c r="AR671" s="122">
        <v>7720</v>
      </c>
      <c r="AS671" s="122">
        <v>7018</v>
      </c>
      <c r="AT671">
        <v>0</v>
      </c>
      <c r="AU671">
        <v>0</v>
      </c>
      <c r="AV671" s="122">
        <v>24978</v>
      </c>
    </row>
    <row r="672" spans="2:48" hidden="1">
      <c r="B672" t="s">
        <v>366</v>
      </c>
      <c r="C672" t="s">
        <v>60</v>
      </c>
      <c r="D672" t="s">
        <v>426</v>
      </c>
      <c r="E672" t="s">
        <v>137</v>
      </c>
      <c r="F672">
        <v>2</v>
      </c>
      <c r="G672">
        <v>148</v>
      </c>
      <c r="H672" s="122">
        <v>674</v>
      </c>
      <c r="I672" s="122">
        <v>30682</v>
      </c>
      <c r="J672" s="122">
        <v>27892</v>
      </c>
      <c r="K672">
        <v>58</v>
      </c>
      <c r="L672" s="122">
        <v>7332</v>
      </c>
      <c r="M672" s="122">
        <v>2716</v>
      </c>
      <c r="N672" s="122">
        <v>2542</v>
      </c>
      <c r="O672" s="122">
        <v>942</v>
      </c>
      <c r="P672" s="122">
        <v>0</v>
      </c>
      <c r="Q672" s="122">
        <v>0</v>
      </c>
      <c r="R672" s="122">
        <v>9173</v>
      </c>
      <c r="S672" s="122">
        <v>3397</v>
      </c>
      <c r="T672" s="122">
        <v>0</v>
      </c>
      <c r="U672" s="122">
        <v>0</v>
      </c>
      <c r="V672" s="122">
        <v>34947</v>
      </c>
      <c r="W672" s="122">
        <f t="shared" si="20"/>
        <v>34947</v>
      </c>
      <c r="X672" s="122">
        <f t="shared" si="21"/>
        <v>49729</v>
      </c>
      <c r="Y672" s="122"/>
      <c r="AA672" t="s">
        <v>54</v>
      </c>
      <c r="AB672" t="s">
        <v>433</v>
      </c>
      <c r="AC672" t="s">
        <v>433</v>
      </c>
      <c r="AD672" t="s">
        <v>433</v>
      </c>
      <c r="AE672" t="s">
        <v>137</v>
      </c>
      <c r="AF672">
        <v>2</v>
      </c>
      <c r="AG672">
        <v>375</v>
      </c>
      <c r="AH672">
        <v>286</v>
      </c>
      <c r="AI672" s="122">
        <v>36427</v>
      </c>
      <c r="AJ672" s="122">
        <v>33116</v>
      </c>
      <c r="AK672">
        <v>65</v>
      </c>
      <c r="AL672" s="122">
        <v>4385</v>
      </c>
      <c r="AM672" s="122">
        <v>3986</v>
      </c>
      <c r="AN672" s="122">
        <v>4760</v>
      </c>
      <c r="AO672" s="122">
        <v>1763</v>
      </c>
      <c r="AP672" s="122">
        <v>2291</v>
      </c>
      <c r="AQ672">
        <v>848</v>
      </c>
      <c r="AR672" s="122">
        <v>5693</v>
      </c>
      <c r="AS672" s="122">
        <v>5175</v>
      </c>
      <c r="AT672">
        <v>107</v>
      </c>
      <c r="AU672">
        <v>40</v>
      </c>
      <c r="AV672" s="122">
        <v>44928</v>
      </c>
    </row>
    <row r="673" spans="2:48" hidden="1">
      <c r="B673" t="s">
        <v>366</v>
      </c>
      <c r="C673" t="s">
        <v>60</v>
      </c>
      <c r="D673" t="s">
        <v>426</v>
      </c>
      <c r="E673" t="s">
        <v>426</v>
      </c>
      <c r="F673">
        <v>119</v>
      </c>
      <c r="G673" s="122">
        <v>11885</v>
      </c>
      <c r="H673" s="122">
        <v>41326</v>
      </c>
      <c r="I673" s="122">
        <v>2593863</v>
      </c>
      <c r="J673" s="122">
        <v>2358057</v>
      </c>
      <c r="K673">
        <v>59</v>
      </c>
      <c r="L673" s="122">
        <v>329177</v>
      </c>
      <c r="M673" s="122">
        <v>292329</v>
      </c>
      <c r="N673" s="122">
        <v>245878</v>
      </c>
      <c r="O673" s="122">
        <v>91066</v>
      </c>
      <c r="P673" s="122">
        <v>48978</v>
      </c>
      <c r="Q673" s="122">
        <v>18140</v>
      </c>
      <c r="R673" s="122">
        <v>638019</v>
      </c>
      <c r="S673" s="122">
        <v>580017</v>
      </c>
      <c r="T673" s="122">
        <v>281896</v>
      </c>
      <c r="U673" s="122">
        <v>104406</v>
      </c>
      <c r="V673" s="122">
        <v>3444015</v>
      </c>
      <c r="W673" s="122">
        <f t="shared" si="20"/>
        <v>3444015</v>
      </c>
      <c r="X673" s="122">
        <f t="shared" si="21"/>
        <v>4137811</v>
      </c>
      <c r="Y673" s="122"/>
      <c r="AA673" t="s">
        <v>54</v>
      </c>
      <c r="AB673" t="s">
        <v>433</v>
      </c>
      <c r="AC673" t="s">
        <v>433</v>
      </c>
      <c r="AD673" t="s">
        <v>433</v>
      </c>
      <c r="AE673" t="s">
        <v>566</v>
      </c>
      <c r="AF673">
        <v>2</v>
      </c>
      <c r="AG673">
        <v>390</v>
      </c>
      <c r="AH673">
        <v>297</v>
      </c>
      <c r="AI673" s="122">
        <v>56137</v>
      </c>
      <c r="AJ673" s="122">
        <v>51034</v>
      </c>
      <c r="AK673">
        <v>63</v>
      </c>
      <c r="AL673" s="122">
        <v>5933</v>
      </c>
      <c r="AM673" s="122">
        <v>5393</v>
      </c>
      <c r="AN673" s="122">
        <v>5793</v>
      </c>
      <c r="AO673" s="122">
        <v>2146</v>
      </c>
      <c r="AP673" s="122">
        <v>1323</v>
      </c>
      <c r="AQ673">
        <v>490</v>
      </c>
      <c r="AR673" s="122">
        <v>1390</v>
      </c>
      <c r="AS673" s="122">
        <v>1263</v>
      </c>
      <c r="AT673">
        <v>0</v>
      </c>
      <c r="AU673">
        <v>0</v>
      </c>
      <c r="AV673" s="122">
        <v>60326</v>
      </c>
    </row>
    <row r="674" spans="2:48" hidden="1">
      <c r="B674" t="s">
        <v>366</v>
      </c>
      <c r="C674" t="s">
        <v>60</v>
      </c>
      <c r="D674" t="s">
        <v>433</v>
      </c>
      <c r="E674" t="s">
        <v>433</v>
      </c>
      <c r="F674">
        <v>1</v>
      </c>
      <c r="G674" s="122">
        <v>116</v>
      </c>
      <c r="H674" s="122">
        <v>311</v>
      </c>
      <c r="I674" s="122">
        <v>22232</v>
      </c>
      <c r="J674" s="122">
        <v>20211</v>
      </c>
      <c r="K674">
        <v>65</v>
      </c>
      <c r="L674" s="122">
        <v>5352</v>
      </c>
      <c r="M674" s="122">
        <v>4866</v>
      </c>
      <c r="N674" s="122">
        <v>1410</v>
      </c>
      <c r="O674" s="122">
        <v>522</v>
      </c>
      <c r="P674" s="122">
        <v>351</v>
      </c>
      <c r="Q674" s="122">
        <v>130</v>
      </c>
      <c r="R674" s="122">
        <v>4030</v>
      </c>
      <c r="S674" s="122">
        <v>3664</v>
      </c>
      <c r="T674" s="122">
        <v>2623</v>
      </c>
      <c r="U674">
        <v>972</v>
      </c>
      <c r="V674" s="122">
        <v>30364</v>
      </c>
      <c r="W674" s="122">
        <f t="shared" si="20"/>
        <v>30365</v>
      </c>
      <c r="X674" s="122">
        <f t="shared" si="21"/>
        <v>35998</v>
      </c>
      <c r="Y674" s="122"/>
      <c r="AA674" t="s">
        <v>54</v>
      </c>
      <c r="AB674" t="s">
        <v>433</v>
      </c>
      <c r="AC674" t="s">
        <v>429</v>
      </c>
      <c r="AD674" t="s">
        <v>433</v>
      </c>
      <c r="AE674" t="s">
        <v>566</v>
      </c>
      <c r="AF674">
        <v>1</v>
      </c>
      <c r="AG674">
        <v>215</v>
      </c>
      <c r="AH674">
        <v>130</v>
      </c>
      <c r="AI674" s="122">
        <v>18770</v>
      </c>
      <c r="AJ674" s="122">
        <v>17063</v>
      </c>
      <c r="AK674">
        <v>83</v>
      </c>
      <c r="AL674" s="122">
        <v>2650</v>
      </c>
      <c r="AM674" s="122">
        <v>2409</v>
      </c>
      <c r="AN674" s="122">
        <v>5390</v>
      </c>
      <c r="AO674" s="122">
        <v>1996</v>
      </c>
      <c r="AP674" s="122">
        <v>351</v>
      </c>
      <c r="AQ674" s="122">
        <v>130</v>
      </c>
      <c r="AR674" s="122">
        <v>7555</v>
      </c>
      <c r="AS674" s="122">
        <v>6868</v>
      </c>
      <c r="AT674">
        <v>0</v>
      </c>
      <c r="AU674">
        <v>0</v>
      </c>
      <c r="AV674" s="122">
        <v>28467</v>
      </c>
    </row>
    <row r="675" spans="2:48" hidden="1">
      <c r="B675" t="s">
        <v>366</v>
      </c>
      <c r="C675" t="s">
        <v>60</v>
      </c>
      <c r="D675" t="s">
        <v>408</v>
      </c>
      <c r="E675" t="s">
        <v>408</v>
      </c>
      <c r="F675">
        <v>1</v>
      </c>
      <c r="G675" s="122">
        <v>188</v>
      </c>
      <c r="H675" s="122">
        <v>337</v>
      </c>
      <c r="I675" s="122">
        <v>47290</v>
      </c>
      <c r="J675" s="122">
        <v>42991</v>
      </c>
      <c r="K675">
        <v>65</v>
      </c>
      <c r="L675" s="122">
        <v>6831</v>
      </c>
      <c r="M675" s="122">
        <v>6210</v>
      </c>
      <c r="N675" s="122">
        <v>3898</v>
      </c>
      <c r="O675" s="122">
        <v>1444</v>
      </c>
      <c r="P675" s="122">
        <v>621</v>
      </c>
      <c r="Q675" s="122">
        <v>230</v>
      </c>
      <c r="R675" s="122">
        <v>3546</v>
      </c>
      <c r="S675" s="122">
        <v>3224</v>
      </c>
      <c r="T675" s="122">
        <v>1152</v>
      </c>
      <c r="U675" s="122">
        <v>427</v>
      </c>
      <c r="V675" s="122">
        <v>54525</v>
      </c>
      <c r="W675" s="122">
        <f t="shared" si="20"/>
        <v>54526</v>
      </c>
      <c r="X675" s="122">
        <f t="shared" si="21"/>
        <v>63338</v>
      </c>
      <c r="Y675" s="122"/>
      <c r="AA675" t="s">
        <v>54</v>
      </c>
      <c r="AB675" t="s">
        <v>408</v>
      </c>
      <c r="AC675" t="s">
        <v>425</v>
      </c>
      <c r="AD675" t="s">
        <v>408</v>
      </c>
      <c r="AE675" t="s">
        <v>137</v>
      </c>
      <c r="AF675">
        <v>2</v>
      </c>
      <c r="AG675">
        <v>710</v>
      </c>
      <c r="AH675">
        <v>294</v>
      </c>
      <c r="AI675" s="122">
        <v>59932</v>
      </c>
      <c r="AJ675" s="122">
        <v>54483</v>
      </c>
      <c r="AK675">
        <v>79</v>
      </c>
      <c r="AL675" s="122">
        <v>17621</v>
      </c>
      <c r="AM675" s="122">
        <v>16019</v>
      </c>
      <c r="AN675" s="122">
        <v>11061</v>
      </c>
      <c r="AO675" s="122">
        <v>4097</v>
      </c>
      <c r="AP675" s="122">
        <v>6407</v>
      </c>
      <c r="AQ675" s="122">
        <v>2373</v>
      </c>
      <c r="AR675" s="122">
        <v>9358</v>
      </c>
      <c r="AS675" s="122">
        <v>8508</v>
      </c>
      <c r="AT675">
        <v>254</v>
      </c>
      <c r="AU675">
        <v>94</v>
      </c>
      <c r="AV675" s="122">
        <v>85574</v>
      </c>
    </row>
    <row r="676" spans="2:48" hidden="1">
      <c r="B676" t="s">
        <v>366</v>
      </c>
      <c r="C676" t="s">
        <v>62</v>
      </c>
      <c r="D676" t="s">
        <v>555</v>
      </c>
      <c r="E676" t="s">
        <v>555</v>
      </c>
      <c r="F676">
        <v>1</v>
      </c>
      <c r="G676" s="122">
        <v>91</v>
      </c>
      <c r="H676" s="122">
        <v>435</v>
      </c>
      <c r="I676" s="122">
        <v>27136</v>
      </c>
      <c r="J676" s="122">
        <v>24669</v>
      </c>
      <c r="K676">
        <v>45</v>
      </c>
      <c r="L676" s="122">
        <v>2467</v>
      </c>
      <c r="M676" s="122">
        <v>2243</v>
      </c>
      <c r="N676" s="122">
        <v>2227</v>
      </c>
      <c r="O676" s="122">
        <v>825</v>
      </c>
      <c r="P676" s="122">
        <v>351</v>
      </c>
      <c r="Q676" s="122">
        <v>130</v>
      </c>
      <c r="R676" s="122">
        <v>5257</v>
      </c>
      <c r="S676" s="122">
        <v>4779</v>
      </c>
      <c r="T676" s="122">
        <v>2317</v>
      </c>
      <c r="U676" s="122">
        <v>858</v>
      </c>
      <c r="V676" s="122">
        <v>33503</v>
      </c>
      <c r="W676" s="122">
        <f t="shared" si="20"/>
        <v>33504</v>
      </c>
      <c r="X676" s="122">
        <f t="shared" si="21"/>
        <v>39755</v>
      </c>
      <c r="Y676" s="122"/>
      <c r="AA676" t="s">
        <v>54</v>
      </c>
      <c r="AB676" t="s">
        <v>408</v>
      </c>
      <c r="AC676" t="s">
        <v>425</v>
      </c>
      <c r="AD676" t="s">
        <v>408</v>
      </c>
      <c r="AE676" t="s">
        <v>566</v>
      </c>
      <c r="AF676">
        <v>1</v>
      </c>
      <c r="AG676">
        <v>291</v>
      </c>
      <c r="AH676">
        <v>143</v>
      </c>
      <c r="AI676" s="122">
        <v>23283</v>
      </c>
      <c r="AJ676" s="122">
        <v>21166</v>
      </c>
      <c r="AK676">
        <v>80</v>
      </c>
      <c r="AL676" s="122">
        <v>5174</v>
      </c>
      <c r="AM676" s="122">
        <v>4704</v>
      </c>
      <c r="AN676" s="122">
        <v>5316</v>
      </c>
      <c r="AO676" s="122">
        <v>1969</v>
      </c>
      <c r="AP676">
        <v>351</v>
      </c>
      <c r="AQ676">
        <v>130</v>
      </c>
      <c r="AR676" s="122">
        <v>7405</v>
      </c>
      <c r="AS676" s="122">
        <v>6732</v>
      </c>
      <c r="AT676">
        <v>0</v>
      </c>
      <c r="AU676">
        <v>0</v>
      </c>
      <c r="AV676" s="122">
        <v>34700</v>
      </c>
    </row>
    <row r="677" spans="2:48" hidden="1">
      <c r="B677" t="s">
        <v>366</v>
      </c>
      <c r="C677" t="s">
        <v>62</v>
      </c>
      <c r="D677" t="s">
        <v>425</v>
      </c>
      <c r="E677" t="s">
        <v>406</v>
      </c>
      <c r="F677">
        <v>1</v>
      </c>
      <c r="G677" s="122">
        <v>102</v>
      </c>
      <c r="H677" s="122">
        <v>380</v>
      </c>
      <c r="I677" s="122">
        <v>26974</v>
      </c>
      <c r="J677" s="122">
        <v>24522</v>
      </c>
      <c r="K677">
        <v>85</v>
      </c>
      <c r="L677" s="122">
        <v>4837</v>
      </c>
      <c r="M677" s="122">
        <v>4398</v>
      </c>
      <c r="N677" s="122">
        <v>2394</v>
      </c>
      <c r="O677" s="122">
        <v>887</v>
      </c>
      <c r="P677" s="122">
        <v>621</v>
      </c>
      <c r="Q677" s="122">
        <v>230</v>
      </c>
      <c r="R677" s="122">
        <v>4089</v>
      </c>
      <c r="S677" s="122">
        <v>3717</v>
      </c>
      <c r="T677" s="122">
        <v>0</v>
      </c>
      <c r="U677" s="122">
        <v>0</v>
      </c>
      <c r="V677" s="122">
        <v>33753</v>
      </c>
      <c r="W677" s="122">
        <f t="shared" si="20"/>
        <v>33754</v>
      </c>
      <c r="X677" s="122">
        <f t="shared" si="21"/>
        <v>38915</v>
      </c>
      <c r="Y677" s="122"/>
      <c r="AA677" t="s">
        <v>54</v>
      </c>
      <c r="AB677" t="s">
        <v>408</v>
      </c>
      <c r="AC677" t="s">
        <v>137</v>
      </c>
      <c r="AD677" t="s">
        <v>408</v>
      </c>
      <c r="AE677" t="s">
        <v>137</v>
      </c>
      <c r="AF677">
        <v>1</v>
      </c>
      <c r="AG677">
        <v>121</v>
      </c>
      <c r="AH677">
        <v>145</v>
      </c>
      <c r="AI677" s="122">
        <v>9669</v>
      </c>
      <c r="AJ677" s="122">
        <v>8790</v>
      </c>
      <c r="AK677">
        <v>91</v>
      </c>
      <c r="AL677" s="122">
        <v>2392</v>
      </c>
      <c r="AM677" s="122">
        <v>886</v>
      </c>
      <c r="AN677" s="122">
        <v>1471</v>
      </c>
      <c r="AO677" s="122">
        <v>545</v>
      </c>
      <c r="AP677">
        <v>351</v>
      </c>
      <c r="AQ677">
        <v>130</v>
      </c>
      <c r="AR677" s="122">
        <v>3641</v>
      </c>
      <c r="AS677" s="122">
        <v>3310</v>
      </c>
      <c r="AT677">
        <v>0</v>
      </c>
      <c r="AU677">
        <v>0</v>
      </c>
      <c r="AV677" s="122">
        <v>13661</v>
      </c>
    </row>
    <row r="678" spans="2:48" hidden="1">
      <c r="B678" t="s">
        <v>366</v>
      </c>
      <c r="C678" t="s">
        <v>62</v>
      </c>
      <c r="D678" t="s">
        <v>405</v>
      </c>
      <c r="E678" t="s">
        <v>405</v>
      </c>
      <c r="F678">
        <v>7</v>
      </c>
      <c r="G678">
        <v>716</v>
      </c>
      <c r="H678" s="122">
        <v>2898</v>
      </c>
      <c r="I678" s="122">
        <v>199156</v>
      </c>
      <c r="J678" s="122">
        <v>181051</v>
      </c>
      <c r="K678">
        <v>76</v>
      </c>
      <c r="L678" s="122">
        <v>36801</v>
      </c>
      <c r="M678" s="122">
        <v>32973</v>
      </c>
      <c r="N678" s="122">
        <v>15934</v>
      </c>
      <c r="O678" s="122">
        <v>5902</v>
      </c>
      <c r="P678" s="122">
        <v>3564</v>
      </c>
      <c r="Q678" s="122">
        <v>1320</v>
      </c>
      <c r="R678" s="122">
        <v>30128</v>
      </c>
      <c r="S678" s="122">
        <v>27389</v>
      </c>
      <c r="T678" s="122">
        <v>11509</v>
      </c>
      <c r="U678" s="122">
        <v>4263</v>
      </c>
      <c r="V678" s="122">
        <v>252897</v>
      </c>
      <c r="W678" s="122">
        <f t="shared" si="20"/>
        <v>252898</v>
      </c>
      <c r="X678" s="122">
        <f t="shared" si="21"/>
        <v>297092</v>
      </c>
      <c r="Y678" s="122"/>
      <c r="AA678" t="s">
        <v>54</v>
      </c>
      <c r="AB678" t="s">
        <v>408</v>
      </c>
      <c r="AC678" t="s">
        <v>137</v>
      </c>
      <c r="AD678" t="s">
        <v>408</v>
      </c>
      <c r="AE678" t="s">
        <v>566</v>
      </c>
      <c r="AF678">
        <v>1</v>
      </c>
      <c r="AG678">
        <v>189</v>
      </c>
      <c r="AH678">
        <v>146</v>
      </c>
      <c r="AI678" s="122">
        <v>22253</v>
      </c>
      <c r="AJ678" s="122">
        <v>20230</v>
      </c>
      <c r="AK678">
        <v>84</v>
      </c>
      <c r="AL678" s="122">
        <v>5092</v>
      </c>
      <c r="AM678" s="122">
        <v>1886</v>
      </c>
      <c r="AN678" s="122">
        <v>5386</v>
      </c>
      <c r="AO678" s="122">
        <v>1995</v>
      </c>
      <c r="AP678">
        <v>702</v>
      </c>
      <c r="AQ678">
        <v>260</v>
      </c>
      <c r="AR678" s="122">
        <v>6493</v>
      </c>
      <c r="AS678" s="122">
        <v>5903</v>
      </c>
      <c r="AT678" s="122">
        <v>0</v>
      </c>
      <c r="AU678" s="122">
        <v>0</v>
      </c>
      <c r="AV678" s="122">
        <v>30274</v>
      </c>
    </row>
    <row r="679" spans="2:48" hidden="1">
      <c r="B679" t="s">
        <v>366</v>
      </c>
      <c r="C679" t="s">
        <v>62</v>
      </c>
      <c r="D679" t="s">
        <v>137</v>
      </c>
      <c r="E679" t="s">
        <v>137</v>
      </c>
      <c r="F679">
        <v>19</v>
      </c>
      <c r="G679" s="122">
        <v>2537</v>
      </c>
      <c r="H679" s="122">
        <v>7848</v>
      </c>
      <c r="I679" s="122">
        <v>713672</v>
      </c>
      <c r="J679" s="122">
        <v>264323</v>
      </c>
      <c r="K679">
        <v>100</v>
      </c>
      <c r="L679" s="122">
        <v>123707</v>
      </c>
      <c r="M679" s="122">
        <v>109570</v>
      </c>
      <c r="N679" s="122">
        <v>59229</v>
      </c>
      <c r="O679" s="122">
        <v>21937</v>
      </c>
      <c r="P679" s="122">
        <v>3692</v>
      </c>
      <c r="Q679" s="122">
        <v>1367</v>
      </c>
      <c r="R679" s="122">
        <v>169718</v>
      </c>
      <c r="S679" s="122">
        <v>62858</v>
      </c>
      <c r="T679" s="122">
        <v>0</v>
      </c>
      <c r="U679" s="122">
        <v>0</v>
      </c>
      <c r="V679" s="122">
        <v>460055</v>
      </c>
      <c r="W679" s="122">
        <f t="shared" si="20"/>
        <v>460055</v>
      </c>
      <c r="X679" s="122">
        <f t="shared" si="21"/>
        <v>1070018</v>
      </c>
      <c r="Y679" s="122"/>
      <c r="AA679" t="s">
        <v>54</v>
      </c>
      <c r="AB679" t="s">
        <v>408</v>
      </c>
      <c r="AC679" t="s">
        <v>580</v>
      </c>
      <c r="AD679" t="s">
        <v>408</v>
      </c>
      <c r="AE679" t="s">
        <v>137</v>
      </c>
      <c r="AF679">
        <v>1</v>
      </c>
      <c r="AG679" s="122">
        <v>217</v>
      </c>
      <c r="AH679" s="122">
        <v>131</v>
      </c>
      <c r="AI679" s="122">
        <v>14591</v>
      </c>
      <c r="AJ679" s="122">
        <v>13265</v>
      </c>
      <c r="AK679">
        <v>93</v>
      </c>
      <c r="AL679" s="122">
        <v>2521</v>
      </c>
      <c r="AM679" s="122">
        <v>2292</v>
      </c>
      <c r="AN679" s="122">
        <v>3175</v>
      </c>
      <c r="AO679" s="122">
        <v>1176</v>
      </c>
      <c r="AP679" s="122">
        <v>621</v>
      </c>
      <c r="AQ679" s="122">
        <v>230</v>
      </c>
      <c r="AR679" s="122">
        <v>3701</v>
      </c>
      <c r="AS679" s="122">
        <v>3364</v>
      </c>
      <c r="AT679" s="122">
        <v>3854</v>
      </c>
      <c r="AU679" s="122">
        <v>1427</v>
      </c>
      <c r="AV679" s="122">
        <v>21754</v>
      </c>
    </row>
    <row r="680" spans="2:48" hidden="1">
      <c r="B680" t="s">
        <v>366</v>
      </c>
      <c r="C680" t="s">
        <v>62</v>
      </c>
      <c r="D680" t="s">
        <v>137</v>
      </c>
      <c r="E680" t="s">
        <v>427</v>
      </c>
      <c r="F680">
        <v>1</v>
      </c>
      <c r="G680" s="122">
        <v>89</v>
      </c>
      <c r="H680" s="122">
        <v>391</v>
      </c>
      <c r="I680" s="122">
        <v>22072</v>
      </c>
      <c r="J680" s="122">
        <v>8175</v>
      </c>
      <c r="K680">
        <v>100</v>
      </c>
      <c r="L680" s="122">
        <v>2220</v>
      </c>
      <c r="M680" s="122">
        <v>2018</v>
      </c>
      <c r="N680" s="122">
        <v>1926</v>
      </c>
      <c r="O680" s="122">
        <v>713</v>
      </c>
      <c r="P680" s="122">
        <v>0</v>
      </c>
      <c r="Q680" s="122">
        <v>0</v>
      </c>
      <c r="R680" s="122">
        <v>6194</v>
      </c>
      <c r="S680" s="122">
        <v>5631</v>
      </c>
      <c r="T680" s="122">
        <v>2283</v>
      </c>
      <c r="U680" s="122">
        <v>845</v>
      </c>
      <c r="V680" s="122">
        <v>17383</v>
      </c>
      <c r="W680" s="122">
        <f t="shared" si="20"/>
        <v>17382</v>
      </c>
      <c r="X680" s="122">
        <f t="shared" si="21"/>
        <v>34695</v>
      </c>
      <c r="Y680" s="122"/>
      <c r="AA680" t="s">
        <v>54</v>
      </c>
      <c r="AB680" t="s">
        <v>408</v>
      </c>
      <c r="AC680" t="s">
        <v>580</v>
      </c>
      <c r="AD680" t="s">
        <v>408</v>
      </c>
      <c r="AE680" t="s">
        <v>566</v>
      </c>
      <c r="AF680">
        <v>9</v>
      </c>
      <c r="AG680" s="122">
        <v>2491</v>
      </c>
      <c r="AH680" s="122">
        <v>1267</v>
      </c>
      <c r="AI680" s="122">
        <v>230081</v>
      </c>
      <c r="AJ680" s="122">
        <v>209165</v>
      </c>
      <c r="AK680">
        <v>86</v>
      </c>
      <c r="AL680" s="122">
        <v>27399</v>
      </c>
      <c r="AM680" s="122">
        <v>24908</v>
      </c>
      <c r="AN680" s="122">
        <v>40789</v>
      </c>
      <c r="AO680" s="122">
        <v>15107</v>
      </c>
      <c r="AP680" s="122">
        <v>6804</v>
      </c>
      <c r="AQ680" s="122">
        <v>2520</v>
      </c>
      <c r="AR680" s="122">
        <v>44863</v>
      </c>
      <c r="AS680" s="122">
        <v>40785</v>
      </c>
      <c r="AT680" s="122">
        <v>0</v>
      </c>
      <c r="AU680" s="122">
        <v>0</v>
      </c>
      <c r="AV680" s="122">
        <v>292485</v>
      </c>
    </row>
    <row r="681" spans="2:48" hidden="1">
      <c r="B681" t="s">
        <v>366</v>
      </c>
      <c r="C681" t="s">
        <v>62</v>
      </c>
      <c r="D681" t="s">
        <v>137</v>
      </c>
      <c r="E681" t="s">
        <v>426</v>
      </c>
      <c r="F681">
        <v>2</v>
      </c>
      <c r="G681" s="122">
        <v>143</v>
      </c>
      <c r="H681" s="122">
        <v>850</v>
      </c>
      <c r="I681" s="122">
        <v>42819</v>
      </c>
      <c r="J681" s="122">
        <v>15859</v>
      </c>
      <c r="K681">
        <v>100</v>
      </c>
      <c r="L681" s="122">
        <v>3749</v>
      </c>
      <c r="M681" s="122">
        <v>3408</v>
      </c>
      <c r="N681" s="122">
        <v>2196</v>
      </c>
      <c r="O681" s="122">
        <v>813</v>
      </c>
      <c r="P681" s="122">
        <v>0</v>
      </c>
      <c r="Q681">
        <v>0</v>
      </c>
      <c r="R681" s="122">
        <v>8179</v>
      </c>
      <c r="S681" s="122">
        <v>7436</v>
      </c>
      <c r="T681" s="122">
        <v>4058</v>
      </c>
      <c r="U681" s="122">
        <v>1503</v>
      </c>
      <c r="V681" s="122">
        <v>29019</v>
      </c>
      <c r="W681" s="122">
        <f t="shared" si="20"/>
        <v>29019</v>
      </c>
      <c r="X681" s="122">
        <f t="shared" si="21"/>
        <v>61001</v>
      </c>
      <c r="Y681" s="122"/>
      <c r="AA681" t="s">
        <v>54</v>
      </c>
      <c r="AB681" t="s">
        <v>408</v>
      </c>
      <c r="AC681" t="s">
        <v>427</v>
      </c>
      <c r="AD681" t="s">
        <v>408</v>
      </c>
      <c r="AE681" t="s">
        <v>137</v>
      </c>
      <c r="AF681">
        <v>4</v>
      </c>
      <c r="AG681" s="122">
        <v>590</v>
      </c>
      <c r="AH681" s="122">
        <v>563</v>
      </c>
      <c r="AI681" s="122">
        <v>67787</v>
      </c>
      <c r="AJ681" s="122">
        <v>61625</v>
      </c>
      <c r="AK681">
        <v>90</v>
      </c>
      <c r="AL681" s="122">
        <v>13542</v>
      </c>
      <c r="AM681" s="122">
        <v>12311</v>
      </c>
      <c r="AN681" s="122">
        <v>14652</v>
      </c>
      <c r="AO681" s="122">
        <v>5427</v>
      </c>
      <c r="AP681" s="122">
        <v>1674</v>
      </c>
      <c r="AQ681" s="122">
        <v>620</v>
      </c>
      <c r="AR681" s="122">
        <v>15169</v>
      </c>
      <c r="AS681" s="122">
        <v>13790</v>
      </c>
      <c r="AT681" s="122">
        <v>3159</v>
      </c>
      <c r="AU681" s="122">
        <v>1170</v>
      </c>
      <c r="AV681" s="122">
        <v>94943</v>
      </c>
    </row>
    <row r="682" spans="2:48" hidden="1">
      <c r="B682" t="s">
        <v>366</v>
      </c>
      <c r="C682" t="s">
        <v>62</v>
      </c>
      <c r="D682" t="s">
        <v>406</v>
      </c>
      <c r="E682" t="s">
        <v>137</v>
      </c>
      <c r="F682">
        <v>3</v>
      </c>
      <c r="G682" s="122">
        <v>297</v>
      </c>
      <c r="H682" s="122">
        <v>1195</v>
      </c>
      <c r="I682" s="122">
        <v>78827</v>
      </c>
      <c r="J682" s="122">
        <v>71661</v>
      </c>
      <c r="K682">
        <v>77</v>
      </c>
      <c r="L682" s="122">
        <v>13809</v>
      </c>
      <c r="M682" s="122">
        <v>12554</v>
      </c>
      <c r="N682" s="122">
        <v>6377</v>
      </c>
      <c r="O682" s="122">
        <v>2362</v>
      </c>
      <c r="P682" s="122">
        <v>1863</v>
      </c>
      <c r="Q682" s="122">
        <v>690</v>
      </c>
      <c r="R682" s="122">
        <v>17667</v>
      </c>
      <c r="S682" s="122">
        <v>6543</v>
      </c>
      <c r="T682" s="122">
        <v>0</v>
      </c>
      <c r="U682" s="122">
        <v>0</v>
      </c>
      <c r="V682" s="122">
        <v>93810</v>
      </c>
      <c r="W682" s="122">
        <f t="shared" si="20"/>
        <v>93810</v>
      </c>
      <c r="X682" s="122">
        <f t="shared" si="21"/>
        <v>118543</v>
      </c>
      <c r="Y682" s="122"/>
      <c r="AA682" t="s">
        <v>54</v>
      </c>
      <c r="AB682" t="s">
        <v>408</v>
      </c>
      <c r="AC682" t="s">
        <v>427</v>
      </c>
      <c r="AD682" t="s">
        <v>408</v>
      </c>
      <c r="AE682" t="s">
        <v>566</v>
      </c>
      <c r="AF682">
        <v>7</v>
      </c>
      <c r="AG682" s="122">
        <v>1743</v>
      </c>
      <c r="AH682" s="122">
        <v>1020</v>
      </c>
      <c r="AI682" s="122">
        <v>140024</v>
      </c>
      <c r="AJ682" s="122">
        <v>127295</v>
      </c>
      <c r="AK682">
        <v>89</v>
      </c>
      <c r="AL682" s="122">
        <v>36386</v>
      </c>
      <c r="AM682" s="122">
        <v>33078</v>
      </c>
      <c r="AN682" s="122">
        <v>29190</v>
      </c>
      <c r="AO682" s="122">
        <v>10811</v>
      </c>
      <c r="AP682" s="122">
        <v>7127</v>
      </c>
      <c r="AQ682" s="122">
        <v>2640</v>
      </c>
      <c r="AR682" s="122">
        <v>41199</v>
      </c>
      <c r="AS682" s="122">
        <v>37454</v>
      </c>
      <c r="AT682">
        <v>0</v>
      </c>
      <c r="AU682">
        <v>0</v>
      </c>
      <c r="AV682" s="122">
        <v>211277</v>
      </c>
    </row>
    <row r="683" spans="2:48" hidden="1">
      <c r="B683" t="s">
        <v>366</v>
      </c>
      <c r="C683" t="s">
        <v>62</v>
      </c>
      <c r="D683" t="s">
        <v>406</v>
      </c>
      <c r="E683" t="s">
        <v>406</v>
      </c>
      <c r="F683">
        <v>550</v>
      </c>
      <c r="G683" s="122">
        <v>59648</v>
      </c>
      <c r="H683" s="122">
        <v>228839</v>
      </c>
      <c r="I683" s="122">
        <v>16483848</v>
      </c>
      <c r="J683" s="122">
        <v>14985316</v>
      </c>
      <c r="K683">
        <v>75</v>
      </c>
      <c r="L683" s="122">
        <v>3162578</v>
      </c>
      <c r="M683" s="122">
        <v>3042563</v>
      </c>
      <c r="N683" s="122">
        <v>1291310</v>
      </c>
      <c r="O683" s="122">
        <v>478263</v>
      </c>
      <c r="P683" s="122">
        <v>361409</v>
      </c>
      <c r="Q683" s="122">
        <v>133855</v>
      </c>
      <c r="R683" s="122">
        <v>2822306</v>
      </c>
      <c r="S683" s="122">
        <v>2565733</v>
      </c>
      <c r="T683" s="122">
        <v>981321</v>
      </c>
      <c r="U683" s="122">
        <v>363452</v>
      </c>
      <c r="V683" s="122">
        <v>21569182</v>
      </c>
      <c r="W683" s="122">
        <f t="shared" si="20"/>
        <v>21569182</v>
      </c>
      <c r="X683" s="122">
        <f t="shared" si="21"/>
        <v>25102772</v>
      </c>
      <c r="Y683" s="122"/>
      <c r="AA683" t="s">
        <v>54</v>
      </c>
      <c r="AB683" t="s">
        <v>408</v>
      </c>
      <c r="AC683" t="s">
        <v>407</v>
      </c>
      <c r="AD683" t="s">
        <v>408</v>
      </c>
      <c r="AE683" t="s">
        <v>566</v>
      </c>
      <c r="AF683">
        <v>1</v>
      </c>
      <c r="AG683" s="122">
        <v>262</v>
      </c>
      <c r="AH683">
        <v>142</v>
      </c>
      <c r="AI683" s="122">
        <v>23301</v>
      </c>
      <c r="AJ683" s="122">
        <v>21183</v>
      </c>
      <c r="AK683">
        <v>66</v>
      </c>
      <c r="AL683" s="122">
        <v>1887</v>
      </c>
      <c r="AM683" s="122">
        <v>1716</v>
      </c>
      <c r="AN683" s="122">
        <v>6382</v>
      </c>
      <c r="AO683" s="122">
        <v>2364</v>
      </c>
      <c r="AP683" s="122">
        <v>473</v>
      </c>
      <c r="AQ683" s="122">
        <v>175</v>
      </c>
      <c r="AR683" s="122">
        <v>5193</v>
      </c>
      <c r="AS683" s="122">
        <v>4721</v>
      </c>
      <c r="AT683">
        <v>0</v>
      </c>
      <c r="AU683">
        <v>0</v>
      </c>
      <c r="AV683" s="122">
        <v>30158</v>
      </c>
    </row>
    <row r="684" spans="2:48" hidden="1">
      <c r="B684" t="s">
        <v>366</v>
      </c>
      <c r="C684" t="s">
        <v>62</v>
      </c>
      <c r="D684" t="s">
        <v>406</v>
      </c>
      <c r="E684" t="s">
        <v>427</v>
      </c>
      <c r="F684">
        <v>2</v>
      </c>
      <c r="G684" s="122">
        <v>199</v>
      </c>
      <c r="H684" s="122">
        <v>842</v>
      </c>
      <c r="I684" s="122">
        <v>52438</v>
      </c>
      <c r="J684" s="122">
        <v>47671</v>
      </c>
      <c r="K684">
        <v>73</v>
      </c>
      <c r="L684" s="122">
        <v>13358</v>
      </c>
      <c r="M684" s="122">
        <v>12143</v>
      </c>
      <c r="N684" s="122">
        <v>4631</v>
      </c>
      <c r="O684" s="122">
        <v>1715</v>
      </c>
      <c r="P684" s="122">
        <v>972</v>
      </c>
      <c r="Q684" s="122">
        <v>360</v>
      </c>
      <c r="R684" s="122">
        <v>7887</v>
      </c>
      <c r="S684" s="122">
        <v>7170</v>
      </c>
      <c r="T684" s="122">
        <v>4396</v>
      </c>
      <c r="U684" s="122">
        <v>1628</v>
      </c>
      <c r="V684" s="122">
        <v>70688</v>
      </c>
      <c r="W684" s="122">
        <f t="shared" si="20"/>
        <v>70687</v>
      </c>
      <c r="X684" s="122">
        <f t="shared" si="21"/>
        <v>83682</v>
      </c>
      <c r="Y684" s="122"/>
      <c r="AA684" t="s">
        <v>54</v>
      </c>
      <c r="AB684" t="s">
        <v>408</v>
      </c>
      <c r="AC684" t="s">
        <v>579</v>
      </c>
      <c r="AD684" t="s">
        <v>408</v>
      </c>
      <c r="AE684" t="s">
        <v>566</v>
      </c>
      <c r="AF684">
        <v>5</v>
      </c>
      <c r="AG684" s="122">
        <v>1211</v>
      </c>
      <c r="AH684">
        <v>692</v>
      </c>
      <c r="AI684" s="122">
        <v>104524</v>
      </c>
      <c r="AJ684" s="122">
        <v>95022</v>
      </c>
      <c r="AK684">
        <v>86</v>
      </c>
      <c r="AL684" s="122">
        <v>24107</v>
      </c>
      <c r="AM684" s="122">
        <v>20089</v>
      </c>
      <c r="AN684" s="122">
        <v>22768</v>
      </c>
      <c r="AO684" s="122">
        <v>8433</v>
      </c>
      <c r="AP684" s="122">
        <v>5617</v>
      </c>
      <c r="AQ684" s="122">
        <v>2080</v>
      </c>
      <c r="AR684" s="122">
        <v>31740</v>
      </c>
      <c r="AS684" s="122">
        <v>28855</v>
      </c>
      <c r="AT684">
        <v>0</v>
      </c>
      <c r="AU684">
        <v>0</v>
      </c>
      <c r="AV684" s="122">
        <v>154479</v>
      </c>
    </row>
    <row r="685" spans="2:48" hidden="1">
      <c r="B685" t="s">
        <v>366</v>
      </c>
      <c r="C685" t="s">
        <v>62</v>
      </c>
      <c r="D685" t="s">
        <v>427</v>
      </c>
      <c r="E685" t="s">
        <v>427</v>
      </c>
      <c r="F685">
        <v>23</v>
      </c>
      <c r="G685" s="122">
        <v>1681</v>
      </c>
      <c r="H685" s="122">
        <v>9433</v>
      </c>
      <c r="I685" s="122">
        <v>470457</v>
      </c>
      <c r="J685" s="122">
        <v>427688</v>
      </c>
      <c r="K685">
        <v>50</v>
      </c>
      <c r="L685" s="122">
        <v>24613</v>
      </c>
      <c r="M685" s="122">
        <v>22376</v>
      </c>
      <c r="N685" s="122">
        <v>39361</v>
      </c>
      <c r="O685" s="122">
        <v>14578</v>
      </c>
      <c r="P685" s="122">
        <v>8073</v>
      </c>
      <c r="Q685" s="122">
        <v>2990</v>
      </c>
      <c r="R685" s="122">
        <v>130248</v>
      </c>
      <c r="S685" s="122">
        <v>118407</v>
      </c>
      <c r="T685" s="122">
        <v>43426</v>
      </c>
      <c r="U685" s="122">
        <v>16084</v>
      </c>
      <c r="V685" s="122">
        <v>602122</v>
      </c>
      <c r="W685" s="122">
        <f t="shared" si="20"/>
        <v>602123</v>
      </c>
      <c r="X685" s="122">
        <f t="shared" si="21"/>
        <v>716178</v>
      </c>
      <c r="Y685" s="122"/>
      <c r="AA685" t="s">
        <v>54</v>
      </c>
      <c r="AB685" t="s">
        <v>408</v>
      </c>
      <c r="AC685" t="s">
        <v>428</v>
      </c>
      <c r="AD685" t="s">
        <v>408</v>
      </c>
      <c r="AE685" t="s">
        <v>137</v>
      </c>
      <c r="AF685">
        <v>1</v>
      </c>
      <c r="AG685">
        <v>128</v>
      </c>
      <c r="AH685">
        <v>147</v>
      </c>
      <c r="AI685" s="122">
        <v>18647</v>
      </c>
      <c r="AJ685" s="122">
        <v>16952</v>
      </c>
      <c r="AK685">
        <v>88</v>
      </c>
      <c r="AL685" s="122">
        <v>6078</v>
      </c>
      <c r="AM685" s="122">
        <v>5525</v>
      </c>
      <c r="AN685" s="122">
        <v>5025</v>
      </c>
      <c r="AO685" s="122">
        <v>1861</v>
      </c>
      <c r="AP685">
        <v>351</v>
      </c>
      <c r="AQ685">
        <v>130</v>
      </c>
      <c r="AR685" s="122">
        <v>5786</v>
      </c>
      <c r="AS685" s="122">
        <v>5260</v>
      </c>
      <c r="AT685">
        <v>0</v>
      </c>
      <c r="AU685">
        <v>0</v>
      </c>
      <c r="AV685" s="122">
        <v>29728</v>
      </c>
    </row>
    <row r="686" spans="2:48" hidden="1">
      <c r="B686" t="s">
        <v>366</v>
      </c>
      <c r="C686" t="s">
        <v>62</v>
      </c>
      <c r="D686" t="s">
        <v>556</v>
      </c>
      <c r="E686" t="s">
        <v>556</v>
      </c>
      <c r="F686">
        <v>2</v>
      </c>
      <c r="G686">
        <v>240</v>
      </c>
      <c r="H686" s="122">
        <v>815</v>
      </c>
      <c r="I686" s="122">
        <v>69950</v>
      </c>
      <c r="J686" s="122">
        <v>58292</v>
      </c>
      <c r="K686">
        <v>55</v>
      </c>
      <c r="L686" s="122">
        <v>7076</v>
      </c>
      <c r="M686" s="122">
        <v>6109</v>
      </c>
      <c r="N686" s="122">
        <v>4863</v>
      </c>
      <c r="O686" s="122">
        <v>1801</v>
      </c>
      <c r="P686" s="122">
        <v>702</v>
      </c>
      <c r="Q686">
        <v>260</v>
      </c>
      <c r="R686" s="122">
        <v>10891</v>
      </c>
      <c r="S686" s="122">
        <v>9076</v>
      </c>
      <c r="T686" s="122">
        <v>4464</v>
      </c>
      <c r="U686" s="122">
        <v>1653</v>
      </c>
      <c r="V686" s="122">
        <v>77191</v>
      </c>
      <c r="W686" s="122">
        <f t="shared" si="20"/>
        <v>77191</v>
      </c>
      <c r="X686" s="122">
        <f t="shared" si="21"/>
        <v>97946</v>
      </c>
      <c r="Y686" s="122"/>
      <c r="AA686" t="s">
        <v>54</v>
      </c>
      <c r="AB686" t="s">
        <v>408</v>
      </c>
      <c r="AC686" t="s">
        <v>428</v>
      </c>
      <c r="AD686" t="s">
        <v>408</v>
      </c>
      <c r="AE686" t="s">
        <v>566</v>
      </c>
      <c r="AF686">
        <v>1</v>
      </c>
      <c r="AG686">
        <v>279</v>
      </c>
      <c r="AH686">
        <v>145</v>
      </c>
      <c r="AI686" s="122">
        <v>20585</v>
      </c>
      <c r="AJ686" s="122">
        <v>18714</v>
      </c>
      <c r="AK686">
        <v>90</v>
      </c>
      <c r="AL686" s="122">
        <v>6839</v>
      </c>
      <c r="AM686" s="122">
        <v>6217</v>
      </c>
      <c r="AN686" s="122">
        <v>6661</v>
      </c>
      <c r="AO686" s="122">
        <v>2467</v>
      </c>
      <c r="AP686" s="122">
        <v>351</v>
      </c>
      <c r="AQ686">
        <v>130</v>
      </c>
      <c r="AR686" s="122">
        <v>6037</v>
      </c>
      <c r="AS686" s="122">
        <v>5488</v>
      </c>
      <c r="AT686">
        <v>0</v>
      </c>
      <c r="AU686">
        <v>0</v>
      </c>
      <c r="AV686" s="122">
        <v>33016</v>
      </c>
    </row>
    <row r="687" spans="2:48" hidden="1">
      <c r="B687" t="s">
        <v>366</v>
      </c>
      <c r="C687" t="s">
        <v>62</v>
      </c>
      <c r="D687" t="s">
        <v>431</v>
      </c>
      <c r="E687" t="s">
        <v>431</v>
      </c>
      <c r="F687">
        <v>4</v>
      </c>
      <c r="G687" s="122">
        <v>297</v>
      </c>
      <c r="H687" s="122">
        <v>1669</v>
      </c>
      <c r="I687" s="122">
        <v>75602</v>
      </c>
      <c r="J687" s="122">
        <v>68729</v>
      </c>
      <c r="K687">
        <v>55</v>
      </c>
      <c r="L687" s="122">
        <v>6907</v>
      </c>
      <c r="M687" s="122">
        <v>5056</v>
      </c>
      <c r="N687" s="122">
        <v>5290</v>
      </c>
      <c r="O687" s="122">
        <v>1959</v>
      </c>
      <c r="P687" s="122">
        <v>1404</v>
      </c>
      <c r="Q687" s="122">
        <v>520</v>
      </c>
      <c r="R687" s="122">
        <v>24313</v>
      </c>
      <c r="S687" s="122">
        <v>22103</v>
      </c>
      <c r="T687" s="122">
        <v>8142</v>
      </c>
      <c r="U687" s="122">
        <v>3015</v>
      </c>
      <c r="V687" s="122">
        <v>101382</v>
      </c>
      <c r="W687" s="122">
        <f t="shared" si="20"/>
        <v>101382</v>
      </c>
      <c r="X687" s="122">
        <f t="shared" si="21"/>
        <v>121658</v>
      </c>
      <c r="Y687" s="122"/>
      <c r="AA687" t="s">
        <v>54</v>
      </c>
      <c r="AB687" t="s">
        <v>408</v>
      </c>
      <c r="AC687" t="s">
        <v>431</v>
      </c>
      <c r="AD687" t="s">
        <v>408</v>
      </c>
      <c r="AE687" t="s">
        <v>566</v>
      </c>
      <c r="AF687">
        <v>2</v>
      </c>
      <c r="AG687">
        <v>587</v>
      </c>
      <c r="AH687">
        <v>280</v>
      </c>
      <c r="AI687" s="122">
        <v>46366</v>
      </c>
      <c r="AJ687" s="122">
        <v>42151</v>
      </c>
      <c r="AK687">
        <v>85</v>
      </c>
      <c r="AL687" s="122">
        <v>10067</v>
      </c>
      <c r="AM687" s="122">
        <v>9152</v>
      </c>
      <c r="AN687" s="122">
        <v>10368</v>
      </c>
      <c r="AO687" s="122">
        <v>3840</v>
      </c>
      <c r="AP687" s="122">
        <v>1404</v>
      </c>
      <c r="AQ687">
        <v>520</v>
      </c>
      <c r="AR687" s="122">
        <v>13791</v>
      </c>
      <c r="AS687" s="122">
        <v>12537</v>
      </c>
      <c r="AT687">
        <v>0</v>
      </c>
      <c r="AU687">
        <v>0</v>
      </c>
      <c r="AV687" s="122">
        <v>68200</v>
      </c>
    </row>
    <row r="688" spans="2:48" hidden="1">
      <c r="B688" t="s">
        <v>366</v>
      </c>
      <c r="C688" t="s">
        <v>62</v>
      </c>
      <c r="D688" t="s">
        <v>426</v>
      </c>
      <c r="E688" t="s">
        <v>137</v>
      </c>
      <c r="F688">
        <v>2</v>
      </c>
      <c r="G688" s="122">
        <v>250</v>
      </c>
      <c r="H688" s="122">
        <v>835</v>
      </c>
      <c r="I688" s="122">
        <v>70304</v>
      </c>
      <c r="J688" s="122">
        <v>63912</v>
      </c>
      <c r="K688">
        <v>45</v>
      </c>
      <c r="L688" s="122">
        <v>16869</v>
      </c>
      <c r="M688" s="122">
        <v>6248</v>
      </c>
      <c r="N688" s="122">
        <v>5098</v>
      </c>
      <c r="O688" s="122">
        <v>1888</v>
      </c>
      <c r="P688" s="122">
        <v>0</v>
      </c>
      <c r="Q688" s="122">
        <v>0</v>
      </c>
      <c r="R688" s="122">
        <v>14257</v>
      </c>
      <c r="S688" s="122">
        <v>5281</v>
      </c>
      <c r="T688" s="122">
        <v>0</v>
      </c>
      <c r="U688" s="122">
        <v>0</v>
      </c>
      <c r="V688" s="122">
        <v>77329</v>
      </c>
      <c r="W688" s="122">
        <f t="shared" si="20"/>
        <v>77329</v>
      </c>
      <c r="X688" s="122">
        <f t="shared" si="21"/>
        <v>106528</v>
      </c>
      <c r="Y688" s="122"/>
      <c r="AA688" t="s">
        <v>54</v>
      </c>
      <c r="AB688" t="s">
        <v>408</v>
      </c>
      <c r="AC688" t="s">
        <v>426</v>
      </c>
      <c r="AD688" t="s">
        <v>137</v>
      </c>
      <c r="AE688" t="s">
        <v>566</v>
      </c>
      <c r="AF688">
        <v>1</v>
      </c>
      <c r="AG688">
        <v>199</v>
      </c>
      <c r="AH688">
        <v>128</v>
      </c>
      <c r="AI688" s="122">
        <v>12029</v>
      </c>
      <c r="AJ688" s="122">
        <v>10936</v>
      </c>
      <c r="AK688">
        <v>90</v>
      </c>
      <c r="AL688" s="122">
        <v>1998</v>
      </c>
      <c r="AM688" s="122">
        <v>1817</v>
      </c>
      <c r="AN688" s="122">
        <v>3460</v>
      </c>
      <c r="AO688" s="122">
        <v>1282</v>
      </c>
      <c r="AP688">
        <v>351</v>
      </c>
      <c r="AQ688">
        <v>130</v>
      </c>
      <c r="AR688" s="122">
        <v>7533</v>
      </c>
      <c r="AS688" s="122">
        <v>2790</v>
      </c>
      <c r="AT688">
        <v>0</v>
      </c>
      <c r="AU688">
        <v>0</v>
      </c>
      <c r="AV688" s="122">
        <v>16954</v>
      </c>
    </row>
    <row r="689" spans="2:48" hidden="1">
      <c r="B689" t="s">
        <v>366</v>
      </c>
      <c r="C689" t="s">
        <v>62</v>
      </c>
      <c r="D689" t="s">
        <v>426</v>
      </c>
      <c r="E689" t="s">
        <v>426</v>
      </c>
      <c r="F689">
        <v>114</v>
      </c>
      <c r="G689" s="122">
        <v>10353</v>
      </c>
      <c r="H689" s="122">
        <v>47460</v>
      </c>
      <c r="I689" s="122">
        <v>2847686</v>
      </c>
      <c r="J689" s="122">
        <v>2588806</v>
      </c>
      <c r="K689">
        <v>53</v>
      </c>
      <c r="L689" s="122">
        <v>337280</v>
      </c>
      <c r="M689" s="122">
        <v>288007</v>
      </c>
      <c r="N689" s="122">
        <v>217317</v>
      </c>
      <c r="O689" s="122">
        <v>80488</v>
      </c>
      <c r="P689" s="122">
        <v>42876</v>
      </c>
      <c r="Q689" s="122">
        <v>15880</v>
      </c>
      <c r="R689" s="122">
        <v>660214</v>
      </c>
      <c r="S689" s="122">
        <v>600195</v>
      </c>
      <c r="T689" s="122">
        <v>260102</v>
      </c>
      <c r="U689" s="122">
        <v>96334</v>
      </c>
      <c r="V689" s="122">
        <v>3669709</v>
      </c>
      <c r="W689" s="122">
        <f t="shared" si="20"/>
        <v>3669710</v>
      </c>
      <c r="X689" s="122">
        <f t="shared" si="21"/>
        <v>4365475</v>
      </c>
      <c r="Y689" s="122"/>
      <c r="AA689" t="s">
        <v>54</v>
      </c>
      <c r="AB689" t="s">
        <v>408</v>
      </c>
      <c r="AC689" t="s">
        <v>426</v>
      </c>
      <c r="AD689" t="s">
        <v>406</v>
      </c>
      <c r="AE689" t="s">
        <v>566</v>
      </c>
      <c r="AF689">
        <v>1</v>
      </c>
      <c r="AG689" s="122">
        <v>272</v>
      </c>
      <c r="AH689" s="122">
        <v>148</v>
      </c>
      <c r="AI689" s="122">
        <v>19681</v>
      </c>
      <c r="AJ689" s="122">
        <v>17891</v>
      </c>
      <c r="AK689">
        <v>94</v>
      </c>
      <c r="AL689" s="122">
        <v>6852</v>
      </c>
      <c r="AM689" s="122">
        <v>6229</v>
      </c>
      <c r="AN689" s="122">
        <v>6459</v>
      </c>
      <c r="AO689" s="122">
        <v>2392</v>
      </c>
      <c r="AP689" s="122">
        <v>621</v>
      </c>
      <c r="AQ689" s="122">
        <v>230</v>
      </c>
      <c r="AR689" s="122">
        <v>6715</v>
      </c>
      <c r="AS689" s="122">
        <v>6105</v>
      </c>
      <c r="AT689" s="122">
        <v>0</v>
      </c>
      <c r="AU689" s="122">
        <v>0</v>
      </c>
      <c r="AV689" s="122">
        <v>32848</v>
      </c>
    </row>
    <row r="690" spans="2:48" hidden="1">
      <c r="B690" t="s">
        <v>366</v>
      </c>
      <c r="C690" t="s">
        <v>62</v>
      </c>
      <c r="D690" t="s">
        <v>433</v>
      </c>
      <c r="E690" t="s">
        <v>433</v>
      </c>
      <c r="F690">
        <v>1</v>
      </c>
      <c r="G690">
        <v>69</v>
      </c>
      <c r="H690" s="122">
        <v>447</v>
      </c>
      <c r="I690" s="122">
        <v>20541</v>
      </c>
      <c r="J690" s="122">
        <v>18674</v>
      </c>
      <c r="K690">
        <v>65</v>
      </c>
      <c r="L690" s="122">
        <v>3641</v>
      </c>
      <c r="M690" s="122">
        <v>1349</v>
      </c>
      <c r="N690" s="122">
        <v>948</v>
      </c>
      <c r="O690" s="122">
        <v>351</v>
      </c>
      <c r="P690" s="122">
        <v>351</v>
      </c>
      <c r="Q690" s="122">
        <v>130</v>
      </c>
      <c r="R690" s="122">
        <v>5282</v>
      </c>
      <c r="S690" s="122">
        <v>4802</v>
      </c>
      <c r="T690" s="122">
        <v>0</v>
      </c>
      <c r="U690" s="122">
        <v>0</v>
      </c>
      <c r="V690" s="122">
        <v>25305</v>
      </c>
      <c r="W690" s="122">
        <f t="shared" si="20"/>
        <v>25306</v>
      </c>
      <c r="X690" s="122">
        <f t="shared" si="21"/>
        <v>30763</v>
      </c>
      <c r="Y690" s="122"/>
      <c r="AA690" t="s">
        <v>54</v>
      </c>
      <c r="AB690" t="s">
        <v>408</v>
      </c>
      <c r="AC690" t="s">
        <v>426</v>
      </c>
      <c r="AD690" t="s">
        <v>408</v>
      </c>
      <c r="AE690" t="s">
        <v>137</v>
      </c>
      <c r="AF690">
        <v>12</v>
      </c>
      <c r="AG690" s="122">
        <v>3011</v>
      </c>
      <c r="AH690" s="122">
        <v>1713</v>
      </c>
      <c r="AI690" s="122">
        <v>262448</v>
      </c>
      <c r="AJ690" s="122">
        <v>238589</v>
      </c>
      <c r="AK690">
        <v>82</v>
      </c>
      <c r="AL690" s="122">
        <v>54539</v>
      </c>
      <c r="AM690" s="122">
        <v>49580</v>
      </c>
      <c r="AN690" s="122">
        <v>58314</v>
      </c>
      <c r="AO690" s="122">
        <v>21598</v>
      </c>
      <c r="AP690" s="122">
        <v>4833</v>
      </c>
      <c r="AQ690" s="122">
        <v>1790</v>
      </c>
      <c r="AR690" s="122">
        <v>63900</v>
      </c>
      <c r="AS690" s="122">
        <v>58091</v>
      </c>
      <c r="AT690" s="122">
        <v>19027</v>
      </c>
      <c r="AU690" s="122">
        <v>7047</v>
      </c>
      <c r="AV690" s="122">
        <v>376695</v>
      </c>
    </row>
    <row r="691" spans="2:48" hidden="1">
      <c r="B691" t="s">
        <v>366</v>
      </c>
      <c r="C691" t="s">
        <v>64</v>
      </c>
      <c r="F691">
        <v>2</v>
      </c>
      <c r="G691" s="122">
        <v>158</v>
      </c>
      <c r="H691" s="122">
        <v>1127</v>
      </c>
      <c r="I691" s="122"/>
      <c r="J691" s="122">
        <v>0</v>
      </c>
      <c r="L691" s="122"/>
      <c r="M691" s="122">
        <v>0</v>
      </c>
      <c r="N691" s="122">
        <v>3403</v>
      </c>
      <c r="O691" s="122">
        <v>1260</v>
      </c>
      <c r="P691" s="122">
        <v>1242</v>
      </c>
      <c r="Q691" s="122">
        <v>460</v>
      </c>
      <c r="R691" s="122"/>
      <c r="S691" s="122">
        <v>0</v>
      </c>
      <c r="T691" s="122">
        <v>4112</v>
      </c>
      <c r="U691" s="122">
        <v>1523</v>
      </c>
      <c r="V691" s="122">
        <v>3243</v>
      </c>
      <c r="W691" s="122">
        <f t="shared" si="20"/>
        <v>3243</v>
      </c>
      <c r="X691" s="122">
        <f t="shared" si="21"/>
        <v>8757</v>
      </c>
      <c r="Y691" s="122"/>
      <c r="AA691" t="s">
        <v>54</v>
      </c>
      <c r="AB691" t="s">
        <v>408</v>
      </c>
      <c r="AC691" t="s">
        <v>426</v>
      </c>
      <c r="AD691" t="s">
        <v>408</v>
      </c>
      <c r="AE691" t="s">
        <v>566</v>
      </c>
      <c r="AF691">
        <v>61</v>
      </c>
      <c r="AG691" s="122">
        <v>15132</v>
      </c>
      <c r="AH691" s="122">
        <v>8557</v>
      </c>
      <c r="AI691" s="122">
        <v>1322714</v>
      </c>
      <c r="AJ691" s="122">
        <v>1202467</v>
      </c>
      <c r="AK691">
        <v>81</v>
      </c>
      <c r="AL691" s="122">
        <v>240157</v>
      </c>
      <c r="AM691" s="122">
        <v>218324</v>
      </c>
      <c r="AN691" s="122">
        <v>284315</v>
      </c>
      <c r="AO691" s="122">
        <v>105302</v>
      </c>
      <c r="AP691" s="122">
        <v>43609</v>
      </c>
      <c r="AQ691" s="122">
        <v>16152</v>
      </c>
      <c r="AR691" s="122">
        <v>342030</v>
      </c>
      <c r="AS691" s="122">
        <v>310936</v>
      </c>
      <c r="AT691">
        <v>0</v>
      </c>
      <c r="AU691">
        <v>0</v>
      </c>
      <c r="AV691" s="122">
        <v>1853181</v>
      </c>
    </row>
    <row r="692" spans="2:48" hidden="1">
      <c r="B692" t="s">
        <v>366</v>
      </c>
      <c r="C692" t="s">
        <v>64</v>
      </c>
      <c r="D692" t="s">
        <v>425</v>
      </c>
      <c r="E692" t="s">
        <v>137</v>
      </c>
      <c r="F692">
        <v>1</v>
      </c>
      <c r="G692">
        <v>72</v>
      </c>
      <c r="H692" s="122">
        <v>675</v>
      </c>
      <c r="I692" s="122">
        <v>29658</v>
      </c>
      <c r="J692" s="122">
        <v>26962</v>
      </c>
      <c r="K692">
        <v>90</v>
      </c>
      <c r="L692" s="122">
        <v>9886</v>
      </c>
      <c r="M692" s="122">
        <v>8987</v>
      </c>
      <c r="N692" s="122">
        <v>1762</v>
      </c>
      <c r="O692" s="122">
        <v>653</v>
      </c>
      <c r="P692" s="122">
        <v>0</v>
      </c>
      <c r="Q692">
        <v>0</v>
      </c>
      <c r="R692" s="122">
        <v>7456</v>
      </c>
      <c r="S692" s="122">
        <v>2762</v>
      </c>
      <c r="T692" s="122">
        <v>0</v>
      </c>
      <c r="U692">
        <v>0</v>
      </c>
      <c r="V692" s="122">
        <v>39363</v>
      </c>
      <c r="W692" s="122">
        <f t="shared" si="20"/>
        <v>39364</v>
      </c>
      <c r="X692" s="122">
        <f t="shared" si="21"/>
        <v>48762</v>
      </c>
      <c r="Y692" s="122"/>
      <c r="AA692" t="s">
        <v>54</v>
      </c>
      <c r="AB692" t="s">
        <v>408</v>
      </c>
      <c r="AC692" t="s">
        <v>566</v>
      </c>
      <c r="AD692" t="s">
        <v>408</v>
      </c>
      <c r="AE692" t="s">
        <v>137</v>
      </c>
      <c r="AF692">
        <v>3</v>
      </c>
      <c r="AG692" s="122">
        <v>597</v>
      </c>
      <c r="AH692" s="122">
        <v>392</v>
      </c>
      <c r="AI692" s="122">
        <v>76936</v>
      </c>
      <c r="AJ692" s="122">
        <v>69942</v>
      </c>
      <c r="AK692">
        <v>72</v>
      </c>
      <c r="AL692">
        <v>0</v>
      </c>
      <c r="AM692">
        <v>0</v>
      </c>
      <c r="AN692" s="122">
        <v>9876</v>
      </c>
      <c r="AO692" s="122">
        <v>3658</v>
      </c>
      <c r="AP692" s="122">
        <v>8480</v>
      </c>
      <c r="AQ692" s="122">
        <v>3141</v>
      </c>
      <c r="AR692" s="122">
        <v>10088</v>
      </c>
      <c r="AS692" s="122">
        <v>9171</v>
      </c>
      <c r="AT692">
        <v>0</v>
      </c>
      <c r="AU692">
        <v>0</v>
      </c>
      <c r="AV692" s="122">
        <v>85911</v>
      </c>
    </row>
    <row r="693" spans="2:48" hidden="1">
      <c r="B693" t="s">
        <v>366</v>
      </c>
      <c r="C693" t="s">
        <v>64</v>
      </c>
      <c r="D693" t="s">
        <v>405</v>
      </c>
      <c r="E693" t="s">
        <v>405</v>
      </c>
      <c r="F693">
        <v>7</v>
      </c>
      <c r="G693">
        <v>588</v>
      </c>
      <c r="H693" s="122">
        <v>3793</v>
      </c>
      <c r="I693" s="122">
        <v>222216</v>
      </c>
      <c r="J693" s="122">
        <v>202015</v>
      </c>
      <c r="K693">
        <v>69</v>
      </c>
      <c r="L693" s="122">
        <v>39616</v>
      </c>
      <c r="M693" s="122">
        <v>36014</v>
      </c>
      <c r="N693" s="122">
        <v>13524</v>
      </c>
      <c r="O693" s="122">
        <v>5009</v>
      </c>
      <c r="P693" s="122">
        <v>3173</v>
      </c>
      <c r="Q693" s="122">
        <v>1175</v>
      </c>
      <c r="R693" s="122">
        <v>38540</v>
      </c>
      <c r="S693" s="122">
        <v>35036</v>
      </c>
      <c r="T693" s="122">
        <v>6281</v>
      </c>
      <c r="U693" s="122">
        <v>2326</v>
      </c>
      <c r="V693" s="122">
        <v>281576</v>
      </c>
      <c r="W693" s="122">
        <f t="shared" si="20"/>
        <v>281575</v>
      </c>
      <c r="X693" s="122">
        <f t="shared" si="21"/>
        <v>323350</v>
      </c>
      <c r="Y693" s="122"/>
      <c r="AA693" t="s">
        <v>54</v>
      </c>
      <c r="AB693" t="s">
        <v>408</v>
      </c>
      <c r="AC693" t="s">
        <v>566</v>
      </c>
      <c r="AD693" t="s">
        <v>408</v>
      </c>
      <c r="AE693" t="s">
        <v>566</v>
      </c>
      <c r="AF693">
        <v>10</v>
      </c>
      <c r="AG693" s="122">
        <v>1542</v>
      </c>
      <c r="AH693" s="122">
        <v>1405</v>
      </c>
      <c r="AI693" s="122">
        <v>151118</v>
      </c>
      <c r="AJ693" s="122">
        <v>137380</v>
      </c>
      <c r="AK693">
        <v>85</v>
      </c>
      <c r="AL693" s="122">
        <v>0</v>
      </c>
      <c r="AM693" s="122">
        <v>0</v>
      </c>
      <c r="AN693" s="122">
        <v>26080</v>
      </c>
      <c r="AO693" s="122">
        <v>9659</v>
      </c>
      <c r="AP693" s="122">
        <v>5360</v>
      </c>
      <c r="AQ693" s="122">
        <v>1985</v>
      </c>
      <c r="AR693" s="122">
        <v>33466</v>
      </c>
      <c r="AS693" s="122">
        <v>30423</v>
      </c>
      <c r="AT693">
        <v>0</v>
      </c>
      <c r="AU693">
        <v>0</v>
      </c>
      <c r="AV693" s="122">
        <v>179448</v>
      </c>
    </row>
    <row r="694" spans="2:48" hidden="1">
      <c r="B694" t="s">
        <v>366</v>
      </c>
      <c r="C694" t="s">
        <v>64</v>
      </c>
      <c r="D694" t="s">
        <v>137</v>
      </c>
      <c r="E694" t="s">
        <v>137</v>
      </c>
      <c r="F694">
        <v>188</v>
      </c>
      <c r="G694" s="122">
        <v>16829</v>
      </c>
      <c r="H694" s="122">
        <v>134331</v>
      </c>
      <c r="I694" s="122">
        <v>8416360</v>
      </c>
      <c r="J694" s="122">
        <v>3117170</v>
      </c>
      <c r="K694">
        <v>100</v>
      </c>
      <c r="L694" s="122">
        <v>1567204</v>
      </c>
      <c r="M694" s="122">
        <v>1375807</v>
      </c>
      <c r="N694" s="122">
        <v>391757</v>
      </c>
      <c r="O694" s="122">
        <v>145095</v>
      </c>
      <c r="P694" s="122">
        <v>1674</v>
      </c>
      <c r="Q694" s="122">
        <v>620</v>
      </c>
      <c r="R694" s="122">
        <v>1205991</v>
      </c>
      <c r="S694" s="122">
        <v>446663</v>
      </c>
      <c r="T694" s="122">
        <v>3937</v>
      </c>
      <c r="U694" s="122">
        <v>1458</v>
      </c>
      <c r="V694" s="122">
        <v>5086815</v>
      </c>
      <c r="W694" s="122">
        <f t="shared" si="20"/>
        <v>5086813</v>
      </c>
      <c r="X694" s="122">
        <f t="shared" si="21"/>
        <v>11586923</v>
      </c>
      <c r="Y694" s="122"/>
      <c r="AA694" t="s">
        <v>54</v>
      </c>
      <c r="AB694" t="s">
        <v>408</v>
      </c>
      <c r="AC694" t="s">
        <v>433</v>
      </c>
      <c r="AD694" t="s">
        <v>481</v>
      </c>
      <c r="AE694" t="s">
        <v>566</v>
      </c>
      <c r="AF694">
        <v>1</v>
      </c>
      <c r="AG694" s="122">
        <v>265</v>
      </c>
      <c r="AH694" s="122">
        <v>149</v>
      </c>
      <c r="AI694" s="122">
        <v>22631</v>
      </c>
      <c r="AJ694" s="122">
        <v>20574</v>
      </c>
      <c r="AK694">
        <v>65</v>
      </c>
      <c r="AL694" s="122">
        <v>2724</v>
      </c>
      <c r="AM694" s="122">
        <v>2476</v>
      </c>
      <c r="AN694" s="122">
        <v>5842</v>
      </c>
      <c r="AO694" s="122">
        <v>2164</v>
      </c>
      <c r="AP694" s="122">
        <v>351</v>
      </c>
      <c r="AQ694" s="122">
        <v>130</v>
      </c>
      <c r="AR694" s="122">
        <v>7942</v>
      </c>
      <c r="AS694" s="122">
        <v>7220</v>
      </c>
      <c r="AT694">
        <v>0</v>
      </c>
      <c r="AU694">
        <v>0</v>
      </c>
      <c r="AV694" s="122">
        <v>32563</v>
      </c>
    </row>
    <row r="695" spans="2:48" hidden="1">
      <c r="B695" t="s">
        <v>366</v>
      </c>
      <c r="C695" t="s">
        <v>64</v>
      </c>
      <c r="D695" t="s">
        <v>137</v>
      </c>
      <c r="E695" t="s">
        <v>406</v>
      </c>
      <c r="F695" s="122">
        <v>1</v>
      </c>
      <c r="G695" s="122">
        <v>80</v>
      </c>
      <c r="H695" s="122">
        <v>893</v>
      </c>
      <c r="I695" s="122">
        <v>61562</v>
      </c>
      <c r="J695" s="122">
        <v>22801</v>
      </c>
      <c r="K695">
        <v>100</v>
      </c>
      <c r="L695" s="122">
        <v>4645</v>
      </c>
      <c r="M695" s="122">
        <v>4222</v>
      </c>
      <c r="N695" s="122">
        <v>1368</v>
      </c>
      <c r="O695" s="122">
        <v>507</v>
      </c>
      <c r="P695" s="122">
        <v>0</v>
      </c>
      <c r="Q695" s="122">
        <v>0</v>
      </c>
      <c r="R695" s="122">
        <v>2324</v>
      </c>
      <c r="S695" s="122">
        <v>2113</v>
      </c>
      <c r="T695" s="122">
        <v>1723</v>
      </c>
      <c r="U695">
        <v>638</v>
      </c>
      <c r="V695" s="122">
        <v>30281</v>
      </c>
      <c r="W695" s="122">
        <f t="shared" si="20"/>
        <v>30281</v>
      </c>
      <c r="X695" s="122">
        <f t="shared" si="21"/>
        <v>71622</v>
      </c>
      <c r="Y695" s="122"/>
      <c r="AA695" t="s">
        <v>54</v>
      </c>
      <c r="AB695" t="s">
        <v>408</v>
      </c>
      <c r="AC695" t="s">
        <v>433</v>
      </c>
      <c r="AD695" t="s">
        <v>408</v>
      </c>
      <c r="AE695" t="s">
        <v>566</v>
      </c>
      <c r="AF695">
        <v>11</v>
      </c>
      <c r="AG695" s="122">
        <v>2839</v>
      </c>
      <c r="AH695" s="122">
        <v>1577</v>
      </c>
      <c r="AI695" s="122">
        <v>261517</v>
      </c>
      <c r="AJ695" s="122">
        <v>237743</v>
      </c>
      <c r="AK695">
        <v>84</v>
      </c>
      <c r="AL695" s="122">
        <v>39036</v>
      </c>
      <c r="AM695" s="122">
        <v>35487</v>
      </c>
      <c r="AN695" s="122">
        <v>49972</v>
      </c>
      <c r="AO695" s="122">
        <v>18508</v>
      </c>
      <c r="AP695" s="122">
        <v>4563</v>
      </c>
      <c r="AQ695" s="122">
        <v>1690</v>
      </c>
      <c r="AR695" s="122">
        <v>64261</v>
      </c>
      <c r="AS695" s="122">
        <v>58419</v>
      </c>
      <c r="AT695">
        <v>0</v>
      </c>
      <c r="AU695">
        <v>0</v>
      </c>
      <c r="AV695" s="122">
        <v>351847</v>
      </c>
    </row>
    <row r="696" spans="2:48" hidden="1">
      <c r="B696" t="s">
        <v>366</v>
      </c>
      <c r="C696" t="s">
        <v>64</v>
      </c>
      <c r="D696" t="s">
        <v>137</v>
      </c>
      <c r="E696" t="s">
        <v>427</v>
      </c>
      <c r="F696">
        <v>4</v>
      </c>
      <c r="G696" s="122">
        <v>295</v>
      </c>
      <c r="H696" s="122">
        <v>2430</v>
      </c>
      <c r="I696" s="122">
        <v>125090</v>
      </c>
      <c r="J696" s="122">
        <v>46330</v>
      </c>
      <c r="K696">
        <v>100</v>
      </c>
      <c r="L696" s="122">
        <v>7576</v>
      </c>
      <c r="M696" s="122">
        <v>9605</v>
      </c>
      <c r="N696" s="122">
        <v>7182</v>
      </c>
      <c r="O696" s="122">
        <v>2660</v>
      </c>
      <c r="P696" s="122">
        <v>0</v>
      </c>
      <c r="Q696" s="122">
        <v>0</v>
      </c>
      <c r="R696" s="122">
        <v>23949</v>
      </c>
      <c r="S696" s="122">
        <v>21772</v>
      </c>
      <c r="T696" s="122">
        <v>4798</v>
      </c>
      <c r="U696" s="122">
        <v>1777</v>
      </c>
      <c r="V696" s="122">
        <v>82143</v>
      </c>
      <c r="W696" s="122">
        <f t="shared" si="20"/>
        <v>82144</v>
      </c>
      <c r="X696" s="122">
        <f t="shared" si="21"/>
        <v>168595</v>
      </c>
      <c r="Y696" s="122"/>
      <c r="AA696" t="s">
        <v>54</v>
      </c>
      <c r="AB696" t="s">
        <v>408</v>
      </c>
      <c r="AC696" t="s">
        <v>433</v>
      </c>
      <c r="AD696" t="s">
        <v>429</v>
      </c>
      <c r="AE696" t="s">
        <v>137</v>
      </c>
      <c r="AF696">
        <v>1</v>
      </c>
      <c r="AG696">
        <v>88</v>
      </c>
      <c r="AH696">
        <v>142</v>
      </c>
      <c r="AI696" s="122">
        <v>5536</v>
      </c>
      <c r="AJ696" s="122">
        <v>5033</v>
      </c>
      <c r="AK696">
        <v>85</v>
      </c>
      <c r="AL696" s="122">
        <v>1494</v>
      </c>
      <c r="AM696" s="122">
        <v>1358</v>
      </c>
      <c r="AN696" s="122">
        <v>1076</v>
      </c>
      <c r="AO696" s="122">
        <v>399</v>
      </c>
      <c r="AP696" s="122">
        <v>351</v>
      </c>
      <c r="AQ696">
        <v>130</v>
      </c>
      <c r="AR696" s="122">
        <v>4096</v>
      </c>
      <c r="AS696" s="122">
        <v>3724</v>
      </c>
      <c r="AT696">
        <v>0</v>
      </c>
      <c r="AU696">
        <v>0</v>
      </c>
      <c r="AV696" s="122">
        <v>10643</v>
      </c>
    </row>
    <row r="697" spans="2:48" hidden="1">
      <c r="B697" t="s">
        <v>366</v>
      </c>
      <c r="C697" t="s">
        <v>64</v>
      </c>
      <c r="D697" t="s">
        <v>137</v>
      </c>
      <c r="E697" t="s">
        <v>431</v>
      </c>
      <c r="F697">
        <v>1</v>
      </c>
      <c r="G697" s="122">
        <v>67</v>
      </c>
      <c r="H697" s="122">
        <v>549</v>
      </c>
      <c r="I697" s="122">
        <v>18307</v>
      </c>
      <c r="J697" s="122">
        <v>6781</v>
      </c>
      <c r="K697">
        <v>100</v>
      </c>
      <c r="L697" s="122">
        <v>2072</v>
      </c>
      <c r="M697" s="122">
        <v>1883</v>
      </c>
      <c r="N697" s="122">
        <v>1310</v>
      </c>
      <c r="O697" s="122">
        <v>485</v>
      </c>
      <c r="P697" s="122">
        <v>0</v>
      </c>
      <c r="Q697" s="122">
        <v>0</v>
      </c>
      <c r="R697" s="122">
        <v>10971</v>
      </c>
      <c r="S697" s="122">
        <v>9974</v>
      </c>
      <c r="T697" s="122">
        <v>4218</v>
      </c>
      <c r="U697" s="122">
        <v>1562</v>
      </c>
      <c r="V697" s="122">
        <v>20685</v>
      </c>
      <c r="W697" s="122">
        <f t="shared" si="20"/>
        <v>20685</v>
      </c>
      <c r="X697" s="122">
        <f t="shared" si="21"/>
        <v>36878</v>
      </c>
      <c r="Y697" s="122"/>
      <c r="AA697" t="s">
        <v>54</v>
      </c>
      <c r="AB697" t="s">
        <v>408</v>
      </c>
      <c r="AC697" t="s">
        <v>408</v>
      </c>
      <c r="AD697" t="s">
        <v>408</v>
      </c>
      <c r="AE697" t="s">
        <v>566</v>
      </c>
      <c r="AF697">
        <v>3</v>
      </c>
      <c r="AG697">
        <v>752</v>
      </c>
      <c r="AH697">
        <v>429</v>
      </c>
      <c r="AI697" s="122">
        <v>68453</v>
      </c>
      <c r="AJ697" s="122">
        <v>62230</v>
      </c>
      <c r="AK697">
        <v>74</v>
      </c>
      <c r="AL697" s="122">
        <v>8034</v>
      </c>
      <c r="AM697" s="122">
        <v>7304</v>
      </c>
      <c r="AN697" s="122">
        <v>10621</v>
      </c>
      <c r="AO697" s="122">
        <v>3934</v>
      </c>
      <c r="AP697" s="122">
        <v>1053</v>
      </c>
      <c r="AQ697">
        <v>390</v>
      </c>
      <c r="AR697" s="122">
        <v>20841</v>
      </c>
      <c r="AS697" s="122">
        <v>18946</v>
      </c>
      <c r="AT697">
        <v>0</v>
      </c>
      <c r="AU697">
        <v>0</v>
      </c>
      <c r="AV697" s="122">
        <v>92803</v>
      </c>
    </row>
    <row r="698" spans="2:48" hidden="1">
      <c r="B698" t="s">
        <v>366</v>
      </c>
      <c r="C698" t="s">
        <v>64</v>
      </c>
      <c r="D698" t="s">
        <v>137</v>
      </c>
      <c r="E698" t="s">
        <v>426</v>
      </c>
      <c r="F698" s="122">
        <v>14</v>
      </c>
      <c r="G698" s="122">
        <v>1160</v>
      </c>
      <c r="H698" s="122">
        <v>10549</v>
      </c>
      <c r="I698" s="122">
        <v>649991</v>
      </c>
      <c r="J698" s="122">
        <v>240738</v>
      </c>
      <c r="K698">
        <v>100</v>
      </c>
      <c r="L698" s="122">
        <v>95219</v>
      </c>
      <c r="M698" s="122">
        <v>86563</v>
      </c>
      <c r="N698" s="122">
        <v>26593</v>
      </c>
      <c r="O698" s="122">
        <v>9849</v>
      </c>
      <c r="P698" s="122">
        <v>972</v>
      </c>
      <c r="Q698" s="122">
        <v>360</v>
      </c>
      <c r="R698" s="122">
        <v>92600</v>
      </c>
      <c r="S698" s="122">
        <v>84182</v>
      </c>
      <c r="T698" s="122">
        <v>25059</v>
      </c>
      <c r="U698" s="122">
        <v>9281</v>
      </c>
      <c r="V698" s="122">
        <v>430973</v>
      </c>
      <c r="W698" s="122">
        <f t="shared" si="20"/>
        <v>430973</v>
      </c>
      <c r="X698" s="122">
        <f t="shared" si="21"/>
        <v>890434</v>
      </c>
      <c r="Y698" s="122"/>
      <c r="AA698" t="s">
        <v>54</v>
      </c>
      <c r="AB698" t="s">
        <v>408</v>
      </c>
      <c r="AC698" t="s">
        <v>408</v>
      </c>
      <c r="AD698" t="s">
        <v>429</v>
      </c>
      <c r="AE698" t="s">
        <v>566</v>
      </c>
      <c r="AF698">
        <v>1</v>
      </c>
      <c r="AG698">
        <v>259</v>
      </c>
      <c r="AH698">
        <v>145</v>
      </c>
      <c r="AI698" s="122">
        <v>23650</v>
      </c>
      <c r="AJ698" s="122">
        <v>21500</v>
      </c>
      <c r="AK698">
        <v>65</v>
      </c>
      <c r="AL698" s="122">
        <v>2847</v>
      </c>
      <c r="AM698" s="122">
        <v>2588</v>
      </c>
      <c r="AN698" s="122">
        <v>3152</v>
      </c>
      <c r="AO698" s="122">
        <v>1167</v>
      </c>
      <c r="AP698">
        <v>351</v>
      </c>
      <c r="AQ698">
        <v>130</v>
      </c>
      <c r="AR698" s="122">
        <v>7599</v>
      </c>
      <c r="AS698" s="122">
        <v>6908</v>
      </c>
      <c r="AT698">
        <v>0</v>
      </c>
      <c r="AU698">
        <v>0</v>
      </c>
      <c r="AV698" s="122">
        <v>32293</v>
      </c>
    </row>
    <row r="699" spans="2:48" hidden="1">
      <c r="B699" t="s">
        <v>366</v>
      </c>
      <c r="C699" t="s">
        <v>64</v>
      </c>
      <c r="D699" t="s">
        <v>137</v>
      </c>
      <c r="E699" t="s">
        <v>433</v>
      </c>
      <c r="F699">
        <v>1</v>
      </c>
      <c r="G699" s="122">
        <v>62</v>
      </c>
      <c r="H699" s="122">
        <v>621</v>
      </c>
      <c r="I699" s="122">
        <v>27115</v>
      </c>
      <c r="J699" s="122">
        <v>10043</v>
      </c>
      <c r="K699">
        <v>100</v>
      </c>
      <c r="L699" s="122">
        <v>2785</v>
      </c>
      <c r="M699" s="122">
        <v>2532</v>
      </c>
      <c r="N699" s="122">
        <v>1381</v>
      </c>
      <c r="O699" s="122">
        <v>512</v>
      </c>
      <c r="P699" s="122">
        <v>0</v>
      </c>
      <c r="Q699" s="122">
        <v>0</v>
      </c>
      <c r="R699" s="122">
        <v>4737</v>
      </c>
      <c r="S699" s="122">
        <v>4306</v>
      </c>
      <c r="T699" s="122">
        <v>2635</v>
      </c>
      <c r="U699" s="122">
        <v>976</v>
      </c>
      <c r="V699" s="122">
        <v>18368</v>
      </c>
      <c r="W699" s="122">
        <f t="shared" si="20"/>
        <v>18369</v>
      </c>
      <c r="X699" s="122">
        <f t="shared" si="21"/>
        <v>38653</v>
      </c>
      <c r="Y699" s="122"/>
      <c r="AA699" t="s">
        <v>54</v>
      </c>
      <c r="AB699" t="s">
        <v>408</v>
      </c>
      <c r="AC699" t="s">
        <v>429</v>
      </c>
      <c r="AD699" t="s">
        <v>137</v>
      </c>
      <c r="AE699" t="s">
        <v>566</v>
      </c>
      <c r="AF699">
        <v>1</v>
      </c>
      <c r="AG699">
        <v>285</v>
      </c>
      <c r="AH699">
        <v>150</v>
      </c>
      <c r="AI699" s="122">
        <v>26523</v>
      </c>
      <c r="AJ699" s="122">
        <v>24112</v>
      </c>
      <c r="AK699">
        <v>80</v>
      </c>
      <c r="AL699" s="122">
        <v>3627</v>
      </c>
      <c r="AM699" s="122">
        <v>3297</v>
      </c>
      <c r="AN699" s="122">
        <v>3820</v>
      </c>
      <c r="AO699" s="122">
        <v>1415</v>
      </c>
      <c r="AP699" s="122">
        <v>702</v>
      </c>
      <c r="AQ699">
        <v>260</v>
      </c>
      <c r="AR699" s="122">
        <v>8061</v>
      </c>
      <c r="AS699" s="122">
        <v>2986</v>
      </c>
      <c r="AT699" s="122">
        <v>0</v>
      </c>
      <c r="AU699" s="122">
        <v>0</v>
      </c>
      <c r="AV699" s="122">
        <v>32069</v>
      </c>
    </row>
    <row r="700" spans="2:48" hidden="1">
      <c r="B700" t="s">
        <v>366</v>
      </c>
      <c r="C700" t="s">
        <v>64</v>
      </c>
      <c r="D700" t="s">
        <v>406</v>
      </c>
      <c r="E700" t="s">
        <v>425</v>
      </c>
      <c r="F700">
        <v>1</v>
      </c>
      <c r="G700" s="122">
        <v>94</v>
      </c>
      <c r="H700" s="122">
        <v>677</v>
      </c>
      <c r="I700" s="122">
        <v>55089</v>
      </c>
      <c r="J700" s="122">
        <v>50081</v>
      </c>
      <c r="K700">
        <v>65</v>
      </c>
      <c r="L700" s="122">
        <v>0</v>
      </c>
      <c r="M700" s="122">
        <v>0</v>
      </c>
      <c r="N700" s="122">
        <v>2054</v>
      </c>
      <c r="O700" s="122">
        <v>761</v>
      </c>
      <c r="P700" s="122">
        <v>351</v>
      </c>
      <c r="Q700" s="122">
        <v>130</v>
      </c>
      <c r="R700" s="122">
        <v>4003</v>
      </c>
      <c r="S700" s="122">
        <v>3639</v>
      </c>
      <c r="T700" s="122">
        <v>1901</v>
      </c>
      <c r="U700" s="122">
        <v>704</v>
      </c>
      <c r="V700" s="122">
        <v>55315</v>
      </c>
      <c r="W700" s="122">
        <f t="shared" si="20"/>
        <v>55315</v>
      </c>
      <c r="X700" s="122">
        <f t="shared" si="21"/>
        <v>63398</v>
      </c>
      <c r="Y700" s="122"/>
      <c r="AA700" t="s">
        <v>54</v>
      </c>
      <c r="AB700" t="s">
        <v>408</v>
      </c>
      <c r="AC700" t="s">
        <v>429</v>
      </c>
      <c r="AD700" t="s">
        <v>408</v>
      </c>
      <c r="AE700" t="s">
        <v>137</v>
      </c>
      <c r="AF700">
        <v>3</v>
      </c>
      <c r="AG700" s="122">
        <v>655</v>
      </c>
      <c r="AH700">
        <v>433</v>
      </c>
      <c r="AI700" s="122">
        <v>52608</v>
      </c>
      <c r="AJ700" s="122">
        <v>47826</v>
      </c>
      <c r="AK700">
        <v>75</v>
      </c>
      <c r="AL700" s="122">
        <v>6022</v>
      </c>
      <c r="AM700" s="122">
        <v>5475</v>
      </c>
      <c r="AN700" s="122">
        <v>11174</v>
      </c>
      <c r="AO700" s="122">
        <v>4139</v>
      </c>
      <c r="AP700" s="122">
        <v>1053</v>
      </c>
      <c r="AQ700" s="122">
        <v>390</v>
      </c>
      <c r="AR700" s="122">
        <v>16643</v>
      </c>
      <c r="AS700" s="122">
        <v>15130</v>
      </c>
      <c r="AT700" s="122">
        <v>6866</v>
      </c>
      <c r="AU700" s="122">
        <v>2543</v>
      </c>
      <c r="AV700" s="122">
        <v>75502</v>
      </c>
    </row>
    <row r="701" spans="2:48" hidden="1">
      <c r="B701" t="s">
        <v>366</v>
      </c>
      <c r="C701" t="s">
        <v>64</v>
      </c>
      <c r="D701" t="s">
        <v>406</v>
      </c>
      <c r="E701" t="s">
        <v>137</v>
      </c>
      <c r="F701">
        <v>21</v>
      </c>
      <c r="G701" s="122">
        <v>1706</v>
      </c>
      <c r="H701" s="122">
        <v>12496</v>
      </c>
      <c r="I701" s="122">
        <v>681783</v>
      </c>
      <c r="J701" s="122">
        <v>619802</v>
      </c>
      <c r="K701">
        <v>71</v>
      </c>
      <c r="L701" s="122">
        <v>130768</v>
      </c>
      <c r="M701" s="122">
        <v>111987</v>
      </c>
      <c r="N701" s="122">
        <v>38787</v>
      </c>
      <c r="O701" s="122">
        <v>14366</v>
      </c>
      <c r="P701" s="122">
        <v>11799</v>
      </c>
      <c r="Q701" s="122">
        <v>4370</v>
      </c>
      <c r="R701" s="122">
        <v>129804</v>
      </c>
      <c r="S701" s="122">
        <v>48076</v>
      </c>
      <c r="T701" s="122">
        <v>0</v>
      </c>
      <c r="U701" s="122">
        <v>0</v>
      </c>
      <c r="V701" s="122">
        <v>798600</v>
      </c>
      <c r="W701" s="122">
        <f t="shared" si="20"/>
        <v>798601</v>
      </c>
      <c r="X701" s="122">
        <f t="shared" si="21"/>
        <v>992941</v>
      </c>
      <c r="Y701" s="122"/>
      <c r="AA701" t="s">
        <v>54</v>
      </c>
      <c r="AB701" t="s">
        <v>408</v>
      </c>
      <c r="AC701" t="s">
        <v>429</v>
      </c>
      <c r="AD701" t="s">
        <v>408</v>
      </c>
      <c r="AE701" t="s">
        <v>566</v>
      </c>
      <c r="AF701">
        <v>7</v>
      </c>
      <c r="AG701" s="122">
        <v>1375</v>
      </c>
      <c r="AH701">
        <v>985</v>
      </c>
      <c r="AI701" s="122">
        <v>126689</v>
      </c>
      <c r="AJ701" s="122">
        <v>115172</v>
      </c>
      <c r="AK701">
        <v>82</v>
      </c>
      <c r="AL701" s="122">
        <v>17297</v>
      </c>
      <c r="AM701" s="122">
        <v>15725</v>
      </c>
      <c r="AN701" s="122">
        <v>26897</v>
      </c>
      <c r="AO701" s="122">
        <v>9962</v>
      </c>
      <c r="AP701" s="122">
        <v>6714</v>
      </c>
      <c r="AQ701" s="122">
        <v>2487</v>
      </c>
      <c r="AR701" s="122">
        <v>33770</v>
      </c>
      <c r="AS701" s="122">
        <v>30700</v>
      </c>
      <c r="AT701">
        <v>0</v>
      </c>
      <c r="AU701">
        <v>0</v>
      </c>
      <c r="AV701" s="122">
        <v>174045</v>
      </c>
    </row>
    <row r="702" spans="2:48" hidden="1">
      <c r="B702" t="s">
        <v>366</v>
      </c>
      <c r="C702" t="s">
        <v>64</v>
      </c>
      <c r="D702" t="s">
        <v>406</v>
      </c>
      <c r="E702" t="s">
        <v>406</v>
      </c>
      <c r="F702">
        <v>730</v>
      </c>
      <c r="G702" s="122">
        <v>69629</v>
      </c>
      <c r="H702" s="122">
        <v>410516</v>
      </c>
      <c r="I702" s="122">
        <v>26399059</v>
      </c>
      <c r="J702" s="122">
        <v>23999144</v>
      </c>
      <c r="K702">
        <v>71</v>
      </c>
      <c r="L702" s="122">
        <v>6453567</v>
      </c>
      <c r="M702" s="122">
        <v>5774224</v>
      </c>
      <c r="N702" s="122">
        <v>1560550</v>
      </c>
      <c r="O702" s="122">
        <v>577982</v>
      </c>
      <c r="P702" s="122">
        <v>465750</v>
      </c>
      <c r="Q702" s="122">
        <v>172500</v>
      </c>
      <c r="R702" s="122">
        <v>3682361</v>
      </c>
      <c r="S702" s="122">
        <v>3347600</v>
      </c>
      <c r="T702" s="122">
        <v>1227621</v>
      </c>
      <c r="U702" s="122">
        <v>454675</v>
      </c>
      <c r="V702" s="122">
        <v>34326125</v>
      </c>
      <c r="W702" s="122">
        <f t="shared" si="20"/>
        <v>34326125</v>
      </c>
      <c r="X702" s="122">
        <f t="shared" si="21"/>
        <v>39788908</v>
      </c>
      <c r="Y702" s="122"/>
      <c r="AA702" t="s">
        <v>54</v>
      </c>
      <c r="AB702" t="s">
        <v>429</v>
      </c>
      <c r="AC702" t="s">
        <v>433</v>
      </c>
      <c r="AD702" t="s">
        <v>429</v>
      </c>
      <c r="AE702" t="s">
        <v>566</v>
      </c>
      <c r="AF702">
        <v>1</v>
      </c>
      <c r="AG702">
        <v>186</v>
      </c>
      <c r="AH702">
        <v>142</v>
      </c>
      <c r="AI702" s="122">
        <v>9568</v>
      </c>
      <c r="AJ702" s="122">
        <v>8698</v>
      </c>
      <c r="AK702">
        <v>65</v>
      </c>
      <c r="AL702" s="122">
        <v>1152</v>
      </c>
      <c r="AM702" s="122">
        <v>1047</v>
      </c>
      <c r="AN702" s="122">
        <v>3233</v>
      </c>
      <c r="AO702" s="122">
        <v>1198</v>
      </c>
      <c r="AP702" s="122">
        <v>1404</v>
      </c>
      <c r="AQ702">
        <v>520</v>
      </c>
      <c r="AR702" s="122">
        <v>10951</v>
      </c>
      <c r="AS702" s="122">
        <v>9956</v>
      </c>
      <c r="AT702">
        <v>0</v>
      </c>
      <c r="AU702">
        <v>0</v>
      </c>
      <c r="AV702" s="122">
        <v>21418</v>
      </c>
    </row>
    <row r="703" spans="2:48" hidden="1">
      <c r="B703" t="s">
        <v>366</v>
      </c>
      <c r="C703" t="s">
        <v>64</v>
      </c>
      <c r="D703" t="s">
        <v>406</v>
      </c>
      <c r="E703" t="s">
        <v>427</v>
      </c>
      <c r="F703">
        <v>3</v>
      </c>
      <c r="G703" s="122">
        <v>289</v>
      </c>
      <c r="H703" s="122">
        <v>1672</v>
      </c>
      <c r="I703" s="122">
        <v>116947</v>
      </c>
      <c r="J703" s="122">
        <v>106316</v>
      </c>
      <c r="K703">
        <v>65</v>
      </c>
      <c r="L703" s="122">
        <v>14239</v>
      </c>
      <c r="M703" s="122">
        <v>12944</v>
      </c>
      <c r="N703" s="122">
        <v>5820</v>
      </c>
      <c r="O703" s="122">
        <v>2155</v>
      </c>
      <c r="P703" s="122">
        <v>2214</v>
      </c>
      <c r="Q703" s="122">
        <v>820</v>
      </c>
      <c r="R703" s="122">
        <v>13849</v>
      </c>
      <c r="S703" s="122">
        <v>12590</v>
      </c>
      <c r="T703" s="122">
        <v>4193</v>
      </c>
      <c r="U703" s="122">
        <v>1553</v>
      </c>
      <c r="V703" s="122">
        <v>136379</v>
      </c>
      <c r="W703" s="122">
        <f t="shared" si="20"/>
        <v>136378</v>
      </c>
      <c r="X703" s="122">
        <f t="shared" si="21"/>
        <v>157262</v>
      </c>
      <c r="Y703" s="122"/>
      <c r="AA703" t="s">
        <v>54</v>
      </c>
      <c r="AB703" t="s">
        <v>429</v>
      </c>
      <c r="AC703" t="s">
        <v>429</v>
      </c>
      <c r="AD703" t="s">
        <v>429</v>
      </c>
      <c r="AE703" t="s">
        <v>566</v>
      </c>
      <c r="AF703">
        <v>1</v>
      </c>
      <c r="AG703" s="122">
        <v>141</v>
      </c>
      <c r="AH703" s="122">
        <v>140</v>
      </c>
      <c r="AI703" s="122">
        <v>11168</v>
      </c>
      <c r="AJ703" s="122">
        <v>10152</v>
      </c>
      <c r="AK703">
        <v>86</v>
      </c>
      <c r="AL703" s="122">
        <v>1651</v>
      </c>
      <c r="AM703" s="122">
        <v>1501</v>
      </c>
      <c r="AN703" s="122">
        <v>1723</v>
      </c>
      <c r="AO703" s="122">
        <v>638</v>
      </c>
      <c r="AP703" s="122">
        <v>351</v>
      </c>
      <c r="AQ703" s="122">
        <v>130</v>
      </c>
      <c r="AR703" s="122">
        <v>4950</v>
      </c>
      <c r="AS703" s="122">
        <v>4500</v>
      </c>
      <c r="AT703" s="122">
        <v>0</v>
      </c>
      <c r="AU703" s="122">
        <v>0</v>
      </c>
      <c r="AV703" s="122">
        <v>16922</v>
      </c>
    </row>
    <row r="704" spans="2:48" hidden="1">
      <c r="B704" t="s">
        <v>366</v>
      </c>
      <c r="C704" t="s">
        <v>64</v>
      </c>
      <c r="D704" t="s">
        <v>406</v>
      </c>
      <c r="E704" t="s">
        <v>426</v>
      </c>
      <c r="F704">
        <v>3</v>
      </c>
      <c r="G704" s="122">
        <v>513</v>
      </c>
      <c r="H704" s="122">
        <v>1638</v>
      </c>
      <c r="I704" s="122">
        <v>198196</v>
      </c>
      <c r="J704" s="122">
        <v>180178</v>
      </c>
      <c r="K704">
        <v>65</v>
      </c>
      <c r="L704" s="122">
        <v>45365</v>
      </c>
      <c r="M704" s="122">
        <v>41241</v>
      </c>
      <c r="N704" s="122">
        <v>11071</v>
      </c>
      <c r="O704" s="122">
        <v>4100</v>
      </c>
      <c r="P704" s="122">
        <v>1863</v>
      </c>
      <c r="Q704" s="122">
        <v>690</v>
      </c>
      <c r="R704" s="122">
        <v>20056</v>
      </c>
      <c r="S704" s="122">
        <v>18233</v>
      </c>
      <c r="T704" s="122">
        <v>3278</v>
      </c>
      <c r="U704" s="122">
        <v>1214</v>
      </c>
      <c r="V704" s="122">
        <v>245656</v>
      </c>
      <c r="W704" s="122">
        <f t="shared" si="20"/>
        <v>245656</v>
      </c>
      <c r="X704" s="122">
        <f t="shared" si="21"/>
        <v>279829</v>
      </c>
      <c r="Y704" s="122"/>
      <c r="AA704" t="s">
        <v>56</v>
      </c>
      <c r="AC704" t="s">
        <v>566</v>
      </c>
      <c r="AE704" t="s">
        <v>566</v>
      </c>
      <c r="AF704">
        <v>34</v>
      </c>
      <c r="AG704" s="122">
        <v>7145</v>
      </c>
      <c r="AH704" s="122">
        <v>6395</v>
      </c>
      <c r="AI704" s="122"/>
      <c r="AJ704" s="122">
        <v>0</v>
      </c>
      <c r="AL704" s="122"/>
      <c r="AM704" s="122">
        <v>0</v>
      </c>
      <c r="AN704" s="122">
        <v>138811</v>
      </c>
      <c r="AO704" s="122">
        <v>51412</v>
      </c>
      <c r="AP704" s="122">
        <v>23423</v>
      </c>
      <c r="AQ704" s="122">
        <v>8675</v>
      </c>
      <c r="AR704" s="122"/>
      <c r="AS704" s="122">
        <v>0</v>
      </c>
      <c r="AT704" s="122">
        <v>20421</v>
      </c>
      <c r="AU704" s="122">
        <v>7563</v>
      </c>
      <c r="AV704" s="122">
        <v>67650</v>
      </c>
    </row>
    <row r="705" spans="2:48" hidden="1">
      <c r="B705" t="s">
        <v>366</v>
      </c>
      <c r="C705" t="s">
        <v>64</v>
      </c>
      <c r="D705" t="s">
        <v>427</v>
      </c>
      <c r="E705" t="s">
        <v>137</v>
      </c>
      <c r="F705" s="122">
        <v>1</v>
      </c>
      <c r="G705" s="122">
        <v>65</v>
      </c>
      <c r="H705" s="122">
        <v>1685</v>
      </c>
      <c r="I705" s="122">
        <v>90480</v>
      </c>
      <c r="J705" s="122">
        <v>82254</v>
      </c>
      <c r="K705">
        <v>30</v>
      </c>
      <c r="L705" s="122">
        <v>10053</v>
      </c>
      <c r="M705" s="122">
        <v>9139</v>
      </c>
      <c r="N705" s="122">
        <v>1591</v>
      </c>
      <c r="O705" s="122">
        <v>589</v>
      </c>
      <c r="P705" s="122">
        <v>0</v>
      </c>
      <c r="Q705" s="122">
        <v>0</v>
      </c>
      <c r="R705" s="122">
        <v>7896</v>
      </c>
      <c r="S705" s="122">
        <v>2925</v>
      </c>
      <c r="T705" s="122">
        <v>0</v>
      </c>
      <c r="U705" s="122">
        <v>0</v>
      </c>
      <c r="V705" s="122">
        <v>94908</v>
      </c>
      <c r="W705" s="122">
        <f t="shared" si="20"/>
        <v>94907</v>
      </c>
      <c r="X705" s="122">
        <f t="shared" si="21"/>
        <v>110020</v>
      </c>
      <c r="Y705" s="122"/>
      <c r="AA705" t="s">
        <v>56</v>
      </c>
      <c r="AB705" t="s">
        <v>578</v>
      </c>
      <c r="AC705" t="s">
        <v>578</v>
      </c>
      <c r="AD705" t="s">
        <v>578</v>
      </c>
      <c r="AE705" t="s">
        <v>566</v>
      </c>
      <c r="AF705">
        <v>1</v>
      </c>
      <c r="AG705">
        <v>187</v>
      </c>
      <c r="AH705">
        <v>215</v>
      </c>
      <c r="AI705" s="122">
        <v>22995</v>
      </c>
      <c r="AJ705" s="122">
        <v>20905</v>
      </c>
      <c r="AK705">
        <v>70</v>
      </c>
      <c r="AL705" s="122">
        <v>2732</v>
      </c>
      <c r="AM705" s="122">
        <v>2484</v>
      </c>
      <c r="AN705" s="122">
        <v>4557</v>
      </c>
      <c r="AO705" s="122">
        <v>1688</v>
      </c>
      <c r="AP705">
        <v>351</v>
      </c>
      <c r="AQ705">
        <v>130</v>
      </c>
      <c r="AR705" s="122">
        <v>9555</v>
      </c>
      <c r="AS705" s="122">
        <v>8687</v>
      </c>
      <c r="AT705" s="122">
        <v>0</v>
      </c>
      <c r="AU705" s="122">
        <v>0</v>
      </c>
      <c r="AV705" s="122">
        <v>33893</v>
      </c>
    </row>
    <row r="706" spans="2:48" hidden="1">
      <c r="B706" t="s">
        <v>366</v>
      </c>
      <c r="C706" t="s">
        <v>64</v>
      </c>
      <c r="D706" t="s">
        <v>427</v>
      </c>
      <c r="E706" t="s">
        <v>406</v>
      </c>
      <c r="F706">
        <v>1</v>
      </c>
      <c r="G706" s="122">
        <v>79</v>
      </c>
      <c r="H706" s="122">
        <v>924</v>
      </c>
      <c r="I706" s="122">
        <v>50749</v>
      </c>
      <c r="J706" s="122">
        <v>46136</v>
      </c>
      <c r="K706">
        <v>45</v>
      </c>
      <c r="L706" s="122">
        <v>8026</v>
      </c>
      <c r="M706" s="122">
        <v>7296</v>
      </c>
      <c r="N706" s="122">
        <v>1924</v>
      </c>
      <c r="O706" s="122">
        <v>713</v>
      </c>
      <c r="P706" s="122">
        <v>351</v>
      </c>
      <c r="Q706" s="122">
        <v>130</v>
      </c>
      <c r="R706" s="122">
        <v>11926</v>
      </c>
      <c r="S706" s="122">
        <v>10842</v>
      </c>
      <c r="T706" s="122">
        <v>0</v>
      </c>
      <c r="U706" s="122">
        <v>0</v>
      </c>
      <c r="V706" s="122">
        <v>65117</v>
      </c>
      <c r="W706" s="122">
        <f t="shared" si="20"/>
        <v>65117</v>
      </c>
      <c r="X706" s="122">
        <f t="shared" si="21"/>
        <v>72976</v>
      </c>
      <c r="Y706" s="122"/>
      <c r="AA706" t="s">
        <v>56</v>
      </c>
      <c r="AB706" t="s">
        <v>578</v>
      </c>
      <c r="AC706" t="s">
        <v>580</v>
      </c>
      <c r="AD706" t="s">
        <v>578</v>
      </c>
      <c r="AE706" t="s">
        <v>137</v>
      </c>
      <c r="AF706">
        <v>1</v>
      </c>
      <c r="AG706">
        <v>160</v>
      </c>
      <c r="AH706">
        <v>221</v>
      </c>
      <c r="AI706" s="122">
        <v>21443</v>
      </c>
      <c r="AJ706" s="122">
        <v>19493</v>
      </c>
      <c r="AK706">
        <v>86</v>
      </c>
      <c r="AL706" s="122">
        <v>2586</v>
      </c>
      <c r="AM706" s="122">
        <v>2351</v>
      </c>
      <c r="AN706" s="122">
        <v>3899</v>
      </c>
      <c r="AO706" s="122">
        <v>1444</v>
      </c>
      <c r="AP706">
        <v>621</v>
      </c>
      <c r="AQ706">
        <v>230</v>
      </c>
      <c r="AR706" s="122">
        <v>3449</v>
      </c>
      <c r="AS706" s="122">
        <v>3135</v>
      </c>
      <c r="AT706" s="122">
        <v>3395</v>
      </c>
      <c r="AU706" s="122">
        <v>1257</v>
      </c>
      <c r="AV706" s="122">
        <v>27910</v>
      </c>
    </row>
    <row r="707" spans="2:48" hidden="1">
      <c r="B707" t="s">
        <v>366</v>
      </c>
      <c r="C707" t="s">
        <v>64</v>
      </c>
      <c r="D707" t="s">
        <v>427</v>
      </c>
      <c r="E707" t="s">
        <v>427</v>
      </c>
      <c r="F707">
        <v>17</v>
      </c>
      <c r="G707" s="122">
        <v>1262</v>
      </c>
      <c r="H707" s="122">
        <v>9814</v>
      </c>
      <c r="I707" s="122">
        <v>507935</v>
      </c>
      <c r="J707" s="122">
        <v>461759</v>
      </c>
      <c r="K707">
        <v>49</v>
      </c>
      <c r="L707" s="122">
        <v>62717</v>
      </c>
      <c r="M707" s="122">
        <v>62890</v>
      </c>
      <c r="N707" s="122">
        <v>28069</v>
      </c>
      <c r="O707" s="122">
        <v>10396</v>
      </c>
      <c r="P707" s="122">
        <v>5265</v>
      </c>
      <c r="Q707" s="122">
        <v>1950</v>
      </c>
      <c r="R707" s="122">
        <v>107972</v>
      </c>
      <c r="S707" s="122">
        <v>98157</v>
      </c>
      <c r="T707" s="122">
        <v>36448</v>
      </c>
      <c r="U707" s="122">
        <v>13499</v>
      </c>
      <c r="V707" s="122">
        <v>648651</v>
      </c>
      <c r="W707" s="122">
        <f t="shared" si="20"/>
        <v>648651</v>
      </c>
      <c r="X707" s="122">
        <f t="shared" si="21"/>
        <v>748406</v>
      </c>
      <c r="Y707" s="122"/>
      <c r="AA707" t="s">
        <v>56</v>
      </c>
      <c r="AB707" t="s">
        <v>578</v>
      </c>
      <c r="AC707" t="s">
        <v>407</v>
      </c>
      <c r="AD707" t="s">
        <v>407</v>
      </c>
      <c r="AE707" t="s">
        <v>137</v>
      </c>
      <c r="AF707">
        <v>1</v>
      </c>
      <c r="AG707">
        <v>161</v>
      </c>
      <c r="AH707">
        <v>180</v>
      </c>
      <c r="AI707" s="122">
        <v>17104</v>
      </c>
      <c r="AJ707" s="122">
        <v>15549</v>
      </c>
      <c r="AK707">
        <v>93</v>
      </c>
      <c r="AL707" s="122">
        <v>2725</v>
      </c>
      <c r="AM707" s="122">
        <v>2477</v>
      </c>
      <c r="AN707" s="122">
        <v>2625</v>
      </c>
      <c r="AO707">
        <v>972</v>
      </c>
      <c r="AP707">
        <v>473</v>
      </c>
      <c r="AQ707">
        <v>175</v>
      </c>
      <c r="AR707" s="122">
        <v>2989</v>
      </c>
      <c r="AS707" s="122">
        <v>2717</v>
      </c>
      <c r="AT707" s="122">
        <v>3047</v>
      </c>
      <c r="AU707" s="122">
        <v>1129</v>
      </c>
      <c r="AV707" s="122">
        <v>23019</v>
      </c>
    </row>
    <row r="708" spans="2:48" hidden="1">
      <c r="B708" t="s">
        <v>366</v>
      </c>
      <c r="C708" t="s">
        <v>64</v>
      </c>
      <c r="D708" t="s">
        <v>556</v>
      </c>
      <c r="E708" t="s">
        <v>137</v>
      </c>
      <c r="F708">
        <v>1</v>
      </c>
      <c r="G708" s="122">
        <v>214</v>
      </c>
      <c r="H708" s="122">
        <v>1236</v>
      </c>
      <c r="I708" s="122">
        <v>231995</v>
      </c>
      <c r="J708" s="122">
        <v>193329</v>
      </c>
      <c r="K708">
        <v>30</v>
      </c>
      <c r="L708" s="122">
        <v>17400</v>
      </c>
      <c r="M708" s="122">
        <v>6444</v>
      </c>
      <c r="N708" s="122">
        <v>5211</v>
      </c>
      <c r="O708" s="122">
        <v>1930</v>
      </c>
      <c r="P708" s="122">
        <v>0</v>
      </c>
      <c r="Q708" s="122">
        <v>0</v>
      </c>
      <c r="R708" s="122">
        <v>9701</v>
      </c>
      <c r="S708" s="122">
        <v>3593</v>
      </c>
      <c r="T708" s="122">
        <v>0</v>
      </c>
      <c r="U708" s="122">
        <v>0</v>
      </c>
      <c r="V708" s="122">
        <v>205296</v>
      </c>
      <c r="W708" s="122">
        <f t="shared" si="20"/>
        <v>205296</v>
      </c>
      <c r="X708" s="122">
        <f t="shared" si="21"/>
        <v>264307</v>
      </c>
      <c r="Y708" s="122"/>
      <c r="AA708" t="s">
        <v>56</v>
      </c>
      <c r="AB708" t="s">
        <v>578</v>
      </c>
      <c r="AC708" t="s">
        <v>426</v>
      </c>
      <c r="AD708" t="s">
        <v>578</v>
      </c>
      <c r="AE708" t="s">
        <v>137</v>
      </c>
      <c r="AF708">
        <v>1</v>
      </c>
      <c r="AG708" s="122">
        <v>114</v>
      </c>
      <c r="AH708" s="122">
        <v>206</v>
      </c>
      <c r="AI708" s="122">
        <v>12117</v>
      </c>
      <c r="AJ708" s="122">
        <v>11016</v>
      </c>
      <c r="AK708">
        <v>85</v>
      </c>
      <c r="AL708" s="122">
        <v>3815</v>
      </c>
      <c r="AM708" s="122">
        <v>3468</v>
      </c>
      <c r="AN708" s="122">
        <v>1395</v>
      </c>
      <c r="AO708" s="122">
        <v>517</v>
      </c>
      <c r="AP708" s="122">
        <v>621</v>
      </c>
      <c r="AQ708" s="122">
        <v>230</v>
      </c>
      <c r="AR708" s="122">
        <v>5596</v>
      </c>
      <c r="AS708" s="122">
        <v>5087</v>
      </c>
      <c r="AT708" s="122">
        <v>0</v>
      </c>
      <c r="AU708" s="122">
        <v>0</v>
      </c>
      <c r="AV708" s="122">
        <v>20317</v>
      </c>
    </row>
    <row r="709" spans="2:48" hidden="1">
      <c r="B709" t="s">
        <v>366</v>
      </c>
      <c r="C709" t="s">
        <v>64</v>
      </c>
      <c r="D709" t="s">
        <v>556</v>
      </c>
      <c r="E709" t="s">
        <v>556</v>
      </c>
      <c r="F709">
        <v>4</v>
      </c>
      <c r="G709" s="122">
        <v>415</v>
      </c>
      <c r="H709" s="122">
        <v>2494</v>
      </c>
      <c r="I709" s="122">
        <v>194165</v>
      </c>
      <c r="J709" s="122">
        <v>161804</v>
      </c>
      <c r="K709">
        <v>58</v>
      </c>
      <c r="L709" s="122">
        <v>16250</v>
      </c>
      <c r="M709" s="122">
        <v>13722</v>
      </c>
      <c r="N709" s="122">
        <v>8749</v>
      </c>
      <c r="O709" s="122">
        <v>3240</v>
      </c>
      <c r="P709" s="122">
        <v>1674</v>
      </c>
      <c r="Q709" s="122">
        <v>620</v>
      </c>
      <c r="R709" s="122">
        <v>23360</v>
      </c>
      <c r="S709" s="122">
        <v>19466</v>
      </c>
      <c r="T709" s="122">
        <v>4694</v>
      </c>
      <c r="U709" s="122">
        <v>1738</v>
      </c>
      <c r="V709" s="122">
        <v>200591</v>
      </c>
      <c r="W709" s="122">
        <f t="shared" si="20"/>
        <v>200590</v>
      </c>
      <c r="X709" s="122">
        <f t="shared" si="21"/>
        <v>248892</v>
      </c>
      <c r="Y709" s="122"/>
      <c r="AA709" t="s">
        <v>56</v>
      </c>
      <c r="AB709" t="s">
        <v>425</v>
      </c>
      <c r="AC709" t="s">
        <v>425</v>
      </c>
      <c r="AD709" t="s">
        <v>425</v>
      </c>
      <c r="AE709" t="s">
        <v>137</v>
      </c>
      <c r="AF709">
        <v>14</v>
      </c>
      <c r="AG709" s="122">
        <v>2135</v>
      </c>
      <c r="AH709" s="122">
        <v>2741</v>
      </c>
      <c r="AI709" s="122">
        <v>257452</v>
      </c>
      <c r="AJ709" s="122">
        <v>234047</v>
      </c>
      <c r="AK709">
        <v>84</v>
      </c>
      <c r="AL709" s="122">
        <v>55941</v>
      </c>
      <c r="AM709" s="122">
        <v>50856</v>
      </c>
      <c r="AN709" s="122">
        <v>40113</v>
      </c>
      <c r="AO709" s="122">
        <v>14856</v>
      </c>
      <c r="AP709" s="122">
        <v>7088</v>
      </c>
      <c r="AQ709" s="122">
        <v>2625</v>
      </c>
      <c r="AR709" s="122">
        <v>70079</v>
      </c>
      <c r="AS709" s="122">
        <v>63709</v>
      </c>
      <c r="AT709" s="122">
        <v>14552</v>
      </c>
      <c r="AU709" s="122">
        <v>5390</v>
      </c>
      <c r="AV709" s="122">
        <v>371483</v>
      </c>
    </row>
    <row r="710" spans="2:48" hidden="1">
      <c r="B710" t="s">
        <v>366</v>
      </c>
      <c r="C710" t="s">
        <v>64</v>
      </c>
      <c r="D710" t="s">
        <v>431</v>
      </c>
      <c r="E710" t="s">
        <v>137</v>
      </c>
      <c r="F710">
        <v>5</v>
      </c>
      <c r="G710">
        <v>383</v>
      </c>
      <c r="H710" s="122">
        <v>5390</v>
      </c>
      <c r="I710" s="122">
        <v>341619</v>
      </c>
      <c r="J710" s="122">
        <v>310563</v>
      </c>
      <c r="K710">
        <v>39</v>
      </c>
      <c r="L710" s="122">
        <v>32116</v>
      </c>
      <c r="M710" s="122">
        <v>22384</v>
      </c>
      <c r="N710" s="122">
        <v>9329</v>
      </c>
      <c r="O710" s="122">
        <v>3455</v>
      </c>
      <c r="P710" s="122">
        <v>0</v>
      </c>
      <c r="Q710" s="122">
        <v>0</v>
      </c>
      <c r="R710" s="122">
        <v>30399</v>
      </c>
      <c r="S710" s="122">
        <v>11259</v>
      </c>
      <c r="T710" s="122">
        <v>0</v>
      </c>
      <c r="U710" s="122">
        <v>0</v>
      </c>
      <c r="V710" s="122">
        <v>347662</v>
      </c>
      <c r="W710" s="122">
        <f t="shared" si="20"/>
        <v>347661</v>
      </c>
      <c r="X710" s="122">
        <f t="shared" si="21"/>
        <v>413463</v>
      </c>
      <c r="Y710" s="122"/>
      <c r="AA710" t="s">
        <v>56</v>
      </c>
      <c r="AB710" t="s">
        <v>425</v>
      </c>
      <c r="AC710" t="s">
        <v>425</v>
      </c>
      <c r="AD710" t="s">
        <v>425</v>
      </c>
      <c r="AE710" t="s">
        <v>566</v>
      </c>
      <c r="AF710">
        <v>15</v>
      </c>
      <c r="AG710" s="122">
        <v>2172</v>
      </c>
      <c r="AH710" s="122">
        <v>2795</v>
      </c>
      <c r="AI710" s="122">
        <v>273183</v>
      </c>
      <c r="AJ710" s="122">
        <v>248348</v>
      </c>
      <c r="AK710">
        <v>86</v>
      </c>
      <c r="AL710" s="122">
        <v>37579</v>
      </c>
      <c r="AM710" s="122">
        <v>34163</v>
      </c>
      <c r="AN710" s="122">
        <v>40585</v>
      </c>
      <c r="AO710" s="122">
        <v>15032</v>
      </c>
      <c r="AP710" s="122">
        <v>8316</v>
      </c>
      <c r="AQ710" s="122">
        <v>3080</v>
      </c>
      <c r="AR710" s="122">
        <v>87247</v>
      </c>
      <c r="AS710" s="122">
        <v>79315</v>
      </c>
      <c r="AT710">
        <v>0</v>
      </c>
      <c r="AU710">
        <v>0</v>
      </c>
      <c r="AV710" s="122">
        <v>379938</v>
      </c>
    </row>
    <row r="711" spans="2:48" hidden="1">
      <c r="B711" t="s">
        <v>366</v>
      </c>
      <c r="C711" t="s">
        <v>64</v>
      </c>
      <c r="D711" t="s">
        <v>431</v>
      </c>
      <c r="E711" t="s">
        <v>431</v>
      </c>
      <c r="F711">
        <v>14</v>
      </c>
      <c r="G711" s="122">
        <v>987</v>
      </c>
      <c r="H711" s="122">
        <v>8887</v>
      </c>
      <c r="I711" s="122">
        <v>403858</v>
      </c>
      <c r="J711" s="122">
        <v>367143</v>
      </c>
      <c r="K711">
        <v>50</v>
      </c>
      <c r="L711" s="122">
        <v>32710</v>
      </c>
      <c r="M711" s="122">
        <v>25482</v>
      </c>
      <c r="N711" s="122">
        <v>22207</v>
      </c>
      <c r="O711" s="122">
        <v>8225</v>
      </c>
      <c r="P711" s="122">
        <v>4833</v>
      </c>
      <c r="Q711" s="122">
        <v>1790</v>
      </c>
      <c r="R711" s="122">
        <v>109223</v>
      </c>
      <c r="S711" s="122">
        <v>99294</v>
      </c>
      <c r="T711" s="122">
        <v>31686</v>
      </c>
      <c r="U711" s="122">
        <v>11735</v>
      </c>
      <c r="V711" s="122">
        <v>513669</v>
      </c>
      <c r="W711" s="122">
        <f t="shared" ref="W711:W774" si="22">SUM(ABS(J711),ABS(M711),ABS(O711),ABS(Q711),ABS(S711),ABS(U711))</f>
        <v>513669</v>
      </c>
      <c r="X711" s="122">
        <f t="shared" ref="X711:X774" si="23">SUM(ABS(I711),ABS(N711),ABS(P711),ABS(R711),ABS(T711),ABS(L711))</f>
        <v>604517</v>
      </c>
      <c r="Y711" s="122"/>
      <c r="AA711" t="s">
        <v>56</v>
      </c>
      <c r="AB711" t="s">
        <v>425</v>
      </c>
      <c r="AC711" t="s">
        <v>425</v>
      </c>
      <c r="AD711" t="s">
        <v>137</v>
      </c>
      <c r="AE711" t="s">
        <v>566</v>
      </c>
      <c r="AF711">
        <v>2</v>
      </c>
      <c r="AG711">
        <v>652</v>
      </c>
      <c r="AH711">
        <v>374</v>
      </c>
      <c r="AI711" s="122">
        <v>68871</v>
      </c>
      <c r="AJ711" s="122">
        <v>62610</v>
      </c>
      <c r="AK711">
        <v>81</v>
      </c>
      <c r="AL711" s="122">
        <v>18837</v>
      </c>
      <c r="AM711" s="122">
        <v>17125</v>
      </c>
      <c r="AN711" s="122">
        <v>14886</v>
      </c>
      <c r="AO711" s="122">
        <v>5513</v>
      </c>
      <c r="AP711">
        <v>473</v>
      </c>
      <c r="AQ711">
        <v>175</v>
      </c>
      <c r="AR711" s="122">
        <v>17219</v>
      </c>
      <c r="AS711" s="122">
        <v>6377</v>
      </c>
      <c r="AT711" s="122">
        <v>0</v>
      </c>
      <c r="AU711" s="122">
        <v>0</v>
      </c>
      <c r="AV711" s="122">
        <v>91800</v>
      </c>
    </row>
    <row r="712" spans="2:48" hidden="1">
      <c r="B712" t="s">
        <v>366</v>
      </c>
      <c r="C712" t="s">
        <v>64</v>
      </c>
      <c r="D712" t="s">
        <v>426</v>
      </c>
      <c r="E712" t="s">
        <v>137</v>
      </c>
      <c r="F712">
        <v>47</v>
      </c>
      <c r="G712" s="122">
        <v>3938</v>
      </c>
      <c r="H712" s="122">
        <v>55429</v>
      </c>
      <c r="I712" s="122">
        <v>3537366</v>
      </c>
      <c r="J712" s="122">
        <v>3215787</v>
      </c>
      <c r="K712">
        <v>36</v>
      </c>
      <c r="L712" s="122">
        <v>350601</v>
      </c>
      <c r="M712" s="122">
        <v>179128</v>
      </c>
      <c r="N712" s="122">
        <v>93569</v>
      </c>
      <c r="O712" s="122">
        <v>34655</v>
      </c>
      <c r="P712" s="122">
        <v>2727</v>
      </c>
      <c r="Q712" s="122">
        <v>1010</v>
      </c>
      <c r="R712" s="122">
        <v>276764</v>
      </c>
      <c r="S712" s="122">
        <v>102505</v>
      </c>
      <c r="T712" s="122">
        <v>4324</v>
      </c>
      <c r="U712" s="122">
        <v>1601</v>
      </c>
      <c r="V712" s="122">
        <v>3534687</v>
      </c>
      <c r="W712" s="122">
        <f t="shared" si="22"/>
        <v>3534686</v>
      </c>
      <c r="X712" s="122">
        <f t="shared" si="23"/>
        <v>4265351</v>
      </c>
      <c r="Y712" s="122"/>
      <c r="AA712" t="s">
        <v>56</v>
      </c>
      <c r="AB712" t="s">
        <v>425</v>
      </c>
      <c r="AC712" t="s">
        <v>405</v>
      </c>
      <c r="AD712" t="s">
        <v>425</v>
      </c>
      <c r="AE712" t="s">
        <v>137</v>
      </c>
      <c r="AF712">
        <v>1</v>
      </c>
      <c r="AG712">
        <v>186</v>
      </c>
      <c r="AH712">
        <v>211</v>
      </c>
      <c r="AI712" s="122">
        <v>24727</v>
      </c>
      <c r="AJ712" s="122">
        <v>22479</v>
      </c>
      <c r="AK712">
        <v>91</v>
      </c>
      <c r="AL712" s="122">
        <v>3289</v>
      </c>
      <c r="AM712" s="122">
        <v>2990</v>
      </c>
      <c r="AN712" s="122">
        <v>2646</v>
      </c>
      <c r="AO712" s="122">
        <v>980</v>
      </c>
      <c r="AP712">
        <v>473</v>
      </c>
      <c r="AQ712">
        <v>175</v>
      </c>
      <c r="AR712" s="122">
        <v>4423</v>
      </c>
      <c r="AS712" s="122">
        <v>4021</v>
      </c>
      <c r="AT712" s="122">
        <v>3520</v>
      </c>
      <c r="AU712" s="122">
        <v>1304</v>
      </c>
      <c r="AV712" s="122">
        <v>31949</v>
      </c>
    </row>
    <row r="713" spans="2:48" hidden="1">
      <c r="B713" t="s">
        <v>366</v>
      </c>
      <c r="C713" t="s">
        <v>64</v>
      </c>
      <c r="D713" t="s">
        <v>426</v>
      </c>
      <c r="E713" t="s">
        <v>406</v>
      </c>
      <c r="F713">
        <v>2</v>
      </c>
      <c r="G713">
        <v>253</v>
      </c>
      <c r="H713" s="122">
        <v>2130</v>
      </c>
      <c r="I713" s="122">
        <v>242651</v>
      </c>
      <c r="J713" s="122">
        <v>220591</v>
      </c>
      <c r="K713">
        <v>30</v>
      </c>
      <c r="L713" s="122">
        <v>8901</v>
      </c>
      <c r="M713" s="122">
        <v>8092</v>
      </c>
      <c r="N713" s="122">
        <v>6094</v>
      </c>
      <c r="O713" s="122">
        <v>2257</v>
      </c>
      <c r="P713" s="122">
        <v>1242</v>
      </c>
      <c r="Q713">
        <v>460</v>
      </c>
      <c r="R713" s="122">
        <v>6520</v>
      </c>
      <c r="S713" s="122">
        <v>5927</v>
      </c>
      <c r="T713" s="122">
        <v>4613</v>
      </c>
      <c r="U713" s="122">
        <v>1708</v>
      </c>
      <c r="V713" s="122">
        <v>239036</v>
      </c>
      <c r="W713" s="122">
        <f t="shared" si="22"/>
        <v>239035</v>
      </c>
      <c r="X713" s="122">
        <f t="shared" si="23"/>
        <v>270021</v>
      </c>
      <c r="Y713" s="122"/>
      <c r="AA713" t="s">
        <v>56</v>
      </c>
      <c r="AB713" t="s">
        <v>425</v>
      </c>
      <c r="AC713" t="s">
        <v>137</v>
      </c>
      <c r="AD713" t="s">
        <v>425</v>
      </c>
      <c r="AE713" t="s">
        <v>137</v>
      </c>
      <c r="AF713">
        <v>1</v>
      </c>
      <c r="AG713">
        <v>143</v>
      </c>
      <c r="AH713">
        <v>200</v>
      </c>
      <c r="AI713" s="122">
        <v>26685</v>
      </c>
      <c r="AJ713" s="122">
        <v>24259</v>
      </c>
      <c r="AK713">
        <v>82</v>
      </c>
      <c r="AL713" s="122">
        <v>5684</v>
      </c>
      <c r="AM713" s="122">
        <v>2105</v>
      </c>
      <c r="AN713" s="122">
        <v>5803</v>
      </c>
      <c r="AO713" s="122">
        <v>2149</v>
      </c>
      <c r="AP713">
        <v>473</v>
      </c>
      <c r="AQ713">
        <v>175</v>
      </c>
      <c r="AR713" s="122">
        <v>5132</v>
      </c>
      <c r="AS713" s="122">
        <v>4666</v>
      </c>
      <c r="AT713" s="122">
        <v>3758</v>
      </c>
      <c r="AU713" s="122">
        <v>1392</v>
      </c>
      <c r="AV713" s="122">
        <v>34746</v>
      </c>
    </row>
    <row r="714" spans="2:48" hidden="1">
      <c r="B714" t="s">
        <v>366</v>
      </c>
      <c r="C714" t="s">
        <v>64</v>
      </c>
      <c r="D714" t="s">
        <v>426</v>
      </c>
      <c r="E714" t="s">
        <v>426</v>
      </c>
      <c r="F714">
        <v>205</v>
      </c>
      <c r="G714" s="122">
        <v>17889</v>
      </c>
      <c r="H714" s="122">
        <v>141440</v>
      </c>
      <c r="I714" s="122">
        <v>8912220</v>
      </c>
      <c r="J714" s="122">
        <v>8102018</v>
      </c>
      <c r="K714">
        <v>51</v>
      </c>
      <c r="L714" s="122">
        <v>1232913</v>
      </c>
      <c r="M714" s="122">
        <v>1057526</v>
      </c>
      <c r="N714" s="122">
        <v>398018</v>
      </c>
      <c r="O714" s="122">
        <v>147414</v>
      </c>
      <c r="P714" s="122">
        <v>69111</v>
      </c>
      <c r="Q714" s="122">
        <v>25597</v>
      </c>
      <c r="R714" s="122">
        <v>1231540</v>
      </c>
      <c r="S714" s="122">
        <v>1119582</v>
      </c>
      <c r="T714" s="122">
        <v>466021</v>
      </c>
      <c r="U714" s="122">
        <v>172600</v>
      </c>
      <c r="V714" s="122">
        <v>10624736</v>
      </c>
      <c r="W714" s="122">
        <f t="shared" si="22"/>
        <v>10624737</v>
      </c>
      <c r="X714" s="122">
        <f t="shared" si="23"/>
        <v>12309823</v>
      </c>
      <c r="Y714" s="122"/>
      <c r="AA714" t="s">
        <v>56</v>
      </c>
      <c r="AB714" t="s">
        <v>425</v>
      </c>
      <c r="AC714" t="s">
        <v>137</v>
      </c>
      <c r="AD714" t="s">
        <v>425</v>
      </c>
      <c r="AE714" t="s">
        <v>566</v>
      </c>
      <c r="AF714">
        <v>1</v>
      </c>
      <c r="AG714">
        <v>80</v>
      </c>
      <c r="AH714">
        <v>192</v>
      </c>
      <c r="AI714" s="122">
        <v>7679</v>
      </c>
      <c r="AJ714" s="122">
        <v>6981</v>
      </c>
      <c r="AK714">
        <v>91</v>
      </c>
      <c r="AL714" s="122">
        <v>1910</v>
      </c>
      <c r="AM714">
        <v>707</v>
      </c>
      <c r="AN714" s="122">
        <v>979</v>
      </c>
      <c r="AO714">
        <v>363</v>
      </c>
      <c r="AP714">
        <v>473</v>
      </c>
      <c r="AQ714">
        <v>175</v>
      </c>
      <c r="AR714" s="122">
        <v>4410</v>
      </c>
      <c r="AS714" s="122">
        <v>4009</v>
      </c>
      <c r="AT714">
        <v>0</v>
      </c>
      <c r="AU714">
        <v>0</v>
      </c>
      <c r="AV714" s="122">
        <v>12235</v>
      </c>
    </row>
    <row r="715" spans="2:48" hidden="1">
      <c r="B715" t="s">
        <v>366</v>
      </c>
      <c r="C715" t="s">
        <v>64</v>
      </c>
      <c r="D715" t="s">
        <v>433</v>
      </c>
      <c r="E715" t="s">
        <v>433</v>
      </c>
      <c r="F715">
        <v>2</v>
      </c>
      <c r="G715" s="122">
        <v>313</v>
      </c>
      <c r="H715" s="122">
        <v>952</v>
      </c>
      <c r="I715" s="122">
        <v>105286</v>
      </c>
      <c r="J715" s="122">
        <v>95715</v>
      </c>
      <c r="K715">
        <v>50</v>
      </c>
      <c r="L715" s="122">
        <v>18214</v>
      </c>
      <c r="M715" s="122">
        <v>16559</v>
      </c>
      <c r="N715" s="122">
        <v>6997</v>
      </c>
      <c r="O715" s="122">
        <v>2592</v>
      </c>
      <c r="P715" s="122">
        <v>702</v>
      </c>
      <c r="Q715" s="122">
        <v>260</v>
      </c>
      <c r="R715" s="122">
        <v>12297</v>
      </c>
      <c r="S715" s="122">
        <v>11179</v>
      </c>
      <c r="T715" s="122">
        <v>4027</v>
      </c>
      <c r="U715" s="122">
        <v>1491</v>
      </c>
      <c r="V715" s="122">
        <v>127796</v>
      </c>
      <c r="W715" s="122">
        <f t="shared" si="22"/>
        <v>127796</v>
      </c>
      <c r="X715" s="122">
        <f t="shared" si="23"/>
        <v>147523</v>
      </c>
      <c r="Y715" s="122"/>
      <c r="AA715" t="s">
        <v>56</v>
      </c>
      <c r="AB715" t="s">
        <v>425</v>
      </c>
      <c r="AC715" t="s">
        <v>137</v>
      </c>
      <c r="AD715" t="s">
        <v>405</v>
      </c>
      <c r="AE715" t="s">
        <v>566</v>
      </c>
      <c r="AF715">
        <v>1</v>
      </c>
      <c r="AG715">
        <v>107</v>
      </c>
      <c r="AH715">
        <v>170</v>
      </c>
      <c r="AI715" s="122">
        <v>8442</v>
      </c>
      <c r="AJ715" s="122">
        <v>7675</v>
      </c>
      <c r="AK715">
        <v>80</v>
      </c>
      <c r="AL715" s="122">
        <v>1844</v>
      </c>
      <c r="AM715" s="122">
        <v>683</v>
      </c>
      <c r="AN715" s="122">
        <v>2571</v>
      </c>
      <c r="AO715" s="122">
        <v>952</v>
      </c>
      <c r="AP715">
        <v>473</v>
      </c>
      <c r="AQ715">
        <v>175</v>
      </c>
      <c r="AR715" s="122">
        <v>4923</v>
      </c>
      <c r="AS715" s="122">
        <v>4475</v>
      </c>
      <c r="AT715" s="122">
        <v>0</v>
      </c>
      <c r="AU715" s="122">
        <v>0</v>
      </c>
      <c r="AV715" s="122">
        <v>13960</v>
      </c>
    </row>
    <row r="716" spans="2:48" hidden="1">
      <c r="B716" t="s">
        <v>367</v>
      </c>
      <c r="C716" t="s">
        <v>48</v>
      </c>
      <c r="D716" t="s">
        <v>405</v>
      </c>
      <c r="E716" t="s">
        <v>405</v>
      </c>
      <c r="F716">
        <v>8</v>
      </c>
      <c r="G716" s="122">
        <v>1584</v>
      </c>
      <c r="H716" s="122">
        <v>521</v>
      </c>
      <c r="I716" s="122">
        <v>45063</v>
      </c>
      <c r="J716" s="122">
        <v>40967</v>
      </c>
      <c r="K716">
        <v>92</v>
      </c>
      <c r="L716" s="122">
        <v>1122</v>
      </c>
      <c r="M716" s="122">
        <v>1020</v>
      </c>
      <c r="N716" s="122">
        <v>25091</v>
      </c>
      <c r="O716" s="122">
        <v>9293</v>
      </c>
      <c r="P716" s="122">
        <v>10768</v>
      </c>
      <c r="Q716" s="122">
        <v>3988</v>
      </c>
      <c r="R716" s="122">
        <v>32602</v>
      </c>
      <c r="S716" s="122">
        <v>29638</v>
      </c>
      <c r="T716" s="122">
        <v>0</v>
      </c>
      <c r="U716" s="122">
        <v>0</v>
      </c>
      <c r="V716" s="122">
        <v>84906</v>
      </c>
      <c r="W716" s="122">
        <f t="shared" si="22"/>
        <v>84906</v>
      </c>
      <c r="X716" s="122">
        <f t="shared" si="23"/>
        <v>114646</v>
      </c>
      <c r="Y716" s="122"/>
      <c r="AA716" t="s">
        <v>56</v>
      </c>
      <c r="AB716" t="s">
        <v>425</v>
      </c>
      <c r="AC716" t="s">
        <v>580</v>
      </c>
      <c r="AD716" t="s">
        <v>425</v>
      </c>
      <c r="AE716" t="s">
        <v>137</v>
      </c>
      <c r="AF716">
        <v>2</v>
      </c>
      <c r="AG716">
        <v>224</v>
      </c>
      <c r="AH716">
        <v>311</v>
      </c>
      <c r="AI716" s="122">
        <v>34619</v>
      </c>
      <c r="AJ716" s="122">
        <v>31472</v>
      </c>
      <c r="AK716">
        <v>91</v>
      </c>
      <c r="AL716" s="122">
        <v>5391</v>
      </c>
      <c r="AM716" s="122">
        <v>4901</v>
      </c>
      <c r="AN716" s="122">
        <v>6471</v>
      </c>
      <c r="AO716" s="122">
        <v>2397</v>
      </c>
      <c r="AP716">
        <v>945</v>
      </c>
      <c r="AQ716">
        <v>350</v>
      </c>
      <c r="AR716" s="122">
        <v>8159</v>
      </c>
      <c r="AS716" s="122">
        <v>7417</v>
      </c>
      <c r="AT716" s="122">
        <v>3224</v>
      </c>
      <c r="AU716" s="122">
        <v>1194</v>
      </c>
      <c r="AV716" s="122">
        <v>47731</v>
      </c>
    </row>
    <row r="717" spans="2:48" hidden="1">
      <c r="B717" t="s">
        <v>367</v>
      </c>
      <c r="C717" t="s">
        <v>48</v>
      </c>
      <c r="D717" t="s">
        <v>137</v>
      </c>
      <c r="E717" t="s">
        <v>137</v>
      </c>
      <c r="F717">
        <v>950</v>
      </c>
      <c r="G717" s="122">
        <v>198800</v>
      </c>
      <c r="H717" s="122">
        <v>50223</v>
      </c>
      <c r="I717" s="122">
        <v>1258248</v>
      </c>
      <c r="J717" s="122">
        <v>466018</v>
      </c>
      <c r="K717">
        <v>450</v>
      </c>
      <c r="L717" s="122">
        <v>315601</v>
      </c>
      <c r="M717" s="122">
        <v>262480</v>
      </c>
      <c r="N717" s="122">
        <v>2557102</v>
      </c>
      <c r="O717" s="122">
        <v>947075</v>
      </c>
      <c r="P717" s="122">
        <v>1335675</v>
      </c>
      <c r="Q717" s="122">
        <v>494694</v>
      </c>
      <c r="R717" s="122">
        <v>4868659</v>
      </c>
      <c r="S717" s="122">
        <v>1803207</v>
      </c>
      <c r="T717" s="122">
        <v>2955</v>
      </c>
      <c r="U717" s="122">
        <v>1094</v>
      </c>
      <c r="V717" s="122">
        <v>3974568</v>
      </c>
      <c r="W717" s="122">
        <f t="shared" si="22"/>
        <v>3974568</v>
      </c>
      <c r="X717" s="122">
        <f t="shared" si="23"/>
        <v>10338240</v>
      </c>
      <c r="Y717" s="122"/>
      <c r="AA717" t="s">
        <v>56</v>
      </c>
      <c r="AB717" t="s">
        <v>425</v>
      </c>
      <c r="AC717" t="s">
        <v>580</v>
      </c>
      <c r="AD717" t="s">
        <v>425</v>
      </c>
      <c r="AE717" t="s">
        <v>566</v>
      </c>
      <c r="AF717">
        <v>1</v>
      </c>
      <c r="AG717">
        <v>119</v>
      </c>
      <c r="AH717">
        <v>197</v>
      </c>
      <c r="AI717" s="122">
        <v>12684</v>
      </c>
      <c r="AJ717" s="122">
        <v>11531</v>
      </c>
      <c r="AK717">
        <v>79</v>
      </c>
      <c r="AL717" s="122">
        <v>1633</v>
      </c>
      <c r="AM717" s="122">
        <v>1484</v>
      </c>
      <c r="AN717" s="122">
        <v>2036</v>
      </c>
      <c r="AO717" s="122">
        <v>754</v>
      </c>
      <c r="AP717" s="122">
        <v>473</v>
      </c>
      <c r="AQ717">
        <v>175</v>
      </c>
      <c r="AR717" s="122">
        <v>6737</v>
      </c>
      <c r="AS717" s="122">
        <v>6124</v>
      </c>
      <c r="AT717" s="122">
        <v>0</v>
      </c>
      <c r="AU717" s="122">
        <v>0</v>
      </c>
      <c r="AV717" s="122">
        <v>20069</v>
      </c>
    </row>
    <row r="718" spans="2:48" hidden="1">
      <c r="B718" t="s">
        <v>367</v>
      </c>
      <c r="C718" t="s">
        <v>48</v>
      </c>
      <c r="D718" t="s">
        <v>137</v>
      </c>
      <c r="E718" t="s">
        <v>407</v>
      </c>
      <c r="F718">
        <v>7</v>
      </c>
      <c r="G718" s="122">
        <v>1879</v>
      </c>
      <c r="H718" s="122">
        <v>367</v>
      </c>
      <c r="I718" s="122">
        <v>27314</v>
      </c>
      <c r="J718" s="122">
        <v>10116</v>
      </c>
      <c r="K718">
        <v>383</v>
      </c>
      <c r="L718" s="122">
        <v>5360</v>
      </c>
      <c r="M718" s="122">
        <v>4872</v>
      </c>
      <c r="N718" s="122">
        <v>22892</v>
      </c>
      <c r="O718" s="122">
        <v>8479</v>
      </c>
      <c r="P718" s="122">
        <v>16456</v>
      </c>
      <c r="Q718" s="122">
        <v>6095</v>
      </c>
      <c r="R718" s="122">
        <v>25355</v>
      </c>
      <c r="S718" s="122">
        <v>23050</v>
      </c>
      <c r="T718" s="122">
        <v>0</v>
      </c>
      <c r="U718" s="122">
        <v>0</v>
      </c>
      <c r="V718" s="122">
        <v>52612</v>
      </c>
      <c r="W718" s="122">
        <f t="shared" si="22"/>
        <v>52612</v>
      </c>
      <c r="X718" s="122">
        <f t="shared" si="23"/>
        <v>97377</v>
      </c>
      <c r="Y718" s="122"/>
      <c r="AA718" t="s">
        <v>56</v>
      </c>
      <c r="AB718" t="s">
        <v>425</v>
      </c>
      <c r="AC718" t="s">
        <v>427</v>
      </c>
      <c r="AD718" t="s">
        <v>425</v>
      </c>
      <c r="AE718" t="s">
        <v>137</v>
      </c>
      <c r="AF718">
        <v>5</v>
      </c>
      <c r="AG718" s="122">
        <v>676</v>
      </c>
      <c r="AH718" s="122">
        <v>956</v>
      </c>
      <c r="AI718" s="122">
        <v>66743</v>
      </c>
      <c r="AJ718" s="122">
        <v>60676</v>
      </c>
      <c r="AK718">
        <v>87</v>
      </c>
      <c r="AL718" s="122">
        <v>15419</v>
      </c>
      <c r="AM718" s="122">
        <v>14018</v>
      </c>
      <c r="AN718" s="122">
        <v>15646</v>
      </c>
      <c r="AO718" s="122">
        <v>5795</v>
      </c>
      <c r="AP718" s="122">
        <v>2471</v>
      </c>
      <c r="AQ718" s="122">
        <v>915</v>
      </c>
      <c r="AR718" s="122">
        <v>20055</v>
      </c>
      <c r="AS718" s="122">
        <v>18232</v>
      </c>
      <c r="AT718" s="122">
        <v>13767</v>
      </c>
      <c r="AU718" s="122">
        <v>5099</v>
      </c>
      <c r="AV718" s="122">
        <v>104734</v>
      </c>
    </row>
    <row r="719" spans="2:48" hidden="1">
      <c r="B719" t="s">
        <v>367</v>
      </c>
      <c r="C719" t="s">
        <v>48</v>
      </c>
      <c r="D719" t="s">
        <v>406</v>
      </c>
      <c r="E719" t="s">
        <v>406</v>
      </c>
      <c r="F719">
        <v>22</v>
      </c>
      <c r="G719" s="122">
        <v>5084</v>
      </c>
      <c r="H719" s="122">
        <v>1291</v>
      </c>
      <c r="I719" s="122">
        <v>89724</v>
      </c>
      <c r="J719" s="122">
        <v>81567</v>
      </c>
      <c r="K719">
        <v>95</v>
      </c>
      <c r="L719" s="122">
        <v>13349</v>
      </c>
      <c r="M719" s="122">
        <v>11137</v>
      </c>
      <c r="N719" s="122">
        <v>72959</v>
      </c>
      <c r="O719" s="122">
        <v>27022</v>
      </c>
      <c r="P719" s="122">
        <v>34700</v>
      </c>
      <c r="Q719" s="122">
        <v>12852</v>
      </c>
      <c r="R719" s="122">
        <v>96637</v>
      </c>
      <c r="S719" s="122">
        <v>87852</v>
      </c>
      <c r="T719" s="122">
        <v>0</v>
      </c>
      <c r="U719" s="122">
        <v>0</v>
      </c>
      <c r="V719" s="122">
        <v>220429</v>
      </c>
      <c r="W719" s="122">
        <f t="shared" si="22"/>
        <v>220430</v>
      </c>
      <c r="X719" s="122">
        <f t="shared" si="23"/>
        <v>307369</v>
      </c>
      <c r="Y719" s="122"/>
      <c r="AA719" t="s">
        <v>56</v>
      </c>
      <c r="AB719" t="s">
        <v>425</v>
      </c>
      <c r="AC719" t="s">
        <v>427</v>
      </c>
      <c r="AD719" t="s">
        <v>425</v>
      </c>
      <c r="AE719" t="s">
        <v>566</v>
      </c>
      <c r="AF719">
        <v>11</v>
      </c>
      <c r="AG719" s="122">
        <v>2101</v>
      </c>
      <c r="AH719" s="122">
        <v>1926</v>
      </c>
      <c r="AI719" s="122">
        <v>250222</v>
      </c>
      <c r="AJ719" s="122">
        <v>227475</v>
      </c>
      <c r="AK719">
        <v>86</v>
      </c>
      <c r="AL719" s="122">
        <v>59933</v>
      </c>
      <c r="AM719" s="122">
        <v>54484</v>
      </c>
      <c r="AN719" s="122">
        <v>42226</v>
      </c>
      <c r="AO719" s="122">
        <v>15639</v>
      </c>
      <c r="AP719" s="122">
        <v>6251</v>
      </c>
      <c r="AQ719" s="122">
        <v>2315</v>
      </c>
      <c r="AR719" s="122">
        <v>62555</v>
      </c>
      <c r="AS719" s="122">
        <v>56868</v>
      </c>
      <c r="AT719" s="122">
        <v>0</v>
      </c>
      <c r="AU719" s="122">
        <v>0</v>
      </c>
      <c r="AV719" s="122">
        <v>356781</v>
      </c>
    </row>
    <row r="720" spans="2:48" hidden="1">
      <c r="B720" t="s">
        <v>367</v>
      </c>
      <c r="C720" t="s">
        <v>48</v>
      </c>
      <c r="D720" t="s">
        <v>407</v>
      </c>
      <c r="E720" t="s">
        <v>137</v>
      </c>
      <c r="F720">
        <v>5</v>
      </c>
      <c r="G720" s="122">
        <v>741</v>
      </c>
      <c r="H720" s="122">
        <v>339</v>
      </c>
      <c r="I720" s="122">
        <v>15212</v>
      </c>
      <c r="J720" s="122">
        <v>13829</v>
      </c>
      <c r="K720">
        <v>91</v>
      </c>
      <c r="L720" s="122">
        <v>843</v>
      </c>
      <c r="M720" s="122">
        <v>767</v>
      </c>
      <c r="N720" s="122">
        <v>9030</v>
      </c>
      <c r="O720" s="122">
        <v>3345</v>
      </c>
      <c r="P720" s="122">
        <v>4431</v>
      </c>
      <c r="Q720" s="122">
        <v>1641</v>
      </c>
      <c r="R720" s="122">
        <v>21425</v>
      </c>
      <c r="S720" s="122">
        <v>7935</v>
      </c>
      <c r="T720" s="122">
        <v>0</v>
      </c>
      <c r="U720" s="122">
        <v>0</v>
      </c>
      <c r="V720" s="122">
        <v>27517</v>
      </c>
      <c r="W720" s="122">
        <f t="shared" si="22"/>
        <v>27517</v>
      </c>
      <c r="X720" s="122">
        <f t="shared" si="23"/>
        <v>50941</v>
      </c>
      <c r="Y720" s="122"/>
      <c r="AA720" t="s">
        <v>56</v>
      </c>
      <c r="AB720" t="s">
        <v>425</v>
      </c>
      <c r="AC720" t="s">
        <v>427</v>
      </c>
      <c r="AD720" t="s">
        <v>405</v>
      </c>
      <c r="AE720" t="s">
        <v>137</v>
      </c>
      <c r="AF720">
        <v>1</v>
      </c>
      <c r="AG720">
        <v>103</v>
      </c>
      <c r="AH720">
        <v>204</v>
      </c>
      <c r="AI720" s="122">
        <v>8395</v>
      </c>
      <c r="AJ720" s="122">
        <v>7632</v>
      </c>
      <c r="AK720">
        <v>82</v>
      </c>
      <c r="AL720" s="122">
        <v>2413</v>
      </c>
      <c r="AM720" s="122">
        <v>2193</v>
      </c>
      <c r="AN720" s="122">
        <v>2505</v>
      </c>
      <c r="AO720" s="122">
        <v>928</v>
      </c>
      <c r="AP720" s="122">
        <v>473</v>
      </c>
      <c r="AQ720">
        <v>175</v>
      </c>
      <c r="AR720" s="122">
        <v>4258</v>
      </c>
      <c r="AS720" s="122">
        <v>3871</v>
      </c>
      <c r="AT720" s="122">
        <v>2909</v>
      </c>
      <c r="AU720" s="122">
        <v>1077</v>
      </c>
      <c r="AV720" s="122">
        <v>15876</v>
      </c>
    </row>
    <row r="721" spans="2:48" hidden="1">
      <c r="B721" t="s">
        <v>367</v>
      </c>
      <c r="C721" t="s">
        <v>48</v>
      </c>
      <c r="D721" t="s">
        <v>407</v>
      </c>
      <c r="E721" t="s">
        <v>407</v>
      </c>
      <c r="F721" s="122">
        <v>1031</v>
      </c>
      <c r="G721" s="122">
        <v>172175</v>
      </c>
      <c r="H721" s="122">
        <v>61062</v>
      </c>
      <c r="I721" s="122">
        <v>2098960</v>
      </c>
      <c r="J721" s="122">
        <v>1908145</v>
      </c>
      <c r="K721">
        <v>91</v>
      </c>
      <c r="L721" s="122">
        <v>175580</v>
      </c>
      <c r="M721" s="122">
        <v>133501</v>
      </c>
      <c r="N721" s="122">
        <v>2173758</v>
      </c>
      <c r="O721" s="122">
        <v>805096</v>
      </c>
      <c r="P721" s="122">
        <v>1549796</v>
      </c>
      <c r="Q721" s="122">
        <v>573999</v>
      </c>
      <c r="R721" s="122">
        <v>4052231</v>
      </c>
      <c r="S721" s="122">
        <v>3683846</v>
      </c>
      <c r="T721" s="122">
        <v>3375</v>
      </c>
      <c r="U721" s="122">
        <v>1250</v>
      </c>
      <c r="V721" s="122">
        <v>7105836</v>
      </c>
      <c r="W721" s="122">
        <f t="shared" si="22"/>
        <v>7105837</v>
      </c>
      <c r="X721" s="122">
        <f t="shared" si="23"/>
        <v>10053700</v>
      </c>
      <c r="Y721" s="122"/>
      <c r="AA721" t="s">
        <v>56</v>
      </c>
      <c r="AB721" t="s">
        <v>425</v>
      </c>
      <c r="AC721" t="s">
        <v>427</v>
      </c>
      <c r="AD721" t="s">
        <v>406</v>
      </c>
      <c r="AE721" t="s">
        <v>566</v>
      </c>
      <c r="AF721">
        <v>4</v>
      </c>
      <c r="AG721">
        <v>665</v>
      </c>
      <c r="AH721">
        <v>775</v>
      </c>
      <c r="AI721" s="122">
        <v>68103</v>
      </c>
      <c r="AJ721" s="122">
        <v>61912</v>
      </c>
      <c r="AK721">
        <v>85</v>
      </c>
      <c r="AL721" s="122">
        <v>20234</v>
      </c>
      <c r="AM721" s="122">
        <v>18394</v>
      </c>
      <c r="AN721" s="122">
        <v>14688</v>
      </c>
      <c r="AO721" s="122">
        <v>5440</v>
      </c>
      <c r="AP721" s="122">
        <v>2484</v>
      </c>
      <c r="AQ721">
        <v>920</v>
      </c>
      <c r="AR721" s="122">
        <v>24579</v>
      </c>
      <c r="AS721" s="122">
        <v>22345</v>
      </c>
      <c r="AT721">
        <v>0</v>
      </c>
      <c r="AU721">
        <v>0</v>
      </c>
      <c r="AV721" s="122">
        <v>109011</v>
      </c>
    </row>
    <row r="722" spans="2:48" hidden="1">
      <c r="B722" t="s">
        <v>367</v>
      </c>
      <c r="C722" t="s">
        <v>48</v>
      </c>
      <c r="D722" t="s">
        <v>407</v>
      </c>
      <c r="E722" t="s">
        <v>426</v>
      </c>
      <c r="F722">
        <v>1</v>
      </c>
      <c r="G722">
        <v>205</v>
      </c>
      <c r="H722" s="122">
        <v>73</v>
      </c>
      <c r="I722" s="122">
        <v>4538</v>
      </c>
      <c r="J722" s="122">
        <v>4125</v>
      </c>
      <c r="K722">
        <v>90</v>
      </c>
      <c r="L722" s="122">
        <v>779</v>
      </c>
      <c r="M722" s="122">
        <v>708</v>
      </c>
      <c r="N722" s="122">
        <v>2824</v>
      </c>
      <c r="O722" s="122">
        <v>1046</v>
      </c>
      <c r="P722" s="122">
        <v>2353</v>
      </c>
      <c r="Q722" s="122">
        <v>871</v>
      </c>
      <c r="R722" s="122">
        <v>4509</v>
      </c>
      <c r="S722" s="122">
        <v>4099</v>
      </c>
      <c r="T722" s="122">
        <v>0</v>
      </c>
      <c r="U722" s="122">
        <v>0</v>
      </c>
      <c r="V722" s="122">
        <v>10850</v>
      </c>
      <c r="W722" s="122">
        <f t="shared" si="22"/>
        <v>10849</v>
      </c>
      <c r="X722" s="122">
        <f t="shared" si="23"/>
        <v>15003</v>
      </c>
      <c r="Y722" s="122"/>
      <c r="AA722" t="s">
        <v>56</v>
      </c>
      <c r="AB722" t="s">
        <v>425</v>
      </c>
      <c r="AC722" t="s">
        <v>407</v>
      </c>
      <c r="AD722" t="s">
        <v>407</v>
      </c>
      <c r="AE722" t="s">
        <v>566</v>
      </c>
      <c r="AF722">
        <v>1</v>
      </c>
      <c r="AG722">
        <v>126</v>
      </c>
      <c r="AH722">
        <v>224</v>
      </c>
      <c r="AI722" s="122">
        <v>14188</v>
      </c>
      <c r="AJ722" s="122">
        <v>12898</v>
      </c>
      <c r="AK722">
        <v>91</v>
      </c>
      <c r="AL722" s="122">
        <v>7188</v>
      </c>
      <c r="AM722" s="122">
        <v>6535</v>
      </c>
      <c r="AN722" s="122">
        <v>1837</v>
      </c>
      <c r="AO722" s="122">
        <v>680</v>
      </c>
      <c r="AP722" s="122">
        <v>473</v>
      </c>
      <c r="AQ722">
        <v>175</v>
      </c>
      <c r="AR722" s="122">
        <v>4388</v>
      </c>
      <c r="AS722" s="122">
        <v>3989</v>
      </c>
      <c r="AT722" s="122">
        <v>0</v>
      </c>
      <c r="AU722" s="122">
        <v>0</v>
      </c>
      <c r="AV722" s="122">
        <v>24277</v>
      </c>
    </row>
    <row r="723" spans="2:48" hidden="1">
      <c r="B723" t="s">
        <v>367</v>
      </c>
      <c r="C723" t="s">
        <v>48</v>
      </c>
      <c r="D723" t="s">
        <v>433</v>
      </c>
      <c r="E723" t="s">
        <v>137</v>
      </c>
      <c r="F723">
        <v>1</v>
      </c>
      <c r="G723">
        <v>152</v>
      </c>
      <c r="H723" s="122">
        <v>73</v>
      </c>
      <c r="I723" s="122">
        <v>3101</v>
      </c>
      <c r="J723" s="122">
        <v>2819</v>
      </c>
      <c r="K723">
        <v>71</v>
      </c>
      <c r="L723" s="122">
        <v>0</v>
      </c>
      <c r="M723" s="122">
        <v>0</v>
      </c>
      <c r="N723" s="122">
        <v>1848</v>
      </c>
      <c r="O723" s="122">
        <v>685</v>
      </c>
      <c r="P723" s="122">
        <v>1234</v>
      </c>
      <c r="Q723" s="122">
        <v>457</v>
      </c>
      <c r="R723" s="122">
        <v>4833</v>
      </c>
      <c r="S723" s="122">
        <v>1790</v>
      </c>
      <c r="T723" s="122">
        <v>0</v>
      </c>
      <c r="U723" s="122">
        <v>0</v>
      </c>
      <c r="V723" s="122">
        <v>5751</v>
      </c>
      <c r="W723" s="122">
        <f t="shared" si="22"/>
        <v>5751</v>
      </c>
      <c r="X723" s="122">
        <f t="shared" si="23"/>
        <v>11016</v>
      </c>
      <c r="Y723" s="122"/>
      <c r="AA723" t="s">
        <v>56</v>
      </c>
      <c r="AB723" t="s">
        <v>425</v>
      </c>
      <c r="AC723" t="s">
        <v>579</v>
      </c>
      <c r="AD723" t="s">
        <v>425</v>
      </c>
      <c r="AE723" t="s">
        <v>137</v>
      </c>
      <c r="AF723">
        <v>3</v>
      </c>
      <c r="AG723">
        <v>462</v>
      </c>
      <c r="AH723">
        <v>626</v>
      </c>
      <c r="AI723" s="122">
        <v>54270</v>
      </c>
      <c r="AJ723" s="122">
        <v>49337</v>
      </c>
      <c r="AK723">
        <v>83</v>
      </c>
      <c r="AL723" s="122">
        <v>11703</v>
      </c>
      <c r="AM723" s="122">
        <v>9753</v>
      </c>
      <c r="AN723" s="122">
        <v>8183</v>
      </c>
      <c r="AO723" s="122">
        <v>3031</v>
      </c>
      <c r="AP723" s="122">
        <v>1769</v>
      </c>
      <c r="AQ723">
        <v>655</v>
      </c>
      <c r="AR723" s="122">
        <v>16437</v>
      </c>
      <c r="AS723" s="122">
        <v>14942</v>
      </c>
      <c r="AT723" s="122">
        <v>3497</v>
      </c>
      <c r="AU723" s="122">
        <v>1295</v>
      </c>
      <c r="AV723" s="122">
        <v>79013</v>
      </c>
    </row>
    <row r="724" spans="2:48" hidden="1">
      <c r="B724" t="s">
        <v>367</v>
      </c>
      <c r="C724" t="s">
        <v>50</v>
      </c>
      <c r="F724">
        <v>2</v>
      </c>
      <c r="G724" s="122">
        <v>151</v>
      </c>
      <c r="H724" s="122">
        <v>152</v>
      </c>
      <c r="I724" s="122"/>
      <c r="J724" s="122">
        <v>0</v>
      </c>
      <c r="L724" s="122"/>
      <c r="M724" s="122">
        <v>0</v>
      </c>
      <c r="N724" s="122">
        <v>1845</v>
      </c>
      <c r="O724" s="122">
        <v>683</v>
      </c>
      <c r="P724" s="122">
        <v>1197</v>
      </c>
      <c r="Q724" s="122">
        <v>443</v>
      </c>
      <c r="R724" s="122"/>
      <c r="S724" s="122">
        <v>0</v>
      </c>
      <c r="T724" s="122">
        <v>0</v>
      </c>
      <c r="U724" s="122">
        <v>0</v>
      </c>
      <c r="V724" s="122">
        <v>1126</v>
      </c>
      <c r="W724" s="122">
        <f t="shared" si="22"/>
        <v>1126</v>
      </c>
      <c r="X724" s="122">
        <f t="shared" si="23"/>
        <v>3042</v>
      </c>
      <c r="Y724" s="122"/>
      <c r="AA724" t="s">
        <v>56</v>
      </c>
      <c r="AB724" t="s">
        <v>425</v>
      </c>
      <c r="AC724" t="s">
        <v>579</v>
      </c>
      <c r="AD724" t="s">
        <v>425</v>
      </c>
      <c r="AE724" t="s">
        <v>566</v>
      </c>
      <c r="AF724">
        <v>1</v>
      </c>
      <c r="AG724">
        <v>185</v>
      </c>
      <c r="AH724">
        <v>206</v>
      </c>
      <c r="AI724" s="122">
        <v>27196</v>
      </c>
      <c r="AJ724" s="122">
        <v>24724</v>
      </c>
      <c r="AK724">
        <v>91</v>
      </c>
      <c r="AL724" s="122">
        <v>5011</v>
      </c>
      <c r="AM724" s="122">
        <v>4176</v>
      </c>
      <c r="AN724" s="122">
        <v>5061</v>
      </c>
      <c r="AO724" s="122">
        <v>1875</v>
      </c>
      <c r="AP724">
        <v>473</v>
      </c>
      <c r="AQ724">
        <v>175</v>
      </c>
      <c r="AR724" s="122">
        <v>4996</v>
      </c>
      <c r="AS724" s="122">
        <v>4542</v>
      </c>
      <c r="AT724">
        <v>0</v>
      </c>
      <c r="AU724">
        <v>0</v>
      </c>
      <c r="AV724" s="122">
        <v>35491</v>
      </c>
    </row>
    <row r="725" spans="2:48" hidden="1">
      <c r="B725" t="s">
        <v>367</v>
      </c>
      <c r="C725" t="s">
        <v>50</v>
      </c>
      <c r="D725" t="s">
        <v>425</v>
      </c>
      <c r="E725" t="s">
        <v>425</v>
      </c>
      <c r="F725" s="122">
        <v>1</v>
      </c>
      <c r="G725" s="122">
        <v>277</v>
      </c>
      <c r="H725" s="122">
        <v>82</v>
      </c>
      <c r="I725" s="122">
        <v>12136</v>
      </c>
      <c r="J725" s="122">
        <v>11033</v>
      </c>
      <c r="K725">
        <v>92</v>
      </c>
      <c r="L725" s="122">
        <v>1478</v>
      </c>
      <c r="M725" s="122">
        <v>1344</v>
      </c>
      <c r="N725" s="122">
        <v>3369</v>
      </c>
      <c r="O725" s="122">
        <v>1248</v>
      </c>
      <c r="P725" s="122">
        <v>473</v>
      </c>
      <c r="Q725" s="122">
        <v>175</v>
      </c>
      <c r="R725" s="122">
        <v>5280</v>
      </c>
      <c r="S725" s="122">
        <v>4800</v>
      </c>
      <c r="T725" s="122">
        <v>0</v>
      </c>
      <c r="U725" s="122">
        <v>0</v>
      </c>
      <c r="V725" s="122">
        <v>18599</v>
      </c>
      <c r="W725" s="122">
        <f t="shared" si="22"/>
        <v>18600</v>
      </c>
      <c r="X725" s="122">
        <f t="shared" si="23"/>
        <v>22736</v>
      </c>
      <c r="Y725" s="122"/>
      <c r="AA725" t="s">
        <v>56</v>
      </c>
      <c r="AB725" t="s">
        <v>425</v>
      </c>
      <c r="AC725" t="s">
        <v>579</v>
      </c>
      <c r="AD725" t="s">
        <v>405</v>
      </c>
      <c r="AE725" t="s">
        <v>566</v>
      </c>
      <c r="AF725">
        <v>1</v>
      </c>
      <c r="AG725">
        <v>122</v>
      </c>
      <c r="AH725">
        <v>210</v>
      </c>
      <c r="AI725" s="122">
        <v>16379</v>
      </c>
      <c r="AJ725" s="122">
        <v>14890</v>
      </c>
      <c r="AK725">
        <v>93</v>
      </c>
      <c r="AL725" s="122">
        <v>2909</v>
      </c>
      <c r="AM725" s="122">
        <v>2424</v>
      </c>
      <c r="AN725" s="122">
        <v>2909</v>
      </c>
      <c r="AO725" s="122">
        <v>1077</v>
      </c>
      <c r="AP725">
        <v>881</v>
      </c>
      <c r="AQ725">
        <v>326</v>
      </c>
      <c r="AR725" s="122">
        <v>2698</v>
      </c>
      <c r="AS725" s="122">
        <v>2452</v>
      </c>
      <c r="AT725" s="122">
        <v>0</v>
      </c>
      <c r="AU725" s="122">
        <v>0</v>
      </c>
      <c r="AV725" s="122">
        <v>21170</v>
      </c>
    </row>
    <row r="726" spans="2:48" hidden="1">
      <c r="B726" t="s">
        <v>367</v>
      </c>
      <c r="C726" t="s">
        <v>50</v>
      </c>
      <c r="D726" t="s">
        <v>405</v>
      </c>
      <c r="E726" t="s">
        <v>405</v>
      </c>
      <c r="F726">
        <v>12</v>
      </c>
      <c r="G726" s="122">
        <v>2576</v>
      </c>
      <c r="H726" s="122">
        <v>1068</v>
      </c>
      <c r="I726" s="122">
        <v>93759</v>
      </c>
      <c r="J726" s="122">
        <v>85236</v>
      </c>
      <c r="K726">
        <v>91</v>
      </c>
      <c r="L726" s="122">
        <v>17759</v>
      </c>
      <c r="M726" s="122">
        <v>9966</v>
      </c>
      <c r="N726" s="122">
        <v>34447</v>
      </c>
      <c r="O726" s="122">
        <v>12758</v>
      </c>
      <c r="P726" s="122">
        <v>12371</v>
      </c>
      <c r="Q726" s="122">
        <v>4582</v>
      </c>
      <c r="R726" s="122">
        <v>71221</v>
      </c>
      <c r="S726" s="122">
        <v>64746</v>
      </c>
      <c r="T726" s="122">
        <v>0</v>
      </c>
      <c r="U726" s="122">
        <v>0</v>
      </c>
      <c r="V726" s="122">
        <v>177288</v>
      </c>
      <c r="W726" s="122">
        <f t="shared" si="22"/>
        <v>177288</v>
      </c>
      <c r="X726" s="122">
        <f t="shared" si="23"/>
        <v>229557</v>
      </c>
      <c r="Y726" s="122"/>
      <c r="AA726" t="s">
        <v>56</v>
      </c>
      <c r="AB726" t="s">
        <v>425</v>
      </c>
      <c r="AC726" t="s">
        <v>428</v>
      </c>
      <c r="AD726" t="s">
        <v>425</v>
      </c>
      <c r="AE726" t="s">
        <v>137</v>
      </c>
      <c r="AF726">
        <v>1</v>
      </c>
      <c r="AG726">
        <v>134</v>
      </c>
      <c r="AH726">
        <v>209</v>
      </c>
      <c r="AI726" s="122">
        <v>23098</v>
      </c>
      <c r="AJ726" s="122">
        <v>20998</v>
      </c>
      <c r="AK726">
        <v>65</v>
      </c>
      <c r="AL726" s="122">
        <v>2643</v>
      </c>
      <c r="AM726" s="122">
        <v>2403</v>
      </c>
      <c r="AN726" s="122">
        <v>2124</v>
      </c>
      <c r="AO726" s="122">
        <v>787</v>
      </c>
      <c r="AP726">
        <v>351</v>
      </c>
      <c r="AQ726">
        <v>130</v>
      </c>
      <c r="AR726" s="122">
        <v>5056</v>
      </c>
      <c r="AS726" s="122">
        <v>4596</v>
      </c>
      <c r="AT726" s="122">
        <v>3231</v>
      </c>
      <c r="AU726" s="122">
        <v>1197</v>
      </c>
      <c r="AV726" s="122">
        <v>30110</v>
      </c>
    </row>
    <row r="727" spans="2:48" hidden="1">
      <c r="B727" t="s">
        <v>367</v>
      </c>
      <c r="C727" t="s">
        <v>50</v>
      </c>
      <c r="D727" t="s">
        <v>137</v>
      </c>
      <c r="E727" t="s">
        <v>137</v>
      </c>
      <c r="F727">
        <v>62</v>
      </c>
      <c r="G727" s="122">
        <v>16330</v>
      </c>
      <c r="H727" s="122">
        <v>5607</v>
      </c>
      <c r="I727" s="122">
        <v>587491</v>
      </c>
      <c r="J727" s="122">
        <v>217589</v>
      </c>
      <c r="K727">
        <v>372</v>
      </c>
      <c r="L727" s="122">
        <v>166708</v>
      </c>
      <c r="M727" s="122">
        <v>141172</v>
      </c>
      <c r="N727" s="122">
        <v>280665</v>
      </c>
      <c r="O727" s="122">
        <v>103950</v>
      </c>
      <c r="P727" s="122">
        <v>84766</v>
      </c>
      <c r="Q727" s="122">
        <v>31395</v>
      </c>
      <c r="R727" s="122">
        <v>405251</v>
      </c>
      <c r="S727" s="122">
        <v>150093</v>
      </c>
      <c r="T727" s="122">
        <v>0</v>
      </c>
      <c r="U727" s="122">
        <v>0</v>
      </c>
      <c r="V727" s="122">
        <v>644198</v>
      </c>
      <c r="W727" s="122">
        <f t="shared" si="22"/>
        <v>644199</v>
      </c>
      <c r="X727" s="122">
        <f t="shared" si="23"/>
        <v>1524881</v>
      </c>
      <c r="Y727" s="122"/>
      <c r="AA727" t="s">
        <v>56</v>
      </c>
      <c r="AB727" t="s">
        <v>425</v>
      </c>
      <c r="AC727" t="s">
        <v>431</v>
      </c>
      <c r="AD727" t="s">
        <v>425</v>
      </c>
      <c r="AE727" t="s">
        <v>137</v>
      </c>
      <c r="AF727">
        <v>1</v>
      </c>
      <c r="AG727">
        <v>239</v>
      </c>
      <c r="AH727">
        <v>154</v>
      </c>
      <c r="AI727" s="122">
        <v>23847</v>
      </c>
      <c r="AJ727" s="122">
        <v>21679</v>
      </c>
      <c r="AK727">
        <v>91</v>
      </c>
      <c r="AL727" s="122">
        <v>3534</v>
      </c>
      <c r="AM727" s="122">
        <v>3213</v>
      </c>
      <c r="AN727" s="122">
        <v>5283</v>
      </c>
      <c r="AO727" s="122">
        <v>1957</v>
      </c>
      <c r="AP727">
        <v>824</v>
      </c>
      <c r="AQ727">
        <v>305</v>
      </c>
      <c r="AR727" s="122">
        <v>4563</v>
      </c>
      <c r="AS727" s="122">
        <v>4148</v>
      </c>
      <c r="AT727" s="122">
        <v>4241</v>
      </c>
      <c r="AU727" s="122">
        <v>1571</v>
      </c>
      <c r="AV727" s="122">
        <v>32873</v>
      </c>
    </row>
    <row r="728" spans="2:48" hidden="1">
      <c r="B728" t="s">
        <v>367</v>
      </c>
      <c r="C728" t="s">
        <v>50</v>
      </c>
      <c r="D728" t="s">
        <v>137</v>
      </c>
      <c r="E728" t="s">
        <v>407</v>
      </c>
      <c r="F728">
        <v>1</v>
      </c>
      <c r="G728" s="122">
        <v>203</v>
      </c>
      <c r="H728" s="122">
        <v>97</v>
      </c>
      <c r="I728" s="122">
        <v>19086</v>
      </c>
      <c r="J728" s="122">
        <v>7069</v>
      </c>
      <c r="K728">
        <v>250</v>
      </c>
      <c r="L728" s="122">
        <v>0</v>
      </c>
      <c r="M728" s="122">
        <v>604</v>
      </c>
      <c r="N728" s="122">
        <v>3767</v>
      </c>
      <c r="O728" s="122">
        <v>1395</v>
      </c>
      <c r="P728" s="122">
        <v>3030</v>
      </c>
      <c r="Q728" s="122">
        <v>1122</v>
      </c>
      <c r="R728" s="122">
        <v>4031</v>
      </c>
      <c r="S728" s="122">
        <v>3665</v>
      </c>
      <c r="T728" s="122">
        <v>0</v>
      </c>
      <c r="U728" s="122">
        <v>0</v>
      </c>
      <c r="V728" s="122">
        <v>13855</v>
      </c>
      <c r="W728" s="122">
        <f t="shared" si="22"/>
        <v>13855</v>
      </c>
      <c r="X728" s="122">
        <f t="shared" si="23"/>
        <v>29914</v>
      </c>
      <c r="Y728" s="122"/>
      <c r="AA728" t="s">
        <v>56</v>
      </c>
      <c r="AB728" t="s">
        <v>425</v>
      </c>
      <c r="AC728" t="s">
        <v>431</v>
      </c>
      <c r="AD728" t="s">
        <v>406</v>
      </c>
      <c r="AE728" t="s">
        <v>566</v>
      </c>
      <c r="AF728">
        <v>1</v>
      </c>
      <c r="AG728" s="122">
        <v>114</v>
      </c>
      <c r="AH728" s="122">
        <v>220</v>
      </c>
      <c r="AI728" s="122">
        <v>19481</v>
      </c>
      <c r="AJ728" s="122">
        <v>17710</v>
      </c>
      <c r="AK728">
        <v>86</v>
      </c>
      <c r="AL728" s="122">
        <v>5859</v>
      </c>
      <c r="AM728" s="122">
        <v>5326</v>
      </c>
      <c r="AN728" s="122">
        <v>3991</v>
      </c>
      <c r="AO728" s="122">
        <v>1478</v>
      </c>
      <c r="AP728" s="122">
        <v>621</v>
      </c>
      <c r="AQ728" s="122">
        <v>230</v>
      </c>
      <c r="AR728" s="122">
        <v>7955</v>
      </c>
      <c r="AS728" s="122">
        <v>7232</v>
      </c>
      <c r="AT728" s="122">
        <v>0</v>
      </c>
      <c r="AU728" s="122">
        <v>0</v>
      </c>
      <c r="AV728" s="122">
        <v>31976</v>
      </c>
    </row>
    <row r="729" spans="2:48" hidden="1">
      <c r="B729" t="s">
        <v>367</v>
      </c>
      <c r="C729" t="s">
        <v>50</v>
      </c>
      <c r="D729" t="s">
        <v>406</v>
      </c>
      <c r="E729" t="s">
        <v>406</v>
      </c>
      <c r="F729">
        <v>20</v>
      </c>
      <c r="G729" s="122">
        <v>4836</v>
      </c>
      <c r="H729" s="122">
        <v>1863</v>
      </c>
      <c r="I729" s="122">
        <v>227857</v>
      </c>
      <c r="J729" s="122">
        <v>207142</v>
      </c>
      <c r="K729">
        <v>93</v>
      </c>
      <c r="L729" s="122">
        <v>29704</v>
      </c>
      <c r="M729" s="122">
        <v>26189</v>
      </c>
      <c r="N729" s="122">
        <v>74444</v>
      </c>
      <c r="O729" s="122">
        <v>27572</v>
      </c>
      <c r="P729" s="122">
        <v>24790</v>
      </c>
      <c r="Q729" s="122">
        <v>9182</v>
      </c>
      <c r="R729" s="122">
        <v>95225</v>
      </c>
      <c r="S729" s="122">
        <v>86568</v>
      </c>
      <c r="T729" s="122">
        <v>3014</v>
      </c>
      <c r="U729" s="122">
        <v>1116</v>
      </c>
      <c r="V729" s="122">
        <v>357770</v>
      </c>
      <c r="W729" s="122">
        <f t="shared" si="22"/>
        <v>357769</v>
      </c>
      <c r="X729" s="122">
        <f t="shared" si="23"/>
        <v>455034</v>
      </c>
      <c r="Y729" s="122"/>
      <c r="AA729" t="s">
        <v>56</v>
      </c>
      <c r="AB729" t="s">
        <v>425</v>
      </c>
      <c r="AC729" t="s">
        <v>426</v>
      </c>
      <c r="AD729" t="s">
        <v>425</v>
      </c>
      <c r="AE729" t="s">
        <v>137</v>
      </c>
      <c r="AF729">
        <v>30</v>
      </c>
      <c r="AG729" s="122">
        <v>5433</v>
      </c>
      <c r="AH729" s="122">
        <v>5854</v>
      </c>
      <c r="AI729" s="122">
        <v>653482</v>
      </c>
      <c r="AJ729" s="122">
        <v>594075</v>
      </c>
      <c r="AK729">
        <v>82</v>
      </c>
      <c r="AL729" s="122">
        <v>136052</v>
      </c>
      <c r="AM729" s="122">
        <v>123683</v>
      </c>
      <c r="AN729" s="122">
        <v>123543</v>
      </c>
      <c r="AO729" s="122">
        <v>45757</v>
      </c>
      <c r="AP729" s="122">
        <v>14202</v>
      </c>
      <c r="AQ729" s="122">
        <v>5260</v>
      </c>
      <c r="AR729" s="122">
        <v>164678</v>
      </c>
      <c r="AS729" s="122">
        <v>149707</v>
      </c>
      <c r="AT729" s="122">
        <v>51063</v>
      </c>
      <c r="AU729" s="122">
        <v>18912</v>
      </c>
      <c r="AV729" s="122">
        <v>937394</v>
      </c>
    </row>
    <row r="730" spans="2:48" hidden="1">
      <c r="B730" t="s">
        <v>367</v>
      </c>
      <c r="C730" t="s">
        <v>50</v>
      </c>
      <c r="D730" t="s">
        <v>407</v>
      </c>
      <c r="E730" t="s">
        <v>137</v>
      </c>
      <c r="F730">
        <v>3</v>
      </c>
      <c r="G730" s="122">
        <v>560</v>
      </c>
      <c r="H730" s="122">
        <v>283</v>
      </c>
      <c r="I730" s="122">
        <v>26473</v>
      </c>
      <c r="J730" s="122">
        <v>24067</v>
      </c>
      <c r="K730">
        <v>90</v>
      </c>
      <c r="L730" s="122">
        <v>3869</v>
      </c>
      <c r="M730" s="122">
        <v>3474</v>
      </c>
      <c r="N730" s="122">
        <v>6885</v>
      </c>
      <c r="O730" s="122">
        <v>2550</v>
      </c>
      <c r="P730" s="122">
        <v>2549</v>
      </c>
      <c r="Q730" s="122">
        <v>944</v>
      </c>
      <c r="R730" s="122">
        <v>12403</v>
      </c>
      <c r="S730" s="122">
        <v>4594</v>
      </c>
      <c r="T730" s="122">
        <v>0</v>
      </c>
      <c r="U730" s="122">
        <v>0</v>
      </c>
      <c r="V730" s="122">
        <v>35629</v>
      </c>
      <c r="W730" s="122">
        <f t="shared" si="22"/>
        <v>35629</v>
      </c>
      <c r="X730" s="122">
        <f t="shared" si="23"/>
        <v>52179</v>
      </c>
      <c r="Y730" s="122"/>
      <c r="AA730" t="s">
        <v>56</v>
      </c>
      <c r="AB730" t="s">
        <v>425</v>
      </c>
      <c r="AC730" t="s">
        <v>426</v>
      </c>
      <c r="AD730" t="s">
        <v>425</v>
      </c>
      <c r="AE730" t="s">
        <v>566</v>
      </c>
      <c r="AF730">
        <v>59</v>
      </c>
      <c r="AG730" s="122">
        <v>9431</v>
      </c>
      <c r="AH730" s="122">
        <v>11195</v>
      </c>
      <c r="AI730" s="122">
        <v>1078742</v>
      </c>
      <c r="AJ730" s="122">
        <v>980675</v>
      </c>
      <c r="AK730">
        <v>85</v>
      </c>
      <c r="AL730" s="122">
        <v>223229</v>
      </c>
      <c r="AM730" s="122">
        <v>202935</v>
      </c>
      <c r="AN730" s="122">
        <v>195847</v>
      </c>
      <c r="AO730" s="122">
        <v>72536</v>
      </c>
      <c r="AP730" s="122">
        <v>33256</v>
      </c>
      <c r="AQ730" s="122">
        <v>12317</v>
      </c>
      <c r="AR730" s="122">
        <v>334468</v>
      </c>
      <c r="AS730" s="122">
        <v>304062</v>
      </c>
      <c r="AT730" s="122">
        <v>0</v>
      </c>
      <c r="AU730" s="122">
        <v>0</v>
      </c>
      <c r="AV730" s="122">
        <v>1572525</v>
      </c>
    </row>
    <row r="731" spans="2:48" hidden="1">
      <c r="B731" t="s">
        <v>367</v>
      </c>
      <c r="C731" t="s">
        <v>50</v>
      </c>
      <c r="D731" t="s">
        <v>407</v>
      </c>
      <c r="E731" t="s">
        <v>407</v>
      </c>
      <c r="F731">
        <v>240</v>
      </c>
      <c r="G731" s="122">
        <v>49720</v>
      </c>
      <c r="H731" s="122">
        <v>21921</v>
      </c>
      <c r="I731" s="122">
        <v>2319469</v>
      </c>
      <c r="J731" s="122">
        <v>2108608</v>
      </c>
      <c r="K731">
        <v>91</v>
      </c>
      <c r="L731" s="122">
        <v>350273</v>
      </c>
      <c r="M731" s="122">
        <v>315418</v>
      </c>
      <c r="N731" s="122">
        <v>759011</v>
      </c>
      <c r="O731" s="122">
        <v>281115</v>
      </c>
      <c r="P731" s="122">
        <v>210253</v>
      </c>
      <c r="Q731" s="122">
        <v>77872</v>
      </c>
      <c r="R731" s="122">
        <v>1047390</v>
      </c>
      <c r="S731" s="122">
        <v>952173</v>
      </c>
      <c r="T731" s="122">
        <v>10078</v>
      </c>
      <c r="U731" s="122">
        <v>3733</v>
      </c>
      <c r="V731" s="122">
        <v>3738919</v>
      </c>
      <c r="W731" s="122">
        <f t="shared" si="22"/>
        <v>3738919</v>
      </c>
      <c r="X731" s="122">
        <f t="shared" si="23"/>
        <v>4696474</v>
      </c>
      <c r="Y731" s="122"/>
      <c r="AA731" t="s">
        <v>56</v>
      </c>
      <c r="AB731" t="s">
        <v>425</v>
      </c>
      <c r="AC731" t="s">
        <v>426</v>
      </c>
      <c r="AD731" t="s">
        <v>405</v>
      </c>
      <c r="AE731" t="s">
        <v>137</v>
      </c>
      <c r="AF731">
        <v>3</v>
      </c>
      <c r="AG731">
        <v>539</v>
      </c>
      <c r="AH731">
        <v>549</v>
      </c>
      <c r="AI731" s="122">
        <v>57277</v>
      </c>
      <c r="AJ731" s="122">
        <v>52070</v>
      </c>
      <c r="AK731">
        <v>80</v>
      </c>
      <c r="AL731" s="122">
        <v>11193</v>
      </c>
      <c r="AM731" s="122">
        <v>10176</v>
      </c>
      <c r="AN731" s="122">
        <v>8073</v>
      </c>
      <c r="AO731" s="122">
        <v>2990</v>
      </c>
      <c r="AP731" s="122">
        <v>1296</v>
      </c>
      <c r="AQ731">
        <v>480</v>
      </c>
      <c r="AR731" s="122">
        <v>14553</v>
      </c>
      <c r="AS731" s="122">
        <v>13230</v>
      </c>
      <c r="AT731" s="122">
        <v>7191</v>
      </c>
      <c r="AU731" s="122">
        <v>2663</v>
      </c>
      <c r="AV731" s="122">
        <v>81609</v>
      </c>
    </row>
    <row r="732" spans="2:48" hidden="1">
      <c r="B732" t="s">
        <v>367</v>
      </c>
      <c r="C732" t="s">
        <v>50</v>
      </c>
      <c r="D732" t="s">
        <v>556</v>
      </c>
      <c r="E732" t="s">
        <v>137</v>
      </c>
      <c r="F732">
        <v>1</v>
      </c>
      <c r="G732">
        <v>123</v>
      </c>
      <c r="H732" s="122">
        <v>80</v>
      </c>
      <c r="I732" s="122">
        <v>-323</v>
      </c>
      <c r="J732" s="122">
        <v>-269</v>
      </c>
      <c r="K732">
        <v>417</v>
      </c>
      <c r="L732" s="122">
        <v>-174</v>
      </c>
      <c r="M732" s="122">
        <v>-158</v>
      </c>
      <c r="N732" s="122">
        <v>2800</v>
      </c>
      <c r="O732" s="122">
        <v>1037</v>
      </c>
      <c r="P732" s="122">
        <v>1376</v>
      </c>
      <c r="Q732">
        <v>510</v>
      </c>
      <c r="R732" s="122">
        <v>6123</v>
      </c>
      <c r="S732" s="122">
        <v>2268</v>
      </c>
      <c r="T732" s="122">
        <v>0</v>
      </c>
      <c r="U732" s="122">
        <v>0</v>
      </c>
      <c r="V732" s="122">
        <v>3388</v>
      </c>
      <c r="W732" s="122">
        <f t="shared" si="22"/>
        <v>4242</v>
      </c>
      <c r="X732" s="122">
        <f t="shared" si="23"/>
        <v>10796</v>
      </c>
      <c r="Y732" s="122"/>
      <c r="AA732" t="s">
        <v>56</v>
      </c>
      <c r="AB732" t="s">
        <v>425</v>
      </c>
      <c r="AC732" t="s">
        <v>426</v>
      </c>
      <c r="AD732" t="s">
        <v>405</v>
      </c>
      <c r="AE732" t="s">
        <v>566</v>
      </c>
      <c r="AF732">
        <v>3</v>
      </c>
      <c r="AG732">
        <v>693</v>
      </c>
      <c r="AH732">
        <v>556</v>
      </c>
      <c r="AI732" s="122">
        <v>78629</v>
      </c>
      <c r="AJ732" s="122">
        <v>71481</v>
      </c>
      <c r="AK732">
        <v>82</v>
      </c>
      <c r="AL732" s="122">
        <v>14350</v>
      </c>
      <c r="AM732" s="122">
        <v>13046</v>
      </c>
      <c r="AN732" s="122">
        <v>10863</v>
      </c>
      <c r="AO732" s="122">
        <v>4023</v>
      </c>
      <c r="AP732" s="122">
        <v>1418</v>
      </c>
      <c r="AQ732">
        <v>525</v>
      </c>
      <c r="AR732" s="122">
        <v>23692</v>
      </c>
      <c r="AS732" s="122">
        <v>21538</v>
      </c>
      <c r="AT732">
        <v>0</v>
      </c>
      <c r="AU732">
        <v>0</v>
      </c>
      <c r="AV732" s="122">
        <v>110613</v>
      </c>
    </row>
    <row r="733" spans="2:48" hidden="1">
      <c r="B733" t="s">
        <v>367</v>
      </c>
      <c r="C733" t="s">
        <v>50</v>
      </c>
      <c r="D733" t="s">
        <v>481</v>
      </c>
      <c r="E733" t="s">
        <v>481</v>
      </c>
      <c r="F733">
        <v>1</v>
      </c>
      <c r="G733" s="122">
        <v>265</v>
      </c>
      <c r="H733" s="122">
        <v>86</v>
      </c>
      <c r="I733" s="122">
        <v>7763</v>
      </c>
      <c r="J733" s="122">
        <v>7057</v>
      </c>
      <c r="K733">
        <v>94</v>
      </c>
      <c r="L733" s="122">
        <v>2703</v>
      </c>
      <c r="M733" s="122">
        <v>2457</v>
      </c>
      <c r="N733" s="122">
        <v>3552</v>
      </c>
      <c r="O733" s="122">
        <v>1315</v>
      </c>
      <c r="P733" s="122">
        <v>3727</v>
      </c>
      <c r="Q733" s="122">
        <v>1381</v>
      </c>
      <c r="R733" s="122">
        <v>5148</v>
      </c>
      <c r="S733" s="122">
        <v>4680</v>
      </c>
      <c r="T733" s="122">
        <v>0</v>
      </c>
      <c r="U733" s="122">
        <v>0</v>
      </c>
      <c r="V733" s="122">
        <v>16890</v>
      </c>
      <c r="W733" s="122">
        <f t="shared" si="22"/>
        <v>16890</v>
      </c>
      <c r="X733" s="122">
        <f t="shared" si="23"/>
        <v>22893</v>
      </c>
      <c r="Y733" s="122"/>
      <c r="AA733" t="s">
        <v>56</v>
      </c>
      <c r="AB733" t="s">
        <v>425</v>
      </c>
      <c r="AC733" t="s">
        <v>426</v>
      </c>
      <c r="AD733" t="s">
        <v>137</v>
      </c>
      <c r="AE733" t="s">
        <v>566</v>
      </c>
      <c r="AF733">
        <v>1</v>
      </c>
      <c r="AG733" s="122">
        <v>114</v>
      </c>
      <c r="AH733" s="122">
        <v>224</v>
      </c>
      <c r="AI733" s="122">
        <v>14161</v>
      </c>
      <c r="AJ733" s="122">
        <v>12873</v>
      </c>
      <c r="AK733">
        <v>81</v>
      </c>
      <c r="AL733" s="122">
        <v>4044</v>
      </c>
      <c r="AM733" s="122">
        <v>3676</v>
      </c>
      <c r="AN733" s="122">
        <v>1393</v>
      </c>
      <c r="AO733" s="122">
        <v>516</v>
      </c>
      <c r="AP733" s="122">
        <v>473</v>
      </c>
      <c r="AQ733" s="122">
        <v>175</v>
      </c>
      <c r="AR733" s="122">
        <v>5565</v>
      </c>
      <c r="AS733" s="122">
        <v>2061</v>
      </c>
      <c r="AT733" s="122">
        <v>0</v>
      </c>
      <c r="AU733" s="122">
        <v>0</v>
      </c>
      <c r="AV733" s="122">
        <v>19302</v>
      </c>
    </row>
    <row r="734" spans="2:48" hidden="1">
      <c r="B734" t="s">
        <v>367</v>
      </c>
      <c r="C734" t="s">
        <v>50</v>
      </c>
      <c r="D734" t="s">
        <v>408</v>
      </c>
      <c r="E734" t="s">
        <v>408</v>
      </c>
      <c r="F734" s="122">
        <v>1</v>
      </c>
      <c r="G734" s="122">
        <v>270</v>
      </c>
      <c r="H734" s="122">
        <v>89</v>
      </c>
      <c r="I734" s="122">
        <v>12048</v>
      </c>
      <c r="J734" s="122">
        <v>10953</v>
      </c>
      <c r="K734">
        <v>86</v>
      </c>
      <c r="L734" s="122">
        <v>1914</v>
      </c>
      <c r="M734" s="122">
        <v>1740</v>
      </c>
      <c r="N734" s="122">
        <v>3286</v>
      </c>
      <c r="O734" s="122">
        <v>1217</v>
      </c>
      <c r="P734" s="122">
        <v>351</v>
      </c>
      <c r="Q734" s="122">
        <v>130</v>
      </c>
      <c r="R734" s="122">
        <v>6327</v>
      </c>
      <c r="S734" s="122">
        <v>5752</v>
      </c>
      <c r="T734" s="122">
        <v>0</v>
      </c>
      <c r="U734" s="122">
        <v>0</v>
      </c>
      <c r="V734" s="122">
        <v>19792</v>
      </c>
      <c r="W734" s="122">
        <f t="shared" si="22"/>
        <v>19792</v>
      </c>
      <c r="X734" s="122">
        <f t="shared" si="23"/>
        <v>23926</v>
      </c>
      <c r="Y734" s="122"/>
      <c r="AA734" t="s">
        <v>56</v>
      </c>
      <c r="AB734" t="s">
        <v>425</v>
      </c>
      <c r="AC734" t="s">
        <v>426</v>
      </c>
      <c r="AD734" t="s">
        <v>406</v>
      </c>
      <c r="AE734" t="s">
        <v>137</v>
      </c>
      <c r="AF734">
        <v>8</v>
      </c>
      <c r="AG734" s="122">
        <v>1248</v>
      </c>
      <c r="AH734" s="122">
        <v>1562</v>
      </c>
      <c r="AI734" s="122">
        <v>125641</v>
      </c>
      <c r="AJ734" s="122">
        <v>114219</v>
      </c>
      <c r="AK734">
        <v>87</v>
      </c>
      <c r="AL734" s="122">
        <v>34552</v>
      </c>
      <c r="AM734" s="122">
        <v>31411</v>
      </c>
      <c r="AN734" s="122">
        <v>26127</v>
      </c>
      <c r="AO734" s="122">
        <v>9677</v>
      </c>
      <c r="AP734" s="122">
        <v>5319</v>
      </c>
      <c r="AQ734" s="122">
        <v>1970</v>
      </c>
      <c r="AR734" s="122">
        <v>34407</v>
      </c>
      <c r="AS734" s="122">
        <v>31279</v>
      </c>
      <c r="AT734" s="122">
        <v>20129</v>
      </c>
      <c r="AU734" s="122">
        <v>7455</v>
      </c>
      <c r="AV734" s="122">
        <v>196011</v>
      </c>
    </row>
    <row r="735" spans="2:48" hidden="1">
      <c r="B735" t="s">
        <v>367</v>
      </c>
      <c r="C735" t="s">
        <v>52</v>
      </c>
      <c r="D735" t="s">
        <v>405</v>
      </c>
      <c r="E735" t="s">
        <v>405</v>
      </c>
      <c r="F735">
        <v>7</v>
      </c>
      <c r="G735" s="122">
        <v>1719</v>
      </c>
      <c r="H735" s="122">
        <v>758</v>
      </c>
      <c r="I735" s="122">
        <v>112991</v>
      </c>
      <c r="J735" s="122">
        <v>102719</v>
      </c>
      <c r="K735">
        <v>92</v>
      </c>
      <c r="L735" s="122">
        <v>18828</v>
      </c>
      <c r="M735" s="122">
        <v>15690</v>
      </c>
      <c r="N735" s="122">
        <v>33446</v>
      </c>
      <c r="O735" s="122">
        <v>12388</v>
      </c>
      <c r="P735" s="122">
        <v>5184</v>
      </c>
      <c r="Q735" s="122">
        <v>1920</v>
      </c>
      <c r="R735" s="122">
        <v>35141</v>
      </c>
      <c r="S735" s="122">
        <v>31946</v>
      </c>
      <c r="T735" s="122">
        <v>0</v>
      </c>
      <c r="U735" s="122">
        <v>0</v>
      </c>
      <c r="V735" s="122">
        <v>164662</v>
      </c>
      <c r="W735" s="122">
        <f t="shared" si="22"/>
        <v>164663</v>
      </c>
      <c r="X735" s="122">
        <f t="shared" si="23"/>
        <v>205590</v>
      </c>
      <c r="Y735" s="122"/>
      <c r="AA735" t="s">
        <v>56</v>
      </c>
      <c r="AB735" t="s">
        <v>425</v>
      </c>
      <c r="AC735" t="s">
        <v>426</v>
      </c>
      <c r="AD735" t="s">
        <v>406</v>
      </c>
      <c r="AE735" t="s">
        <v>566</v>
      </c>
      <c r="AF735">
        <v>11</v>
      </c>
      <c r="AG735" s="122">
        <v>1894</v>
      </c>
      <c r="AH735" s="122">
        <v>2013</v>
      </c>
      <c r="AI735" s="122">
        <v>189050</v>
      </c>
      <c r="AJ735" s="122">
        <v>171864</v>
      </c>
      <c r="AK735">
        <v>85</v>
      </c>
      <c r="AL735" s="122">
        <v>39212</v>
      </c>
      <c r="AM735" s="122">
        <v>35648</v>
      </c>
      <c r="AN735" s="122">
        <v>39981</v>
      </c>
      <c r="AO735" s="122">
        <v>14808</v>
      </c>
      <c r="AP735" s="122">
        <v>7182</v>
      </c>
      <c r="AQ735" s="122">
        <v>2660</v>
      </c>
      <c r="AR735" s="122">
        <v>64941</v>
      </c>
      <c r="AS735" s="122">
        <v>59037</v>
      </c>
      <c r="AT735">
        <v>0</v>
      </c>
      <c r="AU735">
        <v>0</v>
      </c>
      <c r="AV735" s="122">
        <v>284016</v>
      </c>
    </row>
    <row r="736" spans="2:48" hidden="1">
      <c r="B736" t="s">
        <v>367</v>
      </c>
      <c r="C736" t="s">
        <v>52</v>
      </c>
      <c r="D736" t="s">
        <v>137</v>
      </c>
      <c r="E736" t="s">
        <v>137</v>
      </c>
      <c r="F736">
        <v>43</v>
      </c>
      <c r="G736" s="122">
        <v>16349</v>
      </c>
      <c r="H736" s="122">
        <v>4761</v>
      </c>
      <c r="I736" s="122">
        <v>838338</v>
      </c>
      <c r="J736" s="122">
        <v>310496</v>
      </c>
      <c r="K736">
        <v>342</v>
      </c>
      <c r="L736" s="122">
        <v>317797</v>
      </c>
      <c r="M736" s="122">
        <v>284210</v>
      </c>
      <c r="N736" s="122">
        <v>359617</v>
      </c>
      <c r="O736" s="122">
        <v>133192</v>
      </c>
      <c r="P736" s="122">
        <v>59391</v>
      </c>
      <c r="Q736" s="122">
        <v>21997</v>
      </c>
      <c r="R736" s="122">
        <v>352556</v>
      </c>
      <c r="S736" s="122">
        <v>130576</v>
      </c>
      <c r="T736" s="122">
        <v>4431</v>
      </c>
      <c r="U736" s="122">
        <v>1641</v>
      </c>
      <c r="V736" s="122">
        <v>882111</v>
      </c>
      <c r="W736" s="122">
        <f t="shared" si="22"/>
        <v>882112</v>
      </c>
      <c r="X736" s="122">
        <f t="shared" si="23"/>
        <v>1932130</v>
      </c>
      <c r="Y736" s="122"/>
      <c r="AA736" t="s">
        <v>56</v>
      </c>
      <c r="AB736" t="s">
        <v>425</v>
      </c>
      <c r="AC736" t="s">
        <v>566</v>
      </c>
      <c r="AD736" t="s">
        <v>425</v>
      </c>
      <c r="AE736" t="s">
        <v>566</v>
      </c>
      <c r="AF736">
        <v>8</v>
      </c>
      <c r="AG736">
        <v>952</v>
      </c>
      <c r="AH736" s="122">
        <v>1454</v>
      </c>
      <c r="AI736" s="122">
        <v>124093</v>
      </c>
      <c r="AJ736" s="122">
        <v>112812</v>
      </c>
      <c r="AK736">
        <v>84</v>
      </c>
      <c r="AL736">
        <v>0</v>
      </c>
      <c r="AM736" s="122">
        <v>1565</v>
      </c>
      <c r="AN736" s="122">
        <v>21817</v>
      </c>
      <c r="AO736" s="122">
        <v>8080</v>
      </c>
      <c r="AP736" s="122">
        <v>3659</v>
      </c>
      <c r="AQ736" s="122">
        <v>1355</v>
      </c>
      <c r="AR736" s="122">
        <v>39545</v>
      </c>
      <c r="AS736" s="122">
        <v>35950</v>
      </c>
      <c r="AT736">
        <v>0</v>
      </c>
      <c r="AU736">
        <v>0</v>
      </c>
      <c r="AV736" s="122">
        <v>159762</v>
      </c>
    </row>
    <row r="737" spans="2:48" hidden="1">
      <c r="B737" t="s">
        <v>367</v>
      </c>
      <c r="C737" t="s">
        <v>52</v>
      </c>
      <c r="D737" t="s">
        <v>137</v>
      </c>
      <c r="E737" t="s">
        <v>407</v>
      </c>
      <c r="F737">
        <v>1</v>
      </c>
      <c r="G737" s="122">
        <v>334</v>
      </c>
      <c r="H737" s="122">
        <v>120</v>
      </c>
      <c r="I737" s="122">
        <v>21938</v>
      </c>
      <c r="J737" s="122">
        <v>8125</v>
      </c>
      <c r="K737">
        <v>330</v>
      </c>
      <c r="L737" s="122">
        <v>2941</v>
      </c>
      <c r="M737" s="122">
        <v>2674</v>
      </c>
      <c r="N737" s="122">
        <v>9372</v>
      </c>
      <c r="O737" s="122">
        <v>3471</v>
      </c>
      <c r="P737" s="122">
        <v>473</v>
      </c>
      <c r="Q737" s="122">
        <v>175</v>
      </c>
      <c r="R737" s="122">
        <v>11751</v>
      </c>
      <c r="S737" s="122">
        <v>10683</v>
      </c>
      <c r="T737" s="122">
        <v>0</v>
      </c>
      <c r="U737" s="122">
        <v>0</v>
      </c>
      <c r="V737" s="122">
        <v>25128</v>
      </c>
      <c r="W737" s="122">
        <f t="shared" si="22"/>
        <v>25128</v>
      </c>
      <c r="X737" s="122">
        <f t="shared" si="23"/>
        <v>46475</v>
      </c>
      <c r="Y737" s="122"/>
      <c r="AA737" t="s">
        <v>56</v>
      </c>
      <c r="AB737" t="s">
        <v>425</v>
      </c>
      <c r="AC737" t="s">
        <v>566</v>
      </c>
      <c r="AD737" t="s">
        <v>406</v>
      </c>
      <c r="AE737" t="s">
        <v>566</v>
      </c>
      <c r="AF737">
        <v>1</v>
      </c>
      <c r="AG737">
        <v>169</v>
      </c>
      <c r="AH737">
        <v>159</v>
      </c>
      <c r="AI737" s="122">
        <v>17209</v>
      </c>
      <c r="AJ737" s="122">
        <v>15645</v>
      </c>
      <c r="AK737">
        <v>94</v>
      </c>
      <c r="AL737" s="122">
        <v>0</v>
      </c>
      <c r="AM737" s="122">
        <v>0</v>
      </c>
      <c r="AN737" s="122">
        <v>2959</v>
      </c>
      <c r="AO737" s="122">
        <v>1096</v>
      </c>
      <c r="AP737">
        <v>621</v>
      </c>
      <c r="AQ737">
        <v>230</v>
      </c>
      <c r="AR737" s="122">
        <v>5971</v>
      </c>
      <c r="AS737" s="122">
        <v>5428</v>
      </c>
      <c r="AT737">
        <v>0</v>
      </c>
      <c r="AU737">
        <v>0</v>
      </c>
      <c r="AV737" s="122">
        <v>22399</v>
      </c>
    </row>
    <row r="738" spans="2:48" hidden="1">
      <c r="B738" t="s">
        <v>367</v>
      </c>
      <c r="C738" t="s">
        <v>52</v>
      </c>
      <c r="D738" t="s">
        <v>406</v>
      </c>
      <c r="E738" t="s">
        <v>137</v>
      </c>
      <c r="F738">
        <v>1</v>
      </c>
      <c r="G738" s="122">
        <v>122</v>
      </c>
      <c r="H738" s="122">
        <v>118</v>
      </c>
      <c r="I738" s="122">
        <v>5663</v>
      </c>
      <c r="J738" s="122">
        <v>5148</v>
      </c>
      <c r="K738">
        <v>93</v>
      </c>
      <c r="L738" s="122">
        <v>1064</v>
      </c>
      <c r="M738" s="122">
        <v>887</v>
      </c>
      <c r="N738" s="122">
        <v>2417</v>
      </c>
      <c r="O738" s="122">
        <v>895</v>
      </c>
      <c r="P738" s="122">
        <v>621</v>
      </c>
      <c r="Q738" s="122">
        <v>230</v>
      </c>
      <c r="R738" s="122">
        <v>4542</v>
      </c>
      <c r="S738" s="122">
        <v>1682</v>
      </c>
      <c r="T738" s="122">
        <v>0</v>
      </c>
      <c r="U738" s="122">
        <v>0</v>
      </c>
      <c r="V738" s="122">
        <v>8842</v>
      </c>
      <c r="W738" s="122">
        <f t="shared" si="22"/>
        <v>8842</v>
      </c>
      <c r="X738" s="122">
        <f t="shared" si="23"/>
        <v>14307</v>
      </c>
      <c r="Y738" s="122"/>
      <c r="AA738" t="s">
        <v>56</v>
      </c>
      <c r="AB738" t="s">
        <v>425</v>
      </c>
      <c r="AC738" t="s">
        <v>481</v>
      </c>
      <c r="AD738" t="s">
        <v>425</v>
      </c>
      <c r="AE738" t="s">
        <v>566</v>
      </c>
      <c r="AF738">
        <v>1</v>
      </c>
      <c r="AG738">
        <v>106</v>
      </c>
      <c r="AH738">
        <v>224</v>
      </c>
      <c r="AI738" s="122">
        <v>12538</v>
      </c>
      <c r="AJ738" s="122">
        <v>11398</v>
      </c>
      <c r="AK738">
        <v>85</v>
      </c>
      <c r="AL738" s="122">
        <v>2044</v>
      </c>
      <c r="AM738" s="122">
        <v>1858</v>
      </c>
      <c r="AN738" s="122">
        <v>2591</v>
      </c>
      <c r="AO738" s="122">
        <v>959</v>
      </c>
      <c r="AP738">
        <v>621</v>
      </c>
      <c r="AQ738">
        <v>230</v>
      </c>
      <c r="AR738" s="122">
        <v>6026</v>
      </c>
      <c r="AS738" s="122">
        <v>5478</v>
      </c>
      <c r="AT738">
        <v>0</v>
      </c>
      <c r="AU738">
        <v>0</v>
      </c>
      <c r="AV738" s="122">
        <v>19924</v>
      </c>
    </row>
    <row r="739" spans="2:48" hidden="1">
      <c r="B739" t="s">
        <v>367</v>
      </c>
      <c r="C739" t="s">
        <v>52</v>
      </c>
      <c r="D739" t="s">
        <v>406</v>
      </c>
      <c r="E739" t="s">
        <v>406</v>
      </c>
      <c r="F739">
        <v>88</v>
      </c>
      <c r="G739" s="122">
        <v>19107</v>
      </c>
      <c r="H739" s="122">
        <v>10263</v>
      </c>
      <c r="I739" s="122">
        <v>1376959</v>
      </c>
      <c r="J739" s="122">
        <v>1251781</v>
      </c>
      <c r="K739">
        <v>93</v>
      </c>
      <c r="L739" s="122">
        <v>242594</v>
      </c>
      <c r="M739" s="122">
        <v>214595</v>
      </c>
      <c r="N739" s="122">
        <v>352335</v>
      </c>
      <c r="O739" s="122">
        <v>130494</v>
      </c>
      <c r="P739" s="122">
        <v>81050</v>
      </c>
      <c r="Q739" s="122">
        <v>30018</v>
      </c>
      <c r="R739" s="122">
        <v>452683</v>
      </c>
      <c r="S739" s="122">
        <v>411530</v>
      </c>
      <c r="T739" s="122">
        <v>1944</v>
      </c>
      <c r="U739" s="122">
        <v>720</v>
      </c>
      <c r="V739" s="122">
        <v>2039139</v>
      </c>
      <c r="W739" s="122">
        <f t="shared" si="22"/>
        <v>2039138</v>
      </c>
      <c r="X739" s="122">
        <f t="shared" si="23"/>
        <v>2507565</v>
      </c>
      <c r="Y739" s="122"/>
      <c r="AA739" t="s">
        <v>56</v>
      </c>
      <c r="AB739" t="s">
        <v>425</v>
      </c>
      <c r="AC739" t="s">
        <v>481</v>
      </c>
      <c r="AD739" t="s">
        <v>406</v>
      </c>
      <c r="AE739" t="s">
        <v>137</v>
      </c>
      <c r="AF739">
        <v>1</v>
      </c>
      <c r="AG739" s="122">
        <v>150</v>
      </c>
      <c r="AH739" s="122">
        <v>202</v>
      </c>
      <c r="AI739" s="122">
        <v>29331</v>
      </c>
      <c r="AJ739" s="122">
        <v>26664</v>
      </c>
      <c r="AK739">
        <v>79</v>
      </c>
      <c r="AL739" s="122">
        <v>5432</v>
      </c>
      <c r="AM739" s="122">
        <v>4938</v>
      </c>
      <c r="AN739" s="122">
        <v>5927</v>
      </c>
      <c r="AO739" s="122">
        <v>2195</v>
      </c>
      <c r="AP739" s="122">
        <v>972</v>
      </c>
      <c r="AQ739" s="122">
        <v>360</v>
      </c>
      <c r="AR739" s="122">
        <v>8845</v>
      </c>
      <c r="AS739" s="122">
        <v>8041</v>
      </c>
      <c r="AT739">
        <v>0</v>
      </c>
      <c r="AU739">
        <v>0</v>
      </c>
      <c r="AV739" s="122">
        <v>42198</v>
      </c>
    </row>
    <row r="740" spans="2:48" hidden="1">
      <c r="B740" t="s">
        <v>367</v>
      </c>
      <c r="C740" t="s">
        <v>52</v>
      </c>
      <c r="D740" t="s">
        <v>407</v>
      </c>
      <c r="E740" t="s">
        <v>405</v>
      </c>
      <c r="F740">
        <v>1</v>
      </c>
      <c r="G740" s="122">
        <v>152</v>
      </c>
      <c r="H740" s="122">
        <v>106</v>
      </c>
      <c r="I740" s="122">
        <v>16134</v>
      </c>
      <c r="J740" s="122">
        <v>14667</v>
      </c>
      <c r="K740">
        <v>90</v>
      </c>
      <c r="L740" s="122">
        <v>0</v>
      </c>
      <c r="M740" s="122">
        <v>0</v>
      </c>
      <c r="N740" s="122">
        <v>3583</v>
      </c>
      <c r="O740" s="122">
        <v>1327</v>
      </c>
      <c r="P740" s="122">
        <v>473</v>
      </c>
      <c r="Q740" s="122">
        <v>175</v>
      </c>
      <c r="R740" s="122">
        <v>6125</v>
      </c>
      <c r="S740" s="122">
        <v>5568</v>
      </c>
      <c r="T740" s="122">
        <v>0</v>
      </c>
      <c r="U740" s="122">
        <v>0</v>
      </c>
      <c r="V740" s="122">
        <v>21738</v>
      </c>
      <c r="W740" s="122">
        <f t="shared" si="22"/>
        <v>21737</v>
      </c>
      <c r="X740" s="122">
        <f t="shared" si="23"/>
        <v>26315</v>
      </c>
      <c r="Y740" s="122"/>
      <c r="AA740" t="s">
        <v>56</v>
      </c>
      <c r="AB740" t="s">
        <v>425</v>
      </c>
      <c r="AC740" t="s">
        <v>433</v>
      </c>
      <c r="AD740" t="s">
        <v>425</v>
      </c>
      <c r="AE740" t="s">
        <v>566</v>
      </c>
      <c r="AF740">
        <v>7</v>
      </c>
      <c r="AG740" s="122">
        <v>1470</v>
      </c>
      <c r="AH740" s="122">
        <v>1321</v>
      </c>
      <c r="AI740" s="122">
        <v>170870</v>
      </c>
      <c r="AJ740" s="122">
        <v>155337</v>
      </c>
      <c r="AK740">
        <v>85</v>
      </c>
      <c r="AL740" s="122">
        <v>38377</v>
      </c>
      <c r="AM740" s="122">
        <v>34888</v>
      </c>
      <c r="AN740" s="122">
        <v>29745</v>
      </c>
      <c r="AO740" s="122">
        <v>11017</v>
      </c>
      <c r="AP740" s="122">
        <v>3186</v>
      </c>
      <c r="AQ740" s="122">
        <v>1180</v>
      </c>
      <c r="AR740" s="122">
        <v>45529</v>
      </c>
      <c r="AS740" s="122">
        <v>41390</v>
      </c>
      <c r="AT740">
        <v>0</v>
      </c>
      <c r="AU740">
        <v>0</v>
      </c>
      <c r="AV740" s="122">
        <v>243812</v>
      </c>
    </row>
    <row r="741" spans="2:48" hidden="1">
      <c r="B741" t="s">
        <v>367</v>
      </c>
      <c r="C741" t="s">
        <v>52</v>
      </c>
      <c r="D741" t="s">
        <v>407</v>
      </c>
      <c r="E741" t="s">
        <v>137</v>
      </c>
      <c r="F741">
        <v>3</v>
      </c>
      <c r="G741" s="122">
        <v>818</v>
      </c>
      <c r="H741" s="122">
        <v>334</v>
      </c>
      <c r="I741" s="122">
        <v>49547</v>
      </c>
      <c r="J741" s="122">
        <v>45042</v>
      </c>
      <c r="K741">
        <v>91</v>
      </c>
      <c r="L741" s="122">
        <v>17011</v>
      </c>
      <c r="M741" s="122">
        <v>14910</v>
      </c>
      <c r="N741" s="122">
        <v>14332</v>
      </c>
      <c r="O741" s="122">
        <v>5308</v>
      </c>
      <c r="P741" s="122">
        <v>3298</v>
      </c>
      <c r="Q741" s="122">
        <v>1221</v>
      </c>
      <c r="R741" s="122">
        <v>11004</v>
      </c>
      <c r="S741" s="122">
        <v>4075</v>
      </c>
      <c r="T741" s="122">
        <v>0</v>
      </c>
      <c r="U741" s="122">
        <v>0</v>
      </c>
      <c r="V741" s="122">
        <v>70557</v>
      </c>
      <c r="W741" s="122">
        <f t="shared" si="22"/>
        <v>70556</v>
      </c>
      <c r="X741" s="122">
        <f t="shared" si="23"/>
        <v>95192</v>
      </c>
      <c r="Y741" s="122"/>
      <c r="AA741" t="s">
        <v>56</v>
      </c>
      <c r="AB741" t="s">
        <v>425</v>
      </c>
      <c r="AC741" t="s">
        <v>433</v>
      </c>
      <c r="AD741" t="s">
        <v>406</v>
      </c>
      <c r="AE741" t="s">
        <v>566</v>
      </c>
      <c r="AF741">
        <v>2</v>
      </c>
      <c r="AG741">
        <v>277</v>
      </c>
      <c r="AH741">
        <v>387</v>
      </c>
      <c r="AI741" s="122">
        <v>30059</v>
      </c>
      <c r="AJ741" s="122">
        <v>27326</v>
      </c>
      <c r="AK741">
        <v>89</v>
      </c>
      <c r="AL741" s="122">
        <v>7311</v>
      </c>
      <c r="AM741" s="122">
        <v>6646</v>
      </c>
      <c r="AN741" s="122">
        <v>4125</v>
      </c>
      <c r="AO741" s="122">
        <v>1528</v>
      </c>
      <c r="AP741" s="122">
        <v>1593</v>
      </c>
      <c r="AQ741" s="122">
        <v>590</v>
      </c>
      <c r="AR741" s="122">
        <v>10555</v>
      </c>
      <c r="AS741" s="122">
        <v>9595</v>
      </c>
      <c r="AT741">
        <v>0</v>
      </c>
      <c r="AU741">
        <v>0</v>
      </c>
      <c r="AV741" s="122">
        <v>45685</v>
      </c>
    </row>
    <row r="742" spans="2:48" hidden="1">
      <c r="B742" t="s">
        <v>367</v>
      </c>
      <c r="C742" t="s">
        <v>52</v>
      </c>
      <c r="D742" t="s">
        <v>407</v>
      </c>
      <c r="E742" t="s">
        <v>407</v>
      </c>
      <c r="F742">
        <v>586</v>
      </c>
      <c r="G742" s="122">
        <v>129631</v>
      </c>
      <c r="H742" s="122">
        <v>67866</v>
      </c>
      <c r="I742" s="122">
        <v>8351491</v>
      </c>
      <c r="J742" s="122">
        <v>7592265</v>
      </c>
      <c r="K742">
        <v>90</v>
      </c>
      <c r="L742" s="122">
        <v>1589206</v>
      </c>
      <c r="M742" s="122">
        <v>1395163</v>
      </c>
      <c r="N742" s="122">
        <v>2293357</v>
      </c>
      <c r="O742" s="122">
        <v>849392</v>
      </c>
      <c r="P742" s="122">
        <v>391138</v>
      </c>
      <c r="Q742" s="122">
        <v>144866</v>
      </c>
      <c r="R742" s="122">
        <v>3030860</v>
      </c>
      <c r="S742" s="122">
        <v>2755327</v>
      </c>
      <c r="T742" s="122">
        <v>39887</v>
      </c>
      <c r="U742" s="122">
        <v>14773</v>
      </c>
      <c r="V742" s="122">
        <v>12751785</v>
      </c>
      <c r="W742" s="122">
        <f t="shared" si="22"/>
        <v>12751786</v>
      </c>
      <c r="X742" s="122">
        <f t="shared" si="23"/>
        <v>15695939</v>
      </c>
      <c r="Y742" s="122"/>
      <c r="AA742" t="s">
        <v>56</v>
      </c>
      <c r="AB742" t="s">
        <v>425</v>
      </c>
      <c r="AC742" t="s">
        <v>429</v>
      </c>
      <c r="AD742" t="s">
        <v>425</v>
      </c>
      <c r="AE742" t="s">
        <v>566</v>
      </c>
      <c r="AF742">
        <v>2</v>
      </c>
      <c r="AG742">
        <v>273</v>
      </c>
      <c r="AH742">
        <v>372</v>
      </c>
      <c r="AI742" s="122">
        <v>30675</v>
      </c>
      <c r="AJ742" s="122">
        <v>27886</v>
      </c>
      <c r="AK742">
        <v>91</v>
      </c>
      <c r="AL742" s="122">
        <v>4552</v>
      </c>
      <c r="AM742" s="122">
        <v>4138</v>
      </c>
      <c r="AN742" s="122">
        <v>4385</v>
      </c>
      <c r="AO742" s="122">
        <v>1624</v>
      </c>
      <c r="AP742" s="122">
        <v>3402</v>
      </c>
      <c r="AQ742" s="122">
        <v>1260</v>
      </c>
      <c r="AR742" s="122">
        <v>8053</v>
      </c>
      <c r="AS742" s="122">
        <v>7321</v>
      </c>
      <c r="AT742" s="122">
        <v>0</v>
      </c>
      <c r="AU742" s="122">
        <v>0</v>
      </c>
      <c r="AV742" s="122">
        <v>42230</v>
      </c>
    </row>
    <row r="743" spans="2:48" hidden="1">
      <c r="B743" t="s">
        <v>367</v>
      </c>
      <c r="C743" t="s">
        <v>52</v>
      </c>
      <c r="D743" t="s">
        <v>408</v>
      </c>
      <c r="E743" t="s">
        <v>408</v>
      </c>
      <c r="F743">
        <v>2</v>
      </c>
      <c r="G743">
        <v>431</v>
      </c>
      <c r="H743" s="122">
        <v>230</v>
      </c>
      <c r="I743" s="122">
        <v>31929</v>
      </c>
      <c r="J743" s="122">
        <v>29027</v>
      </c>
      <c r="K743">
        <v>77</v>
      </c>
      <c r="L743" s="122">
        <v>4131</v>
      </c>
      <c r="M743" s="122">
        <v>3755</v>
      </c>
      <c r="N743" s="122">
        <v>6122</v>
      </c>
      <c r="O743" s="122">
        <v>2268</v>
      </c>
      <c r="P743" s="122">
        <v>4974</v>
      </c>
      <c r="Q743" s="122">
        <v>1842</v>
      </c>
      <c r="R743" s="122">
        <v>10577</v>
      </c>
      <c r="S743" s="122">
        <v>9616</v>
      </c>
      <c r="T743" s="122">
        <v>0</v>
      </c>
      <c r="U743" s="122">
        <v>0</v>
      </c>
      <c r="V743" s="122">
        <v>46507</v>
      </c>
      <c r="W743" s="122">
        <f t="shared" si="22"/>
        <v>46508</v>
      </c>
      <c r="X743" s="122">
        <f t="shared" si="23"/>
        <v>57733</v>
      </c>
      <c r="Y743" s="122"/>
      <c r="AA743" t="s">
        <v>56</v>
      </c>
      <c r="AB743" t="s">
        <v>405</v>
      </c>
      <c r="AC743" t="s">
        <v>578</v>
      </c>
      <c r="AD743" t="s">
        <v>405</v>
      </c>
      <c r="AE743" t="s">
        <v>137</v>
      </c>
      <c r="AF743">
        <v>1</v>
      </c>
      <c r="AG743">
        <v>113</v>
      </c>
      <c r="AH743">
        <v>225</v>
      </c>
      <c r="AI743" s="122">
        <v>11528</v>
      </c>
      <c r="AJ743" s="122">
        <v>10480</v>
      </c>
      <c r="AK743">
        <v>78</v>
      </c>
      <c r="AL743" s="122">
        <v>3164</v>
      </c>
      <c r="AM743" s="122">
        <v>2876</v>
      </c>
      <c r="AN743" s="122">
        <v>2616</v>
      </c>
      <c r="AO743" s="122">
        <v>969</v>
      </c>
      <c r="AP743" s="122">
        <v>473</v>
      </c>
      <c r="AQ743">
        <v>175</v>
      </c>
      <c r="AR743" s="122">
        <v>4602</v>
      </c>
      <c r="AS743" s="122">
        <v>4183</v>
      </c>
      <c r="AT743" s="122">
        <v>3035</v>
      </c>
      <c r="AU743" s="122">
        <v>1124</v>
      </c>
      <c r="AV743" s="122">
        <v>19807</v>
      </c>
    </row>
    <row r="744" spans="2:48" hidden="1">
      <c r="B744" t="s">
        <v>367</v>
      </c>
      <c r="C744" t="s">
        <v>54</v>
      </c>
      <c r="F744">
        <v>1</v>
      </c>
      <c r="G744">
        <v>236</v>
      </c>
      <c r="H744" s="122">
        <v>128</v>
      </c>
      <c r="I744" s="122"/>
      <c r="J744" s="122">
        <v>0</v>
      </c>
      <c r="L744" s="122"/>
      <c r="M744" s="122">
        <v>0</v>
      </c>
      <c r="N744" s="122">
        <v>2875</v>
      </c>
      <c r="O744" s="122">
        <v>1065</v>
      </c>
      <c r="P744" s="122">
        <v>473</v>
      </c>
      <c r="Q744" s="122">
        <v>175</v>
      </c>
      <c r="R744" s="122"/>
      <c r="S744" s="122">
        <v>0</v>
      </c>
      <c r="T744" s="122">
        <v>0</v>
      </c>
      <c r="U744" s="122">
        <v>0</v>
      </c>
      <c r="V744" s="122">
        <v>1240</v>
      </c>
      <c r="W744" s="122">
        <f t="shared" si="22"/>
        <v>1240</v>
      </c>
      <c r="X744" s="122">
        <f t="shared" si="23"/>
        <v>3348</v>
      </c>
      <c r="Y744" s="122"/>
      <c r="AA744" t="s">
        <v>56</v>
      </c>
      <c r="AB744" t="s">
        <v>405</v>
      </c>
      <c r="AC744" t="s">
        <v>578</v>
      </c>
      <c r="AD744" t="s">
        <v>405</v>
      </c>
      <c r="AE744" t="s">
        <v>566</v>
      </c>
      <c r="AF744">
        <v>3</v>
      </c>
      <c r="AG744" s="122">
        <v>580</v>
      </c>
      <c r="AH744" s="122">
        <v>505</v>
      </c>
      <c r="AI744" s="122">
        <v>58124</v>
      </c>
      <c r="AJ744" s="122">
        <v>52840</v>
      </c>
      <c r="AK744">
        <v>87</v>
      </c>
      <c r="AL744" s="122">
        <v>11014</v>
      </c>
      <c r="AM744" s="122">
        <v>10013</v>
      </c>
      <c r="AN744" s="122">
        <v>10147</v>
      </c>
      <c r="AO744" s="122">
        <v>3758</v>
      </c>
      <c r="AP744" s="122">
        <v>1418</v>
      </c>
      <c r="AQ744" s="122">
        <v>525</v>
      </c>
      <c r="AR744" s="122">
        <v>18460</v>
      </c>
      <c r="AS744" s="122">
        <v>16782</v>
      </c>
      <c r="AT744" s="122">
        <v>0</v>
      </c>
      <c r="AU744" s="122">
        <v>0</v>
      </c>
      <c r="AV744" s="122">
        <v>83918</v>
      </c>
    </row>
    <row r="745" spans="2:48" hidden="1">
      <c r="B745" t="s">
        <v>367</v>
      </c>
      <c r="C745" t="s">
        <v>54</v>
      </c>
      <c r="D745" t="s">
        <v>425</v>
      </c>
      <c r="E745" t="s">
        <v>425</v>
      </c>
      <c r="F745">
        <v>2</v>
      </c>
      <c r="G745">
        <v>568</v>
      </c>
      <c r="H745" s="122">
        <v>282</v>
      </c>
      <c r="I745" s="122">
        <v>53921</v>
      </c>
      <c r="J745" s="122">
        <v>49019</v>
      </c>
      <c r="K745">
        <v>86</v>
      </c>
      <c r="L745" s="122">
        <v>8782</v>
      </c>
      <c r="M745" s="122">
        <v>7689</v>
      </c>
      <c r="N745" s="122">
        <v>12655</v>
      </c>
      <c r="O745" s="122">
        <v>4687</v>
      </c>
      <c r="P745" s="122">
        <v>945</v>
      </c>
      <c r="Q745" s="122">
        <v>350</v>
      </c>
      <c r="R745" s="122">
        <v>16441</v>
      </c>
      <c r="S745" s="122">
        <v>14946</v>
      </c>
      <c r="T745" s="122">
        <v>0</v>
      </c>
      <c r="U745" s="122">
        <v>0</v>
      </c>
      <c r="V745" s="122">
        <v>76691</v>
      </c>
      <c r="W745" s="122">
        <f t="shared" si="22"/>
        <v>76691</v>
      </c>
      <c r="X745" s="122">
        <f t="shared" si="23"/>
        <v>92744</v>
      </c>
      <c r="Y745" s="122"/>
      <c r="AA745" t="s">
        <v>56</v>
      </c>
      <c r="AB745" t="s">
        <v>405</v>
      </c>
      <c r="AC745" t="s">
        <v>425</v>
      </c>
      <c r="AD745" t="s">
        <v>405</v>
      </c>
      <c r="AE745" t="s">
        <v>137</v>
      </c>
      <c r="AF745">
        <v>8</v>
      </c>
      <c r="AG745" s="122">
        <v>1579</v>
      </c>
      <c r="AH745" s="122">
        <v>1566</v>
      </c>
      <c r="AI745" s="122">
        <v>167083</v>
      </c>
      <c r="AJ745" s="122">
        <v>151893</v>
      </c>
      <c r="AK745">
        <v>85</v>
      </c>
      <c r="AL745" s="122">
        <v>48425</v>
      </c>
      <c r="AM745" s="122">
        <v>44023</v>
      </c>
      <c r="AN745" s="122">
        <v>33174</v>
      </c>
      <c r="AO745" s="122">
        <v>12287</v>
      </c>
      <c r="AP745" s="122">
        <v>3780</v>
      </c>
      <c r="AQ745" s="122">
        <v>1400</v>
      </c>
      <c r="AR745" s="122">
        <v>48481</v>
      </c>
      <c r="AS745" s="122">
        <v>44073</v>
      </c>
      <c r="AT745" s="122">
        <v>4597</v>
      </c>
      <c r="AU745" s="122">
        <v>1703</v>
      </c>
      <c r="AV745" s="122">
        <v>255378</v>
      </c>
    </row>
    <row r="746" spans="2:48" hidden="1">
      <c r="B746" t="s">
        <v>367</v>
      </c>
      <c r="C746" t="s">
        <v>54</v>
      </c>
      <c r="D746" t="s">
        <v>405</v>
      </c>
      <c r="E746" t="s">
        <v>425</v>
      </c>
      <c r="F746">
        <v>1</v>
      </c>
      <c r="G746">
        <v>400</v>
      </c>
      <c r="H746">
        <v>132</v>
      </c>
      <c r="I746" s="122">
        <v>30819</v>
      </c>
      <c r="J746" s="122">
        <v>28017</v>
      </c>
      <c r="K746">
        <v>78</v>
      </c>
      <c r="L746" s="122">
        <v>3904</v>
      </c>
      <c r="M746" s="122">
        <v>3549</v>
      </c>
      <c r="N746" s="122">
        <v>9736</v>
      </c>
      <c r="O746" s="122">
        <v>3606</v>
      </c>
      <c r="P746" s="122">
        <v>473</v>
      </c>
      <c r="Q746">
        <v>175</v>
      </c>
      <c r="R746" s="122">
        <v>7917</v>
      </c>
      <c r="S746" s="122">
        <v>7197</v>
      </c>
      <c r="T746" s="122">
        <v>0</v>
      </c>
      <c r="U746">
        <v>0</v>
      </c>
      <c r="V746" s="122">
        <v>42544</v>
      </c>
      <c r="W746" s="122">
        <f t="shared" si="22"/>
        <v>42544</v>
      </c>
      <c r="X746" s="122">
        <f t="shared" si="23"/>
        <v>52849</v>
      </c>
      <c r="Y746" s="122"/>
      <c r="AA746" t="s">
        <v>56</v>
      </c>
      <c r="AB746" t="s">
        <v>405</v>
      </c>
      <c r="AC746" t="s">
        <v>425</v>
      </c>
      <c r="AD746" t="s">
        <v>405</v>
      </c>
      <c r="AE746" t="s">
        <v>566</v>
      </c>
      <c r="AF746">
        <v>8</v>
      </c>
      <c r="AG746" s="122">
        <v>1216</v>
      </c>
      <c r="AH746" s="122">
        <v>1452</v>
      </c>
      <c r="AI746" s="122">
        <v>131275</v>
      </c>
      <c r="AJ746" s="122">
        <v>119341</v>
      </c>
      <c r="AK746">
        <v>87</v>
      </c>
      <c r="AL746" s="122">
        <v>28601</v>
      </c>
      <c r="AM746" s="122">
        <v>26001</v>
      </c>
      <c r="AN746" s="122">
        <v>22590</v>
      </c>
      <c r="AO746" s="122">
        <v>8367</v>
      </c>
      <c r="AP746" s="122">
        <v>3929</v>
      </c>
      <c r="AQ746" s="122">
        <v>1455</v>
      </c>
      <c r="AR746" s="122">
        <v>41140</v>
      </c>
      <c r="AS746" s="122">
        <v>37400</v>
      </c>
      <c r="AT746">
        <v>0</v>
      </c>
      <c r="AU746">
        <v>0</v>
      </c>
      <c r="AV746" s="122">
        <v>192564</v>
      </c>
    </row>
    <row r="747" spans="2:48" hidden="1">
      <c r="B747" t="s">
        <v>367</v>
      </c>
      <c r="C747" t="s">
        <v>54</v>
      </c>
      <c r="D747" t="s">
        <v>405</v>
      </c>
      <c r="E747" t="s">
        <v>405</v>
      </c>
      <c r="F747">
        <v>14</v>
      </c>
      <c r="G747" s="122">
        <v>3277</v>
      </c>
      <c r="H747" s="122">
        <v>1989</v>
      </c>
      <c r="I747" s="122">
        <v>287136</v>
      </c>
      <c r="J747" s="122">
        <v>261033</v>
      </c>
      <c r="K747">
        <v>89</v>
      </c>
      <c r="L747" s="122">
        <v>56284</v>
      </c>
      <c r="M747" s="122">
        <v>49606</v>
      </c>
      <c r="N747" s="122">
        <v>65483</v>
      </c>
      <c r="O747" s="122">
        <v>24253</v>
      </c>
      <c r="P747" s="122">
        <v>7466</v>
      </c>
      <c r="Q747" s="122">
        <v>2765</v>
      </c>
      <c r="R747" s="122">
        <v>73671</v>
      </c>
      <c r="S747" s="122">
        <v>66973</v>
      </c>
      <c r="T747" s="122">
        <v>4707</v>
      </c>
      <c r="U747" s="122">
        <v>1743</v>
      </c>
      <c r="V747" s="122">
        <v>406373</v>
      </c>
      <c r="W747" s="122">
        <f t="shared" si="22"/>
        <v>406373</v>
      </c>
      <c r="X747" s="122">
        <f t="shared" si="23"/>
        <v>494747</v>
      </c>
      <c r="Y747" s="122"/>
      <c r="AA747" t="s">
        <v>56</v>
      </c>
      <c r="AB747" t="s">
        <v>405</v>
      </c>
      <c r="AC747" t="s">
        <v>405</v>
      </c>
      <c r="AD747" t="s">
        <v>425</v>
      </c>
      <c r="AE747" t="s">
        <v>566</v>
      </c>
      <c r="AF747">
        <v>1</v>
      </c>
      <c r="AG747" s="122">
        <v>142</v>
      </c>
      <c r="AH747" s="122">
        <v>210</v>
      </c>
      <c r="AI747" s="122">
        <v>16278</v>
      </c>
      <c r="AJ747" s="122">
        <v>14798</v>
      </c>
      <c r="AK747">
        <v>86</v>
      </c>
      <c r="AL747" s="122">
        <v>2955</v>
      </c>
      <c r="AM747" s="122">
        <v>2687</v>
      </c>
      <c r="AN747" s="122">
        <v>3106</v>
      </c>
      <c r="AO747" s="122">
        <v>1150</v>
      </c>
      <c r="AP747" s="122">
        <v>473</v>
      </c>
      <c r="AQ747" s="122">
        <v>175</v>
      </c>
      <c r="AR747" s="122">
        <v>7155</v>
      </c>
      <c r="AS747" s="122">
        <v>6505</v>
      </c>
      <c r="AT747" s="122">
        <v>0</v>
      </c>
      <c r="AU747" s="122">
        <v>0</v>
      </c>
      <c r="AV747" s="122">
        <v>25315</v>
      </c>
    </row>
    <row r="748" spans="2:48" hidden="1">
      <c r="B748" t="s">
        <v>367</v>
      </c>
      <c r="C748" t="s">
        <v>54</v>
      </c>
      <c r="D748" t="s">
        <v>137</v>
      </c>
      <c r="E748" t="s">
        <v>137</v>
      </c>
      <c r="F748">
        <v>32</v>
      </c>
      <c r="G748" s="122">
        <v>7932</v>
      </c>
      <c r="H748" s="122">
        <v>4456</v>
      </c>
      <c r="I748" s="122">
        <v>527820</v>
      </c>
      <c r="J748" s="122">
        <v>195489</v>
      </c>
      <c r="K748">
        <v>288</v>
      </c>
      <c r="L748" s="122">
        <v>168182</v>
      </c>
      <c r="M748" s="122">
        <v>149865</v>
      </c>
      <c r="N748" s="122">
        <v>154644</v>
      </c>
      <c r="O748" s="122">
        <v>57276</v>
      </c>
      <c r="P748" s="122">
        <v>40746</v>
      </c>
      <c r="Q748" s="122">
        <v>15091</v>
      </c>
      <c r="R748" s="122">
        <v>242062</v>
      </c>
      <c r="S748" s="122">
        <v>89653</v>
      </c>
      <c r="T748" s="122">
        <v>3887</v>
      </c>
      <c r="U748" s="122">
        <v>1440</v>
      </c>
      <c r="V748" s="122">
        <v>508813</v>
      </c>
      <c r="W748" s="122">
        <f t="shared" si="22"/>
        <v>508814</v>
      </c>
      <c r="X748" s="122">
        <f t="shared" si="23"/>
        <v>1137341</v>
      </c>
      <c r="Y748" s="122"/>
      <c r="AA748" t="s">
        <v>56</v>
      </c>
      <c r="AB748" t="s">
        <v>405</v>
      </c>
      <c r="AC748" t="s">
        <v>405</v>
      </c>
      <c r="AD748" t="s">
        <v>405</v>
      </c>
      <c r="AE748" t="s">
        <v>137</v>
      </c>
      <c r="AF748">
        <v>118</v>
      </c>
      <c r="AG748" s="122">
        <v>20573</v>
      </c>
      <c r="AH748" s="122">
        <v>22263</v>
      </c>
      <c r="AI748" s="122">
        <v>2252413</v>
      </c>
      <c r="AJ748" s="122">
        <v>2047648</v>
      </c>
      <c r="AK748">
        <v>84</v>
      </c>
      <c r="AL748" s="122">
        <v>497704</v>
      </c>
      <c r="AM748" s="122">
        <v>452458</v>
      </c>
      <c r="AN748" s="122">
        <v>437586</v>
      </c>
      <c r="AO748" s="122">
        <v>162069</v>
      </c>
      <c r="AP748" s="122">
        <v>62989</v>
      </c>
      <c r="AQ748" s="122">
        <v>23329</v>
      </c>
      <c r="AR748" s="122">
        <v>598519</v>
      </c>
      <c r="AS748" s="122">
        <v>544108</v>
      </c>
      <c r="AT748" s="122">
        <v>188758</v>
      </c>
      <c r="AU748" s="122">
        <v>69910</v>
      </c>
      <c r="AV748" s="122">
        <v>3299523</v>
      </c>
    </row>
    <row r="749" spans="2:48" hidden="1">
      <c r="B749" t="s">
        <v>367</v>
      </c>
      <c r="C749" t="s">
        <v>54</v>
      </c>
      <c r="D749" t="s">
        <v>137</v>
      </c>
      <c r="E749" t="s">
        <v>407</v>
      </c>
      <c r="F749">
        <v>1</v>
      </c>
      <c r="G749" s="122">
        <v>440</v>
      </c>
      <c r="H749" s="122">
        <v>144</v>
      </c>
      <c r="I749" s="122">
        <v>33726</v>
      </c>
      <c r="J749" s="122">
        <v>12491</v>
      </c>
      <c r="K749">
        <v>250</v>
      </c>
      <c r="L749" s="122">
        <v>9542</v>
      </c>
      <c r="M749" s="122">
        <v>8674</v>
      </c>
      <c r="N749" s="122">
        <v>10442</v>
      </c>
      <c r="O749" s="122">
        <v>3867</v>
      </c>
      <c r="P749" s="122">
        <v>4956</v>
      </c>
      <c r="Q749" s="122">
        <v>1836</v>
      </c>
      <c r="R749" s="122">
        <v>4675</v>
      </c>
      <c r="S749" s="122">
        <v>4250</v>
      </c>
      <c r="T749" s="122">
        <v>0</v>
      </c>
      <c r="U749" s="122">
        <v>0</v>
      </c>
      <c r="V749" s="122">
        <v>31118</v>
      </c>
      <c r="W749" s="122">
        <f t="shared" si="22"/>
        <v>31118</v>
      </c>
      <c r="X749" s="122">
        <f t="shared" si="23"/>
        <v>63341</v>
      </c>
      <c r="Y749" s="122"/>
      <c r="AA749" t="s">
        <v>56</v>
      </c>
      <c r="AB749" t="s">
        <v>405</v>
      </c>
      <c r="AC749" t="s">
        <v>405</v>
      </c>
      <c r="AD749" t="s">
        <v>405</v>
      </c>
      <c r="AE749" t="s">
        <v>566</v>
      </c>
      <c r="AF749">
        <v>383</v>
      </c>
      <c r="AG749" s="122">
        <v>66560</v>
      </c>
      <c r="AH749" s="122">
        <v>71141</v>
      </c>
      <c r="AI749" s="122">
        <v>7118670</v>
      </c>
      <c r="AJ749" s="122">
        <v>6471518</v>
      </c>
      <c r="AK749">
        <v>85</v>
      </c>
      <c r="AL749" s="122">
        <v>1794667</v>
      </c>
      <c r="AM749" s="122">
        <v>1631515</v>
      </c>
      <c r="AN749" s="122">
        <v>1431115</v>
      </c>
      <c r="AO749" s="122">
        <v>530043</v>
      </c>
      <c r="AP749" s="122">
        <v>213893</v>
      </c>
      <c r="AQ749" s="122">
        <v>79220</v>
      </c>
      <c r="AR749" s="122">
        <v>2180384</v>
      </c>
      <c r="AS749" s="122">
        <v>1982167</v>
      </c>
      <c r="AT749">
        <v>0</v>
      </c>
      <c r="AU749">
        <v>0</v>
      </c>
      <c r="AV749" s="122">
        <v>10694463</v>
      </c>
    </row>
    <row r="750" spans="2:48" hidden="1">
      <c r="B750" t="s">
        <v>367</v>
      </c>
      <c r="C750" t="s">
        <v>54</v>
      </c>
      <c r="D750" t="s">
        <v>406</v>
      </c>
      <c r="E750" t="s">
        <v>425</v>
      </c>
      <c r="F750">
        <v>1</v>
      </c>
      <c r="G750">
        <v>245</v>
      </c>
      <c r="H750" s="122">
        <v>147</v>
      </c>
      <c r="I750" s="122">
        <v>22319</v>
      </c>
      <c r="J750" s="122">
        <v>20290</v>
      </c>
      <c r="K750">
        <v>83</v>
      </c>
      <c r="L750" s="122">
        <v>3918</v>
      </c>
      <c r="M750" s="122">
        <v>3562</v>
      </c>
      <c r="N750" s="122">
        <v>2980</v>
      </c>
      <c r="O750" s="122">
        <v>1104</v>
      </c>
      <c r="P750" s="122">
        <v>621</v>
      </c>
      <c r="Q750" s="122">
        <v>230</v>
      </c>
      <c r="R750" s="122">
        <v>6240</v>
      </c>
      <c r="S750" s="122">
        <v>5673</v>
      </c>
      <c r="T750" s="122">
        <v>0</v>
      </c>
      <c r="U750" s="122">
        <v>0</v>
      </c>
      <c r="V750" s="122">
        <v>30859</v>
      </c>
      <c r="W750" s="122">
        <f t="shared" si="22"/>
        <v>30859</v>
      </c>
      <c r="X750" s="122">
        <f t="shared" si="23"/>
        <v>36078</v>
      </c>
      <c r="Y750" s="122"/>
      <c r="AA750" t="s">
        <v>56</v>
      </c>
      <c r="AB750" t="s">
        <v>405</v>
      </c>
      <c r="AC750" t="s">
        <v>405</v>
      </c>
      <c r="AD750" t="s">
        <v>137</v>
      </c>
      <c r="AE750" t="s">
        <v>566</v>
      </c>
      <c r="AF750">
        <v>1</v>
      </c>
      <c r="AG750">
        <v>115</v>
      </c>
      <c r="AH750">
        <v>199</v>
      </c>
      <c r="AI750" s="122">
        <v>13827</v>
      </c>
      <c r="AJ750" s="122">
        <v>12570</v>
      </c>
      <c r="AK750">
        <v>90</v>
      </c>
      <c r="AL750" s="122">
        <v>3288</v>
      </c>
      <c r="AM750" s="122">
        <v>2989</v>
      </c>
      <c r="AN750" s="122">
        <v>2561</v>
      </c>
      <c r="AO750">
        <v>948</v>
      </c>
      <c r="AP750">
        <v>473</v>
      </c>
      <c r="AQ750">
        <v>175</v>
      </c>
      <c r="AR750" s="122">
        <v>2816</v>
      </c>
      <c r="AS750" s="122">
        <v>1043</v>
      </c>
      <c r="AT750">
        <v>0</v>
      </c>
      <c r="AU750">
        <v>0</v>
      </c>
      <c r="AV750" s="122">
        <v>17725</v>
      </c>
    </row>
    <row r="751" spans="2:48" hidden="1">
      <c r="B751" t="s">
        <v>367</v>
      </c>
      <c r="C751" t="s">
        <v>54</v>
      </c>
      <c r="D751" t="s">
        <v>406</v>
      </c>
      <c r="E751" t="s">
        <v>137</v>
      </c>
      <c r="F751">
        <v>2</v>
      </c>
      <c r="G751" s="122">
        <v>388</v>
      </c>
      <c r="H751" s="122">
        <v>289</v>
      </c>
      <c r="I751" s="122">
        <v>38905</v>
      </c>
      <c r="J751" s="122">
        <v>35368</v>
      </c>
      <c r="K751">
        <v>92</v>
      </c>
      <c r="L751" s="122">
        <v>13743</v>
      </c>
      <c r="M751" s="122">
        <v>11966</v>
      </c>
      <c r="N751" s="122">
        <v>7459</v>
      </c>
      <c r="O751" s="122">
        <v>2763</v>
      </c>
      <c r="P751" s="122">
        <v>1242</v>
      </c>
      <c r="Q751" s="122">
        <v>460</v>
      </c>
      <c r="R751" s="122">
        <v>7082</v>
      </c>
      <c r="S751" s="122">
        <v>2623</v>
      </c>
      <c r="T751" s="122">
        <v>0</v>
      </c>
      <c r="U751" s="122">
        <v>0</v>
      </c>
      <c r="V751" s="122">
        <v>53180</v>
      </c>
      <c r="W751" s="122">
        <f t="shared" si="22"/>
        <v>53180</v>
      </c>
      <c r="X751" s="122">
        <f t="shared" si="23"/>
        <v>68431</v>
      </c>
      <c r="Y751" s="122"/>
      <c r="AA751" t="s">
        <v>56</v>
      </c>
      <c r="AB751" t="s">
        <v>405</v>
      </c>
      <c r="AC751" t="s">
        <v>405</v>
      </c>
      <c r="AD751" t="s">
        <v>427</v>
      </c>
      <c r="AE751" t="s">
        <v>566</v>
      </c>
      <c r="AF751">
        <v>1</v>
      </c>
      <c r="AG751">
        <v>122</v>
      </c>
      <c r="AH751">
        <v>190</v>
      </c>
      <c r="AI751" s="122">
        <v>11180</v>
      </c>
      <c r="AJ751" s="122">
        <v>10163</v>
      </c>
      <c r="AK751">
        <v>73</v>
      </c>
      <c r="AL751" s="122">
        <v>2874</v>
      </c>
      <c r="AM751" s="122">
        <v>2612</v>
      </c>
      <c r="AN751" s="122">
        <v>1850</v>
      </c>
      <c r="AO751">
        <v>685</v>
      </c>
      <c r="AP751">
        <v>473</v>
      </c>
      <c r="AQ751">
        <v>175</v>
      </c>
      <c r="AR751" s="122">
        <v>6729</v>
      </c>
      <c r="AS751" s="122">
        <v>6118</v>
      </c>
      <c r="AT751" s="122">
        <v>0</v>
      </c>
      <c r="AU751" s="122">
        <v>0</v>
      </c>
      <c r="AV751" s="122">
        <v>19753</v>
      </c>
    </row>
    <row r="752" spans="2:48" hidden="1">
      <c r="B752" t="s">
        <v>367</v>
      </c>
      <c r="C752" t="s">
        <v>54</v>
      </c>
      <c r="D752" t="s">
        <v>406</v>
      </c>
      <c r="E752" t="s">
        <v>406</v>
      </c>
      <c r="F752">
        <v>233</v>
      </c>
      <c r="G752" s="122">
        <v>52583</v>
      </c>
      <c r="H752" s="122">
        <v>32665</v>
      </c>
      <c r="I752" s="122">
        <v>4551257</v>
      </c>
      <c r="J752" s="122">
        <v>4137506</v>
      </c>
      <c r="K752">
        <v>91</v>
      </c>
      <c r="L752" s="122">
        <v>1044834</v>
      </c>
      <c r="M752" s="122">
        <v>944718</v>
      </c>
      <c r="N752" s="122">
        <v>1059295</v>
      </c>
      <c r="O752" s="122">
        <v>392331</v>
      </c>
      <c r="P752" s="122">
        <v>177426</v>
      </c>
      <c r="Q752" s="122">
        <v>65713</v>
      </c>
      <c r="R752" s="122">
        <v>1239468</v>
      </c>
      <c r="S752" s="122">
        <v>1126789</v>
      </c>
      <c r="T752" s="122">
        <v>70590</v>
      </c>
      <c r="U752" s="122">
        <v>26145</v>
      </c>
      <c r="V752" s="122">
        <v>6693202</v>
      </c>
      <c r="W752" s="122">
        <f t="shared" si="22"/>
        <v>6693202</v>
      </c>
      <c r="X752" s="122">
        <f t="shared" si="23"/>
        <v>8142870</v>
      </c>
      <c r="Y752" s="122"/>
      <c r="AA752" t="s">
        <v>56</v>
      </c>
      <c r="AB752" t="s">
        <v>405</v>
      </c>
      <c r="AC752" t="s">
        <v>405</v>
      </c>
      <c r="AD752" t="s">
        <v>407</v>
      </c>
      <c r="AE752" t="s">
        <v>137</v>
      </c>
      <c r="AF752">
        <v>1</v>
      </c>
      <c r="AG752">
        <v>151</v>
      </c>
      <c r="AH752">
        <v>195</v>
      </c>
      <c r="AI752" s="122">
        <v>17883</v>
      </c>
      <c r="AJ752" s="122">
        <v>16258</v>
      </c>
      <c r="AK752">
        <v>90</v>
      </c>
      <c r="AL752" s="122">
        <v>2845</v>
      </c>
      <c r="AM752" s="122">
        <v>2586</v>
      </c>
      <c r="AN752" s="122">
        <v>2079</v>
      </c>
      <c r="AO752" s="122">
        <v>770</v>
      </c>
      <c r="AP752">
        <v>473</v>
      </c>
      <c r="AQ752">
        <v>175</v>
      </c>
      <c r="AR752" s="122">
        <v>3196</v>
      </c>
      <c r="AS752" s="122">
        <v>2905</v>
      </c>
      <c r="AT752" s="122">
        <v>2941</v>
      </c>
      <c r="AU752" s="122">
        <v>1089</v>
      </c>
      <c r="AV752" s="122">
        <v>23783</v>
      </c>
    </row>
    <row r="753" spans="2:48" hidden="1">
      <c r="B753" t="s">
        <v>367</v>
      </c>
      <c r="C753" t="s">
        <v>54</v>
      </c>
      <c r="D753" t="s">
        <v>407</v>
      </c>
      <c r="E753" t="s">
        <v>137</v>
      </c>
      <c r="F753">
        <v>4</v>
      </c>
      <c r="G753" s="122">
        <v>993</v>
      </c>
      <c r="H753" s="122">
        <v>557</v>
      </c>
      <c r="I753" s="122">
        <v>75144</v>
      </c>
      <c r="J753" s="122">
        <v>68313</v>
      </c>
      <c r="K753">
        <v>87</v>
      </c>
      <c r="L753" s="122">
        <v>13477</v>
      </c>
      <c r="M753" s="122">
        <v>11675</v>
      </c>
      <c r="N753" s="122">
        <v>18186</v>
      </c>
      <c r="O753" s="122">
        <v>6736</v>
      </c>
      <c r="P753" s="122">
        <v>6144</v>
      </c>
      <c r="Q753" s="122">
        <v>2276</v>
      </c>
      <c r="R753" s="122">
        <v>27424</v>
      </c>
      <c r="S753" s="122">
        <v>10157</v>
      </c>
      <c r="T753" s="122">
        <v>0</v>
      </c>
      <c r="U753">
        <v>0</v>
      </c>
      <c r="V753" s="122">
        <v>99156</v>
      </c>
      <c r="W753" s="122">
        <f t="shared" si="22"/>
        <v>99157</v>
      </c>
      <c r="X753" s="122">
        <f t="shared" si="23"/>
        <v>140375</v>
      </c>
      <c r="Y753" s="122"/>
      <c r="AA753" t="s">
        <v>56</v>
      </c>
      <c r="AB753" t="s">
        <v>405</v>
      </c>
      <c r="AC753" t="s">
        <v>137</v>
      </c>
      <c r="AD753" t="s">
        <v>425</v>
      </c>
      <c r="AE753" t="s">
        <v>566</v>
      </c>
      <c r="AF753">
        <v>2</v>
      </c>
      <c r="AG753" s="122">
        <v>336</v>
      </c>
      <c r="AH753" s="122">
        <v>353</v>
      </c>
      <c r="AI753" s="122">
        <v>37599</v>
      </c>
      <c r="AJ753" s="122">
        <v>34181</v>
      </c>
      <c r="AK753">
        <v>87</v>
      </c>
      <c r="AL753" s="122">
        <v>5519</v>
      </c>
      <c r="AM753" s="122">
        <v>2044</v>
      </c>
      <c r="AN753" s="122">
        <v>8002</v>
      </c>
      <c r="AO753" s="122">
        <v>2964</v>
      </c>
      <c r="AP753" s="122">
        <v>945</v>
      </c>
      <c r="AQ753" s="122">
        <v>350</v>
      </c>
      <c r="AR753" s="122">
        <v>11493</v>
      </c>
      <c r="AS753" s="122">
        <v>10448</v>
      </c>
      <c r="AT753" s="122">
        <v>0</v>
      </c>
      <c r="AU753" s="122">
        <v>0</v>
      </c>
      <c r="AV753" s="122">
        <v>49987</v>
      </c>
    </row>
    <row r="754" spans="2:48" hidden="1">
      <c r="B754" t="s">
        <v>367</v>
      </c>
      <c r="C754" t="s">
        <v>54</v>
      </c>
      <c r="D754" t="s">
        <v>407</v>
      </c>
      <c r="E754" t="s">
        <v>407</v>
      </c>
      <c r="F754" s="122">
        <v>1283</v>
      </c>
      <c r="G754" s="122">
        <v>248496</v>
      </c>
      <c r="H754" s="122">
        <v>180035</v>
      </c>
      <c r="I754" s="122">
        <v>20068687</v>
      </c>
      <c r="J754" s="122">
        <v>18244261</v>
      </c>
      <c r="K754">
        <v>89</v>
      </c>
      <c r="L754" s="122">
        <v>4279377</v>
      </c>
      <c r="M754" s="122">
        <v>3733877</v>
      </c>
      <c r="N754" s="122">
        <v>4828021</v>
      </c>
      <c r="O754" s="122">
        <v>1788156</v>
      </c>
      <c r="P754" s="122">
        <v>745085</v>
      </c>
      <c r="Q754" s="122">
        <v>275957</v>
      </c>
      <c r="R754" s="122">
        <v>6623650</v>
      </c>
      <c r="S754" s="122">
        <v>6021500</v>
      </c>
      <c r="T754" s="122">
        <v>188942</v>
      </c>
      <c r="U754" s="122">
        <v>69979</v>
      </c>
      <c r="V754" s="122">
        <v>30133730</v>
      </c>
      <c r="W754" s="122">
        <f t="shared" si="22"/>
        <v>30133730</v>
      </c>
      <c r="X754" s="122">
        <f t="shared" si="23"/>
        <v>36733762</v>
      </c>
      <c r="Y754" s="122"/>
      <c r="AA754" t="s">
        <v>56</v>
      </c>
      <c r="AB754" t="s">
        <v>405</v>
      </c>
      <c r="AC754" t="s">
        <v>137</v>
      </c>
      <c r="AD754" t="s">
        <v>405</v>
      </c>
      <c r="AE754" t="s">
        <v>137</v>
      </c>
      <c r="AF754">
        <v>28</v>
      </c>
      <c r="AG754" s="122">
        <v>4646</v>
      </c>
      <c r="AH754" s="122">
        <v>5425</v>
      </c>
      <c r="AI754" s="122">
        <v>557643</v>
      </c>
      <c r="AJ754" s="122">
        <v>506949</v>
      </c>
      <c r="AK754">
        <v>84</v>
      </c>
      <c r="AL754" s="122">
        <v>136723</v>
      </c>
      <c r="AM754" s="122">
        <v>50638</v>
      </c>
      <c r="AN754" s="122">
        <v>106333</v>
      </c>
      <c r="AO754" s="122">
        <v>39383</v>
      </c>
      <c r="AP754" s="122">
        <v>19012</v>
      </c>
      <c r="AQ754" s="122">
        <v>7041</v>
      </c>
      <c r="AR754" s="122">
        <v>148662</v>
      </c>
      <c r="AS754" s="122">
        <v>135147</v>
      </c>
      <c r="AT754" s="122">
        <v>50677</v>
      </c>
      <c r="AU754" s="122">
        <v>18769</v>
      </c>
      <c r="AV754" s="122">
        <v>757927</v>
      </c>
    </row>
    <row r="755" spans="2:48" hidden="1">
      <c r="B755" t="s">
        <v>367</v>
      </c>
      <c r="C755" t="s">
        <v>54</v>
      </c>
      <c r="D755" t="s">
        <v>407</v>
      </c>
      <c r="E755" t="s">
        <v>426</v>
      </c>
      <c r="F755" s="122">
        <v>1</v>
      </c>
      <c r="G755" s="122">
        <v>169</v>
      </c>
      <c r="H755" s="122">
        <v>130</v>
      </c>
      <c r="I755" s="122">
        <v>11925</v>
      </c>
      <c r="J755" s="122">
        <v>10841</v>
      </c>
      <c r="K755">
        <v>90</v>
      </c>
      <c r="L755" s="122">
        <v>1843</v>
      </c>
      <c r="M755" s="122">
        <v>1675</v>
      </c>
      <c r="N755" s="122">
        <v>3184</v>
      </c>
      <c r="O755" s="122">
        <v>1179</v>
      </c>
      <c r="P755" s="122">
        <v>473</v>
      </c>
      <c r="Q755" s="122">
        <v>175</v>
      </c>
      <c r="R755" s="122">
        <v>4527</v>
      </c>
      <c r="S755" s="122">
        <v>4116</v>
      </c>
      <c r="T755" s="122">
        <v>0</v>
      </c>
      <c r="U755" s="122">
        <v>0</v>
      </c>
      <c r="V755" s="122">
        <v>17986</v>
      </c>
      <c r="W755" s="122">
        <f t="shared" si="22"/>
        <v>17986</v>
      </c>
      <c r="X755" s="122">
        <f t="shared" si="23"/>
        <v>21952</v>
      </c>
      <c r="Y755" s="122"/>
      <c r="AA755" t="s">
        <v>56</v>
      </c>
      <c r="AB755" t="s">
        <v>405</v>
      </c>
      <c r="AC755" t="s">
        <v>137</v>
      </c>
      <c r="AD755" t="s">
        <v>405</v>
      </c>
      <c r="AE755" t="s">
        <v>566</v>
      </c>
      <c r="AF755">
        <v>62</v>
      </c>
      <c r="AG755" s="122">
        <v>9199</v>
      </c>
      <c r="AH755" s="122">
        <v>11782</v>
      </c>
      <c r="AI755" s="122">
        <v>992694</v>
      </c>
      <c r="AJ755" s="122">
        <v>902449</v>
      </c>
      <c r="AK755">
        <v>87</v>
      </c>
      <c r="AL755" s="122">
        <v>250750</v>
      </c>
      <c r="AM755" s="122">
        <v>92870</v>
      </c>
      <c r="AN755" s="122">
        <v>190009</v>
      </c>
      <c r="AO755" s="122">
        <v>70374</v>
      </c>
      <c r="AP755" s="122">
        <v>29916</v>
      </c>
      <c r="AQ755" s="122">
        <v>11080</v>
      </c>
      <c r="AR755" s="122">
        <v>318987</v>
      </c>
      <c r="AS755" s="122">
        <v>289989</v>
      </c>
      <c r="AT755">
        <v>0</v>
      </c>
      <c r="AU755">
        <v>0</v>
      </c>
      <c r="AV755" s="122">
        <v>1366762</v>
      </c>
    </row>
    <row r="756" spans="2:48" hidden="1">
      <c r="B756" t="s">
        <v>367</v>
      </c>
      <c r="C756" t="s">
        <v>54</v>
      </c>
      <c r="D756" t="s">
        <v>556</v>
      </c>
      <c r="E756" t="s">
        <v>556</v>
      </c>
      <c r="F756">
        <v>1</v>
      </c>
      <c r="G756">
        <v>478</v>
      </c>
      <c r="H756">
        <v>143</v>
      </c>
      <c r="I756" s="122">
        <v>42845</v>
      </c>
      <c r="J756" s="122">
        <v>35704</v>
      </c>
      <c r="K756">
        <v>55</v>
      </c>
      <c r="L756" s="122">
        <v>0</v>
      </c>
      <c r="M756" s="122">
        <v>0</v>
      </c>
      <c r="N756" s="122">
        <v>11652</v>
      </c>
      <c r="O756" s="122">
        <v>4315</v>
      </c>
      <c r="P756" s="122">
        <v>5052</v>
      </c>
      <c r="Q756" s="122">
        <v>1871</v>
      </c>
      <c r="R756" s="122">
        <v>6578</v>
      </c>
      <c r="S756" s="122">
        <v>5482</v>
      </c>
      <c r="T756" s="122">
        <v>2042</v>
      </c>
      <c r="U756" s="122">
        <v>756</v>
      </c>
      <c r="V756" s="122">
        <v>48129</v>
      </c>
      <c r="W756" s="122">
        <f t="shared" si="22"/>
        <v>48128</v>
      </c>
      <c r="X756" s="122">
        <f t="shared" si="23"/>
        <v>68169</v>
      </c>
      <c r="Y756" s="122"/>
      <c r="AA756" t="s">
        <v>56</v>
      </c>
      <c r="AB756" t="s">
        <v>405</v>
      </c>
      <c r="AC756" t="s">
        <v>137</v>
      </c>
      <c r="AD756" t="s">
        <v>137</v>
      </c>
      <c r="AE756" t="s">
        <v>566</v>
      </c>
      <c r="AF756">
        <v>5</v>
      </c>
      <c r="AG756" s="122">
        <v>1760</v>
      </c>
      <c r="AH756">
        <v>936</v>
      </c>
      <c r="AI756" s="122">
        <v>202033</v>
      </c>
      <c r="AJ756" s="122">
        <v>183667</v>
      </c>
      <c r="AK756">
        <v>88</v>
      </c>
      <c r="AL756" s="122">
        <v>37216</v>
      </c>
      <c r="AM756" s="122">
        <v>13784</v>
      </c>
      <c r="AN756" s="122">
        <v>27963</v>
      </c>
      <c r="AO756" s="122">
        <v>10357</v>
      </c>
      <c r="AP756" s="122">
        <v>3294</v>
      </c>
      <c r="AQ756" s="122">
        <v>1220</v>
      </c>
      <c r="AR756" s="122">
        <v>53472</v>
      </c>
      <c r="AS756" s="122">
        <v>19804</v>
      </c>
      <c r="AT756">
        <v>0</v>
      </c>
      <c r="AU756">
        <v>0</v>
      </c>
      <c r="AV756" s="122">
        <v>228831</v>
      </c>
    </row>
    <row r="757" spans="2:48" hidden="1">
      <c r="B757" t="s">
        <v>367</v>
      </c>
      <c r="C757" t="s">
        <v>54</v>
      </c>
      <c r="D757" t="s">
        <v>426</v>
      </c>
      <c r="E757" t="s">
        <v>426</v>
      </c>
      <c r="F757">
        <v>1</v>
      </c>
      <c r="G757">
        <v>295</v>
      </c>
      <c r="H757" s="122">
        <v>143</v>
      </c>
      <c r="I757" s="122">
        <v>28482</v>
      </c>
      <c r="J757" s="122">
        <v>25893</v>
      </c>
      <c r="K757">
        <v>70</v>
      </c>
      <c r="L757" s="122">
        <v>0</v>
      </c>
      <c r="M757" s="122">
        <v>0</v>
      </c>
      <c r="N757" s="122">
        <v>3592</v>
      </c>
      <c r="O757" s="122">
        <v>1330</v>
      </c>
      <c r="P757" s="122">
        <v>3282</v>
      </c>
      <c r="Q757" s="122">
        <v>1215</v>
      </c>
      <c r="R757" s="122">
        <v>4659</v>
      </c>
      <c r="S757" s="122">
        <v>4235</v>
      </c>
      <c r="T757" s="122">
        <v>2049</v>
      </c>
      <c r="U757">
        <v>759</v>
      </c>
      <c r="V757" s="122">
        <v>33432</v>
      </c>
      <c r="W757" s="122">
        <f t="shared" si="22"/>
        <v>33432</v>
      </c>
      <c r="X757" s="122">
        <f t="shared" si="23"/>
        <v>42064</v>
      </c>
      <c r="Y757" s="122"/>
      <c r="AA757" t="s">
        <v>56</v>
      </c>
      <c r="AB757" t="s">
        <v>405</v>
      </c>
      <c r="AC757" t="s">
        <v>580</v>
      </c>
      <c r="AD757" t="s">
        <v>425</v>
      </c>
      <c r="AE757" t="s">
        <v>566</v>
      </c>
      <c r="AF757">
        <v>1</v>
      </c>
      <c r="AG757" s="122">
        <v>292</v>
      </c>
      <c r="AH757" s="122">
        <v>215</v>
      </c>
      <c r="AI757" s="122">
        <v>41378</v>
      </c>
      <c r="AJ757" s="122">
        <v>37617</v>
      </c>
      <c r="AK757">
        <v>74</v>
      </c>
      <c r="AL757" s="122">
        <v>5417</v>
      </c>
      <c r="AM757" s="122">
        <v>4925</v>
      </c>
      <c r="AN757" s="122">
        <v>5594</v>
      </c>
      <c r="AO757" s="122">
        <v>2072</v>
      </c>
      <c r="AP757" s="122">
        <v>1094</v>
      </c>
      <c r="AQ757" s="122">
        <v>405</v>
      </c>
      <c r="AR757" s="122">
        <v>9269</v>
      </c>
      <c r="AS757" s="122">
        <v>8427</v>
      </c>
      <c r="AT757" s="122">
        <v>0</v>
      </c>
      <c r="AU757" s="122">
        <v>0</v>
      </c>
      <c r="AV757" s="122">
        <v>53445</v>
      </c>
    </row>
    <row r="758" spans="2:48" hidden="1">
      <c r="B758" t="s">
        <v>367</v>
      </c>
      <c r="C758" t="s">
        <v>54</v>
      </c>
      <c r="D758" t="s">
        <v>408</v>
      </c>
      <c r="E758" t="s">
        <v>408</v>
      </c>
      <c r="F758">
        <v>7</v>
      </c>
      <c r="G758" s="122">
        <v>1697</v>
      </c>
      <c r="H758" s="122">
        <v>977</v>
      </c>
      <c r="I758" s="122">
        <v>159373</v>
      </c>
      <c r="J758" s="122">
        <v>144885</v>
      </c>
      <c r="K758">
        <v>82</v>
      </c>
      <c r="L758" s="122">
        <v>20347</v>
      </c>
      <c r="M758" s="122">
        <v>17646</v>
      </c>
      <c r="N758" s="122">
        <v>35520</v>
      </c>
      <c r="O758" s="122">
        <v>13155</v>
      </c>
      <c r="P758" s="122">
        <v>6319</v>
      </c>
      <c r="Q758" s="122">
        <v>2340</v>
      </c>
      <c r="R758" s="122">
        <v>42407</v>
      </c>
      <c r="S758" s="122">
        <v>38552</v>
      </c>
      <c r="T758" s="122">
        <v>0</v>
      </c>
      <c r="U758" s="122">
        <v>0</v>
      </c>
      <c r="V758" s="122">
        <v>216578</v>
      </c>
      <c r="W758" s="122">
        <f t="shared" si="22"/>
        <v>216578</v>
      </c>
      <c r="X758" s="122">
        <f t="shared" si="23"/>
        <v>263966</v>
      </c>
      <c r="Y758" s="122"/>
      <c r="AA758" t="s">
        <v>56</v>
      </c>
      <c r="AB758" t="s">
        <v>405</v>
      </c>
      <c r="AC758" t="s">
        <v>580</v>
      </c>
      <c r="AD758" t="s">
        <v>405</v>
      </c>
      <c r="AE758" t="s">
        <v>137</v>
      </c>
      <c r="AF758">
        <v>6</v>
      </c>
      <c r="AG758" s="122">
        <v>1049</v>
      </c>
      <c r="AH758" s="122">
        <v>1127</v>
      </c>
      <c r="AI758" s="122">
        <v>122497</v>
      </c>
      <c r="AJ758" s="122">
        <v>111361</v>
      </c>
      <c r="AK758">
        <v>82</v>
      </c>
      <c r="AL758" s="122">
        <v>18746</v>
      </c>
      <c r="AM758" s="122">
        <v>17042</v>
      </c>
      <c r="AN758" s="122">
        <v>22756</v>
      </c>
      <c r="AO758" s="122">
        <v>8428</v>
      </c>
      <c r="AP758" s="122">
        <v>3375</v>
      </c>
      <c r="AQ758" s="122">
        <v>1250</v>
      </c>
      <c r="AR758" s="122">
        <v>31463</v>
      </c>
      <c r="AS758" s="122">
        <v>28603</v>
      </c>
      <c r="AT758" s="122">
        <v>8607</v>
      </c>
      <c r="AU758" s="122">
        <v>3188</v>
      </c>
      <c r="AV758" s="122">
        <v>169872</v>
      </c>
    </row>
    <row r="759" spans="2:48" hidden="1">
      <c r="B759" t="s">
        <v>367</v>
      </c>
      <c r="C759" t="s">
        <v>54</v>
      </c>
      <c r="D759" t="s">
        <v>408</v>
      </c>
      <c r="E759" t="s">
        <v>429</v>
      </c>
      <c r="F759">
        <v>1</v>
      </c>
      <c r="G759">
        <v>88</v>
      </c>
      <c r="H759">
        <v>142</v>
      </c>
      <c r="I759" s="122">
        <v>5536</v>
      </c>
      <c r="J759" s="122">
        <v>5033</v>
      </c>
      <c r="K759">
        <v>85</v>
      </c>
      <c r="L759" s="122">
        <v>1494</v>
      </c>
      <c r="M759" s="122">
        <v>1358</v>
      </c>
      <c r="N759" s="122">
        <v>1076</v>
      </c>
      <c r="O759" s="122">
        <v>399</v>
      </c>
      <c r="P759" s="122">
        <v>351</v>
      </c>
      <c r="Q759">
        <v>130</v>
      </c>
      <c r="R759" s="122">
        <v>4096</v>
      </c>
      <c r="S759" s="122">
        <v>3724</v>
      </c>
      <c r="T759">
        <v>0</v>
      </c>
      <c r="U759">
        <v>0</v>
      </c>
      <c r="V759" s="122">
        <v>10643</v>
      </c>
      <c r="W759" s="122">
        <f t="shared" si="22"/>
        <v>10644</v>
      </c>
      <c r="X759" s="122">
        <f t="shared" si="23"/>
        <v>12553</v>
      </c>
      <c r="Y759" s="122"/>
      <c r="AA759" t="s">
        <v>56</v>
      </c>
      <c r="AB759" t="s">
        <v>405</v>
      </c>
      <c r="AC759" t="s">
        <v>580</v>
      </c>
      <c r="AD759" t="s">
        <v>405</v>
      </c>
      <c r="AE759" t="s">
        <v>566</v>
      </c>
      <c r="AF759">
        <v>16</v>
      </c>
      <c r="AG759" s="122">
        <v>2878</v>
      </c>
      <c r="AH759" s="122">
        <v>2937</v>
      </c>
      <c r="AI759" s="122">
        <v>348011</v>
      </c>
      <c r="AJ759" s="122">
        <v>316373</v>
      </c>
      <c r="AK759">
        <v>86</v>
      </c>
      <c r="AL759" s="122">
        <v>48198</v>
      </c>
      <c r="AM759" s="122">
        <v>43817</v>
      </c>
      <c r="AN759" s="122">
        <v>63858</v>
      </c>
      <c r="AO759" s="122">
        <v>23651</v>
      </c>
      <c r="AP759" s="122">
        <v>9707</v>
      </c>
      <c r="AQ759" s="122">
        <v>3595</v>
      </c>
      <c r="AR759" s="122">
        <v>98249</v>
      </c>
      <c r="AS759" s="122">
        <v>89317</v>
      </c>
      <c r="AT759">
        <v>0</v>
      </c>
      <c r="AU759">
        <v>0</v>
      </c>
      <c r="AV759" s="122">
        <v>476753</v>
      </c>
    </row>
    <row r="760" spans="2:48" hidden="1">
      <c r="B760" t="s">
        <v>367</v>
      </c>
      <c r="C760" t="s">
        <v>56</v>
      </c>
      <c r="F760">
        <v>2</v>
      </c>
      <c r="G760" s="122">
        <v>507</v>
      </c>
      <c r="H760" s="122">
        <v>387</v>
      </c>
      <c r="I760" s="122"/>
      <c r="J760" s="122">
        <v>0</v>
      </c>
      <c r="L760" s="122"/>
      <c r="M760" s="122">
        <v>0</v>
      </c>
      <c r="N760" s="122">
        <v>12146</v>
      </c>
      <c r="O760" s="122">
        <v>4499</v>
      </c>
      <c r="P760" s="122">
        <v>473</v>
      </c>
      <c r="Q760" s="122">
        <v>175</v>
      </c>
      <c r="R760" s="122"/>
      <c r="S760" s="122">
        <v>0</v>
      </c>
      <c r="T760" s="122">
        <v>0</v>
      </c>
      <c r="U760" s="122">
        <v>0</v>
      </c>
      <c r="V760" s="122">
        <v>4674</v>
      </c>
      <c r="W760" s="122">
        <f t="shared" si="22"/>
        <v>4674</v>
      </c>
      <c r="X760" s="122">
        <f t="shared" si="23"/>
        <v>12619</v>
      </c>
      <c r="Y760" s="122"/>
      <c r="AA760" t="s">
        <v>56</v>
      </c>
      <c r="AB760" t="s">
        <v>405</v>
      </c>
      <c r="AC760" t="s">
        <v>427</v>
      </c>
      <c r="AD760" t="s">
        <v>425</v>
      </c>
      <c r="AE760" t="s">
        <v>566</v>
      </c>
      <c r="AF760">
        <v>1</v>
      </c>
      <c r="AG760" s="122">
        <v>147</v>
      </c>
      <c r="AH760" s="122">
        <v>194</v>
      </c>
      <c r="AI760" s="122">
        <v>14146</v>
      </c>
      <c r="AJ760" s="122">
        <v>12860</v>
      </c>
      <c r="AK760">
        <v>82</v>
      </c>
      <c r="AL760" s="122">
        <v>4071</v>
      </c>
      <c r="AM760" s="122">
        <v>3701</v>
      </c>
      <c r="AN760" s="122">
        <v>2678</v>
      </c>
      <c r="AO760" s="122">
        <v>992</v>
      </c>
      <c r="AP760" s="122">
        <v>351</v>
      </c>
      <c r="AQ760" s="122">
        <v>130</v>
      </c>
      <c r="AR760" s="122">
        <v>7172</v>
      </c>
      <c r="AS760" s="122">
        <v>6520</v>
      </c>
      <c r="AT760" s="122">
        <v>0</v>
      </c>
      <c r="AU760" s="122">
        <v>0</v>
      </c>
      <c r="AV760" s="122">
        <v>24202</v>
      </c>
    </row>
    <row r="761" spans="2:48" hidden="1">
      <c r="B761" t="s">
        <v>367</v>
      </c>
      <c r="C761" t="s">
        <v>56</v>
      </c>
      <c r="D761" t="s">
        <v>555</v>
      </c>
      <c r="E761" t="s">
        <v>407</v>
      </c>
      <c r="F761">
        <v>1</v>
      </c>
      <c r="G761" s="122">
        <v>161</v>
      </c>
      <c r="H761" s="122">
        <v>180</v>
      </c>
      <c r="I761" s="122">
        <v>17104</v>
      </c>
      <c r="J761" s="122">
        <v>15549</v>
      </c>
      <c r="K761">
        <v>93</v>
      </c>
      <c r="L761" s="122">
        <v>2725</v>
      </c>
      <c r="M761" s="122">
        <v>2477</v>
      </c>
      <c r="N761" s="122">
        <v>2625</v>
      </c>
      <c r="O761" s="122">
        <v>972</v>
      </c>
      <c r="P761" s="122">
        <v>473</v>
      </c>
      <c r="Q761" s="122">
        <v>175</v>
      </c>
      <c r="R761" s="122">
        <v>2989</v>
      </c>
      <c r="S761" s="122">
        <v>2717</v>
      </c>
      <c r="T761" s="122">
        <v>3047</v>
      </c>
      <c r="U761" s="122">
        <v>1129</v>
      </c>
      <c r="V761" s="122">
        <v>23019</v>
      </c>
      <c r="W761" s="122">
        <f t="shared" si="22"/>
        <v>23019</v>
      </c>
      <c r="X761" s="122">
        <f t="shared" si="23"/>
        <v>28963</v>
      </c>
      <c r="Y761" s="122"/>
      <c r="AA761" t="s">
        <v>56</v>
      </c>
      <c r="AB761" t="s">
        <v>405</v>
      </c>
      <c r="AC761" t="s">
        <v>427</v>
      </c>
      <c r="AD761" t="s">
        <v>405</v>
      </c>
      <c r="AE761" t="s">
        <v>137</v>
      </c>
      <c r="AF761">
        <v>44</v>
      </c>
      <c r="AG761" s="122">
        <v>7777</v>
      </c>
      <c r="AH761" s="122">
        <v>8505</v>
      </c>
      <c r="AI761" s="122">
        <v>885732</v>
      </c>
      <c r="AJ761" s="122">
        <v>805211</v>
      </c>
      <c r="AK761">
        <v>84</v>
      </c>
      <c r="AL761" s="122">
        <v>196199</v>
      </c>
      <c r="AM761" s="122">
        <v>178363</v>
      </c>
      <c r="AN761" s="122">
        <v>160431</v>
      </c>
      <c r="AO761" s="122">
        <v>59419</v>
      </c>
      <c r="AP761" s="122">
        <v>21789</v>
      </c>
      <c r="AQ761" s="122">
        <v>8070</v>
      </c>
      <c r="AR761" s="122">
        <v>215139</v>
      </c>
      <c r="AS761" s="122">
        <v>195580</v>
      </c>
      <c r="AT761" s="122">
        <v>90305</v>
      </c>
      <c r="AU761" s="122">
        <v>33446</v>
      </c>
      <c r="AV761" s="122">
        <v>1280090</v>
      </c>
    </row>
    <row r="762" spans="2:48" hidden="1">
      <c r="B762" t="s">
        <v>367</v>
      </c>
      <c r="C762" t="s">
        <v>56</v>
      </c>
      <c r="D762" t="s">
        <v>405</v>
      </c>
      <c r="E762" t="s">
        <v>405</v>
      </c>
      <c r="F762">
        <v>36</v>
      </c>
      <c r="G762" s="122">
        <v>8114</v>
      </c>
      <c r="H762" s="122">
        <v>6714</v>
      </c>
      <c r="I762" s="122">
        <v>913185</v>
      </c>
      <c r="J762" s="122">
        <v>830168</v>
      </c>
      <c r="K762">
        <v>86</v>
      </c>
      <c r="L762" s="122">
        <v>227892</v>
      </c>
      <c r="M762" s="122">
        <v>199823</v>
      </c>
      <c r="N762" s="122">
        <v>176152</v>
      </c>
      <c r="O762" s="122">
        <v>65241</v>
      </c>
      <c r="P762" s="122">
        <v>22679</v>
      </c>
      <c r="Q762" s="122">
        <v>8400</v>
      </c>
      <c r="R762" s="122">
        <v>214896</v>
      </c>
      <c r="S762" s="122">
        <v>195360</v>
      </c>
      <c r="T762" s="122">
        <v>5507</v>
      </c>
      <c r="U762" s="122">
        <v>2040</v>
      </c>
      <c r="V762" s="122">
        <v>1301032</v>
      </c>
      <c r="W762" s="122">
        <f t="shared" si="22"/>
        <v>1301032</v>
      </c>
      <c r="X762" s="122">
        <f t="shared" si="23"/>
        <v>1560311</v>
      </c>
      <c r="Y762" s="122"/>
      <c r="AA762" t="s">
        <v>56</v>
      </c>
      <c r="AB762" t="s">
        <v>405</v>
      </c>
      <c r="AC762" t="s">
        <v>427</v>
      </c>
      <c r="AD762" t="s">
        <v>405</v>
      </c>
      <c r="AE762" t="s">
        <v>566</v>
      </c>
      <c r="AF762">
        <v>119</v>
      </c>
      <c r="AG762" s="122">
        <v>18788</v>
      </c>
      <c r="AH762" s="122">
        <v>22536</v>
      </c>
      <c r="AI762" s="122">
        <v>2109482</v>
      </c>
      <c r="AJ762" s="122">
        <v>1917711</v>
      </c>
      <c r="AK762">
        <v>86</v>
      </c>
      <c r="AL762" s="122">
        <v>541058</v>
      </c>
      <c r="AM762" s="122">
        <v>491871</v>
      </c>
      <c r="AN762" s="122">
        <v>395046</v>
      </c>
      <c r="AO762" s="122">
        <v>146314</v>
      </c>
      <c r="AP762" s="122">
        <v>59616</v>
      </c>
      <c r="AQ762" s="122">
        <v>22080</v>
      </c>
      <c r="AR762" s="122">
        <v>627434</v>
      </c>
      <c r="AS762" s="122">
        <v>570395</v>
      </c>
      <c r="AT762">
        <v>0</v>
      </c>
      <c r="AU762">
        <v>0</v>
      </c>
      <c r="AV762" s="122">
        <v>3148370</v>
      </c>
    </row>
    <row r="763" spans="2:48" hidden="1">
      <c r="B763" t="s">
        <v>367</v>
      </c>
      <c r="C763" t="s">
        <v>56</v>
      </c>
      <c r="D763" t="s">
        <v>405</v>
      </c>
      <c r="E763" t="s">
        <v>137</v>
      </c>
      <c r="F763">
        <v>1</v>
      </c>
      <c r="G763" s="122">
        <v>145</v>
      </c>
      <c r="H763" s="122">
        <v>210</v>
      </c>
      <c r="I763" s="122">
        <v>14994</v>
      </c>
      <c r="J763" s="122">
        <v>13631</v>
      </c>
      <c r="K763">
        <v>91</v>
      </c>
      <c r="L763" s="122">
        <v>2879</v>
      </c>
      <c r="M763" s="122">
        <v>2617</v>
      </c>
      <c r="N763" s="122">
        <v>3330</v>
      </c>
      <c r="O763" s="122">
        <v>1233</v>
      </c>
      <c r="P763" s="122">
        <v>351</v>
      </c>
      <c r="Q763" s="122">
        <v>130</v>
      </c>
      <c r="R763" s="122">
        <v>8835</v>
      </c>
      <c r="S763" s="122">
        <v>3272</v>
      </c>
      <c r="T763" s="122">
        <v>0</v>
      </c>
      <c r="U763" s="122">
        <v>0</v>
      </c>
      <c r="V763" s="122">
        <v>20883</v>
      </c>
      <c r="W763" s="122">
        <f t="shared" si="22"/>
        <v>20883</v>
      </c>
      <c r="X763" s="122">
        <f t="shared" si="23"/>
        <v>30389</v>
      </c>
      <c r="Y763" s="122"/>
      <c r="AA763" t="s">
        <v>56</v>
      </c>
      <c r="AB763" t="s">
        <v>405</v>
      </c>
      <c r="AC763" t="s">
        <v>427</v>
      </c>
      <c r="AD763" t="s">
        <v>137</v>
      </c>
      <c r="AE763" t="s">
        <v>566</v>
      </c>
      <c r="AF763">
        <v>1</v>
      </c>
      <c r="AG763">
        <v>145</v>
      </c>
      <c r="AH763">
        <v>210</v>
      </c>
      <c r="AI763" s="122">
        <v>14994</v>
      </c>
      <c r="AJ763" s="122">
        <v>13631</v>
      </c>
      <c r="AK763">
        <v>91</v>
      </c>
      <c r="AL763" s="122">
        <v>2879</v>
      </c>
      <c r="AM763" s="122">
        <v>2617</v>
      </c>
      <c r="AN763" s="122">
        <v>3330</v>
      </c>
      <c r="AO763" s="122">
        <v>1233</v>
      </c>
      <c r="AP763">
        <v>351</v>
      </c>
      <c r="AQ763">
        <v>130</v>
      </c>
      <c r="AR763" s="122">
        <v>8835</v>
      </c>
      <c r="AS763" s="122">
        <v>3272</v>
      </c>
      <c r="AT763">
        <v>0</v>
      </c>
      <c r="AU763">
        <v>0</v>
      </c>
      <c r="AV763" s="122">
        <v>20883</v>
      </c>
    </row>
    <row r="764" spans="2:48" hidden="1">
      <c r="B764" t="s">
        <v>367</v>
      </c>
      <c r="C764" t="s">
        <v>56</v>
      </c>
      <c r="D764" t="s">
        <v>405</v>
      </c>
      <c r="E764" t="s">
        <v>407</v>
      </c>
      <c r="F764">
        <v>1</v>
      </c>
      <c r="G764" s="122">
        <v>64</v>
      </c>
      <c r="H764" s="122">
        <v>193</v>
      </c>
      <c r="I764" s="122">
        <v>6753</v>
      </c>
      <c r="J764" s="122">
        <v>6139</v>
      </c>
      <c r="K764">
        <v>92</v>
      </c>
      <c r="L764" s="122">
        <v>1122</v>
      </c>
      <c r="M764" s="122">
        <v>1020</v>
      </c>
      <c r="N764" s="122">
        <v>1408</v>
      </c>
      <c r="O764" s="122">
        <v>521</v>
      </c>
      <c r="P764" s="122">
        <v>473</v>
      </c>
      <c r="Q764" s="122">
        <v>175</v>
      </c>
      <c r="R764" s="122">
        <v>2609</v>
      </c>
      <c r="S764" s="122">
        <v>2372</v>
      </c>
      <c r="T764" s="122">
        <v>0</v>
      </c>
      <c r="U764" s="122">
        <v>0</v>
      </c>
      <c r="V764" s="122">
        <v>10228</v>
      </c>
      <c r="W764" s="122">
        <f t="shared" si="22"/>
        <v>10227</v>
      </c>
      <c r="X764" s="122">
        <f t="shared" si="23"/>
        <v>12365</v>
      </c>
      <c r="Y764" s="122"/>
      <c r="AA764" t="s">
        <v>56</v>
      </c>
      <c r="AB764" t="s">
        <v>405</v>
      </c>
      <c r="AC764" t="s">
        <v>427</v>
      </c>
      <c r="AD764" t="s">
        <v>407</v>
      </c>
      <c r="AE764" t="s">
        <v>566</v>
      </c>
      <c r="AF764">
        <v>2</v>
      </c>
      <c r="AG764">
        <v>390</v>
      </c>
      <c r="AH764">
        <v>366</v>
      </c>
      <c r="AI764" s="122">
        <v>37559</v>
      </c>
      <c r="AJ764" s="122">
        <v>34145</v>
      </c>
      <c r="AK764">
        <v>86</v>
      </c>
      <c r="AL764" s="122">
        <v>12354</v>
      </c>
      <c r="AM764" s="122">
        <v>11231</v>
      </c>
      <c r="AN764" s="122">
        <v>7731</v>
      </c>
      <c r="AO764" s="122">
        <v>2863</v>
      </c>
      <c r="AP764">
        <v>945</v>
      </c>
      <c r="AQ764">
        <v>350</v>
      </c>
      <c r="AR764" s="122">
        <v>11961</v>
      </c>
      <c r="AS764" s="122">
        <v>10874</v>
      </c>
      <c r="AT764" s="122">
        <v>0</v>
      </c>
      <c r="AU764" s="122">
        <v>0</v>
      </c>
      <c r="AV764" s="122">
        <v>59463</v>
      </c>
    </row>
    <row r="765" spans="2:48" hidden="1">
      <c r="B765" t="s">
        <v>367</v>
      </c>
      <c r="C765" t="s">
        <v>56</v>
      </c>
      <c r="D765" t="s">
        <v>137</v>
      </c>
      <c r="E765" t="s">
        <v>137</v>
      </c>
      <c r="F765">
        <v>22</v>
      </c>
      <c r="G765" s="122">
        <v>5223</v>
      </c>
      <c r="H765" s="122">
        <v>4119</v>
      </c>
      <c r="I765" s="122">
        <v>580704</v>
      </c>
      <c r="J765" s="122">
        <v>215076</v>
      </c>
      <c r="K765">
        <v>203</v>
      </c>
      <c r="L765" s="122">
        <v>109487</v>
      </c>
      <c r="M765" s="122">
        <v>92648</v>
      </c>
      <c r="N765" s="122">
        <v>104143</v>
      </c>
      <c r="O765" s="122">
        <v>38571</v>
      </c>
      <c r="P765" s="122">
        <v>10186</v>
      </c>
      <c r="Q765" s="122">
        <v>3773</v>
      </c>
      <c r="R765" s="122">
        <v>175532</v>
      </c>
      <c r="S765" s="122">
        <v>65012</v>
      </c>
      <c r="T765" s="122">
        <v>0</v>
      </c>
      <c r="U765" s="122">
        <v>0</v>
      </c>
      <c r="V765" s="122">
        <v>415079</v>
      </c>
      <c r="W765" s="122">
        <f t="shared" si="22"/>
        <v>415080</v>
      </c>
      <c r="X765" s="122">
        <f t="shared" si="23"/>
        <v>980052</v>
      </c>
      <c r="Y765" s="122"/>
      <c r="AA765" t="s">
        <v>56</v>
      </c>
      <c r="AB765" t="s">
        <v>405</v>
      </c>
      <c r="AC765" t="s">
        <v>407</v>
      </c>
      <c r="AD765" t="s">
        <v>405</v>
      </c>
      <c r="AE765" t="s">
        <v>137</v>
      </c>
      <c r="AF765">
        <v>1</v>
      </c>
      <c r="AG765">
        <v>182</v>
      </c>
      <c r="AH765">
        <v>157</v>
      </c>
      <c r="AI765" s="122">
        <v>12521</v>
      </c>
      <c r="AJ765" s="122">
        <v>11383</v>
      </c>
      <c r="AK765">
        <v>90</v>
      </c>
      <c r="AL765" s="122">
        <v>6288</v>
      </c>
      <c r="AM765" s="122">
        <v>5717</v>
      </c>
      <c r="AN765" s="122">
        <v>2223</v>
      </c>
      <c r="AO765">
        <v>823</v>
      </c>
      <c r="AP765" s="122">
        <v>473</v>
      </c>
      <c r="AQ765">
        <v>175</v>
      </c>
      <c r="AR765" s="122">
        <v>3691</v>
      </c>
      <c r="AS765" s="122">
        <v>3355</v>
      </c>
      <c r="AT765" s="122">
        <v>3490</v>
      </c>
      <c r="AU765" s="122">
        <v>1293</v>
      </c>
      <c r="AV765" s="122">
        <v>22746</v>
      </c>
    </row>
    <row r="766" spans="2:48" hidden="1">
      <c r="B766" t="s">
        <v>367</v>
      </c>
      <c r="C766" t="s">
        <v>56</v>
      </c>
      <c r="D766" t="s">
        <v>406</v>
      </c>
      <c r="E766" t="s">
        <v>555</v>
      </c>
      <c r="F766">
        <v>1</v>
      </c>
      <c r="G766" s="122">
        <v>123</v>
      </c>
      <c r="H766" s="122">
        <v>181</v>
      </c>
      <c r="I766" s="122">
        <v>18606</v>
      </c>
      <c r="J766" s="122">
        <v>16915</v>
      </c>
      <c r="K766">
        <v>79</v>
      </c>
      <c r="L766" s="122">
        <v>5168</v>
      </c>
      <c r="M766" s="122">
        <v>4698</v>
      </c>
      <c r="N766" s="122">
        <v>4022</v>
      </c>
      <c r="O766" s="122">
        <v>1489</v>
      </c>
      <c r="P766" s="122">
        <v>621</v>
      </c>
      <c r="Q766" s="122">
        <v>230</v>
      </c>
      <c r="R766" s="122">
        <v>5291</v>
      </c>
      <c r="S766" s="122">
        <v>4810</v>
      </c>
      <c r="T766" s="122">
        <v>3714</v>
      </c>
      <c r="U766" s="122">
        <v>1376</v>
      </c>
      <c r="V766" s="122">
        <v>29518</v>
      </c>
      <c r="W766" s="122">
        <f t="shared" si="22"/>
        <v>29518</v>
      </c>
      <c r="X766" s="122">
        <f t="shared" si="23"/>
        <v>37422</v>
      </c>
      <c r="Y766" s="122"/>
      <c r="AA766" t="s">
        <v>56</v>
      </c>
      <c r="AB766" t="s">
        <v>405</v>
      </c>
      <c r="AC766" t="s">
        <v>407</v>
      </c>
      <c r="AD766" t="s">
        <v>405</v>
      </c>
      <c r="AE766" t="s">
        <v>566</v>
      </c>
      <c r="AF766">
        <v>1</v>
      </c>
      <c r="AG766">
        <v>145</v>
      </c>
      <c r="AH766">
        <v>152</v>
      </c>
      <c r="AI766" s="122">
        <v>13257</v>
      </c>
      <c r="AJ766" s="122">
        <v>12052</v>
      </c>
      <c r="AK766">
        <v>93</v>
      </c>
      <c r="AL766" s="122">
        <v>2112</v>
      </c>
      <c r="AM766" s="122">
        <v>1920</v>
      </c>
      <c r="AN766" s="122">
        <v>2297</v>
      </c>
      <c r="AO766">
        <v>851</v>
      </c>
      <c r="AP766" s="122">
        <v>1175</v>
      </c>
      <c r="AQ766">
        <v>435</v>
      </c>
      <c r="AR766" s="122">
        <v>3170</v>
      </c>
      <c r="AS766" s="122">
        <v>2882</v>
      </c>
      <c r="AT766">
        <v>0</v>
      </c>
      <c r="AU766">
        <v>0</v>
      </c>
      <c r="AV766" s="122">
        <v>18140</v>
      </c>
    </row>
    <row r="767" spans="2:48" hidden="1">
      <c r="B767" t="s">
        <v>367</v>
      </c>
      <c r="C767" t="s">
        <v>56</v>
      </c>
      <c r="D767" t="s">
        <v>406</v>
      </c>
      <c r="E767" t="s">
        <v>405</v>
      </c>
      <c r="F767">
        <v>1</v>
      </c>
      <c r="G767" s="122">
        <v>150</v>
      </c>
      <c r="H767" s="122">
        <v>180</v>
      </c>
      <c r="I767" s="122">
        <v>30879</v>
      </c>
      <c r="J767" s="122">
        <v>28072</v>
      </c>
      <c r="K767">
        <v>70</v>
      </c>
      <c r="L767" s="122">
        <v>4148</v>
      </c>
      <c r="M767" s="122">
        <v>3457</v>
      </c>
      <c r="N767" s="122">
        <v>4795</v>
      </c>
      <c r="O767" s="122">
        <v>1776</v>
      </c>
      <c r="P767" s="122">
        <v>621</v>
      </c>
      <c r="Q767" s="122">
        <v>230</v>
      </c>
      <c r="R767" s="122">
        <v>7349</v>
      </c>
      <c r="S767" s="122">
        <v>6681</v>
      </c>
      <c r="T767" s="122">
        <v>0</v>
      </c>
      <c r="U767" s="122">
        <v>0</v>
      </c>
      <c r="V767" s="122">
        <v>40216</v>
      </c>
      <c r="W767" s="122">
        <f t="shared" si="22"/>
        <v>40216</v>
      </c>
      <c r="X767" s="122">
        <f t="shared" si="23"/>
        <v>47792</v>
      </c>
      <c r="Y767" s="122"/>
      <c r="AA767" t="s">
        <v>56</v>
      </c>
      <c r="AB767" t="s">
        <v>405</v>
      </c>
      <c r="AC767" t="s">
        <v>407</v>
      </c>
      <c r="AD767" t="s">
        <v>407</v>
      </c>
      <c r="AE767" t="s">
        <v>137</v>
      </c>
      <c r="AF767">
        <v>2</v>
      </c>
      <c r="AG767">
        <v>164</v>
      </c>
      <c r="AH767">
        <v>376</v>
      </c>
      <c r="AI767" s="122">
        <v>16590</v>
      </c>
      <c r="AJ767" s="122">
        <v>15082</v>
      </c>
      <c r="AK767">
        <v>86</v>
      </c>
      <c r="AL767" s="122">
        <v>3847</v>
      </c>
      <c r="AM767" s="122">
        <v>3497</v>
      </c>
      <c r="AN767" s="122">
        <v>2622</v>
      </c>
      <c r="AO767" s="122">
        <v>971</v>
      </c>
      <c r="AP767">
        <v>945</v>
      </c>
      <c r="AQ767">
        <v>350</v>
      </c>
      <c r="AR767" s="122">
        <v>6612</v>
      </c>
      <c r="AS767" s="122">
        <v>6010</v>
      </c>
      <c r="AT767">
        <v>0</v>
      </c>
      <c r="AU767">
        <v>0</v>
      </c>
      <c r="AV767" s="122">
        <v>25911</v>
      </c>
    </row>
    <row r="768" spans="2:48" hidden="1">
      <c r="B768" t="s">
        <v>367</v>
      </c>
      <c r="C768" t="s">
        <v>56</v>
      </c>
      <c r="D768" t="s">
        <v>406</v>
      </c>
      <c r="E768" t="s">
        <v>137</v>
      </c>
      <c r="F768">
        <v>3</v>
      </c>
      <c r="G768">
        <v>606</v>
      </c>
      <c r="H768" s="122">
        <v>527</v>
      </c>
      <c r="I768" s="122">
        <v>56464</v>
      </c>
      <c r="J768" s="122">
        <v>51331</v>
      </c>
      <c r="K768">
        <v>83</v>
      </c>
      <c r="L768" s="122">
        <v>10199</v>
      </c>
      <c r="M768" s="122">
        <v>9029</v>
      </c>
      <c r="N768" s="122">
        <v>11399</v>
      </c>
      <c r="O768" s="122">
        <v>4222</v>
      </c>
      <c r="P768" s="122">
        <v>2214</v>
      </c>
      <c r="Q768">
        <v>820</v>
      </c>
      <c r="R768" s="122">
        <v>23888</v>
      </c>
      <c r="S768" s="122">
        <v>8848</v>
      </c>
      <c r="T768" s="122">
        <v>0</v>
      </c>
      <c r="U768" s="122">
        <v>0</v>
      </c>
      <c r="V768" s="122">
        <v>74250</v>
      </c>
      <c r="W768" s="122">
        <f t="shared" si="22"/>
        <v>74250</v>
      </c>
      <c r="X768" s="122">
        <f t="shared" si="23"/>
        <v>104164</v>
      </c>
      <c r="Y768" s="122"/>
      <c r="AA768" t="s">
        <v>56</v>
      </c>
      <c r="AB768" t="s">
        <v>405</v>
      </c>
      <c r="AC768" t="s">
        <v>579</v>
      </c>
      <c r="AD768" t="s">
        <v>425</v>
      </c>
      <c r="AE768" t="s">
        <v>137</v>
      </c>
      <c r="AF768">
        <v>1</v>
      </c>
      <c r="AG768" s="122">
        <v>74</v>
      </c>
      <c r="AH768" s="122">
        <v>185</v>
      </c>
      <c r="AI768" s="122">
        <v>12707</v>
      </c>
      <c r="AJ768" s="122">
        <v>11552</v>
      </c>
      <c r="AK768">
        <v>80</v>
      </c>
      <c r="AL768" s="122">
        <v>3907</v>
      </c>
      <c r="AM768" s="122">
        <v>3256</v>
      </c>
      <c r="AN768" s="122">
        <v>3165</v>
      </c>
      <c r="AO768" s="122">
        <v>1172</v>
      </c>
      <c r="AP768" s="122">
        <v>351</v>
      </c>
      <c r="AQ768" s="122">
        <v>130</v>
      </c>
      <c r="AR768" s="122">
        <v>6561</v>
      </c>
      <c r="AS768" s="122">
        <v>5965</v>
      </c>
      <c r="AT768" s="122">
        <v>0</v>
      </c>
      <c r="AU768" s="122">
        <v>0</v>
      </c>
      <c r="AV768" s="122">
        <v>22075</v>
      </c>
    </row>
    <row r="769" spans="2:48" hidden="1">
      <c r="B769" t="s">
        <v>367</v>
      </c>
      <c r="C769" t="s">
        <v>56</v>
      </c>
      <c r="D769" t="s">
        <v>406</v>
      </c>
      <c r="E769" t="s">
        <v>406</v>
      </c>
      <c r="F769" s="122">
        <v>1515</v>
      </c>
      <c r="G769" s="122">
        <v>280483</v>
      </c>
      <c r="H769" s="122">
        <v>290601</v>
      </c>
      <c r="I769" s="122">
        <v>32183679</v>
      </c>
      <c r="J769" s="122">
        <v>29257890</v>
      </c>
      <c r="K769">
        <v>87</v>
      </c>
      <c r="L769" s="122">
        <v>8124873</v>
      </c>
      <c r="M769" s="122">
        <v>6948078</v>
      </c>
      <c r="N769" s="122">
        <v>5981044</v>
      </c>
      <c r="O769" s="122">
        <v>2215202</v>
      </c>
      <c r="P769" s="122">
        <v>1000758</v>
      </c>
      <c r="Q769" s="122">
        <v>370651</v>
      </c>
      <c r="R769" s="122">
        <v>8211190</v>
      </c>
      <c r="S769" s="122">
        <v>7464718</v>
      </c>
      <c r="T769" s="122">
        <v>1374333</v>
      </c>
      <c r="U769" s="122">
        <v>509012</v>
      </c>
      <c r="V769" s="122">
        <v>46765552</v>
      </c>
      <c r="W769" s="122">
        <f t="shared" si="22"/>
        <v>46765551</v>
      </c>
      <c r="X769" s="122">
        <f t="shared" si="23"/>
        <v>56875877</v>
      </c>
      <c r="Y769" s="122"/>
      <c r="AA769" t="s">
        <v>56</v>
      </c>
      <c r="AB769" t="s">
        <v>405</v>
      </c>
      <c r="AC769" t="s">
        <v>579</v>
      </c>
      <c r="AD769" t="s">
        <v>405</v>
      </c>
      <c r="AE769" t="s">
        <v>137</v>
      </c>
      <c r="AF769">
        <v>29</v>
      </c>
      <c r="AG769" s="122">
        <v>5116</v>
      </c>
      <c r="AH769" s="122">
        <v>5682</v>
      </c>
      <c r="AI769" s="122">
        <v>537875</v>
      </c>
      <c r="AJ769" s="122">
        <v>488977</v>
      </c>
      <c r="AK769">
        <v>85</v>
      </c>
      <c r="AL769" s="122">
        <v>143790</v>
      </c>
      <c r="AM769" s="122">
        <v>119825</v>
      </c>
      <c r="AN769" s="122">
        <v>102521</v>
      </c>
      <c r="AO769" s="122">
        <v>37971</v>
      </c>
      <c r="AP769" s="122">
        <v>14081</v>
      </c>
      <c r="AQ769" s="122">
        <v>5215</v>
      </c>
      <c r="AR769" s="122">
        <v>153784</v>
      </c>
      <c r="AS769" s="122">
        <v>139803</v>
      </c>
      <c r="AT769" s="122">
        <v>48203</v>
      </c>
      <c r="AU769" s="122">
        <v>17853</v>
      </c>
      <c r="AV769" s="122">
        <v>809644</v>
      </c>
    </row>
    <row r="770" spans="2:48" hidden="1">
      <c r="B770" t="s">
        <v>367</v>
      </c>
      <c r="C770" t="s">
        <v>56</v>
      </c>
      <c r="D770" t="s">
        <v>406</v>
      </c>
      <c r="E770" t="s">
        <v>407</v>
      </c>
      <c r="F770">
        <v>4</v>
      </c>
      <c r="G770" s="122">
        <v>801</v>
      </c>
      <c r="H770" s="122">
        <v>741</v>
      </c>
      <c r="I770" s="122">
        <v>90967</v>
      </c>
      <c r="J770" s="122">
        <v>82697</v>
      </c>
      <c r="K770">
        <v>88</v>
      </c>
      <c r="L770" s="122">
        <v>18205</v>
      </c>
      <c r="M770" s="122">
        <v>15921</v>
      </c>
      <c r="N770" s="122">
        <v>16512</v>
      </c>
      <c r="O770" s="122">
        <v>6115</v>
      </c>
      <c r="P770" s="122">
        <v>6166</v>
      </c>
      <c r="Q770" s="122">
        <v>2284</v>
      </c>
      <c r="R770" s="122">
        <v>25491</v>
      </c>
      <c r="S770" s="122">
        <v>23174</v>
      </c>
      <c r="T770" s="122">
        <v>0</v>
      </c>
      <c r="U770" s="122">
        <v>0</v>
      </c>
      <c r="V770" s="122">
        <v>130191</v>
      </c>
      <c r="W770" s="122">
        <f t="shared" si="22"/>
        <v>130191</v>
      </c>
      <c r="X770" s="122">
        <f t="shared" si="23"/>
        <v>157341</v>
      </c>
      <c r="Y770" s="122"/>
      <c r="AA770" t="s">
        <v>56</v>
      </c>
      <c r="AB770" t="s">
        <v>405</v>
      </c>
      <c r="AC770" t="s">
        <v>579</v>
      </c>
      <c r="AD770" t="s">
        <v>405</v>
      </c>
      <c r="AE770" t="s">
        <v>566</v>
      </c>
      <c r="AF770">
        <v>83</v>
      </c>
      <c r="AG770" s="122">
        <v>14505</v>
      </c>
      <c r="AH770" s="122">
        <v>15351</v>
      </c>
      <c r="AI770" s="122">
        <v>1589312</v>
      </c>
      <c r="AJ770" s="122">
        <v>1444829</v>
      </c>
      <c r="AK770">
        <v>86</v>
      </c>
      <c r="AL770" s="122">
        <v>425854</v>
      </c>
      <c r="AM770" s="122">
        <v>354879</v>
      </c>
      <c r="AN770" s="122">
        <v>305873</v>
      </c>
      <c r="AO770" s="122">
        <v>113286</v>
      </c>
      <c r="AP770" s="122">
        <v>46828</v>
      </c>
      <c r="AQ770" s="122">
        <v>17344</v>
      </c>
      <c r="AR770" s="122">
        <v>467724</v>
      </c>
      <c r="AS770" s="122">
        <v>425204</v>
      </c>
      <c r="AT770" s="122">
        <v>0</v>
      </c>
      <c r="AU770" s="122">
        <v>0</v>
      </c>
      <c r="AV770" s="122">
        <v>2355542</v>
      </c>
    </row>
    <row r="771" spans="2:48" hidden="1">
      <c r="B771" t="s">
        <v>367</v>
      </c>
      <c r="C771" t="s">
        <v>56</v>
      </c>
      <c r="D771" t="s">
        <v>407</v>
      </c>
      <c r="E771" t="s">
        <v>137</v>
      </c>
      <c r="F771">
        <v>12</v>
      </c>
      <c r="G771" s="122">
        <v>2556</v>
      </c>
      <c r="H771" s="122">
        <v>2355</v>
      </c>
      <c r="I771" s="122">
        <v>386589</v>
      </c>
      <c r="J771" s="122">
        <v>351444</v>
      </c>
      <c r="K771">
        <v>84</v>
      </c>
      <c r="L771" s="122">
        <v>78526</v>
      </c>
      <c r="M771" s="122">
        <v>69893</v>
      </c>
      <c r="N771" s="122">
        <v>56344</v>
      </c>
      <c r="O771" s="122">
        <v>20868</v>
      </c>
      <c r="P771" s="122">
        <v>7163</v>
      </c>
      <c r="Q771" s="122">
        <v>2653</v>
      </c>
      <c r="R771" s="122">
        <v>50205</v>
      </c>
      <c r="S771" s="122">
        <v>18595</v>
      </c>
      <c r="T771" s="122">
        <v>0</v>
      </c>
      <c r="U771" s="122">
        <v>0</v>
      </c>
      <c r="V771" s="122">
        <v>463453</v>
      </c>
      <c r="W771" s="122">
        <f t="shared" si="22"/>
        <v>463453</v>
      </c>
      <c r="X771" s="122">
        <f t="shared" si="23"/>
        <v>578827</v>
      </c>
      <c r="Y771" s="122"/>
      <c r="AA771" t="s">
        <v>56</v>
      </c>
      <c r="AB771" t="s">
        <v>405</v>
      </c>
      <c r="AC771" t="s">
        <v>428</v>
      </c>
      <c r="AD771" t="s">
        <v>405</v>
      </c>
      <c r="AE771" t="s">
        <v>137</v>
      </c>
      <c r="AF771">
        <v>4</v>
      </c>
      <c r="AG771" s="122">
        <v>601</v>
      </c>
      <c r="AH771" s="122">
        <v>766</v>
      </c>
      <c r="AI771" s="122">
        <v>69784</v>
      </c>
      <c r="AJ771" s="122">
        <v>63440</v>
      </c>
      <c r="AK771">
        <v>79</v>
      </c>
      <c r="AL771" s="122">
        <v>16430</v>
      </c>
      <c r="AM771" s="122">
        <v>14936</v>
      </c>
      <c r="AN771" s="122">
        <v>14564</v>
      </c>
      <c r="AO771" s="122">
        <v>5394</v>
      </c>
      <c r="AP771" s="122">
        <v>1769</v>
      </c>
      <c r="AQ771" s="122">
        <v>655</v>
      </c>
      <c r="AR771" s="122">
        <v>20470</v>
      </c>
      <c r="AS771" s="122">
        <v>18609</v>
      </c>
      <c r="AT771" s="122">
        <v>9939</v>
      </c>
      <c r="AU771" s="122">
        <v>3681</v>
      </c>
      <c r="AV771" s="122">
        <v>106715</v>
      </c>
    </row>
    <row r="772" spans="2:48" hidden="1">
      <c r="B772" t="s">
        <v>367</v>
      </c>
      <c r="C772" t="s">
        <v>56</v>
      </c>
      <c r="D772" t="s">
        <v>407</v>
      </c>
      <c r="E772" t="s">
        <v>406</v>
      </c>
      <c r="F772">
        <v>3</v>
      </c>
      <c r="G772">
        <v>527</v>
      </c>
      <c r="H772">
        <v>593</v>
      </c>
      <c r="I772" s="122">
        <v>61023</v>
      </c>
      <c r="J772" s="122">
        <v>55476</v>
      </c>
      <c r="K772">
        <v>82</v>
      </c>
      <c r="L772" s="122">
        <v>18982</v>
      </c>
      <c r="M772" s="122">
        <v>17257</v>
      </c>
      <c r="N772" s="122">
        <v>12880</v>
      </c>
      <c r="O772" s="122">
        <v>4770</v>
      </c>
      <c r="P772" s="122">
        <v>1418</v>
      </c>
      <c r="Q772">
        <v>525</v>
      </c>
      <c r="R772" s="122">
        <v>14806</v>
      </c>
      <c r="S772" s="122">
        <v>13460</v>
      </c>
      <c r="T772" s="122">
        <v>0</v>
      </c>
      <c r="U772">
        <v>0</v>
      </c>
      <c r="V772" s="122">
        <v>91487</v>
      </c>
      <c r="W772" s="122">
        <f t="shared" si="22"/>
        <v>91488</v>
      </c>
      <c r="X772" s="122">
        <f t="shared" si="23"/>
        <v>109109</v>
      </c>
      <c r="Y772" s="122"/>
      <c r="AA772" t="s">
        <v>56</v>
      </c>
      <c r="AB772" t="s">
        <v>405</v>
      </c>
      <c r="AC772" t="s">
        <v>428</v>
      </c>
      <c r="AD772" t="s">
        <v>405</v>
      </c>
      <c r="AE772" t="s">
        <v>566</v>
      </c>
      <c r="AF772">
        <v>9</v>
      </c>
      <c r="AG772" s="122">
        <v>1245</v>
      </c>
      <c r="AH772" s="122">
        <v>1676</v>
      </c>
      <c r="AI772" s="122">
        <v>133028</v>
      </c>
      <c r="AJ772" s="122">
        <v>120935</v>
      </c>
      <c r="AK772">
        <v>87</v>
      </c>
      <c r="AL772" s="122">
        <v>33666</v>
      </c>
      <c r="AM772" s="122">
        <v>30605</v>
      </c>
      <c r="AN772" s="122">
        <v>29855</v>
      </c>
      <c r="AO772" s="122">
        <v>11058</v>
      </c>
      <c r="AP772" s="122">
        <v>4131</v>
      </c>
      <c r="AQ772" s="122">
        <v>1530</v>
      </c>
      <c r="AR772" s="122">
        <v>52223</v>
      </c>
      <c r="AS772" s="122">
        <v>47475</v>
      </c>
      <c r="AT772">
        <v>0</v>
      </c>
      <c r="AU772">
        <v>0</v>
      </c>
      <c r="AV772" s="122">
        <v>211603</v>
      </c>
    </row>
    <row r="773" spans="2:48" hidden="1">
      <c r="B773" t="s">
        <v>367</v>
      </c>
      <c r="C773" t="s">
        <v>56</v>
      </c>
      <c r="D773" t="s">
        <v>407</v>
      </c>
      <c r="E773" t="s">
        <v>407</v>
      </c>
      <c r="F773" s="122">
        <v>5665</v>
      </c>
      <c r="G773" s="122">
        <v>897163</v>
      </c>
      <c r="H773" s="122">
        <v>1073211</v>
      </c>
      <c r="I773" s="122">
        <v>96228511</v>
      </c>
      <c r="J773" s="122">
        <v>87480465</v>
      </c>
      <c r="K773">
        <v>86</v>
      </c>
      <c r="L773" s="122">
        <v>25825096</v>
      </c>
      <c r="M773" s="122">
        <v>22588753</v>
      </c>
      <c r="N773" s="122">
        <v>18902350</v>
      </c>
      <c r="O773" s="122">
        <v>7000870</v>
      </c>
      <c r="P773" s="122">
        <v>2880035</v>
      </c>
      <c r="Q773" s="122">
        <v>1066680</v>
      </c>
      <c r="R773" s="122">
        <v>29771001</v>
      </c>
      <c r="S773" s="122">
        <v>27064546</v>
      </c>
      <c r="T773" s="122">
        <v>2774431</v>
      </c>
      <c r="U773" s="122">
        <v>1027567</v>
      </c>
      <c r="V773" s="122">
        <v>146228881</v>
      </c>
      <c r="W773" s="122">
        <f t="shared" si="22"/>
        <v>146228881</v>
      </c>
      <c r="X773" s="122">
        <f t="shared" si="23"/>
        <v>176381424</v>
      </c>
      <c r="Y773" s="122"/>
      <c r="AA773" t="s">
        <v>56</v>
      </c>
      <c r="AB773" t="s">
        <v>405</v>
      </c>
      <c r="AC773" t="s">
        <v>428</v>
      </c>
      <c r="AD773" t="s">
        <v>407</v>
      </c>
      <c r="AE773" t="s">
        <v>137</v>
      </c>
      <c r="AF773">
        <v>1</v>
      </c>
      <c r="AG773">
        <v>227</v>
      </c>
      <c r="AH773">
        <v>187</v>
      </c>
      <c r="AI773" s="122">
        <v>22754</v>
      </c>
      <c r="AJ773" s="122">
        <v>20685</v>
      </c>
      <c r="AK773">
        <v>80</v>
      </c>
      <c r="AL773" s="122">
        <v>6388</v>
      </c>
      <c r="AM773" s="122">
        <v>5807</v>
      </c>
      <c r="AN773" s="122">
        <v>5302</v>
      </c>
      <c r="AO773" s="122">
        <v>1964</v>
      </c>
      <c r="AP773">
        <v>473</v>
      </c>
      <c r="AQ773">
        <v>175</v>
      </c>
      <c r="AR773" s="122">
        <v>7522</v>
      </c>
      <c r="AS773" s="122">
        <v>6839</v>
      </c>
      <c r="AT773">
        <v>0</v>
      </c>
      <c r="AU773">
        <v>0</v>
      </c>
      <c r="AV773" s="122">
        <v>35470</v>
      </c>
    </row>
    <row r="774" spans="2:48" hidden="1">
      <c r="B774" t="s">
        <v>367</v>
      </c>
      <c r="C774" t="s">
        <v>56</v>
      </c>
      <c r="D774" t="s">
        <v>407</v>
      </c>
      <c r="E774" t="s">
        <v>426</v>
      </c>
      <c r="F774">
        <v>1</v>
      </c>
      <c r="G774" s="122">
        <v>250</v>
      </c>
      <c r="H774" s="122">
        <v>190</v>
      </c>
      <c r="I774" s="122">
        <v>31465</v>
      </c>
      <c r="J774" s="122">
        <v>28605</v>
      </c>
      <c r="K774">
        <v>78</v>
      </c>
      <c r="L774" s="122">
        <v>9102</v>
      </c>
      <c r="M774" s="122">
        <v>8274</v>
      </c>
      <c r="N774" s="122">
        <v>6336</v>
      </c>
      <c r="O774" s="122">
        <v>2347</v>
      </c>
      <c r="P774" s="122">
        <v>945</v>
      </c>
      <c r="Q774" s="122">
        <v>350</v>
      </c>
      <c r="R774" s="122">
        <v>7144</v>
      </c>
      <c r="S774" s="122">
        <v>6494</v>
      </c>
      <c r="T774" s="122">
        <v>0</v>
      </c>
      <c r="U774" s="122">
        <v>0</v>
      </c>
      <c r="V774" s="122">
        <v>46070</v>
      </c>
      <c r="W774" s="122">
        <f t="shared" si="22"/>
        <v>46070</v>
      </c>
      <c r="X774" s="122">
        <f t="shared" si="23"/>
        <v>54992</v>
      </c>
      <c r="Y774" s="122"/>
      <c r="AA774" t="s">
        <v>56</v>
      </c>
      <c r="AB774" t="s">
        <v>405</v>
      </c>
      <c r="AC774" t="s">
        <v>428</v>
      </c>
      <c r="AD774" t="s">
        <v>407</v>
      </c>
      <c r="AE774" t="s">
        <v>566</v>
      </c>
      <c r="AF774">
        <v>1</v>
      </c>
      <c r="AG774">
        <v>151</v>
      </c>
      <c r="AH774">
        <v>187</v>
      </c>
      <c r="AI774" s="122">
        <v>24185</v>
      </c>
      <c r="AJ774" s="122">
        <v>21986</v>
      </c>
      <c r="AK774">
        <v>65</v>
      </c>
      <c r="AL774" s="122">
        <v>2768</v>
      </c>
      <c r="AM774" s="122">
        <v>2516</v>
      </c>
      <c r="AN774" s="122">
        <v>5021</v>
      </c>
      <c r="AO774" s="122">
        <v>1860</v>
      </c>
      <c r="AP774">
        <v>473</v>
      </c>
      <c r="AQ774">
        <v>175</v>
      </c>
      <c r="AR774" s="122">
        <v>8470</v>
      </c>
      <c r="AS774" s="122">
        <v>7700</v>
      </c>
      <c r="AT774">
        <v>0</v>
      </c>
      <c r="AU774">
        <v>0</v>
      </c>
      <c r="AV774" s="122">
        <v>34237</v>
      </c>
    </row>
    <row r="775" spans="2:48" hidden="1">
      <c r="B775" t="s">
        <v>367</v>
      </c>
      <c r="C775" t="s">
        <v>56</v>
      </c>
      <c r="D775" t="s">
        <v>556</v>
      </c>
      <c r="E775" t="s">
        <v>556</v>
      </c>
      <c r="F775">
        <v>2</v>
      </c>
      <c r="G775" s="122">
        <v>1002</v>
      </c>
      <c r="H775" s="122">
        <v>381</v>
      </c>
      <c r="I775" s="122">
        <v>149338</v>
      </c>
      <c r="J775" s="122">
        <v>124448</v>
      </c>
      <c r="K775">
        <v>70</v>
      </c>
      <c r="L775" s="122">
        <v>13747</v>
      </c>
      <c r="M775" s="122">
        <v>12497</v>
      </c>
      <c r="N775" s="122">
        <v>20740</v>
      </c>
      <c r="O775" s="122">
        <v>7681</v>
      </c>
      <c r="P775" s="122">
        <v>1323</v>
      </c>
      <c r="Q775" s="122">
        <v>490</v>
      </c>
      <c r="R775" s="122">
        <v>17594</v>
      </c>
      <c r="S775" s="122">
        <v>14662</v>
      </c>
      <c r="T775" s="122">
        <v>3805</v>
      </c>
      <c r="U775" s="122">
        <v>1409</v>
      </c>
      <c r="V775" s="122">
        <v>161188</v>
      </c>
      <c r="W775" s="122">
        <f t="shared" ref="W775:W838" si="24">SUM(ABS(J775),ABS(M775),ABS(O775),ABS(Q775),ABS(S775),ABS(U775))</f>
        <v>161187</v>
      </c>
      <c r="X775" s="122">
        <f t="shared" ref="X775:X838" si="25">SUM(ABS(I775),ABS(N775),ABS(P775),ABS(R775),ABS(T775),ABS(L775))</f>
        <v>206547</v>
      </c>
      <c r="Y775" s="122"/>
      <c r="AA775" t="s">
        <v>56</v>
      </c>
      <c r="AB775" t="s">
        <v>405</v>
      </c>
      <c r="AC775" t="s">
        <v>431</v>
      </c>
      <c r="AD775" t="s">
        <v>425</v>
      </c>
      <c r="AE775" t="s">
        <v>137</v>
      </c>
      <c r="AF775">
        <v>1</v>
      </c>
      <c r="AG775">
        <v>105</v>
      </c>
      <c r="AH775" s="122">
        <v>180</v>
      </c>
      <c r="AI775" s="122">
        <v>18685</v>
      </c>
      <c r="AJ775" s="122">
        <v>16987</v>
      </c>
      <c r="AK775">
        <v>74</v>
      </c>
      <c r="AL775" s="122">
        <v>2258</v>
      </c>
      <c r="AM775" s="122">
        <v>2053</v>
      </c>
      <c r="AN775" s="122">
        <v>3099</v>
      </c>
      <c r="AO775" s="122">
        <v>1148</v>
      </c>
      <c r="AP775" s="122">
        <v>824</v>
      </c>
      <c r="AQ775" s="122">
        <v>305</v>
      </c>
      <c r="AR775" s="122">
        <v>8004</v>
      </c>
      <c r="AS775" s="122">
        <v>7276</v>
      </c>
      <c r="AT775">
        <v>0</v>
      </c>
      <c r="AU775">
        <v>0</v>
      </c>
      <c r="AV775" s="122">
        <v>27769</v>
      </c>
    </row>
    <row r="776" spans="2:48" hidden="1">
      <c r="B776" t="s">
        <v>367</v>
      </c>
      <c r="C776" t="s">
        <v>56</v>
      </c>
      <c r="D776" t="s">
        <v>426</v>
      </c>
      <c r="E776" t="s">
        <v>406</v>
      </c>
      <c r="F776">
        <v>1</v>
      </c>
      <c r="G776" s="122">
        <v>156</v>
      </c>
      <c r="H776" s="122">
        <v>220</v>
      </c>
      <c r="I776" s="122">
        <v>25763</v>
      </c>
      <c r="J776" s="122">
        <v>23421</v>
      </c>
      <c r="K776">
        <v>79</v>
      </c>
      <c r="L776" s="122">
        <v>11857</v>
      </c>
      <c r="M776" s="122">
        <v>4391</v>
      </c>
      <c r="N776" s="122">
        <v>5425</v>
      </c>
      <c r="O776" s="122">
        <v>2009</v>
      </c>
      <c r="P776" s="122">
        <v>621</v>
      </c>
      <c r="Q776" s="122">
        <v>230</v>
      </c>
      <c r="R776" s="122">
        <v>5996</v>
      </c>
      <c r="S776" s="122">
        <v>5451</v>
      </c>
      <c r="T776" s="122">
        <v>4353</v>
      </c>
      <c r="U776" s="122">
        <v>1612</v>
      </c>
      <c r="V776" s="122">
        <v>37114</v>
      </c>
      <c r="W776" s="122">
        <f t="shared" si="24"/>
        <v>37114</v>
      </c>
      <c r="X776" s="122">
        <f t="shared" si="25"/>
        <v>54015</v>
      </c>
      <c r="Y776" s="122"/>
      <c r="AA776" t="s">
        <v>56</v>
      </c>
      <c r="AB776" t="s">
        <v>405</v>
      </c>
      <c r="AC776" t="s">
        <v>431</v>
      </c>
      <c r="AD776" t="s">
        <v>405</v>
      </c>
      <c r="AE776" t="s">
        <v>137</v>
      </c>
      <c r="AF776">
        <v>6</v>
      </c>
      <c r="AG776" s="122">
        <v>966</v>
      </c>
      <c r="AH776" s="122">
        <v>1098</v>
      </c>
      <c r="AI776" s="122">
        <v>102525</v>
      </c>
      <c r="AJ776" s="122">
        <v>93204</v>
      </c>
      <c r="AK776">
        <v>89</v>
      </c>
      <c r="AL776" s="122">
        <v>26588</v>
      </c>
      <c r="AM776" s="122">
        <v>24171</v>
      </c>
      <c r="AN776" s="122">
        <v>16756</v>
      </c>
      <c r="AO776" s="122">
        <v>6206</v>
      </c>
      <c r="AP776" s="122">
        <v>2714</v>
      </c>
      <c r="AQ776" s="122">
        <v>1005</v>
      </c>
      <c r="AR776" s="122">
        <v>27991</v>
      </c>
      <c r="AS776" s="122">
        <v>25446</v>
      </c>
      <c r="AT776">
        <v>856</v>
      </c>
      <c r="AU776">
        <v>317</v>
      </c>
      <c r="AV776" s="122">
        <v>150349</v>
      </c>
    </row>
    <row r="777" spans="2:48" hidden="1">
      <c r="B777" t="s">
        <v>367</v>
      </c>
      <c r="C777" t="s">
        <v>56</v>
      </c>
      <c r="D777" t="s">
        <v>426</v>
      </c>
      <c r="E777" t="s">
        <v>407</v>
      </c>
      <c r="F777">
        <v>1</v>
      </c>
      <c r="G777" s="122">
        <v>157</v>
      </c>
      <c r="H777" s="122">
        <v>212</v>
      </c>
      <c r="I777" s="122">
        <v>21491</v>
      </c>
      <c r="J777" s="122">
        <v>19538</v>
      </c>
      <c r="K777">
        <v>60</v>
      </c>
      <c r="L777" s="122">
        <v>1734</v>
      </c>
      <c r="M777" s="122">
        <v>1576</v>
      </c>
      <c r="N777" s="122">
        <v>2434</v>
      </c>
      <c r="O777" s="122">
        <v>901</v>
      </c>
      <c r="P777" s="122">
        <v>473</v>
      </c>
      <c r="Q777" s="122">
        <v>175</v>
      </c>
      <c r="R777" s="122">
        <v>4040</v>
      </c>
      <c r="S777" s="122">
        <v>3673</v>
      </c>
      <c r="T777" s="122">
        <v>3099</v>
      </c>
      <c r="U777" s="122">
        <v>1148</v>
      </c>
      <c r="V777" s="122">
        <v>27011</v>
      </c>
      <c r="W777" s="122">
        <f t="shared" si="24"/>
        <v>27011</v>
      </c>
      <c r="X777" s="122">
        <f t="shared" si="25"/>
        <v>33271</v>
      </c>
      <c r="Y777" s="122"/>
      <c r="AA777" t="s">
        <v>56</v>
      </c>
      <c r="AB777" t="s">
        <v>405</v>
      </c>
      <c r="AC777" t="s">
        <v>431</v>
      </c>
      <c r="AD777" t="s">
        <v>405</v>
      </c>
      <c r="AE777" t="s">
        <v>566</v>
      </c>
      <c r="AF777">
        <v>7</v>
      </c>
      <c r="AG777" s="122">
        <v>1130</v>
      </c>
      <c r="AH777" s="122">
        <v>1281</v>
      </c>
      <c r="AI777" s="122">
        <v>119772</v>
      </c>
      <c r="AJ777" s="122">
        <v>108883</v>
      </c>
      <c r="AK777">
        <v>85</v>
      </c>
      <c r="AL777" s="122">
        <v>28284</v>
      </c>
      <c r="AM777" s="122">
        <v>25713</v>
      </c>
      <c r="AN777" s="122">
        <v>27461</v>
      </c>
      <c r="AO777" s="122">
        <v>10171</v>
      </c>
      <c r="AP777" s="122">
        <v>3186</v>
      </c>
      <c r="AQ777" s="122">
        <v>1180</v>
      </c>
      <c r="AR777" s="122">
        <v>37250</v>
      </c>
      <c r="AS777" s="122">
        <v>33863</v>
      </c>
      <c r="AT777">
        <v>0</v>
      </c>
      <c r="AU777">
        <v>0</v>
      </c>
      <c r="AV777" s="122">
        <v>179811</v>
      </c>
    </row>
    <row r="778" spans="2:48" hidden="1">
      <c r="B778" t="s">
        <v>367</v>
      </c>
      <c r="C778" t="s">
        <v>56</v>
      </c>
      <c r="D778" t="s">
        <v>408</v>
      </c>
      <c r="E778" t="s">
        <v>408</v>
      </c>
      <c r="F778">
        <v>6</v>
      </c>
      <c r="G778" s="122">
        <v>1324</v>
      </c>
      <c r="H778" s="122">
        <v>1081</v>
      </c>
      <c r="I778" s="122">
        <v>143875</v>
      </c>
      <c r="J778" s="122">
        <v>130795</v>
      </c>
      <c r="K778">
        <v>75</v>
      </c>
      <c r="L778" s="122">
        <v>29530</v>
      </c>
      <c r="M778" s="122">
        <v>25532</v>
      </c>
      <c r="N778" s="122">
        <v>28990</v>
      </c>
      <c r="O778" s="122">
        <v>10737</v>
      </c>
      <c r="P778" s="122">
        <v>5009</v>
      </c>
      <c r="Q778" s="122">
        <v>1855</v>
      </c>
      <c r="R778" s="122">
        <v>37450</v>
      </c>
      <c r="S778" s="122">
        <v>34046</v>
      </c>
      <c r="T778" s="122">
        <v>2831</v>
      </c>
      <c r="U778" s="122">
        <v>1048</v>
      </c>
      <c r="V778" s="122">
        <v>204014</v>
      </c>
      <c r="W778" s="122">
        <f t="shared" si="24"/>
        <v>204013</v>
      </c>
      <c r="X778" s="122">
        <f t="shared" si="25"/>
        <v>247685</v>
      </c>
      <c r="Y778" s="122"/>
      <c r="AA778" t="s">
        <v>56</v>
      </c>
      <c r="AB778" t="s">
        <v>405</v>
      </c>
      <c r="AC778" t="s">
        <v>431</v>
      </c>
      <c r="AD778" t="s">
        <v>407</v>
      </c>
      <c r="AE778" t="s">
        <v>566</v>
      </c>
      <c r="AF778">
        <v>1</v>
      </c>
      <c r="AG778">
        <v>159</v>
      </c>
      <c r="AH778">
        <v>198</v>
      </c>
      <c r="AI778" s="122">
        <v>19819</v>
      </c>
      <c r="AJ778" s="122">
        <v>18017</v>
      </c>
      <c r="AK778">
        <v>86</v>
      </c>
      <c r="AL778" s="122">
        <v>2775</v>
      </c>
      <c r="AM778" s="122">
        <v>2522</v>
      </c>
      <c r="AN778" s="122">
        <v>2897</v>
      </c>
      <c r="AO778" s="122">
        <v>1073</v>
      </c>
      <c r="AP778">
        <v>351</v>
      </c>
      <c r="AQ778">
        <v>130</v>
      </c>
      <c r="AR778" s="122">
        <v>5510</v>
      </c>
      <c r="AS778" s="122">
        <v>5009</v>
      </c>
      <c r="AT778" s="122">
        <v>0</v>
      </c>
      <c r="AU778" s="122">
        <v>0</v>
      </c>
      <c r="AV778" s="122">
        <v>26752</v>
      </c>
    </row>
    <row r="779" spans="2:48" hidden="1">
      <c r="B779" t="s">
        <v>367</v>
      </c>
      <c r="C779" t="s">
        <v>56</v>
      </c>
      <c r="D779" t="s">
        <v>429</v>
      </c>
      <c r="E779" t="s">
        <v>429</v>
      </c>
      <c r="F779">
        <v>2</v>
      </c>
      <c r="G779" s="122">
        <v>474</v>
      </c>
      <c r="H779" s="122">
        <v>419</v>
      </c>
      <c r="I779" s="122">
        <v>60120</v>
      </c>
      <c r="J779" s="122">
        <v>54654</v>
      </c>
      <c r="K779">
        <v>65</v>
      </c>
      <c r="L779" s="122">
        <v>9456</v>
      </c>
      <c r="M779" s="122">
        <v>7880</v>
      </c>
      <c r="N779" s="122">
        <v>9964</v>
      </c>
      <c r="O779" s="122">
        <v>3691</v>
      </c>
      <c r="P779" s="122">
        <v>1053</v>
      </c>
      <c r="Q779" s="122">
        <v>390</v>
      </c>
      <c r="R779" s="122">
        <v>15795</v>
      </c>
      <c r="S779" s="122">
        <v>14359</v>
      </c>
      <c r="T779" s="122">
        <v>0</v>
      </c>
      <c r="U779" s="122">
        <v>0</v>
      </c>
      <c r="V779" s="122">
        <v>80974</v>
      </c>
      <c r="W779" s="122">
        <f t="shared" si="24"/>
        <v>80974</v>
      </c>
      <c r="X779" s="122">
        <f t="shared" si="25"/>
        <v>96388</v>
      </c>
      <c r="Y779" s="122"/>
      <c r="AA779" t="s">
        <v>56</v>
      </c>
      <c r="AB779" t="s">
        <v>405</v>
      </c>
      <c r="AC779" t="s">
        <v>426</v>
      </c>
      <c r="AD779" t="s">
        <v>425</v>
      </c>
      <c r="AE779" t="s">
        <v>137</v>
      </c>
      <c r="AF779">
        <v>2</v>
      </c>
      <c r="AG779" s="122">
        <v>333</v>
      </c>
      <c r="AH779" s="122">
        <v>400</v>
      </c>
      <c r="AI779" s="122">
        <v>35504</v>
      </c>
      <c r="AJ779" s="122">
        <v>32276</v>
      </c>
      <c r="AK779">
        <v>77</v>
      </c>
      <c r="AL779" s="122">
        <v>9586</v>
      </c>
      <c r="AM779" s="122">
        <v>8715</v>
      </c>
      <c r="AN779" s="122">
        <v>5880</v>
      </c>
      <c r="AO779" s="122">
        <v>2178</v>
      </c>
      <c r="AP779" s="122">
        <v>945</v>
      </c>
      <c r="AQ779" s="122">
        <v>350</v>
      </c>
      <c r="AR779" s="122">
        <v>12193</v>
      </c>
      <c r="AS779" s="122">
        <v>11085</v>
      </c>
      <c r="AT779" s="122">
        <v>4282</v>
      </c>
      <c r="AU779" s="122">
        <v>1586</v>
      </c>
      <c r="AV779" s="122">
        <v>56189</v>
      </c>
    </row>
    <row r="780" spans="2:48" hidden="1">
      <c r="B780" t="s">
        <v>367</v>
      </c>
      <c r="C780" t="s">
        <v>58</v>
      </c>
      <c r="F780">
        <v>3</v>
      </c>
      <c r="G780">
        <v>603</v>
      </c>
      <c r="H780">
        <v>810</v>
      </c>
      <c r="I780" s="122"/>
      <c r="J780" s="122">
        <v>0</v>
      </c>
      <c r="L780" s="122"/>
      <c r="M780" s="122">
        <v>0</v>
      </c>
      <c r="N780" s="122">
        <v>13233</v>
      </c>
      <c r="O780" s="122">
        <v>4901</v>
      </c>
      <c r="P780" s="122">
        <v>1323</v>
      </c>
      <c r="Q780" s="122">
        <v>490</v>
      </c>
      <c r="R780" s="122"/>
      <c r="S780" s="122">
        <v>0</v>
      </c>
      <c r="T780" s="122">
        <v>2849</v>
      </c>
      <c r="U780" s="122">
        <v>1055</v>
      </c>
      <c r="V780" s="122">
        <v>6446</v>
      </c>
      <c r="W780" s="122">
        <f t="shared" si="24"/>
        <v>6446</v>
      </c>
      <c r="X780" s="122">
        <f t="shared" si="25"/>
        <v>17405</v>
      </c>
      <c r="Y780" s="122"/>
      <c r="AA780" t="s">
        <v>56</v>
      </c>
      <c r="AB780" t="s">
        <v>405</v>
      </c>
      <c r="AC780" t="s">
        <v>426</v>
      </c>
      <c r="AD780" t="s">
        <v>425</v>
      </c>
      <c r="AE780" t="s">
        <v>566</v>
      </c>
      <c r="AF780">
        <v>12</v>
      </c>
      <c r="AG780" s="122">
        <v>1918</v>
      </c>
      <c r="AH780" s="122">
        <v>2164</v>
      </c>
      <c r="AI780" s="122">
        <v>203509</v>
      </c>
      <c r="AJ780" s="122">
        <v>185008</v>
      </c>
      <c r="AK780">
        <v>87</v>
      </c>
      <c r="AL780" s="122">
        <v>38674</v>
      </c>
      <c r="AM780" s="122">
        <v>35158</v>
      </c>
      <c r="AN780" s="122">
        <v>34677</v>
      </c>
      <c r="AO780" s="122">
        <v>12843</v>
      </c>
      <c r="AP780" s="122">
        <v>5846</v>
      </c>
      <c r="AQ780" s="122">
        <v>2165</v>
      </c>
      <c r="AR780" s="122">
        <v>66637</v>
      </c>
      <c r="AS780" s="122">
        <v>60579</v>
      </c>
      <c r="AT780" s="122">
        <v>0</v>
      </c>
      <c r="AU780" s="122">
        <v>0</v>
      </c>
      <c r="AV780" s="122">
        <v>295754</v>
      </c>
    </row>
    <row r="781" spans="2:48" hidden="1">
      <c r="B781" t="s">
        <v>367</v>
      </c>
      <c r="C781" t="s">
        <v>58</v>
      </c>
      <c r="D781" t="s">
        <v>425</v>
      </c>
      <c r="E781" t="s">
        <v>425</v>
      </c>
      <c r="F781">
        <v>3</v>
      </c>
      <c r="G781" s="122">
        <v>963</v>
      </c>
      <c r="H781" s="122">
        <v>804</v>
      </c>
      <c r="I781" s="122">
        <v>164783</v>
      </c>
      <c r="J781" s="122">
        <v>149803</v>
      </c>
      <c r="K781">
        <v>80</v>
      </c>
      <c r="L781" s="122">
        <v>55529</v>
      </c>
      <c r="M781" s="122">
        <v>50481</v>
      </c>
      <c r="N781" s="122">
        <v>20669</v>
      </c>
      <c r="O781" s="122">
        <v>7655</v>
      </c>
      <c r="P781" s="122">
        <v>3173</v>
      </c>
      <c r="Q781" s="122">
        <v>1175</v>
      </c>
      <c r="R781" s="122">
        <v>23712</v>
      </c>
      <c r="S781" s="122">
        <v>21556</v>
      </c>
      <c r="T781">
        <v>0</v>
      </c>
      <c r="U781">
        <v>0</v>
      </c>
      <c r="V781" s="122">
        <v>230670</v>
      </c>
      <c r="W781" s="122">
        <f t="shared" si="24"/>
        <v>230670</v>
      </c>
      <c r="X781" s="122">
        <f t="shared" si="25"/>
        <v>267866</v>
      </c>
      <c r="Y781" s="122"/>
      <c r="AA781" t="s">
        <v>56</v>
      </c>
      <c r="AB781" t="s">
        <v>405</v>
      </c>
      <c r="AC781" t="s">
        <v>426</v>
      </c>
      <c r="AD781" t="s">
        <v>405</v>
      </c>
      <c r="AE781" t="s">
        <v>137</v>
      </c>
      <c r="AF781" s="122">
        <v>387</v>
      </c>
      <c r="AG781" s="122">
        <v>59107</v>
      </c>
      <c r="AH781" s="122">
        <v>74830</v>
      </c>
      <c r="AI781" s="122">
        <v>6635317</v>
      </c>
      <c r="AJ781" s="122">
        <v>6032106</v>
      </c>
      <c r="AK781">
        <v>84</v>
      </c>
      <c r="AL781" s="122">
        <v>1425688</v>
      </c>
      <c r="AM781" s="122">
        <v>1296080</v>
      </c>
      <c r="AN781" s="122">
        <v>1228382</v>
      </c>
      <c r="AO781" s="122">
        <v>454956</v>
      </c>
      <c r="AP781" s="122">
        <v>201157</v>
      </c>
      <c r="AQ781" s="122">
        <v>74503</v>
      </c>
      <c r="AR781" s="122">
        <v>1788410</v>
      </c>
      <c r="AS781" s="122">
        <v>1625828</v>
      </c>
      <c r="AT781" s="122">
        <v>700955</v>
      </c>
      <c r="AU781" s="122">
        <v>259613</v>
      </c>
      <c r="AV781" s="122">
        <v>9743085</v>
      </c>
    </row>
    <row r="782" spans="2:48" hidden="1">
      <c r="B782" t="s">
        <v>367</v>
      </c>
      <c r="C782" t="s">
        <v>58</v>
      </c>
      <c r="D782" t="s">
        <v>405</v>
      </c>
      <c r="E782" t="s">
        <v>425</v>
      </c>
      <c r="F782">
        <v>1</v>
      </c>
      <c r="G782" s="122">
        <v>132</v>
      </c>
      <c r="H782">
        <v>267</v>
      </c>
      <c r="I782" s="122">
        <v>19866</v>
      </c>
      <c r="J782" s="122">
        <v>18060</v>
      </c>
      <c r="K782">
        <v>78</v>
      </c>
      <c r="L782" s="122">
        <v>5459</v>
      </c>
      <c r="M782" s="122">
        <v>4963</v>
      </c>
      <c r="N782" s="122">
        <v>2896</v>
      </c>
      <c r="O782" s="122">
        <v>1073</v>
      </c>
      <c r="P782" s="122">
        <v>473</v>
      </c>
      <c r="Q782" s="122">
        <v>175</v>
      </c>
      <c r="R782" s="122">
        <v>3747</v>
      </c>
      <c r="S782" s="122">
        <v>3406</v>
      </c>
      <c r="T782" s="122">
        <v>2817</v>
      </c>
      <c r="U782" s="122">
        <v>1043</v>
      </c>
      <c r="V782" s="122">
        <v>28721</v>
      </c>
      <c r="W782" s="122">
        <f t="shared" si="24"/>
        <v>28720</v>
      </c>
      <c r="X782" s="122">
        <f t="shared" si="25"/>
        <v>35258</v>
      </c>
      <c r="Y782" s="122"/>
      <c r="AA782" t="s">
        <v>56</v>
      </c>
      <c r="AB782" t="s">
        <v>405</v>
      </c>
      <c r="AC782" t="s">
        <v>426</v>
      </c>
      <c r="AD782" t="s">
        <v>405</v>
      </c>
      <c r="AE782" t="s">
        <v>566</v>
      </c>
      <c r="AF782" s="122">
        <v>1009</v>
      </c>
      <c r="AG782" s="122">
        <v>161575</v>
      </c>
      <c r="AH782" s="122">
        <v>186389</v>
      </c>
      <c r="AI782" s="122">
        <v>17738830</v>
      </c>
      <c r="AJ782" s="122">
        <v>16126209</v>
      </c>
      <c r="AK782">
        <v>87</v>
      </c>
      <c r="AL782" s="122">
        <v>4067524</v>
      </c>
      <c r="AM782" s="122">
        <v>3697749</v>
      </c>
      <c r="AN782" s="122">
        <v>3361753</v>
      </c>
      <c r="AO782" s="122">
        <v>1245094</v>
      </c>
      <c r="AP782" s="122">
        <v>554907</v>
      </c>
      <c r="AQ782" s="122">
        <v>205521</v>
      </c>
      <c r="AR782" s="122">
        <v>5393104</v>
      </c>
      <c r="AS782" s="122">
        <v>4902822</v>
      </c>
      <c r="AT782">
        <v>0</v>
      </c>
      <c r="AU782">
        <v>0</v>
      </c>
      <c r="AV782" s="122">
        <v>26177395</v>
      </c>
    </row>
    <row r="783" spans="2:48" hidden="1">
      <c r="B783" t="s">
        <v>367</v>
      </c>
      <c r="C783" t="s">
        <v>58</v>
      </c>
      <c r="D783" t="s">
        <v>405</v>
      </c>
      <c r="E783" t="s">
        <v>405</v>
      </c>
      <c r="F783">
        <v>10</v>
      </c>
      <c r="G783" s="122">
        <v>1548</v>
      </c>
      <c r="H783" s="122">
        <v>2553</v>
      </c>
      <c r="I783" s="122">
        <v>241468</v>
      </c>
      <c r="J783" s="122">
        <v>219517</v>
      </c>
      <c r="K783">
        <v>80</v>
      </c>
      <c r="L783" s="122">
        <v>48156</v>
      </c>
      <c r="M783" s="122">
        <v>42415</v>
      </c>
      <c r="N783" s="122">
        <v>33981</v>
      </c>
      <c r="O783" s="122">
        <v>12585</v>
      </c>
      <c r="P783" s="122">
        <v>4752</v>
      </c>
      <c r="Q783" s="122">
        <v>1760</v>
      </c>
      <c r="R783" s="122">
        <v>47753</v>
      </c>
      <c r="S783" s="122">
        <v>43412</v>
      </c>
      <c r="T783" s="122">
        <v>16736</v>
      </c>
      <c r="U783" s="122">
        <v>6199</v>
      </c>
      <c r="V783" s="122">
        <v>325887</v>
      </c>
      <c r="W783" s="122">
        <f t="shared" si="24"/>
        <v>325888</v>
      </c>
      <c r="X783" s="122">
        <f t="shared" si="25"/>
        <v>392846</v>
      </c>
      <c r="Y783" s="122"/>
      <c r="AA783" t="s">
        <v>56</v>
      </c>
      <c r="AB783" t="s">
        <v>405</v>
      </c>
      <c r="AC783" t="s">
        <v>426</v>
      </c>
      <c r="AD783" t="s">
        <v>137</v>
      </c>
      <c r="AE783" t="s">
        <v>566</v>
      </c>
      <c r="AF783">
        <v>10</v>
      </c>
      <c r="AG783" s="122">
        <v>1783</v>
      </c>
      <c r="AH783" s="122">
        <v>1840</v>
      </c>
      <c r="AI783" s="122">
        <v>186169</v>
      </c>
      <c r="AJ783" s="122">
        <v>169244</v>
      </c>
      <c r="AK783">
        <v>89</v>
      </c>
      <c r="AL783" s="122">
        <v>46773</v>
      </c>
      <c r="AM783" s="122">
        <v>42521</v>
      </c>
      <c r="AN783" s="122">
        <v>39494</v>
      </c>
      <c r="AO783" s="122">
        <v>14627</v>
      </c>
      <c r="AP783" s="122">
        <v>6567</v>
      </c>
      <c r="AQ783" s="122">
        <v>2432</v>
      </c>
      <c r="AR783" s="122">
        <v>74116</v>
      </c>
      <c r="AS783" s="122">
        <v>27450</v>
      </c>
      <c r="AT783">
        <v>0</v>
      </c>
      <c r="AU783">
        <v>0</v>
      </c>
      <c r="AV783" s="122">
        <v>256275</v>
      </c>
    </row>
    <row r="784" spans="2:48" hidden="1">
      <c r="B784" t="s">
        <v>367</v>
      </c>
      <c r="C784" t="s">
        <v>58</v>
      </c>
      <c r="D784" t="s">
        <v>137</v>
      </c>
      <c r="E784" t="s">
        <v>137</v>
      </c>
      <c r="F784">
        <v>40</v>
      </c>
      <c r="G784" s="122">
        <v>6832</v>
      </c>
      <c r="H784" s="122">
        <v>10840</v>
      </c>
      <c r="I784" s="122">
        <v>1295864</v>
      </c>
      <c r="J784" s="122">
        <v>479950</v>
      </c>
      <c r="K784">
        <v>108</v>
      </c>
      <c r="L784" s="122">
        <v>187239</v>
      </c>
      <c r="M784" s="122">
        <v>138766</v>
      </c>
      <c r="N784" s="122">
        <v>168210</v>
      </c>
      <c r="O784" s="122">
        <v>62300</v>
      </c>
      <c r="P784" s="122">
        <v>3230</v>
      </c>
      <c r="Q784" s="122">
        <v>1196</v>
      </c>
      <c r="R784" s="122">
        <v>328249</v>
      </c>
      <c r="S784" s="122">
        <v>121574</v>
      </c>
      <c r="T784" s="122">
        <v>2488</v>
      </c>
      <c r="U784">
        <v>921</v>
      </c>
      <c r="V784" s="122">
        <v>804707</v>
      </c>
      <c r="W784" s="122">
        <f t="shared" si="24"/>
        <v>804707</v>
      </c>
      <c r="X784" s="122">
        <f t="shared" si="25"/>
        <v>1985280</v>
      </c>
      <c r="Y784" s="122"/>
      <c r="AA784" t="s">
        <v>56</v>
      </c>
      <c r="AB784" t="s">
        <v>405</v>
      </c>
      <c r="AC784" t="s">
        <v>426</v>
      </c>
      <c r="AD784" t="s">
        <v>406</v>
      </c>
      <c r="AE784" t="s">
        <v>566</v>
      </c>
      <c r="AF784">
        <v>1</v>
      </c>
      <c r="AG784">
        <v>153</v>
      </c>
      <c r="AH784">
        <v>182</v>
      </c>
      <c r="AI784" s="122">
        <v>13525</v>
      </c>
      <c r="AJ784" s="122">
        <v>12295</v>
      </c>
      <c r="AK784">
        <v>79</v>
      </c>
      <c r="AL784" s="122">
        <v>3757</v>
      </c>
      <c r="AM784" s="122">
        <v>3415</v>
      </c>
      <c r="AN784" s="122">
        <v>3201</v>
      </c>
      <c r="AO784" s="122">
        <v>1186</v>
      </c>
      <c r="AP784" s="122">
        <v>473</v>
      </c>
      <c r="AQ784">
        <v>175</v>
      </c>
      <c r="AR784" s="122">
        <v>6805</v>
      </c>
      <c r="AS784" s="122">
        <v>6186</v>
      </c>
      <c r="AT784">
        <v>0</v>
      </c>
      <c r="AU784">
        <v>0</v>
      </c>
      <c r="AV784" s="122">
        <v>23258</v>
      </c>
    </row>
    <row r="785" spans="2:48" hidden="1">
      <c r="B785" t="s">
        <v>367</v>
      </c>
      <c r="C785" t="s">
        <v>58</v>
      </c>
      <c r="D785" t="s">
        <v>137</v>
      </c>
      <c r="E785" t="s">
        <v>406</v>
      </c>
      <c r="F785">
        <v>1</v>
      </c>
      <c r="G785" s="122">
        <v>289</v>
      </c>
      <c r="H785" s="122">
        <v>257</v>
      </c>
      <c r="I785" s="122">
        <v>53738</v>
      </c>
      <c r="J785" s="122">
        <v>19903</v>
      </c>
      <c r="K785">
        <v>100</v>
      </c>
      <c r="L785" s="122">
        <v>3475</v>
      </c>
      <c r="M785" s="122">
        <v>3159</v>
      </c>
      <c r="N785" s="122">
        <v>7052</v>
      </c>
      <c r="O785" s="122">
        <v>2612</v>
      </c>
      <c r="P785" s="122">
        <v>621</v>
      </c>
      <c r="Q785" s="122">
        <v>230</v>
      </c>
      <c r="R785" s="122">
        <v>5723</v>
      </c>
      <c r="S785" s="122">
        <v>5203</v>
      </c>
      <c r="T785" s="122">
        <v>3756</v>
      </c>
      <c r="U785" s="122">
        <v>1391</v>
      </c>
      <c r="V785" s="122">
        <v>32497</v>
      </c>
      <c r="W785" s="122">
        <f t="shared" si="24"/>
        <v>32498</v>
      </c>
      <c r="X785" s="122">
        <f t="shared" si="25"/>
        <v>74365</v>
      </c>
      <c r="Y785" s="122"/>
      <c r="AA785" t="s">
        <v>56</v>
      </c>
      <c r="AB785" t="s">
        <v>405</v>
      </c>
      <c r="AC785" t="s">
        <v>426</v>
      </c>
      <c r="AD785" t="s">
        <v>407</v>
      </c>
      <c r="AE785" t="s">
        <v>566</v>
      </c>
      <c r="AF785">
        <v>3</v>
      </c>
      <c r="AG785">
        <v>653</v>
      </c>
      <c r="AH785">
        <v>543</v>
      </c>
      <c r="AI785" s="122">
        <v>63993</v>
      </c>
      <c r="AJ785" s="122">
        <v>58176</v>
      </c>
      <c r="AK785">
        <v>90</v>
      </c>
      <c r="AL785" s="122">
        <v>20568</v>
      </c>
      <c r="AM785" s="122">
        <v>18698</v>
      </c>
      <c r="AN785" s="122">
        <v>13960</v>
      </c>
      <c r="AO785" s="122">
        <v>5170</v>
      </c>
      <c r="AP785" s="122">
        <v>1566</v>
      </c>
      <c r="AQ785">
        <v>580</v>
      </c>
      <c r="AR785" s="122">
        <v>15784</v>
      </c>
      <c r="AS785" s="122">
        <v>14349</v>
      </c>
      <c r="AT785" s="122">
        <v>0</v>
      </c>
      <c r="AU785" s="122">
        <v>0</v>
      </c>
      <c r="AV785" s="122">
        <v>96974</v>
      </c>
    </row>
    <row r="786" spans="2:48" hidden="1">
      <c r="B786" t="s">
        <v>367</v>
      </c>
      <c r="C786" t="s">
        <v>58</v>
      </c>
      <c r="D786" t="s">
        <v>406</v>
      </c>
      <c r="E786" t="s">
        <v>425</v>
      </c>
      <c r="F786">
        <v>2</v>
      </c>
      <c r="G786" s="122">
        <v>386</v>
      </c>
      <c r="H786" s="122">
        <v>558</v>
      </c>
      <c r="I786" s="122">
        <v>64531</v>
      </c>
      <c r="J786" s="122">
        <v>58664</v>
      </c>
      <c r="K786">
        <v>78</v>
      </c>
      <c r="L786" s="122">
        <v>18833</v>
      </c>
      <c r="M786" s="122">
        <v>16234</v>
      </c>
      <c r="N786" s="122">
        <v>5557</v>
      </c>
      <c r="O786" s="122">
        <v>2058</v>
      </c>
      <c r="P786" s="122">
        <v>1242</v>
      </c>
      <c r="Q786" s="122">
        <v>460</v>
      </c>
      <c r="R786" s="122">
        <v>11811</v>
      </c>
      <c r="S786" s="122">
        <v>10737</v>
      </c>
      <c r="T786" s="122">
        <v>4087</v>
      </c>
      <c r="U786" s="122">
        <v>1514</v>
      </c>
      <c r="V786" s="122">
        <v>89668</v>
      </c>
      <c r="W786" s="122">
        <f t="shared" si="24"/>
        <v>89667</v>
      </c>
      <c r="X786" s="122">
        <f t="shared" si="25"/>
        <v>106061</v>
      </c>
      <c r="Y786" s="122"/>
      <c r="AA786" t="s">
        <v>56</v>
      </c>
      <c r="AB786" t="s">
        <v>405</v>
      </c>
      <c r="AC786" t="s">
        <v>426</v>
      </c>
      <c r="AD786" t="s">
        <v>426</v>
      </c>
      <c r="AE786" t="s">
        <v>137</v>
      </c>
      <c r="AF786">
        <v>1</v>
      </c>
      <c r="AG786">
        <v>172</v>
      </c>
      <c r="AH786">
        <v>198</v>
      </c>
      <c r="AI786" s="122">
        <v>26541</v>
      </c>
      <c r="AJ786" s="122">
        <v>24128</v>
      </c>
      <c r="AK786">
        <v>92</v>
      </c>
      <c r="AL786" s="122">
        <v>4527</v>
      </c>
      <c r="AM786" s="122">
        <v>4115</v>
      </c>
      <c r="AN786" s="122">
        <v>6317</v>
      </c>
      <c r="AO786" s="122">
        <v>2340</v>
      </c>
      <c r="AP786">
        <v>473</v>
      </c>
      <c r="AQ786">
        <v>175</v>
      </c>
      <c r="AR786" s="122">
        <v>9359</v>
      </c>
      <c r="AS786" s="122">
        <v>8508</v>
      </c>
      <c r="AT786" s="122">
        <v>4005</v>
      </c>
      <c r="AU786" s="122">
        <v>1483</v>
      </c>
      <c r="AV786" s="122">
        <v>40749</v>
      </c>
    </row>
    <row r="787" spans="2:48" hidden="1">
      <c r="B787" t="s">
        <v>367</v>
      </c>
      <c r="C787" t="s">
        <v>58</v>
      </c>
      <c r="D787" t="s">
        <v>406</v>
      </c>
      <c r="E787" t="s">
        <v>137</v>
      </c>
      <c r="F787">
        <v>6</v>
      </c>
      <c r="G787" s="122">
        <v>1020</v>
      </c>
      <c r="H787" s="122">
        <v>1448</v>
      </c>
      <c r="I787" s="122">
        <v>146811</v>
      </c>
      <c r="J787" s="122">
        <v>133465</v>
      </c>
      <c r="K787">
        <v>81</v>
      </c>
      <c r="L787" s="122">
        <v>39445</v>
      </c>
      <c r="M787" s="122">
        <v>35008</v>
      </c>
      <c r="N787" s="122">
        <v>20667</v>
      </c>
      <c r="O787" s="122">
        <v>7654</v>
      </c>
      <c r="P787" s="122">
        <v>3375</v>
      </c>
      <c r="Q787" s="122">
        <v>1250</v>
      </c>
      <c r="R787" s="122">
        <v>56718</v>
      </c>
      <c r="S787" s="122">
        <v>21007</v>
      </c>
      <c r="T787">
        <v>0</v>
      </c>
      <c r="U787">
        <v>0</v>
      </c>
      <c r="V787" s="122">
        <v>198384</v>
      </c>
      <c r="W787" s="122">
        <f t="shared" si="24"/>
        <v>198384</v>
      </c>
      <c r="X787" s="122">
        <f t="shared" si="25"/>
        <v>267016</v>
      </c>
      <c r="Y787" s="122"/>
      <c r="AA787" t="s">
        <v>56</v>
      </c>
      <c r="AB787" t="s">
        <v>405</v>
      </c>
      <c r="AC787" t="s">
        <v>566</v>
      </c>
      <c r="AD787" t="s">
        <v>425</v>
      </c>
      <c r="AE787" t="s">
        <v>566</v>
      </c>
      <c r="AF787">
        <v>2</v>
      </c>
      <c r="AG787" s="122">
        <v>264</v>
      </c>
      <c r="AH787" s="122">
        <v>381</v>
      </c>
      <c r="AI787" s="122">
        <v>36514</v>
      </c>
      <c r="AJ787" s="122">
        <v>33195</v>
      </c>
      <c r="AK787">
        <v>87</v>
      </c>
      <c r="AL787" s="122">
        <v>0</v>
      </c>
      <c r="AM787" s="122">
        <v>1527</v>
      </c>
      <c r="AN787" s="122">
        <v>4421</v>
      </c>
      <c r="AO787" s="122">
        <v>1638</v>
      </c>
      <c r="AP787" s="122">
        <v>945</v>
      </c>
      <c r="AQ787" s="122">
        <v>350</v>
      </c>
      <c r="AR787" s="122">
        <v>9694</v>
      </c>
      <c r="AS787" s="122">
        <v>8813</v>
      </c>
      <c r="AT787" s="122">
        <v>0</v>
      </c>
      <c r="AU787" s="122">
        <v>0</v>
      </c>
      <c r="AV787" s="122">
        <v>45522</v>
      </c>
    </row>
    <row r="788" spans="2:48" hidden="1">
      <c r="B788" t="s">
        <v>367</v>
      </c>
      <c r="C788" t="s">
        <v>58</v>
      </c>
      <c r="D788" t="s">
        <v>406</v>
      </c>
      <c r="E788" t="s">
        <v>406</v>
      </c>
      <c r="F788" s="122">
        <v>1373</v>
      </c>
      <c r="G788" s="122">
        <v>219077</v>
      </c>
      <c r="H788" s="122">
        <v>360655</v>
      </c>
      <c r="I788" s="122">
        <v>35094701</v>
      </c>
      <c r="J788" s="122">
        <v>31904274</v>
      </c>
      <c r="K788">
        <v>81</v>
      </c>
      <c r="L788" s="122">
        <v>8780238</v>
      </c>
      <c r="M788" s="122">
        <v>7496712</v>
      </c>
      <c r="N788" s="122">
        <v>4745735</v>
      </c>
      <c r="O788" s="122">
        <v>1757680</v>
      </c>
      <c r="P788" s="122">
        <v>868556</v>
      </c>
      <c r="Q788" s="122">
        <v>321687</v>
      </c>
      <c r="R788" s="122">
        <v>7825329</v>
      </c>
      <c r="S788" s="122">
        <v>7113935</v>
      </c>
      <c r="T788" s="122">
        <v>2073075</v>
      </c>
      <c r="U788" s="122">
        <v>767805</v>
      </c>
      <c r="V788" s="122">
        <v>49362093</v>
      </c>
      <c r="W788" s="122">
        <f t="shared" si="24"/>
        <v>49362093</v>
      </c>
      <c r="X788" s="122">
        <f t="shared" si="25"/>
        <v>59387634</v>
      </c>
      <c r="Y788" s="122"/>
      <c r="AA788" t="s">
        <v>56</v>
      </c>
      <c r="AB788" t="s">
        <v>405</v>
      </c>
      <c r="AC788" t="s">
        <v>566</v>
      </c>
      <c r="AD788" t="s">
        <v>405</v>
      </c>
      <c r="AE788" t="s">
        <v>137</v>
      </c>
      <c r="AF788">
        <v>13</v>
      </c>
      <c r="AG788" s="122">
        <v>1961</v>
      </c>
      <c r="AH788" s="122">
        <v>2400</v>
      </c>
      <c r="AI788" s="122">
        <v>248602</v>
      </c>
      <c r="AJ788" s="122">
        <v>226002</v>
      </c>
      <c r="AK788">
        <v>82</v>
      </c>
      <c r="AL788" s="122">
        <v>6091</v>
      </c>
      <c r="AM788" s="122">
        <v>20042</v>
      </c>
      <c r="AN788" s="122">
        <v>39638</v>
      </c>
      <c r="AO788" s="122">
        <v>14681</v>
      </c>
      <c r="AP788" s="122">
        <v>6507</v>
      </c>
      <c r="AQ788" s="122">
        <v>2410</v>
      </c>
      <c r="AR788" s="122">
        <v>58808</v>
      </c>
      <c r="AS788" s="122">
        <v>53462</v>
      </c>
      <c r="AT788" s="122">
        <v>17095</v>
      </c>
      <c r="AU788" s="122">
        <v>6331</v>
      </c>
      <c r="AV788" s="122">
        <v>322927</v>
      </c>
    </row>
    <row r="789" spans="2:48" hidden="1">
      <c r="B789" t="s">
        <v>367</v>
      </c>
      <c r="C789" t="s">
        <v>58</v>
      </c>
      <c r="D789" t="s">
        <v>406</v>
      </c>
      <c r="E789" t="s">
        <v>407</v>
      </c>
      <c r="F789">
        <v>5</v>
      </c>
      <c r="G789" s="122">
        <v>824</v>
      </c>
      <c r="H789" s="122">
        <v>1353</v>
      </c>
      <c r="I789" s="122">
        <v>123687</v>
      </c>
      <c r="J789" s="122">
        <v>112443</v>
      </c>
      <c r="K789">
        <v>85</v>
      </c>
      <c r="L789" s="122">
        <v>37540</v>
      </c>
      <c r="M789" s="122">
        <v>32388</v>
      </c>
      <c r="N789" s="122">
        <v>17744</v>
      </c>
      <c r="O789" s="122">
        <v>6572</v>
      </c>
      <c r="P789" s="122">
        <v>2835</v>
      </c>
      <c r="Q789" s="122">
        <v>1050</v>
      </c>
      <c r="R789" s="122">
        <v>30956</v>
      </c>
      <c r="S789" s="122">
        <v>28142</v>
      </c>
      <c r="T789" s="122">
        <v>6821</v>
      </c>
      <c r="U789" s="122">
        <v>2526</v>
      </c>
      <c r="V789" s="122">
        <v>183121</v>
      </c>
      <c r="W789" s="122">
        <f t="shared" si="24"/>
        <v>183121</v>
      </c>
      <c r="X789" s="122">
        <f t="shared" si="25"/>
        <v>219583</v>
      </c>
      <c r="Y789" s="122"/>
      <c r="AA789" t="s">
        <v>56</v>
      </c>
      <c r="AB789" t="s">
        <v>405</v>
      </c>
      <c r="AC789" t="s">
        <v>566</v>
      </c>
      <c r="AD789" t="s">
        <v>405</v>
      </c>
      <c r="AE789" t="s">
        <v>566</v>
      </c>
      <c r="AF789">
        <v>75</v>
      </c>
      <c r="AG789" s="122">
        <v>8429</v>
      </c>
      <c r="AH789" s="122">
        <v>14337</v>
      </c>
      <c r="AI789" s="122">
        <v>1087929</v>
      </c>
      <c r="AJ789" s="122">
        <v>989026</v>
      </c>
      <c r="AK789">
        <v>85</v>
      </c>
      <c r="AL789" s="122">
        <v>0</v>
      </c>
      <c r="AM789" s="122">
        <v>241737</v>
      </c>
      <c r="AN789" s="122">
        <v>176747</v>
      </c>
      <c r="AO789" s="122">
        <v>65462</v>
      </c>
      <c r="AP789" s="122">
        <v>40078</v>
      </c>
      <c r="AQ789" s="122">
        <v>14844</v>
      </c>
      <c r="AR789" s="122">
        <v>313485</v>
      </c>
      <c r="AS789" s="122">
        <v>284986</v>
      </c>
      <c r="AT789">
        <v>0</v>
      </c>
      <c r="AU789">
        <v>0</v>
      </c>
      <c r="AV789" s="122">
        <v>1596055</v>
      </c>
    </row>
    <row r="790" spans="2:48" hidden="1">
      <c r="B790" t="s">
        <v>367</v>
      </c>
      <c r="C790" t="s">
        <v>58</v>
      </c>
      <c r="D790" t="s">
        <v>406</v>
      </c>
      <c r="E790" t="s">
        <v>556</v>
      </c>
      <c r="F790">
        <v>1</v>
      </c>
      <c r="G790" s="122">
        <v>108</v>
      </c>
      <c r="H790" s="122">
        <v>295</v>
      </c>
      <c r="I790" s="122">
        <v>19211</v>
      </c>
      <c r="J790" s="122">
        <v>17464</v>
      </c>
      <c r="K790">
        <v>70</v>
      </c>
      <c r="L790" s="122">
        <v>2366</v>
      </c>
      <c r="M790" s="122">
        <v>2151</v>
      </c>
      <c r="N790" s="122">
        <v>2302</v>
      </c>
      <c r="O790" s="122">
        <v>853</v>
      </c>
      <c r="P790" s="122">
        <v>621</v>
      </c>
      <c r="Q790" s="122">
        <v>230</v>
      </c>
      <c r="R790" s="122">
        <v>7321</v>
      </c>
      <c r="S790" s="122">
        <v>6101</v>
      </c>
      <c r="T790" s="122">
        <v>0</v>
      </c>
      <c r="U790" s="122">
        <v>0</v>
      </c>
      <c r="V790" s="122">
        <v>26798</v>
      </c>
      <c r="W790" s="122">
        <f t="shared" si="24"/>
        <v>26799</v>
      </c>
      <c r="X790" s="122">
        <f t="shared" si="25"/>
        <v>31821</v>
      </c>
      <c r="Y790" s="122"/>
      <c r="AA790" t="s">
        <v>56</v>
      </c>
      <c r="AB790" t="s">
        <v>405</v>
      </c>
      <c r="AC790" t="s">
        <v>481</v>
      </c>
      <c r="AD790" t="s">
        <v>405</v>
      </c>
      <c r="AE790" t="s">
        <v>566</v>
      </c>
      <c r="AF790">
        <v>1</v>
      </c>
      <c r="AG790">
        <v>156</v>
      </c>
      <c r="AH790">
        <v>201</v>
      </c>
      <c r="AI790" s="122">
        <v>15784</v>
      </c>
      <c r="AJ790" s="122">
        <v>14349</v>
      </c>
      <c r="AK790">
        <v>73</v>
      </c>
      <c r="AL790" s="122">
        <v>4057</v>
      </c>
      <c r="AM790" s="122">
        <v>3688</v>
      </c>
      <c r="AN790" s="122">
        <v>3611</v>
      </c>
      <c r="AO790" s="122">
        <v>1338</v>
      </c>
      <c r="AP790">
        <v>473</v>
      </c>
      <c r="AQ790">
        <v>175</v>
      </c>
      <c r="AR790" s="122">
        <v>7427</v>
      </c>
      <c r="AS790" s="122">
        <v>6752</v>
      </c>
      <c r="AT790">
        <v>0</v>
      </c>
      <c r="AU790">
        <v>0</v>
      </c>
      <c r="AV790" s="122">
        <v>26301</v>
      </c>
    </row>
    <row r="791" spans="2:48" hidden="1">
      <c r="B791" t="s">
        <v>367</v>
      </c>
      <c r="C791" t="s">
        <v>58</v>
      </c>
      <c r="D791" t="s">
        <v>407</v>
      </c>
      <c r="E791" t="s">
        <v>425</v>
      </c>
      <c r="F791">
        <v>1</v>
      </c>
      <c r="G791" s="122">
        <v>169</v>
      </c>
      <c r="H791" s="122">
        <v>226</v>
      </c>
      <c r="I791" s="122">
        <v>23683</v>
      </c>
      <c r="J791" s="122">
        <v>21530</v>
      </c>
      <c r="K791">
        <v>77</v>
      </c>
      <c r="L791" s="122">
        <v>2531</v>
      </c>
      <c r="M791" s="122">
        <v>2301</v>
      </c>
      <c r="N791" s="122">
        <v>3740</v>
      </c>
      <c r="O791" s="122">
        <v>1385</v>
      </c>
      <c r="P791" s="122">
        <v>473</v>
      </c>
      <c r="Q791" s="122">
        <v>175</v>
      </c>
      <c r="R791" s="122">
        <v>7727</v>
      </c>
      <c r="S791" s="122">
        <v>7025</v>
      </c>
      <c r="T791" s="122">
        <v>0</v>
      </c>
      <c r="U791" s="122">
        <v>0</v>
      </c>
      <c r="V791" s="122">
        <v>32416</v>
      </c>
      <c r="W791" s="122">
        <f t="shared" si="24"/>
        <v>32416</v>
      </c>
      <c r="X791" s="122">
        <f t="shared" si="25"/>
        <v>38154</v>
      </c>
      <c r="Y791" s="122"/>
      <c r="AA791" t="s">
        <v>56</v>
      </c>
      <c r="AB791" t="s">
        <v>405</v>
      </c>
      <c r="AC791" t="s">
        <v>433</v>
      </c>
      <c r="AD791" t="s">
        <v>425</v>
      </c>
      <c r="AE791" t="s">
        <v>566</v>
      </c>
      <c r="AF791">
        <v>2</v>
      </c>
      <c r="AG791" s="122">
        <v>277</v>
      </c>
      <c r="AH791" s="122">
        <v>418</v>
      </c>
      <c r="AI791" s="122">
        <v>35727</v>
      </c>
      <c r="AJ791" s="122">
        <v>32479</v>
      </c>
      <c r="AK791">
        <v>87</v>
      </c>
      <c r="AL791" s="122">
        <v>8421</v>
      </c>
      <c r="AM791" s="122">
        <v>7655</v>
      </c>
      <c r="AN791" s="122">
        <v>5596</v>
      </c>
      <c r="AO791" s="122">
        <v>2073</v>
      </c>
      <c r="AP791" s="122">
        <v>945</v>
      </c>
      <c r="AQ791" s="122">
        <v>350</v>
      </c>
      <c r="AR791" s="122">
        <v>7215</v>
      </c>
      <c r="AS791" s="122">
        <v>6559</v>
      </c>
      <c r="AT791" s="122">
        <v>0</v>
      </c>
      <c r="AU791" s="122">
        <v>0</v>
      </c>
      <c r="AV791" s="122">
        <v>49116</v>
      </c>
    </row>
    <row r="792" spans="2:48" hidden="1">
      <c r="B792" t="s">
        <v>367</v>
      </c>
      <c r="C792" t="s">
        <v>58</v>
      </c>
      <c r="D792" t="s">
        <v>407</v>
      </c>
      <c r="E792" t="s">
        <v>405</v>
      </c>
      <c r="F792">
        <v>2</v>
      </c>
      <c r="G792">
        <v>356</v>
      </c>
      <c r="H792">
        <v>518</v>
      </c>
      <c r="I792" s="122">
        <v>59448</v>
      </c>
      <c r="J792" s="122">
        <v>54044</v>
      </c>
      <c r="K792">
        <v>83</v>
      </c>
      <c r="L792" s="122">
        <v>11420</v>
      </c>
      <c r="M792" s="122">
        <v>10382</v>
      </c>
      <c r="N792" s="122">
        <v>5869</v>
      </c>
      <c r="O792" s="122">
        <v>2174</v>
      </c>
      <c r="P792" s="122">
        <v>945</v>
      </c>
      <c r="Q792">
        <v>350</v>
      </c>
      <c r="R792" s="122">
        <v>13908</v>
      </c>
      <c r="S792" s="122">
        <v>12644</v>
      </c>
      <c r="T792" s="122">
        <v>0</v>
      </c>
      <c r="U792" s="122">
        <v>0</v>
      </c>
      <c r="V792" s="122">
        <v>79593</v>
      </c>
      <c r="W792" s="122">
        <f t="shared" si="24"/>
        <v>79594</v>
      </c>
      <c r="X792" s="122">
        <f t="shared" si="25"/>
        <v>91590</v>
      </c>
      <c r="Y792" s="122"/>
      <c r="AA792" t="s">
        <v>56</v>
      </c>
      <c r="AB792" t="s">
        <v>405</v>
      </c>
      <c r="AC792" t="s">
        <v>433</v>
      </c>
      <c r="AD792" t="s">
        <v>405</v>
      </c>
      <c r="AE792" t="s">
        <v>137</v>
      </c>
      <c r="AF792">
        <v>13</v>
      </c>
      <c r="AG792" s="122">
        <v>1820</v>
      </c>
      <c r="AH792" s="122">
        <v>2532</v>
      </c>
      <c r="AI792" s="122">
        <v>222334</v>
      </c>
      <c r="AJ792" s="122">
        <v>202122</v>
      </c>
      <c r="AK792">
        <v>85</v>
      </c>
      <c r="AL792" s="122">
        <v>48057</v>
      </c>
      <c r="AM792" s="122">
        <v>43688</v>
      </c>
      <c r="AN792" s="122">
        <v>39291</v>
      </c>
      <c r="AO792" s="122">
        <v>14552</v>
      </c>
      <c r="AP792" s="122">
        <v>5886</v>
      </c>
      <c r="AQ792" s="122">
        <v>2180</v>
      </c>
      <c r="AR792" s="122">
        <v>63215</v>
      </c>
      <c r="AS792" s="122">
        <v>57468</v>
      </c>
      <c r="AT792" s="122">
        <v>12233</v>
      </c>
      <c r="AU792" s="122">
        <v>4531</v>
      </c>
      <c r="AV792" s="122">
        <v>324541</v>
      </c>
    </row>
    <row r="793" spans="2:48" hidden="1">
      <c r="B793" t="s">
        <v>367</v>
      </c>
      <c r="C793" t="s">
        <v>58</v>
      </c>
      <c r="D793" t="s">
        <v>407</v>
      </c>
      <c r="E793" t="s">
        <v>137</v>
      </c>
      <c r="F793">
        <v>12</v>
      </c>
      <c r="G793" s="122">
        <v>1569</v>
      </c>
      <c r="H793" s="122">
        <v>3103</v>
      </c>
      <c r="I793" s="122">
        <v>232959</v>
      </c>
      <c r="J793" s="122">
        <v>211781</v>
      </c>
      <c r="K793">
        <v>85</v>
      </c>
      <c r="L793" s="122">
        <v>53320</v>
      </c>
      <c r="M793" s="122">
        <v>45901</v>
      </c>
      <c r="N793" s="122">
        <v>29468</v>
      </c>
      <c r="O793" s="122">
        <v>10914</v>
      </c>
      <c r="P793" s="122">
        <v>5670</v>
      </c>
      <c r="Q793" s="122">
        <v>2100</v>
      </c>
      <c r="R793" s="122">
        <v>92401</v>
      </c>
      <c r="S793" s="122">
        <v>34223</v>
      </c>
      <c r="T793" s="122">
        <v>0</v>
      </c>
      <c r="U793" s="122">
        <v>0</v>
      </c>
      <c r="V793" s="122">
        <v>304919</v>
      </c>
      <c r="W793" s="122">
        <f t="shared" si="24"/>
        <v>304919</v>
      </c>
      <c r="X793" s="122">
        <f t="shared" si="25"/>
        <v>413818</v>
      </c>
      <c r="Y793" s="122"/>
      <c r="AA793" t="s">
        <v>56</v>
      </c>
      <c r="AB793" t="s">
        <v>405</v>
      </c>
      <c r="AC793" t="s">
        <v>433</v>
      </c>
      <c r="AD793" t="s">
        <v>405</v>
      </c>
      <c r="AE793" t="s">
        <v>566</v>
      </c>
      <c r="AF793">
        <v>36</v>
      </c>
      <c r="AG793" s="122">
        <v>6879</v>
      </c>
      <c r="AH793" s="122">
        <v>6588</v>
      </c>
      <c r="AI793" s="122">
        <v>736776</v>
      </c>
      <c r="AJ793" s="122">
        <v>669796</v>
      </c>
      <c r="AK793">
        <v>86</v>
      </c>
      <c r="AL793" s="122">
        <v>156123</v>
      </c>
      <c r="AM793" s="122">
        <v>141930</v>
      </c>
      <c r="AN793" s="122">
        <v>135726</v>
      </c>
      <c r="AO793" s="122">
        <v>50269</v>
      </c>
      <c r="AP793" s="122">
        <v>22163</v>
      </c>
      <c r="AQ793" s="122">
        <v>8209</v>
      </c>
      <c r="AR793" s="122">
        <v>203453</v>
      </c>
      <c r="AS793" s="122">
        <v>184957</v>
      </c>
      <c r="AT793">
        <v>0</v>
      </c>
      <c r="AU793">
        <v>0</v>
      </c>
      <c r="AV793" s="122">
        <v>1055160</v>
      </c>
    </row>
    <row r="794" spans="2:48" hidden="1">
      <c r="B794" t="s">
        <v>367</v>
      </c>
      <c r="C794" t="s">
        <v>58</v>
      </c>
      <c r="D794" t="s">
        <v>407</v>
      </c>
      <c r="E794" t="s">
        <v>406</v>
      </c>
      <c r="F794">
        <v>2</v>
      </c>
      <c r="G794" s="122">
        <v>271</v>
      </c>
      <c r="H794" s="122">
        <v>475</v>
      </c>
      <c r="I794" s="122">
        <v>48163</v>
      </c>
      <c r="J794" s="122">
        <v>43785</v>
      </c>
      <c r="K794">
        <v>78</v>
      </c>
      <c r="L794" s="122">
        <v>8864</v>
      </c>
      <c r="M794" s="122">
        <v>7846</v>
      </c>
      <c r="N794" s="122">
        <v>7018</v>
      </c>
      <c r="O794" s="122">
        <v>2599</v>
      </c>
      <c r="P794" s="122">
        <v>1215</v>
      </c>
      <c r="Q794" s="122">
        <v>450</v>
      </c>
      <c r="R794" s="122">
        <v>14267</v>
      </c>
      <c r="S794" s="122">
        <v>12970</v>
      </c>
      <c r="T794" s="122">
        <v>0</v>
      </c>
      <c r="U794" s="122">
        <v>0</v>
      </c>
      <c r="V794" s="122">
        <v>67651</v>
      </c>
      <c r="W794" s="122">
        <f t="shared" si="24"/>
        <v>67650</v>
      </c>
      <c r="X794" s="122">
        <f t="shared" si="25"/>
        <v>79527</v>
      </c>
      <c r="Y794" s="122"/>
      <c r="AA794" t="s">
        <v>56</v>
      </c>
      <c r="AB794" t="s">
        <v>405</v>
      </c>
      <c r="AC794" t="s">
        <v>433</v>
      </c>
      <c r="AD794" t="s">
        <v>137</v>
      </c>
      <c r="AE794" t="s">
        <v>566</v>
      </c>
      <c r="AF794">
        <v>1</v>
      </c>
      <c r="AG794">
        <v>166</v>
      </c>
      <c r="AH794">
        <v>175</v>
      </c>
      <c r="AI794" s="122">
        <v>18120</v>
      </c>
      <c r="AJ794" s="122">
        <v>16473</v>
      </c>
      <c r="AK794">
        <v>83</v>
      </c>
      <c r="AL794" s="122">
        <v>2571</v>
      </c>
      <c r="AM794" s="122">
        <v>2337</v>
      </c>
      <c r="AN794" s="122">
        <v>3457</v>
      </c>
      <c r="AO794" s="122">
        <v>1280</v>
      </c>
      <c r="AP794">
        <v>473</v>
      </c>
      <c r="AQ794">
        <v>175</v>
      </c>
      <c r="AR794" s="122">
        <v>4406</v>
      </c>
      <c r="AS794" s="122">
        <v>1632</v>
      </c>
      <c r="AT794">
        <v>0</v>
      </c>
      <c r="AU794">
        <v>0</v>
      </c>
      <c r="AV794" s="122">
        <v>21897</v>
      </c>
    </row>
    <row r="795" spans="2:48" hidden="1">
      <c r="B795" t="s">
        <v>367</v>
      </c>
      <c r="C795" t="s">
        <v>58</v>
      </c>
      <c r="D795" t="s">
        <v>407</v>
      </c>
      <c r="E795" t="s">
        <v>427</v>
      </c>
      <c r="F795">
        <v>2</v>
      </c>
      <c r="G795" s="122">
        <v>190</v>
      </c>
      <c r="H795" s="122">
        <v>462</v>
      </c>
      <c r="I795" s="122">
        <v>22066</v>
      </c>
      <c r="J795" s="122">
        <v>20060</v>
      </c>
      <c r="K795">
        <v>79</v>
      </c>
      <c r="L795" s="122">
        <v>6412</v>
      </c>
      <c r="M795" s="122">
        <v>5829</v>
      </c>
      <c r="N795" s="122">
        <v>4558</v>
      </c>
      <c r="O795" s="122">
        <v>1688</v>
      </c>
      <c r="P795" s="122">
        <v>945</v>
      </c>
      <c r="Q795" s="122">
        <v>350</v>
      </c>
      <c r="R795" s="122">
        <v>9930</v>
      </c>
      <c r="S795" s="122">
        <v>9027</v>
      </c>
      <c r="T795" s="122">
        <v>0</v>
      </c>
      <c r="U795" s="122">
        <v>0</v>
      </c>
      <c r="V795" s="122">
        <v>36954</v>
      </c>
      <c r="W795" s="122">
        <f t="shared" si="24"/>
        <v>36954</v>
      </c>
      <c r="X795" s="122">
        <f t="shared" si="25"/>
        <v>43911</v>
      </c>
      <c r="Y795" s="122"/>
      <c r="AA795" t="s">
        <v>56</v>
      </c>
      <c r="AB795" t="s">
        <v>405</v>
      </c>
      <c r="AC795" t="s">
        <v>433</v>
      </c>
      <c r="AD795" t="s">
        <v>407</v>
      </c>
      <c r="AE795" t="s">
        <v>137</v>
      </c>
      <c r="AF795">
        <v>1</v>
      </c>
      <c r="AG795">
        <v>175</v>
      </c>
      <c r="AH795">
        <v>175</v>
      </c>
      <c r="AI795" s="122">
        <v>16011</v>
      </c>
      <c r="AJ795" s="122">
        <v>14556</v>
      </c>
      <c r="AK795">
        <v>90</v>
      </c>
      <c r="AL795" s="122">
        <v>5088</v>
      </c>
      <c r="AM795" s="122">
        <v>4626</v>
      </c>
      <c r="AN795" s="122">
        <v>3419</v>
      </c>
      <c r="AO795" s="122">
        <v>1266</v>
      </c>
      <c r="AP795" s="122">
        <v>473</v>
      </c>
      <c r="AQ795">
        <v>175</v>
      </c>
      <c r="AR795" s="122">
        <v>5640</v>
      </c>
      <c r="AS795" s="122">
        <v>5127</v>
      </c>
      <c r="AT795" s="122">
        <v>0</v>
      </c>
      <c r="AU795" s="122">
        <v>0</v>
      </c>
      <c r="AV795" s="122">
        <v>25750</v>
      </c>
    </row>
    <row r="796" spans="2:48" hidden="1">
      <c r="B796" t="s">
        <v>367</v>
      </c>
      <c r="C796" t="s">
        <v>58</v>
      </c>
      <c r="D796" t="s">
        <v>407</v>
      </c>
      <c r="E796" t="s">
        <v>407</v>
      </c>
      <c r="F796" s="122">
        <v>3687</v>
      </c>
      <c r="G796" s="122">
        <v>527397</v>
      </c>
      <c r="H796" s="122">
        <v>961266</v>
      </c>
      <c r="I796" s="122">
        <v>81319779</v>
      </c>
      <c r="J796" s="122">
        <v>73927071</v>
      </c>
      <c r="K796">
        <v>82</v>
      </c>
      <c r="L796" s="122">
        <v>22962361</v>
      </c>
      <c r="M796" s="122">
        <v>20033014</v>
      </c>
      <c r="N796" s="122">
        <v>11358063</v>
      </c>
      <c r="O796" s="122">
        <v>4206690</v>
      </c>
      <c r="P796" s="122">
        <v>1792099</v>
      </c>
      <c r="Q796" s="122">
        <v>663740</v>
      </c>
      <c r="R796" s="122">
        <v>19803295</v>
      </c>
      <c r="S796" s="122">
        <v>18002995</v>
      </c>
      <c r="T796" s="122">
        <v>3971184</v>
      </c>
      <c r="U796" s="122">
        <v>1470809</v>
      </c>
      <c r="V796" s="122">
        <v>118304320</v>
      </c>
      <c r="W796" s="122">
        <f t="shared" si="24"/>
        <v>118304319</v>
      </c>
      <c r="X796" s="122">
        <f t="shared" si="25"/>
        <v>141206781</v>
      </c>
      <c r="Y796" s="122"/>
      <c r="AA796" t="s">
        <v>56</v>
      </c>
      <c r="AB796" t="s">
        <v>405</v>
      </c>
      <c r="AC796" t="s">
        <v>429</v>
      </c>
      <c r="AD796" t="s">
        <v>405</v>
      </c>
      <c r="AE796" t="s">
        <v>137</v>
      </c>
      <c r="AF796">
        <v>4</v>
      </c>
      <c r="AG796">
        <v>831</v>
      </c>
      <c r="AH796">
        <v>718</v>
      </c>
      <c r="AI796" s="122">
        <v>90878</v>
      </c>
      <c r="AJ796" s="122">
        <v>82616</v>
      </c>
      <c r="AK796">
        <v>85</v>
      </c>
      <c r="AL796" s="122">
        <v>12643</v>
      </c>
      <c r="AM796" s="122">
        <v>11493</v>
      </c>
      <c r="AN796" s="122">
        <v>12720</v>
      </c>
      <c r="AO796" s="122">
        <v>4711</v>
      </c>
      <c r="AP796" s="122">
        <v>1890</v>
      </c>
      <c r="AQ796">
        <v>700</v>
      </c>
      <c r="AR796" s="122">
        <v>21466</v>
      </c>
      <c r="AS796" s="122">
        <v>19515</v>
      </c>
      <c r="AT796" s="122">
        <v>6620</v>
      </c>
      <c r="AU796" s="122">
        <v>2452</v>
      </c>
      <c r="AV796" s="122">
        <v>121487</v>
      </c>
    </row>
    <row r="797" spans="2:48" hidden="1">
      <c r="B797" t="s">
        <v>367</v>
      </c>
      <c r="C797" t="s">
        <v>58</v>
      </c>
      <c r="D797" t="s">
        <v>407</v>
      </c>
      <c r="E797" t="s">
        <v>426</v>
      </c>
      <c r="F797" s="122">
        <v>1</v>
      </c>
      <c r="G797" s="122">
        <v>70</v>
      </c>
      <c r="H797" s="122">
        <v>294</v>
      </c>
      <c r="I797" s="122">
        <v>19525</v>
      </c>
      <c r="J797" s="122">
        <v>17750</v>
      </c>
      <c r="K797">
        <v>91</v>
      </c>
      <c r="L797" s="122">
        <v>6704</v>
      </c>
      <c r="M797" s="122">
        <v>6094</v>
      </c>
      <c r="N797" s="122">
        <v>2918</v>
      </c>
      <c r="O797" s="122">
        <v>1081</v>
      </c>
      <c r="P797" s="122">
        <v>473</v>
      </c>
      <c r="Q797" s="122">
        <v>175</v>
      </c>
      <c r="R797" s="122">
        <v>5620</v>
      </c>
      <c r="S797" s="122">
        <v>5109</v>
      </c>
      <c r="T797" s="122">
        <v>0</v>
      </c>
      <c r="U797" s="122">
        <v>0</v>
      </c>
      <c r="V797" s="122">
        <v>30209</v>
      </c>
      <c r="W797" s="122">
        <f t="shared" si="24"/>
        <v>30209</v>
      </c>
      <c r="X797" s="122">
        <f t="shared" si="25"/>
        <v>35240</v>
      </c>
      <c r="Y797" s="122"/>
      <c r="AA797" t="s">
        <v>56</v>
      </c>
      <c r="AB797" t="s">
        <v>405</v>
      </c>
      <c r="AC797" t="s">
        <v>429</v>
      </c>
      <c r="AD797" t="s">
        <v>405</v>
      </c>
      <c r="AE797" t="s">
        <v>566</v>
      </c>
      <c r="AF797">
        <v>4</v>
      </c>
      <c r="AG797">
        <v>617</v>
      </c>
      <c r="AH797">
        <v>745</v>
      </c>
      <c r="AI797" s="122">
        <v>72314</v>
      </c>
      <c r="AJ797" s="122">
        <v>65740</v>
      </c>
      <c r="AK797">
        <v>81</v>
      </c>
      <c r="AL797" s="122">
        <v>8890</v>
      </c>
      <c r="AM797" s="122">
        <v>8082</v>
      </c>
      <c r="AN797" s="122">
        <v>12724</v>
      </c>
      <c r="AO797" s="122">
        <v>4713</v>
      </c>
      <c r="AP797" s="122">
        <v>2120</v>
      </c>
      <c r="AQ797">
        <v>785</v>
      </c>
      <c r="AR797" s="122">
        <v>16680</v>
      </c>
      <c r="AS797" s="122">
        <v>15163</v>
      </c>
      <c r="AT797">
        <v>0</v>
      </c>
      <c r="AU797">
        <v>0</v>
      </c>
      <c r="AV797" s="122">
        <v>94483</v>
      </c>
    </row>
    <row r="798" spans="2:48" hidden="1">
      <c r="B798" t="s">
        <v>367</v>
      </c>
      <c r="C798" t="s">
        <v>58</v>
      </c>
      <c r="D798" t="s">
        <v>556</v>
      </c>
      <c r="E798" t="s">
        <v>137</v>
      </c>
      <c r="F798" s="122">
        <v>1</v>
      </c>
      <c r="G798" s="122">
        <v>57</v>
      </c>
      <c r="H798" s="122">
        <v>297</v>
      </c>
      <c r="I798" s="122">
        <v>9184</v>
      </c>
      <c r="J798" s="122">
        <v>7653</v>
      </c>
      <c r="K798">
        <v>60</v>
      </c>
      <c r="L798" s="122">
        <v>1378</v>
      </c>
      <c r="M798" s="122">
        <v>510</v>
      </c>
      <c r="N798" s="122">
        <v>692</v>
      </c>
      <c r="O798" s="122">
        <v>256</v>
      </c>
      <c r="P798" s="122">
        <v>0</v>
      </c>
      <c r="Q798" s="122">
        <v>0</v>
      </c>
      <c r="R798" s="122">
        <v>5589</v>
      </c>
      <c r="S798" s="122">
        <v>2070</v>
      </c>
      <c r="T798" s="122">
        <v>0</v>
      </c>
      <c r="U798">
        <v>0</v>
      </c>
      <c r="V798" s="122">
        <v>10490</v>
      </c>
      <c r="W798" s="122">
        <f t="shared" si="24"/>
        <v>10489</v>
      </c>
      <c r="X798" s="122">
        <f t="shared" si="25"/>
        <v>16843</v>
      </c>
      <c r="Y798" s="122"/>
      <c r="AA798" t="s">
        <v>56</v>
      </c>
      <c r="AB798" t="s">
        <v>405</v>
      </c>
      <c r="AC798" t="s">
        <v>429</v>
      </c>
      <c r="AD798" t="s">
        <v>137</v>
      </c>
      <c r="AE798" t="s">
        <v>566</v>
      </c>
      <c r="AF798">
        <v>1</v>
      </c>
      <c r="AG798">
        <v>159</v>
      </c>
      <c r="AH798">
        <v>204</v>
      </c>
      <c r="AI798" s="122">
        <v>19966</v>
      </c>
      <c r="AJ798" s="122">
        <v>18151</v>
      </c>
      <c r="AK798">
        <v>93</v>
      </c>
      <c r="AL798" s="122">
        <v>3000</v>
      </c>
      <c r="AM798" s="122">
        <v>2727</v>
      </c>
      <c r="AN798" s="122">
        <v>3172</v>
      </c>
      <c r="AO798" s="122">
        <v>1175</v>
      </c>
      <c r="AP798" s="122">
        <v>473</v>
      </c>
      <c r="AQ798">
        <v>175</v>
      </c>
      <c r="AR798" s="122">
        <v>5771</v>
      </c>
      <c r="AS798" s="122">
        <v>2137</v>
      </c>
      <c r="AT798">
        <v>0</v>
      </c>
      <c r="AU798">
        <v>0</v>
      </c>
      <c r="AV798" s="122">
        <v>24365</v>
      </c>
    </row>
    <row r="799" spans="2:48" hidden="1">
      <c r="B799" t="s">
        <v>367</v>
      </c>
      <c r="C799" t="s">
        <v>58</v>
      </c>
      <c r="D799" t="s">
        <v>556</v>
      </c>
      <c r="E799" t="s">
        <v>556</v>
      </c>
      <c r="F799">
        <v>2</v>
      </c>
      <c r="G799" s="122">
        <v>240</v>
      </c>
      <c r="H799" s="122">
        <v>506</v>
      </c>
      <c r="I799" s="122">
        <v>43376</v>
      </c>
      <c r="J799" s="122">
        <v>36146</v>
      </c>
      <c r="K799">
        <v>73</v>
      </c>
      <c r="L799" s="122">
        <v>4834</v>
      </c>
      <c r="M799" s="122">
        <v>4222</v>
      </c>
      <c r="N799" s="122">
        <v>3047</v>
      </c>
      <c r="O799" s="122">
        <v>1129</v>
      </c>
      <c r="P799" s="122">
        <v>1323</v>
      </c>
      <c r="Q799" s="122">
        <v>490</v>
      </c>
      <c r="R799" s="122">
        <v>7164</v>
      </c>
      <c r="S799" s="122">
        <v>5970</v>
      </c>
      <c r="T799" s="122">
        <v>815</v>
      </c>
      <c r="U799" s="122">
        <v>302</v>
      </c>
      <c r="V799" s="122">
        <v>48259</v>
      </c>
      <c r="W799" s="122">
        <f t="shared" si="24"/>
        <v>48259</v>
      </c>
      <c r="X799" s="122">
        <f t="shared" si="25"/>
        <v>60559</v>
      </c>
      <c r="Y799" s="122"/>
      <c r="AA799" t="s">
        <v>56</v>
      </c>
      <c r="AB799" t="s">
        <v>137</v>
      </c>
      <c r="AC799" t="s">
        <v>425</v>
      </c>
      <c r="AD799" t="s">
        <v>137</v>
      </c>
      <c r="AE799" t="s">
        <v>137</v>
      </c>
      <c r="AF799">
        <v>2</v>
      </c>
      <c r="AG799" s="122">
        <v>477</v>
      </c>
      <c r="AH799" s="122">
        <v>379</v>
      </c>
      <c r="AI799" s="122">
        <v>53428</v>
      </c>
      <c r="AJ799" s="122">
        <v>19788</v>
      </c>
      <c r="AK799">
        <v>175</v>
      </c>
      <c r="AL799" s="122">
        <v>9531</v>
      </c>
      <c r="AM799" s="122">
        <v>8664</v>
      </c>
      <c r="AN799" s="122">
        <v>6351</v>
      </c>
      <c r="AO799" s="122">
        <v>2352</v>
      </c>
      <c r="AP799" s="122">
        <v>1391</v>
      </c>
      <c r="AQ799" s="122">
        <v>515</v>
      </c>
      <c r="AR799" s="122">
        <v>19684</v>
      </c>
      <c r="AS799" s="122">
        <v>7290</v>
      </c>
      <c r="AT799">
        <v>0</v>
      </c>
      <c r="AU799">
        <v>0</v>
      </c>
      <c r="AV799" s="122">
        <v>38610</v>
      </c>
    </row>
    <row r="800" spans="2:48" hidden="1">
      <c r="B800" t="s">
        <v>367</v>
      </c>
      <c r="C800" t="s">
        <v>58</v>
      </c>
      <c r="D800" t="s">
        <v>426</v>
      </c>
      <c r="E800" t="s">
        <v>426</v>
      </c>
      <c r="F800">
        <v>2</v>
      </c>
      <c r="G800" s="122">
        <v>216</v>
      </c>
      <c r="H800" s="122">
        <v>528</v>
      </c>
      <c r="I800" s="122">
        <v>36011</v>
      </c>
      <c r="J800" s="122">
        <v>32737</v>
      </c>
      <c r="K800">
        <v>60</v>
      </c>
      <c r="L800" s="122">
        <v>4813</v>
      </c>
      <c r="M800" s="122">
        <v>3070</v>
      </c>
      <c r="N800" s="122">
        <v>5368</v>
      </c>
      <c r="O800" s="122">
        <v>1988</v>
      </c>
      <c r="P800" s="122">
        <v>702</v>
      </c>
      <c r="Q800" s="122">
        <v>260</v>
      </c>
      <c r="R800" s="122">
        <v>10883</v>
      </c>
      <c r="S800" s="122">
        <v>9893</v>
      </c>
      <c r="T800" s="122">
        <v>3191</v>
      </c>
      <c r="U800" s="122">
        <v>1182</v>
      </c>
      <c r="V800" s="122">
        <v>49131</v>
      </c>
      <c r="W800" s="122">
        <f t="shared" si="24"/>
        <v>49130</v>
      </c>
      <c r="X800" s="122">
        <f t="shared" si="25"/>
        <v>60968</v>
      </c>
      <c r="Y800" s="122"/>
      <c r="AA800" t="s">
        <v>56</v>
      </c>
      <c r="AB800" t="s">
        <v>137</v>
      </c>
      <c r="AC800" t="s">
        <v>425</v>
      </c>
      <c r="AD800" t="s">
        <v>137</v>
      </c>
      <c r="AE800" t="s">
        <v>566</v>
      </c>
      <c r="AF800">
        <v>17</v>
      </c>
      <c r="AG800" s="122">
        <v>3704</v>
      </c>
      <c r="AH800" s="122">
        <v>3053</v>
      </c>
      <c r="AI800" s="122">
        <v>332539</v>
      </c>
      <c r="AJ800" s="122">
        <v>123162</v>
      </c>
      <c r="AK800">
        <v>263</v>
      </c>
      <c r="AL800" s="122">
        <v>97192</v>
      </c>
      <c r="AM800" s="122">
        <v>88357</v>
      </c>
      <c r="AN800" s="122">
        <v>78324</v>
      </c>
      <c r="AO800" s="122">
        <v>29009</v>
      </c>
      <c r="AP800" s="122">
        <v>8298</v>
      </c>
      <c r="AQ800" s="122">
        <v>3073</v>
      </c>
      <c r="AR800" s="122">
        <v>136916</v>
      </c>
      <c r="AS800" s="122">
        <v>50709</v>
      </c>
      <c r="AT800">
        <v>0</v>
      </c>
      <c r="AU800">
        <v>0</v>
      </c>
      <c r="AV800" s="122">
        <v>294311</v>
      </c>
    </row>
    <row r="801" spans="2:48" hidden="1">
      <c r="B801" t="s">
        <v>367</v>
      </c>
      <c r="C801" t="s">
        <v>58</v>
      </c>
      <c r="D801" t="s">
        <v>433</v>
      </c>
      <c r="E801" t="s">
        <v>433</v>
      </c>
      <c r="F801">
        <v>1</v>
      </c>
      <c r="G801" s="122">
        <v>141</v>
      </c>
      <c r="H801" s="122">
        <v>278</v>
      </c>
      <c r="I801" s="122">
        <v>23799</v>
      </c>
      <c r="J801" s="122">
        <v>21635</v>
      </c>
      <c r="K801">
        <v>65</v>
      </c>
      <c r="L801" s="122">
        <v>4219</v>
      </c>
      <c r="M801" s="122">
        <v>1563</v>
      </c>
      <c r="N801" s="122">
        <v>2467</v>
      </c>
      <c r="O801" s="122">
        <v>914</v>
      </c>
      <c r="P801" s="122">
        <v>351</v>
      </c>
      <c r="Q801">
        <v>130</v>
      </c>
      <c r="R801" s="122">
        <v>5263</v>
      </c>
      <c r="S801" s="122">
        <v>4785</v>
      </c>
      <c r="T801" s="122">
        <v>3049</v>
      </c>
      <c r="U801" s="122">
        <v>1129</v>
      </c>
      <c r="V801" s="122">
        <v>30155</v>
      </c>
      <c r="W801" s="122">
        <f t="shared" si="24"/>
        <v>30156</v>
      </c>
      <c r="X801" s="122">
        <f t="shared" si="25"/>
        <v>39148</v>
      </c>
      <c r="Y801" s="122"/>
      <c r="AA801" t="s">
        <v>56</v>
      </c>
      <c r="AB801" t="s">
        <v>137</v>
      </c>
      <c r="AC801" t="s">
        <v>405</v>
      </c>
      <c r="AD801" t="s">
        <v>405</v>
      </c>
      <c r="AE801" t="s">
        <v>137</v>
      </c>
      <c r="AF801">
        <v>1</v>
      </c>
      <c r="AG801">
        <v>352</v>
      </c>
      <c r="AH801">
        <v>200</v>
      </c>
      <c r="AI801" s="122">
        <v>48934</v>
      </c>
      <c r="AJ801" s="122">
        <v>18124</v>
      </c>
      <c r="AK801">
        <v>320</v>
      </c>
      <c r="AL801" s="122">
        <v>7655</v>
      </c>
      <c r="AM801" s="122">
        <v>6959</v>
      </c>
      <c r="AN801" s="122">
        <v>4285</v>
      </c>
      <c r="AO801" s="122">
        <v>1587</v>
      </c>
      <c r="AP801" s="122">
        <v>4263</v>
      </c>
      <c r="AQ801" s="122">
        <v>1579</v>
      </c>
      <c r="AR801" s="122">
        <v>5139</v>
      </c>
      <c r="AS801" s="122">
        <v>4672</v>
      </c>
      <c r="AT801">
        <v>0</v>
      </c>
      <c r="AU801">
        <v>0</v>
      </c>
      <c r="AV801" s="122">
        <v>32920</v>
      </c>
    </row>
    <row r="802" spans="2:48" hidden="1">
      <c r="B802" t="s">
        <v>367</v>
      </c>
      <c r="C802" t="s">
        <v>58</v>
      </c>
      <c r="D802" t="s">
        <v>408</v>
      </c>
      <c r="E802" t="s">
        <v>408</v>
      </c>
      <c r="F802">
        <v>2</v>
      </c>
      <c r="G802">
        <v>272</v>
      </c>
      <c r="H802">
        <v>494</v>
      </c>
      <c r="I802" s="122">
        <v>41017</v>
      </c>
      <c r="J802" s="122">
        <v>37288</v>
      </c>
      <c r="K802">
        <v>74</v>
      </c>
      <c r="L802" s="122">
        <v>5353</v>
      </c>
      <c r="M802" s="122">
        <v>4647</v>
      </c>
      <c r="N802" s="122">
        <v>6625</v>
      </c>
      <c r="O802" s="122">
        <v>2454</v>
      </c>
      <c r="P802">
        <v>702</v>
      </c>
      <c r="Q802">
        <v>260</v>
      </c>
      <c r="R802" s="122">
        <v>8541</v>
      </c>
      <c r="S802" s="122">
        <v>7765</v>
      </c>
      <c r="T802" s="122">
        <v>4920</v>
      </c>
      <c r="U802" s="122">
        <v>1822</v>
      </c>
      <c r="V802" s="122">
        <v>54235</v>
      </c>
      <c r="W802" s="122">
        <f t="shared" si="24"/>
        <v>54236</v>
      </c>
      <c r="X802" s="122">
        <f t="shared" si="25"/>
        <v>67158</v>
      </c>
      <c r="Y802" s="122"/>
      <c r="AA802" t="s">
        <v>56</v>
      </c>
      <c r="AB802" t="s">
        <v>137</v>
      </c>
      <c r="AC802" t="s">
        <v>405</v>
      </c>
      <c r="AD802" t="s">
        <v>405</v>
      </c>
      <c r="AE802" t="s">
        <v>566</v>
      </c>
      <c r="AF802">
        <v>1</v>
      </c>
      <c r="AG802">
        <v>428</v>
      </c>
      <c r="AH802">
        <v>201</v>
      </c>
      <c r="AI802" s="122">
        <v>66922</v>
      </c>
      <c r="AJ802" s="122">
        <v>24786</v>
      </c>
      <c r="AK802">
        <v>100</v>
      </c>
      <c r="AL802" s="122">
        <v>3307</v>
      </c>
      <c r="AM802" s="122">
        <v>3007</v>
      </c>
      <c r="AN802" s="122">
        <v>9396</v>
      </c>
      <c r="AO802" s="122">
        <v>3480</v>
      </c>
      <c r="AP802" s="122">
        <v>473</v>
      </c>
      <c r="AQ802">
        <v>175</v>
      </c>
      <c r="AR802" s="122">
        <v>5852</v>
      </c>
      <c r="AS802" s="122">
        <v>5320</v>
      </c>
      <c r="AT802" s="122">
        <v>0</v>
      </c>
      <c r="AU802" s="122">
        <v>0</v>
      </c>
      <c r="AV802" s="122">
        <v>36767</v>
      </c>
    </row>
    <row r="803" spans="2:48" hidden="1">
      <c r="B803" t="s">
        <v>367</v>
      </c>
      <c r="C803" t="s">
        <v>58</v>
      </c>
      <c r="D803" t="s">
        <v>429</v>
      </c>
      <c r="E803" t="s">
        <v>429</v>
      </c>
      <c r="F803">
        <v>1</v>
      </c>
      <c r="G803">
        <v>155</v>
      </c>
      <c r="H803" s="122">
        <v>247</v>
      </c>
      <c r="I803" s="122">
        <v>23385</v>
      </c>
      <c r="J803" s="122">
        <v>21259</v>
      </c>
      <c r="K803">
        <v>65</v>
      </c>
      <c r="L803" s="122">
        <v>3071</v>
      </c>
      <c r="M803" s="122">
        <v>2559</v>
      </c>
      <c r="N803" s="122">
        <v>2204</v>
      </c>
      <c r="O803" s="122">
        <v>816</v>
      </c>
      <c r="P803" s="122">
        <v>351</v>
      </c>
      <c r="Q803">
        <v>130</v>
      </c>
      <c r="R803" s="122">
        <v>9250</v>
      </c>
      <c r="S803" s="122">
        <v>8409</v>
      </c>
      <c r="T803" s="122">
        <v>0</v>
      </c>
      <c r="U803" s="122">
        <v>0</v>
      </c>
      <c r="V803" s="122">
        <v>33173</v>
      </c>
      <c r="W803" s="122">
        <f t="shared" si="24"/>
        <v>33173</v>
      </c>
      <c r="X803" s="122">
        <f t="shared" si="25"/>
        <v>38261</v>
      </c>
      <c r="Y803" s="122"/>
      <c r="AA803" t="s">
        <v>56</v>
      </c>
      <c r="AB803" t="s">
        <v>137</v>
      </c>
      <c r="AC803" t="s">
        <v>405</v>
      </c>
      <c r="AD803" t="s">
        <v>137</v>
      </c>
      <c r="AE803" t="s">
        <v>137</v>
      </c>
      <c r="AF803">
        <v>2</v>
      </c>
      <c r="AG803">
        <v>533</v>
      </c>
      <c r="AH803">
        <v>350</v>
      </c>
      <c r="AI803" s="122">
        <v>44984</v>
      </c>
      <c r="AJ803" s="122">
        <v>16661</v>
      </c>
      <c r="AK803">
        <v>315</v>
      </c>
      <c r="AL803" s="122">
        <v>7734</v>
      </c>
      <c r="AM803" s="122">
        <v>7031</v>
      </c>
      <c r="AN803" s="122">
        <v>12804</v>
      </c>
      <c r="AO803" s="122">
        <v>4742</v>
      </c>
      <c r="AP803" s="122">
        <v>2349</v>
      </c>
      <c r="AQ803" s="122">
        <v>870</v>
      </c>
      <c r="AR803" s="122">
        <v>18249</v>
      </c>
      <c r="AS803" s="122">
        <v>6759</v>
      </c>
      <c r="AT803" s="122">
        <v>4876</v>
      </c>
      <c r="AU803" s="122">
        <v>1806</v>
      </c>
      <c r="AV803" s="122">
        <v>37869</v>
      </c>
    </row>
    <row r="804" spans="2:48" hidden="1">
      <c r="B804" t="s">
        <v>367</v>
      </c>
      <c r="C804" t="s">
        <v>60</v>
      </c>
      <c r="F804">
        <v>2</v>
      </c>
      <c r="G804" s="122">
        <v>149</v>
      </c>
      <c r="H804" s="122">
        <v>649</v>
      </c>
      <c r="I804" s="122"/>
      <c r="J804" s="122">
        <v>0</v>
      </c>
      <c r="L804" s="122"/>
      <c r="M804" s="122">
        <v>0</v>
      </c>
      <c r="N804" s="122">
        <v>4089</v>
      </c>
      <c r="O804" s="122">
        <v>1515</v>
      </c>
      <c r="P804" s="122">
        <v>945</v>
      </c>
      <c r="Q804" s="122">
        <v>350</v>
      </c>
      <c r="R804" s="122"/>
      <c r="S804" s="122">
        <v>0</v>
      </c>
      <c r="T804" s="122">
        <v>0</v>
      </c>
      <c r="U804" s="122">
        <v>0</v>
      </c>
      <c r="V804" s="122">
        <v>1865</v>
      </c>
      <c r="W804" s="122">
        <f t="shared" si="24"/>
        <v>1865</v>
      </c>
      <c r="X804" s="122">
        <f t="shared" si="25"/>
        <v>5034</v>
      </c>
      <c r="Y804" s="122"/>
      <c r="AA804" t="s">
        <v>56</v>
      </c>
      <c r="AB804" t="s">
        <v>137</v>
      </c>
      <c r="AC804" t="s">
        <v>405</v>
      </c>
      <c r="AD804" t="s">
        <v>137</v>
      </c>
      <c r="AE804" t="s">
        <v>566</v>
      </c>
      <c r="AF804">
        <v>3</v>
      </c>
      <c r="AG804">
        <v>557</v>
      </c>
      <c r="AH804">
        <v>493</v>
      </c>
      <c r="AI804" s="122">
        <v>45297</v>
      </c>
      <c r="AJ804" s="122">
        <v>16777</v>
      </c>
      <c r="AK804">
        <v>266</v>
      </c>
      <c r="AL804" s="122">
        <v>14182</v>
      </c>
      <c r="AM804" s="122">
        <v>12893</v>
      </c>
      <c r="AN804" s="122">
        <v>14128</v>
      </c>
      <c r="AO804" s="122">
        <v>5233</v>
      </c>
      <c r="AP804" s="122">
        <v>4104</v>
      </c>
      <c r="AQ804" s="122">
        <v>1520</v>
      </c>
      <c r="AR804" s="122">
        <v>19723</v>
      </c>
      <c r="AS804" s="122">
        <v>7305</v>
      </c>
      <c r="AT804">
        <v>0</v>
      </c>
      <c r="AU804">
        <v>0</v>
      </c>
      <c r="AV804" s="122">
        <v>43727</v>
      </c>
    </row>
    <row r="805" spans="2:48" hidden="1">
      <c r="B805" t="s">
        <v>367</v>
      </c>
      <c r="C805" t="s">
        <v>60</v>
      </c>
      <c r="D805" t="s">
        <v>405</v>
      </c>
      <c r="E805" t="s">
        <v>405</v>
      </c>
      <c r="F805">
        <v>9</v>
      </c>
      <c r="G805" s="122">
        <v>1674</v>
      </c>
      <c r="H805" s="122">
        <v>3109</v>
      </c>
      <c r="I805" s="122">
        <v>400758</v>
      </c>
      <c r="J805" s="122">
        <v>364325</v>
      </c>
      <c r="K805">
        <v>81</v>
      </c>
      <c r="L805" s="122">
        <v>107445</v>
      </c>
      <c r="M805" s="122">
        <v>90876</v>
      </c>
      <c r="N805" s="122">
        <v>31729</v>
      </c>
      <c r="O805" s="122">
        <v>11751</v>
      </c>
      <c r="P805" s="122">
        <v>4280</v>
      </c>
      <c r="Q805" s="122">
        <v>1585</v>
      </c>
      <c r="R805" s="122">
        <v>57699</v>
      </c>
      <c r="S805" s="122">
        <v>52454</v>
      </c>
      <c r="T805" s="122">
        <v>3652</v>
      </c>
      <c r="U805" s="122">
        <v>1353</v>
      </c>
      <c r="V805" s="122">
        <v>522344</v>
      </c>
      <c r="W805" s="122">
        <f t="shared" si="24"/>
        <v>522344</v>
      </c>
      <c r="X805" s="122">
        <f t="shared" si="25"/>
        <v>605563</v>
      </c>
      <c r="Y805" s="122"/>
      <c r="AA805" t="s">
        <v>56</v>
      </c>
      <c r="AB805" t="s">
        <v>137</v>
      </c>
      <c r="AC805" t="s">
        <v>137</v>
      </c>
      <c r="AD805" t="s">
        <v>137</v>
      </c>
      <c r="AE805" t="s">
        <v>137</v>
      </c>
      <c r="AF805">
        <v>4</v>
      </c>
      <c r="AG805" s="122">
        <v>860</v>
      </c>
      <c r="AH805" s="122">
        <v>796</v>
      </c>
      <c r="AI805" s="122">
        <v>114245</v>
      </c>
      <c r="AJ805" s="122">
        <v>42313</v>
      </c>
      <c r="AK805">
        <v>131</v>
      </c>
      <c r="AL805" s="122">
        <v>17320</v>
      </c>
      <c r="AM805" s="122">
        <v>6415</v>
      </c>
      <c r="AN805" s="122">
        <v>22716</v>
      </c>
      <c r="AO805" s="122">
        <v>8413</v>
      </c>
      <c r="AP805" s="122">
        <v>351</v>
      </c>
      <c r="AQ805" s="122">
        <v>130</v>
      </c>
      <c r="AR805" s="122">
        <v>47290</v>
      </c>
      <c r="AS805" s="122">
        <v>17515</v>
      </c>
      <c r="AT805">
        <v>0</v>
      </c>
      <c r="AU805">
        <v>0</v>
      </c>
      <c r="AV805" s="122">
        <v>74786</v>
      </c>
    </row>
    <row r="806" spans="2:48" hidden="1">
      <c r="B806" t="s">
        <v>367</v>
      </c>
      <c r="C806" t="s">
        <v>60</v>
      </c>
      <c r="D806" t="s">
        <v>137</v>
      </c>
      <c r="E806" t="s">
        <v>137</v>
      </c>
      <c r="F806" s="122">
        <v>52</v>
      </c>
      <c r="G806" s="122">
        <v>5340</v>
      </c>
      <c r="H806" s="122">
        <v>17933</v>
      </c>
      <c r="I806" s="122">
        <v>1148206</v>
      </c>
      <c r="J806" s="122">
        <v>425262</v>
      </c>
      <c r="K806">
        <v>104</v>
      </c>
      <c r="L806" s="122">
        <v>209494</v>
      </c>
      <c r="M806" s="122">
        <v>148207</v>
      </c>
      <c r="N806" s="122">
        <v>117385</v>
      </c>
      <c r="O806" s="122">
        <v>43476</v>
      </c>
      <c r="P806" s="122">
        <v>351</v>
      </c>
      <c r="Q806" s="122">
        <v>130</v>
      </c>
      <c r="R806" s="122">
        <v>391893</v>
      </c>
      <c r="S806" s="122">
        <v>145145</v>
      </c>
      <c r="T806" s="122">
        <v>0</v>
      </c>
      <c r="U806" s="122">
        <v>0</v>
      </c>
      <c r="V806" s="122">
        <v>762219</v>
      </c>
      <c r="W806" s="122">
        <f t="shared" si="24"/>
        <v>762220</v>
      </c>
      <c r="X806" s="122">
        <f t="shared" si="25"/>
        <v>1867329</v>
      </c>
      <c r="Y806" s="122"/>
      <c r="AA806" t="s">
        <v>56</v>
      </c>
      <c r="AB806" t="s">
        <v>137</v>
      </c>
      <c r="AC806" t="s">
        <v>137</v>
      </c>
      <c r="AD806" t="s">
        <v>137</v>
      </c>
      <c r="AE806" t="s">
        <v>566</v>
      </c>
      <c r="AF806">
        <v>58</v>
      </c>
      <c r="AG806" s="122">
        <v>10566</v>
      </c>
      <c r="AH806" s="122">
        <v>11787</v>
      </c>
      <c r="AI806" s="122">
        <v>1215328</v>
      </c>
      <c r="AJ806" s="122">
        <v>450122</v>
      </c>
      <c r="AK806">
        <v>120</v>
      </c>
      <c r="AL806" s="122">
        <v>240934</v>
      </c>
      <c r="AM806" s="122">
        <v>89235</v>
      </c>
      <c r="AN806" s="122">
        <v>224699</v>
      </c>
      <c r="AO806" s="122">
        <v>83222</v>
      </c>
      <c r="AP806" s="122">
        <v>12045</v>
      </c>
      <c r="AQ806" s="122">
        <v>4461</v>
      </c>
      <c r="AR806" s="122">
        <v>523617</v>
      </c>
      <c r="AS806" s="122">
        <v>193932</v>
      </c>
      <c r="AT806">
        <v>0</v>
      </c>
      <c r="AU806">
        <v>0</v>
      </c>
      <c r="AV806" s="122">
        <v>820972</v>
      </c>
    </row>
    <row r="807" spans="2:48" hidden="1">
      <c r="B807" t="s">
        <v>367</v>
      </c>
      <c r="C807" t="s">
        <v>60</v>
      </c>
      <c r="D807" t="s">
        <v>137</v>
      </c>
      <c r="E807" t="s">
        <v>556</v>
      </c>
      <c r="F807">
        <v>1</v>
      </c>
      <c r="G807">
        <v>188</v>
      </c>
      <c r="H807" s="122">
        <v>327</v>
      </c>
      <c r="I807" s="122">
        <v>49809</v>
      </c>
      <c r="J807" s="122">
        <v>18448</v>
      </c>
      <c r="K807">
        <v>100</v>
      </c>
      <c r="L807" s="122">
        <v>3904</v>
      </c>
      <c r="M807" s="122">
        <v>3254</v>
      </c>
      <c r="N807" s="122">
        <v>2289</v>
      </c>
      <c r="O807" s="122">
        <v>848</v>
      </c>
      <c r="P807" s="122">
        <v>0</v>
      </c>
      <c r="Q807">
        <v>0</v>
      </c>
      <c r="R807" s="122">
        <v>5455</v>
      </c>
      <c r="S807" s="122">
        <v>4546</v>
      </c>
      <c r="T807" s="122">
        <v>0</v>
      </c>
      <c r="U807" s="122">
        <v>0</v>
      </c>
      <c r="V807" s="122">
        <v>27095</v>
      </c>
      <c r="W807" s="122">
        <f t="shared" si="24"/>
        <v>27096</v>
      </c>
      <c r="X807" s="122">
        <f t="shared" si="25"/>
        <v>61457</v>
      </c>
      <c r="Y807" s="122"/>
      <c r="AA807" t="s">
        <v>56</v>
      </c>
      <c r="AB807" t="s">
        <v>137</v>
      </c>
      <c r="AC807" t="s">
        <v>137</v>
      </c>
      <c r="AD807" t="s">
        <v>426</v>
      </c>
      <c r="AE807" t="s">
        <v>566</v>
      </c>
      <c r="AF807">
        <v>1</v>
      </c>
      <c r="AG807" s="122">
        <v>169</v>
      </c>
      <c r="AH807" s="122">
        <v>220</v>
      </c>
      <c r="AI807" s="122">
        <v>20241</v>
      </c>
      <c r="AJ807" s="122">
        <v>7497</v>
      </c>
      <c r="AK807">
        <v>100</v>
      </c>
      <c r="AL807" s="122">
        <v>8012</v>
      </c>
      <c r="AM807" s="122">
        <v>2967</v>
      </c>
      <c r="AN807" s="122">
        <v>4111</v>
      </c>
      <c r="AO807" s="122">
        <v>1523</v>
      </c>
      <c r="AP807" s="122">
        <v>621</v>
      </c>
      <c r="AQ807" s="122">
        <v>230</v>
      </c>
      <c r="AR807" s="122">
        <v>4183</v>
      </c>
      <c r="AS807" s="122">
        <v>3802</v>
      </c>
      <c r="AT807">
        <v>0</v>
      </c>
      <c r="AU807">
        <v>0</v>
      </c>
      <c r="AV807" s="122">
        <v>16019</v>
      </c>
    </row>
    <row r="808" spans="2:48" hidden="1">
      <c r="B808" t="s">
        <v>367</v>
      </c>
      <c r="C808" t="s">
        <v>60</v>
      </c>
      <c r="D808" t="s">
        <v>406</v>
      </c>
      <c r="E808" t="s">
        <v>137</v>
      </c>
      <c r="F808">
        <v>9</v>
      </c>
      <c r="G808" s="122">
        <v>1413</v>
      </c>
      <c r="H808" s="122">
        <v>3167</v>
      </c>
      <c r="I808" s="122">
        <v>301908</v>
      </c>
      <c r="J808" s="122">
        <v>274462</v>
      </c>
      <c r="K808">
        <v>75</v>
      </c>
      <c r="L808" s="122">
        <v>78236</v>
      </c>
      <c r="M808" s="122">
        <v>68105</v>
      </c>
      <c r="N808" s="122">
        <v>28799</v>
      </c>
      <c r="O808" s="122">
        <v>10666</v>
      </c>
      <c r="P808" s="122">
        <v>7346</v>
      </c>
      <c r="Q808" s="122">
        <v>2721</v>
      </c>
      <c r="R808" s="122">
        <v>85931</v>
      </c>
      <c r="S808" s="122">
        <v>31826</v>
      </c>
      <c r="T808">
        <v>0</v>
      </c>
      <c r="U808">
        <v>0</v>
      </c>
      <c r="V808" s="122">
        <v>387780</v>
      </c>
      <c r="W808" s="122">
        <f t="shared" si="24"/>
        <v>387780</v>
      </c>
      <c r="X808" s="122">
        <f t="shared" si="25"/>
        <v>502220</v>
      </c>
      <c r="Y808" s="122"/>
      <c r="AA808" t="s">
        <v>56</v>
      </c>
      <c r="AB808" t="s">
        <v>137</v>
      </c>
      <c r="AC808" t="s">
        <v>580</v>
      </c>
      <c r="AD808" t="s">
        <v>137</v>
      </c>
      <c r="AE808" t="s">
        <v>566</v>
      </c>
      <c r="AF808">
        <v>17</v>
      </c>
      <c r="AG808" s="122">
        <v>4388</v>
      </c>
      <c r="AH808" s="122">
        <v>2912</v>
      </c>
      <c r="AI808" s="122">
        <v>441576</v>
      </c>
      <c r="AJ808" s="122">
        <v>163547</v>
      </c>
      <c r="AK808">
        <v>260</v>
      </c>
      <c r="AL808" s="122">
        <v>55274</v>
      </c>
      <c r="AM808" s="122">
        <v>50249</v>
      </c>
      <c r="AN808" s="122">
        <v>91572</v>
      </c>
      <c r="AO808" s="122">
        <v>33916</v>
      </c>
      <c r="AP808" s="122">
        <v>20460</v>
      </c>
      <c r="AQ808" s="122">
        <v>7578</v>
      </c>
      <c r="AR808" s="122">
        <v>138944</v>
      </c>
      <c r="AS808" s="122">
        <v>51461</v>
      </c>
      <c r="AT808" s="122">
        <v>0</v>
      </c>
      <c r="AU808" s="122">
        <v>0</v>
      </c>
      <c r="AV808" s="122">
        <v>306750</v>
      </c>
    </row>
    <row r="809" spans="2:48" hidden="1">
      <c r="B809" t="s">
        <v>367</v>
      </c>
      <c r="C809" t="s">
        <v>60</v>
      </c>
      <c r="D809" t="s">
        <v>406</v>
      </c>
      <c r="E809" t="s">
        <v>406</v>
      </c>
      <c r="F809">
        <v>891</v>
      </c>
      <c r="G809" s="122">
        <v>137008</v>
      </c>
      <c r="H809" s="122">
        <v>303009</v>
      </c>
      <c r="I809" s="122">
        <v>29780076</v>
      </c>
      <c r="J809" s="122">
        <v>27072796</v>
      </c>
      <c r="K809">
        <v>77</v>
      </c>
      <c r="L809" s="122">
        <v>7504036</v>
      </c>
      <c r="M809" s="122">
        <v>6386190</v>
      </c>
      <c r="N809" s="122">
        <v>2989690</v>
      </c>
      <c r="O809" s="122">
        <v>1107293</v>
      </c>
      <c r="P809" s="122">
        <v>557781</v>
      </c>
      <c r="Q809" s="122">
        <v>206586</v>
      </c>
      <c r="R809" s="122">
        <v>5200339</v>
      </c>
      <c r="S809" s="122">
        <v>4727581</v>
      </c>
      <c r="T809" s="122">
        <v>1546268</v>
      </c>
      <c r="U809" s="122">
        <v>572692</v>
      </c>
      <c r="V809" s="122">
        <v>40073137</v>
      </c>
      <c r="W809" s="122">
        <f t="shared" si="24"/>
        <v>40073138</v>
      </c>
      <c r="X809" s="122">
        <f t="shared" si="25"/>
        <v>47578190</v>
      </c>
      <c r="Y809" s="122"/>
      <c r="AA809" t="s">
        <v>56</v>
      </c>
      <c r="AB809" t="s">
        <v>137</v>
      </c>
      <c r="AC809" t="s">
        <v>580</v>
      </c>
      <c r="AD809" t="s">
        <v>406</v>
      </c>
      <c r="AE809" t="s">
        <v>137</v>
      </c>
      <c r="AF809">
        <v>2</v>
      </c>
      <c r="AG809">
        <v>518</v>
      </c>
      <c r="AH809">
        <v>409</v>
      </c>
      <c r="AI809" s="122">
        <v>60122</v>
      </c>
      <c r="AJ809" s="122">
        <v>22267</v>
      </c>
      <c r="AK809">
        <v>310</v>
      </c>
      <c r="AL809" s="122">
        <v>8950</v>
      </c>
      <c r="AM809" s="122">
        <v>8137</v>
      </c>
      <c r="AN809" s="122">
        <v>10831</v>
      </c>
      <c r="AO809" s="122">
        <v>4012</v>
      </c>
      <c r="AP809" s="122">
        <v>1323</v>
      </c>
      <c r="AQ809" s="122">
        <v>490</v>
      </c>
      <c r="AR809" s="122">
        <v>14523</v>
      </c>
      <c r="AS809" s="122">
        <v>13203</v>
      </c>
      <c r="AT809" s="122">
        <v>9010</v>
      </c>
      <c r="AU809" s="122">
        <v>3337</v>
      </c>
      <c r="AV809" s="122">
        <v>51445</v>
      </c>
    </row>
    <row r="810" spans="2:48" hidden="1">
      <c r="B810" t="s">
        <v>367</v>
      </c>
      <c r="C810" t="s">
        <v>60</v>
      </c>
      <c r="D810" t="s">
        <v>406</v>
      </c>
      <c r="E810" t="s">
        <v>427</v>
      </c>
      <c r="F810">
        <v>1</v>
      </c>
      <c r="G810" s="122">
        <v>115</v>
      </c>
      <c r="H810" s="122">
        <v>306</v>
      </c>
      <c r="I810" s="122">
        <v>14256</v>
      </c>
      <c r="J810" s="122">
        <v>12960</v>
      </c>
      <c r="K810">
        <v>80</v>
      </c>
      <c r="L810" s="122">
        <v>2404</v>
      </c>
      <c r="M810" s="122">
        <v>2186</v>
      </c>
      <c r="N810" s="122">
        <v>2642</v>
      </c>
      <c r="O810" s="122">
        <v>978</v>
      </c>
      <c r="P810" s="122">
        <v>621</v>
      </c>
      <c r="Q810" s="122">
        <v>230</v>
      </c>
      <c r="R810" s="122">
        <v>10319</v>
      </c>
      <c r="S810" s="122">
        <v>9381</v>
      </c>
      <c r="T810" s="122">
        <v>4839</v>
      </c>
      <c r="U810" s="122">
        <v>1792</v>
      </c>
      <c r="V810" s="122">
        <v>27527</v>
      </c>
      <c r="W810" s="122">
        <f t="shared" si="24"/>
        <v>27527</v>
      </c>
      <c r="X810" s="122">
        <f t="shared" si="25"/>
        <v>35081</v>
      </c>
      <c r="Y810" s="122"/>
      <c r="AA810" t="s">
        <v>56</v>
      </c>
      <c r="AB810" t="s">
        <v>137</v>
      </c>
      <c r="AC810" t="s">
        <v>580</v>
      </c>
      <c r="AD810" t="s">
        <v>406</v>
      </c>
      <c r="AE810" t="s">
        <v>566</v>
      </c>
      <c r="AF810">
        <v>1</v>
      </c>
      <c r="AG810">
        <v>408</v>
      </c>
      <c r="AH810">
        <v>180</v>
      </c>
      <c r="AI810" s="122">
        <v>53771</v>
      </c>
      <c r="AJ810" s="122">
        <v>19915</v>
      </c>
      <c r="AK810">
        <v>100</v>
      </c>
      <c r="AL810" s="122">
        <v>2617</v>
      </c>
      <c r="AM810" s="122">
        <v>2379</v>
      </c>
      <c r="AN810" s="122">
        <v>5614</v>
      </c>
      <c r="AO810" s="122">
        <v>2079</v>
      </c>
      <c r="AP810" s="122">
        <v>4401</v>
      </c>
      <c r="AQ810" s="122">
        <v>1630</v>
      </c>
      <c r="AR810" s="122">
        <v>7088</v>
      </c>
      <c r="AS810" s="122">
        <v>6444</v>
      </c>
      <c r="AT810">
        <v>0</v>
      </c>
      <c r="AU810">
        <v>0</v>
      </c>
      <c r="AV810" s="122">
        <v>32448</v>
      </c>
    </row>
    <row r="811" spans="2:48" hidden="1">
      <c r="B811" t="s">
        <v>367</v>
      </c>
      <c r="C811" t="s">
        <v>60</v>
      </c>
      <c r="D811" t="s">
        <v>406</v>
      </c>
      <c r="E811" t="s">
        <v>407</v>
      </c>
      <c r="F811">
        <v>2</v>
      </c>
      <c r="G811">
        <v>298</v>
      </c>
      <c r="H811">
        <v>667</v>
      </c>
      <c r="I811" s="122">
        <v>70244</v>
      </c>
      <c r="J811" s="122">
        <v>63858</v>
      </c>
      <c r="K811">
        <v>75</v>
      </c>
      <c r="L811" s="122">
        <v>7514</v>
      </c>
      <c r="M811" s="122">
        <v>6831</v>
      </c>
      <c r="N811" s="122">
        <v>6869</v>
      </c>
      <c r="O811" s="122">
        <v>2544</v>
      </c>
      <c r="P811" s="122">
        <v>1364</v>
      </c>
      <c r="Q811">
        <v>505</v>
      </c>
      <c r="R811" s="122">
        <v>9747</v>
      </c>
      <c r="S811" s="122">
        <v>8861</v>
      </c>
      <c r="T811" s="122">
        <v>1745</v>
      </c>
      <c r="U811">
        <v>646</v>
      </c>
      <c r="V811" s="122">
        <v>83245</v>
      </c>
      <c r="W811" s="122">
        <f t="shared" si="24"/>
        <v>83245</v>
      </c>
      <c r="X811" s="122">
        <f t="shared" si="25"/>
        <v>97483</v>
      </c>
      <c r="Y811" s="122"/>
      <c r="AA811" t="s">
        <v>56</v>
      </c>
      <c r="AB811" t="s">
        <v>137</v>
      </c>
      <c r="AC811" t="s">
        <v>427</v>
      </c>
      <c r="AD811" t="s">
        <v>137</v>
      </c>
      <c r="AE811" t="s">
        <v>137</v>
      </c>
      <c r="AF811">
        <v>1</v>
      </c>
      <c r="AG811" s="122">
        <v>360</v>
      </c>
      <c r="AH811" s="122">
        <v>190</v>
      </c>
      <c r="AI811" s="122">
        <v>39916</v>
      </c>
      <c r="AJ811" s="122">
        <v>14784</v>
      </c>
      <c r="AK811">
        <v>320</v>
      </c>
      <c r="AL811" s="122">
        <v>13491</v>
      </c>
      <c r="AM811" s="122">
        <v>12265</v>
      </c>
      <c r="AN811" s="122">
        <v>8238</v>
      </c>
      <c r="AO811" s="122">
        <v>3051</v>
      </c>
      <c r="AP811" s="122">
        <v>702</v>
      </c>
      <c r="AQ811" s="122">
        <v>260</v>
      </c>
      <c r="AR811" s="122">
        <v>5874</v>
      </c>
      <c r="AS811" s="122">
        <v>2175</v>
      </c>
      <c r="AT811">
        <v>0</v>
      </c>
      <c r="AU811">
        <v>0</v>
      </c>
      <c r="AV811" s="122">
        <v>32535</v>
      </c>
    </row>
    <row r="812" spans="2:48" hidden="1">
      <c r="B812" t="s">
        <v>367</v>
      </c>
      <c r="C812" t="s">
        <v>60</v>
      </c>
      <c r="D812" t="s">
        <v>427</v>
      </c>
      <c r="E812" t="s">
        <v>427</v>
      </c>
      <c r="F812">
        <v>2</v>
      </c>
      <c r="G812" s="122">
        <v>208</v>
      </c>
      <c r="H812" s="122">
        <v>744</v>
      </c>
      <c r="I812" s="122">
        <v>51521</v>
      </c>
      <c r="J812" s="122">
        <v>46837</v>
      </c>
      <c r="K812">
        <v>53</v>
      </c>
      <c r="L812" s="122">
        <v>4798</v>
      </c>
      <c r="M812" s="122">
        <v>1777</v>
      </c>
      <c r="N812" s="122">
        <v>4522</v>
      </c>
      <c r="O812" s="122">
        <v>1675</v>
      </c>
      <c r="P812" s="122">
        <v>351</v>
      </c>
      <c r="Q812" s="122">
        <v>130</v>
      </c>
      <c r="R812" s="122">
        <v>10725</v>
      </c>
      <c r="S812" s="122">
        <v>9750</v>
      </c>
      <c r="T812" s="122">
        <v>5512</v>
      </c>
      <c r="U812" s="122">
        <v>2041</v>
      </c>
      <c r="V812" s="122">
        <v>62210</v>
      </c>
      <c r="W812" s="122">
        <f t="shared" si="24"/>
        <v>62210</v>
      </c>
      <c r="X812" s="122">
        <f t="shared" si="25"/>
        <v>77429</v>
      </c>
      <c r="Y812" s="122"/>
      <c r="AA812" t="s">
        <v>56</v>
      </c>
      <c r="AB812" t="s">
        <v>137</v>
      </c>
      <c r="AC812" t="s">
        <v>427</v>
      </c>
      <c r="AD812" t="s">
        <v>137</v>
      </c>
      <c r="AE812" t="s">
        <v>566</v>
      </c>
      <c r="AF812">
        <v>30</v>
      </c>
      <c r="AG812" s="122">
        <v>6152</v>
      </c>
      <c r="AH812" s="122">
        <v>5581</v>
      </c>
      <c r="AI812" s="122">
        <v>645174</v>
      </c>
      <c r="AJ812" s="122">
        <v>238953</v>
      </c>
      <c r="AK812">
        <v>210</v>
      </c>
      <c r="AL812" s="122">
        <v>143382</v>
      </c>
      <c r="AM812" s="122">
        <v>130348</v>
      </c>
      <c r="AN812" s="122">
        <v>125847</v>
      </c>
      <c r="AO812" s="122">
        <v>46610</v>
      </c>
      <c r="AP812" s="122">
        <v>14657</v>
      </c>
      <c r="AQ812" s="122">
        <v>5429</v>
      </c>
      <c r="AR812" s="122">
        <v>243058</v>
      </c>
      <c r="AS812" s="122">
        <v>90022</v>
      </c>
      <c r="AT812">
        <v>0</v>
      </c>
      <c r="AU812">
        <v>0</v>
      </c>
      <c r="AV812" s="122">
        <v>511361</v>
      </c>
    </row>
    <row r="813" spans="2:48" hidden="1">
      <c r="B813" t="s">
        <v>367</v>
      </c>
      <c r="C813" t="s">
        <v>60</v>
      </c>
      <c r="D813" t="s">
        <v>407</v>
      </c>
      <c r="E813" t="s">
        <v>405</v>
      </c>
      <c r="F813" s="122">
        <v>1</v>
      </c>
      <c r="G813" s="122">
        <v>118</v>
      </c>
      <c r="H813" s="122">
        <v>319</v>
      </c>
      <c r="I813" s="122">
        <v>22147</v>
      </c>
      <c r="J813" s="122">
        <v>20134</v>
      </c>
      <c r="K813">
        <v>78</v>
      </c>
      <c r="L813" s="122">
        <v>6415</v>
      </c>
      <c r="M813" s="122">
        <v>5831</v>
      </c>
      <c r="N813" s="122">
        <v>2444</v>
      </c>
      <c r="O813" s="122">
        <v>905</v>
      </c>
      <c r="P813" s="122">
        <v>473</v>
      </c>
      <c r="Q813" s="122">
        <v>175</v>
      </c>
      <c r="R813" s="122">
        <v>6098</v>
      </c>
      <c r="S813" s="122">
        <v>5544</v>
      </c>
      <c r="T813" s="122">
        <v>0</v>
      </c>
      <c r="U813" s="122">
        <v>0</v>
      </c>
      <c r="V813" s="122">
        <v>32590</v>
      </c>
      <c r="W813" s="122">
        <f t="shared" si="24"/>
        <v>32589</v>
      </c>
      <c r="X813" s="122">
        <f t="shared" si="25"/>
        <v>37577</v>
      </c>
      <c r="Y813" s="122"/>
      <c r="AA813" t="s">
        <v>56</v>
      </c>
      <c r="AB813" t="s">
        <v>137</v>
      </c>
      <c r="AC813" t="s">
        <v>427</v>
      </c>
      <c r="AD813" t="s">
        <v>406</v>
      </c>
      <c r="AE813" t="s">
        <v>566</v>
      </c>
      <c r="AF813">
        <v>1</v>
      </c>
      <c r="AG813">
        <v>345</v>
      </c>
      <c r="AH813">
        <v>204</v>
      </c>
      <c r="AI813" s="122">
        <v>45669</v>
      </c>
      <c r="AJ813" s="122">
        <v>16914</v>
      </c>
      <c r="AK813">
        <v>398</v>
      </c>
      <c r="AL813" s="122">
        <v>27426</v>
      </c>
      <c r="AM813" s="122">
        <v>24933</v>
      </c>
      <c r="AN813" s="122">
        <v>5460</v>
      </c>
      <c r="AO813" s="122">
        <v>2022</v>
      </c>
      <c r="AP813" s="122">
        <v>1674</v>
      </c>
      <c r="AQ813" s="122">
        <v>620</v>
      </c>
      <c r="AR813" s="122">
        <v>2740</v>
      </c>
      <c r="AS813" s="122">
        <v>2491</v>
      </c>
      <c r="AT813">
        <v>0</v>
      </c>
      <c r="AU813">
        <v>0</v>
      </c>
      <c r="AV813" s="122">
        <v>46981</v>
      </c>
    </row>
    <row r="814" spans="2:48" hidden="1">
      <c r="B814" t="s">
        <v>367</v>
      </c>
      <c r="C814" t="s">
        <v>60</v>
      </c>
      <c r="D814" t="s">
        <v>407</v>
      </c>
      <c r="E814" t="s">
        <v>137</v>
      </c>
      <c r="F814">
        <v>5</v>
      </c>
      <c r="G814" s="122">
        <v>1346</v>
      </c>
      <c r="H814" s="122">
        <v>1718</v>
      </c>
      <c r="I814" s="122">
        <v>328939</v>
      </c>
      <c r="J814" s="122">
        <v>299035</v>
      </c>
      <c r="K814">
        <v>76</v>
      </c>
      <c r="L814" s="122">
        <v>77411</v>
      </c>
      <c r="M814" s="122">
        <v>68217</v>
      </c>
      <c r="N814" s="122">
        <v>23030</v>
      </c>
      <c r="O814" s="122">
        <v>8530</v>
      </c>
      <c r="P814" s="122">
        <v>15084</v>
      </c>
      <c r="Q814" s="122">
        <v>5587</v>
      </c>
      <c r="R814" s="122">
        <v>44421</v>
      </c>
      <c r="S814" s="122">
        <v>16452</v>
      </c>
      <c r="T814" s="122">
        <v>0</v>
      </c>
      <c r="U814" s="122">
        <v>0</v>
      </c>
      <c r="V814" s="122">
        <v>397821</v>
      </c>
      <c r="W814" s="122">
        <f t="shared" si="24"/>
        <v>397821</v>
      </c>
      <c r="X814" s="122">
        <f t="shared" si="25"/>
        <v>488885</v>
      </c>
      <c r="Y814" s="122"/>
      <c r="AA814" t="s">
        <v>56</v>
      </c>
      <c r="AB814" t="s">
        <v>137</v>
      </c>
      <c r="AC814" t="s">
        <v>407</v>
      </c>
      <c r="AD814" t="s">
        <v>137</v>
      </c>
      <c r="AE814" t="s">
        <v>137</v>
      </c>
      <c r="AF814">
        <v>1</v>
      </c>
      <c r="AG814">
        <v>264</v>
      </c>
      <c r="AH814">
        <v>167</v>
      </c>
      <c r="AI814" s="122">
        <v>19888</v>
      </c>
      <c r="AJ814" s="122">
        <v>7366</v>
      </c>
      <c r="AK814">
        <v>320</v>
      </c>
      <c r="AL814" s="122">
        <v>4573</v>
      </c>
      <c r="AM814" s="122">
        <v>4157</v>
      </c>
      <c r="AN814" s="122">
        <v>6434</v>
      </c>
      <c r="AO814" s="122">
        <v>2383</v>
      </c>
      <c r="AP814" s="122">
        <v>2923</v>
      </c>
      <c r="AQ814" s="122">
        <v>1083</v>
      </c>
      <c r="AR814" s="122">
        <v>10263</v>
      </c>
      <c r="AS814" s="122">
        <v>3801</v>
      </c>
      <c r="AT814">
        <v>0</v>
      </c>
      <c r="AU814">
        <v>0</v>
      </c>
      <c r="AV814" s="122">
        <v>18789</v>
      </c>
    </row>
    <row r="815" spans="2:48" hidden="1">
      <c r="B815" t="s">
        <v>367</v>
      </c>
      <c r="C815" t="s">
        <v>60</v>
      </c>
      <c r="D815" t="s">
        <v>407</v>
      </c>
      <c r="E815" t="s">
        <v>406</v>
      </c>
      <c r="F815">
        <v>2</v>
      </c>
      <c r="G815" s="122">
        <v>365</v>
      </c>
      <c r="H815" s="122">
        <v>710</v>
      </c>
      <c r="I815" s="122">
        <v>74750</v>
      </c>
      <c r="J815" s="122">
        <v>67955</v>
      </c>
      <c r="K815">
        <v>84</v>
      </c>
      <c r="L815" s="122">
        <v>28395</v>
      </c>
      <c r="M815" s="122">
        <v>24855</v>
      </c>
      <c r="N815" s="122">
        <v>8782</v>
      </c>
      <c r="O815" s="122">
        <v>3253</v>
      </c>
      <c r="P815" s="122">
        <v>945</v>
      </c>
      <c r="Q815" s="122">
        <v>350</v>
      </c>
      <c r="R815" s="122">
        <v>16525</v>
      </c>
      <c r="S815" s="122">
        <v>15023</v>
      </c>
      <c r="T815" s="122">
        <v>0</v>
      </c>
      <c r="U815" s="122">
        <v>0</v>
      </c>
      <c r="V815" s="122">
        <v>111435</v>
      </c>
      <c r="W815" s="122">
        <f t="shared" si="24"/>
        <v>111436</v>
      </c>
      <c r="X815" s="122">
        <f t="shared" si="25"/>
        <v>129397</v>
      </c>
      <c r="Y815" s="122"/>
      <c r="AA815" t="s">
        <v>56</v>
      </c>
      <c r="AB815" t="s">
        <v>137</v>
      </c>
      <c r="AC815" t="s">
        <v>407</v>
      </c>
      <c r="AD815" t="s">
        <v>137</v>
      </c>
      <c r="AE815" t="s">
        <v>566</v>
      </c>
      <c r="AF815">
        <v>4</v>
      </c>
      <c r="AG815">
        <v>868</v>
      </c>
      <c r="AH815">
        <v>652</v>
      </c>
      <c r="AI815" s="122">
        <v>72573</v>
      </c>
      <c r="AJ815" s="122">
        <v>26879</v>
      </c>
      <c r="AK815">
        <v>311</v>
      </c>
      <c r="AL815" s="122">
        <v>23266</v>
      </c>
      <c r="AM815" s="122">
        <v>21151</v>
      </c>
      <c r="AN815" s="122">
        <v>13732</v>
      </c>
      <c r="AO815" s="122">
        <v>5086</v>
      </c>
      <c r="AP815" s="122">
        <v>1053</v>
      </c>
      <c r="AQ815">
        <v>390</v>
      </c>
      <c r="AR815" s="122">
        <v>30341</v>
      </c>
      <c r="AS815" s="122">
        <v>11237</v>
      </c>
      <c r="AT815">
        <v>0</v>
      </c>
      <c r="AU815">
        <v>0</v>
      </c>
      <c r="AV815" s="122">
        <v>64744</v>
      </c>
    </row>
    <row r="816" spans="2:48" hidden="1">
      <c r="B816" t="s">
        <v>367</v>
      </c>
      <c r="C816" t="s">
        <v>60</v>
      </c>
      <c r="D816" t="s">
        <v>407</v>
      </c>
      <c r="E816" t="s">
        <v>427</v>
      </c>
      <c r="F816">
        <v>1</v>
      </c>
      <c r="G816" s="122">
        <v>128</v>
      </c>
      <c r="H816" s="122">
        <v>379</v>
      </c>
      <c r="I816" s="122">
        <v>36807</v>
      </c>
      <c r="J816" s="122">
        <v>33461</v>
      </c>
      <c r="K816">
        <v>78</v>
      </c>
      <c r="L816" s="122">
        <v>10101</v>
      </c>
      <c r="M816" s="122">
        <v>9183</v>
      </c>
      <c r="N816" s="122">
        <v>3567</v>
      </c>
      <c r="O816" s="122">
        <v>1321</v>
      </c>
      <c r="P816" s="122">
        <v>473</v>
      </c>
      <c r="Q816" s="122">
        <v>175</v>
      </c>
      <c r="R816" s="122">
        <v>6887</v>
      </c>
      <c r="S816" s="122">
        <v>6261</v>
      </c>
      <c r="T816" s="122">
        <v>0</v>
      </c>
      <c r="U816" s="122">
        <v>0</v>
      </c>
      <c r="V816" s="122">
        <v>50401</v>
      </c>
      <c r="W816" s="122">
        <f t="shared" si="24"/>
        <v>50401</v>
      </c>
      <c r="X816" s="122">
        <f t="shared" si="25"/>
        <v>57835</v>
      </c>
      <c r="Y816" s="122"/>
      <c r="AA816" t="s">
        <v>56</v>
      </c>
      <c r="AB816" t="s">
        <v>137</v>
      </c>
      <c r="AC816" t="s">
        <v>579</v>
      </c>
      <c r="AD816" t="s">
        <v>137</v>
      </c>
      <c r="AE816" t="s">
        <v>137</v>
      </c>
      <c r="AF816">
        <v>2</v>
      </c>
      <c r="AG816" s="122">
        <v>420</v>
      </c>
      <c r="AH816" s="122">
        <v>332</v>
      </c>
      <c r="AI816" s="122">
        <v>33962</v>
      </c>
      <c r="AJ816" s="122">
        <v>12579</v>
      </c>
      <c r="AK816">
        <v>346</v>
      </c>
      <c r="AL816" s="122">
        <v>13715</v>
      </c>
      <c r="AM816" s="122">
        <v>11429</v>
      </c>
      <c r="AN816" s="122">
        <v>9372</v>
      </c>
      <c r="AO816" s="122">
        <v>3471</v>
      </c>
      <c r="AP816" s="122">
        <v>702</v>
      </c>
      <c r="AQ816" s="122">
        <v>260</v>
      </c>
      <c r="AR816" s="122">
        <v>9861</v>
      </c>
      <c r="AS816" s="122">
        <v>3652</v>
      </c>
      <c r="AT816">
        <v>0</v>
      </c>
      <c r="AU816">
        <v>0</v>
      </c>
      <c r="AV816" s="122">
        <v>31391</v>
      </c>
    </row>
    <row r="817" spans="2:48" hidden="1">
      <c r="B817" t="s">
        <v>367</v>
      </c>
      <c r="C817" t="s">
        <v>60</v>
      </c>
      <c r="D817" t="s">
        <v>407</v>
      </c>
      <c r="E817" t="s">
        <v>407</v>
      </c>
      <c r="F817" s="122">
        <v>1660</v>
      </c>
      <c r="G817" s="122">
        <v>236350</v>
      </c>
      <c r="H817" s="122">
        <v>563910</v>
      </c>
      <c r="I817" s="122">
        <v>50897539</v>
      </c>
      <c r="J817" s="122">
        <v>46270490</v>
      </c>
      <c r="K817">
        <v>80</v>
      </c>
      <c r="L817" s="122">
        <v>14142004</v>
      </c>
      <c r="M817" s="122">
        <v>12402466</v>
      </c>
      <c r="N817" s="122">
        <v>5189811</v>
      </c>
      <c r="O817" s="122">
        <v>1922152</v>
      </c>
      <c r="P817" s="122">
        <v>796553</v>
      </c>
      <c r="Q817" s="122">
        <v>295020</v>
      </c>
      <c r="R817" s="122">
        <v>9124214</v>
      </c>
      <c r="S817" s="122">
        <v>8294740</v>
      </c>
      <c r="T817" s="122">
        <v>2295178</v>
      </c>
      <c r="U817" s="122">
        <v>850066</v>
      </c>
      <c r="V817" s="122">
        <v>70034934</v>
      </c>
      <c r="W817" s="122">
        <f t="shared" si="24"/>
        <v>70034934</v>
      </c>
      <c r="X817" s="122">
        <f t="shared" si="25"/>
        <v>82445299</v>
      </c>
      <c r="Y817" s="122"/>
      <c r="AA817" t="s">
        <v>56</v>
      </c>
      <c r="AB817" t="s">
        <v>137</v>
      </c>
      <c r="AC817" t="s">
        <v>579</v>
      </c>
      <c r="AD817" t="s">
        <v>137</v>
      </c>
      <c r="AE817" t="s">
        <v>566</v>
      </c>
      <c r="AF817">
        <v>39</v>
      </c>
      <c r="AG817" s="122">
        <v>8171</v>
      </c>
      <c r="AH817" s="122">
        <v>7415</v>
      </c>
      <c r="AI817" s="122">
        <v>838336</v>
      </c>
      <c r="AJ817" s="122">
        <v>310495</v>
      </c>
      <c r="AK817">
        <v>218</v>
      </c>
      <c r="AL817" s="122">
        <v>216563</v>
      </c>
      <c r="AM817" s="122">
        <v>180469</v>
      </c>
      <c r="AN817" s="122">
        <v>150634</v>
      </c>
      <c r="AO817" s="122">
        <v>55791</v>
      </c>
      <c r="AP817" s="122">
        <v>15860</v>
      </c>
      <c r="AQ817" s="122">
        <v>5874</v>
      </c>
      <c r="AR817" s="122">
        <v>338757</v>
      </c>
      <c r="AS817" s="122">
        <v>125465</v>
      </c>
      <c r="AT817">
        <v>0</v>
      </c>
      <c r="AU817">
        <v>0</v>
      </c>
      <c r="AV817" s="122">
        <v>678094</v>
      </c>
    </row>
    <row r="818" spans="2:48" hidden="1">
      <c r="B818" t="s">
        <v>367</v>
      </c>
      <c r="C818" t="s">
        <v>60</v>
      </c>
      <c r="D818" t="s">
        <v>407</v>
      </c>
      <c r="E818" t="s">
        <v>426</v>
      </c>
      <c r="F818">
        <v>1</v>
      </c>
      <c r="G818" s="122">
        <v>98</v>
      </c>
      <c r="H818" s="122">
        <v>311</v>
      </c>
      <c r="I818" s="122">
        <v>18789</v>
      </c>
      <c r="J818" s="122">
        <v>17081</v>
      </c>
      <c r="K818">
        <v>73</v>
      </c>
      <c r="L818" s="122">
        <v>4830</v>
      </c>
      <c r="M818" s="122">
        <v>4391</v>
      </c>
      <c r="N818" s="122">
        <v>1191</v>
      </c>
      <c r="O818" s="122">
        <v>441</v>
      </c>
      <c r="P818" s="122">
        <v>473</v>
      </c>
      <c r="Q818" s="122">
        <v>175</v>
      </c>
      <c r="R818" s="122">
        <v>2754</v>
      </c>
      <c r="S818" s="122">
        <v>2504</v>
      </c>
      <c r="T818" s="122">
        <v>2309</v>
      </c>
      <c r="U818" s="122">
        <v>855</v>
      </c>
      <c r="V818" s="122">
        <v>25447</v>
      </c>
      <c r="W818" s="122">
        <f t="shared" si="24"/>
        <v>25447</v>
      </c>
      <c r="X818" s="122">
        <f t="shared" si="25"/>
        <v>30346</v>
      </c>
      <c r="Y818" s="122"/>
      <c r="AA818" t="s">
        <v>56</v>
      </c>
      <c r="AB818" t="s">
        <v>137</v>
      </c>
      <c r="AC818" t="s">
        <v>579</v>
      </c>
      <c r="AD818" t="s">
        <v>407</v>
      </c>
      <c r="AE818" t="s">
        <v>137</v>
      </c>
      <c r="AF818">
        <v>1</v>
      </c>
      <c r="AG818">
        <v>460</v>
      </c>
      <c r="AH818">
        <v>173</v>
      </c>
      <c r="AI818" s="122">
        <v>50135</v>
      </c>
      <c r="AJ818" s="122">
        <v>18568</v>
      </c>
      <c r="AK818">
        <v>300</v>
      </c>
      <c r="AL818" s="122">
        <v>11427</v>
      </c>
      <c r="AM818" s="122">
        <v>9522</v>
      </c>
      <c r="AN818" s="122">
        <v>10767</v>
      </c>
      <c r="AO818" s="122">
        <v>3988</v>
      </c>
      <c r="AP818">
        <v>473</v>
      </c>
      <c r="AQ818">
        <v>175</v>
      </c>
      <c r="AR818" s="122">
        <v>6587</v>
      </c>
      <c r="AS818" s="122">
        <v>5988</v>
      </c>
      <c r="AT818">
        <v>0</v>
      </c>
      <c r="AU818">
        <v>0</v>
      </c>
      <c r="AV818" s="122">
        <v>38242</v>
      </c>
    </row>
    <row r="819" spans="2:48" hidden="1">
      <c r="B819" t="s">
        <v>367</v>
      </c>
      <c r="C819" t="s">
        <v>60</v>
      </c>
      <c r="D819" t="s">
        <v>556</v>
      </c>
      <c r="E819" t="s">
        <v>137</v>
      </c>
      <c r="F819">
        <v>1</v>
      </c>
      <c r="G819" s="122">
        <v>54</v>
      </c>
      <c r="H819" s="122">
        <v>356</v>
      </c>
      <c r="I819" s="122">
        <v>10853</v>
      </c>
      <c r="J819" s="122">
        <v>9044</v>
      </c>
      <c r="K819">
        <v>60</v>
      </c>
      <c r="L819" s="122">
        <v>1628</v>
      </c>
      <c r="M819" s="122">
        <v>603</v>
      </c>
      <c r="N819" s="122">
        <v>1320</v>
      </c>
      <c r="O819" s="122">
        <v>489</v>
      </c>
      <c r="P819" s="122">
        <v>0</v>
      </c>
      <c r="Q819" s="122">
        <v>0</v>
      </c>
      <c r="R819" s="122">
        <v>5475</v>
      </c>
      <c r="S819" s="122">
        <v>2028</v>
      </c>
      <c r="T819" s="122">
        <v>0</v>
      </c>
      <c r="U819" s="122">
        <v>0</v>
      </c>
      <c r="V819" s="122">
        <v>12164</v>
      </c>
      <c r="W819" s="122">
        <f t="shared" si="24"/>
        <v>12164</v>
      </c>
      <c r="X819" s="122">
        <f t="shared" si="25"/>
        <v>19276</v>
      </c>
      <c r="Y819" s="122"/>
      <c r="AA819" t="s">
        <v>56</v>
      </c>
      <c r="AB819" t="s">
        <v>137</v>
      </c>
      <c r="AC819" t="s">
        <v>428</v>
      </c>
      <c r="AD819" t="s">
        <v>137</v>
      </c>
      <c r="AE819" t="s">
        <v>566</v>
      </c>
      <c r="AF819">
        <v>2</v>
      </c>
      <c r="AG819">
        <v>516</v>
      </c>
      <c r="AH819">
        <v>313</v>
      </c>
      <c r="AI819" s="122">
        <v>37737</v>
      </c>
      <c r="AJ819" s="122">
        <v>13977</v>
      </c>
      <c r="AK819">
        <v>310</v>
      </c>
      <c r="AL819" s="122">
        <v>10380</v>
      </c>
      <c r="AM819" s="122">
        <v>9437</v>
      </c>
      <c r="AN819" s="122">
        <v>9785</v>
      </c>
      <c r="AO819" s="122">
        <v>3624</v>
      </c>
      <c r="AP819" s="122">
        <v>702</v>
      </c>
      <c r="AQ819">
        <v>260</v>
      </c>
      <c r="AR819" s="122">
        <v>22083</v>
      </c>
      <c r="AS819" s="122">
        <v>8179</v>
      </c>
      <c r="AT819">
        <v>0</v>
      </c>
      <c r="AU819">
        <v>0</v>
      </c>
      <c r="AV819" s="122">
        <v>35476</v>
      </c>
    </row>
    <row r="820" spans="2:48" hidden="1">
      <c r="B820" t="s">
        <v>367</v>
      </c>
      <c r="C820" t="s">
        <v>60</v>
      </c>
      <c r="D820" t="s">
        <v>556</v>
      </c>
      <c r="E820" t="s">
        <v>556</v>
      </c>
      <c r="F820">
        <v>8</v>
      </c>
      <c r="G820">
        <v>862</v>
      </c>
      <c r="H820" s="122">
        <v>2741</v>
      </c>
      <c r="I820" s="122">
        <v>180282</v>
      </c>
      <c r="J820" s="122">
        <v>150235</v>
      </c>
      <c r="K820">
        <v>63</v>
      </c>
      <c r="L820" s="122">
        <v>25891</v>
      </c>
      <c r="M820" s="122">
        <v>18633</v>
      </c>
      <c r="N820" s="122">
        <v>17626</v>
      </c>
      <c r="O820" s="122">
        <v>6528</v>
      </c>
      <c r="P820" s="122">
        <v>4590</v>
      </c>
      <c r="Q820" s="122">
        <v>1700</v>
      </c>
      <c r="R820" s="122">
        <v>44204</v>
      </c>
      <c r="S820" s="122">
        <v>36837</v>
      </c>
      <c r="T820" s="122">
        <v>21830</v>
      </c>
      <c r="U820" s="122">
        <v>8085</v>
      </c>
      <c r="V820" s="122">
        <v>222018</v>
      </c>
      <c r="W820" s="122">
        <f t="shared" si="24"/>
        <v>222018</v>
      </c>
      <c r="X820" s="122">
        <f t="shared" si="25"/>
        <v>294423</v>
      </c>
      <c r="Y820" s="122"/>
      <c r="AA820" t="s">
        <v>56</v>
      </c>
      <c r="AB820" t="s">
        <v>137</v>
      </c>
      <c r="AC820" t="s">
        <v>431</v>
      </c>
      <c r="AD820" t="s">
        <v>137</v>
      </c>
      <c r="AE820" t="s">
        <v>137</v>
      </c>
      <c r="AF820">
        <v>1</v>
      </c>
      <c r="AG820">
        <v>150</v>
      </c>
      <c r="AH820">
        <v>157</v>
      </c>
      <c r="AI820" s="122">
        <v>9785</v>
      </c>
      <c r="AJ820" s="122">
        <v>3624</v>
      </c>
      <c r="AK820">
        <v>320</v>
      </c>
      <c r="AL820" s="122">
        <v>4725</v>
      </c>
      <c r="AM820" s="122">
        <v>4295</v>
      </c>
      <c r="AN820" s="122">
        <v>1822</v>
      </c>
      <c r="AO820" s="122">
        <v>675</v>
      </c>
      <c r="AP820" s="122">
        <v>1674</v>
      </c>
      <c r="AQ820" s="122">
        <v>620</v>
      </c>
      <c r="AR820" s="122">
        <v>5476</v>
      </c>
      <c r="AS820" s="122">
        <v>2028</v>
      </c>
      <c r="AT820">
        <v>0</v>
      </c>
      <c r="AU820">
        <v>0</v>
      </c>
      <c r="AV820" s="122">
        <v>11242</v>
      </c>
    </row>
    <row r="821" spans="2:48" hidden="1">
      <c r="B821" t="s">
        <v>367</v>
      </c>
      <c r="C821" t="s">
        <v>60</v>
      </c>
      <c r="D821" t="s">
        <v>426</v>
      </c>
      <c r="E821" t="s">
        <v>137</v>
      </c>
      <c r="F821">
        <v>1</v>
      </c>
      <c r="G821" s="122">
        <v>123</v>
      </c>
      <c r="H821" s="122">
        <v>375</v>
      </c>
      <c r="I821" s="122">
        <v>30743</v>
      </c>
      <c r="J821" s="122">
        <v>27949</v>
      </c>
      <c r="K821">
        <v>60</v>
      </c>
      <c r="L821" s="122">
        <v>6832</v>
      </c>
      <c r="M821" s="122">
        <v>6211</v>
      </c>
      <c r="N821" s="122">
        <v>1498</v>
      </c>
      <c r="O821" s="122">
        <v>555</v>
      </c>
      <c r="P821" s="122">
        <v>0</v>
      </c>
      <c r="Q821" s="122">
        <v>0</v>
      </c>
      <c r="R821" s="122">
        <v>7050</v>
      </c>
      <c r="S821" s="122">
        <v>2611</v>
      </c>
      <c r="T821" s="122">
        <v>0</v>
      </c>
      <c r="U821" s="122">
        <v>0</v>
      </c>
      <c r="V821" s="122">
        <v>37325</v>
      </c>
      <c r="W821" s="122">
        <f t="shared" si="24"/>
        <v>37326</v>
      </c>
      <c r="X821" s="122">
        <f t="shared" si="25"/>
        <v>46123</v>
      </c>
      <c r="Y821" s="122"/>
      <c r="AA821" t="s">
        <v>56</v>
      </c>
      <c r="AB821" t="s">
        <v>137</v>
      </c>
      <c r="AC821" t="s">
        <v>431</v>
      </c>
      <c r="AD821" t="s">
        <v>137</v>
      </c>
      <c r="AE821" t="s">
        <v>566</v>
      </c>
      <c r="AF821">
        <v>2</v>
      </c>
      <c r="AG821" s="122">
        <v>641</v>
      </c>
      <c r="AH821" s="122">
        <v>372</v>
      </c>
      <c r="AI821" s="122">
        <v>81150</v>
      </c>
      <c r="AJ821" s="122">
        <v>30055</v>
      </c>
      <c r="AK821">
        <v>175</v>
      </c>
      <c r="AL821" s="122">
        <v>10995</v>
      </c>
      <c r="AM821" s="122">
        <v>9995</v>
      </c>
      <c r="AN821" s="122">
        <v>15617</v>
      </c>
      <c r="AO821" s="122">
        <v>5784</v>
      </c>
      <c r="AP821" s="122">
        <v>5386</v>
      </c>
      <c r="AQ821" s="122">
        <v>1995</v>
      </c>
      <c r="AR821" s="122">
        <v>11529</v>
      </c>
      <c r="AS821" s="122">
        <v>4270</v>
      </c>
      <c r="AT821" s="122">
        <v>0</v>
      </c>
      <c r="AU821" s="122">
        <v>0</v>
      </c>
      <c r="AV821" s="122">
        <v>52100</v>
      </c>
    </row>
    <row r="822" spans="2:48" hidden="1">
      <c r="B822" t="s">
        <v>367</v>
      </c>
      <c r="C822" t="s">
        <v>60</v>
      </c>
      <c r="D822" t="s">
        <v>426</v>
      </c>
      <c r="E822" t="s">
        <v>426</v>
      </c>
      <c r="F822">
        <v>2</v>
      </c>
      <c r="G822">
        <v>150</v>
      </c>
      <c r="H822" s="122">
        <v>648</v>
      </c>
      <c r="I822" s="122">
        <v>27112</v>
      </c>
      <c r="J822" s="122">
        <v>24647</v>
      </c>
      <c r="K822">
        <v>60</v>
      </c>
      <c r="L822" s="122">
        <v>3511</v>
      </c>
      <c r="M822" s="122">
        <v>2156</v>
      </c>
      <c r="N822" s="122">
        <v>3503</v>
      </c>
      <c r="O822" s="122">
        <v>1297</v>
      </c>
      <c r="P822" s="122">
        <v>972</v>
      </c>
      <c r="Q822" s="122">
        <v>360</v>
      </c>
      <c r="R822" s="122">
        <v>9107</v>
      </c>
      <c r="S822" s="122">
        <v>8279</v>
      </c>
      <c r="T822" s="122">
        <v>4375</v>
      </c>
      <c r="U822" s="122">
        <v>1620</v>
      </c>
      <c r="V822" s="122">
        <v>38359</v>
      </c>
      <c r="W822" s="122">
        <f t="shared" si="24"/>
        <v>38359</v>
      </c>
      <c r="X822" s="122">
        <f t="shared" si="25"/>
        <v>48580</v>
      </c>
      <c r="Y822" s="122"/>
      <c r="AA822" t="s">
        <v>56</v>
      </c>
      <c r="AB822" t="s">
        <v>137</v>
      </c>
      <c r="AC822" t="s">
        <v>426</v>
      </c>
      <c r="AD822" t="s">
        <v>137</v>
      </c>
      <c r="AE822" t="s">
        <v>137</v>
      </c>
      <c r="AF822">
        <v>23</v>
      </c>
      <c r="AG822" s="122">
        <v>5492</v>
      </c>
      <c r="AH822" s="122">
        <v>4304</v>
      </c>
      <c r="AI822" s="122">
        <v>576495</v>
      </c>
      <c r="AJ822" s="122">
        <v>213517</v>
      </c>
      <c r="AK822">
        <v>263</v>
      </c>
      <c r="AL822" s="122">
        <v>150942</v>
      </c>
      <c r="AM822" s="122">
        <v>137220</v>
      </c>
      <c r="AN822" s="122">
        <v>112690</v>
      </c>
      <c r="AO822" s="122">
        <v>41737</v>
      </c>
      <c r="AP822" s="122">
        <v>16258</v>
      </c>
      <c r="AQ822" s="122">
        <v>6022</v>
      </c>
      <c r="AR822" s="122">
        <v>199512</v>
      </c>
      <c r="AS822" s="122">
        <v>73893</v>
      </c>
      <c r="AT822" s="122">
        <v>7665</v>
      </c>
      <c r="AU822" s="122">
        <v>2839</v>
      </c>
      <c r="AV822" s="122">
        <v>475228</v>
      </c>
    </row>
    <row r="823" spans="2:48" hidden="1">
      <c r="B823" t="s">
        <v>367</v>
      </c>
      <c r="C823" t="s">
        <v>60</v>
      </c>
      <c r="D823" t="s">
        <v>433</v>
      </c>
      <c r="E823" t="s">
        <v>433</v>
      </c>
      <c r="F823">
        <v>3</v>
      </c>
      <c r="G823">
        <v>403</v>
      </c>
      <c r="H823" s="122">
        <v>1040</v>
      </c>
      <c r="I823" s="122">
        <v>102727</v>
      </c>
      <c r="J823" s="122">
        <v>93389</v>
      </c>
      <c r="K823">
        <v>55</v>
      </c>
      <c r="L823" s="122">
        <v>8593</v>
      </c>
      <c r="M823" s="122">
        <v>7812</v>
      </c>
      <c r="N823" s="122">
        <v>9181</v>
      </c>
      <c r="O823" s="122">
        <v>3400</v>
      </c>
      <c r="P823" s="122">
        <v>1404</v>
      </c>
      <c r="Q823" s="122">
        <v>520</v>
      </c>
      <c r="R823" s="122">
        <v>17846</v>
      </c>
      <c r="S823" s="122">
        <v>16224</v>
      </c>
      <c r="T823" s="122">
        <v>5800</v>
      </c>
      <c r="U823" s="122">
        <v>2148</v>
      </c>
      <c r="V823" s="122">
        <v>123492</v>
      </c>
      <c r="W823" s="122">
        <f t="shared" si="24"/>
        <v>123493</v>
      </c>
      <c r="X823" s="122">
        <f t="shared" si="25"/>
        <v>145551</v>
      </c>
      <c r="Y823" s="122"/>
      <c r="AA823" t="s">
        <v>56</v>
      </c>
      <c r="AB823" t="s">
        <v>137</v>
      </c>
      <c r="AC823" t="s">
        <v>426</v>
      </c>
      <c r="AD823" t="s">
        <v>137</v>
      </c>
      <c r="AE823" t="s">
        <v>566</v>
      </c>
      <c r="AF823">
        <v>331</v>
      </c>
      <c r="AG823" s="122">
        <v>62041</v>
      </c>
      <c r="AH823" s="122">
        <v>61591</v>
      </c>
      <c r="AI823" s="122">
        <v>6374876</v>
      </c>
      <c r="AJ823" s="122">
        <v>2361065</v>
      </c>
      <c r="AK823">
        <v>230</v>
      </c>
      <c r="AL823" s="122">
        <v>1477872</v>
      </c>
      <c r="AM823" s="122">
        <v>1343520</v>
      </c>
      <c r="AN823" s="122">
        <v>1311232</v>
      </c>
      <c r="AO823" s="122">
        <v>485642</v>
      </c>
      <c r="AP823" s="122">
        <v>174543</v>
      </c>
      <c r="AQ823" s="122">
        <v>64646</v>
      </c>
      <c r="AR823" s="122">
        <v>2759147</v>
      </c>
      <c r="AS823" s="122">
        <v>1021906</v>
      </c>
      <c r="AT823">
        <v>0</v>
      </c>
      <c r="AU823">
        <v>0</v>
      </c>
      <c r="AV823" s="122">
        <v>5276779</v>
      </c>
    </row>
    <row r="824" spans="2:48" hidden="1">
      <c r="B824" t="s">
        <v>367</v>
      </c>
      <c r="C824" t="s">
        <v>62</v>
      </c>
      <c r="F824">
        <v>2</v>
      </c>
      <c r="G824" s="122">
        <v>294</v>
      </c>
      <c r="H824" s="122">
        <v>872</v>
      </c>
      <c r="I824" s="122"/>
      <c r="J824" s="122">
        <v>0</v>
      </c>
      <c r="L824" s="122"/>
      <c r="M824" s="122">
        <v>0</v>
      </c>
      <c r="N824" s="122">
        <v>5890</v>
      </c>
      <c r="O824" s="122">
        <v>2181</v>
      </c>
      <c r="P824" s="122">
        <v>972</v>
      </c>
      <c r="Q824" s="122">
        <v>360</v>
      </c>
      <c r="R824" s="122"/>
      <c r="S824" s="122">
        <v>0</v>
      </c>
      <c r="T824" s="122">
        <v>0</v>
      </c>
      <c r="U824" s="122">
        <v>0</v>
      </c>
      <c r="V824" s="122">
        <v>2541</v>
      </c>
      <c r="W824" s="122">
        <f t="shared" si="24"/>
        <v>2541</v>
      </c>
      <c r="X824" s="122">
        <f t="shared" si="25"/>
        <v>6862</v>
      </c>
      <c r="Y824" s="122"/>
      <c r="AA824" t="s">
        <v>56</v>
      </c>
      <c r="AB824" t="s">
        <v>137</v>
      </c>
      <c r="AC824" t="s">
        <v>426</v>
      </c>
      <c r="AD824" t="s">
        <v>406</v>
      </c>
      <c r="AE824" t="s">
        <v>566</v>
      </c>
      <c r="AF824">
        <v>3</v>
      </c>
      <c r="AG824">
        <v>654</v>
      </c>
      <c r="AH824">
        <v>540</v>
      </c>
      <c r="AI824" s="122">
        <v>72847</v>
      </c>
      <c r="AJ824" s="122">
        <v>26980</v>
      </c>
      <c r="AK824">
        <v>167</v>
      </c>
      <c r="AL824" s="122">
        <v>12690</v>
      </c>
      <c r="AM824" s="122">
        <v>11537</v>
      </c>
      <c r="AN824" s="122">
        <v>11005</v>
      </c>
      <c r="AO824" s="122">
        <v>4076</v>
      </c>
      <c r="AP824" s="122">
        <v>4520</v>
      </c>
      <c r="AQ824" s="122">
        <v>1674</v>
      </c>
      <c r="AR824" s="122">
        <v>17370</v>
      </c>
      <c r="AS824" s="122">
        <v>15791</v>
      </c>
      <c r="AT824" s="122">
        <v>0</v>
      </c>
      <c r="AU824" s="122">
        <v>0</v>
      </c>
      <c r="AV824" s="122">
        <v>60058</v>
      </c>
    </row>
    <row r="825" spans="2:48" hidden="1">
      <c r="B825" t="s">
        <v>367</v>
      </c>
      <c r="C825" t="s">
        <v>62</v>
      </c>
      <c r="D825" t="s">
        <v>555</v>
      </c>
      <c r="E825" t="s">
        <v>555</v>
      </c>
      <c r="F825">
        <v>1</v>
      </c>
      <c r="G825" s="122">
        <v>85</v>
      </c>
      <c r="H825" s="122">
        <v>390</v>
      </c>
      <c r="I825" s="122">
        <v>18392</v>
      </c>
      <c r="J825" s="122">
        <v>16720</v>
      </c>
      <c r="K825">
        <v>60</v>
      </c>
      <c r="L825" s="122">
        <v>4459</v>
      </c>
      <c r="M825" s="122">
        <v>3716</v>
      </c>
      <c r="N825" s="122">
        <v>1344</v>
      </c>
      <c r="O825" s="122">
        <v>498</v>
      </c>
      <c r="P825" s="122">
        <v>351</v>
      </c>
      <c r="Q825" s="122">
        <v>130</v>
      </c>
      <c r="R825" s="122">
        <v>5556</v>
      </c>
      <c r="S825" s="122">
        <v>5051</v>
      </c>
      <c r="T825" s="122">
        <v>2944</v>
      </c>
      <c r="U825" s="122">
        <v>1090</v>
      </c>
      <c r="V825" s="122">
        <v>27205</v>
      </c>
      <c r="W825" s="122">
        <f t="shared" si="24"/>
        <v>27205</v>
      </c>
      <c r="X825" s="122">
        <f t="shared" si="25"/>
        <v>33046</v>
      </c>
      <c r="Y825" s="122"/>
      <c r="AA825" t="s">
        <v>56</v>
      </c>
      <c r="AB825" t="s">
        <v>137</v>
      </c>
      <c r="AC825" t="s">
        <v>426</v>
      </c>
      <c r="AD825" t="s">
        <v>426</v>
      </c>
      <c r="AE825" t="s">
        <v>137</v>
      </c>
      <c r="AF825">
        <v>3</v>
      </c>
      <c r="AG825" s="122">
        <v>909</v>
      </c>
      <c r="AH825" s="122">
        <v>523</v>
      </c>
      <c r="AI825" s="122">
        <v>100491</v>
      </c>
      <c r="AJ825" s="122">
        <v>37219</v>
      </c>
      <c r="AK825">
        <v>223</v>
      </c>
      <c r="AL825" s="122">
        <v>22455</v>
      </c>
      <c r="AM825" s="122">
        <v>20414</v>
      </c>
      <c r="AN825" s="122">
        <v>18125</v>
      </c>
      <c r="AO825" s="122">
        <v>6713</v>
      </c>
      <c r="AP825" s="122">
        <v>2957</v>
      </c>
      <c r="AQ825" s="122">
        <v>1095</v>
      </c>
      <c r="AR825" s="122">
        <v>18387</v>
      </c>
      <c r="AS825" s="122">
        <v>16715</v>
      </c>
      <c r="AT825" s="122">
        <v>10728</v>
      </c>
      <c r="AU825" s="122">
        <v>3973</v>
      </c>
      <c r="AV825" s="122">
        <v>86129</v>
      </c>
    </row>
    <row r="826" spans="2:48" hidden="1">
      <c r="B826" t="s">
        <v>367</v>
      </c>
      <c r="C826" t="s">
        <v>62</v>
      </c>
      <c r="D826" t="s">
        <v>425</v>
      </c>
      <c r="E826" t="s">
        <v>425</v>
      </c>
      <c r="F826">
        <v>3</v>
      </c>
      <c r="G826">
        <v>339</v>
      </c>
      <c r="H826" s="122">
        <v>1232</v>
      </c>
      <c r="I826" s="122">
        <v>83904</v>
      </c>
      <c r="J826" s="122">
        <v>76276</v>
      </c>
      <c r="K826">
        <v>76</v>
      </c>
      <c r="L826" s="122">
        <v>23598</v>
      </c>
      <c r="M826" s="122">
        <v>19962</v>
      </c>
      <c r="N826" s="122">
        <v>6726</v>
      </c>
      <c r="O826" s="122">
        <v>2491</v>
      </c>
      <c r="P826" s="122">
        <v>1769</v>
      </c>
      <c r="Q826">
        <v>655</v>
      </c>
      <c r="R826" s="122">
        <v>23479</v>
      </c>
      <c r="S826" s="122">
        <v>21344</v>
      </c>
      <c r="T826" s="122">
        <v>0</v>
      </c>
      <c r="U826" s="122">
        <v>0</v>
      </c>
      <c r="V826" s="122">
        <v>120729</v>
      </c>
      <c r="W826" s="122">
        <f t="shared" si="24"/>
        <v>120728</v>
      </c>
      <c r="X826" s="122">
        <f t="shared" si="25"/>
        <v>139476</v>
      </c>
      <c r="Y826" s="122"/>
      <c r="AA826" t="s">
        <v>56</v>
      </c>
      <c r="AB826" t="s">
        <v>137</v>
      </c>
      <c r="AC826" t="s">
        <v>566</v>
      </c>
      <c r="AD826" t="s">
        <v>137</v>
      </c>
      <c r="AE826" t="s">
        <v>137</v>
      </c>
      <c r="AF826">
        <v>6</v>
      </c>
      <c r="AG826" s="122">
        <v>1075</v>
      </c>
      <c r="AH826" s="122">
        <v>1109</v>
      </c>
      <c r="AI826" s="122">
        <v>124090</v>
      </c>
      <c r="AJ826" s="122">
        <v>45959</v>
      </c>
      <c r="AK826">
        <v>187</v>
      </c>
      <c r="AL826">
        <v>0</v>
      </c>
      <c r="AM826" s="122">
        <v>0</v>
      </c>
      <c r="AN826" s="122">
        <v>20301</v>
      </c>
      <c r="AO826" s="122">
        <v>7519</v>
      </c>
      <c r="AP826" s="122">
        <v>2441</v>
      </c>
      <c r="AQ826" s="122">
        <v>904</v>
      </c>
      <c r="AR826" s="122">
        <v>39432</v>
      </c>
      <c r="AS826" s="122">
        <v>14605</v>
      </c>
      <c r="AT826" s="122">
        <v>3924</v>
      </c>
      <c r="AU826" s="122">
        <v>1453</v>
      </c>
      <c r="AV826" s="122">
        <v>70440</v>
      </c>
    </row>
    <row r="827" spans="2:48" hidden="1">
      <c r="B827" t="s">
        <v>367</v>
      </c>
      <c r="C827" t="s">
        <v>62</v>
      </c>
      <c r="D827" t="s">
        <v>425</v>
      </c>
      <c r="E827" t="s">
        <v>406</v>
      </c>
      <c r="F827">
        <v>1</v>
      </c>
      <c r="G827">
        <v>94</v>
      </c>
      <c r="H827" s="122">
        <v>438</v>
      </c>
      <c r="I827" s="122">
        <v>24817</v>
      </c>
      <c r="J827" s="122">
        <v>22561</v>
      </c>
      <c r="K827">
        <v>79</v>
      </c>
      <c r="L827" s="122">
        <v>6894</v>
      </c>
      <c r="M827" s="122">
        <v>6267</v>
      </c>
      <c r="N827" s="122">
        <v>1527</v>
      </c>
      <c r="O827" s="122">
        <v>565</v>
      </c>
      <c r="P827" s="122">
        <v>621</v>
      </c>
      <c r="Q827">
        <v>230</v>
      </c>
      <c r="R827" s="122">
        <v>4273</v>
      </c>
      <c r="S827" s="122">
        <v>3884</v>
      </c>
      <c r="T827" s="122">
        <v>2790</v>
      </c>
      <c r="U827" s="122">
        <v>1033</v>
      </c>
      <c r="V827" s="122">
        <v>34541</v>
      </c>
      <c r="W827" s="122">
        <f t="shared" si="24"/>
        <v>34540</v>
      </c>
      <c r="X827" s="122">
        <f t="shared" si="25"/>
        <v>40922</v>
      </c>
      <c r="Y827" s="122"/>
      <c r="AA827" t="s">
        <v>56</v>
      </c>
      <c r="AB827" t="s">
        <v>137</v>
      </c>
      <c r="AC827" t="s">
        <v>566</v>
      </c>
      <c r="AD827" t="s">
        <v>137</v>
      </c>
      <c r="AE827" t="s">
        <v>566</v>
      </c>
      <c r="AF827">
        <v>65</v>
      </c>
      <c r="AG827" s="122">
        <v>10664</v>
      </c>
      <c r="AH827" s="122">
        <v>12434</v>
      </c>
      <c r="AI827" s="122">
        <v>1396511</v>
      </c>
      <c r="AJ827" s="122">
        <v>517226</v>
      </c>
      <c r="AK827">
        <v>161</v>
      </c>
      <c r="AL827">
        <v>0</v>
      </c>
      <c r="AM827" s="122">
        <v>6542</v>
      </c>
      <c r="AN827" s="122">
        <v>232274</v>
      </c>
      <c r="AO827" s="122">
        <v>86027</v>
      </c>
      <c r="AP827" s="122">
        <v>19683</v>
      </c>
      <c r="AQ827" s="122">
        <v>7290</v>
      </c>
      <c r="AR827" s="122">
        <v>467614</v>
      </c>
      <c r="AS827" s="122">
        <v>173191</v>
      </c>
      <c r="AT827">
        <v>0</v>
      </c>
      <c r="AU827">
        <v>0</v>
      </c>
      <c r="AV827" s="122">
        <v>790276</v>
      </c>
    </row>
    <row r="828" spans="2:48" hidden="1">
      <c r="B828" t="s">
        <v>367</v>
      </c>
      <c r="C828" t="s">
        <v>62</v>
      </c>
      <c r="D828" t="s">
        <v>405</v>
      </c>
      <c r="E828" t="s">
        <v>405</v>
      </c>
      <c r="F828">
        <v>1</v>
      </c>
      <c r="G828" s="122">
        <v>194</v>
      </c>
      <c r="H828" s="122">
        <v>394</v>
      </c>
      <c r="I828" s="122">
        <v>58709</v>
      </c>
      <c r="J828" s="122">
        <v>53372</v>
      </c>
      <c r="K828">
        <v>82</v>
      </c>
      <c r="L828" s="122">
        <v>16895</v>
      </c>
      <c r="M828" s="122">
        <v>15359</v>
      </c>
      <c r="N828" s="122">
        <v>5404</v>
      </c>
      <c r="O828" s="122">
        <v>2001</v>
      </c>
      <c r="P828" s="122">
        <v>473</v>
      </c>
      <c r="Q828" s="122">
        <v>175</v>
      </c>
      <c r="R828" s="122">
        <v>9960</v>
      </c>
      <c r="S828" s="122">
        <v>9054</v>
      </c>
      <c r="T828" s="122">
        <v>0</v>
      </c>
      <c r="U828" s="122">
        <v>0</v>
      </c>
      <c r="V828" s="122">
        <v>79961</v>
      </c>
      <c r="W828" s="122">
        <f t="shared" si="24"/>
        <v>79961</v>
      </c>
      <c r="X828" s="122">
        <f t="shared" si="25"/>
        <v>91441</v>
      </c>
      <c r="Y828" s="122"/>
      <c r="AA828" t="s">
        <v>56</v>
      </c>
      <c r="AB828" t="s">
        <v>137</v>
      </c>
      <c r="AC828" t="s">
        <v>566</v>
      </c>
      <c r="AD828" t="s">
        <v>406</v>
      </c>
      <c r="AE828" t="s">
        <v>566</v>
      </c>
      <c r="AF828">
        <v>1</v>
      </c>
      <c r="AG828">
        <v>221</v>
      </c>
      <c r="AH828">
        <v>206</v>
      </c>
      <c r="AI828" s="122">
        <v>30853</v>
      </c>
      <c r="AJ828" s="122">
        <v>11427</v>
      </c>
      <c r="AK828">
        <v>250</v>
      </c>
      <c r="AL828" s="122">
        <v>0</v>
      </c>
      <c r="AM828">
        <v>0</v>
      </c>
      <c r="AN828" s="122">
        <v>5383</v>
      </c>
      <c r="AO828" s="122">
        <v>1994</v>
      </c>
      <c r="AP828" s="122">
        <v>2846</v>
      </c>
      <c r="AQ828" s="122">
        <v>1054</v>
      </c>
      <c r="AR828" s="122">
        <v>6317</v>
      </c>
      <c r="AS828" s="122">
        <v>5743</v>
      </c>
      <c r="AT828">
        <v>0</v>
      </c>
      <c r="AU828">
        <v>0</v>
      </c>
      <c r="AV828" s="122">
        <v>20218</v>
      </c>
    </row>
    <row r="829" spans="2:48" hidden="1">
      <c r="B829" t="s">
        <v>367</v>
      </c>
      <c r="C829" t="s">
        <v>62</v>
      </c>
      <c r="D829" t="s">
        <v>137</v>
      </c>
      <c r="E829" t="s">
        <v>137</v>
      </c>
      <c r="F829">
        <v>42</v>
      </c>
      <c r="G829" s="122">
        <v>4387</v>
      </c>
      <c r="H829" s="122">
        <v>17544</v>
      </c>
      <c r="I829" s="122">
        <v>1241725</v>
      </c>
      <c r="J829" s="122">
        <v>459898</v>
      </c>
      <c r="K829">
        <v>105</v>
      </c>
      <c r="L829" s="122">
        <v>208884</v>
      </c>
      <c r="M829" s="122">
        <v>129170</v>
      </c>
      <c r="N829" s="122">
        <v>90318</v>
      </c>
      <c r="O829" s="122">
        <v>33451</v>
      </c>
      <c r="P829" s="122">
        <v>1715</v>
      </c>
      <c r="Q829" s="122">
        <v>635</v>
      </c>
      <c r="R829" s="122">
        <v>303823</v>
      </c>
      <c r="S829" s="122">
        <v>112527</v>
      </c>
      <c r="T829" s="122">
        <v>0</v>
      </c>
      <c r="U829" s="122">
        <v>0</v>
      </c>
      <c r="V829" s="122">
        <v>735681</v>
      </c>
      <c r="W829" s="122">
        <f t="shared" si="24"/>
        <v>735681</v>
      </c>
      <c r="X829" s="122">
        <f t="shared" si="25"/>
        <v>1846465</v>
      </c>
      <c r="Y829" s="122"/>
      <c r="AA829" t="s">
        <v>56</v>
      </c>
      <c r="AB829" t="s">
        <v>137</v>
      </c>
      <c r="AC829" t="s">
        <v>433</v>
      </c>
      <c r="AD829" t="s">
        <v>137</v>
      </c>
      <c r="AE829" t="s">
        <v>137</v>
      </c>
      <c r="AF829">
        <v>1</v>
      </c>
      <c r="AG829" s="122">
        <v>137</v>
      </c>
      <c r="AH829" s="122">
        <v>181</v>
      </c>
      <c r="AI829" s="122">
        <v>17096</v>
      </c>
      <c r="AJ829" s="122">
        <v>6332</v>
      </c>
      <c r="AK829">
        <v>104</v>
      </c>
      <c r="AL829" s="122">
        <v>1006</v>
      </c>
      <c r="AM829" s="122">
        <v>915</v>
      </c>
      <c r="AN829" s="122">
        <v>1664</v>
      </c>
      <c r="AO829" s="122">
        <v>616</v>
      </c>
      <c r="AP829" s="122">
        <v>351</v>
      </c>
      <c r="AQ829" s="122">
        <v>130</v>
      </c>
      <c r="AR829" s="122">
        <v>4560</v>
      </c>
      <c r="AS829" s="122">
        <v>1689</v>
      </c>
      <c r="AT829">
        <v>0</v>
      </c>
      <c r="AU829">
        <v>0</v>
      </c>
      <c r="AV829" s="122">
        <v>9682</v>
      </c>
    </row>
    <row r="830" spans="2:48" hidden="1">
      <c r="B830" t="s">
        <v>367</v>
      </c>
      <c r="C830" t="s">
        <v>62</v>
      </c>
      <c r="D830" t="s">
        <v>137</v>
      </c>
      <c r="E830" t="s">
        <v>426</v>
      </c>
      <c r="F830">
        <v>1</v>
      </c>
      <c r="G830" s="122">
        <v>131</v>
      </c>
      <c r="H830" s="122">
        <v>440</v>
      </c>
      <c r="I830" s="122">
        <v>45328</v>
      </c>
      <c r="J830" s="122">
        <v>16788</v>
      </c>
      <c r="K830">
        <v>100</v>
      </c>
      <c r="L830" s="122">
        <v>6840</v>
      </c>
      <c r="M830" s="122">
        <v>6218</v>
      </c>
      <c r="N830" s="122">
        <v>2606</v>
      </c>
      <c r="O830" s="122">
        <v>965</v>
      </c>
      <c r="P830" s="122">
        <v>0</v>
      </c>
      <c r="Q830" s="122">
        <v>0</v>
      </c>
      <c r="R830" s="122">
        <v>2916</v>
      </c>
      <c r="S830" s="122">
        <v>2651</v>
      </c>
      <c r="T830">
        <v>0</v>
      </c>
      <c r="U830">
        <v>0</v>
      </c>
      <c r="V830" s="122">
        <v>26622</v>
      </c>
      <c r="W830" s="122">
        <f t="shared" si="24"/>
        <v>26622</v>
      </c>
      <c r="X830" s="122">
        <f t="shared" si="25"/>
        <v>57690</v>
      </c>
      <c r="Y830" s="122"/>
      <c r="AA830" t="s">
        <v>56</v>
      </c>
      <c r="AB830" t="s">
        <v>137</v>
      </c>
      <c r="AC830" t="s">
        <v>433</v>
      </c>
      <c r="AD830" t="s">
        <v>137</v>
      </c>
      <c r="AE830" t="s">
        <v>566</v>
      </c>
      <c r="AF830">
        <v>16</v>
      </c>
      <c r="AG830" s="122">
        <v>2449</v>
      </c>
      <c r="AH830" s="122">
        <v>3055</v>
      </c>
      <c r="AI830" s="122">
        <v>263478</v>
      </c>
      <c r="AJ830" s="122">
        <v>97585</v>
      </c>
      <c r="AK830">
        <v>149</v>
      </c>
      <c r="AL830" s="122">
        <v>38232</v>
      </c>
      <c r="AM830" s="122">
        <v>34756</v>
      </c>
      <c r="AN830" s="122">
        <v>34934</v>
      </c>
      <c r="AO830" s="122">
        <v>12939</v>
      </c>
      <c r="AP830" s="122">
        <v>5426</v>
      </c>
      <c r="AQ830" s="122">
        <v>2010</v>
      </c>
      <c r="AR830" s="122">
        <v>129822</v>
      </c>
      <c r="AS830" s="122">
        <v>48082</v>
      </c>
      <c r="AT830">
        <v>0</v>
      </c>
      <c r="AU830">
        <v>0</v>
      </c>
      <c r="AV830" s="122">
        <v>195372</v>
      </c>
    </row>
    <row r="831" spans="2:48" hidden="1">
      <c r="B831" t="s">
        <v>367</v>
      </c>
      <c r="C831" t="s">
        <v>62</v>
      </c>
      <c r="D831" t="s">
        <v>406</v>
      </c>
      <c r="E831" t="s">
        <v>137</v>
      </c>
      <c r="F831">
        <v>3</v>
      </c>
      <c r="G831" s="122">
        <v>353</v>
      </c>
      <c r="H831" s="122">
        <v>1179</v>
      </c>
      <c r="I831" s="122">
        <v>82156</v>
      </c>
      <c r="J831" s="122">
        <v>74688</v>
      </c>
      <c r="K831">
        <v>81</v>
      </c>
      <c r="L831" s="122">
        <v>24268</v>
      </c>
      <c r="M831" s="122">
        <v>21281</v>
      </c>
      <c r="N831" s="122">
        <v>6938</v>
      </c>
      <c r="O831" s="122">
        <v>2570</v>
      </c>
      <c r="P831" s="122">
        <v>1863</v>
      </c>
      <c r="Q831" s="122">
        <v>690</v>
      </c>
      <c r="R831" s="122">
        <v>23905</v>
      </c>
      <c r="S831" s="122">
        <v>8854</v>
      </c>
      <c r="T831" s="122">
        <v>0</v>
      </c>
      <c r="U831" s="122">
        <v>0</v>
      </c>
      <c r="V831" s="122">
        <v>108082</v>
      </c>
      <c r="W831" s="122">
        <f t="shared" si="24"/>
        <v>108083</v>
      </c>
      <c r="X831" s="122">
        <f t="shared" si="25"/>
        <v>139130</v>
      </c>
      <c r="Y831" s="122"/>
      <c r="AA831" t="s">
        <v>56</v>
      </c>
      <c r="AB831" t="s">
        <v>137</v>
      </c>
      <c r="AC831" t="s">
        <v>429</v>
      </c>
      <c r="AD831" t="s">
        <v>137</v>
      </c>
      <c r="AE831" t="s">
        <v>566</v>
      </c>
      <c r="AF831">
        <v>7</v>
      </c>
      <c r="AG831" s="122">
        <v>1374</v>
      </c>
      <c r="AH831" s="122">
        <v>1257</v>
      </c>
      <c r="AI831" s="122">
        <v>146187</v>
      </c>
      <c r="AJ831" s="122">
        <v>54143</v>
      </c>
      <c r="AK831">
        <v>246</v>
      </c>
      <c r="AL831" s="122">
        <v>19262</v>
      </c>
      <c r="AM831" s="122">
        <v>17511</v>
      </c>
      <c r="AN831" s="122">
        <v>27856</v>
      </c>
      <c r="AO831" s="122">
        <v>10317</v>
      </c>
      <c r="AP831" s="122">
        <v>7760</v>
      </c>
      <c r="AQ831" s="122">
        <v>2874</v>
      </c>
      <c r="AR831" s="122">
        <v>57937</v>
      </c>
      <c r="AS831" s="122">
        <v>21458</v>
      </c>
      <c r="AT831" s="122">
        <v>0</v>
      </c>
      <c r="AU831" s="122">
        <v>0</v>
      </c>
      <c r="AV831" s="122">
        <v>106303</v>
      </c>
    </row>
    <row r="832" spans="2:48" hidden="1">
      <c r="B832" t="s">
        <v>367</v>
      </c>
      <c r="C832" t="s">
        <v>62</v>
      </c>
      <c r="D832" t="s">
        <v>406</v>
      </c>
      <c r="E832" t="s">
        <v>406</v>
      </c>
      <c r="F832">
        <v>526</v>
      </c>
      <c r="G832" s="122">
        <v>84473</v>
      </c>
      <c r="H832" s="122">
        <v>219358</v>
      </c>
      <c r="I832" s="122">
        <v>23800688</v>
      </c>
      <c r="J832" s="122">
        <v>21636989</v>
      </c>
      <c r="K832">
        <v>74</v>
      </c>
      <c r="L832" s="122">
        <v>5734746</v>
      </c>
      <c r="M832" s="122">
        <v>4893655</v>
      </c>
      <c r="N832" s="122">
        <v>1868481</v>
      </c>
      <c r="O832" s="122">
        <v>692030</v>
      </c>
      <c r="P832" s="122">
        <v>335716</v>
      </c>
      <c r="Q832" s="122">
        <v>124339</v>
      </c>
      <c r="R832" s="122">
        <v>3207254</v>
      </c>
      <c r="S832" s="122">
        <v>2915686</v>
      </c>
      <c r="T832" s="122">
        <v>1140442</v>
      </c>
      <c r="U832" s="122">
        <v>422386</v>
      </c>
      <c r="V832" s="122">
        <v>30685084</v>
      </c>
      <c r="W832" s="122">
        <f t="shared" si="24"/>
        <v>30685085</v>
      </c>
      <c r="X832" s="122">
        <f t="shared" si="25"/>
        <v>36087327</v>
      </c>
      <c r="Y832" s="122"/>
      <c r="AA832" t="s">
        <v>56</v>
      </c>
      <c r="AB832" t="s">
        <v>406</v>
      </c>
      <c r="AC832" t="s">
        <v>578</v>
      </c>
      <c r="AD832" t="s">
        <v>406</v>
      </c>
      <c r="AE832" t="s">
        <v>137</v>
      </c>
      <c r="AF832">
        <v>52</v>
      </c>
      <c r="AG832" s="122">
        <v>8250</v>
      </c>
      <c r="AH832" s="122">
        <v>10175</v>
      </c>
      <c r="AI832" s="122">
        <v>923219</v>
      </c>
      <c r="AJ832" s="122">
        <v>839290</v>
      </c>
      <c r="AK832">
        <v>86</v>
      </c>
      <c r="AL832" s="122">
        <v>171926</v>
      </c>
      <c r="AM832" s="122">
        <v>156297</v>
      </c>
      <c r="AN832" s="122">
        <v>175901</v>
      </c>
      <c r="AO832" s="122">
        <v>65148</v>
      </c>
      <c r="AP832" s="122">
        <v>34398</v>
      </c>
      <c r="AQ832" s="122">
        <v>12740</v>
      </c>
      <c r="AR832" s="122">
        <v>229995</v>
      </c>
      <c r="AS832" s="122">
        <v>209086</v>
      </c>
      <c r="AT832" s="122">
        <v>152910</v>
      </c>
      <c r="AU832" s="122">
        <v>56633</v>
      </c>
      <c r="AV832" s="122">
        <v>1339195</v>
      </c>
    </row>
    <row r="833" spans="2:48" hidden="1">
      <c r="B833" t="s">
        <v>367</v>
      </c>
      <c r="C833" t="s">
        <v>62</v>
      </c>
      <c r="D833" t="s">
        <v>406</v>
      </c>
      <c r="E833" t="s">
        <v>407</v>
      </c>
      <c r="F833" s="122">
        <v>2</v>
      </c>
      <c r="G833" s="122">
        <v>274</v>
      </c>
      <c r="H833" s="122">
        <v>854</v>
      </c>
      <c r="I833" s="122">
        <v>78494</v>
      </c>
      <c r="J833" s="122">
        <v>71358</v>
      </c>
      <c r="K833">
        <v>65</v>
      </c>
      <c r="L833" s="122">
        <v>11878</v>
      </c>
      <c r="M833" s="122">
        <v>6968</v>
      </c>
      <c r="N833" s="122">
        <v>6160</v>
      </c>
      <c r="O833" s="122">
        <v>2281</v>
      </c>
      <c r="P833" s="122">
        <v>1242</v>
      </c>
      <c r="Q833" s="122">
        <v>460</v>
      </c>
      <c r="R833" s="122">
        <v>15017</v>
      </c>
      <c r="S833" s="122">
        <v>13652</v>
      </c>
      <c r="T833" s="122">
        <v>3785</v>
      </c>
      <c r="U833" s="122">
        <v>1402</v>
      </c>
      <c r="V833" s="122">
        <v>96121</v>
      </c>
      <c r="W833" s="122">
        <f t="shared" si="24"/>
        <v>96121</v>
      </c>
      <c r="X833" s="122">
        <f t="shared" si="25"/>
        <v>116576</v>
      </c>
      <c r="Y833" s="122"/>
      <c r="AA833" t="s">
        <v>56</v>
      </c>
      <c r="AB833" t="s">
        <v>406</v>
      </c>
      <c r="AC833" t="s">
        <v>578</v>
      </c>
      <c r="AD833" t="s">
        <v>406</v>
      </c>
      <c r="AE833" t="s">
        <v>566</v>
      </c>
      <c r="AF833">
        <v>34</v>
      </c>
      <c r="AG833" s="122">
        <v>5212</v>
      </c>
      <c r="AH833" s="122">
        <v>6199</v>
      </c>
      <c r="AI833" s="122">
        <v>583860</v>
      </c>
      <c r="AJ833" s="122">
        <v>530782</v>
      </c>
      <c r="AK833">
        <v>88</v>
      </c>
      <c r="AL833" s="122">
        <v>116947</v>
      </c>
      <c r="AM833" s="122">
        <v>106315</v>
      </c>
      <c r="AN833" s="122">
        <v>108192</v>
      </c>
      <c r="AO833" s="122">
        <v>40071</v>
      </c>
      <c r="AP833" s="122">
        <v>24624</v>
      </c>
      <c r="AQ833" s="122">
        <v>9120</v>
      </c>
      <c r="AR833" s="122">
        <v>189430</v>
      </c>
      <c r="AS833" s="122">
        <v>172210</v>
      </c>
      <c r="AT833">
        <v>0</v>
      </c>
      <c r="AU833">
        <v>0</v>
      </c>
      <c r="AV833" s="122">
        <v>858497</v>
      </c>
    </row>
    <row r="834" spans="2:48" hidden="1">
      <c r="B834" t="s">
        <v>367</v>
      </c>
      <c r="C834" t="s">
        <v>62</v>
      </c>
      <c r="D834" t="s">
        <v>427</v>
      </c>
      <c r="E834" t="s">
        <v>427</v>
      </c>
      <c r="F834">
        <v>2</v>
      </c>
      <c r="G834" s="122">
        <v>131</v>
      </c>
      <c r="H834" s="122">
        <v>860</v>
      </c>
      <c r="I834" s="122">
        <v>36425</v>
      </c>
      <c r="J834" s="122">
        <v>33114</v>
      </c>
      <c r="K834">
        <v>45</v>
      </c>
      <c r="L834" s="122">
        <v>0</v>
      </c>
      <c r="M834" s="122">
        <v>0</v>
      </c>
      <c r="N834" s="122">
        <v>3185</v>
      </c>
      <c r="O834" s="122">
        <v>1180</v>
      </c>
      <c r="P834" s="122">
        <v>702</v>
      </c>
      <c r="Q834" s="122">
        <v>260</v>
      </c>
      <c r="R834" s="122">
        <v>11712</v>
      </c>
      <c r="S834" s="122">
        <v>10648</v>
      </c>
      <c r="T834" s="122">
        <v>4198</v>
      </c>
      <c r="U834" s="122">
        <v>1555</v>
      </c>
      <c r="V834" s="122">
        <v>46756</v>
      </c>
      <c r="W834" s="122">
        <f t="shared" si="24"/>
        <v>46757</v>
      </c>
      <c r="X834" s="122">
        <f t="shared" si="25"/>
        <v>56222</v>
      </c>
      <c r="Y834" s="122"/>
      <c r="AA834" t="s">
        <v>56</v>
      </c>
      <c r="AB834" t="s">
        <v>406</v>
      </c>
      <c r="AC834" t="s">
        <v>578</v>
      </c>
      <c r="AD834" t="s">
        <v>427</v>
      </c>
      <c r="AE834" t="s">
        <v>566</v>
      </c>
      <c r="AF834">
        <v>1</v>
      </c>
      <c r="AG834">
        <v>162</v>
      </c>
      <c r="AH834">
        <v>153</v>
      </c>
      <c r="AI834" s="122">
        <v>13592</v>
      </c>
      <c r="AJ834" s="122">
        <v>12357</v>
      </c>
      <c r="AK834">
        <v>86</v>
      </c>
      <c r="AL834" s="122">
        <v>1891</v>
      </c>
      <c r="AM834" s="122">
        <v>1719</v>
      </c>
      <c r="AN834" s="122">
        <v>3948</v>
      </c>
      <c r="AO834" s="122">
        <v>1462</v>
      </c>
      <c r="AP834">
        <v>621</v>
      </c>
      <c r="AQ834">
        <v>230</v>
      </c>
      <c r="AR834" s="122">
        <v>4774</v>
      </c>
      <c r="AS834" s="122">
        <v>4340</v>
      </c>
      <c r="AT834">
        <v>0</v>
      </c>
      <c r="AU834">
        <v>0</v>
      </c>
      <c r="AV834" s="122">
        <v>20109</v>
      </c>
    </row>
    <row r="835" spans="2:48" hidden="1">
      <c r="B835" t="s">
        <v>367</v>
      </c>
      <c r="C835" t="s">
        <v>62</v>
      </c>
      <c r="D835" t="s">
        <v>407</v>
      </c>
      <c r="E835" t="s">
        <v>137</v>
      </c>
      <c r="F835">
        <v>12</v>
      </c>
      <c r="G835" s="122">
        <v>1375</v>
      </c>
      <c r="H835" s="122">
        <v>4936</v>
      </c>
      <c r="I835" s="122">
        <v>375055</v>
      </c>
      <c r="J835" s="122">
        <v>340959</v>
      </c>
      <c r="K835">
        <v>74</v>
      </c>
      <c r="L835" s="122">
        <v>66787</v>
      </c>
      <c r="M835" s="122">
        <v>56064</v>
      </c>
      <c r="N835" s="122">
        <v>26249</v>
      </c>
      <c r="O835" s="122">
        <v>9722</v>
      </c>
      <c r="P835" s="122">
        <v>5114</v>
      </c>
      <c r="Q835" s="122">
        <v>1894</v>
      </c>
      <c r="R835" s="122">
        <v>110701</v>
      </c>
      <c r="S835" s="122">
        <v>41000</v>
      </c>
      <c r="T835" s="122">
        <v>0</v>
      </c>
      <c r="U835" s="122">
        <v>0</v>
      </c>
      <c r="V835" s="122">
        <v>449639</v>
      </c>
      <c r="W835" s="122">
        <f t="shared" si="24"/>
        <v>449639</v>
      </c>
      <c r="X835" s="122">
        <f t="shared" si="25"/>
        <v>583906</v>
      </c>
      <c r="Y835" s="122"/>
      <c r="AA835" t="s">
        <v>56</v>
      </c>
      <c r="AB835" t="s">
        <v>406</v>
      </c>
      <c r="AC835" t="s">
        <v>425</v>
      </c>
      <c r="AD835" t="s">
        <v>578</v>
      </c>
      <c r="AE835" t="s">
        <v>566</v>
      </c>
      <c r="AF835">
        <v>1</v>
      </c>
      <c r="AG835">
        <v>145</v>
      </c>
      <c r="AH835">
        <v>175</v>
      </c>
      <c r="AI835" s="122">
        <v>11000</v>
      </c>
      <c r="AJ835" s="122">
        <v>10000</v>
      </c>
      <c r="AK835">
        <v>95</v>
      </c>
      <c r="AL835" s="122">
        <v>5512</v>
      </c>
      <c r="AM835" s="122">
        <v>5011</v>
      </c>
      <c r="AN835" s="122">
        <v>3146</v>
      </c>
      <c r="AO835" s="122">
        <v>1165</v>
      </c>
      <c r="AP835">
        <v>972</v>
      </c>
      <c r="AQ835">
        <v>360</v>
      </c>
      <c r="AR835" s="122">
        <v>4739</v>
      </c>
      <c r="AS835" s="122">
        <v>4308</v>
      </c>
      <c r="AT835">
        <v>0</v>
      </c>
      <c r="AU835">
        <v>0</v>
      </c>
      <c r="AV835" s="122">
        <v>20845</v>
      </c>
    </row>
    <row r="836" spans="2:48" hidden="1">
      <c r="B836" t="s">
        <v>367</v>
      </c>
      <c r="C836" t="s">
        <v>62</v>
      </c>
      <c r="D836" t="s">
        <v>407</v>
      </c>
      <c r="E836" t="s">
        <v>406</v>
      </c>
      <c r="F836">
        <v>1</v>
      </c>
      <c r="G836" s="122">
        <v>207</v>
      </c>
      <c r="H836" s="122">
        <v>430</v>
      </c>
      <c r="I836" s="122">
        <v>66797</v>
      </c>
      <c r="J836" s="122">
        <v>60724</v>
      </c>
      <c r="K836">
        <v>65</v>
      </c>
      <c r="L836" s="122">
        <v>9173</v>
      </c>
      <c r="M836" s="122">
        <v>8339</v>
      </c>
      <c r="N836" s="122">
        <v>4819</v>
      </c>
      <c r="O836" s="122">
        <v>1785</v>
      </c>
      <c r="P836" s="122">
        <v>473</v>
      </c>
      <c r="Q836" s="122">
        <v>175</v>
      </c>
      <c r="R836" s="122">
        <v>7813</v>
      </c>
      <c r="S836" s="122">
        <v>7103</v>
      </c>
      <c r="T836" s="122">
        <v>0</v>
      </c>
      <c r="U836" s="122">
        <v>0</v>
      </c>
      <c r="V836" s="122">
        <v>78127</v>
      </c>
      <c r="W836" s="122">
        <f t="shared" si="24"/>
        <v>78126</v>
      </c>
      <c r="X836" s="122">
        <f t="shared" si="25"/>
        <v>89075</v>
      </c>
      <c r="Y836" s="122"/>
      <c r="AA836" t="s">
        <v>56</v>
      </c>
      <c r="AB836" t="s">
        <v>406</v>
      </c>
      <c r="AC836" t="s">
        <v>425</v>
      </c>
      <c r="AD836" t="s">
        <v>425</v>
      </c>
      <c r="AE836" t="s">
        <v>137</v>
      </c>
      <c r="AF836">
        <v>1</v>
      </c>
      <c r="AG836">
        <v>199</v>
      </c>
      <c r="AH836">
        <v>176</v>
      </c>
      <c r="AI836" s="122">
        <v>29538</v>
      </c>
      <c r="AJ836" s="122">
        <v>26853</v>
      </c>
      <c r="AK836">
        <v>75</v>
      </c>
      <c r="AL836" s="122">
        <v>5850</v>
      </c>
      <c r="AM836" s="122">
        <v>5318</v>
      </c>
      <c r="AN836" s="122">
        <v>5494</v>
      </c>
      <c r="AO836" s="122">
        <v>2035</v>
      </c>
      <c r="AP836" s="122">
        <v>621</v>
      </c>
      <c r="AQ836">
        <v>230</v>
      </c>
      <c r="AR836" s="122">
        <v>9141</v>
      </c>
      <c r="AS836" s="122">
        <v>8310</v>
      </c>
      <c r="AT836">
        <v>0</v>
      </c>
      <c r="AU836">
        <v>0</v>
      </c>
      <c r="AV836" s="122">
        <v>42747</v>
      </c>
    </row>
    <row r="837" spans="2:48" hidden="1">
      <c r="B837" t="s">
        <v>367</v>
      </c>
      <c r="C837" t="s">
        <v>62</v>
      </c>
      <c r="D837" t="s">
        <v>407</v>
      </c>
      <c r="E837" t="s">
        <v>407</v>
      </c>
      <c r="F837">
        <v>676</v>
      </c>
      <c r="G837" s="122">
        <v>92454</v>
      </c>
      <c r="H837" s="122">
        <v>280115</v>
      </c>
      <c r="I837" s="122">
        <v>25015556</v>
      </c>
      <c r="J837" s="122">
        <v>22741414</v>
      </c>
      <c r="K837">
        <v>77</v>
      </c>
      <c r="L837" s="122">
        <v>6664637</v>
      </c>
      <c r="M837" s="122">
        <v>5735945</v>
      </c>
      <c r="N837" s="122">
        <v>2040206</v>
      </c>
      <c r="O837" s="122">
        <v>755632</v>
      </c>
      <c r="P837" s="122">
        <v>320464</v>
      </c>
      <c r="Q837" s="122">
        <v>118690</v>
      </c>
      <c r="R837" s="122">
        <v>3934492</v>
      </c>
      <c r="S837" s="122">
        <v>3576811</v>
      </c>
      <c r="T837" s="122">
        <v>1011573</v>
      </c>
      <c r="U837" s="122">
        <v>374657</v>
      </c>
      <c r="V837" s="122">
        <v>33303149</v>
      </c>
      <c r="W837" s="122">
        <f t="shared" si="24"/>
        <v>33303149</v>
      </c>
      <c r="X837" s="122">
        <f t="shared" si="25"/>
        <v>38986928</v>
      </c>
      <c r="Y837" s="122"/>
      <c r="AA837" t="s">
        <v>56</v>
      </c>
      <c r="AB837" t="s">
        <v>406</v>
      </c>
      <c r="AC837" t="s">
        <v>425</v>
      </c>
      <c r="AD837" t="s">
        <v>425</v>
      </c>
      <c r="AE837" t="s">
        <v>566</v>
      </c>
      <c r="AF837">
        <v>2</v>
      </c>
      <c r="AG837" s="122">
        <v>409</v>
      </c>
      <c r="AH837" s="122">
        <v>419</v>
      </c>
      <c r="AI837" s="122">
        <v>50087</v>
      </c>
      <c r="AJ837" s="122">
        <v>45534</v>
      </c>
      <c r="AK837">
        <v>95</v>
      </c>
      <c r="AL837" s="122">
        <v>10791</v>
      </c>
      <c r="AM837" s="122">
        <v>9810</v>
      </c>
      <c r="AN837" s="122">
        <v>9794</v>
      </c>
      <c r="AO837" s="122">
        <v>3627</v>
      </c>
      <c r="AP837" s="122">
        <v>1242</v>
      </c>
      <c r="AQ837" s="122">
        <v>460</v>
      </c>
      <c r="AR837" s="122">
        <v>12480</v>
      </c>
      <c r="AS837" s="122">
        <v>11345</v>
      </c>
      <c r="AT837">
        <v>0</v>
      </c>
      <c r="AU837">
        <v>0</v>
      </c>
      <c r="AV837" s="122">
        <v>70776</v>
      </c>
    </row>
    <row r="838" spans="2:48" hidden="1">
      <c r="B838" t="s">
        <v>367</v>
      </c>
      <c r="C838" t="s">
        <v>62</v>
      </c>
      <c r="D838" t="s">
        <v>556</v>
      </c>
      <c r="E838" t="s">
        <v>556</v>
      </c>
      <c r="F838">
        <v>11</v>
      </c>
      <c r="G838" s="122">
        <v>1454</v>
      </c>
      <c r="H838" s="122">
        <v>4539</v>
      </c>
      <c r="I838" s="122">
        <v>449532</v>
      </c>
      <c r="J838" s="122">
        <v>374610</v>
      </c>
      <c r="K838">
        <v>54</v>
      </c>
      <c r="L838" s="122">
        <v>24119</v>
      </c>
      <c r="M838" s="122">
        <v>24524</v>
      </c>
      <c r="N838" s="122">
        <v>28666</v>
      </c>
      <c r="O838" s="122">
        <v>10617</v>
      </c>
      <c r="P838" s="122">
        <v>4482</v>
      </c>
      <c r="Q838" s="122">
        <v>1660</v>
      </c>
      <c r="R838" s="122">
        <v>71693</v>
      </c>
      <c r="S838" s="122">
        <v>59745</v>
      </c>
      <c r="T838" s="122">
        <v>30661</v>
      </c>
      <c r="U838" s="122">
        <v>11356</v>
      </c>
      <c r="V838" s="122">
        <v>482512</v>
      </c>
      <c r="W838" s="122">
        <f t="shared" si="24"/>
        <v>482512</v>
      </c>
      <c r="X838" s="122">
        <f t="shared" si="25"/>
        <v>609153</v>
      </c>
      <c r="Y838" s="122"/>
      <c r="AA838" t="s">
        <v>56</v>
      </c>
      <c r="AB838" t="s">
        <v>406</v>
      </c>
      <c r="AC838" t="s">
        <v>425</v>
      </c>
      <c r="AD838" t="s">
        <v>137</v>
      </c>
      <c r="AE838" t="s">
        <v>566</v>
      </c>
      <c r="AF838" s="122">
        <v>9</v>
      </c>
      <c r="AG838" s="122">
        <v>1560</v>
      </c>
      <c r="AH838" s="122">
        <v>1744</v>
      </c>
      <c r="AI838" s="122">
        <v>162931</v>
      </c>
      <c r="AJ838" s="122">
        <v>148119</v>
      </c>
      <c r="AK838">
        <v>83</v>
      </c>
      <c r="AL838" s="122">
        <v>31384</v>
      </c>
      <c r="AM838" s="122">
        <v>28531</v>
      </c>
      <c r="AN838" s="122">
        <v>33673</v>
      </c>
      <c r="AO838" s="122">
        <v>12472</v>
      </c>
      <c r="AP838" s="122">
        <v>5589</v>
      </c>
      <c r="AQ838" s="122">
        <v>2070</v>
      </c>
      <c r="AR838" s="122">
        <v>73909</v>
      </c>
      <c r="AS838" s="122">
        <v>27374</v>
      </c>
      <c r="AT838" s="122">
        <v>0</v>
      </c>
      <c r="AU838" s="122">
        <v>0</v>
      </c>
      <c r="AV838" s="122">
        <v>218565</v>
      </c>
    </row>
    <row r="839" spans="2:48" hidden="1">
      <c r="B839" t="s">
        <v>367</v>
      </c>
      <c r="C839" t="s">
        <v>62</v>
      </c>
      <c r="D839" t="s">
        <v>428</v>
      </c>
      <c r="E839" t="s">
        <v>428</v>
      </c>
      <c r="F839" s="122">
        <v>1</v>
      </c>
      <c r="G839" s="122">
        <v>90</v>
      </c>
      <c r="H839" s="122">
        <v>422</v>
      </c>
      <c r="I839" s="122">
        <v>26015</v>
      </c>
      <c r="J839" s="122">
        <v>23650</v>
      </c>
      <c r="K839">
        <v>55</v>
      </c>
      <c r="L839" s="122">
        <v>0</v>
      </c>
      <c r="M839" s="122">
        <v>0</v>
      </c>
      <c r="N839" s="122">
        <v>2204</v>
      </c>
      <c r="O839" s="122">
        <v>816</v>
      </c>
      <c r="P839" s="122">
        <v>351</v>
      </c>
      <c r="Q839" s="122">
        <v>130</v>
      </c>
      <c r="R839" s="122">
        <v>9612</v>
      </c>
      <c r="S839" s="122">
        <v>8738</v>
      </c>
      <c r="T839" s="122">
        <v>0</v>
      </c>
      <c r="U839" s="122">
        <v>0</v>
      </c>
      <c r="V839" s="122">
        <v>33335</v>
      </c>
      <c r="W839" s="122">
        <f t="shared" ref="W839:W902" si="26">SUM(ABS(J839),ABS(M839),ABS(O839),ABS(Q839),ABS(S839),ABS(U839))</f>
        <v>33334</v>
      </c>
      <c r="X839" s="122">
        <f t="shared" ref="X839:X902" si="27">SUM(ABS(I839),ABS(N839),ABS(P839),ABS(R839),ABS(T839),ABS(L839))</f>
        <v>38182</v>
      </c>
      <c r="Y839" s="122"/>
      <c r="AA839" t="s">
        <v>56</v>
      </c>
      <c r="AB839" t="s">
        <v>406</v>
      </c>
      <c r="AC839" t="s">
        <v>425</v>
      </c>
      <c r="AD839" t="s">
        <v>406</v>
      </c>
      <c r="AE839" t="s">
        <v>137</v>
      </c>
      <c r="AF839" s="122">
        <v>1158</v>
      </c>
      <c r="AG839" s="122">
        <v>208973</v>
      </c>
      <c r="AH839" s="122">
        <v>222862</v>
      </c>
      <c r="AI839" s="122">
        <v>23561362</v>
      </c>
      <c r="AJ839" s="122">
        <v>21419420</v>
      </c>
      <c r="AK839">
        <v>84</v>
      </c>
      <c r="AL839" s="122">
        <v>5184071</v>
      </c>
      <c r="AM839" s="122">
        <v>4712791</v>
      </c>
      <c r="AN839" s="122">
        <v>4528904</v>
      </c>
      <c r="AO839" s="122">
        <v>1677372</v>
      </c>
      <c r="AP839" s="122">
        <v>748404</v>
      </c>
      <c r="AQ839" s="122">
        <v>277187</v>
      </c>
      <c r="AR839" s="122">
        <v>5960514</v>
      </c>
      <c r="AS839" s="122">
        <v>5418649</v>
      </c>
      <c r="AT839" s="122">
        <v>2677736</v>
      </c>
      <c r="AU839" s="122">
        <v>991754</v>
      </c>
      <c r="AV839" s="122">
        <v>34497173</v>
      </c>
    </row>
    <row r="840" spans="2:48" hidden="1">
      <c r="B840" t="s">
        <v>367</v>
      </c>
      <c r="C840" t="s">
        <v>62</v>
      </c>
      <c r="D840" t="s">
        <v>426</v>
      </c>
      <c r="E840" t="s">
        <v>426</v>
      </c>
      <c r="F840">
        <v>8</v>
      </c>
      <c r="G840" s="122">
        <v>989</v>
      </c>
      <c r="H840" s="122">
        <v>3389</v>
      </c>
      <c r="I840" s="122">
        <v>297879</v>
      </c>
      <c r="J840" s="122">
        <v>270799</v>
      </c>
      <c r="K840">
        <v>55</v>
      </c>
      <c r="L840" s="122">
        <v>31618</v>
      </c>
      <c r="M840" s="122">
        <v>22696</v>
      </c>
      <c r="N840" s="122">
        <v>21032</v>
      </c>
      <c r="O840" s="122">
        <v>7790</v>
      </c>
      <c r="P840" s="122">
        <v>2457</v>
      </c>
      <c r="Q840" s="122">
        <v>910</v>
      </c>
      <c r="R840" s="122">
        <v>44102</v>
      </c>
      <c r="S840" s="122">
        <v>40093</v>
      </c>
      <c r="T840" s="122">
        <v>22282</v>
      </c>
      <c r="U840" s="122">
        <v>8253</v>
      </c>
      <c r="V840" s="122">
        <v>350541</v>
      </c>
      <c r="W840" s="122">
        <f t="shared" si="26"/>
        <v>350541</v>
      </c>
      <c r="X840" s="122">
        <f t="shared" si="27"/>
        <v>419370</v>
      </c>
      <c r="Y840" s="122"/>
      <c r="AA840" t="s">
        <v>56</v>
      </c>
      <c r="AB840" t="s">
        <v>406</v>
      </c>
      <c r="AC840" t="s">
        <v>425</v>
      </c>
      <c r="AD840" t="s">
        <v>406</v>
      </c>
      <c r="AE840" t="s">
        <v>566</v>
      </c>
      <c r="AF840" s="122">
        <v>1364</v>
      </c>
      <c r="AG840" s="122">
        <v>265620</v>
      </c>
      <c r="AH840" s="122">
        <v>252710</v>
      </c>
      <c r="AI840" s="122">
        <v>27996842</v>
      </c>
      <c r="AJ840" s="122">
        <v>25451674</v>
      </c>
      <c r="AK840">
        <v>85</v>
      </c>
      <c r="AL840" s="122">
        <v>7870090</v>
      </c>
      <c r="AM840" s="122">
        <v>7154627</v>
      </c>
      <c r="AN840" s="122">
        <v>5684387</v>
      </c>
      <c r="AO840" s="122">
        <v>2105329</v>
      </c>
      <c r="AP840" s="122">
        <v>948803</v>
      </c>
      <c r="AQ840" s="122">
        <v>351409</v>
      </c>
      <c r="AR840" s="122">
        <v>8670706</v>
      </c>
      <c r="AS840" s="122">
        <v>7882460</v>
      </c>
      <c r="AT840" s="122">
        <v>0</v>
      </c>
      <c r="AU840" s="122">
        <v>0</v>
      </c>
      <c r="AV840" s="122">
        <v>42945499</v>
      </c>
    </row>
    <row r="841" spans="2:48" hidden="1">
      <c r="B841" t="s">
        <v>367</v>
      </c>
      <c r="C841" t="s">
        <v>64</v>
      </c>
      <c r="F841">
        <v>4</v>
      </c>
      <c r="G841" s="122">
        <v>362</v>
      </c>
      <c r="H841" s="122">
        <v>3153</v>
      </c>
      <c r="I841" s="122"/>
      <c r="J841" s="122">
        <v>0</v>
      </c>
      <c r="L841" s="122"/>
      <c r="M841" s="122">
        <v>0</v>
      </c>
      <c r="N841" s="122">
        <v>8560</v>
      </c>
      <c r="O841" s="122">
        <v>3170</v>
      </c>
      <c r="P841" s="122">
        <v>2214</v>
      </c>
      <c r="Q841" s="122">
        <v>820</v>
      </c>
      <c r="R841" s="122"/>
      <c r="S841" s="122">
        <v>0</v>
      </c>
      <c r="T841" s="122">
        <v>2778</v>
      </c>
      <c r="U841" s="122">
        <v>1029</v>
      </c>
      <c r="V841" s="122">
        <v>5019</v>
      </c>
      <c r="W841" s="122">
        <f t="shared" si="26"/>
        <v>5019</v>
      </c>
      <c r="X841" s="122">
        <f t="shared" si="27"/>
        <v>13552</v>
      </c>
      <c r="Y841" s="122"/>
      <c r="AA841" t="s">
        <v>56</v>
      </c>
      <c r="AB841" t="s">
        <v>406</v>
      </c>
      <c r="AC841" t="s">
        <v>425</v>
      </c>
      <c r="AD841" t="s">
        <v>407</v>
      </c>
      <c r="AE841" t="s">
        <v>137</v>
      </c>
      <c r="AF841">
        <v>1</v>
      </c>
      <c r="AG841">
        <v>175</v>
      </c>
      <c r="AH841">
        <v>216</v>
      </c>
      <c r="AI841" s="122">
        <v>20905</v>
      </c>
      <c r="AJ841" s="122">
        <v>19004</v>
      </c>
      <c r="AK841">
        <v>83</v>
      </c>
      <c r="AL841" s="122">
        <v>2909</v>
      </c>
      <c r="AM841" s="122">
        <v>2644</v>
      </c>
      <c r="AN841" s="122">
        <v>3990</v>
      </c>
      <c r="AO841" s="122">
        <v>1478</v>
      </c>
      <c r="AP841" s="122">
        <v>621</v>
      </c>
      <c r="AQ841" s="122">
        <v>230</v>
      </c>
      <c r="AR841" s="122">
        <v>5326</v>
      </c>
      <c r="AS841" s="122">
        <v>4842</v>
      </c>
      <c r="AT841" s="122">
        <v>3997</v>
      </c>
      <c r="AU841" s="122">
        <v>1480</v>
      </c>
      <c r="AV841" s="122">
        <v>29679</v>
      </c>
    </row>
    <row r="842" spans="2:48" hidden="1">
      <c r="B842" t="s">
        <v>367</v>
      </c>
      <c r="C842" t="s">
        <v>64</v>
      </c>
      <c r="D842" t="s">
        <v>555</v>
      </c>
      <c r="E842" t="s">
        <v>555</v>
      </c>
      <c r="F842">
        <v>1</v>
      </c>
      <c r="G842" s="122">
        <v>134</v>
      </c>
      <c r="H842" s="122">
        <v>508</v>
      </c>
      <c r="I842" s="122">
        <v>40885</v>
      </c>
      <c r="J842" s="122">
        <v>37169</v>
      </c>
      <c r="K842">
        <v>65</v>
      </c>
      <c r="L842" s="122">
        <v>14764</v>
      </c>
      <c r="M842" s="122">
        <v>13422</v>
      </c>
      <c r="N842" s="122">
        <v>3253</v>
      </c>
      <c r="O842" s="122">
        <v>1205</v>
      </c>
      <c r="P842" s="122">
        <v>351</v>
      </c>
      <c r="Q842" s="122">
        <v>130</v>
      </c>
      <c r="R842" s="122">
        <v>5443</v>
      </c>
      <c r="S842" s="122">
        <v>4949</v>
      </c>
      <c r="T842" s="122">
        <v>3191</v>
      </c>
      <c r="U842" s="122">
        <v>1182</v>
      </c>
      <c r="V842" s="122">
        <v>58056</v>
      </c>
      <c r="W842" s="122">
        <f t="shared" si="26"/>
        <v>58057</v>
      </c>
      <c r="X842" s="122">
        <f t="shared" si="27"/>
        <v>67887</v>
      </c>
      <c r="Y842" s="122"/>
      <c r="AA842" t="s">
        <v>56</v>
      </c>
      <c r="AB842" t="s">
        <v>406</v>
      </c>
      <c r="AC842" t="s">
        <v>425</v>
      </c>
      <c r="AD842" t="s">
        <v>407</v>
      </c>
      <c r="AE842" t="s">
        <v>566</v>
      </c>
      <c r="AF842">
        <v>2</v>
      </c>
      <c r="AG842">
        <v>613</v>
      </c>
      <c r="AH842">
        <v>337</v>
      </c>
      <c r="AI842" s="122">
        <v>71819</v>
      </c>
      <c r="AJ842" s="122">
        <v>65290</v>
      </c>
      <c r="AK842">
        <v>86</v>
      </c>
      <c r="AL842" s="122">
        <v>9276</v>
      </c>
      <c r="AM842" s="122">
        <v>8432</v>
      </c>
      <c r="AN842" s="122">
        <v>14873</v>
      </c>
      <c r="AO842" s="122">
        <v>5508</v>
      </c>
      <c r="AP842" s="122">
        <v>2997</v>
      </c>
      <c r="AQ842" s="122">
        <v>1110</v>
      </c>
      <c r="AR842" s="122">
        <v>15425</v>
      </c>
      <c r="AS842" s="122">
        <v>14023</v>
      </c>
      <c r="AT842">
        <v>0</v>
      </c>
      <c r="AU842">
        <v>0</v>
      </c>
      <c r="AV842" s="122">
        <v>94363</v>
      </c>
    </row>
    <row r="843" spans="2:48" hidden="1">
      <c r="B843" t="s">
        <v>367</v>
      </c>
      <c r="C843" t="s">
        <v>64</v>
      </c>
      <c r="D843" t="s">
        <v>425</v>
      </c>
      <c r="E843" t="s">
        <v>425</v>
      </c>
      <c r="F843">
        <v>2</v>
      </c>
      <c r="G843" s="122">
        <v>240</v>
      </c>
      <c r="H843" s="122">
        <v>1093</v>
      </c>
      <c r="I843" s="122">
        <v>84385</v>
      </c>
      <c r="J843" s="122">
        <v>76714</v>
      </c>
      <c r="K843">
        <v>79</v>
      </c>
      <c r="L843" s="122">
        <v>22230</v>
      </c>
      <c r="M843" s="122">
        <v>19594</v>
      </c>
      <c r="N843" s="122">
        <v>5266</v>
      </c>
      <c r="O843" s="122">
        <v>1950</v>
      </c>
      <c r="P843" s="122">
        <v>824</v>
      </c>
      <c r="Q843" s="122">
        <v>305</v>
      </c>
      <c r="R843" s="122">
        <v>9939</v>
      </c>
      <c r="S843" s="122">
        <v>9036</v>
      </c>
      <c r="T843" s="122">
        <v>2204</v>
      </c>
      <c r="U843" s="122">
        <v>816</v>
      </c>
      <c r="V843" s="122">
        <v>108415</v>
      </c>
      <c r="W843" s="122">
        <f t="shared" si="26"/>
        <v>108415</v>
      </c>
      <c r="X843" s="122">
        <f t="shared" si="27"/>
        <v>124848</v>
      </c>
      <c r="Y843" s="122"/>
      <c r="AA843" t="s">
        <v>56</v>
      </c>
      <c r="AB843" t="s">
        <v>406</v>
      </c>
      <c r="AC843" t="s">
        <v>425</v>
      </c>
      <c r="AD843" t="s">
        <v>426</v>
      </c>
      <c r="AE843" t="s">
        <v>566</v>
      </c>
      <c r="AF843">
        <v>1</v>
      </c>
      <c r="AG843">
        <v>422</v>
      </c>
      <c r="AH843">
        <v>220</v>
      </c>
      <c r="AI843" s="122">
        <v>51586</v>
      </c>
      <c r="AJ843" s="122">
        <v>46897</v>
      </c>
      <c r="AK843">
        <v>79</v>
      </c>
      <c r="AL843" s="122">
        <v>21494</v>
      </c>
      <c r="AM843" s="122">
        <v>19540</v>
      </c>
      <c r="AN843" s="122">
        <v>6126</v>
      </c>
      <c r="AO843" s="122">
        <v>2269</v>
      </c>
      <c r="AP843" s="122">
        <v>3699</v>
      </c>
      <c r="AQ843" s="122">
        <v>1370</v>
      </c>
      <c r="AR843" s="122">
        <v>10250</v>
      </c>
      <c r="AS843" s="122">
        <v>9318</v>
      </c>
      <c r="AT843">
        <v>0</v>
      </c>
      <c r="AU843">
        <v>0</v>
      </c>
      <c r="AV843" s="122">
        <v>79394</v>
      </c>
    </row>
    <row r="844" spans="2:48" hidden="1">
      <c r="B844" t="s">
        <v>367</v>
      </c>
      <c r="C844" t="s">
        <v>64</v>
      </c>
      <c r="D844" t="s">
        <v>405</v>
      </c>
      <c r="E844" t="s">
        <v>405</v>
      </c>
      <c r="F844">
        <v>1</v>
      </c>
      <c r="G844">
        <v>68</v>
      </c>
      <c r="H844" s="122">
        <v>658</v>
      </c>
      <c r="I844" s="122">
        <v>29541</v>
      </c>
      <c r="J844" s="122">
        <v>26855</v>
      </c>
      <c r="K844">
        <v>65</v>
      </c>
      <c r="L844" s="122">
        <v>7376</v>
      </c>
      <c r="M844" s="122">
        <v>6147</v>
      </c>
      <c r="N844" s="122">
        <v>1647</v>
      </c>
      <c r="O844" s="122">
        <v>610</v>
      </c>
      <c r="P844">
        <v>621</v>
      </c>
      <c r="Q844">
        <v>230</v>
      </c>
      <c r="R844" s="122">
        <v>5274</v>
      </c>
      <c r="S844" s="122">
        <v>4794</v>
      </c>
      <c r="T844" s="122">
        <v>0</v>
      </c>
      <c r="U844" s="122">
        <v>0</v>
      </c>
      <c r="V844" s="122">
        <v>38637</v>
      </c>
      <c r="W844" s="122">
        <f t="shared" si="26"/>
        <v>38636</v>
      </c>
      <c r="X844" s="122">
        <f t="shared" si="27"/>
        <v>44459</v>
      </c>
      <c r="Y844" s="122"/>
      <c r="AA844" t="s">
        <v>56</v>
      </c>
      <c r="AB844" t="s">
        <v>406</v>
      </c>
      <c r="AC844" t="s">
        <v>405</v>
      </c>
      <c r="AD844" t="s">
        <v>425</v>
      </c>
      <c r="AE844" t="s">
        <v>566</v>
      </c>
      <c r="AF844">
        <v>1</v>
      </c>
      <c r="AG844">
        <v>124</v>
      </c>
      <c r="AH844">
        <v>217</v>
      </c>
      <c r="AI844" s="122">
        <v>16588</v>
      </c>
      <c r="AJ844" s="122">
        <v>15080</v>
      </c>
      <c r="AK844">
        <v>75</v>
      </c>
      <c r="AL844" s="122">
        <v>2086</v>
      </c>
      <c r="AM844" s="122">
        <v>1896</v>
      </c>
      <c r="AN844" s="122">
        <v>1516</v>
      </c>
      <c r="AO844" s="122">
        <v>561</v>
      </c>
      <c r="AP844">
        <v>621</v>
      </c>
      <c r="AQ844">
        <v>230</v>
      </c>
      <c r="AR844" s="122">
        <v>6131</v>
      </c>
      <c r="AS844" s="122">
        <v>5574</v>
      </c>
      <c r="AT844">
        <v>0</v>
      </c>
      <c r="AU844">
        <v>0</v>
      </c>
      <c r="AV844" s="122">
        <v>23341</v>
      </c>
    </row>
    <row r="845" spans="2:48" hidden="1">
      <c r="B845" t="s">
        <v>367</v>
      </c>
      <c r="C845" t="s">
        <v>64</v>
      </c>
      <c r="D845" t="s">
        <v>137</v>
      </c>
      <c r="E845" t="s">
        <v>137</v>
      </c>
      <c r="F845">
        <v>227</v>
      </c>
      <c r="G845" s="122">
        <v>24166</v>
      </c>
      <c r="H845" s="122">
        <v>163981</v>
      </c>
      <c r="I845" s="122">
        <v>12856086</v>
      </c>
      <c r="J845" s="122">
        <v>4761513</v>
      </c>
      <c r="K845">
        <v>100</v>
      </c>
      <c r="L845" s="122">
        <v>2314979</v>
      </c>
      <c r="M845" s="122">
        <v>1774135</v>
      </c>
      <c r="N845" s="122">
        <v>541505</v>
      </c>
      <c r="O845" s="122">
        <v>200557</v>
      </c>
      <c r="P845" s="122">
        <v>3149</v>
      </c>
      <c r="Q845" s="122">
        <v>1166</v>
      </c>
      <c r="R845" s="122">
        <v>1804114</v>
      </c>
      <c r="S845" s="122">
        <v>668190</v>
      </c>
      <c r="T845" s="122">
        <v>2493</v>
      </c>
      <c r="U845">
        <v>923</v>
      </c>
      <c r="V845" s="122">
        <v>7406485</v>
      </c>
      <c r="W845" s="122">
        <f t="shared" si="26"/>
        <v>7406484</v>
      </c>
      <c r="X845" s="122">
        <f t="shared" si="27"/>
        <v>17522326</v>
      </c>
      <c r="Y845" s="122"/>
      <c r="AA845" t="s">
        <v>56</v>
      </c>
      <c r="AB845" t="s">
        <v>406</v>
      </c>
      <c r="AC845" t="s">
        <v>405</v>
      </c>
      <c r="AD845" t="s">
        <v>405</v>
      </c>
      <c r="AE845" t="s">
        <v>566</v>
      </c>
      <c r="AF845">
        <v>1</v>
      </c>
      <c r="AG845">
        <v>291</v>
      </c>
      <c r="AH845">
        <v>150</v>
      </c>
      <c r="AI845" s="122">
        <v>32728</v>
      </c>
      <c r="AJ845" s="122">
        <v>29753</v>
      </c>
      <c r="AK845">
        <v>91</v>
      </c>
      <c r="AL845" s="122">
        <v>5224</v>
      </c>
      <c r="AM845" s="122">
        <v>4749</v>
      </c>
      <c r="AN845" s="122">
        <v>7896</v>
      </c>
      <c r="AO845" s="122">
        <v>2925</v>
      </c>
      <c r="AP845" s="122">
        <v>743</v>
      </c>
      <c r="AQ845" s="122">
        <v>275</v>
      </c>
      <c r="AR845" s="122">
        <v>5748</v>
      </c>
      <c r="AS845" s="122">
        <v>5226</v>
      </c>
      <c r="AT845">
        <v>0</v>
      </c>
      <c r="AU845">
        <v>0</v>
      </c>
      <c r="AV845" s="122">
        <v>42928</v>
      </c>
    </row>
    <row r="846" spans="2:48" hidden="1">
      <c r="B846" t="s">
        <v>367</v>
      </c>
      <c r="C846" t="s">
        <v>64</v>
      </c>
      <c r="D846" t="s">
        <v>137</v>
      </c>
      <c r="E846" t="s">
        <v>406</v>
      </c>
      <c r="F846">
        <v>5</v>
      </c>
      <c r="G846" s="122">
        <v>862</v>
      </c>
      <c r="H846" s="122">
        <v>3554</v>
      </c>
      <c r="I846" s="122">
        <v>439790</v>
      </c>
      <c r="J846" s="122">
        <v>162885</v>
      </c>
      <c r="K846">
        <v>100</v>
      </c>
      <c r="L846" s="122">
        <v>63095</v>
      </c>
      <c r="M846" s="122">
        <v>54705</v>
      </c>
      <c r="N846" s="122">
        <v>20445</v>
      </c>
      <c r="O846" s="122">
        <v>7572</v>
      </c>
      <c r="P846" s="122">
        <v>575</v>
      </c>
      <c r="Q846" s="122">
        <v>213</v>
      </c>
      <c r="R846" s="122">
        <v>54489</v>
      </c>
      <c r="S846" s="122">
        <v>49535</v>
      </c>
      <c r="T846" s="122">
        <v>5038</v>
      </c>
      <c r="U846" s="122">
        <v>1866</v>
      </c>
      <c r="V846" s="122">
        <v>276777</v>
      </c>
      <c r="W846" s="122">
        <f t="shared" si="26"/>
        <v>276776</v>
      </c>
      <c r="X846" s="122">
        <f t="shared" si="27"/>
        <v>583432</v>
      </c>
      <c r="Y846" s="122"/>
      <c r="AA846" t="s">
        <v>56</v>
      </c>
      <c r="AB846" t="s">
        <v>406</v>
      </c>
      <c r="AC846" t="s">
        <v>405</v>
      </c>
      <c r="AD846" t="s">
        <v>137</v>
      </c>
      <c r="AE846" t="s">
        <v>566</v>
      </c>
      <c r="AF846">
        <v>5</v>
      </c>
      <c r="AG846" s="122">
        <v>837</v>
      </c>
      <c r="AH846" s="122">
        <v>876</v>
      </c>
      <c r="AI846" s="122">
        <v>71137</v>
      </c>
      <c r="AJ846" s="122">
        <v>64670</v>
      </c>
      <c r="AK846">
        <v>86</v>
      </c>
      <c r="AL846" s="122">
        <v>9478</v>
      </c>
      <c r="AM846" s="122">
        <v>8616</v>
      </c>
      <c r="AN846" s="122">
        <v>18481</v>
      </c>
      <c r="AO846" s="122">
        <v>6845</v>
      </c>
      <c r="AP846" s="122">
        <v>3105</v>
      </c>
      <c r="AQ846" s="122">
        <v>1150</v>
      </c>
      <c r="AR846" s="122">
        <v>42882</v>
      </c>
      <c r="AS846" s="122">
        <v>15882</v>
      </c>
      <c r="AT846" s="122">
        <v>0</v>
      </c>
      <c r="AU846" s="122">
        <v>0</v>
      </c>
      <c r="AV846" s="122">
        <v>97163</v>
      </c>
    </row>
    <row r="847" spans="2:48" hidden="1">
      <c r="B847" t="s">
        <v>367</v>
      </c>
      <c r="C847" t="s">
        <v>64</v>
      </c>
      <c r="D847" t="s">
        <v>137</v>
      </c>
      <c r="E847" t="s">
        <v>407</v>
      </c>
      <c r="F847">
        <v>1</v>
      </c>
      <c r="G847" s="122">
        <v>68</v>
      </c>
      <c r="H847" s="122">
        <v>904</v>
      </c>
      <c r="I847" s="122">
        <v>45668</v>
      </c>
      <c r="J847" s="122">
        <v>16914</v>
      </c>
      <c r="K847">
        <v>100</v>
      </c>
      <c r="L847" s="122">
        <v>10944</v>
      </c>
      <c r="M847" s="122">
        <v>9949</v>
      </c>
      <c r="N847" s="122">
        <v>1651</v>
      </c>
      <c r="O847" s="122">
        <v>611</v>
      </c>
      <c r="P847" s="122">
        <v>0</v>
      </c>
      <c r="Q847" s="122">
        <v>0</v>
      </c>
      <c r="R847" s="122">
        <v>2949</v>
      </c>
      <c r="S847" s="122">
        <v>2681</v>
      </c>
      <c r="T847" s="122">
        <v>0</v>
      </c>
      <c r="U847" s="122">
        <v>0</v>
      </c>
      <c r="V847" s="122">
        <v>30156</v>
      </c>
      <c r="W847" s="122">
        <f t="shared" si="26"/>
        <v>30155</v>
      </c>
      <c r="X847" s="122">
        <f t="shared" si="27"/>
        <v>61212</v>
      </c>
      <c r="Y847" s="122"/>
      <c r="AA847" t="s">
        <v>56</v>
      </c>
      <c r="AB847" t="s">
        <v>406</v>
      </c>
      <c r="AC847" t="s">
        <v>405</v>
      </c>
      <c r="AD847" t="s">
        <v>406</v>
      </c>
      <c r="AE847" t="s">
        <v>137</v>
      </c>
      <c r="AF847">
        <v>120</v>
      </c>
      <c r="AG847" s="122">
        <v>25547</v>
      </c>
      <c r="AH847" s="122">
        <v>23032</v>
      </c>
      <c r="AI847" s="122">
        <v>2910500</v>
      </c>
      <c r="AJ847" s="122">
        <v>2645909</v>
      </c>
      <c r="AK847">
        <v>83</v>
      </c>
      <c r="AL847" s="122">
        <v>612383</v>
      </c>
      <c r="AM847" s="122">
        <v>556712</v>
      </c>
      <c r="AN847" s="122">
        <v>549277</v>
      </c>
      <c r="AO847" s="122">
        <v>203436</v>
      </c>
      <c r="AP847" s="122">
        <v>81743</v>
      </c>
      <c r="AQ847" s="122">
        <v>30275</v>
      </c>
      <c r="AR847" s="122">
        <v>652598</v>
      </c>
      <c r="AS847" s="122">
        <v>593271</v>
      </c>
      <c r="AT847" s="122">
        <v>292676</v>
      </c>
      <c r="AU847" s="122">
        <v>108398</v>
      </c>
      <c r="AV847" s="122">
        <v>4138001</v>
      </c>
    </row>
    <row r="848" spans="2:48" hidden="1">
      <c r="B848" t="s">
        <v>367</v>
      </c>
      <c r="C848" t="s">
        <v>64</v>
      </c>
      <c r="D848" t="s">
        <v>137</v>
      </c>
      <c r="E848" t="s">
        <v>556</v>
      </c>
      <c r="F848">
        <v>1</v>
      </c>
      <c r="G848">
        <v>159</v>
      </c>
      <c r="H848" s="122">
        <v>665</v>
      </c>
      <c r="I848" s="122">
        <v>67713</v>
      </c>
      <c r="J848" s="122">
        <v>25079</v>
      </c>
      <c r="K848">
        <v>100</v>
      </c>
      <c r="L848" s="122">
        <v>25079</v>
      </c>
      <c r="M848" s="122">
        <v>20899</v>
      </c>
      <c r="N848" s="122">
        <v>2800</v>
      </c>
      <c r="O848" s="122">
        <v>1037</v>
      </c>
      <c r="P848">
        <v>0</v>
      </c>
      <c r="Q848">
        <v>0</v>
      </c>
      <c r="R848" s="122">
        <v>6323</v>
      </c>
      <c r="S848" s="122">
        <v>5269</v>
      </c>
      <c r="T848" s="122">
        <v>3468</v>
      </c>
      <c r="U848" s="122">
        <v>1284</v>
      </c>
      <c r="V848" s="122">
        <v>53569</v>
      </c>
      <c r="W848" s="122">
        <f t="shared" si="26"/>
        <v>53568</v>
      </c>
      <c r="X848" s="122">
        <f t="shared" si="27"/>
        <v>105383</v>
      </c>
      <c r="Y848" s="122"/>
      <c r="AA848" t="s">
        <v>56</v>
      </c>
      <c r="AB848" t="s">
        <v>406</v>
      </c>
      <c r="AC848" t="s">
        <v>405</v>
      </c>
      <c r="AD848" t="s">
        <v>406</v>
      </c>
      <c r="AE848" t="s">
        <v>566</v>
      </c>
      <c r="AF848">
        <v>152</v>
      </c>
      <c r="AG848" s="122">
        <v>31895</v>
      </c>
      <c r="AH848" s="122">
        <v>27929</v>
      </c>
      <c r="AI848" s="122">
        <v>3585665</v>
      </c>
      <c r="AJ848" s="122">
        <v>3259695</v>
      </c>
      <c r="AK848">
        <v>85</v>
      </c>
      <c r="AL848" s="122">
        <v>827205</v>
      </c>
      <c r="AM848" s="122">
        <v>752004</v>
      </c>
      <c r="AN848" s="122">
        <v>678155</v>
      </c>
      <c r="AO848" s="122">
        <v>251169</v>
      </c>
      <c r="AP848" s="122">
        <v>116441</v>
      </c>
      <c r="AQ848" s="122">
        <v>43126</v>
      </c>
      <c r="AR848" s="122">
        <v>961175</v>
      </c>
      <c r="AS848" s="122">
        <v>873796</v>
      </c>
      <c r="AT848">
        <v>0</v>
      </c>
      <c r="AU848">
        <v>0</v>
      </c>
      <c r="AV848" s="122">
        <v>5179790</v>
      </c>
    </row>
    <row r="849" spans="2:48" hidden="1">
      <c r="B849" t="s">
        <v>367</v>
      </c>
      <c r="C849" t="s">
        <v>64</v>
      </c>
      <c r="D849" t="s">
        <v>406</v>
      </c>
      <c r="E849" t="s">
        <v>137</v>
      </c>
      <c r="F849">
        <v>17</v>
      </c>
      <c r="G849" s="122">
        <v>2636</v>
      </c>
      <c r="H849" s="122">
        <v>10282</v>
      </c>
      <c r="I849" s="122">
        <v>1133417</v>
      </c>
      <c r="J849" s="122">
        <v>1030379</v>
      </c>
      <c r="K849">
        <v>67</v>
      </c>
      <c r="L849" s="122">
        <v>264870</v>
      </c>
      <c r="M849" s="122">
        <v>226735</v>
      </c>
      <c r="N849" s="122">
        <v>65448</v>
      </c>
      <c r="O849" s="122">
        <v>24240</v>
      </c>
      <c r="P849" s="122">
        <v>10275</v>
      </c>
      <c r="Q849" s="122">
        <v>3806</v>
      </c>
      <c r="R849" s="122">
        <v>144825</v>
      </c>
      <c r="S849" s="122">
        <v>53639</v>
      </c>
      <c r="T849" s="122">
        <v>3329</v>
      </c>
      <c r="U849" s="122">
        <v>1233</v>
      </c>
      <c r="V849" s="122">
        <v>1340031</v>
      </c>
      <c r="W849" s="122">
        <f t="shared" si="26"/>
        <v>1340032</v>
      </c>
      <c r="X849" s="122">
        <f t="shared" si="27"/>
        <v>1622164</v>
      </c>
      <c r="Y849" s="122"/>
      <c r="AA849" t="s">
        <v>56</v>
      </c>
      <c r="AB849" t="s">
        <v>406</v>
      </c>
      <c r="AC849" t="s">
        <v>405</v>
      </c>
      <c r="AD849" t="s">
        <v>427</v>
      </c>
      <c r="AE849" t="s">
        <v>566</v>
      </c>
      <c r="AF849">
        <v>1</v>
      </c>
      <c r="AG849">
        <v>169</v>
      </c>
      <c r="AH849">
        <v>168</v>
      </c>
      <c r="AI849" s="122">
        <v>16200</v>
      </c>
      <c r="AJ849" s="122">
        <v>14727</v>
      </c>
      <c r="AK849">
        <v>86</v>
      </c>
      <c r="AL849" s="122">
        <v>1928</v>
      </c>
      <c r="AM849" s="122">
        <v>1753</v>
      </c>
      <c r="AN849" s="122">
        <v>4084</v>
      </c>
      <c r="AO849" s="122">
        <v>1512</v>
      </c>
      <c r="AP849">
        <v>621</v>
      </c>
      <c r="AQ849">
        <v>230</v>
      </c>
      <c r="AR849" s="122">
        <v>5579</v>
      </c>
      <c r="AS849" s="122">
        <v>5071</v>
      </c>
      <c r="AT849" s="122">
        <v>0</v>
      </c>
      <c r="AU849" s="122">
        <v>0</v>
      </c>
      <c r="AV849" s="122">
        <v>23294</v>
      </c>
    </row>
    <row r="850" spans="2:48" hidden="1">
      <c r="B850" t="s">
        <v>367</v>
      </c>
      <c r="C850" t="s">
        <v>64</v>
      </c>
      <c r="D850" t="s">
        <v>406</v>
      </c>
      <c r="E850" t="s">
        <v>406</v>
      </c>
      <c r="F850">
        <v>521</v>
      </c>
      <c r="G850" s="122">
        <v>71405</v>
      </c>
      <c r="H850" s="122">
        <v>289768</v>
      </c>
      <c r="I850" s="122">
        <v>26013853</v>
      </c>
      <c r="J850" s="122">
        <v>23648958</v>
      </c>
      <c r="K850">
        <v>69</v>
      </c>
      <c r="L850" s="122">
        <v>7460718</v>
      </c>
      <c r="M850" s="122">
        <v>6408675</v>
      </c>
      <c r="N850" s="122">
        <v>1617483</v>
      </c>
      <c r="O850" s="122">
        <v>599068</v>
      </c>
      <c r="P850" s="122">
        <v>327413</v>
      </c>
      <c r="Q850" s="122">
        <v>121264</v>
      </c>
      <c r="R850" s="122">
        <v>3190111</v>
      </c>
      <c r="S850" s="122">
        <v>2900101</v>
      </c>
      <c r="T850" s="122">
        <v>1128762</v>
      </c>
      <c r="U850" s="122">
        <v>418060</v>
      </c>
      <c r="V850" s="122">
        <v>34096125</v>
      </c>
      <c r="W850" s="122">
        <f t="shared" si="26"/>
        <v>34096126</v>
      </c>
      <c r="X850" s="122">
        <f t="shared" si="27"/>
        <v>39738340</v>
      </c>
      <c r="Y850" s="122"/>
      <c r="AA850" t="s">
        <v>56</v>
      </c>
      <c r="AB850" t="s">
        <v>406</v>
      </c>
      <c r="AC850" t="s">
        <v>137</v>
      </c>
      <c r="AD850" t="s">
        <v>137</v>
      </c>
      <c r="AE850" t="s">
        <v>137</v>
      </c>
      <c r="AF850">
        <v>1</v>
      </c>
      <c r="AG850">
        <v>240</v>
      </c>
      <c r="AH850">
        <v>224</v>
      </c>
      <c r="AI850" s="122">
        <v>25874</v>
      </c>
      <c r="AJ850" s="122">
        <v>23522</v>
      </c>
      <c r="AK850">
        <v>80</v>
      </c>
      <c r="AL850" s="122">
        <v>8938</v>
      </c>
      <c r="AM850" s="122">
        <v>3310</v>
      </c>
      <c r="AN850" s="122">
        <v>2924</v>
      </c>
      <c r="AO850" s="122">
        <v>1083</v>
      </c>
      <c r="AP850" s="122">
        <v>621</v>
      </c>
      <c r="AQ850" s="122">
        <v>230</v>
      </c>
      <c r="AR850" s="122">
        <v>11518</v>
      </c>
      <c r="AS850" s="122">
        <v>4266</v>
      </c>
      <c r="AT850" s="122">
        <v>3772</v>
      </c>
      <c r="AU850" s="122">
        <v>1397</v>
      </c>
      <c r="AV850" s="122">
        <v>33808</v>
      </c>
    </row>
    <row r="851" spans="2:48" hidden="1">
      <c r="B851" t="s">
        <v>367</v>
      </c>
      <c r="C851" t="s">
        <v>64</v>
      </c>
      <c r="D851" t="s">
        <v>406</v>
      </c>
      <c r="E851" t="s">
        <v>407</v>
      </c>
      <c r="F851">
        <v>1</v>
      </c>
      <c r="G851" s="122">
        <v>89</v>
      </c>
      <c r="H851" s="122">
        <v>450</v>
      </c>
      <c r="I851" s="122">
        <v>25908</v>
      </c>
      <c r="J851" s="122">
        <v>23553</v>
      </c>
      <c r="K851">
        <v>79</v>
      </c>
      <c r="L851" s="122">
        <v>7581</v>
      </c>
      <c r="M851" s="122">
        <v>6891</v>
      </c>
      <c r="N851" s="122">
        <v>1399</v>
      </c>
      <c r="O851" s="122">
        <v>518</v>
      </c>
      <c r="P851" s="122">
        <v>621</v>
      </c>
      <c r="Q851" s="122">
        <v>230</v>
      </c>
      <c r="R851" s="122">
        <v>4574</v>
      </c>
      <c r="S851" s="122">
        <v>4158</v>
      </c>
      <c r="T851" s="122">
        <v>0</v>
      </c>
      <c r="U851" s="122">
        <v>0</v>
      </c>
      <c r="V851" s="122">
        <v>35351</v>
      </c>
      <c r="W851" s="122">
        <f t="shared" si="26"/>
        <v>35350</v>
      </c>
      <c r="X851" s="122">
        <f t="shared" si="27"/>
        <v>40083</v>
      </c>
      <c r="Y851" s="122"/>
      <c r="AA851" t="s">
        <v>56</v>
      </c>
      <c r="AB851" t="s">
        <v>406</v>
      </c>
      <c r="AC851" t="s">
        <v>137</v>
      </c>
      <c r="AD851" t="s">
        <v>137</v>
      </c>
      <c r="AE851" t="s">
        <v>566</v>
      </c>
      <c r="AF851">
        <v>5</v>
      </c>
      <c r="AG851" s="122">
        <v>853</v>
      </c>
      <c r="AH851" s="122">
        <v>987</v>
      </c>
      <c r="AI851" s="122">
        <v>92770</v>
      </c>
      <c r="AJ851" s="122">
        <v>84337</v>
      </c>
      <c r="AK851">
        <v>87</v>
      </c>
      <c r="AL851" s="122">
        <v>21244</v>
      </c>
      <c r="AM851" s="122">
        <v>7868</v>
      </c>
      <c r="AN851" s="122">
        <v>14902</v>
      </c>
      <c r="AO851" s="122">
        <v>5519</v>
      </c>
      <c r="AP851" s="122">
        <v>2754</v>
      </c>
      <c r="AQ851" s="122">
        <v>1020</v>
      </c>
      <c r="AR851" s="122">
        <v>53331</v>
      </c>
      <c r="AS851" s="122">
        <v>19752</v>
      </c>
      <c r="AT851" s="122">
        <v>0</v>
      </c>
      <c r="AU851" s="122">
        <v>0</v>
      </c>
      <c r="AV851" s="122">
        <v>118496</v>
      </c>
    </row>
    <row r="852" spans="2:48" hidden="1">
      <c r="B852" t="s">
        <v>367</v>
      </c>
      <c r="C852" t="s">
        <v>64</v>
      </c>
      <c r="D852" t="s">
        <v>406</v>
      </c>
      <c r="E852" t="s">
        <v>556</v>
      </c>
      <c r="F852">
        <v>2</v>
      </c>
      <c r="G852">
        <v>536</v>
      </c>
      <c r="H852" s="122">
        <v>1052</v>
      </c>
      <c r="I852" s="122">
        <v>182552</v>
      </c>
      <c r="J852" s="122">
        <v>165957</v>
      </c>
      <c r="K852">
        <v>68</v>
      </c>
      <c r="L852" s="122">
        <v>60519</v>
      </c>
      <c r="M852" s="122">
        <v>54254</v>
      </c>
      <c r="N852" s="122">
        <v>10179</v>
      </c>
      <c r="O852" s="122">
        <v>3770</v>
      </c>
      <c r="P852" s="122">
        <v>1242</v>
      </c>
      <c r="Q852">
        <v>460</v>
      </c>
      <c r="R852" s="122">
        <v>14880</v>
      </c>
      <c r="S852" s="122">
        <v>12400</v>
      </c>
      <c r="T852" s="122">
        <v>1400</v>
      </c>
      <c r="U852">
        <v>518</v>
      </c>
      <c r="V852" s="122">
        <v>237359</v>
      </c>
      <c r="W852" s="122">
        <f t="shared" si="26"/>
        <v>237359</v>
      </c>
      <c r="X852" s="122">
        <f t="shared" si="27"/>
        <v>270772</v>
      </c>
      <c r="Y852" s="122"/>
      <c r="AA852" t="s">
        <v>56</v>
      </c>
      <c r="AB852" t="s">
        <v>406</v>
      </c>
      <c r="AC852" t="s">
        <v>137</v>
      </c>
      <c r="AD852" t="s">
        <v>406</v>
      </c>
      <c r="AE852" t="s">
        <v>137</v>
      </c>
      <c r="AF852">
        <v>806</v>
      </c>
      <c r="AG852" s="122">
        <v>125592</v>
      </c>
      <c r="AH852" s="122">
        <v>158667</v>
      </c>
      <c r="AI852" s="122">
        <v>13515030</v>
      </c>
      <c r="AJ852" s="122">
        <v>12286391</v>
      </c>
      <c r="AK852">
        <v>85</v>
      </c>
      <c r="AL852" s="122">
        <v>3472580</v>
      </c>
      <c r="AM852" s="122">
        <v>1286141</v>
      </c>
      <c r="AN852" s="122">
        <v>2650310</v>
      </c>
      <c r="AO852" s="122">
        <v>981596</v>
      </c>
      <c r="AP852" s="122">
        <v>519507</v>
      </c>
      <c r="AQ852" s="122">
        <v>192410</v>
      </c>
      <c r="AR852" s="122">
        <v>3798668</v>
      </c>
      <c r="AS852" s="122">
        <v>3453335</v>
      </c>
      <c r="AT852" s="122">
        <v>1810861</v>
      </c>
      <c r="AU852" s="122">
        <v>670689</v>
      </c>
      <c r="AV852" s="122">
        <v>18870562</v>
      </c>
    </row>
    <row r="853" spans="2:48" hidden="1">
      <c r="B853" t="s">
        <v>367</v>
      </c>
      <c r="C853" t="s">
        <v>64</v>
      </c>
      <c r="D853" t="s">
        <v>406</v>
      </c>
      <c r="E853" t="s">
        <v>426</v>
      </c>
      <c r="F853">
        <v>2</v>
      </c>
      <c r="G853" s="122">
        <v>288</v>
      </c>
      <c r="H853" s="122">
        <v>1302</v>
      </c>
      <c r="I853" s="122">
        <v>140215</v>
      </c>
      <c r="J853" s="122">
        <v>127468</v>
      </c>
      <c r="K853">
        <v>65</v>
      </c>
      <c r="L853" s="122">
        <v>32094</v>
      </c>
      <c r="M853" s="122">
        <v>29176</v>
      </c>
      <c r="N853" s="122">
        <v>6876</v>
      </c>
      <c r="O853" s="122">
        <v>2547</v>
      </c>
      <c r="P853" s="122">
        <v>1242</v>
      </c>
      <c r="Q853" s="122">
        <v>460</v>
      </c>
      <c r="R853" s="122">
        <v>13517</v>
      </c>
      <c r="S853" s="122">
        <v>12288</v>
      </c>
      <c r="T853" s="122">
        <v>6059</v>
      </c>
      <c r="U853" s="122">
        <v>2244</v>
      </c>
      <c r="V853" s="122">
        <v>174183</v>
      </c>
      <c r="W853" s="122">
        <f t="shared" si="26"/>
        <v>174183</v>
      </c>
      <c r="X853" s="122">
        <f t="shared" si="27"/>
        <v>200003</v>
      </c>
      <c r="Y853" s="122"/>
      <c r="AA853" t="s">
        <v>56</v>
      </c>
      <c r="AB853" t="s">
        <v>406</v>
      </c>
      <c r="AC853" t="s">
        <v>137</v>
      </c>
      <c r="AD853" t="s">
        <v>406</v>
      </c>
      <c r="AE853" t="s">
        <v>566</v>
      </c>
      <c r="AF853">
        <v>905</v>
      </c>
      <c r="AG853" s="122">
        <v>141304</v>
      </c>
      <c r="AH853" s="122">
        <v>170943</v>
      </c>
      <c r="AI853" s="122">
        <v>14883898</v>
      </c>
      <c r="AJ853" s="122">
        <v>13530816</v>
      </c>
      <c r="AK853">
        <v>86</v>
      </c>
      <c r="AL853" s="122">
        <v>3882876</v>
      </c>
      <c r="AM853" s="122">
        <v>1438102</v>
      </c>
      <c r="AN853" s="122">
        <v>2952104</v>
      </c>
      <c r="AO853" s="122">
        <v>1093372</v>
      </c>
      <c r="AP853" s="122">
        <v>599552</v>
      </c>
      <c r="AQ853" s="122">
        <v>222056</v>
      </c>
      <c r="AR853" s="122">
        <v>5203034</v>
      </c>
      <c r="AS853" s="122">
        <v>4730031</v>
      </c>
      <c r="AT853" s="122">
        <v>0</v>
      </c>
      <c r="AU853" s="122">
        <v>0</v>
      </c>
      <c r="AV853" s="122">
        <v>21014377</v>
      </c>
    </row>
    <row r="854" spans="2:48" hidden="1">
      <c r="B854" t="s">
        <v>367</v>
      </c>
      <c r="C854" t="s">
        <v>64</v>
      </c>
      <c r="D854" t="s">
        <v>427</v>
      </c>
      <c r="E854" t="s">
        <v>137</v>
      </c>
      <c r="F854">
        <v>8</v>
      </c>
      <c r="G854">
        <v>879</v>
      </c>
      <c r="H854" s="122">
        <v>8104</v>
      </c>
      <c r="I854" s="122">
        <v>757887</v>
      </c>
      <c r="J854" s="122">
        <v>688989</v>
      </c>
      <c r="K854">
        <v>36</v>
      </c>
      <c r="L854" s="122">
        <v>14321</v>
      </c>
      <c r="M854" s="122">
        <v>20969</v>
      </c>
      <c r="N854" s="122">
        <v>21221</v>
      </c>
      <c r="O854" s="122">
        <v>7860</v>
      </c>
      <c r="P854" s="122">
        <v>702</v>
      </c>
      <c r="Q854" s="122">
        <v>260</v>
      </c>
      <c r="R854" s="122">
        <v>81903</v>
      </c>
      <c r="S854" s="122">
        <v>30334</v>
      </c>
      <c r="T854" s="122">
        <v>0</v>
      </c>
      <c r="U854" s="122">
        <v>0</v>
      </c>
      <c r="V854" s="122">
        <v>748412</v>
      </c>
      <c r="W854" s="122">
        <f t="shared" si="26"/>
        <v>748412</v>
      </c>
      <c r="X854" s="122">
        <f t="shared" si="27"/>
        <v>876034</v>
      </c>
      <c r="Y854" s="122"/>
      <c r="AA854" t="s">
        <v>56</v>
      </c>
      <c r="AB854" t="s">
        <v>406</v>
      </c>
      <c r="AC854" t="s">
        <v>137</v>
      </c>
      <c r="AD854" t="s">
        <v>407</v>
      </c>
      <c r="AE854" t="s">
        <v>137</v>
      </c>
      <c r="AF854">
        <v>1</v>
      </c>
      <c r="AG854">
        <v>166</v>
      </c>
      <c r="AH854">
        <v>156</v>
      </c>
      <c r="AI854" s="122">
        <v>11214</v>
      </c>
      <c r="AJ854" s="122">
        <v>10194</v>
      </c>
      <c r="AK854">
        <v>94</v>
      </c>
      <c r="AL854" s="122">
        <v>2725</v>
      </c>
      <c r="AM854" s="122">
        <v>1009</v>
      </c>
      <c r="AN854" s="122">
        <v>4055</v>
      </c>
      <c r="AO854" s="122">
        <v>1502</v>
      </c>
      <c r="AP854">
        <v>621</v>
      </c>
      <c r="AQ854">
        <v>230</v>
      </c>
      <c r="AR854" s="122">
        <v>4099</v>
      </c>
      <c r="AS854" s="122">
        <v>3726</v>
      </c>
      <c r="AT854" s="122">
        <v>3329</v>
      </c>
      <c r="AU854" s="122">
        <v>1233</v>
      </c>
      <c r="AV854" s="122">
        <v>17894</v>
      </c>
    </row>
    <row r="855" spans="2:48" hidden="1">
      <c r="B855" t="s">
        <v>367</v>
      </c>
      <c r="C855" t="s">
        <v>64</v>
      </c>
      <c r="D855" t="s">
        <v>427</v>
      </c>
      <c r="E855" t="s">
        <v>406</v>
      </c>
      <c r="F855">
        <v>1</v>
      </c>
      <c r="G855" s="122">
        <v>62</v>
      </c>
      <c r="H855" s="122">
        <v>575</v>
      </c>
      <c r="I855" s="122">
        <v>27769</v>
      </c>
      <c r="J855" s="122">
        <v>25244</v>
      </c>
      <c r="K855">
        <v>65</v>
      </c>
      <c r="L855" s="122">
        <v>0</v>
      </c>
      <c r="M855" s="122">
        <v>0</v>
      </c>
      <c r="N855" s="122">
        <v>857</v>
      </c>
      <c r="O855" s="122">
        <v>318</v>
      </c>
      <c r="P855" s="122">
        <v>351</v>
      </c>
      <c r="Q855" s="122">
        <v>130</v>
      </c>
      <c r="R855" s="122">
        <v>4273</v>
      </c>
      <c r="S855" s="122">
        <v>3885</v>
      </c>
      <c r="T855" s="122">
        <v>2271</v>
      </c>
      <c r="U855" s="122">
        <v>841</v>
      </c>
      <c r="V855" s="122">
        <v>30417</v>
      </c>
      <c r="W855" s="122">
        <f t="shared" si="26"/>
        <v>30418</v>
      </c>
      <c r="X855" s="122">
        <f t="shared" si="27"/>
        <v>35521</v>
      </c>
      <c r="Y855" s="122"/>
      <c r="AA855" t="s">
        <v>56</v>
      </c>
      <c r="AB855" t="s">
        <v>406</v>
      </c>
      <c r="AC855" t="s">
        <v>137</v>
      </c>
      <c r="AD855" t="s">
        <v>431</v>
      </c>
      <c r="AE855" t="s">
        <v>566</v>
      </c>
      <c r="AF855">
        <v>1</v>
      </c>
      <c r="AG855">
        <v>170</v>
      </c>
      <c r="AH855">
        <v>174</v>
      </c>
      <c r="AI855" s="122">
        <v>18318</v>
      </c>
      <c r="AJ855" s="122">
        <v>16653</v>
      </c>
      <c r="AK855">
        <v>86</v>
      </c>
      <c r="AL855" s="122">
        <v>5122</v>
      </c>
      <c r="AM855" s="122">
        <v>1897</v>
      </c>
      <c r="AN855" s="122">
        <v>2071</v>
      </c>
      <c r="AO855">
        <v>767</v>
      </c>
      <c r="AP855">
        <v>621</v>
      </c>
      <c r="AQ855">
        <v>230</v>
      </c>
      <c r="AR855" s="122">
        <v>3415</v>
      </c>
      <c r="AS855" s="122">
        <v>3104</v>
      </c>
      <c r="AT855" s="122">
        <v>0</v>
      </c>
      <c r="AU855" s="122">
        <v>0</v>
      </c>
      <c r="AV855" s="122">
        <v>22651</v>
      </c>
    </row>
    <row r="856" spans="2:48" hidden="1">
      <c r="B856" t="s">
        <v>367</v>
      </c>
      <c r="C856" t="s">
        <v>64</v>
      </c>
      <c r="D856" t="s">
        <v>427</v>
      </c>
      <c r="E856" t="s">
        <v>427</v>
      </c>
      <c r="F856">
        <v>6</v>
      </c>
      <c r="G856">
        <v>544</v>
      </c>
      <c r="H856" s="122">
        <v>4817</v>
      </c>
      <c r="I856" s="122">
        <v>345855</v>
      </c>
      <c r="J856" s="122">
        <v>314414</v>
      </c>
      <c r="K856">
        <v>49</v>
      </c>
      <c r="L856" s="122">
        <v>36313</v>
      </c>
      <c r="M856" s="122">
        <v>33012</v>
      </c>
      <c r="N856" s="122">
        <v>13066</v>
      </c>
      <c r="O856" s="122">
        <v>4839</v>
      </c>
      <c r="P856" s="122">
        <v>702</v>
      </c>
      <c r="Q856">
        <v>260</v>
      </c>
      <c r="R856" s="122">
        <v>37779</v>
      </c>
      <c r="S856" s="122">
        <v>34344</v>
      </c>
      <c r="T856" s="122">
        <v>13421</v>
      </c>
      <c r="U856" s="122">
        <v>4971</v>
      </c>
      <c r="V856" s="122">
        <v>391840</v>
      </c>
      <c r="W856" s="122">
        <f t="shared" si="26"/>
        <v>391840</v>
      </c>
      <c r="X856" s="122">
        <f t="shared" si="27"/>
        <v>447136</v>
      </c>
      <c r="Y856" s="122"/>
      <c r="AA856" t="s">
        <v>56</v>
      </c>
      <c r="AB856" t="s">
        <v>406</v>
      </c>
      <c r="AC856" t="s">
        <v>137</v>
      </c>
      <c r="AD856" t="s">
        <v>426</v>
      </c>
      <c r="AE856" t="s">
        <v>137</v>
      </c>
      <c r="AF856">
        <v>1</v>
      </c>
      <c r="AG856">
        <v>178</v>
      </c>
      <c r="AH856">
        <v>200</v>
      </c>
      <c r="AI856" s="122">
        <v>18575</v>
      </c>
      <c r="AJ856" s="122">
        <v>16887</v>
      </c>
      <c r="AK856">
        <v>86</v>
      </c>
      <c r="AL856" s="122">
        <v>6873</v>
      </c>
      <c r="AM856" s="122">
        <v>2546</v>
      </c>
      <c r="AN856" s="122">
        <v>2164</v>
      </c>
      <c r="AO856" s="122">
        <v>802</v>
      </c>
      <c r="AP856" s="122">
        <v>621</v>
      </c>
      <c r="AQ856">
        <v>230</v>
      </c>
      <c r="AR856" s="122">
        <v>3914</v>
      </c>
      <c r="AS856" s="122">
        <v>3558</v>
      </c>
      <c r="AT856" s="122">
        <v>3309</v>
      </c>
      <c r="AU856" s="122">
        <v>1226</v>
      </c>
      <c r="AV856" s="122">
        <v>25247</v>
      </c>
    </row>
    <row r="857" spans="2:48" hidden="1">
      <c r="B857" t="s">
        <v>367</v>
      </c>
      <c r="C857" t="s">
        <v>64</v>
      </c>
      <c r="D857" t="s">
        <v>407</v>
      </c>
      <c r="E857" t="s">
        <v>137</v>
      </c>
      <c r="F857">
        <v>14</v>
      </c>
      <c r="G857" s="122">
        <v>1535</v>
      </c>
      <c r="H857" s="122">
        <v>8283</v>
      </c>
      <c r="I857" s="122">
        <v>635731</v>
      </c>
      <c r="J857" s="122">
        <v>577937</v>
      </c>
      <c r="K857">
        <v>66</v>
      </c>
      <c r="L857" s="122">
        <v>115542</v>
      </c>
      <c r="M857" s="122">
        <v>88089</v>
      </c>
      <c r="N857" s="122">
        <v>35782</v>
      </c>
      <c r="O857" s="122">
        <v>13253</v>
      </c>
      <c r="P857" s="122">
        <v>3857</v>
      </c>
      <c r="Q857" s="122">
        <v>1429</v>
      </c>
      <c r="R857" s="122">
        <v>125398</v>
      </c>
      <c r="S857" s="122">
        <v>46444</v>
      </c>
      <c r="T857" s="122">
        <v>3783</v>
      </c>
      <c r="U857" s="122">
        <v>1401</v>
      </c>
      <c r="V857" s="122">
        <v>728552</v>
      </c>
      <c r="W857" s="122">
        <f t="shared" si="26"/>
        <v>728553</v>
      </c>
      <c r="X857" s="122">
        <f t="shared" si="27"/>
        <v>920093</v>
      </c>
      <c r="Y857" s="122"/>
      <c r="AA857" t="s">
        <v>56</v>
      </c>
      <c r="AB857" t="s">
        <v>406</v>
      </c>
      <c r="AC857" t="s">
        <v>580</v>
      </c>
      <c r="AD857" t="s">
        <v>425</v>
      </c>
      <c r="AE857" t="s">
        <v>137</v>
      </c>
      <c r="AF857">
        <v>3</v>
      </c>
      <c r="AG857">
        <v>574</v>
      </c>
      <c r="AH857">
        <v>590</v>
      </c>
      <c r="AI857" s="122">
        <v>68860</v>
      </c>
      <c r="AJ857" s="122">
        <v>62600</v>
      </c>
      <c r="AK857">
        <v>81</v>
      </c>
      <c r="AL857" s="122">
        <v>9712</v>
      </c>
      <c r="AM857" s="122">
        <v>8829</v>
      </c>
      <c r="AN857" s="122">
        <v>9812</v>
      </c>
      <c r="AO857" s="122">
        <v>3634</v>
      </c>
      <c r="AP857" s="122">
        <v>1863</v>
      </c>
      <c r="AQ857">
        <v>690</v>
      </c>
      <c r="AR857" s="122">
        <v>13558</v>
      </c>
      <c r="AS857" s="122">
        <v>12325</v>
      </c>
      <c r="AT857" s="122">
        <v>8875</v>
      </c>
      <c r="AU857" s="122">
        <v>3287</v>
      </c>
      <c r="AV857" s="122">
        <v>91366</v>
      </c>
    </row>
    <row r="858" spans="2:48" hidden="1">
      <c r="B858" t="s">
        <v>367</v>
      </c>
      <c r="C858" t="s">
        <v>64</v>
      </c>
      <c r="D858" t="s">
        <v>407</v>
      </c>
      <c r="E858" t="s">
        <v>407</v>
      </c>
      <c r="F858">
        <v>523</v>
      </c>
      <c r="G858" s="122">
        <v>63296</v>
      </c>
      <c r="H858" s="122">
        <v>285440</v>
      </c>
      <c r="I858" s="122">
        <v>22385383</v>
      </c>
      <c r="J858" s="122">
        <v>20350348</v>
      </c>
      <c r="K858">
        <v>72</v>
      </c>
      <c r="L858" s="122">
        <v>6873949</v>
      </c>
      <c r="M858" s="122">
        <v>8960557</v>
      </c>
      <c r="N858" s="122">
        <v>1411248</v>
      </c>
      <c r="O858" s="122">
        <v>522684</v>
      </c>
      <c r="P858" s="122">
        <v>244613</v>
      </c>
      <c r="Q858" s="122">
        <v>90597</v>
      </c>
      <c r="R858" s="122">
        <v>2967980</v>
      </c>
      <c r="S858" s="122">
        <v>2698164</v>
      </c>
      <c r="T858" s="122">
        <v>1003818</v>
      </c>
      <c r="U858" s="122">
        <v>371784</v>
      </c>
      <c r="V858" s="122">
        <v>32994135</v>
      </c>
      <c r="W858" s="122">
        <f t="shared" si="26"/>
        <v>32994134</v>
      </c>
      <c r="X858" s="122">
        <f t="shared" si="27"/>
        <v>34886991</v>
      </c>
      <c r="Y858" s="122"/>
      <c r="AA858" t="s">
        <v>56</v>
      </c>
      <c r="AB858" t="s">
        <v>406</v>
      </c>
      <c r="AC858" t="s">
        <v>580</v>
      </c>
      <c r="AD858" t="s">
        <v>425</v>
      </c>
      <c r="AE858" t="s">
        <v>566</v>
      </c>
      <c r="AF858">
        <v>1</v>
      </c>
      <c r="AG858">
        <v>155</v>
      </c>
      <c r="AH858">
        <v>194</v>
      </c>
      <c r="AI858" s="122">
        <v>20329</v>
      </c>
      <c r="AJ858" s="122">
        <v>18481</v>
      </c>
      <c r="AK858">
        <v>86</v>
      </c>
      <c r="AL858" s="122">
        <v>2765</v>
      </c>
      <c r="AM858" s="122">
        <v>2514</v>
      </c>
      <c r="AN858" s="122">
        <v>2867</v>
      </c>
      <c r="AO858" s="122">
        <v>1062</v>
      </c>
      <c r="AP858" s="122">
        <v>621</v>
      </c>
      <c r="AQ858">
        <v>230</v>
      </c>
      <c r="AR858" s="122">
        <v>3397</v>
      </c>
      <c r="AS858" s="122">
        <v>3088</v>
      </c>
      <c r="AT858">
        <v>0</v>
      </c>
      <c r="AU858">
        <v>0</v>
      </c>
      <c r="AV858" s="122">
        <v>25375</v>
      </c>
    </row>
    <row r="859" spans="2:48" hidden="1">
      <c r="B859" t="s">
        <v>367</v>
      </c>
      <c r="C859" t="s">
        <v>64</v>
      </c>
      <c r="D859" t="s">
        <v>407</v>
      </c>
      <c r="E859" t="s">
        <v>433</v>
      </c>
      <c r="F859">
        <v>1</v>
      </c>
      <c r="G859" s="122">
        <v>45</v>
      </c>
      <c r="H859" s="122">
        <v>616</v>
      </c>
      <c r="I859" s="122">
        <v>19950</v>
      </c>
      <c r="J859" s="122">
        <v>18137</v>
      </c>
      <c r="K859">
        <v>78</v>
      </c>
      <c r="L859" s="122">
        <v>2340</v>
      </c>
      <c r="M859" s="122">
        <v>2127</v>
      </c>
      <c r="N859" s="122">
        <v>1097</v>
      </c>
      <c r="O859" s="122">
        <v>406</v>
      </c>
      <c r="P859" s="122">
        <v>473</v>
      </c>
      <c r="Q859" s="122">
        <v>175</v>
      </c>
      <c r="R859" s="122">
        <v>3867</v>
      </c>
      <c r="S859" s="122">
        <v>3516</v>
      </c>
      <c r="T859">
        <v>0</v>
      </c>
      <c r="U859">
        <v>0</v>
      </c>
      <c r="V859" s="122">
        <v>24361</v>
      </c>
      <c r="W859" s="122">
        <f t="shared" si="26"/>
        <v>24361</v>
      </c>
      <c r="X859" s="122">
        <f t="shared" si="27"/>
        <v>27727</v>
      </c>
      <c r="Y859" s="122"/>
      <c r="AA859" t="s">
        <v>56</v>
      </c>
      <c r="AB859" t="s">
        <v>406</v>
      </c>
      <c r="AC859" t="s">
        <v>580</v>
      </c>
      <c r="AD859" t="s">
        <v>137</v>
      </c>
      <c r="AE859" t="s">
        <v>566</v>
      </c>
      <c r="AF859">
        <v>2</v>
      </c>
      <c r="AG859" s="122">
        <v>337</v>
      </c>
      <c r="AH859" s="122">
        <v>403</v>
      </c>
      <c r="AI859" s="122">
        <v>42910</v>
      </c>
      <c r="AJ859" s="122">
        <v>39010</v>
      </c>
      <c r="AK859">
        <v>89</v>
      </c>
      <c r="AL859" s="122">
        <v>7034</v>
      </c>
      <c r="AM859" s="122">
        <v>6394</v>
      </c>
      <c r="AN859" s="122">
        <v>5895</v>
      </c>
      <c r="AO859" s="122">
        <v>2183</v>
      </c>
      <c r="AP859" s="122">
        <v>1242</v>
      </c>
      <c r="AQ859" s="122">
        <v>460</v>
      </c>
      <c r="AR859" s="122">
        <v>10242</v>
      </c>
      <c r="AS859" s="122">
        <v>3793</v>
      </c>
      <c r="AT859" s="122">
        <v>0</v>
      </c>
      <c r="AU859" s="122">
        <v>0</v>
      </c>
      <c r="AV859" s="122">
        <v>51840</v>
      </c>
    </row>
    <row r="860" spans="2:48" hidden="1">
      <c r="B860" t="s">
        <v>367</v>
      </c>
      <c r="C860" t="s">
        <v>64</v>
      </c>
      <c r="D860" t="s">
        <v>556</v>
      </c>
      <c r="E860" t="s">
        <v>137</v>
      </c>
      <c r="F860">
        <v>39</v>
      </c>
      <c r="G860" s="122">
        <v>4087</v>
      </c>
      <c r="H860" s="122">
        <v>47967</v>
      </c>
      <c r="I860" s="122">
        <v>4163143</v>
      </c>
      <c r="J860" s="122">
        <v>3469285</v>
      </c>
      <c r="K860">
        <v>36</v>
      </c>
      <c r="L860" s="122">
        <v>278763</v>
      </c>
      <c r="M860" s="122">
        <v>129867</v>
      </c>
      <c r="N860" s="122">
        <v>93781</v>
      </c>
      <c r="O860" s="122">
        <v>34734</v>
      </c>
      <c r="P860" s="122">
        <v>1404</v>
      </c>
      <c r="Q860" s="122">
        <v>520</v>
      </c>
      <c r="R860" s="122">
        <v>338091</v>
      </c>
      <c r="S860" s="122">
        <v>125219</v>
      </c>
      <c r="T860">
        <v>0</v>
      </c>
      <c r="U860">
        <v>0</v>
      </c>
      <c r="V860" s="122">
        <v>3759625</v>
      </c>
      <c r="W860" s="122">
        <f t="shared" si="26"/>
        <v>3759625</v>
      </c>
      <c r="X860" s="122">
        <f t="shared" si="27"/>
        <v>4875182</v>
      </c>
      <c r="Y860" s="122"/>
      <c r="AA860" t="s">
        <v>56</v>
      </c>
      <c r="AB860" t="s">
        <v>406</v>
      </c>
      <c r="AC860" t="s">
        <v>580</v>
      </c>
      <c r="AD860" t="s">
        <v>406</v>
      </c>
      <c r="AE860" t="s">
        <v>137</v>
      </c>
      <c r="AF860" s="122">
        <v>939</v>
      </c>
      <c r="AG860" s="122">
        <v>174758</v>
      </c>
      <c r="AH860" s="122">
        <v>181466</v>
      </c>
      <c r="AI860" s="122">
        <v>20655190</v>
      </c>
      <c r="AJ860" s="122">
        <v>18777446</v>
      </c>
      <c r="AK860">
        <v>84</v>
      </c>
      <c r="AL860" s="122">
        <v>2998458</v>
      </c>
      <c r="AM860" s="122">
        <v>2725871</v>
      </c>
      <c r="AN860" s="122">
        <v>3720934</v>
      </c>
      <c r="AO860" s="122">
        <v>1378124</v>
      </c>
      <c r="AP860" s="122">
        <v>664022</v>
      </c>
      <c r="AQ860" s="122">
        <v>245934</v>
      </c>
      <c r="AR860" s="122">
        <v>4846351</v>
      </c>
      <c r="AS860" s="122">
        <v>4405773</v>
      </c>
      <c r="AT860" s="122">
        <v>2353300</v>
      </c>
      <c r="AU860" s="122">
        <v>871593</v>
      </c>
      <c r="AV860" s="122">
        <v>28404741</v>
      </c>
    </row>
    <row r="861" spans="2:48" hidden="1">
      <c r="B861" t="s">
        <v>367</v>
      </c>
      <c r="C861" t="s">
        <v>64</v>
      </c>
      <c r="D861" t="s">
        <v>556</v>
      </c>
      <c r="E861" t="s">
        <v>406</v>
      </c>
      <c r="F861">
        <v>4</v>
      </c>
      <c r="G861" s="122">
        <v>1027</v>
      </c>
      <c r="H861" s="122">
        <v>4450</v>
      </c>
      <c r="I861" s="122">
        <v>951199</v>
      </c>
      <c r="J861" s="122">
        <v>792666</v>
      </c>
      <c r="K861">
        <v>30</v>
      </c>
      <c r="L861" s="122">
        <v>64754</v>
      </c>
      <c r="M861" s="122">
        <v>32694</v>
      </c>
      <c r="N861" s="122">
        <v>21825</v>
      </c>
      <c r="O861" s="122">
        <v>8083</v>
      </c>
      <c r="P861" s="122">
        <v>0</v>
      </c>
      <c r="Q861" s="122">
        <v>0</v>
      </c>
      <c r="R861" s="122">
        <v>35036</v>
      </c>
      <c r="S861" s="122">
        <v>31851</v>
      </c>
      <c r="T861" s="122">
        <v>18360</v>
      </c>
      <c r="U861" s="122">
        <v>6800</v>
      </c>
      <c r="V861" s="122">
        <v>872094</v>
      </c>
      <c r="W861" s="122">
        <f t="shared" si="26"/>
        <v>872094</v>
      </c>
      <c r="X861" s="122">
        <f t="shared" si="27"/>
        <v>1091174</v>
      </c>
      <c r="Y861" s="122"/>
      <c r="AA861" t="s">
        <v>56</v>
      </c>
      <c r="AB861" t="s">
        <v>406</v>
      </c>
      <c r="AC861" t="s">
        <v>580</v>
      </c>
      <c r="AD861" t="s">
        <v>406</v>
      </c>
      <c r="AE861" t="s">
        <v>566</v>
      </c>
      <c r="AF861" s="122">
        <v>1161</v>
      </c>
      <c r="AG861" s="122">
        <v>219086</v>
      </c>
      <c r="AH861" s="122">
        <v>216482</v>
      </c>
      <c r="AI861" s="122">
        <v>25671099</v>
      </c>
      <c r="AJ861" s="122">
        <v>23337362</v>
      </c>
      <c r="AK861">
        <v>85</v>
      </c>
      <c r="AL861" s="122">
        <v>3800937</v>
      </c>
      <c r="AM861" s="122">
        <v>3455398</v>
      </c>
      <c r="AN861" s="122">
        <v>4574828</v>
      </c>
      <c r="AO861" s="122">
        <v>1694381</v>
      </c>
      <c r="AP861" s="122">
        <v>881629</v>
      </c>
      <c r="AQ861" s="122">
        <v>326529</v>
      </c>
      <c r="AR861" s="122">
        <v>7275533</v>
      </c>
      <c r="AS861" s="122">
        <v>6614121</v>
      </c>
      <c r="AT861" s="122">
        <v>0</v>
      </c>
      <c r="AU861" s="122">
        <v>0</v>
      </c>
      <c r="AV861" s="122">
        <v>35427791</v>
      </c>
    </row>
    <row r="862" spans="2:48" hidden="1">
      <c r="B862" t="s">
        <v>367</v>
      </c>
      <c r="C862" t="s">
        <v>64</v>
      </c>
      <c r="D862" t="s">
        <v>556</v>
      </c>
      <c r="E862" t="s">
        <v>556</v>
      </c>
      <c r="F862">
        <v>36</v>
      </c>
      <c r="G862" s="122">
        <v>3589</v>
      </c>
      <c r="H862" s="122">
        <v>29175</v>
      </c>
      <c r="I862" s="122">
        <v>2327618</v>
      </c>
      <c r="J862" s="122">
        <v>1939682</v>
      </c>
      <c r="K862">
        <v>52</v>
      </c>
      <c r="L862" s="122">
        <v>307564</v>
      </c>
      <c r="M862" s="122">
        <v>226106</v>
      </c>
      <c r="N862" s="122">
        <v>79734</v>
      </c>
      <c r="O862" s="122">
        <v>29531</v>
      </c>
      <c r="P862" s="122">
        <v>10719</v>
      </c>
      <c r="Q862" s="122">
        <v>3970</v>
      </c>
      <c r="R862" s="122">
        <v>232541</v>
      </c>
      <c r="S862" s="122">
        <v>193784</v>
      </c>
      <c r="T862" s="122">
        <v>76342</v>
      </c>
      <c r="U862" s="122">
        <v>28275</v>
      </c>
      <c r="V862" s="122">
        <v>2421348</v>
      </c>
      <c r="W862" s="122">
        <f t="shared" si="26"/>
        <v>2421348</v>
      </c>
      <c r="X862" s="122">
        <f t="shared" si="27"/>
        <v>3034518</v>
      </c>
      <c r="Y862" s="122"/>
      <c r="AA862" t="s">
        <v>56</v>
      </c>
      <c r="AB862" t="s">
        <v>406</v>
      </c>
      <c r="AC862" t="s">
        <v>580</v>
      </c>
      <c r="AD862" t="s">
        <v>427</v>
      </c>
      <c r="AE862" t="s">
        <v>137</v>
      </c>
      <c r="AF862">
        <v>4</v>
      </c>
      <c r="AG862">
        <v>642</v>
      </c>
      <c r="AH862">
        <v>837</v>
      </c>
      <c r="AI862" s="122">
        <v>78612</v>
      </c>
      <c r="AJ862" s="122">
        <v>71465</v>
      </c>
      <c r="AK862">
        <v>79</v>
      </c>
      <c r="AL862" s="122">
        <v>18517</v>
      </c>
      <c r="AM862" s="122">
        <v>16833</v>
      </c>
      <c r="AN862" s="122">
        <v>15270</v>
      </c>
      <c r="AO862" s="122">
        <v>5656</v>
      </c>
      <c r="AP862" s="122">
        <v>2484</v>
      </c>
      <c r="AQ862">
        <v>920</v>
      </c>
      <c r="AR862" s="122">
        <v>19772</v>
      </c>
      <c r="AS862" s="122">
        <v>17975</v>
      </c>
      <c r="AT862" s="122">
        <v>6502</v>
      </c>
      <c r="AU862" s="122">
        <v>2408</v>
      </c>
      <c r="AV862" s="122">
        <v>115257</v>
      </c>
    </row>
    <row r="863" spans="2:48" hidden="1">
      <c r="B863" t="s">
        <v>367</v>
      </c>
      <c r="C863" t="s">
        <v>64</v>
      </c>
      <c r="D863" t="s">
        <v>556</v>
      </c>
      <c r="E863" t="s">
        <v>426</v>
      </c>
      <c r="F863">
        <v>1</v>
      </c>
      <c r="G863" s="122">
        <v>102</v>
      </c>
      <c r="H863" s="122">
        <v>738</v>
      </c>
      <c r="I863" s="122">
        <v>58564</v>
      </c>
      <c r="J863" s="122">
        <v>48804</v>
      </c>
      <c r="K863">
        <v>55</v>
      </c>
      <c r="L863" s="122">
        <v>11930</v>
      </c>
      <c r="M863" s="122">
        <v>9941</v>
      </c>
      <c r="N863" s="122">
        <v>2492</v>
      </c>
      <c r="O863" s="122">
        <v>923</v>
      </c>
      <c r="P863" s="122">
        <v>351</v>
      </c>
      <c r="Q863" s="122">
        <v>130</v>
      </c>
      <c r="R863" s="122">
        <v>2110</v>
      </c>
      <c r="S863" s="122">
        <v>1918</v>
      </c>
      <c r="T863">
        <v>0</v>
      </c>
      <c r="U863">
        <v>0</v>
      </c>
      <c r="V863" s="122">
        <v>61716</v>
      </c>
      <c r="W863" s="122">
        <f t="shared" si="26"/>
        <v>61716</v>
      </c>
      <c r="X863" s="122">
        <f t="shared" si="27"/>
        <v>75447</v>
      </c>
      <c r="Y863" s="122"/>
      <c r="AA863" t="s">
        <v>56</v>
      </c>
      <c r="AB863" t="s">
        <v>406</v>
      </c>
      <c r="AC863" t="s">
        <v>580</v>
      </c>
      <c r="AD863" t="s">
        <v>427</v>
      </c>
      <c r="AE863" t="s">
        <v>566</v>
      </c>
      <c r="AF863">
        <v>1</v>
      </c>
      <c r="AG863">
        <v>155</v>
      </c>
      <c r="AH863">
        <v>221</v>
      </c>
      <c r="AI863" s="122">
        <v>21046</v>
      </c>
      <c r="AJ863" s="122">
        <v>19133</v>
      </c>
      <c r="AK863">
        <v>79</v>
      </c>
      <c r="AL863" s="122">
        <v>2698</v>
      </c>
      <c r="AM863" s="122">
        <v>2453</v>
      </c>
      <c r="AN863" s="122">
        <v>3590</v>
      </c>
      <c r="AO863" s="122">
        <v>1330</v>
      </c>
      <c r="AP863">
        <v>621</v>
      </c>
      <c r="AQ863">
        <v>230</v>
      </c>
      <c r="AR863" s="122">
        <v>6319</v>
      </c>
      <c r="AS863" s="122">
        <v>5744</v>
      </c>
      <c r="AT863" s="122">
        <v>0</v>
      </c>
      <c r="AU863" s="122">
        <v>0</v>
      </c>
      <c r="AV863" s="122">
        <v>28890</v>
      </c>
    </row>
    <row r="864" spans="2:48" hidden="1">
      <c r="B864" t="s">
        <v>367</v>
      </c>
      <c r="C864" t="s">
        <v>64</v>
      </c>
      <c r="D864" t="s">
        <v>426</v>
      </c>
      <c r="E864" t="s">
        <v>137</v>
      </c>
      <c r="F864">
        <v>18</v>
      </c>
      <c r="G864" s="122">
        <v>2204</v>
      </c>
      <c r="H864" s="122">
        <v>22124</v>
      </c>
      <c r="I864" s="122">
        <v>2063629</v>
      </c>
      <c r="J864" s="122">
        <v>1876026</v>
      </c>
      <c r="K864">
        <v>33</v>
      </c>
      <c r="L864" s="122">
        <v>155605</v>
      </c>
      <c r="M864" s="122">
        <v>74621</v>
      </c>
      <c r="N864" s="122">
        <v>51091</v>
      </c>
      <c r="O864" s="122">
        <v>18922</v>
      </c>
      <c r="P864" s="122">
        <v>1053</v>
      </c>
      <c r="Q864" s="122">
        <v>390</v>
      </c>
      <c r="R864" s="122">
        <v>185813</v>
      </c>
      <c r="S864" s="122">
        <v>68820</v>
      </c>
      <c r="T864" s="122">
        <v>2278</v>
      </c>
      <c r="U864" s="122">
        <v>844</v>
      </c>
      <c r="V864" s="122">
        <v>2039623</v>
      </c>
      <c r="W864" s="122">
        <f t="shared" si="26"/>
        <v>2039623</v>
      </c>
      <c r="X864" s="122">
        <f t="shared" si="27"/>
        <v>2459469</v>
      </c>
      <c r="Y864" s="122"/>
      <c r="AA864" t="s">
        <v>56</v>
      </c>
      <c r="AB864" t="s">
        <v>406</v>
      </c>
      <c r="AC864" t="s">
        <v>580</v>
      </c>
      <c r="AD864" t="s">
        <v>407</v>
      </c>
      <c r="AE864" t="s">
        <v>137</v>
      </c>
      <c r="AF864">
        <v>1</v>
      </c>
      <c r="AG864">
        <v>320</v>
      </c>
      <c r="AH864">
        <v>200</v>
      </c>
      <c r="AI864" s="122">
        <v>44243</v>
      </c>
      <c r="AJ864" s="122">
        <v>40221</v>
      </c>
      <c r="AK864">
        <v>86</v>
      </c>
      <c r="AL864" s="122">
        <v>4363</v>
      </c>
      <c r="AM864" s="122">
        <v>3966</v>
      </c>
      <c r="AN864" s="122">
        <v>4840</v>
      </c>
      <c r="AO864" s="122">
        <v>1793</v>
      </c>
      <c r="AP864">
        <v>621</v>
      </c>
      <c r="AQ864">
        <v>230</v>
      </c>
      <c r="AR864" s="122">
        <v>5551</v>
      </c>
      <c r="AS864" s="122">
        <v>5046</v>
      </c>
      <c r="AT864" s="122">
        <v>4370</v>
      </c>
      <c r="AU864" s="122">
        <v>1619</v>
      </c>
      <c r="AV864" s="122">
        <v>52875</v>
      </c>
    </row>
    <row r="865" spans="2:48" hidden="1">
      <c r="B865" t="s">
        <v>367</v>
      </c>
      <c r="C865" t="s">
        <v>64</v>
      </c>
      <c r="D865" t="s">
        <v>426</v>
      </c>
      <c r="E865" t="s">
        <v>426</v>
      </c>
      <c r="F865">
        <v>18</v>
      </c>
      <c r="G865" s="122">
        <v>1532</v>
      </c>
      <c r="H865" s="122">
        <v>13806</v>
      </c>
      <c r="I865" s="122">
        <v>863190</v>
      </c>
      <c r="J865" s="122">
        <v>784718</v>
      </c>
      <c r="K865">
        <v>54</v>
      </c>
      <c r="L865" s="122">
        <v>128419</v>
      </c>
      <c r="M865" s="122">
        <v>96987</v>
      </c>
      <c r="N865" s="122">
        <v>35113</v>
      </c>
      <c r="O865" s="122">
        <v>13005</v>
      </c>
      <c r="P865" s="122">
        <v>5265</v>
      </c>
      <c r="Q865" s="122">
        <v>1950</v>
      </c>
      <c r="R865" s="122">
        <v>114164</v>
      </c>
      <c r="S865" s="122">
        <v>103786</v>
      </c>
      <c r="T865" s="122">
        <v>33460</v>
      </c>
      <c r="U865" s="122">
        <v>12393</v>
      </c>
      <c r="V865" s="122">
        <v>1012838</v>
      </c>
      <c r="W865" s="122">
        <f t="shared" si="26"/>
        <v>1012839</v>
      </c>
      <c r="X865" s="122">
        <f t="shared" si="27"/>
        <v>1179611</v>
      </c>
      <c r="Y865" s="122"/>
      <c r="AA865" t="s">
        <v>56</v>
      </c>
      <c r="AB865" t="s">
        <v>406</v>
      </c>
      <c r="AC865" t="s">
        <v>580</v>
      </c>
      <c r="AD865" t="s">
        <v>428</v>
      </c>
      <c r="AE865" t="s">
        <v>566</v>
      </c>
      <c r="AF865">
        <v>1</v>
      </c>
      <c r="AG865">
        <v>101</v>
      </c>
      <c r="AH865">
        <v>221</v>
      </c>
      <c r="AI865" s="122">
        <v>19318</v>
      </c>
      <c r="AJ865" s="122">
        <v>17561</v>
      </c>
      <c r="AK865">
        <v>79</v>
      </c>
      <c r="AL865" s="122">
        <v>5366</v>
      </c>
      <c r="AM865" s="122">
        <v>4878</v>
      </c>
      <c r="AN865" s="122">
        <v>3988</v>
      </c>
      <c r="AO865" s="122">
        <v>1477</v>
      </c>
      <c r="AP865">
        <v>621</v>
      </c>
      <c r="AQ865">
        <v>230</v>
      </c>
      <c r="AR865" s="122">
        <v>6850</v>
      </c>
      <c r="AS865" s="122">
        <v>6227</v>
      </c>
      <c r="AT865" s="122">
        <v>0</v>
      </c>
      <c r="AU865" s="122">
        <v>0</v>
      </c>
      <c r="AV865" s="122">
        <v>30374</v>
      </c>
    </row>
    <row r="866" spans="2:48" hidden="1">
      <c r="B866" t="s">
        <v>367</v>
      </c>
      <c r="C866" t="s">
        <v>64</v>
      </c>
      <c r="D866" t="s">
        <v>433</v>
      </c>
      <c r="E866" t="s">
        <v>137</v>
      </c>
      <c r="F866">
        <v>1</v>
      </c>
      <c r="G866" s="122">
        <v>105</v>
      </c>
      <c r="H866">
        <v>815</v>
      </c>
      <c r="I866" s="122">
        <v>65370</v>
      </c>
      <c r="J866" s="122">
        <v>59428</v>
      </c>
      <c r="K866">
        <v>30</v>
      </c>
      <c r="L866" s="122">
        <v>8495</v>
      </c>
      <c r="M866" s="122">
        <v>3146</v>
      </c>
      <c r="N866" s="122">
        <v>2312</v>
      </c>
      <c r="O866" s="122">
        <v>856</v>
      </c>
      <c r="P866" s="122">
        <v>0</v>
      </c>
      <c r="Q866" s="122">
        <v>0</v>
      </c>
      <c r="R866" s="122">
        <v>9723</v>
      </c>
      <c r="S866" s="122">
        <v>3601</v>
      </c>
      <c r="T866">
        <v>0</v>
      </c>
      <c r="U866">
        <v>0</v>
      </c>
      <c r="V866" s="122">
        <v>67031</v>
      </c>
      <c r="W866" s="122">
        <f t="shared" si="26"/>
        <v>67031</v>
      </c>
      <c r="X866" s="122">
        <f t="shared" si="27"/>
        <v>85900</v>
      </c>
      <c r="Y866" s="122"/>
      <c r="AA866" t="s">
        <v>56</v>
      </c>
      <c r="AB866" t="s">
        <v>406</v>
      </c>
      <c r="AC866" t="s">
        <v>580</v>
      </c>
      <c r="AD866" t="s">
        <v>431</v>
      </c>
      <c r="AE866" t="s">
        <v>137</v>
      </c>
      <c r="AF866">
        <v>1</v>
      </c>
      <c r="AG866" s="122">
        <v>190</v>
      </c>
      <c r="AH866" s="122">
        <v>179</v>
      </c>
      <c r="AI866" s="122">
        <v>17904</v>
      </c>
      <c r="AJ866" s="122">
        <v>16277</v>
      </c>
      <c r="AK866">
        <v>86</v>
      </c>
      <c r="AL866" s="122">
        <v>5605</v>
      </c>
      <c r="AM866" s="122">
        <v>5096</v>
      </c>
      <c r="AN866" s="122">
        <v>2662</v>
      </c>
      <c r="AO866" s="122">
        <v>986</v>
      </c>
      <c r="AP866" s="122">
        <v>621</v>
      </c>
      <c r="AQ866" s="122">
        <v>230</v>
      </c>
      <c r="AR866" s="122">
        <v>3810</v>
      </c>
      <c r="AS866" s="122">
        <v>3464</v>
      </c>
      <c r="AT866" s="122">
        <v>3429</v>
      </c>
      <c r="AU866" s="122">
        <v>1270</v>
      </c>
      <c r="AV866" s="122">
        <v>27322</v>
      </c>
    </row>
    <row r="867" spans="2:48" hidden="1">
      <c r="B867" t="s">
        <v>367</v>
      </c>
      <c r="C867" t="s">
        <v>64</v>
      </c>
      <c r="D867" t="s">
        <v>433</v>
      </c>
      <c r="E867" t="s">
        <v>433</v>
      </c>
      <c r="F867">
        <v>3</v>
      </c>
      <c r="G867" s="122">
        <v>368</v>
      </c>
      <c r="H867" s="122">
        <v>1705</v>
      </c>
      <c r="I867" s="122">
        <v>125677</v>
      </c>
      <c r="J867" s="122">
        <v>114252</v>
      </c>
      <c r="K867">
        <v>55</v>
      </c>
      <c r="L867" s="122">
        <v>26027</v>
      </c>
      <c r="M867" s="122">
        <v>23661</v>
      </c>
      <c r="N867" s="122">
        <v>8891</v>
      </c>
      <c r="O867" s="122">
        <v>3293</v>
      </c>
      <c r="P867" s="122">
        <v>1445</v>
      </c>
      <c r="Q867" s="122">
        <v>535</v>
      </c>
      <c r="R867" s="122">
        <v>19135</v>
      </c>
      <c r="S867" s="122">
        <v>17396</v>
      </c>
      <c r="T867" s="122">
        <v>6706</v>
      </c>
      <c r="U867" s="122">
        <v>2484</v>
      </c>
      <c r="V867" s="122">
        <v>161619</v>
      </c>
      <c r="W867" s="122">
        <f t="shared" si="26"/>
        <v>161621</v>
      </c>
      <c r="X867" s="122">
        <f t="shared" si="27"/>
        <v>187881</v>
      </c>
      <c r="Y867" s="122"/>
      <c r="AA867" t="s">
        <v>56</v>
      </c>
      <c r="AB867" t="s">
        <v>406</v>
      </c>
      <c r="AC867" t="s">
        <v>580</v>
      </c>
      <c r="AD867" t="s">
        <v>426</v>
      </c>
      <c r="AE867" t="s">
        <v>137</v>
      </c>
      <c r="AF867">
        <v>6</v>
      </c>
      <c r="AG867" s="122">
        <v>1183</v>
      </c>
      <c r="AH867" s="122">
        <v>1151</v>
      </c>
      <c r="AI867" s="122">
        <v>124163</v>
      </c>
      <c r="AJ867" s="122">
        <v>112875</v>
      </c>
      <c r="AK867">
        <v>87</v>
      </c>
      <c r="AL867" s="122">
        <v>24256</v>
      </c>
      <c r="AM867" s="122">
        <v>22051</v>
      </c>
      <c r="AN867" s="122">
        <v>23425</v>
      </c>
      <c r="AO867" s="122">
        <v>8676</v>
      </c>
      <c r="AP867" s="122">
        <v>3726</v>
      </c>
      <c r="AQ867" s="122">
        <v>1380</v>
      </c>
      <c r="AR867" s="122">
        <v>26317</v>
      </c>
      <c r="AS867" s="122">
        <v>23925</v>
      </c>
      <c r="AT867" s="122">
        <v>20416</v>
      </c>
      <c r="AU867" s="122">
        <v>7562</v>
      </c>
      <c r="AV867" s="122">
        <v>176469</v>
      </c>
    </row>
    <row r="868" spans="2:48" hidden="1">
      <c r="B868" t="s">
        <v>367</v>
      </c>
      <c r="C868" t="s">
        <v>64</v>
      </c>
      <c r="D868" t="s">
        <v>408</v>
      </c>
      <c r="E868" t="s">
        <v>408</v>
      </c>
      <c r="F868">
        <v>1</v>
      </c>
      <c r="G868" s="122">
        <v>122</v>
      </c>
      <c r="H868" s="122">
        <v>568</v>
      </c>
      <c r="I868" s="122">
        <v>53402</v>
      </c>
      <c r="J868" s="122">
        <v>48548</v>
      </c>
      <c r="K868">
        <v>65</v>
      </c>
      <c r="L868" s="122">
        <v>5934</v>
      </c>
      <c r="M868" s="122">
        <v>5394</v>
      </c>
      <c r="N868" s="122">
        <v>2551</v>
      </c>
      <c r="O868" s="122">
        <v>945</v>
      </c>
      <c r="P868" s="122">
        <v>351</v>
      </c>
      <c r="Q868" s="122">
        <v>130</v>
      </c>
      <c r="R868" s="122">
        <v>4711</v>
      </c>
      <c r="S868" s="122">
        <v>4283</v>
      </c>
      <c r="T868" s="122">
        <v>2615</v>
      </c>
      <c r="U868" s="122">
        <v>969</v>
      </c>
      <c r="V868" s="122">
        <v>60268</v>
      </c>
      <c r="W868" s="122">
        <f t="shared" si="26"/>
        <v>60269</v>
      </c>
      <c r="X868" s="122">
        <f t="shared" si="27"/>
        <v>69564</v>
      </c>
      <c r="Y868" s="122"/>
      <c r="AA868" t="s">
        <v>56</v>
      </c>
      <c r="AB868" t="s">
        <v>406</v>
      </c>
      <c r="AC868" t="s">
        <v>580</v>
      </c>
      <c r="AD868" t="s">
        <v>426</v>
      </c>
      <c r="AE868" t="s">
        <v>566</v>
      </c>
      <c r="AF868">
        <v>15</v>
      </c>
      <c r="AG868" s="122">
        <v>2853</v>
      </c>
      <c r="AH868" s="122">
        <v>2841</v>
      </c>
      <c r="AI868" s="122">
        <v>298552</v>
      </c>
      <c r="AJ868" s="122">
        <v>271411</v>
      </c>
      <c r="AK868">
        <v>86</v>
      </c>
      <c r="AL868" s="122">
        <v>78576</v>
      </c>
      <c r="AM868" s="122">
        <v>71433</v>
      </c>
      <c r="AN868" s="122">
        <v>62360</v>
      </c>
      <c r="AO868" s="122">
        <v>23096</v>
      </c>
      <c r="AP868" s="122">
        <v>10368</v>
      </c>
      <c r="AQ868" s="122">
        <v>3840</v>
      </c>
      <c r="AR868" s="122">
        <v>97938</v>
      </c>
      <c r="AS868" s="122">
        <v>89035</v>
      </c>
      <c r="AT868">
        <v>0</v>
      </c>
      <c r="AU868">
        <v>0</v>
      </c>
      <c r="AV868" s="122">
        <v>458814</v>
      </c>
    </row>
    <row r="869" spans="2:48" hidden="1">
      <c r="B869" t="s">
        <v>368</v>
      </c>
      <c r="C869" t="s">
        <v>48</v>
      </c>
      <c r="D869" t="s">
        <v>405</v>
      </c>
      <c r="E869" t="s">
        <v>405</v>
      </c>
      <c r="F869">
        <v>12</v>
      </c>
      <c r="G869" s="122">
        <v>1731</v>
      </c>
      <c r="H869">
        <v>684</v>
      </c>
      <c r="I869" s="122">
        <v>13168</v>
      </c>
      <c r="J869" s="122">
        <v>11971</v>
      </c>
      <c r="K869">
        <v>92</v>
      </c>
      <c r="L869" s="122">
        <v>2341</v>
      </c>
      <c r="M869" s="122">
        <v>2128</v>
      </c>
      <c r="N869" s="122">
        <v>27576</v>
      </c>
      <c r="O869" s="122">
        <v>10214</v>
      </c>
      <c r="P869" s="122">
        <v>21460</v>
      </c>
      <c r="Q869" s="122">
        <v>7948</v>
      </c>
      <c r="R869" s="122">
        <v>33509</v>
      </c>
      <c r="S869" s="122">
        <v>30463</v>
      </c>
      <c r="T869">
        <v>0</v>
      </c>
      <c r="U869">
        <v>0</v>
      </c>
      <c r="V869" s="122">
        <v>62723</v>
      </c>
      <c r="W869" s="122">
        <f t="shared" si="26"/>
        <v>62724</v>
      </c>
      <c r="X869" s="122">
        <f t="shared" si="27"/>
        <v>98054</v>
      </c>
      <c r="Y869" s="122"/>
      <c r="AA869" t="s">
        <v>56</v>
      </c>
      <c r="AB869" t="s">
        <v>406</v>
      </c>
      <c r="AC869" t="s">
        <v>580</v>
      </c>
      <c r="AD869" t="s">
        <v>433</v>
      </c>
      <c r="AE869" t="s">
        <v>566</v>
      </c>
      <c r="AF869">
        <v>2</v>
      </c>
      <c r="AG869">
        <v>502</v>
      </c>
      <c r="AH869">
        <v>343</v>
      </c>
      <c r="AI869" s="122">
        <v>46458</v>
      </c>
      <c r="AJ869" s="122">
        <v>42234</v>
      </c>
      <c r="AK869">
        <v>86</v>
      </c>
      <c r="AL869" s="122">
        <v>10398</v>
      </c>
      <c r="AM869" s="122">
        <v>9453</v>
      </c>
      <c r="AN869" s="122">
        <v>11996</v>
      </c>
      <c r="AO869" s="122">
        <v>4443</v>
      </c>
      <c r="AP869" s="122">
        <v>2291</v>
      </c>
      <c r="AQ869">
        <v>849</v>
      </c>
      <c r="AR869" s="122">
        <v>15087</v>
      </c>
      <c r="AS869" s="122">
        <v>13716</v>
      </c>
      <c r="AT869">
        <v>0</v>
      </c>
      <c r="AU869">
        <v>0</v>
      </c>
      <c r="AV869" s="122">
        <v>70694</v>
      </c>
    </row>
    <row r="870" spans="2:48" hidden="1">
      <c r="B870" t="s">
        <v>368</v>
      </c>
      <c r="C870" t="s">
        <v>48</v>
      </c>
      <c r="D870" t="s">
        <v>405</v>
      </c>
      <c r="E870" t="s">
        <v>137</v>
      </c>
      <c r="F870">
        <v>1</v>
      </c>
      <c r="G870" s="122">
        <v>208</v>
      </c>
      <c r="H870" s="122">
        <v>54</v>
      </c>
      <c r="I870" s="122">
        <v>956</v>
      </c>
      <c r="J870" s="122">
        <v>869</v>
      </c>
      <c r="K870">
        <v>90</v>
      </c>
      <c r="L870" s="122">
        <v>118</v>
      </c>
      <c r="M870" s="122">
        <v>108</v>
      </c>
      <c r="N870" s="122">
        <v>2533</v>
      </c>
      <c r="O870" s="122">
        <v>938</v>
      </c>
      <c r="P870" s="122">
        <v>2251</v>
      </c>
      <c r="Q870" s="122">
        <v>834</v>
      </c>
      <c r="R870" s="122">
        <v>5283</v>
      </c>
      <c r="S870" s="122">
        <v>1957</v>
      </c>
      <c r="T870" s="122">
        <v>0</v>
      </c>
      <c r="U870" s="122">
        <v>0</v>
      </c>
      <c r="V870" s="122">
        <v>4705</v>
      </c>
      <c r="W870" s="122">
        <f t="shared" si="26"/>
        <v>4706</v>
      </c>
      <c r="X870" s="122">
        <f t="shared" si="27"/>
        <v>11141</v>
      </c>
      <c r="Y870" s="122"/>
      <c r="AA870" t="s">
        <v>56</v>
      </c>
      <c r="AB870" t="s">
        <v>406</v>
      </c>
      <c r="AC870" t="s">
        <v>580</v>
      </c>
      <c r="AD870" t="s">
        <v>429</v>
      </c>
      <c r="AE870" t="s">
        <v>566</v>
      </c>
      <c r="AF870">
        <v>1</v>
      </c>
      <c r="AG870">
        <v>175</v>
      </c>
      <c r="AH870">
        <v>206</v>
      </c>
      <c r="AI870" s="122">
        <v>21032</v>
      </c>
      <c r="AJ870" s="122">
        <v>19120</v>
      </c>
      <c r="AK870">
        <v>79</v>
      </c>
      <c r="AL870" s="122">
        <v>2696</v>
      </c>
      <c r="AM870" s="122">
        <v>2451</v>
      </c>
      <c r="AN870" s="122">
        <v>4270</v>
      </c>
      <c r="AO870" s="122">
        <v>1582</v>
      </c>
      <c r="AP870">
        <v>621</v>
      </c>
      <c r="AQ870">
        <v>230</v>
      </c>
      <c r="AR870" s="122">
        <v>7411</v>
      </c>
      <c r="AS870" s="122">
        <v>6738</v>
      </c>
      <c r="AT870">
        <v>0</v>
      </c>
      <c r="AU870">
        <v>0</v>
      </c>
      <c r="AV870" s="122">
        <v>30121</v>
      </c>
    </row>
    <row r="871" spans="2:48" hidden="1">
      <c r="B871" t="s">
        <v>368</v>
      </c>
      <c r="C871" t="s">
        <v>48</v>
      </c>
      <c r="D871" t="s">
        <v>137</v>
      </c>
      <c r="E871" t="s">
        <v>405</v>
      </c>
      <c r="F871">
        <v>1</v>
      </c>
      <c r="G871" s="122">
        <v>419</v>
      </c>
      <c r="H871" s="122">
        <v>45</v>
      </c>
      <c r="I871" s="122">
        <v>3177</v>
      </c>
      <c r="J871" s="122">
        <v>1177</v>
      </c>
      <c r="K871">
        <v>364</v>
      </c>
      <c r="L871" s="122">
        <v>697</v>
      </c>
      <c r="M871" s="122">
        <v>634</v>
      </c>
      <c r="N871" s="122">
        <v>6436</v>
      </c>
      <c r="O871" s="122">
        <v>2384</v>
      </c>
      <c r="P871" s="122">
        <v>4418</v>
      </c>
      <c r="Q871" s="122">
        <v>1636</v>
      </c>
      <c r="R871" s="122">
        <v>4015</v>
      </c>
      <c r="S871" s="122">
        <v>3650</v>
      </c>
      <c r="T871" s="122">
        <v>0</v>
      </c>
      <c r="U871" s="122">
        <v>0</v>
      </c>
      <c r="V871" s="122">
        <v>9481</v>
      </c>
      <c r="W871" s="122">
        <f t="shared" si="26"/>
        <v>9481</v>
      </c>
      <c r="X871" s="122">
        <f t="shared" si="27"/>
        <v>18743</v>
      </c>
      <c r="Y871" s="122"/>
      <c r="AA871" t="s">
        <v>56</v>
      </c>
      <c r="AB871" t="s">
        <v>406</v>
      </c>
      <c r="AC871" t="s">
        <v>427</v>
      </c>
      <c r="AD871" t="s">
        <v>578</v>
      </c>
      <c r="AE871" t="s">
        <v>566</v>
      </c>
      <c r="AF871">
        <v>1</v>
      </c>
      <c r="AG871">
        <v>169</v>
      </c>
      <c r="AH871">
        <v>185</v>
      </c>
      <c r="AI871" s="122">
        <v>15767</v>
      </c>
      <c r="AJ871" s="122">
        <v>14334</v>
      </c>
      <c r="AK871">
        <v>85</v>
      </c>
      <c r="AL871" s="122">
        <v>4724</v>
      </c>
      <c r="AM871" s="122">
        <v>4295</v>
      </c>
      <c r="AN871" s="122">
        <v>4106</v>
      </c>
      <c r="AO871" s="122">
        <v>1521</v>
      </c>
      <c r="AP871" s="122">
        <v>621</v>
      </c>
      <c r="AQ871">
        <v>230</v>
      </c>
      <c r="AR871" s="122">
        <v>5938</v>
      </c>
      <c r="AS871" s="122">
        <v>5398</v>
      </c>
      <c r="AT871" s="122">
        <v>0</v>
      </c>
      <c r="AU871" s="122">
        <v>0</v>
      </c>
      <c r="AV871" s="122">
        <v>25777</v>
      </c>
    </row>
    <row r="872" spans="2:48" hidden="1">
      <c r="B872" t="s">
        <v>368</v>
      </c>
      <c r="C872" t="s">
        <v>48</v>
      </c>
      <c r="D872" t="s">
        <v>137</v>
      </c>
      <c r="E872" t="s">
        <v>137</v>
      </c>
      <c r="F872" s="122">
        <v>503</v>
      </c>
      <c r="G872" s="122">
        <v>118494</v>
      </c>
      <c r="H872" s="122">
        <v>26602</v>
      </c>
      <c r="I872" s="122">
        <v>534163</v>
      </c>
      <c r="J872" s="122">
        <v>197838</v>
      </c>
      <c r="K872">
        <v>479</v>
      </c>
      <c r="L872" s="122">
        <v>151157</v>
      </c>
      <c r="M872" s="122">
        <v>137290</v>
      </c>
      <c r="N872" s="122">
        <v>1672851</v>
      </c>
      <c r="O872" s="122">
        <v>619574</v>
      </c>
      <c r="P872" s="122">
        <v>1057945</v>
      </c>
      <c r="Q872" s="122">
        <v>391831</v>
      </c>
      <c r="R872" s="122">
        <v>2856569</v>
      </c>
      <c r="S872" s="122">
        <v>1057989</v>
      </c>
      <c r="T872" s="122">
        <v>3460</v>
      </c>
      <c r="U872" s="122">
        <v>1281</v>
      </c>
      <c r="V872" s="122">
        <v>2405804</v>
      </c>
      <c r="W872" s="122">
        <f t="shared" si="26"/>
        <v>2405803</v>
      </c>
      <c r="X872" s="122">
        <f t="shared" si="27"/>
        <v>6276145</v>
      </c>
      <c r="Y872" s="122"/>
      <c r="AA872" t="s">
        <v>56</v>
      </c>
      <c r="AB872" t="s">
        <v>406</v>
      </c>
      <c r="AC872" t="s">
        <v>427</v>
      </c>
      <c r="AD872" t="s">
        <v>425</v>
      </c>
      <c r="AE872" t="s">
        <v>137</v>
      </c>
      <c r="AF872">
        <v>2</v>
      </c>
      <c r="AG872">
        <v>243</v>
      </c>
      <c r="AH872">
        <v>404</v>
      </c>
      <c r="AI872" s="122">
        <v>27119</v>
      </c>
      <c r="AJ872" s="122">
        <v>24654</v>
      </c>
      <c r="AK872">
        <v>86</v>
      </c>
      <c r="AL872" s="122">
        <v>4149</v>
      </c>
      <c r="AM872" s="122">
        <v>3772</v>
      </c>
      <c r="AN872" s="122">
        <v>4158</v>
      </c>
      <c r="AO872" s="122">
        <v>1540</v>
      </c>
      <c r="AP872" s="122">
        <v>1242</v>
      </c>
      <c r="AQ872">
        <v>460</v>
      </c>
      <c r="AR872" s="122">
        <v>9458</v>
      </c>
      <c r="AS872" s="122">
        <v>8599</v>
      </c>
      <c r="AT872" s="122">
        <v>2944</v>
      </c>
      <c r="AU872" s="122">
        <v>1090</v>
      </c>
      <c r="AV872" s="122">
        <v>40115</v>
      </c>
    </row>
    <row r="873" spans="2:48" hidden="1">
      <c r="B873" t="s">
        <v>368</v>
      </c>
      <c r="C873" t="s">
        <v>48</v>
      </c>
      <c r="D873" t="s">
        <v>137</v>
      </c>
      <c r="E873" t="s">
        <v>407</v>
      </c>
      <c r="F873">
        <v>1</v>
      </c>
      <c r="G873" s="122">
        <v>737</v>
      </c>
      <c r="H873" s="122">
        <v>67</v>
      </c>
      <c r="I873" s="122">
        <v>31678</v>
      </c>
      <c r="J873" s="122">
        <v>11733</v>
      </c>
      <c r="K873">
        <v>250</v>
      </c>
      <c r="L873" s="122">
        <v>0</v>
      </c>
      <c r="M873" s="122">
        <v>0</v>
      </c>
      <c r="N873" s="122">
        <v>10500</v>
      </c>
      <c r="O873" s="122">
        <v>3889</v>
      </c>
      <c r="P873" s="122">
        <v>1526</v>
      </c>
      <c r="Q873" s="122">
        <v>565</v>
      </c>
      <c r="R873" s="122">
        <v>5383</v>
      </c>
      <c r="S873" s="122">
        <v>4894</v>
      </c>
      <c r="T873" s="122">
        <v>0</v>
      </c>
      <c r="U873" s="122">
        <v>0</v>
      </c>
      <c r="V873" s="122">
        <v>21080</v>
      </c>
      <c r="W873" s="122">
        <f t="shared" si="26"/>
        <v>21081</v>
      </c>
      <c r="X873" s="122">
        <f t="shared" si="27"/>
        <v>49087</v>
      </c>
      <c r="Y873" s="122"/>
      <c r="AA873" t="s">
        <v>56</v>
      </c>
      <c r="AB873" t="s">
        <v>406</v>
      </c>
      <c r="AC873" t="s">
        <v>427</v>
      </c>
      <c r="AD873" t="s">
        <v>425</v>
      </c>
      <c r="AE873" t="s">
        <v>566</v>
      </c>
      <c r="AF873">
        <v>2</v>
      </c>
      <c r="AG873" s="122">
        <v>378</v>
      </c>
      <c r="AH873" s="122">
        <v>377</v>
      </c>
      <c r="AI873" s="122">
        <v>41871</v>
      </c>
      <c r="AJ873" s="122">
        <v>38065</v>
      </c>
      <c r="AK873">
        <v>89</v>
      </c>
      <c r="AL873" s="122">
        <v>8871</v>
      </c>
      <c r="AM873" s="122">
        <v>8064</v>
      </c>
      <c r="AN873" s="122">
        <v>5044</v>
      </c>
      <c r="AO873" s="122">
        <v>1868</v>
      </c>
      <c r="AP873" s="122">
        <v>1242</v>
      </c>
      <c r="AQ873" s="122">
        <v>460</v>
      </c>
      <c r="AR873" s="122">
        <v>11695</v>
      </c>
      <c r="AS873" s="122">
        <v>10632</v>
      </c>
      <c r="AT873">
        <v>0</v>
      </c>
      <c r="AU873">
        <v>0</v>
      </c>
      <c r="AV873" s="122">
        <v>59088</v>
      </c>
    </row>
    <row r="874" spans="2:48" hidden="1">
      <c r="B874" t="s">
        <v>368</v>
      </c>
      <c r="C874" t="s">
        <v>48</v>
      </c>
      <c r="D874" t="s">
        <v>137</v>
      </c>
      <c r="E874" t="s">
        <v>426</v>
      </c>
      <c r="F874">
        <v>1</v>
      </c>
      <c r="G874">
        <v>256</v>
      </c>
      <c r="H874" s="122">
        <v>38</v>
      </c>
      <c r="I874" s="122">
        <v>1434</v>
      </c>
      <c r="J874" s="122">
        <v>531</v>
      </c>
      <c r="K874">
        <v>568</v>
      </c>
      <c r="L874" s="122">
        <v>490</v>
      </c>
      <c r="M874" s="122">
        <v>446</v>
      </c>
      <c r="N874" s="122">
        <v>3122</v>
      </c>
      <c r="O874" s="122">
        <v>1156</v>
      </c>
      <c r="P874" s="122">
        <v>2671</v>
      </c>
      <c r="Q874" s="122">
        <v>989</v>
      </c>
      <c r="R874" s="122">
        <v>2041</v>
      </c>
      <c r="S874" s="122">
        <v>1855</v>
      </c>
      <c r="T874" s="122">
        <v>0</v>
      </c>
      <c r="U874" s="122">
        <v>0</v>
      </c>
      <c r="V874" s="122">
        <v>4978</v>
      </c>
      <c r="W874" s="122">
        <f t="shared" si="26"/>
        <v>4977</v>
      </c>
      <c r="X874" s="122">
        <f t="shared" si="27"/>
        <v>9758</v>
      </c>
      <c r="Y874" s="122"/>
      <c r="AA874" t="s">
        <v>56</v>
      </c>
      <c r="AB874" t="s">
        <v>406</v>
      </c>
      <c r="AC874" t="s">
        <v>427</v>
      </c>
      <c r="AD874" t="s">
        <v>137</v>
      </c>
      <c r="AE874" t="s">
        <v>566</v>
      </c>
      <c r="AF874" s="122">
        <v>28</v>
      </c>
      <c r="AG874" s="122">
        <v>4576</v>
      </c>
      <c r="AH874" s="122">
        <v>5596</v>
      </c>
      <c r="AI874" s="122">
        <v>462813</v>
      </c>
      <c r="AJ874" s="122">
        <v>420740</v>
      </c>
      <c r="AK874">
        <v>84</v>
      </c>
      <c r="AL874" s="122">
        <v>117035</v>
      </c>
      <c r="AM874" s="122">
        <v>106395</v>
      </c>
      <c r="AN874" s="122">
        <v>90252</v>
      </c>
      <c r="AO874" s="122">
        <v>33427</v>
      </c>
      <c r="AP874" s="122">
        <v>17388</v>
      </c>
      <c r="AQ874" s="122">
        <v>6440</v>
      </c>
      <c r="AR874" s="122">
        <v>229900</v>
      </c>
      <c r="AS874" s="122">
        <v>85148</v>
      </c>
      <c r="AT874" s="122">
        <v>0</v>
      </c>
      <c r="AU874" s="122">
        <v>0</v>
      </c>
      <c r="AV874" s="122">
        <v>652150</v>
      </c>
    </row>
    <row r="875" spans="2:48" hidden="1">
      <c r="B875" t="s">
        <v>368</v>
      </c>
      <c r="C875" t="s">
        <v>48</v>
      </c>
      <c r="D875" t="s">
        <v>406</v>
      </c>
      <c r="E875" t="s">
        <v>137</v>
      </c>
      <c r="F875">
        <v>1</v>
      </c>
      <c r="G875" s="122">
        <v>216</v>
      </c>
      <c r="H875" s="122">
        <v>51</v>
      </c>
      <c r="I875" s="122">
        <v>794</v>
      </c>
      <c r="J875" s="122">
        <v>722</v>
      </c>
      <c r="K875">
        <v>97</v>
      </c>
      <c r="L875" s="122">
        <v>0</v>
      </c>
      <c r="M875" s="122">
        <v>103</v>
      </c>
      <c r="N875" s="122">
        <v>3474</v>
      </c>
      <c r="O875" s="122">
        <v>1287</v>
      </c>
      <c r="P875" s="122">
        <v>2541</v>
      </c>
      <c r="Q875" s="122">
        <v>941</v>
      </c>
      <c r="R875" s="122">
        <v>4100</v>
      </c>
      <c r="S875" s="122">
        <v>1518</v>
      </c>
      <c r="T875" s="122">
        <v>0</v>
      </c>
      <c r="U875" s="122">
        <v>0</v>
      </c>
      <c r="V875" s="122">
        <v>4571</v>
      </c>
      <c r="W875" s="122">
        <f t="shared" si="26"/>
        <v>4571</v>
      </c>
      <c r="X875" s="122">
        <f t="shared" si="27"/>
        <v>10909</v>
      </c>
      <c r="Y875" s="122"/>
      <c r="AA875" t="s">
        <v>56</v>
      </c>
      <c r="AB875" t="s">
        <v>406</v>
      </c>
      <c r="AC875" t="s">
        <v>427</v>
      </c>
      <c r="AD875" t="s">
        <v>406</v>
      </c>
      <c r="AE875" t="s">
        <v>137</v>
      </c>
      <c r="AF875" s="122">
        <v>3232</v>
      </c>
      <c r="AG875" s="122">
        <v>523119</v>
      </c>
      <c r="AH875" s="122">
        <v>630275</v>
      </c>
      <c r="AI875" s="122">
        <v>58672930</v>
      </c>
      <c r="AJ875" s="122">
        <v>53339028</v>
      </c>
      <c r="AK875">
        <v>85</v>
      </c>
      <c r="AL875" s="122">
        <v>13821752</v>
      </c>
      <c r="AM875" s="122">
        <v>12565229</v>
      </c>
      <c r="AN875" s="122">
        <v>11280588</v>
      </c>
      <c r="AO875" s="122">
        <v>4177995</v>
      </c>
      <c r="AP875" s="122">
        <v>2070291</v>
      </c>
      <c r="AQ875" s="122">
        <v>766775</v>
      </c>
      <c r="AR875" s="122">
        <v>15941462</v>
      </c>
      <c r="AS875" s="122">
        <v>14492238</v>
      </c>
      <c r="AT875" s="122">
        <v>6677363</v>
      </c>
      <c r="AU875" s="122">
        <v>2473097</v>
      </c>
      <c r="AV875" s="122">
        <v>87814361</v>
      </c>
    </row>
    <row r="876" spans="2:48" hidden="1">
      <c r="B876" t="s">
        <v>368</v>
      </c>
      <c r="C876" t="s">
        <v>48</v>
      </c>
      <c r="D876" t="s">
        <v>406</v>
      </c>
      <c r="E876" t="s">
        <v>406</v>
      </c>
      <c r="F876">
        <v>84</v>
      </c>
      <c r="G876" s="122">
        <v>18042</v>
      </c>
      <c r="H876" s="122">
        <v>5235</v>
      </c>
      <c r="I876" s="122">
        <v>340171</v>
      </c>
      <c r="J876" s="122">
        <v>309246</v>
      </c>
      <c r="K876">
        <v>95</v>
      </c>
      <c r="L876" s="122">
        <v>50816</v>
      </c>
      <c r="M876" s="122">
        <v>46217</v>
      </c>
      <c r="N876" s="122">
        <v>244291</v>
      </c>
      <c r="O876" s="122">
        <v>90478</v>
      </c>
      <c r="P876" s="122">
        <v>168377</v>
      </c>
      <c r="Q876" s="122">
        <v>62362</v>
      </c>
      <c r="R876" s="122">
        <v>298835</v>
      </c>
      <c r="S876" s="122">
        <v>271668</v>
      </c>
      <c r="T876" s="122">
        <v>7357</v>
      </c>
      <c r="U876" s="122">
        <v>2725</v>
      </c>
      <c r="V876" s="122">
        <v>782696</v>
      </c>
      <c r="W876" s="122">
        <f t="shared" si="26"/>
        <v>782696</v>
      </c>
      <c r="X876" s="122">
        <f t="shared" si="27"/>
        <v>1109847</v>
      </c>
      <c r="Y876" s="122"/>
      <c r="AA876" t="s">
        <v>56</v>
      </c>
      <c r="AB876" t="s">
        <v>406</v>
      </c>
      <c r="AC876" t="s">
        <v>427</v>
      </c>
      <c r="AD876" t="s">
        <v>406</v>
      </c>
      <c r="AE876" t="s">
        <v>566</v>
      </c>
      <c r="AF876" s="122">
        <v>3954</v>
      </c>
      <c r="AG876" s="122">
        <v>657766</v>
      </c>
      <c r="AH876" s="122">
        <v>746221</v>
      </c>
      <c r="AI876" s="122">
        <v>71415843</v>
      </c>
      <c r="AJ876" s="122">
        <v>64923494</v>
      </c>
      <c r="AK876">
        <v>85</v>
      </c>
      <c r="AL876" s="122">
        <v>17434648</v>
      </c>
      <c r="AM876" s="122">
        <v>15849680</v>
      </c>
      <c r="AN876" s="122">
        <v>13801461</v>
      </c>
      <c r="AO876" s="122">
        <v>5111652</v>
      </c>
      <c r="AP876" s="122">
        <v>2598502</v>
      </c>
      <c r="AQ876" s="122">
        <v>962408</v>
      </c>
      <c r="AR876" s="122">
        <v>24053757</v>
      </c>
      <c r="AS876" s="122">
        <v>21867051</v>
      </c>
      <c r="AT876" s="122">
        <v>0</v>
      </c>
      <c r="AU876" s="122">
        <v>0</v>
      </c>
      <c r="AV876" s="122">
        <v>108714286</v>
      </c>
    </row>
    <row r="877" spans="2:48" hidden="1">
      <c r="B877" t="s">
        <v>368</v>
      </c>
      <c r="C877" t="s">
        <v>48</v>
      </c>
      <c r="D877" t="s">
        <v>407</v>
      </c>
      <c r="E877" t="s">
        <v>407</v>
      </c>
      <c r="F877">
        <v>24</v>
      </c>
      <c r="G877" s="122">
        <v>3343</v>
      </c>
      <c r="H877" s="122">
        <v>1360</v>
      </c>
      <c r="I877" s="122">
        <v>8475</v>
      </c>
      <c r="J877" s="122">
        <v>7705</v>
      </c>
      <c r="K877">
        <v>91</v>
      </c>
      <c r="L877" s="122">
        <v>766</v>
      </c>
      <c r="M877" s="122">
        <v>1501</v>
      </c>
      <c r="N877" s="122">
        <v>42853</v>
      </c>
      <c r="O877" s="122">
        <v>15871</v>
      </c>
      <c r="P877" s="122">
        <v>32732</v>
      </c>
      <c r="Q877" s="122">
        <v>12123</v>
      </c>
      <c r="R877" s="122">
        <v>99318</v>
      </c>
      <c r="S877" s="122">
        <v>90289</v>
      </c>
      <c r="T877" s="122">
        <v>0</v>
      </c>
      <c r="U877">
        <v>0</v>
      </c>
      <c r="V877" s="122">
        <v>127489</v>
      </c>
      <c r="W877" s="122">
        <f t="shared" si="26"/>
        <v>127489</v>
      </c>
      <c r="X877" s="122">
        <f t="shared" si="27"/>
        <v>184144</v>
      </c>
      <c r="Y877" s="122"/>
      <c r="AA877" t="s">
        <v>56</v>
      </c>
      <c r="AB877" t="s">
        <v>406</v>
      </c>
      <c r="AC877" t="s">
        <v>427</v>
      </c>
      <c r="AD877" t="s">
        <v>427</v>
      </c>
      <c r="AE877" t="s">
        <v>137</v>
      </c>
      <c r="AF877">
        <v>3</v>
      </c>
      <c r="AG877" s="122">
        <v>474</v>
      </c>
      <c r="AH877" s="122">
        <v>635</v>
      </c>
      <c r="AI877" s="122">
        <v>57192</v>
      </c>
      <c r="AJ877" s="122">
        <v>51993</v>
      </c>
      <c r="AK877">
        <v>89</v>
      </c>
      <c r="AL877" s="122">
        <v>14724</v>
      </c>
      <c r="AM877" s="122">
        <v>13385</v>
      </c>
      <c r="AN877" s="122">
        <v>8407</v>
      </c>
      <c r="AO877" s="122">
        <v>3114</v>
      </c>
      <c r="AP877" s="122">
        <v>1863</v>
      </c>
      <c r="AQ877" s="122">
        <v>690</v>
      </c>
      <c r="AR877" s="122">
        <v>14900</v>
      </c>
      <c r="AS877" s="122">
        <v>13545</v>
      </c>
      <c r="AT877" s="122">
        <v>3153</v>
      </c>
      <c r="AU877" s="122">
        <v>1168</v>
      </c>
      <c r="AV877" s="122">
        <v>83895</v>
      </c>
    </row>
    <row r="878" spans="2:48" hidden="1">
      <c r="B878" t="s">
        <v>368</v>
      </c>
      <c r="C878" t="s">
        <v>48</v>
      </c>
      <c r="D878" t="s">
        <v>426</v>
      </c>
      <c r="E878" t="s">
        <v>426</v>
      </c>
      <c r="F878">
        <v>1</v>
      </c>
      <c r="G878">
        <v>226</v>
      </c>
      <c r="H878">
        <v>64</v>
      </c>
      <c r="I878" s="122">
        <v>6721</v>
      </c>
      <c r="J878" s="122">
        <v>6110</v>
      </c>
      <c r="K878">
        <v>80</v>
      </c>
      <c r="L878" s="122">
        <v>994</v>
      </c>
      <c r="M878" s="122">
        <v>904</v>
      </c>
      <c r="N878" s="122">
        <v>2750</v>
      </c>
      <c r="O878" s="122">
        <v>1018</v>
      </c>
      <c r="P878">
        <v>702</v>
      </c>
      <c r="Q878">
        <v>260</v>
      </c>
      <c r="R878" s="122">
        <v>3309</v>
      </c>
      <c r="S878" s="122">
        <v>3008</v>
      </c>
      <c r="T878" s="122">
        <v>0</v>
      </c>
      <c r="U878" s="122">
        <v>0</v>
      </c>
      <c r="V878" s="122">
        <v>11301</v>
      </c>
      <c r="W878" s="122">
        <f t="shared" si="26"/>
        <v>11300</v>
      </c>
      <c r="X878" s="122">
        <f t="shared" si="27"/>
        <v>14476</v>
      </c>
      <c r="Y878" s="122"/>
      <c r="AA878" t="s">
        <v>56</v>
      </c>
      <c r="AB878" t="s">
        <v>406</v>
      </c>
      <c r="AC878" t="s">
        <v>427</v>
      </c>
      <c r="AD878" t="s">
        <v>427</v>
      </c>
      <c r="AE878" t="s">
        <v>566</v>
      </c>
      <c r="AF878">
        <v>8</v>
      </c>
      <c r="AG878" s="122">
        <v>1432</v>
      </c>
      <c r="AH878" s="122">
        <v>1473</v>
      </c>
      <c r="AI878" s="122">
        <v>169787</v>
      </c>
      <c r="AJ878" s="122">
        <v>154352</v>
      </c>
      <c r="AK878">
        <v>79</v>
      </c>
      <c r="AL878" s="122">
        <v>39351</v>
      </c>
      <c r="AM878" s="122">
        <v>35773</v>
      </c>
      <c r="AN878" s="122">
        <v>30646</v>
      </c>
      <c r="AO878" s="122">
        <v>11351</v>
      </c>
      <c r="AP878" s="122">
        <v>4968</v>
      </c>
      <c r="AQ878" s="122">
        <v>1840</v>
      </c>
      <c r="AR878" s="122">
        <v>64058</v>
      </c>
      <c r="AS878" s="122">
        <v>58235</v>
      </c>
      <c r="AT878">
        <v>0</v>
      </c>
      <c r="AU878">
        <v>0</v>
      </c>
      <c r="AV878" s="122">
        <v>261550</v>
      </c>
    </row>
    <row r="879" spans="2:48" hidden="1">
      <c r="B879" t="s">
        <v>368</v>
      </c>
      <c r="C879" t="s">
        <v>48</v>
      </c>
      <c r="D879" t="s">
        <v>433</v>
      </c>
      <c r="E879" t="s">
        <v>137</v>
      </c>
      <c r="F879" s="122">
        <v>3</v>
      </c>
      <c r="G879" s="122">
        <v>585</v>
      </c>
      <c r="H879" s="122">
        <v>190</v>
      </c>
      <c r="I879" s="122">
        <v>2280</v>
      </c>
      <c r="J879" s="122">
        <v>2073</v>
      </c>
      <c r="K879">
        <v>74</v>
      </c>
      <c r="L879" s="122">
        <v>306</v>
      </c>
      <c r="M879" s="122">
        <v>113</v>
      </c>
      <c r="N879" s="122">
        <v>7133</v>
      </c>
      <c r="O879" s="122">
        <v>2642</v>
      </c>
      <c r="P879" s="122">
        <v>6128</v>
      </c>
      <c r="Q879" s="122">
        <v>2269</v>
      </c>
      <c r="R879" s="122">
        <v>21145</v>
      </c>
      <c r="S879" s="122">
        <v>7832</v>
      </c>
      <c r="T879" s="122">
        <v>0</v>
      </c>
      <c r="U879" s="122">
        <v>0</v>
      </c>
      <c r="V879" s="122">
        <v>14929</v>
      </c>
      <c r="W879" s="122">
        <f t="shared" si="26"/>
        <v>14929</v>
      </c>
      <c r="X879" s="122">
        <f t="shared" si="27"/>
        <v>36992</v>
      </c>
      <c r="Y879" s="122"/>
      <c r="AA879" t="s">
        <v>56</v>
      </c>
      <c r="AB879" t="s">
        <v>406</v>
      </c>
      <c r="AC879" t="s">
        <v>427</v>
      </c>
      <c r="AD879" t="s">
        <v>407</v>
      </c>
      <c r="AE879" t="s">
        <v>566</v>
      </c>
      <c r="AF879">
        <v>2</v>
      </c>
      <c r="AG879" s="122">
        <v>182</v>
      </c>
      <c r="AH879" s="122">
        <v>384</v>
      </c>
      <c r="AI879" s="122">
        <v>24778</v>
      </c>
      <c r="AJ879" s="122">
        <v>22525</v>
      </c>
      <c r="AK879">
        <v>88</v>
      </c>
      <c r="AL879" s="122">
        <v>5746</v>
      </c>
      <c r="AM879" s="122">
        <v>5223</v>
      </c>
      <c r="AN879" s="122">
        <v>4522</v>
      </c>
      <c r="AO879" s="122">
        <v>1675</v>
      </c>
      <c r="AP879" s="122">
        <v>1242</v>
      </c>
      <c r="AQ879" s="122">
        <v>460</v>
      </c>
      <c r="AR879" s="122">
        <v>9232</v>
      </c>
      <c r="AS879" s="122">
        <v>8393</v>
      </c>
      <c r="AT879" s="122">
        <v>0</v>
      </c>
      <c r="AU879" s="122">
        <v>0</v>
      </c>
      <c r="AV879" s="122">
        <v>38276</v>
      </c>
    </row>
    <row r="880" spans="2:48" hidden="1">
      <c r="B880" t="s">
        <v>368</v>
      </c>
      <c r="C880" t="s">
        <v>48</v>
      </c>
      <c r="D880" t="s">
        <v>433</v>
      </c>
      <c r="E880" t="s">
        <v>433</v>
      </c>
      <c r="F880">
        <v>2</v>
      </c>
      <c r="G880" s="122">
        <v>476</v>
      </c>
      <c r="H880" s="122">
        <v>121</v>
      </c>
      <c r="I880" s="122">
        <v>9359</v>
      </c>
      <c r="J880" s="122">
        <v>8508</v>
      </c>
      <c r="K880">
        <v>82</v>
      </c>
      <c r="L880" s="122">
        <v>0</v>
      </c>
      <c r="M880" s="122">
        <v>0</v>
      </c>
      <c r="N880" s="122">
        <v>5796</v>
      </c>
      <c r="O880" s="122">
        <v>2147</v>
      </c>
      <c r="P880" s="122">
        <v>4843</v>
      </c>
      <c r="Q880" s="122">
        <v>1794</v>
      </c>
      <c r="R880" s="122">
        <v>9961</v>
      </c>
      <c r="S880" s="122">
        <v>9055</v>
      </c>
      <c r="T880" s="122">
        <v>0</v>
      </c>
      <c r="U880" s="122">
        <v>0</v>
      </c>
      <c r="V880" s="122">
        <v>21503</v>
      </c>
      <c r="W880" s="122">
        <f t="shared" si="26"/>
        <v>21504</v>
      </c>
      <c r="X880" s="122">
        <f t="shared" si="27"/>
        <v>29959</v>
      </c>
      <c r="Y880" s="122"/>
      <c r="AA880" t="s">
        <v>56</v>
      </c>
      <c r="AB880" t="s">
        <v>406</v>
      </c>
      <c r="AC880" t="s">
        <v>407</v>
      </c>
      <c r="AD880" t="s">
        <v>406</v>
      </c>
      <c r="AE880" t="s">
        <v>137</v>
      </c>
      <c r="AF880">
        <v>93</v>
      </c>
      <c r="AG880" s="122">
        <v>17142</v>
      </c>
      <c r="AH880" s="122">
        <v>18068</v>
      </c>
      <c r="AI880" s="122">
        <v>1961521</v>
      </c>
      <c r="AJ880" s="122">
        <v>1783201</v>
      </c>
      <c r="AK880">
        <v>85</v>
      </c>
      <c r="AL880" s="122">
        <v>439205</v>
      </c>
      <c r="AM880" s="122">
        <v>399278</v>
      </c>
      <c r="AN880" s="122">
        <v>366723</v>
      </c>
      <c r="AO880" s="122">
        <v>135823</v>
      </c>
      <c r="AP880" s="122">
        <v>58561</v>
      </c>
      <c r="AQ880" s="122">
        <v>21689</v>
      </c>
      <c r="AR880" s="122">
        <v>439043</v>
      </c>
      <c r="AS880" s="122">
        <v>399130</v>
      </c>
      <c r="AT880" s="122">
        <v>228878</v>
      </c>
      <c r="AU880" s="122">
        <v>84770</v>
      </c>
      <c r="AV880" s="122">
        <v>2823891</v>
      </c>
    </row>
    <row r="881" spans="2:48" hidden="1">
      <c r="B881" t="s">
        <v>368</v>
      </c>
      <c r="C881" t="s">
        <v>48</v>
      </c>
      <c r="D881" t="s">
        <v>408</v>
      </c>
      <c r="E881" t="s">
        <v>408</v>
      </c>
      <c r="F881">
        <v>4</v>
      </c>
      <c r="G881" s="122">
        <v>1266</v>
      </c>
      <c r="H881" s="122">
        <v>268</v>
      </c>
      <c r="I881" s="122">
        <v>29540</v>
      </c>
      <c r="J881" s="122">
        <v>26854</v>
      </c>
      <c r="K881">
        <v>86</v>
      </c>
      <c r="L881" s="122">
        <v>3518</v>
      </c>
      <c r="M881" s="122">
        <v>2420</v>
      </c>
      <c r="N881" s="122">
        <v>16907</v>
      </c>
      <c r="O881" s="122">
        <v>6262</v>
      </c>
      <c r="P881" s="122">
        <v>13744</v>
      </c>
      <c r="Q881" s="122">
        <v>5091</v>
      </c>
      <c r="R881" s="122">
        <v>20889</v>
      </c>
      <c r="S881" s="122">
        <v>18990</v>
      </c>
      <c r="T881" s="122">
        <v>0</v>
      </c>
      <c r="U881" s="122">
        <v>0</v>
      </c>
      <c r="V881" s="122">
        <v>59616</v>
      </c>
      <c r="W881" s="122">
        <f t="shared" si="26"/>
        <v>59617</v>
      </c>
      <c r="X881" s="122">
        <f t="shared" si="27"/>
        <v>84598</v>
      </c>
      <c r="Y881" s="122"/>
      <c r="AA881" t="s">
        <v>56</v>
      </c>
      <c r="AB881" t="s">
        <v>406</v>
      </c>
      <c r="AC881" t="s">
        <v>407</v>
      </c>
      <c r="AD881" t="s">
        <v>406</v>
      </c>
      <c r="AE881" t="s">
        <v>566</v>
      </c>
      <c r="AF881">
        <v>131</v>
      </c>
      <c r="AG881" s="122">
        <v>25055</v>
      </c>
      <c r="AH881" s="122">
        <v>24672</v>
      </c>
      <c r="AI881" s="122">
        <v>2662376</v>
      </c>
      <c r="AJ881" s="122">
        <v>2420342</v>
      </c>
      <c r="AK881">
        <v>86</v>
      </c>
      <c r="AL881" s="122">
        <v>730226</v>
      </c>
      <c r="AM881" s="122">
        <v>663842</v>
      </c>
      <c r="AN881" s="122">
        <v>527071</v>
      </c>
      <c r="AO881" s="122">
        <v>195211</v>
      </c>
      <c r="AP881" s="122">
        <v>87413</v>
      </c>
      <c r="AQ881" s="122">
        <v>32375</v>
      </c>
      <c r="AR881" s="122">
        <v>797471</v>
      </c>
      <c r="AS881" s="122">
        <v>724973</v>
      </c>
      <c r="AT881" s="122">
        <v>0</v>
      </c>
      <c r="AU881" s="122">
        <v>0</v>
      </c>
      <c r="AV881" s="122">
        <v>4036743</v>
      </c>
    </row>
    <row r="882" spans="2:48" hidden="1">
      <c r="B882" t="s">
        <v>368</v>
      </c>
      <c r="C882" t="s">
        <v>50</v>
      </c>
      <c r="F882">
        <v>1</v>
      </c>
      <c r="G882" s="122">
        <v>241</v>
      </c>
      <c r="H882" s="122">
        <v>85</v>
      </c>
      <c r="I882" s="122"/>
      <c r="J882" s="122">
        <v>0</v>
      </c>
      <c r="L882" s="122"/>
      <c r="M882" s="122">
        <v>0</v>
      </c>
      <c r="N882" s="122">
        <v>2935</v>
      </c>
      <c r="O882" s="122">
        <v>1087</v>
      </c>
      <c r="P882" s="122">
        <v>2453</v>
      </c>
      <c r="Q882" s="122">
        <v>909</v>
      </c>
      <c r="R882" s="122"/>
      <c r="S882" s="122">
        <v>0</v>
      </c>
      <c r="T882" s="122">
        <v>0</v>
      </c>
      <c r="U882" s="122">
        <v>0</v>
      </c>
      <c r="V882" s="122">
        <v>1996</v>
      </c>
      <c r="W882" s="122">
        <f t="shared" si="26"/>
        <v>1996</v>
      </c>
      <c r="X882" s="122">
        <f t="shared" si="27"/>
        <v>5388</v>
      </c>
      <c r="Y882" s="122"/>
      <c r="AA882" t="s">
        <v>56</v>
      </c>
      <c r="AB882" t="s">
        <v>406</v>
      </c>
      <c r="AC882" t="s">
        <v>407</v>
      </c>
      <c r="AD882" t="s">
        <v>407</v>
      </c>
      <c r="AE882" t="s">
        <v>137</v>
      </c>
      <c r="AF882">
        <v>1</v>
      </c>
      <c r="AG882">
        <v>186</v>
      </c>
      <c r="AH882">
        <v>164</v>
      </c>
      <c r="AI882" s="122">
        <v>18543</v>
      </c>
      <c r="AJ882" s="122">
        <v>16857</v>
      </c>
      <c r="AK882">
        <v>97</v>
      </c>
      <c r="AL882" s="122">
        <v>3012</v>
      </c>
      <c r="AM882" s="122">
        <v>2738</v>
      </c>
      <c r="AN882" s="122">
        <v>4862</v>
      </c>
      <c r="AO882" s="122">
        <v>1801</v>
      </c>
      <c r="AP882" s="122">
        <v>1323</v>
      </c>
      <c r="AQ882">
        <v>490</v>
      </c>
      <c r="AR882" s="122">
        <v>3896</v>
      </c>
      <c r="AS882" s="122">
        <v>3541</v>
      </c>
      <c r="AT882" s="122">
        <v>3796</v>
      </c>
      <c r="AU882" s="122">
        <v>1406</v>
      </c>
      <c r="AV882" s="122">
        <v>26834</v>
      </c>
    </row>
    <row r="883" spans="2:48" hidden="1">
      <c r="B883" t="s">
        <v>368</v>
      </c>
      <c r="C883" t="s">
        <v>50</v>
      </c>
      <c r="D883" t="s">
        <v>405</v>
      </c>
      <c r="E883" t="s">
        <v>405</v>
      </c>
      <c r="F883">
        <v>6</v>
      </c>
      <c r="G883" s="122">
        <v>1690</v>
      </c>
      <c r="H883" s="122">
        <v>584</v>
      </c>
      <c r="I883" s="122">
        <v>85146</v>
      </c>
      <c r="J883" s="122">
        <v>77405</v>
      </c>
      <c r="K883">
        <v>91</v>
      </c>
      <c r="L883" s="122">
        <v>11605</v>
      </c>
      <c r="M883" s="122">
        <v>11223</v>
      </c>
      <c r="N883" s="122">
        <v>30449</v>
      </c>
      <c r="O883" s="122">
        <v>11277</v>
      </c>
      <c r="P883" s="122">
        <v>3537</v>
      </c>
      <c r="Q883" s="122">
        <v>1310</v>
      </c>
      <c r="R883" s="122">
        <v>33849</v>
      </c>
      <c r="S883" s="122">
        <v>30772</v>
      </c>
      <c r="T883" s="122">
        <v>0</v>
      </c>
      <c r="U883" s="122">
        <v>0</v>
      </c>
      <c r="V883" s="122">
        <v>131987</v>
      </c>
      <c r="W883" s="122">
        <f t="shared" si="26"/>
        <v>131987</v>
      </c>
      <c r="X883" s="122">
        <f t="shared" si="27"/>
        <v>164586</v>
      </c>
      <c r="Y883" s="122"/>
      <c r="AA883" t="s">
        <v>56</v>
      </c>
      <c r="AB883" t="s">
        <v>406</v>
      </c>
      <c r="AC883" t="s">
        <v>579</v>
      </c>
      <c r="AD883" t="s">
        <v>425</v>
      </c>
      <c r="AE883" t="s">
        <v>137</v>
      </c>
      <c r="AF883">
        <v>1</v>
      </c>
      <c r="AG883">
        <v>217</v>
      </c>
      <c r="AH883">
        <v>194</v>
      </c>
      <c r="AI883" s="122">
        <v>19854</v>
      </c>
      <c r="AJ883" s="122">
        <v>18049</v>
      </c>
      <c r="AK883">
        <v>85</v>
      </c>
      <c r="AL883" s="122">
        <v>9734</v>
      </c>
      <c r="AM883" s="122">
        <v>8112</v>
      </c>
      <c r="AN883" s="122">
        <v>3762</v>
      </c>
      <c r="AO883" s="122">
        <v>1393</v>
      </c>
      <c r="AP883" s="122">
        <v>621</v>
      </c>
      <c r="AQ883">
        <v>230</v>
      </c>
      <c r="AR883" s="122">
        <v>4451</v>
      </c>
      <c r="AS883" s="122">
        <v>4046</v>
      </c>
      <c r="AT883" s="122">
        <v>3812</v>
      </c>
      <c r="AU883" s="122">
        <v>1412</v>
      </c>
      <c r="AV883" s="122">
        <v>33242</v>
      </c>
    </row>
    <row r="884" spans="2:48" hidden="1">
      <c r="B884" t="s">
        <v>368</v>
      </c>
      <c r="C884" t="s">
        <v>50</v>
      </c>
      <c r="D884" t="s">
        <v>405</v>
      </c>
      <c r="E884" t="s">
        <v>137</v>
      </c>
      <c r="F884">
        <v>1</v>
      </c>
      <c r="G884" s="122">
        <v>227</v>
      </c>
      <c r="H884" s="122">
        <v>99</v>
      </c>
      <c r="I884" s="122">
        <v>9403</v>
      </c>
      <c r="J884" s="122">
        <v>8548</v>
      </c>
      <c r="K884">
        <v>83</v>
      </c>
      <c r="L884" s="122">
        <v>1108</v>
      </c>
      <c r="M884" s="122">
        <v>1007</v>
      </c>
      <c r="N884" s="122">
        <v>3533</v>
      </c>
      <c r="O884" s="122">
        <v>1308</v>
      </c>
      <c r="P884" s="122">
        <v>824</v>
      </c>
      <c r="Q884" s="122">
        <v>305</v>
      </c>
      <c r="R884" s="122">
        <v>7534</v>
      </c>
      <c r="S884" s="122">
        <v>2790</v>
      </c>
      <c r="T884" s="122">
        <v>0</v>
      </c>
      <c r="U884" s="122">
        <v>0</v>
      </c>
      <c r="V884" s="122">
        <v>13959</v>
      </c>
      <c r="W884" s="122">
        <f t="shared" si="26"/>
        <v>13958</v>
      </c>
      <c r="X884" s="122">
        <f t="shared" si="27"/>
        <v>22402</v>
      </c>
      <c r="Y884" s="122"/>
      <c r="AA884" t="s">
        <v>56</v>
      </c>
      <c r="AB884" t="s">
        <v>406</v>
      </c>
      <c r="AC884" t="s">
        <v>579</v>
      </c>
      <c r="AD884" t="s">
        <v>425</v>
      </c>
      <c r="AE884" t="s">
        <v>566</v>
      </c>
      <c r="AF884">
        <v>2</v>
      </c>
      <c r="AG884">
        <v>300</v>
      </c>
      <c r="AH884">
        <v>379</v>
      </c>
      <c r="AI884" s="122">
        <v>32311</v>
      </c>
      <c r="AJ884" s="122">
        <v>29374</v>
      </c>
      <c r="AK884">
        <v>82</v>
      </c>
      <c r="AL884" s="122">
        <v>4919</v>
      </c>
      <c r="AM884" s="122">
        <v>4099</v>
      </c>
      <c r="AN884" s="122">
        <v>3913</v>
      </c>
      <c r="AO884" s="122">
        <v>1449</v>
      </c>
      <c r="AP884" s="122">
        <v>1242</v>
      </c>
      <c r="AQ884">
        <v>460</v>
      </c>
      <c r="AR884" s="122">
        <v>11244</v>
      </c>
      <c r="AS884" s="122">
        <v>10222</v>
      </c>
      <c r="AT884">
        <v>0</v>
      </c>
      <c r="AU884">
        <v>0</v>
      </c>
      <c r="AV884" s="122">
        <v>45604</v>
      </c>
    </row>
    <row r="885" spans="2:48" hidden="1">
      <c r="B885" t="s">
        <v>368</v>
      </c>
      <c r="C885" t="s">
        <v>50</v>
      </c>
      <c r="D885" t="s">
        <v>137</v>
      </c>
      <c r="E885" t="s">
        <v>405</v>
      </c>
      <c r="F885">
        <v>1</v>
      </c>
      <c r="G885" s="122">
        <v>467</v>
      </c>
      <c r="H885" s="122">
        <v>89</v>
      </c>
      <c r="I885" s="122">
        <v>31978</v>
      </c>
      <c r="J885" s="122">
        <v>11844</v>
      </c>
      <c r="K885">
        <v>320</v>
      </c>
      <c r="L885" s="122">
        <v>15441</v>
      </c>
      <c r="M885" s="122">
        <v>14037</v>
      </c>
      <c r="N885" s="122">
        <v>18956</v>
      </c>
      <c r="O885" s="122">
        <v>7021</v>
      </c>
      <c r="P885" s="122">
        <v>351</v>
      </c>
      <c r="Q885" s="122">
        <v>130</v>
      </c>
      <c r="R885" s="122">
        <v>2802</v>
      </c>
      <c r="S885" s="122">
        <v>2548</v>
      </c>
      <c r="T885" s="122">
        <v>0</v>
      </c>
      <c r="U885" s="122">
        <v>0</v>
      </c>
      <c r="V885" s="122">
        <v>35579</v>
      </c>
      <c r="W885" s="122">
        <f t="shared" si="26"/>
        <v>35580</v>
      </c>
      <c r="X885" s="122">
        <f t="shared" si="27"/>
        <v>69528</v>
      </c>
      <c r="Y885" s="122"/>
      <c r="AA885" t="s">
        <v>56</v>
      </c>
      <c r="AB885" t="s">
        <v>406</v>
      </c>
      <c r="AC885" t="s">
        <v>579</v>
      </c>
      <c r="AD885" t="s">
        <v>405</v>
      </c>
      <c r="AE885" t="s">
        <v>566</v>
      </c>
      <c r="AF885">
        <v>1</v>
      </c>
      <c r="AG885" s="122">
        <v>150</v>
      </c>
      <c r="AH885" s="122">
        <v>180</v>
      </c>
      <c r="AI885" s="122">
        <v>30879</v>
      </c>
      <c r="AJ885" s="122">
        <v>28072</v>
      </c>
      <c r="AK885">
        <v>70</v>
      </c>
      <c r="AL885" s="122">
        <v>4148</v>
      </c>
      <c r="AM885" s="122">
        <v>3457</v>
      </c>
      <c r="AN885" s="122">
        <v>4795</v>
      </c>
      <c r="AO885" s="122">
        <v>1776</v>
      </c>
      <c r="AP885" s="122">
        <v>621</v>
      </c>
      <c r="AQ885" s="122">
        <v>230</v>
      </c>
      <c r="AR885" s="122">
        <v>7349</v>
      </c>
      <c r="AS885" s="122">
        <v>6681</v>
      </c>
      <c r="AT885">
        <v>0</v>
      </c>
      <c r="AU885">
        <v>0</v>
      </c>
      <c r="AV885" s="122">
        <v>40216</v>
      </c>
    </row>
    <row r="886" spans="2:48" hidden="1">
      <c r="B886" t="s">
        <v>368</v>
      </c>
      <c r="C886" t="s">
        <v>50</v>
      </c>
      <c r="D886" t="s">
        <v>137</v>
      </c>
      <c r="E886" t="s">
        <v>137</v>
      </c>
      <c r="F886">
        <v>90</v>
      </c>
      <c r="G886" s="122">
        <v>21000</v>
      </c>
      <c r="H886" s="122">
        <v>7937</v>
      </c>
      <c r="I886" s="122">
        <v>752921</v>
      </c>
      <c r="J886" s="122">
        <v>278860</v>
      </c>
      <c r="K886">
        <v>363</v>
      </c>
      <c r="L886" s="122">
        <v>159330</v>
      </c>
      <c r="M886" s="122">
        <v>143598</v>
      </c>
      <c r="N886" s="122">
        <v>361840</v>
      </c>
      <c r="O886" s="122">
        <v>134015</v>
      </c>
      <c r="P886" s="122">
        <v>100495</v>
      </c>
      <c r="Q886" s="122">
        <v>37220</v>
      </c>
      <c r="R886" s="122">
        <v>535028</v>
      </c>
      <c r="S886" s="122">
        <v>198159</v>
      </c>
      <c r="T886" s="122">
        <v>0</v>
      </c>
      <c r="U886" s="122">
        <v>0</v>
      </c>
      <c r="V886" s="122">
        <v>791851</v>
      </c>
      <c r="W886" s="122">
        <f t="shared" si="26"/>
        <v>791852</v>
      </c>
      <c r="X886" s="122">
        <f t="shared" si="27"/>
        <v>1909614</v>
      </c>
      <c r="Y886" s="122"/>
      <c r="AA886" t="s">
        <v>56</v>
      </c>
      <c r="AB886" t="s">
        <v>406</v>
      </c>
      <c r="AC886" t="s">
        <v>579</v>
      </c>
      <c r="AD886" t="s">
        <v>137</v>
      </c>
      <c r="AE886" t="s">
        <v>566</v>
      </c>
      <c r="AF886" s="122">
        <v>9</v>
      </c>
      <c r="AG886" s="122">
        <v>1889</v>
      </c>
      <c r="AH886" s="122">
        <v>1602</v>
      </c>
      <c r="AI886" s="122">
        <v>196939</v>
      </c>
      <c r="AJ886" s="122">
        <v>179035</v>
      </c>
      <c r="AK886">
        <v>86</v>
      </c>
      <c r="AL886" s="122">
        <v>43429</v>
      </c>
      <c r="AM886" s="122">
        <v>36191</v>
      </c>
      <c r="AN886" s="122">
        <v>36617</v>
      </c>
      <c r="AO886" s="122">
        <v>13562</v>
      </c>
      <c r="AP886" s="122">
        <v>8550</v>
      </c>
      <c r="AQ886" s="122">
        <v>3167</v>
      </c>
      <c r="AR886" s="122">
        <v>60916</v>
      </c>
      <c r="AS886" s="122">
        <v>22561</v>
      </c>
      <c r="AT886" s="122">
        <v>0</v>
      </c>
      <c r="AU886" s="122">
        <v>0</v>
      </c>
      <c r="AV886" s="122">
        <v>254516</v>
      </c>
    </row>
    <row r="887" spans="2:48" hidden="1">
      <c r="B887" t="s">
        <v>368</v>
      </c>
      <c r="C887" t="s">
        <v>50</v>
      </c>
      <c r="D887" t="s">
        <v>137</v>
      </c>
      <c r="E887" t="s">
        <v>406</v>
      </c>
      <c r="F887">
        <v>1</v>
      </c>
      <c r="G887">
        <v>276</v>
      </c>
      <c r="H887" s="122">
        <v>95</v>
      </c>
      <c r="I887" s="122">
        <v>12608</v>
      </c>
      <c r="J887" s="122">
        <v>4670</v>
      </c>
      <c r="K887">
        <v>250</v>
      </c>
      <c r="L887" s="122">
        <v>2378</v>
      </c>
      <c r="M887" s="122">
        <v>2162</v>
      </c>
      <c r="N887" s="122">
        <v>3462</v>
      </c>
      <c r="O887" s="122">
        <v>1282</v>
      </c>
      <c r="P887" s="122">
        <v>351</v>
      </c>
      <c r="Q887">
        <v>130</v>
      </c>
      <c r="R887" s="122">
        <v>7283</v>
      </c>
      <c r="S887" s="122">
        <v>6621</v>
      </c>
      <c r="T887" s="122">
        <v>0</v>
      </c>
      <c r="U887">
        <v>0</v>
      </c>
      <c r="V887" s="122">
        <v>14865</v>
      </c>
      <c r="W887" s="122">
        <f t="shared" si="26"/>
        <v>14865</v>
      </c>
      <c r="X887" s="122">
        <f t="shared" si="27"/>
        <v>26082</v>
      </c>
      <c r="Y887" s="122"/>
      <c r="AA887" t="s">
        <v>56</v>
      </c>
      <c r="AB887" t="s">
        <v>406</v>
      </c>
      <c r="AC887" t="s">
        <v>579</v>
      </c>
      <c r="AD887" t="s">
        <v>406</v>
      </c>
      <c r="AE887" t="s">
        <v>137</v>
      </c>
      <c r="AF887" s="122">
        <v>2556</v>
      </c>
      <c r="AG887" s="122">
        <v>421094</v>
      </c>
      <c r="AH887" s="122">
        <v>503046</v>
      </c>
      <c r="AI887" s="122">
        <v>46907574</v>
      </c>
      <c r="AJ887" s="122">
        <v>42643249</v>
      </c>
      <c r="AK887">
        <v>85</v>
      </c>
      <c r="AL887" s="122">
        <v>11063095</v>
      </c>
      <c r="AM887" s="122">
        <v>9219246</v>
      </c>
      <c r="AN887" s="122">
        <v>8661776</v>
      </c>
      <c r="AO887" s="122">
        <v>3208065</v>
      </c>
      <c r="AP887" s="122">
        <v>1654520</v>
      </c>
      <c r="AQ887" s="122">
        <v>612785</v>
      </c>
      <c r="AR887" s="122">
        <v>12198019</v>
      </c>
      <c r="AS887" s="122">
        <v>11089108</v>
      </c>
      <c r="AT887" s="122">
        <v>6229959</v>
      </c>
      <c r="AU887" s="122">
        <v>2307392</v>
      </c>
      <c r="AV887" s="122">
        <v>69079845</v>
      </c>
    </row>
    <row r="888" spans="2:48" hidden="1">
      <c r="B888" t="s">
        <v>368</v>
      </c>
      <c r="C888" t="s">
        <v>50</v>
      </c>
      <c r="D888" t="s">
        <v>406</v>
      </c>
      <c r="E888" t="s">
        <v>406</v>
      </c>
      <c r="F888">
        <v>118</v>
      </c>
      <c r="G888" s="122">
        <v>27389</v>
      </c>
      <c r="H888" s="122">
        <v>10753</v>
      </c>
      <c r="I888" s="122">
        <v>1269609</v>
      </c>
      <c r="J888" s="122">
        <v>1154190</v>
      </c>
      <c r="K888">
        <v>94</v>
      </c>
      <c r="L888" s="122">
        <v>214578</v>
      </c>
      <c r="M888" s="122">
        <v>192700</v>
      </c>
      <c r="N888" s="122">
        <v>418222</v>
      </c>
      <c r="O888" s="122">
        <v>154897</v>
      </c>
      <c r="P888" s="122">
        <v>150852</v>
      </c>
      <c r="Q888" s="122">
        <v>55871</v>
      </c>
      <c r="R888" s="122">
        <v>513597</v>
      </c>
      <c r="S888" s="122">
        <v>466907</v>
      </c>
      <c r="T888" s="122">
        <v>3426</v>
      </c>
      <c r="U888" s="122">
        <v>1269</v>
      </c>
      <c r="V888" s="122">
        <v>2025834</v>
      </c>
      <c r="W888" s="122">
        <f t="shared" si="26"/>
        <v>2025834</v>
      </c>
      <c r="X888" s="122">
        <f t="shared" si="27"/>
        <v>2570284</v>
      </c>
      <c r="Y888" s="122"/>
      <c r="AA888" t="s">
        <v>56</v>
      </c>
      <c r="AB888" t="s">
        <v>406</v>
      </c>
      <c r="AC888" t="s">
        <v>579</v>
      </c>
      <c r="AD888" t="s">
        <v>406</v>
      </c>
      <c r="AE888" t="s">
        <v>566</v>
      </c>
      <c r="AF888" s="122">
        <v>3178</v>
      </c>
      <c r="AG888" s="122">
        <v>543114</v>
      </c>
      <c r="AH888" s="122">
        <v>596748</v>
      </c>
      <c r="AI888" s="122">
        <v>58606939</v>
      </c>
      <c r="AJ888" s="122">
        <v>53279035</v>
      </c>
      <c r="AK888">
        <v>87</v>
      </c>
      <c r="AL888" s="122">
        <v>14770035</v>
      </c>
      <c r="AM888" s="122">
        <v>12308363</v>
      </c>
      <c r="AN888" s="122">
        <v>10944943</v>
      </c>
      <c r="AO888" s="122">
        <v>4053683</v>
      </c>
      <c r="AP888" s="122">
        <v>2162661</v>
      </c>
      <c r="AQ888" s="122">
        <v>800986</v>
      </c>
      <c r="AR888" s="122">
        <v>18635535</v>
      </c>
      <c r="AS888" s="122">
        <v>16941396</v>
      </c>
      <c r="AT888" s="122">
        <v>0</v>
      </c>
      <c r="AU888" s="122">
        <v>0</v>
      </c>
      <c r="AV888" s="122">
        <v>87383462</v>
      </c>
    </row>
    <row r="889" spans="2:48" hidden="1">
      <c r="B889" t="s">
        <v>368</v>
      </c>
      <c r="C889" t="s">
        <v>50</v>
      </c>
      <c r="D889" t="s">
        <v>407</v>
      </c>
      <c r="E889" t="s">
        <v>407</v>
      </c>
      <c r="F889">
        <v>9</v>
      </c>
      <c r="G889" s="122">
        <v>1991</v>
      </c>
      <c r="H889" s="122">
        <v>824</v>
      </c>
      <c r="I889" s="122">
        <v>104842</v>
      </c>
      <c r="J889" s="122">
        <v>95311</v>
      </c>
      <c r="K889">
        <v>91</v>
      </c>
      <c r="L889" s="122">
        <v>15853</v>
      </c>
      <c r="M889" s="122">
        <v>13865</v>
      </c>
      <c r="N889" s="122">
        <v>28352</v>
      </c>
      <c r="O889" s="122">
        <v>10501</v>
      </c>
      <c r="P889" s="122">
        <v>4955</v>
      </c>
      <c r="Q889" s="122">
        <v>1835</v>
      </c>
      <c r="R889" s="122">
        <v>28138</v>
      </c>
      <c r="S889" s="122">
        <v>25580</v>
      </c>
      <c r="T889" s="122">
        <v>0</v>
      </c>
      <c r="U889" s="122">
        <v>0</v>
      </c>
      <c r="V889" s="122">
        <v>147092</v>
      </c>
      <c r="W889" s="122">
        <f t="shared" si="26"/>
        <v>147092</v>
      </c>
      <c r="X889" s="122">
        <f t="shared" si="27"/>
        <v>182140</v>
      </c>
      <c r="Y889" s="122"/>
      <c r="AA889" t="s">
        <v>56</v>
      </c>
      <c r="AB889" t="s">
        <v>406</v>
      </c>
      <c r="AC889" t="s">
        <v>579</v>
      </c>
      <c r="AD889" t="s">
        <v>427</v>
      </c>
      <c r="AE889" t="s">
        <v>137</v>
      </c>
      <c r="AF889">
        <v>2</v>
      </c>
      <c r="AG889">
        <v>313</v>
      </c>
      <c r="AH889">
        <v>399</v>
      </c>
      <c r="AI889" s="122">
        <v>34625</v>
      </c>
      <c r="AJ889" s="122">
        <v>31477</v>
      </c>
      <c r="AK889">
        <v>81</v>
      </c>
      <c r="AL889" s="122">
        <v>5343</v>
      </c>
      <c r="AM889" s="122">
        <v>4452</v>
      </c>
      <c r="AN889" s="122">
        <v>6890</v>
      </c>
      <c r="AO889" s="122">
        <v>2552</v>
      </c>
      <c r="AP889" s="122">
        <v>1242</v>
      </c>
      <c r="AQ889">
        <v>460</v>
      </c>
      <c r="AR889" s="122">
        <v>10882</v>
      </c>
      <c r="AS889" s="122">
        <v>9893</v>
      </c>
      <c r="AT889" s="122">
        <v>3227</v>
      </c>
      <c r="AU889" s="122">
        <v>1195</v>
      </c>
      <c r="AV889" s="122">
        <v>50029</v>
      </c>
    </row>
    <row r="890" spans="2:48" hidden="1">
      <c r="B890" t="s">
        <v>368</v>
      </c>
      <c r="C890" t="s">
        <v>50</v>
      </c>
      <c r="D890" t="s">
        <v>556</v>
      </c>
      <c r="E890" t="s">
        <v>137</v>
      </c>
      <c r="F890">
        <v>1</v>
      </c>
      <c r="G890">
        <v>282</v>
      </c>
      <c r="H890" s="122">
        <v>91</v>
      </c>
      <c r="I890" s="122">
        <v>6086</v>
      </c>
      <c r="J890" s="122">
        <v>5072</v>
      </c>
      <c r="K890">
        <v>78</v>
      </c>
      <c r="L890" s="122">
        <v>1191</v>
      </c>
      <c r="M890" s="122">
        <v>441</v>
      </c>
      <c r="N890" s="122">
        <v>3433</v>
      </c>
      <c r="O890" s="122">
        <v>1271</v>
      </c>
      <c r="P890" s="122">
        <v>2460</v>
      </c>
      <c r="Q890">
        <v>911</v>
      </c>
      <c r="R890" s="122">
        <v>12590</v>
      </c>
      <c r="S890" s="122">
        <v>4663</v>
      </c>
      <c r="T890" s="122">
        <v>0</v>
      </c>
      <c r="U890" s="122">
        <v>0</v>
      </c>
      <c r="V890" s="122">
        <v>12358</v>
      </c>
      <c r="W890" s="122">
        <f t="shared" si="26"/>
        <v>12358</v>
      </c>
      <c r="X890" s="122">
        <f t="shared" si="27"/>
        <v>25760</v>
      </c>
      <c r="Y890" s="122"/>
      <c r="AA890" t="s">
        <v>56</v>
      </c>
      <c r="AB890" t="s">
        <v>406</v>
      </c>
      <c r="AC890" t="s">
        <v>579</v>
      </c>
      <c r="AD890" t="s">
        <v>427</v>
      </c>
      <c r="AE890" t="s">
        <v>566</v>
      </c>
      <c r="AF890">
        <v>1</v>
      </c>
      <c r="AG890">
        <v>153</v>
      </c>
      <c r="AH890">
        <v>192</v>
      </c>
      <c r="AI890" s="122">
        <v>14927</v>
      </c>
      <c r="AJ890" s="122">
        <v>13570</v>
      </c>
      <c r="AK890">
        <v>86</v>
      </c>
      <c r="AL890" s="122">
        <v>4897</v>
      </c>
      <c r="AM890" s="122">
        <v>4081</v>
      </c>
      <c r="AN890" s="122">
        <v>2237</v>
      </c>
      <c r="AO890" s="122">
        <v>828</v>
      </c>
      <c r="AP890" s="122">
        <v>621</v>
      </c>
      <c r="AQ890" s="122">
        <v>230</v>
      </c>
      <c r="AR890" s="122">
        <v>6698</v>
      </c>
      <c r="AS890" s="122">
        <v>6089</v>
      </c>
      <c r="AT890">
        <v>0</v>
      </c>
      <c r="AU890">
        <v>0</v>
      </c>
      <c r="AV890" s="122">
        <v>24799</v>
      </c>
    </row>
    <row r="891" spans="2:48" hidden="1">
      <c r="B891" t="s">
        <v>368</v>
      </c>
      <c r="C891" t="s">
        <v>50</v>
      </c>
      <c r="D891" t="s">
        <v>433</v>
      </c>
      <c r="E891" t="s">
        <v>433</v>
      </c>
      <c r="F891">
        <v>2</v>
      </c>
      <c r="G891" s="122">
        <v>599</v>
      </c>
      <c r="H891" s="122">
        <v>184</v>
      </c>
      <c r="I891" s="122">
        <v>28022</v>
      </c>
      <c r="J891" s="122">
        <v>25474</v>
      </c>
      <c r="K891">
        <v>87</v>
      </c>
      <c r="L891" s="122">
        <v>3890</v>
      </c>
      <c r="M891" s="122">
        <v>3536</v>
      </c>
      <c r="N891" s="122">
        <v>10753</v>
      </c>
      <c r="O891" s="122">
        <v>3983</v>
      </c>
      <c r="P891" s="122">
        <v>2859</v>
      </c>
      <c r="Q891" s="122">
        <v>1059</v>
      </c>
      <c r="R891" s="122">
        <v>8474</v>
      </c>
      <c r="S891" s="122">
        <v>7703</v>
      </c>
      <c r="T891" s="122">
        <v>2944</v>
      </c>
      <c r="U891" s="122">
        <v>1090</v>
      </c>
      <c r="V891" s="122">
        <v>42845</v>
      </c>
      <c r="W891" s="122">
        <f t="shared" si="26"/>
        <v>42845</v>
      </c>
      <c r="X891" s="122">
        <f t="shared" si="27"/>
        <v>56942</v>
      </c>
      <c r="Y891" s="122"/>
      <c r="AA891" t="s">
        <v>56</v>
      </c>
      <c r="AB891" t="s">
        <v>406</v>
      </c>
      <c r="AC891" t="s">
        <v>579</v>
      </c>
      <c r="AD891" t="s">
        <v>407</v>
      </c>
      <c r="AE891" t="s">
        <v>566</v>
      </c>
      <c r="AF891">
        <v>5</v>
      </c>
      <c r="AG891">
        <v>692</v>
      </c>
      <c r="AH891">
        <v>959</v>
      </c>
      <c r="AI891" s="122">
        <v>80646</v>
      </c>
      <c r="AJ891" s="122">
        <v>73314</v>
      </c>
      <c r="AK891">
        <v>86</v>
      </c>
      <c r="AL891" s="122">
        <v>19965</v>
      </c>
      <c r="AM891" s="122">
        <v>16637</v>
      </c>
      <c r="AN891" s="122">
        <v>11820</v>
      </c>
      <c r="AO891" s="122">
        <v>4378</v>
      </c>
      <c r="AP891" s="122">
        <v>5032</v>
      </c>
      <c r="AQ891" s="122">
        <v>1864</v>
      </c>
      <c r="AR891" s="122">
        <v>29009</v>
      </c>
      <c r="AS891" s="122">
        <v>26372</v>
      </c>
      <c r="AT891" s="122">
        <v>0</v>
      </c>
      <c r="AU891" s="122">
        <v>0</v>
      </c>
      <c r="AV891" s="122">
        <v>122565</v>
      </c>
    </row>
    <row r="892" spans="2:48" hidden="1">
      <c r="B892" t="s">
        <v>368</v>
      </c>
      <c r="C892" t="s">
        <v>50</v>
      </c>
      <c r="D892" t="s">
        <v>408</v>
      </c>
      <c r="E892" t="s">
        <v>408</v>
      </c>
      <c r="F892">
        <v>4</v>
      </c>
      <c r="G892" s="122">
        <v>959</v>
      </c>
      <c r="H892" s="122">
        <v>385</v>
      </c>
      <c r="I892" s="122">
        <v>45106</v>
      </c>
      <c r="J892" s="122">
        <v>41005</v>
      </c>
      <c r="K892">
        <v>81</v>
      </c>
      <c r="L892" s="122">
        <v>3570</v>
      </c>
      <c r="M892" s="122">
        <v>3245</v>
      </c>
      <c r="N892" s="122">
        <v>15330</v>
      </c>
      <c r="O892" s="122">
        <v>5678</v>
      </c>
      <c r="P892" s="122">
        <v>7600</v>
      </c>
      <c r="Q892" s="122">
        <v>2815</v>
      </c>
      <c r="R892" s="122">
        <v>20869</v>
      </c>
      <c r="S892" s="122">
        <v>18972</v>
      </c>
      <c r="T892" s="122">
        <v>0</v>
      </c>
      <c r="U892" s="122">
        <v>0</v>
      </c>
      <c r="V892" s="122">
        <v>71715</v>
      </c>
      <c r="W892" s="122">
        <f t="shared" si="26"/>
        <v>71715</v>
      </c>
      <c r="X892" s="122">
        <f t="shared" si="27"/>
        <v>92475</v>
      </c>
      <c r="Y892" s="122"/>
      <c r="AA892" t="s">
        <v>56</v>
      </c>
      <c r="AB892" t="s">
        <v>406</v>
      </c>
      <c r="AC892" t="s">
        <v>579</v>
      </c>
      <c r="AD892" t="s">
        <v>579</v>
      </c>
      <c r="AE892" t="s">
        <v>137</v>
      </c>
      <c r="AF892">
        <v>1</v>
      </c>
      <c r="AG892">
        <v>119</v>
      </c>
      <c r="AH892">
        <v>196</v>
      </c>
      <c r="AI892" s="122">
        <v>21812</v>
      </c>
      <c r="AJ892" s="122">
        <v>19829</v>
      </c>
      <c r="AK892">
        <v>97</v>
      </c>
      <c r="AL892" s="122">
        <v>3746</v>
      </c>
      <c r="AM892" s="122">
        <v>3122</v>
      </c>
      <c r="AN892" s="122">
        <v>2735</v>
      </c>
      <c r="AO892" s="122">
        <v>1013</v>
      </c>
      <c r="AP892">
        <v>621</v>
      </c>
      <c r="AQ892">
        <v>230</v>
      </c>
      <c r="AR892" s="122">
        <v>4395</v>
      </c>
      <c r="AS892" s="122">
        <v>3662</v>
      </c>
      <c r="AT892" s="122">
        <v>3401</v>
      </c>
      <c r="AU892" s="122">
        <v>1260</v>
      </c>
      <c r="AV892" s="122">
        <v>29116</v>
      </c>
    </row>
    <row r="893" spans="2:48" hidden="1">
      <c r="B893" t="s">
        <v>368</v>
      </c>
      <c r="C893" t="s">
        <v>52</v>
      </c>
      <c r="D893" t="s">
        <v>405</v>
      </c>
      <c r="E893" t="s">
        <v>405</v>
      </c>
      <c r="F893">
        <v>38</v>
      </c>
      <c r="G893" s="122">
        <v>10261</v>
      </c>
      <c r="H893" s="122">
        <v>4448</v>
      </c>
      <c r="I893" s="122">
        <v>714768</v>
      </c>
      <c r="J893" s="122">
        <v>649789</v>
      </c>
      <c r="K893">
        <v>91</v>
      </c>
      <c r="L893" s="122">
        <v>123685</v>
      </c>
      <c r="M893" s="122">
        <v>109800</v>
      </c>
      <c r="N893" s="122">
        <v>181877</v>
      </c>
      <c r="O893" s="122">
        <v>67362</v>
      </c>
      <c r="P893" s="122">
        <v>42002</v>
      </c>
      <c r="Q893" s="122">
        <v>15556</v>
      </c>
      <c r="R893" s="122">
        <v>198471</v>
      </c>
      <c r="S893" s="122">
        <v>180428</v>
      </c>
      <c r="T893" s="122">
        <v>0</v>
      </c>
      <c r="U893" s="122">
        <v>0</v>
      </c>
      <c r="V893" s="122">
        <v>1022936</v>
      </c>
      <c r="W893" s="122">
        <f t="shared" si="26"/>
        <v>1022935</v>
      </c>
      <c r="X893" s="122">
        <f t="shared" si="27"/>
        <v>1260803</v>
      </c>
      <c r="Y893" s="122"/>
      <c r="AA893" t="s">
        <v>56</v>
      </c>
      <c r="AB893" t="s">
        <v>406</v>
      </c>
      <c r="AC893" t="s">
        <v>579</v>
      </c>
      <c r="AD893" t="s">
        <v>426</v>
      </c>
      <c r="AE893" t="s">
        <v>137</v>
      </c>
      <c r="AF893">
        <v>1</v>
      </c>
      <c r="AG893">
        <v>220</v>
      </c>
      <c r="AH893">
        <v>179</v>
      </c>
      <c r="AI893" s="122">
        <v>21732</v>
      </c>
      <c r="AJ893" s="122">
        <v>19756</v>
      </c>
      <c r="AK893">
        <v>79</v>
      </c>
      <c r="AL893" s="122">
        <v>3202</v>
      </c>
      <c r="AM893" s="122">
        <v>2668</v>
      </c>
      <c r="AN893" s="122">
        <v>2680</v>
      </c>
      <c r="AO893" s="122">
        <v>993</v>
      </c>
      <c r="AP893">
        <v>621</v>
      </c>
      <c r="AQ893">
        <v>230</v>
      </c>
      <c r="AR893" s="122">
        <v>6832</v>
      </c>
      <c r="AS893" s="122">
        <v>6211</v>
      </c>
      <c r="AT893" s="122">
        <v>4412</v>
      </c>
      <c r="AU893" s="122">
        <v>1634</v>
      </c>
      <c r="AV893" s="122">
        <v>31492</v>
      </c>
    </row>
    <row r="894" spans="2:48" hidden="1">
      <c r="B894" t="s">
        <v>368</v>
      </c>
      <c r="C894" t="s">
        <v>52</v>
      </c>
      <c r="D894" t="s">
        <v>405</v>
      </c>
      <c r="E894" t="s">
        <v>137</v>
      </c>
      <c r="F894">
        <v>2</v>
      </c>
      <c r="G894" s="122">
        <v>303</v>
      </c>
      <c r="H894" s="122">
        <v>225</v>
      </c>
      <c r="I894" s="122">
        <v>12529</v>
      </c>
      <c r="J894" s="122">
        <v>11390</v>
      </c>
      <c r="K894">
        <v>93</v>
      </c>
      <c r="L894" s="122">
        <v>1984</v>
      </c>
      <c r="M894" s="122">
        <v>1804</v>
      </c>
      <c r="N894" s="122">
        <v>5229</v>
      </c>
      <c r="O894" s="122">
        <v>1937</v>
      </c>
      <c r="P894" s="122">
        <v>1647</v>
      </c>
      <c r="Q894" s="122">
        <v>610</v>
      </c>
      <c r="R894" s="122">
        <v>12666</v>
      </c>
      <c r="S894" s="122">
        <v>4691</v>
      </c>
      <c r="T894" s="122">
        <v>0</v>
      </c>
      <c r="U894" s="122">
        <v>0</v>
      </c>
      <c r="V894" s="122">
        <v>20431</v>
      </c>
      <c r="W894" s="122">
        <f t="shared" si="26"/>
        <v>20432</v>
      </c>
      <c r="X894" s="122">
        <f t="shared" si="27"/>
        <v>34055</v>
      </c>
      <c r="Y894" s="122"/>
      <c r="AA894" t="s">
        <v>56</v>
      </c>
      <c r="AB894" t="s">
        <v>406</v>
      </c>
      <c r="AC894" t="s">
        <v>579</v>
      </c>
      <c r="AD894" t="s">
        <v>426</v>
      </c>
      <c r="AE894" t="s">
        <v>566</v>
      </c>
      <c r="AF894">
        <v>1</v>
      </c>
      <c r="AG894">
        <v>190</v>
      </c>
      <c r="AH894">
        <v>157</v>
      </c>
      <c r="AI894" s="122">
        <v>19160</v>
      </c>
      <c r="AJ894" s="122">
        <v>17418</v>
      </c>
      <c r="AK894">
        <v>97</v>
      </c>
      <c r="AL894" s="122">
        <v>3501</v>
      </c>
      <c r="AM894" s="122">
        <v>2918</v>
      </c>
      <c r="AN894" s="122">
        <v>2733</v>
      </c>
      <c r="AO894" s="122">
        <v>1012</v>
      </c>
      <c r="AP894">
        <v>972</v>
      </c>
      <c r="AQ894">
        <v>360</v>
      </c>
      <c r="AR894" s="122">
        <v>3492</v>
      </c>
      <c r="AS894" s="122">
        <v>3175</v>
      </c>
      <c r="AT894">
        <v>0</v>
      </c>
      <c r="AU894">
        <v>0</v>
      </c>
      <c r="AV894" s="122">
        <v>24883</v>
      </c>
    </row>
    <row r="895" spans="2:48" hidden="1">
      <c r="B895" t="s">
        <v>368</v>
      </c>
      <c r="C895" t="s">
        <v>52</v>
      </c>
      <c r="D895" t="s">
        <v>137</v>
      </c>
      <c r="E895" t="s">
        <v>137</v>
      </c>
      <c r="F895">
        <v>71</v>
      </c>
      <c r="G895" s="122">
        <v>18962</v>
      </c>
      <c r="H895" s="122">
        <v>8055</v>
      </c>
      <c r="I895" s="122">
        <v>996108</v>
      </c>
      <c r="J895" s="122">
        <v>368929</v>
      </c>
      <c r="K895">
        <v>321</v>
      </c>
      <c r="L895" s="122">
        <v>271986</v>
      </c>
      <c r="M895" s="122">
        <v>243704</v>
      </c>
      <c r="N895" s="122">
        <v>380843</v>
      </c>
      <c r="O895" s="122">
        <v>141053</v>
      </c>
      <c r="P895" s="122">
        <v>78774</v>
      </c>
      <c r="Q895" s="122">
        <v>29176</v>
      </c>
      <c r="R895" s="122">
        <v>512893</v>
      </c>
      <c r="S895" s="122">
        <v>189960</v>
      </c>
      <c r="T895" s="122">
        <v>9842</v>
      </c>
      <c r="U895" s="122">
        <v>3645</v>
      </c>
      <c r="V895" s="122">
        <v>976467</v>
      </c>
      <c r="W895" s="122">
        <f t="shared" si="26"/>
        <v>976467</v>
      </c>
      <c r="X895" s="122">
        <f t="shared" si="27"/>
        <v>2250446</v>
      </c>
      <c r="Y895" s="122"/>
      <c r="AA895" t="s">
        <v>56</v>
      </c>
      <c r="AB895" t="s">
        <v>406</v>
      </c>
      <c r="AC895" t="s">
        <v>428</v>
      </c>
      <c r="AD895" t="s">
        <v>578</v>
      </c>
      <c r="AE895" t="s">
        <v>566</v>
      </c>
      <c r="AF895">
        <v>1</v>
      </c>
      <c r="AG895" s="122">
        <v>225</v>
      </c>
      <c r="AH895" s="122">
        <v>155</v>
      </c>
      <c r="AI895" s="122">
        <v>17870</v>
      </c>
      <c r="AJ895" s="122">
        <v>16246</v>
      </c>
      <c r="AK895">
        <v>86</v>
      </c>
      <c r="AL895" s="122">
        <v>5672</v>
      </c>
      <c r="AM895" s="122">
        <v>5157</v>
      </c>
      <c r="AN895" s="122">
        <v>4916</v>
      </c>
      <c r="AO895" s="122">
        <v>1821</v>
      </c>
      <c r="AP895" s="122">
        <v>351</v>
      </c>
      <c r="AQ895" s="122">
        <v>130</v>
      </c>
      <c r="AR895" s="122">
        <v>6177</v>
      </c>
      <c r="AS895" s="122">
        <v>5616</v>
      </c>
      <c r="AT895" s="122">
        <v>0</v>
      </c>
      <c r="AU895" s="122">
        <v>0</v>
      </c>
      <c r="AV895" s="122">
        <v>28969</v>
      </c>
    </row>
    <row r="896" spans="2:48" hidden="1">
      <c r="B896" t="s">
        <v>368</v>
      </c>
      <c r="C896" t="s">
        <v>52</v>
      </c>
      <c r="D896" t="s">
        <v>137</v>
      </c>
      <c r="E896" t="s">
        <v>406</v>
      </c>
      <c r="F896">
        <v>2</v>
      </c>
      <c r="G896">
        <v>882</v>
      </c>
      <c r="H896">
        <v>219</v>
      </c>
      <c r="I896" s="122">
        <v>56480</v>
      </c>
      <c r="J896" s="122">
        <v>20919</v>
      </c>
      <c r="K896">
        <v>263</v>
      </c>
      <c r="L896" s="122">
        <v>9019</v>
      </c>
      <c r="M896" s="122">
        <v>8199</v>
      </c>
      <c r="N896" s="122">
        <v>17816</v>
      </c>
      <c r="O896" s="122">
        <v>6598</v>
      </c>
      <c r="P896" s="122">
        <v>1593</v>
      </c>
      <c r="Q896">
        <v>590</v>
      </c>
      <c r="R896" s="122">
        <v>12350</v>
      </c>
      <c r="S896" s="122">
        <v>11227</v>
      </c>
      <c r="T896" s="122">
        <v>0</v>
      </c>
      <c r="U896" s="122">
        <v>0</v>
      </c>
      <c r="V896" s="122">
        <v>47534</v>
      </c>
      <c r="W896" s="122">
        <f t="shared" si="26"/>
        <v>47533</v>
      </c>
      <c r="X896" s="122">
        <f t="shared" si="27"/>
        <v>97258</v>
      </c>
      <c r="Y896" s="122"/>
      <c r="AA896" t="s">
        <v>56</v>
      </c>
      <c r="AB896" t="s">
        <v>406</v>
      </c>
      <c r="AC896" t="s">
        <v>428</v>
      </c>
      <c r="AD896" t="s">
        <v>406</v>
      </c>
      <c r="AE896" t="s">
        <v>137</v>
      </c>
      <c r="AF896">
        <v>270</v>
      </c>
      <c r="AG896" s="122">
        <v>42472</v>
      </c>
      <c r="AH896" s="122">
        <v>52122</v>
      </c>
      <c r="AI896" s="122">
        <v>4643724</v>
      </c>
      <c r="AJ896" s="122">
        <v>4221568</v>
      </c>
      <c r="AK896">
        <v>85</v>
      </c>
      <c r="AL896" s="122">
        <v>1061961</v>
      </c>
      <c r="AM896" s="122">
        <v>965419</v>
      </c>
      <c r="AN896" s="122">
        <v>892528</v>
      </c>
      <c r="AO896" s="122">
        <v>330566</v>
      </c>
      <c r="AP896" s="122">
        <v>168723</v>
      </c>
      <c r="AQ896" s="122">
        <v>62490</v>
      </c>
      <c r="AR896" s="122">
        <v>1251204</v>
      </c>
      <c r="AS896" s="122">
        <v>1137458</v>
      </c>
      <c r="AT896" s="122">
        <v>600574</v>
      </c>
      <c r="AU896" s="122">
        <v>222435</v>
      </c>
      <c r="AV896" s="122">
        <v>6939935</v>
      </c>
    </row>
    <row r="897" spans="2:48" hidden="1">
      <c r="B897" t="s">
        <v>368</v>
      </c>
      <c r="C897" t="s">
        <v>52</v>
      </c>
      <c r="D897" t="s">
        <v>137</v>
      </c>
      <c r="E897" t="s">
        <v>426</v>
      </c>
      <c r="F897">
        <v>2</v>
      </c>
      <c r="G897" s="122">
        <v>464</v>
      </c>
      <c r="H897" s="122">
        <v>234</v>
      </c>
      <c r="I897" s="122">
        <v>21038</v>
      </c>
      <c r="J897" s="122">
        <v>7792</v>
      </c>
      <c r="K897">
        <v>275</v>
      </c>
      <c r="L897" s="122">
        <v>6053</v>
      </c>
      <c r="M897" s="122">
        <v>5503</v>
      </c>
      <c r="N897" s="122">
        <v>9087</v>
      </c>
      <c r="O897" s="122">
        <v>3365</v>
      </c>
      <c r="P897" s="122">
        <v>2033</v>
      </c>
      <c r="Q897" s="122">
        <v>753</v>
      </c>
      <c r="R897" s="122">
        <v>14844</v>
      </c>
      <c r="S897" s="122">
        <v>13494</v>
      </c>
      <c r="T897" s="122">
        <v>1341</v>
      </c>
      <c r="U897" s="122">
        <v>497</v>
      </c>
      <c r="V897" s="122">
        <v>31404</v>
      </c>
      <c r="W897" s="122">
        <f t="shared" si="26"/>
        <v>31404</v>
      </c>
      <c r="X897" s="122">
        <f t="shared" si="27"/>
        <v>54396</v>
      </c>
      <c r="Y897" s="122"/>
      <c r="AA897" t="s">
        <v>56</v>
      </c>
      <c r="AB897" t="s">
        <v>406</v>
      </c>
      <c r="AC897" t="s">
        <v>428</v>
      </c>
      <c r="AD897" t="s">
        <v>406</v>
      </c>
      <c r="AE897" t="s">
        <v>566</v>
      </c>
      <c r="AF897">
        <v>297</v>
      </c>
      <c r="AG897" s="122">
        <v>50826</v>
      </c>
      <c r="AH897" s="122">
        <v>55586</v>
      </c>
      <c r="AI897" s="122">
        <v>5408249</v>
      </c>
      <c r="AJ897" s="122">
        <v>4916590</v>
      </c>
      <c r="AK897">
        <v>84</v>
      </c>
      <c r="AL897" s="122">
        <v>1330935</v>
      </c>
      <c r="AM897" s="122">
        <v>1209941</v>
      </c>
      <c r="AN897" s="122">
        <v>975292</v>
      </c>
      <c r="AO897" s="122">
        <v>361219</v>
      </c>
      <c r="AP897" s="122">
        <v>192132</v>
      </c>
      <c r="AQ897" s="122">
        <v>71160</v>
      </c>
      <c r="AR897" s="122">
        <v>1779238</v>
      </c>
      <c r="AS897" s="122">
        <v>1617489</v>
      </c>
      <c r="AT897" s="122">
        <v>0</v>
      </c>
      <c r="AU897" s="122">
        <v>0</v>
      </c>
      <c r="AV897" s="122">
        <v>8176399</v>
      </c>
    </row>
    <row r="898" spans="2:48" hidden="1">
      <c r="B898" t="s">
        <v>368</v>
      </c>
      <c r="C898" t="s">
        <v>52</v>
      </c>
      <c r="D898" t="s">
        <v>406</v>
      </c>
      <c r="E898" t="s">
        <v>425</v>
      </c>
      <c r="F898">
        <v>1</v>
      </c>
      <c r="G898" s="122">
        <v>262</v>
      </c>
      <c r="H898" s="122">
        <v>119</v>
      </c>
      <c r="I898" s="122">
        <v>16476</v>
      </c>
      <c r="J898" s="122">
        <v>14979</v>
      </c>
      <c r="K898">
        <v>93</v>
      </c>
      <c r="L898" s="122">
        <v>2255</v>
      </c>
      <c r="M898" s="122">
        <v>2050</v>
      </c>
      <c r="N898" s="122">
        <v>6379</v>
      </c>
      <c r="O898" s="122">
        <v>2363</v>
      </c>
      <c r="P898" s="122">
        <v>621</v>
      </c>
      <c r="Q898" s="122">
        <v>230</v>
      </c>
      <c r="R898" s="122">
        <v>5423</v>
      </c>
      <c r="S898" s="122">
        <v>4930</v>
      </c>
      <c r="T898" s="122">
        <v>0</v>
      </c>
      <c r="U898" s="122">
        <v>0</v>
      </c>
      <c r="V898" s="122">
        <v>24552</v>
      </c>
      <c r="W898" s="122">
        <f t="shared" si="26"/>
        <v>24552</v>
      </c>
      <c r="X898" s="122">
        <f t="shared" si="27"/>
        <v>31154</v>
      </c>
      <c r="Y898" s="122"/>
      <c r="AA898" t="s">
        <v>56</v>
      </c>
      <c r="AB898" t="s">
        <v>406</v>
      </c>
      <c r="AC898" t="s">
        <v>428</v>
      </c>
      <c r="AD898" t="s">
        <v>427</v>
      </c>
      <c r="AE898" t="s">
        <v>137</v>
      </c>
      <c r="AF898">
        <v>1</v>
      </c>
      <c r="AG898">
        <v>264</v>
      </c>
      <c r="AH898">
        <v>155</v>
      </c>
      <c r="AI898" s="122">
        <v>24887</v>
      </c>
      <c r="AJ898" s="122">
        <v>22625</v>
      </c>
      <c r="AK898">
        <v>83</v>
      </c>
      <c r="AL898" s="122">
        <v>3361</v>
      </c>
      <c r="AM898" s="122">
        <v>3055</v>
      </c>
      <c r="AN898" s="122">
        <v>3213</v>
      </c>
      <c r="AO898" s="122">
        <v>1190</v>
      </c>
      <c r="AP898">
        <v>351</v>
      </c>
      <c r="AQ898">
        <v>130</v>
      </c>
      <c r="AR898" s="122">
        <v>4932</v>
      </c>
      <c r="AS898" s="122">
        <v>4484</v>
      </c>
      <c r="AT898" s="122">
        <v>4169</v>
      </c>
      <c r="AU898" s="122">
        <v>1544</v>
      </c>
      <c r="AV898" s="122">
        <v>33028</v>
      </c>
    </row>
    <row r="899" spans="2:48" hidden="1">
      <c r="B899" t="s">
        <v>368</v>
      </c>
      <c r="C899" t="s">
        <v>52</v>
      </c>
      <c r="D899" t="s">
        <v>406</v>
      </c>
      <c r="E899" t="s">
        <v>405</v>
      </c>
      <c r="F899">
        <v>1</v>
      </c>
      <c r="G899">
        <v>250</v>
      </c>
      <c r="H899" s="122">
        <v>120</v>
      </c>
      <c r="I899" s="122">
        <v>18532</v>
      </c>
      <c r="J899" s="122">
        <v>16848</v>
      </c>
      <c r="K899">
        <v>90</v>
      </c>
      <c r="L899" s="122">
        <v>2080</v>
      </c>
      <c r="M899" s="122">
        <v>1891</v>
      </c>
      <c r="N899" s="122">
        <v>3050</v>
      </c>
      <c r="O899" s="122">
        <v>1130</v>
      </c>
      <c r="P899">
        <v>621</v>
      </c>
      <c r="Q899">
        <v>230</v>
      </c>
      <c r="R899" s="122">
        <v>5740</v>
      </c>
      <c r="S899" s="122">
        <v>5219</v>
      </c>
      <c r="T899">
        <v>0</v>
      </c>
      <c r="U899">
        <v>0</v>
      </c>
      <c r="V899" s="122">
        <v>25317</v>
      </c>
      <c r="W899" s="122">
        <f t="shared" si="26"/>
        <v>25318</v>
      </c>
      <c r="X899" s="122">
        <f t="shared" si="27"/>
        <v>30023</v>
      </c>
      <c r="Y899" s="122"/>
      <c r="AA899" t="s">
        <v>56</v>
      </c>
      <c r="AB899" t="s">
        <v>406</v>
      </c>
      <c r="AC899" t="s">
        <v>431</v>
      </c>
      <c r="AD899" t="s">
        <v>425</v>
      </c>
      <c r="AE899" t="s">
        <v>137</v>
      </c>
      <c r="AF899">
        <v>1</v>
      </c>
      <c r="AG899">
        <v>259</v>
      </c>
      <c r="AH899">
        <v>168</v>
      </c>
      <c r="AI899" s="122">
        <v>25477</v>
      </c>
      <c r="AJ899" s="122">
        <v>23161</v>
      </c>
      <c r="AK899">
        <v>79</v>
      </c>
      <c r="AL899" s="122">
        <v>3266</v>
      </c>
      <c r="AM899" s="122">
        <v>2969</v>
      </c>
      <c r="AN899" s="122">
        <v>6070</v>
      </c>
      <c r="AO899" s="122">
        <v>2248</v>
      </c>
      <c r="AP899">
        <v>972</v>
      </c>
      <c r="AQ899">
        <v>360</v>
      </c>
      <c r="AR899" s="122">
        <v>7719</v>
      </c>
      <c r="AS899" s="122">
        <v>7018</v>
      </c>
      <c r="AT899">
        <v>0</v>
      </c>
      <c r="AU899">
        <v>0</v>
      </c>
      <c r="AV899" s="122">
        <v>35756</v>
      </c>
    </row>
    <row r="900" spans="2:48" hidden="1">
      <c r="B900" t="s">
        <v>368</v>
      </c>
      <c r="C900" t="s">
        <v>52</v>
      </c>
      <c r="D900" t="s">
        <v>406</v>
      </c>
      <c r="E900" t="s">
        <v>137</v>
      </c>
      <c r="F900">
        <v>3</v>
      </c>
      <c r="G900" s="122">
        <v>639</v>
      </c>
      <c r="H900" s="122">
        <v>343</v>
      </c>
      <c r="I900" s="122">
        <v>36364</v>
      </c>
      <c r="J900" s="122">
        <v>33058</v>
      </c>
      <c r="K900">
        <v>89</v>
      </c>
      <c r="L900" s="122">
        <v>6570</v>
      </c>
      <c r="M900" s="122">
        <v>4013</v>
      </c>
      <c r="N900" s="122">
        <v>10671</v>
      </c>
      <c r="O900" s="122">
        <v>3952</v>
      </c>
      <c r="P900" s="122">
        <v>2214</v>
      </c>
      <c r="Q900" s="122">
        <v>820</v>
      </c>
      <c r="R900" s="122">
        <v>17012</v>
      </c>
      <c r="S900" s="122">
        <v>6301</v>
      </c>
      <c r="T900" s="122">
        <v>0</v>
      </c>
      <c r="U900" s="122">
        <v>0</v>
      </c>
      <c r="V900" s="122">
        <v>48144</v>
      </c>
      <c r="W900" s="122">
        <f t="shared" si="26"/>
        <v>48144</v>
      </c>
      <c r="X900" s="122">
        <f t="shared" si="27"/>
        <v>72831</v>
      </c>
      <c r="Y900" s="122"/>
      <c r="AA900" t="s">
        <v>56</v>
      </c>
      <c r="AB900" t="s">
        <v>406</v>
      </c>
      <c r="AC900" t="s">
        <v>431</v>
      </c>
      <c r="AD900" t="s">
        <v>137</v>
      </c>
      <c r="AE900" t="s">
        <v>566</v>
      </c>
      <c r="AF900">
        <v>2</v>
      </c>
      <c r="AG900" s="122">
        <v>348</v>
      </c>
      <c r="AH900" s="122">
        <v>362</v>
      </c>
      <c r="AI900" s="122">
        <v>40032</v>
      </c>
      <c r="AJ900" s="122">
        <v>36393</v>
      </c>
      <c r="AK900">
        <v>86</v>
      </c>
      <c r="AL900" s="122">
        <v>12283</v>
      </c>
      <c r="AM900" s="122">
        <v>11166</v>
      </c>
      <c r="AN900" s="122">
        <v>10000</v>
      </c>
      <c r="AO900" s="122">
        <v>3704</v>
      </c>
      <c r="AP900" s="122">
        <v>972</v>
      </c>
      <c r="AQ900" s="122">
        <v>360</v>
      </c>
      <c r="AR900" s="122">
        <v>18293</v>
      </c>
      <c r="AS900" s="122">
        <v>6775</v>
      </c>
      <c r="AT900" s="122">
        <v>0</v>
      </c>
      <c r="AU900" s="122">
        <v>0</v>
      </c>
      <c r="AV900" s="122">
        <v>58398</v>
      </c>
    </row>
    <row r="901" spans="2:48" hidden="1">
      <c r="B901" t="s">
        <v>368</v>
      </c>
      <c r="C901" t="s">
        <v>52</v>
      </c>
      <c r="D901" t="s">
        <v>406</v>
      </c>
      <c r="E901" t="s">
        <v>406</v>
      </c>
      <c r="F901" s="122">
        <v>404</v>
      </c>
      <c r="G901" s="122">
        <v>93241</v>
      </c>
      <c r="H901" s="122">
        <v>47240</v>
      </c>
      <c r="I901" s="122">
        <v>6243657</v>
      </c>
      <c r="J901" s="122">
        <v>5676052</v>
      </c>
      <c r="K901">
        <v>93</v>
      </c>
      <c r="L901" s="122">
        <v>1134282</v>
      </c>
      <c r="M901" s="122">
        <v>1030761</v>
      </c>
      <c r="N901" s="122">
        <v>1689627</v>
      </c>
      <c r="O901" s="122">
        <v>625788</v>
      </c>
      <c r="P901" s="122">
        <v>367708</v>
      </c>
      <c r="Q901" s="122">
        <v>136188</v>
      </c>
      <c r="R901" s="122">
        <v>2068560</v>
      </c>
      <c r="S901" s="122">
        <v>1880509</v>
      </c>
      <c r="T901" s="122">
        <v>67308</v>
      </c>
      <c r="U901" s="122">
        <v>24929</v>
      </c>
      <c r="V901" s="122">
        <v>9374226</v>
      </c>
      <c r="W901" s="122">
        <f t="shared" si="26"/>
        <v>9374227</v>
      </c>
      <c r="X901" s="122">
        <f t="shared" si="27"/>
        <v>11571142</v>
      </c>
      <c r="Y901" s="122"/>
      <c r="AA901" t="s">
        <v>56</v>
      </c>
      <c r="AB901" t="s">
        <v>406</v>
      </c>
      <c r="AC901" t="s">
        <v>431</v>
      </c>
      <c r="AD901" t="s">
        <v>406</v>
      </c>
      <c r="AE901" t="s">
        <v>137</v>
      </c>
      <c r="AF901">
        <v>413</v>
      </c>
      <c r="AG901" s="122">
        <v>65123</v>
      </c>
      <c r="AH901" s="122">
        <v>80995</v>
      </c>
      <c r="AI901" s="122">
        <v>7563700</v>
      </c>
      <c r="AJ901" s="122">
        <v>6876091</v>
      </c>
      <c r="AK901">
        <v>84</v>
      </c>
      <c r="AL901" s="122">
        <v>1480194</v>
      </c>
      <c r="AM901" s="122">
        <v>1345631</v>
      </c>
      <c r="AN901" s="122">
        <v>1395296</v>
      </c>
      <c r="AO901" s="122">
        <v>516776</v>
      </c>
      <c r="AP901" s="122">
        <v>271293</v>
      </c>
      <c r="AQ901" s="122">
        <v>100479</v>
      </c>
      <c r="AR901" s="122">
        <v>2076457</v>
      </c>
      <c r="AS901" s="122">
        <v>1887688</v>
      </c>
      <c r="AT901" s="122">
        <v>829037</v>
      </c>
      <c r="AU901" s="122">
        <v>307051</v>
      </c>
      <c r="AV901" s="122">
        <v>11033715</v>
      </c>
    </row>
    <row r="902" spans="2:48" hidden="1">
      <c r="B902" t="s">
        <v>368</v>
      </c>
      <c r="C902" t="s">
        <v>52</v>
      </c>
      <c r="D902" t="s">
        <v>406</v>
      </c>
      <c r="E902" t="s">
        <v>427</v>
      </c>
      <c r="F902">
        <v>1</v>
      </c>
      <c r="G902" s="122">
        <v>265</v>
      </c>
      <c r="H902" s="122">
        <v>116</v>
      </c>
      <c r="I902" s="122">
        <v>14312</v>
      </c>
      <c r="J902" s="122">
        <v>13010</v>
      </c>
      <c r="K902">
        <v>93</v>
      </c>
      <c r="L902" s="122">
        <v>4680</v>
      </c>
      <c r="M902" s="122">
        <v>4255</v>
      </c>
      <c r="N902" s="122">
        <v>4197</v>
      </c>
      <c r="O902" s="122">
        <v>1555</v>
      </c>
      <c r="P902" s="122">
        <v>972</v>
      </c>
      <c r="Q902" s="122">
        <v>360</v>
      </c>
      <c r="R902" s="122">
        <v>6598</v>
      </c>
      <c r="S902" s="122">
        <v>5998</v>
      </c>
      <c r="T902" s="122">
        <v>0</v>
      </c>
      <c r="U902" s="122">
        <v>0</v>
      </c>
      <c r="V902" s="122">
        <v>25178</v>
      </c>
      <c r="W902" s="122">
        <f t="shared" si="26"/>
        <v>25178</v>
      </c>
      <c r="X902" s="122">
        <f t="shared" si="27"/>
        <v>30759</v>
      </c>
      <c r="Y902" s="122"/>
      <c r="AA902" t="s">
        <v>56</v>
      </c>
      <c r="AB902" t="s">
        <v>406</v>
      </c>
      <c r="AC902" t="s">
        <v>431</v>
      </c>
      <c r="AD902" t="s">
        <v>406</v>
      </c>
      <c r="AE902" t="s">
        <v>566</v>
      </c>
      <c r="AF902">
        <v>409</v>
      </c>
      <c r="AG902" s="122">
        <v>62397</v>
      </c>
      <c r="AH902" s="122">
        <v>79550</v>
      </c>
      <c r="AI902" s="122">
        <v>7327675</v>
      </c>
      <c r="AJ902" s="122">
        <v>6661523</v>
      </c>
      <c r="AK902">
        <v>85</v>
      </c>
      <c r="AL902" s="122">
        <v>1508154</v>
      </c>
      <c r="AM902" s="122">
        <v>1371049</v>
      </c>
      <c r="AN902" s="122">
        <v>1328967</v>
      </c>
      <c r="AO902" s="122">
        <v>492210</v>
      </c>
      <c r="AP902" s="122">
        <v>276006</v>
      </c>
      <c r="AQ902" s="122">
        <v>102224</v>
      </c>
      <c r="AR902" s="122">
        <v>2385999</v>
      </c>
      <c r="AS902" s="122">
        <v>2169090</v>
      </c>
      <c r="AT902" s="122">
        <v>0</v>
      </c>
      <c r="AU902" s="122">
        <v>0</v>
      </c>
      <c r="AV902" s="122">
        <v>10796097</v>
      </c>
    </row>
    <row r="903" spans="2:48" hidden="1">
      <c r="B903" t="s">
        <v>368</v>
      </c>
      <c r="C903" t="s">
        <v>52</v>
      </c>
      <c r="D903" t="s">
        <v>407</v>
      </c>
      <c r="E903" t="s">
        <v>407</v>
      </c>
      <c r="F903">
        <v>27</v>
      </c>
      <c r="G903" s="122">
        <v>6545</v>
      </c>
      <c r="H903" s="122">
        <v>3199</v>
      </c>
      <c r="I903" s="122">
        <v>420229</v>
      </c>
      <c r="J903" s="122">
        <v>382026</v>
      </c>
      <c r="K903">
        <v>91</v>
      </c>
      <c r="L903" s="122">
        <v>70804</v>
      </c>
      <c r="M903" s="122">
        <v>63327</v>
      </c>
      <c r="N903" s="122">
        <v>124573</v>
      </c>
      <c r="O903" s="122">
        <v>46138</v>
      </c>
      <c r="P903" s="122">
        <v>31019</v>
      </c>
      <c r="Q903" s="122">
        <v>11488</v>
      </c>
      <c r="R903" s="122">
        <v>148632</v>
      </c>
      <c r="S903" s="122">
        <v>135120</v>
      </c>
      <c r="T903" s="122">
        <v>0</v>
      </c>
      <c r="U903" s="122">
        <v>0</v>
      </c>
      <c r="V903" s="122">
        <v>638099</v>
      </c>
      <c r="W903" s="122">
        <f t="shared" ref="W903:W966" si="28">SUM(ABS(J903),ABS(M903),ABS(O903),ABS(Q903),ABS(S903),ABS(U903))</f>
        <v>638099</v>
      </c>
      <c r="X903" s="122">
        <f t="shared" ref="X903:X966" si="29">SUM(ABS(I903),ABS(N903),ABS(P903),ABS(R903),ABS(T903),ABS(L903))</f>
        <v>795257</v>
      </c>
      <c r="Y903" s="122"/>
      <c r="AA903" t="s">
        <v>56</v>
      </c>
      <c r="AB903" t="s">
        <v>406</v>
      </c>
      <c r="AC903" t="s">
        <v>431</v>
      </c>
      <c r="AD903" t="s">
        <v>427</v>
      </c>
      <c r="AE903" t="s">
        <v>137</v>
      </c>
      <c r="AF903">
        <v>1</v>
      </c>
      <c r="AG903">
        <v>118</v>
      </c>
      <c r="AH903">
        <v>209</v>
      </c>
      <c r="AI903" s="122">
        <v>19755</v>
      </c>
      <c r="AJ903" s="122">
        <v>17959</v>
      </c>
      <c r="AK903">
        <v>73</v>
      </c>
      <c r="AL903" s="122">
        <v>2465</v>
      </c>
      <c r="AM903" s="122">
        <v>2241</v>
      </c>
      <c r="AN903" s="122">
        <v>3873</v>
      </c>
      <c r="AO903" s="122">
        <v>1435</v>
      </c>
      <c r="AP903">
        <v>621</v>
      </c>
      <c r="AQ903">
        <v>230</v>
      </c>
      <c r="AR903" s="122">
        <v>5298</v>
      </c>
      <c r="AS903" s="122">
        <v>4816</v>
      </c>
      <c r="AT903" s="122">
        <v>3588</v>
      </c>
      <c r="AU903" s="122">
        <v>1329</v>
      </c>
      <c r="AV903" s="122">
        <v>28010</v>
      </c>
    </row>
    <row r="904" spans="2:48" hidden="1">
      <c r="B904" t="s">
        <v>368</v>
      </c>
      <c r="C904" t="s">
        <v>52</v>
      </c>
      <c r="D904" t="s">
        <v>426</v>
      </c>
      <c r="E904" t="s">
        <v>426</v>
      </c>
      <c r="F904">
        <v>2</v>
      </c>
      <c r="G904" s="122">
        <v>596</v>
      </c>
      <c r="H904" s="122">
        <v>227</v>
      </c>
      <c r="I904" s="122">
        <v>36925</v>
      </c>
      <c r="J904" s="122">
        <v>33568</v>
      </c>
      <c r="K904">
        <v>72</v>
      </c>
      <c r="L904" s="122">
        <v>3575</v>
      </c>
      <c r="M904" s="122">
        <v>1324</v>
      </c>
      <c r="N904" s="122">
        <v>8123</v>
      </c>
      <c r="O904" s="122">
        <v>3008</v>
      </c>
      <c r="P904" s="122">
        <v>6274</v>
      </c>
      <c r="Q904" s="122">
        <v>2324</v>
      </c>
      <c r="R904" s="122">
        <v>12722</v>
      </c>
      <c r="S904" s="122">
        <v>11565</v>
      </c>
      <c r="T904" s="122">
        <v>0</v>
      </c>
      <c r="U904" s="122">
        <v>0</v>
      </c>
      <c r="V904" s="122">
        <v>51790</v>
      </c>
      <c r="W904" s="122">
        <f t="shared" si="28"/>
        <v>51789</v>
      </c>
      <c r="X904" s="122">
        <f t="shared" si="29"/>
        <v>67619</v>
      </c>
      <c r="Y904" s="122"/>
      <c r="AA904" t="s">
        <v>56</v>
      </c>
      <c r="AB904" t="s">
        <v>406</v>
      </c>
      <c r="AC904" t="s">
        <v>431</v>
      </c>
      <c r="AD904" t="s">
        <v>427</v>
      </c>
      <c r="AE904" t="s">
        <v>566</v>
      </c>
      <c r="AF904">
        <v>1</v>
      </c>
      <c r="AG904">
        <v>207</v>
      </c>
      <c r="AH904">
        <v>170</v>
      </c>
      <c r="AI904" s="122">
        <v>20246</v>
      </c>
      <c r="AJ904" s="122">
        <v>18406</v>
      </c>
      <c r="AK904">
        <v>87</v>
      </c>
      <c r="AL904" s="122">
        <v>6501</v>
      </c>
      <c r="AM904" s="122">
        <v>5910</v>
      </c>
      <c r="AN904" s="122">
        <v>2516</v>
      </c>
      <c r="AO904" s="122">
        <v>932</v>
      </c>
      <c r="AP904" s="122">
        <v>621</v>
      </c>
      <c r="AQ904">
        <v>230</v>
      </c>
      <c r="AR904" s="122">
        <v>5240</v>
      </c>
      <c r="AS904" s="122">
        <v>4764</v>
      </c>
      <c r="AT904">
        <v>0</v>
      </c>
      <c r="AU904">
        <v>0</v>
      </c>
      <c r="AV904" s="122">
        <v>30242</v>
      </c>
    </row>
    <row r="905" spans="2:48" hidden="1">
      <c r="B905" t="s">
        <v>368</v>
      </c>
      <c r="C905" t="s">
        <v>52</v>
      </c>
      <c r="D905" t="s">
        <v>433</v>
      </c>
      <c r="E905" t="s">
        <v>433</v>
      </c>
      <c r="F905">
        <v>1</v>
      </c>
      <c r="G905" s="122">
        <v>153</v>
      </c>
      <c r="H905" s="122">
        <v>124</v>
      </c>
      <c r="I905" s="122">
        <v>19579</v>
      </c>
      <c r="J905" s="122">
        <v>17799</v>
      </c>
      <c r="K905">
        <v>83</v>
      </c>
      <c r="L905" s="122">
        <v>3009</v>
      </c>
      <c r="M905" s="122">
        <v>2736</v>
      </c>
      <c r="N905" s="122">
        <v>3171</v>
      </c>
      <c r="O905" s="122">
        <v>1175</v>
      </c>
      <c r="P905" s="122">
        <v>351</v>
      </c>
      <c r="Q905" s="122">
        <v>130</v>
      </c>
      <c r="R905" s="122">
        <v>6113</v>
      </c>
      <c r="S905" s="122">
        <v>5558</v>
      </c>
      <c r="T905" s="122">
        <v>0</v>
      </c>
      <c r="U905" s="122">
        <v>0</v>
      </c>
      <c r="V905" s="122">
        <v>27397</v>
      </c>
      <c r="W905" s="122">
        <f t="shared" si="28"/>
        <v>27398</v>
      </c>
      <c r="X905" s="122">
        <f t="shared" si="29"/>
        <v>32223</v>
      </c>
      <c r="Y905" s="122"/>
      <c r="AA905" t="s">
        <v>56</v>
      </c>
      <c r="AB905" t="s">
        <v>406</v>
      </c>
      <c r="AC905" t="s">
        <v>431</v>
      </c>
      <c r="AD905" t="s">
        <v>431</v>
      </c>
      <c r="AE905" t="s">
        <v>137</v>
      </c>
      <c r="AF905">
        <v>2</v>
      </c>
      <c r="AG905">
        <v>393</v>
      </c>
      <c r="AH905">
        <v>378</v>
      </c>
      <c r="AI905" s="122">
        <v>49139</v>
      </c>
      <c r="AJ905" s="122">
        <v>44672</v>
      </c>
      <c r="AK905">
        <v>70</v>
      </c>
      <c r="AL905" s="122">
        <v>5586</v>
      </c>
      <c r="AM905" s="122">
        <v>5078</v>
      </c>
      <c r="AN905" s="122">
        <v>5618</v>
      </c>
      <c r="AO905" s="122">
        <v>2081</v>
      </c>
      <c r="AP905" s="122">
        <v>1242</v>
      </c>
      <c r="AQ905">
        <v>460</v>
      </c>
      <c r="AR905" s="122">
        <v>19265</v>
      </c>
      <c r="AS905" s="122">
        <v>17514</v>
      </c>
      <c r="AT905" s="122">
        <v>0</v>
      </c>
      <c r="AU905" s="122">
        <v>0</v>
      </c>
      <c r="AV905" s="122">
        <v>69804</v>
      </c>
    </row>
    <row r="906" spans="2:48" hidden="1">
      <c r="B906" t="s">
        <v>368</v>
      </c>
      <c r="C906" t="s">
        <v>52</v>
      </c>
      <c r="D906" t="s">
        <v>408</v>
      </c>
      <c r="E906" t="s">
        <v>408</v>
      </c>
      <c r="F906">
        <v>6</v>
      </c>
      <c r="G906" s="122">
        <v>1363</v>
      </c>
      <c r="H906" s="122">
        <v>705</v>
      </c>
      <c r="I906" s="122">
        <v>101193</v>
      </c>
      <c r="J906" s="122">
        <v>91994</v>
      </c>
      <c r="K906">
        <v>84</v>
      </c>
      <c r="L906" s="122">
        <v>16933</v>
      </c>
      <c r="M906" s="122">
        <v>13065</v>
      </c>
      <c r="N906" s="122">
        <v>24910</v>
      </c>
      <c r="O906" s="122">
        <v>9226</v>
      </c>
      <c r="P906" s="122">
        <v>9680</v>
      </c>
      <c r="Q906" s="122">
        <v>3585</v>
      </c>
      <c r="R906" s="122">
        <v>19431</v>
      </c>
      <c r="S906" s="122">
        <v>17665</v>
      </c>
      <c r="T906">
        <v>0</v>
      </c>
      <c r="U906">
        <v>0</v>
      </c>
      <c r="V906" s="122">
        <v>135534</v>
      </c>
      <c r="W906" s="122">
        <f t="shared" si="28"/>
        <v>135535</v>
      </c>
      <c r="X906" s="122">
        <f t="shared" si="29"/>
        <v>172147</v>
      </c>
      <c r="Y906" s="122"/>
      <c r="AA906" t="s">
        <v>56</v>
      </c>
      <c r="AB906" t="s">
        <v>406</v>
      </c>
      <c r="AC906" t="s">
        <v>426</v>
      </c>
      <c r="AD906" t="s">
        <v>578</v>
      </c>
      <c r="AE906" t="s">
        <v>137</v>
      </c>
      <c r="AF906">
        <v>1</v>
      </c>
      <c r="AG906">
        <v>123</v>
      </c>
      <c r="AH906">
        <v>181</v>
      </c>
      <c r="AI906" s="122">
        <v>18606</v>
      </c>
      <c r="AJ906" s="122">
        <v>16915</v>
      </c>
      <c r="AK906">
        <v>79</v>
      </c>
      <c r="AL906" s="122">
        <v>5168</v>
      </c>
      <c r="AM906" s="122">
        <v>4698</v>
      </c>
      <c r="AN906" s="122">
        <v>4022</v>
      </c>
      <c r="AO906" s="122">
        <v>1489</v>
      </c>
      <c r="AP906">
        <v>621</v>
      </c>
      <c r="AQ906">
        <v>230</v>
      </c>
      <c r="AR906" s="122">
        <v>5291</v>
      </c>
      <c r="AS906" s="122">
        <v>4810</v>
      </c>
      <c r="AT906" s="122">
        <v>3714</v>
      </c>
      <c r="AU906" s="122">
        <v>1376</v>
      </c>
      <c r="AV906" s="122">
        <v>29518</v>
      </c>
    </row>
    <row r="907" spans="2:48" hidden="1">
      <c r="B907" t="s">
        <v>368</v>
      </c>
      <c r="C907" t="s">
        <v>52</v>
      </c>
      <c r="D907" t="s">
        <v>429</v>
      </c>
      <c r="E907" t="s">
        <v>429</v>
      </c>
      <c r="F907">
        <v>1</v>
      </c>
      <c r="G907" s="122">
        <v>184</v>
      </c>
      <c r="H907" s="122">
        <v>112</v>
      </c>
      <c r="I907" s="122">
        <v>15319</v>
      </c>
      <c r="J907" s="122">
        <v>13926</v>
      </c>
      <c r="K907">
        <v>65</v>
      </c>
      <c r="L907" s="122">
        <v>0</v>
      </c>
      <c r="M907" s="122">
        <v>0</v>
      </c>
      <c r="N907" s="122">
        <v>2236</v>
      </c>
      <c r="O907" s="122">
        <v>828</v>
      </c>
      <c r="P907" s="122">
        <v>2002</v>
      </c>
      <c r="Q907" s="122">
        <v>741</v>
      </c>
      <c r="R907" s="122">
        <v>934</v>
      </c>
      <c r="S907" s="122">
        <v>849</v>
      </c>
      <c r="T907" s="122">
        <v>0</v>
      </c>
      <c r="U907" s="122">
        <v>0</v>
      </c>
      <c r="V907" s="122">
        <v>16345</v>
      </c>
      <c r="W907" s="122">
        <f t="shared" si="28"/>
        <v>16344</v>
      </c>
      <c r="X907" s="122">
        <f t="shared" si="29"/>
        <v>20491</v>
      </c>
      <c r="Y907" s="122"/>
      <c r="AA907" t="s">
        <v>56</v>
      </c>
      <c r="AB907" t="s">
        <v>406</v>
      </c>
      <c r="AC907" t="s">
        <v>426</v>
      </c>
      <c r="AD907" t="s">
        <v>578</v>
      </c>
      <c r="AE907" t="s">
        <v>566</v>
      </c>
      <c r="AF907">
        <v>1</v>
      </c>
      <c r="AG907" s="122">
        <v>139</v>
      </c>
      <c r="AH907" s="122">
        <v>206</v>
      </c>
      <c r="AI907" s="122">
        <v>17727</v>
      </c>
      <c r="AJ907" s="122">
        <v>16116</v>
      </c>
      <c r="AK907">
        <v>79</v>
      </c>
      <c r="AL907" s="122">
        <v>2462</v>
      </c>
      <c r="AM907" s="122">
        <v>2238</v>
      </c>
      <c r="AN907" s="122">
        <v>1691</v>
      </c>
      <c r="AO907" s="122">
        <v>626</v>
      </c>
      <c r="AP907" s="122">
        <v>972</v>
      </c>
      <c r="AQ907" s="122">
        <v>360</v>
      </c>
      <c r="AR907" s="122">
        <v>5729</v>
      </c>
      <c r="AS907" s="122">
        <v>5209</v>
      </c>
      <c r="AT907" s="122">
        <v>0</v>
      </c>
      <c r="AU907" s="122">
        <v>0</v>
      </c>
      <c r="AV907" s="122">
        <v>24549</v>
      </c>
    </row>
    <row r="908" spans="2:48" hidden="1">
      <c r="B908" t="s">
        <v>368</v>
      </c>
      <c r="C908" t="s">
        <v>54</v>
      </c>
      <c r="F908">
        <v>2</v>
      </c>
      <c r="G908">
        <v>129</v>
      </c>
      <c r="H908">
        <v>285</v>
      </c>
      <c r="I908" s="122"/>
      <c r="J908" s="122">
        <v>0</v>
      </c>
      <c r="L908" s="122"/>
      <c r="M908" s="122">
        <v>0</v>
      </c>
      <c r="N908" s="122">
        <v>1573</v>
      </c>
      <c r="O908" s="122">
        <v>583</v>
      </c>
      <c r="P908" s="122">
        <v>1404</v>
      </c>
      <c r="Q908">
        <v>520</v>
      </c>
      <c r="R908" s="122"/>
      <c r="S908" s="122">
        <v>0</v>
      </c>
      <c r="T908" s="122">
        <v>0</v>
      </c>
      <c r="U908" s="122">
        <v>0</v>
      </c>
      <c r="V908" s="122">
        <v>1103</v>
      </c>
      <c r="W908" s="122">
        <f t="shared" si="28"/>
        <v>1103</v>
      </c>
      <c r="X908" s="122">
        <f t="shared" si="29"/>
        <v>2977</v>
      </c>
      <c r="Y908" s="122"/>
      <c r="AA908" t="s">
        <v>56</v>
      </c>
      <c r="AB908" t="s">
        <v>406</v>
      </c>
      <c r="AC908" t="s">
        <v>426</v>
      </c>
      <c r="AD908" t="s">
        <v>425</v>
      </c>
      <c r="AE908" t="s">
        <v>137</v>
      </c>
      <c r="AF908">
        <v>8</v>
      </c>
      <c r="AG908" s="122">
        <v>1173</v>
      </c>
      <c r="AH908" s="122">
        <v>1520</v>
      </c>
      <c r="AI908" s="122">
        <v>130118</v>
      </c>
      <c r="AJ908" s="122">
        <v>118289</v>
      </c>
      <c r="AK908">
        <v>86</v>
      </c>
      <c r="AL908" s="122">
        <v>24538</v>
      </c>
      <c r="AM908" s="122">
        <v>22307</v>
      </c>
      <c r="AN908" s="122">
        <v>22399</v>
      </c>
      <c r="AO908" s="122">
        <v>8296</v>
      </c>
      <c r="AP908" s="122">
        <v>5319</v>
      </c>
      <c r="AQ908" s="122">
        <v>1970</v>
      </c>
      <c r="AR908" s="122">
        <v>37506</v>
      </c>
      <c r="AS908" s="122">
        <v>34096</v>
      </c>
      <c r="AT908" s="122">
        <v>19620</v>
      </c>
      <c r="AU908" s="122">
        <v>7267</v>
      </c>
      <c r="AV908" s="122">
        <v>192226</v>
      </c>
    </row>
    <row r="909" spans="2:48" hidden="1">
      <c r="B909" t="s">
        <v>368</v>
      </c>
      <c r="C909" t="s">
        <v>54</v>
      </c>
      <c r="D909" t="s">
        <v>425</v>
      </c>
      <c r="E909" t="s">
        <v>425</v>
      </c>
      <c r="F909" s="122">
        <v>6</v>
      </c>
      <c r="G909" s="122">
        <v>1582</v>
      </c>
      <c r="H909" s="122">
        <v>825</v>
      </c>
      <c r="I909" s="122">
        <v>153542</v>
      </c>
      <c r="J909" s="122">
        <v>139583</v>
      </c>
      <c r="K909">
        <v>89</v>
      </c>
      <c r="L909" s="122">
        <v>23385</v>
      </c>
      <c r="M909" s="122">
        <v>21259</v>
      </c>
      <c r="N909" s="122">
        <v>26468</v>
      </c>
      <c r="O909" s="122">
        <v>9803</v>
      </c>
      <c r="P909" s="122">
        <v>3416</v>
      </c>
      <c r="Q909" s="122">
        <v>1265</v>
      </c>
      <c r="R909" s="122">
        <v>33453</v>
      </c>
      <c r="S909" s="122">
        <v>30412</v>
      </c>
      <c r="T909" s="122">
        <v>0</v>
      </c>
      <c r="U909" s="122">
        <v>0</v>
      </c>
      <c r="V909" s="122">
        <v>202322</v>
      </c>
      <c r="W909" s="122">
        <f t="shared" si="28"/>
        <v>202322</v>
      </c>
      <c r="X909" s="122">
        <f t="shared" si="29"/>
        <v>240264</v>
      </c>
      <c r="Y909" s="122"/>
      <c r="AA909" t="s">
        <v>56</v>
      </c>
      <c r="AB909" t="s">
        <v>406</v>
      </c>
      <c r="AC909" t="s">
        <v>426</v>
      </c>
      <c r="AD909" t="s">
        <v>425</v>
      </c>
      <c r="AE909" t="s">
        <v>566</v>
      </c>
      <c r="AF909">
        <v>15</v>
      </c>
      <c r="AG909" s="122">
        <v>2234</v>
      </c>
      <c r="AH909" s="122">
        <v>2847</v>
      </c>
      <c r="AI909" s="122">
        <v>236885</v>
      </c>
      <c r="AJ909" s="122">
        <v>215350</v>
      </c>
      <c r="AK909">
        <v>85</v>
      </c>
      <c r="AL909" s="122">
        <v>51300</v>
      </c>
      <c r="AM909" s="122">
        <v>46636</v>
      </c>
      <c r="AN909" s="122">
        <v>43781</v>
      </c>
      <c r="AO909" s="122">
        <v>16215</v>
      </c>
      <c r="AP909" s="122">
        <v>9666</v>
      </c>
      <c r="AQ909" s="122">
        <v>3580</v>
      </c>
      <c r="AR909" s="122">
        <v>92520</v>
      </c>
      <c r="AS909" s="122">
        <v>84109</v>
      </c>
      <c r="AT909" s="122">
        <v>0</v>
      </c>
      <c r="AU909" s="122">
        <v>0</v>
      </c>
      <c r="AV909" s="122">
        <v>365890</v>
      </c>
    </row>
    <row r="910" spans="2:48" hidden="1">
      <c r="B910" t="s">
        <v>368</v>
      </c>
      <c r="C910" t="s">
        <v>54</v>
      </c>
      <c r="D910" t="s">
        <v>425</v>
      </c>
      <c r="E910" t="s">
        <v>405</v>
      </c>
      <c r="F910">
        <v>1</v>
      </c>
      <c r="G910" s="122">
        <v>144</v>
      </c>
      <c r="H910">
        <v>134</v>
      </c>
      <c r="I910" s="122">
        <v>19365</v>
      </c>
      <c r="J910" s="122">
        <v>17604</v>
      </c>
      <c r="K910">
        <v>91</v>
      </c>
      <c r="L910" s="122">
        <v>3263</v>
      </c>
      <c r="M910" s="122">
        <v>2967</v>
      </c>
      <c r="N910" s="122">
        <v>4951</v>
      </c>
      <c r="O910" s="122">
        <v>1834</v>
      </c>
      <c r="P910" s="122">
        <v>824</v>
      </c>
      <c r="Q910" s="122">
        <v>305</v>
      </c>
      <c r="R910" s="122">
        <v>5696</v>
      </c>
      <c r="S910" s="122">
        <v>5178</v>
      </c>
      <c r="T910">
        <v>0</v>
      </c>
      <c r="U910">
        <v>0</v>
      </c>
      <c r="V910" s="122">
        <v>27888</v>
      </c>
      <c r="W910" s="122">
        <f t="shared" si="28"/>
        <v>27888</v>
      </c>
      <c r="X910" s="122">
        <f t="shared" si="29"/>
        <v>34099</v>
      </c>
      <c r="Y910" s="122"/>
      <c r="AA910" t="s">
        <v>56</v>
      </c>
      <c r="AB910" t="s">
        <v>406</v>
      </c>
      <c r="AC910" t="s">
        <v>426</v>
      </c>
      <c r="AD910" t="s">
        <v>405</v>
      </c>
      <c r="AE910" t="s">
        <v>137</v>
      </c>
      <c r="AF910">
        <v>2</v>
      </c>
      <c r="AG910">
        <v>311</v>
      </c>
      <c r="AH910">
        <v>384</v>
      </c>
      <c r="AI910" s="122">
        <v>40617</v>
      </c>
      <c r="AJ910" s="122">
        <v>36924</v>
      </c>
      <c r="AK910">
        <v>82</v>
      </c>
      <c r="AL910" s="122">
        <v>8717</v>
      </c>
      <c r="AM910" s="122">
        <v>7925</v>
      </c>
      <c r="AN910" s="122">
        <v>8161</v>
      </c>
      <c r="AO910" s="122">
        <v>3023</v>
      </c>
      <c r="AP910" s="122">
        <v>1242</v>
      </c>
      <c r="AQ910" s="122">
        <v>460</v>
      </c>
      <c r="AR910" s="122">
        <v>9289</v>
      </c>
      <c r="AS910" s="122">
        <v>8444</v>
      </c>
      <c r="AT910" s="122">
        <v>7158</v>
      </c>
      <c r="AU910" s="122">
        <v>2651</v>
      </c>
      <c r="AV910" s="122">
        <v>59427</v>
      </c>
    </row>
    <row r="911" spans="2:48" hidden="1">
      <c r="B911" t="s">
        <v>368</v>
      </c>
      <c r="C911" t="s">
        <v>54</v>
      </c>
      <c r="D911" t="s">
        <v>405</v>
      </c>
      <c r="E911" t="s">
        <v>425</v>
      </c>
      <c r="F911">
        <v>1</v>
      </c>
      <c r="G911" s="122">
        <v>126</v>
      </c>
      <c r="H911" s="122">
        <v>147</v>
      </c>
      <c r="I911" s="122">
        <v>18039</v>
      </c>
      <c r="J911" s="122">
        <v>16399</v>
      </c>
      <c r="K911">
        <v>92</v>
      </c>
      <c r="L911" s="122">
        <v>2793</v>
      </c>
      <c r="M911" s="122">
        <v>2539</v>
      </c>
      <c r="N911" s="122">
        <v>4600</v>
      </c>
      <c r="O911" s="122">
        <v>1704</v>
      </c>
      <c r="P911" s="122">
        <v>824</v>
      </c>
      <c r="Q911" s="122">
        <v>305</v>
      </c>
      <c r="R911" s="122">
        <v>5503</v>
      </c>
      <c r="S911" s="122">
        <v>5003</v>
      </c>
      <c r="T911" s="122">
        <v>0</v>
      </c>
      <c r="U911" s="122">
        <v>0</v>
      </c>
      <c r="V911" s="122">
        <v>25950</v>
      </c>
      <c r="W911" s="122">
        <f t="shared" si="28"/>
        <v>25950</v>
      </c>
      <c r="X911" s="122">
        <f t="shared" si="29"/>
        <v>31759</v>
      </c>
      <c r="Y911" s="122"/>
      <c r="AA911" t="s">
        <v>56</v>
      </c>
      <c r="AB911" t="s">
        <v>406</v>
      </c>
      <c r="AC911" t="s">
        <v>426</v>
      </c>
      <c r="AD911" t="s">
        <v>405</v>
      </c>
      <c r="AE911" t="s">
        <v>566</v>
      </c>
      <c r="AF911">
        <v>5</v>
      </c>
      <c r="AG911" s="122">
        <v>846</v>
      </c>
      <c r="AH911" s="122">
        <v>958</v>
      </c>
      <c r="AI911" s="122">
        <v>99370</v>
      </c>
      <c r="AJ911" s="122">
        <v>90336</v>
      </c>
      <c r="AK911">
        <v>90</v>
      </c>
      <c r="AL911" s="122">
        <v>19134</v>
      </c>
      <c r="AM911" s="122">
        <v>17394</v>
      </c>
      <c r="AN911" s="122">
        <v>18383</v>
      </c>
      <c r="AO911" s="122">
        <v>6808</v>
      </c>
      <c r="AP911" s="122">
        <v>3578</v>
      </c>
      <c r="AQ911" s="122">
        <v>1325</v>
      </c>
      <c r="AR911" s="122">
        <v>32641</v>
      </c>
      <c r="AS911" s="122">
        <v>29674</v>
      </c>
      <c r="AT911" s="122">
        <v>0</v>
      </c>
      <c r="AU911" s="122">
        <v>0</v>
      </c>
      <c r="AV911" s="122">
        <v>145538</v>
      </c>
    </row>
    <row r="912" spans="2:48" hidden="1">
      <c r="B912" t="s">
        <v>368</v>
      </c>
      <c r="C912" t="s">
        <v>54</v>
      </c>
      <c r="D912" t="s">
        <v>405</v>
      </c>
      <c r="E912" t="s">
        <v>405</v>
      </c>
      <c r="F912">
        <v>163</v>
      </c>
      <c r="G912" s="122">
        <v>30929</v>
      </c>
      <c r="H912" s="122">
        <v>22823</v>
      </c>
      <c r="I912" s="122">
        <v>2444907</v>
      </c>
      <c r="J912" s="122">
        <v>2222643</v>
      </c>
      <c r="K912">
        <v>90</v>
      </c>
      <c r="L912" s="122">
        <v>526027</v>
      </c>
      <c r="M912" s="122">
        <v>472162</v>
      </c>
      <c r="N912" s="122">
        <v>579994</v>
      </c>
      <c r="O912" s="122">
        <v>214813</v>
      </c>
      <c r="P912" s="122">
        <v>91007</v>
      </c>
      <c r="Q912" s="122">
        <v>33706</v>
      </c>
      <c r="R912" s="122">
        <v>849479</v>
      </c>
      <c r="S912" s="122">
        <v>772254</v>
      </c>
      <c r="T912" s="122">
        <v>17311</v>
      </c>
      <c r="U912" s="122">
        <v>6411</v>
      </c>
      <c r="V912" s="122">
        <v>3721989</v>
      </c>
      <c r="W912" s="122">
        <f t="shared" si="28"/>
        <v>3721989</v>
      </c>
      <c r="X912" s="122">
        <f t="shared" si="29"/>
        <v>4508725</v>
      </c>
      <c r="Y912" s="122"/>
      <c r="AA912" t="s">
        <v>56</v>
      </c>
      <c r="AB912" t="s">
        <v>406</v>
      </c>
      <c r="AC912" t="s">
        <v>426</v>
      </c>
      <c r="AD912" t="s">
        <v>137</v>
      </c>
      <c r="AE912" t="s">
        <v>137</v>
      </c>
      <c r="AF912">
        <v>13</v>
      </c>
      <c r="AG912" s="122">
        <v>2448</v>
      </c>
      <c r="AH912" s="122">
        <v>2411</v>
      </c>
      <c r="AI912" s="122">
        <v>275077</v>
      </c>
      <c r="AJ912" s="122">
        <v>250070</v>
      </c>
      <c r="AK912">
        <v>84</v>
      </c>
      <c r="AL912" s="122">
        <v>61818</v>
      </c>
      <c r="AM912" s="122">
        <v>56198</v>
      </c>
      <c r="AN912" s="122">
        <v>48226</v>
      </c>
      <c r="AO912" s="122">
        <v>17861</v>
      </c>
      <c r="AP912" s="122">
        <v>8424</v>
      </c>
      <c r="AQ912" s="122">
        <v>3120</v>
      </c>
      <c r="AR912" s="122">
        <v>78111</v>
      </c>
      <c r="AS912" s="122">
        <v>28930</v>
      </c>
      <c r="AT912" s="122">
        <v>5061</v>
      </c>
      <c r="AU912" s="122">
        <v>1875</v>
      </c>
      <c r="AV912" s="122">
        <v>358054</v>
      </c>
    </row>
    <row r="913" spans="2:48" hidden="1">
      <c r="B913" t="s">
        <v>368</v>
      </c>
      <c r="C913" t="s">
        <v>54</v>
      </c>
      <c r="D913" t="s">
        <v>137</v>
      </c>
      <c r="E913" t="s">
        <v>137</v>
      </c>
      <c r="F913">
        <v>39</v>
      </c>
      <c r="G913" s="122">
        <v>8404</v>
      </c>
      <c r="H913" s="122">
        <v>5325</v>
      </c>
      <c r="I913" s="122">
        <v>577432</v>
      </c>
      <c r="J913" s="122">
        <v>213864</v>
      </c>
      <c r="K913">
        <v>304</v>
      </c>
      <c r="L913" s="122">
        <v>136932</v>
      </c>
      <c r="M913" s="122">
        <v>120592</v>
      </c>
      <c r="N913" s="122">
        <v>162661</v>
      </c>
      <c r="O913" s="122">
        <v>60245</v>
      </c>
      <c r="P913" s="122">
        <v>28951</v>
      </c>
      <c r="Q913" s="122">
        <v>10723</v>
      </c>
      <c r="R913" s="122">
        <v>307037</v>
      </c>
      <c r="S913" s="122">
        <v>113717</v>
      </c>
      <c r="T913">
        <v>0</v>
      </c>
      <c r="U913">
        <v>0</v>
      </c>
      <c r="V913" s="122">
        <v>519140</v>
      </c>
      <c r="W913" s="122">
        <f t="shared" si="28"/>
        <v>519141</v>
      </c>
      <c r="X913" s="122">
        <f t="shared" si="29"/>
        <v>1213013</v>
      </c>
      <c r="Y913" s="122"/>
      <c r="AA913" t="s">
        <v>56</v>
      </c>
      <c r="AB913" t="s">
        <v>406</v>
      </c>
      <c r="AC913" t="s">
        <v>426</v>
      </c>
      <c r="AD913" t="s">
        <v>137</v>
      </c>
      <c r="AE913" t="s">
        <v>566</v>
      </c>
      <c r="AF913" s="122">
        <v>96</v>
      </c>
      <c r="AG913" s="122">
        <v>17151</v>
      </c>
      <c r="AH913" s="122">
        <v>18352</v>
      </c>
      <c r="AI913" s="122">
        <v>1835054</v>
      </c>
      <c r="AJ913" s="122">
        <v>1668231</v>
      </c>
      <c r="AK913">
        <v>86</v>
      </c>
      <c r="AL913" s="122">
        <v>390227</v>
      </c>
      <c r="AM913" s="122">
        <v>354751</v>
      </c>
      <c r="AN913" s="122">
        <v>351162</v>
      </c>
      <c r="AO913" s="122">
        <v>130060</v>
      </c>
      <c r="AP913" s="122">
        <v>64583</v>
      </c>
      <c r="AQ913" s="122">
        <v>23920</v>
      </c>
      <c r="AR913" s="122">
        <v>691606</v>
      </c>
      <c r="AS913" s="122">
        <v>256150</v>
      </c>
      <c r="AT913" s="122">
        <v>0</v>
      </c>
      <c r="AU913" s="122">
        <v>0</v>
      </c>
      <c r="AV913" s="122">
        <v>2433112</v>
      </c>
    </row>
    <row r="914" spans="2:48" hidden="1">
      <c r="B914" t="s">
        <v>368</v>
      </c>
      <c r="C914" t="s">
        <v>54</v>
      </c>
      <c r="D914" t="s">
        <v>137</v>
      </c>
      <c r="E914" t="s">
        <v>406</v>
      </c>
      <c r="F914">
        <v>1</v>
      </c>
      <c r="G914">
        <v>508</v>
      </c>
      <c r="H914">
        <v>133</v>
      </c>
      <c r="I914" s="122">
        <v>30647</v>
      </c>
      <c r="J914" s="122">
        <v>11351</v>
      </c>
      <c r="K914">
        <v>351</v>
      </c>
      <c r="L914" s="122">
        <v>17043</v>
      </c>
      <c r="M914" s="122">
        <v>15494</v>
      </c>
      <c r="N914" s="122">
        <v>10466</v>
      </c>
      <c r="O914" s="122">
        <v>3876</v>
      </c>
      <c r="P914" s="122">
        <v>1674</v>
      </c>
      <c r="Q914">
        <v>620</v>
      </c>
      <c r="R914" s="122">
        <v>7789</v>
      </c>
      <c r="S914" s="122">
        <v>7081</v>
      </c>
      <c r="T914" s="122">
        <v>0</v>
      </c>
      <c r="U914" s="122">
        <v>0</v>
      </c>
      <c r="V914" s="122">
        <v>38422</v>
      </c>
      <c r="W914" s="122">
        <f t="shared" si="28"/>
        <v>38422</v>
      </c>
      <c r="X914" s="122">
        <f t="shared" si="29"/>
        <v>67619</v>
      </c>
      <c r="Y914" s="122"/>
      <c r="AA914" t="s">
        <v>56</v>
      </c>
      <c r="AB914" t="s">
        <v>406</v>
      </c>
      <c r="AC914" t="s">
        <v>426</v>
      </c>
      <c r="AD914" t="s">
        <v>406</v>
      </c>
      <c r="AE914" t="s">
        <v>137</v>
      </c>
      <c r="AF914" s="122">
        <v>22923</v>
      </c>
      <c r="AG914" s="122">
        <v>3718347</v>
      </c>
      <c r="AH914" s="122">
        <v>4460175</v>
      </c>
      <c r="AI914" s="122">
        <v>418129807</v>
      </c>
      <c r="AJ914" s="122">
        <v>380118006</v>
      </c>
      <c r="AK914">
        <v>85</v>
      </c>
      <c r="AL914" s="122">
        <v>88799412</v>
      </c>
      <c r="AM914" s="122">
        <v>80726737</v>
      </c>
      <c r="AN914" s="122">
        <v>78774008</v>
      </c>
      <c r="AO914" s="122">
        <v>29175558</v>
      </c>
      <c r="AP914" s="122">
        <v>14894245</v>
      </c>
      <c r="AQ914" s="122">
        <v>5516387</v>
      </c>
      <c r="AR914" s="122">
        <v>110669748</v>
      </c>
      <c r="AS914" s="122">
        <v>100608861</v>
      </c>
      <c r="AT914" s="122">
        <v>55004606</v>
      </c>
      <c r="AU914" s="122">
        <v>20372076</v>
      </c>
      <c r="AV914" s="122">
        <v>616517625</v>
      </c>
    </row>
    <row r="915" spans="2:48" hidden="1">
      <c r="B915" t="s">
        <v>368</v>
      </c>
      <c r="C915" t="s">
        <v>54</v>
      </c>
      <c r="D915" t="s">
        <v>406</v>
      </c>
      <c r="E915" t="s">
        <v>425</v>
      </c>
      <c r="F915">
        <v>1</v>
      </c>
      <c r="G915" s="122">
        <v>115</v>
      </c>
      <c r="H915" s="122">
        <v>145</v>
      </c>
      <c r="I915" s="122">
        <v>14403</v>
      </c>
      <c r="J915" s="122">
        <v>13094</v>
      </c>
      <c r="K915">
        <v>95</v>
      </c>
      <c r="L915" s="122">
        <v>2534</v>
      </c>
      <c r="M915" s="122">
        <v>2303</v>
      </c>
      <c r="N915" s="122">
        <v>3907</v>
      </c>
      <c r="O915" s="122">
        <v>1447</v>
      </c>
      <c r="P915" s="122">
        <v>621</v>
      </c>
      <c r="Q915" s="122">
        <v>230</v>
      </c>
      <c r="R915" s="122">
        <v>5265</v>
      </c>
      <c r="S915" s="122">
        <v>4787</v>
      </c>
      <c r="T915" s="122">
        <v>0</v>
      </c>
      <c r="U915" s="122">
        <v>0</v>
      </c>
      <c r="V915" s="122">
        <v>21861</v>
      </c>
      <c r="W915" s="122">
        <f t="shared" si="28"/>
        <v>21861</v>
      </c>
      <c r="X915" s="122">
        <f t="shared" si="29"/>
        <v>26730</v>
      </c>
      <c r="Y915" s="122"/>
      <c r="AA915" t="s">
        <v>56</v>
      </c>
      <c r="AB915" t="s">
        <v>406</v>
      </c>
      <c r="AC915" t="s">
        <v>426</v>
      </c>
      <c r="AD915" t="s">
        <v>406</v>
      </c>
      <c r="AE915" t="s">
        <v>566</v>
      </c>
      <c r="AF915" s="122">
        <v>26256</v>
      </c>
      <c r="AG915" s="122">
        <v>4324111</v>
      </c>
      <c r="AH915" s="122">
        <v>4923521</v>
      </c>
      <c r="AI915" s="122">
        <v>475334056</v>
      </c>
      <c r="AJ915" s="122">
        <v>432121868</v>
      </c>
      <c r="AK915">
        <v>85</v>
      </c>
      <c r="AL915" s="122">
        <v>103119031</v>
      </c>
      <c r="AM915" s="122">
        <v>93744572</v>
      </c>
      <c r="AN915" s="122">
        <v>89582442</v>
      </c>
      <c r="AO915" s="122">
        <v>33178682</v>
      </c>
      <c r="AP915" s="122">
        <v>17835928</v>
      </c>
      <c r="AQ915" s="122">
        <v>6605899</v>
      </c>
      <c r="AR915" s="122">
        <v>158116337</v>
      </c>
      <c r="AS915" s="122">
        <v>143742123</v>
      </c>
      <c r="AT915" s="122">
        <v>2415</v>
      </c>
      <c r="AU915" s="122">
        <v>895</v>
      </c>
      <c r="AV915" s="122">
        <v>709394038</v>
      </c>
    </row>
    <row r="916" spans="2:48" hidden="1">
      <c r="B916" t="s">
        <v>368</v>
      </c>
      <c r="C916" t="s">
        <v>54</v>
      </c>
      <c r="D916" t="s">
        <v>406</v>
      </c>
      <c r="E916" t="s">
        <v>137</v>
      </c>
      <c r="F916">
        <v>10</v>
      </c>
      <c r="G916" s="122">
        <v>2305</v>
      </c>
      <c r="H916" s="122">
        <v>1398</v>
      </c>
      <c r="I916" s="122">
        <v>186509</v>
      </c>
      <c r="J916" s="122">
        <v>169554</v>
      </c>
      <c r="K916">
        <v>86</v>
      </c>
      <c r="L916" s="122">
        <v>27835</v>
      </c>
      <c r="M916" s="122">
        <v>25304</v>
      </c>
      <c r="N916" s="122">
        <v>44599</v>
      </c>
      <c r="O916" s="122">
        <v>16518</v>
      </c>
      <c r="P916" s="122">
        <v>6210</v>
      </c>
      <c r="Q916" s="122">
        <v>2300</v>
      </c>
      <c r="R916" s="122">
        <v>54237</v>
      </c>
      <c r="S916" s="122">
        <v>20088</v>
      </c>
      <c r="T916">
        <v>0</v>
      </c>
      <c r="U916">
        <v>0</v>
      </c>
      <c r="V916" s="122">
        <v>233764</v>
      </c>
      <c r="W916" s="122">
        <f t="shared" si="28"/>
        <v>233764</v>
      </c>
      <c r="X916" s="122">
        <f t="shared" si="29"/>
        <v>319390</v>
      </c>
      <c r="Y916" s="122"/>
      <c r="AA916" t="s">
        <v>56</v>
      </c>
      <c r="AB916" t="s">
        <v>406</v>
      </c>
      <c r="AC916" t="s">
        <v>426</v>
      </c>
      <c r="AD916" t="s">
        <v>427</v>
      </c>
      <c r="AE916" t="s">
        <v>137</v>
      </c>
      <c r="AF916">
        <v>5</v>
      </c>
      <c r="AG916" s="122">
        <v>799</v>
      </c>
      <c r="AH916" s="122">
        <v>941</v>
      </c>
      <c r="AI916" s="122">
        <v>89514</v>
      </c>
      <c r="AJ916" s="122">
        <v>81376</v>
      </c>
      <c r="AK916">
        <v>77</v>
      </c>
      <c r="AL916" s="122">
        <v>19370</v>
      </c>
      <c r="AM916" s="122">
        <v>17610</v>
      </c>
      <c r="AN916" s="122">
        <v>15785</v>
      </c>
      <c r="AO916" s="122">
        <v>5846</v>
      </c>
      <c r="AP916" s="122">
        <v>3807</v>
      </c>
      <c r="AQ916" s="122">
        <v>1410</v>
      </c>
      <c r="AR916" s="122">
        <v>20950</v>
      </c>
      <c r="AS916" s="122">
        <v>19045</v>
      </c>
      <c r="AT916" s="122">
        <v>14205</v>
      </c>
      <c r="AU916" s="122">
        <v>5261</v>
      </c>
      <c r="AV916" s="122">
        <v>130548</v>
      </c>
    </row>
    <row r="917" spans="2:48" hidden="1">
      <c r="B917" t="s">
        <v>368</v>
      </c>
      <c r="C917" t="s">
        <v>54</v>
      </c>
      <c r="D917" t="s">
        <v>406</v>
      </c>
      <c r="E917" t="s">
        <v>406</v>
      </c>
      <c r="F917" s="122">
        <v>1432</v>
      </c>
      <c r="G917" s="122">
        <v>303297</v>
      </c>
      <c r="H917" s="122">
        <v>201321</v>
      </c>
      <c r="I917" s="122">
        <v>24633771</v>
      </c>
      <c r="J917" s="122">
        <v>22394337</v>
      </c>
      <c r="K917">
        <v>89</v>
      </c>
      <c r="L917" s="122">
        <v>4854553</v>
      </c>
      <c r="M917" s="122">
        <v>4351448</v>
      </c>
      <c r="N917" s="122">
        <v>5939956</v>
      </c>
      <c r="O917" s="122">
        <v>2199984</v>
      </c>
      <c r="P917" s="122">
        <v>1122423</v>
      </c>
      <c r="Q917" s="122">
        <v>415712</v>
      </c>
      <c r="R917" s="122">
        <v>8078881</v>
      </c>
      <c r="S917" s="122">
        <v>7344437</v>
      </c>
      <c r="T917" s="122">
        <v>516340</v>
      </c>
      <c r="U917" s="122">
        <v>191237</v>
      </c>
      <c r="V917" s="122">
        <v>36897155</v>
      </c>
      <c r="W917" s="122">
        <f t="shared" si="28"/>
        <v>36897155</v>
      </c>
      <c r="X917" s="122">
        <f t="shared" si="29"/>
        <v>45145924</v>
      </c>
      <c r="Y917" s="122"/>
      <c r="AA917" t="s">
        <v>56</v>
      </c>
      <c r="AB917" t="s">
        <v>406</v>
      </c>
      <c r="AC917" t="s">
        <v>426</v>
      </c>
      <c r="AD917" t="s">
        <v>427</v>
      </c>
      <c r="AE917" t="s">
        <v>566</v>
      </c>
      <c r="AF917">
        <v>7</v>
      </c>
      <c r="AG917" s="122">
        <v>1233</v>
      </c>
      <c r="AH917" s="122">
        <v>1309</v>
      </c>
      <c r="AI917" s="122">
        <v>122689</v>
      </c>
      <c r="AJ917" s="122">
        <v>111536</v>
      </c>
      <c r="AK917">
        <v>83</v>
      </c>
      <c r="AL917" s="122">
        <v>35344</v>
      </c>
      <c r="AM917" s="122">
        <v>32131</v>
      </c>
      <c r="AN917" s="122">
        <v>23623</v>
      </c>
      <c r="AO917" s="122">
        <v>8749</v>
      </c>
      <c r="AP917" s="122">
        <v>4347</v>
      </c>
      <c r="AQ917" s="122">
        <v>1610</v>
      </c>
      <c r="AR917" s="122">
        <v>39207</v>
      </c>
      <c r="AS917" s="122">
        <v>35643</v>
      </c>
      <c r="AT917" s="122">
        <v>0</v>
      </c>
      <c r="AU917">
        <v>0</v>
      </c>
      <c r="AV917" s="122">
        <v>189668</v>
      </c>
    </row>
    <row r="918" spans="2:48" hidden="1">
      <c r="B918" t="s">
        <v>368</v>
      </c>
      <c r="C918" t="s">
        <v>54</v>
      </c>
      <c r="D918" t="s">
        <v>406</v>
      </c>
      <c r="E918" t="s">
        <v>426</v>
      </c>
      <c r="F918">
        <v>1</v>
      </c>
      <c r="G918" s="122">
        <v>202</v>
      </c>
      <c r="H918" s="122">
        <v>147</v>
      </c>
      <c r="I918" s="122">
        <v>15671</v>
      </c>
      <c r="J918" s="122">
        <v>14246</v>
      </c>
      <c r="K918">
        <v>95</v>
      </c>
      <c r="L918" s="122">
        <v>5514</v>
      </c>
      <c r="M918" s="122">
        <v>5013</v>
      </c>
      <c r="N918" s="122">
        <v>2465</v>
      </c>
      <c r="O918" s="122">
        <v>913</v>
      </c>
      <c r="P918" s="122">
        <v>621</v>
      </c>
      <c r="Q918">
        <v>230</v>
      </c>
      <c r="R918" s="122">
        <v>5486</v>
      </c>
      <c r="S918" s="122">
        <v>4987</v>
      </c>
      <c r="T918">
        <v>0</v>
      </c>
      <c r="U918">
        <v>0</v>
      </c>
      <c r="V918" s="122">
        <v>25389</v>
      </c>
      <c r="W918" s="122">
        <f t="shared" si="28"/>
        <v>25389</v>
      </c>
      <c r="X918" s="122">
        <f t="shared" si="29"/>
        <v>29757</v>
      </c>
      <c r="Y918" s="122"/>
      <c r="AA918" t="s">
        <v>56</v>
      </c>
      <c r="AB918" t="s">
        <v>406</v>
      </c>
      <c r="AC918" t="s">
        <v>426</v>
      </c>
      <c r="AD918" t="s">
        <v>407</v>
      </c>
      <c r="AE918" t="s">
        <v>137</v>
      </c>
      <c r="AF918">
        <v>5</v>
      </c>
      <c r="AG918">
        <v>719</v>
      </c>
      <c r="AH918">
        <v>942</v>
      </c>
      <c r="AI918" s="122">
        <v>70074</v>
      </c>
      <c r="AJ918" s="122">
        <v>63704</v>
      </c>
      <c r="AK918">
        <v>86</v>
      </c>
      <c r="AL918" s="122">
        <v>16447</v>
      </c>
      <c r="AM918" s="122">
        <v>14951</v>
      </c>
      <c r="AN918" s="122">
        <v>15543</v>
      </c>
      <c r="AO918" s="122">
        <v>5757</v>
      </c>
      <c r="AP918" s="122">
        <v>2835</v>
      </c>
      <c r="AQ918" s="122">
        <v>1050</v>
      </c>
      <c r="AR918" s="122">
        <v>25837</v>
      </c>
      <c r="AS918" s="122">
        <v>23488</v>
      </c>
      <c r="AT918" s="122">
        <v>2463</v>
      </c>
      <c r="AU918">
        <v>912</v>
      </c>
      <c r="AV918" s="122">
        <v>109862</v>
      </c>
    </row>
    <row r="919" spans="2:48" hidden="1">
      <c r="B919" t="s">
        <v>368</v>
      </c>
      <c r="C919" t="s">
        <v>54</v>
      </c>
      <c r="D919" t="s">
        <v>407</v>
      </c>
      <c r="E919" t="s">
        <v>407</v>
      </c>
      <c r="F919">
        <v>86</v>
      </c>
      <c r="G919" s="122">
        <v>17032</v>
      </c>
      <c r="H919" s="122">
        <v>12074</v>
      </c>
      <c r="I919" s="122">
        <v>1309312</v>
      </c>
      <c r="J919" s="122">
        <v>1190284</v>
      </c>
      <c r="K919">
        <v>89</v>
      </c>
      <c r="L919" s="122">
        <v>286534</v>
      </c>
      <c r="M919" s="122">
        <v>257197</v>
      </c>
      <c r="N919" s="122">
        <v>346250</v>
      </c>
      <c r="O919" s="122">
        <v>128241</v>
      </c>
      <c r="P919" s="122">
        <v>44367</v>
      </c>
      <c r="Q919" s="122">
        <v>16432</v>
      </c>
      <c r="R919" s="122">
        <v>497370</v>
      </c>
      <c r="S919" s="122">
        <v>452155</v>
      </c>
      <c r="T919" s="122">
        <v>9894</v>
      </c>
      <c r="U919" s="122">
        <v>3665</v>
      </c>
      <c r="V919" s="122">
        <v>2047973</v>
      </c>
      <c r="W919" s="122">
        <f t="shared" si="28"/>
        <v>2047974</v>
      </c>
      <c r="X919" s="122">
        <f t="shared" si="29"/>
        <v>2493727</v>
      </c>
      <c r="Y919" s="122"/>
      <c r="AA919" t="s">
        <v>56</v>
      </c>
      <c r="AB919" t="s">
        <v>406</v>
      </c>
      <c r="AC919" t="s">
        <v>426</v>
      </c>
      <c r="AD919" t="s">
        <v>407</v>
      </c>
      <c r="AE919" t="s">
        <v>566</v>
      </c>
      <c r="AF919">
        <v>5</v>
      </c>
      <c r="AG919">
        <v>723</v>
      </c>
      <c r="AH919">
        <v>911</v>
      </c>
      <c r="AI919" s="122">
        <v>68051</v>
      </c>
      <c r="AJ919" s="122">
        <v>61864</v>
      </c>
      <c r="AK919">
        <v>89</v>
      </c>
      <c r="AL919" s="122">
        <v>13860</v>
      </c>
      <c r="AM919" s="122">
        <v>12600</v>
      </c>
      <c r="AN919" s="122">
        <v>13923</v>
      </c>
      <c r="AO919" s="122">
        <v>5157</v>
      </c>
      <c r="AP919" s="122">
        <v>3456</v>
      </c>
      <c r="AQ919" s="122">
        <v>1280</v>
      </c>
      <c r="AR919" s="122">
        <v>30991</v>
      </c>
      <c r="AS919" s="122">
        <v>28173</v>
      </c>
      <c r="AT919">
        <v>0</v>
      </c>
      <c r="AU919">
        <v>0</v>
      </c>
      <c r="AV919" s="122">
        <v>109074</v>
      </c>
    </row>
    <row r="920" spans="2:48" hidden="1">
      <c r="B920" t="s">
        <v>368</v>
      </c>
      <c r="C920" t="s">
        <v>54</v>
      </c>
      <c r="D920" t="s">
        <v>556</v>
      </c>
      <c r="E920" t="s">
        <v>556</v>
      </c>
      <c r="F920">
        <v>1</v>
      </c>
      <c r="G920">
        <v>94</v>
      </c>
      <c r="H920">
        <v>143</v>
      </c>
      <c r="I920" s="122">
        <v>13988</v>
      </c>
      <c r="J920" s="122">
        <v>11657</v>
      </c>
      <c r="K920">
        <v>100</v>
      </c>
      <c r="L920" s="122">
        <v>0</v>
      </c>
      <c r="M920" s="122">
        <v>0</v>
      </c>
      <c r="N920" s="122">
        <v>1801</v>
      </c>
      <c r="O920" s="122">
        <v>667</v>
      </c>
      <c r="P920" s="122">
        <v>1912</v>
      </c>
      <c r="Q920">
        <v>708</v>
      </c>
      <c r="R920" s="122">
        <v>3399</v>
      </c>
      <c r="S920" s="122">
        <v>2833</v>
      </c>
      <c r="T920" s="122">
        <v>0</v>
      </c>
      <c r="U920" s="122">
        <v>0</v>
      </c>
      <c r="V920" s="122">
        <v>15865</v>
      </c>
      <c r="W920" s="122">
        <f t="shared" si="28"/>
        <v>15865</v>
      </c>
      <c r="X920" s="122">
        <f t="shared" si="29"/>
        <v>21100</v>
      </c>
      <c r="Y920" s="122"/>
      <c r="AA920" t="s">
        <v>56</v>
      </c>
      <c r="AB920" t="s">
        <v>406</v>
      </c>
      <c r="AC920" t="s">
        <v>426</v>
      </c>
      <c r="AD920" t="s">
        <v>579</v>
      </c>
      <c r="AE920" t="s">
        <v>566</v>
      </c>
      <c r="AF920">
        <v>1</v>
      </c>
      <c r="AG920">
        <v>174</v>
      </c>
      <c r="AH920">
        <v>186</v>
      </c>
      <c r="AI920" s="122">
        <v>15696</v>
      </c>
      <c r="AJ920" s="122">
        <v>14269</v>
      </c>
      <c r="AK920">
        <v>86</v>
      </c>
      <c r="AL920" s="122">
        <v>4970</v>
      </c>
      <c r="AM920" s="122">
        <v>4519</v>
      </c>
      <c r="AN920" s="122">
        <v>3851</v>
      </c>
      <c r="AO920" s="122">
        <v>1426</v>
      </c>
      <c r="AP920" s="122">
        <v>621</v>
      </c>
      <c r="AQ920">
        <v>230</v>
      </c>
      <c r="AR920" s="122">
        <v>7073</v>
      </c>
      <c r="AS920" s="122">
        <v>5894</v>
      </c>
      <c r="AT920" s="122">
        <v>0</v>
      </c>
      <c r="AU920" s="122">
        <v>0</v>
      </c>
      <c r="AV920" s="122">
        <v>26338</v>
      </c>
    </row>
    <row r="921" spans="2:48" hidden="1">
      <c r="B921" t="s">
        <v>368</v>
      </c>
      <c r="C921" t="s">
        <v>54</v>
      </c>
      <c r="D921" t="s">
        <v>426</v>
      </c>
      <c r="E921" t="s">
        <v>137</v>
      </c>
      <c r="F921">
        <v>2</v>
      </c>
      <c r="G921" s="122">
        <v>317</v>
      </c>
      <c r="H921" s="122">
        <v>287</v>
      </c>
      <c r="I921" s="122">
        <v>23613</v>
      </c>
      <c r="J921" s="122">
        <v>21467</v>
      </c>
      <c r="K921">
        <v>70</v>
      </c>
      <c r="L921" s="122">
        <v>3625</v>
      </c>
      <c r="M921" s="122">
        <v>2410</v>
      </c>
      <c r="N921" s="122">
        <v>3864</v>
      </c>
      <c r="O921" s="122">
        <v>1431</v>
      </c>
      <c r="P921" s="122">
        <v>1478</v>
      </c>
      <c r="Q921" s="122">
        <v>547</v>
      </c>
      <c r="R921" s="122">
        <v>12873</v>
      </c>
      <c r="S921" s="122">
        <v>4768</v>
      </c>
      <c r="T921" s="122">
        <v>0</v>
      </c>
      <c r="U921" s="122">
        <v>0</v>
      </c>
      <c r="V921" s="122">
        <v>30623</v>
      </c>
      <c r="W921" s="122">
        <f t="shared" si="28"/>
        <v>30623</v>
      </c>
      <c r="X921" s="122">
        <f t="shared" si="29"/>
        <v>45453</v>
      </c>
      <c r="Y921" s="122"/>
      <c r="AA921" t="s">
        <v>56</v>
      </c>
      <c r="AB921" t="s">
        <v>406</v>
      </c>
      <c r="AC921" t="s">
        <v>426</v>
      </c>
      <c r="AD921" t="s">
        <v>428</v>
      </c>
      <c r="AE921" t="s">
        <v>137</v>
      </c>
      <c r="AF921">
        <v>2</v>
      </c>
      <c r="AG921" s="122">
        <v>350</v>
      </c>
      <c r="AH921" s="122">
        <v>357</v>
      </c>
      <c r="AI921" s="122">
        <v>30610</v>
      </c>
      <c r="AJ921" s="122">
        <v>27827</v>
      </c>
      <c r="AK921">
        <v>88</v>
      </c>
      <c r="AL921" s="122">
        <v>9696</v>
      </c>
      <c r="AM921" s="122">
        <v>8815</v>
      </c>
      <c r="AN921" s="122">
        <v>5371</v>
      </c>
      <c r="AO921" s="122">
        <v>1989</v>
      </c>
      <c r="AP921" s="122">
        <v>1242</v>
      </c>
      <c r="AQ921" s="122">
        <v>460</v>
      </c>
      <c r="AR921" s="122">
        <v>8699</v>
      </c>
      <c r="AS921" s="122">
        <v>7908</v>
      </c>
      <c r="AT921" s="122">
        <v>6572</v>
      </c>
      <c r="AU921" s="122">
        <v>2434</v>
      </c>
      <c r="AV921" s="122">
        <v>49433</v>
      </c>
    </row>
    <row r="922" spans="2:48" hidden="1">
      <c r="B922" t="s">
        <v>368</v>
      </c>
      <c r="C922" t="s">
        <v>54</v>
      </c>
      <c r="D922" t="s">
        <v>433</v>
      </c>
      <c r="E922" t="s">
        <v>433</v>
      </c>
      <c r="F922">
        <v>1</v>
      </c>
      <c r="G922" s="122">
        <v>215</v>
      </c>
      <c r="H922" s="122">
        <v>130</v>
      </c>
      <c r="I922" s="122">
        <v>18770</v>
      </c>
      <c r="J922" s="122">
        <v>17063</v>
      </c>
      <c r="K922">
        <v>83</v>
      </c>
      <c r="L922" s="122">
        <v>2650</v>
      </c>
      <c r="M922" s="122">
        <v>2409</v>
      </c>
      <c r="N922" s="122">
        <v>5390</v>
      </c>
      <c r="O922" s="122">
        <v>1996</v>
      </c>
      <c r="P922" s="122">
        <v>351</v>
      </c>
      <c r="Q922" s="122">
        <v>130</v>
      </c>
      <c r="R922" s="122">
        <v>7555</v>
      </c>
      <c r="S922" s="122">
        <v>6868</v>
      </c>
      <c r="T922" s="122">
        <v>0</v>
      </c>
      <c r="U922" s="122">
        <v>0</v>
      </c>
      <c r="V922" s="122">
        <v>28467</v>
      </c>
      <c r="W922" s="122">
        <f t="shared" si="28"/>
        <v>28466</v>
      </c>
      <c r="X922" s="122">
        <f t="shared" si="29"/>
        <v>34716</v>
      </c>
      <c r="Y922" s="122"/>
      <c r="AA922" t="s">
        <v>56</v>
      </c>
      <c r="AB922" t="s">
        <v>406</v>
      </c>
      <c r="AC922" t="s">
        <v>426</v>
      </c>
      <c r="AD922" t="s">
        <v>426</v>
      </c>
      <c r="AE922" t="s">
        <v>137</v>
      </c>
      <c r="AF922">
        <v>17</v>
      </c>
      <c r="AG922" s="122">
        <v>3182</v>
      </c>
      <c r="AH922" s="122">
        <v>3391</v>
      </c>
      <c r="AI922" s="122">
        <v>367586</v>
      </c>
      <c r="AJ922" s="122">
        <v>334169</v>
      </c>
      <c r="AK922">
        <v>83</v>
      </c>
      <c r="AL922" s="122">
        <v>60132</v>
      </c>
      <c r="AM922" s="122">
        <v>54665</v>
      </c>
      <c r="AN922" s="122">
        <v>61896</v>
      </c>
      <c r="AO922" s="122">
        <v>22924</v>
      </c>
      <c r="AP922" s="122">
        <v>11259</v>
      </c>
      <c r="AQ922" s="122">
        <v>4170</v>
      </c>
      <c r="AR922" s="122">
        <v>96070</v>
      </c>
      <c r="AS922" s="122">
        <v>87336</v>
      </c>
      <c r="AT922" s="122">
        <v>43566</v>
      </c>
      <c r="AU922" s="122">
        <v>16135</v>
      </c>
      <c r="AV922" s="122">
        <v>519400</v>
      </c>
    </row>
    <row r="923" spans="2:48" hidden="1">
      <c r="B923" t="s">
        <v>368</v>
      </c>
      <c r="C923" t="s">
        <v>54</v>
      </c>
      <c r="D923" t="s">
        <v>408</v>
      </c>
      <c r="E923" t="s">
        <v>408</v>
      </c>
      <c r="F923">
        <v>11</v>
      </c>
      <c r="G923" s="122">
        <v>2801</v>
      </c>
      <c r="H923" s="122">
        <v>1554</v>
      </c>
      <c r="I923" s="122">
        <v>250554</v>
      </c>
      <c r="J923" s="122">
        <v>227776</v>
      </c>
      <c r="K923">
        <v>82</v>
      </c>
      <c r="L923" s="122">
        <v>37041</v>
      </c>
      <c r="M923" s="122">
        <v>30930</v>
      </c>
      <c r="N923" s="122">
        <v>54336</v>
      </c>
      <c r="O923" s="122">
        <v>20125</v>
      </c>
      <c r="P923" s="122">
        <v>7128</v>
      </c>
      <c r="Q923" s="122">
        <v>2640</v>
      </c>
      <c r="R923" s="122">
        <v>66093</v>
      </c>
      <c r="S923" s="122">
        <v>60085</v>
      </c>
      <c r="T923" s="122">
        <v>0</v>
      </c>
      <c r="U923" s="122">
        <v>0</v>
      </c>
      <c r="V923" s="122">
        <v>341556</v>
      </c>
      <c r="W923" s="122">
        <f t="shared" si="28"/>
        <v>341556</v>
      </c>
      <c r="X923" s="122">
        <f t="shared" si="29"/>
        <v>415152</v>
      </c>
      <c r="Y923" s="122"/>
      <c r="AA923" t="s">
        <v>56</v>
      </c>
      <c r="AB923" t="s">
        <v>406</v>
      </c>
      <c r="AC923" t="s">
        <v>426</v>
      </c>
      <c r="AD923" t="s">
        <v>426</v>
      </c>
      <c r="AE923" t="s">
        <v>566</v>
      </c>
      <c r="AF923">
        <v>14</v>
      </c>
      <c r="AG923" s="122">
        <v>2553</v>
      </c>
      <c r="AH923" s="122">
        <v>2624</v>
      </c>
      <c r="AI923" s="122">
        <v>262899</v>
      </c>
      <c r="AJ923" s="122">
        <v>238999</v>
      </c>
      <c r="AK923">
        <v>82</v>
      </c>
      <c r="AL923" s="122">
        <v>50465</v>
      </c>
      <c r="AM923" s="122">
        <v>45877</v>
      </c>
      <c r="AN923" s="122">
        <v>51600</v>
      </c>
      <c r="AO923" s="122">
        <v>19111</v>
      </c>
      <c r="AP923" s="122">
        <v>10449</v>
      </c>
      <c r="AQ923" s="122">
        <v>3870</v>
      </c>
      <c r="AR923" s="122">
        <v>99424</v>
      </c>
      <c r="AS923" s="122">
        <v>90385</v>
      </c>
      <c r="AT923">
        <v>0</v>
      </c>
      <c r="AU923">
        <v>0</v>
      </c>
      <c r="AV923" s="122">
        <v>398243</v>
      </c>
    </row>
    <row r="924" spans="2:48" hidden="1">
      <c r="B924" t="s">
        <v>368</v>
      </c>
      <c r="C924" t="s">
        <v>56</v>
      </c>
      <c r="F924">
        <v>5</v>
      </c>
      <c r="G924" s="122">
        <v>990</v>
      </c>
      <c r="H924" s="122">
        <v>1011</v>
      </c>
      <c r="I924" s="122"/>
      <c r="J924" s="122">
        <v>0</v>
      </c>
      <c r="L924" s="122"/>
      <c r="M924" s="122">
        <v>0</v>
      </c>
      <c r="N924" s="122">
        <v>15935</v>
      </c>
      <c r="O924" s="122">
        <v>5902</v>
      </c>
      <c r="P924" s="122">
        <v>4482</v>
      </c>
      <c r="Q924" s="122">
        <v>1660</v>
      </c>
      <c r="R924" s="122"/>
      <c r="S924" s="122">
        <v>0</v>
      </c>
      <c r="T924" s="122">
        <v>7005</v>
      </c>
      <c r="U924" s="122">
        <v>2594</v>
      </c>
      <c r="V924" s="122">
        <v>10156</v>
      </c>
      <c r="W924" s="122">
        <f t="shared" si="28"/>
        <v>10156</v>
      </c>
      <c r="X924" s="122">
        <f t="shared" si="29"/>
        <v>27422</v>
      </c>
      <c r="Y924" s="122"/>
      <c r="AA924" t="s">
        <v>56</v>
      </c>
      <c r="AB924" t="s">
        <v>406</v>
      </c>
      <c r="AC924" t="s">
        <v>426</v>
      </c>
      <c r="AD924" t="s">
        <v>481</v>
      </c>
      <c r="AE924" t="s">
        <v>566</v>
      </c>
      <c r="AF924">
        <v>1</v>
      </c>
      <c r="AG924">
        <v>192</v>
      </c>
      <c r="AH924">
        <v>217</v>
      </c>
      <c r="AI924" s="122">
        <v>23056</v>
      </c>
      <c r="AJ924" s="122">
        <v>20960</v>
      </c>
      <c r="AK924">
        <v>85</v>
      </c>
      <c r="AL924" s="122">
        <v>6891</v>
      </c>
      <c r="AM924" s="122">
        <v>6265</v>
      </c>
      <c r="AN924" s="122">
        <v>2805</v>
      </c>
      <c r="AO924" s="122">
        <v>1039</v>
      </c>
      <c r="AP924">
        <v>621</v>
      </c>
      <c r="AQ924">
        <v>230</v>
      </c>
      <c r="AR924" s="122">
        <v>8294</v>
      </c>
      <c r="AS924" s="122">
        <v>7540</v>
      </c>
      <c r="AT924">
        <v>0</v>
      </c>
      <c r="AU924">
        <v>0</v>
      </c>
      <c r="AV924" s="122">
        <v>36033</v>
      </c>
    </row>
    <row r="925" spans="2:48" hidden="1">
      <c r="B925" t="s">
        <v>368</v>
      </c>
      <c r="C925" t="s">
        <v>56</v>
      </c>
      <c r="D925" t="s">
        <v>425</v>
      </c>
      <c r="E925" t="s">
        <v>425</v>
      </c>
      <c r="F925">
        <v>19</v>
      </c>
      <c r="G925" s="122">
        <v>2774</v>
      </c>
      <c r="H925" s="122">
        <v>3690</v>
      </c>
      <c r="I925" s="122">
        <v>371075</v>
      </c>
      <c r="J925" s="122">
        <v>337341</v>
      </c>
      <c r="K925">
        <v>84</v>
      </c>
      <c r="L925" s="122">
        <v>66165</v>
      </c>
      <c r="M925" s="122">
        <v>60150</v>
      </c>
      <c r="N925" s="122">
        <v>61402</v>
      </c>
      <c r="O925" s="122">
        <v>22741</v>
      </c>
      <c r="P925" s="122">
        <v>10292</v>
      </c>
      <c r="Q925" s="122">
        <v>3812</v>
      </c>
      <c r="R925" s="122">
        <v>102090</v>
      </c>
      <c r="S925" s="122">
        <v>92810</v>
      </c>
      <c r="T925" s="122">
        <v>22179</v>
      </c>
      <c r="U925" s="122">
        <v>8215</v>
      </c>
      <c r="V925" s="122">
        <v>525069</v>
      </c>
      <c r="W925" s="122">
        <f t="shared" si="28"/>
        <v>525069</v>
      </c>
      <c r="X925" s="122">
        <f t="shared" si="29"/>
        <v>633203</v>
      </c>
      <c r="Y925" s="122"/>
      <c r="AA925" t="s">
        <v>56</v>
      </c>
      <c r="AB925" t="s">
        <v>406</v>
      </c>
      <c r="AC925" t="s">
        <v>566</v>
      </c>
      <c r="AD925" t="s">
        <v>578</v>
      </c>
      <c r="AE925" t="s">
        <v>566</v>
      </c>
      <c r="AF925">
        <v>1</v>
      </c>
      <c r="AG925">
        <v>184</v>
      </c>
      <c r="AH925">
        <v>210</v>
      </c>
      <c r="AI925" s="122">
        <v>28663</v>
      </c>
      <c r="AJ925" s="122">
        <v>26057</v>
      </c>
      <c r="AK925">
        <v>70</v>
      </c>
      <c r="AL925">
        <v>0</v>
      </c>
      <c r="AM925" s="122">
        <v>6418</v>
      </c>
      <c r="AN925" s="122">
        <v>2244</v>
      </c>
      <c r="AO925">
        <v>831</v>
      </c>
      <c r="AP925">
        <v>621</v>
      </c>
      <c r="AQ925">
        <v>230</v>
      </c>
      <c r="AR925" s="122">
        <v>7106</v>
      </c>
      <c r="AS925" s="122">
        <v>6460</v>
      </c>
      <c r="AT925">
        <v>0</v>
      </c>
      <c r="AU925">
        <v>0</v>
      </c>
      <c r="AV925" s="122">
        <v>39995</v>
      </c>
    </row>
    <row r="926" spans="2:48" hidden="1">
      <c r="B926" t="s">
        <v>368</v>
      </c>
      <c r="C926" t="s">
        <v>56</v>
      </c>
      <c r="D926" t="s">
        <v>425</v>
      </c>
      <c r="E926" t="s">
        <v>137</v>
      </c>
      <c r="F926">
        <v>1</v>
      </c>
      <c r="G926" s="122">
        <v>114</v>
      </c>
      <c r="H926" s="122">
        <v>224</v>
      </c>
      <c r="I926" s="122">
        <v>14161</v>
      </c>
      <c r="J926" s="122">
        <v>12873</v>
      </c>
      <c r="K926">
        <v>81</v>
      </c>
      <c r="L926" s="122">
        <v>4044</v>
      </c>
      <c r="M926" s="122">
        <v>3676</v>
      </c>
      <c r="N926" s="122">
        <v>1393</v>
      </c>
      <c r="O926" s="122">
        <v>516</v>
      </c>
      <c r="P926" s="122">
        <v>473</v>
      </c>
      <c r="Q926" s="122">
        <v>175</v>
      </c>
      <c r="R926" s="122">
        <v>5565</v>
      </c>
      <c r="S926" s="122">
        <v>2061</v>
      </c>
      <c r="T926" s="122">
        <v>0</v>
      </c>
      <c r="U926">
        <v>0</v>
      </c>
      <c r="V926" s="122">
        <v>19302</v>
      </c>
      <c r="W926" s="122">
        <f t="shared" si="28"/>
        <v>19301</v>
      </c>
      <c r="X926" s="122">
        <f t="shared" si="29"/>
        <v>25636</v>
      </c>
      <c r="Y926" s="122"/>
      <c r="AA926" t="s">
        <v>56</v>
      </c>
      <c r="AB926" t="s">
        <v>406</v>
      </c>
      <c r="AC926" t="s">
        <v>566</v>
      </c>
      <c r="AD926" t="s">
        <v>137</v>
      </c>
      <c r="AE926" t="s">
        <v>137</v>
      </c>
      <c r="AF926">
        <v>1</v>
      </c>
      <c r="AG926" s="122">
        <v>74</v>
      </c>
      <c r="AH926" s="122">
        <v>194</v>
      </c>
      <c r="AI926" s="122">
        <v>8552</v>
      </c>
      <c r="AJ926" s="122">
        <v>7774</v>
      </c>
      <c r="AK926">
        <v>86</v>
      </c>
      <c r="AL926">
        <v>0</v>
      </c>
      <c r="AM926">
        <v>0</v>
      </c>
      <c r="AN926" s="122">
        <v>1005</v>
      </c>
      <c r="AO926" s="122">
        <v>372</v>
      </c>
      <c r="AP926" s="122">
        <v>621</v>
      </c>
      <c r="AQ926" s="122">
        <v>230</v>
      </c>
      <c r="AR926" s="122">
        <v>4234</v>
      </c>
      <c r="AS926" s="122">
        <v>1568</v>
      </c>
      <c r="AT926">
        <v>0</v>
      </c>
      <c r="AU926">
        <v>0</v>
      </c>
      <c r="AV926" s="122">
        <v>9945</v>
      </c>
    </row>
    <row r="927" spans="2:48" hidden="1">
      <c r="B927" t="s">
        <v>368</v>
      </c>
      <c r="C927" t="s">
        <v>56</v>
      </c>
      <c r="D927" t="s">
        <v>425</v>
      </c>
      <c r="E927" t="s">
        <v>406</v>
      </c>
      <c r="F927" s="122">
        <v>3</v>
      </c>
      <c r="G927" s="122">
        <v>521</v>
      </c>
      <c r="H927" s="122">
        <v>600</v>
      </c>
      <c r="I927" s="122">
        <v>60532</v>
      </c>
      <c r="J927" s="122">
        <v>55029</v>
      </c>
      <c r="K927">
        <v>85</v>
      </c>
      <c r="L927" s="122">
        <v>14925</v>
      </c>
      <c r="M927" s="122">
        <v>13568</v>
      </c>
      <c r="N927" s="122">
        <v>11607</v>
      </c>
      <c r="O927" s="122">
        <v>4299</v>
      </c>
      <c r="P927" s="122">
        <v>1863</v>
      </c>
      <c r="Q927" s="122">
        <v>690</v>
      </c>
      <c r="R927" s="122">
        <v>18645</v>
      </c>
      <c r="S927" s="122">
        <v>16950</v>
      </c>
      <c r="T927" s="122">
        <v>3307</v>
      </c>
      <c r="U927" s="122">
        <v>1225</v>
      </c>
      <c r="V927" s="122">
        <v>91761</v>
      </c>
      <c r="W927" s="122">
        <f t="shared" si="28"/>
        <v>91761</v>
      </c>
      <c r="X927" s="122">
        <f t="shared" si="29"/>
        <v>110879</v>
      </c>
      <c r="Y927" s="122"/>
      <c r="AA927" t="s">
        <v>56</v>
      </c>
      <c r="AB927" t="s">
        <v>406</v>
      </c>
      <c r="AC927" t="s">
        <v>566</v>
      </c>
      <c r="AD927" t="s">
        <v>137</v>
      </c>
      <c r="AE927" t="s">
        <v>566</v>
      </c>
      <c r="AF927">
        <v>15</v>
      </c>
      <c r="AG927" s="122">
        <v>2669</v>
      </c>
      <c r="AH927" s="122">
        <v>2955</v>
      </c>
      <c r="AI927" s="122">
        <v>354494</v>
      </c>
      <c r="AJ927" s="122">
        <v>322267</v>
      </c>
      <c r="AK927">
        <v>83</v>
      </c>
      <c r="AL927">
        <v>0</v>
      </c>
      <c r="AM927" s="122">
        <v>0</v>
      </c>
      <c r="AN927" s="122">
        <v>56126</v>
      </c>
      <c r="AO927" s="122">
        <v>20787</v>
      </c>
      <c r="AP927" s="122">
        <v>12513</v>
      </c>
      <c r="AQ927" s="122">
        <v>4634</v>
      </c>
      <c r="AR927" s="122">
        <v>108018</v>
      </c>
      <c r="AS927" s="122">
        <v>40007</v>
      </c>
      <c r="AT927" s="122">
        <v>0</v>
      </c>
      <c r="AU927" s="122">
        <v>0</v>
      </c>
      <c r="AV927" s="122">
        <v>387696</v>
      </c>
    </row>
    <row r="928" spans="2:48" hidden="1">
      <c r="B928" t="s">
        <v>368</v>
      </c>
      <c r="C928" t="s">
        <v>56</v>
      </c>
      <c r="D928" t="s">
        <v>405</v>
      </c>
      <c r="E928" t="s">
        <v>425</v>
      </c>
      <c r="F928">
        <v>3</v>
      </c>
      <c r="G928" s="122">
        <v>314</v>
      </c>
      <c r="H928" s="122">
        <v>565</v>
      </c>
      <c r="I928" s="122">
        <v>43243</v>
      </c>
      <c r="J928" s="122">
        <v>39312</v>
      </c>
      <c r="K928">
        <v>81</v>
      </c>
      <c r="L928" s="122">
        <v>9644</v>
      </c>
      <c r="M928" s="122">
        <v>8767</v>
      </c>
      <c r="N928" s="122">
        <v>6731</v>
      </c>
      <c r="O928" s="122">
        <v>2493</v>
      </c>
      <c r="P928" s="122">
        <v>1769</v>
      </c>
      <c r="Q928" s="122">
        <v>655</v>
      </c>
      <c r="R928" s="122">
        <v>18894</v>
      </c>
      <c r="S928" s="122">
        <v>17176</v>
      </c>
      <c r="T928" s="122">
        <v>0</v>
      </c>
      <c r="U928" s="122">
        <v>0</v>
      </c>
      <c r="V928" s="122">
        <v>68403</v>
      </c>
      <c r="W928" s="122">
        <f t="shared" si="28"/>
        <v>68403</v>
      </c>
      <c r="X928" s="122">
        <f t="shared" si="29"/>
        <v>80281</v>
      </c>
      <c r="Y928" s="122"/>
      <c r="AA928" t="s">
        <v>56</v>
      </c>
      <c r="AB928" t="s">
        <v>406</v>
      </c>
      <c r="AC928" t="s">
        <v>566</v>
      </c>
      <c r="AD928" t="s">
        <v>406</v>
      </c>
      <c r="AE928" t="s">
        <v>137</v>
      </c>
      <c r="AF928">
        <v>475</v>
      </c>
      <c r="AG928" s="122">
        <v>66437</v>
      </c>
      <c r="AH928" s="122">
        <v>90664</v>
      </c>
      <c r="AI928" s="122">
        <v>8494939</v>
      </c>
      <c r="AJ928" s="122">
        <v>7722671</v>
      </c>
      <c r="AK928">
        <v>86</v>
      </c>
      <c r="AL928">
        <v>0</v>
      </c>
      <c r="AM928" s="122">
        <v>1366398</v>
      </c>
      <c r="AN928" s="122">
        <v>1394137</v>
      </c>
      <c r="AO928" s="122">
        <v>516347</v>
      </c>
      <c r="AP928" s="122">
        <v>295962</v>
      </c>
      <c r="AQ928" s="122">
        <v>109616</v>
      </c>
      <c r="AR928" s="122">
        <v>2066096</v>
      </c>
      <c r="AS928" s="122">
        <v>1878269</v>
      </c>
      <c r="AT928" s="122">
        <v>1055250</v>
      </c>
      <c r="AU928" s="122">
        <v>390833</v>
      </c>
      <c r="AV928" s="122">
        <v>11984134</v>
      </c>
    </row>
    <row r="929" spans="2:48" hidden="1">
      <c r="B929" t="s">
        <v>368</v>
      </c>
      <c r="C929" t="s">
        <v>56</v>
      </c>
      <c r="D929" t="s">
        <v>405</v>
      </c>
      <c r="E929" t="s">
        <v>405</v>
      </c>
      <c r="F929">
        <v>273</v>
      </c>
      <c r="G929" s="122">
        <v>45494</v>
      </c>
      <c r="H929" s="122">
        <v>51350</v>
      </c>
      <c r="I929" s="122">
        <v>5056510</v>
      </c>
      <c r="J929" s="122">
        <v>4596827</v>
      </c>
      <c r="K929">
        <v>85</v>
      </c>
      <c r="L929" s="122">
        <v>1127271</v>
      </c>
      <c r="M929" s="122">
        <v>1009712</v>
      </c>
      <c r="N929" s="122">
        <v>954929</v>
      </c>
      <c r="O929" s="122">
        <v>353677</v>
      </c>
      <c r="P929" s="122">
        <v>152879</v>
      </c>
      <c r="Q929" s="122">
        <v>56622</v>
      </c>
      <c r="R929" s="122">
        <v>1419903</v>
      </c>
      <c r="S929" s="122">
        <v>1290821</v>
      </c>
      <c r="T929" s="122">
        <v>190228</v>
      </c>
      <c r="U929" s="122">
        <v>70455</v>
      </c>
      <c r="V929" s="122">
        <v>7378114</v>
      </c>
      <c r="W929" s="122">
        <f t="shared" si="28"/>
        <v>7378114</v>
      </c>
      <c r="X929" s="122">
        <f t="shared" si="29"/>
        <v>8901720</v>
      </c>
      <c r="Y929" s="122"/>
      <c r="AA929" t="s">
        <v>56</v>
      </c>
      <c r="AB929" t="s">
        <v>406</v>
      </c>
      <c r="AC929" t="s">
        <v>566</v>
      </c>
      <c r="AD929" t="s">
        <v>406</v>
      </c>
      <c r="AE929" t="s">
        <v>566</v>
      </c>
      <c r="AF929">
        <v>623</v>
      </c>
      <c r="AG929" s="122">
        <v>83867</v>
      </c>
      <c r="AH929" s="122">
        <v>114780</v>
      </c>
      <c r="AI929" s="122">
        <v>10440080</v>
      </c>
      <c r="AJ929" s="122">
        <v>9490982</v>
      </c>
      <c r="AK929">
        <v>87</v>
      </c>
      <c r="AL929">
        <v>0</v>
      </c>
      <c r="AM929" s="122">
        <v>1537125</v>
      </c>
      <c r="AN929" s="122">
        <v>1705010</v>
      </c>
      <c r="AO929" s="122">
        <v>631485</v>
      </c>
      <c r="AP929" s="122">
        <v>410740</v>
      </c>
      <c r="AQ929" s="122">
        <v>152126</v>
      </c>
      <c r="AR929" s="122">
        <v>3338845</v>
      </c>
      <c r="AS929" s="122">
        <v>3035314</v>
      </c>
      <c r="AT929" s="122">
        <v>0</v>
      </c>
      <c r="AU929" s="122">
        <v>0</v>
      </c>
      <c r="AV929" s="122">
        <v>14847032</v>
      </c>
    </row>
    <row r="930" spans="2:48" hidden="1">
      <c r="B930" t="s">
        <v>368</v>
      </c>
      <c r="C930" t="s">
        <v>56</v>
      </c>
      <c r="D930" t="s">
        <v>405</v>
      </c>
      <c r="E930" t="s">
        <v>137</v>
      </c>
      <c r="F930">
        <v>1</v>
      </c>
      <c r="G930">
        <v>235</v>
      </c>
      <c r="H930" s="122">
        <v>197</v>
      </c>
      <c r="I930" s="122">
        <v>22068</v>
      </c>
      <c r="J930" s="122">
        <v>20062</v>
      </c>
      <c r="K930">
        <v>90</v>
      </c>
      <c r="L930" s="122">
        <v>7005</v>
      </c>
      <c r="M930" s="122">
        <v>6368</v>
      </c>
      <c r="N930" s="122">
        <v>5382</v>
      </c>
      <c r="O930" s="122">
        <v>1993</v>
      </c>
      <c r="P930" s="122">
        <v>473</v>
      </c>
      <c r="Q930">
        <v>175</v>
      </c>
      <c r="R930" s="122">
        <v>11312</v>
      </c>
      <c r="S930" s="122">
        <v>4190</v>
      </c>
      <c r="T930" s="122">
        <v>0</v>
      </c>
      <c r="U930" s="122">
        <v>0</v>
      </c>
      <c r="V930" s="122">
        <v>32788</v>
      </c>
      <c r="W930" s="122">
        <f t="shared" si="28"/>
        <v>32788</v>
      </c>
      <c r="X930" s="122">
        <f t="shared" si="29"/>
        <v>46240</v>
      </c>
      <c r="Y930" s="122"/>
      <c r="AA930" t="s">
        <v>56</v>
      </c>
      <c r="AB930" t="s">
        <v>406</v>
      </c>
      <c r="AC930" t="s">
        <v>566</v>
      </c>
      <c r="AD930" t="s">
        <v>427</v>
      </c>
      <c r="AE930" t="s">
        <v>137</v>
      </c>
      <c r="AF930">
        <v>1</v>
      </c>
      <c r="AG930">
        <v>130</v>
      </c>
      <c r="AH930">
        <v>223</v>
      </c>
      <c r="AI930" s="122">
        <v>17991</v>
      </c>
      <c r="AJ930" s="122">
        <v>16356</v>
      </c>
      <c r="AK930">
        <v>86</v>
      </c>
      <c r="AL930">
        <v>0</v>
      </c>
      <c r="AM930" s="122">
        <v>0</v>
      </c>
      <c r="AN930" s="122">
        <v>3174</v>
      </c>
      <c r="AO930" s="122">
        <v>1176</v>
      </c>
      <c r="AP930">
        <v>621</v>
      </c>
      <c r="AQ930">
        <v>230</v>
      </c>
      <c r="AR930" s="122">
        <v>4092</v>
      </c>
      <c r="AS930" s="122">
        <v>3720</v>
      </c>
      <c r="AT930" s="122">
        <v>3153</v>
      </c>
      <c r="AU930" s="122">
        <v>1168</v>
      </c>
      <c r="AV930" s="122">
        <v>22650</v>
      </c>
    </row>
    <row r="931" spans="2:48" hidden="1">
      <c r="B931" t="s">
        <v>368</v>
      </c>
      <c r="C931" t="s">
        <v>56</v>
      </c>
      <c r="D931" t="s">
        <v>405</v>
      </c>
      <c r="E931" t="s">
        <v>407</v>
      </c>
      <c r="F931">
        <v>3</v>
      </c>
      <c r="G931">
        <v>553</v>
      </c>
      <c r="H931" s="122">
        <v>549</v>
      </c>
      <c r="I931" s="122">
        <v>62950</v>
      </c>
      <c r="J931" s="122">
        <v>57227</v>
      </c>
      <c r="K931">
        <v>78</v>
      </c>
      <c r="L931" s="122">
        <v>14244</v>
      </c>
      <c r="M931" s="122">
        <v>12949</v>
      </c>
      <c r="N931" s="122">
        <v>13741</v>
      </c>
      <c r="O931" s="122">
        <v>5089</v>
      </c>
      <c r="P931" s="122">
        <v>1418</v>
      </c>
      <c r="Q931" s="122">
        <v>525</v>
      </c>
      <c r="R931" s="122">
        <v>21632</v>
      </c>
      <c r="S931" s="122">
        <v>19665</v>
      </c>
      <c r="T931" s="122">
        <v>0</v>
      </c>
      <c r="U931" s="122">
        <v>0</v>
      </c>
      <c r="V931" s="122">
        <v>95456</v>
      </c>
      <c r="W931" s="122">
        <f t="shared" si="28"/>
        <v>95455</v>
      </c>
      <c r="X931" s="122">
        <f t="shared" si="29"/>
        <v>113985</v>
      </c>
      <c r="Y931" s="122"/>
      <c r="AA931" t="s">
        <v>56</v>
      </c>
      <c r="AB931" t="s">
        <v>406</v>
      </c>
      <c r="AC931" t="s">
        <v>566</v>
      </c>
      <c r="AD931" t="s">
        <v>427</v>
      </c>
      <c r="AE931" t="s">
        <v>566</v>
      </c>
      <c r="AF931">
        <v>1</v>
      </c>
      <c r="AG931">
        <v>140</v>
      </c>
      <c r="AH931">
        <v>222</v>
      </c>
      <c r="AI931" s="122">
        <v>20440</v>
      </c>
      <c r="AJ931" s="122">
        <v>18582</v>
      </c>
      <c r="AK931">
        <v>82</v>
      </c>
      <c r="AL931" s="122">
        <v>0</v>
      </c>
      <c r="AM931" s="122">
        <v>5375</v>
      </c>
      <c r="AN931" s="122">
        <v>3410</v>
      </c>
      <c r="AO931" s="122">
        <v>1263</v>
      </c>
      <c r="AP931">
        <v>621</v>
      </c>
      <c r="AQ931">
        <v>230</v>
      </c>
      <c r="AR931" s="122">
        <v>6527</v>
      </c>
      <c r="AS931" s="122">
        <v>5933</v>
      </c>
      <c r="AT931">
        <v>0</v>
      </c>
      <c r="AU931">
        <v>0</v>
      </c>
      <c r="AV931" s="122">
        <v>31384</v>
      </c>
    </row>
    <row r="932" spans="2:48" hidden="1">
      <c r="B932" t="s">
        <v>368</v>
      </c>
      <c r="C932" t="s">
        <v>56</v>
      </c>
      <c r="D932" t="s">
        <v>137</v>
      </c>
      <c r="E932" t="s">
        <v>137</v>
      </c>
      <c r="F932">
        <v>65</v>
      </c>
      <c r="G932" s="122">
        <v>12023</v>
      </c>
      <c r="H932" s="122">
        <v>12379</v>
      </c>
      <c r="I932" s="122">
        <v>1288320</v>
      </c>
      <c r="J932" s="122">
        <v>477156</v>
      </c>
      <c r="K932">
        <v>199</v>
      </c>
      <c r="L932" s="122">
        <v>225161</v>
      </c>
      <c r="M932" s="122">
        <v>194656</v>
      </c>
      <c r="N932" s="122">
        <v>249573</v>
      </c>
      <c r="O932" s="122">
        <v>92434</v>
      </c>
      <c r="P932" s="122">
        <v>43486</v>
      </c>
      <c r="Q932" s="122">
        <v>16106</v>
      </c>
      <c r="R932" s="122">
        <v>560405</v>
      </c>
      <c r="S932" s="122">
        <v>207557</v>
      </c>
      <c r="T932" s="122">
        <v>0</v>
      </c>
      <c r="U932" s="122">
        <v>0</v>
      </c>
      <c r="V932" s="122">
        <v>987909</v>
      </c>
      <c r="W932" s="122">
        <f t="shared" si="28"/>
        <v>987909</v>
      </c>
      <c r="X932" s="122">
        <f t="shared" si="29"/>
        <v>2366945</v>
      </c>
      <c r="Y932" s="122"/>
      <c r="AA932" t="s">
        <v>56</v>
      </c>
      <c r="AB932" t="s">
        <v>406</v>
      </c>
      <c r="AC932" t="s">
        <v>481</v>
      </c>
      <c r="AD932" t="s">
        <v>425</v>
      </c>
      <c r="AE932" t="s">
        <v>137</v>
      </c>
      <c r="AF932">
        <v>1</v>
      </c>
      <c r="AG932" s="122">
        <v>145</v>
      </c>
      <c r="AH932" s="122">
        <v>162</v>
      </c>
      <c r="AI932" s="122">
        <v>10713</v>
      </c>
      <c r="AJ932" s="122">
        <v>9739</v>
      </c>
      <c r="AK932">
        <v>83</v>
      </c>
      <c r="AL932" s="122">
        <v>3301</v>
      </c>
      <c r="AM932" s="122">
        <v>3001</v>
      </c>
      <c r="AN932" s="122">
        <v>3404</v>
      </c>
      <c r="AO932" s="122">
        <v>1261</v>
      </c>
      <c r="AP932" s="122">
        <v>621</v>
      </c>
      <c r="AQ932" s="122">
        <v>230</v>
      </c>
      <c r="AR932" s="122">
        <v>5399</v>
      </c>
      <c r="AS932" s="122">
        <v>4908</v>
      </c>
      <c r="AT932" s="122">
        <v>0</v>
      </c>
      <c r="AU932" s="122">
        <v>0</v>
      </c>
      <c r="AV932" s="122">
        <v>19139</v>
      </c>
    </row>
    <row r="933" spans="2:48" hidden="1">
      <c r="B933" t="s">
        <v>368</v>
      </c>
      <c r="C933" t="s">
        <v>56</v>
      </c>
      <c r="D933" t="s">
        <v>137</v>
      </c>
      <c r="E933" t="s">
        <v>406</v>
      </c>
      <c r="F933">
        <v>2</v>
      </c>
      <c r="G933" s="122">
        <v>414</v>
      </c>
      <c r="H933" s="122">
        <v>418</v>
      </c>
      <c r="I933" s="122">
        <v>55610</v>
      </c>
      <c r="J933" s="122">
        <v>20596</v>
      </c>
      <c r="K933">
        <v>285</v>
      </c>
      <c r="L933" s="122">
        <v>3347</v>
      </c>
      <c r="M933" s="122">
        <v>3043</v>
      </c>
      <c r="N933" s="122">
        <v>9121</v>
      </c>
      <c r="O933" s="122">
        <v>3378</v>
      </c>
      <c r="P933" s="122">
        <v>3197</v>
      </c>
      <c r="Q933" s="122">
        <v>1184</v>
      </c>
      <c r="R933" s="122">
        <v>11687</v>
      </c>
      <c r="S933" s="122">
        <v>10625</v>
      </c>
      <c r="T933" s="122">
        <v>3457</v>
      </c>
      <c r="U933" s="122">
        <v>1281</v>
      </c>
      <c r="V933" s="122">
        <v>40107</v>
      </c>
      <c r="W933" s="122">
        <f t="shared" si="28"/>
        <v>40107</v>
      </c>
      <c r="X933" s="122">
        <f t="shared" si="29"/>
        <v>86419</v>
      </c>
      <c r="Y933" s="122"/>
      <c r="AA933" t="s">
        <v>56</v>
      </c>
      <c r="AB933" t="s">
        <v>406</v>
      </c>
      <c r="AC933" t="s">
        <v>481</v>
      </c>
      <c r="AD933" t="s">
        <v>406</v>
      </c>
      <c r="AE933" t="s">
        <v>137</v>
      </c>
      <c r="AF933">
        <v>31</v>
      </c>
      <c r="AG933" s="122">
        <v>5373</v>
      </c>
      <c r="AH933" s="122">
        <v>5889</v>
      </c>
      <c r="AI933" s="122">
        <v>577289</v>
      </c>
      <c r="AJ933" s="122">
        <v>524809</v>
      </c>
      <c r="AK933">
        <v>84</v>
      </c>
      <c r="AL933" s="122">
        <v>125768</v>
      </c>
      <c r="AM933" s="122">
        <v>114335</v>
      </c>
      <c r="AN933" s="122">
        <v>109795</v>
      </c>
      <c r="AO933" s="122">
        <v>40665</v>
      </c>
      <c r="AP933" s="122">
        <v>20478</v>
      </c>
      <c r="AQ933" s="122">
        <v>7584</v>
      </c>
      <c r="AR933" s="122">
        <v>153690</v>
      </c>
      <c r="AS933" s="122">
        <v>139719</v>
      </c>
      <c r="AT933" s="122">
        <v>74111</v>
      </c>
      <c r="AU933" s="122">
        <v>27448</v>
      </c>
      <c r="AV933" s="122">
        <v>854559</v>
      </c>
    </row>
    <row r="934" spans="2:48" hidden="1">
      <c r="B934" t="s">
        <v>368</v>
      </c>
      <c r="C934" t="s">
        <v>56</v>
      </c>
      <c r="D934" t="s">
        <v>406</v>
      </c>
      <c r="E934" t="s">
        <v>425</v>
      </c>
      <c r="F934">
        <v>4</v>
      </c>
      <c r="G934" s="122">
        <v>638</v>
      </c>
      <c r="H934" s="122">
        <v>787</v>
      </c>
      <c r="I934" s="122">
        <v>81761</v>
      </c>
      <c r="J934" s="122">
        <v>74329</v>
      </c>
      <c r="K934">
        <v>83</v>
      </c>
      <c r="L934" s="122">
        <v>18509</v>
      </c>
      <c r="M934" s="122">
        <v>16826</v>
      </c>
      <c r="N934" s="122">
        <v>12913</v>
      </c>
      <c r="O934" s="122">
        <v>4783</v>
      </c>
      <c r="P934" s="122">
        <v>2484</v>
      </c>
      <c r="Q934" s="122">
        <v>920</v>
      </c>
      <c r="R934" s="122">
        <v>25542</v>
      </c>
      <c r="S934" s="122">
        <v>23220</v>
      </c>
      <c r="T934" s="122">
        <v>0</v>
      </c>
      <c r="U934" s="122">
        <v>0</v>
      </c>
      <c r="V934" s="122">
        <v>120078</v>
      </c>
      <c r="W934" s="122">
        <f t="shared" si="28"/>
        <v>120078</v>
      </c>
      <c r="X934" s="122">
        <f t="shared" si="29"/>
        <v>141209</v>
      </c>
      <c r="Y934" s="122"/>
      <c r="AA934" t="s">
        <v>56</v>
      </c>
      <c r="AB934" t="s">
        <v>406</v>
      </c>
      <c r="AC934" t="s">
        <v>481</v>
      </c>
      <c r="AD934" t="s">
        <v>406</v>
      </c>
      <c r="AE934" t="s">
        <v>566</v>
      </c>
      <c r="AF934">
        <v>44</v>
      </c>
      <c r="AG934" s="122">
        <v>7430</v>
      </c>
      <c r="AH934" s="122">
        <v>8437</v>
      </c>
      <c r="AI934" s="122">
        <v>845698</v>
      </c>
      <c r="AJ934" s="122">
        <v>768817</v>
      </c>
      <c r="AK934">
        <v>84</v>
      </c>
      <c r="AL934" s="122">
        <v>169366</v>
      </c>
      <c r="AM934" s="122">
        <v>153969</v>
      </c>
      <c r="AN934" s="122">
        <v>157981</v>
      </c>
      <c r="AO934" s="122">
        <v>58512</v>
      </c>
      <c r="AP934" s="122">
        <v>31347</v>
      </c>
      <c r="AQ934" s="122">
        <v>11610</v>
      </c>
      <c r="AR934" s="122">
        <v>267737</v>
      </c>
      <c r="AS934" s="122">
        <v>243397</v>
      </c>
      <c r="AT934">
        <v>0</v>
      </c>
      <c r="AU934">
        <v>0</v>
      </c>
      <c r="AV934" s="122">
        <v>1236304</v>
      </c>
    </row>
    <row r="935" spans="2:48" hidden="1">
      <c r="B935" t="s">
        <v>368</v>
      </c>
      <c r="C935" t="s">
        <v>56</v>
      </c>
      <c r="D935" t="s">
        <v>406</v>
      </c>
      <c r="E935" t="s">
        <v>137</v>
      </c>
      <c r="F935">
        <v>24</v>
      </c>
      <c r="G935" s="122">
        <v>4395</v>
      </c>
      <c r="H935" s="122">
        <v>4597</v>
      </c>
      <c r="I935" s="122">
        <v>435838</v>
      </c>
      <c r="J935" s="122">
        <v>396216</v>
      </c>
      <c r="K935">
        <v>86</v>
      </c>
      <c r="L935" s="122">
        <v>93347</v>
      </c>
      <c r="M935" s="122">
        <v>84169</v>
      </c>
      <c r="N935" s="122">
        <v>85437</v>
      </c>
      <c r="O935" s="122">
        <v>31643</v>
      </c>
      <c r="P935" s="122">
        <v>18567</v>
      </c>
      <c r="Q935" s="122">
        <v>6877</v>
      </c>
      <c r="R935" s="122">
        <v>200980</v>
      </c>
      <c r="S935" s="122">
        <v>74437</v>
      </c>
      <c r="T935" s="122">
        <v>0</v>
      </c>
      <c r="U935" s="122">
        <v>0</v>
      </c>
      <c r="V935" s="122">
        <v>593342</v>
      </c>
      <c r="W935" s="122">
        <f t="shared" si="28"/>
        <v>593342</v>
      </c>
      <c r="X935" s="122">
        <f t="shared" si="29"/>
        <v>834169</v>
      </c>
      <c r="Y935" s="122"/>
      <c r="AA935" t="s">
        <v>56</v>
      </c>
      <c r="AB935" t="s">
        <v>406</v>
      </c>
      <c r="AC935" t="s">
        <v>481</v>
      </c>
      <c r="AD935" t="s">
        <v>427</v>
      </c>
      <c r="AE935" t="s">
        <v>137</v>
      </c>
      <c r="AF935">
        <v>1</v>
      </c>
      <c r="AG935">
        <v>201</v>
      </c>
      <c r="AH935">
        <v>170</v>
      </c>
      <c r="AI935" s="122">
        <v>22471</v>
      </c>
      <c r="AJ935" s="122">
        <v>20428</v>
      </c>
      <c r="AK935">
        <v>86</v>
      </c>
      <c r="AL935" s="122">
        <v>3119</v>
      </c>
      <c r="AM935" s="122">
        <v>2835</v>
      </c>
      <c r="AN935" s="122">
        <v>3240</v>
      </c>
      <c r="AO935" s="122">
        <v>1200</v>
      </c>
      <c r="AP935">
        <v>621</v>
      </c>
      <c r="AQ935">
        <v>230</v>
      </c>
      <c r="AR935" s="122">
        <v>4887</v>
      </c>
      <c r="AS935" s="122">
        <v>4443</v>
      </c>
      <c r="AT935" s="122">
        <v>0</v>
      </c>
      <c r="AU935">
        <v>0</v>
      </c>
      <c r="AV935" s="122">
        <v>29137</v>
      </c>
    </row>
    <row r="936" spans="2:48" hidden="1">
      <c r="B936" t="s">
        <v>368</v>
      </c>
      <c r="C936" t="s">
        <v>56</v>
      </c>
      <c r="D936" t="s">
        <v>406</v>
      </c>
      <c r="E936" t="s">
        <v>406</v>
      </c>
      <c r="F936" s="122">
        <v>7156</v>
      </c>
      <c r="G936" s="122">
        <v>1213818</v>
      </c>
      <c r="H936" s="122">
        <v>1356608</v>
      </c>
      <c r="I936" s="122">
        <v>133028270</v>
      </c>
      <c r="J936" s="122">
        <v>120934791</v>
      </c>
      <c r="K936">
        <v>85</v>
      </c>
      <c r="L936" s="122">
        <v>27876858</v>
      </c>
      <c r="M936" s="122">
        <v>24798559</v>
      </c>
      <c r="N936" s="122">
        <v>25136005</v>
      </c>
      <c r="O936" s="122">
        <v>9309631</v>
      </c>
      <c r="P936" s="122">
        <v>4905221</v>
      </c>
      <c r="Q936" s="122">
        <v>1816748</v>
      </c>
      <c r="R936" s="122">
        <v>40361278</v>
      </c>
      <c r="S936" s="122">
        <v>36692070</v>
      </c>
      <c r="T936" s="122">
        <v>7414777</v>
      </c>
      <c r="U936" s="122">
        <v>2746214</v>
      </c>
      <c r="V936" s="122">
        <v>196298013</v>
      </c>
      <c r="W936" s="122">
        <f t="shared" si="28"/>
        <v>196298013</v>
      </c>
      <c r="X936" s="122">
        <f t="shared" si="29"/>
        <v>238722409</v>
      </c>
      <c r="Y936" s="122"/>
      <c r="AA936" t="s">
        <v>56</v>
      </c>
      <c r="AB936" t="s">
        <v>406</v>
      </c>
      <c r="AC936" t="s">
        <v>481</v>
      </c>
      <c r="AD936" t="s">
        <v>426</v>
      </c>
      <c r="AE936" t="s">
        <v>137</v>
      </c>
      <c r="AF936">
        <v>1</v>
      </c>
      <c r="AG936">
        <v>93</v>
      </c>
      <c r="AH936">
        <v>191</v>
      </c>
      <c r="AI936" s="122">
        <v>10236</v>
      </c>
      <c r="AJ936" s="122">
        <v>9305</v>
      </c>
      <c r="AK936">
        <v>94</v>
      </c>
      <c r="AL936" s="122">
        <v>1564</v>
      </c>
      <c r="AM936" s="122">
        <v>1422</v>
      </c>
      <c r="AN936" s="122">
        <v>1367</v>
      </c>
      <c r="AO936" s="122">
        <v>506</v>
      </c>
      <c r="AP936">
        <v>621</v>
      </c>
      <c r="AQ936">
        <v>230</v>
      </c>
      <c r="AR936" s="122">
        <v>2202</v>
      </c>
      <c r="AS936" s="122">
        <v>2002</v>
      </c>
      <c r="AT936" s="122">
        <v>1836</v>
      </c>
      <c r="AU936">
        <v>680</v>
      </c>
      <c r="AV936" s="122">
        <v>14145</v>
      </c>
    </row>
    <row r="937" spans="2:48" hidden="1">
      <c r="B937" t="s">
        <v>368</v>
      </c>
      <c r="C937" t="s">
        <v>56</v>
      </c>
      <c r="D937" t="s">
        <v>406</v>
      </c>
      <c r="E937" t="s">
        <v>427</v>
      </c>
      <c r="F937">
        <v>1</v>
      </c>
      <c r="G937" s="122">
        <v>138</v>
      </c>
      <c r="H937" s="122">
        <v>215</v>
      </c>
      <c r="I937" s="122">
        <v>24460</v>
      </c>
      <c r="J937" s="122">
        <v>22236</v>
      </c>
      <c r="K937">
        <v>70</v>
      </c>
      <c r="L937" s="122">
        <v>2927</v>
      </c>
      <c r="M937" s="122">
        <v>2661</v>
      </c>
      <c r="N937" s="122">
        <v>4482</v>
      </c>
      <c r="O937" s="122">
        <v>1660</v>
      </c>
      <c r="P937" s="122">
        <v>1323</v>
      </c>
      <c r="Q937" s="122">
        <v>490</v>
      </c>
      <c r="R937" s="122">
        <v>5570</v>
      </c>
      <c r="S937" s="122">
        <v>5064</v>
      </c>
      <c r="T937" s="122">
        <v>3627</v>
      </c>
      <c r="U937" s="122">
        <v>1343</v>
      </c>
      <c r="V937" s="122">
        <v>33454</v>
      </c>
      <c r="W937" s="122">
        <f t="shared" si="28"/>
        <v>33454</v>
      </c>
      <c r="X937" s="122">
        <f t="shared" si="29"/>
        <v>42389</v>
      </c>
      <c r="Y937" s="122"/>
      <c r="AA937" t="s">
        <v>56</v>
      </c>
      <c r="AB937" t="s">
        <v>406</v>
      </c>
      <c r="AC937" t="s">
        <v>433</v>
      </c>
      <c r="AD937" t="s">
        <v>425</v>
      </c>
      <c r="AE937" t="s">
        <v>137</v>
      </c>
      <c r="AF937">
        <v>1</v>
      </c>
      <c r="AG937">
        <v>186</v>
      </c>
      <c r="AH937">
        <v>192</v>
      </c>
      <c r="AI937" s="122">
        <v>19593</v>
      </c>
      <c r="AJ937" s="122">
        <v>17812</v>
      </c>
      <c r="AK937">
        <v>85</v>
      </c>
      <c r="AL937" s="122">
        <v>2928</v>
      </c>
      <c r="AM937" s="122">
        <v>2662</v>
      </c>
      <c r="AN937" s="122">
        <v>4525</v>
      </c>
      <c r="AO937" s="122">
        <v>1676</v>
      </c>
      <c r="AP937" s="122">
        <v>621</v>
      </c>
      <c r="AQ937">
        <v>230</v>
      </c>
      <c r="AR937" s="122">
        <v>7931</v>
      </c>
      <c r="AS937" s="122">
        <v>7210</v>
      </c>
      <c r="AT937">
        <v>0</v>
      </c>
      <c r="AU937">
        <v>0</v>
      </c>
      <c r="AV937" s="122">
        <v>29590</v>
      </c>
    </row>
    <row r="938" spans="2:48" hidden="1">
      <c r="B938" t="s">
        <v>368</v>
      </c>
      <c r="C938" t="s">
        <v>56</v>
      </c>
      <c r="D938" t="s">
        <v>406</v>
      </c>
      <c r="E938" t="s">
        <v>407</v>
      </c>
      <c r="F938">
        <v>2</v>
      </c>
      <c r="G938" s="122">
        <v>289</v>
      </c>
      <c r="H938" s="122">
        <v>379</v>
      </c>
      <c r="I938" s="122">
        <v>30560</v>
      </c>
      <c r="J938" s="122">
        <v>27782</v>
      </c>
      <c r="K938">
        <v>91</v>
      </c>
      <c r="L938" s="122">
        <v>4430</v>
      </c>
      <c r="M938" s="122">
        <v>4027</v>
      </c>
      <c r="N938" s="122">
        <v>7366</v>
      </c>
      <c r="O938" s="122">
        <v>2728</v>
      </c>
      <c r="P938" s="122">
        <v>1944</v>
      </c>
      <c r="Q938">
        <v>720</v>
      </c>
      <c r="R938" s="122">
        <v>6975</v>
      </c>
      <c r="S938" s="122">
        <v>6341</v>
      </c>
      <c r="T938" s="122">
        <v>6259</v>
      </c>
      <c r="U938" s="122">
        <v>2318</v>
      </c>
      <c r="V938" s="122">
        <v>43916</v>
      </c>
      <c r="W938" s="122">
        <f t="shared" si="28"/>
        <v>43916</v>
      </c>
      <c r="X938" s="122">
        <f t="shared" si="29"/>
        <v>57534</v>
      </c>
      <c r="Y938" s="122"/>
      <c r="AA938" t="s">
        <v>56</v>
      </c>
      <c r="AB938" t="s">
        <v>406</v>
      </c>
      <c r="AC938" t="s">
        <v>433</v>
      </c>
      <c r="AD938" t="s">
        <v>425</v>
      </c>
      <c r="AE938" t="s">
        <v>566</v>
      </c>
      <c r="AF938">
        <v>2</v>
      </c>
      <c r="AG938">
        <v>327</v>
      </c>
      <c r="AH938">
        <v>348</v>
      </c>
      <c r="AI938" s="122">
        <v>37153</v>
      </c>
      <c r="AJ938" s="122">
        <v>33776</v>
      </c>
      <c r="AK938">
        <v>90</v>
      </c>
      <c r="AL938" s="122">
        <v>9615</v>
      </c>
      <c r="AM938" s="122">
        <v>8741</v>
      </c>
      <c r="AN938" s="122">
        <v>6245</v>
      </c>
      <c r="AO938" s="122">
        <v>2313</v>
      </c>
      <c r="AP938" s="122">
        <v>1242</v>
      </c>
      <c r="AQ938">
        <v>460</v>
      </c>
      <c r="AR938" s="122">
        <v>11464</v>
      </c>
      <c r="AS938" s="122">
        <v>10422</v>
      </c>
      <c r="AT938">
        <v>0</v>
      </c>
      <c r="AU938">
        <v>0</v>
      </c>
      <c r="AV938" s="122">
        <v>55712</v>
      </c>
    </row>
    <row r="939" spans="2:48" hidden="1">
      <c r="B939" t="s">
        <v>368</v>
      </c>
      <c r="C939" t="s">
        <v>56</v>
      </c>
      <c r="D939" t="s">
        <v>406</v>
      </c>
      <c r="E939" t="s">
        <v>431</v>
      </c>
      <c r="F939" s="122">
        <v>2</v>
      </c>
      <c r="G939" s="122">
        <v>393</v>
      </c>
      <c r="H939" s="122">
        <v>378</v>
      </c>
      <c r="I939" s="122">
        <v>49139</v>
      </c>
      <c r="J939" s="122">
        <v>44672</v>
      </c>
      <c r="K939" s="122">
        <v>70</v>
      </c>
      <c r="L939" s="122">
        <v>5586</v>
      </c>
      <c r="M939" s="122">
        <v>5078</v>
      </c>
      <c r="N939" s="122">
        <v>5618</v>
      </c>
      <c r="O939" s="122">
        <v>2081</v>
      </c>
      <c r="P939" s="122">
        <v>1242</v>
      </c>
      <c r="Q939" s="122">
        <v>460</v>
      </c>
      <c r="R939" s="122">
        <v>19265</v>
      </c>
      <c r="S939" s="122">
        <v>17514</v>
      </c>
      <c r="T939" s="122">
        <v>0</v>
      </c>
      <c r="U939" s="122">
        <v>0</v>
      </c>
      <c r="V939" s="122">
        <v>69804</v>
      </c>
      <c r="W939" s="122">
        <f t="shared" si="28"/>
        <v>69805</v>
      </c>
      <c r="X939" s="122">
        <f t="shared" si="29"/>
        <v>80850</v>
      </c>
      <c r="AA939" t="s">
        <v>56</v>
      </c>
      <c r="AB939" t="s">
        <v>406</v>
      </c>
      <c r="AC939" t="s">
        <v>433</v>
      </c>
      <c r="AD939" t="s">
        <v>405</v>
      </c>
      <c r="AE939" t="s">
        <v>566</v>
      </c>
      <c r="AF939">
        <v>1</v>
      </c>
      <c r="AG939" s="122">
        <v>335</v>
      </c>
      <c r="AH939" s="122">
        <v>220</v>
      </c>
      <c r="AI939" s="122">
        <v>44662</v>
      </c>
      <c r="AJ939" s="122">
        <v>40602</v>
      </c>
      <c r="AK939">
        <v>70</v>
      </c>
      <c r="AL939" s="122">
        <v>11000</v>
      </c>
      <c r="AM939" s="122">
        <v>10000</v>
      </c>
      <c r="AN939" s="122">
        <v>6694</v>
      </c>
      <c r="AO939" s="122">
        <v>2479</v>
      </c>
      <c r="AP939" s="122">
        <v>621</v>
      </c>
      <c r="AQ939" s="122">
        <v>230</v>
      </c>
      <c r="AR939" s="122">
        <v>10721</v>
      </c>
      <c r="AS939" s="122">
        <v>9746</v>
      </c>
      <c r="AT939">
        <v>0</v>
      </c>
      <c r="AU939">
        <v>0</v>
      </c>
      <c r="AV939" s="122">
        <v>63057</v>
      </c>
    </row>
    <row r="940" spans="2:48" hidden="1">
      <c r="B940" t="s">
        <v>368</v>
      </c>
      <c r="C940" t="s">
        <v>56</v>
      </c>
      <c r="D940" t="s">
        <v>406</v>
      </c>
      <c r="E940" t="s">
        <v>426</v>
      </c>
      <c r="F940" s="122">
        <v>3</v>
      </c>
      <c r="G940" s="122">
        <v>599</v>
      </c>
      <c r="H940" s="122">
        <v>540</v>
      </c>
      <c r="I940" s="122">
        <v>54982</v>
      </c>
      <c r="J940" s="122">
        <v>49984</v>
      </c>
      <c r="K940" s="122">
        <v>89</v>
      </c>
      <c r="L940" s="122">
        <v>11602</v>
      </c>
      <c r="M940" s="122">
        <v>10547</v>
      </c>
      <c r="N940" s="122">
        <v>11595</v>
      </c>
      <c r="O940" s="122">
        <v>4295</v>
      </c>
      <c r="P940" s="122">
        <v>1863</v>
      </c>
      <c r="Q940" s="122">
        <v>690</v>
      </c>
      <c r="R940" s="122">
        <v>19918</v>
      </c>
      <c r="S940" s="122">
        <v>18107</v>
      </c>
      <c r="T940" s="122">
        <v>3911</v>
      </c>
      <c r="U940" s="122">
        <v>1449</v>
      </c>
      <c r="V940" s="122">
        <v>85071</v>
      </c>
      <c r="W940" s="122">
        <f t="shared" si="28"/>
        <v>85072</v>
      </c>
      <c r="X940" s="122">
        <f t="shared" si="29"/>
        <v>103871</v>
      </c>
      <c r="AA940" t="s">
        <v>56</v>
      </c>
      <c r="AB940" t="s">
        <v>406</v>
      </c>
      <c r="AC940" t="s">
        <v>433</v>
      </c>
      <c r="AD940" t="s">
        <v>137</v>
      </c>
      <c r="AE940" t="s">
        <v>566</v>
      </c>
      <c r="AF940">
        <v>13</v>
      </c>
      <c r="AG940" s="122">
        <v>2163</v>
      </c>
      <c r="AH940" s="122">
        <v>2527</v>
      </c>
      <c r="AI940" s="122">
        <v>260810</v>
      </c>
      <c r="AJ940" s="122">
        <v>237100</v>
      </c>
      <c r="AK940">
        <v>89</v>
      </c>
      <c r="AL940" s="122">
        <v>53444</v>
      </c>
      <c r="AM940" s="122">
        <v>48585</v>
      </c>
      <c r="AN940" s="122">
        <v>44010</v>
      </c>
      <c r="AO940" s="122">
        <v>16300</v>
      </c>
      <c r="AP940" s="122">
        <v>8424</v>
      </c>
      <c r="AQ940" s="122">
        <v>3120</v>
      </c>
      <c r="AR940" s="122">
        <v>85270</v>
      </c>
      <c r="AS940" s="122">
        <v>31582</v>
      </c>
      <c r="AT940" s="122">
        <v>0</v>
      </c>
      <c r="AU940" s="122">
        <v>0</v>
      </c>
      <c r="AV940" s="122">
        <v>336687</v>
      </c>
    </row>
    <row r="941" spans="2:48" hidden="1">
      <c r="B941" t="s">
        <v>368</v>
      </c>
      <c r="C941" t="s">
        <v>56</v>
      </c>
      <c r="D941" t="s">
        <v>406</v>
      </c>
      <c r="E941" t="s">
        <v>433</v>
      </c>
      <c r="F941" s="122">
        <v>1</v>
      </c>
      <c r="G941" s="122">
        <v>155</v>
      </c>
      <c r="H941" s="122">
        <v>190</v>
      </c>
      <c r="I941" s="122">
        <v>24141</v>
      </c>
      <c r="J941" s="122">
        <v>21946</v>
      </c>
      <c r="K941" s="122">
        <v>79</v>
      </c>
      <c r="L941" s="122">
        <v>3095</v>
      </c>
      <c r="M941" s="122">
        <v>2814</v>
      </c>
      <c r="N941" s="122">
        <v>4521</v>
      </c>
      <c r="O941" s="122">
        <v>1674</v>
      </c>
      <c r="P941" s="122">
        <v>621</v>
      </c>
      <c r="Q941" s="122">
        <v>230</v>
      </c>
      <c r="R941" s="122">
        <v>8389</v>
      </c>
      <c r="S941" s="122">
        <v>7626</v>
      </c>
      <c r="T941" s="122">
        <v>0</v>
      </c>
      <c r="U941" s="122">
        <v>0</v>
      </c>
      <c r="V941" s="122">
        <v>34290</v>
      </c>
      <c r="W941" s="122">
        <f t="shared" si="28"/>
        <v>34290</v>
      </c>
      <c r="X941" s="122">
        <f t="shared" si="29"/>
        <v>40767</v>
      </c>
      <c r="AA941" t="s">
        <v>56</v>
      </c>
      <c r="AB941" t="s">
        <v>406</v>
      </c>
      <c r="AC941" t="s">
        <v>433</v>
      </c>
      <c r="AD941" t="s">
        <v>406</v>
      </c>
      <c r="AE941" t="s">
        <v>137</v>
      </c>
      <c r="AF941" s="122">
        <v>925</v>
      </c>
      <c r="AG941" s="122">
        <v>148306</v>
      </c>
      <c r="AH941" s="122">
        <v>177088</v>
      </c>
      <c r="AI941" s="122">
        <v>17052063</v>
      </c>
      <c r="AJ941" s="122">
        <v>15501875</v>
      </c>
      <c r="AK941">
        <v>85</v>
      </c>
      <c r="AL941" s="122">
        <v>3241592</v>
      </c>
      <c r="AM941" s="122">
        <v>2946902</v>
      </c>
      <c r="AN941" s="122">
        <v>2933825</v>
      </c>
      <c r="AO941" s="122">
        <v>1086602</v>
      </c>
      <c r="AP941" s="122">
        <v>620779</v>
      </c>
      <c r="AQ941" s="122">
        <v>229918</v>
      </c>
      <c r="AR941" s="122">
        <v>4441717</v>
      </c>
      <c r="AS941" s="122">
        <v>4037925</v>
      </c>
      <c r="AT941" s="122">
        <v>1905383</v>
      </c>
      <c r="AU941" s="122">
        <v>705698</v>
      </c>
      <c r="AV941" s="122">
        <v>24508920</v>
      </c>
    </row>
    <row r="942" spans="2:48" hidden="1">
      <c r="B942" t="s">
        <v>368</v>
      </c>
      <c r="C942" t="s">
        <v>56</v>
      </c>
      <c r="D942" t="s">
        <v>427</v>
      </c>
      <c r="E942" t="s">
        <v>427</v>
      </c>
      <c r="F942" s="122">
        <v>1</v>
      </c>
      <c r="G942" s="122">
        <v>160</v>
      </c>
      <c r="H942" s="122">
        <v>222</v>
      </c>
      <c r="I942" s="122">
        <v>29475</v>
      </c>
      <c r="J942" s="122">
        <v>26795</v>
      </c>
      <c r="K942" s="122">
        <v>65</v>
      </c>
      <c r="L942" s="122">
        <v>0</v>
      </c>
      <c r="M942" s="122">
        <v>0</v>
      </c>
      <c r="N942" s="122">
        <v>2356</v>
      </c>
      <c r="O942" s="122">
        <v>873</v>
      </c>
      <c r="P942" s="122">
        <v>351</v>
      </c>
      <c r="Q942" s="122">
        <v>130</v>
      </c>
      <c r="R942" s="122">
        <v>3354</v>
      </c>
      <c r="S942" s="122">
        <v>3050</v>
      </c>
      <c r="T942" s="122">
        <v>0</v>
      </c>
      <c r="U942" s="122">
        <v>0</v>
      </c>
      <c r="V942" s="122">
        <v>30848</v>
      </c>
      <c r="W942" s="122">
        <f t="shared" si="28"/>
        <v>30848</v>
      </c>
      <c r="X942" s="122">
        <f t="shared" si="29"/>
        <v>35536</v>
      </c>
      <c r="AA942" t="s">
        <v>56</v>
      </c>
      <c r="AB942" t="s">
        <v>406</v>
      </c>
      <c r="AC942" t="s">
        <v>433</v>
      </c>
      <c r="AD942" t="s">
        <v>406</v>
      </c>
      <c r="AE942" t="s">
        <v>566</v>
      </c>
      <c r="AF942" s="122">
        <v>1085</v>
      </c>
      <c r="AG942" s="122">
        <v>179446</v>
      </c>
      <c r="AH942" s="122">
        <v>201250</v>
      </c>
      <c r="AI942" s="122">
        <v>19859702</v>
      </c>
      <c r="AJ942" s="122">
        <v>18054274</v>
      </c>
      <c r="AK942">
        <v>86</v>
      </c>
      <c r="AL942" s="122">
        <v>3797571</v>
      </c>
      <c r="AM942" s="122">
        <v>3452337</v>
      </c>
      <c r="AN942" s="122">
        <v>3626891</v>
      </c>
      <c r="AO942" s="122">
        <v>1343293</v>
      </c>
      <c r="AP942" s="122">
        <v>736768</v>
      </c>
      <c r="AQ942" s="122">
        <v>272877</v>
      </c>
      <c r="AR942" s="122">
        <v>6283018</v>
      </c>
      <c r="AS942" s="122">
        <v>5711834</v>
      </c>
      <c r="AT942" s="122">
        <v>3498</v>
      </c>
      <c r="AU942" s="122">
        <v>1296</v>
      </c>
      <c r="AV942" s="122">
        <v>28835912</v>
      </c>
    </row>
    <row r="943" spans="2:48" hidden="1">
      <c r="B943" t="s">
        <v>368</v>
      </c>
      <c r="C943" t="s">
        <v>56</v>
      </c>
      <c r="D943" t="s">
        <v>407</v>
      </c>
      <c r="E943" t="s">
        <v>137</v>
      </c>
      <c r="F943" s="122">
        <v>1</v>
      </c>
      <c r="G943" s="122">
        <v>235</v>
      </c>
      <c r="H943" s="122">
        <v>198</v>
      </c>
      <c r="I943" s="122">
        <v>33163</v>
      </c>
      <c r="J943" s="122">
        <v>30148</v>
      </c>
      <c r="K943" s="122">
        <v>78</v>
      </c>
      <c r="L943" s="122">
        <v>4575</v>
      </c>
      <c r="M943" s="122">
        <v>4159</v>
      </c>
      <c r="N943" s="122">
        <v>3436</v>
      </c>
      <c r="O943" s="122">
        <v>1273</v>
      </c>
      <c r="P943" s="122">
        <v>473</v>
      </c>
      <c r="Q943" s="122">
        <v>175</v>
      </c>
      <c r="R943" s="122">
        <v>4912</v>
      </c>
      <c r="S943" s="122">
        <v>1819</v>
      </c>
      <c r="T943" s="122">
        <v>0</v>
      </c>
      <c r="U943" s="122">
        <v>0</v>
      </c>
      <c r="V943" s="122">
        <v>37574</v>
      </c>
      <c r="W943" s="122">
        <f t="shared" si="28"/>
        <v>37574</v>
      </c>
      <c r="X943" s="122">
        <f t="shared" si="29"/>
        <v>46559</v>
      </c>
      <c r="AA943" t="s">
        <v>56</v>
      </c>
      <c r="AB943" t="s">
        <v>406</v>
      </c>
      <c r="AC943" t="s">
        <v>433</v>
      </c>
      <c r="AD943" t="s">
        <v>427</v>
      </c>
      <c r="AE943" t="s">
        <v>566</v>
      </c>
      <c r="AF943">
        <v>2</v>
      </c>
      <c r="AG943">
        <v>237</v>
      </c>
      <c r="AH943">
        <v>340</v>
      </c>
      <c r="AI943" s="122">
        <v>21190</v>
      </c>
      <c r="AJ943" s="122">
        <v>19264</v>
      </c>
      <c r="AK943">
        <v>89</v>
      </c>
      <c r="AL943" s="122">
        <v>6189</v>
      </c>
      <c r="AM943" s="122">
        <v>5627</v>
      </c>
      <c r="AN943" s="122">
        <v>2883</v>
      </c>
      <c r="AO943" s="122">
        <v>1068</v>
      </c>
      <c r="AP943" s="122">
        <v>1242</v>
      </c>
      <c r="AQ943">
        <v>460</v>
      </c>
      <c r="AR943" s="122">
        <v>8446</v>
      </c>
      <c r="AS943" s="122">
        <v>7678</v>
      </c>
      <c r="AT943">
        <v>0</v>
      </c>
      <c r="AU943">
        <v>0</v>
      </c>
      <c r="AV943" s="122">
        <v>34097</v>
      </c>
    </row>
    <row r="944" spans="2:48" hidden="1">
      <c r="B944" t="s">
        <v>368</v>
      </c>
      <c r="C944" t="s">
        <v>56</v>
      </c>
      <c r="D944" t="s">
        <v>407</v>
      </c>
      <c r="E944" t="s">
        <v>406</v>
      </c>
      <c r="F944" s="122">
        <v>2</v>
      </c>
      <c r="G944" s="122">
        <v>294</v>
      </c>
      <c r="H944" s="122">
        <v>329</v>
      </c>
      <c r="I944" s="122">
        <v>25498</v>
      </c>
      <c r="J944" s="122">
        <v>23180</v>
      </c>
      <c r="K944" s="122">
        <v>83</v>
      </c>
      <c r="L944" s="122">
        <v>3096</v>
      </c>
      <c r="M944" s="122">
        <v>2670</v>
      </c>
      <c r="N944" s="122">
        <v>5646</v>
      </c>
      <c r="O944" s="122">
        <v>2091</v>
      </c>
      <c r="P944" s="122">
        <v>945</v>
      </c>
      <c r="Q944" s="122">
        <v>350</v>
      </c>
      <c r="R944" s="122">
        <v>9615</v>
      </c>
      <c r="S944" s="122">
        <v>8741</v>
      </c>
      <c r="T944" s="122">
        <v>3216</v>
      </c>
      <c r="U944" s="122">
        <v>1191</v>
      </c>
      <c r="V944" s="122">
        <v>38222</v>
      </c>
      <c r="W944" s="122">
        <f t="shared" si="28"/>
        <v>38223</v>
      </c>
      <c r="X944" s="122">
        <f t="shared" si="29"/>
        <v>48016</v>
      </c>
      <c r="AA944" t="s">
        <v>56</v>
      </c>
      <c r="AB944" t="s">
        <v>406</v>
      </c>
      <c r="AC944" t="s">
        <v>433</v>
      </c>
      <c r="AD944" t="s">
        <v>407</v>
      </c>
      <c r="AE944" t="s">
        <v>137</v>
      </c>
      <c r="AF944">
        <v>1</v>
      </c>
      <c r="AG944">
        <v>166</v>
      </c>
      <c r="AH944">
        <v>202</v>
      </c>
      <c r="AI944" s="122">
        <v>25889</v>
      </c>
      <c r="AJ944" s="122">
        <v>23536</v>
      </c>
      <c r="AK944">
        <v>70</v>
      </c>
      <c r="AL944" s="122">
        <v>6712</v>
      </c>
      <c r="AM944" s="122">
        <v>6102</v>
      </c>
      <c r="AN944" s="122">
        <v>5689</v>
      </c>
      <c r="AO944" s="122">
        <v>2107</v>
      </c>
      <c r="AP944">
        <v>621</v>
      </c>
      <c r="AQ944">
        <v>230</v>
      </c>
      <c r="AR944" s="122">
        <v>8496</v>
      </c>
      <c r="AS944" s="122">
        <v>7724</v>
      </c>
      <c r="AT944">
        <v>0</v>
      </c>
      <c r="AU944">
        <v>0</v>
      </c>
      <c r="AV944" s="122">
        <v>39699</v>
      </c>
    </row>
    <row r="945" spans="2:48" hidden="1">
      <c r="B945" t="s">
        <v>368</v>
      </c>
      <c r="C945" t="s">
        <v>56</v>
      </c>
      <c r="D945" t="s">
        <v>407</v>
      </c>
      <c r="E945" t="s">
        <v>407</v>
      </c>
      <c r="F945" s="122">
        <v>433</v>
      </c>
      <c r="G945" s="122">
        <v>64472</v>
      </c>
      <c r="H945" s="122">
        <v>81446</v>
      </c>
      <c r="I945" s="122">
        <v>6458727</v>
      </c>
      <c r="J945" s="122">
        <v>5871570</v>
      </c>
      <c r="K945" s="122">
        <v>82</v>
      </c>
      <c r="L945" s="122">
        <v>1571618</v>
      </c>
      <c r="M945" s="122">
        <v>1384144</v>
      </c>
      <c r="N945" s="122">
        <v>1256815</v>
      </c>
      <c r="O945" s="122">
        <v>465487</v>
      </c>
      <c r="P945" s="122">
        <v>218758</v>
      </c>
      <c r="Q945" s="122">
        <v>81021</v>
      </c>
      <c r="R945" s="122">
        <v>2402190</v>
      </c>
      <c r="S945" s="122">
        <v>2183809</v>
      </c>
      <c r="T945" s="122">
        <v>241505</v>
      </c>
      <c r="U945" s="122">
        <v>89446</v>
      </c>
      <c r="V945" s="122">
        <v>10075478</v>
      </c>
      <c r="W945" s="122">
        <f t="shared" si="28"/>
        <v>10075477</v>
      </c>
      <c r="X945" s="122">
        <f t="shared" si="29"/>
        <v>12149613</v>
      </c>
      <c r="AA945" t="s">
        <v>56</v>
      </c>
      <c r="AB945" t="s">
        <v>406</v>
      </c>
      <c r="AC945" t="s">
        <v>433</v>
      </c>
      <c r="AD945" t="s">
        <v>407</v>
      </c>
      <c r="AE945" t="s">
        <v>566</v>
      </c>
      <c r="AF945">
        <v>1</v>
      </c>
      <c r="AG945">
        <v>273</v>
      </c>
      <c r="AH945">
        <v>155</v>
      </c>
      <c r="AI945" s="122">
        <v>26168</v>
      </c>
      <c r="AJ945" s="122">
        <v>23789</v>
      </c>
      <c r="AK945">
        <v>86</v>
      </c>
      <c r="AL945" s="122">
        <v>3641</v>
      </c>
      <c r="AM945" s="122">
        <v>3310</v>
      </c>
      <c r="AN945" s="122">
        <v>5987</v>
      </c>
      <c r="AO945" s="122">
        <v>2217</v>
      </c>
      <c r="AP945">
        <v>621</v>
      </c>
      <c r="AQ945">
        <v>230</v>
      </c>
      <c r="AR945" s="122">
        <v>5877</v>
      </c>
      <c r="AS945" s="122">
        <v>5343</v>
      </c>
      <c r="AT945">
        <v>0</v>
      </c>
      <c r="AU945">
        <v>0</v>
      </c>
      <c r="AV945" s="122">
        <v>34890</v>
      </c>
    </row>
    <row r="946" spans="2:48" hidden="1">
      <c r="B946" t="s">
        <v>368</v>
      </c>
      <c r="C946" t="s">
        <v>56</v>
      </c>
      <c r="D946" t="s">
        <v>431</v>
      </c>
      <c r="E946" t="s">
        <v>406</v>
      </c>
      <c r="F946" s="122">
        <v>1</v>
      </c>
      <c r="G946" s="122">
        <v>207</v>
      </c>
      <c r="H946" s="122">
        <v>221</v>
      </c>
      <c r="I946" s="122">
        <v>30735</v>
      </c>
      <c r="J946" s="122">
        <v>27941</v>
      </c>
      <c r="K946" s="122">
        <v>65</v>
      </c>
      <c r="L946" s="122">
        <v>2810</v>
      </c>
      <c r="M946" s="122">
        <v>2554</v>
      </c>
      <c r="N946" s="122">
        <v>4037</v>
      </c>
      <c r="O946" s="122">
        <v>1495</v>
      </c>
      <c r="P946" s="122">
        <v>972</v>
      </c>
      <c r="Q946" s="122">
        <v>360</v>
      </c>
      <c r="R946" s="122">
        <v>7305</v>
      </c>
      <c r="S946" s="122">
        <v>6641</v>
      </c>
      <c r="T946" s="122">
        <v>0</v>
      </c>
      <c r="U946" s="122">
        <v>0</v>
      </c>
      <c r="V946" s="122">
        <v>38991</v>
      </c>
      <c r="W946" s="122">
        <f t="shared" si="28"/>
        <v>38991</v>
      </c>
      <c r="X946" s="122">
        <f t="shared" si="29"/>
        <v>45859</v>
      </c>
      <c r="AA946" t="s">
        <v>56</v>
      </c>
      <c r="AB946" t="s">
        <v>406</v>
      </c>
      <c r="AC946" t="s">
        <v>433</v>
      </c>
      <c r="AD946" t="s">
        <v>431</v>
      </c>
      <c r="AE946" t="s">
        <v>137</v>
      </c>
      <c r="AF946">
        <v>1</v>
      </c>
      <c r="AG946">
        <v>163</v>
      </c>
      <c r="AH946">
        <v>215</v>
      </c>
      <c r="AI946" s="122">
        <v>28519</v>
      </c>
      <c r="AJ946" s="122">
        <v>25927</v>
      </c>
      <c r="AK946">
        <v>70</v>
      </c>
      <c r="AL946" s="122">
        <v>3242</v>
      </c>
      <c r="AM946" s="122">
        <v>2947</v>
      </c>
      <c r="AN946" s="122">
        <v>3339</v>
      </c>
      <c r="AO946" s="122">
        <v>1237</v>
      </c>
      <c r="AP946" s="122">
        <v>621</v>
      </c>
      <c r="AQ946">
        <v>230</v>
      </c>
      <c r="AR946" s="122">
        <v>8006</v>
      </c>
      <c r="AS946" s="122">
        <v>7278</v>
      </c>
      <c r="AT946" s="122">
        <v>0</v>
      </c>
      <c r="AU946" s="122">
        <v>0</v>
      </c>
      <c r="AV946" s="122">
        <v>37619</v>
      </c>
    </row>
    <row r="947" spans="2:48" hidden="1">
      <c r="B947" t="s">
        <v>368</v>
      </c>
      <c r="C947" t="s">
        <v>56</v>
      </c>
      <c r="D947" t="s">
        <v>431</v>
      </c>
      <c r="E947" t="s">
        <v>431</v>
      </c>
      <c r="F947" s="122">
        <v>8</v>
      </c>
      <c r="G947" s="122">
        <v>1762</v>
      </c>
      <c r="H947" s="122">
        <v>1566</v>
      </c>
      <c r="I947" s="122">
        <v>217768</v>
      </c>
      <c r="J947" s="122">
        <v>197971</v>
      </c>
      <c r="K947" s="122">
        <v>69</v>
      </c>
      <c r="L947" s="122">
        <v>21988</v>
      </c>
      <c r="M947" s="122">
        <v>19989</v>
      </c>
      <c r="N947" s="122">
        <v>28803</v>
      </c>
      <c r="O947" s="122">
        <v>10668</v>
      </c>
      <c r="P947" s="122">
        <v>4901</v>
      </c>
      <c r="Q947" s="122">
        <v>1815</v>
      </c>
      <c r="R947" s="122">
        <v>61747</v>
      </c>
      <c r="S947" s="122">
        <v>56133</v>
      </c>
      <c r="T947" s="122">
        <v>10131</v>
      </c>
      <c r="U947" s="122">
        <v>3752</v>
      </c>
      <c r="V947" s="122">
        <v>290328</v>
      </c>
      <c r="W947" s="122">
        <f t="shared" si="28"/>
        <v>290328</v>
      </c>
      <c r="X947" s="122">
        <f t="shared" si="29"/>
        <v>345338</v>
      </c>
      <c r="AA947" t="s">
        <v>56</v>
      </c>
      <c r="AB947" t="s">
        <v>406</v>
      </c>
      <c r="AC947" t="s">
        <v>433</v>
      </c>
      <c r="AD947" t="s">
        <v>433</v>
      </c>
      <c r="AE947" t="s">
        <v>137</v>
      </c>
      <c r="AF947">
        <v>2</v>
      </c>
      <c r="AG947">
        <v>330</v>
      </c>
      <c r="AH947">
        <v>393</v>
      </c>
      <c r="AI947" s="122">
        <v>62522</v>
      </c>
      <c r="AJ947" s="122">
        <v>56838</v>
      </c>
      <c r="AK947">
        <v>75</v>
      </c>
      <c r="AL947" s="122">
        <v>7458</v>
      </c>
      <c r="AM947" s="122">
        <v>6780</v>
      </c>
      <c r="AN947" s="122">
        <v>10179</v>
      </c>
      <c r="AO947" s="122">
        <v>3770</v>
      </c>
      <c r="AP947" s="122">
        <v>1242</v>
      </c>
      <c r="AQ947">
        <v>460</v>
      </c>
      <c r="AR947" s="122">
        <v>15538</v>
      </c>
      <c r="AS947" s="122">
        <v>14126</v>
      </c>
      <c r="AT947" s="122">
        <v>4250</v>
      </c>
      <c r="AU947" s="122">
        <v>1574</v>
      </c>
      <c r="AV947" s="122">
        <v>83548</v>
      </c>
    </row>
    <row r="948" spans="2:48" hidden="1">
      <c r="B948" t="s">
        <v>368</v>
      </c>
      <c r="C948" t="s">
        <v>56</v>
      </c>
      <c r="D948" t="s">
        <v>426</v>
      </c>
      <c r="E948" t="s">
        <v>137</v>
      </c>
      <c r="F948" s="122">
        <v>2</v>
      </c>
      <c r="G948" s="122">
        <v>248</v>
      </c>
      <c r="H948" s="122">
        <v>406</v>
      </c>
      <c r="I948" s="122">
        <v>32657</v>
      </c>
      <c r="J948" s="122">
        <v>29688</v>
      </c>
      <c r="K948" s="122">
        <v>68</v>
      </c>
      <c r="L948" s="122">
        <v>5731</v>
      </c>
      <c r="M948" s="122">
        <v>3602</v>
      </c>
      <c r="N948" s="122">
        <v>3656</v>
      </c>
      <c r="O948" s="122">
        <v>1354</v>
      </c>
      <c r="P948" s="122">
        <v>1157</v>
      </c>
      <c r="Q948" s="122">
        <v>428</v>
      </c>
      <c r="R948" s="122">
        <v>14818</v>
      </c>
      <c r="S948" s="122">
        <v>5488</v>
      </c>
      <c r="T948" s="122">
        <v>0</v>
      </c>
      <c r="U948" s="122">
        <v>0</v>
      </c>
      <c r="V948" s="122">
        <v>40560</v>
      </c>
      <c r="W948" s="122">
        <f t="shared" si="28"/>
        <v>40560</v>
      </c>
      <c r="X948" s="122">
        <f t="shared" si="29"/>
        <v>58019</v>
      </c>
      <c r="AA948" t="s">
        <v>56</v>
      </c>
      <c r="AB948" t="s">
        <v>406</v>
      </c>
      <c r="AC948" t="s">
        <v>433</v>
      </c>
      <c r="AD948" t="s">
        <v>433</v>
      </c>
      <c r="AE948" t="s">
        <v>566</v>
      </c>
      <c r="AF948">
        <v>1</v>
      </c>
      <c r="AG948">
        <v>162</v>
      </c>
      <c r="AH948">
        <v>209</v>
      </c>
      <c r="AI948" s="122">
        <v>20383</v>
      </c>
      <c r="AJ948" s="122">
        <v>18530</v>
      </c>
      <c r="AK948">
        <v>70</v>
      </c>
      <c r="AL948" s="122">
        <v>5020</v>
      </c>
      <c r="AM948" s="122">
        <v>4564</v>
      </c>
      <c r="AN948" s="122">
        <v>3957</v>
      </c>
      <c r="AO948" s="122">
        <v>1466</v>
      </c>
      <c r="AP948" s="122">
        <v>621</v>
      </c>
      <c r="AQ948">
        <v>230</v>
      </c>
      <c r="AR948" s="122">
        <v>3968</v>
      </c>
      <c r="AS948" s="122">
        <v>3607</v>
      </c>
      <c r="AT948" s="122">
        <v>0</v>
      </c>
      <c r="AU948" s="122">
        <v>0</v>
      </c>
      <c r="AV948" s="122">
        <v>28397</v>
      </c>
    </row>
    <row r="949" spans="2:48" hidden="1">
      <c r="B949" t="s">
        <v>368</v>
      </c>
      <c r="C949" t="s">
        <v>56</v>
      </c>
      <c r="D949" t="s">
        <v>426</v>
      </c>
      <c r="E949" t="s">
        <v>556</v>
      </c>
      <c r="F949" s="122">
        <v>1</v>
      </c>
      <c r="G949" s="122">
        <v>224</v>
      </c>
      <c r="H949" s="122">
        <v>200</v>
      </c>
      <c r="I949" s="122">
        <v>28270</v>
      </c>
      <c r="J949" s="122">
        <v>25700</v>
      </c>
      <c r="K949" s="122">
        <v>65</v>
      </c>
      <c r="L949" s="122">
        <v>3712</v>
      </c>
      <c r="M949" s="122">
        <v>3375</v>
      </c>
      <c r="N949" s="122">
        <v>4097</v>
      </c>
      <c r="O949" s="122">
        <v>1517</v>
      </c>
      <c r="P949" s="122">
        <v>473</v>
      </c>
      <c r="Q949" s="122">
        <v>175</v>
      </c>
      <c r="R949" s="122">
        <v>5130</v>
      </c>
      <c r="S949" s="122">
        <v>4275</v>
      </c>
      <c r="T949" s="122">
        <v>3152</v>
      </c>
      <c r="U949" s="122">
        <v>1167</v>
      </c>
      <c r="V949" s="122">
        <v>36210</v>
      </c>
      <c r="W949" s="122">
        <f t="shared" si="28"/>
        <v>36209</v>
      </c>
      <c r="X949" s="122">
        <f t="shared" si="29"/>
        <v>44834</v>
      </c>
      <c r="AA949" t="s">
        <v>56</v>
      </c>
      <c r="AB949" t="s">
        <v>406</v>
      </c>
      <c r="AC949" t="s">
        <v>408</v>
      </c>
      <c r="AD949" t="s">
        <v>406</v>
      </c>
      <c r="AE949" t="s">
        <v>137</v>
      </c>
      <c r="AF949">
        <v>2</v>
      </c>
      <c r="AG949">
        <v>432</v>
      </c>
      <c r="AH949">
        <v>410</v>
      </c>
      <c r="AI949" s="122">
        <v>70245</v>
      </c>
      <c r="AJ949" s="122">
        <v>63859</v>
      </c>
      <c r="AK949">
        <v>90</v>
      </c>
      <c r="AL949" s="122">
        <v>10416</v>
      </c>
      <c r="AM949" s="122">
        <v>9469</v>
      </c>
      <c r="AN949" s="122">
        <v>10685</v>
      </c>
      <c r="AO949" s="122">
        <v>3957</v>
      </c>
      <c r="AP949" s="122">
        <v>1242</v>
      </c>
      <c r="AQ949">
        <v>460</v>
      </c>
      <c r="AR949" s="122">
        <v>10958</v>
      </c>
      <c r="AS949" s="122">
        <v>9962</v>
      </c>
      <c r="AT949" s="122">
        <v>3016</v>
      </c>
      <c r="AU949" s="122">
        <v>1117</v>
      </c>
      <c r="AV949" s="122">
        <v>88825</v>
      </c>
    </row>
    <row r="950" spans="2:48" hidden="1">
      <c r="B950" t="s">
        <v>368</v>
      </c>
      <c r="C950" t="s">
        <v>56</v>
      </c>
      <c r="D950" t="s">
        <v>426</v>
      </c>
      <c r="E950" t="s">
        <v>426</v>
      </c>
      <c r="F950" s="122">
        <v>20</v>
      </c>
      <c r="G950" s="122">
        <v>3991</v>
      </c>
      <c r="H950" s="122">
        <v>4015</v>
      </c>
      <c r="I950" s="122">
        <v>531841</v>
      </c>
      <c r="J950" s="122">
        <v>483492</v>
      </c>
      <c r="K950" s="122">
        <v>68</v>
      </c>
      <c r="L950" s="122">
        <v>65363</v>
      </c>
      <c r="M950" s="122">
        <v>58566</v>
      </c>
      <c r="N950" s="122">
        <v>80365</v>
      </c>
      <c r="O950" s="122">
        <v>29765</v>
      </c>
      <c r="P950" s="122">
        <v>12986</v>
      </c>
      <c r="Q950" s="122">
        <v>4810</v>
      </c>
      <c r="R950" s="122">
        <v>139113</v>
      </c>
      <c r="S950" s="122">
        <v>126466</v>
      </c>
      <c r="T950" s="122">
        <v>35430</v>
      </c>
      <c r="U950" s="122">
        <v>13122</v>
      </c>
      <c r="V950" s="122">
        <v>716221</v>
      </c>
      <c r="W950" s="122">
        <f t="shared" si="28"/>
        <v>716221</v>
      </c>
      <c r="X950" s="122">
        <f t="shared" si="29"/>
        <v>865098</v>
      </c>
      <c r="AA950" t="s">
        <v>56</v>
      </c>
      <c r="AB950" t="s">
        <v>406</v>
      </c>
      <c r="AC950" t="s">
        <v>408</v>
      </c>
      <c r="AD950" t="s">
        <v>406</v>
      </c>
      <c r="AE950" t="s">
        <v>566</v>
      </c>
      <c r="AF950">
        <v>1</v>
      </c>
      <c r="AG950">
        <v>133</v>
      </c>
      <c r="AH950">
        <v>199</v>
      </c>
      <c r="AI950" s="122">
        <v>17279</v>
      </c>
      <c r="AJ950" s="122">
        <v>15708</v>
      </c>
      <c r="AK950">
        <v>94</v>
      </c>
      <c r="AL950" s="122">
        <v>2762</v>
      </c>
      <c r="AM950" s="122">
        <v>2511</v>
      </c>
      <c r="AN950" s="122">
        <v>2504</v>
      </c>
      <c r="AO950" s="122">
        <v>928</v>
      </c>
      <c r="AP950">
        <v>972</v>
      </c>
      <c r="AQ950">
        <v>360</v>
      </c>
      <c r="AR950" s="122">
        <v>2914</v>
      </c>
      <c r="AS950" s="122">
        <v>2649</v>
      </c>
      <c r="AT950">
        <v>0</v>
      </c>
      <c r="AU950">
        <v>0</v>
      </c>
      <c r="AV950" s="122">
        <v>22156</v>
      </c>
    </row>
    <row r="951" spans="2:48" hidden="1">
      <c r="B951" t="s">
        <v>368</v>
      </c>
      <c r="C951" t="s">
        <v>56</v>
      </c>
      <c r="D951" t="s">
        <v>481</v>
      </c>
      <c r="E951" t="s">
        <v>481</v>
      </c>
      <c r="F951" s="122">
        <v>1</v>
      </c>
      <c r="G951" s="122">
        <v>420</v>
      </c>
      <c r="H951" s="122">
        <v>152</v>
      </c>
      <c r="I951" s="122">
        <v>40115</v>
      </c>
      <c r="J951" s="122">
        <v>36468</v>
      </c>
      <c r="K951" s="122">
        <v>65</v>
      </c>
      <c r="L951" s="122">
        <v>7243</v>
      </c>
      <c r="M951" s="122">
        <v>6585</v>
      </c>
      <c r="N951" s="122">
        <v>8197</v>
      </c>
      <c r="O951" s="122">
        <v>3036</v>
      </c>
      <c r="P951" s="122">
        <v>351</v>
      </c>
      <c r="Q951" s="122">
        <v>130</v>
      </c>
      <c r="R951" s="122">
        <v>7827</v>
      </c>
      <c r="S951" s="122">
        <v>7115</v>
      </c>
      <c r="T951" s="122">
        <v>0</v>
      </c>
      <c r="U951" s="122">
        <v>0</v>
      </c>
      <c r="V951" s="122">
        <v>53334</v>
      </c>
      <c r="W951" s="122">
        <f t="shared" si="28"/>
        <v>53334</v>
      </c>
      <c r="X951" s="122">
        <f t="shared" si="29"/>
        <v>63733</v>
      </c>
      <c r="AA951" t="s">
        <v>56</v>
      </c>
      <c r="AB951" t="s">
        <v>406</v>
      </c>
      <c r="AC951" t="s">
        <v>408</v>
      </c>
      <c r="AD951" t="s">
        <v>408</v>
      </c>
      <c r="AE951" t="s">
        <v>566</v>
      </c>
      <c r="AF951">
        <v>1</v>
      </c>
      <c r="AG951">
        <v>198</v>
      </c>
      <c r="AH951">
        <v>183</v>
      </c>
      <c r="AI951" s="122">
        <v>21652</v>
      </c>
      <c r="AJ951" s="122">
        <v>19684</v>
      </c>
      <c r="AK951">
        <v>86</v>
      </c>
      <c r="AL951" s="122">
        <v>3013</v>
      </c>
      <c r="AM951" s="122">
        <v>2739</v>
      </c>
      <c r="AN951" s="122">
        <v>3789</v>
      </c>
      <c r="AO951" s="122">
        <v>1403</v>
      </c>
      <c r="AP951" s="122">
        <v>621</v>
      </c>
      <c r="AQ951">
        <v>230</v>
      </c>
      <c r="AR951" s="122">
        <v>7204</v>
      </c>
      <c r="AS951" s="122">
        <v>6549</v>
      </c>
      <c r="AT951">
        <v>0</v>
      </c>
      <c r="AU951">
        <v>0</v>
      </c>
      <c r="AV951" s="122">
        <v>30605</v>
      </c>
    </row>
    <row r="952" spans="2:48" hidden="1">
      <c r="B952" t="s">
        <v>368</v>
      </c>
      <c r="C952" t="s">
        <v>56</v>
      </c>
      <c r="D952" t="s">
        <v>433</v>
      </c>
      <c r="E952" t="s">
        <v>433</v>
      </c>
      <c r="F952" s="122">
        <v>1</v>
      </c>
      <c r="G952" s="122">
        <v>302</v>
      </c>
      <c r="H952" s="122">
        <v>171</v>
      </c>
      <c r="I952" s="122">
        <v>37221</v>
      </c>
      <c r="J952" s="122">
        <v>33837</v>
      </c>
      <c r="K952" s="122">
        <v>60</v>
      </c>
      <c r="L952" s="122">
        <v>4136</v>
      </c>
      <c r="M952" s="122">
        <v>3760</v>
      </c>
      <c r="N952" s="122">
        <v>3674</v>
      </c>
      <c r="O952" s="122">
        <v>1361</v>
      </c>
      <c r="P952" s="122">
        <v>351</v>
      </c>
      <c r="Q952" s="122">
        <v>130</v>
      </c>
      <c r="R952" s="122">
        <v>6241</v>
      </c>
      <c r="S952" s="122">
        <v>5674</v>
      </c>
      <c r="T952" s="122">
        <v>0</v>
      </c>
      <c r="U952" s="122">
        <v>0</v>
      </c>
      <c r="V952" s="122">
        <v>44761</v>
      </c>
      <c r="W952" s="122">
        <f t="shared" si="28"/>
        <v>44762</v>
      </c>
      <c r="X952" s="122">
        <f t="shared" si="29"/>
        <v>51623</v>
      </c>
      <c r="AA952" t="s">
        <v>56</v>
      </c>
      <c r="AB952" t="s">
        <v>406</v>
      </c>
      <c r="AC952" t="s">
        <v>429</v>
      </c>
      <c r="AD952" t="s">
        <v>137</v>
      </c>
      <c r="AE952" t="s">
        <v>566</v>
      </c>
      <c r="AF952">
        <v>2</v>
      </c>
      <c r="AG952" s="122">
        <v>377</v>
      </c>
      <c r="AH952" s="122">
        <v>363</v>
      </c>
      <c r="AI952" s="122">
        <v>44361</v>
      </c>
      <c r="AJ952" s="122">
        <v>40329</v>
      </c>
      <c r="AK952">
        <v>86</v>
      </c>
      <c r="AL952" s="122">
        <v>5664</v>
      </c>
      <c r="AM952" s="122">
        <v>5149</v>
      </c>
      <c r="AN952" s="122">
        <v>6598</v>
      </c>
      <c r="AO952" s="122">
        <v>2444</v>
      </c>
      <c r="AP952" s="122">
        <v>1593</v>
      </c>
      <c r="AQ952" s="122">
        <v>590</v>
      </c>
      <c r="AR952" s="122">
        <v>10370</v>
      </c>
      <c r="AS952" s="122">
        <v>3841</v>
      </c>
      <c r="AT952" s="122">
        <v>0</v>
      </c>
      <c r="AU952" s="122">
        <v>0</v>
      </c>
      <c r="AV952" s="122">
        <v>52352</v>
      </c>
    </row>
    <row r="953" spans="2:48" hidden="1">
      <c r="B953" t="s">
        <v>368</v>
      </c>
      <c r="C953" t="s">
        <v>56</v>
      </c>
      <c r="D953" t="s">
        <v>408</v>
      </c>
      <c r="E953" t="s">
        <v>408</v>
      </c>
      <c r="F953" s="122">
        <v>22</v>
      </c>
      <c r="G953" s="122">
        <v>4947</v>
      </c>
      <c r="H953" s="122">
        <v>4010</v>
      </c>
      <c r="I953" s="122">
        <v>557683</v>
      </c>
      <c r="J953" s="122">
        <v>506984</v>
      </c>
      <c r="K953" s="122">
        <v>72</v>
      </c>
      <c r="L953" s="122">
        <v>83974</v>
      </c>
      <c r="M953" s="122">
        <v>76340</v>
      </c>
      <c r="N953" s="122">
        <v>100773</v>
      </c>
      <c r="O953" s="122">
        <v>37323</v>
      </c>
      <c r="P953" s="122">
        <v>18767</v>
      </c>
      <c r="Q953" s="122">
        <v>6951</v>
      </c>
      <c r="R953" s="122">
        <v>150221</v>
      </c>
      <c r="S953" s="122">
        <v>136565</v>
      </c>
      <c r="T953" s="122">
        <v>7800</v>
      </c>
      <c r="U953" s="122">
        <v>2889</v>
      </c>
      <c r="V953" s="122">
        <v>767052</v>
      </c>
      <c r="W953" s="122">
        <f t="shared" si="28"/>
        <v>767052</v>
      </c>
      <c r="X953" s="122">
        <f t="shared" si="29"/>
        <v>919218</v>
      </c>
      <c r="AA953" t="s">
        <v>56</v>
      </c>
      <c r="AB953" t="s">
        <v>406</v>
      </c>
      <c r="AC953" t="s">
        <v>429</v>
      </c>
      <c r="AD953" t="s">
        <v>406</v>
      </c>
      <c r="AE953" t="s">
        <v>137</v>
      </c>
      <c r="AF953">
        <v>108</v>
      </c>
      <c r="AG953" s="122">
        <v>19636</v>
      </c>
      <c r="AH953" s="122">
        <v>20291</v>
      </c>
      <c r="AI953" s="122">
        <v>2269886</v>
      </c>
      <c r="AJ953" s="122">
        <v>2063533</v>
      </c>
      <c r="AK953">
        <v>84</v>
      </c>
      <c r="AL953" s="122">
        <v>314464</v>
      </c>
      <c r="AM953" s="122">
        <v>285876</v>
      </c>
      <c r="AN953" s="122">
        <v>396707</v>
      </c>
      <c r="AO953" s="122">
        <v>146929</v>
      </c>
      <c r="AP953" s="122">
        <v>70997</v>
      </c>
      <c r="AQ953" s="122">
        <v>26295</v>
      </c>
      <c r="AR953" s="122">
        <v>546489</v>
      </c>
      <c r="AS953" s="122">
        <v>496808</v>
      </c>
      <c r="AT953" s="122">
        <v>256084</v>
      </c>
      <c r="AU953" s="122">
        <v>94846</v>
      </c>
      <c r="AV953" s="122">
        <v>3114287</v>
      </c>
    </row>
    <row r="954" spans="2:48" hidden="1">
      <c r="B954" t="s">
        <v>368</v>
      </c>
      <c r="C954" t="s">
        <v>56</v>
      </c>
      <c r="D954" t="s">
        <v>408</v>
      </c>
      <c r="E954" t="s">
        <v>429</v>
      </c>
      <c r="F954" s="122">
        <v>1</v>
      </c>
      <c r="G954" s="122">
        <v>209</v>
      </c>
      <c r="H954" s="122">
        <v>205</v>
      </c>
      <c r="I954" s="122">
        <v>29279</v>
      </c>
      <c r="J954" s="122">
        <v>26617</v>
      </c>
      <c r="K954" s="122">
        <v>75</v>
      </c>
      <c r="L954" s="122">
        <v>4066</v>
      </c>
      <c r="M954" s="122">
        <v>3697</v>
      </c>
      <c r="N954" s="122">
        <v>3359</v>
      </c>
      <c r="O954" s="122">
        <v>1244</v>
      </c>
      <c r="P954" s="122">
        <v>351</v>
      </c>
      <c r="Q954" s="122">
        <v>130</v>
      </c>
      <c r="R954" s="122">
        <v>5726</v>
      </c>
      <c r="S954" s="122">
        <v>5206</v>
      </c>
      <c r="T954" s="122">
        <v>0</v>
      </c>
      <c r="U954" s="122">
        <v>0</v>
      </c>
      <c r="V954" s="122">
        <v>36894</v>
      </c>
      <c r="W954" s="122">
        <f t="shared" si="28"/>
        <v>36894</v>
      </c>
      <c r="X954" s="122">
        <f t="shared" si="29"/>
        <v>42781</v>
      </c>
      <c r="AA954" t="s">
        <v>56</v>
      </c>
      <c r="AB954" t="s">
        <v>406</v>
      </c>
      <c r="AC954" t="s">
        <v>429</v>
      </c>
      <c r="AD954" t="s">
        <v>406</v>
      </c>
      <c r="AE954" t="s">
        <v>566</v>
      </c>
      <c r="AF954">
        <v>154</v>
      </c>
      <c r="AG954" s="122">
        <v>27520</v>
      </c>
      <c r="AH954" s="122">
        <v>27912</v>
      </c>
      <c r="AI954" s="122">
        <v>3154692</v>
      </c>
      <c r="AJ954" s="122">
        <v>2867902</v>
      </c>
      <c r="AK954">
        <v>85</v>
      </c>
      <c r="AL954" s="122">
        <v>442590</v>
      </c>
      <c r="AM954" s="122">
        <v>402354</v>
      </c>
      <c r="AN954" s="122">
        <v>566185</v>
      </c>
      <c r="AO954" s="122">
        <v>209698</v>
      </c>
      <c r="AP954" s="122">
        <v>107388</v>
      </c>
      <c r="AQ954" s="122">
        <v>39773</v>
      </c>
      <c r="AR954" s="122">
        <v>939069</v>
      </c>
      <c r="AS954" s="122">
        <v>853699</v>
      </c>
      <c r="AT954">
        <v>0</v>
      </c>
      <c r="AU954">
        <v>0</v>
      </c>
      <c r="AV954" s="122">
        <v>4373427</v>
      </c>
    </row>
    <row r="955" spans="2:48" hidden="1">
      <c r="B955" t="s">
        <v>368</v>
      </c>
      <c r="C955" t="s">
        <v>56</v>
      </c>
      <c r="D955" t="s">
        <v>429</v>
      </c>
      <c r="E955" t="s">
        <v>429</v>
      </c>
      <c r="F955" s="122">
        <v>1</v>
      </c>
      <c r="G955" s="122">
        <v>125</v>
      </c>
      <c r="H955" s="122">
        <v>222</v>
      </c>
      <c r="I955" s="122">
        <v>14799</v>
      </c>
      <c r="J955" s="122">
        <v>13453</v>
      </c>
      <c r="K955" s="122">
        <v>83</v>
      </c>
      <c r="L955" s="122">
        <v>4560</v>
      </c>
      <c r="M955" s="122">
        <v>4146</v>
      </c>
      <c r="N955" s="122">
        <v>2195</v>
      </c>
      <c r="O955" s="122">
        <v>813</v>
      </c>
      <c r="P955" s="122">
        <v>621</v>
      </c>
      <c r="Q955" s="122">
        <v>230</v>
      </c>
      <c r="R955" s="122">
        <v>5527</v>
      </c>
      <c r="S955" s="122">
        <v>5025</v>
      </c>
      <c r="T955" s="122">
        <v>0</v>
      </c>
      <c r="U955" s="122">
        <v>0</v>
      </c>
      <c r="V955" s="122">
        <v>23667</v>
      </c>
      <c r="W955" s="122">
        <f t="shared" si="28"/>
        <v>23667</v>
      </c>
      <c r="X955" s="122">
        <f t="shared" si="29"/>
        <v>27702</v>
      </c>
      <c r="AA955" t="s">
        <v>56</v>
      </c>
      <c r="AB955" t="s">
        <v>427</v>
      </c>
      <c r="AC955" t="s">
        <v>137</v>
      </c>
      <c r="AD955" t="s">
        <v>427</v>
      </c>
      <c r="AE955" t="s">
        <v>566</v>
      </c>
      <c r="AF955">
        <v>1</v>
      </c>
      <c r="AG955">
        <v>171</v>
      </c>
      <c r="AH955">
        <v>178</v>
      </c>
      <c r="AI955" s="122">
        <v>23823</v>
      </c>
      <c r="AJ955" s="122">
        <v>21657</v>
      </c>
      <c r="AK955">
        <v>65</v>
      </c>
      <c r="AL955" s="122">
        <v>4223</v>
      </c>
      <c r="AM955" s="122">
        <v>1564</v>
      </c>
      <c r="AN955" s="122">
        <v>2745</v>
      </c>
      <c r="AO955" s="122">
        <v>1017</v>
      </c>
      <c r="AP955">
        <v>351</v>
      </c>
      <c r="AQ955">
        <v>130</v>
      </c>
      <c r="AR955" s="122">
        <v>-753</v>
      </c>
      <c r="AS955" s="122">
        <v>-685</v>
      </c>
      <c r="AT955">
        <v>0</v>
      </c>
      <c r="AU955">
        <v>0</v>
      </c>
      <c r="AV955" s="122">
        <v>23683</v>
      </c>
    </row>
    <row r="956" spans="2:48" hidden="1">
      <c r="B956" t="s">
        <v>368</v>
      </c>
      <c r="C956" t="s">
        <v>58</v>
      </c>
      <c r="F956" s="122">
        <v>5</v>
      </c>
      <c r="G956" s="122">
        <v>665</v>
      </c>
      <c r="H956" s="122">
        <v>1286</v>
      </c>
      <c r="I956" s="122"/>
      <c r="J956" s="122">
        <v>0</v>
      </c>
      <c r="K956" s="122"/>
      <c r="L956" s="122"/>
      <c r="M956" s="122">
        <v>0</v>
      </c>
      <c r="N956" s="122">
        <v>11942</v>
      </c>
      <c r="O956" s="122">
        <v>4423</v>
      </c>
      <c r="P956" s="122">
        <v>2484</v>
      </c>
      <c r="Q956" s="122">
        <v>920</v>
      </c>
      <c r="R956" s="122"/>
      <c r="S956" s="122">
        <v>0</v>
      </c>
      <c r="T956" s="122">
        <v>6073</v>
      </c>
      <c r="U956" s="122">
        <v>2249</v>
      </c>
      <c r="V956" s="122">
        <v>7592</v>
      </c>
      <c r="W956" s="122">
        <f t="shared" si="28"/>
        <v>7592</v>
      </c>
      <c r="X956" s="122">
        <f t="shared" si="29"/>
        <v>20499</v>
      </c>
      <c r="AA956" t="s">
        <v>56</v>
      </c>
      <c r="AB956" t="s">
        <v>427</v>
      </c>
      <c r="AC956" t="s">
        <v>580</v>
      </c>
      <c r="AD956" t="s">
        <v>406</v>
      </c>
      <c r="AE956" t="s">
        <v>566</v>
      </c>
      <c r="AF956">
        <v>1</v>
      </c>
      <c r="AG956">
        <v>204</v>
      </c>
      <c r="AH956">
        <v>187</v>
      </c>
      <c r="AI956" s="122">
        <v>21076</v>
      </c>
      <c r="AJ956" s="122">
        <v>19160</v>
      </c>
      <c r="AK956">
        <v>79</v>
      </c>
      <c r="AL956" s="122">
        <v>2342</v>
      </c>
      <c r="AM956" s="122">
        <v>2129</v>
      </c>
      <c r="AN956" s="122">
        <v>5340</v>
      </c>
      <c r="AO956" s="122">
        <v>1978</v>
      </c>
      <c r="AP956">
        <v>621</v>
      </c>
      <c r="AQ956">
        <v>230</v>
      </c>
      <c r="AR956" s="122">
        <v>11526</v>
      </c>
      <c r="AS956" s="122">
        <v>10478</v>
      </c>
      <c r="AT956">
        <v>0</v>
      </c>
      <c r="AU956">
        <v>0</v>
      </c>
      <c r="AV956" s="122">
        <v>33975</v>
      </c>
    </row>
    <row r="957" spans="2:48" hidden="1">
      <c r="B957" t="s">
        <v>368</v>
      </c>
      <c r="C957" t="s">
        <v>58</v>
      </c>
      <c r="D957" t="s">
        <v>425</v>
      </c>
      <c r="E957" t="s">
        <v>425</v>
      </c>
      <c r="F957" s="122">
        <v>16</v>
      </c>
      <c r="G957" s="122">
        <v>2316</v>
      </c>
      <c r="H957" s="122">
        <v>4150</v>
      </c>
      <c r="I957" s="122">
        <v>376796</v>
      </c>
      <c r="J957" s="122">
        <v>342542</v>
      </c>
      <c r="K957" s="122">
        <v>82</v>
      </c>
      <c r="L957" s="122">
        <v>80763</v>
      </c>
      <c r="M957" s="122">
        <v>73421</v>
      </c>
      <c r="N957" s="122">
        <v>44123</v>
      </c>
      <c r="O957" s="122">
        <v>16342</v>
      </c>
      <c r="P957" s="122">
        <v>10490</v>
      </c>
      <c r="Q957" s="122">
        <v>3885</v>
      </c>
      <c r="R957" s="122">
        <v>84721</v>
      </c>
      <c r="S957" s="122">
        <v>77019</v>
      </c>
      <c r="T957" s="122">
        <v>13233</v>
      </c>
      <c r="U957" s="122">
        <v>4901</v>
      </c>
      <c r="V957" s="122">
        <v>518110</v>
      </c>
      <c r="W957" s="122">
        <f t="shared" si="28"/>
        <v>518110</v>
      </c>
      <c r="X957" s="122">
        <f t="shared" si="29"/>
        <v>610126</v>
      </c>
      <c r="AA957" t="s">
        <v>56</v>
      </c>
      <c r="AB957" t="s">
        <v>427</v>
      </c>
      <c r="AC957" t="s">
        <v>580</v>
      </c>
      <c r="AD957" t="s">
        <v>427</v>
      </c>
      <c r="AE957" t="s">
        <v>566</v>
      </c>
      <c r="AF957">
        <v>1</v>
      </c>
      <c r="AG957">
        <v>191</v>
      </c>
      <c r="AH957">
        <v>223</v>
      </c>
      <c r="AI957" s="122">
        <v>25953</v>
      </c>
      <c r="AJ957" s="122">
        <v>23594</v>
      </c>
      <c r="AK957">
        <v>65</v>
      </c>
      <c r="AL957" s="122">
        <v>2373</v>
      </c>
      <c r="AM957" s="122">
        <v>2157</v>
      </c>
      <c r="AN957" s="122">
        <v>3906</v>
      </c>
      <c r="AO957" s="122">
        <v>1447</v>
      </c>
      <c r="AP957">
        <v>351</v>
      </c>
      <c r="AQ957">
        <v>130</v>
      </c>
      <c r="AR957" s="122">
        <v>9947</v>
      </c>
      <c r="AS957" s="122">
        <v>9043</v>
      </c>
      <c r="AT957">
        <v>0</v>
      </c>
      <c r="AU957">
        <v>0</v>
      </c>
      <c r="AV957" s="122">
        <v>36370</v>
      </c>
    </row>
    <row r="958" spans="2:48" hidden="1">
      <c r="B958" t="s">
        <v>368</v>
      </c>
      <c r="C958" t="s">
        <v>58</v>
      </c>
      <c r="D958" t="s">
        <v>425</v>
      </c>
      <c r="E958" t="s">
        <v>406</v>
      </c>
      <c r="F958" s="122">
        <v>1</v>
      </c>
      <c r="G958" s="122">
        <v>167</v>
      </c>
      <c r="H958" s="122">
        <v>289</v>
      </c>
      <c r="I958" s="122">
        <v>27665</v>
      </c>
      <c r="J958" s="122">
        <v>25150</v>
      </c>
      <c r="K958" s="122">
        <v>65</v>
      </c>
      <c r="L958" s="122">
        <v>6908</v>
      </c>
      <c r="M958" s="122">
        <v>5757</v>
      </c>
      <c r="N958" s="122">
        <v>2985</v>
      </c>
      <c r="O958" s="122">
        <v>1106</v>
      </c>
      <c r="P958" s="122">
        <v>621</v>
      </c>
      <c r="Q958" s="122">
        <v>230</v>
      </c>
      <c r="R958" s="122">
        <v>6336</v>
      </c>
      <c r="S958" s="122">
        <v>5760</v>
      </c>
      <c r="T958" s="122">
        <v>3643</v>
      </c>
      <c r="U958" s="122">
        <v>1349</v>
      </c>
      <c r="V958" s="122">
        <v>39351</v>
      </c>
      <c r="W958" s="122">
        <f t="shared" si="28"/>
        <v>39352</v>
      </c>
      <c r="X958" s="122">
        <f t="shared" si="29"/>
        <v>48158</v>
      </c>
      <c r="AA958" t="s">
        <v>56</v>
      </c>
      <c r="AB958" t="s">
        <v>427</v>
      </c>
      <c r="AC958" t="s">
        <v>427</v>
      </c>
      <c r="AD958" t="s">
        <v>406</v>
      </c>
      <c r="AE958" t="s">
        <v>137</v>
      </c>
      <c r="AF958">
        <v>1</v>
      </c>
      <c r="AG958">
        <v>195</v>
      </c>
      <c r="AH958">
        <v>195</v>
      </c>
      <c r="AI958" s="122">
        <v>20213</v>
      </c>
      <c r="AJ958" s="122">
        <v>18376</v>
      </c>
      <c r="AK958">
        <v>92</v>
      </c>
      <c r="AL958" s="122">
        <v>6543</v>
      </c>
      <c r="AM958" s="122">
        <v>5948</v>
      </c>
      <c r="AN958" s="122">
        <v>4740</v>
      </c>
      <c r="AO958" s="122">
        <v>1756</v>
      </c>
      <c r="AP958" s="122">
        <v>621</v>
      </c>
      <c r="AQ958">
        <v>230</v>
      </c>
      <c r="AR958" s="122">
        <v>5799</v>
      </c>
      <c r="AS958" s="122">
        <v>5272</v>
      </c>
      <c r="AT958">
        <v>0</v>
      </c>
      <c r="AU958">
        <v>0</v>
      </c>
      <c r="AV958" s="122">
        <v>31581</v>
      </c>
    </row>
    <row r="959" spans="2:48" hidden="1">
      <c r="B959" t="s">
        <v>368</v>
      </c>
      <c r="C959" t="s">
        <v>58</v>
      </c>
      <c r="D959" t="s">
        <v>405</v>
      </c>
      <c r="E959" t="s">
        <v>425</v>
      </c>
      <c r="F959" s="122">
        <v>2</v>
      </c>
      <c r="G959" s="122">
        <v>287</v>
      </c>
      <c r="H959" s="122">
        <v>520</v>
      </c>
      <c r="I959" s="122">
        <v>45491</v>
      </c>
      <c r="J959" s="122">
        <v>41355</v>
      </c>
      <c r="K959" s="122">
        <v>82</v>
      </c>
      <c r="L959" s="122">
        <v>8890</v>
      </c>
      <c r="M959" s="122">
        <v>8082</v>
      </c>
      <c r="N959" s="122">
        <v>6044</v>
      </c>
      <c r="O959" s="122">
        <v>2238</v>
      </c>
      <c r="P959" s="122">
        <v>945</v>
      </c>
      <c r="Q959" s="122">
        <v>350</v>
      </c>
      <c r="R959" s="122">
        <v>13399</v>
      </c>
      <c r="S959" s="122">
        <v>12181</v>
      </c>
      <c r="T959" s="122">
        <v>0</v>
      </c>
      <c r="U959" s="122">
        <v>0</v>
      </c>
      <c r="V959" s="122">
        <v>64207</v>
      </c>
      <c r="W959" s="122">
        <f t="shared" si="28"/>
        <v>64206</v>
      </c>
      <c r="X959" s="122">
        <f t="shared" si="29"/>
        <v>74769</v>
      </c>
      <c r="AA959" t="s">
        <v>56</v>
      </c>
      <c r="AB959" t="s">
        <v>427</v>
      </c>
      <c r="AC959" t="s">
        <v>427</v>
      </c>
      <c r="AD959" t="s">
        <v>406</v>
      </c>
      <c r="AE959" t="s">
        <v>566</v>
      </c>
      <c r="AF959">
        <v>2</v>
      </c>
      <c r="AG959">
        <v>369</v>
      </c>
      <c r="AH959">
        <v>355</v>
      </c>
      <c r="AI959" s="122">
        <v>34882</v>
      </c>
      <c r="AJ959" s="122">
        <v>31711</v>
      </c>
      <c r="AK959">
        <v>87</v>
      </c>
      <c r="AL959" s="122">
        <v>7382</v>
      </c>
      <c r="AM959" s="122">
        <v>6711</v>
      </c>
      <c r="AN959" s="122">
        <v>7677</v>
      </c>
      <c r="AO959" s="122">
        <v>2843</v>
      </c>
      <c r="AP959" s="122">
        <v>1242</v>
      </c>
      <c r="AQ959">
        <v>460</v>
      </c>
      <c r="AR959" s="122">
        <v>14175</v>
      </c>
      <c r="AS959" s="122">
        <v>12886</v>
      </c>
      <c r="AT959" s="122">
        <v>0</v>
      </c>
      <c r="AU959" s="122">
        <v>0</v>
      </c>
      <c r="AV959" s="122">
        <v>54611</v>
      </c>
    </row>
    <row r="960" spans="2:48" hidden="1">
      <c r="B960" t="s">
        <v>368</v>
      </c>
      <c r="C960" t="s">
        <v>58</v>
      </c>
      <c r="D960" t="s">
        <v>405</v>
      </c>
      <c r="E960" t="s">
        <v>405</v>
      </c>
      <c r="F960" s="122">
        <v>85</v>
      </c>
      <c r="G960" s="122">
        <v>10858</v>
      </c>
      <c r="H960" s="122">
        <v>21569</v>
      </c>
      <c r="I960" s="122">
        <v>1634770</v>
      </c>
      <c r="J960" s="122">
        <v>1486155</v>
      </c>
      <c r="K960" s="122">
        <v>79</v>
      </c>
      <c r="L960" s="122">
        <v>355937</v>
      </c>
      <c r="M960" s="122">
        <v>322065</v>
      </c>
      <c r="N960" s="122">
        <v>233462</v>
      </c>
      <c r="O960" s="122">
        <v>86467</v>
      </c>
      <c r="P960" s="122">
        <v>42012</v>
      </c>
      <c r="Q960" s="122">
        <v>15560</v>
      </c>
      <c r="R960" s="122">
        <v>449846</v>
      </c>
      <c r="S960" s="122">
        <v>408951</v>
      </c>
      <c r="T960" s="122">
        <v>105874</v>
      </c>
      <c r="U960" s="122">
        <v>39212</v>
      </c>
      <c r="V960" s="122">
        <v>2358410</v>
      </c>
      <c r="W960" s="122">
        <f t="shared" si="28"/>
        <v>2358410</v>
      </c>
      <c r="X960" s="122">
        <f t="shared" si="29"/>
        <v>2821901</v>
      </c>
      <c r="AA960" t="s">
        <v>56</v>
      </c>
      <c r="AB960" t="s">
        <v>427</v>
      </c>
      <c r="AC960" t="s">
        <v>427</v>
      </c>
      <c r="AD960" t="s">
        <v>427</v>
      </c>
      <c r="AE960" t="s">
        <v>137</v>
      </c>
      <c r="AF960">
        <v>3</v>
      </c>
      <c r="AG960">
        <v>585</v>
      </c>
      <c r="AH960">
        <v>581</v>
      </c>
      <c r="AI960" s="122">
        <v>74150</v>
      </c>
      <c r="AJ960" s="122">
        <v>67409</v>
      </c>
      <c r="AK960">
        <v>66</v>
      </c>
      <c r="AL960" s="122">
        <v>12330</v>
      </c>
      <c r="AM960" s="122">
        <v>11209</v>
      </c>
      <c r="AN960" s="122">
        <v>12970</v>
      </c>
      <c r="AO960" s="122">
        <v>4804</v>
      </c>
      <c r="AP960" s="122">
        <v>1323</v>
      </c>
      <c r="AQ960">
        <v>490</v>
      </c>
      <c r="AR960" s="122">
        <v>18585</v>
      </c>
      <c r="AS960" s="122">
        <v>16896</v>
      </c>
      <c r="AT960" s="122">
        <v>5834</v>
      </c>
      <c r="AU960" s="122">
        <v>2161</v>
      </c>
      <c r="AV960" s="122">
        <v>102968</v>
      </c>
    </row>
    <row r="961" spans="2:48" hidden="1">
      <c r="B961" t="s">
        <v>368</v>
      </c>
      <c r="C961" t="s">
        <v>58</v>
      </c>
      <c r="D961" t="s">
        <v>137</v>
      </c>
      <c r="E961" t="s">
        <v>137</v>
      </c>
      <c r="F961" s="122">
        <v>137</v>
      </c>
      <c r="G961" s="122">
        <v>20673</v>
      </c>
      <c r="H961" s="122">
        <v>36846</v>
      </c>
      <c r="I961" s="122">
        <v>3571947</v>
      </c>
      <c r="J961" s="122">
        <v>1322943</v>
      </c>
      <c r="K961" s="122">
        <v>110</v>
      </c>
      <c r="L961" s="122">
        <v>516099</v>
      </c>
      <c r="M961" s="122">
        <v>356027</v>
      </c>
      <c r="N961" s="122">
        <v>456727</v>
      </c>
      <c r="O961" s="122">
        <v>169158</v>
      </c>
      <c r="P961" s="122">
        <v>13943</v>
      </c>
      <c r="Q961" s="122">
        <v>5164</v>
      </c>
      <c r="R961" s="122">
        <v>1160734</v>
      </c>
      <c r="S961" s="122">
        <v>429902</v>
      </c>
      <c r="T961" s="122">
        <v>4223</v>
      </c>
      <c r="U961" s="122">
        <v>1564</v>
      </c>
      <c r="V961" s="122">
        <v>2284758</v>
      </c>
      <c r="W961" s="122">
        <f t="shared" si="28"/>
        <v>2284758</v>
      </c>
      <c r="X961" s="122">
        <f t="shared" si="29"/>
        <v>5723673</v>
      </c>
      <c r="AA961" t="s">
        <v>56</v>
      </c>
      <c r="AB961" t="s">
        <v>427</v>
      </c>
      <c r="AC961" t="s">
        <v>427</v>
      </c>
      <c r="AD961" t="s">
        <v>427</v>
      </c>
      <c r="AE961" t="s">
        <v>566</v>
      </c>
      <c r="AF961">
        <v>4</v>
      </c>
      <c r="AG961">
        <v>718</v>
      </c>
      <c r="AH961">
        <v>817</v>
      </c>
      <c r="AI961" s="122">
        <v>109408</v>
      </c>
      <c r="AJ961" s="122">
        <v>99461</v>
      </c>
      <c r="AK961">
        <v>65</v>
      </c>
      <c r="AL961" s="122">
        <v>11660</v>
      </c>
      <c r="AM961" s="122">
        <v>10600</v>
      </c>
      <c r="AN961" s="122">
        <v>12772</v>
      </c>
      <c r="AO961" s="122">
        <v>4730</v>
      </c>
      <c r="AP961" s="122">
        <v>1755</v>
      </c>
      <c r="AQ961">
        <v>650</v>
      </c>
      <c r="AR961" s="122">
        <v>25047</v>
      </c>
      <c r="AS961" s="122">
        <v>22770</v>
      </c>
      <c r="AT961" s="122">
        <v>0</v>
      </c>
      <c r="AU961" s="122">
        <v>0</v>
      </c>
      <c r="AV961" s="122">
        <v>138211</v>
      </c>
    </row>
    <row r="962" spans="2:48" hidden="1">
      <c r="B962" t="s">
        <v>368</v>
      </c>
      <c r="C962" t="s">
        <v>58</v>
      </c>
      <c r="D962" t="s">
        <v>406</v>
      </c>
      <c r="E962" t="s">
        <v>425</v>
      </c>
      <c r="F962" s="122">
        <v>2</v>
      </c>
      <c r="G962" s="122">
        <v>224</v>
      </c>
      <c r="H962" s="122">
        <v>524</v>
      </c>
      <c r="I962" s="122">
        <v>40443</v>
      </c>
      <c r="J962" s="122">
        <v>36766</v>
      </c>
      <c r="K962" s="122">
        <v>75</v>
      </c>
      <c r="L962" s="122">
        <v>10634</v>
      </c>
      <c r="M962" s="122">
        <v>9667</v>
      </c>
      <c r="N962" s="122">
        <v>6097</v>
      </c>
      <c r="O962" s="122">
        <v>2258</v>
      </c>
      <c r="P962" s="122">
        <v>1242</v>
      </c>
      <c r="Q962" s="122">
        <v>460</v>
      </c>
      <c r="R962" s="122">
        <v>13844</v>
      </c>
      <c r="S962" s="122">
        <v>12585</v>
      </c>
      <c r="T962" s="122">
        <v>3691</v>
      </c>
      <c r="U962" s="122">
        <v>1367</v>
      </c>
      <c r="V962" s="122">
        <v>63104</v>
      </c>
      <c r="W962" s="122">
        <f t="shared" si="28"/>
        <v>63103</v>
      </c>
      <c r="X962" s="122">
        <f t="shared" si="29"/>
        <v>75951</v>
      </c>
      <c r="AA962" t="s">
        <v>56</v>
      </c>
      <c r="AB962" t="s">
        <v>427</v>
      </c>
      <c r="AC962" t="s">
        <v>579</v>
      </c>
      <c r="AD962" t="s">
        <v>406</v>
      </c>
      <c r="AE962" t="s">
        <v>137</v>
      </c>
      <c r="AF962">
        <v>1</v>
      </c>
      <c r="AG962">
        <v>166</v>
      </c>
      <c r="AH962">
        <v>204</v>
      </c>
      <c r="AI962" s="122">
        <v>16948</v>
      </c>
      <c r="AJ962" s="122">
        <v>15407</v>
      </c>
      <c r="AK962">
        <v>65</v>
      </c>
      <c r="AL962" s="122">
        <v>2116</v>
      </c>
      <c r="AM962" s="122">
        <v>1763</v>
      </c>
      <c r="AN962" s="122">
        <v>3310</v>
      </c>
      <c r="AO962" s="122">
        <v>1226</v>
      </c>
      <c r="AP962">
        <v>621</v>
      </c>
      <c r="AQ962">
        <v>230</v>
      </c>
      <c r="AR962" s="122">
        <v>7399</v>
      </c>
      <c r="AS962" s="122">
        <v>6726</v>
      </c>
      <c r="AT962" s="122">
        <v>3449</v>
      </c>
      <c r="AU962" s="122">
        <v>1278</v>
      </c>
      <c r="AV962" s="122">
        <v>26630</v>
      </c>
    </row>
    <row r="963" spans="2:48" hidden="1">
      <c r="B963" t="s">
        <v>368</v>
      </c>
      <c r="C963" t="s">
        <v>58</v>
      </c>
      <c r="D963" t="s">
        <v>406</v>
      </c>
      <c r="E963" t="s">
        <v>137</v>
      </c>
      <c r="F963" s="122">
        <v>17</v>
      </c>
      <c r="G963" s="122">
        <v>2483</v>
      </c>
      <c r="H963" s="122">
        <v>4423</v>
      </c>
      <c r="I963" s="122">
        <v>359299</v>
      </c>
      <c r="J963" s="122">
        <v>326636</v>
      </c>
      <c r="K963" s="122">
        <v>81</v>
      </c>
      <c r="L963" s="122">
        <v>89848</v>
      </c>
      <c r="M963" s="122">
        <v>77145</v>
      </c>
      <c r="N963" s="122">
        <v>54404</v>
      </c>
      <c r="O963" s="122">
        <v>20149</v>
      </c>
      <c r="P963" s="122">
        <v>10908</v>
      </c>
      <c r="Q963" s="122">
        <v>4040</v>
      </c>
      <c r="R963" s="122">
        <v>149895</v>
      </c>
      <c r="S963" s="122">
        <v>55517</v>
      </c>
      <c r="T963" s="122">
        <v>0</v>
      </c>
      <c r="U963" s="122">
        <v>0</v>
      </c>
      <c r="V963" s="122">
        <v>483487</v>
      </c>
      <c r="W963" s="122">
        <f t="shared" si="28"/>
        <v>483487</v>
      </c>
      <c r="X963" s="122">
        <f t="shared" si="29"/>
        <v>664354</v>
      </c>
      <c r="AA963" t="s">
        <v>56</v>
      </c>
      <c r="AB963" t="s">
        <v>427</v>
      </c>
      <c r="AC963" t="s">
        <v>579</v>
      </c>
      <c r="AD963" t="s">
        <v>406</v>
      </c>
      <c r="AE963" t="s">
        <v>566</v>
      </c>
      <c r="AF963">
        <v>1</v>
      </c>
      <c r="AG963">
        <v>136</v>
      </c>
      <c r="AH963">
        <v>193</v>
      </c>
      <c r="AI963" s="122">
        <v>24664</v>
      </c>
      <c r="AJ963" s="122">
        <v>22422</v>
      </c>
      <c r="AK963">
        <v>95</v>
      </c>
      <c r="AL963" s="122">
        <v>4734</v>
      </c>
      <c r="AM963" s="122">
        <v>3945</v>
      </c>
      <c r="AN963" s="122">
        <v>2335</v>
      </c>
      <c r="AO963" s="122">
        <v>865</v>
      </c>
      <c r="AP963" s="122">
        <v>621</v>
      </c>
      <c r="AQ963" s="122">
        <v>230</v>
      </c>
      <c r="AR963" s="122">
        <v>3831</v>
      </c>
      <c r="AS963" s="122">
        <v>3483</v>
      </c>
      <c r="AT963" s="122">
        <v>0</v>
      </c>
      <c r="AU963" s="122">
        <v>0</v>
      </c>
      <c r="AV963" s="122">
        <v>30944</v>
      </c>
    </row>
    <row r="964" spans="2:48" hidden="1">
      <c r="B964" t="s">
        <v>368</v>
      </c>
      <c r="C964" t="s">
        <v>58</v>
      </c>
      <c r="D964" t="s">
        <v>406</v>
      </c>
      <c r="E964" t="s">
        <v>406</v>
      </c>
      <c r="F964" s="122">
        <v>4342</v>
      </c>
      <c r="G964" s="122">
        <v>569958</v>
      </c>
      <c r="H964" s="122">
        <v>1124583</v>
      </c>
      <c r="I964" s="122">
        <v>87935958</v>
      </c>
      <c r="J964" s="122">
        <v>79941780</v>
      </c>
      <c r="K964" s="122">
        <v>79</v>
      </c>
      <c r="L964" s="122">
        <v>17603275</v>
      </c>
      <c r="M964" s="122">
        <v>15647712</v>
      </c>
      <c r="N964" s="122">
        <v>11770989</v>
      </c>
      <c r="O964" s="122">
        <v>4359626</v>
      </c>
      <c r="P964" s="122">
        <v>2897168</v>
      </c>
      <c r="Q964" s="122">
        <v>1073025</v>
      </c>
      <c r="R964" s="122">
        <v>23371225</v>
      </c>
      <c r="S964" s="122">
        <v>21246568</v>
      </c>
      <c r="T964" s="122">
        <v>6892469</v>
      </c>
      <c r="U964" s="122">
        <v>2552766</v>
      </c>
      <c r="V964" s="122">
        <v>124821478</v>
      </c>
      <c r="W964" s="122">
        <f t="shared" si="28"/>
        <v>124821477</v>
      </c>
      <c r="X964" s="122">
        <f t="shared" si="29"/>
        <v>150471084</v>
      </c>
      <c r="AA964" t="s">
        <v>56</v>
      </c>
      <c r="AB964" t="s">
        <v>427</v>
      </c>
      <c r="AC964" t="s">
        <v>426</v>
      </c>
      <c r="AD964" t="s">
        <v>406</v>
      </c>
      <c r="AE964" t="s">
        <v>137</v>
      </c>
      <c r="AF964">
        <v>5</v>
      </c>
      <c r="AG964">
        <v>769</v>
      </c>
      <c r="AH964">
        <v>952</v>
      </c>
      <c r="AI964" s="122">
        <v>77523</v>
      </c>
      <c r="AJ964" s="122">
        <v>70475</v>
      </c>
      <c r="AK964">
        <v>88</v>
      </c>
      <c r="AL964" s="122">
        <v>15332</v>
      </c>
      <c r="AM964" s="122">
        <v>13938</v>
      </c>
      <c r="AN964" s="122">
        <v>14564</v>
      </c>
      <c r="AO964" s="122">
        <v>5394</v>
      </c>
      <c r="AP964" s="122">
        <v>3105</v>
      </c>
      <c r="AQ964" s="122">
        <v>1150</v>
      </c>
      <c r="AR964" s="122">
        <v>22480</v>
      </c>
      <c r="AS964" s="122">
        <v>20437</v>
      </c>
      <c r="AT964" s="122">
        <v>12991</v>
      </c>
      <c r="AU964" s="122">
        <v>4811</v>
      </c>
      <c r="AV964" s="122">
        <v>116205</v>
      </c>
    </row>
    <row r="965" spans="2:48" hidden="1">
      <c r="B965" t="s">
        <v>368</v>
      </c>
      <c r="C965" t="s">
        <v>58</v>
      </c>
      <c r="D965" t="s">
        <v>406</v>
      </c>
      <c r="E965" t="s">
        <v>427</v>
      </c>
      <c r="F965" s="122">
        <v>1</v>
      </c>
      <c r="G965" s="122">
        <v>95</v>
      </c>
      <c r="H965" s="122">
        <v>227</v>
      </c>
      <c r="I965" s="122">
        <v>12660</v>
      </c>
      <c r="J965" s="122">
        <v>11509</v>
      </c>
      <c r="K965" s="122">
        <v>94</v>
      </c>
      <c r="L965" s="122">
        <v>2199</v>
      </c>
      <c r="M965" s="122">
        <v>1999</v>
      </c>
      <c r="N965" s="122">
        <v>2319</v>
      </c>
      <c r="O965" s="122">
        <v>859</v>
      </c>
      <c r="P965" s="122">
        <v>621</v>
      </c>
      <c r="Q965" s="122">
        <v>230</v>
      </c>
      <c r="R965" s="122">
        <v>3829</v>
      </c>
      <c r="S965" s="122">
        <v>3481</v>
      </c>
      <c r="T965" s="122">
        <v>0</v>
      </c>
      <c r="U965" s="122">
        <v>0</v>
      </c>
      <c r="V965" s="122">
        <v>18078</v>
      </c>
      <c r="W965" s="122">
        <f t="shared" si="28"/>
        <v>18078</v>
      </c>
      <c r="X965" s="122">
        <f t="shared" si="29"/>
        <v>21628</v>
      </c>
      <c r="AA965" t="s">
        <v>56</v>
      </c>
      <c r="AB965" t="s">
        <v>427</v>
      </c>
      <c r="AC965" t="s">
        <v>426</v>
      </c>
      <c r="AD965" t="s">
        <v>406</v>
      </c>
      <c r="AE965" t="s">
        <v>566</v>
      </c>
      <c r="AF965">
        <v>5</v>
      </c>
      <c r="AG965">
        <v>743</v>
      </c>
      <c r="AH965">
        <v>939</v>
      </c>
      <c r="AI965" s="122">
        <v>73202</v>
      </c>
      <c r="AJ965" s="122">
        <v>66548</v>
      </c>
      <c r="AK965">
        <v>85</v>
      </c>
      <c r="AL965" s="122">
        <v>15054</v>
      </c>
      <c r="AM965" s="122">
        <v>13685</v>
      </c>
      <c r="AN965" s="122">
        <v>14954</v>
      </c>
      <c r="AO965" s="122">
        <v>5538</v>
      </c>
      <c r="AP965" s="122">
        <v>3105</v>
      </c>
      <c r="AQ965" s="122">
        <v>1150</v>
      </c>
      <c r="AR965" s="122">
        <v>33032</v>
      </c>
      <c r="AS965" s="122">
        <v>30029</v>
      </c>
      <c r="AT965">
        <v>0</v>
      </c>
      <c r="AU965">
        <v>0</v>
      </c>
      <c r="AV965" s="122">
        <v>116951</v>
      </c>
    </row>
    <row r="966" spans="2:48" hidden="1">
      <c r="B966" t="s">
        <v>368</v>
      </c>
      <c r="C966" t="s">
        <v>58</v>
      </c>
      <c r="D966" t="s">
        <v>406</v>
      </c>
      <c r="E966" t="s">
        <v>431</v>
      </c>
      <c r="F966" s="122">
        <v>7</v>
      </c>
      <c r="G966" s="122">
        <v>899</v>
      </c>
      <c r="H966" s="122">
        <v>1853</v>
      </c>
      <c r="I966" s="122">
        <v>126422</v>
      </c>
      <c r="J966" s="122">
        <v>114929</v>
      </c>
      <c r="K966" s="122">
        <v>81</v>
      </c>
      <c r="L966" s="122">
        <v>26713</v>
      </c>
      <c r="M966" s="122">
        <v>24284</v>
      </c>
      <c r="N966" s="122">
        <v>19040</v>
      </c>
      <c r="O966" s="122">
        <v>7052</v>
      </c>
      <c r="P966" s="122">
        <v>4698</v>
      </c>
      <c r="Q966" s="122">
        <v>1740</v>
      </c>
      <c r="R966" s="122">
        <v>47879</v>
      </c>
      <c r="S966" s="122">
        <v>43527</v>
      </c>
      <c r="T966" s="122">
        <v>13210</v>
      </c>
      <c r="U966" s="122">
        <v>4893</v>
      </c>
      <c r="V966" s="122">
        <v>196425</v>
      </c>
      <c r="W966" s="122">
        <f t="shared" si="28"/>
        <v>196425</v>
      </c>
      <c r="X966" s="122">
        <f t="shared" si="29"/>
        <v>237962</v>
      </c>
      <c r="AA966" t="s">
        <v>56</v>
      </c>
      <c r="AB966" t="s">
        <v>427</v>
      </c>
      <c r="AC966" t="s">
        <v>426</v>
      </c>
      <c r="AD966" t="s">
        <v>427</v>
      </c>
      <c r="AE966" t="s">
        <v>137</v>
      </c>
      <c r="AF966">
        <v>1</v>
      </c>
      <c r="AG966">
        <v>244</v>
      </c>
      <c r="AH966">
        <v>165</v>
      </c>
      <c r="AI966" s="122">
        <v>26075</v>
      </c>
      <c r="AJ966" s="122">
        <v>23704</v>
      </c>
      <c r="AK966">
        <v>70</v>
      </c>
      <c r="AL966" s="122">
        <v>3120</v>
      </c>
      <c r="AM966" s="122">
        <v>2836</v>
      </c>
      <c r="AN966" s="122">
        <v>4628</v>
      </c>
      <c r="AO966" s="122">
        <v>1714</v>
      </c>
      <c r="AP966">
        <v>621</v>
      </c>
      <c r="AQ966">
        <v>230</v>
      </c>
      <c r="AR966" s="122">
        <v>5754</v>
      </c>
      <c r="AS966" s="122">
        <v>5231</v>
      </c>
      <c r="AT966" s="122">
        <v>0</v>
      </c>
      <c r="AU966" s="122">
        <v>0</v>
      </c>
      <c r="AV966" s="122">
        <v>33715</v>
      </c>
    </row>
    <row r="967" spans="2:48" hidden="1">
      <c r="B967" t="s">
        <v>368</v>
      </c>
      <c r="C967" t="s">
        <v>58</v>
      </c>
      <c r="D967" t="s">
        <v>406</v>
      </c>
      <c r="E967" t="s">
        <v>426</v>
      </c>
      <c r="F967" s="122">
        <v>7</v>
      </c>
      <c r="G967" s="122">
        <v>862</v>
      </c>
      <c r="H967" s="122">
        <v>1936</v>
      </c>
      <c r="I967" s="122">
        <v>130997</v>
      </c>
      <c r="J967" s="122">
        <v>119089</v>
      </c>
      <c r="K967" s="122">
        <v>76</v>
      </c>
      <c r="L967" s="122">
        <v>28114</v>
      </c>
      <c r="M967" s="122">
        <v>25558</v>
      </c>
      <c r="N967" s="122">
        <v>18058</v>
      </c>
      <c r="O967" s="122">
        <v>6688</v>
      </c>
      <c r="P967" s="122">
        <v>4347</v>
      </c>
      <c r="Q967" s="122">
        <v>1610</v>
      </c>
      <c r="R967" s="122">
        <v>42190</v>
      </c>
      <c r="S967" s="122">
        <v>38355</v>
      </c>
      <c r="T967" s="122">
        <v>14296</v>
      </c>
      <c r="U967" s="122">
        <v>5295</v>
      </c>
      <c r="V967" s="122">
        <v>196594</v>
      </c>
      <c r="W967" s="122">
        <f t="shared" ref="W967:W1030" si="30">SUM(ABS(J967),ABS(M967),ABS(O967),ABS(Q967),ABS(S967),ABS(U967))</f>
        <v>196595</v>
      </c>
      <c r="X967" s="122">
        <f t="shared" ref="X967:X1030" si="31">SUM(ABS(I967),ABS(N967),ABS(P967),ABS(R967),ABS(T967),ABS(L967))</f>
        <v>238002</v>
      </c>
      <c r="AA967" t="s">
        <v>56</v>
      </c>
      <c r="AB967" t="s">
        <v>427</v>
      </c>
      <c r="AC967" t="s">
        <v>566</v>
      </c>
      <c r="AD967" t="s">
        <v>427</v>
      </c>
      <c r="AE967" t="s">
        <v>137</v>
      </c>
      <c r="AF967">
        <v>1</v>
      </c>
      <c r="AG967">
        <v>94</v>
      </c>
      <c r="AH967">
        <v>174</v>
      </c>
      <c r="AI967" s="122">
        <v>7956</v>
      </c>
      <c r="AJ967" s="122">
        <v>7233</v>
      </c>
      <c r="AK967">
        <v>65</v>
      </c>
      <c r="AL967" s="122">
        <v>0</v>
      </c>
      <c r="AM967" s="122">
        <v>580</v>
      </c>
      <c r="AN967" s="122">
        <v>1142</v>
      </c>
      <c r="AO967">
        <v>423</v>
      </c>
      <c r="AP967">
        <v>351</v>
      </c>
      <c r="AQ967">
        <v>130</v>
      </c>
      <c r="AR967" s="122">
        <v>4133</v>
      </c>
      <c r="AS967" s="122">
        <v>3757</v>
      </c>
      <c r="AT967" s="122">
        <v>2704</v>
      </c>
      <c r="AU967" s="122">
        <v>1002</v>
      </c>
      <c r="AV967" s="122">
        <v>13125</v>
      </c>
    </row>
    <row r="968" spans="2:48" hidden="1">
      <c r="B968" t="s">
        <v>368</v>
      </c>
      <c r="C968" t="s">
        <v>58</v>
      </c>
      <c r="D968" t="s">
        <v>427</v>
      </c>
      <c r="E968" t="s">
        <v>427</v>
      </c>
      <c r="F968" s="122">
        <v>5</v>
      </c>
      <c r="G968" s="122">
        <v>883</v>
      </c>
      <c r="H968" s="122">
        <v>1318</v>
      </c>
      <c r="I968" s="122">
        <v>145831</v>
      </c>
      <c r="J968" s="122">
        <v>132574</v>
      </c>
      <c r="K968" s="122">
        <v>57</v>
      </c>
      <c r="L968" s="122">
        <v>19714</v>
      </c>
      <c r="M968" s="122">
        <v>17922</v>
      </c>
      <c r="N968" s="122">
        <v>16790</v>
      </c>
      <c r="O968" s="122">
        <v>6219</v>
      </c>
      <c r="P968" s="122">
        <v>2729</v>
      </c>
      <c r="Q968" s="122">
        <v>1011</v>
      </c>
      <c r="R968" s="122">
        <v>40658</v>
      </c>
      <c r="S968" s="122">
        <v>36962</v>
      </c>
      <c r="T968" s="122">
        <v>6115</v>
      </c>
      <c r="U968" s="122">
        <v>2265</v>
      </c>
      <c r="V968" s="122">
        <v>196952</v>
      </c>
      <c r="W968" s="122">
        <f t="shared" si="30"/>
        <v>196953</v>
      </c>
      <c r="X968" s="122">
        <f t="shared" si="31"/>
        <v>231837</v>
      </c>
      <c r="AA968" t="s">
        <v>56</v>
      </c>
      <c r="AB968" t="s">
        <v>427</v>
      </c>
      <c r="AC968" t="s">
        <v>481</v>
      </c>
      <c r="AD968" t="s">
        <v>427</v>
      </c>
      <c r="AE968" t="s">
        <v>137</v>
      </c>
      <c r="AF968">
        <v>1</v>
      </c>
      <c r="AG968">
        <v>85</v>
      </c>
      <c r="AH968">
        <v>220</v>
      </c>
      <c r="AI968" s="122">
        <v>10333</v>
      </c>
      <c r="AJ968" s="122">
        <v>9393</v>
      </c>
      <c r="AK968">
        <v>65</v>
      </c>
      <c r="AL968" s="122">
        <v>1148</v>
      </c>
      <c r="AM968" s="122">
        <v>1044</v>
      </c>
      <c r="AN968" s="122">
        <v>1040</v>
      </c>
      <c r="AO968" s="122">
        <v>385</v>
      </c>
      <c r="AP968">
        <v>473</v>
      </c>
      <c r="AQ968">
        <v>175</v>
      </c>
      <c r="AR968" s="122">
        <v>3539</v>
      </c>
      <c r="AS968" s="122">
        <v>3217</v>
      </c>
      <c r="AT968" s="122">
        <v>2238</v>
      </c>
      <c r="AU968">
        <v>829</v>
      </c>
      <c r="AV968" s="122">
        <v>15044</v>
      </c>
    </row>
    <row r="969" spans="2:48" hidden="1">
      <c r="B969" t="s">
        <v>368</v>
      </c>
      <c r="C969" t="s">
        <v>58</v>
      </c>
      <c r="D969" t="s">
        <v>407</v>
      </c>
      <c r="E969" t="s">
        <v>407</v>
      </c>
      <c r="F969" s="122">
        <v>63</v>
      </c>
      <c r="G969" s="122">
        <v>7970</v>
      </c>
      <c r="H969" s="122">
        <v>15682</v>
      </c>
      <c r="I969" s="122">
        <v>1110627</v>
      </c>
      <c r="J969" s="122">
        <v>1009661</v>
      </c>
      <c r="K969" s="122">
        <v>79</v>
      </c>
      <c r="L969" s="122">
        <v>298889</v>
      </c>
      <c r="M969" s="122">
        <v>265798</v>
      </c>
      <c r="N969" s="122">
        <v>159949</v>
      </c>
      <c r="O969" s="122">
        <v>59240</v>
      </c>
      <c r="P969" s="122">
        <v>31644</v>
      </c>
      <c r="Q969" s="122">
        <v>11720</v>
      </c>
      <c r="R969" s="122">
        <v>341512</v>
      </c>
      <c r="S969" s="122">
        <v>310466</v>
      </c>
      <c r="T969" s="122">
        <v>42275</v>
      </c>
      <c r="U969" s="122">
        <v>15657</v>
      </c>
      <c r="V969" s="122">
        <v>1672542</v>
      </c>
      <c r="W969" s="122">
        <f t="shared" si="30"/>
        <v>1672542</v>
      </c>
      <c r="X969" s="122">
        <f t="shared" si="31"/>
        <v>1984896</v>
      </c>
      <c r="AA969" t="s">
        <v>56</v>
      </c>
      <c r="AB969" t="s">
        <v>427</v>
      </c>
      <c r="AC969" t="s">
        <v>433</v>
      </c>
      <c r="AD969" t="s">
        <v>406</v>
      </c>
      <c r="AE969" t="s">
        <v>137</v>
      </c>
      <c r="AF969">
        <v>1</v>
      </c>
      <c r="AG969">
        <v>230</v>
      </c>
      <c r="AH969">
        <v>193</v>
      </c>
      <c r="AI969" s="122">
        <v>28766</v>
      </c>
      <c r="AJ969" s="122">
        <v>26151</v>
      </c>
      <c r="AK969">
        <v>86</v>
      </c>
      <c r="AL969" s="122">
        <v>4565</v>
      </c>
      <c r="AM969" s="122">
        <v>4150</v>
      </c>
      <c r="AN969" s="122">
        <v>3861</v>
      </c>
      <c r="AO969" s="122">
        <v>1430</v>
      </c>
      <c r="AP969" s="122">
        <v>972</v>
      </c>
      <c r="AQ969">
        <v>360</v>
      </c>
      <c r="AR969" s="122">
        <v>6099</v>
      </c>
      <c r="AS969" s="122">
        <v>5545</v>
      </c>
      <c r="AT969" s="122">
        <v>0</v>
      </c>
      <c r="AU969" s="122">
        <v>0</v>
      </c>
      <c r="AV969" s="122">
        <v>37636</v>
      </c>
    </row>
    <row r="970" spans="2:48" hidden="1">
      <c r="B970" t="s">
        <v>368</v>
      </c>
      <c r="C970" t="s">
        <v>58</v>
      </c>
      <c r="D970" t="s">
        <v>556</v>
      </c>
      <c r="E970" t="s">
        <v>556</v>
      </c>
      <c r="F970" s="122">
        <v>7</v>
      </c>
      <c r="G970" s="122">
        <v>673</v>
      </c>
      <c r="H970" s="122">
        <v>1900</v>
      </c>
      <c r="I970" s="122">
        <v>96444</v>
      </c>
      <c r="J970" s="122">
        <v>80370</v>
      </c>
      <c r="K970" s="122">
        <v>68</v>
      </c>
      <c r="L970" s="122">
        <v>15013</v>
      </c>
      <c r="M970" s="122">
        <v>11941</v>
      </c>
      <c r="N970" s="122">
        <v>13336</v>
      </c>
      <c r="O970" s="122">
        <v>4939</v>
      </c>
      <c r="P970" s="122">
        <v>3078</v>
      </c>
      <c r="Q970" s="122">
        <v>1140</v>
      </c>
      <c r="R970" s="122">
        <v>37562</v>
      </c>
      <c r="S970" s="122">
        <v>31302</v>
      </c>
      <c r="T970" s="122">
        <v>16383</v>
      </c>
      <c r="U970" s="122">
        <v>6068</v>
      </c>
      <c r="V970" s="122">
        <v>135759</v>
      </c>
      <c r="W970" s="122">
        <f t="shared" si="30"/>
        <v>135760</v>
      </c>
      <c r="X970" s="122">
        <f t="shared" si="31"/>
        <v>181816</v>
      </c>
      <c r="AA970" t="s">
        <v>56</v>
      </c>
      <c r="AB970" t="s">
        <v>407</v>
      </c>
      <c r="AC970" t="s">
        <v>578</v>
      </c>
      <c r="AD970" t="s">
        <v>407</v>
      </c>
      <c r="AE970" t="s">
        <v>137</v>
      </c>
      <c r="AF970">
        <v>4</v>
      </c>
      <c r="AG970" s="122">
        <v>551</v>
      </c>
      <c r="AH970" s="122">
        <v>753</v>
      </c>
      <c r="AI970" s="122">
        <v>54559</v>
      </c>
      <c r="AJ970" s="122">
        <v>49599</v>
      </c>
      <c r="AK970">
        <v>85</v>
      </c>
      <c r="AL970" s="122">
        <v>12573</v>
      </c>
      <c r="AM970" s="122">
        <v>11430</v>
      </c>
      <c r="AN970" s="122">
        <v>10788</v>
      </c>
      <c r="AO970" s="122">
        <v>3995</v>
      </c>
      <c r="AP970" s="122">
        <v>1890</v>
      </c>
      <c r="AQ970" s="122">
        <v>700</v>
      </c>
      <c r="AR970" s="122">
        <v>21569</v>
      </c>
      <c r="AS970" s="122">
        <v>19608</v>
      </c>
      <c r="AT970" s="122">
        <v>2991</v>
      </c>
      <c r="AU970" s="122">
        <v>1108</v>
      </c>
      <c r="AV970" s="122">
        <v>86441</v>
      </c>
    </row>
    <row r="971" spans="2:48" hidden="1">
      <c r="B971" t="s">
        <v>368</v>
      </c>
      <c r="C971" t="s">
        <v>58</v>
      </c>
      <c r="D971" t="s">
        <v>428</v>
      </c>
      <c r="E971" t="s">
        <v>137</v>
      </c>
      <c r="F971" s="122">
        <v>1</v>
      </c>
      <c r="G971" s="122">
        <v>67</v>
      </c>
      <c r="H971" s="122">
        <v>261</v>
      </c>
      <c r="I971" s="122">
        <v>18388</v>
      </c>
      <c r="J971" s="122">
        <v>16716</v>
      </c>
      <c r="K971" s="122">
        <v>65</v>
      </c>
      <c r="L971" s="122">
        <v>0</v>
      </c>
      <c r="M971" s="122">
        <v>0</v>
      </c>
      <c r="N971" s="122">
        <v>2737</v>
      </c>
      <c r="O971" s="122">
        <v>1014</v>
      </c>
      <c r="P971" s="122">
        <v>0</v>
      </c>
      <c r="Q971" s="122">
        <v>0</v>
      </c>
      <c r="R971" s="122">
        <v>8229</v>
      </c>
      <c r="S971" s="122">
        <v>3048</v>
      </c>
      <c r="T971" s="122">
        <v>0</v>
      </c>
      <c r="U971" s="122">
        <v>0</v>
      </c>
      <c r="V971" s="122">
        <v>20778</v>
      </c>
      <c r="W971" s="122">
        <f t="shared" si="30"/>
        <v>20778</v>
      </c>
      <c r="X971" s="122">
        <f t="shared" si="31"/>
        <v>29354</v>
      </c>
      <c r="AA971" t="s">
        <v>56</v>
      </c>
      <c r="AB971" t="s">
        <v>407</v>
      </c>
      <c r="AC971" t="s">
        <v>578</v>
      </c>
      <c r="AD971" t="s">
        <v>407</v>
      </c>
      <c r="AE971" t="s">
        <v>566</v>
      </c>
      <c r="AF971">
        <v>13</v>
      </c>
      <c r="AG971" s="122">
        <v>1972</v>
      </c>
      <c r="AH971" s="122">
        <v>2245</v>
      </c>
      <c r="AI971" s="122">
        <v>183011</v>
      </c>
      <c r="AJ971" s="122">
        <v>166374</v>
      </c>
      <c r="AK971">
        <v>88</v>
      </c>
      <c r="AL971" s="122">
        <v>48738</v>
      </c>
      <c r="AM971" s="122">
        <v>44308</v>
      </c>
      <c r="AN971" s="122">
        <v>40548</v>
      </c>
      <c r="AO971" s="122">
        <v>15018</v>
      </c>
      <c r="AP971" s="122">
        <v>6143</v>
      </c>
      <c r="AQ971" s="122">
        <v>2275</v>
      </c>
      <c r="AR971" s="122">
        <v>68216</v>
      </c>
      <c r="AS971" s="122">
        <v>62015</v>
      </c>
      <c r="AT971">
        <v>0</v>
      </c>
      <c r="AU971">
        <v>0</v>
      </c>
      <c r="AV971" s="122">
        <v>289989</v>
      </c>
    </row>
    <row r="972" spans="2:48" hidden="1">
      <c r="B972" t="s">
        <v>368</v>
      </c>
      <c r="C972" t="s">
        <v>58</v>
      </c>
      <c r="D972" t="s">
        <v>428</v>
      </c>
      <c r="E972" t="s">
        <v>428</v>
      </c>
      <c r="F972" s="122">
        <v>1</v>
      </c>
      <c r="G972" s="122">
        <v>136</v>
      </c>
      <c r="H972" s="122">
        <v>252</v>
      </c>
      <c r="I972" s="122">
        <v>25742</v>
      </c>
      <c r="J972" s="122">
        <v>23402</v>
      </c>
      <c r="K972" s="122">
        <v>65</v>
      </c>
      <c r="L972" s="122">
        <v>0</v>
      </c>
      <c r="M972" s="122">
        <v>0</v>
      </c>
      <c r="N972" s="122">
        <v>1654</v>
      </c>
      <c r="O972" s="122">
        <v>613</v>
      </c>
      <c r="P972" s="122">
        <v>351</v>
      </c>
      <c r="Q972" s="122">
        <v>130</v>
      </c>
      <c r="R972" s="122">
        <v>6464</v>
      </c>
      <c r="S972" s="122">
        <v>5876</v>
      </c>
      <c r="T972" s="122">
        <v>0</v>
      </c>
      <c r="U972" s="122">
        <v>0</v>
      </c>
      <c r="V972" s="122">
        <v>30021</v>
      </c>
      <c r="W972" s="122">
        <f t="shared" si="30"/>
        <v>30021</v>
      </c>
      <c r="X972" s="122">
        <f t="shared" si="31"/>
        <v>34211</v>
      </c>
      <c r="AA972" t="s">
        <v>56</v>
      </c>
      <c r="AB972" t="s">
        <v>407</v>
      </c>
      <c r="AC972" t="s">
        <v>425</v>
      </c>
      <c r="AD972" t="s">
        <v>137</v>
      </c>
      <c r="AE972" t="s">
        <v>566</v>
      </c>
      <c r="AF972">
        <v>1</v>
      </c>
      <c r="AG972">
        <v>235</v>
      </c>
      <c r="AH972">
        <v>159</v>
      </c>
      <c r="AI972" s="122">
        <v>16357</v>
      </c>
      <c r="AJ972" s="122">
        <v>14870</v>
      </c>
      <c r="AK972">
        <v>91</v>
      </c>
      <c r="AL972" s="122">
        <v>3912</v>
      </c>
      <c r="AM972" s="122">
        <v>3557</v>
      </c>
      <c r="AN972" s="122">
        <v>5531</v>
      </c>
      <c r="AO972" s="122">
        <v>2048</v>
      </c>
      <c r="AP972" s="122">
        <v>2409</v>
      </c>
      <c r="AQ972">
        <v>892</v>
      </c>
      <c r="AR972" s="122">
        <v>9293</v>
      </c>
      <c r="AS972" s="122">
        <v>3442</v>
      </c>
      <c r="AT972" s="122">
        <v>0</v>
      </c>
      <c r="AU972" s="122">
        <v>0</v>
      </c>
      <c r="AV972" s="122">
        <v>24809</v>
      </c>
    </row>
    <row r="973" spans="2:48" hidden="1">
      <c r="B973" t="s">
        <v>368</v>
      </c>
      <c r="C973" t="s">
        <v>58</v>
      </c>
      <c r="D973" t="s">
        <v>431</v>
      </c>
      <c r="E973" t="s">
        <v>428</v>
      </c>
      <c r="F973" s="122">
        <v>1</v>
      </c>
      <c r="G973" s="122">
        <v>247</v>
      </c>
      <c r="H973" s="122">
        <v>297</v>
      </c>
      <c r="I973" s="122">
        <v>51840</v>
      </c>
      <c r="J973" s="122">
        <v>47128</v>
      </c>
      <c r="K973" s="122">
        <v>65</v>
      </c>
      <c r="L973" s="122">
        <v>4154</v>
      </c>
      <c r="M973" s="122">
        <v>3776</v>
      </c>
      <c r="N973" s="122">
        <v>6014</v>
      </c>
      <c r="O973" s="122">
        <v>2227</v>
      </c>
      <c r="P973" s="122">
        <v>1242</v>
      </c>
      <c r="Q973" s="122">
        <v>460</v>
      </c>
      <c r="R973" s="122">
        <v>9997</v>
      </c>
      <c r="S973" s="122">
        <v>9088</v>
      </c>
      <c r="T973" s="122">
        <v>0</v>
      </c>
      <c r="U973" s="122">
        <v>0</v>
      </c>
      <c r="V973" s="122">
        <v>62679</v>
      </c>
      <c r="W973" s="122">
        <f t="shared" si="30"/>
        <v>62679</v>
      </c>
      <c r="X973" s="122">
        <f t="shared" si="31"/>
        <v>73247</v>
      </c>
      <c r="AA973" t="s">
        <v>56</v>
      </c>
      <c r="AB973" t="s">
        <v>407</v>
      </c>
      <c r="AC973" t="s">
        <v>425</v>
      </c>
      <c r="AD973" t="s">
        <v>407</v>
      </c>
      <c r="AE973" t="s">
        <v>137</v>
      </c>
      <c r="AF973">
        <v>5</v>
      </c>
      <c r="AG973" s="122">
        <v>715</v>
      </c>
      <c r="AH973" s="122">
        <v>995</v>
      </c>
      <c r="AI973" s="122">
        <v>77442</v>
      </c>
      <c r="AJ973" s="122">
        <v>70402</v>
      </c>
      <c r="AK973">
        <v>81</v>
      </c>
      <c r="AL973" s="122">
        <v>14460</v>
      </c>
      <c r="AM973" s="122">
        <v>13145</v>
      </c>
      <c r="AN973" s="122">
        <v>12568</v>
      </c>
      <c r="AO973" s="122">
        <v>4655</v>
      </c>
      <c r="AP973" s="122">
        <v>2241</v>
      </c>
      <c r="AQ973" s="122">
        <v>830</v>
      </c>
      <c r="AR973" s="122">
        <v>22663</v>
      </c>
      <c r="AS973" s="122">
        <v>20603</v>
      </c>
      <c r="AT973" s="122">
        <v>11548</v>
      </c>
      <c r="AU973" s="122">
        <v>4277</v>
      </c>
      <c r="AV973" s="122">
        <v>113912</v>
      </c>
    </row>
    <row r="974" spans="2:48" hidden="1">
      <c r="B974" t="s">
        <v>368</v>
      </c>
      <c r="C974" t="s">
        <v>58</v>
      </c>
      <c r="D974" t="s">
        <v>431</v>
      </c>
      <c r="E974" t="s">
        <v>431</v>
      </c>
      <c r="F974" s="122">
        <v>16</v>
      </c>
      <c r="G974" s="122">
        <v>2345</v>
      </c>
      <c r="H974" s="122">
        <v>4409</v>
      </c>
      <c r="I974" s="122">
        <v>447883</v>
      </c>
      <c r="J974" s="122">
        <v>407166</v>
      </c>
      <c r="K974" s="122">
        <v>61</v>
      </c>
      <c r="L974" s="122">
        <v>57542</v>
      </c>
      <c r="M974" s="122">
        <v>58018</v>
      </c>
      <c r="N974" s="122">
        <v>51933</v>
      </c>
      <c r="O974" s="122">
        <v>19234</v>
      </c>
      <c r="P974" s="122">
        <v>7938</v>
      </c>
      <c r="Q974" s="122">
        <v>2940</v>
      </c>
      <c r="R974" s="122">
        <v>115462</v>
      </c>
      <c r="S974" s="122">
        <v>104966</v>
      </c>
      <c r="T974" s="122">
        <v>29460</v>
      </c>
      <c r="U974" s="122">
        <v>10911</v>
      </c>
      <c r="V974" s="122">
        <v>603236</v>
      </c>
      <c r="W974" s="122">
        <f t="shared" si="30"/>
        <v>603235</v>
      </c>
      <c r="X974" s="122">
        <f t="shared" si="31"/>
        <v>710218</v>
      </c>
      <c r="AA974" t="s">
        <v>56</v>
      </c>
      <c r="AB974" t="s">
        <v>407</v>
      </c>
      <c r="AC974" t="s">
        <v>425</v>
      </c>
      <c r="AD974" t="s">
        <v>407</v>
      </c>
      <c r="AE974" t="s">
        <v>566</v>
      </c>
      <c r="AF974">
        <v>14</v>
      </c>
      <c r="AG974" s="122">
        <v>3234</v>
      </c>
      <c r="AH974" s="122">
        <v>2585</v>
      </c>
      <c r="AI974" s="122">
        <v>362058</v>
      </c>
      <c r="AJ974" s="122">
        <v>329144</v>
      </c>
      <c r="AK974">
        <v>87</v>
      </c>
      <c r="AL974" s="122">
        <v>71738</v>
      </c>
      <c r="AM974" s="122">
        <v>65216</v>
      </c>
      <c r="AN974" s="122">
        <v>68764</v>
      </c>
      <c r="AO974" s="122">
        <v>25468</v>
      </c>
      <c r="AP974" s="122">
        <v>7115</v>
      </c>
      <c r="AQ974" s="122">
        <v>2635</v>
      </c>
      <c r="AR974" s="122">
        <v>80877</v>
      </c>
      <c r="AS974" s="122">
        <v>73525</v>
      </c>
      <c r="AT974">
        <v>0</v>
      </c>
      <c r="AU974">
        <v>0</v>
      </c>
      <c r="AV974" s="122">
        <v>495988</v>
      </c>
    </row>
    <row r="975" spans="2:48" hidden="1">
      <c r="B975" t="s">
        <v>368</v>
      </c>
      <c r="C975" t="s">
        <v>58</v>
      </c>
      <c r="D975" t="s">
        <v>426</v>
      </c>
      <c r="E975" t="s">
        <v>137</v>
      </c>
      <c r="F975" s="122">
        <v>1</v>
      </c>
      <c r="G975" s="122">
        <v>103</v>
      </c>
      <c r="H975" s="122">
        <v>298</v>
      </c>
      <c r="I975" s="122">
        <v>16941</v>
      </c>
      <c r="J975" s="122">
        <v>15401</v>
      </c>
      <c r="K975" s="122">
        <v>65</v>
      </c>
      <c r="L975" s="122">
        <v>2225</v>
      </c>
      <c r="M975" s="122">
        <v>2022</v>
      </c>
      <c r="N975" s="122">
        <v>1253</v>
      </c>
      <c r="O975" s="122">
        <v>464</v>
      </c>
      <c r="P975" s="122">
        <v>351</v>
      </c>
      <c r="Q975" s="122">
        <v>130</v>
      </c>
      <c r="R975" s="122">
        <v>9922</v>
      </c>
      <c r="S975" s="122">
        <v>3675</v>
      </c>
      <c r="T975" s="122">
        <v>0</v>
      </c>
      <c r="U975" s="122">
        <v>0</v>
      </c>
      <c r="V975" s="122">
        <v>21692</v>
      </c>
      <c r="W975" s="122">
        <f t="shared" si="30"/>
        <v>21692</v>
      </c>
      <c r="X975" s="122">
        <f t="shared" si="31"/>
        <v>30692</v>
      </c>
      <c r="AA975" t="s">
        <v>56</v>
      </c>
      <c r="AB975" t="s">
        <v>407</v>
      </c>
      <c r="AC975" t="s">
        <v>405</v>
      </c>
      <c r="AD975" t="s">
        <v>405</v>
      </c>
      <c r="AE975" t="s">
        <v>566</v>
      </c>
      <c r="AF975">
        <v>1</v>
      </c>
      <c r="AG975">
        <v>83</v>
      </c>
      <c r="AH975">
        <v>213</v>
      </c>
      <c r="AI975" s="122">
        <v>8626</v>
      </c>
      <c r="AJ975" s="122">
        <v>7842</v>
      </c>
      <c r="AK975">
        <v>92</v>
      </c>
      <c r="AL975" s="122">
        <v>2930</v>
      </c>
      <c r="AM975" s="122">
        <v>2663</v>
      </c>
      <c r="AN975" s="122">
        <v>2031</v>
      </c>
      <c r="AO975" s="122">
        <v>752</v>
      </c>
      <c r="AP975">
        <v>473</v>
      </c>
      <c r="AQ975">
        <v>175</v>
      </c>
      <c r="AR975" s="122">
        <v>3708</v>
      </c>
      <c r="AS975" s="122">
        <v>3371</v>
      </c>
      <c r="AT975" s="122">
        <v>0</v>
      </c>
      <c r="AU975">
        <v>0</v>
      </c>
      <c r="AV975" s="122">
        <v>14804</v>
      </c>
    </row>
    <row r="976" spans="2:48" hidden="1">
      <c r="B976" t="s">
        <v>368</v>
      </c>
      <c r="C976" t="s">
        <v>58</v>
      </c>
      <c r="D976" t="s">
        <v>426</v>
      </c>
      <c r="E976" t="s">
        <v>426</v>
      </c>
      <c r="F976" s="122">
        <v>104</v>
      </c>
      <c r="G976" s="122">
        <v>15018</v>
      </c>
      <c r="H976" s="122">
        <v>28134</v>
      </c>
      <c r="I976" s="122">
        <v>2603406</v>
      </c>
      <c r="J976" s="122">
        <v>2366733</v>
      </c>
      <c r="K976" s="122">
        <v>64</v>
      </c>
      <c r="L976" s="122">
        <v>327686</v>
      </c>
      <c r="M976" s="122">
        <v>280694</v>
      </c>
      <c r="N976" s="122">
        <v>317420</v>
      </c>
      <c r="O976" s="122">
        <v>117563</v>
      </c>
      <c r="P976" s="122">
        <v>57908</v>
      </c>
      <c r="Q976" s="122">
        <v>21447</v>
      </c>
      <c r="R976" s="122">
        <v>605529</v>
      </c>
      <c r="S976" s="122">
        <v>550481</v>
      </c>
      <c r="T976" s="122">
        <v>247784</v>
      </c>
      <c r="U976" s="122">
        <v>91772</v>
      </c>
      <c r="V976" s="122">
        <v>3428689</v>
      </c>
      <c r="W976" s="122">
        <f t="shared" si="30"/>
        <v>3428690</v>
      </c>
      <c r="X976" s="122">
        <f t="shared" si="31"/>
        <v>4159733</v>
      </c>
      <c r="AA976" t="s">
        <v>56</v>
      </c>
      <c r="AB976" t="s">
        <v>407</v>
      </c>
      <c r="AC976" t="s">
        <v>405</v>
      </c>
      <c r="AD976" t="s">
        <v>407</v>
      </c>
      <c r="AE976" t="s">
        <v>137</v>
      </c>
      <c r="AF976">
        <v>2</v>
      </c>
      <c r="AG976">
        <v>232</v>
      </c>
      <c r="AH976">
        <v>371</v>
      </c>
      <c r="AI976" s="122">
        <v>24173</v>
      </c>
      <c r="AJ976" s="122">
        <v>21976</v>
      </c>
      <c r="AK976">
        <v>92</v>
      </c>
      <c r="AL976" s="122">
        <v>3669</v>
      </c>
      <c r="AM976" s="122">
        <v>3335</v>
      </c>
      <c r="AN976" s="122">
        <v>4218</v>
      </c>
      <c r="AO976" s="122">
        <v>1562</v>
      </c>
      <c r="AP976" s="122">
        <v>824</v>
      </c>
      <c r="AQ976">
        <v>305</v>
      </c>
      <c r="AR976" s="122">
        <v>7347</v>
      </c>
      <c r="AS976" s="122">
        <v>6679</v>
      </c>
      <c r="AT976" s="122">
        <v>2277</v>
      </c>
      <c r="AU976">
        <v>843</v>
      </c>
      <c r="AV976" s="122">
        <v>34701</v>
      </c>
    </row>
    <row r="977" spans="2:48" hidden="1">
      <c r="B977" t="s">
        <v>368</v>
      </c>
      <c r="C977" t="s">
        <v>58</v>
      </c>
      <c r="D977" t="s">
        <v>433</v>
      </c>
      <c r="E977" t="s">
        <v>137</v>
      </c>
      <c r="F977" s="122">
        <v>2</v>
      </c>
      <c r="G977" s="122">
        <v>146</v>
      </c>
      <c r="H977" s="122">
        <v>562</v>
      </c>
      <c r="I977" s="122">
        <v>20275</v>
      </c>
      <c r="J977" s="122">
        <v>18432</v>
      </c>
      <c r="K977" s="122">
        <v>69</v>
      </c>
      <c r="L977" s="122">
        <v>5495</v>
      </c>
      <c r="M977" s="122">
        <v>2035</v>
      </c>
      <c r="N977" s="122">
        <v>2643</v>
      </c>
      <c r="O977" s="122">
        <v>979</v>
      </c>
      <c r="P977" s="122">
        <v>314</v>
      </c>
      <c r="Q977" s="122">
        <v>116</v>
      </c>
      <c r="R977" s="122">
        <v>12435</v>
      </c>
      <c r="S977" s="122">
        <v>4606</v>
      </c>
      <c r="T977" s="122">
        <v>0</v>
      </c>
      <c r="U977" s="122">
        <v>0</v>
      </c>
      <c r="V977" s="122">
        <v>26168</v>
      </c>
      <c r="W977" s="122">
        <f t="shared" si="30"/>
        <v>26168</v>
      </c>
      <c r="X977" s="122">
        <f t="shared" si="31"/>
        <v>41162</v>
      </c>
      <c r="AA977" t="s">
        <v>56</v>
      </c>
      <c r="AB977" t="s">
        <v>407</v>
      </c>
      <c r="AC977" t="s">
        <v>405</v>
      </c>
      <c r="AD977" t="s">
        <v>407</v>
      </c>
      <c r="AE977" t="s">
        <v>566</v>
      </c>
      <c r="AF977">
        <v>3</v>
      </c>
      <c r="AG977">
        <v>418</v>
      </c>
      <c r="AH977">
        <v>579</v>
      </c>
      <c r="AI977" s="122">
        <v>44241</v>
      </c>
      <c r="AJ977" s="122">
        <v>40219</v>
      </c>
      <c r="AK977">
        <v>96</v>
      </c>
      <c r="AL977" s="122">
        <v>12679</v>
      </c>
      <c r="AM977" s="122">
        <v>11527</v>
      </c>
      <c r="AN977" s="122">
        <v>8438</v>
      </c>
      <c r="AO977" s="122">
        <v>3125</v>
      </c>
      <c r="AP977" s="122">
        <v>1296</v>
      </c>
      <c r="AQ977">
        <v>480</v>
      </c>
      <c r="AR977" s="122">
        <v>13870</v>
      </c>
      <c r="AS977" s="122">
        <v>12609</v>
      </c>
      <c r="AT977">
        <v>0</v>
      </c>
      <c r="AU977">
        <v>0</v>
      </c>
      <c r="AV977" s="122">
        <v>67960</v>
      </c>
    </row>
    <row r="978" spans="2:48" hidden="1">
      <c r="B978" t="s">
        <v>368</v>
      </c>
      <c r="C978" t="s">
        <v>58</v>
      </c>
      <c r="D978" t="s">
        <v>433</v>
      </c>
      <c r="E978" t="s">
        <v>433</v>
      </c>
      <c r="F978" s="122">
        <v>4</v>
      </c>
      <c r="G978" s="122">
        <v>536</v>
      </c>
      <c r="H978" s="122">
        <v>1113</v>
      </c>
      <c r="I978" s="122">
        <v>95401</v>
      </c>
      <c r="J978" s="122">
        <v>86728</v>
      </c>
      <c r="K978" s="122">
        <v>58</v>
      </c>
      <c r="L978" s="122">
        <v>14588</v>
      </c>
      <c r="M978" s="122">
        <v>13262</v>
      </c>
      <c r="N978" s="122">
        <v>8154</v>
      </c>
      <c r="O978" s="122">
        <v>3020</v>
      </c>
      <c r="P978" s="122">
        <v>2565</v>
      </c>
      <c r="Q978" s="122">
        <v>950</v>
      </c>
      <c r="R978" s="122">
        <v>24442</v>
      </c>
      <c r="S978" s="122">
        <v>22220</v>
      </c>
      <c r="T978" s="122">
        <v>2874</v>
      </c>
      <c r="U978" s="122">
        <v>1065</v>
      </c>
      <c r="V978" s="122">
        <v>127244</v>
      </c>
      <c r="W978" s="122">
        <f t="shared" si="30"/>
        <v>127245</v>
      </c>
      <c r="X978" s="122">
        <f t="shared" si="31"/>
        <v>148024</v>
      </c>
      <c r="AA978" t="s">
        <v>56</v>
      </c>
      <c r="AB978" t="s">
        <v>407</v>
      </c>
      <c r="AC978" t="s">
        <v>137</v>
      </c>
      <c r="AD978" t="s">
        <v>137</v>
      </c>
      <c r="AE978" t="s">
        <v>566</v>
      </c>
      <c r="AF978">
        <v>3</v>
      </c>
      <c r="AG978">
        <v>573</v>
      </c>
      <c r="AH978">
        <v>567</v>
      </c>
      <c r="AI978" s="122">
        <v>59038</v>
      </c>
      <c r="AJ978" s="122">
        <v>53671</v>
      </c>
      <c r="AK978">
        <v>81</v>
      </c>
      <c r="AL978" s="122">
        <v>13066</v>
      </c>
      <c r="AM978" s="122">
        <v>4839</v>
      </c>
      <c r="AN978" s="122">
        <v>13184</v>
      </c>
      <c r="AO978" s="122">
        <v>4883</v>
      </c>
      <c r="AP978" s="122">
        <v>1970</v>
      </c>
      <c r="AQ978">
        <v>729</v>
      </c>
      <c r="AR978" s="122">
        <v>19954</v>
      </c>
      <c r="AS978" s="122">
        <v>7390</v>
      </c>
      <c r="AT978" s="122">
        <v>0</v>
      </c>
      <c r="AU978">
        <v>0</v>
      </c>
      <c r="AV978" s="122">
        <v>71513</v>
      </c>
    </row>
    <row r="979" spans="2:48" hidden="1">
      <c r="B979" t="s">
        <v>368</v>
      </c>
      <c r="C979" t="s">
        <v>58</v>
      </c>
      <c r="D979" t="s">
        <v>408</v>
      </c>
      <c r="E979" t="s">
        <v>408</v>
      </c>
      <c r="F979" s="122">
        <v>5</v>
      </c>
      <c r="G979" s="122">
        <v>720</v>
      </c>
      <c r="H979" s="122">
        <v>1248</v>
      </c>
      <c r="I979" s="122">
        <v>112674</v>
      </c>
      <c r="J979" s="122">
        <v>102431</v>
      </c>
      <c r="K979" s="122">
        <v>72</v>
      </c>
      <c r="L979" s="122">
        <v>18162</v>
      </c>
      <c r="M979" s="122">
        <v>16511</v>
      </c>
      <c r="N979" s="122">
        <v>11656</v>
      </c>
      <c r="O979" s="122">
        <v>4317</v>
      </c>
      <c r="P979" s="122">
        <v>2106</v>
      </c>
      <c r="Q979" s="122">
        <v>780</v>
      </c>
      <c r="R979" s="122">
        <v>32371</v>
      </c>
      <c r="S979" s="122">
        <v>29428</v>
      </c>
      <c r="T979" s="122">
        <v>0</v>
      </c>
      <c r="U979" s="122">
        <v>0</v>
      </c>
      <c r="V979" s="122">
        <v>153467</v>
      </c>
      <c r="W979" s="122">
        <f t="shared" si="30"/>
        <v>153467</v>
      </c>
      <c r="X979" s="122">
        <f t="shared" si="31"/>
        <v>176969</v>
      </c>
      <c r="AA979" t="s">
        <v>56</v>
      </c>
      <c r="AB979" t="s">
        <v>407</v>
      </c>
      <c r="AC979" t="s">
        <v>137</v>
      </c>
      <c r="AD979" t="s">
        <v>406</v>
      </c>
      <c r="AE979" t="s">
        <v>137</v>
      </c>
      <c r="AF979">
        <v>1</v>
      </c>
      <c r="AG979" s="122">
        <v>82</v>
      </c>
      <c r="AH979" s="122">
        <v>185</v>
      </c>
      <c r="AI979" s="122">
        <v>5807</v>
      </c>
      <c r="AJ979" s="122">
        <v>5279</v>
      </c>
      <c r="AK979">
        <v>78</v>
      </c>
      <c r="AL979" s="122">
        <v>1227</v>
      </c>
      <c r="AM979" s="122">
        <v>455</v>
      </c>
      <c r="AN979" s="122">
        <v>1704</v>
      </c>
      <c r="AO979" s="122">
        <v>631</v>
      </c>
      <c r="AP979" s="122">
        <v>473</v>
      </c>
      <c r="AQ979" s="122">
        <v>175</v>
      </c>
      <c r="AR979" s="122">
        <v>3478</v>
      </c>
      <c r="AS979" s="122">
        <v>3162</v>
      </c>
      <c r="AT979" s="122">
        <v>2553</v>
      </c>
      <c r="AU979" s="122">
        <v>945</v>
      </c>
      <c r="AV979" s="122">
        <v>10647</v>
      </c>
    </row>
    <row r="980" spans="2:48" hidden="1">
      <c r="B980" t="s">
        <v>368</v>
      </c>
      <c r="C980" t="s">
        <v>58</v>
      </c>
      <c r="D980" t="s">
        <v>429</v>
      </c>
      <c r="E980" t="s">
        <v>429</v>
      </c>
      <c r="F980" s="122">
        <v>2</v>
      </c>
      <c r="G980" s="122">
        <v>196</v>
      </c>
      <c r="H980" s="122">
        <v>525</v>
      </c>
      <c r="I980" s="122">
        <v>30684</v>
      </c>
      <c r="J980" s="122">
        <v>27895</v>
      </c>
      <c r="K980" s="122">
        <v>65</v>
      </c>
      <c r="L980" s="122">
        <v>9426</v>
      </c>
      <c r="M980" s="122">
        <v>5798</v>
      </c>
      <c r="N980" s="122">
        <v>3616</v>
      </c>
      <c r="O980" s="122">
        <v>1339</v>
      </c>
      <c r="P980" s="122">
        <v>1404</v>
      </c>
      <c r="Q980" s="122">
        <v>520</v>
      </c>
      <c r="R980" s="122">
        <v>7513</v>
      </c>
      <c r="S980" s="122">
        <v>6830</v>
      </c>
      <c r="T980" s="122">
        <v>3505</v>
      </c>
      <c r="U980" s="122">
        <v>1298</v>
      </c>
      <c r="V980" s="122">
        <v>43681</v>
      </c>
      <c r="W980" s="122">
        <f t="shared" si="30"/>
        <v>43680</v>
      </c>
      <c r="X980" s="122">
        <f t="shared" si="31"/>
        <v>56148</v>
      </c>
      <c r="AA980" t="s">
        <v>56</v>
      </c>
      <c r="AB980" t="s">
        <v>407</v>
      </c>
      <c r="AC980" t="s">
        <v>137</v>
      </c>
      <c r="AD980" t="s">
        <v>407</v>
      </c>
      <c r="AE980" t="s">
        <v>137</v>
      </c>
      <c r="AF980">
        <v>192</v>
      </c>
      <c r="AG980" s="122">
        <v>26488</v>
      </c>
      <c r="AH980" s="122">
        <v>36759</v>
      </c>
      <c r="AI980" s="122">
        <v>2651971</v>
      </c>
      <c r="AJ980" s="122">
        <v>2410882</v>
      </c>
      <c r="AK980">
        <v>83</v>
      </c>
      <c r="AL980" s="122">
        <v>670783</v>
      </c>
      <c r="AM980" s="122">
        <v>248438</v>
      </c>
      <c r="AN980" s="122">
        <v>536599</v>
      </c>
      <c r="AO980" s="122">
        <v>198740</v>
      </c>
      <c r="AP980" s="122">
        <v>97197</v>
      </c>
      <c r="AQ980" s="122">
        <v>35999</v>
      </c>
      <c r="AR980" s="122">
        <v>847801</v>
      </c>
      <c r="AS980" s="122">
        <v>770729</v>
      </c>
      <c r="AT980" s="122">
        <v>359895</v>
      </c>
      <c r="AU980" s="122">
        <v>133295</v>
      </c>
      <c r="AV980" s="122">
        <v>3798083</v>
      </c>
    </row>
    <row r="981" spans="2:48" hidden="1">
      <c r="B981" t="s">
        <v>368</v>
      </c>
      <c r="C981" t="s">
        <v>60</v>
      </c>
      <c r="F981" s="122">
        <v>3</v>
      </c>
      <c r="G981" s="122">
        <v>491</v>
      </c>
      <c r="H981" s="122">
        <v>938</v>
      </c>
      <c r="I981" s="122"/>
      <c r="J981" s="122">
        <v>0</v>
      </c>
      <c r="K981" s="122"/>
      <c r="L981" s="122"/>
      <c r="M981" s="122">
        <v>0</v>
      </c>
      <c r="N981" s="122">
        <v>9003</v>
      </c>
      <c r="O981" s="122">
        <v>3335</v>
      </c>
      <c r="P981" s="122">
        <v>1863</v>
      </c>
      <c r="Q981" s="122">
        <v>690</v>
      </c>
      <c r="R981" s="122"/>
      <c r="S981" s="122">
        <v>0</v>
      </c>
      <c r="T981" s="122">
        <v>0</v>
      </c>
      <c r="U981" s="122">
        <v>0</v>
      </c>
      <c r="V981" s="122">
        <v>4025</v>
      </c>
      <c r="W981" s="122">
        <f t="shared" si="30"/>
        <v>4025</v>
      </c>
      <c r="X981" s="122">
        <f t="shared" si="31"/>
        <v>10866</v>
      </c>
      <c r="AA981" t="s">
        <v>56</v>
      </c>
      <c r="AB981" t="s">
        <v>407</v>
      </c>
      <c r="AC981" t="s">
        <v>137</v>
      </c>
      <c r="AD981" t="s">
        <v>407</v>
      </c>
      <c r="AE981" t="s">
        <v>566</v>
      </c>
      <c r="AF981">
        <v>423</v>
      </c>
      <c r="AG981" s="122">
        <v>55266</v>
      </c>
      <c r="AH981" s="122">
        <v>78248</v>
      </c>
      <c r="AI981" s="122">
        <v>5499595</v>
      </c>
      <c r="AJ981" s="122">
        <v>4999632</v>
      </c>
      <c r="AK981">
        <v>85</v>
      </c>
      <c r="AL981" s="122">
        <v>1346046</v>
      </c>
      <c r="AM981" s="122">
        <v>498535</v>
      </c>
      <c r="AN981" s="122">
        <v>1143471</v>
      </c>
      <c r="AO981" s="122">
        <v>423508</v>
      </c>
      <c r="AP981" s="122">
        <v>207908</v>
      </c>
      <c r="AQ981" s="122">
        <v>77003</v>
      </c>
      <c r="AR981" s="122">
        <v>2198850</v>
      </c>
      <c r="AS981" s="122">
        <v>1998954</v>
      </c>
      <c r="AT981" s="122">
        <v>0</v>
      </c>
      <c r="AU981" s="122">
        <v>0</v>
      </c>
      <c r="AV981" s="122">
        <v>7997633</v>
      </c>
    </row>
    <row r="982" spans="2:48" hidden="1">
      <c r="B982" t="s">
        <v>368</v>
      </c>
      <c r="C982" t="s">
        <v>60</v>
      </c>
      <c r="D982" t="s">
        <v>425</v>
      </c>
      <c r="E982" t="s">
        <v>425</v>
      </c>
      <c r="F982" s="122">
        <v>5</v>
      </c>
      <c r="G982" s="122">
        <v>541</v>
      </c>
      <c r="H982" s="122">
        <v>1715</v>
      </c>
      <c r="I982" s="122">
        <v>119172</v>
      </c>
      <c r="J982" s="122">
        <v>108338</v>
      </c>
      <c r="K982" s="122">
        <v>73</v>
      </c>
      <c r="L982" s="122">
        <v>30784</v>
      </c>
      <c r="M982" s="122">
        <v>27985</v>
      </c>
      <c r="N982" s="122">
        <v>13656</v>
      </c>
      <c r="O982" s="122">
        <v>5058</v>
      </c>
      <c r="P982" s="122">
        <v>2241</v>
      </c>
      <c r="Q982" s="122">
        <v>830</v>
      </c>
      <c r="R982" s="122">
        <v>22422</v>
      </c>
      <c r="S982" s="122">
        <v>20383</v>
      </c>
      <c r="T982" s="122">
        <v>11127</v>
      </c>
      <c r="U982" s="122">
        <v>4121</v>
      </c>
      <c r="V982" s="122">
        <v>166715</v>
      </c>
      <c r="W982" s="122">
        <f t="shared" si="30"/>
        <v>166715</v>
      </c>
      <c r="X982" s="122">
        <f t="shared" si="31"/>
        <v>199402</v>
      </c>
      <c r="AA982" t="s">
        <v>56</v>
      </c>
      <c r="AB982" t="s">
        <v>407</v>
      </c>
      <c r="AC982" t="s">
        <v>580</v>
      </c>
      <c r="AD982" t="s">
        <v>407</v>
      </c>
      <c r="AE982" t="s">
        <v>137</v>
      </c>
      <c r="AF982">
        <v>5</v>
      </c>
      <c r="AG982" s="122">
        <v>752</v>
      </c>
      <c r="AH982" s="122">
        <v>945</v>
      </c>
      <c r="AI982" s="122">
        <v>98314</v>
      </c>
      <c r="AJ982" s="122">
        <v>89376</v>
      </c>
      <c r="AK982">
        <v>84</v>
      </c>
      <c r="AL982" s="122">
        <v>19846</v>
      </c>
      <c r="AM982" s="122">
        <v>18042</v>
      </c>
      <c r="AN982" s="122">
        <v>17754</v>
      </c>
      <c r="AO982" s="122">
        <v>6576</v>
      </c>
      <c r="AP982" s="122">
        <v>4929</v>
      </c>
      <c r="AQ982" s="122">
        <v>1826</v>
      </c>
      <c r="AR982" s="122">
        <v>25241</v>
      </c>
      <c r="AS982" s="122">
        <v>22947</v>
      </c>
      <c r="AT982" s="122">
        <v>10606</v>
      </c>
      <c r="AU982" s="122">
        <v>3928</v>
      </c>
      <c r="AV982" s="122">
        <v>142694</v>
      </c>
    </row>
    <row r="983" spans="2:48" hidden="1">
      <c r="B983" t="s">
        <v>368</v>
      </c>
      <c r="C983" t="s">
        <v>60</v>
      </c>
      <c r="D983" t="s">
        <v>405</v>
      </c>
      <c r="E983" t="s">
        <v>405</v>
      </c>
      <c r="F983" s="122">
        <v>39</v>
      </c>
      <c r="G983" s="122">
        <v>5399</v>
      </c>
      <c r="H983" s="122">
        <v>13391</v>
      </c>
      <c r="I983" s="122">
        <v>1210564</v>
      </c>
      <c r="J983" s="122">
        <v>1100513</v>
      </c>
      <c r="K983" s="122">
        <v>77</v>
      </c>
      <c r="L983" s="122">
        <v>257385</v>
      </c>
      <c r="M983" s="122">
        <v>229928</v>
      </c>
      <c r="N983" s="122">
        <v>115890</v>
      </c>
      <c r="O983" s="122">
        <v>42922</v>
      </c>
      <c r="P983" s="122">
        <v>21855</v>
      </c>
      <c r="Q983" s="122">
        <v>8094</v>
      </c>
      <c r="R983" s="122">
        <v>224962</v>
      </c>
      <c r="S983" s="122">
        <v>204511</v>
      </c>
      <c r="T983" s="122">
        <v>35989</v>
      </c>
      <c r="U983" s="122">
        <v>13329</v>
      </c>
      <c r="V983" s="122">
        <v>1599298</v>
      </c>
      <c r="W983" s="122">
        <f t="shared" si="30"/>
        <v>1599297</v>
      </c>
      <c r="X983" s="122">
        <f t="shared" si="31"/>
        <v>1866645</v>
      </c>
      <c r="AA983" t="s">
        <v>56</v>
      </c>
      <c r="AB983" t="s">
        <v>407</v>
      </c>
      <c r="AC983" t="s">
        <v>580</v>
      </c>
      <c r="AD983" t="s">
        <v>407</v>
      </c>
      <c r="AE983" t="s">
        <v>566</v>
      </c>
      <c r="AF983">
        <v>22</v>
      </c>
      <c r="AG983" s="122">
        <v>3971</v>
      </c>
      <c r="AH983" s="122">
        <v>4089</v>
      </c>
      <c r="AI983" s="122">
        <v>462429</v>
      </c>
      <c r="AJ983" s="122">
        <v>420390</v>
      </c>
      <c r="AK983">
        <v>87</v>
      </c>
      <c r="AL983" s="122">
        <v>69715</v>
      </c>
      <c r="AM983" s="122">
        <v>63377</v>
      </c>
      <c r="AN983" s="122">
        <v>77085</v>
      </c>
      <c r="AO983" s="122">
        <v>28550</v>
      </c>
      <c r="AP983" s="122">
        <v>13271</v>
      </c>
      <c r="AQ983" s="122">
        <v>4915</v>
      </c>
      <c r="AR983" s="122">
        <v>121778</v>
      </c>
      <c r="AS983" s="122">
        <v>110708</v>
      </c>
      <c r="AT983">
        <v>0</v>
      </c>
      <c r="AU983">
        <v>0</v>
      </c>
      <c r="AV983" s="122">
        <v>627940</v>
      </c>
    </row>
    <row r="984" spans="2:48" hidden="1">
      <c r="B984" t="s">
        <v>368</v>
      </c>
      <c r="C984" t="s">
        <v>60</v>
      </c>
      <c r="D984" t="s">
        <v>405</v>
      </c>
      <c r="E984" t="s">
        <v>431</v>
      </c>
      <c r="F984" s="122">
        <v>1</v>
      </c>
      <c r="G984" s="122">
        <v>92</v>
      </c>
      <c r="H984" s="122">
        <v>373</v>
      </c>
      <c r="I984" s="122">
        <v>17920</v>
      </c>
      <c r="J984" s="122">
        <v>16291</v>
      </c>
      <c r="K984" s="122">
        <v>91</v>
      </c>
      <c r="L984" s="122">
        <v>5754</v>
      </c>
      <c r="M984" s="122">
        <v>5231</v>
      </c>
      <c r="N984" s="122">
        <v>1688</v>
      </c>
      <c r="O984" s="122">
        <v>625</v>
      </c>
      <c r="P984" s="122">
        <v>473</v>
      </c>
      <c r="Q984" s="122">
        <v>175</v>
      </c>
      <c r="R984" s="122">
        <v>6280</v>
      </c>
      <c r="S984" s="122">
        <v>5709</v>
      </c>
      <c r="T984" s="122">
        <v>2329</v>
      </c>
      <c r="U984" s="122">
        <v>863</v>
      </c>
      <c r="V984" s="122">
        <v>28894</v>
      </c>
      <c r="W984" s="122">
        <f t="shared" si="30"/>
        <v>28894</v>
      </c>
      <c r="X984" s="122">
        <f t="shared" si="31"/>
        <v>34444</v>
      </c>
      <c r="AA984" t="s">
        <v>56</v>
      </c>
      <c r="AB984" t="s">
        <v>407</v>
      </c>
      <c r="AC984" t="s">
        <v>580</v>
      </c>
      <c r="AD984" t="s">
        <v>426</v>
      </c>
      <c r="AE984" t="s">
        <v>137</v>
      </c>
      <c r="AF984">
        <v>1</v>
      </c>
      <c r="AG984">
        <v>108</v>
      </c>
      <c r="AH984">
        <v>215</v>
      </c>
      <c r="AI984" s="122">
        <v>12471</v>
      </c>
      <c r="AJ984" s="122">
        <v>11337</v>
      </c>
      <c r="AK984">
        <v>73</v>
      </c>
      <c r="AL984" s="122">
        <v>3206</v>
      </c>
      <c r="AM984" s="122">
        <v>2914</v>
      </c>
      <c r="AN984" s="122">
        <v>2241</v>
      </c>
      <c r="AO984">
        <v>830</v>
      </c>
      <c r="AP984">
        <v>473</v>
      </c>
      <c r="AQ984">
        <v>175</v>
      </c>
      <c r="AR984" s="122">
        <v>4838</v>
      </c>
      <c r="AS984" s="122">
        <v>4398</v>
      </c>
      <c r="AT984">
        <v>0</v>
      </c>
      <c r="AU984">
        <v>0</v>
      </c>
      <c r="AV984" s="122">
        <v>19655</v>
      </c>
    </row>
    <row r="985" spans="2:48" hidden="1">
      <c r="B985" t="s">
        <v>368</v>
      </c>
      <c r="C985" t="s">
        <v>60</v>
      </c>
      <c r="D985" t="s">
        <v>137</v>
      </c>
      <c r="E985" t="s">
        <v>137</v>
      </c>
      <c r="F985" s="122">
        <v>148</v>
      </c>
      <c r="G985" s="122">
        <v>16485</v>
      </c>
      <c r="H985" s="122">
        <v>49909</v>
      </c>
      <c r="I985" s="122">
        <v>3735738</v>
      </c>
      <c r="J985" s="122">
        <v>1383607</v>
      </c>
      <c r="K985" s="122">
        <v>103</v>
      </c>
      <c r="L985" s="122">
        <v>594238</v>
      </c>
      <c r="M985" s="122">
        <v>402783</v>
      </c>
      <c r="N985" s="122">
        <v>366470</v>
      </c>
      <c r="O985" s="122">
        <v>135730</v>
      </c>
      <c r="P985" s="122">
        <v>8667</v>
      </c>
      <c r="Q985" s="122">
        <v>3210</v>
      </c>
      <c r="R985" s="122">
        <v>1182274</v>
      </c>
      <c r="S985" s="122">
        <v>437879</v>
      </c>
      <c r="T985" s="122">
        <v>0</v>
      </c>
      <c r="U985" s="122">
        <v>0</v>
      </c>
      <c r="V985" s="122">
        <v>2363209</v>
      </c>
      <c r="W985" s="122">
        <f t="shared" si="30"/>
        <v>2363209</v>
      </c>
      <c r="X985" s="122">
        <f t="shared" si="31"/>
        <v>5887387</v>
      </c>
      <c r="AA985" t="s">
        <v>56</v>
      </c>
      <c r="AB985" t="s">
        <v>407</v>
      </c>
      <c r="AC985" t="s">
        <v>427</v>
      </c>
      <c r="AD985" t="s">
        <v>405</v>
      </c>
      <c r="AE985" t="s">
        <v>566</v>
      </c>
      <c r="AF985">
        <v>1</v>
      </c>
      <c r="AG985">
        <v>134</v>
      </c>
      <c r="AH985">
        <v>224</v>
      </c>
      <c r="AI985" s="122">
        <v>16233</v>
      </c>
      <c r="AJ985" s="122">
        <v>14758</v>
      </c>
      <c r="AK985">
        <v>78</v>
      </c>
      <c r="AL985" s="122">
        <v>4479</v>
      </c>
      <c r="AM985" s="122">
        <v>4072</v>
      </c>
      <c r="AN985" s="122">
        <v>1698</v>
      </c>
      <c r="AO985">
        <v>629</v>
      </c>
      <c r="AP985">
        <v>473</v>
      </c>
      <c r="AQ985">
        <v>175</v>
      </c>
      <c r="AR985" s="122">
        <v>7086</v>
      </c>
      <c r="AS985" s="122">
        <v>6441</v>
      </c>
      <c r="AT985" s="122">
        <v>0</v>
      </c>
      <c r="AU985" s="122">
        <v>0</v>
      </c>
      <c r="AV985" s="122">
        <v>26075</v>
      </c>
    </row>
    <row r="986" spans="2:48" hidden="1">
      <c r="B986" t="s">
        <v>368</v>
      </c>
      <c r="C986" t="s">
        <v>60</v>
      </c>
      <c r="D986" t="s">
        <v>137</v>
      </c>
      <c r="E986" t="s">
        <v>406</v>
      </c>
      <c r="F986" s="122">
        <v>2</v>
      </c>
      <c r="G986" s="122">
        <v>467</v>
      </c>
      <c r="H986" s="122">
        <v>613</v>
      </c>
      <c r="I986" s="122">
        <v>105151</v>
      </c>
      <c r="J986" s="122">
        <v>38945</v>
      </c>
      <c r="K986" s="122">
        <v>85</v>
      </c>
      <c r="L986" s="122">
        <v>11346</v>
      </c>
      <c r="M986" s="122">
        <v>10315</v>
      </c>
      <c r="N986" s="122">
        <v>8573</v>
      </c>
      <c r="O986" s="122">
        <v>3175</v>
      </c>
      <c r="P986" s="122">
        <v>1242</v>
      </c>
      <c r="Q986" s="122">
        <v>460</v>
      </c>
      <c r="R986" s="122">
        <v>13851</v>
      </c>
      <c r="S986" s="122">
        <v>12592</v>
      </c>
      <c r="T986" s="122">
        <v>3003</v>
      </c>
      <c r="U986" s="122">
        <v>1112</v>
      </c>
      <c r="V986" s="122">
        <v>66599</v>
      </c>
      <c r="W986" s="122">
        <f t="shared" si="30"/>
        <v>66599</v>
      </c>
      <c r="X986" s="122">
        <f t="shared" si="31"/>
        <v>143166</v>
      </c>
      <c r="AA986" t="s">
        <v>56</v>
      </c>
      <c r="AB986" t="s">
        <v>407</v>
      </c>
      <c r="AC986" t="s">
        <v>427</v>
      </c>
      <c r="AD986" t="s">
        <v>427</v>
      </c>
      <c r="AE986" t="s">
        <v>137</v>
      </c>
      <c r="AF986">
        <v>1</v>
      </c>
      <c r="AG986">
        <v>111</v>
      </c>
      <c r="AH986">
        <v>196</v>
      </c>
      <c r="AI986" s="122">
        <v>20004</v>
      </c>
      <c r="AJ986" s="122">
        <v>18185</v>
      </c>
      <c r="AK986">
        <v>73</v>
      </c>
      <c r="AL986" s="122">
        <v>5142</v>
      </c>
      <c r="AM986" s="122">
        <v>4674</v>
      </c>
      <c r="AN986" s="122">
        <v>2297</v>
      </c>
      <c r="AO986">
        <v>851</v>
      </c>
      <c r="AP986">
        <v>473</v>
      </c>
      <c r="AQ986">
        <v>175</v>
      </c>
      <c r="AR986" s="122">
        <v>4924</v>
      </c>
      <c r="AS986" s="122">
        <v>4476</v>
      </c>
      <c r="AT986" s="122">
        <v>4128</v>
      </c>
      <c r="AU986" s="122">
        <v>1529</v>
      </c>
      <c r="AV986" s="122">
        <v>29890</v>
      </c>
    </row>
    <row r="987" spans="2:48" hidden="1">
      <c r="B987" t="s">
        <v>368</v>
      </c>
      <c r="C987" t="s">
        <v>60</v>
      </c>
      <c r="D987" t="s">
        <v>137</v>
      </c>
      <c r="E987" t="s">
        <v>431</v>
      </c>
      <c r="F987" s="122">
        <v>2</v>
      </c>
      <c r="G987" s="122">
        <v>272</v>
      </c>
      <c r="H987" s="122">
        <v>700</v>
      </c>
      <c r="I987" s="122">
        <v>60461</v>
      </c>
      <c r="J987" s="122">
        <v>22393</v>
      </c>
      <c r="K987" s="122">
        <v>100</v>
      </c>
      <c r="L987" s="122">
        <v>5422</v>
      </c>
      <c r="M987" s="122">
        <v>4929</v>
      </c>
      <c r="N987" s="122">
        <v>6141</v>
      </c>
      <c r="O987" s="122">
        <v>2275</v>
      </c>
      <c r="P987" s="122">
        <v>0</v>
      </c>
      <c r="Q987" s="122">
        <v>0</v>
      </c>
      <c r="R987" s="122">
        <v>18286</v>
      </c>
      <c r="S987" s="122">
        <v>16624</v>
      </c>
      <c r="T987" s="122">
        <v>4992</v>
      </c>
      <c r="U987" s="122">
        <v>1849</v>
      </c>
      <c r="V987" s="122">
        <v>48070</v>
      </c>
      <c r="W987" s="122">
        <f t="shared" si="30"/>
        <v>48070</v>
      </c>
      <c r="X987" s="122">
        <f t="shared" si="31"/>
        <v>95302</v>
      </c>
      <c r="AA987" t="s">
        <v>56</v>
      </c>
      <c r="AB987" t="s">
        <v>407</v>
      </c>
      <c r="AC987" t="s">
        <v>427</v>
      </c>
      <c r="AD987" t="s">
        <v>427</v>
      </c>
      <c r="AE987" t="s">
        <v>566</v>
      </c>
      <c r="AF987">
        <v>1</v>
      </c>
      <c r="AG987" s="122">
        <v>132</v>
      </c>
      <c r="AH987" s="122">
        <v>215</v>
      </c>
      <c r="AI987" s="122">
        <v>15952</v>
      </c>
      <c r="AJ987" s="122">
        <v>14502</v>
      </c>
      <c r="AK987">
        <v>78</v>
      </c>
      <c r="AL987" s="122">
        <v>4372</v>
      </c>
      <c r="AM987" s="122">
        <v>3975</v>
      </c>
      <c r="AN987" s="122">
        <v>1963</v>
      </c>
      <c r="AO987" s="122">
        <v>727</v>
      </c>
      <c r="AP987" s="122">
        <v>473</v>
      </c>
      <c r="AQ987" s="122">
        <v>175</v>
      </c>
      <c r="AR987" s="122">
        <v>5607</v>
      </c>
      <c r="AS987" s="122">
        <v>5097</v>
      </c>
      <c r="AT987" s="122">
        <v>0</v>
      </c>
      <c r="AU987" s="122">
        <v>0</v>
      </c>
      <c r="AV987" s="122">
        <v>24476</v>
      </c>
    </row>
    <row r="988" spans="2:48" hidden="1">
      <c r="B988" t="s">
        <v>368</v>
      </c>
      <c r="C988" t="s">
        <v>60</v>
      </c>
      <c r="D988" t="s">
        <v>137</v>
      </c>
      <c r="E988" t="s">
        <v>426</v>
      </c>
      <c r="F988" s="122">
        <v>8</v>
      </c>
      <c r="G988" s="122">
        <v>824</v>
      </c>
      <c r="H988" s="122">
        <v>2802</v>
      </c>
      <c r="I988" s="122">
        <v>177756</v>
      </c>
      <c r="J988" s="122">
        <v>65836</v>
      </c>
      <c r="K988" s="122">
        <v>100</v>
      </c>
      <c r="L988" s="122">
        <v>18355</v>
      </c>
      <c r="M988" s="122">
        <v>16686</v>
      </c>
      <c r="N988" s="122">
        <v>16712</v>
      </c>
      <c r="O988" s="122">
        <v>6190</v>
      </c>
      <c r="P988" s="122">
        <v>1053</v>
      </c>
      <c r="Q988" s="122">
        <v>390</v>
      </c>
      <c r="R988" s="122">
        <v>47180</v>
      </c>
      <c r="S988" s="122">
        <v>42891</v>
      </c>
      <c r="T988" s="122">
        <v>20349</v>
      </c>
      <c r="U988" s="122">
        <v>7537</v>
      </c>
      <c r="V988" s="122">
        <v>139529</v>
      </c>
      <c r="W988" s="122">
        <f t="shared" si="30"/>
        <v>139530</v>
      </c>
      <c r="X988" s="122">
        <f t="shared" si="31"/>
        <v>281405</v>
      </c>
      <c r="AA988" t="s">
        <v>56</v>
      </c>
      <c r="AB988" t="s">
        <v>407</v>
      </c>
      <c r="AC988" t="s">
        <v>427</v>
      </c>
      <c r="AD988" t="s">
        <v>407</v>
      </c>
      <c r="AE988" t="s">
        <v>137</v>
      </c>
      <c r="AF988">
        <v>425</v>
      </c>
      <c r="AG988" s="122">
        <v>62815</v>
      </c>
      <c r="AH988" s="122">
        <v>82425</v>
      </c>
      <c r="AI988" s="122">
        <v>6606226</v>
      </c>
      <c r="AJ988" s="122">
        <v>6005660</v>
      </c>
      <c r="AK988">
        <v>82</v>
      </c>
      <c r="AL988" s="122">
        <v>1744949</v>
      </c>
      <c r="AM988" s="122">
        <v>1586317</v>
      </c>
      <c r="AN988" s="122">
        <v>1293322</v>
      </c>
      <c r="AO988" s="122">
        <v>479008</v>
      </c>
      <c r="AP988" s="122">
        <v>203040</v>
      </c>
      <c r="AQ988" s="122">
        <v>75200</v>
      </c>
      <c r="AR988" s="122">
        <v>2014288</v>
      </c>
      <c r="AS988" s="122">
        <v>1831171</v>
      </c>
      <c r="AT988" s="122">
        <v>722416</v>
      </c>
      <c r="AU988" s="122">
        <v>267561</v>
      </c>
      <c r="AV988" s="122">
        <v>10244918</v>
      </c>
    </row>
    <row r="989" spans="2:48" hidden="1">
      <c r="B989" t="s">
        <v>368</v>
      </c>
      <c r="C989" t="s">
        <v>60</v>
      </c>
      <c r="D989" t="s">
        <v>406</v>
      </c>
      <c r="E989" t="s">
        <v>425</v>
      </c>
      <c r="F989" s="122">
        <v>3</v>
      </c>
      <c r="G989" s="122">
        <v>351</v>
      </c>
      <c r="H989" s="122">
        <v>980</v>
      </c>
      <c r="I989" s="122">
        <v>74440</v>
      </c>
      <c r="J989" s="122">
        <v>67673</v>
      </c>
      <c r="K989" s="122">
        <v>73</v>
      </c>
      <c r="L989" s="122">
        <v>13811</v>
      </c>
      <c r="M989" s="122">
        <v>12555</v>
      </c>
      <c r="N989" s="122">
        <v>5729</v>
      </c>
      <c r="O989" s="122">
        <v>2122</v>
      </c>
      <c r="P989" s="122">
        <v>2214</v>
      </c>
      <c r="Q989" s="122">
        <v>820</v>
      </c>
      <c r="R989" s="122">
        <v>18140</v>
      </c>
      <c r="S989" s="122">
        <v>16491</v>
      </c>
      <c r="T989" s="122">
        <v>2059</v>
      </c>
      <c r="U989" s="122">
        <v>763</v>
      </c>
      <c r="V989" s="122">
        <v>100424</v>
      </c>
      <c r="W989" s="122">
        <f t="shared" si="30"/>
        <v>100424</v>
      </c>
      <c r="X989" s="122">
        <f t="shared" si="31"/>
        <v>116393</v>
      </c>
      <c r="AA989" t="s">
        <v>56</v>
      </c>
      <c r="AB989" t="s">
        <v>407</v>
      </c>
      <c r="AC989" t="s">
        <v>427</v>
      </c>
      <c r="AD989" t="s">
        <v>407</v>
      </c>
      <c r="AE989" t="s">
        <v>566</v>
      </c>
      <c r="AF989">
        <v>745</v>
      </c>
      <c r="AG989" s="122">
        <v>110669</v>
      </c>
      <c r="AH989" s="122">
        <v>138683</v>
      </c>
      <c r="AI989" s="122">
        <v>11112030</v>
      </c>
      <c r="AJ989" s="122">
        <v>10101845</v>
      </c>
      <c r="AK989">
        <v>84</v>
      </c>
      <c r="AL989" s="122">
        <v>3095235</v>
      </c>
      <c r="AM989" s="122">
        <v>2813850</v>
      </c>
      <c r="AN989" s="122">
        <v>2259611</v>
      </c>
      <c r="AO989" s="122">
        <v>836893</v>
      </c>
      <c r="AP989" s="122">
        <v>367421</v>
      </c>
      <c r="AQ989" s="122">
        <v>136082</v>
      </c>
      <c r="AR989" s="122">
        <v>4178230</v>
      </c>
      <c r="AS989" s="122">
        <v>3798391</v>
      </c>
      <c r="AT989" s="122">
        <v>0</v>
      </c>
      <c r="AU989" s="122">
        <v>0</v>
      </c>
      <c r="AV989" s="122">
        <v>17687061</v>
      </c>
    </row>
    <row r="990" spans="2:48" hidden="1">
      <c r="B990" t="s">
        <v>368</v>
      </c>
      <c r="C990" t="s">
        <v>60</v>
      </c>
      <c r="D990" t="s">
        <v>406</v>
      </c>
      <c r="E990" t="s">
        <v>137</v>
      </c>
      <c r="F990" s="122">
        <v>18</v>
      </c>
      <c r="G990" s="122">
        <v>2333</v>
      </c>
      <c r="H990" s="122">
        <v>6001</v>
      </c>
      <c r="I990" s="122">
        <v>477998</v>
      </c>
      <c r="J990" s="122">
        <v>434544</v>
      </c>
      <c r="K990" s="122">
        <v>80</v>
      </c>
      <c r="L990" s="122">
        <v>86238</v>
      </c>
      <c r="M990" s="122">
        <v>68728</v>
      </c>
      <c r="N990" s="122">
        <v>46630</v>
      </c>
      <c r="O990" s="122">
        <v>17270</v>
      </c>
      <c r="P990" s="122">
        <v>11447</v>
      </c>
      <c r="Q990" s="122">
        <v>4240</v>
      </c>
      <c r="R990" s="122">
        <v>150988</v>
      </c>
      <c r="S990" s="122">
        <v>55922</v>
      </c>
      <c r="T990" s="122">
        <v>0</v>
      </c>
      <c r="U990" s="122">
        <v>0</v>
      </c>
      <c r="V990" s="122">
        <v>580703</v>
      </c>
      <c r="W990" s="122">
        <f t="shared" si="30"/>
        <v>580704</v>
      </c>
      <c r="X990" s="122">
        <f t="shared" si="31"/>
        <v>773301</v>
      </c>
      <c r="AA990" t="s">
        <v>56</v>
      </c>
      <c r="AB990" t="s">
        <v>407</v>
      </c>
      <c r="AC990" t="s">
        <v>427</v>
      </c>
      <c r="AD990" t="s">
        <v>428</v>
      </c>
      <c r="AE990" t="s">
        <v>137</v>
      </c>
      <c r="AF990">
        <v>1</v>
      </c>
      <c r="AG990" s="122">
        <v>242</v>
      </c>
      <c r="AH990" s="122">
        <v>174</v>
      </c>
      <c r="AI990" s="122">
        <v>21748</v>
      </c>
      <c r="AJ990" s="122">
        <v>19771</v>
      </c>
      <c r="AK990">
        <v>91</v>
      </c>
      <c r="AL990" s="122">
        <v>7289</v>
      </c>
      <c r="AM990" s="122">
        <v>6627</v>
      </c>
      <c r="AN990" s="122">
        <v>4725</v>
      </c>
      <c r="AO990" s="122">
        <v>1750</v>
      </c>
      <c r="AP990" s="122">
        <v>351</v>
      </c>
      <c r="AQ990">
        <v>130</v>
      </c>
      <c r="AR990" s="122">
        <v>3790</v>
      </c>
      <c r="AS990" s="122">
        <v>3446</v>
      </c>
      <c r="AT990" s="122">
        <v>4147</v>
      </c>
      <c r="AU990" s="122">
        <v>1536</v>
      </c>
      <c r="AV990" s="122">
        <v>33259</v>
      </c>
    </row>
    <row r="991" spans="2:48" hidden="1">
      <c r="B991" t="s">
        <v>368</v>
      </c>
      <c r="C991" t="s">
        <v>60</v>
      </c>
      <c r="D991" t="s">
        <v>406</v>
      </c>
      <c r="E991" t="s">
        <v>406</v>
      </c>
      <c r="F991" s="122">
        <v>1691</v>
      </c>
      <c r="G991" s="122">
        <v>201989</v>
      </c>
      <c r="H991" s="122">
        <v>568799</v>
      </c>
      <c r="I991" s="122">
        <v>43171850</v>
      </c>
      <c r="J991" s="122">
        <v>39247136</v>
      </c>
      <c r="K991" s="122">
        <v>76</v>
      </c>
      <c r="L991" s="122">
        <v>8195764</v>
      </c>
      <c r="M991" s="122">
        <v>7230748</v>
      </c>
      <c r="N991" s="122">
        <v>4246515</v>
      </c>
      <c r="O991" s="122">
        <v>1572783</v>
      </c>
      <c r="P991" s="122">
        <v>1110604</v>
      </c>
      <c r="Q991" s="122">
        <v>411335</v>
      </c>
      <c r="R991" s="122">
        <v>9184654</v>
      </c>
      <c r="S991" s="122">
        <v>8349685</v>
      </c>
      <c r="T991" s="122">
        <v>2894516</v>
      </c>
      <c r="U991" s="122">
        <v>1072043</v>
      </c>
      <c r="V991" s="122">
        <v>57883731</v>
      </c>
      <c r="W991" s="122">
        <f t="shared" si="30"/>
        <v>57883730</v>
      </c>
      <c r="X991" s="122">
        <f t="shared" si="31"/>
        <v>68803903</v>
      </c>
      <c r="AA991" t="s">
        <v>56</v>
      </c>
      <c r="AB991" t="s">
        <v>407</v>
      </c>
      <c r="AC991" t="s">
        <v>407</v>
      </c>
      <c r="AD991" t="s">
        <v>137</v>
      </c>
      <c r="AE991" t="s">
        <v>566</v>
      </c>
      <c r="AF991">
        <v>6</v>
      </c>
      <c r="AG991" s="122">
        <v>1199</v>
      </c>
      <c r="AH991" s="122">
        <v>1092</v>
      </c>
      <c r="AI991" s="122">
        <v>155429</v>
      </c>
      <c r="AJ991" s="122">
        <v>141299</v>
      </c>
      <c r="AK991">
        <v>83</v>
      </c>
      <c r="AL991" s="122">
        <v>28310</v>
      </c>
      <c r="AM991" s="122">
        <v>25737</v>
      </c>
      <c r="AN991" s="122">
        <v>24930</v>
      </c>
      <c r="AO991" s="122">
        <v>9233</v>
      </c>
      <c r="AP991" s="122">
        <v>2606</v>
      </c>
      <c r="AQ991">
        <v>965</v>
      </c>
      <c r="AR991" s="122">
        <v>40525</v>
      </c>
      <c r="AS991" s="122">
        <v>15009</v>
      </c>
      <c r="AT991">
        <v>0</v>
      </c>
      <c r="AU991">
        <v>0</v>
      </c>
      <c r="AV991" s="122">
        <v>192243</v>
      </c>
    </row>
    <row r="992" spans="2:48" hidden="1">
      <c r="B992" t="s">
        <v>368</v>
      </c>
      <c r="C992" t="s">
        <v>60</v>
      </c>
      <c r="D992" t="s">
        <v>406</v>
      </c>
      <c r="E992" t="s">
        <v>427</v>
      </c>
      <c r="F992" s="122">
        <v>1</v>
      </c>
      <c r="G992" s="122">
        <v>125</v>
      </c>
      <c r="H992" s="122">
        <v>322</v>
      </c>
      <c r="I992" s="122">
        <v>22963</v>
      </c>
      <c r="J992" s="122">
        <v>20875</v>
      </c>
      <c r="K992" s="122">
        <v>65</v>
      </c>
      <c r="L992" s="122">
        <v>5256</v>
      </c>
      <c r="M992" s="122">
        <v>4778</v>
      </c>
      <c r="N992" s="122">
        <v>2807</v>
      </c>
      <c r="O992" s="122">
        <v>1040</v>
      </c>
      <c r="P992" s="122">
        <v>621</v>
      </c>
      <c r="Q992" s="122">
        <v>230</v>
      </c>
      <c r="R992" s="122">
        <v>5600</v>
      </c>
      <c r="S992" s="122">
        <v>5091</v>
      </c>
      <c r="T992" s="122">
        <v>3094</v>
      </c>
      <c r="U992" s="122">
        <v>1146</v>
      </c>
      <c r="V992" s="122">
        <v>33160</v>
      </c>
      <c r="W992" s="122">
        <f t="shared" si="30"/>
        <v>33160</v>
      </c>
      <c r="X992" s="122">
        <f t="shared" si="31"/>
        <v>40341</v>
      </c>
      <c r="AA992" t="s">
        <v>56</v>
      </c>
      <c r="AB992" t="s">
        <v>407</v>
      </c>
      <c r="AC992" t="s">
        <v>407</v>
      </c>
      <c r="AD992" t="s">
        <v>406</v>
      </c>
      <c r="AE992" t="s">
        <v>137</v>
      </c>
      <c r="AF992">
        <v>1</v>
      </c>
      <c r="AG992">
        <v>193</v>
      </c>
      <c r="AH992">
        <v>203</v>
      </c>
      <c r="AI992" s="122">
        <v>21443</v>
      </c>
      <c r="AJ992" s="122">
        <v>19493</v>
      </c>
      <c r="AK992">
        <v>90</v>
      </c>
      <c r="AL992" s="122">
        <v>10757</v>
      </c>
      <c r="AM992" s="122">
        <v>9779</v>
      </c>
      <c r="AN992" s="122">
        <v>5263</v>
      </c>
      <c r="AO992" s="122">
        <v>1949</v>
      </c>
      <c r="AP992">
        <v>473</v>
      </c>
      <c r="AQ992">
        <v>175</v>
      </c>
      <c r="AR992" s="122">
        <v>5937</v>
      </c>
      <c r="AS992" s="122">
        <v>5397</v>
      </c>
      <c r="AT992">
        <v>0</v>
      </c>
      <c r="AU992">
        <v>0</v>
      </c>
      <c r="AV992" s="122">
        <v>36794</v>
      </c>
    </row>
    <row r="993" spans="2:48" hidden="1">
      <c r="B993" t="s">
        <v>368</v>
      </c>
      <c r="C993" t="s">
        <v>60</v>
      </c>
      <c r="D993" t="s">
        <v>406</v>
      </c>
      <c r="E993" t="s">
        <v>431</v>
      </c>
      <c r="F993" s="122">
        <v>2</v>
      </c>
      <c r="G993" s="122">
        <v>220</v>
      </c>
      <c r="H993" s="122">
        <v>626</v>
      </c>
      <c r="I993" s="122">
        <v>39260</v>
      </c>
      <c r="J993" s="122">
        <v>35691</v>
      </c>
      <c r="K993" s="122">
        <v>82</v>
      </c>
      <c r="L993" s="122">
        <v>6967</v>
      </c>
      <c r="M993" s="122">
        <v>6334</v>
      </c>
      <c r="N993" s="122">
        <v>4017</v>
      </c>
      <c r="O993" s="122">
        <v>1488</v>
      </c>
      <c r="P993" s="122">
        <v>1242</v>
      </c>
      <c r="Q993" s="122">
        <v>460</v>
      </c>
      <c r="R993" s="122">
        <v>17682</v>
      </c>
      <c r="S993" s="122">
        <v>16075</v>
      </c>
      <c r="T993" s="122">
        <v>0</v>
      </c>
      <c r="U993" s="122">
        <v>0</v>
      </c>
      <c r="V993" s="122">
        <v>60048</v>
      </c>
      <c r="W993" s="122">
        <f t="shared" si="30"/>
        <v>60048</v>
      </c>
      <c r="X993" s="122">
        <f t="shared" si="31"/>
        <v>69168</v>
      </c>
      <c r="AA993" t="s">
        <v>56</v>
      </c>
      <c r="AB993" t="s">
        <v>407</v>
      </c>
      <c r="AC993" t="s">
        <v>407</v>
      </c>
      <c r="AD993" t="s">
        <v>406</v>
      </c>
      <c r="AE993" t="s">
        <v>566</v>
      </c>
      <c r="AF993">
        <v>1</v>
      </c>
      <c r="AG993">
        <v>159</v>
      </c>
      <c r="AH993">
        <v>200</v>
      </c>
      <c r="AI993" s="122">
        <v>19338</v>
      </c>
      <c r="AJ993" s="122">
        <v>17580</v>
      </c>
      <c r="AK993">
        <v>78</v>
      </c>
      <c r="AL993" s="122">
        <v>2531</v>
      </c>
      <c r="AM993" s="122">
        <v>2301</v>
      </c>
      <c r="AN993" s="122">
        <v>2511</v>
      </c>
      <c r="AO993" s="122">
        <v>930</v>
      </c>
      <c r="AP993">
        <v>473</v>
      </c>
      <c r="AQ993">
        <v>175</v>
      </c>
      <c r="AR993" s="122">
        <v>6839</v>
      </c>
      <c r="AS993" s="122">
        <v>6217</v>
      </c>
      <c r="AT993" s="122">
        <v>0</v>
      </c>
      <c r="AU993" s="122">
        <v>0</v>
      </c>
      <c r="AV993" s="122">
        <v>27203</v>
      </c>
    </row>
    <row r="994" spans="2:48" hidden="1">
      <c r="B994" t="s">
        <v>368</v>
      </c>
      <c r="C994" t="s">
        <v>60</v>
      </c>
      <c r="D994" t="s">
        <v>406</v>
      </c>
      <c r="E994" t="s">
        <v>426</v>
      </c>
      <c r="F994" s="122">
        <v>3</v>
      </c>
      <c r="G994" s="122">
        <v>336</v>
      </c>
      <c r="H994" s="122">
        <v>1013</v>
      </c>
      <c r="I994" s="122">
        <v>53427</v>
      </c>
      <c r="J994" s="122">
        <v>48570</v>
      </c>
      <c r="K994" s="122">
        <v>88</v>
      </c>
      <c r="L994" s="122">
        <v>11446</v>
      </c>
      <c r="M994" s="122">
        <v>10406</v>
      </c>
      <c r="N994" s="122">
        <v>5973</v>
      </c>
      <c r="O994" s="122">
        <v>2212</v>
      </c>
      <c r="P994" s="122">
        <v>2214</v>
      </c>
      <c r="Q994" s="122">
        <v>820</v>
      </c>
      <c r="R994" s="122">
        <v>40477</v>
      </c>
      <c r="S994" s="122">
        <v>36797</v>
      </c>
      <c r="T994" s="122">
        <v>0</v>
      </c>
      <c r="U994" s="122">
        <v>0</v>
      </c>
      <c r="V994" s="122">
        <v>98805</v>
      </c>
      <c r="W994" s="122">
        <f t="shared" si="30"/>
        <v>98805</v>
      </c>
      <c r="X994" s="122">
        <f t="shared" si="31"/>
        <v>113537</v>
      </c>
      <c r="AA994" t="s">
        <v>56</v>
      </c>
      <c r="AB994" t="s">
        <v>407</v>
      </c>
      <c r="AC994" t="s">
        <v>407</v>
      </c>
      <c r="AD994" t="s">
        <v>427</v>
      </c>
      <c r="AE994" t="s">
        <v>137</v>
      </c>
      <c r="AF994" s="122">
        <v>1</v>
      </c>
      <c r="AG994" s="122">
        <v>228</v>
      </c>
      <c r="AH994" s="122">
        <v>163</v>
      </c>
      <c r="AI994" s="122">
        <v>17453</v>
      </c>
      <c r="AJ994" s="122">
        <v>15867</v>
      </c>
      <c r="AK994">
        <v>91</v>
      </c>
      <c r="AL994" s="122">
        <v>5585</v>
      </c>
      <c r="AM994" s="122">
        <v>5077</v>
      </c>
      <c r="AN994" s="122">
        <v>5340</v>
      </c>
      <c r="AO994" s="122">
        <v>1978</v>
      </c>
      <c r="AP994" s="122">
        <v>473</v>
      </c>
      <c r="AQ994" s="122">
        <v>175</v>
      </c>
      <c r="AR994" s="122">
        <v>4651</v>
      </c>
      <c r="AS994" s="122">
        <v>4228</v>
      </c>
      <c r="AT994" s="122">
        <v>3768</v>
      </c>
      <c r="AU994" s="122">
        <v>1396</v>
      </c>
      <c r="AV994" s="122">
        <v>28720</v>
      </c>
    </row>
    <row r="995" spans="2:48" hidden="1">
      <c r="B995" t="s">
        <v>368</v>
      </c>
      <c r="C995" t="s">
        <v>60</v>
      </c>
      <c r="D995" t="s">
        <v>406</v>
      </c>
      <c r="E995" t="s">
        <v>429</v>
      </c>
      <c r="F995" s="122">
        <v>1</v>
      </c>
      <c r="G995" s="122">
        <v>128</v>
      </c>
      <c r="H995" s="122">
        <v>332</v>
      </c>
      <c r="I995" s="122">
        <v>33963</v>
      </c>
      <c r="J995" s="122">
        <v>30875</v>
      </c>
      <c r="K995" s="122">
        <v>95</v>
      </c>
      <c r="L995" s="122">
        <v>0</v>
      </c>
      <c r="M995" s="122">
        <v>4761</v>
      </c>
      <c r="N995" s="122">
        <v>3109</v>
      </c>
      <c r="O995" s="122">
        <v>1151</v>
      </c>
      <c r="P995" s="122">
        <v>621</v>
      </c>
      <c r="Q995" s="122">
        <v>230</v>
      </c>
      <c r="R995" s="122">
        <v>4660</v>
      </c>
      <c r="S995" s="122">
        <v>4236</v>
      </c>
      <c r="T995" s="122">
        <v>0</v>
      </c>
      <c r="U995" s="122">
        <v>0</v>
      </c>
      <c r="V995" s="122">
        <v>41254</v>
      </c>
      <c r="W995" s="122">
        <f t="shared" si="30"/>
        <v>41253</v>
      </c>
      <c r="X995" s="122">
        <f t="shared" si="31"/>
        <v>42353</v>
      </c>
      <c r="AA995" t="s">
        <v>56</v>
      </c>
      <c r="AB995" t="s">
        <v>407</v>
      </c>
      <c r="AC995" t="s">
        <v>407</v>
      </c>
      <c r="AD995" t="s">
        <v>407</v>
      </c>
      <c r="AE995" t="s">
        <v>137</v>
      </c>
      <c r="AF995" s="122">
        <v>2018</v>
      </c>
      <c r="AG995" s="122">
        <v>310178</v>
      </c>
      <c r="AH995" s="122">
        <v>390724</v>
      </c>
      <c r="AI995" s="122">
        <v>32608456</v>
      </c>
      <c r="AJ995" s="122">
        <v>29644051</v>
      </c>
      <c r="AK995">
        <v>82</v>
      </c>
      <c r="AL995" s="122">
        <v>8098247</v>
      </c>
      <c r="AM995" s="122">
        <v>7362043</v>
      </c>
      <c r="AN995" s="122">
        <v>6532817</v>
      </c>
      <c r="AO995" s="122">
        <v>2419562</v>
      </c>
      <c r="AP995" s="122">
        <v>991178</v>
      </c>
      <c r="AQ995" s="122">
        <v>367103</v>
      </c>
      <c r="AR995" s="122">
        <v>9795156</v>
      </c>
      <c r="AS995" s="122">
        <v>8904687</v>
      </c>
      <c r="AT995" s="122">
        <v>3991555</v>
      </c>
      <c r="AU995" s="122">
        <v>1478354</v>
      </c>
      <c r="AV995" s="122">
        <v>50175799</v>
      </c>
    </row>
    <row r="996" spans="2:48" hidden="1">
      <c r="B996" t="s">
        <v>368</v>
      </c>
      <c r="C996" t="s">
        <v>60</v>
      </c>
      <c r="D996" t="s">
        <v>427</v>
      </c>
      <c r="E996" t="s">
        <v>427</v>
      </c>
      <c r="F996" s="122">
        <v>9</v>
      </c>
      <c r="G996" s="122">
        <v>1127</v>
      </c>
      <c r="H996" s="122">
        <v>3043</v>
      </c>
      <c r="I996" s="122">
        <v>232379</v>
      </c>
      <c r="J996" s="122">
        <v>211254</v>
      </c>
      <c r="K996" s="122">
        <v>56</v>
      </c>
      <c r="L996" s="122">
        <v>37526</v>
      </c>
      <c r="M996" s="122">
        <v>27896</v>
      </c>
      <c r="N996" s="122">
        <v>22191</v>
      </c>
      <c r="O996" s="122">
        <v>8219</v>
      </c>
      <c r="P996" s="122">
        <v>4401</v>
      </c>
      <c r="Q996" s="122">
        <v>1630</v>
      </c>
      <c r="R996" s="122">
        <v>61956</v>
      </c>
      <c r="S996" s="122">
        <v>56324</v>
      </c>
      <c r="T996" s="122">
        <v>19888</v>
      </c>
      <c r="U996" s="122">
        <v>7366</v>
      </c>
      <c r="V996" s="122">
        <v>312688</v>
      </c>
      <c r="W996" s="122">
        <f t="shared" si="30"/>
        <v>312689</v>
      </c>
      <c r="X996" s="122">
        <f t="shared" si="31"/>
        <v>378341</v>
      </c>
      <c r="AA996" t="s">
        <v>56</v>
      </c>
      <c r="AB996" t="s">
        <v>407</v>
      </c>
      <c r="AC996" t="s">
        <v>407</v>
      </c>
      <c r="AD996" t="s">
        <v>407</v>
      </c>
      <c r="AE996" t="s">
        <v>566</v>
      </c>
      <c r="AF996" s="122">
        <v>5170</v>
      </c>
      <c r="AG996" s="122">
        <v>833327</v>
      </c>
      <c r="AH996" s="122">
        <v>962519</v>
      </c>
      <c r="AI996" s="122">
        <v>83174653</v>
      </c>
      <c r="AJ996" s="122">
        <v>75613321</v>
      </c>
      <c r="AK996">
        <v>84</v>
      </c>
      <c r="AL996" s="122">
        <v>25813661</v>
      </c>
      <c r="AM996" s="122">
        <v>23466964</v>
      </c>
      <c r="AN996" s="122">
        <v>17526652</v>
      </c>
      <c r="AO996" s="122">
        <v>6491352</v>
      </c>
      <c r="AP996" s="122">
        <v>2623043</v>
      </c>
      <c r="AQ996" s="122">
        <v>971497</v>
      </c>
      <c r="AR996" s="122">
        <v>29977477</v>
      </c>
      <c r="AS996" s="122">
        <v>27252252</v>
      </c>
      <c r="AT996">
        <v>0</v>
      </c>
      <c r="AU996">
        <v>0</v>
      </c>
      <c r="AV996" s="122">
        <v>133795387</v>
      </c>
    </row>
    <row r="997" spans="2:48" hidden="1">
      <c r="B997" t="s">
        <v>368</v>
      </c>
      <c r="C997" t="s">
        <v>60</v>
      </c>
      <c r="D997" t="s">
        <v>407</v>
      </c>
      <c r="E997" t="s">
        <v>407</v>
      </c>
      <c r="F997" s="122">
        <v>3</v>
      </c>
      <c r="G997" s="122">
        <v>392</v>
      </c>
      <c r="H997" s="122">
        <v>1020</v>
      </c>
      <c r="I997" s="122">
        <v>82945</v>
      </c>
      <c r="J997" s="122">
        <v>75405</v>
      </c>
      <c r="K997" s="122">
        <v>83</v>
      </c>
      <c r="L997" s="122">
        <v>23632</v>
      </c>
      <c r="M997" s="122">
        <v>19988</v>
      </c>
      <c r="N997" s="122">
        <v>7604</v>
      </c>
      <c r="O997" s="122">
        <v>2816</v>
      </c>
      <c r="P997" s="122">
        <v>1418</v>
      </c>
      <c r="Q997" s="122">
        <v>525</v>
      </c>
      <c r="R997" s="122">
        <v>16866</v>
      </c>
      <c r="S997" s="122">
        <v>15333</v>
      </c>
      <c r="T997" s="122">
        <v>0</v>
      </c>
      <c r="U997" s="122">
        <v>0</v>
      </c>
      <c r="V997" s="122">
        <v>114067</v>
      </c>
      <c r="W997" s="122">
        <f t="shared" si="30"/>
        <v>114067</v>
      </c>
      <c r="X997" s="122">
        <f t="shared" si="31"/>
        <v>132465</v>
      </c>
      <c r="AA997" t="s">
        <v>56</v>
      </c>
      <c r="AB997" t="s">
        <v>407</v>
      </c>
      <c r="AC997" t="s">
        <v>407</v>
      </c>
      <c r="AD997" t="s">
        <v>579</v>
      </c>
      <c r="AE997" t="s">
        <v>566</v>
      </c>
      <c r="AF997">
        <v>2</v>
      </c>
      <c r="AG997">
        <v>379</v>
      </c>
      <c r="AH997">
        <v>428</v>
      </c>
      <c r="AI997" s="122">
        <v>49847</v>
      </c>
      <c r="AJ997" s="122">
        <v>45315</v>
      </c>
      <c r="AK997">
        <v>84</v>
      </c>
      <c r="AL997" s="122">
        <v>10330</v>
      </c>
      <c r="AM997" s="122">
        <v>9391</v>
      </c>
      <c r="AN997" s="122">
        <v>8294</v>
      </c>
      <c r="AO997" s="122">
        <v>3072</v>
      </c>
      <c r="AP997" s="122">
        <v>945</v>
      </c>
      <c r="AQ997">
        <v>350</v>
      </c>
      <c r="AR997" s="122">
        <v>11922</v>
      </c>
      <c r="AS997" s="122">
        <v>9935</v>
      </c>
      <c r="AT997">
        <v>0</v>
      </c>
      <c r="AU997">
        <v>0</v>
      </c>
      <c r="AV997" s="122">
        <v>68063</v>
      </c>
    </row>
    <row r="998" spans="2:48" hidden="1">
      <c r="B998" t="s">
        <v>368</v>
      </c>
      <c r="C998" t="s">
        <v>60</v>
      </c>
      <c r="D998" t="s">
        <v>556</v>
      </c>
      <c r="E998" t="s">
        <v>556</v>
      </c>
      <c r="F998" s="122">
        <v>7</v>
      </c>
      <c r="G998" s="122">
        <v>777</v>
      </c>
      <c r="H998" s="122">
        <v>2253</v>
      </c>
      <c r="I998" s="122">
        <v>153371</v>
      </c>
      <c r="J998" s="122">
        <v>127809</v>
      </c>
      <c r="K998" s="122">
        <v>62</v>
      </c>
      <c r="L998" s="122">
        <v>21010</v>
      </c>
      <c r="M998" s="122">
        <v>15258</v>
      </c>
      <c r="N998" s="122">
        <v>16306</v>
      </c>
      <c r="O998" s="122">
        <v>6039</v>
      </c>
      <c r="P998" s="122">
        <v>4049</v>
      </c>
      <c r="Q998" s="122">
        <v>1500</v>
      </c>
      <c r="R998" s="122">
        <v>39873</v>
      </c>
      <c r="S998" s="122">
        <v>33227</v>
      </c>
      <c r="T998" s="122">
        <v>18075</v>
      </c>
      <c r="U998" s="122">
        <v>6694</v>
      </c>
      <c r="V998" s="122">
        <v>190527</v>
      </c>
      <c r="W998" s="122">
        <f t="shared" si="30"/>
        <v>190527</v>
      </c>
      <c r="X998" s="122">
        <f t="shared" si="31"/>
        <v>252684</v>
      </c>
      <c r="AA998" t="s">
        <v>56</v>
      </c>
      <c r="AB998" t="s">
        <v>407</v>
      </c>
      <c r="AC998" t="s">
        <v>407</v>
      </c>
      <c r="AD998" t="s">
        <v>426</v>
      </c>
      <c r="AE998" t="s">
        <v>566</v>
      </c>
      <c r="AF998">
        <v>3</v>
      </c>
      <c r="AG998">
        <v>644</v>
      </c>
      <c r="AH998">
        <v>517</v>
      </c>
      <c r="AI998" s="122">
        <v>63517</v>
      </c>
      <c r="AJ998" s="122">
        <v>57743</v>
      </c>
      <c r="AK998">
        <v>78</v>
      </c>
      <c r="AL998" s="122">
        <v>18418</v>
      </c>
      <c r="AM998" s="122">
        <v>16744</v>
      </c>
      <c r="AN998" s="122">
        <v>14855</v>
      </c>
      <c r="AO998" s="122">
        <v>5502</v>
      </c>
      <c r="AP998" s="122">
        <v>2120</v>
      </c>
      <c r="AQ998">
        <v>785</v>
      </c>
      <c r="AR998" s="122">
        <v>19952</v>
      </c>
      <c r="AS998" s="122">
        <v>18138</v>
      </c>
      <c r="AT998">
        <v>0</v>
      </c>
      <c r="AU998">
        <v>0</v>
      </c>
      <c r="AV998" s="122">
        <v>98912</v>
      </c>
    </row>
    <row r="999" spans="2:48" hidden="1">
      <c r="B999" t="s">
        <v>368</v>
      </c>
      <c r="C999" t="s">
        <v>60</v>
      </c>
      <c r="D999" t="s">
        <v>428</v>
      </c>
      <c r="E999" t="s">
        <v>428</v>
      </c>
      <c r="F999" s="122">
        <v>2</v>
      </c>
      <c r="G999" s="122">
        <v>220</v>
      </c>
      <c r="H999" s="122">
        <v>677</v>
      </c>
      <c r="I999" s="122">
        <v>38531</v>
      </c>
      <c r="J999" s="122">
        <v>35028</v>
      </c>
      <c r="K999" s="122">
        <v>60</v>
      </c>
      <c r="L999" s="122">
        <v>4961</v>
      </c>
      <c r="M999" s="122">
        <v>4510</v>
      </c>
      <c r="N999" s="122">
        <v>5359</v>
      </c>
      <c r="O999" s="122">
        <v>1985</v>
      </c>
      <c r="P999" s="122">
        <v>1053</v>
      </c>
      <c r="Q999" s="122">
        <v>390</v>
      </c>
      <c r="R999" s="122">
        <v>13455</v>
      </c>
      <c r="S999" s="122">
        <v>12232</v>
      </c>
      <c r="T999" s="122">
        <v>7212</v>
      </c>
      <c r="U999" s="122">
        <v>2671</v>
      </c>
      <c r="V999" s="122">
        <v>56816</v>
      </c>
      <c r="W999" s="122">
        <f t="shared" si="30"/>
        <v>56816</v>
      </c>
      <c r="X999" s="122">
        <f t="shared" si="31"/>
        <v>70571</v>
      </c>
      <c r="AA999" t="s">
        <v>56</v>
      </c>
      <c r="AB999" t="s">
        <v>407</v>
      </c>
      <c r="AC999" t="s">
        <v>579</v>
      </c>
      <c r="AD999" t="s">
        <v>405</v>
      </c>
      <c r="AE999" t="s">
        <v>566</v>
      </c>
      <c r="AF999">
        <v>2</v>
      </c>
      <c r="AG999" s="122">
        <v>337</v>
      </c>
      <c r="AH999" s="122">
        <v>403</v>
      </c>
      <c r="AI999" s="122">
        <v>36290</v>
      </c>
      <c r="AJ999" s="122">
        <v>32991</v>
      </c>
      <c r="AK999">
        <v>84</v>
      </c>
      <c r="AL999" s="122">
        <v>12095</v>
      </c>
      <c r="AM999" s="122">
        <v>10079</v>
      </c>
      <c r="AN999" s="122">
        <v>6162</v>
      </c>
      <c r="AO999" s="122">
        <v>2282</v>
      </c>
      <c r="AP999" s="122">
        <v>945</v>
      </c>
      <c r="AQ999" s="122">
        <v>350</v>
      </c>
      <c r="AR999" s="122">
        <v>11846</v>
      </c>
      <c r="AS999" s="122">
        <v>10769</v>
      </c>
      <c r="AT999">
        <v>0</v>
      </c>
      <c r="AU999">
        <v>0</v>
      </c>
      <c r="AV999" s="122">
        <v>56471</v>
      </c>
    </row>
    <row r="1000" spans="2:48" hidden="1">
      <c r="B1000" t="s">
        <v>368</v>
      </c>
      <c r="C1000" t="s">
        <v>60</v>
      </c>
      <c r="D1000" t="s">
        <v>431</v>
      </c>
      <c r="E1000" t="s">
        <v>137</v>
      </c>
      <c r="F1000" s="122">
        <v>1</v>
      </c>
      <c r="G1000" s="122">
        <v>203</v>
      </c>
      <c r="H1000" s="122">
        <v>317</v>
      </c>
      <c r="I1000" s="122">
        <v>38973</v>
      </c>
      <c r="J1000" s="122">
        <v>35430</v>
      </c>
      <c r="K1000" s="122">
        <v>60</v>
      </c>
      <c r="L1000" s="122">
        <v>6377</v>
      </c>
      <c r="M1000" s="122">
        <v>2362</v>
      </c>
      <c r="N1000" s="122">
        <v>4812</v>
      </c>
      <c r="O1000" s="122">
        <v>1782</v>
      </c>
      <c r="P1000" s="122">
        <v>0</v>
      </c>
      <c r="Q1000" s="122">
        <v>0</v>
      </c>
      <c r="R1000" s="122">
        <v>14040</v>
      </c>
      <c r="S1000" s="122">
        <v>5200</v>
      </c>
      <c r="T1000" s="122">
        <v>0</v>
      </c>
      <c r="U1000" s="122">
        <v>0</v>
      </c>
      <c r="V1000" s="122">
        <v>44774</v>
      </c>
      <c r="W1000" s="122">
        <f t="shared" si="30"/>
        <v>44774</v>
      </c>
      <c r="X1000" s="122">
        <f t="shared" si="31"/>
        <v>64202</v>
      </c>
      <c r="AA1000" t="s">
        <v>56</v>
      </c>
      <c r="AB1000" t="s">
        <v>407</v>
      </c>
      <c r="AC1000" t="s">
        <v>579</v>
      </c>
      <c r="AD1000" t="s">
        <v>137</v>
      </c>
      <c r="AE1000" t="s">
        <v>566</v>
      </c>
      <c r="AF1000">
        <v>8</v>
      </c>
      <c r="AG1000" s="122">
        <v>1894</v>
      </c>
      <c r="AH1000" s="122">
        <v>1610</v>
      </c>
      <c r="AI1000" s="122">
        <v>238583</v>
      </c>
      <c r="AJ1000" s="122">
        <v>216893</v>
      </c>
      <c r="AK1000">
        <v>86</v>
      </c>
      <c r="AL1000" s="122">
        <v>57622</v>
      </c>
      <c r="AM1000" s="122">
        <v>48018</v>
      </c>
      <c r="AN1000" s="122">
        <v>41778</v>
      </c>
      <c r="AO1000" s="122">
        <v>15473</v>
      </c>
      <c r="AP1000" s="122">
        <v>4131</v>
      </c>
      <c r="AQ1000" s="122">
        <v>1530</v>
      </c>
      <c r="AR1000" s="122">
        <v>67383</v>
      </c>
      <c r="AS1000" s="122">
        <v>24957</v>
      </c>
      <c r="AT1000" s="122">
        <v>0</v>
      </c>
      <c r="AU1000" s="122">
        <v>0</v>
      </c>
      <c r="AV1000" s="122">
        <v>306872</v>
      </c>
    </row>
    <row r="1001" spans="2:48" hidden="1">
      <c r="B1001" t="s">
        <v>368</v>
      </c>
      <c r="C1001" t="s">
        <v>60</v>
      </c>
      <c r="D1001" t="s">
        <v>431</v>
      </c>
      <c r="E1001" t="s">
        <v>431</v>
      </c>
      <c r="F1001" s="122">
        <v>27</v>
      </c>
      <c r="G1001" s="122">
        <v>3174</v>
      </c>
      <c r="H1001" s="122">
        <v>9263</v>
      </c>
      <c r="I1001" s="122">
        <v>675101</v>
      </c>
      <c r="J1001" s="122">
        <v>613728</v>
      </c>
      <c r="K1001" s="122">
        <v>58</v>
      </c>
      <c r="L1001" s="122">
        <v>110187</v>
      </c>
      <c r="M1001" s="122">
        <v>95749</v>
      </c>
      <c r="N1001" s="122">
        <v>61260</v>
      </c>
      <c r="O1001" s="122">
        <v>22689</v>
      </c>
      <c r="P1001" s="122">
        <v>9666</v>
      </c>
      <c r="Q1001" s="122">
        <v>3580</v>
      </c>
      <c r="R1001" s="122">
        <v>175720</v>
      </c>
      <c r="S1001" s="122">
        <v>159746</v>
      </c>
      <c r="T1001" s="122">
        <v>52151</v>
      </c>
      <c r="U1001" s="122">
        <v>19315</v>
      </c>
      <c r="V1001" s="122">
        <v>914807</v>
      </c>
      <c r="W1001" s="122">
        <f t="shared" si="30"/>
        <v>914807</v>
      </c>
      <c r="X1001" s="122">
        <f t="shared" si="31"/>
        <v>1084085</v>
      </c>
      <c r="AA1001" t="s">
        <v>56</v>
      </c>
      <c r="AB1001" t="s">
        <v>407</v>
      </c>
      <c r="AC1001" t="s">
        <v>579</v>
      </c>
      <c r="AD1001" t="s">
        <v>406</v>
      </c>
      <c r="AE1001" t="s">
        <v>137</v>
      </c>
      <c r="AF1001">
        <v>2</v>
      </c>
      <c r="AG1001">
        <v>309</v>
      </c>
      <c r="AH1001">
        <v>358</v>
      </c>
      <c r="AI1001" s="122">
        <v>27141</v>
      </c>
      <c r="AJ1001" s="122">
        <v>24674</v>
      </c>
      <c r="AK1001">
        <v>89</v>
      </c>
      <c r="AL1001" s="122">
        <v>7343</v>
      </c>
      <c r="AM1001" s="122">
        <v>6119</v>
      </c>
      <c r="AN1001" s="122">
        <v>6007</v>
      </c>
      <c r="AO1001" s="122">
        <v>2225</v>
      </c>
      <c r="AP1001" s="122">
        <v>945</v>
      </c>
      <c r="AQ1001">
        <v>350</v>
      </c>
      <c r="AR1001" s="122">
        <v>7881</v>
      </c>
      <c r="AS1001" s="122">
        <v>7164</v>
      </c>
      <c r="AT1001" s="122">
        <v>5821</v>
      </c>
      <c r="AU1001" s="122">
        <v>2156</v>
      </c>
      <c r="AV1001" s="122">
        <v>42687</v>
      </c>
    </row>
    <row r="1002" spans="2:48" hidden="1">
      <c r="B1002" t="s">
        <v>368</v>
      </c>
      <c r="C1002" t="s">
        <v>60</v>
      </c>
      <c r="D1002" t="s">
        <v>426</v>
      </c>
      <c r="E1002" t="s">
        <v>137</v>
      </c>
      <c r="F1002" s="122">
        <v>8</v>
      </c>
      <c r="G1002" s="122">
        <v>891</v>
      </c>
      <c r="H1002" s="122">
        <v>2849</v>
      </c>
      <c r="I1002" s="122">
        <v>223579</v>
      </c>
      <c r="J1002" s="122">
        <v>203254</v>
      </c>
      <c r="K1002" s="122">
        <v>51</v>
      </c>
      <c r="L1002" s="122">
        <v>30420</v>
      </c>
      <c r="M1002" s="122">
        <v>17259</v>
      </c>
      <c r="N1002" s="122">
        <v>19465</v>
      </c>
      <c r="O1002" s="122">
        <v>7209</v>
      </c>
      <c r="P1002" s="122">
        <v>1404</v>
      </c>
      <c r="Q1002" s="122">
        <v>520</v>
      </c>
      <c r="R1002" s="122">
        <v>68976</v>
      </c>
      <c r="S1002" s="122">
        <v>25547</v>
      </c>
      <c r="T1002" s="122">
        <v>3375</v>
      </c>
      <c r="U1002" s="122">
        <v>1250</v>
      </c>
      <c r="V1002" s="122">
        <v>255040</v>
      </c>
      <c r="W1002" s="122">
        <f t="shared" si="30"/>
        <v>255039</v>
      </c>
      <c r="X1002" s="122">
        <f t="shared" si="31"/>
        <v>347219</v>
      </c>
      <c r="AA1002" t="s">
        <v>56</v>
      </c>
      <c r="AB1002" t="s">
        <v>407</v>
      </c>
      <c r="AC1002" t="s">
        <v>579</v>
      </c>
      <c r="AD1002" t="s">
        <v>406</v>
      </c>
      <c r="AE1002" t="s">
        <v>566</v>
      </c>
      <c r="AF1002" s="122">
        <v>2</v>
      </c>
      <c r="AG1002" s="122">
        <v>450</v>
      </c>
      <c r="AH1002" s="122">
        <v>345</v>
      </c>
      <c r="AI1002" s="122">
        <v>42775</v>
      </c>
      <c r="AJ1002" s="122">
        <v>38886</v>
      </c>
      <c r="AK1002">
        <v>88</v>
      </c>
      <c r="AL1002" s="122">
        <v>11972</v>
      </c>
      <c r="AM1002" s="122">
        <v>9976</v>
      </c>
      <c r="AN1002" s="122">
        <v>9775</v>
      </c>
      <c r="AO1002" s="122">
        <v>3620</v>
      </c>
      <c r="AP1002" s="122">
        <v>1094</v>
      </c>
      <c r="AQ1002" s="122">
        <v>405</v>
      </c>
      <c r="AR1002" s="122">
        <v>12975</v>
      </c>
      <c r="AS1002" s="122">
        <v>11795</v>
      </c>
      <c r="AT1002" s="122">
        <v>0</v>
      </c>
      <c r="AU1002" s="122">
        <v>0</v>
      </c>
      <c r="AV1002" s="122">
        <v>64683</v>
      </c>
    </row>
    <row r="1003" spans="2:48" hidden="1">
      <c r="B1003" t="s">
        <v>368</v>
      </c>
      <c r="C1003" t="s">
        <v>60</v>
      </c>
      <c r="D1003" t="s">
        <v>426</v>
      </c>
      <c r="E1003" t="s">
        <v>406</v>
      </c>
      <c r="F1003" s="122">
        <v>1</v>
      </c>
      <c r="G1003" s="122">
        <v>71</v>
      </c>
      <c r="H1003" s="122">
        <v>316</v>
      </c>
      <c r="I1003" s="122">
        <v>24427</v>
      </c>
      <c r="J1003" s="122">
        <v>22207</v>
      </c>
      <c r="K1003" s="122">
        <v>65</v>
      </c>
      <c r="L1003" s="122">
        <v>4330</v>
      </c>
      <c r="M1003" s="122">
        <v>1604</v>
      </c>
      <c r="N1003" s="122">
        <v>2501</v>
      </c>
      <c r="O1003" s="122">
        <v>926</v>
      </c>
      <c r="P1003" s="122">
        <v>0</v>
      </c>
      <c r="Q1003" s="122">
        <v>0</v>
      </c>
      <c r="R1003" s="122">
        <v>4832</v>
      </c>
      <c r="S1003" s="122">
        <v>4393</v>
      </c>
      <c r="T1003" s="122">
        <v>2710</v>
      </c>
      <c r="U1003" s="122">
        <v>1004</v>
      </c>
      <c r="V1003" s="122">
        <v>30134</v>
      </c>
      <c r="W1003" s="122">
        <f t="shared" si="30"/>
        <v>30134</v>
      </c>
      <c r="X1003" s="122">
        <f t="shared" si="31"/>
        <v>38800</v>
      </c>
      <c r="AA1003" t="s">
        <v>56</v>
      </c>
      <c r="AB1003" t="s">
        <v>407</v>
      </c>
      <c r="AC1003" t="s">
        <v>579</v>
      </c>
      <c r="AD1003" t="s">
        <v>407</v>
      </c>
      <c r="AE1003" t="s">
        <v>137</v>
      </c>
      <c r="AF1003" s="122">
        <v>1208</v>
      </c>
      <c r="AG1003" s="122">
        <v>187388</v>
      </c>
      <c r="AH1003" s="122">
        <v>232870</v>
      </c>
      <c r="AI1003" s="122">
        <v>19621318</v>
      </c>
      <c r="AJ1003" s="122">
        <v>17837562</v>
      </c>
      <c r="AK1003">
        <v>84</v>
      </c>
      <c r="AL1003" s="122">
        <v>5181110</v>
      </c>
      <c r="AM1003" s="122">
        <v>4317592</v>
      </c>
      <c r="AN1003" s="122">
        <v>3809428</v>
      </c>
      <c r="AO1003" s="122">
        <v>1410899</v>
      </c>
      <c r="AP1003" s="122">
        <v>586176</v>
      </c>
      <c r="AQ1003" s="122">
        <v>217102</v>
      </c>
      <c r="AR1003" s="122">
        <v>5877816</v>
      </c>
      <c r="AS1003" s="122">
        <v>5343469</v>
      </c>
      <c r="AT1003" s="122">
        <v>2292112</v>
      </c>
      <c r="AU1003" s="122">
        <v>848930</v>
      </c>
      <c r="AV1003" s="122">
        <v>29975554</v>
      </c>
    </row>
    <row r="1004" spans="2:48" hidden="1">
      <c r="B1004" t="s">
        <v>368</v>
      </c>
      <c r="C1004" t="s">
        <v>60</v>
      </c>
      <c r="D1004" t="s">
        <v>426</v>
      </c>
      <c r="E1004" t="s">
        <v>426</v>
      </c>
      <c r="F1004" s="122">
        <v>188</v>
      </c>
      <c r="G1004" s="122">
        <v>21688</v>
      </c>
      <c r="H1004" s="122">
        <v>64561</v>
      </c>
      <c r="I1004" s="122">
        <v>4759670</v>
      </c>
      <c r="J1004" s="122">
        <v>4326973</v>
      </c>
      <c r="K1004" s="122">
        <v>58</v>
      </c>
      <c r="L1004" s="122">
        <v>707929</v>
      </c>
      <c r="M1004" s="122">
        <v>597671</v>
      </c>
      <c r="N1004" s="122">
        <v>414480</v>
      </c>
      <c r="O1004" s="122">
        <v>153511</v>
      </c>
      <c r="P1004" s="122">
        <v>75358</v>
      </c>
      <c r="Q1004" s="122">
        <v>27910</v>
      </c>
      <c r="R1004" s="122">
        <v>1177675</v>
      </c>
      <c r="S1004" s="122">
        <v>1070614</v>
      </c>
      <c r="T1004" s="122">
        <v>420045</v>
      </c>
      <c r="U1004" s="122">
        <v>155572</v>
      </c>
      <c r="V1004" s="122">
        <v>6332251</v>
      </c>
      <c r="W1004" s="122">
        <f t="shared" si="30"/>
        <v>6332251</v>
      </c>
      <c r="X1004" s="122">
        <f t="shared" si="31"/>
        <v>7555157</v>
      </c>
      <c r="AA1004" t="s">
        <v>56</v>
      </c>
      <c r="AB1004" t="s">
        <v>407</v>
      </c>
      <c r="AC1004" t="s">
        <v>579</v>
      </c>
      <c r="AD1004" t="s">
        <v>407</v>
      </c>
      <c r="AE1004" t="s">
        <v>566</v>
      </c>
      <c r="AF1004" s="122">
        <v>3638</v>
      </c>
      <c r="AG1004" s="122">
        <v>569284</v>
      </c>
      <c r="AH1004" s="122">
        <v>672498</v>
      </c>
      <c r="AI1004" s="122">
        <v>58244663</v>
      </c>
      <c r="AJ1004" s="122">
        <v>52949693</v>
      </c>
      <c r="AK1004">
        <v>86</v>
      </c>
      <c r="AL1004" s="122">
        <v>16306839</v>
      </c>
      <c r="AM1004" s="122">
        <v>13589033</v>
      </c>
      <c r="AN1004" s="122">
        <v>11358640</v>
      </c>
      <c r="AO1004" s="122">
        <v>4206903</v>
      </c>
      <c r="AP1004" s="122">
        <v>1788239</v>
      </c>
      <c r="AQ1004" s="122">
        <v>662311</v>
      </c>
      <c r="AR1004" s="122">
        <v>20022205</v>
      </c>
      <c r="AS1004" s="122">
        <v>18202005</v>
      </c>
      <c r="AT1004">
        <v>0</v>
      </c>
      <c r="AU1004">
        <v>0</v>
      </c>
      <c r="AV1004" s="122">
        <v>89609945</v>
      </c>
    </row>
    <row r="1005" spans="2:48" hidden="1">
      <c r="B1005" t="s">
        <v>368</v>
      </c>
      <c r="C1005" t="s">
        <v>60</v>
      </c>
      <c r="D1005" t="s">
        <v>426</v>
      </c>
      <c r="E1005" t="s">
        <v>481</v>
      </c>
      <c r="F1005" s="122">
        <v>1</v>
      </c>
      <c r="G1005" s="122">
        <v>149</v>
      </c>
      <c r="H1005" s="122">
        <v>311</v>
      </c>
      <c r="I1005" s="122">
        <v>26870</v>
      </c>
      <c r="J1005" s="122">
        <v>24427</v>
      </c>
      <c r="K1005" s="122">
        <v>60</v>
      </c>
      <c r="L1005" s="122">
        <v>5971</v>
      </c>
      <c r="M1005" s="122">
        <v>5428</v>
      </c>
      <c r="N1005" s="122">
        <v>3514</v>
      </c>
      <c r="O1005" s="122">
        <v>1301</v>
      </c>
      <c r="P1005" s="122">
        <v>351</v>
      </c>
      <c r="Q1005" s="122">
        <v>130</v>
      </c>
      <c r="R1005" s="122">
        <v>6267</v>
      </c>
      <c r="S1005" s="122">
        <v>5697</v>
      </c>
      <c r="T1005" s="122">
        <v>3459</v>
      </c>
      <c r="U1005" s="122">
        <v>1281</v>
      </c>
      <c r="V1005" s="122">
        <v>38265</v>
      </c>
      <c r="W1005" s="122">
        <f t="shared" si="30"/>
        <v>38264</v>
      </c>
      <c r="X1005" s="122">
        <f t="shared" si="31"/>
        <v>46432</v>
      </c>
      <c r="AA1005" t="s">
        <v>56</v>
      </c>
      <c r="AB1005" t="s">
        <v>407</v>
      </c>
      <c r="AC1005" t="s">
        <v>579</v>
      </c>
      <c r="AD1005" t="s">
        <v>433</v>
      </c>
      <c r="AE1005" t="s">
        <v>566</v>
      </c>
      <c r="AF1005">
        <v>1</v>
      </c>
      <c r="AG1005">
        <v>89</v>
      </c>
      <c r="AH1005">
        <v>221</v>
      </c>
      <c r="AI1005" s="122">
        <v>16313</v>
      </c>
      <c r="AJ1005" s="122">
        <v>14830</v>
      </c>
      <c r="AK1005">
        <v>78</v>
      </c>
      <c r="AL1005" s="122">
        <v>4891</v>
      </c>
      <c r="AM1005" s="122">
        <v>4076</v>
      </c>
      <c r="AN1005" s="122">
        <v>2857</v>
      </c>
      <c r="AO1005" s="122">
        <v>1058</v>
      </c>
      <c r="AP1005">
        <v>473</v>
      </c>
      <c r="AQ1005">
        <v>175</v>
      </c>
      <c r="AR1005" s="122">
        <v>6910</v>
      </c>
      <c r="AS1005" s="122">
        <v>6282</v>
      </c>
      <c r="AT1005">
        <v>0</v>
      </c>
      <c r="AU1005">
        <v>0</v>
      </c>
      <c r="AV1005" s="122">
        <v>26421</v>
      </c>
    </row>
    <row r="1006" spans="2:48" hidden="1">
      <c r="B1006" t="s">
        <v>368</v>
      </c>
      <c r="C1006" t="s">
        <v>60</v>
      </c>
      <c r="D1006" t="s">
        <v>433</v>
      </c>
      <c r="E1006" t="s">
        <v>137</v>
      </c>
      <c r="F1006" s="122">
        <v>3</v>
      </c>
      <c r="G1006" s="122">
        <v>178</v>
      </c>
      <c r="H1006" s="122">
        <v>1084</v>
      </c>
      <c r="I1006" s="122">
        <v>48374</v>
      </c>
      <c r="J1006" s="122">
        <v>43976</v>
      </c>
      <c r="K1006" s="122">
        <v>60</v>
      </c>
      <c r="L1006" s="122">
        <v>6235</v>
      </c>
      <c r="M1006" s="122">
        <v>2309</v>
      </c>
      <c r="N1006" s="122">
        <v>4109</v>
      </c>
      <c r="O1006" s="122">
        <v>1522</v>
      </c>
      <c r="P1006" s="122">
        <v>0</v>
      </c>
      <c r="Q1006" s="122">
        <v>0</v>
      </c>
      <c r="R1006" s="122">
        <v>20357</v>
      </c>
      <c r="S1006" s="122">
        <v>7540</v>
      </c>
      <c r="T1006" s="122">
        <v>0</v>
      </c>
      <c r="U1006" s="122">
        <v>0</v>
      </c>
      <c r="V1006" s="122">
        <v>55347</v>
      </c>
      <c r="W1006" s="122">
        <f t="shared" si="30"/>
        <v>55347</v>
      </c>
      <c r="X1006" s="122">
        <f t="shared" si="31"/>
        <v>79075</v>
      </c>
      <c r="AA1006" t="s">
        <v>56</v>
      </c>
      <c r="AB1006" t="s">
        <v>407</v>
      </c>
      <c r="AC1006" t="s">
        <v>428</v>
      </c>
      <c r="AD1006" t="s">
        <v>137</v>
      </c>
      <c r="AE1006" t="s">
        <v>566</v>
      </c>
      <c r="AF1006">
        <v>2</v>
      </c>
      <c r="AG1006" s="122">
        <v>367</v>
      </c>
      <c r="AH1006" s="122">
        <v>383</v>
      </c>
      <c r="AI1006" s="122">
        <v>43748</v>
      </c>
      <c r="AJ1006" s="122">
        <v>39771</v>
      </c>
      <c r="AK1006">
        <v>91</v>
      </c>
      <c r="AL1006" s="122">
        <v>7944</v>
      </c>
      <c r="AM1006" s="122">
        <v>7222</v>
      </c>
      <c r="AN1006" s="122">
        <v>4726</v>
      </c>
      <c r="AO1006" s="122">
        <v>1750</v>
      </c>
      <c r="AP1006" s="122">
        <v>945</v>
      </c>
      <c r="AQ1006" s="122">
        <v>350</v>
      </c>
      <c r="AR1006" s="122">
        <v>13486</v>
      </c>
      <c r="AS1006" s="122">
        <v>4995</v>
      </c>
      <c r="AT1006" s="122">
        <v>0</v>
      </c>
      <c r="AU1006" s="122">
        <v>0</v>
      </c>
      <c r="AV1006" s="122">
        <v>54088</v>
      </c>
    </row>
    <row r="1007" spans="2:48" hidden="1">
      <c r="B1007" t="s">
        <v>368</v>
      </c>
      <c r="C1007" t="s">
        <v>60</v>
      </c>
      <c r="D1007" t="s">
        <v>433</v>
      </c>
      <c r="E1007" t="s">
        <v>433</v>
      </c>
      <c r="F1007" s="122">
        <v>2</v>
      </c>
      <c r="G1007" s="122">
        <v>196</v>
      </c>
      <c r="H1007" s="122">
        <v>725</v>
      </c>
      <c r="I1007" s="122">
        <v>47178</v>
      </c>
      <c r="J1007" s="122">
        <v>42889</v>
      </c>
      <c r="K1007" s="122">
        <v>63</v>
      </c>
      <c r="L1007" s="122">
        <v>7280</v>
      </c>
      <c r="M1007" s="122">
        <v>6618</v>
      </c>
      <c r="N1007" s="122">
        <v>4017</v>
      </c>
      <c r="O1007" s="122">
        <v>1488</v>
      </c>
      <c r="P1007" s="122">
        <v>972</v>
      </c>
      <c r="Q1007" s="122">
        <v>360</v>
      </c>
      <c r="R1007" s="122">
        <v>9445</v>
      </c>
      <c r="S1007" s="122">
        <v>8586</v>
      </c>
      <c r="T1007" s="122">
        <v>2343</v>
      </c>
      <c r="U1007" s="122">
        <v>868</v>
      </c>
      <c r="V1007" s="122">
        <v>60809</v>
      </c>
      <c r="W1007" s="122">
        <f t="shared" si="30"/>
        <v>60809</v>
      </c>
      <c r="X1007" s="122">
        <f t="shared" si="31"/>
        <v>71235</v>
      </c>
      <c r="AA1007" t="s">
        <v>56</v>
      </c>
      <c r="AB1007" t="s">
        <v>407</v>
      </c>
      <c r="AC1007" t="s">
        <v>428</v>
      </c>
      <c r="AD1007" t="s">
        <v>407</v>
      </c>
      <c r="AE1007" t="s">
        <v>137</v>
      </c>
      <c r="AF1007">
        <v>40</v>
      </c>
      <c r="AG1007" s="122">
        <v>5445</v>
      </c>
      <c r="AH1007" s="122">
        <v>7577</v>
      </c>
      <c r="AI1007" s="122">
        <v>564895</v>
      </c>
      <c r="AJ1007" s="122">
        <v>513541</v>
      </c>
      <c r="AK1007">
        <v>85</v>
      </c>
      <c r="AL1007" s="122">
        <v>127214</v>
      </c>
      <c r="AM1007" s="122">
        <v>115649</v>
      </c>
      <c r="AN1007" s="122">
        <v>113993</v>
      </c>
      <c r="AO1007" s="122">
        <v>42220</v>
      </c>
      <c r="AP1007" s="122">
        <v>18779</v>
      </c>
      <c r="AQ1007" s="122">
        <v>6955</v>
      </c>
      <c r="AR1007" s="122">
        <v>173287</v>
      </c>
      <c r="AS1007" s="122">
        <v>157534</v>
      </c>
      <c r="AT1007" s="122">
        <v>86566</v>
      </c>
      <c r="AU1007" s="122">
        <v>32061</v>
      </c>
      <c r="AV1007" s="122">
        <v>867960</v>
      </c>
    </row>
    <row r="1008" spans="2:48" hidden="1">
      <c r="B1008" t="s">
        <v>368</v>
      </c>
      <c r="C1008" t="s">
        <v>62</v>
      </c>
      <c r="F1008" s="122">
        <v>1</v>
      </c>
      <c r="G1008" s="122">
        <v>55</v>
      </c>
      <c r="H1008" s="122">
        <v>416</v>
      </c>
      <c r="I1008" s="122"/>
      <c r="J1008" s="122">
        <v>0</v>
      </c>
      <c r="K1008" s="122"/>
      <c r="L1008" s="122"/>
      <c r="M1008" s="122">
        <v>0</v>
      </c>
      <c r="N1008" s="122">
        <v>1335</v>
      </c>
      <c r="O1008" s="122">
        <v>494</v>
      </c>
      <c r="P1008" s="122">
        <v>0</v>
      </c>
      <c r="Q1008" s="122">
        <v>0</v>
      </c>
      <c r="R1008" s="122"/>
      <c r="S1008" s="122">
        <v>0</v>
      </c>
      <c r="T1008" s="122">
        <v>0</v>
      </c>
      <c r="U1008" s="122">
        <v>0</v>
      </c>
      <c r="V1008" s="122">
        <v>494</v>
      </c>
      <c r="W1008" s="122">
        <f t="shared" si="30"/>
        <v>494</v>
      </c>
      <c r="X1008" s="122">
        <f t="shared" si="31"/>
        <v>1335</v>
      </c>
      <c r="AA1008" t="s">
        <v>56</v>
      </c>
      <c r="AB1008" t="s">
        <v>407</v>
      </c>
      <c r="AC1008" t="s">
        <v>428</v>
      </c>
      <c r="AD1008" t="s">
        <v>407</v>
      </c>
      <c r="AE1008" t="s">
        <v>566</v>
      </c>
      <c r="AF1008">
        <v>90</v>
      </c>
      <c r="AG1008" s="122">
        <v>12781</v>
      </c>
      <c r="AH1008" s="122">
        <v>16692</v>
      </c>
      <c r="AI1008" s="122">
        <v>1367408</v>
      </c>
      <c r="AJ1008" s="122">
        <v>1243099</v>
      </c>
      <c r="AK1008">
        <v>87</v>
      </c>
      <c r="AL1008" s="122">
        <v>333938</v>
      </c>
      <c r="AM1008" s="122">
        <v>303580</v>
      </c>
      <c r="AN1008" s="122">
        <v>255267</v>
      </c>
      <c r="AO1008" s="122">
        <v>94543</v>
      </c>
      <c r="AP1008" s="122">
        <v>42525</v>
      </c>
      <c r="AQ1008" s="122">
        <v>15750</v>
      </c>
      <c r="AR1008" s="122">
        <v>466603</v>
      </c>
      <c r="AS1008" s="122">
        <v>424185</v>
      </c>
      <c r="AT1008" s="122">
        <v>0</v>
      </c>
      <c r="AU1008" s="122">
        <v>0</v>
      </c>
      <c r="AV1008" s="122">
        <v>2081157</v>
      </c>
    </row>
    <row r="1009" spans="2:48" hidden="1">
      <c r="B1009" t="s">
        <v>368</v>
      </c>
      <c r="C1009" t="s">
        <v>62</v>
      </c>
      <c r="D1009" t="s">
        <v>425</v>
      </c>
      <c r="E1009" t="s">
        <v>425</v>
      </c>
      <c r="F1009" s="122">
        <v>2</v>
      </c>
      <c r="G1009" s="122">
        <v>115</v>
      </c>
      <c r="H1009" s="122">
        <v>840</v>
      </c>
      <c r="I1009" s="122">
        <v>29420</v>
      </c>
      <c r="J1009" s="122">
        <v>26746</v>
      </c>
      <c r="K1009" s="122">
        <v>70</v>
      </c>
      <c r="L1009" s="122">
        <v>5944</v>
      </c>
      <c r="M1009" s="122">
        <v>5403</v>
      </c>
      <c r="N1009" s="122">
        <v>2638</v>
      </c>
      <c r="O1009" s="122">
        <v>977</v>
      </c>
      <c r="P1009" s="122">
        <v>945</v>
      </c>
      <c r="Q1009" s="122">
        <v>350</v>
      </c>
      <c r="R1009" s="122">
        <v>7890</v>
      </c>
      <c r="S1009" s="122">
        <v>7173</v>
      </c>
      <c r="T1009" s="122">
        <v>1374</v>
      </c>
      <c r="U1009" s="122">
        <v>509</v>
      </c>
      <c r="V1009" s="122">
        <v>41158</v>
      </c>
      <c r="W1009" s="122">
        <f t="shared" si="30"/>
        <v>41158</v>
      </c>
      <c r="X1009" s="122">
        <f t="shared" si="31"/>
        <v>48211</v>
      </c>
      <c r="AA1009" t="s">
        <v>56</v>
      </c>
      <c r="AB1009" t="s">
        <v>407</v>
      </c>
      <c r="AC1009" t="s">
        <v>431</v>
      </c>
      <c r="AD1009" t="s">
        <v>407</v>
      </c>
      <c r="AE1009" t="s">
        <v>137</v>
      </c>
      <c r="AF1009">
        <v>1</v>
      </c>
      <c r="AG1009">
        <v>155</v>
      </c>
      <c r="AH1009">
        <v>198</v>
      </c>
      <c r="AI1009" s="122">
        <v>15385</v>
      </c>
      <c r="AJ1009" s="122">
        <v>13986</v>
      </c>
      <c r="AK1009">
        <v>79</v>
      </c>
      <c r="AL1009" s="122">
        <v>4274</v>
      </c>
      <c r="AM1009" s="122">
        <v>3885</v>
      </c>
      <c r="AN1009" s="122">
        <v>2850</v>
      </c>
      <c r="AO1009" s="122">
        <v>1056</v>
      </c>
      <c r="AP1009" s="122">
        <v>473</v>
      </c>
      <c r="AQ1009">
        <v>175</v>
      </c>
      <c r="AR1009" s="122">
        <v>4591</v>
      </c>
      <c r="AS1009" s="122">
        <v>4174</v>
      </c>
      <c r="AT1009" s="122">
        <v>3074</v>
      </c>
      <c r="AU1009" s="122">
        <v>1138</v>
      </c>
      <c r="AV1009" s="122">
        <v>24414</v>
      </c>
    </row>
    <row r="1010" spans="2:48" hidden="1">
      <c r="B1010" t="s">
        <v>368</v>
      </c>
      <c r="C1010" t="s">
        <v>62</v>
      </c>
      <c r="D1010" t="s">
        <v>405</v>
      </c>
      <c r="E1010" t="s">
        <v>405</v>
      </c>
      <c r="F1010" s="122">
        <v>8</v>
      </c>
      <c r="G1010" s="122">
        <v>783</v>
      </c>
      <c r="H1010" s="122">
        <v>3219</v>
      </c>
      <c r="I1010" s="122">
        <v>215874</v>
      </c>
      <c r="J1010" s="122">
        <v>196249</v>
      </c>
      <c r="K1010" s="122">
        <v>87</v>
      </c>
      <c r="L1010" s="122">
        <v>40584</v>
      </c>
      <c r="M1010" s="122">
        <v>36895</v>
      </c>
      <c r="N1010" s="122">
        <v>15857</v>
      </c>
      <c r="O1010" s="122">
        <v>5873</v>
      </c>
      <c r="P1010" s="122">
        <v>3929</v>
      </c>
      <c r="Q1010" s="122">
        <v>1455</v>
      </c>
      <c r="R1010" s="122">
        <v>33577</v>
      </c>
      <c r="S1010" s="122">
        <v>30524</v>
      </c>
      <c r="T1010" s="122">
        <v>5285</v>
      </c>
      <c r="U1010" s="122">
        <v>1958</v>
      </c>
      <c r="V1010" s="122">
        <v>272954</v>
      </c>
      <c r="W1010" s="122">
        <f t="shared" si="30"/>
        <v>272954</v>
      </c>
      <c r="X1010" s="122">
        <f t="shared" si="31"/>
        <v>315106</v>
      </c>
      <c r="AA1010" t="s">
        <v>56</v>
      </c>
      <c r="AB1010" t="s">
        <v>407</v>
      </c>
      <c r="AC1010" t="s">
        <v>431</v>
      </c>
      <c r="AD1010" t="s">
        <v>407</v>
      </c>
      <c r="AE1010" t="s">
        <v>566</v>
      </c>
      <c r="AF1010">
        <v>5</v>
      </c>
      <c r="AG1010">
        <v>713</v>
      </c>
      <c r="AH1010">
        <v>920</v>
      </c>
      <c r="AI1010" s="122">
        <v>64917</v>
      </c>
      <c r="AJ1010" s="122">
        <v>59016</v>
      </c>
      <c r="AK1010">
        <v>81</v>
      </c>
      <c r="AL1010" s="122">
        <v>14635</v>
      </c>
      <c r="AM1010" s="122">
        <v>13304</v>
      </c>
      <c r="AN1010" s="122">
        <v>16613</v>
      </c>
      <c r="AO1010" s="122">
        <v>6153</v>
      </c>
      <c r="AP1010" s="122">
        <v>2363</v>
      </c>
      <c r="AQ1010">
        <v>875</v>
      </c>
      <c r="AR1010" s="122">
        <v>29428</v>
      </c>
      <c r="AS1010" s="122">
        <v>26752</v>
      </c>
      <c r="AT1010" s="122">
        <v>0</v>
      </c>
      <c r="AU1010" s="122">
        <v>0</v>
      </c>
      <c r="AV1010" s="122">
        <v>106100</v>
      </c>
    </row>
    <row r="1011" spans="2:48" hidden="1">
      <c r="B1011" t="s">
        <v>368</v>
      </c>
      <c r="C1011" t="s">
        <v>62</v>
      </c>
      <c r="D1011" t="s">
        <v>137</v>
      </c>
      <c r="E1011" t="s">
        <v>137</v>
      </c>
      <c r="F1011" s="122">
        <v>86</v>
      </c>
      <c r="G1011" s="122">
        <v>8158</v>
      </c>
      <c r="H1011" s="122">
        <v>35682</v>
      </c>
      <c r="I1011" s="122">
        <v>2294944</v>
      </c>
      <c r="J1011" s="122">
        <v>849979</v>
      </c>
      <c r="K1011" s="122">
        <v>100</v>
      </c>
      <c r="L1011" s="122">
        <v>376409</v>
      </c>
      <c r="M1011" s="122">
        <v>275494</v>
      </c>
      <c r="N1011" s="122">
        <v>185224</v>
      </c>
      <c r="O1011" s="122">
        <v>68601</v>
      </c>
      <c r="P1011" s="122">
        <v>1879</v>
      </c>
      <c r="Q1011" s="122">
        <v>696</v>
      </c>
      <c r="R1011" s="122">
        <v>642671</v>
      </c>
      <c r="S1011" s="122">
        <v>238026</v>
      </c>
      <c r="T1011" s="122">
        <v>7330</v>
      </c>
      <c r="U1011" s="122">
        <v>2715</v>
      </c>
      <c r="V1011" s="122">
        <v>1435511</v>
      </c>
      <c r="W1011" s="122">
        <f t="shared" si="30"/>
        <v>1435511</v>
      </c>
      <c r="X1011" s="122">
        <f t="shared" si="31"/>
        <v>3508457</v>
      </c>
      <c r="AA1011" t="s">
        <v>56</v>
      </c>
      <c r="AB1011" t="s">
        <v>407</v>
      </c>
      <c r="AC1011" t="s">
        <v>426</v>
      </c>
      <c r="AD1011" t="s">
        <v>405</v>
      </c>
      <c r="AE1011" t="s">
        <v>137</v>
      </c>
      <c r="AF1011">
        <v>2</v>
      </c>
      <c r="AG1011" s="122">
        <v>250</v>
      </c>
      <c r="AH1011" s="122">
        <v>427</v>
      </c>
      <c r="AI1011" s="122">
        <v>27105</v>
      </c>
      <c r="AJ1011" s="122">
        <v>24641</v>
      </c>
      <c r="AK1011">
        <v>81</v>
      </c>
      <c r="AL1011" s="122">
        <v>6134</v>
      </c>
      <c r="AM1011" s="122">
        <v>5576</v>
      </c>
      <c r="AN1011" s="122">
        <v>4863</v>
      </c>
      <c r="AO1011" s="122">
        <v>1801</v>
      </c>
      <c r="AP1011" s="122">
        <v>945</v>
      </c>
      <c r="AQ1011" s="122">
        <v>350</v>
      </c>
      <c r="AR1011" s="122">
        <v>7869</v>
      </c>
      <c r="AS1011" s="122">
        <v>7154</v>
      </c>
      <c r="AT1011" s="122">
        <v>6166</v>
      </c>
      <c r="AU1011" s="122">
        <v>2284</v>
      </c>
      <c r="AV1011" s="122">
        <v>41806</v>
      </c>
    </row>
    <row r="1012" spans="2:48" hidden="1">
      <c r="B1012" t="s">
        <v>368</v>
      </c>
      <c r="C1012" t="s">
        <v>62</v>
      </c>
      <c r="D1012" t="s">
        <v>137</v>
      </c>
      <c r="E1012" t="s">
        <v>406</v>
      </c>
      <c r="F1012" s="122">
        <v>1</v>
      </c>
      <c r="G1012" s="122">
        <v>143</v>
      </c>
      <c r="H1012" s="122">
        <v>446</v>
      </c>
      <c r="I1012" s="122">
        <v>47114</v>
      </c>
      <c r="J1012" s="122">
        <v>17450</v>
      </c>
      <c r="K1012" s="122">
        <v>100</v>
      </c>
      <c r="L1012" s="122">
        <v>3555</v>
      </c>
      <c r="M1012" s="122">
        <v>3231</v>
      </c>
      <c r="N1012" s="122">
        <v>3331</v>
      </c>
      <c r="O1012" s="122">
        <v>1234</v>
      </c>
      <c r="P1012" s="122">
        <v>270</v>
      </c>
      <c r="Q1012" s="122">
        <v>100</v>
      </c>
      <c r="R1012" s="122">
        <v>6171</v>
      </c>
      <c r="S1012" s="122">
        <v>5610</v>
      </c>
      <c r="T1012" s="122">
        <v>3389</v>
      </c>
      <c r="U1012" s="122">
        <v>1255</v>
      </c>
      <c r="V1012" s="122">
        <v>28880</v>
      </c>
      <c r="W1012" s="122">
        <f t="shared" si="30"/>
        <v>28880</v>
      </c>
      <c r="X1012" s="122">
        <f t="shared" si="31"/>
        <v>63830</v>
      </c>
      <c r="AA1012" t="s">
        <v>56</v>
      </c>
      <c r="AB1012" t="s">
        <v>407</v>
      </c>
      <c r="AC1012" t="s">
        <v>426</v>
      </c>
      <c r="AD1012" t="s">
        <v>137</v>
      </c>
      <c r="AE1012" t="s">
        <v>566</v>
      </c>
      <c r="AF1012">
        <v>10</v>
      </c>
      <c r="AG1012" s="122">
        <v>1770</v>
      </c>
      <c r="AH1012" s="122">
        <v>1949</v>
      </c>
      <c r="AI1012" s="122">
        <v>235803</v>
      </c>
      <c r="AJ1012" s="122">
        <v>214366</v>
      </c>
      <c r="AK1012">
        <v>84</v>
      </c>
      <c r="AL1012" s="122">
        <v>58229</v>
      </c>
      <c r="AM1012" s="122">
        <v>52936</v>
      </c>
      <c r="AN1012" s="122">
        <v>34972</v>
      </c>
      <c r="AO1012" s="122">
        <v>12953</v>
      </c>
      <c r="AP1012" s="122">
        <v>7500</v>
      </c>
      <c r="AQ1012" s="122">
        <v>2778</v>
      </c>
      <c r="AR1012" s="122">
        <v>23622</v>
      </c>
      <c r="AS1012" s="122">
        <v>8749</v>
      </c>
      <c r="AT1012">
        <v>0</v>
      </c>
      <c r="AU1012">
        <v>0</v>
      </c>
      <c r="AV1012" s="122">
        <v>291781</v>
      </c>
    </row>
    <row r="1013" spans="2:48" hidden="1">
      <c r="B1013" t="s">
        <v>368</v>
      </c>
      <c r="C1013" t="s">
        <v>62</v>
      </c>
      <c r="D1013" t="s">
        <v>137</v>
      </c>
      <c r="E1013" t="s">
        <v>427</v>
      </c>
      <c r="F1013" s="122">
        <v>1</v>
      </c>
      <c r="G1013" s="122">
        <v>222</v>
      </c>
      <c r="H1013" s="122">
        <v>429</v>
      </c>
      <c r="I1013" s="122">
        <v>73820</v>
      </c>
      <c r="J1013" s="122">
        <v>27341</v>
      </c>
      <c r="K1013" s="122">
        <v>100</v>
      </c>
      <c r="L1013" s="122">
        <v>6076</v>
      </c>
      <c r="M1013" s="122">
        <v>5523</v>
      </c>
      <c r="N1013" s="122">
        <v>3706</v>
      </c>
      <c r="O1013" s="122">
        <v>1372</v>
      </c>
      <c r="P1013" s="122">
        <v>0</v>
      </c>
      <c r="Q1013" s="122">
        <v>0</v>
      </c>
      <c r="R1013" s="122">
        <v>7816</v>
      </c>
      <c r="S1013" s="122">
        <v>7105</v>
      </c>
      <c r="T1013" s="122">
        <v>3850</v>
      </c>
      <c r="U1013" s="122">
        <v>1426</v>
      </c>
      <c r="V1013" s="122">
        <v>42768</v>
      </c>
      <c r="W1013" s="122">
        <f t="shared" si="30"/>
        <v>42767</v>
      </c>
      <c r="X1013" s="122">
        <f t="shared" si="31"/>
        <v>95268</v>
      </c>
      <c r="AA1013" t="s">
        <v>56</v>
      </c>
      <c r="AB1013" t="s">
        <v>407</v>
      </c>
      <c r="AC1013" t="s">
        <v>426</v>
      </c>
      <c r="AD1013" t="s">
        <v>406</v>
      </c>
      <c r="AE1013" t="s">
        <v>137</v>
      </c>
      <c r="AF1013">
        <v>4</v>
      </c>
      <c r="AG1013">
        <v>647</v>
      </c>
      <c r="AH1013">
        <v>752</v>
      </c>
      <c r="AI1013" s="122">
        <v>72251</v>
      </c>
      <c r="AJ1013" s="122">
        <v>65683</v>
      </c>
      <c r="AK1013">
        <v>81</v>
      </c>
      <c r="AL1013" s="122">
        <v>15130</v>
      </c>
      <c r="AM1013" s="122">
        <v>13754</v>
      </c>
      <c r="AN1013" s="122">
        <v>15245</v>
      </c>
      <c r="AO1013" s="122">
        <v>5646</v>
      </c>
      <c r="AP1013" s="122">
        <v>1890</v>
      </c>
      <c r="AQ1013">
        <v>700</v>
      </c>
      <c r="AR1013" s="122">
        <v>20877</v>
      </c>
      <c r="AS1013" s="122">
        <v>18979</v>
      </c>
      <c r="AT1013">
        <v>0</v>
      </c>
      <c r="AU1013">
        <v>0</v>
      </c>
      <c r="AV1013" s="122">
        <v>104763</v>
      </c>
    </row>
    <row r="1014" spans="2:48" hidden="1">
      <c r="B1014" t="s">
        <v>368</v>
      </c>
      <c r="C1014" t="s">
        <v>62</v>
      </c>
      <c r="D1014" t="s">
        <v>137</v>
      </c>
      <c r="E1014" t="s">
        <v>431</v>
      </c>
      <c r="F1014" s="122">
        <v>3</v>
      </c>
      <c r="G1014" s="122">
        <v>234</v>
      </c>
      <c r="H1014" s="122">
        <v>1261</v>
      </c>
      <c r="I1014" s="122">
        <v>56563</v>
      </c>
      <c r="J1014" s="122">
        <v>20949</v>
      </c>
      <c r="K1014" s="122">
        <v>100</v>
      </c>
      <c r="L1014" s="122">
        <v>13022</v>
      </c>
      <c r="M1014" s="122">
        <v>11839</v>
      </c>
      <c r="N1014" s="122">
        <v>3997</v>
      </c>
      <c r="O1014" s="122">
        <v>1480</v>
      </c>
      <c r="P1014" s="122">
        <v>0</v>
      </c>
      <c r="Q1014" s="122">
        <v>0</v>
      </c>
      <c r="R1014" s="122">
        <v>17779</v>
      </c>
      <c r="S1014" s="122">
        <v>16163</v>
      </c>
      <c r="T1014" s="122">
        <v>6411</v>
      </c>
      <c r="U1014" s="122">
        <v>2375</v>
      </c>
      <c r="V1014" s="122">
        <v>52806</v>
      </c>
      <c r="W1014" s="122">
        <f t="shared" si="30"/>
        <v>52806</v>
      </c>
      <c r="X1014" s="122">
        <f t="shared" si="31"/>
        <v>97772</v>
      </c>
      <c r="AA1014" t="s">
        <v>56</v>
      </c>
      <c r="AB1014" t="s">
        <v>407</v>
      </c>
      <c r="AC1014" t="s">
        <v>426</v>
      </c>
      <c r="AD1014" t="s">
        <v>406</v>
      </c>
      <c r="AE1014" t="s">
        <v>566</v>
      </c>
      <c r="AF1014" s="122">
        <v>2</v>
      </c>
      <c r="AG1014" s="122">
        <v>254</v>
      </c>
      <c r="AH1014" s="122">
        <v>347</v>
      </c>
      <c r="AI1014" s="122">
        <v>21507</v>
      </c>
      <c r="AJ1014" s="122">
        <v>19552</v>
      </c>
      <c r="AK1014">
        <v>88</v>
      </c>
      <c r="AL1014" s="122">
        <v>7018</v>
      </c>
      <c r="AM1014" s="122">
        <v>6380</v>
      </c>
      <c r="AN1014" s="122">
        <v>5399</v>
      </c>
      <c r="AO1014" s="122">
        <v>2000</v>
      </c>
      <c r="AP1014" s="122">
        <v>945</v>
      </c>
      <c r="AQ1014" s="122">
        <v>350</v>
      </c>
      <c r="AR1014" s="122">
        <v>9314</v>
      </c>
      <c r="AS1014" s="122">
        <v>8467</v>
      </c>
      <c r="AT1014" s="122">
        <v>0</v>
      </c>
      <c r="AU1014" s="122">
        <v>0</v>
      </c>
      <c r="AV1014" s="122">
        <v>36749</v>
      </c>
    </row>
    <row r="1015" spans="2:48" hidden="1">
      <c r="B1015" t="s">
        <v>368</v>
      </c>
      <c r="C1015" t="s">
        <v>62</v>
      </c>
      <c r="D1015" t="s">
        <v>137</v>
      </c>
      <c r="E1015" t="s">
        <v>426</v>
      </c>
      <c r="F1015" s="122">
        <v>10</v>
      </c>
      <c r="G1015" s="122">
        <v>731</v>
      </c>
      <c r="H1015" s="122">
        <v>4093</v>
      </c>
      <c r="I1015" s="122">
        <v>185939</v>
      </c>
      <c r="J1015" s="122">
        <v>68866</v>
      </c>
      <c r="K1015" s="122">
        <v>100</v>
      </c>
      <c r="L1015" s="122">
        <v>29494</v>
      </c>
      <c r="M1015" s="122">
        <v>24622</v>
      </c>
      <c r="N1015" s="122">
        <v>14688</v>
      </c>
      <c r="O1015" s="122">
        <v>5440</v>
      </c>
      <c r="P1015" s="122">
        <v>351</v>
      </c>
      <c r="Q1015" s="122">
        <v>130</v>
      </c>
      <c r="R1015" s="122">
        <v>55395</v>
      </c>
      <c r="S1015" s="122">
        <v>50359</v>
      </c>
      <c r="T1015" s="122">
        <v>13189</v>
      </c>
      <c r="U1015" s="122">
        <v>4885</v>
      </c>
      <c r="V1015" s="122">
        <v>154302</v>
      </c>
      <c r="W1015" s="122">
        <f t="shared" si="30"/>
        <v>154302</v>
      </c>
      <c r="X1015" s="122">
        <f t="shared" si="31"/>
        <v>299056</v>
      </c>
      <c r="AA1015" t="s">
        <v>56</v>
      </c>
      <c r="AB1015" t="s">
        <v>407</v>
      </c>
      <c r="AC1015" t="s">
        <v>426</v>
      </c>
      <c r="AD1015" t="s">
        <v>407</v>
      </c>
      <c r="AE1015" t="s">
        <v>137</v>
      </c>
      <c r="AF1015" s="122">
        <v>1262</v>
      </c>
      <c r="AG1015" s="122">
        <v>193783</v>
      </c>
      <c r="AH1015" s="122">
        <v>242566</v>
      </c>
      <c r="AI1015" s="122">
        <v>20244283</v>
      </c>
      <c r="AJ1015" s="122">
        <v>18403894</v>
      </c>
      <c r="AK1015">
        <v>82</v>
      </c>
      <c r="AL1015" s="122">
        <v>5079716</v>
      </c>
      <c r="AM1015" s="122">
        <v>4617924</v>
      </c>
      <c r="AN1015" s="122">
        <v>3999233</v>
      </c>
      <c r="AO1015" s="122">
        <v>1481198</v>
      </c>
      <c r="AP1015" s="122">
        <v>629804</v>
      </c>
      <c r="AQ1015" s="122">
        <v>233261</v>
      </c>
      <c r="AR1015" s="122">
        <v>6167722</v>
      </c>
      <c r="AS1015" s="122">
        <v>5607020</v>
      </c>
      <c r="AT1015" s="122">
        <v>2284723</v>
      </c>
      <c r="AU1015" s="122">
        <v>846194</v>
      </c>
      <c r="AV1015" s="122">
        <v>31189489</v>
      </c>
    </row>
    <row r="1016" spans="2:48" hidden="1">
      <c r="B1016" t="s">
        <v>368</v>
      </c>
      <c r="C1016" t="s">
        <v>62</v>
      </c>
      <c r="D1016" t="s">
        <v>406</v>
      </c>
      <c r="E1016" t="s">
        <v>137</v>
      </c>
      <c r="F1016" s="122">
        <v>3</v>
      </c>
      <c r="G1016" s="122">
        <v>411</v>
      </c>
      <c r="H1016" s="122">
        <v>1248</v>
      </c>
      <c r="I1016" s="122">
        <v>110468</v>
      </c>
      <c r="J1016" s="122">
        <v>100426</v>
      </c>
      <c r="K1016" s="122">
        <v>76</v>
      </c>
      <c r="L1016" s="122">
        <v>23908</v>
      </c>
      <c r="M1016" s="122">
        <v>21735</v>
      </c>
      <c r="N1016" s="122">
        <v>9686</v>
      </c>
      <c r="O1016" s="122">
        <v>3587</v>
      </c>
      <c r="P1016" s="122">
        <v>1863</v>
      </c>
      <c r="Q1016" s="122">
        <v>690</v>
      </c>
      <c r="R1016" s="122">
        <v>25869</v>
      </c>
      <c r="S1016" s="122">
        <v>9581</v>
      </c>
      <c r="T1016" s="122">
        <v>0</v>
      </c>
      <c r="U1016" s="122">
        <v>0</v>
      </c>
      <c r="V1016" s="122">
        <v>136019</v>
      </c>
      <c r="W1016" s="122">
        <f t="shared" si="30"/>
        <v>136019</v>
      </c>
      <c r="X1016" s="122">
        <f t="shared" si="31"/>
        <v>171794</v>
      </c>
      <c r="AA1016" t="s">
        <v>56</v>
      </c>
      <c r="AB1016" t="s">
        <v>407</v>
      </c>
      <c r="AC1016" t="s">
        <v>426</v>
      </c>
      <c r="AD1016" t="s">
        <v>407</v>
      </c>
      <c r="AE1016" t="s">
        <v>566</v>
      </c>
      <c r="AF1016" s="122">
        <v>2844</v>
      </c>
      <c r="AG1016" s="122">
        <v>433954</v>
      </c>
      <c r="AH1016" s="122">
        <v>521831</v>
      </c>
      <c r="AI1016" s="122">
        <v>44144304</v>
      </c>
      <c r="AJ1016" s="122">
        <v>40131186</v>
      </c>
      <c r="AK1016">
        <v>84</v>
      </c>
      <c r="AL1016" s="122">
        <v>11188978</v>
      </c>
      <c r="AM1016" s="122">
        <v>10171798</v>
      </c>
      <c r="AN1016" s="122">
        <v>8906285</v>
      </c>
      <c r="AO1016" s="122">
        <v>3298624</v>
      </c>
      <c r="AP1016" s="122">
        <v>1410037</v>
      </c>
      <c r="AQ1016" s="122">
        <v>522236</v>
      </c>
      <c r="AR1016" s="122">
        <v>15986420</v>
      </c>
      <c r="AS1016" s="122">
        <v>14533109</v>
      </c>
      <c r="AT1016" s="122">
        <v>0</v>
      </c>
      <c r="AU1016" s="122">
        <v>0</v>
      </c>
      <c r="AV1016" s="122">
        <v>68656952</v>
      </c>
    </row>
    <row r="1017" spans="2:48" hidden="1">
      <c r="B1017" t="s">
        <v>368</v>
      </c>
      <c r="C1017" t="s">
        <v>62</v>
      </c>
      <c r="D1017" t="s">
        <v>406</v>
      </c>
      <c r="E1017" t="s">
        <v>406</v>
      </c>
      <c r="F1017" s="122">
        <v>682</v>
      </c>
      <c r="G1017" s="122">
        <v>77391</v>
      </c>
      <c r="H1017" s="122">
        <v>281953</v>
      </c>
      <c r="I1017" s="122">
        <v>21532225</v>
      </c>
      <c r="J1017" s="122">
        <v>19574750</v>
      </c>
      <c r="K1017" s="122">
        <v>76</v>
      </c>
      <c r="L1017" s="122">
        <v>4139024</v>
      </c>
      <c r="M1017" s="122">
        <v>3630854</v>
      </c>
      <c r="N1017" s="122">
        <v>1652748</v>
      </c>
      <c r="O1017" s="122">
        <v>612129</v>
      </c>
      <c r="P1017" s="122">
        <v>450376</v>
      </c>
      <c r="Q1017" s="122">
        <v>166806</v>
      </c>
      <c r="R1017" s="122">
        <v>3601192</v>
      </c>
      <c r="S1017" s="122">
        <v>3273811</v>
      </c>
      <c r="T1017" s="122">
        <v>1140297</v>
      </c>
      <c r="U1017" s="122">
        <v>422332</v>
      </c>
      <c r="V1017" s="122">
        <v>27680681</v>
      </c>
      <c r="W1017" s="122">
        <f t="shared" si="30"/>
        <v>27680682</v>
      </c>
      <c r="X1017" s="122">
        <f t="shared" si="31"/>
        <v>32515862</v>
      </c>
      <c r="AA1017" t="s">
        <v>56</v>
      </c>
      <c r="AB1017" t="s">
        <v>407</v>
      </c>
      <c r="AC1017" t="s">
        <v>426</v>
      </c>
      <c r="AD1017" t="s">
        <v>426</v>
      </c>
      <c r="AE1017" t="s">
        <v>137</v>
      </c>
      <c r="AF1017">
        <v>1</v>
      </c>
      <c r="AG1017">
        <v>163</v>
      </c>
      <c r="AH1017">
        <v>198</v>
      </c>
      <c r="AI1017" s="122">
        <v>20029</v>
      </c>
      <c r="AJ1017" s="122">
        <v>18208</v>
      </c>
      <c r="AK1017">
        <v>81</v>
      </c>
      <c r="AL1017" s="122">
        <v>2626</v>
      </c>
      <c r="AM1017" s="122">
        <v>2387</v>
      </c>
      <c r="AN1017" s="122">
        <v>1990</v>
      </c>
      <c r="AO1017">
        <v>737</v>
      </c>
      <c r="AP1017">
        <v>473</v>
      </c>
      <c r="AQ1017">
        <v>175</v>
      </c>
      <c r="AR1017" s="122">
        <v>3998</v>
      </c>
      <c r="AS1017" s="122">
        <v>3635</v>
      </c>
      <c r="AT1017" s="122">
        <v>3162</v>
      </c>
      <c r="AU1017" s="122">
        <v>1171</v>
      </c>
      <c r="AV1017" s="122">
        <v>26313</v>
      </c>
    </row>
    <row r="1018" spans="2:48" hidden="1">
      <c r="B1018" t="s">
        <v>368</v>
      </c>
      <c r="C1018" t="s">
        <v>62</v>
      </c>
      <c r="D1018" t="s">
        <v>406</v>
      </c>
      <c r="E1018" t="s">
        <v>556</v>
      </c>
      <c r="F1018" s="122">
        <v>1</v>
      </c>
      <c r="G1018" s="122">
        <v>146</v>
      </c>
      <c r="H1018" s="122">
        <v>418</v>
      </c>
      <c r="I1018" s="122">
        <v>43995</v>
      </c>
      <c r="J1018" s="122">
        <v>39996</v>
      </c>
      <c r="K1018" s="122">
        <v>79</v>
      </c>
      <c r="L1018" s="122">
        <v>5640</v>
      </c>
      <c r="M1018" s="122">
        <v>5128</v>
      </c>
      <c r="N1018" s="122">
        <v>2995</v>
      </c>
      <c r="O1018" s="122">
        <v>1109</v>
      </c>
      <c r="P1018" s="122">
        <v>621</v>
      </c>
      <c r="Q1018" s="122">
        <v>230</v>
      </c>
      <c r="R1018" s="122">
        <v>4889</v>
      </c>
      <c r="S1018" s="122">
        <v>4074</v>
      </c>
      <c r="T1018" s="122">
        <v>2979</v>
      </c>
      <c r="U1018" s="122">
        <v>1103</v>
      </c>
      <c r="V1018" s="122">
        <v>51640</v>
      </c>
      <c r="W1018" s="122">
        <f t="shared" si="30"/>
        <v>51640</v>
      </c>
      <c r="X1018" s="122">
        <f t="shared" si="31"/>
        <v>61119</v>
      </c>
      <c r="AA1018" t="s">
        <v>56</v>
      </c>
      <c r="AB1018" t="s">
        <v>407</v>
      </c>
      <c r="AC1018" t="s">
        <v>426</v>
      </c>
      <c r="AD1018" t="s">
        <v>426</v>
      </c>
      <c r="AE1018" t="s">
        <v>566</v>
      </c>
      <c r="AF1018">
        <v>1</v>
      </c>
      <c r="AG1018">
        <v>83</v>
      </c>
      <c r="AH1018">
        <v>160</v>
      </c>
      <c r="AI1018" s="122">
        <v>6107</v>
      </c>
      <c r="AJ1018" s="122">
        <v>5552</v>
      </c>
      <c r="AK1018">
        <v>92</v>
      </c>
      <c r="AL1018" s="122">
        <v>2085</v>
      </c>
      <c r="AM1018" s="122">
        <v>1896</v>
      </c>
      <c r="AN1018" s="122">
        <v>1010</v>
      </c>
      <c r="AO1018" s="122">
        <v>374</v>
      </c>
      <c r="AP1018">
        <v>473</v>
      </c>
      <c r="AQ1018">
        <v>175</v>
      </c>
      <c r="AR1018" s="122">
        <v>3560</v>
      </c>
      <c r="AS1018" s="122">
        <v>3237</v>
      </c>
      <c r="AT1018">
        <v>0</v>
      </c>
      <c r="AU1018">
        <v>0</v>
      </c>
      <c r="AV1018" s="122">
        <v>11233</v>
      </c>
    </row>
    <row r="1019" spans="2:48" hidden="1">
      <c r="B1019" t="s">
        <v>368</v>
      </c>
      <c r="C1019" t="s">
        <v>62</v>
      </c>
      <c r="D1019" t="s">
        <v>406</v>
      </c>
      <c r="E1019" t="s">
        <v>431</v>
      </c>
      <c r="F1019" s="122">
        <v>2</v>
      </c>
      <c r="G1019" s="122">
        <v>205</v>
      </c>
      <c r="H1019" s="122">
        <v>858</v>
      </c>
      <c r="I1019" s="122">
        <v>51218</v>
      </c>
      <c r="J1019" s="122">
        <v>46562</v>
      </c>
      <c r="K1019" s="122">
        <v>68</v>
      </c>
      <c r="L1019" s="122">
        <v>12113</v>
      </c>
      <c r="M1019" s="122">
        <v>11012</v>
      </c>
      <c r="N1019" s="122">
        <v>4594</v>
      </c>
      <c r="O1019" s="122">
        <v>1702</v>
      </c>
      <c r="P1019" s="122">
        <v>1242</v>
      </c>
      <c r="Q1019" s="122">
        <v>460</v>
      </c>
      <c r="R1019" s="122">
        <v>16171</v>
      </c>
      <c r="S1019" s="122">
        <v>14701</v>
      </c>
      <c r="T1019" s="122">
        <v>2522</v>
      </c>
      <c r="U1019" s="122">
        <v>934</v>
      </c>
      <c r="V1019" s="122">
        <v>75370</v>
      </c>
      <c r="W1019" s="122">
        <f t="shared" si="30"/>
        <v>75371</v>
      </c>
      <c r="X1019" s="122">
        <f t="shared" si="31"/>
        <v>87860</v>
      </c>
      <c r="AA1019" t="s">
        <v>56</v>
      </c>
      <c r="AB1019" t="s">
        <v>407</v>
      </c>
      <c r="AC1019" t="s">
        <v>566</v>
      </c>
      <c r="AD1019" t="s">
        <v>137</v>
      </c>
      <c r="AE1019" t="s">
        <v>566</v>
      </c>
      <c r="AF1019">
        <v>1</v>
      </c>
      <c r="AG1019" s="122">
        <v>143</v>
      </c>
      <c r="AH1019" s="122">
        <v>180</v>
      </c>
      <c r="AI1019" s="122">
        <v>15404</v>
      </c>
      <c r="AJ1019" s="122">
        <v>14004</v>
      </c>
      <c r="AK1019">
        <v>73</v>
      </c>
      <c r="AL1019">
        <v>0</v>
      </c>
      <c r="AM1019" s="122">
        <v>0</v>
      </c>
      <c r="AN1019" s="122">
        <v>3483</v>
      </c>
      <c r="AO1019" s="122">
        <v>1290</v>
      </c>
      <c r="AP1019" s="122">
        <v>473</v>
      </c>
      <c r="AQ1019" s="122">
        <v>175</v>
      </c>
      <c r="AR1019" s="122">
        <v>6428</v>
      </c>
      <c r="AS1019" s="122">
        <v>2381</v>
      </c>
      <c r="AT1019" s="122">
        <v>0</v>
      </c>
      <c r="AU1019" s="122">
        <v>0</v>
      </c>
      <c r="AV1019" s="122">
        <v>17849</v>
      </c>
    </row>
    <row r="1020" spans="2:48" hidden="1">
      <c r="B1020" t="s">
        <v>368</v>
      </c>
      <c r="C1020" t="s">
        <v>62</v>
      </c>
      <c r="D1020" t="s">
        <v>406</v>
      </c>
      <c r="E1020" t="s">
        <v>426</v>
      </c>
      <c r="F1020" s="122">
        <v>4</v>
      </c>
      <c r="G1020" s="122">
        <v>432</v>
      </c>
      <c r="H1020" s="122">
        <v>1643</v>
      </c>
      <c r="I1020" s="122">
        <v>110237</v>
      </c>
      <c r="J1020" s="122">
        <v>100216</v>
      </c>
      <c r="K1020" s="122">
        <v>78</v>
      </c>
      <c r="L1020" s="122">
        <v>24318</v>
      </c>
      <c r="M1020" s="122">
        <v>22107</v>
      </c>
      <c r="N1020" s="122">
        <v>9180</v>
      </c>
      <c r="O1020" s="122">
        <v>3400</v>
      </c>
      <c r="P1020" s="122">
        <v>2484</v>
      </c>
      <c r="Q1020" s="122">
        <v>920</v>
      </c>
      <c r="R1020" s="122">
        <v>22898</v>
      </c>
      <c r="S1020" s="122">
        <v>20816</v>
      </c>
      <c r="T1020" s="122">
        <v>7744</v>
      </c>
      <c r="U1020" s="122">
        <v>2868</v>
      </c>
      <c r="V1020" s="122">
        <v>150327</v>
      </c>
      <c r="W1020" s="122">
        <f t="shared" si="30"/>
        <v>150327</v>
      </c>
      <c r="X1020" s="122">
        <f t="shared" si="31"/>
        <v>176861</v>
      </c>
      <c r="AA1020" t="s">
        <v>56</v>
      </c>
      <c r="AB1020" t="s">
        <v>407</v>
      </c>
      <c r="AC1020" t="s">
        <v>566</v>
      </c>
      <c r="AD1020" t="s">
        <v>407</v>
      </c>
      <c r="AE1020" t="s">
        <v>137</v>
      </c>
      <c r="AF1020">
        <v>296</v>
      </c>
      <c r="AG1020" s="122">
        <v>35897</v>
      </c>
      <c r="AH1020" s="122">
        <v>55729</v>
      </c>
      <c r="AI1020" s="122">
        <v>4234019</v>
      </c>
      <c r="AJ1020" s="122">
        <v>3849108</v>
      </c>
      <c r="AK1020">
        <v>83</v>
      </c>
      <c r="AL1020">
        <v>0</v>
      </c>
      <c r="AM1020" s="122">
        <v>125009</v>
      </c>
      <c r="AN1020" s="122">
        <v>702652</v>
      </c>
      <c r="AO1020" s="122">
        <v>260242</v>
      </c>
      <c r="AP1020" s="122">
        <v>144714</v>
      </c>
      <c r="AQ1020" s="122">
        <v>53598</v>
      </c>
      <c r="AR1020" s="122">
        <v>1251361</v>
      </c>
      <c r="AS1020" s="122">
        <v>1137601</v>
      </c>
      <c r="AT1020" s="122">
        <v>573781</v>
      </c>
      <c r="AU1020" s="122">
        <v>212511</v>
      </c>
      <c r="AV1020" s="122">
        <v>5638069</v>
      </c>
    </row>
    <row r="1021" spans="2:48" hidden="1">
      <c r="B1021" t="s">
        <v>368</v>
      </c>
      <c r="C1021" t="s">
        <v>62</v>
      </c>
      <c r="D1021" t="s">
        <v>427</v>
      </c>
      <c r="E1021" t="s">
        <v>427</v>
      </c>
      <c r="F1021" s="122">
        <v>7</v>
      </c>
      <c r="G1021" s="122">
        <v>680</v>
      </c>
      <c r="H1021" s="122">
        <v>2954</v>
      </c>
      <c r="I1021" s="122">
        <v>221234</v>
      </c>
      <c r="J1021" s="122">
        <v>201122</v>
      </c>
      <c r="K1021" s="122">
        <v>61</v>
      </c>
      <c r="L1021" s="122">
        <v>42049</v>
      </c>
      <c r="M1021" s="122">
        <v>33361</v>
      </c>
      <c r="N1021" s="122">
        <v>17568</v>
      </c>
      <c r="O1021" s="122">
        <v>6507</v>
      </c>
      <c r="P1021" s="122">
        <v>2873</v>
      </c>
      <c r="Q1021" s="122">
        <v>1064</v>
      </c>
      <c r="R1021" s="122">
        <v>41534</v>
      </c>
      <c r="S1021" s="122">
        <v>37758</v>
      </c>
      <c r="T1021" s="122">
        <v>13030</v>
      </c>
      <c r="U1021" s="122">
        <v>4826</v>
      </c>
      <c r="V1021" s="122">
        <v>284638</v>
      </c>
      <c r="W1021" s="122">
        <f t="shared" si="30"/>
        <v>284638</v>
      </c>
      <c r="X1021" s="122">
        <f t="shared" si="31"/>
        <v>338288</v>
      </c>
      <c r="AA1021" t="s">
        <v>56</v>
      </c>
      <c r="AB1021" t="s">
        <v>407</v>
      </c>
      <c r="AC1021" t="s">
        <v>566</v>
      </c>
      <c r="AD1021" t="s">
        <v>407</v>
      </c>
      <c r="AE1021" t="s">
        <v>566</v>
      </c>
      <c r="AF1021">
        <v>583</v>
      </c>
      <c r="AG1021" s="122">
        <v>67804</v>
      </c>
      <c r="AH1021" s="122">
        <v>106482</v>
      </c>
      <c r="AI1021" s="122">
        <v>8052675</v>
      </c>
      <c r="AJ1021" s="122">
        <v>7320614</v>
      </c>
      <c r="AK1021">
        <v>85</v>
      </c>
      <c r="AL1021" s="122">
        <v>0</v>
      </c>
      <c r="AM1021" s="122">
        <v>131386</v>
      </c>
      <c r="AN1021" s="122">
        <v>1369652</v>
      </c>
      <c r="AO1021" s="122">
        <v>507278</v>
      </c>
      <c r="AP1021" s="122">
        <v>295337</v>
      </c>
      <c r="AQ1021" s="122">
        <v>109384</v>
      </c>
      <c r="AR1021" s="122">
        <v>2780490</v>
      </c>
      <c r="AS1021" s="122">
        <v>2527718</v>
      </c>
      <c r="AT1021" s="122">
        <v>0</v>
      </c>
      <c r="AU1021" s="122">
        <v>0</v>
      </c>
      <c r="AV1021" s="122">
        <v>10596380</v>
      </c>
    </row>
    <row r="1022" spans="2:48" hidden="1">
      <c r="B1022" t="s">
        <v>368</v>
      </c>
      <c r="C1022" t="s">
        <v>62</v>
      </c>
      <c r="D1022" t="s">
        <v>407</v>
      </c>
      <c r="E1022" t="s">
        <v>407</v>
      </c>
      <c r="F1022" s="122">
        <v>2</v>
      </c>
      <c r="G1022" s="122">
        <v>218</v>
      </c>
      <c r="H1022" s="122">
        <v>852</v>
      </c>
      <c r="I1022" s="122">
        <v>61583</v>
      </c>
      <c r="J1022" s="122">
        <v>55985</v>
      </c>
      <c r="K1022" s="122">
        <v>85</v>
      </c>
      <c r="L1022" s="122">
        <v>12589</v>
      </c>
      <c r="M1022" s="122">
        <v>11445</v>
      </c>
      <c r="N1022" s="122">
        <v>4945</v>
      </c>
      <c r="O1022" s="122">
        <v>1831</v>
      </c>
      <c r="P1022" s="122">
        <v>945</v>
      </c>
      <c r="Q1022" s="122">
        <v>350</v>
      </c>
      <c r="R1022" s="122">
        <v>9564</v>
      </c>
      <c r="S1022" s="122">
        <v>8694</v>
      </c>
      <c r="T1022" s="122">
        <v>2661</v>
      </c>
      <c r="U1022" s="122">
        <v>985</v>
      </c>
      <c r="V1022" s="122">
        <v>79291</v>
      </c>
      <c r="W1022" s="122">
        <f t="shared" si="30"/>
        <v>79290</v>
      </c>
      <c r="X1022" s="122">
        <f t="shared" si="31"/>
        <v>92287</v>
      </c>
      <c r="AA1022" t="s">
        <v>56</v>
      </c>
      <c r="AB1022" t="s">
        <v>407</v>
      </c>
      <c r="AC1022" t="s">
        <v>481</v>
      </c>
      <c r="AD1022" t="s">
        <v>407</v>
      </c>
      <c r="AE1022" t="s">
        <v>137</v>
      </c>
      <c r="AF1022">
        <v>3</v>
      </c>
      <c r="AG1022">
        <v>387</v>
      </c>
      <c r="AH1022">
        <v>644</v>
      </c>
      <c r="AI1022" s="122">
        <v>41513</v>
      </c>
      <c r="AJ1022" s="122">
        <v>37739</v>
      </c>
      <c r="AK1022">
        <v>82</v>
      </c>
      <c r="AL1022" s="122">
        <v>10876</v>
      </c>
      <c r="AM1022" s="122">
        <v>9887</v>
      </c>
      <c r="AN1022" s="122">
        <v>8085</v>
      </c>
      <c r="AO1022" s="122">
        <v>2994</v>
      </c>
      <c r="AP1022" s="122">
        <v>1418</v>
      </c>
      <c r="AQ1022">
        <v>525</v>
      </c>
      <c r="AR1022" s="122">
        <v>14908</v>
      </c>
      <c r="AS1022" s="122">
        <v>13553</v>
      </c>
      <c r="AT1022" s="122">
        <v>6671</v>
      </c>
      <c r="AU1022" s="122">
        <v>2471</v>
      </c>
      <c r="AV1022" s="122">
        <v>67169</v>
      </c>
    </row>
    <row r="1023" spans="2:48" hidden="1">
      <c r="B1023" t="s">
        <v>368</v>
      </c>
      <c r="C1023" t="s">
        <v>62</v>
      </c>
      <c r="D1023" t="s">
        <v>556</v>
      </c>
      <c r="E1023" t="s">
        <v>556</v>
      </c>
      <c r="F1023" s="122">
        <v>8</v>
      </c>
      <c r="G1023" s="122">
        <v>755</v>
      </c>
      <c r="H1023" s="122">
        <v>3424</v>
      </c>
      <c r="I1023" s="122">
        <v>222824</v>
      </c>
      <c r="J1023" s="122">
        <v>185686</v>
      </c>
      <c r="K1023" s="122">
        <v>53</v>
      </c>
      <c r="L1023" s="122">
        <v>21376</v>
      </c>
      <c r="M1023" s="122">
        <v>17192</v>
      </c>
      <c r="N1023" s="122">
        <v>12881</v>
      </c>
      <c r="O1023" s="122">
        <v>4771</v>
      </c>
      <c r="P1023" s="122">
        <v>2808</v>
      </c>
      <c r="Q1023" s="122">
        <v>1040</v>
      </c>
      <c r="R1023" s="122">
        <v>49199</v>
      </c>
      <c r="S1023" s="122">
        <v>40999</v>
      </c>
      <c r="T1023" s="122">
        <v>13184</v>
      </c>
      <c r="U1023" s="122">
        <v>4883</v>
      </c>
      <c r="V1023" s="122">
        <v>254571</v>
      </c>
      <c r="W1023" s="122">
        <f t="shared" si="30"/>
        <v>254571</v>
      </c>
      <c r="X1023" s="122">
        <f t="shared" si="31"/>
        <v>322272</v>
      </c>
      <c r="AA1023" t="s">
        <v>56</v>
      </c>
      <c r="AB1023" t="s">
        <v>407</v>
      </c>
      <c r="AC1023" t="s">
        <v>481</v>
      </c>
      <c r="AD1023" t="s">
        <v>407</v>
      </c>
      <c r="AE1023" t="s">
        <v>566</v>
      </c>
      <c r="AF1023">
        <v>4</v>
      </c>
      <c r="AG1023">
        <v>906</v>
      </c>
      <c r="AH1023">
        <v>746</v>
      </c>
      <c r="AI1023" s="122">
        <v>99381</v>
      </c>
      <c r="AJ1023" s="122">
        <v>90346</v>
      </c>
      <c r="AK1023">
        <v>82</v>
      </c>
      <c r="AL1023" s="122">
        <v>19320</v>
      </c>
      <c r="AM1023" s="122">
        <v>17563</v>
      </c>
      <c r="AN1023" s="122">
        <v>17829</v>
      </c>
      <c r="AO1023" s="122">
        <v>6604</v>
      </c>
      <c r="AP1023" s="122">
        <v>1890</v>
      </c>
      <c r="AQ1023">
        <v>700</v>
      </c>
      <c r="AR1023" s="122">
        <v>26119</v>
      </c>
      <c r="AS1023" s="122">
        <v>23745</v>
      </c>
      <c r="AT1023">
        <v>0</v>
      </c>
      <c r="AU1023">
        <v>0</v>
      </c>
      <c r="AV1023" s="122">
        <v>138958</v>
      </c>
    </row>
    <row r="1024" spans="2:48" hidden="1">
      <c r="B1024" t="s">
        <v>368</v>
      </c>
      <c r="C1024" t="s">
        <v>62</v>
      </c>
      <c r="D1024" t="s">
        <v>428</v>
      </c>
      <c r="E1024" t="s">
        <v>428</v>
      </c>
      <c r="F1024" s="122">
        <v>3</v>
      </c>
      <c r="G1024" s="122">
        <v>273</v>
      </c>
      <c r="H1024" s="122">
        <v>1254</v>
      </c>
      <c r="I1024" s="122">
        <v>68324</v>
      </c>
      <c r="J1024" s="122">
        <v>62113</v>
      </c>
      <c r="K1024" s="122">
        <v>50</v>
      </c>
      <c r="L1024" s="122">
        <v>12757</v>
      </c>
      <c r="M1024" s="122">
        <v>11598</v>
      </c>
      <c r="N1024" s="122">
        <v>5788</v>
      </c>
      <c r="O1024" s="122">
        <v>2144</v>
      </c>
      <c r="P1024" s="122">
        <v>1053</v>
      </c>
      <c r="Q1024" s="122">
        <v>390</v>
      </c>
      <c r="R1024" s="122">
        <v>23827</v>
      </c>
      <c r="S1024" s="122">
        <v>21660</v>
      </c>
      <c r="T1024" s="122">
        <v>2171</v>
      </c>
      <c r="U1024" s="122">
        <v>804</v>
      </c>
      <c r="V1024" s="122">
        <v>98709</v>
      </c>
      <c r="W1024" s="122">
        <f t="shared" si="30"/>
        <v>98709</v>
      </c>
      <c r="X1024" s="122">
        <f t="shared" si="31"/>
        <v>113920</v>
      </c>
      <c r="AA1024" t="s">
        <v>56</v>
      </c>
      <c r="AB1024" t="s">
        <v>407</v>
      </c>
      <c r="AC1024" t="s">
        <v>433</v>
      </c>
      <c r="AD1024" t="s">
        <v>137</v>
      </c>
      <c r="AE1024" t="s">
        <v>566</v>
      </c>
      <c r="AF1024">
        <v>2</v>
      </c>
      <c r="AG1024" s="122">
        <v>278</v>
      </c>
      <c r="AH1024" s="122">
        <v>372</v>
      </c>
      <c r="AI1024" s="122">
        <v>42203</v>
      </c>
      <c r="AJ1024" s="122">
        <v>38367</v>
      </c>
      <c r="AK1024">
        <v>78</v>
      </c>
      <c r="AL1024" s="122">
        <v>8596</v>
      </c>
      <c r="AM1024" s="122">
        <v>7815</v>
      </c>
      <c r="AN1024" s="122">
        <v>3909</v>
      </c>
      <c r="AO1024" s="122">
        <v>1448</v>
      </c>
      <c r="AP1024" s="122">
        <v>945</v>
      </c>
      <c r="AQ1024" s="122">
        <v>350</v>
      </c>
      <c r="AR1024" s="122">
        <v>3902</v>
      </c>
      <c r="AS1024" s="122">
        <v>1445</v>
      </c>
      <c r="AT1024" s="122">
        <v>0</v>
      </c>
      <c r="AU1024" s="122">
        <v>0</v>
      </c>
      <c r="AV1024" s="122">
        <v>49424</v>
      </c>
    </row>
    <row r="1025" spans="2:48" hidden="1">
      <c r="B1025" t="s">
        <v>368</v>
      </c>
      <c r="C1025" t="s">
        <v>62</v>
      </c>
      <c r="D1025" t="s">
        <v>431</v>
      </c>
      <c r="E1025" t="s">
        <v>137</v>
      </c>
      <c r="F1025" s="122">
        <v>2</v>
      </c>
      <c r="G1025" s="122">
        <v>179</v>
      </c>
      <c r="H1025" s="122">
        <v>845</v>
      </c>
      <c r="I1025" s="122">
        <v>49779</v>
      </c>
      <c r="J1025" s="122">
        <v>45253</v>
      </c>
      <c r="K1025" s="122">
        <v>58</v>
      </c>
      <c r="L1025" s="122">
        <v>9513</v>
      </c>
      <c r="M1025" s="122">
        <v>6916</v>
      </c>
      <c r="N1025" s="122">
        <v>4367</v>
      </c>
      <c r="O1025" s="122">
        <v>1617</v>
      </c>
      <c r="P1025" s="122">
        <v>351</v>
      </c>
      <c r="Q1025" s="122">
        <v>130</v>
      </c>
      <c r="R1025" s="122">
        <v>9486</v>
      </c>
      <c r="S1025" s="122">
        <v>3513</v>
      </c>
      <c r="T1025" s="122">
        <v>2144</v>
      </c>
      <c r="U1025" s="122">
        <v>794</v>
      </c>
      <c r="V1025" s="122">
        <v>58224</v>
      </c>
      <c r="W1025" s="122">
        <f t="shared" si="30"/>
        <v>58223</v>
      </c>
      <c r="X1025" s="122">
        <f t="shared" si="31"/>
        <v>75640</v>
      </c>
      <c r="AA1025" t="s">
        <v>56</v>
      </c>
      <c r="AB1025" t="s">
        <v>407</v>
      </c>
      <c r="AC1025" t="s">
        <v>433</v>
      </c>
      <c r="AD1025" t="s">
        <v>407</v>
      </c>
      <c r="AE1025" t="s">
        <v>137</v>
      </c>
      <c r="AF1025">
        <v>69</v>
      </c>
      <c r="AG1025" s="122">
        <v>11232</v>
      </c>
      <c r="AH1025" s="122">
        <v>12920</v>
      </c>
      <c r="AI1025" s="122">
        <v>1222133</v>
      </c>
      <c r="AJ1025" s="122">
        <v>1111030</v>
      </c>
      <c r="AK1025">
        <v>85</v>
      </c>
      <c r="AL1025" s="122">
        <v>260553</v>
      </c>
      <c r="AM1025" s="122">
        <v>236866</v>
      </c>
      <c r="AN1025" s="122">
        <v>227946</v>
      </c>
      <c r="AO1025" s="122">
        <v>84424</v>
      </c>
      <c r="AP1025" s="122">
        <v>35872</v>
      </c>
      <c r="AQ1025" s="122">
        <v>13286</v>
      </c>
      <c r="AR1025" s="122">
        <v>320904</v>
      </c>
      <c r="AS1025" s="122">
        <v>291731</v>
      </c>
      <c r="AT1025" s="122">
        <v>146174</v>
      </c>
      <c r="AU1025" s="122">
        <v>54138</v>
      </c>
      <c r="AV1025" s="122">
        <v>1791476</v>
      </c>
    </row>
    <row r="1026" spans="2:48" hidden="1">
      <c r="B1026" t="s">
        <v>368</v>
      </c>
      <c r="C1026" t="s">
        <v>62</v>
      </c>
      <c r="D1026" t="s">
        <v>431</v>
      </c>
      <c r="E1026" t="s">
        <v>431</v>
      </c>
      <c r="F1026" s="122">
        <v>37</v>
      </c>
      <c r="G1026" s="122">
        <v>4068</v>
      </c>
      <c r="H1026" s="122">
        <v>15315</v>
      </c>
      <c r="I1026" s="122">
        <v>1102707</v>
      </c>
      <c r="J1026" s="122">
        <v>1002461</v>
      </c>
      <c r="K1026" s="122">
        <v>51</v>
      </c>
      <c r="L1026" s="122">
        <v>154187</v>
      </c>
      <c r="M1026" s="122">
        <v>138149</v>
      </c>
      <c r="N1026" s="122">
        <v>79813</v>
      </c>
      <c r="O1026" s="122">
        <v>29561</v>
      </c>
      <c r="P1026" s="122">
        <v>13176</v>
      </c>
      <c r="Q1026" s="122">
        <v>4880</v>
      </c>
      <c r="R1026" s="122">
        <v>241603</v>
      </c>
      <c r="S1026" s="122">
        <v>219639</v>
      </c>
      <c r="T1026" s="122">
        <v>88432</v>
      </c>
      <c r="U1026" s="122">
        <v>32753</v>
      </c>
      <c r="V1026" s="122">
        <v>1427442</v>
      </c>
      <c r="W1026" s="122">
        <f t="shared" si="30"/>
        <v>1427443</v>
      </c>
      <c r="X1026" s="122">
        <f t="shared" si="31"/>
        <v>1679918</v>
      </c>
      <c r="AA1026" t="s">
        <v>56</v>
      </c>
      <c r="AB1026" t="s">
        <v>407</v>
      </c>
      <c r="AC1026" t="s">
        <v>433</v>
      </c>
      <c r="AD1026" t="s">
        <v>407</v>
      </c>
      <c r="AE1026" t="s">
        <v>566</v>
      </c>
      <c r="AF1026">
        <v>188</v>
      </c>
      <c r="AG1026" s="122">
        <v>28596</v>
      </c>
      <c r="AH1026" s="122">
        <v>34343</v>
      </c>
      <c r="AI1026" s="122">
        <v>3045069</v>
      </c>
      <c r="AJ1026" s="122">
        <v>2768244</v>
      </c>
      <c r="AK1026">
        <v>86</v>
      </c>
      <c r="AL1026" s="122">
        <v>653279</v>
      </c>
      <c r="AM1026" s="122">
        <v>593890</v>
      </c>
      <c r="AN1026" s="122">
        <v>569373</v>
      </c>
      <c r="AO1026" s="122">
        <v>210879</v>
      </c>
      <c r="AP1026" s="122">
        <v>97296</v>
      </c>
      <c r="AQ1026" s="122">
        <v>36036</v>
      </c>
      <c r="AR1026" s="122">
        <v>994947</v>
      </c>
      <c r="AS1026" s="122">
        <v>904497</v>
      </c>
      <c r="AT1026">
        <v>0</v>
      </c>
      <c r="AU1026">
        <v>0</v>
      </c>
      <c r="AV1026" s="122">
        <v>4513545</v>
      </c>
    </row>
    <row r="1027" spans="2:48" hidden="1">
      <c r="B1027" t="s">
        <v>368</v>
      </c>
      <c r="C1027" t="s">
        <v>62</v>
      </c>
      <c r="D1027" t="s">
        <v>426</v>
      </c>
      <c r="E1027" t="s">
        <v>137</v>
      </c>
      <c r="F1027" s="122">
        <v>4</v>
      </c>
      <c r="G1027" s="122">
        <v>435</v>
      </c>
      <c r="H1027" s="122">
        <v>1685</v>
      </c>
      <c r="I1027" s="122">
        <v>114383</v>
      </c>
      <c r="J1027" s="122">
        <v>103985</v>
      </c>
      <c r="K1027" s="122">
        <v>54</v>
      </c>
      <c r="L1027" s="122">
        <v>19288</v>
      </c>
      <c r="M1027" s="122">
        <v>15672</v>
      </c>
      <c r="N1027" s="122">
        <v>8850</v>
      </c>
      <c r="O1027" s="122">
        <v>3278</v>
      </c>
      <c r="P1027" s="122">
        <v>1053</v>
      </c>
      <c r="Q1027" s="122">
        <v>390</v>
      </c>
      <c r="R1027" s="122">
        <v>38518</v>
      </c>
      <c r="S1027" s="122">
        <v>14266</v>
      </c>
      <c r="T1027" s="122">
        <v>2847</v>
      </c>
      <c r="U1027" s="122">
        <v>1055</v>
      </c>
      <c r="V1027" s="122">
        <v>138645</v>
      </c>
      <c r="W1027" s="122">
        <f t="shared" si="30"/>
        <v>138646</v>
      </c>
      <c r="X1027" s="122">
        <f t="shared" si="31"/>
        <v>184939</v>
      </c>
      <c r="AA1027" t="s">
        <v>56</v>
      </c>
      <c r="AB1027" t="s">
        <v>407</v>
      </c>
      <c r="AC1027" t="s">
        <v>408</v>
      </c>
      <c r="AD1027" t="s">
        <v>407</v>
      </c>
      <c r="AE1027" t="s">
        <v>566</v>
      </c>
      <c r="AF1027">
        <v>1</v>
      </c>
      <c r="AG1027" s="122">
        <v>231</v>
      </c>
      <c r="AH1027" s="122">
        <v>153</v>
      </c>
      <c r="AI1027" s="122">
        <v>21637</v>
      </c>
      <c r="AJ1027" s="122">
        <v>19670</v>
      </c>
      <c r="AK1027">
        <v>78</v>
      </c>
      <c r="AL1027" s="122">
        <v>2741</v>
      </c>
      <c r="AM1027" s="122">
        <v>2491</v>
      </c>
      <c r="AN1027" s="122">
        <v>5525</v>
      </c>
      <c r="AO1027" s="122">
        <v>2046</v>
      </c>
      <c r="AP1027" s="122">
        <v>473</v>
      </c>
      <c r="AQ1027" s="122">
        <v>175</v>
      </c>
      <c r="AR1027" s="122">
        <v>4938</v>
      </c>
      <c r="AS1027" s="122">
        <v>4489</v>
      </c>
      <c r="AT1027" s="122">
        <v>0</v>
      </c>
      <c r="AU1027" s="122">
        <v>0</v>
      </c>
      <c r="AV1027" s="122">
        <v>28871</v>
      </c>
    </row>
    <row r="1028" spans="2:48" hidden="1">
      <c r="B1028" t="s">
        <v>368</v>
      </c>
      <c r="C1028" t="s">
        <v>62</v>
      </c>
      <c r="D1028" t="s">
        <v>426</v>
      </c>
      <c r="E1028" t="s">
        <v>406</v>
      </c>
      <c r="F1028" s="122">
        <v>1</v>
      </c>
      <c r="G1028" s="122">
        <v>126</v>
      </c>
      <c r="H1028" s="122">
        <v>444</v>
      </c>
      <c r="I1028" s="122">
        <v>31885</v>
      </c>
      <c r="J1028" s="122">
        <v>28986</v>
      </c>
      <c r="K1028" s="122">
        <v>45</v>
      </c>
      <c r="L1028" s="122">
        <v>9283</v>
      </c>
      <c r="M1028" s="122">
        <v>3438</v>
      </c>
      <c r="N1028" s="122">
        <v>2301</v>
      </c>
      <c r="O1028" s="122">
        <v>852</v>
      </c>
      <c r="P1028" s="122">
        <v>621</v>
      </c>
      <c r="Q1028" s="122">
        <v>230</v>
      </c>
      <c r="R1028" s="122">
        <v>11841</v>
      </c>
      <c r="S1028" s="122">
        <v>10764</v>
      </c>
      <c r="T1028" s="122">
        <v>0</v>
      </c>
      <c r="U1028" s="122">
        <v>0</v>
      </c>
      <c r="V1028" s="122">
        <v>44271</v>
      </c>
      <c r="W1028" s="122">
        <f t="shared" si="30"/>
        <v>44270</v>
      </c>
      <c r="X1028" s="122">
        <f t="shared" si="31"/>
        <v>55931</v>
      </c>
      <c r="AA1028" t="s">
        <v>56</v>
      </c>
      <c r="AB1028" t="s">
        <v>407</v>
      </c>
      <c r="AC1028" t="s">
        <v>429</v>
      </c>
      <c r="AD1028" t="s">
        <v>407</v>
      </c>
      <c r="AE1028" t="s">
        <v>137</v>
      </c>
      <c r="AF1028">
        <v>11</v>
      </c>
      <c r="AG1028" s="122">
        <v>1752</v>
      </c>
      <c r="AH1028" s="122">
        <v>1956</v>
      </c>
      <c r="AI1028" s="122">
        <v>186218</v>
      </c>
      <c r="AJ1028" s="122">
        <v>169289</v>
      </c>
      <c r="AK1028">
        <v>85</v>
      </c>
      <c r="AL1028" s="122">
        <v>28279</v>
      </c>
      <c r="AM1028" s="122">
        <v>25708</v>
      </c>
      <c r="AN1028" s="122">
        <v>33399</v>
      </c>
      <c r="AO1028" s="122">
        <v>12370</v>
      </c>
      <c r="AP1028" s="122">
        <v>5198</v>
      </c>
      <c r="AQ1028" s="122">
        <v>1925</v>
      </c>
      <c r="AR1028" s="122">
        <v>50556</v>
      </c>
      <c r="AS1028" s="122">
        <v>45960</v>
      </c>
      <c r="AT1028" s="122">
        <v>27179</v>
      </c>
      <c r="AU1028" s="122">
        <v>10066</v>
      </c>
      <c r="AV1028" s="122">
        <v>265318</v>
      </c>
    </row>
    <row r="1029" spans="2:48" hidden="1">
      <c r="B1029" t="s">
        <v>368</v>
      </c>
      <c r="C1029" t="s">
        <v>62</v>
      </c>
      <c r="D1029" t="s">
        <v>426</v>
      </c>
      <c r="E1029" t="s">
        <v>426</v>
      </c>
      <c r="F1029" s="122">
        <v>150</v>
      </c>
      <c r="G1029" s="122">
        <v>15798</v>
      </c>
      <c r="H1029" s="122">
        <v>62616</v>
      </c>
      <c r="I1029" s="122">
        <v>4348658</v>
      </c>
      <c r="J1029" s="122">
        <v>3953325</v>
      </c>
      <c r="K1029" s="122">
        <v>52</v>
      </c>
      <c r="L1029" s="122">
        <v>638913</v>
      </c>
      <c r="M1029" s="122">
        <v>545511</v>
      </c>
      <c r="N1029" s="122">
        <v>311939</v>
      </c>
      <c r="O1029" s="122">
        <v>115533</v>
      </c>
      <c r="P1029" s="122">
        <v>55457</v>
      </c>
      <c r="Q1029" s="122">
        <v>20539</v>
      </c>
      <c r="R1029" s="122">
        <v>990727</v>
      </c>
      <c r="S1029" s="122">
        <v>900661</v>
      </c>
      <c r="T1029" s="122">
        <v>354085</v>
      </c>
      <c r="U1029" s="122">
        <v>131143</v>
      </c>
      <c r="V1029" s="122">
        <v>5666712</v>
      </c>
      <c r="W1029" s="122">
        <f t="shared" si="30"/>
        <v>5666712</v>
      </c>
      <c r="X1029" s="122">
        <f t="shared" si="31"/>
        <v>6699779</v>
      </c>
      <c r="AA1029" t="s">
        <v>56</v>
      </c>
      <c r="AB1029" t="s">
        <v>407</v>
      </c>
      <c r="AC1029" t="s">
        <v>429</v>
      </c>
      <c r="AD1029" t="s">
        <v>407</v>
      </c>
      <c r="AE1029" t="s">
        <v>566</v>
      </c>
      <c r="AF1029">
        <v>25</v>
      </c>
      <c r="AG1029" s="122">
        <v>3852</v>
      </c>
      <c r="AH1029" s="122">
        <v>4477</v>
      </c>
      <c r="AI1029" s="122">
        <v>419349</v>
      </c>
      <c r="AJ1029" s="122">
        <v>381226</v>
      </c>
      <c r="AK1029">
        <v>85</v>
      </c>
      <c r="AL1029" s="122">
        <v>60459</v>
      </c>
      <c r="AM1029" s="122">
        <v>54962</v>
      </c>
      <c r="AN1029" s="122">
        <v>68376</v>
      </c>
      <c r="AO1029" s="122">
        <v>25325</v>
      </c>
      <c r="AP1029" s="122">
        <v>13212</v>
      </c>
      <c r="AQ1029" s="122">
        <v>4893</v>
      </c>
      <c r="AR1029" s="122">
        <v>142923</v>
      </c>
      <c r="AS1029" s="122">
        <v>129930</v>
      </c>
      <c r="AT1029">
        <v>0</v>
      </c>
      <c r="AU1029">
        <v>0</v>
      </c>
      <c r="AV1029" s="122">
        <v>596336</v>
      </c>
    </row>
    <row r="1030" spans="2:48" hidden="1">
      <c r="B1030" t="s">
        <v>368</v>
      </c>
      <c r="C1030" t="s">
        <v>62</v>
      </c>
      <c r="D1030" t="s">
        <v>433</v>
      </c>
      <c r="E1030" t="s">
        <v>137</v>
      </c>
      <c r="F1030" s="122">
        <v>2</v>
      </c>
      <c r="G1030" s="122">
        <v>101</v>
      </c>
      <c r="H1030" s="122">
        <v>800</v>
      </c>
      <c r="I1030" s="122">
        <v>20432</v>
      </c>
      <c r="J1030" s="122">
        <v>18574</v>
      </c>
      <c r="K1030" s="122">
        <v>68</v>
      </c>
      <c r="L1030" s="122">
        <v>4590</v>
      </c>
      <c r="M1030" s="122">
        <v>3313</v>
      </c>
      <c r="N1030" s="122">
        <v>1308</v>
      </c>
      <c r="O1030" s="122">
        <v>484</v>
      </c>
      <c r="P1030" s="122">
        <v>414</v>
      </c>
      <c r="Q1030" s="122">
        <v>153</v>
      </c>
      <c r="R1030" s="122">
        <v>13489</v>
      </c>
      <c r="S1030" s="122">
        <v>4996</v>
      </c>
      <c r="T1030" s="122">
        <v>0</v>
      </c>
      <c r="U1030" s="122">
        <v>0</v>
      </c>
      <c r="V1030" s="122">
        <v>27521</v>
      </c>
      <c r="W1030" s="122">
        <f t="shared" si="30"/>
        <v>27520</v>
      </c>
      <c r="X1030" s="122">
        <f t="shared" si="31"/>
        <v>40233</v>
      </c>
      <c r="AA1030" t="s">
        <v>56</v>
      </c>
      <c r="AB1030" t="s">
        <v>579</v>
      </c>
      <c r="AC1030" t="s">
        <v>405</v>
      </c>
      <c r="AD1030" t="s">
        <v>579</v>
      </c>
      <c r="AE1030" t="s">
        <v>566</v>
      </c>
      <c r="AF1030">
        <v>1</v>
      </c>
      <c r="AG1030">
        <v>311</v>
      </c>
      <c r="AH1030">
        <v>224</v>
      </c>
      <c r="AI1030" s="122">
        <v>48806</v>
      </c>
      <c r="AJ1030" s="122">
        <v>40672</v>
      </c>
      <c r="AK1030">
        <v>60</v>
      </c>
      <c r="AL1030" s="122">
        <v>3207</v>
      </c>
      <c r="AM1030" s="122">
        <v>2916</v>
      </c>
      <c r="AN1030" s="122">
        <v>3829</v>
      </c>
      <c r="AO1030" s="122">
        <v>1418</v>
      </c>
      <c r="AP1030">
        <v>824</v>
      </c>
      <c r="AQ1030">
        <v>305</v>
      </c>
      <c r="AR1030" s="122">
        <v>13146</v>
      </c>
      <c r="AS1030" s="122">
        <v>10955</v>
      </c>
      <c r="AT1030">
        <v>0</v>
      </c>
      <c r="AU1030">
        <v>0</v>
      </c>
      <c r="AV1030" s="122">
        <v>56265</v>
      </c>
    </row>
    <row r="1031" spans="2:48" hidden="1">
      <c r="B1031" t="s">
        <v>368</v>
      </c>
      <c r="C1031" t="s">
        <v>62</v>
      </c>
      <c r="D1031" t="s">
        <v>433</v>
      </c>
      <c r="E1031" t="s">
        <v>433</v>
      </c>
      <c r="F1031" s="122">
        <v>4</v>
      </c>
      <c r="G1031" s="122">
        <v>352</v>
      </c>
      <c r="H1031" s="122">
        <v>1706</v>
      </c>
      <c r="I1031" s="122">
        <v>93479</v>
      </c>
      <c r="J1031" s="122">
        <v>84981</v>
      </c>
      <c r="K1031" s="122">
        <v>64</v>
      </c>
      <c r="L1031" s="122">
        <v>13635</v>
      </c>
      <c r="M1031" s="122">
        <v>12395</v>
      </c>
      <c r="N1031" s="122">
        <v>6895</v>
      </c>
      <c r="O1031" s="122">
        <v>2554</v>
      </c>
      <c r="P1031" s="122">
        <v>1053</v>
      </c>
      <c r="Q1031" s="122">
        <v>390</v>
      </c>
      <c r="R1031" s="122">
        <v>26468</v>
      </c>
      <c r="S1031" s="122">
        <v>24062</v>
      </c>
      <c r="T1031" s="122">
        <v>8787</v>
      </c>
      <c r="U1031" s="122">
        <v>3254</v>
      </c>
      <c r="V1031" s="122">
        <v>127636</v>
      </c>
      <c r="W1031" s="122">
        <f t="shared" ref="W1031:W1094" si="32">SUM(ABS(J1031),ABS(M1031),ABS(O1031),ABS(Q1031),ABS(S1031),ABS(U1031))</f>
        <v>127636</v>
      </c>
      <c r="X1031" s="122">
        <f t="shared" ref="X1031:X1094" si="33">SUM(ABS(I1031),ABS(N1031),ABS(P1031),ABS(R1031),ABS(T1031),ABS(L1031))</f>
        <v>150317</v>
      </c>
      <c r="AA1031" t="s">
        <v>56</v>
      </c>
      <c r="AB1031" t="s">
        <v>579</v>
      </c>
      <c r="AC1031" t="s">
        <v>137</v>
      </c>
      <c r="AD1031" t="s">
        <v>137</v>
      </c>
      <c r="AE1031" t="s">
        <v>137</v>
      </c>
      <c r="AF1031">
        <v>1</v>
      </c>
      <c r="AG1031">
        <v>102</v>
      </c>
      <c r="AH1031">
        <v>220</v>
      </c>
      <c r="AI1031" s="122">
        <v>15116</v>
      </c>
      <c r="AJ1031" s="122">
        <v>12597</v>
      </c>
      <c r="AK1031">
        <v>65</v>
      </c>
      <c r="AL1031" s="122">
        <v>2456</v>
      </c>
      <c r="AM1031" s="122">
        <v>910</v>
      </c>
      <c r="AN1031" s="122">
        <v>1239</v>
      </c>
      <c r="AO1031" s="122">
        <v>459</v>
      </c>
      <c r="AP1031" s="122">
        <v>0</v>
      </c>
      <c r="AQ1031">
        <v>0</v>
      </c>
      <c r="AR1031" s="122">
        <v>3535</v>
      </c>
      <c r="AS1031" s="122">
        <v>1309</v>
      </c>
      <c r="AT1031" s="122">
        <v>0</v>
      </c>
      <c r="AU1031" s="122">
        <v>0</v>
      </c>
      <c r="AV1031" s="122">
        <v>15275</v>
      </c>
    </row>
    <row r="1032" spans="2:48" hidden="1">
      <c r="B1032" t="s">
        <v>368</v>
      </c>
      <c r="C1032" t="s">
        <v>62</v>
      </c>
      <c r="D1032" t="s">
        <v>408</v>
      </c>
      <c r="E1032" t="s">
        <v>408</v>
      </c>
      <c r="F1032" s="122">
        <v>1</v>
      </c>
      <c r="G1032" s="122">
        <v>35</v>
      </c>
      <c r="H1032" s="122">
        <v>432</v>
      </c>
      <c r="I1032" s="122">
        <v>19440</v>
      </c>
      <c r="J1032" s="122">
        <v>17672</v>
      </c>
      <c r="K1032" s="122">
        <v>87</v>
      </c>
      <c r="L1032" s="122">
        <v>4612</v>
      </c>
      <c r="M1032" s="122">
        <v>1708</v>
      </c>
      <c r="N1032" s="122">
        <v>1681</v>
      </c>
      <c r="O1032" s="122">
        <v>622</v>
      </c>
      <c r="P1032" s="122">
        <v>351</v>
      </c>
      <c r="Q1032" s="122">
        <v>130</v>
      </c>
      <c r="R1032" s="122">
        <v>3828</v>
      </c>
      <c r="S1032" s="122">
        <v>3480</v>
      </c>
      <c r="T1032" s="122">
        <v>0</v>
      </c>
      <c r="U1032" s="122">
        <v>0</v>
      </c>
      <c r="V1032" s="122">
        <v>23613</v>
      </c>
      <c r="W1032" s="122">
        <f t="shared" si="32"/>
        <v>23612</v>
      </c>
      <c r="X1032" s="122">
        <f t="shared" si="33"/>
        <v>29912</v>
      </c>
      <c r="AA1032" t="s">
        <v>56</v>
      </c>
      <c r="AB1032" t="s">
        <v>579</v>
      </c>
      <c r="AC1032" t="s">
        <v>580</v>
      </c>
      <c r="AD1032" t="s">
        <v>579</v>
      </c>
      <c r="AE1032" t="s">
        <v>137</v>
      </c>
      <c r="AF1032">
        <v>4</v>
      </c>
      <c r="AG1032">
        <v>737</v>
      </c>
      <c r="AH1032">
        <v>810</v>
      </c>
      <c r="AI1032" s="122">
        <v>87441</v>
      </c>
      <c r="AJ1032" s="122">
        <v>72868</v>
      </c>
      <c r="AK1032">
        <v>74</v>
      </c>
      <c r="AL1032" s="122">
        <v>9427</v>
      </c>
      <c r="AM1032" s="122">
        <v>8570</v>
      </c>
      <c r="AN1032" s="122">
        <v>12403</v>
      </c>
      <c r="AO1032" s="122">
        <v>4594</v>
      </c>
      <c r="AP1032" s="122">
        <v>2565</v>
      </c>
      <c r="AQ1032">
        <v>950</v>
      </c>
      <c r="AR1032" s="122">
        <v>23689</v>
      </c>
      <c r="AS1032" s="122">
        <v>19741</v>
      </c>
      <c r="AT1032" s="122">
        <v>14184</v>
      </c>
      <c r="AU1032" s="122">
        <v>5253</v>
      </c>
      <c r="AV1032" s="122">
        <v>111975</v>
      </c>
    </row>
    <row r="1033" spans="2:48" hidden="1">
      <c r="B1033" t="s">
        <v>368</v>
      </c>
      <c r="C1033" t="s">
        <v>64</v>
      </c>
      <c r="F1033" s="122">
        <v>3</v>
      </c>
      <c r="G1033" s="122">
        <v>324</v>
      </c>
      <c r="H1033" s="122">
        <v>1659</v>
      </c>
      <c r="I1033" s="122"/>
      <c r="J1033" s="122">
        <v>0</v>
      </c>
      <c r="K1033" s="122"/>
      <c r="L1033" s="122"/>
      <c r="M1033" s="122">
        <v>0</v>
      </c>
      <c r="N1033" s="122">
        <v>7968</v>
      </c>
      <c r="O1033" s="122">
        <v>2951</v>
      </c>
      <c r="P1033" s="122">
        <v>621</v>
      </c>
      <c r="Q1033" s="122">
        <v>230</v>
      </c>
      <c r="R1033" s="122"/>
      <c r="S1033" s="122">
        <v>0</v>
      </c>
      <c r="T1033" s="122">
        <v>0</v>
      </c>
      <c r="U1033" s="122">
        <v>0</v>
      </c>
      <c r="V1033" s="122">
        <v>3181</v>
      </c>
      <c r="W1033" s="122">
        <f t="shared" si="32"/>
        <v>3181</v>
      </c>
      <c r="X1033" s="122">
        <f t="shared" si="33"/>
        <v>8589</v>
      </c>
      <c r="AA1033" t="s">
        <v>56</v>
      </c>
      <c r="AB1033" t="s">
        <v>579</v>
      </c>
      <c r="AC1033" t="s">
        <v>580</v>
      </c>
      <c r="AD1033" t="s">
        <v>579</v>
      </c>
      <c r="AE1033" t="s">
        <v>566</v>
      </c>
      <c r="AF1033">
        <v>2</v>
      </c>
      <c r="AG1033">
        <v>924</v>
      </c>
      <c r="AH1033">
        <v>444</v>
      </c>
      <c r="AI1033" s="122">
        <v>147072</v>
      </c>
      <c r="AJ1033" s="122">
        <v>122560</v>
      </c>
      <c r="AK1033">
        <v>65</v>
      </c>
      <c r="AL1033" s="122">
        <v>15873</v>
      </c>
      <c r="AM1033" s="122">
        <v>14430</v>
      </c>
      <c r="AN1033" s="122">
        <v>19786</v>
      </c>
      <c r="AO1033" s="122">
        <v>7328</v>
      </c>
      <c r="AP1033" s="122">
        <v>1593</v>
      </c>
      <c r="AQ1033">
        <v>590</v>
      </c>
      <c r="AR1033" s="122">
        <v>19194</v>
      </c>
      <c r="AS1033" s="122">
        <v>15995</v>
      </c>
      <c r="AT1033" s="122">
        <v>0</v>
      </c>
      <c r="AU1033" s="122">
        <v>0</v>
      </c>
      <c r="AV1033" s="122">
        <v>160903</v>
      </c>
    </row>
    <row r="1034" spans="2:48" hidden="1">
      <c r="B1034" t="s">
        <v>368</v>
      </c>
      <c r="C1034" t="s">
        <v>64</v>
      </c>
      <c r="D1034" t="s">
        <v>555</v>
      </c>
      <c r="E1034" t="s">
        <v>137</v>
      </c>
      <c r="F1034" s="122">
        <v>1</v>
      </c>
      <c r="G1034" s="122">
        <v>83</v>
      </c>
      <c r="H1034" s="122">
        <v>567</v>
      </c>
      <c r="I1034" s="122">
        <v>55425</v>
      </c>
      <c r="J1034" s="122">
        <v>50387</v>
      </c>
      <c r="K1034" s="122">
        <v>60</v>
      </c>
      <c r="L1034" s="122">
        <v>5685</v>
      </c>
      <c r="M1034" s="122">
        <v>5168</v>
      </c>
      <c r="N1034" s="122">
        <v>2941</v>
      </c>
      <c r="O1034" s="122">
        <v>1089</v>
      </c>
      <c r="P1034" s="122">
        <v>0</v>
      </c>
      <c r="Q1034" s="122">
        <v>0</v>
      </c>
      <c r="R1034" s="122">
        <v>8384</v>
      </c>
      <c r="S1034" s="122">
        <v>3105</v>
      </c>
      <c r="T1034" s="122">
        <v>0</v>
      </c>
      <c r="U1034" s="122">
        <v>0</v>
      </c>
      <c r="V1034" s="122">
        <v>59749</v>
      </c>
      <c r="W1034" s="122">
        <f t="shared" si="32"/>
        <v>59749</v>
      </c>
      <c r="X1034" s="122">
        <f t="shared" si="33"/>
        <v>72435</v>
      </c>
      <c r="AA1034" t="s">
        <v>56</v>
      </c>
      <c r="AB1034" t="s">
        <v>579</v>
      </c>
      <c r="AC1034" t="s">
        <v>566</v>
      </c>
      <c r="AD1034" t="s">
        <v>579</v>
      </c>
      <c r="AE1034" t="s">
        <v>137</v>
      </c>
      <c r="AF1034">
        <v>4</v>
      </c>
      <c r="AG1034">
        <v>488</v>
      </c>
      <c r="AH1034">
        <v>808</v>
      </c>
      <c r="AI1034" s="122">
        <v>55036</v>
      </c>
      <c r="AJ1034" s="122">
        <v>45863</v>
      </c>
      <c r="AK1034">
        <v>69</v>
      </c>
      <c r="AL1034" s="122">
        <v>0</v>
      </c>
      <c r="AM1034" s="122">
        <v>0</v>
      </c>
      <c r="AN1034" s="122">
        <v>7539</v>
      </c>
      <c r="AO1034" s="122">
        <v>2792</v>
      </c>
      <c r="AP1034" s="122">
        <v>1404</v>
      </c>
      <c r="AQ1034">
        <v>520</v>
      </c>
      <c r="AR1034" s="122">
        <v>19011</v>
      </c>
      <c r="AS1034" s="122">
        <v>15842</v>
      </c>
      <c r="AT1034" s="122">
        <v>10339</v>
      </c>
      <c r="AU1034" s="122">
        <v>3829</v>
      </c>
      <c r="AV1034" s="122">
        <v>68847</v>
      </c>
    </row>
    <row r="1035" spans="2:48" hidden="1">
      <c r="B1035" t="s">
        <v>368</v>
      </c>
      <c r="C1035" t="s">
        <v>64</v>
      </c>
      <c r="D1035" t="s">
        <v>425</v>
      </c>
      <c r="E1035" t="s">
        <v>425</v>
      </c>
      <c r="F1035" s="122">
        <v>3</v>
      </c>
      <c r="G1035" s="122">
        <v>187</v>
      </c>
      <c r="H1035" s="122">
        <v>1667</v>
      </c>
      <c r="I1035" s="122">
        <v>89638</v>
      </c>
      <c r="J1035" s="122">
        <v>81489</v>
      </c>
      <c r="K1035" s="122">
        <v>81</v>
      </c>
      <c r="L1035" s="122">
        <v>21422</v>
      </c>
      <c r="M1035" s="122">
        <v>19474</v>
      </c>
      <c r="N1035" s="122">
        <v>5932</v>
      </c>
      <c r="O1035" s="122">
        <v>2197</v>
      </c>
      <c r="P1035" s="122">
        <v>1418</v>
      </c>
      <c r="Q1035" s="122">
        <v>525</v>
      </c>
      <c r="R1035" s="122">
        <v>8671</v>
      </c>
      <c r="S1035" s="122">
        <v>7883</v>
      </c>
      <c r="T1035" s="122">
        <v>3750</v>
      </c>
      <c r="U1035" s="122">
        <v>1389</v>
      </c>
      <c r="V1035" s="122">
        <v>112958</v>
      </c>
      <c r="W1035" s="122">
        <f t="shared" si="32"/>
        <v>112957</v>
      </c>
      <c r="X1035" s="122">
        <f t="shared" si="33"/>
        <v>130831</v>
      </c>
      <c r="AA1035" t="s">
        <v>56</v>
      </c>
      <c r="AB1035" t="s">
        <v>428</v>
      </c>
      <c r="AC1035" t="s">
        <v>425</v>
      </c>
      <c r="AD1035" t="s">
        <v>428</v>
      </c>
      <c r="AE1035" t="s">
        <v>137</v>
      </c>
      <c r="AF1035">
        <v>1</v>
      </c>
      <c r="AG1035">
        <v>155</v>
      </c>
      <c r="AH1035">
        <v>183</v>
      </c>
      <c r="AI1035" s="122">
        <v>18083</v>
      </c>
      <c r="AJ1035" s="122">
        <v>16439</v>
      </c>
      <c r="AK1035">
        <v>65</v>
      </c>
      <c r="AL1035" s="122">
        <v>1789</v>
      </c>
      <c r="AM1035" s="122">
        <v>1626</v>
      </c>
      <c r="AN1035" s="122">
        <v>2753</v>
      </c>
      <c r="AO1035" s="122">
        <v>1019</v>
      </c>
      <c r="AP1035">
        <v>824</v>
      </c>
      <c r="AQ1035">
        <v>305</v>
      </c>
      <c r="AR1035" s="122">
        <v>3686</v>
      </c>
      <c r="AS1035" s="122">
        <v>3351</v>
      </c>
      <c r="AT1035" s="122">
        <v>1178</v>
      </c>
      <c r="AU1035" s="122">
        <v>436</v>
      </c>
      <c r="AV1035" s="122">
        <v>23177</v>
      </c>
    </row>
    <row r="1036" spans="2:48" hidden="1">
      <c r="B1036" t="s">
        <v>368</v>
      </c>
      <c r="C1036" t="s">
        <v>64</v>
      </c>
      <c r="D1036" t="s">
        <v>425</v>
      </c>
      <c r="E1036" t="s">
        <v>137</v>
      </c>
      <c r="F1036" s="122">
        <v>2</v>
      </c>
      <c r="G1036" s="122">
        <v>220</v>
      </c>
      <c r="H1036" s="122">
        <v>1007</v>
      </c>
      <c r="I1036" s="122">
        <v>80914</v>
      </c>
      <c r="J1036" s="122">
        <v>73558</v>
      </c>
      <c r="K1036" s="122">
        <v>85</v>
      </c>
      <c r="L1036" s="122">
        <v>13824</v>
      </c>
      <c r="M1036" s="122">
        <v>9202</v>
      </c>
      <c r="N1036" s="122">
        <v>4877</v>
      </c>
      <c r="O1036" s="122">
        <v>1806</v>
      </c>
      <c r="P1036" s="122">
        <v>945</v>
      </c>
      <c r="Q1036" s="122">
        <v>350</v>
      </c>
      <c r="R1036" s="122">
        <v>12284</v>
      </c>
      <c r="S1036" s="122">
        <v>4550</v>
      </c>
      <c r="T1036" s="122">
        <v>0</v>
      </c>
      <c r="U1036" s="122">
        <v>0</v>
      </c>
      <c r="V1036" s="122">
        <v>89466</v>
      </c>
      <c r="W1036" s="122">
        <f t="shared" si="32"/>
        <v>89466</v>
      </c>
      <c r="X1036" s="122">
        <f t="shared" si="33"/>
        <v>112844</v>
      </c>
      <c r="AA1036" t="s">
        <v>56</v>
      </c>
      <c r="AB1036" t="s">
        <v>431</v>
      </c>
      <c r="AC1036" t="s">
        <v>137</v>
      </c>
      <c r="AD1036" t="s">
        <v>431</v>
      </c>
      <c r="AE1036" t="s">
        <v>137</v>
      </c>
      <c r="AF1036">
        <v>1</v>
      </c>
      <c r="AG1036">
        <v>237</v>
      </c>
      <c r="AH1036">
        <v>213</v>
      </c>
      <c r="AI1036" s="122">
        <v>29711</v>
      </c>
      <c r="AJ1036" s="122">
        <v>27010</v>
      </c>
      <c r="AK1036">
        <v>65</v>
      </c>
      <c r="AL1036" s="122">
        <v>5267</v>
      </c>
      <c r="AM1036" s="122">
        <v>1951</v>
      </c>
      <c r="AN1036" s="122">
        <v>5197</v>
      </c>
      <c r="AO1036" s="122">
        <v>1925</v>
      </c>
      <c r="AP1036">
        <v>351</v>
      </c>
      <c r="AQ1036">
        <v>130</v>
      </c>
      <c r="AR1036" s="122">
        <v>6211</v>
      </c>
      <c r="AS1036" s="122">
        <v>5646</v>
      </c>
      <c r="AT1036" s="122">
        <v>3794</v>
      </c>
      <c r="AU1036" s="122">
        <v>1405</v>
      </c>
      <c r="AV1036" s="122">
        <v>38067</v>
      </c>
    </row>
    <row r="1037" spans="2:48" hidden="1">
      <c r="B1037" t="s">
        <v>368</v>
      </c>
      <c r="C1037" t="s">
        <v>64</v>
      </c>
      <c r="D1037" t="s">
        <v>405</v>
      </c>
      <c r="E1037" t="s">
        <v>405</v>
      </c>
      <c r="F1037" s="122">
        <v>8</v>
      </c>
      <c r="G1037" s="122">
        <v>827</v>
      </c>
      <c r="H1037" s="122">
        <v>4116</v>
      </c>
      <c r="I1037" s="122">
        <v>285371</v>
      </c>
      <c r="J1037" s="122">
        <v>259428</v>
      </c>
      <c r="K1037" s="122">
        <v>73</v>
      </c>
      <c r="L1037" s="122">
        <v>58309</v>
      </c>
      <c r="M1037" s="122">
        <v>50197</v>
      </c>
      <c r="N1037" s="122">
        <v>18482</v>
      </c>
      <c r="O1037" s="122">
        <v>6845</v>
      </c>
      <c r="P1037" s="122">
        <v>3416</v>
      </c>
      <c r="Q1037" s="122">
        <v>1265</v>
      </c>
      <c r="R1037" s="122">
        <v>41342</v>
      </c>
      <c r="S1037" s="122">
        <v>37583</v>
      </c>
      <c r="T1037" s="122">
        <v>11541</v>
      </c>
      <c r="U1037" s="122">
        <v>4275</v>
      </c>
      <c r="V1037" s="122">
        <v>359593</v>
      </c>
      <c r="W1037" s="122">
        <f t="shared" si="32"/>
        <v>359593</v>
      </c>
      <c r="X1037" s="122">
        <f t="shared" si="33"/>
        <v>418461</v>
      </c>
      <c r="AA1037" t="s">
        <v>56</v>
      </c>
      <c r="AB1037" t="s">
        <v>431</v>
      </c>
      <c r="AC1037" t="s">
        <v>580</v>
      </c>
      <c r="AD1037" t="s">
        <v>406</v>
      </c>
      <c r="AE1037" t="s">
        <v>137</v>
      </c>
      <c r="AF1037">
        <v>1</v>
      </c>
      <c r="AG1037" s="122">
        <v>207</v>
      </c>
      <c r="AH1037" s="122">
        <v>221</v>
      </c>
      <c r="AI1037" s="122">
        <v>30735</v>
      </c>
      <c r="AJ1037" s="122">
        <v>27941</v>
      </c>
      <c r="AK1037">
        <v>65</v>
      </c>
      <c r="AL1037" s="122">
        <v>2810</v>
      </c>
      <c r="AM1037" s="122">
        <v>2554</v>
      </c>
      <c r="AN1037" s="122">
        <v>4037</v>
      </c>
      <c r="AO1037" s="122">
        <v>1495</v>
      </c>
      <c r="AP1037" s="122">
        <v>972</v>
      </c>
      <c r="AQ1037" s="122">
        <v>360</v>
      </c>
      <c r="AR1037" s="122">
        <v>7305</v>
      </c>
      <c r="AS1037" s="122">
        <v>6641</v>
      </c>
      <c r="AT1037" s="122">
        <v>0</v>
      </c>
      <c r="AU1037" s="122">
        <v>0</v>
      </c>
      <c r="AV1037" s="122">
        <v>38991</v>
      </c>
    </row>
    <row r="1038" spans="2:48" hidden="1">
      <c r="B1038" t="s">
        <v>368</v>
      </c>
      <c r="C1038" t="s">
        <v>64</v>
      </c>
      <c r="D1038" t="s">
        <v>405</v>
      </c>
      <c r="E1038" t="s">
        <v>137</v>
      </c>
      <c r="F1038" s="122">
        <v>7</v>
      </c>
      <c r="G1038" s="122">
        <v>428</v>
      </c>
      <c r="H1038" s="122">
        <v>3818</v>
      </c>
      <c r="I1038" s="122">
        <v>147144</v>
      </c>
      <c r="J1038" s="122">
        <v>133767</v>
      </c>
      <c r="K1038" s="122">
        <v>50</v>
      </c>
      <c r="L1038" s="122">
        <v>31868</v>
      </c>
      <c r="M1038" s="122">
        <v>11803</v>
      </c>
      <c r="N1038" s="122">
        <v>6392</v>
      </c>
      <c r="O1038" s="122">
        <v>2367</v>
      </c>
      <c r="P1038" s="122">
        <v>0</v>
      </c>
      <c r="Q1038" s="122">
        <v>0</v>
      </c>
      <c r="R1038" s="122">
        <v>47989</v>
      </c>
      <c r="S1038" s="122">
        <v>17774</v>
      </c>
      <c r="T1038" s="122">
        <v>0</v>
      </c>
      <c r="U1038" s="122">
        <v>0</v>
      </c>
      <c r="V1038" s="122">
        <v>165711</v>
      </c>
      <c r="W1038" s="122">
        <f t="shared" si="32"/>
        <v>165711</v>
      </c>
      <c r="X1038" s="122">
        <f t="shared" si="33"/>
        <v>233393</v>
      </c>
      <c r="AA1038" t="s">
        <v>56</v>
      </c>
      <c r="AB1038" t="s">
        <v>431</v>
      </c>
      <c r="AC1038" t="s">
        <v>580</v>
      </c>
      <c r="AD1038" t="s">
        <v>431</v>
      </c>
      <c r="AE1038" t="s">
        <v>137</v>
      </c>
      <c r="AF1038">
        <v>7</v>
      </c>
      <c r="AG1038" s="122">
        <v>1423</v>
      </c>
      <c r="AH1038" s="122">
        <v>1352</v>
      </c>
      <c r="AI1038" s="122">
        <v>168898</v>
      </c>
      <c r="AJ1038" s="122">
        <v>153544</v>
      </c>
      <c r="AK1038">
        <v>70</v>
      </c>
      <c r="AL1038" s="122">
        <v>18030</v>
      </c>
      <c r="AM1038" s="122">
        <v>16391</v>
      </c>
      <c r="AN1038" s="122">
        <v>22030</v>
      </c>
      <c r="AO1038" s="122">
        <v>8159</v>
      </c>
      <c r="AP1038" s="122">
        <v>4820</v>
      </c>
      <c r="AQ1038" s="122">
        <v>1785</v>
      </c>
      <c r="AR1038" s="122">
        <v>49539</v>
      </c>
      <c r="AS1038" s="122">
        <v>45035</v>
      </c>
      <c r="AT1038" s="122">
        <v>9594</v>
      </c>
      <c r="AU1038" s="122">
        <v>3553</v>
      </c>
      <c r="AV1038" s="122">
        <v>228467</v>
      </c>
    </row>
    <row r="1039" spans="2:48" hidden="1">
      <c r="B1039" t="s">
        <v>368</v>
      </c>
      <c r="C1039" t="s">
        <v>64</v>
      </c>
      <c r="D1039" t="s">
        <v>137</v>
      </c>
      <c r="E1039" t="s">
        <v>403</v>
      </c>
      <c r="F1039" s="122">
        <v>1</v>
      </c>
      <c r="G1039" s="122">
        <v>93</v>
      </c>
      <c r="H1039" s="122">
        <v>519</v>
      </c>
      <c r="I1039" s="122">
        <v>33949</v>
      </c>
      <c r="J1039" s="122">
        <v>12574</v>
      </c>
      <c r="K1039" s="122">
        <v>100</v>
      </c>
      <c r="L1039" s="122">
        <v>4657</v>
      </c>
      <c r="M1039" s="122">
        <v>4234</v>
      </c>
      <c r="N1039" s="122">
        <v>2269</v>
      </c>
      <c r="O1039" s="122">
        <v>840</v>
      </c>
      <c r="P1039" s="122">
        <v>0</v>
      </c>
      <c r="Q1039" s="122">
        <v>0</v>
      </c>
      <c r="R1039" s="122">
        <v>7494</v>
      </c>
      <c r="S1039" s="122">
        <v>2775</v>
      </c>
      <c r="T1039" s="122">
        <v>0</v>
      </c>
      <c r="U1039" s="122">
        <v>0</v>
      </c>
      <c r="V1039" s="122">
        <v>20423</v>
      </c>
      <c r="W1039" s="122">
        <f t="shared" si="32"/>
        <v>20423</v>
      </c>
      <c r="X1039" s="122">
        <f t="shared" si="33"/>
        <v>48369</v>
      </c>
      <c r="AA1039" t="s">
        <v>56</v>
      </c>
      <c r="AB1039" t="s">
        <v>431</v>
      </c>
      <c r="AC1039" t="s">
        <v>431</v>
      </c>
      <c r="AD1039" t="s">
        <v>431</v>
      </c>
      <c r="AE1039" t="s">
        <v>137</v>
      </c>
      <c r="AF1039">
        <v>4</v>
      </c>
      <c r="AG1039">
        <v>980</v>
      </c>
      <c r="AH1039">
        <v>810</v>
      </c>
      <c r="AI1039" s="122">
        <v>134548</v>
      </c>
      <c r="AJ1039" s="122">
        <v>122316</v>
      </c>
      <c r="AK1039">
        <v>63</v>
      </c>
      <c r="AL1039" s="122">
        <v>24999</v>
      </c>
      <c r="AM1039" s="122">
        <v>22726</v>
      </c>
      <c r="AN1039" s="122">
        <v>19666</v>
      </c>
      <c r="AO1039" s="122">
        <v>7284</v>
      </c>
      <c r="AP1039" s="122">
        <v>1404</v>
      </c>
      <c r="AQ1039">
        <v>520</v>
      </c>
      <c r="AR1039" s="122">
        <v>25860</v>
      </c>
      <c r="AS1039" s="122">
        <v>23509</v>
      </c>
      <c r="AT1039" s="122">
        <v>15051</v>
      </c>
      <c r="AU1039" s="122">
        <v>5574</v>
      </c>
      <c r="AV1039" s="122">
        <v>181930</v>
      </c>
    </row>
    <row r="1040" spans="2:48" hidden="1">
      <c r="B1040" t="s">
        <v>368</v>
      </c>
      <c r="C1040" t="s">
        <v>64</v>
      </c>
      <c r="D1040" t="s">
        <v>137</v>
      </c>
      <c r="E1040" t="s">
        <v>425</v>
      </c>
      <c r="F1040" s="122">
        <v>1</v>
      </c>
      <c r="G1040" s="122">
        <v>112</v>
      </c>
      <c r="H1040" s="122">
        <v>492</v>
      </c>
      <c r="I1040" s="122">
        <v>41987</v>
      </c>
      <c r="J1040" s="122">
        <v>15551</v>
      </c>
      <c r="K1040" s="122">
        <v>100</v>
      </c>
      <c r="L1040" s="122">
        <v>7127</v>
      </c>
      <c r="M1040" s="122">
        <v>6479</v>
      </c>
      <c r="N1040" s="122">
        <v>1985</v>
      </c>
      <c r="O1040" s="122">
        <v>735</v>
      </c>
      <c r="P1040" s="122">
        <v>122</v>
      </c>
      <c r="Q1040" s="122">
        <v>45</v>
      </c>
      <c r="R1040" s="122">
        <v>4058</v>
      </c>
      <c r="S1040" s="122">
        <v>3689</v>
      </c>
      <c r="T1040" s="122">
        <v>0</v>
      </c>
      <c r="U1040" s="122">
        <v>0</v>
      </c>
      <c r="V1040" s="122">
        <v>26499</v>
      </c>
      <c r="W1040" s="122">
        <f t="shared" si="32"/>
        <v>26499</v>
      </c>
      <c r="X1040" s="122">
        <f t="shared" si="33"/>
        <v>55279</v>
      </c>
      <c r="AA1040" t="s">
        <v>56</v>
      </c>
      <c r="AB1040" t="s">
        <v>431</v>
      </c>
      <c r="AC1040" t="s">
        <v>433</v>
      </c>
      <c r="AD1040" t="s">
        <v>431</v>
      </c>
      <c r="AE1040" t="s">
        <v>137</v>
      </c>
      <c r="AF1040">
        <v>2</v>
      </c>
      <c r="AG1040">
        <v>594</v>
      </c>
      <c r="AH1040">
        <v>437</v>
      </c>
      <c r="AI1040" s="122">
        <v>110882</v>
      </c>
      <c r="AJ1040" s="122">
        <v>100802</v>
      </c>
      <c r="AK1040">
        <v>53</v>
      </c>
      <c r="AL1040" s="122">
        <v>5155</v>
      </c>
      <c r="AM1040" s="122">
        <v>4686</v>
      </c>
      <c r="AN1040" s="122">
        <v>15395</v>
      </c>
      <c r="AO1040" s="122">
        <v>5702</v>
      </c>
      <c r="AP1040">
        <v>972</v>
      </c>
      <c r="AQ1040">
        <v>360</v>
      </c>
      <c r="AR1040" s="122">
        <v>21135</v>
      </c>
      <c r="AS1040" s="122">
        <v>19214</v>
      </c>
      <c r="AT1040" s="122">
        <v>4386</v>
      </c>
      <c r="AU1040" s="122">
        <v>1625</v>
      </c>
      <c r="AV1040" s="122">
        <v>132388</v>
      </c>
    </row>
    <row r="1041" spans="2:48" hidden="1">
      <c r="B1041" t="s">
        <v>368</v>
      </c>
      <c r="C1041" t="s">
        <v>64</v>
      </c>
      <c r="D1041" t="s">
        <v>137</v>
      </c>
      <c r="E1041" t="s">
        <v>137</v>
      </c>
      <c r="F1041" s="122">
        <v>371</v>
      </c>
      <c r="G1041" s="122">
        <v>33556</v>
      </c>
      <c r="H1041" s="122">
        <v>275506</v>
      </c>
      <c r="I1041" s="122">
        <v>18301041</v>
      </c>
      <c r="J1041" s="122">
        <v>6778163</v>
      </c>
      <c r="K1041" s="122">
        <v>100</v>
      </c>
      <c r="L1041" s="122">
        <v>2976733</v>
      </c>
      <c r="M1041" s="122">
        <v>3458989</v>
      </c>
      <c r="N1041" s="122">
        <v>776129</v>
      </c>
      <c r="O1041" s="122">
        <v>287455</v>
      </c>
      <c r="P1041" s="122">
        <v>1674</v>
      </c>
      <c r="Q1041" s="122">
        <v>620</v>
      </c>
      <c r="R1041" s="122">
        <v>2565284</v>
      </c>
      <c r="S1041" s="122">
        <v>950105</v>
      </c>
      <c r="T1041" s="122">
        <v>5653</v>
      </c>
      <c r="U1041" s="122">
        <v>2094</v>
      </c>
      <c r="V1041" s="122">
        <v>11477426</v>
      </c>
      <c r="W1041" s="122">
        <f t="shared" si="32"/>
        <v>11477426</v>
      </c>
      <c r="X1041" s="122">
        <f t="shared" si="33"/>
        <v>24626514</v>
      </c>
      <c r="AA1041" t="s">
        <v>56</v>
      </c>
      <c r="AB1041" t="s">
        <v>426</v>
      </c>
      <c r="AC1041" t="s">
        <v>425</v>
      </c>
      <c r="AD1041" t="s">
        <v>579</v>
      </c>
      <c r="AE1041" t="s">
        <v>137</v>
      </c>
      <c r="AF1041">
        <v>1</v>
      </c>
      <c r="AG1041">
        <v>224</v>
      </c>
      <c r="AH1041">
        <v>200</v>
      </c>
      <c r="AI1041" s="122">
        <v>28270</v>
      </c>
      <c r="AJ1041" s="122">
        <v>25700</v>
      </c>
      <c r="AK1041">
        <v>65</v>
      </c>
      <c r="AL1041" s="122">
        <v>3712</v>
      </c>
      <c r="AM1041" s="122">
        <v>3375</v>
      </c>
      <c r="AN1041" s="122">
        <v>4097</v>
      </c>
      <c r="AO1041" s="122">
        <v>1517</v>
      </c>
      <c r="AP1041">
        <v>473</v>
      </c>
      <c r="AQ1041">
        <v>175</v>
      </c>
      <c r="AR1041" s="122">
        <v>5130</v>
      </c>
      <c r="AS1041" s="122">
        <v>4275</v>
      </c>
      <c r="AT1041" s="122">
        <v>3152</v>
      </c>
      <c r="AU1041" s="122">
        <v>1167</v>
      </c>
      <c r="AV1041" s="122">
        <v>36210</v>
      </c>
    </row>
    <row r="1042" spans="2:48" hidden="1">
      <c r="B1042" t="s">
        <v>368</v>
      </c>
      <c r="C1042" t="s">
        <v>64</v>
      </c>
      <c r="D1042" t="s">
        <v>137</v>
      </c>
      <c r="E1042" t="s">
        <v>406</v>
      </c>
      <c r="F1042" s="122">
        <v>6</v>
      </c>
      <c r="G1042" s="122">
        <v>861</v>
      </c>
      <c r="H1042" s="122">
        <v>4035</v>
      </c>
      <c r="I1042" s="122">
        <v>405700</v>
      </c>
      <c r="J1042" s="122">
        <v>150259</v>
      </c>
      <c r="K1042" s="122">
        <v>100</v>
      </c>
      <c r="L1042" s="122">
        <v>49075</v>
      </c>
      <c r="M1042" s="122">
        <v>44614</v>
      </c>
      <c r="N1042" s="122">
        <v>17342</v>
      </c>
      <c r="O1042" s="122">
        <v>6423</v>
      </c>
      <c r="P1042" s="122">
        <v>2754</v>
      </c>
      <c r="Q1042" s="122">
        <v>1020</v>
      </c>
      <c r="R1042" s="122">
        <v>31855</v>
      </c>
      <c r="S1042" s="122">
        <v>28959</v>
      </c>
      <c r="T1042" s="122">
        <v>18062</v>
      </c>
      <c r="U1042" s="122">
        <v>6689</v>
      </c>
      <c r="V1042" s="122">
        <v>237964</v>
      </c>
      <c r="W1042" s="122">
        <f t="shared" si="32"/>
        <v>237964</v>
      </c>
      <c r="X1042" s="122">
        <f t="shared" si="33"/>
        <v>524788</v>
      </c>
      <c r="AA1042" t="s">
        <v>56</v>
      </c>
      <c r="AB1042" t="s">
        <v>426</v>
      </c>
      <c r="AC1042" t="s">
        <v>425</v>
      </c>
      <c r="AD1042" t="s">
        <v>426</v>
      </c>
      <c r="AE1042" t="s">
        <v>566</v>
      </c>
      <c r="AF1042">
        <v>1</v>
      </c>
      <c r="AG1042">
        <v>261</v>
      </c>
      <c r="AH1042">
        <v>164</v>
      </c>
      <c r="AI1042" s="122">
        <v>23844</v>
      </c>
      <c r="AJ1042" s="122">
        <v>21677</v>
      </c>
      <c r="AK1042">
        <v>60</v>
      </c>
      <c r="AL1042" s="122">
        <v>3179</v>
      </c>
      <c r="AM1042" s="122">
        <v>2890</v>
      </c>
      <c r="AN1042" s="122">
        <v>5176</v>
      </c>
      <c r="AO1042" s="122">
        <v>1917</v>
      </c>
      <c r="AP1042">
        <v>621</v>
      </c>
      <c r="AQ1042">
        <v>230</v>
      </c>
      <c r="AR1042" s="122">
        <v>9837</v>
      </c>
      <c r="AS1042" s="122">
        <v>8943</v>
      </c>
      <c r="AT1042">
        <v>0</v>
      </c>
      <c r="AU1042">
        <v>0</v>
      </c>
      <c r="AV1042" s="122">
        <v>35657</v>
      </c>
    </row>
    <row r="1043" spans="2:48" hidden="1">
      <c r="B1043" t="s">
        <v>368</v>
      </c>
      <c r="C1043" t="s">
        <v>64</v>
      </c>
      <c r="D1043" t="s">
        <v>137</v>
      </c>
      <c r="E1043" t="s">
        <v>427</v>
      </c>
      <c r="F1043" s="122">
        <v>1</v>
      </c>
      <c r="G1043" s="122">
        <v>129</v>
      </c>
      <c r="H1043" s="122">
        <v>584</v>
      </c>
      <c r="I1043" s="122">
        <v>56511</v>
      </c>
      <c r="J1043" s="122">
        <v>20930</v>
      </c>
      <c r="K1043" s="122">
        <v>100</v>
      </c>
      <c r="L1043" s="122">
        <v>5685</v>
      </c>
      <c r="M1043" s="122">
        <v>5168</v>
      </c>
      <c r="N1043" s="122">
        <v>2908</v>
      </c>
      <c r="O1043" s="122">
        <v>1077</v>
      </c>
      <c r="P1043" s="122">
        <v>0</v>
      </c>
      <c r="Q1043" s="122">
        <v>0</v>
      </c>
      <c r="R1043" s="122">
        <v>7486</v>
      </c>
      <c r="S1043" s="122">
        <v>6805</v>
      </c>
      <c r="T1043" s="122">
        <v>2782</v>
      </c>
      <c r="U1043" s="122">
        <v>1030</v>
      </c>
      <c r="V1043" s="122">
        <v>35010</v>
      </c>
      <c r="W1043" s="122">
        <f t="shared" si="32"/>
        <v>35010</v>
      </c>
      <c r="X1043" s="122">
        <f t="shared" si="33"/>
        <v>75372</v>
      </c>
      <c r="AA1043" t="s">
        <v>56</v>
      </c>
      <c r="AB1043" t="s">
        <v>426</v>
      </c>
      <c r="AC1043" t="s">
        <v>405</v>
      </c>
      <c r="AD1043" t="s">
        <v>405</v>
      </c>
      <c r="AE1043" t="s">
        <v>566</v>
      </c>
      <c r="AF1043">
        <v>1</v>
      </c>
      <c r="AG1043">
        <v>135</v>
      </c>
      <c r="AH1043">
        <v>170</v>
      </c>
      <c r="AI1043" s="122">
        <v>24085</v>
      </c>
      <c r="AJ1043" s="122">
        <v>21895</v>
      </c>
      <c r="AK1043">
        <v>76</v>
      </c>
      <c r="AL1043" s="122">
        <v>2768</v>
      </c>
      <c r="AM1043" s="122">
        <v>2516</v>
      </c>
      <c r="AN1043" s="122">
        <v>2925</v>
      </c>
      <c r="AO1043" s="122">
        <v>1083</v>
      </c>
      <c r="AP1043" s="122">
        <v>351</v>
      </c>
      <c r="AQ1043">
        <v>130</v>
      </c>
      <c r="AR1043" s="122">
        <v>5426</v>
      </c>
      <c r="AS1043" s="122">
        <v>4932</v>
      </c>
      <c r="AT1043" s="122">
        <v>0</v>
      </c>
      <c r="AU1043" s="122">
        <v>0</v>
      </c>
      <c r="AV1043" s="122">
        <v>30557</v>
      </c>
    </row>
    <row r="1044" spans="2:48" hidden="1">
      <c r="B1044" t="s">
        <v>368</v>
      </c>
      <c r="C1044" t="s">
        <v>64</v>
      </c>
      <c r="D1044" t="s">
        <v>137</v>
      </c>
      <c r="E1044" t="s">
        <v>428</v>
      </c>
      <c r="F1044" s="122">
        <v>1</v>
      </c>
      <c r="G1044" s="122">
        <v>150</v>
      </c>
      <c r="H1044" s="122">
        <v>656</v>
      </c>
      <c r="I1044" s="122">
        <v>75925</v>
      </c>
      <c r="J1044" s="122">
        <v>28120</v>
      </c>
      <c r="K1044" s="122">
        <v>100</v>
      </c>
      <c r="L1044" s="122">
        <v>5728</v>
      </c>
      <c r="M1044" s="122">
        <v>5207</v>
      </c>
      <c r="N1044" s="122">
        <v>3472</v>
      </c>
      <c r="O1044" s="122">
        <v>1286</v>
      </c>
      <c r="P1044" s="122">
        <v>0</v>
      </c>
      <c r="Q1044" s="122">
        <v>0</v>
      </c>
      <c r="R1044" s="122">
        <v>13222</v>
      </c>
      <c r="S1044" s="122">
        <v>12020</v>
      </c>
      <c r="T1044" s="122">
        <v>0</v>
      </c>
      <c r="U1044" s="122">
        <v>0</v>
      </c>
      <c r="V1044" s="122">
        <v>46634</v>
      </c>
      <c r="W1044" s="122">
        <f t="shared" si="32"/>
        <v>46633</v>
      </c>
      <c r="X1044" s="122">
        <f t="shared" si="33"/>
        <v>98347</v>
      </c>
      <c r="AA1044" t="s">
        <v>56</v>
      </c>
      <c r="AB1044" t="s">
        <v>426</v>
      </c>
      <c r="AC1044" t="s">
        <v>405</v>
      </c>
      <c r="AD1044" t="s">
        <v>426</v>
      </c>
      <c r="AE1044" t="s">
        <v>137</v>
      </c>
      <c r="AF1044">
        <v>2</v>
      </c>
      <c r="AG1044">
        <v>376</v>
      </c>
      <c r="AH1044">
        <v>431</v>
      </c>
      <c r="AI1044" s="122">
        <v>49073</v>
      </c>
      <c r="AJ1044" s="122">
        <v>44612</v>
      </c>
      <c r="AK1044">
        <v>68</v>
      </c>
      <c r="AL1044" s="122">
        <v>8521</v>
      </c>
      <c r="AM1044" s="122">
        <v>7746</v>
      </c>
      <c r="AN1044" s="122">
        <v>8170</v>
      </c>
      <c r="AO1044" s="122">
        <v>3026</v>
      </c>
      <c r="AP1044" s="122">
        <v>1647</v>
      </c>
      <c r="AQ1044">
        <v>610</v>
      </c>
      <c r="AR1044" s="122">
        <v>10554</v>
      </c>
      <c r="AS1044" s="122">
        <v>9595</v>
      </c>
      <c r="AT1044" s="122">
        <v>6667</v>
      </c>
      <c r="AU1044" s="122">
        <v>2469</v>
      </c>
      <c r="AV1044" s="122">
        <v>68058</v>
      </c>
    </row>
    <row r="1045" spans="2:48" hidden="1">
      <c r="B1045" t="s">
        <v>368</v>
      </c>
      <c r="C1045" t="s">
        <v>64</v>
      </c>
      <c r="D1045" t="s">
        <v>137</v>
      </c>
      <c r="E1045" t="s">
        <v>431</v>
      </c>
      <c r="F1045" s="122">
        <v>8</v>
      </c>
      <c r="G1045" s="122">
        <v>685</v>
      </c>
      <c r="H1045" s="122">
        <v>5296</v>
      </c>
      <c r="I1045" s="122">
        <v>322944</v>
      </c>
      <c r="J1045" s="122">
        <v>119609</v>
      </c>
      <c r="K1045" s="122">
        <v>100</v>
      </c>
      <c r="L1045" s="122">
        <v>44165</v>
      </c>
      <c r="M1045" s="122">
        <v>40150</v>
      </c>
      <c r="N1045" s="122">
        <v>13353</v>
      </c>
      <c r="O1045" s="122">
        <v>4946</v>
      </c>
      <c r="P1045" s="122">
        <v>0</v>
      </c>
      <c r="Q1045" s="122">
        <v>0</v>
      </c>
      <c r="R1045" s="122">
        <v>55239</v>
      </c>
      <c r="S1045" s="122">
        <v>50217</v>
      </c>
      <c r="T1045" s="122">
        <v>14043</v>
      </c>
      <c r="U1045" s="122">
        <v>5201</v>
      </c>
      <c r="V1045" s="122">
        <v>220123</v>
      </c>
      <c r="W1045" s="122">
        <f t="shared" si="32"/>
        <v>220123</v>
      </c>
      <c r="X1045" s="122">
        <f t="shared" si="33"/>
        <v>449744</v>
      </c>
      <c r="AA1045" t="s">
        <v>56</v>
      </c>
      <c r="AB1045" t="s">
        <v>426</v>
      </c>
      <c r="AC1045" t="s">
        <v>405</v>
      </c>
      <c r="AD1045" t="s">
        <v>426</v>
      </c>
      <c r="AE1045" t="s">
        <v>566</v>
      </c>
      <c r="AF1045">
        <v>1</v>
      </c>
      <c r="AG1045">
        <v>330</v>
      </c>
      <c r="AH1045">
        <v>188</v>
      </c>
      <c r="AI1045" s="122">
        <v>38817</v>
      </c>
      <c r="AJ1045" s="122">
        <v>35288</v>
      </c>
      <c r="AK1045">
        <v>60</v>
      </c>
      <c r="AL1045" s="122">
        <v>3545</v>
      </c>
      <c r="AM1045" s="122">
        <v>3223</v>
      </c>
      <c r="AN1045" s="122">
        <v>8034</v>
      </c>
      <c r="AO1045" s="122">
        <v>2976</v>
      </c>
      <c r="AP1045">
        <v>351</v>
      </c>
      <c r="AQ1045">
        <v>130</v>
      </c>
      <c r="AR1045" s="122">
        <v>11137</v>
      </c>
      <c r="AS1045" s="122">
        <v>10125</v>
      </c>
      <c r="AT1045">
        <v>0</v>
      </c>
      <c r="AU1045">
        <v>0</v>
      </c>
      <c r="AV1045" s="122">
        <v>51741</v>
      </c>
    </row>
    <row r="1046" spans="2:48" hidden="1">
      <c r="B1046" t="s">
        <v>368</v>
      </c>
      <c r="C1046" t="s">
        <v>64</v>
      </c>
      <c r="D1046" t="s">
        <v>137</v>
      </c>
      <c r="E1046" t="s">
        <v>426</v>
      </c>
      <c r="F1046" s="122">
        <v>58</v>
      </c>
      <c r="G1046" s="122">
        <v>5615</v>
      </c>
      <c r="H1046" s="122">
        <v>40417</v>
      </c>
      <c r="I1046" s="122">
        <v>2942510</v>
      </c>
      <c r="J1046" s="122">
        <v>1089819</v>
      </c>
      <c r="K1046" s="122">
        <v>100</v>
      </c>
      <c r="L1046" s="122">
        <v>386102</v>
      </c>
      <c r="M1046" s="122">
        <v>344205</v>
      </c>
      <c r="N1046" s="122">
        <v>123853</v>
      </c>
      <c r="O1046" s="122">
        <v>45872</v>
      </c>
      <c r="P1046" s="122">
        <v>2579</v>
      </c>
      <c r="Q1046" s="122">
        <v>955</v>
      </c>
      <c r="R1046" s="122">
        <v>401405</v>
      </c>
      <c r="S1046" s="122">
        <v>364914</v>
      </c>
      <c r="T1046" s="122">
        <v>102459</v>
      </c>
      <c r="U1046" s="122">
        <v>37948</v>
      </c>
      <c r="V1046" s="122">
        <v>1883712</v>
      </c>
      <c r="W1046" s="122">
        <f t="shared" si="32"/>
        <v>1883713</v>
      </c>
      <c r="X1046" s="122">
        <f t="shared" si="33"/>
        <v>3958908</v>
      </c>
      <c r="AA1046" t="s">
        <v>56</v>
      </c>
      <c r="AB1046" t="s">
        <v>426</v>
      </c>
      <c r="AC1046" t="s">
        <v>137</v>
      </c>
      <c r="AD1046" t="s">
        <v>137</v>
      </c>
      <c r="AE1046" t="s">
        <v>566</v>
      </c>
      <c r="AF1046">
        <v>3</v>
      </c>
      <c r="AG1046">
        <v>404</v>
      </c>
      <c r="AH1046">
        <v>578</v>
      </c>
      <c r="AI1046" s="122">
        <v>40053</v>
      </c>
      <c r="AJ1046" s="122">
        <v>36412</v>
      </c>
      <c r="AK1046">
        <v>63</v>
      </c>
      <c r="AL1046" s="122">
        <v>7928</v>
      </c>
      <c r="AM1046" s="122">
        <v>2936</v>
      </c>
      <c r="AN1046" s="122">
        <v>7151</v>
      </c>
      <c r="AO1046" s="122">
        <v>2649</v>
      </c>
      <c r="AP1046">
        <v>806</v>
      </c>
      <c r="AQ1046">
        <v>298</v>
      </c>
      <c r="AR1046" s="122">
        <v>28737</v>
      </c>
      <c r="AS1046" s="122">
        <v>10643</v>
      </c>
      <c r="AT1046" s="122">
        <v>0</v>
      </c>
      <c r="AU1046" s="122">
        <v>0</v>
      </c>
      <c r="AV1046" s="122">
        <v>52938</v>
      </c>
    </row>
    <row r="1047" spans="2:48" hidden="1">
      <c r="B1047" t="s">
        <v>368</v>
      </c>
      <c r="C1047" t="s">
        <v>64</v>
      </c>
      <c r="D1047" t="s">
        <v>137</v>
      </c>
      <c r="E1047" t="s">
        <v>481</v>
      </c>
      <c r="F1047" s="122">
        <v>1</v>
      </c>
      <c r="G1047" s="122">
        <v>131</v>
      </c>
      <c r="H1047" s="122">
        <v>615</v>
      </c>
      <c r="I1047" s="122">
        <v>62029</v>
      </c>
      <c r="J1047" s="122">
        <v>22974</v>
      </c>
      <c r="K1047" s="122">
        <v>100</v>
      </c>
      <c r="L1047" s="122">
        <v>6240</v>
      </c>
      <c r="M1047" s="122">
        <v>5673</v>
      </c>
      <c r="N1047" s="122">
        <v>2394</v>
      </c>
      <c r="O1047" s="122">
        <v>887</v>
      </c>
      <c r="P1047" s="122">
        <v>0</v>
      </c>
      <c r="Q1047" s="122">
        <v>0</v>
      </c>
      <c r="R1047" s="122">
        <v>7154</v>
      </c>
      <c r="S1047" s="122">
        <v>6504</v>
      </c>
      <c r="T1047" s="122">
        <v>2805</v>
      </c>
      <c r="U1047" s="122">
        <v>1039</v>
      </c>
      <c r="V1047" s="122">
        <v>37076</v>
      </c>
      <c r="W1047" s="122">
        <f t="shared" si="32"/>
        <v>37077</v>
      </c>
      <c r="X1047" s="122">
        <f t="shared" si="33"/>
        <v>80622</v>
      </c>
      <c r="AA1047" t="s">
        <v>56</v>
      </c>
      <c r="AB1047" t="s">
        <v>426</v>
      </c>
      <c r="AC1047" t="s">
        <v>137</v>
      </c>
      <c r="AD1047" t="s">
        <v>406</v>
      </c>
      <c r="AE1047" t="s">
        <v>137</v>
      </c>
      <c r="AF1047">
        <v>1</v>
      </c>
      <c r="AG1047" s="122">
        <v>156</v>
      </c>
      <c r="AH1047" s="122">
        <v>220</v>
      </c>
      <c r="AI1047" s="122">
        <v>25763</v>
      </c>
      <c r="AJ1047" s="122">
        <v>23421</v>
      </c>
      <c r="AK1047">
        <v>79</v>
      </c>
      <c r="AL1047" s="122">
        <v>11857</v>
      </c>
      <c r="AM1047" s="122">
        <v>4391</v>
      </c>
      <c r="AN1047" s="122">
        <v>5425</v>
      </c>
      <c r="AO1047" s="122">
        <v>2009</v>
      </c>
      <c r="AP1047" s="122">
        <v>621</v>
      </c>
      <c r="AQ1047" s="122">
        <v>230</v>
      </c>
      <c r="AR1047" s="122">
        <v>5996</v>
      </c>
      <c r="AS1047" s="122">
        <v>5451</v>
      </c>
      <c r="AT1047" s="122">
        <v>4353</v>
      </c>
      <c r="AU1047" s="122">
        <v>1612</v>
      </c>
      <c r="AV1047" s="122">
        <v>37114</v>
      </c>
    </row>
    <row r="1048" spans="2:48" hidden="1">
      <c r="B1048" t="s">
        <v>368</v>
      </c>
      <c r="C1048" t="s">
        <v>64</v>
      </c>
      <c r="D1048" t="s">
        <v>406</v>
      </c>
      <c r="E1048" t="s">
        <v>137</v>
      </c>
      <c r="F1048" s="122">
        <v>18</v>
      </c>
      <c r="G1048" s="122">
        <v>1735</v>
      </c>
      <c r="H1048" s="122">
        <v>10705</v>
      </c>
      <c r="I1048" s="122">
        <v>728258</v>
      </c>
      <c r="J1048" s="122">
        <v>662052</v>
      </c>
      <c r="K1048" s="122">
        <v>72</v>
      </c>
      <c r="L1048" s="122">
        <v>143984</v>
      </c>
      <c r="M1048" s="122">
        <v>125081</v>
      </c>
      <c r="N1048" s="122">
        <v>39889</v>
      </c>
      <c r="O1048" s="122">
        <v>14774</v>
      </c>
      <c r="P1048" s="122">
        <v>10908</v>
      </c>
      <c r="Q1048" s="122">
        <v>4040</v>
      </c>
      <c r="R1048" s="122">
        <v>118144</v>
      </c>
      <c r="S1048" s="122">
        <v>43757</v>
      </c>
      <c r="T1048" s="122">
        <v>0</v>
      </c>
      <c r="U1048" s="122">
        <v>0</v>
      </c>
      <c r="V1048" s="122">
        <v>849704</v>
      </c>
      <c r="W1048" s="122">
        <f t="shared" si="32"/>
        <v>849704</v>
      </c>
      <c r="X1048" s="122">
        <f t="shared" si="33"/>
        <v>1041183</v>
      </c>
      <c r="AA1048" t="s">
        <v>56</v>
      </c>
      <c r="AB1048" t="s">
        <v>426</v>
      </c>
      <c r="AC1048" t="s">
        <v>137</v>
      </c>
      <c r="AD1048" t="s">
        <v>426</v>
      </c>
      <c r="AE1048" t="s">
        <v>137</v>
      </c>
      <c r="AF1048">
        <v>12</v>
      </c>
      <c r="AG1048" s="122">
        <v>1881</v>
      </c>
      <c r="AH1048" s="122">
        <v>2368</v>
      </c>
      <c r="AI1048" s="122">
        <v>211107</v>
      </c>
      <c r="AJ1048" s="122">
        <v>191916</v>
      </c>
      <c r="AK1048">
        <v>65</v>
      </c>
      <c r="AL1048" s="122">
        <v>33908</v>
      </c>
      <c r="AM1048" s="122">
        <v>12558</v>
      </c>
      <c r="AN1048" s="122">
        <v>33398</v>
      </c>
      <c r="AO1048" s="122">
        <v>12370</v>
      </c>
      <c r="AP1048" s="122">
        <v>7760</v>
      </c>
      <c r="AQ1048" s="122">
        <v>2874</v>
      </c>
      <c r="AR1048" s="122">
        <v>50882</v>
      </c>
      <c r="AS1048" s="122">
        <v>46256</v>
      </c>
      <c r="AT1048" s="122">
        <v>30755</v>
      </c>
      <c r="AU1048" s="122">
        <v>11391</v>
      </c>
      <c r="AV1048" s="122">
        <v>277365</v>
      </c>
    </row>
    <row r="1049" spans="2:48" hidden="1">
      <c r="B1049" t="s">
        <v>368</v>
      </c>
      <c r="C1049" t="s">
        <v>64</v>
      </c>
      <c r="D1049" t="s">
        <v>406</v>
      </c>
      <c r="E1049" t="s">
        <v>406</v>
      </c>
      <c r="F1049" s="122">
        <v>723</v>
      </c>
      <c r="G1049" s="122">
        <v>74013</v>
      </c>
      <c r="H1049" s="122">
        <v>402775</v>
      </c>
      <c r="I1049" s="122">
        <v>28319198</v>
      </c>
      <c r="J1049" s="122">
        <v>25744725</v>
      </c>
      <c r="K1049" s="122">
        <v>71</v>
      </c>
      <c r="L1049" s="122">
        <v>5606180</v>
      </c>
      <c r="M1049" s="122">
        <v>4941064</v>
      </c>
      <c r="N1049" s="122">
        <v>1617994</v>
      </c>
      <c r="O1049" s="122">
        <v>599257</v>
      </c>
      <c r="P1049" s="122">
        <v>467062</v>
      </c>
      <c r="Q1049" s="122">
        <v>172986</v>
      </c>
      <c r="R1049" s="122">
        <v>3820421</v>
      </c>
      <c r="S1049" s="122">
        <v>3473110</v>
      </c>
      <c r="T1049" s="122">
        <v>1197862</v>
      </c>
      <c r="U1049" s="122">
        <v>443652</v>
      </c>
      <c r="V1049" s="122">
        <v>35374794</v>
      </c>
      <c r="W1049" s="122">
        <f t="shared" si="32"/>
        <v>35374794</v>
      </c>
      <c r="X1049" s="122">
        <f t="shared" si="33"/>
        <v>41028717</v>
      </c>
      <c r="AA1049" t="s">
        <v>56</v>
      </c>
      <c r="AB1049" t="s">
        <v>426</v>
      </c>
      <c r="AC1049" t="s">
        <v>137</v>
      </c>
      <c r="AD1049" t="s">
        <v>426</v>
      </c>
      <c r="AE1049" t="s">
        <v>566</v>
      </c>
      <c r="AF1049">
        <v>1</v>
      </c>
      <c r="AG1049">
        <v>137</v>
      </c>
      <c r="AH1049">
        <v>206</v>
      </c>
      <c r="AI1049" s="122">
        <v>30045</v>
      </c>
      <c r="AJ1049" s="122">
        <v>27314</v>
      </c>
      <c r="AK1049">
        <v>65</v>
      </c>
      <c r="AL1049" s="122">
        <v>8459</v>
      </c>
      <c r="AM1049" s="122">
        <v>3133</v>
      </c>
      <c r="AN1049" s="122">
        <v>3001</v>
      </c>
      <c r="AO1049" s="122">
        <v>1112</v>
      </c>
      <c r="AP1049" s="122">
        <v>351</v>
      </c>
      <c r="AQ1049">
        <v>130</v>
      </c>
      <c r="AR1049" s="122">
        <v>8781</v>
      </c>
      <c r="AS1049" s="122">
        <v>7983</v>
      </c>
      <c r="AT1049">
        <v>0</v>
      </c>
      <c r="AU1049">
        <v>0</v>
      </c>
      <c r="AV1049" s="122">
        <v>39671</v>
      </c>
    </row>
    <row r="1050" spans="2:48" hidden="1">
      <c r="B1050" t="s">
        <v>368</v>
      </c>
      <c r="C1050" t="s">
        <v>64</v>
      </c>
      <c r="D1050" t="s">
        <v>406</v>
      </c>
      <c r="E1050" t="s">
        <v>427</v>
      </c>
      <c r="F1050" s="122">
        <v>1</v>
      </c>
      <c r="G1050" s="122">
        <v>210</v>
      </c>
      <c r="H1050" s="122">
        <v>530</v>
      </c>
      <c r="I1050" s="122">
        <v>85917</v>
      </c>
      <c r="J1050" s="122">
        <v>78106</v>
      </c>
      <c r="K1050" s="122">
        <v>60</v>
      </c>
      <c r="L1050" s="122">
        <v>9069</v>
      </c>
      <c r="M1050" s="122">
        <v>8245</v>
      </c>
      <c r="N1050" s="122">
        <v>3831</v>
      </c>
      <c r="O1050" s="122">
        <v>1419</v>
      </c>
      <c r="P1050" s="122">
        <v>621</v>
      </c>
      <c r="Q1050" s="122">
        <v>230</v>
      </c>
      <c r="R1050" s="122">
        <v>11716</v>
      </c>
      <c r="S1050" s="122">
        <v>10651</v>
      </c>
      <c r="T1050" s="122">
        <v>0</v>
      </c>
      <c r="U1050" s="122">
        <v>0</v>
      </c>
      <c r="V1050" s="122">
        <v>98650</v>
      </c>
      <c r="W1050" s="122">
        <f t="shared" si="32"/>
        <v>98651</v>
      </c>
      <c r="X1050" s="122">
        <f t="shared" si="33"/>
        <v>111154</v>
      </c>
      <c r="AA1050" t="s">
        <v>56</v>
      </c>
      <c r="AB1050" t="s">
        <v>426</v>
      </c>
      <c r="AC1050" t="s">
        <v>580</v>
      </c>
      <c r="AD1050" t="s">
        <v>406</v>
      </c>
      <c r="AE1050" t="s">
        <v>137</v>
      </c>
      <c r="AF1050">
        <v>1</v>
      </c>
      <c r="AG1050" s="122">
        <v>154</v>
      </c>
      <c r="AH1050" s="122">
        <v>212</v>
      </c>
      <c r="AI1050" s="122">
        <v>20657</v>
      </c>
      <c r="AJ1050" s="122">
        <v>18779</v>
      </c>
      <c r="AK1050">
        <v>93</v>
      </c>
      <c r="AL1050" s="122">
        <v>3277</v>
      </c>
      <c r="AM1050" s="122">
        <v>2979</v>
      </c>
      <c r="AN1050" s="122">
        <v>1876</v>
      </c>
      <c r="AO1050" s="122">
        <v>695</v>
      </c>
      <c r="AP1050" s="122">
        <v>1404</v>
      </c>
      <c r="AQ1050" s="122">
        <v>520</v>
      </c>
      <c r="AR1050" s="122">
        <v>5403</v>
      </c>
      <c r="AS1050" s="122">
        <v>4911</v>
      </c>
      <c r="AT1050" s="122">
        <v>0</v>
      </c>
      <c r="AU1050" s="122">
        <v>0</v>
      </c>
      <c r="AV1050" s="122">
        <v>27884</v>
      </c>
    </row>
    <row r="1051" spans="2:48" hidden="1">
      <c r="B1051" t="s">
        <v>368</v>
      </c>
      <c r="C1051" t="s">
        <v>64</v>
      </c>
      <c r="D1051" t="s">
        <v>406</v>
      </c>
      <c r="E1051" t="s">
        <v>431</v>
      </c>
      <c r="F1051" s="122">
        <v>3</v>
      </c>
      <c r="G1051" s="122">
        <v>334</v>
      </c>
      <c r="H1051" s="122">
        <v>1583</v>
      </c>
      <c r="I1051" s="122">
        <v>106722</v>
      </c>
      <c r="J1051" s="122">
        <v>97020</v>
      </c>
      <c r="K1051" s="122">
        <v>68</v>
      </c>
      <c r="L1051" s="122">
        <v>25641</v>
      </c>
      <c r="M1051" s="122">
        <v>23310</v>
      </c>
      <c r="N1051" s="122">
        <v>6792</v>
      </c>
      <c r="O1051" s="122">
        <v>2516</v>
      </c>
      <c r="P1051" s="122">
        <v>1863</v>
      </c>
      <c r="Q1051" s="122">
        <v>690</v>
      </c>
      <c r="R1051" s="122">
        <v>26542</v>
      </c>
      <c r="S1051" s="122">
        <v>24129</v>
      </c>
      <c r="T1051" s="122">
        <v>6227</v>
      </c>
      <c r="U1051" s="122">
        <v>2306</v>
      </c>
      <c r="V1051" s="122">
        <v>149971</v>
      </c>
      <c r="W1051" s="122">
        <f t="shared" si="32"/>
        <v>149971</v>
      </c>
      <c r="X1051" s="122">
        <f t="shared" si="33"/>
        <v>173787</v>
      </c>
      <c r="AA1051" t="s">
        <v>56</v>
      </c>
      <c r="AB1051" t="s">
        <v>426</v>
      </c>
      <c r="AC1051" t="s">
        <v>580</v>
      </c>
      <c r="AD1051" t="s">
        <v>426</v>
      </c>
      <c r="AE1051" t="s">
        <v>137</v>
      </c>
      <c r="AF1051">
        <v>65</v>
      </c>
      <c r="AG1051" s="122">
        <v>12102</v>
      </c>
      <c r="AH1051" s="122">
        <v>13626</v>
      </c>
      <c r="AI1051" s="122">
        <v>1784676</v>
      </c>
      <c r="AJ1051" s="122">
        <v>1622433</v>
      </c>
      <c r="AK1051">
        <v>67</v>
      </c>
      <c r="AL1051" s="122">
        <v>174823</v>
      </c>
      <c r="AM1051" s="122">
        <v>158930</v>
      </c>
      <c r="AN1051" s="122">
        <v>249410</v>
      </c>
      <c r="AO1051" s="122">
        <v>92374</v>
      </c>
      <c r="AP1051" s="122">
        <v>49226</v>
      </c>
      <c r="AQ1051" s="122">
        <v>18232</v>
      </c>
      <c r="AR1051" s="122">
        <v>408505</v>
      </c>
      <c r="AS1051" s="122">
        <v>371368</v>
      </c>
      <c r="AT1051" s="122">
        <v>191038</v>
      </c>
      <c r="AU1051" s="122">
        <v>70755</v>
      </c>
      <c r="AV1051" s="122">
        <v>2334092</v>
      </c>
    </row>
    <row r="1052" spans="2:48" hidden="1">
      <c r="B1052" t="s">
        <v>368</v>
      </c>
      <c r="C1052" t="s">
        <v>64</v>
      </c>
      <c r="D1052" t="s">
        <v>406</v>
      </c>
      <c r="E1052" t="s">
        <v>426</v>
      </c>
      <c r="F1052" s="122">
        <v>4</v>
      </c>
      <c r="G1052" s="122">
        <v>477</v>
      </c>
      <c r="H1052" s="122">
        <v>2037</v>
      </c>
      <c r="I1052" s="122">
        <v>154458</v>
      </c>
      <c r="J1052" s="122">
        <v>140417</v>
      </c>
      <c r="K1052" s="122">
        <v>80</v>
      </c>
      <c r="L1052" s="122">
        <v>34248</v>
      </c>
      <c r="M1052" s="122">
        <v>31135</v>
      </c>
      <c r="N1052" s="122">
        <v>11259</v>
      </c>
      <c r="O1052" s="122">
        <v>4170</v>
      </c>
      <c r="P1052" s="122">
        <v>2484</v>
      </c>
      <c r="Q1052" s="122">
        <v>920</v>
      </c>
      <c r="R1052" s="122">
        <v>35269</v>
      </c>
      <c r="S1052" s="122">
        <v>32063</v>
      </c>
      <c r="T1052" s="122">
        <v>5332</v>
      </c>
      <c r="U1052" s="122">
        <v>1975</v>
      </c>
      <c r="V1052" s="122">
        <v>210679</v>
      </c>
      <c r="W1052" s="122">
        <f t="shared" si="32"/>
        <v>210680</v>
      </c>
      <c r="X1052" s="122">
        <f t="shared" si="33"/>
        <v>243050</v>
      </c>
      <c r="AA1052" t="s">
        <v>56</v>
      </c>
      <c r="AB1052" t="s">
        <v>426</v>
      </c>
      <c r="AC1052" t="s">
        <v>580</v>
      </c>
      <c r="AD1052" t="s">
        <v>426</v>
      </c>
      <c r="AE1052" t="s">
        <v>566</v>
      </c>
      <c r="AF1052">
        <v>18</v>
      </c>
      <c r="AG1052" s="122">
        <v>3498</v>
      </c>
      <c r="AH1052" s="122">
        <v>3701</v>
      </c>
      <c r="AI1052" s="122">
        <v>471159</v>
      </c>
      <c r="AJ1052" s="122">
        <v>428327</v>
      </c>
      <c r="AK1052">
        <v>68</v>
      </c>
      <c r="AL1052" s="122">
        <v>53100</v>
      </c>
      <c r="AM1052" s="122">
        <v>48273</v>
      </c>
      <c r="AN1052" s="122">
        <v>68265</v>
      </c>
      <c r="AO1052" s="122">
        <v>25283</v>
      </c>
      <c r="AP1052" s="122">
        <v>11691</v>
      </c>
      <c r="AQ1052" s="122">
        <v>4330</v>
      </c>
      <c r="AR1052" s="122">
        <v>129949</v>
      </c>
      <c r="AS1052" s="122">
        <v>118135</v>
      </c>
      <c r="AT1052">
        <v>0</v>
      </c>
      <c r="AU1052">
        <v>0</v>
      </c>
      <c r="AV1052" s="122">
        <v>624349</v>
      </c>
    </row>
    <row r="1053" spans="2:48" hidden="1">
      <c r="B1053" t="s">
        <v>368</v>
      </c>
      <c r="C1053" t="s">
        <v>64</v>
      </c>
      <c r="D1053" t="s">
        <v>427</v>
      </c>
      <c r="E1053" t="s">
        <v>555</v>
      </c>
      <c r="F1053" s="122">
        <v>1</v>
      </c>
      <c r="G1053" s="122">
        <v>50</v>
      </c>
      <c r="H1053" s="122">
        <v>1215</v>
      </c>
      <c r="I1053" s="122">
        <v>46596</v>
      </c>
      <c r="J1053" s="122">
        <v>42360</v>
      </c>
      <c r="K1053" s="122">
        <v>45</v>
      </c>
      <c r="L1053" s="122">
        <v>0</v>
      </c>
      <c r="M1053" s="122">
        <v>0</v>
      </c>
      <c r="N1053" s="122">
        <v>1214</v>
      </c>
      <c r="O1053" s="122">
        <v>450</v>
      </c>
      <c r="P1053" s="122">
        <v>351</v>
      </c>
      <c r="Q1053" s="122">
        <v>130</v>
      </c>
      <c r="R1053" s="122">
        <v>12387</v>
      </c>
      <c r="S1053" s="122">
        <v>11261</v>
      </c>
      <c r="T1053" s="122">
        <v>0</v>
      </c>
      <c r="U1053" s="122">
        <v>0</v>
      </c>
      <c r="V1053" s="122">
        <v>54201</v>
      </c>
      <c r="W1053" s="122">
        <f t="shared" si="32"/>
        <v>54201</v>
      </c>
      <c r="X1053" s="122">
        <f t="shared" si="33"/>
        <v>60548</v>
      </c>
      <c r="AA1053" t="s">
        <v>56</v>
      </c>
      <c r="AB1053" t="s">
        <v>426</v>
      </c>
      <c r="AC1053" t="s">
        <v>580</v>
      </c>
      <c r="AD1053" t="s">
        <v>433</v>
      </c>
      <c r="AE1053" t="s">
        <v>566</v>
      </c>
      <c r="AF1053">
        <v>1</v>
      </c>
      <c r="AG1053">
        <v>251</v>
      </c>
      <c r="AH1053">
        <v>204</v>
      </c>
      <c r="AI1053" s="122">
        <v>33508</v>
      </c>
      <c r="AJ1053" s="122">
        <v>30462</v>
      </c>
      <c r="AK1053">
        <v>55</v>
      </c>
      <c r="AL1053" s="122">
        <v>2395</v>
      </c>
      <c r="AM1053" s="122">
        <v>2177</v>
      </c>
      <c r="AN1053" s="122">
        <v>4580</v>
      </c>
      <c r="AO1053" s="122">
        <v>1696</v>
      </c>
      <c r="AP1053">
        <v>351</v>
      </c>
      <c r="AQ1053">
        <v>130</v>
      </c>
      <c r="AR1053" s="122">
        <v>10368</v>
      </c>
      <c r="AS1053" s="122">
        <v>9426</v>
      </c>
      <c r="AT1053">
        <v>0</v>
      </c>
      <c r="AU1053">
        <v>0</v>
      </c>
      <c r="AV1053" s="122">
        <v>43891</v>
      </c>
    </row>
    <row r="1054" spans="2:48" hidden="1">
      <c r="B1054" t="s">
        <v>368</v>
      </c>
      <c r="C1054" t="s">
        <v>64</v>
      </c>
      <c r="D1054" t="s">
        <v>427</v>
      </c>
      <c r="E1054" t="s">
        <v>137</v>
      </c>
      <c r="F1054" s="122">
        <v>4</v>
      </c>
      <c r="G1054" s="122">
        <v>235</v>
      </c>
      <c r="H1054" s="122">
        <v>6253</v>
      </c>
      <c r="I1054" s="122">
        <v>316672</v>
      </c>
      <c r="J1054" s="122">
        <v>287883</v>
      </c>
      <c r="K1054" s="122">
        <v>30</v>
      </c>
      <c r="L1054" s="122">
        <v>12763</v>
      </c>
      <c r="M1054" s="122">
        <v>11603</v>
      </c>
      <c r="N1054" s="122">
        <v>5256</v>
      </c>
      <c r="O1054" s="122">
        <v>1947</v>
      </c>
      <c r="P1054" s="122">
        <v>0</v>
      </c>
      <c r="Q1054" s="122">
        <v>0</v>
      </c>
      <c r="R1054" s="122">
        <v>17388</v>
      </c>
      <c r="S1054" s="122">
        <v>6440</v>
      </c>
      <c r="T1054" s="122">
        <v>0</v>
      </c>
      <c r="U1054" s="122">
        <v>0</v>
      </c>
      <c r="V1054" s="122">
        <v>307873</v>
      </c>
      <c r="W1054" s="122">
        <f t="shared" si="32"/>
        <v>307873</v>
      </c>
      <c r="X1054" s="122">
        <f t="shared" si="33"/>
        <v>352079</v>
      </c>
      <c r="AA1054" t="s">
        <v>56</v>
      </c>
      <c r="AB1054" t="s">
        <v>426</v>
      </c>
      <c r="AC1054" t="s">
        <v>427</v>
      </c>
      <c r="AD1054" t="s">
        <v>406</v>
      </c>
      <c r="AE1054" t="s">
        <v>566</v>
      </c>
      <c r="AF1054">
        <v>1</v>
      </c>
      <c r="AG1054">
        <v>177</v>
      </c>
      <c r="AH1054">
        <v>219</v>
      </c>
      <c r="AI1054" s="122">
        <v>20613</v>
      </c>
      <c r="AJ1054" s="122">
        <v>18739</v>
      </c>
      <c r="AK1054">
        <v>86</v>
      </c>
      <c r="AL1054" s="122">
        <v>6214</v>
      </c>
      <c r="AM1054" s="122">
        <v>5649</v>
      </c>
      <c r="AN1054" s="122">
        <v>3232</v>
      </c>
      <c r="AO1054" s="122">
        <v>1197</v>
      </c>
      <c r="AP1054">
        <v>621</v>
      </c>
      <c r="AQ1054">
        <v>230</v>
      </c>
      <c r="AR1054" s="122">
        <v>8005</v>
      </c>
      <c r="AS1054" s="122">
        <v>7277</v>
      </c>
      <c r="AT1054">
        <v>0</v>
      </c>
      <c r="AU1054">
        <v>0</v>
      </c>
      <c r="AV1054" s="122">
        <v>33093</v>
      </c>
    </row>
    <row r="1055" spans="2:48" hidden="1">
      <c r="B1055" t="s">
        <v>368</v>
      </c>
      <c r="C1055" t="s">
        <v>64</v>
      </c>
      <c r="D1055" t="s">
        <v>427</v>
      </c>
      <c r="E1055" t="s">
        <v>406</v>
      </c>
      <c r="F1055" s="122">
        <v>1</v>
      </c>
      <c r="G1055" s="122">
        <v>134</v>
      </c>
      <c r="H1055" s="122">
        <v>657</v>
      </c>
      <c r="I1055" s="122">
        <v>75455</v>
      </c>
      <c r="J1055" s="122">
        <v>68596</v>
      </c>
      <c r="K1055" s="122">
        <v>45</v>
      </c>
      <c r="L1055" s="122">
        <v>0</v>
      </c>
      <c r="M1055" s="122">
        <v>0</v>
      </c>
      <c r="N1055" s="122">
        <v>2978</v>
      </c>
      <c r="O1055" s="122">
        <v>1103</v>
      </c>
      <c r="P1055" s="122">
        <v>351</v>
      </c>
      <c r="Q1055" s="122">
        <v>130</v>
      </c>
      <c r="R1055" s="122">
        <v>6809</v>
      </c>
      <c r="S1055" s="122">
        <v>6190</v>
      </c>
      <c r="T1055" s="122">
        <v>2617</v>
      </c>
      <c r="U1055" s="122">
        <v>969</v>
      </c>
      <c r="V1055" s="122">
        <v>76988</v>
      </c>
      <c r="W1055" s="122">
        <f t="shared" si="32"/>
        <v>76988</v>
      </c>
      <c r="X1055" s="122">
        <f t="shared" si="33"/>
        <v>88210</v>
      </c>
      <c r="AA1055" t="s">
        <v>56</v>
      </c>
      <c r="AB1055" t="s">
        <v>426</v>
      </c>
      <c r="AC1055" t="s">
        <v>427</v>
      </c>
      <c r="AD1055" t="s">
        <v>426</v>
      </c>
      <c r="AE1055" t="s">
        <v>137</v>
      </c>
      <c r="AF1055">
        <v>1</v>
      </c>
      <c r="AG1055">
        <v>289</v>
      </c>
      <c r="AH1055">
        <v>168</v>
      </c>
      <c r="AI1055" s="122">
        <v>33645</v>
      </c>
      <c r="AJ1055" s="122">
        <v>30586</v>
      </c>
      <c r="AK1055">
        <v>79</v>
      </c>
      <c r="AL1055" s="122">
        <v>5098</v>
      </c>
      <c r="AM1055" s="122">
        <v>4634</v>
      </c>
      <c r="AN1055" s="122">
        <v>7476</v>
      </c>
      <c r="AO1055" s="122">
        <v>2769</v>
      </c>
      <c r="AP1055">
        <v>621</v>
      </c>
      <c r="AQ1055">
        <v>230</v>
      </c>
      <c r="AR1055" s="122">
        <v>7751</v>
      </c>
      <c r="AS1055" s="122">
        <v>7046</v>
      </c>
      <c r="AT1055">
        <v>0</v>
      </c>
      <c r="AU1055">
        <v>0</v>
      </c>
      <c r="AV1055" s="122">
        <v>45265</v>
      </c>
    </row>
    <row r="1056" spans="2:48" hidden="1">
      <c r="B1056" t="s">
        <v>368</v>
      </c>
      <c r="C1056" t="s">
        <v>64</v>
      </c>
      <c r="D1056" t="s">
        <v>427</v>
      </c>
      <c r="E1056" t="s">
        <v>427</v>
      </c>
      <c r="F1056" s="122">
        <v>13</v>
      </c>
      <c r="G1056" s="122">
        <v>1242</v>
      </c>
      <c r="H1056" s="122">
        <v>9561</v>
      </c>
      <c r="I1056" s="122">
        <v>650299</v>
      </c>
      <c r="J1056" s="122">
        <v>591181</v>
      </c>
      <c r="K1056" s="122">
        <v>52</v>
      </c>
      <c r="L1056" s="122">
        <v>117362</v>
      </c>
      <c r="M1056" s="122">
        <v>101083</v>
      </c>
      <c r="N1056" s="122">
        <v>25324</v>
      </c>
      <c r="O1056" s="122">
        <v>9379</v>
      </c>
      <c r="P1056" s="122">
        <v>4563</v>
      </c>
      <c r="Q1056" s="122">
        <v>1690</v>
      </c>
      <c r="R1056" s="122">
        <v>83159</v>
      </c>
      <c r="S1056" s="122">
        <v>75599</v>
      </c>
      <c r="T1056" s="122">
        <v>20357</v>
      </c>
      <c r="U1056" s="122">
        <v>7540</v>
      </c>
      <c r="V1056" s="122">
        <v>786472</v>
      </c>
      <c r="W1056" s="122">
        <f t="shared" si="32"/>
        <v>786472</v>
      </c>
      <c r="X1056" s="122">
        <f t="shared" si="33"/>
        <v>901064</v>
      </c>
      <c r="AA1056" t="s">
        <v>56</v>
      </c>
      <c r="AB1056" t="s">
        <v>426</v>
      </c>
      <c r="AC1056" t="s">
        <v>427</v>
      </c>
      <c r="AD1056" t="s">
        <v>426</v>
      </c>
      <c r="AE1056" t="s">
        <v>566</v>
      </c>
      <c r="AF1056">
        <v>1</v>
      </c>
      <c r="AG1056">
        <v>146</v>
      </c>
      <c r="AH1056">
        <v>208</v>
      </c>
      <c r="AI1056" s="122">
        <v>20630</v>
      </c>
      <c r="AJ1056" s="122">
        <v>18754</v>
      </c>
      <c r="AK1056">
        <v>60</v>
      </c>
      <c r="AL1056" s="122">
        <v>2178</v>
      </c>
      <c r="AM1056" s="122">
        <v>1980</v>
      </c>
      <c r="AN1056" s="122">
        <v>2407</v>
      </c>
      <c r="AO1056">
        <v>891</v>
      </c>
      <c r="AP1056">
        <v>351</v>
      </c>
      <c r="AQ1056">
        <v>130</v>
      </c>
      <c r="AR1056" s="122">
        <v>4899</v>
      </c>
      <c r="AS1056" s="122">
        <v>4454</v>
      </c>
      <c r="AT1056" s="122">
        <v>0</v>
      </c>
      <c r="AU1056" s="122">
        <v>0</v>
      </c>
      <c r="AV1056" s="122">
        <v>26209</v>
      </c>
    </row>
    <row r="1057" spans="2:48" hidden="1">
      <c r="B1057" t="s">
        <v>368</v>
      </c>
      <c r="C1057" t="s">
        <v>64</v>
      </c>
      <c r="D1057" t="s">
        <v>407</v>
      </c>
      <c r="E1057" t="s">
        <v>407</v>
      </c>
      <c r="F1057" s="122">
        <v>4</v>
      </c>
      <c r="G1057" s="122">
        <v>490</v>
      </c>
      <c r="H1057" s="122">
        <v>2186</v>
      </c>
      <c r="I1057" s="122">
        <v>190902</v>
      </c>
      <c r="J1057" s="122">
        <v>173547</v>
      </c>
      <c r="K1057" s="122">
        <v>74</v>
      </c>
      <c r="L1057" s="122">
        <v>30000</v>
      </c>
      <c r="M1057" s="122">
        <v>26245</v>
      </c>
      <c r="N1057" s="122">
        <v>9392</v>
      </c>
      <c r="O1057" s="122">
        <v>3479</v>
      </c>
      <c r="P1057" s="122">
        <v>1890</v>
      </c>
      <c r="Q1057" s="122">
        <v>700</v>
      </c>
      <c r="R1057" s="122">
        <v>20294</v>
      </c>
      <c r="S1057" s="122">
        <v>18449</v>
      </c>
      <c r="T1057" s="122">
        <v>5496</v>
      </c>
      <c r="U1057" s="122">
        <v>2035</v>
      </c>
      <c r="V1057" s="122">
        <v>224455</v>
      </c>
      <c r="W1057" s="122">
        <f t="shared" si="32"/>
        <v>224455</v>
      </c>
      <c r="X1057" s="122">
        <f t="shared" si="33"/>
        <v>257974</v>
      </c>
      <c r="AA1057" t="s">
        <v>56</v>
      </c>
      <c r="AB1057" t="s">
        <v>426</v>
      </c>
      <c r="AC1057" t="s">
        <v>407</v>
      </c>
      <c r="AD1057" t="s">
        <v>407</v>
      </c>
      <c r="AE1057" t="s">
        <v>137</v>
      </c>
      <c r="AF1057">
        <v>1</v>
      </c>
      <c r="AG1057">
        <v>157</v>
      </c>
      <c r="AH1057">
        <v>212</v>
      </c>
      <c r="AI1057" s="122">
        <v>21491</v>
      </c>
      <c r="AJ1057" s="122">
        <v>19538</v>
      </c>
      <c r="AK1057">
        <v>60</v>
      </c>
      <c r="AL1057" s="122">
        <v>1734</v>
      </c>
      <c r="AM1057" s="122">
        <v>1576</v>
      </c>
      <c r="AN1057" s="122">
        <v>2434</v>
      </c>
      <c r="AO1057" s="122">
        <v>901</v>
      </c>
      <c r="AP1057">
        <v>473</v>
      </c>
      <c r="AQ1057">
        <v>175</v>
      </c>
      <c r="AR1057" s="122">
        <v>4040</v>
      </c>
      <c r="AS1057" s="122">
        <v>3673</v>
      </c>
      <c r="AT1057" s="122">
        <v>3099</v>
      </c>
      <c r="AU1057" s="122">
        <v>1148</v>
      </c>
      <c r="AV1057" s="122">
        <v>27011</v>
      </c>
    </row>
    <row r="1058" spans="2:48" hidden="1">
      <c r="B1058" t="s">
        <v>368</v>
      </c>
      <c r="C1058" t="s">
        <v>64</v>
      </c>
      <c r="D1058" t="s">
        <v>556</v>
      </c>
      <c r="E1058" t="s">
        <v>137</v>
      </c>
      <c r="F1058" s="122">
        <v>3</v>
      </c>
      <c r="G1058" s="122">
        <v>236</v>
      </c>
      <c r="H1058" s="122">
        <v>4812</v>
      </c>
      <c r="I1058" s="122">
        <v>335558</v>
      </c>
      <c r="J1058" s="122">
        <v>279632</v>
      </c>
      <c r="K1058" s="122">
        <v>30</v>
      </c>
      <c r="L1058" s="122">
        <v>16852</v>
      </c>
      <c r="M1058" s="122">
        <v>11271</v>
      </c>
      <c r="N1058" s="122">
        <v>5753</v>
      </c>
      <c r="O1058" s="122">
        <v>2131</v>
      </c>
      <c r="P1058" s="122">
        <v>0</v>
      </c>
      <c r="Q1058" s="122">
        <v>0</v>
      </c>
      <c r="R1058" s="122">
        <v>13789</v>
      </c>
      <c r="S1058" s="122">
        <v>5107</v>
      </c>
      <c r="T1058" s="122">
        <v>0</v>
      </c>
      <c r="U1058" s="122">
        <v>0</v>
      </c>
      <c r="V1058" s="122">
        <v>298141</v>
      </c>
      <c r="W1058" s="122">
        <f t="shared" si="32"/>
        <v>298141</v>
      </c>
      <c r="X1058" s="122">
        <f t="shared" si="33"/>
        <v>371952</v>
      </c>
      <c r="AA1058" t="s">
        <v>56</v>
      </c>
      <c r="AB1058" t="s">
        <v>426</v>
      </c>
      <c r="AC1058" t="s">
        <v>407</v>
      </c>
      <c r="AD1058" t="s">
        <v>426</v>
      </c>
      <c r="AE1058" t="s">
        <v>137</v>
      </c>
      <c r="AF1058">
        <v>2</v>
      </c>
      <c r="AG1058">
        <v>320</v>
      </c>
      <c r="AH1058">
        <v>386</v>
      </c>
      <c r="AI1058" s="122">
        <v>43390</v>
      </c>
      <c r="AJ1058" s="122">
        <v>39445</v>
      </c>
      <c r="AK1058">
        <v>64</v>
      </c>
      <c r="AL1058" s="122">
        <v>4914</v>
      </c>
      <c r="AM1058" s="122">
        <v>4467</v>
      </c>
      <c r="AN1058" s="122">
        <v>6850</v>
      </c>
      <c r="AO1058" s="122">
        <v>2537</v>
      </c>
      <c r="AP1058">
        <v>702</v>
      </c>
      <c r="AQ1058">
        <v>260</v>
      </c>
      <c r="AR1058" s="122">
        <v>13247</v>
      </c>
      <c r="AS1058" s="122">
        <v>12042</v>
      </c>
      <c r="AT1058" s="122">
        <v>3970</v>
      </c>
      <c r="AU1058" s="122">
        <v>1470</v>
      </c>
      <c r="AV1058" s="122">
        <v>60222</v>
      </c>
    </row>
    <row r="1059" spans="2:48" hidden="1">
      <c r="B1059" t="s">
        <v>368</v>
      </c>
      <c r="C1059" t="s">
        <v>64</v>
      </c>
      <c r="D1059" t="s">
        <v>556</v>
      </c>
      <c r="E1059" t="s">
        <v>406</v>
      </c>
      <c r="F1059" s="122">
        <v>3</v>
      </c>
      <c r="G1059" s="122">
        <v>671</v>
      </c>
      <c r="H1059" s="122">
        <v>3099</v>
      </c>
      <c r="I1059" s="122">
        <v>571946</v>
      </c>
      <c r="J1059" s="122">
        <v>476621</v>
      </c>
      <c r="K1059" s="122">
        <v>30</v>
      </c>
      <c r="L1059" s="122">
        <v>42896</v>
      </c>
      <c r="M1059" s="122">
        <v>15887</v>
      </c>
      <c r="N1059" s="122">
        <v>15054</v>
      </c>
      <c r="O1059" s="122">
        <v>5576</v>
      </c>
      <c r="P1059" s="122">
        <v>270</v>
      </c>
      <c r="Q1059" s="122">
        <v>100</v>
      </c>
      <c r="R1059" s="122">
        <v>22050</v>
      </c>
      <c r="S1059" s="122">
        <v>20046</v>
      </c>
      <c r="T1059" s="122">
        <v>4431</v>
      </c>
      <c r="U1059" s="122">
        <v>1641</v>
      </c>
      <c r="V1059" s="122">
        <v>519871</v>
      </c>
      <c r="W1059" s="122">
        <f t="shared" si="32"/>
        <v>519871</v>
      </c>
      <c r="X1059" s="122">
        <f t="shared" si="33"/>
        <v>656647</v>
      </c>
      <c r="AA1059" t="s">
        <v>56</v>
      </c>
      <c r="AB1059" t="s">
        <v>426</v>
      </c>
      <c r="AC1059" t="s">
        <v>426</v>
      </c>
      <c r="AD1059" t="s">
        <v>137</v>
      </c>
      <c r="AE1059" t="s">
        <v>566</v>
      </c>
      <c r="AF1059">
        <v>1</v>
      </c>
      <c r="AG1059">
        <v>162</v>
      </c>
      <c r="AH1059">
        <v>193</v>
      </c>
      <c r="AI1059" s="122">
        <v>22811</v>
      </c>
      <c r="AJ1059" s="122">
        <v>20737</v>
      </c>
      <c r="AK1059">
        <v>65</v>
      </c>
      <c r="AL1059" s="122">
        <v>2746</v>
      </c>
      <c r="AM1059" s="122">
        <v>2496</v>
      </c>
      <c r="AN1059" s="122">
        <v>1975</v>
      </c>
      <c r="AO1059" s="122">
        <v>731</v>
      </c>
      <c r="AP1059" s="122">
        <v>351</v>
      </c>
      <c r="AQ1059">
        <v>130</v>
      </c>
      <c r="AR1059" s="122">
        <v>3342</v>
      </c>
      <c r="AS1059" s="122">
        <v>1238</v>
      </c>
      <c r="AT1059">
        <v>0</v>
      </c>
      <c r="AU1059">
        <v>0</v>
      </c>
      <c r="AV1059" s="122">
        <v>25332</v>
      </c>
    </row>
    <row r="1060" spans="2:48" hidden="1">
      <c r="B1060" t="s">
        <v>368</v>
      </c>
      <c r="C1060" t="s">
        <v>64</v>
      </c>
      <c r="D1060" t="s">
        <v>556</v>
      </c>
      <c r="E1060" t="s">
        <v>556</v>
      </c>
      <c r="F1060" s="122">
        <v>11</v>
      </c>
      <c r="G1060" s="122">
        <v>908</v>
      </c>
      <c r="H1060" s="122">
        <v>8512</v>
      </c>
      <c r="I1060" s="122">
        <v>541302</v>
      </c>
      <c r="J1060" s="122">
        <v>451085</v>
      </c>
      <c r="K1060" s="122">
        <v>51</v>
      </c>
      <c r="L1060" s="122">
        <v>61728</v>
      </c>
      <c r="M1060" s="122">
        <v>42378</v>
      </c>
      <c r="N1060" s="122">
        <v>18901</v>
      </c>
      <c r="O1060" s="122">
        <v>7000</v>
      </c>
      <c r="P1060" s="122">
        <v>3510</v>
      </c>
      <c r="Q1060" s="122">
        <v>1300</v>
      </c>
      <c r="R1060" s="122">
        <v>69653</v>
      </c>
      <c r="S1060" s="122">
        <v>58044</v>
      </c>
      <c r="T1060" s="122">
        <v>20198</v>
      </c>
      <c r="U1060" s="122">
        <v>7481</v>
      </c>
      <c r="V1060" s="122">
        <v>567288</v>
      </c>
      <c r="W1060" s="122">
        <f t="shared" si="32"/>
        <v>567288</v>
      </c>
      <c r="X1060" s="122">
        <f t="shared" si="33"/>
        <v>715292</v>
      </c>
      <c r="AA1060" t="s">
        <v>56</v>
      </c>
      <c r="AB1060" t="s">
        <v>426</v>
      </c>
      <c r="AC1060" t="s">
        <v>426</v>
      </c>
      <c r="AD1060" t="s">
        <v>406</v>
      </c>
      <c r="AE1060" t="s">
        <v>566</v>
      </c>
      <c r="AF1060">
        <v>2</v>
      </c>
      <c r="AG1060" s="122">
        <v>579</v>
      </c>
      <c r="AH1060" s="122">
        <v>367</v>
      </c>
      <c r="AI1060" s="122">
        <v>61016</v>
      </c>
      <c r="AJ1060" s="122">
        <v>55469</v>
      </c>
      <c r="AK1060">
        <v>73</v>
      </c>
      <c r="AL1060" s="122">
        <v>15217</v>
      </c>
      <c r="AM1060" s="122">
        <v>13834</v>
      </c>
      <c r="AN1060" s="122">
        <v>12215</v>
      </c>
      <c r="AO1060" s="122">
        <v>4524</v>
      </c>
      <c r="AP1060" s="122">
        <v>1674</v>
      </c>
      <c r="AQ1060" s="122">
        <v>620</v>
      </c>
      <c r="AR1060" s="122">
        <v>16284</v>
      </c>
      <c r="AS1060" s="122">
        <v>14803</v>
      </c>
      <c r="AT1060" s="122">
        <v>0</v>
      </c>
      <c r="AU1060" s="122">
        <v>0</v>
      </c>
      <c r="AV1060" s="122">
        <v>89250</v>
      </c>
    </row>
    <row r="1061" spans="2:48" hidden="1">
      <c r="B1061" t="s">
        <v>368</v>
      </c>
      <c r="C1061" t="s">
        <v>64</v>
      </c>
      <c r="D1061" t="s">
        <v>428</v>
      </c>
      <c r="E1061" t="s">
        <v>137</v>
      </c>
      <c r="F1061" s="122">
        <v>2</v>
      </c>
      <c r="G1061" s="122">
        <v>195</v>
      </c>
      <c r="H1061" s="122">
        <v>1946</v>
      </c>
      <c r="I1061" s="122">
        <v>164568</v>
      </c>
      <c r="J1061" s="122">
        <v>149608</v>
      </c>
      <c r="K1061" s="122">
        <v>45</v>
      </c>
      <c r="L1061" s="122">
        <v>6131</v>
      </c>
      <c r="M1061" s="122">
        <v>2271</v>
      </c>
      <c r="N1061" s="122">
        <v>5357</v>
      </c>
      <c r="O1061" s="122">
        <v>1984</v>
      </c>
      <c r="P1061" s="122">
        <v>0</v>
      </c>
      <c r="Q1061" s="122">
        <v>0</v>
      </c>
      <c r="R1061" s="122">
        <v>20883</v>
      </c>
      <c r="S1061" s="122">
        <v>7735</v>
      </c>
      <c r="T1061" s="122">
        <v>3626</v>
      </c>
      <c r="U1061" s="122">
        <v>1343</v>
      </c>
      <c r="V1061" s="122">
        <v>162940</v>
      </c>
      <c r="W1061" s="122">
        <f t="shared" si="32"/>
        <v>162941</v>
      </c>
      <c r="X1061" s="122">
        <f t="shared" si="33"/>
        <v>200565</v>
      </c>
      <c r="AA1061" t="s">
        <v>56</v>
      </c>
      <c r="AB1061" t="s">
        <v>426</v>
      </c>
      <c r="AC1061" t="s">
        <v>426</v>
      </c>
      <c r="AD1061" t="s">
        <v>426</v>
      </c>
      <c r="AE1061" t="s">
        <v>137</v>
      </c>
      <c r="AF1061">
        <v>64</v>
      </c>
      <c r="AG1061" s="122">
        <v>10619</v>
      </c>
      <c r="AH1061" s="122">
        <v>13292</v>
      </c>
      <c r="AI1061" s="122">
        <v>1429126</v>
      </c>
      <c r="AJ1061" s="122">
        <v>1299206</v>
      </c>
      <c r="AK1061">
        <v>68</v>
      </c>
      <c r="AL1061" s="122">
        <v>233434</v>
      </c>
      <c r="AM1061" s="122">
        <v>212213</v>
      </c>
      <c r="AN1061" s="122">
        <v>193103</v>
      </c>
      <c r="AO1061" s="122">
        <v>71520</v>
      </c>
      <c r="AP1061" s="122">
        <v>26823</v>
      </c>
      <c r="AQ1061" s="122">
        <v>9935</v>
      </c>
      <c r="AR1061" s="122">
        <v>332533</v>
      </c>
      <c r="AS1061" s="122">
        <v>302303</v>
      </c>
      <c r="AT1061" s="122">
        <v>167242</v>
      </c>
      <c r="AU1061" s="122">
        <v>61941</v>
      </c>
      <c r="AV1061" s="122">
        <v>1957117</v>
      </c>
    </row>
    <row r="1062" spans="2:48" hidden="1">
      <c r="B1062" t="s">
        <v>368</v>
      </c>
      <c r="C1062" t="s">
        <v>64</v>
      </c>
      <c r="D1062" t="s">
        <v>428</v>
      </c>
      <c r="E1062" t="s">
        <v>428</v>
      </c>
      <c r="F1062" s="122">
        <v>3</v>
      </c>
      <c r="G1062" s="122">
        <v>310</v>
      </c>
      <c r="H1062" s="122">
        <v>1706</v>
      </c>
      <c r="I1062" s="122">
        <v>136436</v>
      </c>
      <c r="J1062" s="122">
        <v>124032</v>
      </c>
      <c r="K1062" s="122">
        <v>47</v>
      </c>
      <c r="L1062" s="122">
        <v>19112</v>
      </c>
      <c r="M1062" s="122">
        <v>17374</v>
      </c>
      <c r="N1062" s="122">
        <v>6788</v>
      </c>
      <c r="O1062" s="122">
        <v>2514</v>
      </c>
      <c r="P1062" s="122">
        <v>702</v>
      </c>
      <c r="Q1062" s="122">
        <v>260</v>
      </c>
      <c r="R1062" s="122">
        <v>25773</v>
      </c>
      <c r="S1062" s="122">
        <v>23430</v>
      </c>
      <c r="T1062" s="122">
        <v>4173</v>
      </c>
      <c r="U1062" s="122">
        <v>1545</v>
      </c>
      <c r="V1062" s="122">
        <v>169156</v>
      </c>
      <c r="W1062" s="122">
        <f t="shared" si="32"/>
        <v>169155</v>
      </c>
      <c r="X1062" s="122">
        <f t="shared" si="33"/>
        <v>192984</v>
      </c>
      <c r="AA1062" t="s">
        <v>56</v>
      </c>
      <c r="AB1062" t="s">
        <v>426</v>
      </c>
      <c r="AC1062" t="s">
        <v>426</v>
      </c>
      <c r="AD1062" t="s">
        <v>426</v>
      </c>
      <c r="AE1062" t="s">
        <v>566</v>
      </c>
      <c r="AF1062">
        <v>25</v>
      </c>
      <c r="AG1062" s="122">
        <v>5030</v>
      </c>
      <c r="AH1062" s="122">
        <v>4791</v>
      </c>
      <c r="AI1062" s="122">
        <v>621508</v>
      </c>
      <c r="AJ1062" s="122">
        <v>565007</v>
      </c>
      <c r="AK1062">
        <v>68</v>
      </c>
      <c r="AL1062" s="122">
        <v>99512</v>
      </c>
      <c r="AM1062" s="122">
        <v>90466</v>
      </c>
      <c r="AN1062" s="122">
        <v>101208</v>
      </c>
      <c r="AO1062" s="122">
        <v>37484</v>
      </c>
      <c r="AP1062" s="122">
        <v>11217</v>
      </c>
      <c r="AQ1062" s="122">
        <v>4155</v>
      </c>
      <c r="AR1062" s="122">
        <v>175653</v>
      </c>
      <c r="AS1062" s="122">
        <v>159684</v>
      </c>
      <c r="AT1062">
        <v>0</v>
      </c>
      <c r="AU1062">
        <v>0</v>
      </c>
      <c r="AV1062" s="122">
        <v>856796</v>
      </c>
    </row>
    <row r="1063" spans="2:48" hidden="1">
      <c r="B1063" t="s">
        <v>368</v>
      </c>
      <c r="C1063" t="s">
        <v>64</v>
      </c>
      <c r="D1063" t="s">
        <v>428</v>
      </c>
      <c r="E1063" t="s">
        <v>431</v>
      </c>
      <c r="F1063" s="122">
        <v>1</v>
      </c>
      <c r="G1063" s="122">
        <v>108</v>
      </c>
      <c r="H1063" s="122">
        <v>736</v>
      </c>
      <c r="I1063" s="122">
        <v>82982</v>
      </c>
      <c r="J1063" s="122">
        <v>75438</v>
      </c>
      <c r="K1063" s="122">
        <v>55</v>
      </c>
      <c r="L1063" s="122">
        <v>19769</v>
      </c>
      <c r="M1063" s="122">
        <v>7322</v>
      </c>
      <c r="N1063" s="122">
        <v>3999</v>
      </c>
      <c r="O1063" s="122">
        <v>1481</v>
      </c>
      <c r="P1063" s="122">
        <v>0</v>
      </c>
      <c r="Q1063" s="122">
        <v>0</v>
      </c>
      <c r="R1063" s="122">
        <v>9139</v>
      </c>
      <c r="S1063" s="122">
        <v>8308</v>
      </c>
      <c r="T1063" s="122">
        <v>4989</v>
      </c>
      <c r="U1063" s="122">
        <v>1848</v>
      </c>
      <c r="V1063" s="122">
        <v>94397</v>
      </c>
      <c r="W1063" s="122">
        <f t="shared" si="32"/>
        <v>94397</v>
      </c>
      <c r="X1063" s="122">
        <f t="shared" si="33"/>
        <v>120878</v>
      </c>
      <c r="AA1063" t="s">
        <v>56</v>
      </c>
      <c r="AB1063" t="s">
        <v>426</v>
      </c>
      <c r="AC1063" t="s">
        <v>566</v>
      </c>
      <c r="AD1063" t="s">
        <v>137</v>
      </c>
      <c r="AE1063" t="s">
        <v>566</v>
      </c>
      <c r="AF1063">
        <v>3</v>
      </c>
      <c r="AG1063">
        <v>291</v>
      </c>
      <c r="AH1063">
        <v>603</v>
      </c>
      <c r="AI1063" s="122">
        <v>53116</v>
      </c>
      <c r="AJ1063" s="122">
        <v>48287</v>
      </c>
      <c r="AK1063">
        <v>68</v>
      </c>
      <c r="AL1063">
        <v>0</v>
      </c>
      <c r="AM1063" s="122">
        <v>0</v>
      </c>
      <c r="AN1063" s="122">
        <v>6568</v>
      </c>
      <c r="AO1063" s="122">
        <v>2433</v>
      </c>
      <c r="AP1063" s="122">
        <v>1497</v>
      </c>
      <c r="AQ1063">
        <v>554</v>
      </c>
      <c r="AR1063" s="122">
        <v>21436</v>
      </c>
      <c r="AS1063" s="122">
        <v>7939</v>
      </c>
      <c r="AT1063" s="122">
        <v>0</v>
      </c>
      <c r="AU1063" s="122">
        <v>0</v>
      </c>
      <c r="AV1063" s="122">
        <v>59213</v>
      </c>
    </row>
    <row r="1064" spans="2:48" hidden="1">
      <c r="B1064" t="s">
        <v>368</v>
      </c>
      <c r="C1064" t="s">
        <v>64</v>
      </c>
      <c r="D1064" t="s">
        <v>431</v>
      </c>
      <c r="E1064" t="s">
        <v>137</v>
      </c>
      <c r="F1064" s="122">
        <v>7</v>
      </c>
      <c r="G1064" s="122">
        <v>499</v>
      </c>
      <c r="H1064" s="122">
        <v>6629</v>
      </c>
      <c r="I1064" s="122">
        <v>341368</v>
      </c>
      <c r="J1064" s="122">
        <v>310335</v>
      </c>
      <c r="K1064" s="122">
        <v>46</v>
      </c>
      <c r="L1064" s="122">
        <v>48663</v>
      </c>
      <c r="M1064" s="122">
        <v>31396</v>
      </c>
      <c r="N1064" s="122">
        <v>11393</v>
      </c>
      <c r="O1064" s="122">
        <v>4220</v>
      </c>
      <c r="P1064" s="122">
        <v>0</v>
      </c>
      <c r="Q1064" s="122">
        <v>0</v>
      </c>
      <c r="R1064" s="122">
        <v>44665</v>
      </c>
      <c r="S1064" s="122">
        <v>16542</v>
      </c>
      <c r="T1064" s="122">
        <v>0</v>
      </c>
      <c r="U1064" s="122">
        <v>0</v>
      </c>
      <c r="V1064" s="122">
        <v>362493</v>
      </c>
      <c r="W1064" s="122">
        <f t="shared" si="32"/>
        <v>362493</v>
      </c>
      <c r="X1064" s="122">
        <f t="shared" si="33"/>
        <v>446089</v>
      </c>
      <c r="AA1064" t="s">
        <v>56</v>
      </c>
      <c r="AB1064" t="s">
        <v>426</v>
      </c>
      <c r="AC1064" t="s">
        <v>566</v>
      </c>
      <c r="AD1064" t="s">
        <v>406</v>
      </c>
      <c r="AE1064" t="s">
        <v>137</v>
      </c>
      <c r="AF1064">
        <v>1</v>
      </c>
      <c r="AG1064" s="122">
        <v>155</v>
      </c>
      <c r="AH1064" s="122">
        <v>161</v>
      </c>
      <c r="AI1064" s="122">
        <v>12937</v>
      </c>
      <c r="AJ1064" s="122">
        <v>11761</v>
      </c>
      <c r="AK1064">
        <v>79</v>
      </c>
      <c r="AL1064">
        <v>0</v>
      </c>
      <c r="AM1064" s="122">
        <v>3267</v>
      </c>
      <c r="AN1064" s="122">
        <v>3779</v>
      </c>
      <c r="AO1064" s="122">
        <v>1400</v>
      </c>
      <c r="AP1064" s="122">
        <v>621</v>
      </c>
      <c r="AQ1064" s="122">
        <v>230</v>
      </c>
      <c r="AR1064" s="122">
        <v>4538</v>
      </c>
      <c r="AS1064" s="122">
        <v>4125</v>
      </c>
      <c r="AT1064" s="122">
        <v>3030</v>
      </c>
      <c r="AU1064" s="122">
        <v>1122</v>
      </c>
      <c r="AV1064" s="122">
        <v>21906</v>
      </c>
    </row>
    <row r="1065" spans="2:48" hidden="1">
      <c r="B1065" t="s">
        <v>368</v>
      </c>
      <c r="C1065" t="s">
        <v>64</v>
      </c>
      <c r="D1065" t="s">
        <v>431</v>
      </c>
      <c r="E1065" t="s">
        <v>428</v>
      </c>
      <c r="F1065" s="122">
        <v>1</v>
      </c>
      <c r="G1065" s="122">
        <v>47</v>
      </c>
      <c r="H1065" s="122">
        <v>716</v>
      </c>
      <c r="I1065" s="122">
        <v>21487</v>
      </c>
      <c r="J1065" s="122">
        <v>19534</v>
      </c>
      <c r="K1065" s="122">
        <v>65</v>
      </c>
      <c r="L1065" s="122">
        <v>5173</v>
      </c>
      <c r="M1065" s="122">
        <v>4703</v>
      </c>
      <c r="N1065" s="122">
        <v>1083</v>
      </c>
      <c r="O1065" s="122">
        <v>401</v>
      </c>
      <c r="P1065" s="122">
        <v>351</v>
      </c>
      <c r="Q1065" s="122">
        <v>130</v>
      </c>
      <c r="R1065" s="122">
        <v>3542</v>
      </c>
      <c r="S1065" s="122">
        <v>3220</v>
      </c>
      <c r="T1065" s="122">
        <v>1696</v>
      </c>
      <c r="U1065" s="122">
        <v>628</v>
      </c>
      <c r="V1065" s="122">
        <v>28616</v>
      </c>
      <c r="W1065" s="122">
        <f t="shared" si="32"/>
        <v>28616</v>
      </c>
      <c r="X1065" s="122">
        <f t="shared" si="33"/>
        <v>33332</v>
      </c>
      <c r="AA1065" t="s">
        <v>56</v>
      </c>
      <c r="AB1065" t="s">
        <v>426</v>
      </c>
      <c r="AC1065" t="s">
        <v>566</v>
      </c>
      <c r="AD1065" t="s">
        <v>426</v>
      </c>
      <c r="AE1065" t="s">
        <v>137</v>
      </c>
      <c r="AF1065">
        <v>35</v>
      </c>
      <c r="AG1065" s="122">
        <v>4576</v>
      </c>
      <c r="AH1065" s="122">
        <v>7175</v>
      </c>
      <c r="AI1065" s="122">
        <v>697572</v>
      </c>
      <c r="AJ1065" s="122">
        <v>634156</v>
      </c>
      <c r="AK1065">
        <v>67</v>
      </c>
      <c r="AL1065">
        <v>0</v>
      </c>
      <c r="AM1065" s="122">
        <v>1695</v>
      </c>
      <c r="AN1065" s="122">
        <v>90844</v>
      </c>
      <c r="AO1065" s="122">
        <v>33646</v>
      </c>
      <c r="AP1065" s="122">
        <v>15858</v>
      </c>
      <c r="AQ1065" s="122">
        <v>5873</v>
      </c>
      <c r="AR1065" s="122">
        <v>174319</v>
      </c>
      <c r="AS1065" s="122">
        <v>158471</v>
      </c>
      <c r="AT1065" s="122">
        <v>97226</v>
      </c>
      <c r="AU1065" s="122">
        <v>36010</v>
      </c>
      <c r="AV1065" s="122">
        <v>869852</v>
      </c>
    </row>
    <row r="1066" spans="2:48" hidden="1">
      <c r="B1066" t="s">
        <v>368</v>
      </c>
      <c r="C1066" t="s">
        <v>64</v>
      </c>
      <c r="D1066" t="s">
        <v>431</v>
      </c>
      <c r="E1066" t="s">
        <v>431</v>
      </c>
      <c r="F1066" s="122">
        <v>83</v>
      </c>
      <c r="G1066" s="122">
        <v>7842</v>
      </c>
      <c r="H1066" s="122">
        <v>55910</v>
      </c>
      <c r="I1066" s="122">
        <v>3702371</v>
      </c>
      <c r="J1066" s="122">
        <v>3365792</v>
      </c>
      <c r="K1066" s="122">
        <v>50</v>
      </c>
      <c r="L1066" s="122">
        <v>543048</v>
      </c>
      <c r="M1066" s="122">
        <v>460331</v>
      </c>
      <c r="N1066" s="122">
        <v>161523</v>
      </c>
      <c r="O1066" s="122">
        <v>59823</v>
      </c>
      <c r="P1066" s="122">
        <v>26744</v>
      </c>
      <c r="Q1066" s="122">
        <v>9905</v>
      </c>
      <c r="R1066" s="122">
        <v>617145</v>
      </c>
      <c r="S1066" s="122">
        <v>561041</v>
      </c>
      <c r="T1066" s="122">
        <v>140097</v>
      </c>
      <c r="U1066" s="122">
        <v>51888</v>
      </c>
      <c r="V1066" s="122">
        <v>4508779</v>
      </c>
      <c r="W1066" s="122">
        <f t="shared" si="32"/>
        <v>4508780</v>
      </c>
      <c r="X1066" s="122">
        <f t="shared" si="33"/>
        <v>5190928</v>
      </c>
      <c r="AA1066" t="s">
        <v>56</v>
      </c>
      <c r="AB1066" t="s">
        <v>426</v>
      </c>
      <c r="AC1066" t="s">
        <v>566</v>
      </c>
      <c r="AD1066" t="s">
        <v>426</v>
      </c>
      <c r="AE1066" t="s">
        <v>566</v>
      </c>
      <c r="AF1066">
        <v>13</v>
      </c>
      <c r="AG1066" s="122">
        <v>1417</v>
      </c>
      <c r="AH1066" s="122">
        <v>2668</v>
      </c>
      <c r="AI1066" s="122">
        <v>190237</v>
      </c>
      <c r="AJ1066" s="122">
        <v>172943</v>
      </c>
      <c r="AK1066">
        <v>64</v>
      </c>
      <c r="AL1066" s="122">
        <v>0</v>
      </c>
      <c r="AM1066" s="122">
        <v>2470</v>
      </c>
      <c r="AN1066" s="122">
        <v>23841</v>
      </c>
      <c r="AO1066" s="122">
        <v>8830</v>
      </c>
      <c r="AP1066" s="122">
        <v>4914</v>
      </c>
      <c r="AQ1066" s="122">
        <v>1820</v>
      </c>
      <c r="AR1066" s="122">
        <v>67601</v>
      </c>
      <c r="AS1066" s="122">
        <v>61456</v>
      </c>
      <c r="AT1066">
        <v>0</v>
      </c>
      <c r="AU1066">
        <v>0</v>
      </c>
      <c r="AV1066" s="122">
        <v>247518</v>
      </c>
    </row>
    <row r="1067" spans="2:48" hidden="1">
      <c r="B1067" t="s">
        <v>368</v>
      </c>
      <c r="C1067" t="s">
        <v>64</v>
      </c>
      <c r="D1067" t="s">
        <v>426</v>
      </c>
      <c r="E1067" t="s">
        <v>425</v>
      </c>
      <c r="F1067" s="122">
        <v>1</v>
      </c>
      <c r="G1067" s="122">
        <v>55</v>
      </c>
      <c r="H1067" s="122">
        <v>909</v>
      </c>
      <c r="I1067" s="122">
        <v>36573</v>
      </c>
      <c r="J1067" s="122">
        <v>33248</v>
      </c>
      <c r="K1067" s="122">
        <v>60</v>
      </c>
      <c r="L1067" s="122">
        <v>8127</v>
      </c>
      <c r="M1067" s="122">
        <v>7389</v>
      </c>
      <c r="N1067" s="122">
        <v>1333</v>
      </c>
      <c r="O1067" s="122">
        <v>494</v>
      </c>
      <c r="P1067" s="122">
        <v>0</v>
      </c>
      <c r="Q1067" s="122">
        <v>0</v>
      </c>
      <c r="R1067" s="122">
        <v>3701</v>
      </c>
      <c r="S1067" s="122">
        <v>3364</v>
      </c>
      <c r="T1067" s="122">
        <v>0</v>
      </c>
      <c r="U1067" s="122">
        <v>0</v>
      </c>
      <c r="V1067" s="122">
        <v>44495</v>
      </c>
      <c r="W1067" s="122">
        <f t="shared" si="32"/>
        <v>44495</v>
      </c>
      <c r="X1067" s="122">
        <f t="shared" si="33"/>
        <v>49734</v>
      </c>
      <c r="AA1067" t="s">
        <v>56</v>
      </c>
      <c r="AB1067" t="s">
        <v>426</v>
      </c>
      <c r="AC1067" t="s">
        <v>481</v>
      </c>
      <c r="AD1067" t="s">
        <v>426</v>
      </c>
      <c r="AE1067" t="s">
        <v>566</v>
      </c>
      <c r="AF1067">
        <v>1</v>
      </c>
      <c r="AG1067">
        <v>103</v>
      </c>
      <c r="AH1067">
        <v>210</v>
      </c>
      <c r="AI1067" s="122">
        <v>21089</v>
      </c>
      <c r="AJ1067" s="122">
        <v>19171</v>
      </c>
      <c r="AK1067">
        <v>70</v>
      </c>
      <c r="AL1067" s="122">
        <v>2397</v>
      </c>
      <c r="AM1067" s="122">
        <v>2179</v>
      </c>
      <c r="AN1067" s="122">
        <v>1897</v>
      </c>
      <c r="AO1067" s="122">
        <v>703</v>
      </c>
      <c r="AP1067">
        <v>621</v>
      </c>
      <c r="AQ1067">
        <v>230</v>
      </c>
      <c r="AR1067" s="122">
        <v>6647</v>
      </c>
      <c r="AS1067" s="122">
        <v>6043</v>
      </c>
      <c r="AT1067" s="122">
        <v>0</v>
      </c>
      <c r="AU1067" s="122">
        <v>0</v>
      </c>
      <c r="AV1067" s="122">
        <v>28326</v>
      </c>
    </row>
    <row r="1068" spans="2:48" hidden="1">
      <c r="B1068" t="s">
        <v>368</v>
      </c>
      <c r="C1068" t="s">
        <v>64</v>
      </c>
      <c r="D1068" t="s">
        <v>426</v>
      </c>
      <c r="E1068" t="s">
        <v>137</v>
      </c>
      <c r="F1068" s="122">
        <v>110</v>
      </c>
      <c r="G1068" s="122">
        <v>9469</v>
      </c>
      <c r="H1068" s="122">
        <v>118728</v>
      </c>
      <c r="I1068" s="122">
        <v>8180929</v>
      </c>
      <c r="J1068" s="122">
        <v>7437208</v>
      </c>
      <c r="K1068" s="122">
        <v>40</v>
      </c>
      <c r="L1068" s="122">
        <v>638752</v>
      </c>
      <c r="M1068" s="122">
        <v>410089</v>
      </c>
      <c r="N1068" s="122">
        <v>220417</v>
      </c>
      <c r="O1068" s="122">
        <v>81636</v>
      </c>
      <c r="P1068" s="122">
        <v>4413</v>
      </c>
      <c r="Q1068" s="122">
        <v>1634</v>
      </c>
      <c r="R1068" s="122">
        <v>684479</v>
      </c>
      <c r="S1068" s="122">
        <v>253511</v>
      </c>
      <c r="T1068" s="122">
        <v>3607</v>
      </c>
      <c r="U1068" s="122">
        <v>1336</v>
      </c>
      <c r="V1068" s="122">
        <v>8185414</v>
      </c>
      <c r="W1068" s="122">
        <f t="shared" si="32"/>
        <v>8185414</v>
      </c>
      <c r="X1068" s="122">
        <f t="shared" si="33"/>
        <v>9732597</v>
      </c>
      <c r="AA1068" t="s">
        <v>56</v>
      </c>
      <c r="AB1068" t="s">
        <v>426</v>
      </c>
      <c r="AC1068" t="s">
        <v>433</v>
      </c>
      <c r="AD1068" t="s">
        <v>426</v>
      </c>
      <c r="AE1068" t="s">
        <v>137</v>
      </c>
      <c r="AF1068">
        <v>1</v>
      </c>
      <c r="AG1068">
        <v>286</v>
      </c>
      <c r="AH1068">
        <v>173</v>
      </c>
      <c r="AI1068" s="122">
        <v>28958</v>
      </c>
      <c r="AJ1068" s="122">
        <v>26326</v>
      </c>
      <c r="AK1068">
        <v>55</v>
      </c>
      <c r="AL1068" s="122">
        <v>2723</v>
      </c>
      <c r="AM1068" s="122">
        <v>2475</v>
      </c>
      <c r="AN1068" s="122">
        <v>4356</v>
      </c>
      <c r="AO1068" s="122">
        <v>1613</v>
      </c>
      <c r="AP1068">
        <v>351</v>
      </c>
      <c r="AQ1068">
        <v>130</v>
      </c>
      <c r="AR1068" s="122">
        <v>8592</v>
      </c>
      <c r="AS1068" s="122">
        <v>7811</v>
      </c>
      <c r="AT1068" s="122">
        <v>4626</v>
      </c>
      <c r="AU1068" s="122">
        <v>1713</v>
      </c>
      <c r="AV1068" s="122">
        <v>40069</v>
      </c>
    </row>
    <row r="1069" spans="2:48" hidden="1">
      <c r="B1069" t="s">
        <v>368</v>
      </c>
      <c r="C1069" t="s">
        <v>64</v>
      </c>
      <c r="D1069" t="s">
        <v>426</v>
      </c>
      <c r="E1069" t="s">
        <v>426</v>
      </c>
      <c r="F1069" s="122">
        <v>458</v>
      </c>
      <c r="G1069" s="122">
        <v>42110</v>
      </c>
      <c r="H1069" s="122">
        <v>315210</v>
      </c>
      <c r="I1069" s="122">
        <v>20847242</v>
      </c>
      <c r="J1069" s="122">
        <v>18952038</v>
      </c>
      <c r="K1069" s="122">
        <v>50</v>
      </c>
      <c r="L1069" s="122">
        <v>2980114</v>
      </c>
      <c r="M1069" s="122">
        <v>2476839</v>
      </c>
      <c r="N1069" s="122">
        <v>881611</v>
      </c>
      <c r="O1069" s="122">
        <v>326523</v>
      </c>
      <c r="P1069" s="122">
        <v>148379</v>
      </c>
      <c r="Q1069" s="122">
        <v>54955</v>
      </c>
      <c r="R1069" s="122">
        <v>2892748</v>
      </c>
      <c r="S1069" s="122">
        <v>2629771</v>
      </c>
      <c r="T1069" s="122">
        <v>913702</v>
      </c>
      <c r="U1069" s="122">
        <v>338408</v>
      </c>
      <c r="V1069" s="122">
        <v>24778534</v>
      </c>
      <c r="W1069" s="122">
        <f t="shared" si="32"/>
        <v>24778534</v>
      </c>
      <c r="X1069" s="122">
        <f t="shared" si="33"/>
        <v>28663796</v>
      </c>
      <c r="AA1069" t="s">
        <v>56</v>
      </c>
      <c r="AB1069" t="s">
        <v>481</v>
      </c>
      <c r="AC1069" t="s">
        <v>425</v>
      </c>
      <c r="AD1069" t="s">
        <v>481</v>
      </c>
      <c r="AE1069" t="s">
        <v>137</v>
      </c>
      <c r="AF1069">
        <v>1</v>
      </c>
      <c r="AG1069">
        <v>420</v>
      </c>
      <c r="AH1069">
        <v>152</v>
      </c>
      <c r="AI1069" s="122">
        <v>40115</v>
      </c>
      <c r="AJ1069" s="122">
        <v>36468</v>
      </c>
      <c r="AK1069">
        <v>65</v>
      </c>
      <c r="AL1069" s="122">
        <v>7243</v>
      </c>
      <c r="AM1069" s="122">
        <v>6585</v>
      </c>
      <c r="AN1069" s="122">
        <v>8197</v>
      </c>
      <c r="AO1069" s="122">
        <v>3036</v>
      </c>
      <c r="AP1069">
        <v>351</v>
      </c>
      <c r="AQ1069">
        <v>130</v>
      </c>
      <c r="AR1069" s="122">
        <v>7827</v>
      </c>
      <c r="AS1069" s="122">
        <v>7115</v>
      </c>
      <c r="AT1069">
        <v>0</v>
      </c>
      <c r="AU1069">
        <v>0</v>
      </c>
      <c r="AV1069" s="122">
        <v>53334</v>
      </c>
    </row>
    <row r="1070" spans="2:48" hidden="1">
      <c r="B1070" t="s">
        <v>368</v>
      </c>
      <c r="C1070" t="s">
        <v>64</v>
      </c>
      <c r="D1070" t="s">
        <v>426</v>
      </c>
      <c r="E1070" t="s">
        <v>481</v>
      </c>
      <c r="F1070" s="122">
        <v>1</v>
      </c>
      <c r="G1070" s="122">
        <v>62</v>
      </c>
      <c r="H1070" s="122">
        <v>467</v>
      </c>
      <c r="I1070" s="122">
        <v>16575</v>
      </c>
      <c r="J1070" s="122">
        <v>15068</v>
      </c>
      <c r="K1070" s="122">
        <v>45</v>
      </c>
      <c r="L1070" s="122">
        <v>2621</v>
      </c>
      <c r="M1070" s="122">
        <v>2383</v>
      </c>
      <c r="N1070" s="122">
        <v>1284</v>
      </c>
      <c r="O1070" s="122">
        <v>476</v>
      </c>
      <c r="P1070" s="122">
        <v>351</v>
      </c>
      <c r="Q1070" s="122">
        <v>130</v>
      </c>
      <c r="R1070" s="122">
        <v>6074</v>
      </c>
      <c r="S1070" s="122">
        <v>5522</v>
      </c>
      <c r="T1070" s="122">
        <v>2052</v>
      </c>
      <c r="U1070" s="122">
        <v>760</v>
      </c>
      <c r="V1070" s="122">
        <v>24339</v>
      </c>
      <c r="W1070" s="122">
        <f t="shared" si="32"/>
        <v>24339</v>
      </c>
      <c r="X1070" s="122">
        <f t="shared" si="33"/>
        <v>28957</v>
      </c>
      <c r="AA1070" t="s">
        <v>56</v>
      </c>
      <c r="AB1070" t="s">
        <v>481</v>
      </c>
      <c r="AC1070" t="s">
        <v>425</v>
      </c>
      <c r="AD1070" t="s">
        <v>481</v>
      </c>
      <c r="AE1070" t="s">
        <v>566</v>
      </c>
      <c r="AF1070">
        <v>1</v>
      </c>
      <c r="AG1070">
        <v>123</v>
      </c>
      <c r="AH1070">
        <v>154</v>
      </c>
      <c r="AI1070" s="122">
        <v>11933</v>
      </c>
      <c r="AJ1070" s="122">
        <v>10849</v>
      </c>
      <c r="AK1070">
        <v>90</v>
      </c>
      <c r="AL1070" s="122">
        <v>1894</v>
      </c>
      <c r="AM1070" s="122">
        <v>1722</v>
      </c>
      <c r="AN1070" s="122">
        <v>1500</v>
      </c>
      <c r="AO1070" s="122">
        <v>556</v>
      </c>
      <c r="AP1070">
        <v>351</v>
      </c>
      <c r="AQ1070">
        <v>130</v>
      </c>
      <c r="AR1070" s="122">
        <v>3225</v>
      </c>
      <c r="AS1070" s="122">
        <v>2932</v>
      </c>
      <c r="AT1070">
        <v>0</v>
      </c>
      <c r="AU1070">
        <v>0</v>
      </c>
      <c r="AV1070" s="122">
        <v>16188</v>
      </c>
    </row>
    <row r="1071" spans="2:48" hidden="1">
      <c r="B1071" t="s">
        <v>368</v>
      </c>
      <c r="C1071" t="s">
        <v>64</v>
      </c>
      <c r="D1071" t="s">
        <v>481</v>
      </c>
      <c r="E1071" t="s">
        <v>426</v>
      </c>
      <c r="F1071" s="122">
        <v>1</v>
      </c>
      <c r="G1071" s="122">
        <v>68</v>
      </c>
      <c r="H1071" s="122">
        <v>715</v>
      </c>
      <c r="I1071" s="122">
        <v>33501</v>
      </c>
      <c r="J1071" s="122">
        <v>30455</v>
      </c>
      <c r="K1071" s="122">
        <v>60</v>
      </c>
      <c r="L1071" s="122">
        <v>7445</v>
      </c>
      <c r="M1071" s="122">
        <v>6768</v>
      </c>
      <c r="N1071" s="122">
        <v>1284</v>
      </c>
      <c r="O1071" s="122">
        <v>476</v>
      </c>
      <c r="P1071" s="122">
        <v>0</v>
      </c>
      <c r="Q1071" s="122">
        <v>0</v>
      </c>
      <c r="R1071" s="122">
        <v>6357</v>
      </c>
      <c r="S1071" s="122">
        <v>5779</v>
      </c>
      <c r="T1071" s="122">
        <v>0</v>
      </c>
      <c r="U1071" s="122">
        <v>0</v>
      </c>
      <c r="V1071" s="122">
        <v>43477</v>
      </c>
      <c r="W1071" s="122">
        <f t="shared" si="32"/>
        <v>43478</v>
      </c>
      <c r="X1071" s="122">
        <f t="shared" si="33"/>
        <v>48587</v>
      </c>
      <c r="AA1071" t="s">
        <v>56</v>
      </c>
      <c r="AB1071" t="s">
        <v>481</v>
      </c>
      <c r="AC1071" t="s">
        <v>427</v>
      </c>
      <c r="AD1071" t="s">
        <v>481</v>
      </c>
      <c r="AE1071" t="s">
        <v>566</v>
      </c>
      <c r="AF1071">
        <v>2</v>
      </c>
      <c r="AG1071">
        <v>398</v>
      </c>
      <c r="AH1071">
        <v>388</v>
      </c>
      <c r="AI1071" s="122">
        <v>43520</v>
      </c>
      <c r="AJ1071" s="122">
        <v>39564</v>
      </c>
      <c r="AK1071">
        <v>78</v>
      </c>
      <c r="AL1071" s="122">
        <v>8893</v>
      </c>
      <c r="AM1071" s="122">
        <v>8084</v>
      </c>
      <c r="AN1071" s="122">
        <v>9391</v>
      </c>
      <c r="AO1071" s="122">
        <v>3478</v>
      </c>
      <c r="AP1071" s="122">
        <v>972</v>
      </c>
      <c r="AQ1071">
        <v>360</v>
      </c>
      <c r="AR1071" s="122">
        <v>13541</v>
      </c>
      <c r="AS1071" s="122">
        <v>12310</v>
      </c>
      <c r="AT1071">
        <v>0</v>
      </c>
      <c r="AU1071">
        <v>0</v>
      </c>
      <c r="AV1071" s="122">
        <v>63796</v>
      </c>
    </row>
    <row r="1072" spans="2:48" hidden="1">
      <c r="B1072" t="s">
        <v>368</v>
      </c>
      <c r="C1072" t="s">
        <v>64</v>
      </c>
      <c r="D1072" t="s">
        <v>433</v>
      </c>
      <c r="E1072" t="s">
        <v>425</v>
      </c>
      <c r="F1072" s="122">
        <v>1</v>
      </c>
      <c r="G1072" s="122">
        <v>51</v>
      </c>
      <c r="H1072" s="122">
        <v>1033</v>
      </c>
      <c r="I1072" s="122">
        <v>44377</v>
      </c>
      <c r="J1072" s="122">
        <v>40343</v>
      </c>
      <c r="K1072" s="122">
        <v>30</v>
      </c>
      <c r="L1072" s="122">
        <v>3631</v>
      </c>
      <c r="M1072" s="122">
        <v>1345</v>
      </c>
      <c r="N1072" s="122">
        <v>1251</v>
      </c>
      <c r="O1072" s="122">
        <v>463</v>
      </c>
      <c r="P1072" s="122">
        <v>0</v>
      </c>
      <c r="Q1072" s="122">
        <v>0</v>
      </c>
      <c r="R1072" s="122">
        <v>3743</v>
      </c>
      <c r="S1072" s="122">
        <v>3403</v>
      </c>
      <c r="T1072" s="122">
        <v>0</v>
      </c>
      <c r="U1072" s="122">
        <v>0</v>
      </c>
      <c r="V1072" s="122">
        <v>45554</v>
      </c>
      <c r="W1072" s="122">
        <f t="shared" si="32"/>
        <v>45554</v>
      </c>
      <c r="X1072" s="122">
        <f t="shared" si="33"/>
        <v>53002</v>
      </c>
      <c r="AA1072" t="s">
        <v>56</v>
      </c>
      <c r="AB1072" t="s">
        <v>481</v>
      </c>
      <c r="AC1072" t="s">
        <v>579</v>
      </c>
      <c r="AD1072" t="s">
        <v>481</v>
      </c>
      <c r="AE1072" t="s">
        <v>566</v>
      </c>
      <c r="AF1072">
        <v>1</v>
      </c>
      <c r="AG1072">
        <v>216</v>
      </c>
      <c r="AH1072">
        <v>176</v>
      </c>
      <c r="AI1072" s="122">
        <v>22724</v>
      </c>
      <c r="AJ1072" s="122">
        <v>20658</v>
      </c>
      <c r="AK1072">
        <v>65</v>
      </c>
      <c r="AL1072" s="122">
        <v>2984</v>
      </c>
      <c r="AM1072" s="122">
        <v>2487</v>
      </c>
      <c r="AN1072" s="122">
        <v>3257</v>
      </c>
      <c r="AO1072" s="122">
        <v>1206</v>
      </c>
      <c r="AP1072" s="122">
        <v>1053</v>
      </c>
      <c r="AQ1072">
        <v>390</v>
      </c>
      <c r="AR1072" s="122">
        <v>7987</v>
      </c>
      <c r="AS1072" s="122">
        <v>7261</v>
      </c>
      <c r="AT1072">
        <v>0</v>
      </c>
      <c r="AU1072">
        <v>0</v>
      </c>
      <c r="AV1072" s="122">
        <v>32002</v>
      </c>
    </row>
    <row r="1073" spans="2:48" hidden="1">
      <c r="B1073" t="s">
        <v>368</v>
      </c>
      <c r="C1073" t="s">
        <v>64</v>
      </c>
      <c r="D1073" t="s">
        <v>433</v>
      </c>
      <c r="E1073" t="s">
        <v>137</v>
      </c>
      <c r="F1073" s="122">
        <v>1</v>
      </c>
      <c r="G1073" s="122">
        <v>95</v>
      </c>
      <c r="H1073" s="122">
        <v>633</v>
      </c>
      <c r="I1073" s="122">
        <v>39579</v>
      </c>
      <c r="J1073" s="122">
        <v>35981</v>
      </c>
      <c r="K1073" s="122">
        <v>60</v>
      </c>
      <c r="L1073" s="122">
        <v>8795</v>
      </c>
      <c r="M1073" s="122">
        <v>7996</v>
      </c>
      <c r="N1073" s="122">
        <v>2128</v>
      </c>
      <c r="O1073" s="122">
        <v>788</v>
      </c>
      <c r="P1073" s="122">
        <v>0</v>
      </c>
      <c r="Q1073" s="122">
        <v>0</v>
      </c>
      <c r="R1073" s="122">
        <v>9878</v>
      </c>
      <c r="S1073" s="122">
        <v>3659</v>
      </c>
      <c r="T1073" s="122">
        <v>0</v>
      </c>
      <c r="U1073" s="122">
        <v>0</v>
      </c>
      <c r="V1073" s="122">
        <v>48423</v>
      </c>
      <c r="W1073" s="122">
        <f t="shared" si="32"/>
        <v>48424</v>
      </c>
      <c r="X1073" s="122">
        <f t="shared" si="33"/>
        <v>60380</v>
      </c>
      <c r="AA1073" t="s">
        <v>56</v>
      </c>
      <c r="AB1073" t="s">
        <v>481</v>
      </c>
      <c r="AC1073" t="s">
        <v>426</v>
      </c>
      <c r="AD1073" t="s">
        <v>481</v>
      </c>
      <c r="AE1073" t="s">
        <v>566</v>
      </c>
      <c r="AF1073">
        <v>1</v>
      </c>
      <c r="AG1073">
        <v>391</v>
      </c>
      <c r="AH1073">
        <v>162</v>
      </c>
      <c r="AI1073" s="122">
        <v>40665</v>
      </c>
      <c r="AJ1073" s="122">
        <v>36968</v>
      </c>
      <c r="AK1073">
        <v>83</v>
      </c>
      <c r="AL1073" s="122">
        <v>6273</v>
      </c>
      <c r="AM1073" s="122">
        <v>5703</v>
      </c>
      <c r="AN1073" s="122">
        <v>8329</v>
      </c>
      <c r="AO1073" s="122">
        <v>3085</v>
      </c>
      <c r="AP1073" s="122">
        <v>351</v>
      </c>
      <c r="AQ1073">
        <v>130</v>
      </c>
      <c r="AR1073" s="122">
        <v>7505</v>
      </c>
      <c r="AS1073" s="122">
        <v>6822</v>
      </c>
      <c r="AT1073" s="122">
        <v>0</v>
      </c>
      <c r="AU1073" s="122">
        <v>0</v>
      </c>
      <c r="AV1073" s="122">
        <v>52708</v>
      </c>
    </row>
    <row r="1074" spans="2:48" hidden="1">
      <c r="B1074" t="s">
        <v>368</v>
      </c>
      <c r="C1074" t="s">
        <v>64</v>
      </c>
      <c r="D1074" t="s">
        <v>433</v>
      </c>
      <c r="E1074" t="s">
        <v>433</v>
      </c>
      <c r="F1074" s="122">
        <v>5</v>
      </c>
      <c r="G1074" s="122">
        <v>479</v>
      </c>
      <c r="H1074" s="122">
        <v>3779</v>
      </c>
      <c r="I1074" s="122">
        <v>257240</v>
      </c>
      <c r="J1074" s="122">
        <v>233855</v>
      </c>
      <c r="K1074" s="122">
        <v>54</v>
      </c>
      <c r="L1074" s="122">
        <v>38389</v>
      </c>
      <c r="M1074" s="122">
        <v>34899</v>
      </c>
      <c r="N1074" s="122">
        <v>9630</v>
      </c>
      <c r="O1074" s="122">
        <v>3567</v>
      </c>
      <c r="P1074" s="122">
        <v>2025</v>
      </c>
      <c r="Q1074" s="122">
        <v>750</v>
      </c>
      <c r="R1074" s="122">
        <v>37113</v>
      </c>
      <c r="S1074" s="122">
        <v>33739</v>
      </c>
      <c r="T1074" s="122">
        <v>13209</v>
      </c>
      <c r="U1074" s="122">
        <v>4892</v>
      </c>
      <c r="V1074" s="122">
        <v>311702</v>
      </c>
      <c r="W1074" s="122">
        <f t="shared" si="32"/>
        <v>311702</v>
      </c>
      <c r="X1074" s="122">
        <f t="shared" si="33"/>
        <v>357606</v>
      </c>
      <c r="AA1074" t="s">
        <v>56</v>
      </c>
      <c r="AB1074" t="s">
        <v>481</v>
      </c>
      <c r="AC1074" t="s">
        <v>566</v>
      </c>
      <c r="AD1074" t="s">
        <v>481</v>
      </c>
      <c r="AE1074" t="s">
        <v>137</v>
      </c>
      <c r="AF1074">
        <v>1</v>
      </c>
      <c r="AG1074">
        <v>167</v>
      </c>
      <c r="AH1074">
        <v>199</v>
      </c>
      <c r="AI1074" s="122">
        <v>19176</v>
      </c>
      <c r="AJ1074" s="122">
        <v>17433</v>
      </c>
      <c r="AK1074">
        <v>65</v>
      </c>
      <c r="AL1074" s="122">
        <v>0</v>
      </c>
      <c r="AM1074" s="122">
        <v>0</v>
      </c>
      <c r="AN1074" s="122">
        <v>3660</v>
      </c>
      <c r="AO1074" s="122">
        <v>1355</v>
      </c>
      <c r="AP1074" s="122">
        <v>1404</v>
      </c>
      <c r="AQ1074">
        <v>520</v>
      </c>
      <c r="AR1074" s="122">
        <v>5625</v>
      </c>
      <c r="AS1074" s="122">
        <v>5113</v>
      </c>
      <c r="AT1074" s="122">
        <v>3333</v>
      </c>
      <c r="AU1074" s="122">
        <v>1234</v>
      </c>
      <c r="AV1074" s="122">
        <v>25656</v>
      </c>
    </row>
    <row r="1075" spans="2:48" hidden="1">
      <c r="B1075" t="s">
        <v>368</v>
      </c>
      <c r="C1075" t="s">
        <v>64</v>
      </c>
      <c r="D1075" t="s">
        <v>408</v>
      </c>
      <c r="E1075" t="s">
        <v>137</v>
      </c>
      <c r="F1075" s="122">
        <v>1</v>
      </c>
      <c r="G1075" s="122">
        <v>41</v>
      </c>
      <c r="H1075" s="122">
        <v>843</v>
      </c>
      <c r="I1075" s="122">
        <v>24141</v>
      </c>
      <c r="J1075" s="122">
        <v>21947</v>
      </c>
      <c r="K1075" s="122">
        <v>65</v>
      </c>
      <c r="L1075" s="122">
        <v>4280</v>
      </c>
      <c r="M1075" s="122">
        <v>1585</v>
      </c>
      <c r="N1075" s="122">
        <v>864</v>
      </c>
      <c r="O1075" s="122">
        <v>320</v>
      </c>
      <c r="P1075" s="122">
        <v>0</v>
      </c>
      <c r="Q1075" s="122">
        <v>0</v>
      </c>
      <c r="R1075" s="122">
        <v>4873</v>
      </c>
      <c r="S1075" s="122">
        <v>1805</v>
      </c>
      <c r="T1075" s="122">
        <v>0</v>
      </c>
      <c r="U1075" s="122">
        <v>0</v>
      </c>
      <c r="V1075" s="122">
        <v>25657</v>
      </c>
      <c r="W1075" s="122">
        <f t="shared" si="32"/>
        <v>25657</v>
      </c>
      <c r="X1075" s="122">
        <f t="shared" si="33"/>
        <v>34158</v>
      </c>
      <c r="AA1075" t="s">
        <v>56</v>
      </c>
      <c r="AB1075" t="s">
        <v>433</v>
      </c>
      <c r="AC1075" t="s">
        <v>137</v>
      </c>
      <c r="AD1075" t="s">
        <v>137</v>
      </c>
      <c r="AE1075" t="s">
        <v>566</v>
      </c>
      <c r="AF1075">
        <v>2</v>
      </c>
      <c r="AG1075">
        <v>316</v>
      </c>
      <c r="AH1075">
        <v>376</v>
      </c>
      <c r="AI1075" s="122">
        <v>34003</v>
      </c>
      <c r="AJ1075" s="122">
        <v>30912</v>
      </c>
      <c r="AK1075">
        <v>68</v>
      </c>
      <c r="AL1075" s="122">
        <v>6229</v>
      </c>
      <c r="AM1075" s="122">
        <v>2307</v>
      </c>
      <c r="AN1075" s="122">
        <v>3852</v>
      </c>
      <c r="AO1075" s="122">
        <v>1427</v>
      </c>
      <c r="AP1075" s="122">
        <v>1235</v>
      </c>
      <c r="AQ1075">
        <v>457</v>
      </c>
      <c r="AR1075" s="122">
        <v>13789</v>
      </c>
      <c r="AS1075" s="122">
        <v>5107</v>
      </c>
      <c r="AT1075" s="122">
        <v>0</v>
      </c>
      <c r="AU1075" s="122">
        <v>0</v>
      </c>
      <c r="AV1075" s="122">
        <v>40210</v>
      </c>
    </row>
    <row r="1076" spans="2:48" hidden="1">
      <c r="B1076" t="s">
        <v>368</v>
      </c>
      <c r="C1076" t="s">
        <v>64</v>
      </c>
      <c r="D1076" t="s">
        <v>408</v>
      </c>
      <c r="E1076" t="s">
        <v>408</v>
      </c>
      <c r="F1076" s="122">
        <v>2</v>
      </c>
      <c r="G1076" s="122">
        <v>232</v>
      </c>
      <c r="H1076" s="122">
        <v>1100</v>
      </c>
      <c r="I1076" s="122">
        <v>91162</v>
      </c>
      <c r="J1076" s="122">
        <v>82874</v>
      </c>
      <c r="K1076" s="122">
        <v>65</v>
      </c>
      <c r="L1076" s="122">
        <v>16188</v>
      </c>
      <c r="M1076" s="122">
        <v>14717</v>
      </c>
      <c r="N1076" s="122">
        <v>4824</v>
      </c>
      <c r="O1076" s="122">
        <v>1787</v>
      </c>
      <c r="P1076" s="122">
        <v>702</v>
      </c>
      <c r="Q1076" s="122">
        <v>260</v>
      </c>
      <c r="R1076" s="122">
        <v>8751</v>
      </c>
      <c r="S1076" s="122">
        <v>7956</v>
      </c>
      <c r="T1076" s="122">
        <v>5246</v>
      </c>
      <c r="U1076" s="122">
        <v>1943</v>
      </c>
      <c r="V1076" s="122">
        <v>109537</v>
      </c>
      <c r="W1076" s="122">
        <f t="shared" si="32"/>
        <v>109537</v>
      </c>
      <c r="X1076" s="122">
        <f t="shared" si="33"/>
        <v>126873</v>
      </c>
      <c r="AA1076" t="s">
        <v>56</v>
      </c>
      <c r="AB1076" t="s">
        <v>433</v>
      </c>
      <c r="AC1076" t="s">
        <v>137</v>
      </c>
      <c r="AD1076" t="s">
        <v>433</v>
      </c>
      <c r="AE1076" t="s">
        <v>137</v>
      </c>
      <c r="AF1076">
        <v>1</v>
      </c>
      <c r="AG1076">
        <v>214</v>
      </c>
      <c r="AH1076">
        <v>181</v>
      </c>
      <c r="AI1076" s="122">
        <v>20177</v>
      </c>
      <c r="AJ1076" s="122">
        <v>18343</v>
      </c>
      <c r="AK1076">
        <v>65</v>
      </c>
      <c r="AL1076" s="122">
        <v>3577</v>
      </c>
      <c r="AM1076" s="122">
        <v>1325</v>
      </c>
      <c r="AN1076" s="122">
        <v>4406</v>
      </c>
      <c r="AO1076" s="122">
        <v>1632</v>
      </c>
      <c r="AP1076">
        <v>351</v>
      </c>
      <c r="AQ1076">
        <v>130</v>
      </c>
      <c r="AR1076" s="122">
        <v>6366</v>
      </c>
      <c r="AS1076" s="122">
        <v>5787</v>
      </c>
      <c r="AT1076" s="122">
        <v>3915</v>
      </c>
      <c r="AU1076" s="122">
        <v>1450</v>
      </c>
      <c r="AV1076" s="122">
        <v>28666</v>
      </c>
    </row>
    <row r="1077" spans="2:48" hidden="1">
      <c r="B1077" t="s">
        <v>368</v>
      </c>
      <c r="C1077" t="s">
        <v>64</v>
      </c>
      <c r="D1077" t="s">
        <v>429</v>
      </c>
      <c r="E1077" t="s">
        <v>429</v>
      </c>
      <c r="F1077" s="122">
        <v>1</v>
      </c>
      <c r="G1077" s="122">
        <v>108</v>
      </c>
      <c r="H1077" s="122">
        <v>588</v>
      </c>
      <c r="I1077" s="122">
        <v>43074</v>
      </c>
      <c r="J1077" s="122">
        <v>39158</v>
      </c>
      <c r="K1077" s="122">
        <v>65</v>
      </c>
      <c r="L1077" s="122">
        <v>10370</v>
      </c>
      <c r="M1077" s="122">
        <v>9427</v>
      </c>
      <c r="N1077" s="122">
        <v>2346</v>
      </c>
      <c r="O1077" s="122">
        <v>869</v>
      </c>
      <c r="P1077" s="122">
        <v>351</v>
      </c>
      <c r="Q1077" s="122">
        <v>130</v>
      </c>
      <c r="R1077" s="122">
        <v>4773</v>
      </c>
      <c r="S1077" s="122">
        <v>4339</v>
      </c>
      <c r="T1077" s="122">
        <v>2664</v>
      </c>
      <c r="U1077" s="122">
        <v>987</v>
      </c>
      <c r="V1077" s="122">
        <v>54910</v>
      </c>
      <c r="W1077" s="122">
        <f t="shared" si="32"/>
        <v>54910</v>
      </c>
      <c r="X1077" s="122">
        <f t="shared" si="33"/>
        <v>63578</v>
      </c>
      <c r="AA1077" t="s">
        <v>56</v>
      </c>
      <c r="AB1077" t="s">
        <v>433</v>
      </c>
      <c r="AC1077" t="s">
        <v>137</v>
      </c>
      <c r="AD1077" t="s">
        <v>433</v>
      </c>
      <c r="AE1077" t="s">
        <v>566</v>
      </c>
      <c r="AF1077">
        <v>1</v>
      </c>
      <c r="AG1077">
        <v>126</v>
      </c>
      <c r="AH1077">
        <v>190</v>
      </c>
      <c r="AI1077" s="122">
        <v>15010</v>
      </c>
      <c r="AJ1077" s="122">
        <v>13645</v>
      </c>
      <c r="AK1077">
        <v>72</v>
      </c>
      <c r="AL1077" s="122">
        <v>2960</v>
      </c>
      <c r="AM1077" s="122">
        <v>1096</v>
      </c>
      <c r="AN1077" s="122">
        <v>1842</v>
      </c>
      <c r="AO1077">
        <v>682</v>
      </c>
      <c r="AP1077">
        <v>0</v>
      </c>
      <c r="AQ1077">
        <v>0</v>
      </c>
      <c r="AR1077" s="122">
        <v>4154</v>
      </c>
      <c r="AS1077" s="122">
        <v>3777</v>
      </c>
      <c r="AT1077">
        <v>0</v>
      </c>
      <c r="AU1077">
        <v>0</v>
      </c>
      <c r="AV1077" s="122">
        <v>19200</v>
      </c>
    </row>
    <row r="1078" spans="2:48" hidden="1">
      <c r="B1078" t="s">
        <v>369</v>
      </c>
      <c r="C1078" t="s">
        <v>48</v>
      </c>
      <c r="D1078" t="s">
        <v>405</v>
      </c>
      <c r="E1078" t="s">
        <v>405</v>
      </c>
      <c r="F1078" s="122">
        <v>2</v>
      </c>
      <c r="G1078" s="122">
        <v>366</v>
      </c>
      <c r="H1078" s="122">
        <v>111</v>
      </c>
      <c r="I1078" s="122">
        <v>2404</v>
      </c>
      <c r="J1078" s="122">
        <v>2185</v>
      </c>
      <c r="K1078" s="122">
        <v>91</v>
      </c>
      <c r="L1078" s="122">
        <v>234</v>
      </c>
      <c r="M1078" s="122">
        <v>213</v>
      </c>
      <c r="N1078" s="122">
        <v>4454</v>
      </c>
      <c r="O1078" s="122">
        <v>1650</v>
      </c>
      <c r="P1078" s="122">
        <v>4042</v>
      </c>
      <c r="Q1078" s="122">
        <v>1497</v>
      </c>
      <c r="R1078" s="122">
        <v>9891</v>
      </c>
      <c r="S1078" s="122">
        <v>8992</v>
      </c>
      <c r="T1078" s="122">
        <v>0</v>
      </c>
      <c r="U1078" s="122">
        <v>0</v>
      </c>
      <c r="V1078" s="122">
        <v>14537</v>
      </c>
      <c r="W1078" s="122">
        <f t="shared" si="32"/>
        <v>14537</v>
      </c>
      <c r="X1078" s="122">
        <f t="shared" si="33"/>
        <v>21025</v>
      </c>
      <c r="AA1078" t="s">
        <v>56</v>
      </c>
      <c r="AB1078" t="s">
        <v>433</v>
      </c>
      <c r="AC1078" t="s">
        <v>580</v>
      </c>
      <c r="AD1078" t="s">
        <v>433</v>
      </c>
      <c r="AE1078" t="s">
        <v>137</v>
      </c>
      <c r="AF1078">
        <v>1</v>
      </c>
      <c r="AG1078">
        <v>133</v>
      </c>
      <c r="AH1078">
        <v>172</v>
      </c>
      <c r="AI1078" s="122">
        <v>16043</v>
      </c>
      <c r="AJ1078" s="122">
        <v>14585</v>
      </c>
      <c r="AK1078">
        <v>87</v>
      </c>
      <c r="AL1078" s="122">
        <v>2216</v>
      </c>
      <c r="AM1078" s="122">
        <v>2014</v>
      </c>
      <c r="AN1078" s="122">
        <v>1620</v>
      </c>
      <c r="AO1078" s="122">
        <v>600</v>
      </c>
      <c r="AP1078" s="122">
        <v>351</v>
      </c>
      <c r="AQ1078">
        <v>130</v>
      </c>
      <c r="AR1078" s="122">
        <v>2644</v>
      </c>
      <c r="AS1078" s="122">
        <v>2404</v>
      </c>
      <c r="AT1078">
        <v>0</v>
      </c>
      <c r="AU1078">
        <v>0</v>
      </c>
      <c r="AV1078" s="122">
        <v>19733</v>
      </c>
    </row>
    <row r="1079" spans="2:48" hidden="1">
      <c r="B1079" t="s">
        <v>369</v>
      </c>
      <c r="C1079" t="s">
        <v>48</v>
      </c>
      <c r="D1079" t="s">
        <v>137</v>
      </c>
      <c r="E1079" t="s">
        <v>137</v>
      </c>
      <c r="F1079" s="122">
        <v>281</v>
      </c>
      <c r="G1079" s="122">
        <v>61054</v>
      </c>
      <c r="H1079" s="122">
        <v>16407</v>
      </c>
      <c r="I1079" s="122">
        <v>568519</v>
      </c>
      <c r="J1079" s="122">
        <v>210563</v>
      </c>
      <c r="K1079" s="122">
        <v>456</v>
      </c>
      <c r="L1079" s="122">
        <v>143089</v>
      </c>
      <c r="M1079" s="122">
        <v>130864</v>
      </c>
      <c r="N1079" s="122">
        <v>832329</v>
      </c>
      <c r="O1079" s="122">
        <v>308270</v>
      </c>
      <c r="P1079" s="122">
        <v>447441</v>
      </c>
      <c r="Q1079" s="122">
        <v>165719</v>
      </c>
      <c r="R1079" s="122">
        <v>1569125</v>
      </c>
      <c r="S1079" s="122">
        <v>581157</v>
      </c>
      <c r="T1079" s="122">
        <v>0</v>
      </c>
      <c r="U1079" s="122">
        <v>0</v>
      </c>
      <c r="V1079" s="122">
        <v>1396573</v>
      </c>
      <c r="W1079" s="122">
        <f t="shared" si="32"/>
        <v>1396573</v>
      </c>
      <c r="X1079" s="122">
        <f t="shared" si="33"/>
        <v>3560503</v>
      </c>
      <c r="AA1079" t="s">
        <v>56</v>
      </c>
      <c r="AB1079" t="s">
        <v>433</v>
      </c>
      <c r="AC1079" t="s">
        <v>580</v>
      </c>
      <c r="AD1079" t="s">
        <v>433</v>
      </c>
      <c r="AE1079" t="s">
        <v>566</v>
      </c>
      <c r="AF1079">
        <v>3</v>
      </c>
      <c r="AG1079">
        <v>549</v>
      </c>
      <c r="AH1079">
        <v>574</v>
      </c>
      <c r="AI1079" s="122">
        <v>76248</v>
      </c>
      <c r="AJ1079" s="122">
        <v>69316</v>
      </c>
      <c r="AK1079">
        <v>79</v>
      </c>
      <c r="AL1079" s="122">
        <v>8657</v>
      </c>
      <c r="AM1079" s="122">
        <v>7870</v>
      </c>
      <c r="AN1079" s="122">
        <v>11320</v>
      </c>
      <c r="AO1079" s="122">
        <v>4192</v>
      </c>
      <c r="AP1079" s="122">
        <v>2565</v>
      </c>
      <c r="AQ1079">
        <v>950</v>
      </c>
      <c r="AR1079" s="122">
        <v>21900</v>
      </c>
      <c r="AS1079" s="122">
        <v>19909</v>
      </c>
      <c r="AT1079" s="122">
        <v>0</v>
      </c>
      <c r="AU1079" s="122">
        <v>0</v>
      </c>
      <c r="AV1079" s="122">
        <v>102238</v>
      </c>
    </row>
    <row r="1080" spans="2:48" hidden="1">
      <c r="B1080" t="s">
        <v>369</v>
      </c>
      <c r="C1080" t="s">
        <v>48</v>
      </c>
      <c r="D1080" t="s">
        <v>137</v>
      </c>
      <c r="E1080" t="s">
        <v>406</v>
      </c>
      <c r="F1080" s="122">
        <v>1</v>
      </c>
      <c r="G1080" s="122">
        <v>362</v>
      </c>
      <c r="H1080" s="122">
        <v>75</v>
      </c>
      <c r="I1080" s="122">
        <v>11226</v>
      </c>
      <c r="J1080" s="122">
        <v>4158</v>
      </c>
      <c r="K1080" s="122">
        <v>412</v>
      </c>
      <c r="L1080" s="122">
        <v>3489</v>
      </c>
      <c r="M1080" s="122">
        <v>3172</v>
      </c>
      <c r="N1080" s="122">
        <v>6351</v>
      </c>
      <c r="O1080" s="122">
        <v>2352</v>
      </c>
      <c r="P1080" s="122">
        <v>2025</v>
      </c>
      <c r="Q1080" s="122">
        <v>750</v>
      </c>
      <c r="R1080" s="122">
        <v>4029</v>
      </c>
      <c r="S1080" s="122">
        <v>3663</v>
      </c>
      <c r="T1080" s="122">
        <v>0</v>
      </c>
      <c r="U1080" s="122">
        <v>0</v>
      </c>
      <c r="V1080" s="122">
        <v>14095</v>
      </c>
      <c r="W1080" s="122">
        <f t="shared" si="32"/>
        <v>14095</v>
      </c>
      <c r="X1080" s="122">
        <f t="shared" si="33"/>
        <v>27120</v>
      </c>
      <c r="AA1080" t="s">
        <v>56</v>
      </c>
      <c r="AB1080" t="s">
        <v>433</v>
      </c>
      <c r="AC1080" t="s">
        <v>427</v>
      </c>
      <c r="AD1080" t="s">
        <v>433</v>
      </c>
      <c r="AE1080" t="s">
        <v>137</v>
      </c>
      <c r="AF1080">
        <v>2</v>
      </c>
      <c r="AG1080">
        <v>273</v>
      </c>
      <c r="AH1080">
        <v>410</v>
      </c>
      <c r="AI1080" s="122">
        <v>39517</v>
      </c>
      <c r="AJ1080" s="122">
        <v>35925</v>
      </c>
      <c r="AK1080">
        <v>65</v>
      </c>
      <c r="AL1080" s="122">
        <v>8498</v>
      </c>
      <c r="AM1080" s="122">
        <v>7726</v>
      </c>
      <c r="AN1080" s="122">
        <v>7837</v>
      </c>
      <c r="AO1080" s="122">
        <v>2902</v>
      </c>
      <c r="AP1080">
        <v>702</v>
      </c>
      <c r="AQ1080">
        <v>260</v>
      </c>
      <c r="AR1080" s="122">
        <v>9524</v>
      </c>
      <c r="AS1080" s="122">
        <v>8658</v>
      </c>
      <c r="AT1080" s="122">
        <v>6431</v>
      </c>
      <c r="AU1080" s="122">
        <v>2382</v>
      </c>
      <c r="AV1080" s="122">
        <v>57853</v>
      </c>
    </row>
    <row r="1081" spans="2:48" hidden="1">
      <c r="B1081" t="s">
        <v>369</v>
      </c>
      <c r="C1081" t="s">
        <v>48</v>
      </c>
      <c r="D1081" t="s">
        <v>406</v>
      </c>
      <c r="E1081" t="s">
        <v>137</v>
      </c>
      <c r="F1081" s="122">
        <v>5</v>
      </c>
      <c r="G1081" s="122">
        <v>888</v>
      </c>
      <c r="H1081" s="122">
        <v>326</v>
      </c>
      <c r="I1081" s="122">
        <v>13259</v>
      </c>
      <c r="J1081" s="122">
        <v>12054</v>
      </c>
      <c r="K1081" s="122">
        <v>95</v>
      </c>
      <c r="L1081" s="122">
        <v>3428</v>
      </c>
      <c r="M1081" s="122">
        <v>3116</v>
      </c>
      <c r="N1081" s="122">
        <v>14072</v>
      </c>
      <c r="O1081" s="122">
        <v>5212</v>
      </c>
      <c r="P1081" s="122">
        <v>9639</v>
      </c>
      <c r="Q1081" s="122">
        <v>3570</v>
      </c>
      <c r="R1081" s="122">
        <v>17009</v>
      </c>
      <c r="S1081" s="122">
        <v>6299</v>
      </c>
      <c r="T1081" s="122">
        <v>0</v>
      </c>
      <c r="U1081" s="122">
        <v>0</v>
      </c>
      <c r="V1081" s="122">
        <v>30252</v>
      </c>
      <c r="W1081" s="122">
        <f t="shared" si="32"/>
        <v>30251</v>
      </c>
      <c r="X1081" s="122">
        <f t="shared" si="33"/>
        <v>57407</v>
      </c>
      <c r="AA1081" t="s">
        <v>56</v>
      </c>
      <c r="AB1081" t="s">
        <v>433</v>
      </c>
      <c r="AC1081" t="s">
        <v>431</v>
      </c>
      <c r="AD1081" t="s">
        <v>426</v>
      </c>
      <c r="AE1081" t="s">
        <v>137</v>
      </c>
      <c r="AF1081">
        <v>1</v>
      </c>
      <c r="AG1081">
        <v>113</v>
      </c>
      <c r="AH1081">
        <v>221</v>
      </c>
      <c r="AI1081" s="122">
        <v>24220</v>
      </c>
      <c r="AJ1081" s="122">
        <v>22019</v>
      </c>
      <c r="AK1081">
        <v>65</v>
      </c>
      <c r="AL1081" s="122">
        <v>5831</v>
      </c>
      <c r="AM1081" s="122">
        <v>5301</v>
      </c>
      <c r="AN1081" s="122">
        <v>2118</v>
      </c>
      <c r="AO1081" s="122">
        <v>785</v>
      </c>
      <c r="AP1081">
        <v>702</v>
      </c>
      <c r="AQ1081">
        <v>260</v>
      </c>
      <c r="AR1081" s="122">
        <v>4028</v>
      </c>
      <c r="AS1081" s="122">
        <v>3662</v>
      </c>
      <c r="AT1081" s="122">
        <v>1606</v>
      </c>
      <c r="AU1081">
        <v>595</v>
      </c>
      <c r="AV1081" s="122">
        <v>32621</v>
      </c>
    </row>
    <row r="1082" spans="2:48" hidden="1">
      <c r="B1082" t="s">
        <v>369</v>
      </c>
      <c r="C1082" t="s">
        <v>48</v>
      </c>
      <c r="D1082" t="s">
        <v>406</v>
      </c>
      <c r="E1082" t="s">
        <v>406</v>
      </c>
      <c r="F1082" s="122">
        <v>38</v>
      </c>
      <c r="G1082" s="122">
        <v>7617</v>
      </c>
      <c r="H1082" s="122">
        <v>2548</v>
      </c>
      <c r="I1082" s="122">
        <v>176092</v>
      </c>
      <c r="J1082" s="122">
        <v>160084</v>
      </c>
      <c r="K1082" s="122">
        <v>95</v>
      </c>
      <c r="L1082" s="122">
        <v>26888</v>
      </c>
      <c r="M1082" s="122">
        <v>23903</v>
      </c>
      <c r="N1082" s="122">
        <v>105423</v>
      </c>
      <c r="O1082" s="122">
        <v>39046</v>
      </c>
      <c r="P1082" s="122">
        <v>57910</v>
      </c>
      <c r="Q1082" s="122">
        <v>21448</v>
      </c>
      <c r="R1082" s="122">
        <v>141344</v>
      </c>
      <c r="S1082" s="122">
        <v>128494</v>
      </c>
      <c r="T1082" s="122">
        <v>3781</v>
      </c>
      <c r="U1082" s="122">
        <v>1401</v>
      </c>
      <c r="V1082" s="122">
        <v>374375</v>
      </c>
      <c r="W1082" s="122">
        <f t="shared" si="32"/>
        <v>374376</v>
      </c>
      <c r="X1082" s="122">
        <f t="shared" si="33"/>
        <v>511438</v>
      </c>
      <c r="AA1082" t="s">
        <v>56</v>
      </c>
      <c r="AB1082" t="s">
        <v>433</v>
      </c>
      <c r="AC1082" t="s">
        <v>426</v>
      </c>
      <c r="AD1082" t="s">
        <v>137</v>
      </c>
      <c r="AE1082" t="s">
        <v>566</v>
      </c>
      <c r="AF1082">
        <v>1</v>
      </c>
      <c r="AG1082">
        <v>202</v>
      </c>
      <c r="AH1082">
        <v>162</v>
      </c>
      <c r="AI1082" s="122">
        <v>22187</v>
      </c>
      <c r="AJ1082" s="122">
        <v>20170</v>
      </c>
      <c r="AK1082">
        <v>86</v>
      </c>
      <c r="AL1082" s="122">
        <v>3517</v>
      </c>
      <c r="AM1082" s="122">
        <v>3197</v>
      </c>
      <c r="AN1082" s="122">
        <v>2834</v>
      </c>
      <c r="AO1082" s="122">
        <v>1050</v>
      </c>
      <c r="AP1082">
        <v>351</v>
      </c>
      <c r="AQ1082">
        <v>130</v>
      </c>
      <c r="AR1082" s="122">
        <v>3936</v>
      </c>
      <c r="AS1082" s="122">
        <v>1458</v>
      </c>
      <c r="AT1082">
        <v>0</v>
      </c>
      <c r="AU1082">
        <v>0</v>
      </c>
      <c r="AV1082" s="122">
        <v>26004</v>
      </c>
    </row>
    <row r="1083" spans="2:48" hidden="1">
      <c r="B1083" t="s">
        <v>369</v>
      </c>
      <c r="C1083" t="s">
        <v>48</v>
      </c>
      <c r="D1083" t="s">
        <v>433</v>
      </c>
      <c r="E1083" t="s">
        <v>137</v>
      </c>
      <c r="F1083" s="122">
        <v>1</v>
      </c>
      <c r="G1083" s="122">
        <v>251</v>
      </c>
      <c r="H1083" s="122">
        <v>69</v>
      </c>
      <c r="I1083" s="122">
        <v>6871</v>
      </c>
      <c r="J1083" s="122">
        <v>6246</v>
      </c>
      <c r="K1083" s="122">
        <v>85</v>
      </c>
      <c r="L1083" s="122">
        <v>1082</v>
      </c>
      <c r="M1083" s="122">
        <v>983</v>
      </c>
      <c r="N1083" s="122">
        <v>3055</v>
      </c>
      <c r="O1083" s="122">
        <v>1131</v>
      </c>
      <c r="P1083" s="122">
        <v>2561</v>
      </c>
      <c r="Q1083" s="122">
        <v>949</v>
      </c>
      <c r="R1083" s="122">
        <v>3674</v>
      </c>
      <c r="S1083" s="122">
        <v>1361</v>
      </c>
      <c r="T1083" s="122">
        <v>0</v>
      </c>
      <c r="U1083" s="122">
        <v>0</v>
      </c>
      <c r="V1083" s="122">
        <v>10670</v>
      </c>
      <c r="W1083" s="122">
        <f t="shared" si="32"/>
        <v>10670</v>
      </c>
      <c r="X1083" s="122">
        <f t="shared" si="33"/>
        <v>17243</v>
      </c>
      <c r="AA1083" t="s">
        <v>56</v>
      </c>
      <c r="AB1083" t="s">
        <v>433</v>
      </c>
      <c r="AC1083" t="s">
        <v>426</v>
      </c>
      <c r="AD1083" t="s">
        <v>406</v>
      </c>
      <c r="AE1083" t="s">
        <v>566</v>
      </c>
      <c r="AF1083">
        <v>1</v>
      </c>
      <c r="AG1083">
        <v>169</v>
      </c>
      <c r="AH1083">
        <v>155</v>
      </c>
      <c r="AI1083" s="122">
        <v>13299</v>
      </c>
      <c r="AJ1083" s="122">
        <v>12090</v>
      </c>
      <c r="AK1083">
        <v>95</v>
      </c>
      <c r="AL1083" s="122">
        <v>2221</v>
      </c>
      <c r="AM1083" s="122">
        <v>2020</v>
      </c>
      <c r="AN1083" s="122">
        <v>4122</v>
      </c>
      <c r="AO1083" s="122">
        <v>1527</v>
      </c>
      <c r="AP1083" s="122">
        <v>621</v>
      </c>
      <c r="AQ1083">
        <v>230</v>
      </c>
      <c r="AR1083" s="122">
        <v>5897</v>
      </c>
      <c r="AS1083" s="122">
        <v>5361</v>
      </c>
      <c r="AT1083" s="122">
        <v>0</v>
      </c>
      <c r="AU1083" s="122">
        <v>0</v>
      </c>
      <c r="AV1083" s="122">
        <v>21227</v>
      </c>
    </row>
    <row r="1084" spans="2:48" hidden="1">
      <c r="B1084" t="s">
        <v>369</v>
      </c>
      <c r="C1084" t="s">
        <v>48</v>
      </c>
      <c r="D1084" t="s">
        <v>433</v>
      </c>
      <c r="E1084" t="s">
        <v>433</v>
      </c>
      <c r="F1084" s="122">
        <v>1</v>
      </c>
      <c r="G1084" s="122">
        <v>360</v>
      </c>
      <c r="H1084" s="122">
        <v>44</v>
      </c>
      <c r="I1084" s="122">
        <v>3851</v>
      </c>
      <c r="J1084" s="122">
        <v>3501</v>
      </c>
      <c r="K1084" s="122">
        <v>84</v>
      </c>
      <c r="L1084" s="122">
        <v>371</v>
      </c>
      <c r="M1084" s="122">
        <v>337</v>
      </c>
      <c r="N1084" s="122">
        <v>4380</v>
      </c>
      <c r="O1084" s="122">
        <v>1622</v>
      </c>
      <c r="P1084" s="122">
        <v>4691</v>
      </c>
      <c r="Q1084" s="122">
        <v>1737</v>
      </c>
      <c r="R1084" s="122">
        <v>2389</v>
      </c>
      <c r="S1084" s="122">
        <v>2172</v>
      </c>
      <c r="T1084" s="122">
        <v>0</v>
      </c>
      <c r="U1084" s="122">
        <v>0</v>
      </c>
      <c r="V1084" s="122">
        <v>9369</v>
      </c>
      <c r="W1084" s="122">
        <f t="shared" si="32"/>
        <v>9369</v>
      </c>
      <c r="X1084" s="122">
        <f t="shared" si="33"/>
        <v>15682</v>
      </c>
      <c r="AA1084" t="s">
        <v>56</v>
      </c>
      <c r="AB1084" t="s">
        <v>433</v>
      </c>
      <c r="AC1084" t="s">
        <v>426</v>
      </c>
      <c r="AD1084" t="s">
        <v>433</v>
      </c>
      <c r="AE1084" t="s">
        <v>137</v>
      </c>
      <c r="AF1084">
        <v>4</v>
      </c>
      <c r="AG1084" s="122">
        <v>668</v>
      </c>
      <c r="AH1084" s="122">
        <v>877</v>
      </c>
      <c r="AI1084" s="122">
        <v>88220</v>
      </c>
      <c r="AJ1084" s="122">
        <v>80200</v>
      </c>
      <c r="AK1084">
        <v>73</v>
      </c>
      <c r="AL1084" s="122">
        <v>13044</v>
      </c>
      <c r="AM1084" s="122">
        <v>11858</v>
      </c>
      <c r="AN1084" s="122">
        <v>12728</v>
      </c>
      <c r="AO1084" s="122">
        <v>4714</v>
      </c>
      <c r="AP1084" s="122">
        <v>1404</v>
      </c>
      <c r="AQ1084" s="122">
        <v>520</v>
      </c>
      <c r="AR1084" s="122">
        <v>19972</v>
      </c>
      <c r="AS1084" s="122">
        <v>18156</v>
      </c>
      <c r="AT1084" s="122">
        <v>11670</v>
      </c>
      <c r="AU1084" s="122">
        <v>4322</v>
      </c>
      <c r="AV1084" s="122">
        <v>119771</v>
      </c>
    </row>
    <row r="1085" spans="2:48" hidden="1">
      <c r="B1085" t="s">
        <v>369</v>
      </c>
      <c r="C1085" t="s">
        <v>48</v>
      </c>
      <c r="D1085" t="s">
        <v>408</v>
      </c>
      <c r="E1085" t="s">
        <v>408</v>
      </c>
      <c r="F1085" s="122">
        <v>1</v>
      </c>
      <c r="G1085" s="122">
        <v>284</v>
      </c>
      <c r="H1085" s="122">
        <v>65</v>
      </c>
      <c r="I1085" s="122">
        <v>4900</v>
      </c>
      <c r="J1085" s="122">
        <v>4454</v>
      </c>
      <c r="K1085" s="122">
        <v>90</v>
      </c>
      <c r="L1085" s="122">
        <v>698</v>
      </c>
      <c r="M1085" s="122">
        <v>634</v>
      </c>
      <c r="N1085" s="122">
        <v>3454</v>
      </c>
      <c r="O1085" s="122">
        <v>1279</v>
      </c>
      <c r="P1085" s="122">
        <v>3254</v>
      </c>
      <c r="Q1085" s="122">
        <v>1205</v>
      </c>
      <c r="R1085" s="122">
        <v>6224</v>
      </c>
      <c r="S1085" s="122">
        <v>5658</v>
      </c>
      <c r="T1085" s="122">
        <v>0</v>
      </c>
      <c r="U1085" s="122">
        <v>0</v>
      </c>
      <c r="V1085" s="122">
        <v>13231</v>
      </c>
      <c r="W1085" s="122">
        <f t="shared" si="32"/>
        <v>13230</v>
      </c>
      <c r="X1085" s="122">
        <f t="shared" si="33"/>
        <v>18530</v>
      </c>
      <c r="AA1085" t="s">
        <v>56</v>
      </c>
      <c r="AB1085" t="s">
        <v>433</v>
      </c>
      <c r="AC1085" t="s">
        <v>426</v>
      </c>
      <c r="AD1085" t="s">
        <v>433</v>
      </c>
      <c r="AE1085" t="s">
        <v>566</v>
      </c>
      <c r="AF1085">
        <v>9</v>
      </c>
      <c r="AG1085" s="122">
        <v>1929</v>
      </c>
      <c r="AH1085" s="122">
        <v>1701</v>
      </c>
      <c r="AI1085" s="122">
        <v>244502</v>
      </c>
      <c r="AJ1085" s="122">
        <v>222274</v>
      </c>
      <c r="AK1085">
        <v>73</v>
      </c>
      <c r="AL1085" s="122">
        <v>52026</v>
      </c>
      <c r="AM1085" s="122">
        <v>47296</v>
      </c>
      <c r="AN1085" s="122">
        <v>42288</v>
      </c>
      <c r="AO1085" s="122">
        <v>15662</v>
      </c>
      <c r="AP1085" s="122">
        <v>4752</v>
      </c>
      <c r="AQ1085" s="122">
        <v>1760</v>
      </c>
      <c r="AR1085" s="122">
        <v>50061</v>
      </c>
      <c r="AS1085" s="122">
        <v>45510</v>
      </c>
      <c r="AT1085">
        <v>0</v>
      </c>
      <c r="AU1085">
        <v>0</v>
      </c>
      <c r="AV1085" s="122">
        <v>332502</v>
      </c>
    </row>
    <row r="1086" spans="2:48" hidden="1">
      <c r="B1086" t="s">
        <v>369</v>
      </c>
      <c r="C1086" t="s">
        <v>50</v>
      </c>
      <c r="D1086" t="s">
        <v>425</v>
      </c>
      <c r="E1086" t="s">
        <v>425</v>
      </c>
      <c r="F1086" s="122">
        <v>2</v>
      </c>
      <c r="G1086" s="122">
        <v>433</v>
      </c>
      <c r="H1086" s="122">
        <v>162</v>
      </c>
      <c r="I1086" s="122">
        <v>16439</v>
      </c>
      <c r="J1086" s="122">
        <v>14945</v>
      </c>
      <c r="K1086" s="122">
        <v>196</v>
      </c>
      <c r="L1086" s="122">
        <v>4021</v>
      </c>
      <c r="M1086" s="122">
        <v>3656</v>
      </c>
      <c r="N1086" s="122">
        <v>5274</v>
      </c>
      <c r="O1086" s="122">
        <v>1953</v>
      </c>
      <c r="P1086" s="122">
        <v>3481</v>
      </c>
      <c r="Q1086" s="122">
        <v>1289</v>
      </c>
      <c r="R1086" s="122">
        <v>5898</v>
      </c>
      <c r="S1086" s="122">
        <v>5362</v>
      </c>
      <c r="T1086" s="122">
        <v>0</v>
      </c>
      <c r="U1086" s="122">
        <v>0</v>
      </c>
      <c r="V1086" s="122">
        <v>27206</v>
      </c>
      <c r="W1086" s="122">
        <f t="shared" si="32"/>
        <v>27205</v>
      </c>
      <c r="X1086" s="122">
        <f t="shared" si="33"/>
        <v>35113</v>
      </c>
      <c r="AA1086" t="s">
        <v>56</v>
      </c>
      <c r="AB1086" t="s">
        <v>433</v>
      </c>
      <c r="AC1086" t="s">
        <v>566</v>
      </c>
      <c r="AD1086" t="s">
        <v>433</v>
      </c>
      <c r="AE1086" t="s">
        <v>137</v>
      </c>
      <c r="AF1086">
        <v>1</v>
      </c>
      <c r="AG1086">
        <v>115</v>
      </c>
      <c r="AH1086">
        <v>214</v>
      </c>
      <c r="AI1086" s="122">
        <v>35793</v>
      </c>
      <c r="AJ1086" s="122">
        <v>32539</v>
      </c>
      <c r="AK1086">
        <v>60</v>
      </c>
      <c r="AL1086">
        <v>0</v>
      </c>
      <c r="AM1086">
        <v>0</v>
      </c>
      <c r="AN1086" s="122">
        <v>3478</v>
      </c>
      <c r="AO1086" s="122">
        <v>1288</v>
      </c>
      <c r="AP1086">
        <v>351</v>
      </c>
      <c r="AQ1086">
        <v>130</v>
      </c>
      <c r="AR1086" s="122">
        <v>4131</v>
      </c>
      <c r="AS1086" s="122">
        <v>3756</v>
      </c>
      <c r="AT1086">
        <v>-206</v>
      </c>
      <c r="AU1086">
        <v>-76</v>
      </c>
      <c r="AV1086" s="122">
        <v>37637</v>
      </c>
    </row>
    <row r="1087" spans="2:48" hidden="1">
      <c r="B1087" t="s">
        <v>369</v>
      </c>
      <c r="C1087" t="s">
        <v>50</v>
      </c>
      <c r="D1087" t="s">
        <v>425</v>
      </c>
      <c r="E1087" t="s">
        <v>405</v>
      </c>
      <c r="F1087" s="122">
        <v>1</v>
      </c>
      <c r="G1087" s="122">
        <v>198</v>
      </c>
      <c r="H1087" s="122">
        <v>93</v>
      </c>
      <c r="I1087" s="122">
        <v>8368</v>
      </c>
      <c r="J1087" s="122">
        <v>7608</v>
      </c>
      <c r="K1087" s="122">
        <v>91</v>
      </c>
      <c r="L1087" s="122">
        <v>1464</v>
      </c>
      <c r="M1087" s="122">
        <v>1331</v>
      </c>
      <c r="N1087" s="122">
        <v>2410</v>
      </c>
      <c r="O1087" s="122">
        <v>893</v>
      </c>
      <c r="P1087" s="122">
        <v>2167</v>
      </c>
      <c r="Q1087" s="122">
        <v>803</v>
      </c>
      <c r="R1087" s="122">
        <v>3958</v>
      </c>
      <c r="S1087" s="122">
        <v>3598</v>
      </c>
      <c r="T1087" s="122">
        <v>0</v>
      </c>
      <c r="U1087" s="122">
        <v>0</v>
      </c>
      <c r="V1087" s="122">
        <v>14231</v>
      </c>
      <c r="W1087" s="122">
        <f t="shared" si="32"/>
        <v>14233</v>
      </c>
      <c r="X1087" s="122">
        <f t="shared" si="33"/>
        <v>18367</v>
      </c>
      <c r="AA1087" t="s">
        <v>56</v>
      </c>
      <c r="AB1087" t="s">
        <v>433</v>
      </c>
      <c r="AC1087" t="s">
        <v>566</v>
      </c>
      <c r="AD1087" t="s">
        <v>433</v>
      </c>
      <c r="AE1087" t="s">
        <v>566</v>
      </c>
      <c r="AF1087">
        <v>2</v>
      </c>
      <c r="AG1087">
        <v>390</v>
      </c>
      <c r="AH1087">
        <v>361</v>
      </c>
      <c r="AI1087" s="122">
        <v>44429</v>
      </c>
      <c r="AJ1087" s="122">
        <v>40390</v>
      </c>
      <c r="AK1087">
        <v>72</v>
      </c>
      <c r="AL1087" s="122">
        <v>0</v>
      </c>
      <c r="AM1087" s="122">
        <v>0</v>
      </c>
      <c r="AN1087" s="122">
        <v>7718</v>
      </c>
      <c r="AO1087" s="122">
        <v>2859</v>
      </c>
      <c r="AP1087" s="122">
        <v>702</v>
      </c>
      <c r="AQ1087" s="122">
        <v>260</v>
      </c>
      <c r="AR1087" s="122">
        <v>17112</v>
      </c>
      <c r="AS1087" s="122">
        <v>15557</v>
      </c>
      <c r="AT1087" s="122">
        <v>0</v>
      </c>
      <c r="AU1087" s="122">
        <v>0</v>
      </c>
      <c r="AV1087" s="122">
        <v>59066</v>
      </c>
    </row>
    <row r="1088" spans="2:48" hidden="1">
      <c r="B1088" t="s">
        <v>369</v>
      </c>
      <c r="C1088" t="s">
        <v>50</v>
      </c>
      <c r="D1088" t="s">
        <v>405</v>
      </c>
      <c r="E1088" t="s">
        <v>405</v>
      </c>
      <c r="F1088" s="122">
        <v>16</v>
      </c>
      <c r="G1088" s="122">
        <v>4261</v>
      </c>
      <c r="H1088" s="122">
        <v>1444</v>
      </c>
      <c r="I1088" s="122">
        <v>207100</v>
      </c>
      <c r="J1088" s="122">
        <v>188272</v>
      </c>
      <c r="K1088" s="122">
        <v>91</v>
      </c>
      <c r="L1088" s="122">
        <v>28980</v>
      </c>
      <c r="M1088" s="122">
        <v>26345</v>
      </c>
      <c r="N1088" s="122">
        <v>77759</v>
      </c>
      <c r="O1088" s="122">
        <v>28799</v>
      </c>
      <c r="P1088" s="122">
        <v>24420</v>
      </c>
      <c r="Q1088" s="122">
        <v>9044</v>
      </c>
      <c r="R1088" s="122">
        <v>82019</v>
      </c>
      <c r="S1088" s="122">
        <v>74563</v>
      </c>
      <c r="T1088" s="122">
        <v>0</v>
      </c>
      <c r="U1088" s="122">
        <v>0</v>
      </c>
      <c r="V1088" s="122">
        <v>327025</v>
      </c>
      <c r="W1088" s="122">
        <f t="shared" si="32"/>
        <v>327023</v>
      </c>
      <c r="X1088" s="122">
        <f t="shared" si="33"/>
        <v>420278</v>
      </c>
      <c r="AA1088" t="s">
        <v>56</v>
      </c>
      <c r="AB1088" t="s">
        <v>433</v>
      </c>
      <c r="AC1088" t="s">
        <v>433</v>
      </c>
      <c r="AD1088" t="s">
        <v>433</v>
      </c>
      <c r="AE1088" t="s">
        <v>137</v>
      </c>
      <c r="AF1088">
        <v>5</v>
      </c>
      <c r="AG1088">
        <v>655</v>
      </c>
      <c r="AH1088">
        <v>965</v>
      </c>
      <c r="AI1088" s="122">
        <v>85402</v>
      </c>
      <c r="AJ1088" s="122">
        <v>77638</v>
      </c>
      <c r="AK1088">
        <v>80</v>
      </c>
      <c r="AL1088" s="122">
        <v>11829</v>
      </c>
      <c r="AM1088" s="122">
        <v>10753</v>
      </c>
      <c r="AN1088" s="122">
        <v>11529</v>
      </c>
      <c r="AO1088" s="122">
        <v>4270</v>
      </c>
      <c r="AP1088" s="122">
        <v>3524</v>
      </c>
      <c r="AQ1088" s="122">
        <v>1305</v>
      </c>
      <c r="AR1088" s="122">
        <v>21786</v>
      </c>
      <c r="AS1088" s="122">
        <v>19805</v>
      </c>
      <c r="AT1088" s="122">
        <v>15920</v>
      </c>
      <c r="AU1088" s="122">
        <v>5896</v>
      </c>
      <c r="AV1088" s="122">
        <v>119668</v>
      </c>
    </row>
    <row r="1089" spans="2:48" hidden="1">
      <c r="B1089" t="s">
        <v>369</v>
      </c>
      <c r="C1089" t="s">
        <v>50</v>
      </c>
      <c r="D1089" t="s">
        <v>405</v>
      </c>
      <c r="E1089" t="s">
        <v>137</v>
      </c>
      <c r="F1089" s="122">
        <v>1</v>
      </c>
      <c r="G1089" s="122">
        <v>154</v>
      </c>
      <c r="H1089" s="122">
        <v>89</v>
      </c>
      <c r="I1089" s="122">
        <v>4124</v>
      </c>
      <c r="J1089" s="122">
        <v>3749</v>
      </c>
      <c r="K1089" s="122">
        <v>91</v>
      </c>
      <c r="L1089" s="122">
        <v>584</v>
      </c>
      <c r="M1089" s="122">
        <v>531</v>
      </c>
      <c r="N1089" s="122">
        <v>1881</v>
      </c>
      <c r="O1089" s="122">
        <v>697</v>
      </c>
      <c r="P1089" s="122">
        <v>2909</v>
      </c>
      <c r="Q1089" s="122">
        <v>1077</v>
      </c>
      <c r="R1089" s="122">
        <v>4269</v>
      </c>
      <c r="S1089" s="122">
        <v>1581</v>
      </c>
      <c r="T1089" s="122">
        <v>0</v>
      </c>
      <c r="U1089" s="122">
        <v>0</v>
      </c>
      <c r="V1089" s="122">
        <v>7635</v>
      </c>
      <c r="W1089" s="122">
        <f t="shared" si="32"/>
        <v>7635</v>
      </c>
      <c r="X1089" s="122">
        <f t="shared" si="33"/>
        <v>13767</v>
      </c>
      <c r="AA1089" t="s">
        <v>56</v>
      </c>
      <c r="AB1089" t="s">
        <v>433</v>
      </c>
      <c r="AC1089" t="s">
        <v>433</v>
      </c>
      <c r="AD1089" t="s">
        <v>433</v>
      </c>
      <c r="AE1089" t="s">
        <v>566</v>
      </c>
      <c r="AF1089">
        <v>4</v>
      </c>
      <c r="AG1089">
        <v>890</v>
      </c>
      <c r="AH1089">
        <v>743</v>
      </c>
      <c r="AI1089" s="122">
        <v>114853</v>
      </c>
      <c r="AJ1089" s="122">
        <v>104412</v>
      </c>
      <c r="AK1089">
        <v>66</v>
      </c>
      <c r="AL1089" s="122">
        <v>13188</v>
      </c>
      <c r="AM1089" s="122">
        <v>11989</v>
      </c>
      <c r="AN1089" s="122">
        <v>14217</v>
      </c>
      <c r="AO1089" s="122">
        <v>5265</v>
      </c>
      <c r="AP1089" s="122">
        <v>1755</v>
      </c>
      <c r="AQ1089">
        <v>650</v>
      </c>
      <c r="AR1089" s="122">
        <v>28352</v>
      </c>
      <c r="AS1089" s="122">
        <v>25774</v>
      </c>
      <c r="AT1089" s="122">
        <v>0</v>
      </c>
      <c r="AU1089" s="122">
        <v>0</v>
      </c>
      <c r="AV1089" s="122">
        <v>148091</v>
      </c>
    </row>
    <row r="1090" spans="2:48" hidden="1">
      <c r="B1090" t="s">
        <v>369</v>
      </c>
      <c r="C1090" t="s">
        <v>50</v>
      </c>
      <c r="D1090" t="s">
        <v>137</v>
      </c>
      <c r="E1090" t="s">
        <v>137</v>
      </c>
      <c r="F1090" s="122">
        <v>100</v>
      </c>
      <c r="G1090" s="122">
        <v>23521</v>
      </c>
      <c r="H1090" s="122">
        <v>8863</v>
      </c>
      <c r="I1090" s="122">
        <v>787085</v>
      </c>
      <c r="J1090" s="122">
        <v>291513</v>
      </c>
      <c r="K1090" s="122">
        <v>383</v>
      </c>
      <c r="L1090" s="122">
        <v>233171</v>
      </c>
      <c r="M1090" s="122">
        <v>201774</v>
      </c>
      <c r="N1090" s="122">
        <v>372376</v>
      </c>
      <c r="O1090" s="122">
        <v>137917</v>
      </c>
      <c r="P1090" s="122">
        <v>112933</v>
      </c>
      <c r="Q1090" s="122">
        <v>41827</v>
      </c>
      <c r="R1090" s="122">
        <v>604573</v>
      </c>
      <c r="S1090" s="122">
        <v>223916</v>
      </c>
      <c r="T1090" s="122">
        <v>0</v>
      </c>
      <c r="U1090" s="122">
        <v>0</v>
      </c>
      <c r="V1090" s="122">
        <v>896947</v>
      </c>
      <c r="W1090" s="122">
        <f t="shared" si="32"/>
        <v>896947</v>
      </c>
      <c r="X1090" s="122">
        <f t="shared" si="33"/>
        <v>2110138</v>
      </c>
      <c r="AA1090" t="s">
        <v>56</v>
      </c>
      <c r="AB1090" t="s">
        <v>433</v>
      </c>
      <c r="AC1090" t="s">
        <v>429</v>
      </c>
      <c r="AD1090" t="s">
        <v>433</v>
      </c>
      <c r="AE1090" t="s">
        <v>137</v>
      </c>
      <c r="AF1090">
        <v>1</v>
      </c>
      <c r="AG1090">
        <v>260</v>
      </c>
      <c r="AH1090">
        <v>219</v>
      </c>
      <c r="AI1090" s="122">
        <v>36518</v>
      </c>
      <c r="AJ1090" s="122">
        <v>33198</v>
      </c>
      <c r="AK1090">
        <v>55</v>
      </c>
      <c r="AL1090" s="122">
        <v>3433</v>
      </c>
      <c r="AM1090" s="122">
        <v>3121</v>
      </c>
      <c r="AN1090" s="122">
        <v>5760</v>
      </c>
      <c r="AO1090" s="122">
        <v>2133</v>
      </c>
      <c r="AP1090">
        <v>351</v>
      </c>
      <c r="AQ1090">
        <v>130</v>
      </c>
      <c r="AR1090" s="122">
        <v>6845</v>
      </c>
      <c r="AS1090" s="122">
        <v>6223</v>
      </c>
      <c r="AT1090" s="122">
        <v>4008</v>
      </c>
      <c r="AU1090" s="122">
        <v>1484</v>
      </c>
      <c r="AV1090" s="122">
        <v>46290</v>
      </c>
    </row>
    <row r="1091" spans="2:48" hidden="1">
      <c r="B1091" t="s">
        <v>369</v>
      </c>
      <c r="C1091" t="s">
        <v>50</v>
      </c>
      <c r="D1091" t="s">
        <v>406</v>
      </c>
      <c r="E1091" t="s">
        <v>137</v>
      </c>
      <c r="F1091" s="122">
        <v>3</v>
      </c>
      <c r="G1091" s="122">
        <v>776</v>
      </c>
      <c r="H1091" s="122">
        <v>286</v>
      </c>
      <c r="I1091" s="122">
        <v>36810</v>
      </c>
      <c r="J1091" s="122">
        <v>33463</v>
      </c>
      <c r="K1091" s="122">
        <v>96</v>
      </c>
      <c r="L1091" s="122">
        <v>5516</v>
      </c>
      <c r="M1091" s="122">
        <v>5015</v>
      </c>
      <c r="N1091" s="122">
        <v>10540</v>
      </c>
      <c r="O1091" s="122">
        <v>3904</v>
      </c>
      <c r="P1091" s="122">
        <v>6052</v>
      </c>
      <c r="Q1091" s="122">
        <v>2241</v>
      </c>
      <c r="R1091" s="122">
        <v>15439</v>
      </c>
      <c r="S1091" s="122">
        <v>5718</v>
      </c>
      <c r="T1091" s="122">
        <v>0</v>
      </c>
      <c r="U1091" s="122">
        <v>0</v>
      </c>
      <c r="V1091" s="122">
        <v>50341</v>
      </c>
      <c r="W1091" s="122">
        <f t="shared" si="32"/>
        <v>50341</v>
      </c>
      <c r="X1091" s="122">
        <f t="shared" si="33"/>
        <v>74357</v>
      </c>
      <c r="AA1091" t="s">
        <v>56</v>
      </c>
      <c r="AB1091" t="s">
        <v>433</v>
      </c>
      <c r="AC1091" t="s">
        <v>429</v>
      </c>
      <c r="AD1091" t="s">
        <v>433</v>
      </c>
      <c r="AE1091" t="s">
        <v>566</v>
      </c>
      <c r="AF1091">
        <v>2</v>
      </c>
      <c r="AG1091">
        <v>300</v>
      </c>
      <c r="AH1091">
        <v>381</v>
      </c>
      <c r="AI1091" s="122">
        <v>48558</v>
      </c>
      <c r="AJ1091" s="122">
        <v>44144</v>
      </c>
      <c r="AK1091">
        <v>70</v>
      </c>
      <c r="AL1091" s="122">
        <v>5530</v>
      </c>
      <c r="AM1091" s="122">
        <v>5027</v>
      </c>
      <c r="AN1091" s="122">
        <v>7678</v>
      </c>
      <c r="AO1091" s="122">
        <v>2844</v>
      </c>
      <c r="AP1091" s="122">
        <v>702</v>
      </c>
      <c r="AQ1091">
        <v>260</v>
      </c>
      <c r="AR1091" s="122">
        <v>14336</v>
      </c>
      <c r="AS1091" s="122">
        <v>13033</v>
      </c>
      <c r="AT1091" s="122">
        <v>0</v>
      </c>
      <c r="AU1091" s="122">
        <v>0</v>
      </c>
      <c r="AV1091" s="122">
        <v>65307</v>
      </c>
    </row>
    <row r="1092" spans="2:48" hidden="1">
      <c r="B1092" t="s">
        <v>369</v>
      </c>
      <c r="C1092" t="s">
        <v>50</v>
      </c>
      <c r="D1092" t="s">
        <v>406</v>
      </c>
      <c r="E1092" t="s">
        <v>406</v>
      </c>
      <c r="F1092" s="122">
        <v>125</v>
      </c>
      <c r="G1092" s="122">
        <v>30687</v>
      </c>
      <c r="H1092" s="122">
        <v>11560</v>
      </c>
      <c r="I1092" s="122">
        <v>1479508</v>
      </c>
      <c r="J1092" s="122">
        <v>1345007</v>
      </c>
      <c r="K1092" s="122">
        <v>94</v>
      </c>
      <c r="L1092" s="122">
        <v>247093</v>
      </c>
      <c r="M1092" s="122">
        <v>230881</v>
      </c>
      <c r="N1092" s="122">
        <v>464214</v>
      </c>
      <c r="O1092" s="122">
        <v>171931</v>
      </c>
      <c r="P1092" s="122">
        <v>143609</v>
      </c>
      <c r="Q1092" s="122">
        <v>53188</v>
      </c>
      <c r="R1092" s="122">
        <v>599261</v>
      </c>
      <c r="S1092" s="122">
        <v>544783</v>
      </c>
      <c r="T1092" s="122">
        <v>9312</v>
      </c>
      <c r="U1092" s="122">
        <v>3449</v>
      </c>
      <c r="V1092" s="122">
        <v>2349239</v>
      </c>
      <c r="W1092" s="122">
        <f t="shared" si="32"/>
        <v>2349239</v>
      </c>
      <c r="X1092" s="122">
        <f t="shared" si="33"/>
        <v>2942997</v>
      </c>
      <c r="AA1092" t="s">
        <v>56</v>
      </c>
      <c r="AB1092" t="s">
        <v>408</v>
      </c>
      <c r="AC1092" t="s">
        <v>425</v>
      </c>
      <c r="AD1092" t="s">
        <v>408</v>
      </c>
      <c r="AE1092" t="s">
        <v>137</v>
      </c>
      <c r="AF1092">
        <v>2</v>
      </c>
      <c r="AG1092" s="122">
        <v>415</v>
      </c>
      <c r="AH1092">
        <v>419</v>
      </c>
      <c r="AI1092" s="122">
        <v>48401</v>
      </c>
      <c r="AJ1092" s="122">
        <v>44001</v>
      </c>
      <c r="AK1092">
        <v>76</v>
      </c>
      <c r="AL1092" s="122">
        <v>15085</v>
      </c>
      <c r="AM1092" s="122">
        <v>13713</v>
      </c>
      <c r="AN1092" s="122">
        <v>7143</v>
      </c>
      <c r="AO1092" s="122">
        <v>2645</v>
      </c>
      <c r="AP1092" s="122">
        <v>1053</v>
      </c>
      <c r="AQ1092" s="122">
        <v>390</v>
      </c>
      <c r="AR1092" s="122">
        <v>12106</v>
      </c>
      <c r="AS1092" s="122">
        <v>11006</v>
      </c>
      <c r="AT1092" s="122">
        <v>4341</v>
      </c>
      <c r="AU1092" s="122">
        <v>1608</v>
      </c>
      <c r="AV1092" s="122">
        <v>73363</v>
      </c>
    </row>
    <row r="1093" spans="2:48" hidden="1">
      <c r="B1093" t="s">
        <v>369</v>
      </c>
      <c r="C1093" t="s">
        <v>50</v>
      </c>
      <c r="D1093" t="s">
        <v>481</v>
      </c>
      <c r="E1093" t="s">
        <v>481</v>
      </c>
      <c r="F1093" s="122">
        <v>1</v>
      </c>
      <c r="G1093" s="122">
        <v>268</v>
      </c>
      <c r="H1093" s="122">
        <v>100</v>
      </c>
      <c r="I1093" s="122">
        <v>13104</v>
      </c>
      <c r="J1093" s="122">
        <v>11913</v>
      </c>
      <c r="K1093" s="122">
        <v>84</v>
      </c>
      <c r="L1093" s="122">
        <v>2048</v>
      </c>
      <c r="M1093" s="122">
        <v>1862</v>
      </c>
      <c r="N1093" s="122">
        <v>3365</v>
      </c>
      <c r="O1093" s="122">
        <v>1246</v>
      </c>
      <c r="P1093" s="122">
        <v>1404</v>
      </c>
      <c r="Q1093" s="122">
        <v>520</v>
      </c>
      <c r="R1093" s="122">
        <v>6804</v>
      </c>
      <c r="S1093" s="122">
        <v>6186</v>
      </c>
      <c r="T1093" s="122">
        <v>0</v>
      </c>
      <c r="U1093" s="122">
        <v>0</v>
      </c>
      <c r="V1093" s="122">
        <v>21727</v>
      </c>
      <c r="W1093" s="122">
        <f t="shared" si="32"/>
        <v>21727</v>
      </c>
      <c r="X1093" s="122">
        <f t="shared" si="33"/>
        <v>26725</v>
      </c>
      <c r="AA1093" t="s">
        <v>56</v>
      </c>
      <c r="AB1093" t="s">
        <v>408</v>
      </c>
      <c r="AC1093" t="s">
        <v>425</v>
      </c>
      <c r="AD1093" t="s">
        <v>408</v>
      </c>
      <c r="AE1093" t="s">
        <v>566</v>
      </c>
      <c r="AF1093">
        <v>4</v>
      </c>
      <c r="AG1093" s="122">
        <v>1152</v>
      </c>
      <c r="AH1093">
        <v>696</v>
      </c>
      <c r="AI1093" s="122">
        <v>130487</v>
      </c>
      <c r="AJ1093" s="122">
        <v>118624</v>
      </c>
      <c r="AK1093">
        <v>76</v>
      </c>
      <c r="AL1093" s="122">
        <v>28547</v>
      </c>
      <c r="AM1093" s="122">
        <v>25952</v>
      </c>
      <c r="AN1093" s="122">
        <v>23926</v>
      </c>
      <c r="AO1093" s="122">
        <v>8861</v>
      </c>
      <c r="AP1093" s="122">
        <v>5022</v>
      </c>
      <c r="AQ1093" s="122">
        <v>1860</v>
      </c>
      <c r="AR1093" s="122">
        <v>22760</v>
      </c>
      <c r="AS1093" s="122">
        <v>20691</v>
      </c>
      <c r="AT1093">
        <v>0</v>
      </c>
      <c r="AU1093">
        <v>0</v>
      </c>
      <c r="AV1093" s="122">
        <v>175989</v>
      </c>
    </row>
    <row r="1094" spans="2:48" hidden="1">
      <c r="B1094" t="s">
        <v>369</v>
      </c>
      <c r="C1094" t="s">
        <v>50</v>
      </c>
      <c r="D1094" t="s">
        <v>408</v>
      </c>
      <c r="E1094" t="s">
        <v>408</v>
      </c>
      <c r="F1094" s="122">
        <v>2</v>
      </c>
      <c r="G1094" s="122">
        <v>521</v>
      </c>
      <c r="H1094" s="122">
        <v>195</v>
      </c>
      <c r="I1094" s="122">
        <v>27078</v>
      </c>
      <c r="J1094" s="122">
        <v>24617</v>
      </c>
      <c r="K1094" s="122">
        <v>88</v>
      </c>
      <c r="L1094" s="122">
        <v>0</v>
      </c>
      <c r="M1094" s="122">
        <v>5327</v>
      </c>
      <c r="N1094" s="122">
        <v>9602</v>
      </c>
      <c r="O1094" s="122">
        <v>3556</v>
      </c>
      <c r="P1094" s="122">
        <v>5289</v>
      </c>
      <c r="Q1094" s="122">
        <v>1959</v>
      </c>
      <c r="R1094" s="122">
        <v>8977</v>
      </c>
      <c r="S1094" s="122">
        <v>8161</v>
      </c>
      <c r="T1094" s="122">
        <v>0</v>
      </c>
      <c r="U1094" s="122">
        <v>0</v>
      </c>
      <c r="V1094" s="122">
        <v>43620</v>
      </c>
      <c r="W1094" s="122">
        <f t="shared" si="32"/>
        <v>43620</v>
      </c>
      <c r="X1094" s="122">
        <f t="shared" si="33"/>
        <v>50946</v>
      </c>
      <c r="AA1094" t="s">
        <v>56</v>
      </c>
      <c r="AB1094" t="s">
        <v>408</v>
      </c>
      <c r="AC1094" t="s">
        <v>405</v>
      </c>
      <c r="AD1094" t="s">
        <v>408</v>
      </c>
      <c r="AE1094" t="s">
        <v>137</v>
      </c>
      <c r="AF1094">
        <v>1</v>
      </c>
      <c r="AG1094" s="122">
        <v>118</v>
      </c>
      <c r="AH1094">
        <v>197</v>
      </c>
      <c r="AI1094" s="122">
        <v>16193</v>
      </c>
      <c r="AJ1094" s="122">
        <v>14721</v>
      </c>
      <c r="AK1094">
        <v>85</v>
      </c>
      <c r="AL1094" s="122">
        <v>2427</v>
      </c>
      <c r="AM1094" s="122">
        <v>2207</v>
      </c>
      <c r="AN1094" s="122">
        <v>1435</v>
      </c>
      <c r="AO1094" s="122">
        <v>531</v>
      </c>
      <c r="AP1094" s="122">
        <v>351</v>
      </c>
      <c r="AQ1094" s="122">
        <v>130</v>
      </c>
      <c r="AR1094" s="122">
        <v>2769</v>
      </c>
      <c r="AS1094" s="122">
        <v>2517</v>
      </c>
      <c r="AT1094">
        <v>0</v>
      </c>
      <c r="AU1094">
        <v>0</v>
      </c>
      <c r="AV1094" s="122">
        <v>20106</v>
      </c>
    </row>
    <row r="1095" spans="2:48" hidden="1">
      <c r="B1095" t="s">
        <v>369</v>
      </c>
      <c r="C1095" t="s">
        <v>52</v>
      </c>
      <c r="D1095" t="s">
        <v>425</v>
      </c>
      <c r="E1095" t="s">
        <v>425</v>
      </c>
      <c r="F1095" s="122">
        <v>5</v>
      </c>
      <c r="G1095" s="122">
        <v>1043</v>
      </c>
      <c r="H1095" s="122">
        <v>567</v>
      </c>
      <c r="I1095" s="122">
        <v>70818</v>
      </c>
      <c r="J1095" s="122">
        <v>64380</v>
      </c>
      <c r="K1095" s="122">
        <v>93</v>
      </c>
      <c r="L1095" s="122">
        <v>9975</v>
      </c>
      <c r="M1095" s="122">
        <v>9068</v>
      </c>
      <c r="N1095" s="122">
        <v>19755</v>
      </c>
      <c r="O1095" s="122">
        <v>7317</v>
      </c>
      <c r="P1095" s="122">
        <v>3996</v>
      </c>
      <c r="Q1095" s="122">
        <v>1480</v>
      </c>
      <c r="R1095" s="122">
        <v>24414</v>
      </c>
      <c r="S1095" s="122">
        <v>22194</v>
      </c>
      <c r="T1095" s="122">
        <v>0</v>
      </c>
      <c r="U1095" s="122">
        <v>0</v>
      </c>
      <c r="V1095" s="122">
        <v>104439</v>
      </c>
      <c r="W1095" s="122">
        <f t="shared" ref="W1095:W1158" si="34">SUM(ABS(J1095),ABS(M1095),ABS(O1095),ABS(Q1095),ABS(S1095),ABS(U1095))</f>
        <v>104439</v>
      </c>
      <c r="X1095" s="122">
        <f t="shared" ref="X1095:X1158" si="35">SUM(ABS(I1095),ABS(N1095),ABS(P1095),ABS(R1095),ABS(T1095),ABS(L1095))</f>
        <v>128958</v>
      </c>
      <c r="AA1095" t="s">
        <v>56</v>
      </c>
      <c r="AB1095" t="s">
        <v>408</v>
      </c>
      <c r="AC1095" t="s">
        <v>405</v>
      </c>
      <c r="AD1095" t="s">
        <v>408</v>
      </c>
      <c r="AE1095" t="s">
        <v>566</v>
      </c>
      <c r="AF1095">
        <v>5</v>
      </c>
      <c r="AG1095" s="122">
        <v>1279</v>
      </c>
      <c r="AH1095">
        <v>956</v>
      </c>
      <c r="AI1095" s="122">
        <v>183324</v>
      </c>
      <c r="AJ1095" s="122">
        <v>166659</v>
      </c>
      <c r="AK1095">
        <v>64</v>
      </c>
      <c r="AL1095" s="122">
        <v>23039</v>
      </c>
      <c r="AM1095" s="122">
        <v>20944</v>
      </c>
      <c r="AN1095" s="122">
        <v>27562</v>
      </c>
      <c r="AO1095" s="122">
        <v>10208</v>
      </c>
      <c r="AP1095" s="122">
        <v>4023</v>
      </c>
      <c r="AQ1095" s="122">
        <v>1490</v>
      </c>
      <c r="AR1095" s="122">
        <v>22619</v>
      </c>
      <c r="AS1095" s="122">
        <v>20563</v>
      </c>
      <c r="AT1095">
        <v>0</v>
      </c>
      <c r="AU1095">
        <v>0</v>
      </c>
      <c r="AV1095" s="122">
        <v>219864</v>
      </c>
    </row>
    <row r="1096" spans="2:48" hidden="1">
      <c r="B1096" t="s">
        <v>369</v>
      </c>
      <c r="C1096" t="s">
        <v>52</v>
      </c>
      <c r="D1096" t="s">
        <v>405</v>
      </c>
      <c r="E1096" t="s">
        <v>405</v>
      </c>
      <c r="F1096" s="122">
        <v>40</v>
      </c>
      <c r="G1096" s="122">
        <v>8717</v>
      </c>
      <c r="H1096" s="122">
        <v>4663</v>
      </c>
      <c r="I1096" s="122">
        <v>621658</v>
      </c>
      <c r="J1096" s="122">
        <v>565144</v>
      </c>
      <c r="K1096" s="122">
        <v>90</v>
      </c>
      <c r="L1096" s="122">
        <v>98588</v>
      </c>
      <c r="M1096" s="122">
        <v>89126</v>
      </c>
      <c r="N1096" s="122">
        <v>178833</v>
      </c>
      <c r="O1096" s="122">
        <v>66234</v>
      </c>
      <c r="P1096" s="122">
        <v>49231</v>
      </c>
      <c r="Q1096" s="122">
        <v>18234</v>
      </c>
      <c r="R1096" s="122">
        <v>193372</v>
      </c>
      <c r="S1096" s="122">
        <v>175793</v>
      </c>
      <c r="T1096" s="122">
        <v>2628</v>
      </c>
      <c r="U1096" s="122">
        <v>973</v>
      </c>
      <c r="V1096" s="122">
        <v>915505</v>
      </c>
      <c r="W1096" s="122">
        <f t="shared" si="34"/>
        <v>915504</v>
      </c>
      <c r="X1096" s="122">
        <f t="shared" si="35"/>
        <v>1144310</v>
      </c>
      <c r="AA1096" t="s">
        <v>56</v>
      </c>
      <c r="AB1096" t="s">
        <v>408</v>
      </c>
      <c r="AC1096" t="s">
        <v>137</v>
      </c>
      <c r="AD1096" t="s">
        <v>137</v>
      </c>
      <c r="AE1096" t="s">
        <v>566</v>
      </c>
      <c r="AF1096">
        <v>1</v>
      </c>
      <c r="AG1096">
        <v>445</v>
      </c>
      <c r="AH1096">
        <v>190</v>
      </c>
      <c r="AI1096" s="122">
        <v>53764</v>
      </c>
      <c r="AJ1096" s="122">
        <v>48877</v>
      </c>
      <c r="AK1096">
        <v>91</v>
      </c>
      <c r="AL1096" s="122">
        <v>13314</v>
      </c>
      <c r="AM1096" s="122">
        <v>4931</v>
      </c>
      <c r="AN1096" s="122">
        <v>5422</v>
      </c>
      <c r="AO1096" s="122">
        <v>2008</v>
      </c>
      <c r="AP1096" s="122">
        <v>1053</v>
      </c>
      <c r="AQ1096">
        <v>390</v>
      </c>
      <c r="AR1096" s="122">
        <v>11143</v>
      </c>
      <c r="AS1096" s="122">
        <v>4127</v>
      </c>
      <c r="AT1096">
        <v>0</v>
      </c>
      <c r="AU1096">
        <v>0</v>
      </c>
      <c r="AV1096" s="122">
        <v>60333</v>
      </c>
    </row>
    <row r="1097" spans="2:48" hidden="1">
      <c r="B1097" t="s">
        <v>369</v>
      </c>
      <c r="C1097" t="s">
        <v>52</v>
      </c>
      <c r="D1097" t="s">
        <v>137</v>
      </c>
      <c r="E1097" t="s">
        <v>425</v>
      </c>
      <c r="F1097" s="122">
        <v>1</v>
      </c>
      <c r="G1097" s="122">
        <v>310</v>
      </c>
      <c r="H1097" s="122">
        <v>122</v>
      </c>
      <c r="I1097" s="122">
        <v>23009</v>
      </c>
      <c r="J1097" s="122">
        <v>8522</v>
      </c>
      <c r="K1097" s="122">
        <v>250</v>
      </c>
      <c r="L1097" s="122">
        <v>4340</v>
      </c>
      <c r="M1097" s="122">
        <v>3945</v>
      </c>
      <c r="N1097" s="122">
        <v>6043</v>
      </c>
      <c r="O1097" s="122">
        <v>2238</v>
      </c>
      <c r="P1097" s="122">
        <v>1053</v>
      </c>
      <c r="Q1097" s="122">
        <v>390</v>
      </c>
      <c r="R1097" s="122">
        <v>3467</v>
      </c>
      <c r="S1097" s="122">
        <v>3152</v>
      </c>
      <c r="T1097" s="122">
        <v>0</v>
      </c>
      <c r="U1097" s="122">
        <v>0</v>
      </c>
      <c r="V1097" s="122">
        <v>18247</v>
      </c>
      <c r="W1097" s="122">
        <f t="shared" si="34"/>
        <v>18247</v>
      </c>
      <c r="X1097" s="122">
        <f t="shared" si="35"/>
        <v>37912</v>
      </c>
      <c r="AA1097" t="s">
        <v>56</v>
      </c>
      <c r="AB1097" t="s">
        <v>408</v>
      </c>
      <c r="AC1097" t="s">
        <v>137</v>
      </c>
      <c r="AD1097" t="s">
        <v>408</v>
      </c>
      <c r="AE1097" t="s">
        <v>137</v>
      </c>
      <c r="AF1097">
        <v>1</v>
      </c>
      <c r="AG1097">
        <v>229</v>
      </c>
      <c r="AH1097">
        <v>218</v>
      </c>
      <c r="AI1097" s="122">
        <v>32825</v>
      </c>
      <c r="AJ1097" s="122">
        <v>29841</v>
      </c>
      <c r="AK1097">
        <v>65</v>
      </c>
      <c r="AL1097" s="122">
        <v>9236</v>
      </c>
      <c r="AM1097" s="122">
        <v>3421</v>
      </c>
      <c r="AN1097" s="122">
        <v>3766</v>
      </c>
      <c r="AO1097" s="122">
        <v>1395</v>
      </c>
      <c r="AP1097" s="122">
        <v>351</v>
      </c>
      <c r="AQ1097">
        <v>130</v>
      </c>
      <c r="AR1097" s="122">
        <v>3801</v>
      </c>
      <c r="AS1097" s="122">
        <v>3455</v>
      </c>
      <c r="AT1097">
        <v>0</v>
      </c>
      <c r="AU1097">
        <v>0</v>
      </c>
      <c r="AV1097" s="122">
        <v>38242</v>
      </c>
    </row>
    <row r="1098" spans="2:48" hidden="1">
      <c r="B1098" t="s">
        <v>369</v>
      </c>
      <c r="C1098" t="s">
        <v>52</v>
      </c>
      <c r="D1098" t="s">
        <v>137</v>
      </c>
      <c r="E1098" t="s">
        <v>405</v>
      </c>
      <c r="F1098" s="122">
        <v>1</v>
      </c>
      <c r="G1098" s="122">
        <v>364</v>
      </c>
      <c r="H1098" s="122">
        <v>122</v>
      </c>
      <c r="I1098" s="122">
        <v>22440</v>
      </c>
      <c r="J1098" s="122">
        <v>8311</v>
      </c>
      <c r="K1098" s="122">
        <v>315</v>
      </c>
      <c r="L1098" s="122">
        <v>10666</v>
      </c>
      <c r="M1098" s="122">
        <v>9696</v>
      </c>
      <c r="N1098" s="122">
        <v>5548</v>
      </c>
      <c r="O1098" s="122">
        <v>2055</v>
      </c>
      <c r="P1098" s="122">
        <v>351</v>
      </c>
      <c r="Q1098" s="122">
        <v>130</v>
      </c>
      <c r="R1098" s="122">
        <v>5498</v>
      </c>
      <c r="S1098" s="122">
        <v>4998</v>
      </c>
      <c r="T1098" s="122">
        <v>0</v>
      </c>
      <c r="U1098" s="122">
        <v>0</v>
      </c>
      <c r="V1098" s="122">
        <v>25190</v>
      </c>
      <c r="W1098" s="122">
        <f t="shared" si="34"/>
        <v>25190</v>
      </c>
      <c r="X1098" s="122">
        <f t="shared" si="35"/>
        <v>44503</v>
      </c>
      <c r="AA1098" t="s">
        <v>56</v>
      </c>
      <c r="AB1098" t="s">
        <v>408</v>
      </c>
      <c r="AC1098" t="s">
        <v>137</v>
      </c>
      <c r="AD1098" t="s">
        <v>408</v>
      </c>
      <c r="AE1098" t="s">
        <v>566</v>
      </c>
      <c r="AF1098">
        <v>4</v>
      </c>
      <c r="AG1098" s="122">
        <v>899</v>
      </c>
      <c r="AH1098" s="122">
        <v>683</v>
      </c>
      <c r="AI1098" s="122">
        <v>91902</v>
      </c>
      <c r="AJ1098" s="122">
        <v>83548</v>
      </c>
      <c r="AK1098">
        <v>74</v>
      </c>
      <c r="AL1098" s="122">
        <v>17952</v>
      </c>
      <c r="AM1098" s="122">
        <v>6649</v>
      </c>
      <c r="AN1098" s="122">
        <v>18039</v>
      </c>
      <c r="AO1098" s="122">
        <v>6681</v>
      </c>
      <c r="AP1098" s="122">
        <v>1674</v>
      </c>
      <c r="AQ1098" s="122">
        <v>620</v>
      </c>
      <c r="AR1098" s="122">
        <v>22032</v>
      </c>
      <c r="AS1098" s="122">
        <v>20029</v>
      </c>
      <c r="AT1098" s="122">
        <v>0</v>
      </c>
      <c r="AU1098" s="122">
        <v>0</v>
      </c>
      <c r="AV1098" s="122">
        <v>117526</v>
      </c>
    </row>
    <row r="1099" spans="2:48" hidden="1">
      <c r="B1099" t="s">
        <v>369</v>
      </c>
      <c r="C1099" t="s">
        <v>52</v>
      </c>
      <c r="D1099" t="s">
        <v>137</v>
      </c>
      <c r="E1099" t="s">
        <v>137</v>
      </c>
      <c r="F1099" s="122">
        <v>49</v>
      </c>
      <c r="G1099" s="122">
        <v>10333</v>
      </c>
      <c r="H1099" s="122">
        <v>5488</v>
      </c>
      <c r="I1099" s="122">
        <v>469151</v>
      </c>
      <c r="J1099" s="122">
        <v>173759</v>
      </c>
      <c r="K1099" s="122">
        <v>355</v>
      </c>
      <c r="L1099" s="122">
        <v>141693</v>
      </c>
      <c r="M1099" s="122">
        <v>124048</v>
      </c>
      <c r="N1099" s="122">
        <v>189594</v>
      </c>
      <c r="O1099" s="122">
        <v>70220</v>
      </c>
      <c r="P1099" s="122">
        <v>43818</v>
      </c>
      <c r="Q1099" s="122">
        <v>16229</v>
      </c>
      <c r="R1099" s="122">
        <v>356314</v>
      </c>
      <c r="S1099" s="122">
        <v>131968</v>
      </c>
      <c r="T1099" s="122">
        <v>4377</v>
      </c>
      <c r="U1099" s="122">
        <v>1621</v>
      </c>
      <c r="V1099" s="122">
        <v>517846</v>
      </c>
      <c r="W1099" s="122">
        <f t="shared" si="34"/>
        <v>517845</v>
      </c>
      <c r="X1099" s="122">
        <f t="shared" si="35"/>
        <v>1204947</v>
      </c>
      <c r="AA1099" t="s">
        <v>56</v>
      </c>
      <c r="AB1099" t="s">
        <v>408</v>
      </c>
      <c r="AC1099" t="s">
        <v>580</v>
      </c>
      <c r="AD1099" t="s">
        <v>408</v>
      </c>
      <c r="AE1099" t="s">
        <v>137</v>
      </c>
      <c r="AF1099">
        <v>9</v>
      </c>
      <c r="AG1099" s="122">
        <v>2161</v>
      </c>
      <c r="AH1099" s="122">
        <v>1727</v>
      </c>
      <c r="AI1099" s="122">
        <v>273826</v>
      </c>
      <c r="AJ1099" s="122">
        <v>248933</v>
      </c>
      <c r="AK1099">
        <v>81</v>
      </c>
      <c r="AL1099" s="122">
        <v>33694</v>
      </c>
      <c r="AM1099" s="122">
        <v>30631</v>
      </c>
      <c r="AN1099" s="122">
        <v>40203</v>
      </c>
      <c r="AO1099" s="122">
        <v>14890</v>
      </c>
      <c r="AP1099" s="122">
        <v>7236</v>
      </c>
      <c r="AQ1099" s="122">
        <v>2680</v>
      </c>
      <c r="AR1099" s="122">
        <v>45589</v>
      </c>
      <c r="AS1099" s="122">
        <v>41445</v>
      </c>
      <c r="AT1099" s="122">
        <v>18518</v>
      </c>
      <c r="AU1099" s="122">
        <v>6858</v>
      </c>
      <c r="AV1099" s="122">
        <v>345437</v>
      </c>
    </row>
    <row r="1100" spans="2:48" hidden="1">
      <c r="B1100" t="s">
        <v>369</v>
      </c>
      <c r="C1100" t="s">
        <v>52</v>
      </c>
      <c r="D1100" t="s">
        <v>406</v>
      </c>
      <c r="E1100" t="s">
        <v>137</v>
      </c>
      <c r="F1100" s="122">
        <v>2</v>
      </c>
      <c r="G1100" s="122">
        <v>391</v>
      </c>
      <c r="H1100" s="122">
        <v>209</v>
      </c>
      <c r="I1100" s="122">
        <v>15519</v>
      </c>
      <c r="J1100" s="122">
        <v>14108</v>
      </c>
      <c r="K1100" s="122">
        <v>95</v>
      </c>
      <c r="L1100" s="122">
        <v>3762</v>
      </c>
      <c r="M1100" s="122">
        <v>3420</v>
      </c>
      <c r="N1100" s="122">
        <v>8511</v>
      </c>
      <c r="O1100" s="122">
        <v>3152</v>
      </c>
      <c r="P1100" s="122">
        <v>1242</v>
      </c>
      <c r="Q1100" s="122">
        <v>460</v>
      </c>
      <c r="R1100" s="122">
        <v>11890</v>
      </c>
      <c r="S1100" s="122">
        <v>4404</v>
      </c>
      <c r="T1100" s="122">
        <v>0</v>
      </c>
      <c r="U1100" s="122">
        <v>0</v>
      </c>
      <c r="V1100" s="122">
        <v>25545</v>
      </c>
      <c r="W1100" s="122">
        <f t="shared" si="34"/>
        <v>25544</v>
      </c>
      <c r="X1100" s="122">
        <f t="shared" si="35"/>
        <v>40924</v>
      </c>
      <c r="AA1100" t="s">
        <v>56</v>
      </c>
      <c r="AB1100" t="s">
        <v>408</v>
      </c>
      <c r="AC1100" t="s">
        <v>580</v>
      </c>
      <c r="AD1100" t="s">
        <v>408</v>
      </c>
      <c r="AE1100" t="s">
        <v>566</v>
      </c>
      <c r="AF1100">
        <v>18</v>
      </c>
      <c r="AG1100" s="122">
        <v>4443</v>
      </c>
      <c r="AH1100" s="122">
        <v>3387</v>
      </c>
      <c r="AI1100" s="122">
        <v>579117</v>
      </c>
      <c r="AJ1100" s="122">
        <v>526470</v>
      </c>
      <c r="AK1100">
        <v>77</v>
      </c>
      <c r="AL1100" s="122">
        <v>64752</v>
      </c>
      <c r="AM1100" s="122">
        <v>58866</v>
      </c>
      <c r="AN1100" s="122">
        <v>83226</v>
      </c>
      <c r="AO1100" s="122">
        <v>30825</v>
      </c>
      <c r="AP1100" s="122">
        <v>12299</v>
      </c>
      <c r="AQ1100" s="122">
        <v>4555</v>
      </c>
      <c r="AR1100" s="122">
        <v>115460</v>
      </c>
      <c r="AS1100" s="122">
        <v>104963</v>
      </c>
      <c r="AT1100" s="122">
        <v>0</v>
      </c>
      <c r="AU1100" s="122">
        <v>0</v>
      </c>
      <c r="AV1100" s="122">
        <v>725679</v>
      </c>
    </row>
    <row r="1101" spans="2:48" hidden="1">
      <c r="B1101" t="s">
        <v>369</v>
      </c>
      <c r="C1101" t="s">
        <v>52</v>
      </c>
      <c r="D1101" t="s">
        <v>406</v>
      </c>
      <c r="E1101" t="s">
        <v>406</v>
      </c>
      <c r="F1101" s="122">
        <v>388</v>
      </c>
      <c r="G1101" s="122">
        <v>87695</v>
      </c>
      <c r="H1101" s="122">
        <v>44953</v>
      </c>
      <c r="I1101" s="122">
        <v>5797417</v>
      </c>
      <c r="J1101" s="122">
        <v>5270379</v>
      </c>
      <c r="K1101" s="122">
        <v>92</v>
      </c>
      <c r="L1101" s="122">
        <v>1079020</v>
      </c>
      <c r="M1101" s="122">
        <v>1595697</v>
      </c>
      <c r="N1101" s="122">
        <v>1550731</v>
      </c>
      <c r="O1101" s="122">
        <v>574345</v>
      </c>
      <c r="P1101" s="122">
        <v>350074</v>
      </c>
      <c r="Q1101" s="122">
        <v>129657</v>
      </c>
      <c r="R1101" s="122">
        <v>2013070</v>
      </c>
      <c r="S1101" s="122">
        <v>1830064</v>
      </c>
      <c r="T1101" s="122">
        <v>63463</v>
      </c>
      <c r="U1101" s="122">
        <v>23505</v>
      </c>
      <c r="V1101" s="122">
        <v>9423647</v>
      </c>
      <c r="W1101" s="122">
        <f t="shared" si="34"/>
        <v>9423647</v>
      </c>
      <c r="X1101" s="122">
        <f t="shared" si="35"/>
        <v>10853775</v>
      </c>
      <c r="AA1101" t="s">
        <v>56</v>
      </c>
      <c r="AB1101" t="s">
        <v>408</v>
      </c>
      <c r="AC1101" t="s">
        <v>427</v>
      </c>
      <c r="AD1101" t="s">
        <v>408</v>
      </c>
      <c r="AE1101" t="s">
        <v>137</v>
      </c>
      <c r="AF1101">
        <v>6</v>
      </c>
      <c r="AG1101" s="122">
        <v>918</v>
      </c>
      <c r="AH1101" s="122">
        <v>1162</v>
      </c>
      <c r="AI1101" s="122">
        <v>136538</v>
      </c>
      <c r="AJ1101" s="122">
        <v>124126</v>
      </c>
      <c r="AK1101">
        <v>73</v>
      </c>
      <c r="AL1101" s="122">
        <v>28427</v>
      </c>
      <c r="AM1101" s="122">
        <v>25843</v>
      </c>
      <c r="AN1101" s="122">
        <v>22138</v>
      </c>
      <c r="AO1101" s="122">
        <v>8199</v>
      </c>
      <c r="AP1101" s="122">
        <v>2457</v>
      </c>
      <c r="AQ1101" s="122">
        <v>910</v>
      </c>
      <c r="AR1101" s="122">
        <v>30697</v>
      </c>
      <c r="AS1101" s="122">
        <v>27906</v>
      </c>
      <c r="AT1101" s="122">
        <v>11710</v>
      </c>
      <c r="AU1101" s="122">
        <v>4337</v>
      </c>
      <c r="AV1101" s="122">
        <v>191321</v>
      </c>
    </row>
    <row r="1102" spans="2:48" hidden="1">
      <c r="B1102" t="s">
        <v>369</v>
      </c>
      <c r="C1102" t="s">
        <v>52</v>
      </c>
      <c r="D1102" t="s">
        <v>406</v>
      </c>
      <c r="E1102" t="s">
        <v>427</v>
      </c>
      <c r="F1102" s="122">
        <v>1</v>
      </c>
      <c r="G1102" s="122">
        <v>250</v>
      </c>
      <c r="H1102" s="122">
        <v>110</v>
      </c>
      <c r="I1102" s="122">
        <v>20743</v>
      </c>
      <c r="J1102" s="122">
        <v>18857</v>
      </c>
      <c r="K1102" s="122">
        <v>92</v>
      </c>
      <c r="L1102" s="122">
        <v>0</v>
      </c>
      <c r="M1102" s="122">
        <v>321615</v>
      </c>
      <c r="N1102" s="122">
        <v>3767</v>
      </c>
      <c r="O1102" s="122">
        <v>1395</v>
      </c>
      <c r="P1102" s="122">
        <v>1323</v>
      </c>
      <c r="Q1102" s="122">
        <v>490</v>
      </c>
      <c r="R1102" s="122">
        <v>4042</v>
      </c>
      <c r="S1102" s="122">
        <v>3675</v>
      </c>
      <c r="T1102" s="122">
        <v>4180</v>
      </c>
      <c r="U1102" s="122">
        <v>1548</v>
      </c>
      <c r="V1102" s="122">
        <v>347580</v>
      </c>
      <c r="W1102" s="122">
        <f t="shared" si="34"/>
        <v>347580</v>
      </c>
      <c r="X1102" s="122">
        <f t="shared" si="35"/>
        <v>34055</v>
      </c>
      <c r="AA1102" t="s">
        <v>56</v>
      </c>
      <c r="AB1102" t="s">
        <v>408</v>
      </c>
      <c r="AC1102" t="s">
        <v>427</v>
      </c>
      <c r="AD1102" t="s">
        <v>408</v>
      </c>
      <c r="AE1102" t="s">
        <v>566</v>
      </c>
      <c r="AF1102">
        <v>13</v>
      </c>
      <c r="AG1102" s="122">
        <v>2353</v>
      </c>
      <c r="AH1102" s="122">
        <v>2476</v>
      </c>
      <c r="AI1102" s="122">
        <v>278333</v>
      </c>
      <c r="AJ1102" s="122">
        <v>253030</v>
      </c>
      <c r="AK1102">
        <v>67</v>
      </c>
      <c r="AL1102" s="122">
        <v>50575</v>
      </c>
      <c r="AM1102" s="122">
        <v>45977</v>
      </c>
      <c r="AN1102" s="122">
        <v>41555</v>
      </c>
      <c r="AO1102" s="122">
        <v>15391</v>
      </c>
      <c r="AP1102" s="122">
        <v>6939</v>
      </c>
      <c r="AQ1102" s="122">
        <v>2570</v>
      </c>
      <c r="AR1102" s="122">
        <v>83178</v>
      </c>
      <c r="AS1102" s="122">
        <v>75617</v>
      </c>
      <c r="AT1102">
        <v>0</v>
      </c>
      <c r="AU1102">
        <v>0</v>
      </c>
      <c r="AV1102" s="122">
        <v>392584</v>
      </c>
    </row>
    <row r="1103" spans="2:48" hidden="1">
      <c r="B1103" t="s">
        <v>369</v>
      </c>
      <c r="C1103" t="s">
        <v>52</v>
      </c>
      <c r="D1103" t="s">
        <v>407</v>
      </c>
      <c r="E1103" t="s">
        <v>407</v>
      </c>
      <c r="F1103" s="122">
        <v>2</v>
      </c>
      <c r="G1103" s="122">
        <v>840</v>
      </c>
      <c r="H1103" s="122">
        <v>219</v>
      </c>
      <c r="I1103" s="122">
        <v>55752</v>
      </c>
      <c r="J1103" s="122">
        <v>50683</v>
      </c>
      <c r="K1103" s="122">
        <v>92</v>
      </c>
      <c r="L1103" s="122">
        <v>8039</v>
      </c>
      <c r="M1103" s="122">
        <v>7309</v>
      </c>
      <c r="N1103" s="122">
        <v>13521</v>
      </c>
      <c r="O1103" s="122">
        <v>5008</v>
      </c>
      <c r="P1103" s="122">
        <v>1067</v>
      </c>
      <c r="Q1103" s="122">
        <v>395</v>
      </c>
      <c r="R1103" s="122">
        <v>13692</v>
      </c>
      <c r="S1103" s="122">
        <v>12447</v>
      </c>
      <c r="T1103" s="122">
        <v>0</v>
      </c>
      <c r="U1103" s="122">
        <v>0</v>
      </c>
      <c r="V1103" s="122">
        <v>75842</v>
      </c>
      <c r="W1103" s="122">
        <f t="shared" si="34"/>
        <v>75842</v>
      </c>
      <c r="X1103" s="122">
        <f t="shared" si="35"/>
        <v>92071</v>
      </c>
      <c r="AA1103" t="s">
        <v>56</v>
      </c>
      <c r="AB1103" t="s">
        <v>408</v>
      </c>
      <c r="AC1103" t="s">
        <v>427</v>
      </c>
      <c r="AD1103" t="s">
        <v>429</v>
      </c>
      <c r="AE1103" t="s">
        <v>137</v>
      </c>
      <c r="AF1103">
        <v>1</v>
      </c>
      <c r="AG1103">
        <v>209</v>
      </c>
      <c r="AH1103">
        <v>205</v>
      </c>
      <c r="AI1103" s="122">
        <v>29279</v>
      </c>
      <c r="AJ1103" s="122">
        <v>26617</v>
      </c>
      <c r="AK1103">
        <v>75</v>
      </c>
      <c r="AL1103" s="122">
        <v>4066</v>
      </c>
      <c r="AM1103" s="122">
        <v>3697</v>
      </c>
      <c r="AN1103" s="122">
        <v>3359</v>
      </c>
      <c r="AO1103" s="122">
        <v>1244</v>
      </c>
      <c r="AP1103">
        <v>351</v>
      </c>
      <c r="AQ1103">
        <v>130</v>
      </c>
      <c r="AR1103" s="122">
        <v>5726</v>
      </c>
      <c r="AS1103" s="122">
        <v>5206</v>
      </c>
      <c r="AT1103">
        <v>0</v>
      </c>
      <c r="AU1103">
        <v>0</v>
      </c>
      <c r="AV1103" s="122">
        <v>36894</v>
      </c>
    </row>
    <row r="1104" spans="2:48" hidden="1">
      <c r="B1104" t="s">
        <v>369</v>
      </c>
      <c r="C1104" t="s">
        <v>52</v>
      </c>
      <c r="D1104" t="s">
        <v>433</v>
      </c>
      <c r="E1104" t="s">
        <v>137</v>
      </c>
      <c r="F1104" s="122">
        <v>1</v>
      </c>
      <c r="G1104" s="122">
        <v>170</v>
      </c>
      <c r="H1104" s="122">
        <v>109</v>
      </c>
      <c r="I1104" s="122">
        <v>9010</v>
      </c>
      <c r="J1104" s="122">
        <v>8191</v>
      </c>
      <c r="K1104" s="122">
        <v>79</v>
      </c>
      <c r="L1104" s="122">
        <v>1941</v>
      </c>
      <c r="M1104" s="122">
        <v>719</v>
      </c>
      <c r="N1104" s="122">
        <v>2070</v>
      </c>
      <c r="O1104" s="122">
        <v>767</v>
      </c>
      <c r="P1104" s="122">
        <v>1449</v>
      </c>
      <c r="Q1104" s="122">
        <v>537</v>
      </c>
      <c r="R1104" s="122">
        <v>4031</v>
      </c>
      <c r="S1104" s="122">
        <v>1493</v>
      </c>
      <c r="T1104" s="122">
        <v>0</v>
      </c>
      <c r="U1104" s="122">
        <v>0</v>
      </c>
      <c r="V1104" s="122">
        <v>11706</v>
      </c>
      <c r="W1104" s="122">
        <f t="shared" si="34"/>
        <v>11707</v>
      </c>
      <c r="X1104" s="122">
        <f t="shared" si="35"/>
        <v>18501</v>
      </c>
      <c r="AA1104" t="s">
        <v>56</v>
      </c>
      <c r="AB1104" t="s">
        <v>408</v>
      </c>
      <c r="AC1104" t="s">
        <v>427</v>
      </c>
      <c r="AD1104" t="s">
        <v>429</v>
      </c>
      <c r="AE1104" t="s">
        <v>566</v>
      </c>
      <c r="AF1104">
        <v>1</v>
      </c>
      <c r="AG1104">
        <v>266</v>
      </c>
      <c r="AH1104">
        <v>181</v>
      </c>
      <c r="AI1104" s="122">
        <v>25656</v>
      </c>
      <c r="AJ1104" s="122">
        <v>23324</v>
      </c>
      <c r="AK1104">
        <v>65</v>
      </c>
      <c r="AL1104" s="122">
        <v>6176</v>
      </c>
      <c r="AM1104" s="122">
        <v>5615</v>
      </c>
      <c r="AN1104" s="122">
        <v>6481</v>
      </c>
      <c r="AO1104" s="122">
        <v>2400</v>
      </c>
      <c r="AP1104">
        <v>351</v>
      </c>
      <c r="AQ1104">
        <v>130</v>
      </c>
      <c r="AR1104" s="122">
        <v>9591</v>
      </c>
      <c r="AS1104" s="122">
        <v>8719</v>
      </c>
      <c r="AT1104">
        <v>0</v>
      </c>
      <c r="AU1104">
        <v>0</v>
      </c>
      <c r="AV1104" s="122">
        <v>40188</v>
      </c>
    </row>
    <row r="1105" spans="2:48" hidden="1">
      <c r="B1105" t="s">
        <v>369</v>
      </c>
      <c r="C1105" t="s">
        <v>52</v>
      </c>
      <c r="D1105" t="s">
        <v>408</v>
      </c>
      <c r="E1105" t="s">
        <v>408</v>
      </c>
      <c r="F1105" s="122">
        <v>5</v>
      </c>
      <c r="G1105" s="122">
        <v>1095</v>
      </c>
      <c r="H1105" s="122">
        <v>582</v>
      </c>
      <c r="I1105" s="122">
        <v>70996</v>
      </c>
      <c r="J1105" s="122">
        <v>64542</v>
      </c>
      <c r="K1105" s="122">
        <v>85</v>
      </c>
      <c r="L1105" s="122">
        <v>11184</v>
      </c>
      <c r="M1105" s="122">
        <v>10168</v>
      </c>
      <c r="N1105" s="122">
        <v>23137</v>
      </c>
      <c r="O1105" s="122">
        <v>8569</v>
      </c>
      <c r="P1105" s="122">
        <v>10450</v>
      </c>
      <c r="Q1105" s="122">
        <v>3870</v>
      </c>
      <c r="R1105" s="122">
        <v>19995</v>
      </c>
      <c r="S1105" s="122">
        <v>18177</v>
      </c>
      <c r="T1105" s="122">
        <v>0</v>
      </c>
      <c r="U1105" s="122">
        <v>0</v>
      </c>
      <c r="V1105" s="122">
        <v>105326</v>
      </c>
      <c r="W1105" s="122">
        <f t="shared" si="34"/>
        <v>105326</v>
      </c>
      <c r="X1105" s="122">
        <f t="shared" si="35"/>
        <v>135762</v>
      </c>
      <c r="AA1105" t="s">
        <v>56</v>
      </c>
      <c r="AB1105" t="s">
        <v>408</v>
      </c>
      <c r="AC1105" t="s">
        <v>407</v>
      </c>
      <c r="AD1105" t="s">
        <v>408</v>
      </c>
      <c r="AE1105" t="s">
        <v>566</v>
      </c>
      <c r="AF1105">
        <v>2</v>
      </c>
      <c r="AG1105">
        <v>355</v>
      </c>
      <c r="AH1105">
        <v>360</v>
      </c>
      <c r="AI1105" s="122">
        <v>34869</v>
      </c>
      <c r="AJ1105" s="122">
        <v>31699</v>
      </c>
      <c r="AK1105">
        <v>85</v>
      </c>
      <c r="AL1105" s="122">
        <v>9572</v>
      </c>
      <c r="AM1105" s="122">
        <v>8702</v>
      </c>
      <c r="AN1105" s="122">
        <v>7088</v>
      </c>
      <c r="AO1105" s="122">
        <v>2625</v>
      </c>
      <c r="AP1105">
        <v>702</v>
      </c>
      <c r="AQ1105">
        <v>260</v>
      </c>
      <c r="AR1105" s="122">
        <v>11385</v>
      </c>
      <c r="AS1105" s="122">
        <v>10350</v>
      </c>
      <c r="AT1105">
        <v>0</v>
      </c>
      <c r="AU1105">
        <v>0</v>
      </c>
      <c r="AV1105" s="122">
        <v>53636</v>
      </c>
    </row>
    <row r="1106" spans="2:48" hidden="1">
      <c r="B1106" t="s">
        <v>369</v>
      </c>
      <c r="C1106" t="s">
        <v>54</v>
      </c>
      <c r="D1106" t="s">
        <v>425</v>
      </c>
      <c r="E1106" t="s">
        <v>425</v>
      </c>
      <c r="F1106" s="122">
        <v>5</v>
      </c>
      <c r="G1106" s="122">
        <v>882</v>
      </c>
      <c r="H1106" s="122">
        <v>697</v>
      </c>
      <c r="I1106" s="122">
        <v>83572</v>
      </c>
      <c r="J1106" s="122">
        <v>75974</v>
      </c>
      <c r="K1106" s="122">
        <v>85</v>
      </c>
      <c r="L1106" s="122">
        <v>15819</v>
      </c>
      <c r="M1106" s="122">
        <v>14381</v>
      </c>
      <c r="N1106" s="122">
        <v>16458</v>
      </c>
      <c r="O1106" s="122">
        <v>6095</v>
      </c>
      <c r="P1106" s="122">
        <v>3645</v>
      </c>
      <c r="Q1106" s="122">
        <v>1350</v>
      </c>
      <c r="R1106" s="122">
        <v>25293</v>
      </c>
      <c r="S1106" s="122">
        <v>22994</v>
      </c>
      <c r="T1106" s="122">
        <v>0</v>
      </c>
      <c r="U1106" s="122">
        <v>0</v>
      </c>
      <c r="V1106" s="122">
        <v>120795</v>
      </c>
      <c r="W1106" s="122">
        <f t="shared" si="34"/>
        <v>120794</v>
      </c>
      <c r="X1106" s="122">
        <f t="shared" si="35"/>
        <v>144787</v>
      </c>
      <c r="AA1106" t="s">
        <v>56</v>
      </c>
      <c r="AB1106" t="s">
        <v>408</v>
      </c>
      <c r="AC1106" t="s">
        <v>579</v>
      </c>
      <c r="AD1106" t="s">
        <v>137</v>
      </c>
      <c r="AE1106" t="s">
        <v>566</v>
      </c>
      <c r="AF1106">
        <v>1</v>
      </c>
      <c r="AG1106">
        <v>211</v>
      </c>
      <c r="AH1106">
        <v>170</v>
      </c>
      <c r="AI1106" s="122">
        <v>21350</v>
      </c>
      <c r="AJ1106" s="122">
        <v>19409</v>
      </c>
      <c r="AK1106">
        <v>86</v>
      </c>
      <c r="AL1106" s="122">
        <v>3709</v>
      </c>
      <c r="AM1106" s="122">
        <v>3091</v>
      </c>
      <c r="AN1106" s="122">
        <v>4043</v>
      </c>
      <c r="AO1106" s="122">
        <v>1497</v>
      </c>
      <c r="AP1106">
        <v>621</v>
      </c>
      <c r="AQ1106">
        <v>230</v>
      </c>
      <c r="AR1106" s="122">
        <v>6268</v>
      </c>
      <c r="AS1106" s="122">
        <v>2321</v>
      </c>
      <c r="AT1106">
        <v>0</v>
      </c>
      <c r="AU1106">
        <v>0</v>
      </c>
      <c r="AV1106" s="122">
        <v>26549</v>
      </c>
    </row>
    <row r="1107" spans="2:48" hidden="1">
      <c r="B1107" t="s">
        <v>369</v>
      </c>
      <c r="C1107" t="s">
        <v>54</v>
      </c>
      <c r="D1107" t="s">
        <v>405</v>
      </c>
      <c r="E1107" t="s">
        <v>405</v>
      </c>
      <c r="F1107" s="122">
        <v>95</v>
      </c>
      <c r="G1107" s="122">
        <v>17810</v>
      </c>
      <c r="H1107" s="122">
        <v>13256</v>
      </c>
      <c r="I1107" s="122">
        <v>1423398</v>
      </c>
      <c r="J1107" s="122">
        <v>1293998</v>
      </c>
      <c r="K1107" s="122">
        <v>90</v>
      </c>
      <c r="L1107" s="122">
        <v>303441</v>
      </c>
      <c r="M1107" s="122">
        <v>270550</v>
      </c>
      <c r="N1107" s="122">
        <v>359634</v>
      </c>
      <c r="O1107" s="122">
        <v>133198</v>
      </c>
      <c r="P1107" s="122">
        <v>70003</v>
      </c>
      <c r="Q1107" s="122">
        <v>25927</v>
      </c>
      <c r="R1107" s="122">
        <v>469620</v>
      </c>
      <c r="S1107" s="122">
        <v>426928</v>
      </c>
      <c r="T1107" s="122">
        <v>7923</v>
      </c>
      <c r="U1107" s="122">
        <v>2935</v>
      </c>
      <c r="V1107" s="122">
        <v>2153534</v>
      </c>
      <c r="W1107" s="122">
        <f t="shared" si="34"/>
        <v>2153536</v>
      </c>
      <c r="X1107" s="122">
        <f t="shared" si="35"/>
        <v>2634019</v>
      </c>
      <c r="AA1107" t="s">
        <v>56</v>
      </c>
      <c r="AB1107" t="s">
        <v>408</v>
      </c>
      <c r="AC1107" t="s">
        <v>579</v>
      </c>
      <c r="AD1107" t="s">
        <v>426</v>
      </c>
      <c r="AE1107" t="s">
        <v>566</v>
      </c>
      <c r="AF1107">
        <v>1</v>
      </c>
      <c r="AG1107" s="122">
        <v>148</v>
      </c>
      <c r="AH1107" s="122">
        <v>159</v>
      </c>
      <c r="AI1107" s="122">
        <v>23238</v>
      </c>
      <c r="AJ1107" s="122">
        <v>21126</v>
      </c>
      <c r="AK1107">
        <v>65</v>
      </c>
      <c r="AL1107" s="122">
        <v>3052</v>
      </c>
      <c r="AM1107" s="122">
        <v>2543</v>
      </c>
      <c r="AN1107" s="122">
        <v>2767</v>
      </c>
      <c r="AO1107" s="122">
        <v>1025</v>
      </c>
      <c r="AP1107" s="122">
        <v>351</v>
      </c>
      <c r="AQ1107" s="122">
        <v>130</v>
      </c>
      <c r="AR1107" s="122">
        <v>6800</v>
      </c>
      <c r="AS1107" s="122">
        <v>6182</v>
      </c>
      <c r="AT1107" s="122">
        <v>0</v>
      </c>
      <c r="AU1107" s="122">
        <v>0</v>
      </c>
      <c r="AV1107" s="122">
        <v>31005</v>
      </c>
    </row>
    <row r="1108" spans="2:48" hidden="1">
      <c r="B1108" t="s">
        <v>369</v>
      </c>
      <c r="C1108" t="s">
        <v>54</v>
      </c>
      <c r="D1108" t="s">
        <v>405</v>
      </c>
      <c r="E1108" t="s">
        <v>137</v>
      </c>
      <c r="F1108" s="122">
        <v>1</v>
      </c>
      <c r="G1108" s="122">
        <v>302</v>
      </c>
      <c r="H1108" s="122">
        <v>131</v>
      </c>
      <c r="I1108" s="122">
        <v>22909</v>
      </c>
      <c r="J1108" s="122">
        <v>20826</v>
      </c>
      <c r="K1108" s="122">
        <v>69</v>
      </c>
      <c r="L1108" s="122">
        <v>2927</v>
      </c>
      <c r="M1108" s="122">
        <v>2661</v>
      </c>
      <c r="N1108" s="122">
        <v>3685</v>
      </c>
      <c r="O1108" s="122">
        <v>1365</v>
      </c>
      <c r="P1108" s="122">
        <v>1175</v>
      </c>
      <c r="Q1108" s="122">
        <v>435</v>
      </c>
      <c r="R1108" s="122">
        <v>9031</v>
      </c>
      <c r="S1108" s="122">
        <v>3345</v>
      </c>
      <c r="T1108" s="122">
        <v>0</v>
      </c>
      <c r="U1108" s="122">
        <v>0</v>
      </c>
      <c r="V1108" s="122">
        <v>28632</v>
      </c>
      <c r="W1108" s="122">
        <f t="shared" si="34"/>
        <v>28632</v>
      </c>
      <c r="X1108" s="122">
        <f t="shared" si="35"/>
        <v>39727</v>
      </c>
      <c r="AA1108" t="s">
        <v>56</v>
      </c>
      <c r="AB1108" t="s">
        <v>408</v>
      </c>
      <c r="AC1108" t="s">
        <v>579</v>
      </c>
      <c r="AD1108" t="s">
        <v>408</v>
      </c>
      <c r="AE1108" t="s">
        <v>137</v>
      </c>
      <c r="AF1108">
        <v>8</v>
      </c>
      <c r="AG1108" s="122">
        <v>1499</v>
      </c>
      <c r="AH1108" s="122">
        <v>1527</v>
      </c>
      <c r="AI1108" s="122">
        <v>169448</v>
      </c>
      <c r="AJ1108" s="122">
        <v>154043</v>
      </c>
      <c r="AK1108">
        <v>78</v>
      </c>
      <c r="AL1108" s="122">
        <v>35629</v>
      </c>
      <c r="AM1108" s="122">
        <v>29691</v>
      </c>
      <c r="AN1108" s="122">
        <v>28450</v>
      </c>
      <c r="AO1108" s="122">
        <v>10537</v>
      </c>
      <c r="AP1108" s="122">
        <v>3159</v>
      </c>
      <c r="AQ1108" s="122">
        <v>1170</v>
      </c>
      <c r="AR1108" s="122">
        <v>33084</v>
      </c>
      <c r="AS1108" s="122">
        <v>30076</v>
      </c>
      <c r="AT1108" s="122">
        <v>15878</v>
      </c>
      <c r="AU1108" s="122">
        <v>5881</v>
      </c>
      <c r="AV1108" s="122">
        <v>231398</v>
      </c>
    </row>
    <row r="1109" spans="2:48" hidden="1">
      <c r="B1109" t="s">
        <v>369</v>
      </c>
      <c r="C1109" t="s">
        <v>54</v>
      </c>
      <c r="D1109" t="s">
        <v>137</v>
      </c>
      <c r="E1109" t="s">
        <v>405</v>
      </c>
      <c r="F1109" s="122">
        <v>1</v>
      </c>
      <c r="G1109" s="122">
        <v>386</v>
      </c>
      <c r="H1109" s="122">
        <v>134</v>
      </c>
      <c r="I1109" s="122">
        <v>26740</v>
      </c>
      <c r="J1109" s="122">
        <v>9904</v>
      </c>
      <c r="K1109" s="122">
        <v>320</v>
      </c>
      <c r="L1109" s="122">
        <v>7747</v>
      </c>
      <c r="M1109" s="122">
        <v>7043</v>
      </c>
      <c r="N1109" s="122">
        <v>9124</v>
      </c>
      <c r="O1109" s="122">
        <v>3379</v>
      </c>
      <c r="P1109" s="122">
        <v>824</v>
      </c>
      <c r="Q1109" s="122">
        <v>305</v>
      </c>
      <c r="R1109" s="122">
        <v>7303</v>
      </c>
      <c r="S1109" s="122">
        <v>6639</v>
      </c>
      <c r="T1109" s="122">
        <v>0</v>
      </c>
      <c r="U1109" s="122">
        <v>0</v>
      </c>
      <c r="V1109" s="122">
        <v>27270</v>
      </c>
      <c r="W1109" s="122">
        <f t="shared" si="34"/>
        <v>27270</v>
      </c>
      <c r="X1109" s="122">
        <f t="shared" si="35"/>
        <v>51738</v>
      </c>
      <c r="AA1109" t="s">
        <v>56</v>
      </c>
      <c r="AB1109" t="s">
        <v>408</v>
      </c>
      <c r="AC1109" t="s">
        <v>579</v>
      </c>
      <c r="AD1109" t="s">
        <v>408</v>
      </c>
      <c r="AE1109" t="s">
        <v>566</v>
      </c>
      <c r="AF1109">
        <v>16</v>
      </c>
      <c r="AG1109" s="122">
        <v>3475</v>
      </c>
      <c r="AH1109" s="122">
        <v>3101</v>
      </c>
      <c r="AI1109" s="122">
        <v>418187</v>
      </c>
      <c r="AJ1109" s="122">
        <v>380170</v>
      </c>
      <c r="AK1109">
        <v>71</v>
      </c>
      <c r="AL1109" s="122">
        <v>93414</v>
      </c>
      <c r="AM1109" s="122">
        <v>77845</v>
      </c>
      <c r="AN1109" s="122">
        <v>66871</v>
      </c>
      <c r="AO1109" s="122">
        <v>24767</v>
      </c>
      <c r="AP1109" s="122">
        <v>7992</v>
      </c>
      <c r="AQ1109" s="122">
        <v>2960</v>
      </c>
      <c r="AR1109" s="122">
        <v>108814</v>
      </c>
      <c r="AS1109" s="122">
        <v>98922</v>
      </c>
      <c r="AT1109">
        <v>0</v>
      </c>
      <c r="AU1109">
        <v>0</v>
      </c>
      <c r="AV1109" s="122">
        <v>584664</v>
      </c>
    </row>
    <row r="1110" spans="2:48" hidden="1">
      <c r="B1110" t="s">
        <v>369</v>
      </c>
      <c r="C1110" t="s">
        <v>54</v>
      </c>
      <c r="D1110" t="s">
        <v>137</v>
      </c>
      <c r="E1110" t="s">
        <v>137</v>
      </c>
      <c r="F1110" s="122">
        <v>46</v>
      </c>
      <c r="G1110" s="122">
        <v>10397</v>
      </c>
      <c r="H1110" s="122">
        <v>6321</v>
      </c>
      <c r="I1110" s="122">
        <v>693107</v>
      </c>
      <c r="J1110" s="122">
        <v>256706</v>
      </c>
      <c r="K1110" s="122">
        <v>307</v>
      </c>
      <c r="L1110" s="122">
        <v>206700</v>
      </c>
      <c r="M1110" s="122">
        <v>174719</v>
      </c>
      <c r="N1110" s="122">
        <v>220661</v>
      </c>
      <c r="O1110" s="122">
        <v>81726</v>
      </c>
      <c r="P1110" s="122">
        <v>52554</v>
      </c>
      <c r="Q1110" s="122">
        <v>19465</v>
      </c>
      <c r="R1110" s="122">
        <v>358658</v>
      </c>
      <c r="S1110" s="122">
        <v>132836</v>
      </c>
      <c r="T1110" s="122">
        <v>4876</v>
      </c>
      <c r="U1110" s="122">
        <v>1806</v>
      </c>
      <c r="V1110" s="122">
        <v>667259</v>
      </c>
      <c r="W1110" s="122">
        <f t="shared" si="34"/>
        <v>667258</v>
      </c>
      <c r="X1110" s="122">
        <f t="shared" si="35"/>
        <v>1536556</v>
      </c>
      <c r="AA1110" t="s">
        <v>56</v>
      </c>
      <c r="AB1110" t="s">
        <v>408</v>
      </c>
      <c r="AC1110" t="s">
        <v>579</v>
      </c>
      <c r="AD1110" t="s">
        <v>429</v>
      </c>
      <c r="AE1110" t="s">
        <v>137</v>
      </c>
      <c r="AF1110">
        <v>1</v>
      </c>
      <c r="AG1110">
        <v>229</v>
      </c>
      <c r="AH1110">
        <v>212</v>
      </c>
      <c r="AI1110" s="122">
        <v>29867</v>
      </c>
      <c r="AJ1110" s="122">
        <v>27151</v>
      </c>
      <c r="AK1110">
        <v>65</v>
      </c>
      <c r="AL1110" s="122">
        <v>7844</v>
      </c>
      <c r="AM1110" s="122">
        <v>6536</v>
      </c>
      <c r="AN1110" s="122">
        <v>3485</v>
      </c>
      <c r="AO1110" s="122">
        <v>1291</v>
      </c>
      <c r="AP1110">
        <v>351</v>
      </c>
      <c r="AQ1110">
        <v>130</v>
      </c>
      <c r="AR1110" s="122">
        <v>6922</v>
      </c>
      <c r="AS1110" s="122">
        <v>6293</v>
      </c>
      <c r="AT1110">
        <v>0</v>
      </c>
      <c r="AU1110">
        <v>0</v>
      </c>
      <c r="AV1110" s="122">
        <v>41401</v>
      </c>
    </row>
    <row r="1111" spans="2:48" hidden="1">
      <c r="B1111" t="s">
        <v>369</v>
      </c>
      <c r="C1111" t="s">
        <v>54</v>
      </c>
      <c r="D1111" t="s">
        <v>406</v>
      </c>
      <c r="E1111" t="s">
        <v>137</v>
      </c>
      <c r="F1111" s="122">
        <v>5</v>
      </c>
      <c r="G1111" s="122">
        <v>1129</v>
      </c>
      <c r="H1111" s="122">
        <v>700</v>
      </c>
      <c r="I1111" s="122">
        <v>86903</v>
      </c>
      <c r="J1111" s="122">
        <v>79003</v>
      </c>
      <c r="K1111" s="122">
        <v>85</v>
      </c>
      <c r="L1111" s="122">
        <v>12345</v>
      </c>
      <c r="M1111" s="122">
        <v>11223</v>
      </c>
      <c r="N1111" s="122">
        <v>17596</v>
      </c>
      <c r="O1111" s="122">
        <v>6517</v>
      </c>
      <c r="P1111" s="122">
        <v>3105</v>
      </c>
      <c r="Q1111" s="122">
        <v>1150</v>
      </c>
      <c r="R1111" s="122">
        <v>38252</v>
      </c>
      <c r="S1111" s="122">
        <v>14167</v>
      </c>
      <c r="T1111" s="122">
        <v>0</v>
      </c>
      <c r="U1111" s="122">
        <v>0</v>
      </c>
      <c r="V1111" s="122">
        <v>112060</v>
      </c>
      <c r="W1111" s="122">
        <f t="shared" si="34"/>
        <v>112060</v>
      </c>
      <c r="X1111" s="122">
        <f t="shared" si="35"/>
        <v>158201</v>
      </c>
      <c r="AA1111" t="s">
        <v>56</v>
      </c>
      <c r="AB1111" t="s">
        <v>408</v>
      </c>
      <c r="AC1111" t="s">
        <v>428</v>
      </c>
      <c r="AD1111" t="s">
        <v>408</v>
      </c>
      <c r="AE1111" t="s">
        <v>566</v>
      </c>
      <c r="AF1111">
        <v>2</v>
      </c>
      <c r="AG1111">
        <v>497</v>
      </c>
      <c r="AH1111">
        <v>366</v>
      </c>
      <c r="AI1111" s="122">
        <v>57928</v>
      </c>
      <c r="AJ1111" s="122">
        <v>52662</v>
      </c>
      <c r="AK1111">
        <v>77</v>
      </c>
      <c r="AL1111" s="122">
        <v>9955</v>
      </c>
      <c r="AM1111" s="122">
        <v>9050</v>
      </c>
      <c r="AN1111" s="122">
        <v>9188</v>
      </c>
      <c r="AO1111" s="122">
        <v>3403</v>
      </c>
      <c r="AP1111" s="122">
        <v>702</v>
      </c>
      <c r="AQ1111">
        <v>260</v>
      </c>
      <c r="AR1111" s="122">
        <v>13488</v>
      </c>
      <c r="AS1111" s="122">
        <v>12262</v>
      </c>
      <c r="AT1111">
        <v>0</v>
      </c>
      <c r="AU1111">
        <v>0</v>
      </c>
      <c r="AV1111" s="122">
        <v>77637</v>
      </c>
    </row>
    <row r="1112" spans="2:48" hidden="1">
      <c r="B1112" t="s">
        <v>369</v>
      </c>
      <c r="C1112" t="s">
        <v>54</v>
      </c>
      <c r="D1112" t="s">
        <v>406</v>
      </c>
      <c r="E1112" t="s">
        <v>406</v>
      </c>
      <c r="F1112" s="122">
        <v>952</v>
      </c>
      <c r="G1112" s="122">
        <v>187890</v>
      </c>
      <c r="H1112" s="122">
        <v>133501</v>
      </c>
      <c r="I1112" s="122">
        <v>15663817</v>
      </c>
      <c r="J1112" s="122">
        <v>14239833</v>
      </c>
      <c r="K1112" s="122">
        <v>89</v>
      </c>
      <c r="L1112" s="122">
        <v>3253416</v>
      </c>
      <c r="M1112" s="122">
        <v>3163913</v>
      </c>
      <c r="N1112" s="122">
        <v>3590961</v>
      </c>
      <c r="O1112" s="122">
        <v>1329986</v>
      </c>
      <c r="P1112" s="122">
        <v>764455</v>
      </c>
      <c r="Q1112" s="122">
        <v>283131</v>
      </c>
      <c r="R1112" s="122">
        <v>5388811</v>
      </c>
      <c r="S1112" s="122">
        <v>4898919</v>
      </c>
      <c r="T1112" s="122">
        <v>209794</v>
      </c>
      <c r="U1112" s="122">
        <v>77701</v>
      </c>
      <c r="V1112" s="122">
        <v>23993484</v>
      </c>
      <c r="W1112" s="122">
        <f t="shared" si="34"/>
        <v>23993483</v>
      </c>
      <c r="X1112" s="122">
        <f t="shared" si="35"/>
        <v>28871254</v>
      </c>
      <c r="AA1112" t="s">
        <v>56</v>
      </c>
      <c r="AB1112" t="s">
        <v>408</v>
      </c>
      <c r="AC1112" t="s">
        <v>431</v>
      </c>
      <c r="AD1112" t="s">
        <v>408</v>
      </c>
      <c r="AE1112" t="s">
        <v>566</v>
      </c>
      <c r="AF1112">
        <v>4</v>
      </c>
      <c r="AG1112">
        <v>844</v>
      </c>
      <c r="AH1112">
        <v>799</v>
      </c>
      <c r="AI1112" s="122">
        <v>118604</v>
      </c>
      <c r="AJ1112" s="122">
        <v>107822</v>
      </c>
      <c r="AK1112">
        <v>65</v>
      </c>
      <c r="AL1112" s="122">
        <v>26663</v>
      </c>
      <c r="AM1112" s="122">
        <v>24239</v>
      </c>
      <c r="AN1112" s="122">
        <v>23078</v>
      </c>
      <c r="AO1112" s="122">
        <v>8547</v>
      </c>
      <c r="AP1112" s="122">
        <v>1404</v>
      </c>
      <c r="AQ1112">
        <v>520</v>
      </c>
      <c r="AR1112" s="122">
        <v>37281</v>
      </c>
      <c r="AS1112" s="122">
        <v>33892</v>
      </c>
      <c r="AT1112">
        <v>0</v>
      </c>
      <c r="AU1112">
        <v>0</v>
      </c>
      <c r="AV1112" s="122">
        <v>175020</v>
      </c>
    </row>
    <row r="1113" spans="2:48" hidden="1">
      <c r="B1113" t="s">
        <v>369</v>
      </c>
      <c r="C1113" t="s">
        <v>54</v>
      </c>
      <c r="D1113" t="s">
        <v>406</v>
      </c>
      <c r="E1113" t="s">
        <v>427</v>
      </c>
      <c r="F1113" s="122">
        <v>3</v>
      </c>
      <c r="G1113" s="122">
        <v>414</v>
      </c>
      <c r="H1113" s="122">
        <v>429</v>
      </c>
      <c r="I1113" s="122">
        <v>34538</v>
      </c>
      <c r="J1113" s="122">
        <v>31398</v>
      </c>
      <c r="K1113" s="122">
        <v>92</v>
      </c>
      <c r="L1113" s="122">
        <v>11279</v>
      </c>
      <c r="M1113" s="122">
        <v>10254</v>
      </c>
      <c r="N1113" s="122">
        <v>11641</v>
      </c>
      <c r="O1113" s="122">
        <v>4311</v>
      </c>
      <c r="P1113" s="122">
        <v>1863</v>
      </c>
      <c r="Q1113" s="122">
        <v>690</v>
      </c>
      <c r="R1113" s="122">
        <v>14485</v>
      </c>
      <c r="S1113" s="122">
        <v>13169</v>
      </c>
      <c r="T1113" s="122">
        <v>0</v>
      </c>
      <c r="U1113" s="122">
        <v>0</v>
      </c>
      <c r="V1113" s="122">
        <v>59822</v>
      </c>
      <c r="W1113" s="122">
        <f t="shared" si="34"/>
        <v>59822</v>
      </c>
      <c r="X1113" s="122">
        <f t="shared" si="35"/>
        <v>73806</v>
      </c>
      <c r="AA1113" t="s">
        <v>56</v>
      </c>
      <c r="AB1113" t="s">
        <v>408</v>
      </c>
      <c r="AC1113" t="s">
        <v>426</v>
      </c>
      <c r="AD1113" t="s">
        <v>137</v>
      </c>
      <c r="AE1113" t="s">
        <v>566</v>
      </c>
      <c r="AF1113">
        <v>1</v>
      </c>
      <c r="AG1113" s="122">
        <v>221</v>
      </c>
      <c r="AH1113" s="122">
        <v>160</v>
      </c>
      <c r="AI1113" s="122">
        <v>23217</v>
      </c>
      <c r="AJ1113" s="122">
        <v>21107</v>
      </c>
      <c r="AK1113">
        <v>65</v>
      </c>
      <c r="AL1113" s="122">
        <v>2580</v>
      </c>
      <c r="AM1113" s="122">
        <v>2345</v>
      </c>
      <c r="AN1113" s="122">
        <v>3559</v>
      </c>
      <c r="AO1113" s="122">
        <v>1318</v>
      </c>
      <c r="AP1113" s="122">
        <v>351</v>
      </c>
      <c r="AQ1113" s="122">
        <v>130</v>
      </c>
      <c r="AR1113" s="122">
        <v>5653</v>
      </c>
      <c r="AS1113" s="122">
        <v>2094</v>
      </c>
      <c r="AT1113" s="122">
        <v>0</v>
      </c>
      <c r="AU1113" s="122">
        <v>0</v>
      </c>
      <c r="AV1113" s="122">
        <v>26994</v>
      </c>
    </row>
    <row r="1114" spans="2:48" hidden="1">
      <c r="B1114" t="s">
        <v>369</v>
      </c>
      <c r="C1114" t="s">
        <v>54</v>
      </c>
      <c r="D1114" t="s">
        <v>406</v>
      </c>
      <c r="E1114" t="s">
        <v>429</v>
      </c>
      <c r="F1114" s="122">
        <v>1</v>
      </c>
      <c r="G1114" s="122">
        <v>212</v>
      </c>
      <c r="H1114" s="122">
        <v>130</v>
      </c>
      <c r="I1114" s="122">
        <v>11499</v>
      </c>
      <c r="J1114" s="122">
        <v>10454</v>
      </c>
      <c r="K1114" s="122">
        <v>85</v>
      </c>
      <c r="L1114" s="122">
        <v>1671</v>
      </c>
      <c r="M1114" s="122">
        <v>1519</v>
      </c>
      <c r="N1114" s="122">
        <v>2713</v>
      </c>
      <c r="O1114" s="122">
        <v>1005</v>
      </c>
      <c r="P1114" s="122">
        <v>2389</v>
      </c>
      <c r="Q1114" s="122">
        <v>885</v>
      </c>
      <c r="R1114" s="122">
        <v>9299</v>
      </c>
      <c r="S1114" s="122">
        <v>8454</v>
      </c>
      <c r="T1114" s="122">
        <v>0</v>
      </c>
      <c r="U1114" s="122">
        <v>0</v>
      </c>
      <c r="V1114" s="122">
        <v>22316</v>
      </c>
      <c r="W1114" s="122">
        <f t="shared" si="34"/>
        <v>22317</v>
      </c>
      <c r="X1114" s="122">
        <f t="shared" si="35"/>
        <v>27571</v>
      </c>
      <c r="AA1114" t="s">
        <v>56</v>
      </c>
      <c r="AB1114" t="s">
        <v>408</v>
      </c>
      <c r="AC1114" t="s">
        <v>426</v>
      </c>
      <c r="AD1114" t="s">
        <v>408</v>
      </c>
      <c r="AE1114" t="s">
        <v>137</v>
      </c>
      <c r="AF1114">
        <v>59</v>
      </c>
      <c r="AG1114" s="122">
        <v>11908</v>
      </c>
      <c r="AH1114" s="122">
        <v>11133</v>
      </c>
      <c r="AI1114" s="122">
        <v>1351645</v>
      </c>
      <c r="AJ1114" s="122">
        <v>1228769</v>
      </c>
      <c r="AK1114">
        <v>73</v>
      </c>
      <c r="AL1114" s="122">
        <v>226433</v>
      </c>
      <c r="AM1114" s="122">
        <v>205848</v>
      </c>
      <c r="AN1114" s="122">
        <v>247367</v>
      </c>
      <c r="AO1114" s="122">
        <v>91617</v>
      </c>
      <c r="AP1114" s="122">
        <v>30194</v>
      </c>
      <c r="AQ1114" s="122">
        <v>11183</v>
      </c>
      <c r="AR1114" s="122">
        <v>350162</v>
      </c>
      <c r="AS1114" s="122">
        <v>318329</v>
      </c>
      <c r="AT1114" s="122">
        <v>117248</v>
      </c>
      <c r="AU1114" s="122">
        <v>43425</v>
      </c>
      <c r="AV1114" s="122">
        <v>1899172</v>
      </c>
    </row>
    <row r="1115" spans="2:48" hidden="1">
      <c r="B1115" t="s">
        <v>369</v>
      </c>
      <c r="C1115" t="s">
        <v>54</v>
      </c>
      <c r="D1115" t="s">
        <v>407</v>
      </c>
      <c r="E1115" t="s">
        <v>407</v>
      </c>
      <c r="F1115" s="122">
        <v>19</v>
      </c>
      <c r="G1115" s="122">
        <v>3232</v>
      </c>
      <c r="H1115" s="122">
        <v>2668</v>
      </c>
      <c r="I1115" s="122">
        <v>260497</v>
      </c>
      <c r="J1115" s="122">
        <v>236815</v>
      </c>
      <c r="K1115" s="122">
        <v>90</v>
      </c>
      <c r="L1115" s="122">
        <v>57374</v>
      </c>
      <c r="M1115" s="122">
        <v>55316</v>
      </c>
      <c r="N1115" s="122">
        <v>56880</v>
      </c>
      <c r="O1115" s="122">
        <v>21067</v>
      </c>
      <c r="P1115" s="122">
        <v>12245</v>
      </c>
      <c r="Q1115" s="122">
        <v>4535</v>
      </c>
      <c r="R1115" s="122">
        <v>89810</v>
      </c>
      <c r="S1115" s="122">
        <v>81646</v>
      </c>
      <c r="T1115" s="122">
        <v>3954</v>
      </c>
      <c r="U1115" s="122">
        <v>1464</v>
      </c>
      <c r="V1115" s="122">
        <v>400843</v>
      </c>
      <c r="W1115" s="122">
        <f t="shared" si="34"/>
        <v>400843</v>
      </c>
      <c r="X1115" s="122">
        <f t="shared" si="35"/>
        <v>480760</v>
      </c>
      <c r="AA1115" t="s">
        <v>56</v>
      </c>
      <c r="AB1115" t="s">
        <v>408</v>
      </c>
      <c r="AC1115" t="s">
        <v>426</v>
      </c>
      <c r="AD1115" t="s">
        <v>408</v>
      </c>
      <c r="AE1115" t="s">
        <v>566</v>
      </c>
      <c r="AF1115">
        <v>140</v>
      </c>
      <c r="AG1115" s="122">
        <v>29300</v>
      </c>
      <c r="AH1115" s="122">
        <v>26054</v>
      </c>
      <c r="AI1115" s="122">
        <v>3547640</v>
      </c>
      <c r="AJ1115" s="122">
        <v>3225127</v>
      </c>
      <c r="AK1115">
        <v>72</v>
      </c>
      <c r="AL1115" s="122">
        <v>621671</v>
      </c>
      <c r="AM1115" s="122">
        <v>565156</v>
      </c>
      <c r="AN1115" s="122">
        <v>609770</v>
      </c>
      <c r="AO1115" s="122">
        <v>225841</v>
      </c>
      <c r="AP1115" s="122">
        <v>70398</v>
      </c>
      <c r="AQ1115" s="122">
        <v>26073</v>
      </c>
      <c r="AR1115" s="122">
        <v>932860</v>
      </c>
      <c r="AS1115" s="122">
        <v>848055</v>
      </c>
      <c r="AT1115" s="122">
        <v>0</v>
      </c>
      <c r="AU1115" s="122">
        <v>0</v>
      </c>
      <c r="AV1115" s="122">
        <v>4890251</v>
      </c>
    </row>
    <row r="1116" spans="2:48" hidden="1">
      <c r="B1116" t="s">
        <v>369</v>
      </c>
      <c r="C1116" t="s">
        <v>54</v>
      </c>
      <c r="D1116" t="s">
        <v>426</v>
      </c>
      <c r="E1116" t="s">
        <v>137</v>
      </c>
      <c r="F1116" s="122">
        <v>1</v>
      </c>
      <c r="G1116" s="122">
        <v>252</v>
      </c>
      <c r="H1116" s="122">
        <v>142</v>
      </c>
      <c r="I1116" s="122">
        <v>23668</v>
      </c>
      <c r="J1116" s="122">
        <v>21516</v>
      </c>
      <c r="K1116" s="122">
        <v>65</v>
      </c>
      <c r="L1116" s="122">
        <v>5698</v>
      </c>
      <c r="M1116" s="122">
        <v>5180</v>
      </c>
      <c r="N1116" s="122">
        <v>3070</v>
      </c>
      <c r="O1116" s="122">
        <v>1137</v>
      </c>
      <c r="P1116" s="122">
        <v>351</v>
      </c>
      <c r="Q1116" s="122">
        <v>130</v>
      </c>
      <c r="R1116" s="122">
        <v>3101</v>
      </c>
      <c r="S1116" s="122">
        <v>1149</v>
      </c>
      <c r="T1116" s="122">
        <v>0</v>
      </c>
      <c r="U1116" s="122">
        <v>0</v>
      </c>
      <c r="V1116" s="122">
        <v>29112</v>
      </c>
      <c r="W1116" s="122">
        <f t="shared" si="34"/>
        <v>29112</v>
      </c>
      <c r="X1116" s="122">
        <f t="shared" si="35"/>
        <v>35888</v>
      </c>
      <c r="AA1116" t="s">
        <v>56</v>
      </c>
      <c r="AB1116" t="s">
        <v>408</v>
      </c>
      <c r="AC1116" t="s">
        <v>426</v>
      </c>
      <c r="AD1116" t="s">
        <v>429</v>
      </c>
      <c r="AE1116" t="s">
        <v>137</v>
      </c>
      <c r="AF1116">
        <v>2</v>
      </c>
      <c r="AG1116">
        <v>510</v>
      </c>
      <c r="AH1116">
        <v>415</v>
      </c>
      <c r="AI1116" s="122">
        <v>69324</v>
      </c>
      <c r="AJ1116" s="122">
        <v>63022</v>
      </c>
      <c r="AK1116">
        <v>91</v>
      </c>
      <c r="AL1116" s="122">
        <v>11621</v>
      </c>
      <c r="AM1116" s="122">
        <v>10565</v>
      </c>
      <c r="AN1116" s="122">
        <v>9377</v>
      </c>
      <c r="AO1116" s="122">
        <v>3473</v>
      </c>
      <c r="AP1116" s="122">
        <v>702</v>
      </c>
      <c r="AQ1116">
        <v>260</v>
      </c>
      <c r="AR1116" s="122">
        <v>7912</v>
      </c>
      <c r="AS1116" s="122">
        <v>7193</v>
      </c>
      <c r="AT1116" s="122">
        <v>6534</v>
      </c>
      <c r="AU1116" s="122">
        <v>2420</v>
      </c>
      <c r="AV1116" s="122">
        <v>86933</v>
      </c>
    </row>
    <row r="1117" spans="2:48" hidden="1">
      <c r="B1117" t="s">
        <v>369</v>
      </c>
      <c r="C1117" t="s">
        <v>54</v>
      </c>
      <c r="D1117" t="s">
        <v>426</v>
      </c>
      <c r="E1117" t="s">
        <v>426</v>
      </c>
      <c r="F1117" s="122">
        <v>1</v>
      </c>
      <c r="G1117" s="122">
        <v>230</v>
      </c>
      <c r="H1117" s="122">
        <v>141</v>
      </c>
      <c r="I1117" s="122">
        <v>18481</v>
      </c>
      <c r="J1117" s="122">
        <v>16801</v>
      </c>
      <c r="K1117" s="122">
        <v>65</v>
      </c>
      <c r="L1117" s="122">
        <v>3276</v>
      </c>
      <c r="M1117" s="122">
        <v>1213</v>
      </c>
      <c r="N1117" s="122">
        <v>5607</v>
      </c>
      <c r="O1117" s="122">
        <v>2077</v>
      </c>
      <c r="P1117" s="122">
        <v>2315</v>
      </c>
      <c r="Q1117" s="122">
        <v>858</v>
      </c>
      <c r="R1117" s="122">
        <v>2653</v>
      </c>
      <c r="S1117" s="122">
        <v>2411</v>
      </c>
      <c r="T1117" s="122">
        <v>0</v>
      </c>
      <c r="U1117" s="122">
        <v>0</v>
      </c>
      <c r="V1117" s="122">
        <v>23360</v>
      </c>
      <c r="W1117" s="122">
        <f t="shared" si="34"/>
        <v>23360</v>
      </c>
      <c r="X1117" s="122">
        <f t="shared" si="35"/>
        <v>32332</v>
      </c>
      <c r="AA1117" t="s">
        <v>56</v>
      </c>
      <c r="AB1117" t="s">
        <v>408</v>
      </c>
      <c r="AC1117" t="s">
        <v>426</v>
      </c>
      <c r="AD1117" t="s">
        <v>429</v>
      </c>
      <c r="AE1117" t="s">
        <v>566</v>
      </c>
      <c r="AF1117">
        <v>1</v>
      </c>
      <c r="AG1117">
        <v>161</v>
      </c>
      <c r="AH1117">
        <v>184</v>
      </c>
      <c r="AI1117" s="122">
        <v>14823</v>
      </c>
      <c r="AJ1117" s="122">
        <v>13475</v>
      </c>
      <c r="AK1117">
        <v>86</v>
      </c>
      <c r="AL1117" s="122">
        <v>4694</v>
      </c>
      <c r="AM1117" s="122">
        <v>4267</v>
      </c>
      <c r="AN1117" s="122">
        <v>3794</v>
      </c>
      <c r="AO1117" s="122">
        <v>1405</v>
      </c>
      <c r="AP1117" s="122">
        <v>1053</v>
      </c>
      <c r="AQ1117">
        <v>390</v>
      </c>
      <c r="AR1117" s="122">
        <v>5319</v>
      </c>
      <c r="AS1117" s="122">
        <v>4836</v>
      </c>
      <c r="AT1117">
        <v>0</v>
      </c>
      <c r="AU1117">
        <v>0</v>
      </c>
      <c r="AV1117" s="122">
        <v>24373</v>
      </c>
    </row>
    <row r="1118" spans="2:48" hidden="1">
      <c r="B1118" t="s">
        <v>369</v>
      </c>
      <c r="C1118" t="s">
        <v>54</v>
      </c>
      <c r="D1118" t="s">
        <v>433</v>
      </c>
      <c r="E1118" t="s">
        <v>137</v>
      </c>
      <c r="F1118" s="122">
        <v>1</v>
      </c>
      <c r="G1118" s="122">
        <v>133</v>
      </c>
      <c r="H1118" s="122">
        <v>138</v>
      </c>
      <c r="I1118" s="122">
        <v>6817</v>
      </c>
      <c r="J1118" s="122">
        <v>6198</v>
      </c>
      <c r="K1118" s="122">
        <v>80</v>
      </c>
      <c r="L1118" s="122">
        <v>1487</v>
      </c>
      <c r="M1118" s="122">
        <v>551</v>
      </c>
      <c r="N1118" s="122">
        <v>1699</v>
      </c>
      <c r="O1118" s="122">
        <v>629</v>
      </c>
      <c r="P1118" s="122">
        <v>0</v>
      </c>
      <c r="Q1118" s="122">
        <v>0</v>
      </c>
      <c r="R1118" s="122">
        <v>8295</v>
      </c>
      <c r="S1118" s="122">
        <v>3072</v>
      </c>
      <c r="T1118" s="122">
        <v>0</v>
      </c>
      <c r="U1118" s="122">
        <v>0</v>
      </c>
      <c r="V1118" s="122">
        <v>10450</v>
      </c>
      <c r="W1118" s="122">
        <f t="shared" si="34"/>
        <v>10450</v>
      </c>
      <c r="X1118" s="122">
        <f t="shared" si="35"/>
        <v>18298</v>
      </c>
      <c r="AA1118" t="s">
        <v>56</v>
      </c>
      <c r="AB1118" t="s">
        <v>408</v>
      </c>
      <c r="AC1118" t="s">
        <v>566</v>
      </c>
      <c r="AD1118" t="s">
        <v>137</v>
      </c>
      <c r="AE1118" t="s">
        <v>566</v>
      </c>
      <c r="AF1118">
        <v>1</v>
      </c>
      <c r="AG1118">
        <v>88</v>
      </c>
      <c r="AH1118" s="122">
        <v>206</v>
      </c>
      <c r="AI1118" s="122">
        <v>9173</v>
      </c>
      <c r="AJ1118" s="122">
        <v>8339</v>
      </c>
      <c r="AK1118">
        <v>73</v>
      </c>
      <c r="AL1118">
        <v>0</v>
      </c>
      <c r="AM1118">
        <v>0</v>
      </c>
      <c r="AN1118" s="122">
        <v>2150</v>
      </c>
      <c r="AO1118" s="122">
        <v>796</v>
      </c>
      <c r="AP1118" s="122">
        <v>0</v>
      </c>
      <c r="AQ1118">
        <v>0</v>
      </c>
      <c r="AR1118" s="122">
        <v>6896</v>
      </c>
      <c r="AS1118" s="122">
        <v>2554</v>
      </c>
      <c r="AT1118" s="122">
        <v>0</v>
      </c>
      <c r="AU1118" s="122">
        <v>0</v>
      </c>
      <c r="AV1118" s="122">
        <v>11689</v>
      </c>
    </row>
    <row r="1119" spans="2:48" hidden="1">
      <c r="B1119" t="s">
        <v>369</v>
      </c>
      <c r="C1119" t="s">
        <v>54</v>
      </c>
      <c r="D1119" t="s">
        <v>433</v>
      </c>
      <c r="E1119" t="s">
        <v>433</v>
      </c>
      <c r="F1119" s="122">
        <v>1</v>
      </c>
      <c r="G1119" s="122">
        <v>195</v>
      </c>
      <c r="H1119" s="122">
        <v>146</v>
      </c>
      <c r="I1119" s="122">
        <v>17042</v>
      </c>
      <c r="J1119" s="122">
        <v>15493</v>
      </c>
      <c r="K1119" s="122">
        <v>65</v>
      </c>
      <c r="L1119" s="122">
        <v>2051</v>
      </c>
      <c r="M1119" s="122">
        <v>1865</v>
      </c>
      <c r="N1119" s="122">
        <v>2564</v>
      </c>
      <c r="O1119" s="122">
        <v>950</v>
      </c>
      <c r="P1119" s="122">
        <v>1940</v>
      </c>
      <c r="Q1119" s="122">
        <v>718</v>
      </c>
      <c r="R1119" s="122">
        <v>3572</v>
      </c>
      <c r="S1119" s="122">
        <v>3247</v>
      </c>
      <c r="T1119" s="122">
        <v>1217</v>
      </c>
      <c r="U1119" s="122">
        <v>451</v>
      </c>
      <c r="V1119" s="122">
        <v>22724</v>
      </c>
      <c r="W1119" s="122">
        <f t="shared" si="34"/>
        <v>22724</v>
      </c>
      <c r="X1119" s="122">
        <f t="shared" si="35"/>
        <v>28386</v>
      </c>
      <c r="AA1119" t="s">
        <v>56</v>
      </c>
      <c r="AB1119" t="s">
        <v>408</v>
      </c>
      <c r="AC1119" t="s">
        <v>566</v>
      </c>
      <c r="AD1119" t="s">
        <v>408</v>
      </c>
      <c r="AE1119" t="s">
        <v>137</v>
      </c>
      <c r="AF1119">
        <v>6</v>
      </c>
      <c r="AG1119">
        <v>815</v>
      </c>
      <c r="AH1119" s="122">
        <v>1263</v>
      </c>
      <c r="AI1119" s="122">
        <v>116042</v>
      </c>
      <c r="AJ1119" s="122">
        <v>105493</v>
      </c>
      <c r="AK1119">
        <v>78</v>
      </c>
      <c r="AL1119">
        <v>0</v>
      </c>
      <c r="AM1119">
        <v>0</v>
      </c>
      <c r="AN1119" s="122">
        <v>15491</v>
      </c>
      <c r="AO1119" s="122">
        <v>5737</v>
      </c>
      <c r="AP1119" s="122">
        <v>2106</v>
      </c>
      <c r="AQ1119" s="122">
        <v>780</v>
      </c>
      <c r="AR1119" s="122">
        <v>23312</v>
      </c>
      <c r="AS1119" s="122">
        <v>21192</v>
      </c>
      <c r="AT1119" s="122">
        <v>15046</v>
      </c>
      <c r="AU1119" s="122">
        <v>5572</v>
      </c>
      <c r="AV1119" s="122">
        <v>138775</v>
      </c>
    </row>
    <row r="1120" spans="2:48" hidden="1">
      <c r="B1120" t="s">
        <v>369</v>
      </c>
      <c r="C1120" t="s">
        <v>54</v>
      </c>
      <c r="D1120" t="s">
        <v>408</v>
      </c>
      <c r="E1120" t="s">
        <v>137</v>
      </c>
      <c r="F1120" s="122">
        <v>1</v>
      </c>
      <c r="G1120" s="122">
        <v>285</v>
      </c>
      <c r="H1120" s="122">
        <v>150</v>
      </c>
      <c r="I1120" s="122">
        <v>26523</v>
      </c>
      <c r="J1120" s="122">
        <v>24112</v>
      </c>
      <c r="K1120" s="122">
        <v>80</v>
      </c>
      <c r="L1120" s="122">
        <v>3627</v>
      </c>
      <c r="M1120" s="122">
        <v>3297</v>
      </c>
      <c r="N1120" s="122">
        <v>3820</v>
      </c>
      <c r="O1120" s="122">
        <v>1415</v>
      </c>
      <c r="P1120" s="122">
        <v>702</v>
      </c>
      <c r="Q1120" s="122">
        <v>260</v>
      </c>
      <c r="R1120" s="122">
        <v>8061</v>
      </c>
      <c r="S1120" s="122">
        <v>2986</v>
      </c>
      <c r="T1120" s="122">
        <v>0</v>
      </c>
      <c r="U1120" s="122">
        <v>0</v>
      </c>
      <c r="V1120" s="122">
        <v>32069</v>
      </c>
      <c r="W1120" s="122">
        <f t="shared" si="34"/>
        <v>32070</v>
      </c>
      <c r="X1120" s="122">
        <f t="shared" si="35"/>
        <v>42733</v>
      </c>
      <c r="AA1120" t="s">
        <v>56</v>
      </c>
      <c r="AB1120" t="s">
        <v>408</v>
      </c>
      <c r="AC1120" t="s">
        <v>566</v>
      </c>
      <c r="AD1120" t="s">
        <v>408</v>
      </c>
      <c r="AE1120" t="s">
        <v>566</v>
      </c>
      <c r="AF1120">
        <v>4</v>
      </c>
      <c r="AG1120">
        <v>830</v>
      </c>
      <c r="AH1120">
        <v>723</v>
      </c>
      <c r="AI1120" s="122">
        <v>106607</v>
      </c>
      <c r="AJ1120" s="122">
        <v>96916</v>
      </c>
      <c r="AK1120">
        <v>70</v>
      </c>
      <c r="AL1120">
        <v>0</v>
      </c>
      <c r="AM1120">
        <v>0</v>
      </c>
      <c r="AN1120" s="122">
        <v>15894</v>
      </c>
      <c r="AO1120" s="122">
        <v>5887</v>
      </c>
      <c r="AP1120" s="122">
        <v>7287</v>
      </c>
      <c r="AQ1120" s="122">
        <v>2699</v>
      </c>
      <c r="AR1120" s="122">
        <v>26027</v>
      </c>
      <c r="AS1120" s="122">
        <v>23661</v>
      </c>
      <c r="AT1120">
        <v>0</v>
      </c>
      <c r="AU1120">
        <v>0</v>
      </c>
      <c r="AV1120" s="122">
        <v>129162</v>
      </c>
    </row>
    <row r="1121" spans="2:48" hidden="1">
      <c r="B1121" t="s">
        <v>369</v>
      </c>
      <c r="C1121" t="s">
        <v>54</v>
      </c>
      <c r="D1121" t="s">
        <v>408</v>
      </c>
      <c r="E1121" t="s">
        <v>408</v>
      </c>
      <c r="F1121" s="122">
        <v>4</v>
      </c>
      <c r="G1121" s="122">
        <v>543</v>
      </c>
      <c r="H1121" s="122">
        <v>560</v>
      </c>
      <c r="I1121" s="122">
        <v>54077</v>
      </c>
      <c r="J1121" s="122">
        <v>49161</v>
      </c>
      <c r="K1121" s="122">
        <v>83</v>
      </c>
      <c r="L1121" s="122">
        <v>13244</v>
      </c>
      <c r="M1121" s="122">
        <v>10751</v>
      </c>
      <c r="N1121" s="122">
        <v>8468</v>
      </c>
      <c r="O1121" s="122">
        <v>3136</v>
      </c>
      <c r="P1121" s="122">
        <v>2106</v>
      </c>
      <c r="Q1121" s="122">
        <v>780</v>
      </c>
      <c r="R1121" s="122">
        <v>19358</v>
      </c>
      <c r="S1121" s="122">
        <v>17598</v>
      </c>
      <c r="T1121" s="122">
        <v>0</v>
      </c>
      <c r="U1121" s="122">
        <v>0</v>
      </c>
      <c r="V1121" s="122">
        <v>81428</v>
      </c>
      <c r="W1121" s="122">
        <f t="shared" si="34"/>
        <v>81426</v>
      </c>
      <c r="X1121" s="122">
        <f t="shared" si="35"/>
        <v>97253</v>
      </c>
      <c r="AA1121" t="s">
        <v>56</v>
      </c>
      <c r="AB1121" t="s">
        <v>408</v>
      </c>
      <c r="AC1121" t="s">
        <v>566</v>
      </c>
      <c r="AD1121" t="s">
        <v>429</v>
      </c>
      <c r="AE1121" t="s">
        <v>566</v>
      </c>
      <c r="AF1121">
        <v>1</v>
      </c>
      <c r="AG1121">
        <v>99</v>
      </c>
      <c r="AH1121">
        <v>157</v>
      </c>
      <c r="AI1121" s="122">
        <v>7757</v>
      </c>
      <c r="AJ1121" s="122">
        <v>7052</v>
      </c>
      <c r="AK1121">
        <v>65</v>
      </c>
      <c r="AL1121" s="122">
        <v>0</v>
      </c>
      <c r="AM1121" s="122">
        <v>0</v>
      </c>
      <c r="AN1121" s="122">
        <v>1565</v>
      </c>
      <c r="AO1121">
        <v>580</v>
      </c>
      <c r="AP1121">
        <v>702</v>
      </c>
      <c r="AQ1121">
        <v>260</v>
      </c>
      <c r="AR1121" s="122">
        <v>5446</v>
      </c>
      <c r="AS1121" s="122">
        <v>4951</v>
      </c>
      <c r="AT1121">
        <v>0</v>
      </c>
      <c r="AU1121">
        <v>0</v>
      </c>
      <c r="AV1121" s="122">
        <v>12842</v>
      </c>
    </row>
    <row r="1122" spans="2:48" hidden="1">
      <c r="B1122" t="s">
        <v>369</v>
      </c>
      <c r="C1122" t="s">
        <v>56</v>
      </c>
      <c r="F1122" s="122">
        <v>1</v>
      </c>
      <c r="G1122" s="122">
        <v>151</v>
      </c>
      <c r="H1122" s="122">
        <v>152</v>
      </c>
      <c r="I1122" s="122"/>
      <c r="J1122" s="122">
        <v>0</v>
      </c>
      <c r="K1122" s="122"/>
      <c r="L1122" s="122"/>
      <c r="M1122" s="122">
        <v>0</v>
      </c>
      <c r="N1122" s="122">
        <v>2874</v>
      </c>
      <c r="O1122" s="122">
        <v>1064</v>
      </c>
      <c r="P1122" s="122">
        <v>621</v>
      </c>
      <c r="Q1122" s="122">
        <v>230</v>
      </c>
      <c r="R1122" s="122"/>
      <c r="S1122" s="122">
        <v>0</v>
      </c>
      <c r="T1122" s="122">
        <v>0</v>
      </c>
      <c r="U1122" s="122">
        <v>0</v>
      </c>
      <c r="V1122" s="122">
        <v>1294</v>
      </c>
      <c r="W1122" s="122">
        <f t="shared" si="34"/>
        <v>1294</v>
      </c>
      <c r="X1122" s="122">
        <f t="shared" si="35"/>
        <v>3495</v>
      </c>
      <c r="AA1122" t="s">
        <v>56</v>
      </c>
      <c r="AB1122" t="s">
        <v>408</v>
      </c>
      <c r="AC1122" t="s">
        <v>433</v>
      </c>
      <c r="AD1122" t="s">
        <v>404</v>
      </c>
      <c r="AE1122" t="s">
        <v>566</v>
      </c>
      <c r="AF1122">
        <v>1</v>
      </c>
      <c r="AG1122">
        <v>196</v>
      </c>
      <c r="AH1122">
        <v>171</v>
      </c>
      <c r="AI1122" s="122">
        <v>12330</v>
      </c>
      <c r="AJ1122" s="122">
        <v>11209</v>
      </c>
      <c r="AK1122">
        <v>87</v>
      </c>
      <c r="AL1122" s="122">
        <v>1575</v>
      </c>
      <c r="AM1122" s="122">
        <v>1431</v>
      </c>
      <c r="AN1122" s="122">
        <v>2387</v>
      </c>
      <c r="AO1122" s="122">
        <v>884</v>
      </c>
      <c r="AP1122" s="122">
        <v>351</v>
      </c>
      <c r="AQ1122">
        <v>130</v>
      </c>
      <c r="AR1122" s="122">
        <v>16856</v>
      </c>
      <c r="AS1122" s="122">
        <v>6243</v>
      </c>
      <c r="AT1122" s="122">
        <v>0</v>
      </c>
      <c r="AU1122" s="122">
        <v>0</v>
      </c>
      <c r="AV1122" s="122">
        <v>19897</v>
      </c>
    </row>
    <row r="1123" spans="2:48" hidden="1">
      <c r="B1123" t="s">
        <v>369</v>
      </c>
      <c r="C1123" t="s">
        <v>56</v>
      </c>
      <c r="D1123" t="s">
        <v>555</v>
      </c>
      <c r="E1123" t="s">
        <v>555</v>
      </c>
      <c r="F1123" s="122">
        <v>1</v>
      </c>
      <c r="G1123" s="122">
        <v>187</v>
      </c>
      <c r="H1123" s="122">
        <v>215</v>
      </c>
      <c r="I1123" s="122">
        <v>22995</v>
      </c>
      <c r="J1123" s="122">
        <v>20905</v>
      </c>
      <c r="K1123" s="122">
        <v>70</v>
      </c>
      <c r="L1123" s="122">
        <v>2732</v>
      </c>
      <c r="M1123" s="122">
        <v>2484</v>
      </c>
      <c r="N1123" s="122">
        <v>4557</v>
      </c>
      <c r="O1123" s="122">
        <v>1688</v>
      </c>
      <c r="P1123" s="122">
        <v>351</v>
      </c>
      <c r="Q1123" s="122">
        <v>130</v>
      </c>
      <c r="R1123" s="122">
        <v>9555</v>
      </c>
      <c r="S1123" s="122">
        <v>8687</v>
      </c>
      <c r="T1123" s="122">
        <v>0</v>
      </c>
      <c r="U1123" s="122">
        <v>0</v>
      </c>
      <c r="V1123" s="122">
        <v>33893</v>
      </c>
      <c r="W1123" s="122">
        <f t="shared" si="34"/>
        <v>33894</v>
      </c>
      <c r="X1123" s="122">
        <f t="shared" si="35"/>
        <v>40190</v>
      </c>
      <c r="AA1123" t="s">
        <v>56</v>
      </c>
      <c r="AB1123" t="s">
        <v>408</v>
      </c>
      <c r="AC1123" t="s">
        <v>433</v>
      </c>
      <c r="AD1123" t="s">
        <v>408</v>
      </c>
      <c r="AE1123" t="s">
        <v>137</v>
      </c>
      <c r="AF1123">
        <v>3</v>
      </c>
      <c r="AG1123" s="122">
        <v>478</v>
      </c>
      <c r="AH1123" s="122">
        <v>576</v>
      </c>
      <c r="AI1123" s="122">
        <v>56446</v>
      </c>
      <c r="AJ1123" s="122">
        <v>51314</v>
      </c>
      <c r="AK1123">
        <v>88</v>
      </c>
      <c r="AL1123" s="122">
        <v>8982</v>
      </c>
      <c r="AM1123" s="122">
        <v>8166</v>
      </c>
      <c r="AN1123" s="122">
        <v>8224</v>
      </c>
      <c r="AO1123" s="122">
        <v>3046</v>
      </c>
      <c r="AP1123" s="122">
        <v>1053</v>
      </c>
      <c r="AQ1123" s="122">
        <v>390</v>
      </c>
      <c r="AR1123" s="122">
        <v>12452</v>
      </c>
      <c r="AS1123" s="122">
        <v>11320</v>
      </c>
      <c r="AT1123" s="122">
        <v>4613</v>
      </c>
      <c r="AU1123" s="122">
        <v>1709</v>
      </c>
      <c r="AV1123" s="122">
        <v>75945</v>
      </c>
    </row>
    <row r="1124" spans="2:48" hidden="1">
      <c r="B1124" t="s">
        <v>369</v>
      </c>
      <c r="C1124" t="s">
        <v>56</v>
      </c>
      <c r="D1124" t="s">
        <v>425</v>
      </c>
      <c r="E1124" t="s">
        <v>425</v>
      </c>
      <c r="F1124" s="122">
        <v>27</v>
      </c>
      <c r="G1124" s="122">
        <v>4454</v>
      </c>
      <c r="H1124" s="122">
        <v>5288</v>
      </c>
      <c r="I1124" s="122">
        <v>591418</v>
      </c>
      <c r="J1124" s="122">
        <v>537653</v>
      </c>
      <c r="K1124" s="122">
        <v>83</v>
      </c>
      <c r="L1124" s="122">
        <v>131421</v>
      </c>
      <c r="M1124" s="122">
        <v>115947</v>
      </c>
      <c r="N1124" s="122">
        <v>103345</v>
      </c>
      <c r="O1124" s="122">
        <v>38276</v>
      </c>
      <c r="P1124" s="122">
        <v>16133</v>
      </c>
      <c r="Q1124" s="122">
        <v>5975</v>
      </c>
      <c r="R1124" s="122">
        <v>169620</v>
      </c>
      <c r="S1124" s="122">
        <v>154200</v>
      </c>
      <c r="T1124" s="122">
        <v>10403</v>
      </c>
      <c r="U1124" s="122">
        <v>3853</v>
      </c>
      <c r="V1124" s="122">
        <v>855904</v>
      </c>
      <c r="W1124" s="122">
        <f t="shared" si="34"/>
        <v>855904</v>
      </c>
      <c r="X1124" s="122">
        <f t="shared" si="35"/>
        <v>1022340</v>
      </c>
      <c r="AA1124" t="s">
        <v>56</v>
      </c>
      <c r="AB1124" t="s">
        <v>408</v>
      </c>
      <c r="AC1124" t="s">
        <v>433</v>
      </c>
      <c r="AD1124" t="s">
        <v>408</v>
      </c>
      <c r="AE1124" t="s">
        <v>566</v>
      </c>
      <c r="AF1124">
        <v>22</v>
      </c>
      <c r="AG1124" s="122">
        <v>4574</v>
      </c>
      <c r="AH1124" s="122">
        <v>3974</v>
      </c>
      <c r="AI1124" s="122">
        <v>540628</v>
      </c>
      <c r="AJ1124" s="122">
        <v>491480</v>
      </c>
      <c r="AK1124">
        <v>74</v>
      </c>
      <c r="AL1124" s="122">
        <v>69534</v>
      </c>
      <c r="AM1124" s="122">
        <v>63213</v>
      </c>
      <c r="AN1124" s="122">
        <v>82305</v>
      </c>
      <c r="AO1124" s="122">
        <v>30483</v>
      </c>
      <c r="AP1124" s="122">
        <v>15318</v>
      </c>
      <c r="AQ1124" s="122">
        <v>5673</v>
      </c>
      <c r="AR1124" s="122">
        <v>136041</v>
      </c>
      <c r="AS1124" s="122">
        <v>123674</v>
      </c>
      <c r="AT1124">
        <v>0</v>
      </c>
      <c r="AU1124">
        <v>0</v>
      </c>
      <c r="AV1124" s="122">
        <v>714524</v>
      </c>
    </row>
    <row r="1125" spans="2:48" hidden="1">
      <c r="B1125" t="s">
        <v>369</v>
      </c>
      <c r="C1125" t="s">
        <v>56</v>
      </c>
      <c r="D1125" t="s">
        <v>425</v>
      </c>
      <c r="E1125" t="s">
        <v>406</v>
      </c>
      <c r="F1125" s="122">
        <v>2</v>
      </c>
      <c r="G1125" s="122">
        <v>290</v>
      </c>
      <c r="H1125" s="122">
        <v>341</v>
      </c>
      <c r="I1125" s="122">
        <v>27538</v>
      </c>
      <c r="J1125" s="122">
        <v>25035</v>
      </c>
      <c r="K1125" s="122">
        <v>86</v>
      </c>
      <c r="L1125" s="122">
        <v>4938</v>
      </c>
      <c r="M1125" s="122">
        <v>4489</v>
      </c>
      <c r="N1125" s="122">
        <v>4833</v>
      </c>
      <c r="O1125" s="122">
        <v>1790</v>
      </c>
      <c r="P1125" s="122">
        <v>1242</v>
      </c>
      <c r="Q1125" s="122">
        <v>460</v>
      </c>
      <c r="R1125" s="122">
        <v>10712</v>
      </c>
      <c r="S1125" s="122">
        <v>9738</v>
      </c>
      <c r="T1125" s="122">
        <v>0</v>
      </c>
      <c r="U1125" s="122">
        <v>0</v>
      </c>
      <c r="V1125" s="122">
        <v>41512</v>
      </c>
      <c r="W1125" s="122">
        <f t="shared" si="34"/>
        <v>41512</v>
      </c>
      <c r="X1125" s="122">
        <f t="shared" si="35"/>
        <v>49263</v>
      </c>
      <c r="AA1125" t="s">
        <v>56</v>
      </c>
      <c r="AB1125" t="s">
        <v>408</v>
      </c>
      <c r="AC1125" t="s">
        <v>408</v>
      </c>
      <c r="AD1125" t="s">
        <v>408</v>
      </c>
      <c r="AE1125" t="s">
        <v>137</v>
      </c>
      <c r="AF1125">
        <v>1</v>
      </c>
      <c r="AG1125">
        <v>155</v>
      </c>
      <c r="AH1125">
        <v>199</v>
      </c>
      <c r="AI1125" s="122">
        <v>24628</v>
      </c>
      <c r="AJ1125" s="122">
        <v>22389</v>
      </c>
      <c r="AK1125">
        <v>65</v>
      </c>
      <c r="AL1125" s="122">
        <v>2736</v>
      </c>
      <c r="AM1125" s="122">
        <v>2488</v>
      </c>
      <c r="AN1125" s="122">
        <v>3034</v>
      </c>
      <c r="AO1125" s="122">
        <v>1124</v>
      </c>
      <c r="AP1125" s="122">
        <v>351</v>
      </c>
      <c r="AQ1125">
        <v>130</v>
      </c>
      <c r="AR1125" s="122">
        <v>8545</v>
      </c>
      <c r="AS1125" s="122">
        <v>7768</v>
      </c>
      <c r="AT1125">
        <v>0</v>
      </c>
      <c r="AU1125">
        <v>0</v>
      </c>
      <c r="AV1125" s="122">
        <v>33898</v>
      </c>
    </row>
    <row r="1126" spans="2:48" hidden="1">
      <c r="B1126" t="s">
        <v>369</v>
      </c>
      <c r="C1126" t="s">
        <v>56</v>
      </c>
      <c r="D1126" t="s">
        <v>405</v>
      </c>
      <c r="E1126" t="s">
        <v>425</v>
      </c>
      <c r="F1126" s="122">
        <v>8</v>
      </c>
      <c r="G1126" s="122">
        <v>1226</v>
      </c>
      <c r="H1126" s="122">
        <v>1585</v>
      </c>
      <c r="I1126" s="122">
        <v>156471</v>
      </c>
      <c r="J1126" s="122">
        <v>142246</v>
      </c>
      <c r="K1126" s="122">
        <v>83</v>
      </c>
      <c r="L1126" s="122">
        <v>24979</v>
      </c>
      <c r="M1126" s="122">
        <v>22412</v>
      </c>
      <c r="N1126" s="122">
        <v>24507</v>
      </c>
      <c r="O1126" s="122">
        <v>9076</v>
      </c>
      <c r="P1126" s="122">
        <v>4158</v>
      </c>
      <c r="Q1126" s="122">
        <v>1540</v>
      </c>
      <c r="R1126" s="122">
        <v>47942</v>
      </c>
      <c r="S1126" s="122">
        <v>43583</v>
      </c>
      <c r="T1126" s="122">
        <v>0</v>
      </c>
      <c r="U1126" s="122">
        <v>0</v>
      </c>
      <c r="V1126" s="122">
        <v>218858</v>
      </c>
      <c r="W1126" s="122">
        <f t="shared" si="34"/>
        <v>218857</v>
      </c>
      <c r="X1126" s="122">
        <f t="shared" si="35"/>
        <v>258057</v>
      </c>
      <c r="AA1126" t="s">
        <v>56</v>
      </c>
      <c r="AB1126" t="s">
        <v>408</v>
      </c>
      <c r="AC1126" t="s">
        <v>408</v>
      </c>
      <c r="AD1126" t="s">
        <v>408</v>
      </c>
      <c r="AE1126" t="s">
        <v>566</v>
      </c>
      <c r="AF1126">
        <v>3</v>
      </c>
      <c r="AG1126">
        <v>557</v>
      </c>
      <c r="AH1126">
        <v>480</v>
      </c>
      <c r="AI1126" s="122">
        <v>57370</v>
      </c>
      <c r="AJ1126" s="122">
        <v>52155</v>
      </c>
      <c r="AK1126">
        <v>80</v>
      </c>
      <c r="AL1126" s="122">
        <v>9728</v>
      </c>
      <c r="AM1126" s="122">
        <v>8844</v>
      </c>
      <c r="AN1126" s="122">
        <v>8336</v>
      </c>
      <c r="AO1126" s="122">
        <v>3088</v>
      </c>
      <c r="AP1126" s="122">
        <v>2261</v>
      </c>
      <c r="AQ1126">
        <v>837</v>
      </c>
      <c r="AR1126" s="122">
        <v>13412</v>
      </c>
      <c r="AS1126" s="122">
        <v>12193</v>
      </c>
      <c r="AT1126" s="122">
        <v>0</v>
      </c>
      <c r="AU1126" s="122">
        <v>0</v>
      </c>
      <c r="AV1126" s="122">
        <v>77116</v>
      </c>
    </row>
    <row r="1127" spans="2:48" hidden="1">
      <c r="B1127" t="s">
        <v>369</v>
      </c>
      <c r="C1127" t="s">
        <v>56</v>
      </c>
      <c r="D1127" t="s">
        <v>405</v>
      </c>
      <c r="E1127" t="s">
        <v>405</v>
      </c>
      <c r="F1127" s="122">
        <v>254</v>
      </c>
      <c r="G1127" s="122">
        <v>42701</v>
      </c>
      <c r="H1127" s="122">
        <v>47174</v>
      </c>
      <c r="I1127" s="122">
        <v>4775653</v>
      </c>
      <c r="J1127" s="122">
        <v>4341502</v>
      </c>
      <c r="K1127" s="122">
        <v>87</v>
      </c>
      <c r="L1127" s="122">
        <v>1084691</v>
      </c>
      <c r="M1127" s="122">
        <v>1179552</v>
      </c>
      <c r="N1127" s="122">
        <v>865059</v>
      </c>
      <c r="O1127" s="122">
        <v>320392</v>
      </c>
      <c r="P1127" s="122">
        <v>164191</v>
      </c>
      <c r="Q1127" s="122">
        <v>60811</v>
      </c>
      <c r="R1127" s="122">
        <v>1387727</v>
      </c>
      <c r="S1127" s="122">
        <v>1261570</v>
      </c>
      <c r="T1127" s="122">
        <v>72546</v>
      </c>
      <c r="U1127" s="122">
        <v>26869</v>
      </c>
      <c r="V1127" s="122">
        <v>7190697</v>
      </c>
      <c r="W1127" s="122">
        <f t="shared" si="34"/>
        <v>7190696</v>
      </c>
      <c r="X1127" s="122">
        <f t="shared" si="35"/>
        <v>8349867</v>
      </c>
      <c r="AA1127" t="s">
        <v>56</v>
      </c>
      <c r="AB1127" t="s">
        <v>408</v>
      </c>
      <c r="AC1127" t="s">
        <v>429</v>
      </c>
      <c r="AD1127" t="s">
        <v>408</v>
      </c>
      <c r="AE1127" t="s">
        <v>137</v>
      </c>
      <c r="AF1127">
        <v>3</v>
      </c>
      <c r="AG1127" s="122">
        <v>830</v>
      </c>
      <c r="AH1127" s="122">
        <v>556</v>
      </c>
      <c r="AI1127" s="122">
        <v>96368</v>
      </c>
      <c r="AJ1127" s="122">
        <v>87607</v>
      </c>
      <c r="AK1127">
        <v>74</v>
      </c>
      <c r="AL1127" s="122">
        <v>10600</v>
      </c>
      <c r="AM1127" s="122">
        <v>9636</v>
      </c>
      <c r="AN1127" s="122">
        <v>15747</v>
      </c>
      <c r="AO1127" s="122">
        <v>5832</v>
      </c>
      <c r="AP1127" s="122">
        <v>1053</v>
      </c>
      <c r="AQ1127" s="122">
        <v>390</v>
      </c>
      <c r="AR1127" s="122">
        <v>17622</v>
      </c>
      <c r="AS1127" s="122">
        <v>16020</v>
      </c>
      <c r="AT1127" s="122">
        <v>13375</v>
      </c>
      <c r="AU1127" s="122">
        <v>4954</v>
      </c>
      <c r="AV1127" s="122">
        <v>124440</v>
      </c>
    </row>
    <row r="1128" spans="2:48" hidden="1">
      <c r="B1128" t="s">
        <v>369</v>
      </c>
      <c r="C1128" t="s">
        <v>56</v>
      </c>
      <c r="D1128" t="s">
        <v>405</v>
      </c>
      <c r="E1128" t="s">
        <v>137</v>
      </c>
      <c r="F1128" s="122">
        <v>1</v>
      </c>
      <c r="G1128" s="122">
        <v>192</v>
      </c>
      <c r="H1128" s="122">
        <v>160</v>
      </c>
      <c r="I1128" s="122">
        <v>21418</v>
      </c>
      <c r="J1128" s="122">
        <v>19471</v>
      </c>
      <c r="K1128" s="122">
        <v>83</v>
      </c>
      <c r="L1128" s="122">
        <v>3125</v>
      </c>
      <c r="M1128" s="122">
        <v>2841</v>
      </c>
      <c r="N1128" s="122">
        <v>2334</v>
      </c>
      <c r="O1128" s="122">
        <v>864</v>
      </c>
      <c r="P1128" s="122">
        <v>473</v>
      </c>
      <c r="Q1128" s="122">
        <v>175</v>
      </c>
      <c r="R1128" s="122">
        <v>3263</v>
      </c>
      <c r="S1128" s="122">
        <v>1208</v>
      </c>
      <c r="T1128" s="122">
        <v>0</v>
      </c>
      <c r="U1128" s="122">
        <v>0</v>
      </c>
      <c r="V1128" s="122">
        <v>24560</v>
      </c>
      <c r="W1128" s="122">
        <f t="shared" si="34"/>
        <v>24559</v>
      </c>
      <c r="X1128" s="122">
        <f t="shared" si="35"/>
        <v>30613</v>
      </c>
      <c r="AA1128" t="s">
        <v>56</v>
      </c>
      <c r="AB1128" t="s">
        <v>408</v>
      </c>
      <c r="AC1128" t="s">
        <v>429</v>
      </c>
      <c r="AD1128" t="s">
        <v>408</v>
      </c>
      <c r="AE1128" t="s">
        <v>566</v>
      </c>
      <c r="AF1128">
        <v>10</v>
      </c>
      <c r="AG1128" s="122">
        <v>1935</v>
      </c>
      <c r="AH1128" s="122">
        <v>1792</v>
      </c>
      <c r="AI1128" s="122">
        <v>239908</v>
      </c>
      <c r="AJ1128" s="122">
        <v>218098</v>
      </c>
      <c r="AK1128">
        <v>72</v>
      </c>
      <c r="AL1128" s="122">
        <v>33118</v>
      </c>
      <c r="AM1128" s="122">
        <v>30107</v>
      </c>
      <c r="AN1128" s="122">
        <v>39509</v>
      </c>
      <c r="AO1128" s="122">
        <v>14633</v>
      </c>
      <c r="AP1128" s="122">
        <v>3510</v>
      </c>
      <c r="AQ1128" s="122">
        <v>1300</v>
      </c>
      <c r="AR1128" s="122">
        <v>56987</v>
      </c>
      <c r="AS1128" s="122">
        <v>51806</v>
      </c>
      <c r="AT1128">
        <v>0</v>
      </c>
      <c r="AU1128">
        <v>0</v>
      </c>
      <c r="AV1128" s="122">
        <v>315944</v>
      </c>
    </row>
    <row r="1129" spans="2:48" hidden="1">
      <c r="B1129" t="s">
        <v>369</v>
      </c>
      <c r="C1129" t="s">
        <v>56</v>
      </c>
      <c r="D1129" t="s">
        <v>405</v>
      </c>
      <c r="E1129" t="s">
        <v>427</v>
      </c>
      <c r="F1129" s="122">
        <v>1</v>
      </c>
      <c r="G1129" s="122">
        <v>122</v>
      </c>
      <c r="H1129" s="122">
        <v>190</v>
      </c>
      <c r="I1129" s="122">
        <v>11180</v>
      </c>
      <c r="J1129" s="122">
        <v>10163</v>
      </c>
      <c r="K1129" s="122">
        <v>73</v>
      </c>
      <c r="L1129" s="122">
        <v>2874</v>
      </c>
      <c r="M1129" s="122">
        <v>2612</v>
      </c>
      <c r="N1129" s="122">
        <v>1850</v>
      </c>
      <c r="O1129" s="122">
        <v>685</v>
      </c>
      <c r="P1129" s="122">
        <v>473</v>
      </c>
      <c r="Q1129" s="122">
        <v>175</v>
      </c>
      <c r="R1129" s="122">
        <v>6729</v>
      </c>
      <c r="S1129" s="122">
        <v>6118</v>
      </c>
      <c r="T1129" s="122">
        <v>0</v>
      </c>
      <c r="U1129" s="122">
        <v>0</v>
      </c>
      <c r="V1129" s="122">
        <v>19753</v>
      </c>
      <c r="W1129" s="122">
        <f t="shared" si="34"/>
        <v>19753</v>
      </c>
      <c r="X1129" s="122">
        <f t="shared" si="35"/>
        <v>23106</v>
      </c>
      <c r="AA1129" t="s">
        <v>56</v>
      </c>
      <c r="AB1129" t="s">
        <v>408</v>
      </c>
      <c r="AC1129" t="s">
        <v>429</v>
      </c>
      <c r="AD1129" t="s">
        <v>429</v>
      </c>
      <c r="AE1129" t="s">
        <v>566</v>
      </c>
      <c r="AF1129">
        <v>1</v>
      </c>
      <c r="AG1129">
        <v>130</v>
      </c>
      <c r="AH1129">
        <v>169</v>
      </c>
      <c r="AI1129" s="122">
        <v>21299</v>
      </c>
      <c r="AJ1129" s="122">
        <v>19362</v>
      </c>
      <c r="AK1129">
        <v>85</v>
      </c>
      <c r="AL1129" s="122">
        <v>2938</v>
      </c>
      <c r="AM1129" s="122">
        <v>2671</v>
      </c>
      <c r="AN1129" s="122">
        <v>2895</v>
      </c>
      <c r="AO1129" s="122">
        <v>1072</v>
      </c>
      <c r="AP1129" s="122">
        <v>2784</v>
      </c>
      <c r="AQ1129" s="122">
        <v>1031</v>
      </c>
      <c r="AR1129" s="122">
        <v>3635</v>
      </c>
      <c r="AS1129" s="122">
        <v>3305</v>
      </c>
      <c r="AT1129">
        <v>0</v>
      </c>
      <c r="AU1129">
        <v>0</v>
      </c>
      <c r="AV1129" s="122">
        <v>27441</v>
      </c>
    </row>
    <row r="1130" spans="2:48" hidden="1">
      <c r="B1130" t="s">
        <v>369</v>
      </c>
      <c r="C1130" t="s">
        <v>56</v>
      </c>
      <c r="D1130" t="s">
        <v>405</v>
      </c>
      <c r="E1130" t="s">
        <v>407</v>
      </c>
      <c r="F1130" s="122">
        <v>2</v>
      </c>
      <c r="G1130" s="122">
        <v>638</v>
      </c>
      <c r="H1130" s="122">
        <v>356</v>
      </c>
      <c r="I1130" s="122">
        <v>63658</v>
      </c>
      <c r="J1130" s="122">
        <v>57871</v>
      </c>
      <c r="K1130" s="122">
        <v>91</v>
      </c>
      <c r="L1130" s="122">
        <v>20806</v>
      </c>
      <c r="M1130" s="122">
        <v>18914</v>
      </c>
      <c r="N1130" s="122">
        <v>13770</v>
      </c>
      <c r="O1130" s="122">
        <v>5100</v>
      </c>
      <c r="P1130" s="122">
        <v>1094</v>
      </c>
      <c r="Q1130" s="122">
        <v>405</v>
      </c>
      <c r="R1130" s="122">
        <v>14245</v>
      </c>
      <c r="S1130" s="122">
        <v>12950</v>
      </c>
      <c r="T1130" s="122">
        <v>0</v>
      </c>
      <c r="U1130" s="122">
        <v>0</v>
      </c>
      <c r="V1130" s="122">
        <v>95241</v>
      </c>
      <c r="W1130" s="122">
        <f t="shared" si="34"/>
        <v>95240</v>
      </c>
      <c r="X1130" s="122">
        <f t="shared" si="35"/>
        <v>113573</v>
      </c>
      <c r="AA1130" t="s">
        <v>56</v>
      </c>
      <c r="AB1130" t="s">
        <v>429</v>
      </c>
      <c r="AC1130" t="s">
        <v>137</v>
      </c>
      <c r="AD1130" t="s">
        <v>429</v>
      </c>
      <c r="AE1130" t="s">
        <v>566</v>
      </c>
      <c r="AF1130">
        <v>2</v>
      </c>
      <c r="AG1130">
        <v>194</v>
      </c>
      <c r="AH1130">
        <v>435</v>
      </c>
      <c r="AI1130" s="122">
        <v>30353</v>
      </c>
      <c r="AJ1130" s="122">
        <v>27594</v>
      </c>
      <c r="AK1130">
        <v>72</v>
      </c>
      <c r="AL1130" s="122">
        <v>5960</v>
      </c>
      <c r="AM1130" s="122">
        <v>2207</v>
      </c>
      <c r="AN1130" s="122">
        <v>3895</v>
      </c>
      <c r="AO1130" s="122">
        <v>1442</v>
      </c>
      <c r="AP1130">
        <v>702</v>
      </c>
      <c r="AQ1130">
        <v>260</v>
      </c>
      <c r="AR1130" s="122">
        <v>11716</v>
      </c>
      <c r="AS1130" s="122">
        <v>10651</v>
      </c>
      <c r="AT1130">
        <v>0</v>
      </c>
      <c r="AU1130">
        <v>0</v>
      </c>
      <c r="AV1130" s="122">
        <v>42154</v>
      </c>
    </row>
    <row r="1131" spans="2:48" hidden="1">
      <c r="B1131" t="s">
        <v>369</v>
      </c>
      <c r="C1131" t="s">
        <v>56</v>
      </c>
      <c r="D1131" t="s">
        <v>137</v>
      </c>
      <c r="E1131" t="s">
        <v>137</v>
      </c>
      <c r="F1131" s="122">
        <v>39</v>
      </c>
      <c r="G1131" s="122">
        <v>7699</v>
      </c>
      <c r="H1131" s="122">
        <v>7467</v>
      </c>
      <c r="I1131" s="122">
        <v>839283</v>
      </c>
      <c r="J1131" s="122">
        <v>310846</v>
      </c>
      <c r="K1131" s="122">
        <v>190</v>
      </c>
      <c r="L1131" s="122">
        <v>157660</v>
      </c>
      <c r="M1131" s="122">
        <v>132524</v>
      </c>
      <c r="N1131" s="122">
        <v>155774</v>
      </c>
      <c r="O1131" s="122">
        <v>57694</v>
      </c>
      <c r="P1131" s="122">
        <v>14934</v>
      </c>
      <c r="Q1131" s="122">
        <v>5531</v>
      </c>
      <c r="R1131" s="122">
        <v>333530</v>
      </c>
      <c r="S1131" s="122">
        <v>123530</v>
      </c>
      <c r="T1131" s="122">
        <v>0</v>
      </c>
      <c r="U1131" s="122">
        <v>0</v>
      </c>
      <c r="V1131" s="122">
        <v>630124</v>
      </c>
      <c r="W1131" s="122">
        <f t="shared" si="34"/>
        <v>630125</v>
      </c>
      <c r="X1131" s="122">
        <f t="shared" si="35"/>
        <v>1501181</v>
      </c>
      <c r="AA1131" t="s">
        <v>56</v>
      </c>
      <c r="AB1131" t="s">
        <v>429</v>
      </c>
      <c r="AC1131" t="s">
        <v>580</v>
      </c>
      <c r="AD1131" t="s">
        <v>429</v>
      </c>
      <c r="AE1131" t="s">
        <v>137</v>
      </c>
      <c r="AF1131">
        <v>1</v>
      </c>
      <c r="AG1131">
        <v>119</v>
      </c>
      <c r="AH1131">
        <v>201</v>
      </c>
      <c r="AI1131" s="122">
        <v>15339</v>
      </c>
      <c r="AJ1131" s="122">
        <v>13944</v>
      </c>
      <c r="AK1131">
        <v>85</v>
      </c>
      <c r="AL1131" s="122">
        <v>1696</v>
      </c>
      <c r="AM1131" s="122">
        <v>1542</v>
      </c>
      <c r="AN1131" s="122">
        <v>1838</v>
      </c>
      <c r="AO1131" s="122">
        <v>681</v>
      </c>
      <c r="AP1131" s="122">
        <v>972</v>
      </c>
      <c r="AQ1131" s="122">
        <v>360</v>
      </c>
      <c r="AR1131" s="122">
        <v>3992</v>
      </c>
      <c r="AS1131" s="122">
        <v>3630</v>
      </c>
      <c r="AT1131">
        <v>0</v>
      </c>
      <c r="AU1131">
        <v>0</v>
      </c>
      <c r="AV1131" s="122">
        <v>20157</v>
      </c>
    </row>
    <row r="1132" spans="2:48" hidden="1">
      <c r="B1132" t="s">
        <v>369</v>
      </c>
      <c r="C1132" t="s">
        <v>56</v>
      </c>
      <c r="D1132" t="s">
        <v>137</v>
      </c>
      <c r="E1132" t="s">
        <v>426</v>
      </c>
      <c r="F1132" s="122">
        <v>1</v>
      </c>
      <c r="G1132" s="122">
        <v>149</v>
      </c>
      <c r="H1132" s="122">
        <v>150</v>
      </c>
      <c r="I1132" s="122">
        <v>9227</v>
      </c>
      <c r="J1132" s="122">
        <v>3417</v>
      </c>
      <c r="K1132" s="122">
        <v>250</v>
      </c>
      <c r="L1132" s="122">
        <v>1606</v>
      </c>
      <c r="M1132" s="122">
        <v>1460</v>
      </c>
      <c r="N1132" s="122">
        <v>2507</v>
      </c>
      <c r="O1132" s="122">
        <v>929</v>
      </c>
      <c r="P1132" s="122">
        <v>932</v>
      </c>
      <c r="Q1132" s="122">
        <v>345</v>
      </c>
      <c r="R1132" s="122">
        <v>5157</v>
      </c>
      <c r="S1132" s="122">
        <v>4689</v>
      </c>
      <c r="T1132" s="122">
        <v>2966</v>
      </c>
      <c r="U1132" s="122">
        <v>1098</v>
      </c>
      <c r="V1132" s="122">
        <v>11938</v>
      </c>
      <c r="W1132" s="122">
        <f t="shared" si="34"/>
        <v>11938</v>
      </c>
      <c r="X1132" s="122">
        <f t="shared" si="35"/>
        <v>22395</v>
      </c>
      <c r="AA1132" t="s">
        <v>56</v>
      </c>
      <c r="AB1132" t="s">
        <v>429</v>
      </c>
      <c r="AC1132" t="s">
        <v>580</v>
      </c>
      <c r="AD1132" t="s">
        <v>429</v>
      </c>
      <c r="AE1132" t="s">
        <v>566</v>
      </c>
      <c r="AF1132">
        <v>5</v>
      </c>
      <c r="AG1132">
        <v>768</v>
      </c>
      <c r="AH1132">
        <v>921</v>
      </c>
      <c r="AI1132" s="122">
        <v>90049</v>
      </c>
      <c r="AJ1132" s="122">
        <v>81862</v>
      </c>
      <c r="AK1132">
        <v>85</v>
      </c>
      <c r="AL1132" s="122">
        <v>10633</v>
      </c>
      <c r="AM1132" s="122">
        <v>9667</v>
      </c>
      <c r="AN1132" s="122">
        <v>16400</v>
      </c>
      <c r="AO1132" s="122">
        <v>6074</v>
      </c>
      <c r="AP1132" s="122">
        <v>5764</v>
      </c>
      <c r="AQ1132" s="122">
        <v>2135</v>
      </c>
      <c r="AR1132" s="122">
        <v>30267</v>
      </c>
      <c r="AS1132" s="122">
        <v>27515</v>
      </c>
      <c r="AT1132">
        <v>0</v>
      </c>
      <c r="AU1132">
        <v>0</v>
      </c>
      <c r="AV1132" s="122">
        <v>127253</v>
      </c>
    </row>
    <row r="1133" spans="2:48" hidden="1">
      <c r="B1133" t="s">
        <v>369</v>
      </c>
      <c r="C1133" t="s">
        <v>56</v>
      </c>
      <c r="D1133" t="s">
        <v>406</v>
      </c>
      <c r="E1133" t="s">
        <v>425</v>
      </c>
      <c r="F1133" s="122">
        <v>5</v>
      </c>
      <c r="G1133" s="122">
        <v>686</v>
      </c>
      <c r="H1133" s="122">
        <v>914</v>
      </c>
      <c r="I1133" s="122">
        <v>67068</v>
      </c>
      <c r="J1133" s="122">
        <v>60971</v>
      </c>
      <c r="K1133" s="122">
        <v>91</v>
      </c>
      <c r="L1133" s="122">
        <v>11844</v>
      </c>
      <c r="M1133" s="122">
        <v>10767</v>
      </c>
      <c r="N1133" s="122">
        <v>11087</v>
      </c>
      <c r="O1133" s="122">
        <v>4106</v>
      </c>
      <c r="P1133" s="122">
        <v>3456</v>
      </c>
      <c r="Q1133" s="122">
        <v>1280</v>
      </c>
      <c r="R1133" s="122">
        <v>23285</v>
      </c>
      <c r="S1133" s="122">
        <v>21168</v>
      </c>
      <c r="T1133" s="122">
        <v>6377</v>
      </c>
      <c r="U1133" s="122">
        <v>2362</v>
      </c>
      <c r="V1133" s="122">
        <v>100654</v>
      </c>
      <c r="W1133" s="122">
        <f t="shared" si="34"/>
        <v>100654</v>
      </c>
      <c r="X1133" s="122">
        <f t="shared" si="35"/>
        <v>123117</v>
      </c>
      <c r="AA1133" t="s">
        <v>56</v>
      </c>
      <c r="AB1133" t="s">
        <v>429</v>
      </c>
      <c r="AC1133" t="s">
        <v>579</v>
      </c>
      <c r="AD1133" t="s">
        <v>429</v>
      </c>
      <c r="AE1133" t="s">
        <v>137</v>
      </c>
      <c r="AF1133">
        <v>1</v>
      </c>
      <c r="AG1133">
        <v>128</v>
      </c>
      <c r="AH1133">
        <v>192</v>
      </c>
      <c r="AI1133" s="122">
        <v>12062</v>
      </c>
      <c r="AJ1133" s="122">
        <v>10965</v>
      </c>
      <c r="AK1133">
        <v>83</v>
      </c>
      <c r="AL1133" s="122">
        <v>4055</v>
      </c>
      <c r="AM1133" s="122">
        <v>3379</v>
      </c>
      <c r="AN1133" s="122">
        <v>3112</v>
      </c>
      <c r="AO1133" s="122">
        <v>1153</v>
      </c>
      <c r="AP1133" s="122">
        <v>351</v>
      </c>
      <c r="AQ1133">
        <v>130</v>
      </c>
      <c r="AR1133" s="122">
        <v>4912</v>
      </c>
      <c r="AS1133" s="122">
        <v>4466</v>
      </c>
      <c r="AT1133">
        <v>0</v>
      </c>
      <c r="AU1133">
        <v>0</v>
      </c>
      <c r="AV1133" s="122">
        <v>20092</v>
      </c>
    </row>
    <row r="1134" spans="2:48" hidden="1">
      <c r="B1134" t="s">
        <v>369</v>
      </c>
      <c r="C1134" t="s">
        <v>56</v>
      </c>
      <c r="D1134" t="s">
        <v>406</v>
      </c>
      <c r="E1134" t="s">
        <v>405</v>
      </c>
      <c r="F1134" s="122">
        <v>3</v>
      </c>
      <c r="G1134" s="122">
        <v>553</v>
      </c>
      <c r="H1134" s="122">
        <v>617</v>
      </c>
      <c r="I1134" s="122">
        <v>77319</v>
      </c>
      <c r="J1134" s="122">
        <v>70290</v>
      </c>
      <c r="K1134" s="122">
        <v>83</v>
      </c>
      <c r="L1134" s="122">
        <v>16401</v>
      </c>
      <c r="M1134" s="122">
        <v>14910</v>
      </c>
      <c r="N1134" s="122">
        <v>13094</v>
      </c>
      <c r="O1134" s="122">
        <v>4850</v>
      </c>
      <c r="P1134" s="122">
        <v>2214</v>
      </c>
      <c r="Q1134" s="122">
        <v>820</v>
      </c>
      <c r="R1134" s="122">
        <v>22243</v>
      </c>
      <c r="S1134" s="122">
        <v>20221</v>
      </c>
      <c r="T1134" s="122">
        <v>0</v>
      </c>
      <c r="U1134" s="122">
        <v>0</v>
      </c>
      <c r="V1134" s="122">
        <v>111091</v>
      </c>
      <c r="W1134" s="122">
        <f t="shared" si="34"/>
        <v>111091</v>
      </c>
      <c r="X1134" s="122">
        <f t="shared" si="35"/>
        <v>131271</v>
      </c>
      <c r="AA1134" t="s">
        <v>56</v>
      </c>
      <c r="AB1134" t="s">
        <v>429</v>
      </c>
      <c r="AC1134" t="s">
        <v>579</v>
      </c>
      <c r="AD1134" t="s">
        <v>429</v>
      </c>
      <c r="AE1134" t="s">
        <v>566</v>
      </c>
      <c r="AF1134">
        <v>2</v>
      </c>
      <c r="AG1134">
        <v>474</v>
      </c>
      <c r="AH1134">
        <v>419</v>
      </c>
      <c r="AI1134" s="122">
        <v>60120</v>
      </c>
      <c r="AJ1134" s="122">
        <v>54654</v>
      </c>
      <c r="AK1134">
        <v>65</v>
      </c>
      <c r="AL1134" s="122">
        <v>9456</v>
      </c>
      <c r="AM1134" s="122">
        <v>7880</v>
      </c>
      <c r="AN1134" s="122">
        <v>9964</v>
      </c>
      <c r="AO1134" s="122">
        <v>3691</v>
      </c>
      <c r="AP1134" s="122">
        <v>1053</v>
      </c>
      <c r="AQ1134">
        <v>390</v>
      </c>
      <c r="AR1134" s="122">
        <v>15795</v>
      </c>
      <c r="AS1134" s="122">
        <v>14359</v>
      </c>
      <c r="AT1134">
        <v>0</v>
      </c>
      <c r="AU1134">
        <v>0</v>
      </c>
      <c r="AV1134" s="122">
        <v>80974</v>
      </c>
    </row>
    <row r="1135" spans="2:48" hidden="1">
      <c r="B1135" t="s">
        <v>369</v>
      </c>
      <c r="C1135" t="s">
        <v>56</v>
      </c>
      <c r="D1135" t="s">
        <v>406</v>
      </c>
      <c r="E1135" t="s">
        <v>137</v>
      </c>
      <c r="F1135" s="122">
        <v>14</v>
      </c>
      <c r="G1135" s="122">
        <v>2518</v>
      </c>
      <c r="H1135" s="122">
        <v>2607</v>
      </c>
      <c r="I1135" s="122">
        <v>270210</v>
      </c>
      <c r="J1135" s="122">
        <v>245645</v>
      </c>
      <c r="K1135" s="122">
        <v>89</v>
      </c>
      <c r="L1135" s="122">
        <v>54930</v>
      </c>
      <c r="M1135" s="122">
        <v>49936</v>
      </c>
      <c r="N1135" s="122">
        <v>53811</v>
      </c>
      <c r="O1135" s="122">
        <v>19930</v>
      </c>
      <c r="P1135" s="122">
        <v>10502</v>
      </c>
      <c r="Q1135" s="122">
        <v>3890</v>
      </c>
      <c r="R1135" s="122">
        <v>105468</v>
      </c>
      <c r="S1135" s="122">
        <v>39062</v>
      </c>
      <c r="T1135" s="122">
        <v>0</v>
      </c>
      <c r="U1135" s="122">
        <v>0</v>
      </c>
      <c r="V1135" s="122">
        <v>358463</v>
      </c>
      <c r="W1135" s="122">
        <f t="shared" si="34"/>
        <v>358463</v>
      </c>
      <c r="X1135" s="122">
        <f t="shared" si="35"/>
        <v>494921</v>
      </c>
      <c r="AA1135" t="s">
        <v>56</v>
      </c>
      <c r="AB1135" t="s">
        <v>429</v>
      </c>
      <c r="AC1135" t="s">
        <v>426</v>
      </c>
      <c r="AD1135" t="s">
        <v>137</v>
      </c>
      <c r="AE1135" t="s">
        <v>566</v>
      </c>
      <c r="AF1135">
        <v>1</v>
      </c>
      <c r="AG1135">
        <v>92</v>
      </c>
      <c r="AH1135">
        <v>184</v>
      </c>
      <c r="AI1135" s="122">
        <v>7268</v>
      </c>
      <c r="AJ1135" s="122">
        <v>6607</v>
      </c>
      <c r="AK1135">
        <v>89</v>
      </c>
      <c r="AL1135" s="122">
        <v>1199</v>
      </c>
      <c r="AM1135" s="122">
        <v>1090</v>
      </c>
      <c r="AN1135" s="122">
        <v>1127</v>
      </c>
      <c r="AO1135" s="122">
        <v>417</v>
      </c>
      <c r="AP1135">
        <v>351</v>
      </c>
      <c r="AQ1135">
        <v>130</v>
      </c>
      <c r="AR1135" s="122">
        <v>7063</v>
      </c>
      <c r="AS1135" s="122">
        <v>2616</v>
      </c>
      <c r="AT1135" s="122">
        <v>0</v>
      </c>
      <c r="AU1135" s="122">
        <v>0</v>
      </c>
      <c r="AV1135" s="122">
        <v>10861</v>
      </c>
    </row>
    <row r="1136" spans="2:48" hidden="1">
      <c r="B1136" t="s">
        <v>369</v>
      </c>
      <c r="C1136" t="s">
        <v>56</v>
      </c>
      <c r="D1136" t="s">
        <v>406</v>
      </c>
      <c r="E1136" t="s">
        <v>406</v>
      </c>
      <c r="F1136" s="122">
        <v>4634</v>
      </c>
      <c r="G1136" s="122">
        <v>741401</v>
      </c>
      <c r="H1136" s="122">
        <v>884225</v>
      </c>
      <c r="I1136" s="122">
        <v>81957317</v>
      </c>
      <c r="J1136" s="122">
        <v>74506651</v>
      </c>
      <c r="K1136" s="122">
        <v>85</v>
      </c>
      <c r="L1136" s="122">
        <v>18024467</v>
      </c>
      <c r="M1136" s="122">
        <v>17679976</v>
      </c>
      <c r="N1136" s="122">
        <v>14821635</v>
      </c>
      <c r="O1136" s="122">
        <v>5489494</v>
      </c>
      <c r="P1136" s="122">
        <v>3268546</v>
      </c>
      <c r="Q1136" s="122">
        <v>1210573</v>
      </c>
      <c r="R1136" s="122">
        <v>27317919</v>
      </c>
      <c r="S1136" s="122">
        <v>24834472</v>
      </c>
      <c r="T1136" s="122">
        <v>2420722</v>
      </c>
      <c r="U1136" s="122">
        <v>896564</v>
      </c>
      <c r="V1136" s="122">
        <v>124617730</v>
      </c>
      <c r="W1136" s="122">
        <f t="shared" si="34"/>
        <v>124617730</v>
      </c>
      <c r="X1136" s="122">
        <f t="shared" si="35"/>
        <v>147810606</v>
      </c>
      <c r="AA1136" t="s">
        <v>56</v>
      </c>
      <c r="AB1136" t="s">
        <v>429</v>
      </c>
      <c r="AC1136" t="s">
        <v>426</v>
      </c>
      <c r="AD1136" t="s">
        <v>429</v>
      </c>
      <c r="AE1136" t="s">
        <v>137</v>
      </c>
      <c r="AF1136">
        <v>2</v>
      </c>
      <c r="AG1136">
        <v>367</v>
      </c>
      <c r="AH1136">
        <v>418</v>
      </c>
      <c r="AI1136" s="122">
        <v>47757</v>
      </c>
      <c r="AJ1136" s="122">
        <v>43415</v>
      </c>
      <c r="AK1136">
        <v>75</v>
      </c>
      <c r="AL1136" s="122">
        <v>12677</v>
      </c>
      <c r="AM1136" s="122">
        <v>11525</v>
      </c>
      <c r="AN1136" s="122">
        <v>7047</v>
      </c>
      <c r="AO1136" s="122">
        <v>2610</v>
      </c>
      <c r="AP1136" s="122">
        <v>702</v>
      </c>
      <c r="AQ1136">
        <v>260</v>
      </c>
      <c r="AR1136" s="122">
        <v>9901</v>
      </c>
      <c r="AS1136" s="122">
        <v>9001</v>
      </c>
      <c r="AT1136" s="122">
        <v>7616</v>
      </c>
      <c r="AU1136" s="122">
        <v>2821</v>
      </c>
      <c r="AV1136" s="122">
        <v>69631</v>
      </c>
    </row>
    <row r="1137" spans="2:48" hidden="1">
      <c r="B1137" t="s">
        <v>369</v>
      </c>
      <c r="C1137" t="s">
        <v>56</v>
      </c>
      <c r="D1137" t="s">
        <v>406</v>
      </c>
      <c r="E1137" t="s">
        <v>427</v>
      </c>
      <c r="F1137" s="122">
        <v>4</v>
      </c>
      <c r="G1137" s="122">
        <v>861</v>
      </c>
      <c r="H1137" s="122">
        <v>659</v>
      </c>
      <c r="I1137" s="122">
        <v>83677</v>
      </c>
      <c r="J1137" s="122">
        <v>76070</v>
      </c>
      <c r="K1137" s="122">
        <v>86</v>
      </c>
      <c r="L1137" s="122">
        <v>19704</v>
      </c>
      <c r="M1137" s="122">
        <v>17912</v>
      </c>
      <c r="N1137" s="122">
        <v>13224</v>
      </c>
      <c r="O1137" s="122">
        <v>4898</v>
      </c>
      <c r="P1137" s="122">
        <v>2484</v>
      </c>
      <c r="Q1137" s="122">
        <v>920</v>
      </c>
      <c r="R1137" s="122">
        <v>22614</v>
      </c>
      <c r="S1137" s="122">
        <v>20558</v>
      </c>
      <c r="T1137" s="122">
        <v>0</v>
      </c>
      <c r="U1137" s="122">
        <v>0</v>
      </c>
      <c r="V1137" s="122">
        <v>120359</v>
      </c>
      <c r="W1137" s="122">
        <f t="shared" si="34"/>
        <v>120358</v>
      </c>
      <c r="X1137" s="122">
        <f t="shared" si="35"/>
        <v>141703</v>
      </c>
      <c r="AA1137" t="s">
        <v>56</v>
      </c>
      <c r="AB1137" t="s">
        <v>429</v>
      </c>
      <c r="AC1137" t="s">
        <v>426</v>
      </c>
      <c r="AD1137" t="s">
        <v>429</v>
      </c>
      <c r="AE1137" t="s">
        <v>566</v>
      </c>
      <c r="AF1137">
        <v>3</v>
      </c>
      <c r="AG1137">
        <v>382</v>
      </c>
      <c r="AH1137">
        <v>546</v>
      </c>
      <c r="AI1137" s="122">
        <v>44088</v>
      </c>
      <c r="AJ1137" s="122">
        <v>40080</v>
      </c>
      <c r="AK1137">
        <v>84</v>
      </c>
      <c r="AL1137" s="122">
        <v>7578</v>
      </c>
      <c r="AM1137" s="122">
        <v>6889</v>
      </c>
      <c r="AN1137" s="122">
        <v>6305</v>
      </c>
      <c r="AO1137" s="122">
        <v>2335</v>
      </c>
      <c r="AP1137" s="122">
        <v>1053</v>
      </c>
      <c r="AQ1137">
        <v>390</v>
      </c>
      <c r="AR1137" s="122">
        <v>10963</v>
      </c>
      <c r="AS1137" s="122">
        <v>9967</v>
      </c>
      <c r="AT1137" s="122">
        <v>0</v>
      </c>
      <c r="AU1137" s="122">
        <v>0</v>
      </c>
      <c r="AV1137" s="122">
        <v>59661</v>
      </c>
    </row>
    <row r="1138" spans="2:48" hidden="1">
      <c r="B1138" t="s">
        <v>369</v>
      </c>
      <c r="C1138" t="s">
        <v>56</v>
      </c>
      <c r="D1138" t="s">
        <v>406</v>
      </c>
      <c r="E1138" t="s">
        <v>426</v>
      </c>
      <c r="F1138" s="122">
        <v>3</v>
      </c>
      <c r="G1138" s="122">
        <v>415</v>
      </c>
      <c r="H1138" s="122">
        <v>607</v>
      </c>
      <c r="I1138" s="122">
        <v>38725</v>
      </c>
      <c r="J1138" s="122">
        <v>35204</v>
      </c>
      <c r="K1138" s="122">
        <v>91</v>
      </c>
      <c r="L1138" s="122">
        <v>11309</v>
      </c>
      <c r="M1138" s="122">
        <v>10281</v>
      </c>
      <c r="N1138" s="122">
        <v>9307</v>
      </c>
      <c r="O1138" s="122">
        <v>3447</v>
      </c>
      <c r="P1138" s="122">
        <v>2916</v>
      </c>
      <c r="Q1138" s="122">
        <v>1080</v>
      </c>
      <c r="R1138" s="122">
        <v>16865</v>
      </c>
      <c r="S1138" s="122">
        <v>15332</v>
      </c>
      <c r="T1138" s="122">
        <v>3137</v>
      </c>
      <c r="U1138" s="122">
        <v>1162</v>
      </c>
      <c r="V1138" s="122">
        <v>66505</v>
      </c>
      <c r="W1138" s="122">
        <f t="shared" si="34"/>
        <v>66506</v>
      </c>
      <c r="X1138" s="122">
        <f t="shared" si="35"/>
        <v>82259</v>
      </c>
      <c r="AA1138" t="s">
        <v>56</v>
      </c>
      <c r="AB1138" t="s">
        <v>429</v>
      </c>
      <c r="AC1138" t="s">
        <v>566</v>
      </c>
      <c r="AD1138" t="s">
        <v>137</v>
      </c>
      <c r="AE1138" t="s">
        <v>137</v>
      </c>
      <c r="AF1138">
        <v>3</v>
      </c>
      <c r="AG1138">
        <v>316</v>
      </c>
      <c r="AH1138">
        <v>517</v>
      </c>
      <c r="AI1138" s="122">
        <v>39901</v>
      </c>
      <c r="AJ1138" s="122">
        <v>36274</v>
      </c>
      <c r="AK1138">
        <v>85</v>
      </c>
      <c r="AL1138">
        <v>0</v>
      </c>
      <c r="AM1138">
        <v>0</v>
      </c>
      <c r="AN1138" s="122">
        <v>4268</v>
      </c>
      <c r="AO1138" s="122">
        <v>1581</v>
      </c>
      <c r="AP1138">
        <v>0</v>
      </c>
      <c r="AQ1138">
        <v>0</v>
      </c>
      <c r="AR1138" s="122">
        <v>6665</v>
      </c>
      <c r="AS1138" s="122">
        <v>2468</v>
      </c>
      <c r="AT1138" s="122">
        <v>3587</v>
      </c>
      <c r="AU1138" s="122">
        <v>1328</v>
      </c>
      <c r="AV1138" s="122">
        <v>41651</v>
      </c>
    </row>
    <row r="1139" spans="2:48" hidden="1">
      <c r="B1139" t="s">
        <v>369</v>
      </c>
      <c r="C1139" t="s">
        <v>56</v>
      </c>
      <c r="D1139" t="s">
        <v>406</v>
      </c>
      <c r="E1139" t="s">
        <v>433</v>
      </c>
      <c r="F1139" s="122">
        <v>1</v>
      </c>
      <c r="G1139" s="122">
        <v>255</v>
      </c>
      <c r="H1139" s="122">
        <v>171</v>
      </c>
      <c r="I1139" s="122">
        <v>22434</v>
      </c>
      <c r="J1139" s="122">
        <v>20395</v>
      </c>
      <c r="K1139" s="122">
        <v>86</v>
      </c>
      <c r="L1139" s="122">
        <v>6763</v>
      </c>
      <c r="M1139" s="122">
        <v>6149</v>
      </c>
      <c r="N1139" s="122">
        <v>6215</v>
      </c>
      <c r="O1139" s="122">
        <v>2302</v>
      </c>
      <c r="P1139" s="122">
        <v>621</v>
      </c>
      <c r="Q1139" s="122">
        <v>230</v>
      </c>
      <c r="R1139" s="122">
        <v>7594</v>
      </c>
      <c r="S1139" s="122">
        <v>6904</v>
      </c>
      <c r="T1139" s="122">
        <v>0</v>
      </c>
      <c r="U1139" s="122">
        <v>0</v>
      </c>
      <c r="V1139" s="122">
        <v>35979</v>
      </c>
      <c r="W1139" s="122">
        <f t="shared" si="34"/>
        <v>35980</v>
      </c>
      <c r="X1139" s="122">
        <f t="shared" si="35"/>
        <v>43627</v>
      </c>
      <c r="AA1139" t="s">
        <v>56</v>
      </c>
      <c r="AB1139" t="s">
        <v>429</v>
      </c>
      <c r="AC1139" t="s">
        <v>566</v>
      </c>
      <c r="AD1139" t="s">
        <v>137</v>
      </c>
      <c r="AE1139" t="s">
        <v>566</v>
      </c>
      <c r="AF1139">
        <v>1</v>
      </c>
      <c r="AG1139">
        <v>131</v>
      </c>
      <c r="AH1139">
        <v>199</v>
      </c>
      <c r="AI1139" s="122">
        <v>16885</v>
      </c>
      <c r="AJ1139" s="122">
        <v>15350</v>
      </c>
      <c r="AK1139">
        <v>88</v>
      </c>
      <c r="AL1139">
        <v>0</v>
      </c>
      <c r="AM1139">
        <v>0</v>
      </c>
      <c r="AN1139" s="122">
        <v>1596</v>
      </c>
      <c r="AO1139" s="122">
        <v>591</v>
      </c>
      <c r="AP1139" s="122">
        <v>351</v>
      </c>
      <c r="AQ1139" s="122">
        <v>130</v>
      </c>
      <c r="AR1139" s="122">
        <v>7218</v>
      </c>
      <c r="AS1139" s="122">
        <v>2673</v>
      </c>
      <c r="AT1139" s="122">
        <v>0</v>
      </c>
      <c r="AU1139" s="122">
        <v>0</v>
      </c>
      <c r="AV1139" s="122">
        <v>18745</v>
      </c>
    </row>
    <row r="1140" spans="2:48" hidden="1">
      <c r="B1140" t="s">
        <v>369</v>
      </c>
      <c r="C1140" t="s">
        <v>56</v>
      </c>
      <c r="D1140" t="s">
        <v>427</v>
      </c>
      <c r="E1140" t="s">
        <v>406</v>
      </c>
      <c r="F1140" s="122">
        <v>2</v>
      </c>
      <c r="G1140" s="122">
        <v>238</v>
      </c>
      <c r="H1140" s="122">
        <v>366</v>
      </c>
      <c r="I1140" s="122">
        <v>21616</v>
      </c>
      <c r="J1140" s="122">
        <v>19651</v>
      </c>
      <c r="K1140" s="122">
        <v>90</v>
      </c>
      <c r="L1140" s="122">
        <v>3318</v>
      </c>
      <c r="M1140" s="122">
        <v>3016</v>
      </c>
      <c r="N1140" s="122">
        <v>4353</v>
      </c>
      <c r="O1140" s="122">
        <v>1612</v>
      </c>
      <c r="P1140" s="122">
        <v>1242</v>
      </c>
      <c r="Q1140" s="122">
        <v>460</v>
      </c>
      <c r="R1140" s="122">
        <v>7243</v>
      </c>
      <c r="S1140" s="122">
        <v>6585</v>
      </c>
      <c r="T1140" s="122">
        <v>5312</v>
      </c>
      <c r="U1140" s="122">
        <v>1967</v>
      </c>
      <c r="V1140" s="122">
        <v>33292</v>
      </c>
      <c r="W1140" s="122">
        <f t="shared" si="34"/>
        <v>33291</v>
      </c>
      <c r="X1140" s="122">
        <f t="shared" si="35"/>
        <v>43084</v>
      </c>
      <c r="AA1140" t="s">
        <v>56</v>
      </c>
      <c r="AB1140" t="s">
        <v>429</v>
      </c>
      <c r="AC1140" t="s">
        <v>566</v>
      </c>
      <c r="AD1140" t="s">
        <v>429</v>
      </c>
      <c r="AE1140" t="s">
        <v>137</v>
      </c>
      <c r="AF1140">
        <v>3</v>
      </c>
      <c r="AG1140">
        <v>474</v>
      </c>
      <c r="AH1140">
        <v>601</v>
      </c>
      <c r="AI1140" s="122">
        <v>55241</v>
      </c>
      <c r="AJ1140" s="122">
        <v>50219</v>
      </c>
      <c r="AK1140">
        <v>79</v>
      </c>
      <c r="AL1140">
        <v>0</v>
      </c>
      <c r="AM1140">
        <v>0</v>
      </c>
      <c r="AN1140" s="122">
        <v>10546</v>
      </c>
      <c r="AO1140" s="122">
        <v>3906</v>
      </c>
      <c r="AP1140" s="122">
        <v>4217</v>
      </c>
      <c r="AQ1140" s="122">
        <v>1562</v>
      </c>
      <c r="AR1140" s="122">
        <v>12359</v>
      </c>
      <c r="AS1140" s="122">
        <v>11235</v>
      </c>
      <c r="AT1140" s="122">
        <v>7769</v>
      </c>
      <c r="AU1140" s="122">
        <v>2877</v>
      </c>
      <c r="AV1140" s="122">
        <v>69799</v>
      </c>
    </row>
    <row r="1141" spans="2:48" hidden="1">
      <c r="B1141" t="s">
        <v>369</v>
      </c>
      <c r="C1141" t="s">
        <v>56</v>
      </c>
      <c r="D1141" t="s">
        <v>427</v>
      </c>
      <c r="E1141" t="s">
        <v>427</v>
      </c>
      <c r="F1141" s="122">
        <v>1</v>
      </c>
      <c r="G1141" s="122">
        <v>141</v>
      </c>
      <c r="H1141" s="122">
        <v>200</v>
      </c>
      <c r="I1141" s="122">
        <v>17927</v>
      </c>
      <c r="J1141" s="122">
        <v>16297</v>
      </c>
      <c r="K1141" s="122">
        <v>65</v>
      </c>
      <c r="L1141" s="122">
        <v>2072</v>
      </c>
      <c r="M1141" s="122">
        <v>1883</v>
      </c>
      <c r="N1141" s="122">
        <v>2490</v>
      </c>
      <c r="O1141" s="122">
        <v>922</v>
      </c>
      <c r="P1141" s="122">
        <v>351</v>
      </c>
      <c r="Q1141" s="122">
        <v>130</v>
      </c>
      <c r="R1141" s="122">
        <v>5303</v>
      </c>
      <c r="S1141" s="122">
        <v>4821</v>
      </c>
      <c r="T1141" s="122">
        <v>0</v>
      </c>
      <c r="U1141" s="122">
        <v>0</v>
      </c>
      <c r="V1141" s="122">
        <v>24054</v>
      </c>
      <c r="W1141" s="122">
        <f t="shared" si="34"/>
        <v>24053</v>
      </c>
      <c r="X1141" s="122">
        <f t="shared" si="35"/>
        <v>28143</v>
      </c>
      <c r="AA1141" t="s">
        <v>56</v>
      </c>
      <c r="AB1141" t="s">
        <v>429</v>
      </c>
      <c r="AC1141" t="s">
        <v>566</v>
      </c>
      <c r="AD1141" t="s">
        <v>429</v>
      </c>
      <c r="AE1141" t="s">
        <v>566</v>
      </c>
      <c r="AF1141">
        <v>4</v>
      </c>
      <c r="AG1141">
        <v>400</v>
      </c>
      <c r="AH1141">
        <v>795</v>
      </c>
      <c r="AI1141" s="122">
        <v>61410</v>
      </c>
      <c r="AJ1141" s="122">
        <v>55827</v>
      </c>
      <c r="AK1141">
        <v>81</v>
      </c>
      <c r="AL1141" s="122">
        <v>0</v>
      </c>
      <c r="AM1141" s="122">
        <v>0</v>
      </c>
      <c r="AN1141" s="122">
        <v>7919</v>
      </c>
      <c r="AO1141" s="122">
        <v>2933</v>
      </c>
      <c r="AP1141" s="122">
        <v>1404</v>
      </c>
      <c r="AQ1141">
        <v>520</v>
      </c>
      <c r="AR1141" s="122">
        <v>20912</v>
      </c>
      <c r="AS1141" s="122">
        <v>19011</v>
      </c>
      <c r="AT1141">
        <v>0</v>
      </c>
      <c r="AU1141">
        <v>0</v>
      </c>
      <c r="AV1141" s="122">
        <v>78291</v>
      </c>
    </row>
    <row r="1142" spans="2:48" hidden="1">
      <c r="B1142" t="s">
        <v>369</v>
      </c>
      <c r="C1142" t="s">
        <v>56</v>
      </c>
      <c r="D1142" t="s">
        <v>407</v>
      </c>
      <c r="E1142" t="s">
        <v>407</v>
      </c>
      <c r="F1142" s="122">
        <v>30</v>
      </c>
      <c r="G1142" s="122">
        <v>5550</v>
      </c>
      <c r="H1142" s="122">
        <v>5306</v>
      </c>
      <c r="I1142" s="122">
        <v>543932</v>
      </c>
      <c r="J1142" s="122">
        <v>494484</v>
      </c>
      <c r="K1142" s="122">
        <v>84</v>
      </c>
      <c r="L1142" s="122">
        <v>136526</v>
      </c>
      <c r="M1142" s="122">
        <v>116130</v>
      </c>
      <c r="N1142" s="122">
        <v>111420</v>
      </c>
      <c r="O1142" s="122">
        <v>41267</v>
      </c>
      <c r="P1142" s="122">
        <v>17771</v>
      </c>
      <c r="Q1142" s="122">
        <v>6582</v>
      </c>
      <c r="R1142" s="122">
        <v>174743</v>
      </c>
      <c r="S1142" s="122">
        <v>158857</v>
      </c>
      <c r="T1142" s="122">
        <v>9957</v>
      </c>
      <c r="U1142" s="122">
        <v>3688</v>
      </c>
      <c r="V1142" s="122">
        <v>821007</v>
      </c>
      <c r="W1142" s="122">
        <f t="shared" si="34"/>
        <v>821008</v>
      </c>
      <c r="X1142" s="122">
        <f t="shared" si="35"/>
        <v>994349</v>
      </c>
      <c r="AA1142" t="s">
        <v>56</v>
      </c>
      <c r="AB1142" t="s">
        <v>429</v>
      </c>
      <c r="AC1142" t="s">
        <v>433</v>
      </c>
      <c r="AD1142" t="s">
        <v>429</v>
      </c>
      <c r="AE1142" t="s">
        <v>566</v>
      </c>
      <c r="AF1142">
        <v>1</v>
      </c>
      <c r="AG1142" s="122">
        <v>125</v>
      </c>
      <c r="AH1142" s="122">
        <v>222</v>
      </c>
      <c r="AI1142" s="122">
        <v>14799</v>
      </c>
      <c r="AJ1142" s="122">
        <v>13453</v>
      </c>
      <c r="AK1142">
        <v>83</v>
      </c>
      <c r="AL1142" s="122">
        <v>4560</v>
      </c>
      <c r="AM1142" s="122">
        <v>4146</v>
      </c>
      <c r="AN1142" s="122">
        <v>2195</v>
      </c>
      <c r="AO1142" s="122">
        <v>813</v>
      </c>
      <c r="AP1142" s="122">
        <v>621</v>
      </c>
      <c r="AQ1142" s="122">
        <v>230</v>
      </c>
      <c r="AR1142" s="122">
        <v>5527</v>
      </c>
      <c r="AS1142" s="122">
        <v>5025</v>
      </c>
      <c r="AT1142" s="122">
        <v>0</v>
      </c>
      <c r="AU1142" s="122">
        <v>0</v>
      </c>
      <c r="AV1142" s="122">
        <v>23667</v>
      </c>
    </row>
    <row r="1143" spans="2:48" hidden="1">
      <c r="B1143" t="s">
        <v>369</v>
      </c>
      <c r="C1143" t="s">
        <v>56</v>
      </c>
      <c r="D1143" t="s">
        <v>431</v>
      </c>
      <c r="E1143" t="s">
        <v>431</v>
      </c>
      <c r="F1143" s="122">
        <v>1</v>
      </c>
      <c r="G1143" s="122">
        <v>184</v>
      </c>
      <c r="H1143" s="122">
        <v>212</v>
      </c>
      <c r="I1143" s="122">
        <v>25970</v>
      </c>
      <c r="J1143" s="122">
        <v>23609</v>
      </c>
      <c r="K1143" s="122">
        <v>65</v>
      </c>
      <c r="L1143" s="122">
        <v>2257</v>
      </c>
      <c r="M1143" s="122">
        <v>2052</v>
      </c>
      <c r="N1143" s="122">
        <v>2237</v>
      </c>
      <c r="O1143" s="122">
        <v>828</v>
      </c>
      <c r="P1143" s="122">
        <v>621</v>
      </c>
      <c r="Q1143" s="122">
        <v>230</v>
      </c>
      <c r="R1143" s="122">
        <v>4831</v>
      </c>
      <c r="S1143" s="122">
        <v>4392</v>
      </c>
      <c r="T1143" s="122">
        <v>3063</v>
      </c>
      <c r="U1143" s="122">
        <v>1134</v>
      </c>
      <c r="V1143" s="122">
        <v>32246</v>
      </c>
      <c r="W1143" s="122">
        <f t="shared" si="34"/>
        <v>32245</v>
      </c>
      <c r="X1143" s="122">
        <f t="shared" si="35"/>
        <v>38979</v>
      </c>
      <c r="AA1143" t="s">
        <v>58</v>
      </c>
      <c r="AC1143" t="s">
        <v>566</v>
      </c>
      <c r="AE1143" t="s">
        <v>566</v>
      </c>
      <c r="AF1143">
        <v>35</v>
      </c>
      <c r="AG1143" s="122">
        <v>5871</v>
      </c>
      <c r="AH1143" s="122">
        <v>8951</v>
      </c>
      <c r="AI1143" s="122"/>
      <c r="AJ1143" s="122">
        <v>0</v>
      </c>
      <c r="AL1143" s="122"/>
      <c r="AM1143" s="122">
        <v>0</v>
      </c>
      <c r="AN1143" s="122">
        <v>109035</v>
      </c>
      <c r="AO1143" s="122">
        <v>40383</v>
      </c>
      <c r="AP1143" s="122">
        <v>19710</v>
      </c>
      <c r="AQ1143" s="122">
        <v>7300</v>
      </c>
      <c r="AR1143" s="122"/>
      <c r="AS1143" s="122">
        <v>0</v>
      </c>
      <c r="AT1143" s="122">
        <v>24875</v>
      </c>
      <c r="AU1143" s="122">
        <v>9213</v>
      </c>
      <c r="AV1143" s="122">
        <v>56896</v>
      </c>
    </row>
    <row r="1144" spans="2:48" hidden="1">
      <c r="B1144" t="s">
        <v>369</v>
      </c>
      <c r="C1144" t="s">
        <v>56</v>
      </c>
      <c r="D1144" t="s">
        <v>426</v>
      </c>
      <c r="E1144" t="s">
        <v>137</v>
      </c>
      <c r="F1144" s="122">
        <v>3</v>
      </c>
      <c r="G1144" s="122">
        <v>367</v>
      </c>
      <c r="H1144" s="122">
        <v>565</v>
      </c>
      <c r="I1144" s="122">
        <v>43387</v>
      </c>
      <c r="J1144" s="122">
        <v>39443</v>
      </c>
      <c r="K1144" s="122">
        <v>68</v>
      </c>
      <c r="L1144" s="122">
        <v>2201</v>
      </c>
      <c r="M1144" s="122">
        <v>815</v>
      </c>
      <c r="N1144" s="122">
        <v>7334</v>
      </c>
      <c r="O1144" s="122">
        <v>2716</v>
      </c>
      <c r="P1144" s="122">
        <v>0</v>
      </c>
      <c r="Q1144" s="122">
        <v>0</v>
      </c>
      <c r="R1144" s="122">
        <v>23842</v>
      </c>
      <c r="S1144" s="122">
        <v>8830</v>
      </c>
      <c r="T1144" s="122">
        <v>0</v>
      </c>
      <c r="U1144" s="122">
        <v>0</v>
      </c>
      <c r="V1144" s="122">
        <v>51805</v>
      </c>
      <c r="W1144" s="122">
        <f t="shared" si="34"/>
        <v>51804</v>
      </c>
      <c r="X1144" s="122">
        <f t="shared" si="35"/>
        <v>76764</v>
      </c>
      <c r="AA1144" t="s">
        <v>58</v>
      </c>
      <c r="AB1144" t="s">
        <v>578</v>
      </c>
      <c r="AC1144" t="s">
        <v>426</v>
      </c>
      <c r="AD1144" t="s">
        <v>578</v>
      </c>
      <c r="AE1144" t="s">
        <v>137</v>
      </c>
      <c r="AF1144">
        <v>1</v>
      </c>
      <c r="AG1144">
        <v>161</v>
      </c>
      <c r="AH1144" s="122">
        <v>264</v>
      </c>
      <c r="AI1144" s="122">
        <v>22183</v>
      </c>
      <c r="AJ1144" s="122">
        <v>20166</v>
      </c>
      <c r="AK1144">
        <v>71</v>
      </c>
      <c r="AL1144" s="122">
        <v>5866</v>
      </c>
      <c r="AM1144" s="122">
        <v>5333</v>
      </c>
      <c r="AN1144" s="122">
        <v>3544</v>
      </c>
      <c r="AO1144" s="122">
        <v>1313</v>
      </c>
      <c r="AP1144" s="122">
        <v>351</v>
      </c>
      <c r="AQ1144" s="122">
        <v>130</v>
      </c>
      <c r="AR1144" s="122">
        <v>6233</v>
      </c>
      <c r="AS1144" s="122">
        <v>5667</v>
      </c>
      <c r="AT1144" s="122">
        <v>4293</v>
      </c>
      <c r="AU1144" s="122">
        <v>1590</v>
      </c>
      <c r="AV1144" s="122">
        <v>34198</v>
      </c>
    </row>
    <row r="1145" spans="2:48" hidden="1">
      <c r="B1145" t="s">
        <v>369</v>
      </c>
      <c r="C1145" t="s">
        <v>56</v>
      </c>
      <c r="D1145" t="s">
        <v>426</v>
      </c>
      <c r="E1145" t="s">
        <v>406</v>
      </c>
      <c r="F1145" s="122">
        <v>1</v>
      </c>
      <c r="G1145" s="122">
        <v>177</v>
      </c>
      <c r="H1145" s="122">
        <v>219</v>
      </c>
      <c r="I1145" s="122">
        <v>20613</v>
      </c>
      <c r="J1145" s="122">
        <v>18739</v>
      </c>
      <c r="K1145" s="122">
        <v>86</v>
      </c>
      <c r="L1145" s="122">
        <v>6214</v>
      </c>
      <c r="M1145" s="122">
        <v>5649</v>
      </c>
      <c r="N1145" s="122">
        <v>3232</v>
      </c>
      <c r="O1145" s="122">
        <v>1197</v>
      </c>
      <c r="P1145" s="122">
        <v>621</v>
      </c>
      <c r="Q1145" s="122">
        <v>230</v>
      </c>
      <c r="R1145" s="122">
        <v>8005</v>
      </c>
      <c r="S1145" s="122">
        <v>7277</v>
      </c>
      <c r="T1145" s="122">
        <v>0</v>
      </c>
      <c r="U1145" s="122">
        <v>0</v>
      </c>
      <c r="V1145" s="122">
        <v>33093</v>
      </c>
      <c r="W1145" s="122">
        <f t="shared" si="34"/>
        <v>33092</v>
      </c>
      <c r="X1145" s="122">
        <f t="shared" si="35"/>
        <v>38685</v>
      </c>
      <c r="AA1145" t="s">
        <v>58</v>
      </c>
      <c r="AB1145" t="s">
        <v>425</v>
      </c>
      <c r="AC1145" t="s">
        <v>425</v>
      </c>
      <c r="AD1145" t="s">
        <v>425</v>
      </c>
      <c r="AE1145" t="s">
        <v>137</v>
      </c>
      <c r="AF1145">
        <v>5</v>
      </c>
      <c r="AG1145" s="122">
        <v>764</v>
      </c>
      <c r="AH1145" s="122">
        <v>1356</v>
      </c>
      <c r="AI1145" s="122">
        <v>112422</v>
      </c>
      <c r="AJ1145" s="122">
        <v>102202</v>
      </c>
      <c r="AK1145">
        <v>75</v>
      </c>
      <c r="AL1145" s="122">
        <v>28840</v>
      </c>
      <c r="AM1145" s="122">
        <v>26219</v>
      </c>
      <c r="AN1145" s="122">
        <v>16235</v>
      </c>
      <c r="AO1145" s="122">
        <v>6013</v>
      </c>
      <c r="AP1145" s="122">
        <v>2714</v>
      </c>
      <c r="AQ1145" s="122">
        <v>1005</v>
      </c>
      <c r="AR1145" s="122">
        <v>27185</v>
      </c>
      <c r="AS1145" s="122">
        <v>24714</v>
      </c>
      <c r="AT1145" s="122">
        <v>7221</v>
      </c>
      <c r="AU1145" s="122">
        <v>2675</v>
      </c>
      <c r="AV1145" s="122">
        <v>162827</v>
      </c>
    </row>
    <row r="1146" spans="2:48" hidden="1">
      <c r="B1146" t="s">
        <v>369</v>
      </c>
      <c r="C1146" t="s">
        <v>56</v>
      </c>
      <c r="D1146" t="s">
        <v>426</v>
      </c>
      <c r="E1146" t="s">
        <v>426</v>
      </c>
      <c r="F1146" s="122">
        <v>22</v>
      </c>
      <c r="G1146" s="122">
        <v>2876</v>
      </c>
      <c r="H1146" s="122">
        <v>4582</v>
      </c>
      <c r="I1146" s="122">
        <v>364668</v>
      </c>
      <c r="J1146" s="122">
        <v>331516</v>
      </c>
      <c r="K1146" s="122">
        <v>68</v>
      </c>
      <c r="L1146" s="122">
        <v>61400</v>
      </c>
      <c r="M1146" s="122">
        <v>53404</v>
      </c>
      <c r="N1146" s="122">
        <v>45753</v>
      </c>
      <c r="O1146" s="122">
        <v>16946</v>
      </c>
      <c r="P1146" s="122">
        <v>8964</v>
      </c>
      <c r="Q1146" s="122">
        <v>3320</v>
      </c>
      <c r="R1146" s="122">
        <v>104298</v>
      </c>
      <c r="S1146" s="122">
        <v>94816</v>
      </c>
      <c r="T1146" s="122">
        <v>50308</v>
      </c>
      <c r="U1146" s="122">
        <v>18633</v>
      </c>
      <c r="V1146" s="122">
        <v>518635</v>
      </c>
      <c r="W1146" s="122">
        <f t="shared" si="34"/>
        <v>518635</v>
      </c>
      <c r="X1146" s="122">
        <f t="shared" si="35"/>
        <v>635391</v>
      </c>
      <c r="AA1146" t="s">
        <v>58</v>
      </c>
      <c r="AB1146" t="s">
        <v>425</v>
      </c>
      <c r="AC1146" t="s">
        <v>425</v>
      </c>
      <c r="AD1146" t="s">
        <v>425</v>
      </c>
      <c r="AE1146" t="s">
        <v>566</v>
      </c>
      <c r="AF1146">
        <v>10</v>
      </c>
      <c r="AG1146" s="122">
        <v>1884</v>
      </c>
      <c r="AH1146" s="122">
        <v>2669</v>
      </c>
      <c r="AI1146" s="122">
        <v>305556</v>
      </c>
      <c r="AJ1146" s="122">
        <v>277778</v>
      </c>
      <c r="AK1146">
        <v>80</v>
      </c>
      <c r="AL1146" s="122">
        <v>99610</v>
      </c>
      <c r="AM1146" s="122">
        <v>90554</v>
      </c>
      <c r="AN1146" s="122">
        <v>40811</v>
      </c>
      <c r="AO1146" s="122">
        <v>15115</v>
      </c>
      <c r="AP1146" s="122">
        <v>8708</v>
      </c>
      <c r="AQ1146" s="122">
        <v>3225</v>
      </c>
      <c r="AR1146" s="122">
        <v>64123</v>
      </c>
      <c r="AS1146" s="122">
        <v>58294</v>
      </c>
      <c r="AT1146">
        <v>0</v>
      </c>
      <c r="AU1146">
        <v>0</v>
      </c>
      <c r="AV1146" s="122">
        <v>444967</v>
      </c>
    </row>
    <row r="1147" spans="2:48" hidden="1">
      <c r="B1147" t="s">
        <v>369</v>
      </c>
      <c r="C1147" t="s">
        <v>56</v>
      </c>
      <c r="D1147" t="s">
        <v>433</v>
      </c>
      <c r="E1147" t="s">
        <v>137</v>
      </c>
      <c r="F1147" s="122">
        <v>1</v>
      </c>
      <c r="G1147" s="122">
        <v>202</v>
      </c>
      <c r="H1147" s="122">
        <v>162</v>
      </c>
      <c r="I1147" s="122">
        <v>22187</v>
      </c>
      <c r="J1147" s="122">
        <v>20170</v>
      </c>
      <c r="K1147" s="122">
        <v>86</v>
      </c>
      <c r="L1147" s="122">
        <v>3517</v>
      </c>
      <c r="M1147" s="122">
        <v>3197</v>
      </c>
      <c r="N1147" s="122">
        <v>2834</v>
      </c>
      <c r="O1147" s="122">
        <v>1050</v>
      </c>
      <c r="P1147" s="122">
        <v>351</v>
      </c>
      <c r="Q1147" s="122">
        <v>130</v>
      </c>
      <c r="R1147" s="122">
        <v>3936</v>
      </c>
      <c r="S1147" s="122">
        <v>1458</v>
      </c>
      <c r="T1147" s="122">
        <v>0</v>
      </c>
      <c r="U1147" s="122">
        <v>0</v>
      </c>
      <c r="V1147" s="122">
        <v>26004</v>
      </c>
      <c r="W1147" s="122">
        <f t="shared" si="34"/>
        <v>26005</v>
      </c>
      <c r="X1147" s="122">
        <f t="shared" si="35"/>
        <v>32825</v>
      </c>
      <c r="AA1147" t="s">
        <v>58</v>
      </c>
      <c r="AB1147" t="s">
        <v>425</v>
      </c>
      <c r="AC1147" t="s">
        <v>425</v>
      </c>
      <c r="AD1147" t="s">
        <v>405</v>
      </c>
      <c r="AE1147" t="s">
        <v>137</v>
      </c>
      <c r="AF1147">
        <v>1</v>
      </c>
      <c r="AG1147">
        <v>185</v>
      </c>
      <c r="AH1147">
        <v>254</v>
      </c>
      <c r="AI1147" s="122">
        <v>30844</v>
      </c>
      <c r="AJ1147" s="122">
        <v>28040</v>
      </c>
      <c r="AK1147">
        <v>78</v>
      </c>
      <c r="AL1147" s="122">
        <v>3273</v>
      </c>
      <c r="AM1147" s="122">
        <v>2976</v>
      </c>
      <c r="AN1147" s="122">
        <v>4449</v>
      </c>
      <c r="AO1147" s="122">
        <v>1648</v>
      </c>
      <c r="AP1147">
        <v>473</v>
      </c>
      <c r="AQ1147">
        <v>175</v>
      </c>
      <c r="AR1147" s="122">
        <v>8003</v>
      </c>
      <c r="AS1147" s="122">
        <v>7276</v>
      </c>
      <c r="AT1147">
        <v>0</v>
      </c>
      <c r="AU1147">
        <v>0</v>
      </c>
      <c r="AV1147" s="122">
        <v>40115</v>
      </c>
    </row>
    <row r="1148" spans="2:48" hidden="1">
      <c r="B1148" t="s">
        <v>369</v>
      </c>
      <c r="C1148" t="s">
        <v>56</v>
      </c>
      <c r="D1148" t="s">
        <v>433</v>
      </c>
      <c r="E1148" t="s">
        <v>433</v>
      </c>
      <c r="F1148" s="122">
        <v>3</v>
      </c>
      <c r="G1148" s="122">
        <v>503</v>
      </c>
      <c r="H1148" s="122">
        <v>600</v>
      </c>
      <c r="I1148" s="122">
        <v>59174</v>
      </c>
      <c r="J1148" s="122">
        <v>53795</v>
      </c>
      <c r="K1148" s="122">
        <v>77</v>
      </c>
      <c r="L1148" s="122">
        <v>8074</v>
      </c>
      <c r="M1148" s="122">
        <v>5413</v>
      </c>
      <c r="N1148" s="122">
        <v>8470</v>
      </c>
      <c r="O1148" s="122">
        <v>3137</v>
      </c>
      <c r="P1148" s="122">
        <v>1053</v>
      </c>
      <c r="Q1148" s="122">
        <v>390</v>
      </c>
      <c r="R1148" s="122">
        <v>15163</v>
      </c>
      <c r="S1148" s="122">
        <v>13785</v>
      </c>
      <c r="T1148" s="122">
        <v>6442</v>
      </c>
      <c r="U1148" s="122">
        <v>2386</v>
      </c>
      <c r="V1148" s="122">
        <v>78906</v>
      </c>
      <c r="W1148" s="122">
        <f t="shared" si="34"/>
        <v>78906</v>
      </c>
      <c r="X1148" s="122">
        <f t="shared" si="35"/>
        <v>98376</v>
      </c>
      <c r="AA1148" t="s">
        <v>58</v>
      </c>
      <c r="AB1148" t="s">
        <v>425</v>
      </c>
      <c r="AC1148" t="s">
        <v>137</v>
      </c>
      <c r="AD1148" t="s">
        <v>425</v>
      </c>
      <c r="AE1148" t="s">
        <v>137</v>
      </c>
      <c r="AF1148">
        <v>2</v>
      </c>
      <c r="AG1148">
        <v>162</v>
      </c>
      <c r="AH1148">
        <v>556</v>
      </c>
      <c r="AI1148" s="122">
        <v>34625</v>
      </c>
      <c r="AJ1148" s="122">
        <v>31477</v>
      </c>
      <c r="AK1148">
        <v>65</v>
      </c>
      <c r="AL1148" s="122">
        <v>5836</v>
      </c>
      <c r="AM1148" s="122">
        <v>2161</v>
      </c>
      <c r="AN1148" s="122">
        <v>2970</v>
      </c>
      <c r="AO1148" s="122">
        <v>1100</v>
      </c>
      <c r="AP1148">
        <v>824</v>
      </c>
      <c r="AQ1148">
        <v>305</v>
      </c>
      <c r="AR1148" s="122">
        <v>13355</v>
      </c>
      <c r="AS1148" s="122">
        <v>12141</v>
      </c>
      <c r="AT1148">
        <v>0</v>
      </c>
      <c r="AU1148">
        <v>0</v>
      </c>
      <c r="AV1148" s="122">
        <v>47185</v>
      </c>
    </row>
    <row r="1149" spans="2:48" hidden="1">
      <c r="B1149" t="s">
        <v>369</v>
      </c>
      <c r="C1149" t="s">
        <v>56</v>
      </c>
      <c r="D1149" t="s">
        <v>408</v>
      </c>
      <c r="E1149" t="s">
        <v>137</v>
      </c>
      <c r="F1149" s="122">
        <v>1</v>
      </c>
      <c r="G1149" s="122">
        <v>88</v>
      </c>
      <c r="H1149" s="122">
        <v>206</v>
      </c>
      <c r="I1149" s="122">
        <v>9173</v>
      </c>
      <c r="J1149" s="122">
        <v>8339</v>
      </c>
      <c r="K1149" s="122">
        <v>73</v>
      </c>
      <c r="L1149" s="122">
        <v>0</v>
      </c>
      <c r="M1149" s="122">
        <v>0</v>
      </c>
      <c r="N1149" s="122">
        <v>2150</v>
      </c>
      <c r="O1149" s="122">
        <v>796</v>
      </c>
      <c r="P1149" s="122">
        <v>0</v>
      </c>
      <c r="Q1149" s="122">
        <v>0</v>
      </c>
      <c r="R1149" s="122">
        <v>6896</v>
      </c>
      <c r="S1149" s="122">
        <v>2554</v>
      </c>
      <c r="T1149" s="122">
        <v>0</v>
      </c>
      <c r="U1149" s="122">
        <v>0</v>
      </c>
      <c r="V1149" s="122">
        <v>11689</v>
      </c>
      <c r="W1149" s="122">
        <f t="shared" si="34"/>
        <v>11689</v>
      </c>
      <c r="X1149" s="122">
        <f t="shared" si="35"/>
        <v>18219</v>
      </c>
      <c r="AA1149" t="s">
        <v>58</v>
      </c>
      <c r="AB1149" t="s">
        <v>425</v>
      </c>
      <c r="AC1149" t="s">
        <v>137</v>
      </c>
      <c r="AD1149" t="s">
        <v>425</v>
      </c>
      <c r="AE1149" t="s">
        <v>566</v>
      </c>
      <c r="AF1149">
        <v>1</v>
      </c>
      <c r="AG1149">
        <v>42</v>
      </c>
      <c r="AH1149">
        <v>260</v>
      </c>
      <c r="AI1149" s="122">
        <v>5371</v>
      </c>
      <c r="AJ1149" s="122">
        <v>4883</v>
      </c>
      <c r="AK1149">
        <v>73</v>
      </c>
      <c r="AL1149" s="122">
        <v>1091</v>
      </c>
      <c r="AM1149" s="122">
        <v>404</v>
      </c>
      <c r="AN1149" s="122">
        <v>763</v>
      </c>
      <c r="AO1149" s="122">
        <v>283</v>
      </c>
      <c r="AP1149">
        <v>473</v>
      </c>
      <c r="AQ1149">
        <v>175</v>
      </c>
      <c r="AR1149" s="122">
        <v>3154</v>
      </c>
      <c r="AS1149" s="122">
        <v>2867</v>
      </c>
      <c r="AT1149" s="122">
        <v>0</v>
      </c>
      <c r="AU1149" s="122">
        <v>0</v>
      </c>
      <c r="AV1149" s="122">
        <v>8611</v>
      </c>
    </row>
    <row r="1150" spans="2:48" hidden="1">
      <c r="B1150" t="s">
        <v>369</v>
      </c>
      <c r="C1150" t="s">
        <v>56</v>
      </c>
      <c r="D1150" t="s">
        <v>408</v>
      </c>
      <c r="E1150" t="s">
        <v>408</v>
      </c>
      <c r="F1150" s="122">
        <v>15</v>
      </c>
      <c r="G1150" s="122">
        <v>2730</v>
      </c>
      <c r="H1150" s="122">
        <v>2913</v>
      </c>
      <c r="I1150" s="122">
        <v>354712</v>
      </c>
      <c r="J1150" s="122">
        <v>322466</v>
      </c>
      <c r="K1150" s="122">
        <v>78</v>
      </c>
      <c r="L1150" s="122">
        <v>55550</v>
      </c>
      <c r="M1150" s="122">
        <v>50500</v>
      </c>
      <c r="N1150" s="122">
        <v>57109</v>
      </c>
      <c r="O1150" s="122">
        <v>21151</v>
      </c>
      <c r="P1150" s="122">
        <v>5886</v>
      </c>
      <c r="Q1150" s="122">
        <v>2180</v>
      </c>
      <c r="R1150" s="122">
        <v>90012</v>
      </c>
      <c r="S1150" s="122">
        <v>81829</v>
      </c>
      <c r="T1150" s="122">
        <v>8692</v>
      </c>
      <c r="U1150" s="122">
        <v>3219</v>
      </c>
      <c r="V1150" s="122">
        <v>481346</v>
      </c>
      <c r="W1150" s="122">
        <f t="shared" si="34"/>
        <v>481345</v>
      </c>
      <c r="X1150" s="122">
        <f t="shared" si="35"/>
        <v>571961</v>
      </c>
      <c r="AA1150" t="s">
        <v>58</v>
      </c>
      <c r="AB1150" t="s">
        <v>425</v>
      </c>
      <c r="AC1150" t="s">
        <v>137</v>
      </c>
      <c r="AD1150" t="s">
        <v>406</v>
      </c>
      <c r="AE1150" t="s">
        <v>137</v>
      </c>
      <c r="AF1150">
        <v>1</v>
      </c>
      <c r="AG1150">
        <v>135</v>
      </c>
      <c r="AH1150">
        <v>253</v>
      </c>
      <c r="AI1150" s="122">
        <v>17875</v>
      </c>
      <c r="AJ1150" s="122">
        <v>16250</v>
      </c>
      <c r="AK1150">
        <v>86</v>
      </c>
      <c r="AL1150" s="122">
        <v>3968</v>
      </c>
      <c r="AM1150" s="122">
        <v>1470</v>
      </c>
      <c r="AN1150" s="122">
        <v>3279</v>
      </c>
      <c r="AO1150" s="122">
        <v>1214</v>
      </c>
      <c r="AP1150" s="122">
        <v>621</v>
      </c>
      <c r="AQ1150">
        <v>230</v>
      </c>
      <c r="AR1150" s="122">
        <v>4721</v>
      </c>
      <c r="AS1150" s="122">
        <v>4291</v>
      </c>
      <c r="AT1150" s="122">
        <v>3559</v>
      </c>
      <c r="AU1150" s="122">
        <v>1318</v>
      </c>
      <c r="AV1150" s="122">
        <v>24774</v>
      </c>
    </row>
    <row r="1151" spans="2:48" hidden="1">
      <c r="B1151" t="s">
        <v>369</v>
      </c>
      <c r="C1151" t="s">
        <v>56</v>
      </c>
      <c r="D1151" t="s">
        <v>408</v>
      </c>
      <c r="E1151" t="s">
        <v>429</v>
      </c>
      <c r="F1151" s="122">
        <v>1</v>
      </c>
      <c r="G1151" s="122">
        <v>229</v>
      </c>
      <c r="H1151" s="122">
        <v>212</v>
      </c>
      <c r="I1151" s="122">
        <v>29867</v>
      </c>
      <c r="J1151" s="122">
        <v>27151</v>
      </c>
      <c r="K1151" s="122">
        <v>65</v>
      </c>
      <c r="L1151" s="122">
        <v>7844</v>
      </c>
      <c r="M1151" s="122">
        <v>6536</v>
      </c>
      <c r="N1151" s="122">
        <v>3485</v>
      </c>
      <c r="O1151" s="122">
        <v>1291</v>
      </c>
      <c r="P1151" s="122">
        <v>351</v>
      </c>
      <c r="Q1151" s="122">
        <v>130</v>
      </c>
      <c r="R1151" s="122">
        <v>6922</v>
      </c>
      <c r="S1151" s="122">
        <v>6293</v>
      </c>
      <c r="T1151" s="122">
        <v>0</v>
      </c>
      <c r="U1151" s="122">
        <v>0</v>
      </c>
      <c r="V1151" s="122">
        <v>41401</v>
      </c>
      <c r="W1151" s="122">
        <f t="shared" si="34"/>
        <v>41401</v>
      </c>
      <c r="X1151" s="122">
        <f t="shared" si="35"/>
        <v>48469</v>
      </c>
      <c r="AA1151" t="s">
        <v>58</v>
      </c>
      <c r="AB1151" t="s">
        <v>425</v>
      </c>
      <c r="AC1151" t="s">
        <v>580</v>
      </c>
      <c r="AD1151" t="s">
        <v>425</v>
      </c>
      <c r="AE1151" t="s">
        <v>566</v>
      </c>
      <c r="AF1151">
        <v>3</v>
      </c>
      <c r="AG1151">
        <v>772</v>
      </c>
      <c r="AH1151">
        <v>723</v>
      </c>
      <c r="AI1151" s="122">
        <v>128013</v>
      </c>
      <c r="AJ1151" s="122">
        <v>116375</v>
      </c>
      <c r="AK1151">
        <v>73</v>
      </c>
      <c r="AL1151" s="122">
        <v>15676</v>
      </c>
      <c r="AM1151" s="122">
        <v>14251</v>
      </c>
      <c r="AN1151" s="122">
        <v>18475</v>
      </c>
      <c r="AO1151" s="122">
        <v>6842</v>
      </c>
      <c r="AP1151" s="122">
        <v>2457</v>
      </c>
      <c r="AQ1151">
        <v>910</v>
      </c>
      <c r="AR1151" s="122">
        <v>21154</v>
      </c>
      <c r="AS1151" s="122">
        <v>19231</v>
      </c>
      <c r="AT1151">
        <v>0</v>
      </c>
      <c r="AU1151">
        <v>0</v>
      </c>
      <c r="AV1151" s="122">
        <v>157609</v>
      </c>
    </row>
    <row r="1152" spans="2:48" hidden="1">
      <c r="B1152" t="s">
        <v>369</v>
      </c>
      <c r="C1152" t="s">
        <v>56</v>
      </c>
      <c r="D1152" t="s">
        <v>429</v>
      </c>
      <c r="E1152" t="s">
        <v>137</v>
      </c>
      <c r="F1152" s="122">
        <v>1</v>
      </c>
      <c r="G1152" s="122">
        <v>92</v>
      </c>
      <c r="H1152" s="122">
        <v>184</v>
      </c>
      <c r="I1152" s="122">
        <v>7268</v>
      </c>
      <c r="J1152" s="122">
        <v>6607</v>
      </c>
      <c r="K1152" s="122">
        <v>89</v>
      </c>
      <c r="L1152" s="122">
        <v>1199</v>
      </c>
      <c r="M1152" s="122">
        <v>1090</v>
      </c>
      <c r="N1152" s="122">
        <v>1127</v>
      </c>
      <c r="O1152" s="122">
        <v>417</v>
      </c>
      <c r="P1152" s="122">
        <v>351</v>
      </c>
      <c r="Q1152" s="122">
        <v>130</v>
      </c>
      <c r="R1152" s="122">
        <v>7063</v>
      </c>
      <c r="S1152" s="122">
        <v>2616</v>
      </c>
      <c r="T1152" s="122">
        <v>0</v>
      </c>
      <c r="U1152" s="122">
        <v>0</v>
      </c>
      <c r="V1152" s="122">
        <v>10861</v>
      </c>
      <c r="W1152" s="122">
        <f t="shared" si="34"/>
        <v>10860</v>
      </c>
      <c r="X1152" s="122">
        <f t="shared" si="35"/>
        <v>17008</v>
      </c>
      <c r="AA1152" t="s">
        <v>58</v>
      </c>
      <c r="AB1152" t="s">
        <v>425</v>
      </c>
      <c r="AC1152" t="s">
        <v>580</v>
      </c>
      <c r="AD1152" t="s">
        <v>406</v>
      </c>
      <c r="AE1152" t="s">
        <v>566</v>
      </c>
      <c r="AF1152">
        <v>1</v>
      </c>
      <c r="AG1152">
        <v>148</v>
      </c>
      <c r="AH1152">
        <v>230</v>
      </c>
      <c r="AI1152" s="122">
        <v>22992</v>
      </c>
      <c r="AJ1152" s="122">
        <v>20902</v>
      </c>
      <c r="AK1152">
        <v>82</v>
      </c>
      <c r="AL1152" s="122">
        <v>3623</v>
      </c>
      <c r="AM1152" s="122">
        <v>3294</v>
      </c>
      <c r="AN1152" s="122">
        <v>3127</v>
      </c>
      <c r="AO1152" s="122">
        <v>1158</v>
      </c>
      <c r="AP1152">
        <v>621</v>
      </c>
      <c r="AQ1152">
        <v>230</v>
      </c>
      <c r="AR1152" s="122">
        <v>3616</v>
      </c>
      <c r="AS1152" s="122">
        <v>3287</v>
      </c>
      <c r="AT1152" s="122">
        <v>0</v>
      </c>
      <c r="AU1152">
        <v>0</v>
      </c>
      <c r="AV1152" s="122">
        <v>28870</v>
      </c>
    </row>
    <row r="1153" spans="2:48" hidden="1">
      <c r="B1153" t="s">
        <v>369</v>
      </c>
      <c r="C1153" t="s">
        <v>56</v>
      </c>
      <c r="D1153" t="s">
        <v>429</v>
      </c>
      <c r="E1153" t="s">
        <v>429</v>
      </c>
      <c r="F1153" s="122">
        <v>1</v>
      </c>
      <c r="G1153" s="122">
        <v>117</v>
      </c>
      <c r="H1153" s="122">
        <v>217</v>
      </c>
      <c r="I1153" s="122">
        <v>15366</v>
      </c>
      <c r="J1153" s="122">
        <v>13969</v>
      </c>
      <c r="K1153" s="122">
        <v>84</v>
      </c>
      <c r="L1153" s="122">
        <v>3508</v>
      </c>
      <c r="M1153" s="122">
        <v>1299</v>
      </c>
      <c r="N1153" s="122">
        <v>1422</v>
      </c>
      <c r="O1153" s="122">
        <v>527</v>
      </c>
      <c r="P1153" s="122">
        <v>351</v>
      </c>
      <c r="Q1153" s="122">
        <v>130</v>
      </c>
      <c r="R1153" s="122">
        <v>4689</v>
      </c>
      <c r="S1153" s="122">
        <v>4263</v>
      </c>
      <c r="T1153" s="122">
        <v>0</v>
      </c>
      <c r="U1153" s="122">
        <v>0</v>
      </c>
      <c r="V1153" s="122">
        <v>20187</v>
      </c>
      <c r="W1153" s="122">
        <f t="shared" si="34"/>
        <v>20188</v>
      </c>
      <c r="X1153" s="122">
        <f t="shared" si="35"/>
        <v>25336</v>
      </c>
      <c r="AA1153" t="s">
        <v>58</v>
      </c>
      <c r="AB1153" t="s">
        <v>425</v>
      </c>
      <c r="AC1153" t="s">
        <v>427</v>
      </c>
      <c r="AD1153" t="s">
        <v>425</v>
      </c>
      <c r="AE1153" t="s">
        <v>137</v>
      </c>
      <c r="AF1153">
        <v>2</v>
      </c>
      <c r="AG1153" s="122">
        <v>236</v>
      </c>
      <c r="AH1153" s="122">
        <v>567</v>
      </c>
      <c r="AI1153" s="122">
        <v>35295</v>
      </c>
      <c r="AJ1153" s="122">
        <v>32086</v>
      </c>
      <c r="AK1153">
        <v>85</v>
      </c>
      <c r="AL1153" s="122">
        <v>10719</v>
      </c>
      <c r="AM1153" s="122">
        <v>9745</v>
      </c>
      <c r="AN1153" s="122">
        <v>5497</v>
      </c>
      <c r="AO1153" s="122">
        <v>2036</v>
      </c>
      <c r="AP1153" s="122">
        <v>945</v>
      </c>
      <c r="AQ1153" s="122">
        <v>350</v>
      </c>
      <c r="AR1153" s="122">
        <v>12755</v>
      </c>
      <c r="AS1153" s="122">
        <v>11596</v>
      </c>
      <c r="AT1153" s="122">
        <v>2342</v>
      </c>
      <c r="AU1153">
        <v>867</v>
      </c>
      <c r="AV1153" s="122">
        <v>56680</v>
      </c>
    </row>
    <row r="1154" spans="2:48" hidden="1">
      <c r="B1154" t="s">
        <v>369</v>
      </c>
      <c r="C1154" t="s">
        <v>58</v>
      </c>
      <c r="F1154" s="122">
        <v>1</v>
      </c>
      <c r="G1154" s="122">
        <v>280</v>
      </c>
      <c r="H1154" s="122">
        <v>241</v>
      </c>
      <c r="I1154" s="122"/>
      <c r="J1154" s="122">
        <v>0</v>
      </c>
      <c r="K1154" s="122"/>
      <c r="L1154" s="122"/>
      <c r="M1154" s="122">
        <v>0</v>
      </c>
      <c r="N1154" s="122">
        <v>5697</v>
      </c>
      <c r="O1154" s="122">
        <v>2110</v>
      </c>
      <c r="P1154" s="122">
        <v>1674</v>
      </c>
      <c r="Q1154" s="122">
        <v>620</v>
      </c>
      <c r="R1154" s="122"/>
      <c r="S1154" s="122">
        <v>0</v>
      </c>
      <c r="T1154" s="122">
        <v>0</v>
      </c>
      <c r="U1154" s="122">
        <v>0</v>
      </c>
      <c r="V1154" s="122">
        <v>2730</v>
      </c>
      <c r="W1154" s="122">
        <f t="shared" si="34"/>
        <v>2730</v>
      </c>
      <c r="X1154" s="122">
        <f t="shared" si="35"/>
        <v>7371</v>
      </c>
      <c r="AA1154" t="s">
        <v>58</v>
      </c>
      <c r="AB1154" t="s">
        <v>425</v>
      </c>
      <c r="AC1154" t="s">
        <v>427</v>
      </c>
      <c r="AD1154" t="s">
        <v>425</v>
      </c>
      <c r="AE1154" t="s">
        <v>566</v>
      </c>
      <c r="AF1154">
        <v>7</v>
      </c>
      <c r="AG1154" s="122">
        <v>1016</v>
      </c>
      <c r="AH1154" s="122">
        <v>1889</v>
      </c>
      <c r="AI1154" s="122">
        <v>161867</v>
      </c>
      <c r="AJ1154" s="122">
        <v>147152</v>
      </c>
      <c r="AK1154">
        <v>78</v>
      </c>
      <c r="AL1154" s="122">
        <v>41657</v>
      </c>
      <c r="AM1154" s="122">
        <v>37870</v>
      </c>
      <c r="AN1154" s="122">
        <v>20704</v>
      </c>
      <c r="AO1154" s="122">
        <v>7668</v>
      </c>
      <c r="AP1154" s="122">
        <v>3416</v>
      </c>
      <c r="AQ1154" s="122">
        <v>1265</v>
      </c>
      <c r="AR1154" s="122">
        <v>45554</v>
      </c>
      <c r="AS1154" s="122">
        <v>41413</v>
      </c>
      <c r="AT1154" s="122">
        <v>0</v>
      </c>
      <c r="AU1154" s="122">
        <v>0</v>
      </c>
      <c r="AV1154" s="122">
        <v>235369</v>
      </c>
    </row>
    <row r="1155" spans="2:48" hidden="1">
      <c r="B1155" t="s">
        <v>369</v>
      </c>
      <c r="C1155" t="s">
        <v>58</v>
      </c>
      <c r="D1155" t="s">
        <v>425</v>
      </c>
      <c r="E1155" t="s">
        <v>425</v>
      </c>
      <c r="F1155" s="122">
        <v>10</v>
      </c>
      <c r="G1155" s="122">
        <v>1296</v>
      </c>
      <c r="H1155" s="122">
        <v>2546</v>
      </c>
      <c r="I1155" s="122">
        <v>199760</v>
      </c>
      <c r="J1155" s="122">
        <v>181600</v>
      </c>
      <c r="K1155" s="122">
        <v>80</v>
      </c>
      <c r="L1155" s="122">
        <v>42834</v>
      </c>
      <c r="M1155" s="122">
        <v>38940</v>
      </c>
      <c r="N1155" s="122">
        <v>30093</v>
      </c>
      <c r="O1155" s="122">
        <v>11146</v>
      </c>
      <c r="P1155" s="122">
        <v>4874</v>
      </c>
      <c r="Q1155" s="122">
        <v>1805</v>
      </c>
      <c r="R1155" s="122">
        <v>58707</v>
      </c>
      <c r="S1155" s="122">
        <v>53370</v>
      </c>
      <c r="T1155" s="122">
        <v>6598</v>
      </c>
      <c r="U1155" s="122">
        <v>2444</v>
      </c>
      <c r="V1155" s="122">
        <v>289304</v>
      </c>
      <c r="W1155" s="122">
        <f t="shared" si="34"/>
        <v>289305</v>
      </c>
      <c r="X1155" s="122">
        <f t="shared" si="35"/>
        <v>342866</v>
      </c>
      <c r="AA1155" t="s">
        <v>58</v>
      </c>
      <c r="AB1155" t="s">
        <v>425</v>
      </c>
      <c r="AC1155" t="s">
        <v>427</v>
      </c>
      <c r="AD1155" t="s">
        <v>406</v>
      </c>
      <c r="AE1155" t="s">
        <v>137</v>
      </c>
      <c r="AF1155">
        <v>4</v>
      </c>
      <c r="AG1155">
        <v>496</v>
      </c>
      <c r="AH1155" s="122">
        <v>1071</v>
      </c>
      <c r="AI1155" s="122">
        <v>71872</v>
      </c>
      <c r="AJ1155" s="122">
        <v>65338</v>
      </c>
      <c r="AK1155">
        <v>76</v>
      </c>
      <c r="AL1155" s="122">
        <v>14604</v>
      </c>
      <c r="AM1155" s="122">
        <v>13276</v>
      </c>
      <c r="AN1155" s="122">
        <v>11483</v>
      </c>
      <c r="AO1155" s="122">
        <v>4253</v>
      </c>
      <c r="AP1155" s="122">
        <v>2484</v>
      </c>
      <c r="AQ1155" s="122">
        <v>920</v>
      </c>
      <c r="AR1155" s="122">
        <v>20129</v>
      </c>
      <c r="AS1155" s="122">
        <v>18299</v>
      </c>
      <c r="AT1155" s="122">
        <v>13932</v>
      </c>
      <c r="AU1155" s="122">
        <v>5160</v>
      </c>
      <c r="AV1155" s="122">
        <v>107246</v>
      </c>
    </row>
    <row r="1156" spans="2:48" hidden="1">
      <c r="B1156" t="s">
        <v>369</v>
      </c>
      <c r="C1156" t="s">
        <v>58</v>
      </c>
      <c r="D1156" t="s">
        <v>405</v>
      </c>
      <c r="E1156" t="s">
        <v>405</v>
      </c>
      <c r="F1156" s="122">
        <v>94</v>
      </c>
      <c r="G1156" s="122">
        <v>12912</v>
      </c>
      <c r="H1156" s="122">
        <v>24729</v>
      </c>
      <c r="I1156" s="122">
        <v>2109507</v>
      </c>
      <c r="J1156" s="122">
        <v>1917733</v>
      </c>
      <c r="K1156" s="122">
        <v>78</v>
      </c>
      <c r="L1156" s="122">
        <v>446736</v>
      </c>
      <c r="M1156" s="122">
        <v>391188</v>
      </c>
      <c r="N1156" s="122">
        <v>273668</v>
      </c>
      <c r="O1156" s="122">
        <v>101358</v>
      </c>
      <c r="P1156" s="122">
        <v>46602</v>
      </c>
      <c r="Q1156" s="122">
        <v>17260</v>
      </c>
      <c r="R1156" s="122">
        <v>555513</v>
      </c>
      <c r="S1156" s="122">
        <v>505012</v>
      </c>
      <c r="T1156" s="122">
        <v>78359</v>
      </c>
      <c r="U1156" s="122">
        <v>29022</v>
      </c>
      <c r="V1156" s="122">
        <v>2961574</v>
      </c>
      <c r="W1156" s="122">
        <f t="shared" si="34"/>
        <v>2961573</v>
      </c>
      <c r="X1156" s="122">
        <f t="shared" si="35"/>
        <v>3510385</v>
      </c>
      <c r="AA1156" t="s">
        <v>58</v>
      </c>
      <c r="AB1156" t="s">
        <v>425</v>
      </c>
      <c r="AC1156" t="s">
        <v>427</v>
      </c>
      <c r="AD1156" t="s">
        <v>406</v>
      </c>
      <c r="AE1156" t="s">
        <v>566</v>
      </c>
      <c r="AF1156">
        <v>4</v>
      </c>
      <c r="AG1156">
        <v>452</v>
      </c>
      <c r="AH1156" s="122">
        <v>1025</v>
      </c>
      <c r="AI1156" s="122">
        <v>64093</v>
      </c>
      <c r="AJ1156" s="122">
        <v>58266</v>
      </c>
      <c r="AK1156">
        <v>88</v>
      </c>
      <c r="AL1156" s="122">
        <v>18236</v>
      </c>
      <c r="AM1156" s="122">
        <v>16578</v>
      </c>
      <c r="AN1156" s="122">
        <v>9363</v>
      </c>
      <c r="AO1156" s="122">
        <v>3468</v>
      </c>
      <c r="AP1156" s="122">
        <v>3186</v>
      </c>
      <c r="AQ1156" s="122">
        <v>1180</v>
      </c>
      <c r="AR1156" s="122">
        <v>22120</v>
      </c>
      <c r="AS1156" s="122">
        <v>20109</v>
      </c>
      <c r="AT1156" s="122">
        <v>0</v>
      </c>
      <c r="AU1156" s="122">
        <v>0</v>
      </c>
      <c r="AV1156" s="122">
        <v>99601</v>
      </c>
    </row>
    <row r="1157" spans="2:48" hidden="1">
      <c r="B1157" t="s">
        <v>369</v>
      </c>
      <c r="C1157" t="s">
        <v>58</v>
      </c>
      <c r="D1157" t="s">
        <v>405</v>
      </c>
      <c r="E1157" t="s">
        <v>137</v>
      </c>
      <c r="F1157" s="122">
        <v>2</v>
      </c>
      <c r="G1157" s="122">
        <v>276</v>
      </c>
      <c r="H1157" s="122">
        <v>482</v>
      </c>
      <c r="I1157" s="122">
        <v>34176</v>
      </c>
      <c r="J1157" s="122">
        <v>31069</v>
      </c>
      <c r="K1157" s="122">
        <v>82</v>
      </c>
      <c r="L1157" s="122">
        <v>9886</v>
      </c>
      <c r="M1157" s="122">
        <v>8987</v>
      </c>
      <c r="N1157" s="122">
        <v>6720</v>
      </c>
      <c r="O1157" s="122">
        <v>2489</v>
      </c>
      <c r="P1157" s="122">
        <v>945</v>
      </c>
      <c r="Q1157" s="122">
        <v>350</v>
      </c>
      <c r="R1157" s="122">
        <v>14782</v>
      </c>
      <c r="S1157" s="122">
        <v>5475</v>
      </c>
      <c r="T1157" s="122">
        <v>0</v>
      </c>
      <c r="U1157" s="122">
        <v>0</v>
      </c>
      <c r="V1157" s="122">
        <v>48370</v>
      </c>
      <c r="W1157" s="122">
        <f t="shared" si="34"/>
        <v>48370</v>
      </c>
      <c r="X1157" s="122">
        <f t="shared" si="35"/>
        <v>66509</v>
      </c>
      <c r="AA1157" t="s">
        <v>58</v>
      </c>
      <c r="AB1157" t="s">
        <v>425</v>
      </c>
      <c r="AC1157" t="s">
        <v>579</v>
      </c>
      <c r="AD1157" t="s">
        <v>425</v>
      </c>
      <c r="AE1157" t="s">
        <v>137</v>
      </c>
      <c r="AF1157">
        <v>2</v>
      </c>
      <c r="AG1157">
        <v>316</v>
      </c>
      <c r="AH1157">
        <v>584</v>
      </c>
      <c r="AI1157" s="122">
        <v>53827</v>
      </c>
      <c r="AJ1157" s="122">
        <v>48933</v>
      </c>
      <c r="AK1157">
        <v>83</v>
      </c>
      <c r="AL1157" s="122">
        <v>17347</v>
      </c>
      <c r="AM1157" s="122">
        <v>14456</v>
      </c>
      <c r="AN1157" s="122">
        <v>6150</v>
      </c>
      <c r="AO1157" s="122">
        <v>2278</v>
      </c>
      <c r="AP1157">
        <v>945</v>
      </c>
      <c r="AQ1157">
        <v>350</v>
      </c>
      <c r="AR1157" s="122">
        <v>10775</v>
      </c>
      <c r="AS1157" s="122">
        <v>9795</v>
      </c>
      <c r="AT1157" s="122">
        <v>3418</v>
      </c>
      <c r="AU1157" s="122">
        <v>1266</v>
      </c>
      <c r="AV1157" s="122">
        <v>77078</v>
      </c>
    </row>
    <row r="1158" spans="2:48" hidden="1">
      <c r="B1158" t="s">
        <v>369</v>
      </c>
      <c r="C1158" t="s">
        <v>58</v>
      </c>
      <c r="D1158" t="s">
        <v>137</v>
      </c>
      <c r="E1158" t="s">
        <v>405</v>
      </c>
      <c r="F1158" s="122">
        <v>1</v>
      </c>
      <c r="G1158" s="122">
        <v>129</v>
      </c>
      <c r="H1158" s="122">
        <v>280</v>
      </c>
      <c r="I1158" s="122">
        <v>26221</v>
      </c>
      <c r="J1158" s="122">
        <v>9711</v>
      </c>
      <c r="K1158" s="122">
        <v>250</v>
      </c>
      <c r="L1158" s="122">
        <v>2300</v>
      </c>
      <c r="M1158" s="122">
        <v>2091</v>
      </c>
      <c r="N1158" s="122">
        <v>2163</v>
      </c>
      <c r="O1158" s="122">
        <v>801</v>
      </c>
      <c r="P1158" s="122">
        <v>824</v>
      </c>
      <c r="Q1158" s="122">
        <v>305</v>
      </c>
      <c r="R1158" s="122">
        <v>4569</v>
      </c>
      <c r="S1158" s="122">
        <v>4153</v>
      </c>
      <c r="T1158" s="122">
        <v>0</v>
      </c>
      <c r="U1158" s="122">
        <v>0</v>
      </c>
      <c r="V1158" s="122">
        <v>17062</v>
      </c>
      <c r="W1158" s="122">
        <f t="shared" si="34"/>
        <v>17061</v>
      </c>
      <c r="X1158" s="122">
        <f t="shared" si="35"/>
        <v>36077</v>
      </c>
      <c r="AA1158" t="s">
        <v>58</v>
      </c>
      <c r="AB1158" t="s">
        <v>425</v>
      </c>
      <c r="AC1158" t="s">
        <v>579</v>
      </c>
      <c r="AD1158" t="s">
        <v>425</v>
      </c>
      <c r="AE1158" t="s">
        <v>566</v>
      </c>
      <c r="AF1158">
        <v>2</v>
      </c>
      <c r="AG1158">
        <v>356</v>
      </c>
      <c r="AH1158">
        <v>501</v>
      </c>
      <c r="AI1158" s="122">
        <v>52576</v>
      </c>
      <c r="AJ1158" s="122">
        <v>47796</v>
      </c>
      <c r="AK1158">
        <v>67</v>
      </c>
      <c r="AL1158" s="122">
        <v>10458</v>
      </c>
      <c r="AM1158" s="122">
        <v>8715</v>
      </c>
      <c r="AN1158" s="122">
        <v>7670</v>
      </c>
      <c r="AO1158" s="122">
        <v>2841</v>
      </c>
      <c r="AP1158" s="122">
        <v>945</v>
      </c>
      <c r="AQ1158">
        <v>350</v>
      </c>
      <c r="AR1158" s="122">
        <v>17642</v>
      </c>
      <c r="AS1158" s="122">
        <v>16038</v>
      </c>
      <c r="AT1158" s="122">
        <v>0</v>
      </c>
      <c r="AU1158" s="122">
        <v>0</v>
      </c>
      <c r="AV1158" s="122">
        <v>75741</v>
      </c>
    </row>
    <row r="1159" spans="2:48" hidden="1">
      <c r="B1159" t="s">
        <v>369</v>
      </c>
      <c r="C1159" t="s">
        <v>58</v>
      </c>
      <c r="D1159" t="s">
        <v>137</v>
      </c>
      <c r="E1159" t="s">
        <v>137</v>
      </c>
      <c r="F1159" s="122">
        <v>181</v>
      </c>
      <c r="G1159" s="122">
        <v>24147</v>
      </c>
      <c r="H1159" s="122">
        <v>48694</v>
      </c>
      <c r="I1159" s="122">
        <v>4204577</v>
      </c>
      <c r="J1159" s="122">
        <v>1557251</v>
      </c>
      <c r="K1159" s="122">
        <v>102</v>
      </c>
      <c r="L1159" s="122">
        <v>621036</v>
      </c>
      <c r="M1159" s="122">
        <v>474512</v>
      </c>
      <c r="N1159" s="122">
        <v>508833</v>
      </c>
      <c r="O1159" s="122">
        <v>188457</v>
      </c>
      <c r="P1159" s="122">
        <v>5805</v>
      </c>
      <c r="Q1159" s="122">
        <v>2150</v>
      </c>
      <c r="R1159" s="122">
        <v>1527979</v>
      </c>
      <c r="S1159" s="122">
        <v>565918</v>
      </c>
      <c r="T1159" s="122">
        <v>2484</v>
      </c>
      <c r="U1159" s="122">
        <v>920</v>
      </c>
      <c r="V1159" s="122">
        <v>2789208</v>
      </c>
      <c r="W1159" s="122">
        <f t="shared" ref="W1159:W1222" si="36">SUM(ABS(J1159),ABS(M1159),ABS(O1159),ABS(Q1159),ABS(S1159),ABS(U1159))</f>
        <v>2789208</v>
      </c>
      <c r="X1159" s="122">
        <f t="shared" ref="X1159:X1222" si="37">SUM(ABS(I1159),ABS(N1159),ABS(P1159),ABS(R1159),ABS(T1159),ABS(L1159))</f>
        <v>6870714</v>
      </c>
      <c r="AA1159" t="s">
        <v>58</v>
      </c>
      <c r="AB1159" t="s">
        <v>425</v>
      </c>
      <c r="AC1159" t="s">
        <v>579</v>
      </c>
      <c r="AD1159" t="s">
        <v>406</v>
      </c>
      <c r="AE1159" t="s">
        <v>137</v>
      </c>
      <c r="AF1159">
        <v>3</v>
      </c>
      <c r="AG1159">
        <v>422</v>
      </c>
      <c r="AH1159">
        <v>817</v>
      </c>
      <c r="AI1159" s="122">
        <v>63018</v>
      </c>
      <c r="AJ1159" s="122">
        <v>57289</v>
      </c>
      <c r="AK1159">
        <v>76</v>
      </c>
      <c r="AL1159" s="122">
        <v>17906</v>
      </c>
      <c r="AM1159" s="122">
        <v>14922</v>
      </c>
      <c r="AN1159" s="122">
        <v>7195</v>
      </c>
      <c r="AO1159" s="122">
        <v>2665</v>
      </c>
      <c r="AP1159" s="122">
        <v>1863</v>
      </c>
      <c r="AQ1159">
        <v>690</v>
      </c>
      <c r="AR1159" s="122">
        <v>15228</v>
      </c>
      <c r="AS1159" s="122">
        <v>13843</v>
      </c>
      <c r="AT1159" s="122">
        <v>9732</v>
      </c>
      <c r="AU1159" s="122">
        <v>3604</v>
      </c>
      <c r="AV1159" s="122">
        <v>93013</v>
      </c>
    </row>
    <row r="1160" spans="2:48" hidden="1">
      <c r="B1160" t="s">
        <v>369</v>
      </c>
      <c r="C1160" t="s">
        <v>58</v>
      </c>
      <c r="D1160" t="s">
        <v>137</v>
      </c>
      <c r="E1160" t="s">
        <v>406</v>
      </c>
      <c r="F1160" s="122">
        <v>1</v>
      </c>
      <c r="G1160" s="122">
        <v>33</v>
      </c>
      <c r="H1160" s="122">
        <v>282</v>
      </c>
      <c r="I1160" s="122">
        <v>4978</v>
      </c>
      <c r="J1160" s="122">
        <v>1844</v>
      </c>
      <c r="K1160" s="122">
        <v>100</v>
      </c>
      <c r="L1160" s="122">
        <v>0</v>
      </c>
      <c r="M1160" s="122">
        <v>0</v>
      </c>
      <c r="N1160" s="122">
        <v>398</v>
      </c>
      <c r="O1160" s="122">
        <v>147</v>
      </c>
      <c r="P1160" s="122">
        <v>0</v>
      </c>
      <c r="Q1160" s="122">
        <v>0</v>
      </c>
      <c r="R1160" s="122">
        <v>3822</v>
      </c>
      <c r="S1160" s="122">
        <v>3475</v>
      </c>
      <c r="T1160" s="122">
        <v>0</v>
      </c>
      <c r="U1160" s="122">
        <v>0</v>
      </c>
      <c r="V1160" s="122">
        <v>5466</v>
      </c>
      <c r="W1160" s="122">
        <f t="shared" si="36"/>
        <v>5466</v>
      </c>
      <c r="X1160" s="122">
        <f t="shared" si="37"/>
        <v>9198</v>
      </c>
      <c r="AA1160" t="s">
        <v>58</v>
      </c>
      <c r="AB1160" t="s">
        <v>425</v>
      </c>
      <c r="AC1160" t="s">
        <v>579</v>
      </c>
      <c r="AD1160" t="s">
        <v>406</v>
      </c>
      <c r="AE1160" t="s">
        <v>566</v>
      </c>
      <c r="AF1160">
        <v>3</v>
      </c>
      <c r="AG1160">
        <v>323</v>
      </c>
      <c r="AH1160">
        <v>759</v>
      </c>
      <c r="AI1160" s="122">
        <v>54206</v>
      </c>
      <c r="AJ1160" s="122">
        <v>49278</v>
      </c>
      <c r="AK1160">
        <v>79</v>
      </c>
      <c r="AL1160" s="122">
        <v>11534</v>
      </c>
      <c r="AM1160" s="122">
        <v>9612</v>
      </c>
      <c r="AN1160" s="122">
        <v>7948</v>
      </c>
      <c r="AO1160" s="122">
        <v>2944</v>
      </c>
      <c r="AP1160" s="122">
        <v>2214</v>
      </c>
      <c r="AQ1160">
        <v>820</v>
      </c>
      <c r="AR1160" s="122">
        <v>18420</v>
      </c>
      <c r="AS1160" s="122">
        <v>16746</v>
      </c>
      <c r="AT1160" s="122">
        <v>0</v>
      </c>
      <c r="AU1160">
        <v>0</v>
      </c>
      <c r="AV1160" s="122">
        <v>79399</v>
      </c>
    </row>
    <row r="1161" spans="2:48" hidden="1">
      <c r="B1161" t="s">
        <v>369</v>
      </c>
      <c r="C1161" t="s">
        <v>58</v>
      </c>
      <c r="D1161" t="s">
        <v>137</v>
      </c>
      <c r="E1161" t="s">
        <v>426</v>
      </c>
      <c r="F1161" s="122">
        <v>1</v>
      </c>
      <c r="G1161" s="122">
        <v>34</v>
      </c>
      <c r="H1161" s="122">
        <v>256</v>
      </c>
      <c r="I1161" s="122">
        <v>5090</v>
      </c>
      <c r="J1161" s="122">
        <v>1885</v>
      </c>
      <c r="K1161" s="122">
        <v>250</v>
      </c>
      <c r="L1161" s="122">
        <v>886</v>
      </c>
      <c r="M1161" s="122">
        <v>806</v>
      </c>
      <c r="N1161" s="122">
        <v>417</v>
      </c>
      <c r="O1161" s="122">
        <v>154</v>
      </c>
      <c r="P1161" s="122">
        <v>136</v>
      </c>
      <c r="Q1161" s="122">
        <v>50</v>
      </c>
      <c r="R1161" s="122">
        <v>1666</v>
      </c>
      <c r="S1161" s="122">
        <v>1515</v>
      </c>
      <c r="T1161" s="122">
        <v>549</v>
      </c>
      <c r="U1161" s="122">
        <v>203</v>
      </c>
      <c r="V1161" s="122">
        <v>4613</v>
      </c>
      <c r="W1161" s="122">
        <f t="shared" si="36"/>
        <v>4613</v>
      </c>
      <c r="X1161" s="122">
        <f t="shared" si="37"/>
        <v>8744</v>
      </c>
      <c r="AA1161" t="s">
        <v>58</v>
      </c>
      <c r="AB1161" t="s">
        <v>425</v>
      </c>
      <c r="AC1161" t="s">
        <v>579</v>
      </c>
      <c r="AD1161" t="s">
        <v>579</v>
      </c>
      <c r="AE1161" t="s">
        <v>137</v>
      </c>
      <c r="AF1161">
        <v>1</v>
      </c>
      <c r="AG1161" s="122">
        <v>86</v>
      </c>
      <c r="AH1161" s="122">
        <v>233</v>
      </c>
      <c r="AI1161" s="122">
        <v>9856</v>
      </c>
      <c r="AJ1161" s="122">
        <v>8960</v>
      </c>
      <c r="AK1161">
        <v>63</v>
      </c>
      <c r="AL1161" s="122">
        <v>2509</v>
      </c>
      <c r="AM1161" s="122">
        <v>2091</v>
      </c>
      <c r="AN1161" s="122">
        <v>1054</v>
      </c>
      <c r="AO1161" s="122">
        <v>390</v>
      </c>
      <c r="AP1161" s="122">
        <v>0</v>
      </c>
      <c r="AQ1161" s="122">
        <v>0</v>
      </c>
      <c r="AR1161" s="122">
        <v>4253</v>
      </c>
      <c r="AS1161" s="122">
        <v>3544</v>
      </c>
      <c r="AT1161" s="122">
        <v>2520</v>
      </c>
      <c r="AU1161" s="122">
        <v>933</v>
      </c>
      <c r="AV1161" s="122">
        <v>15918</v>
      </c>
    </row>
    <row r="1162" spans="2:48" hidden="1">
      <c r="B1162" t="s">
        <v>369</v>
      </c>
      <c r="C1162" t="s">
        <v>58</v>
      </c>
      <c r="D1162" t="s">
        <v>406</v>
      </c>
      <c r="E1162" t="s">
        <v>425</v>
      </c>
      <c r="F1162" s="122">
        <v>3</v>
      </c>
      <c r="G1162" s="122">
        <v>490</v>
      </c>
      <c r="H1162" s="122">
        <v>830</v>
      </c>
      <c r="I1162" s="122">
        <v>87582</v>
      </c>
      <c r="J1162" s="122">
        <v>79620</v>
      </c>
      <c r="K1162" s="122">
        <v>73</v>
      </c>
      <c r="L1162" s="122">
        <v>14044</v>
      </c>
      <c r="M1162" s="122">
        <v>12767</v>
      </c>
      <c r="N1162" s="122">
        <v>9194</v>
      </c>
      <c r="O1162" s="122">
        <v>3405</v>
      </c>
      <c r="P1162" s="122">
        <v>1863</v>
      </c>
      <c r="Q1162" s="122">
        <v>690</v>
      </c>
      <c r="R1162" s="122">
        <v>23499</v>
      </c>
      <c r="S1162" s="122">
        <v>21362</v>
      </c>
      <c r="T1162" s="122">
        <v>0</v>
      </c>
      <c r="U1162" s="122">
        <v>0</v>
      </c>
      <c r="V1162" s="122">
        <v>117845</v>
      </c>
      <c r="W1162" s="122">
        <f t="shared" si="36"/>
        <v>117844</v>
      </c>
      <c r="X1162" s="122">
        <f t="shared" si="37"/>
        <v>136182</v>
      </c>
      <c r="AA1162" t="s">
        <v>58</v>
      </c>
      <c r="AB1162" t="s">
        <v>425</v>
      </c>
      <c r="AC1162" t="s">
        <v>426</v>
      </c>
      <c r="AD1162" t="s">
        <v>425</v>
      </c>
      <c r="AE1162" t="s">
        <v>137</v>
      </c>
      <c r="AF1162">
        <v>25</v>
      </c>
      <c r="AG1162" s="122">
        <v>3328</v>
      </c>
      <c r="AH1162" s="122">
        <v>6654</v>
      </c>
      <c r="AI1162" s="122">
        <v>533534</v>
      </c>
      <c r="AJ1162" s="122">
        <v>485031</v>
      </c>
      <c r="AK1162">
        <v>78</v>
      </c>
      <c r="AL1162" s="122">
        <v>110275</v>
      </c>
      <c r="AM1162" s="122">
        <v>100250</v>
      </c>
      <c r="AN1162" s="122">
        <v>73446</v>
      </c>
      <c r="AO1162" s="122">
        <v>27202</v>
      </c>
      <c r="AP1162" s="122">
        <v>11921</v>
      </c>
      <c r="AQ1162" s="122">
        <v>4415</v>
      </c>
      <c r="AR1162" s="122">
        <v>125968</v>
      </c>
      <c r="AS1162" s="122">
        <v>114517</v>
      </c>
      <c r="AT1162" s="122">
        <v>61135</v>
      </c>
      <c r="AU1162" s="122">
        <v>22643</v>
      </c>
      <c r="AV1162" s="122">
        <v>754057</v>
      </c>
    </row>
    <row r="1163" spans="2:48" hidden="1">
      <c r="B1163" t="s">
        <v>369</v>
      </c>
      <c r="C1163" t="s">
        <v>58</v>
      </c>
      <c r="D1163" t="s">
        <v>406</v>
      </c>
      <c r="E1163" t="s">
        <v>405</v>
      </c>
      <c r="F1163" s="122">
        <v>1</v>
      </c>
      <c r="G1163" s="122">
        <v>178</v>
      </c>
      <c r="H1163" s="122">
        <v>291</v>
      </c>
      <c r="I1163" s="122">
        <v>28271</v>
      </c>
      <c r="J1163" s="122">
        <v>25701</v>
      </c>
      <c r="K1163" s="122">
        <v>86</v>
      </c>
      <c r="L1163" s="122">
        <v>8502</v>
      </c>
      <c r="M1163" s="122">
        <v>7729</v>
      </c>
      <c r="N1163" s="122">
        <v>4344</v>
      </c>
      <c r="O1163" s="122">
        <v>1609</v>
      </c>
      <c r="P1163" s="122">
        <v>621</v>
      </c>
      <c r="Q1163" s="122">
        <v>230</v>
      </c>
      <c r="R1163" s="122">
        <v>10077</v>
      </c>
      <c r="S1163" s="122">
        <v>9161</v>
      </c>
      <c r="T1163" s="122">
        <v>0</v>
      </c>
      <c r="U1163" s="122">
        <v>0</v>
      </c>
      <c r="V1163" s="122">
        <v>44430</v>
      </c>
      <c r="W1163" s="122">
        <f t="shared" si="36"/>
        <v>44430</v>
      </c>
      <c r="X1163" s="122">
        <f t="shared" si="37"/>
        <v>51815</v>
      </c>
      <c r="AA1163" t="s">
        <v>58</v>
      </c>
      <c r="AB1163" t="s">
        <v>425</v>
      </c>
      <c r="AC1163" t="s">
        <v>426</v>
      </c>
      <c r="AD1163" t="s">
        <v>425</v>
      </c>
      <c r="AE1163" t="s">
        <v>566</v>
      </c>
      <c r="AF1163">
        <v>21</v>
      </c>
      <c r="AG1163" s="122">
        <v>2451</v>
      </c>
      <c r="AH1163" s="122">
        <v>5423</v>
      </c>
      <c r="AI1163" s="122">
        <v>392170</v>
      </c>
      <c r="AJ1163" s="122">
        <v>356518</v>
      </c>
      <c r="AK1163">
        <v>81</v>
      </c>
      <c r="AL1163" s="122">
        <v>81366</v>
      </c>
      <c r="AM1163" s="122">
        <v>73969</v>
      </c>
      <c r="AN1163" s="122">
        <v>49814</v>
      </c>
      <c r="AO1163" s="122">
        <v>18450</v>
      </c>
      <c r="AP1163" s="122">
        <v>10625</v>
      </c>
      <c r="AQ1163" s="122">
        <v>3935</v>
      </c>
      <c r="AR1163" s="122">
        <v>104858</v>
      </c>
      <c r="AS1163" s="122">
        <v>95325</v>
      </c>
      <c r="AT1163" s="122">
        <v>0</v>
      </c>
      <c r="AU1163" s="122">
        <v>0</v>
      </c>
      <c r="AV1163" s="122">
        <v>548197</v>
      </c>
    </row>
    <row r="1164" spans="2:48" hidden="1">
      <c r="B1164" t="s">
        <v>369</v>
      </c>
      <c r="C1164" t="s">
        <v>58</v>
      </c>
      <c r="D1164" t="s">
        <v>406</v>
      </c>
      <c r="E1164" t="s">
        <v>137</v>
      </c>
      <c r="F1164" s="122">
        <v>13</v>
      </c>
      <c r="G1164" s="122">
        <v>1508</v>
      </c>
      <c r="H1164" s="122">
        <v>3349</v>
      </c>
      <c r="I1164" s="122">
        <v>212865</v>
      </c>
      <c r="J1164" s="122">
        <v>193513</v>
      </c>
      <c r="K1164" s="122">
        <v>86</v>
      </c>
      <c r="L1164" s="122">
        <v>44001</v>
      </c>
      <c r="M1164" s="122">
        <v>34984</v>
      </c>
      <c r="N1164" s="122">
        <v>32547</v>
      </c>
      <c r="O1164" s="122">
        <v>12054</v>
      </c>
      <c r="P1164" s="122">
        <v>8786</v>
      </c>
      <c r="Q1164" s="122">
        <v>3254</v>
      </c>
      <c r="R1164" s="122">
        <v>96728</v>
      </c>
      <c r="S1164" s="122">
        <v>35825</v>
      </c>
      <c r="T1164" s="122">
        <v>0</v>
      </c>
      <c r="U1164" s="122">
        <v>0</v>
      </c>
      <c r="V1164" s="122">
        <v>279631</v>
      </c>
      <c r="W1164" s="122">
        <f t="shared" si="36"/>
        <v>279630</v>
      </c>
      <c r="X1164" s="122">
        <f t="shared" si="37"/>
        <v>394927</v>
      </c>
      <c r="AA1164" t="s">
        <v>58</v>
      </c>
      <c r="AB1164" t="s">
        <v>425</v>
      </c>
      <c r="AC1164" t="s">
        <v>426</v>
      </c>
      <c r="AD1164" t="s">
        <v>405</v>
      </c>
      <c r="AE1164" t="s">
        <v>137</v>
      </c>
      <c r="AF1164">
        <v>2</v>
      </c>
      <c r="AG1164">
        <v>234</v>
      </c>
      <c r="AH1164" s="122">
        <v>552</v>
      </c>
      <c r="AI1164" s="122">
        <v>38282</v>
      </c>
      <c r="AJ1164" s="122">
        <v>34802</v>
      </c>
      <c r="AK1164">
        <v>70</v>
      </c>
      <c r="AL1164" s="122">
        <v>9397</v>
      </c>
      <c r="AM1164" s="122">
        <v>8543</v>
      </c>
      <c r="AN1164" s="122">
        <v>6438</v>
      </c>
      <c r="AO1164" s="122">
        <v>2385</v>
      </c>
      <c r="AP1164" s="122">
        <v>945</v>
      </c>
      <c r="AQ1164" s="122">
        <v>350</v>
      </c>
      <c r="AR1164" s="122">
        <v>11544</v>
      </c>
      <c r="AS1164" s="122">
        <v>10494</v>
      </c>
      <c r="AT1164" s="122">
        <v>7100</v>
      </c>
      <c r="AU1164" s="122">
        <v>2630</v>
      </c>
      <c r="AV1164" s="122">
        <v>59203</v>
      </c>
    </row>
    <row r="1165" spans="2:48" hidden="1">
      <c r="B1165" t="s">
        <v>369</v>
      </c>
      <c r="C1165" t="s">
        <v>58</v>
      </c>
      <c r="D1165" t="s">
        <v>406</v>
      </c>
      <c r="E1165" t="s">
        <v>406</v>
      </c>
      <c r="F1165" s="122">
        <v>2942</v>
      </c>
      <c r="G1165" s="122">
        <v>370148</v>
      </c>
      <c r="H1165" s="122">
        <v>765321</v>
      </c>
      <c r="I1165" s="122">
        <v>56339503</v>
      </c>
      <c r="J1165" s="122">
        <v>51217730</v>
      </c>
      <c r="K1165" s="122">
        <v>80</v>
      </c>
      <c r="L1165" s="122">
        <v>11991772</v>
      </c>
      <c r="M1165" s="122">
        <v>11326818</v>
      </c>
      <c r="N1165" s="122">
        <v>7458920</v>
      </c>
      <c r="O1165" s="122">
        <v>2762563</v>
      </c>
      <c r="P1165" s="122">
        <v>1986971</v>
      </c>
      <c r="Q1165" s="122">
        <v>735915</v>
      </c>
      <c r="R1165" s="122">
        <v>16862762</v>
      </c>
      <c r="S1165" s="122">
        <v>15329784</v>
      </c>
      <c r="T1165" s="122">
        <v>2930387</v>
      </c>
      <c r="U1165" s="122">
        <v>1085328</v>
      </c>
      <c r="V1165" s="122">
        <v>82458138</v>
      </c>
      <c r="W1165" s="122">
        <f t="shared" si="36"/>
        <v>82458138</v>
      </c>
      <c r="X1165" s="122">
        <f t="shared" si="37"/>
        <v>97570315</v>
      </c>
      <c r="AA1165" t="s">
        <v>58</v>
      </c>
      <c r="AB1165" t="s">
        <v>425</v>
      </c>
      <c r="AC1165" t="s">
        <v>426</v>
      </c>
      <c r="AD1165" t="s">
        <v>406</v>
      </c>
      <c r="AE1165" t="s">
        <v>137</v>
      </c>
      <c r="AF1165">
        <v>6</v>
      </c>
      <c r="AG1165">
        <v>672</v>
      </c>
      <c r="AH1165" s="122">
        <v>1563</v>
      </c>
      <c r="AI1165" s="122">
        <v>103712</v>
      </c>
      <c r="AJ1165" s="122">
        <v>94284</v>
      </c>
      <c r="AK1165">
        <v>84</v>
      </c>
      <c r="AL1165" s="122">
        <v>22660</v>
      </c>
      <c r="AM1165" s="122">
        <v>20600</v>
      </c>
      <c r="AN1165" s="122">
        <v>13792</v>
      </c>
      <c r="AO1165" s="122">
        <v>5108</v>
      </c>
      <c r="AP1165" s="122">
        <v>3726</v>
      </c>
      <c r="AQ1165" s="122">
        <v>1380</v>
      </c>
      <c r="AR1165" s="122">
        <v>27013</v>
      </c>
      <c r="AS1165" s="122">
        <v>24557</v>
      </c>
      <c r="AT1165" s="122">
        <v>14476</v>
      </c>
      <c r="AU1165" s="122">
        <v>5361</v>
      </c>
      <c r="AV1165" s="122">
        <v>151290</v>
      </c>
    </row>
    <row r="1166" spans="2:48" hidden="1">
      <c r="B1166" t="s">
        <v>369</v>
      </c>
      <c r="C1166" t="s">
        <v>58</v>
      </c>
      <c r="D1166" t="s">
        <v>406</v>
      </c>
      <c r="E1166" t="s">
        <v>427</v>
      </c>
      <c r="F1166" s="122">
        <v>3</v>
      </c>
      <c r="G1166" s="122">
        <v>364</v>
      </c>
      <c r="H1166" s="122">
        <v>711</v>
      </c>
      <c r="I1166" s="122">
        <v>44372</v>
      </c>
      <c r="J1166" s="122">
        <v>40339</v>
      </c>
      <c r="K1166" s="122">
        <v>77</v>
      </c>
      <c r="L1166" s="122">
        <v>10033</v>
      </c>
      <c r="M1166" s="122">
        <v>9121</v>
      </c>
      <c r="N1166" s="122">
        <v>8777</v>
      </c>
      <c r="O1166" s="122">
        <v>3251</v>
      </c>
      <c r="P1166" s="122">
        <v>1863</v>
      </c>
      <c r="Q1166" s="122">
        <v>690</v>
      </c>
      <c r="R1166" s="122">
        <v>18668</v>
      </c>
      <c r="S1166" s="122">
        <v>16971</v>
      </c>
      <c r="T1166" s="122">
        <v>2523</v>
      </c>
      <c r="U1166" s="122">
        <v>934</v>
      </c>
      <c r="V1166" s="122">
        <v>71306</v>
      </c>
      <c r="W1166" s="122">
        <f t="shared" si="36"/>
        <v>71306</v>
      </c>
      <c r="X1166" s="122">
        <f t="shared" si="37"/>
        <v>86236</v>
      </c>
      <c r="AA1166" t="s">
        <v>58</v>
      </c>
      <c r="AB1166" t="s">
        <v>425</v>
      </c>
      <c r="AC1166" t="s">
        <v>426</v>
      </c>
      <c r="AD1166" t="s">
        <v>406</v>
      </c>
      <c r="AE1166" t="s">
        <v>566</v>
      </c>
      <c r="AF1166">
        <v>3</v>
      </c>
      <c r="AG1166">
        <v>346</v>
      </c>
      <c r="AH1166">
        <v>691</v>
      </c>
      <c r="AI1166" s="122">
        <v>55824</v>
      </c>
      <c r="AJ1166" s="122">
        <v>50749</v>
      </c>
      <c r="AK1166">
        <v>80</v>
      </c>
      <c r="AL1166" s="122">
        <v>9351</v>
      </c>
      <c r="AM1166" s="122">
        <v>8501</v>
      </c>
      <c r="AN1166" s="122">
        <v>5972</v>
      </c>
      <c r="AO1166" s="122">
        <v>2212</v>
      </c>
      <c r="AP1166" s="122">
        <v>1863</v>
      </c>
      <c r="AQ1166">
        <v>690</v>
      </c>
      <c r="AR1166" s="122">
        <v>18463</v>
      </c>
      <c r="AS1166" s="122">
        <v>16785</v>
      </c>
      <c r="AT1166">
        <v>0</v>
      </c>
      <c r="AU1166">
        <v>0</v>
      </c>
      <c r="AV1166" s="122">
        <v>78937</v>
      </c>
    </row>
    <row r="1167" spans="2:48" hidden="1">
      <c r="B1167" t="s">
        <v>369</v>
      </c>
      <c r="C1167" t="s">
        <v>58</v>
      </c>
      <c r="D1167" t="s">
        <v>406</v>
      </c>
      <c r="E1167" t="s">
        <v>428</v>
      </c>
      <c r="F1167" s="122">
        <v>2</v>
      </c>
      <c r="G1167" s="122">
        <v>288</v>
      </c>
      <c r="H1167" s="122">
        <v>483</v>
      </c>
      <c r="I1167" s="122">
        <v>42229</v>
      </c>
      <c r="J1167" s="122">
        <v>38390</v>
      </c>
      <c r="K1167" s="122">
        <v>84</v>
      </c>
      <c r="L1167" s="122">
        <v>8003</v>
      </c>
      <c r="M1167" s="122">
        <v>7275</v>
      </c>
      <c r="N1167" s="122">
        <v>3511</v>
      </c>
      <c r="O1167" s="122">
        <v>1301</v>
      </c>
      <c r="P1167" s="122">
        <v>1242</v>
      </c>
      <c r="Q1167" s="122">
        <v>460</v>
      </c>
      <c r="R1167" s="122">
        <v>8155</v>
      </c>
      <c r="S1167" s="122">
        <v>7414</v>
      </c>
      <c r="T1167" s="122">
        <v>6443</v>
      </c>
      <c r="U1167" s="122">
        <v>2386</v>
      </c>
      <c r="V1167" s="122">
        <v>57227</v>
      </c>
      <c r="W1167" s="122">
        <f t="shared" si="36"/>
        <v>57226</v>
      </c>
      <c r="X1167" s="122">
        <f t="shared" si="37"/>
        <v>69583</v>
      </c>
      <c r="AA1167" t="s">
        <v>58</v>
      </c>
      <c r="AB1167" t="s">
        <v>425</v>
      </c>
      <c r="AC1167" t="s">
        <v>566</v>
      </c>
      <c r="AD1167" t="s">
        <v>405</v>
      </c>
      <c r="AE1167" t="s">
        <v>566</v>
      </c>
      <c r="AF1167">
        <v>1</v>
      </c>
      <c r="AG1167">
        <v>91</v>
      </c>
      <c r="AH1167">
        <v>254</v>
      </c>
      <c r="AI1167" s="122">
        <v>15901</v>
      </c>
      <c r="AJ1167" s="122">
        <v>14456</v>
      </c>
      <c r="AK1167">
        <v>78</v>
      </c>
      <c r="AL1167">
        <v>0</v>
      </c>
      <c r="AM1167">
        <v>0</v>
      </c>
      <c r="AN1167" s="122">
        <v>1504</v>
      </c>
      <c r="AO1167">
        <v>557</v>
      </c>
      <c r="AP1167">
        <v>473</v>
      </c>
      <c r="AQ1167">
        <v>175</v>
      </c>
      <c r="AR1167" s="122">
        <v>5185</v>
      </c>
      <c r="AS1167" s="122">
        <v>4714</v>
      </c>
      <c r="AT1167">
        <v>0</v>
      </c>
      <c r="AU1167">
        <v>0</v>
      </c>
      <c r="AV1167" s="122">
        <v>19902</v>
      </c>
    </row>
    <row r="1168" spans="2:48" hidden="1">
      <c r="B1168" t="s">
        <v>369</v>
      </c>
      <c r="C1168" t="s">
        <v>58</v>
      </c>
      <c r="D1168" t="s">
        <v>406</v>
      </c>
      <c r="E1168" t="s">
        <v>426</v>
      </c>
      <c r="F1168" s="122">
        <v>4</v>
      </c>
      <c r="G1168" s="122">
        <v>639</v>
      </c>
      <c r="H1168" s="122">
        <v>1050</v>
      </c>
      <c r="I1168" s="122">
        <v>87791</v>
      </c>
      <c r="J1168" s="122">
        <v>79810</v>
      </c>
      <c r="K1168" s="122">
        <v>80</v>
      </c>
      <c r="L1168" s="122">
        <v>16907</v>
      </c>
      <c r="M1168" s="122">
        <v>15370</v>
      </c>
      <c r="N1168" s="122">
        <v>13282</v>
      </c>
      <c r="O1168" s="122">
        <v>4919</v>
      </c>
      <c r="P1168" s="122">
        <v>3186</v>
      </c>
      <c r="Q1168" s="122">
        <v>1180</v>
      </c>
      <c r="R1168" s="122">
        <v>36512</v>
      </c>
      <c r="S1168" s="122">
        <v>33193</v>
      </c>
      <c r="T1168" s="122">
        <v>10296</v>
      </c>
      <c r="U1168" s="122">
        <v>3813</v>
      </c>
      <c r="V1168" s="122">
        <v>138285</v>
      </c>
      <c r="W1168" s="122">
        <f t="shared" si="36"/>
        <v>138285</v>
      </c>
      <c r="X1168" s="122">
        <f t="shared" si="37"/>
        <v>167974</v>
      </c>
      <c r="AA1168" t="s">
        <v>58</v>
      </c>
      <c r="AB1168" t="s">
        <v>425</v>
      </c>
      <c r="AC1168" t="s">
        <v>566</v>
      </c>
      <c r="AD1168" t="s">
        <v>406</v>
      </c>
      <c r="AE1168" t="s">
        <v>566</v>
      </c>
      <c r="AF1168">
        <v>1</v>
      </c>
      <c r="AG1168">
        <v>81</v>
      </c>
      <c r="AH1168">
        <v>226</v>
      </c>
      <c r="AI1168" s="122">
        <v>11501</v>
      </c>
      <c r="AJ1168" s="122">
        <v>10455</v>
      </c>
      <c r="AK1168">
        <v>93</v>
      </c>
      <c r="AL1168" s="122">
        <v>0</v>
      </c>
      <c r="AM1168" s="122">
        <v>0</v>
      </c>
      <c r="AN1168" s="122">
        <v>1552</v>
      </c>
      <c r="AO1168">
        <v>575</v>
      </c>
      <c r="AP1168">
        <v>621</v>
      </c>
      <c r="AQ1168">
        <v>230</v>
      </c>
      <c r="AR1168" s="122">
        <v>4557</v>
      </c>
      <c r="AS1168" s="122">
        <v>4143</v>
      </c>
      <c r="AT1168">
        <v>0</v>
      </c>
      <c r="AU1168">
        <v>0</v>
      </c>
      <c r="AV1168" s="122">
        <v>15403</v>
      </c>
    </row>
    <row r="1169" spans="2:48" hidden="1">
      <c r="B1169" t="s">
        <v>369</v>
      </c>
      <c r="C1169" t="s">
        <v>58</v>
      </c>
      <c r="D1169" t="s">
        <v>427</v>
      </c>
      <c r="E1169" t="s">
        <v>137</v>
      </c>
      <c r="F1169" s="122">
        <v>1</v>
      </c>
      <c r="G1169" s="122">
        <v>112</v>
      </c>
      <c r="H1169" s="122">
        <v>278</v>
      </c>
      <c r="I1169" s="122">
        <v>19831</v>
      </c>
      <c r="J1169" s="122">
        <v>18028</v>
      </c>
      <c r="K1169" s="122">
        <v>55</v>
      </c>
      <c r="L1169" s="122">
        <v>2203</v>
      </c>
      <c r="M1169" s="122">
        <v>2003</v>
      </c>
      <c r="N1169" s="122">
        <v>1362</v>
      </c>
      <c r="O1169" s="122">
        <v>504</v>
      </c>
      <c r="P1169" s="122">
        <v>0</v>
      </c>
      <c r="Q1169" s="122">
        <v>0</v>
      </c>
      <c r="R1169" s="122">
        <v>7645</v>
      </c>
      <c r="S1169" s="122">
        <v>2832</v>
      </c>
      <c r="T1169" s="122">
        <v>0</v>
      </c>
      <c r="U1169" s="122">
        <v>0</v>
      </c>
      <c r="V1169" s="122">
        <v>23367</v>
      </c>
      <c r="W1169" s="122">
        <f t="shared" si="36"/>
        <v>23367</v>
      </c>
      <c r="X1169" s="122">
        <f t="shared" si="37"/>
        <v>31041</v>
      </c>
      <c r="AA1169" t="s">
        <v>58</v>
      </c>
      <c r="AB1169" t="s">
        <v>425</v>
      </c>
      <c r="AC1169" t="s">
        <v>481</v>
      </c>
      <c r="AD1169" t="s">
        <v>425</v>
      </c>
      <c r="AE1169" t="s">
        <v>137</v>
      </c>
      <c r="AF1169">
        <v>1</v>
      </c>
      <c r="AG1169" s="122">
        <v>59</v>
      </c>
      <c r="AH1169" s="122">
        <v>270</v>
      </c>
      <c r="AI1169" s="122">
        <v>9046</v>
      </c>
      <c r="AJ1169" s="122">
        <v>8223</v>
      </c>
      <c r="AK1169">
        <v>93</v>
      </c>
      <c r="AL1169" s="122">
        <v>3122</v>
      </c>
      <c r="AM1169" s="122">
        <v>2839</v>
      </c>
      <c r="AN1169" s="122">
        <v>1444</v>
      </c>
      <c r="AO1169" s="122">
        <v>535</v>
      </c>
      <c r="AP1169" s="122">
        <v>473</v>
      </c>
      <c r="AQ1169" s="122">
        <v>175</v>
      </c>
      <c r="AR1169" s="122">
        <v>1899</v>
      </c>
      <c r="AS1169" s="122">
        <v>1727</v>
      </c>
      <c r="AT1169">
        <v>0</v>
      </c>
      <c r="AU1169">
        <v>0</v>
      </c>
      <c r="AV1169" s="122">
        <v>13498</v>
      </c>
    </row>
    <row r="1170" spans="2:48" hidden="1">
      <c r="B1170" t="s">
        <v>369</v>
      </c>
      <c r="C1170" t="s">
        <v>58</v>
      </c>
      <c r="D1170" t="s">
        <v>427</v>
      </c>
      <c r="E1170" t="s">
        <v>406</v>
      </c>
      <c r="F1170" s="122">
        <v>1</v>
      </c>
      <c r="G1170" s="122">
        <v>131</v>
      </c>
      <c r="H1170" s="122">
        <v>275</v>
      </c>
      <c r="I1170" s="122">
        <v>22838</v>
      </c>
      <c r="J1170" s="122">
        <v>20762</v>
      </c>
      <c r="K1170" s="122">
        <v>65</v>
      </c>
      <c r="L1170" s="122">
        <v>4049</v>
      </c>
      <c r="M1170" s="122">
        <v>1499</v>
      </c>
      <c r="N1170" s="122">
        <v>1595</v>
      </c>
      <c r="O1170" s="122">
        <v>591</v>
      </c>
      <c r="P1170" s="122">
        <v>351</v>
      </c>
      <c r="Q1170" s="122">
        <v>130</v>
      </c>
      <c r="R1170" s="122">
        <v>7222</v>
      </c>
      <c r="S1170" s="122">
        <v>6566</v>
      </c>
      <c r="T1170" s="122">
        <v>0</v>
      </c>
      <c r="U1170" s="122">
        <v>0</v>
      </c>
      <c r="V1170" s="122">
        <v>29548</v>
      </c>
      <c r="W1170" s="122">
        <f t="shared" si="36"/>
        <v>29548</v>
      </c>
      <c r="X1170" s="122">
        <f t="shared" si="37"/>
        <v>36055</v>
      </c>
      <c r="AA1170" t="s">
        <v>58</v>
      </c>
      <c r="AB1170" t="s">
        <v>425</v>
      </c>
      <c r="AC1170" t="s">
        <v>433</v>
      </c>
      <c r="AD1170" t="s">
        <v>425</v>
      </c>
      <c r="AE1170" t="s">
        <v>566</v>
      </c>
      <c r="AF1170">
        <v>7</v>
      </c>
      <c r="AG1170" s="122">
        <v>1000</v>
      </c>
      <c r="AH1170" s="122">
        <v>1781</v>
      </c>
      <c r="AI1170" s="122">
        <v>160896</v>
      </c>
      <c r="AJ1170" s="122">
        <v>146270</v>
      </c>
      <c r="AK1170">
        <v>84</v>
      </c>
      <c r="AL1170" s="122">
        <v>30505</v>
      </c>
      <c r="AM1170" s="122">
        <v>27731</v>
      </c>
      <c r="AN1170" s="122">
        <v>20234</v>
      </c>
      <c r="AO1170" s="122">
        <v>7494</v>
      </c>
      <c r="AP1170" s="122">
        <v>3483</v>
      </c>
      <c r="AQ1170" s="122">
        <v>1290</v>
      </c>
      <c r="AR1170" s="122">
        <v>35402</v>
      </c>
      <c r="AS1170" s="122">
        <v>32183</v>
      </c>
      <c r="AT1170" s="122">
        <v>0</v>
      </c>
      <c r="AU1170" s="122">
        <v>0</v>
      </c>
      <c r="AV1170" s="122">
        <v>214968</v>
      </c>
    </row>
    <row r="1171" spans="2:48" hidden="1">
      <c r="B1171" t="s">
        <v>369</v>
      </c>
      <c r="C1171" t="s">
        <v>58</v>
      </c>
      <c r="D1171" t="s">
        <v>427</v>
      </c>
      <c r="E1171" t="s">
        <v>427</v>
      </c>
      <c r="F1171" s="122">
        <v>2</v>
      </c>
      <c r="G1171" s="122">
        <v>283</v>
      </c>
      <c r="H1171" s="122">
        <v>495</v>
      </c>
      <c r="I1171" s="122">
        <v>38441</v>
      </c>
      <c r="J1171" s="122">
        <v>34947</v>
      </c>
      <c r="K1171" s="122">
        <v>55</v>
      </c>
      <c r="L1171" s="122">
        <v>4564</v>
      </c>
      <c r="M1171" s="122">
        <v>3297</v>
      </c>
      <c r="N1171" s="122">
        <v>4537</v>
      </c>
      <c r="O1171" s="122">
        <v>1680</v>
      </c>
      <c r="P1171" s="122">
        <v>702</v>
      </c>
      <c r="Q1171" s="122">
        <v>260</v>
      </c>
      <c r="R1171" s="122">
        <v>19538</v>
      </c>
      <c r="S1171" s="122">
        <v>17762</v>
      </c>
      <c r="T1171" s="122">
        <v>0</v>
      </c>
      <c r="U1171" s="122">
        <v>0</v>
      </c>
      <c r="V1171" s="122">
        <v>57945</v>
      </c>
      <c r="W1171" s="122">
        <f t="shared" si="36"/>
        <v>57946</v>
      </c>
      <c r="X1171" s="122">
        <f t="shared" si="37"/>
        <v>67782</v>
      </c>
      <c r="AA1171" t="s">
        <v>58</v>
      </c>
      <c r="AB1171" t="s">
        <v>405</v>
      </c>
      <c r="AC1171" t="s">
        <v>578</v>
      </c>
      <c r="AD1171" t="s">
        <v>405</v>
      </c>
      <c r="AE1171" t="s">
        <v>137</v>
      </c>
      <c r="AF1171">
        <v>1</v>
      </c>
      <c r="AG1171">
        <v>161</v>
      </c>
      <c r="AH1171">
        <v>275</v>
      </c>
      <c r="AI1171" s="122">
        <v>29313</v>
      </c>
      <c r="AJ1171" s="122">
        <v>26648</v>
      </c>
      <c r="AK1171">
        <v>92</v>
      </c>
      <c r="AL1171" s="122">
        <v>4394</v>
      </c>
      <c r="AM1171" s="122">
        <v>3995</v>
      </c>
      <c r="AN1171" s="122">
        <v>3126</v>
      </c>
      <c r="AO1171" s="122">
        <v>1158</v>
      </c>
      <c r="AP1171">
        <v>473</v>
      </c>
      <c r="AQ1171">
        <v>175</v>
      </c>
      <c r="AR1171" s="122">
        <v>3989</v>
      </c>
      <c r="AS1171" s="122">
        <v>3627</v>
      </c>
      <c r="AT1171" s="122">
        <v>3142</v>
      </c>
      <c r="AU1171" s="122">
        <v>1164</v>
      </c>
      <c r="AV1171" s="122">
        <v>36766</v>
      </c>
    </row>
    <row r="1172" spans="2:48" hidden="1">
      <c r="B1172" t="s">
        <v>369</v>
      </c>
      <c r="C1172" t="s">
        <v>58</v>
      </c>
      <c r="D1172" t="s">
        <v>407</v>
      </c>
      <c r="E1172" t="s">
        <v>407</v>
      </c>
      <c r="F1172" s="122">
        <v>2</v>
      </c>
      <c r="G1172" s="122">
        <v>281</v>
      </c>
      <c r="H1172" s="122">
        <v>481</v>
      </c>
      <c r="I1172" s="122">
        <v>39441</v>
      </c>
      <c r="J1172" s="122">
        <v>35855</v>
      </c>
      <c r="K1172" s="122">
        <v>73</v>
      </c>
      <c r="L1172" s="122">
        <v>5035</v>
      </c>
      <c r="M1172" s="122">
        <v>4577</v>
      </c>
      <c r="N1172" s="122">
        <v>5233</v>
      </c>
      <c r="O1172" s="122">
        <v>1938</v>
      </c>
      <c r="P1172" s="122">
        <v>945</v>
      </c>
      <c r="Q1172" s="122">
        <v>350</v>
      </c>
      <c r="R1172" s="122">
        <v>10452</v>
      </c>
      <c r="S1172" s="122">
        <v>9502</v>
      </c>
      <c r="T1172" s="122">
        <v>6535</v>
      </c>
      <c r="U1172" s="122">
        <v>2420</v>
      </c>
      <c r="V1172" s="122">
        <v>54643</v>
      </c>
      <c r="W1172" s="122">
        <f t="shared" si="36"/>
        <v>54642</v>
      </c>
      <c r="X1172" s="122">
        <f t="shared" si="37"/>
        <v>67641</v>
      </c>
      <c r="AA1172" t="s">
        <v>58</v>
      </c>
      <c r="AB1172" t="s">
        <v>405</v>
      </c>
      <c r="AC1172" t="s">
        <v>578</v>
      </c>
      <c r="AD1172" t="s">
        <v>405</v>
      </c>
      <c r="AE1172" t="s">
        <v>566</v>
      </c>
      <c r="AF1172">
        <v>1</v>
      </c>
      <c r="AG1172">
        <v>159</v>
      </c>
      <c r="AH1172" s="122">
        <v>229</v>
      </c>
      <c r="AI1172" s="122">
        <v>23153</v>
      </c>
      <c r="AJ1172" s="122">
        <v>21048</v>
      </c>
      <c r="AK1172">
        <v>93</v>
      </c>
      <c r="AL1172" s="122">
        <v>3987</v>
      </c>
      <c r="AM1172" s="122">
        <v>3625</v>
      </c>
      <c r="AN1172" s="122">
        <v>3236</v>
      </c>
      <c r="AO1172" s="122">
        <v>1199</v>
      </c>
      <c r="AP1172" s="122">
        <v>621</v>
      </c>
      <c r="AQ1172" s="122">
        <v>230</v>
      </c>
      <c r="AR1172" s="122">
        <v>5451</v>
      </c>
      <c r="AS1172" s="122">
        <v>4956</v>
      </c>
      <c r="AT1172" s="122">
        <v>0</v>
      </c>
      <c r="AU1172" s="122">
        <v>0</v>
      </c>
      <c r="AV1172" s="122">
        <v>31057</v>
      </c>
    </row>
    <row r="1173" spans="2:48" hidden="1">
      <c r="B1173" t="s">
        <v>369</v>
      </c>
      <c r="C1173" t="s">
        <v>58</v>
      </c>
      <c r="D1173" t="s">
        <v>556</v>
      </c>
      <c r="E1173" t="s">
        <v>556</v>
      </c>
      <c r="F1173" s="122">
        <v>4</v>
      </c>
      <c r="G1173" s="122">
        <v>447</v>
      </c>
      <c r="H1173" s="122">
        <v>1105</v>
      </c>
      <c r="I1173" s="122">
        <v>72237</v>
      </c>
      <c r="J1173" s="122">
        <v>60198</v>
      </c>
      <c r="K1173" s="122">
        <v>69</v>
      </c>
      <c r="L1173" s="122">
        <v>9279</v>
      </c>
      <c r="M1173" s="122">
        <v>7934</v>
      </c>
      <c r="N1173" s="122">
        <v>7912</v>
      </c>
      <c r="O1173" s="122">
        <v>2930</v>
      </c>
      <c r="P1173" s="122">
        <v>2376</v>
      </c>
      <c r="Q1173" s="122">
        <v>880</v>
      </c>
      <c r="R1173" s="122">
        <v>20199</v>
      </c>
      <c r="S1173" s="122">
        <v>16833</v>
      </c>
      <c r="T1173" s="122">
        <v>10996</v>
      </c>
      <c r="U1173" s="122">
        <v>4072</v>
      </c>
      <c r="V1173" s="122">
        <v>92847</v>
      </c>
      <c r="W1173" s="122">
        <f t="shared" si="36"/>
        <v>92847</v>
      </c>
      <c r="X1173" s="122">
        <f t="shared" si="37"/>
        <v>122999</v>
      </c>
      <c r="AA1173" t="s">
        <v>58</v>
      </c>
      <c r="AB1173" t="s">
        <v>405</v>
      </c>
      <c r="AC1173" t="s">
        <v>425</v>
      </c>
      <c r="AD1173" t="s">
        <v>405</v>
      </c>
      <c r="AE1173" t="s">
        <v>137</v>
      </c>
      <c r="AF1173">
        <v>6</v>
      </c>
      <c r="AG1173">
        <v>811</v>
      </c>
      <c r="AH1173" s="122">
        <v>1428</v>
      </c>
      <c r="AI1173" s="122">
        <v>114018</v>
      </c>
      <c r="AJ1173" s="122">
        <v>103652</v>
      </c>
      <c r="AK1173">
        <v>80</v>
      </c>
      <c r="AL1173" s="122">
        <v>26379</v>
      </c>
      <c r="AM1173" s="122">
        <v>23981</v>
      </c>
      <c r="AN1173" s="122">
        <v>13904</v>
      </c>
      <c r="AO1173" s="122">
        <v>5150</v>
      </c>
      <c r="AP1173" s="122">
        <v>2714</v>
      </c>
      <c r="AQ1173" s="122">
        <v>1005</v>
      </c>
      <c r="AR1173" s="122">
        <v>30733</v>
      </c>
      <c r="AS1173" s="122">
        <v>27939</v>
      </c>
      <c r="AT1173" s="122">
        <v>12594</v>
      </c>
      <c r="AU1173" s="122">
        <v>4664</v>
      </c>
      <c r="AV1173" s="122">
        <v>166392</v>
      </c>
    </row>
    <row r="1174" spans="2:48" hidden="1">
      <c r="B1174" t="s">
        <v>369</v>
      </c>
      <c r="C1174" t="s">
        <v>58</v>
      </c>
      <c r="D1174" t="s">
        <v>431</v>
      </c>
      <c r="E1174" t="s">
        <v>431</v>
      </c>
      <c r="F1174" s="122">
        <v>1</v>
      </c>
      <c r="G1174" s="122">
        <v>107</v>
      </c>
      <c r="H1174" s="122">
        <v>298</v>
      </c>
      <c r="I1174" s="122">
        <v>17834</v>
      </c>
      <c r="J1174" s="122">
        <v>16213</v>
      </c>
      <c r="K1174" s="122">
        <v>65</v>
      </c>
      <c r="L1174" s="122">
        <v>4293</v>
      </c>
      <c r="M1174" s="122">
        <v>3903</v>
      </c>
      <c r="N1174" s="122">
        <v>2209</v>
      </c>
      <c r="O1174" s="122">
        <v>818</v>
      </c>
      <c r="P1174" s="122">
        <v>351</v>
      </c>
      <c r="Q1174" s="122">
        <v>130</v>
      </c>
      <c r="R1174" s="122">
        <v>4579</v>
      </c>
      <c r="S1174" s="122">
        <v>4163</v>
      </c>
      <c r="T1174" s="122">
        <v>2511</v>
      </c>
      <c r="U1174" s="122">
        <v>930</v>
      </c>
      <c r="V1174" s="122">
        <v>26158</v>
      </c>
      <c r="W1174" s="122">
        <f t="shared" si="36"/>
        <v>26157</v>
      </c>
      <c r="X1174" s="122">
        <f t="shared" si="37"/>
        <v>31777</v>
      </c>
      <c r="AA1174" t="s">
        <v>58</v>
      </c>
      <c r="AB1174" t="s">
        <v>405</v>
      </c>
      <c r="AC1174" t="s">
        <v>425</v>
      </c>
      <c r="AD1174" t="s">
        <v>405</v>
      </c>
      <c r="AE1174" t="s">
        <v>566</v>
      </c>
      <c r="AF1174">
        <v>1</v>
      </c>
      <c r="AG1174">
        <v>98</v>
      </c>
      <c r="AH1174">
        <v>297</v>
      </c>
      <c r="AI1174" s="122">
        <v>18257</v>
      </c>
      <c r="AJ1174" s="122">
        <v>16598</v>
      </c>
      <c r="AK1174">
        <v>63</v>
      </c>
      <c r="AL1174" s="122">
        <v>2426</v>
      </c>
      <c r="AM1174" s="122">
        <v>2206</v>
      </c>
      <c r="AN1174" s="122">
        <v>2028</v>
      </c>
      <c r="AO1174" s="122">
        <v>751</v>
      </c>
      <c r="AP1174">
        <v>351</v>
      </c>
      <c r="AQ1174">
        <v>130</v>
      </c>
      <c r="AR1174" s="122">
        <v>6020</v>
      </c>
      <c r="AS1174" s="122">
        <v>5473</v>
      </c>
      <c r="AT1174" s="122">
        <v>0</v>
      </c>
      <c r="AU1174" s="122">
        <v>0</v>
      </c>
      <c r="AV1174" s="122">
        <v>25157</v>
      </c>
    </row>
    <row r="1175" spans="2:48" hidden="1">
      <c r="B1175" t="s">
        <v>369</v>
      </c>
      <c r="C1175" t="s">
        <v>58</v>
      </c>
      <c r="D1175" t="s">
        <v>426</v>
      </c>
      <c r="E1175" t="s">
        <v>137</v>
      </c>
      <c r="F1175" s="122">
        <v>4</v>
      </c>
      <c r="G1175" s="122">
        <v>475</v>
      </c>
      <c r="H1175" s="122">
        <v>1003</v>
      </c>
      <c r="I1175" s="122">
        <v>67556</v>
      </c>
      <c r="J1175" s="122">
        <v>61415</v>
      </c>
      <c r="K1175" s="122">
        <v>71</v>
      </c>
      <c r="L1175" s="122">
        <v>15503</v>
      </c>
      <c r="M1175" s="122">
        <v>9922</v>
      </c>
      <c r="N1175" s="122">
        <v>8625</v>
      </c>
      <c r="O1175" s="122">
        <v>3195</v>
      </c>
      <c r="P1175" s="122">
        <v>351</v>
      </c>
      <c r="Q1175" s="122">
        <v>130</v>
      </c>
      <c r="R1175" s="122">
        <v>28496</v>
      </c>
      <c r="S1175" s="122">
        <v>10554</v>
      </c>
      <c r="T1175" s="122">
        <v>0</v>
      </c>
      <c r="U1175" s="122">
        <v>0</v>
      </c>
      <c r="V1175" s="122">
        <v>85216</v>
      </c>
      <c r="W1175" s="122">
        <f t="shared" si="36"/>
        <v>85216</v>
      </c>
      <c r="X1175" s="122">
        <f t="shared" si="37"/>
        <v>120531</v>
      </c>
      <c r="AA1175" t="s">
        <v>58</v>
      </c>
      <c r="AB1175" t="s">
        <v>405</v>
      </c>
      <c r="AC1175" t="s">
        <v>425</v>
      </c>
      <c r="AD1175" t="s">
        <v>406</v>
      </c>
      <c r="AE1175" t="s">
        <v>137</v>
      </c>
      <c r="AF1175">
        <v>1</v>
      </c>
      <c r="AG1175">
        <v>225</v>
      </c>
      <c r="AH1175">
        <v>275</v>
      </c>
      <c r="AI1175" s="122">
        <v>40955</v>
      </c>
      <c r="AJ1175" s="122">
        <v>37232</v>
      </c>
      <c r="AK1175">
        <v>86</v>
      </c>
      <c r="AL1175" s="122">
        <v>5880</v>
      </c>
      <c r="AM1175" s="122">
        <v>5345</v>
      </c>
      <c r="AN1175" s="122">
        <v>5483</v>
      </c>
      <c r="AO1175" s="122">
        <v>2031</v>
      </c>
      <c r="AP1175">
        <v>621</v>
      </c>
      <c r="AQ1175">
        <v>230</v>
      </c>
      <c r="AR1175" s="122">
        <v>5042</v>
      </c>
      <c r="AS1175" s="122">
        <v>4583</v>
      </c>
      <c r="AT1175" s="122">
        <v>3875</v>
      </c>
      <c r="AU1175" s="122">
        <v>1435</v>
      </c>
      <c r="AV1175" s="122">
        <v>50856</v>
      </c>
    </row>
    <row r="1176" spans="2:48" hidden="1">
      <c r="B1176" t="s">
        <v>369</v>
      </c>
      <c r="C1176" t="s">
        <v>58</v>
      </c>
      <c r="D1176" t="s">
        <v>426</v>
      </c>
      <c r="E1176" t="s">
        <v>426</v>
      </c>
      <c r="F1176" s="122">
        <v>108</v>
      </c>
      <c r="G1176" s="122">
        <v>11756</v>
      </c>
      <c r="H1176" s="122">
        <v>29884</v>
      </c>
      <c r="I1176" s="122">
        <v>1946840</v>
      </c>
      <c r="J1176" s="122">
        <v>1769855</v>
      </c>
      <c r="K1176" s="122">
        <v>66</v>
      </c>
      <c r="L1176" s="122">
        <v>313856</v>
      </c>
      <c r="M1176" s="122">
        <v>253982</v>
      </c>
      <c r="N1176" s="122">
        <v>189552</v>
      </c>
      <c r="O1176" s="122">
        <v>70205</v>
      </c>
      <c r="P1176" s="122">
        <v>46551</v>
      </c>
      <c r="Q1176" s="122">
        <v>17241</v>
      </c>
      <c r="R1176" s="122">
        <v>544056</v>
      </c>
      <c r="S1176" s="122">
        <v>494596</v>
      </c>
      <c r="T1176" s="122">
        <v>237892</v>
      </c>
      <c r="U1176" s="122">
        <v>88108</v>
      </c>
      <c r="V1176" s="122">
        <v>2693987</v>
      </c>
      <c r="W1176" s="122">
        <f t="shared" si="36"/>
        <v>2693987</v>
      </c>
      <c r="X1176" s="122">
        <f t="shared" si="37"/>
        <v>3278747</v>
      </c>
      <c r="AA1176" t="s">
        <v>58</v>
      </c>
      <c r="AB1176" t="s">
        <v>405</v>
      </c>
      <c r="AC1176" t="s">
        <v>405</v>
      </c>
      <c r="AD1176" t="s">
        <v>425</v>
      </c>
      <c r="AE1176" t="s">
        <v>137</v>
      </c>
      <c r="AF1176">
        <v>1</v>
      </c>
      <c r="AG1176" s="122">
        <v>108</v>
      </c>
      <c r="AH1176" s="122">
        <v>260</v>
      </c>
      <c r="AI1176" s="122">
        <v>16287</v>
      </c>
      <c r="AJ1176" s="122">
        <v>14807</v>
      </c>
      <c r="AK1176">
        <v>81</v>
      </c>
      <c r="AL1176" s="122">
        <v>4657</v>
      </c>
      <c r="AM1176" s="122">
        <v>4234</v>
      </c>
      <c r="AN1176" s="122">
        <v>1382</v>
      </c>
      <c r="AO1176" s="122">
        <v>512</v>
      </c>
      <c r="AP1176" s="122">
        <v>473</v>
      </c>
      <c r="AQ1176" s="122">
        <v>175</v>
      </c>
      <c r="AR1176" s="122">
        <v>2708</v>
      </c>
      <c r="AS1176" s="122">
        <v>2462</v>
      </c>
      <c r="AT1176" s="122">
        <v>2528</v>
      </c>
      <c r="AU1176" s="122">
        <v>936</v>
      </c>
      <c r="AV1176" s="122">
        <v>23125</v>
      </c>
    </row>
    <row r="1177" spans="2:48" hidden="1">
      <c r="B1177" t="s">
        <v>369</v>
      </c>
      <c r="C1177" t="s">
        <v>58</v>
      </c>
      <c r="D1177" t="s">
        <v>433</v>
      </c>
      <c r="E1177" t="s">
        <v>137</v>
      </c>
      <c r="F1177" s="122">
        <v>2</v>
      </c>
      <c r="G1177" s="122">
        <v>143</v>
      </c>
      <c r="H1177" s="122">
        <v>480</v>
      </c>
      <c r="I1177" s="122">
        <v>18930</v>
      </c>
      <c r="J1177" s="122">
        <v>17209</v>
      </c>
      <c r="K1177" s="122">
        <v>65</v>
      </c>
      <c r="L1177" s="122">
        <v>2036</v>
      </c>
      <c r="M1177" s="122">
        <v>754</v>
      </c>
      <c r="N1177" s="122">
        <v>2843</v>
      </c>
      <c r="O1177" s="122">
        <v>1053</v>
      </c>
      <c r="P1177" s="122">
        <v>0</v>
      </c>
      <c r="Q1177" s="122">
        <v>0</v>
      </c>
      <c r="R1177" s="122">
        <v>10610</v>
      </c>
      <c r="S1177" s="122">
        <v>3930</v>
      </c>
      <c r="T1177" s="122">
        <v>0</v>
      </c>
      <c r="U1177" s="122">
        <v>0</v>
      </c>
      <c r="V1177" s="122">
        <v>22946</v>
      </c>
      <c r="W1177" s="122">
        <f t="shared" si="36"/>
        <v>22946</v>
      </c>
      <c r="X1177" s="122">
        <f t="shared" si="37"/>
        <v>34419</v>
      </c>
      <c r="AA1177" t="s">
        <v>58</v>
      </c>
      <c r="AB1177" t="s">
        <v>405</v>
      </c>
      <c r="AC1177" t="s">
        <v>405</v>
      </c>
      <c r="AD1177" t="s">
        <v>405</v>
      </c>
      <c r="AE1177" t="s">
        <v>137</v>
      </c>
      <c r="AF1177">
        <v>90</v>
      </c>
      <c r="AG1177" s="122">
        <v>12429</v>
      </c>
      <c r="AH1177" s="122">
        <v>23164</v>
      </c>
      <c r="AI1177" s="122">
        <v>1901557</v>
      </c>
      <c r="AJ1177" s="122">
        <v>1728689</v>
      </c>
      <c r="AK1177">
        <v>76</v>
      </c>
      <c r="AL1177" s="122">
        <v>409233</v>
      </c>
      <c r="AM1177" s="122">
        <v>372030</v>
      </c>
      <c r="AN1177" s="122">
        <v>275287</v>
      </c>
      <c r="AO1177" s="122">
        <v>101958</v>
      </c>
      <c r="AP1177" s="122">
        <v>42849</v>
      </c>
      <c r="AQ1177" s="122">
        <v>15870</v>
      </c>
      <c r="AR1177" s="122">
        <v>463918</v>
      </c>
      <c r="AS1177" s="122">
        <v>421744</v>
      </c>
      <c r="AT1177" s="122">
        <v>226418</v>
      </c>
      <c r="AU1177" s="122">
        <v>83858</v>
      </c>
      <c r="AV1177" s="122">
        <v>2724149</v>
      </c>
    </row>
    <row r="1178" spans="2:48" hidden="1">
      <c r="B1178" t="s">
        <v>369</v>
      </c>
      <c r="C1178" t="s">
        <v>58</v>
      </c>
      <c r="D1178" t="s">
        <v>433</v>
      </c>
      <c r="E1178" t="s">
        <v>433</v>
      </c>
      <c r="F1178" s="122">
        <v>3</v>
      </c>
      <c r="G1178" s="122">
        <v>405</v>
      </c>
      <c r="H1178" s="122">
        <v>847</v>
      </c>
      <c r="I1178" s="122">
        <v>88743</v>
      </c>
      <c r="J1178" s="122">
        <v>80676</v>
      </c>
      <c r="K1178" s="122">
        <v>63</v>
      </c>
      <c r="L1178" s="122">
        <v>6722</v>
      </c>
      <c r="M1178" s="122">
        <v>6111</v>
      </c>
      <c r="N1178" s="122">
        <v>5312</v>
      </c>
      <c r="O1178" s="122">
        <v>1967</v>
      </c>
      <c r="P1178" s="122">
        <v>1674</v>
      </c>
      <c r="Q1178" s="122">
        <v>620</v>
      </c>
      <c r="R1178" s="122">
        <v>10403</v>
      </c>
      <c r="S1178" s="122">
        <v>9458</v>
      </c>
      <c r="T1178" s="122">
        <v>2214</v>
      </c>
      <c r="U1178" s="122">
        <v>820</v>
      </c>
      <c r="V1178" s="122">
        <v>99652</v>
      </c>
      <c r="W1178" s="122">
        <f t="shared" si="36"/>
        <v>99652</v>
      </c>
      <c r="X1178" s="122">
        <f t="shared" si="37"/>
        <v>115068</v>
      </c>
      <c r="AA1178" t="s">
        <v>58</v>
      </c>
      <c r="AB1178" t="s">
        <v>405</v>
      </c>
      <c r="AC1178" t="s">
        <v>405</v>
      </c>
      <c r="AD1178" t="s">
        <v>405</v>
      </c>
      <c r="AE1178" t="s">
        <v>566</v>
      </c>
      <c r="AF1178">
        <v>96</v>
      </c>
      <c r="AG1178" s="122">
        <v>13191</v>
      </c>
      <c r="AH1178" s="122">
        <v>24577</v>
      </c>
      <c r="AI1178" s="122">
        <v>2014959</v>
      </c>
      <c r="AJ1178" s="122">
        <v>1831781</v>
      </c>
      <c r="AK1178">
        <v>80</v>
      </c>
      <c r="AL1178" s="122">
        <v>524633</v>
      </c>
      <c r="AM1178" s="122">
        <v>476940</v>
      </c>
      <c r="AN1178" s="122">
        <v>283693</v>
      </c>
      <c r="AO1178" s="122">
        <v>105071</v>
      </c>
      <c r="AP1178" s="122">
        <v>46282</v>
      </c>
      <c r="AQ1178" s="122">
        <v>17142</v>
      </c>
      <c r="AR1178" s="122">
        <v>570849</v>
      </c>
      <c r="AS1178" s="122">
        <v>518954</v>
      </c>
      <c r="AT1178">
        <v>0</v>
      </c>
      <c r="AU1178">
        <v>0</v>
      </c>
      <c r="AV1178" s="122">
        <v>2949887</v>
      </c>
    </row>
    <row r="1179" spans="2:48" hidden="1">
      <c r="B1179" t="s">
        <v>369</v>
      </c>
      <c r="C1179" t="s">
        <v>58</v>
      </c>
      <c r="D1179" t="s">
        <v>408</v>
      </c>
      <c r="E1179" t="s">
        <v>137</v>
      </c>
      <c r="F1179" s="122">
        <v>1</v>
      </c>
      <c r="G1179" s="122">
        <v>85</v>
      </c>
      <c r="H1179" s="122">
        <v>252</v>
      </c>
      <c r="I1179" s="122">
        <v>11171</v>
      </c>
      <c r="J1179" s="122">
        <v>10156</v>
      </c>
      <c r="K1179" s="122">
        <v>65</v>
      </c>
      <c r="L1179" s="122">
        <v>1980</v>
      </c>
      <c r="M1179" s="122">
        <v>733</v>
      </c>
      <c r="N1179" s="122">
        <v>1494</v>
      </c>
      <c r="O1179" s="122">
        <v>553</v>
      </c>
      <c r="P1179" s="122">
        <v>351</v>
      </c>
      <c r="Q1179" s="122">
        <v>130</v>
      </c>
      <c r="R1179" s="122">
        <v>6502</v>
      </c>
      <c r="S1179" s="122">
        <v>2408</v>
      </c>
      <c r="T1179" s="122">
        <v>0</v>
      </c>
      <c r="U1179" s="122">
        <v>0</v>
      </c>
      <c r="V1179" s="122">
        <v>13981</v>
      </c>
      <c r="W1179" s="122">
        <f t="shared" si="36"/>
        <v>13980</v>
      </c>
      <c r="X1179" s="122">
        <f t="shared" si="37"/>
        <v>21498</v>
      </c>
      <c r="AA1179" t="s">
        <v>58</v>
      </c>
      <c r="AB1179" t="s">
        <v>405</v>
      </c>
      <c r="AC1179" t="s">
        <v>405</v>
      </c>
      <c r="AD1179" t="s">
        <v>137</v>
      </c>
      <c r="AE1179" t="s">
        <v>566</v>
      </c>
      <c r="AF1179">
        <v>2</v>
      </c>
      <c r="AG1179">
        <v>279</v>
      </c>
      <c r="AH1179">
        <v>534</v>
      </c>
      <c r="AI1179" s="122">
        <v>37044</v>
      </c>
      <c r="AJ1179" s="122">
        <v>33676</v>
      </c>
      <c r="AK1179">
        <v>82</v>
      </c>
      <c r="AL1179" s="122">
        <v>4728</v>
      </c>
      <c r="AM1179" s="122">
        <v>4298</v>
      </c>
      <c r="AN1179" s="122">
        <v>5009</v>
      </c>
      <c r="AO1179" s="122">
        <v>1855</v>
      </c>
      <c r="AP1179">
        <v>945</v>
      </c>
      <c r="AQ1179">
        <v>350</v>
      </c>
      <c r="AR1179" s="122">
        <v>24138</v>
      </c>
      <c r="AS1179" s="122">
        <v>8940</v>
      </c>
      <c r="AT1179">
        <v>0</v>
      </c>
      <c r="AU1179">
        <v>0</v>
      </c>
      <c r="AV1179" s="122">
        <v>49120</v>
      </c>
    </row>
    <row r="1180" spans="2:48" hidden="1">
      <c r="B1180" t="s">
        <v>369</v>
      </c>
      <c r="C1180" t="s">
        <v>58</v>
      </c>
      <c r="D1180" t="s">
        <v>408</v>
      </c>
      <c r="E1180" t="s">
        <v>408</v>
      </c>
      <c r="F1180" s="122">
        <v>6</v>
      </c>
      <c r="G1180" s="122">
        <v>706</v>
      </c>
      <c r="H1180" s="122">
        <v>1554</v>
      </c>
      <c r="I1180" s="122">
        <v>107557</v>
      </c>
      <c r="J1180" s="122">
        <v>97779</v>
      </c>
      <c r="K1180" s="122">
        <v>68</v>
      </c>
      <c r="L1180" s="122">
        <v>21247</v>
      </c>
      <c r="M1180" s="122">
        <v>15148</v>
      </c>
      <c r="N1180" s="122">
        <v>11537</v>
      </c>
      <c r="O1180" s="122">
        <v>4273</v>
      </c>
      <c r="P1180" s="122">
        <v>2106</v>
      </c>
      <c r="Q1180" s="122">
        <v>780</v>
      </c>
      <c r="R1180" s="122">
        <v>29816</v>
      </c>
      <c r="S1180" s="122">
        <v>27105</v>
      </c>
      <c r="T1180" s="122">
        <v>6400</v>
      </c>
      <c r="U1180" s="122">
        <v>2370</v>
      </c>
      <c r="V1180" s="122">
        <v>147455</v>
      </c>
      <c r="W1180" s="122">
        <f t="shared" si="36"/>
        <v>147455</v>
      </c>
      <c r="X1180" s="122">
        <f t="shared" si="37"/>
        <v>178663</v>
      </c>
      <c r="AA1180" t="s">
        <v>58</v>
      </c>
      <c r="AB1180" t="s">
        <v>405</v>
      </c>
      <c r="AC1180" t="s">
        <v>405</v>
      </c>
      <c r="AD1180" t="s">
        <v>406</v>
      </c>
      <c r="AE1180" t="s">
        <v>566</v>
      </c>
      <c r="AF1180">
        <v>1</v>
      </c>
      <c r="AG1180">
        <v>78</v>
      </c>
      <c r="AH1180">
        <v>296</v>
      </c>
      <c r="AI1180" s="122">
        <v>17473</v>
      </c>
      <c r="AJ1180" s="122">
        <v>15885</v>
      </c>
      <c r="AK1180">
        <v>60</v>
      </c>
      <c r="AL1180" s="122">
        <v>5533</v>
      </c>
      <c r="AM1180" s="122">
        <v>5030</v>
      </c>
      <c r="AN1180" s="122">
        <v>2723</v>
      </c>
      <c r="AO1180" s="122">
        <v>1008</v>
      </c>
      <c r="AP1180">
        <v>351</v>
      </c>
      <c r="AQ1180">
        <v>130</v>
      </c>
      <c r="AR1180" s="122">
        <v>13306</v>
      </c>
      <c r="AS1180" s="122">
        <v>12096</v>
      </c>
      <c r="AT1180">
        <v>0</v>
      </c>
      <c r="AU1180">
        <v>0</v>
      </c>
      <c r="AV1180" s="122">
        <v>34149</v>
      </c>
    </row>
    <row r="1181" spans="2:48" hidden="1">
      <c r="B1181" t="s">
        <v>369</v>
      </c>
      <c r="C1181" t="s">
        <v>58</v>
      </c>
      <c r="D1181" t="s">
        <v>429</v>
      </c>
      <c r="E1181" t="s">
        <v>429</v>
      </c>
      <c r="F1181" s="122">
        <v>1</v>
      </c>
      <c r="G1181" s="122">
        <v>136</v>
      </c>
      <c r="H1181" s="122">
        <v>242</v>
      </c>
      <c r="I1181" s="122">
        <v>18252</v>
      </c>
      <c r="J1181" s="122">
        <v>16593</v>
      </c>
      <c r="K1181" s="122">
        <v>83</v>
      </c>
      <c r="L1181" s="122">
        <v>5611</v>
      </c>
      <c r="M1181" s="122">
        <v>5101</v>
      </c>
      <c r="N1181" s="122">
        <v>2433</v>
      </c>
      <c r="O1181" s="122">
        <v>901</v>
      </c>
      <c r="P1181" s="122">
        <v>702</v>
      </c>
      <c r="Q1181" s="122">
        <v>260</v>
      </c>
      <c r="R1181" s="122">
        <v>5872</v>
      </c>
      <c r="S1181" s="122">
        <v>5338</v>
      </c>
      <c r="T1181" s="122">
        <v>0</v>
      </c>
      <c r="U1181" s="122">
        <v>0</v>
      </c>
      <c r="V1181" s="122">
        <v>28193</v>
      </c>
      <c r="W1181" s="122">
        <f t="shared" si="36"/>
        <v>28193</v>
      </c>
      <c r="X1181" s="122">
        <f t="shared" si="37"/>
        <v>32870</v>
      </c>
      <c r="AA1181" t="s">
        <v>58</v>
      </c>
      <c r="AB1181" t="s">
        <v>405</v>
      </c>
      <c r="AC1181" t="s">
        <v>137</v>
      </c>
      <c r="AD1181" t="s">
        <v>425</v>
      </c>
      <c r="AE1181" t="s">
        <v>566</v>
      </c>
      <c r="AF1181">
        <v>1</v>
      </c>
      <c r="AG1181" s="122">
        <v>155</v>
      </c>
      <c r="AH1181" s="122">
        <v>277</v>
      </c>
      <c r="AI1181" s="122">
        <v>27586</v>
      </c>
      <c r="AJ1181" s="122">
        <v>25078</v>
      </c>
      <c r="AK1181">
        <v>90</v>
      </c>
      <c r="AL1181" s="122">
        <v>6447</v>
      </c>
      <c r="AM1181" s="122">
        <v>2388</v>
      </c>
      <c r="AN1181" s="122">
        <v>3333</v>
      </c>
      <c r="AO1181" s="122">
        <v>1234</v>
      </c>
      <c r="AP1181" s="122">
        <v>473</v>
      </c>
      <c r="AQ1181" s="122">
        <v>175</v>
      </c>
      <c r="AR1181" s="122">
        <v>5218</v>
      </c>
      <c r="AS1181" s="122">
        <v>4744</v>
      </c>
      <c r="AT1181" s="122">
        <v>0</v>
      </c>
      <c r="AU1181" s="122">
        <v>0</v>
      </c>
      <c r="AV1181" s="122">
        <v>33619</v>
      </c>
    </row>
    <row r="1182" spans="2:48" hidden="1">
      <c r="B1182" t="s">
        <v>369</v>
      </c>
      <c r="C1182" t="s">
        <v>60</v>
      </c>
      <c r="D1182" t="s">
        <v>425</v>
      </c>
      <c r="E1182" t="s">
        <v>425</v>
      </c>
      <c r="F1182" s="122">
        <v>5</v>
      </c>
      <c r="G1182" s="122">
        <v>608</v>
      </c>
      <c r="H1182" s="122">
        <v>1705</v>
      </c>
      <c r="I1182" s="122">
        <v>146616</v>
      </c>
      <c r="J1182" s="122">
        <v>133287</v>
      </c>
      <c r="K1182" s="122">
        <v>83</v>
      </c>
      <c r="L1182" s="122">
        <v>24155</v>
      </c>
      <c r="M1182" s="122">
        <v>21959</v>
      </c>
      <c r="N1182" s="122">
        <v>14392</v>
      </c>
      <c r="O1182" s="122">
        <v>5330</v>
      </c>
      <c r="P1182" s="122">
        <v>2241</v>
      </c>
      <c r="Q1182" s="122">
        <v>830</v>
      </c>
      <c r="R1182" s="122">
        <v>24559</v>
      </c>
      <c r="S1182" s="122">
        <v>22326</v>
      </c>
      <c r="T1182" s="122">
        <v>0</v>
      </c>
      <c r="U1182" s="122">
        <v>0</v>
      </c>
      <c r="V1182" s="122">
        <v>183732</v>
      </c>
      <c r="W1182" s="122">
        <f t="shared" si="36"/>
        <v>183732</v>
      </c>
      <c r="X1182" s="122">
        <f t="shared" si="37"/>
        <v>211963</v>
      </c>
      <c r="AA1182" t="s">
        <v>58</v>
      </c>
      <c r="AB1182" t="s">
        <v>405</v>
      </c>
      <c r="AC1182" t="s">
        <v>137</v>
      </c>
      <c r="AD1182" t="s">
        <v>405</v>
      </c>
      <c r="AE1182" t="s">
        <v>137</v>
      </c>
      <c r="AF1182">
        <v>13</v>
      </c>
      <c r="AG1182" s="122">
        <v>1606</v>
      </c>
      <c r="AH1182" s="122">
        <v>3228</v>
      </c>
      <c r="AI1182" s="122">
        <v>221323</v>
      </c>
      <c r="AJ1182" s="122">
        <v>201203</v>
      </c>
      <c r="AK1182">
        <v>78</v>
      </c>
      <c r="AL1182" s="122">
        <v>55764</v>
      </c>
      <c r="AM1182" s="122">
        <v>20653</v>
      </c>
      <c r="AN1182" s="122">
        <v>33840</v>
      </c>
      <c r="AO1182" s="122">
        <v>12533</v>
      </c>
      <c r="AP1182" s="122">
        <v>7236</v>
      </c>
      <c r="AQ1182" s="122">
        <v>2680</v>
      </c>
      <c r="AR1182" s="122">
        <v>67314</v>
      </c>
      <c r="AS1182" s="122">
        <v>61194</v>
      </c>
      <c r="AT1182" s="122">
        <v>20496</v>
      </c>
      <c r="AU1182" s="122">
        <v>7591</v>
      </c>
      <c r="AV1182" s="122">
        <v>305855</v>
      </c>
    </row>
    <row r="1183" spans="2:48" hidden="1">
      <c r="B1183" t="s">
        <v>369</v>
      </c>
      <c r="C1183" t="s">
        <v>60</v>
      </c>
      <c r="D1183" t="s">
        <v>405</v>
      </c>
      <c r="E1183" t="s">
        <v>405</v>
      </c>
      <c r="F1183" s="122">
        <v>28</v>
      </c>
      <c r="G1183" s="122">
        <v>3649</v>
      </c>
      <c r="H1183" s="122">
        <v>9376</v>
      </c>
      <c r="I1183" s="122">
        <v>799067</v>
      </c>
      <c r="J1183" s="122">
        <v>726425</v>
      </c>
      <c r="K1183" s="122">
        <v>76</v>
      </c>
      <c r="L1183" s="122">
        <v>152187</v>
      </c>
      <c r="M1183" s="122">
        <v>138352</v>
      </c>
      <c r="N1183" s="122">
        <v>75329</v>
      </c>
      <c r="O1183" s="122">
        <v>27900</v>
      </c>
      <c r="P1183" s="122">
        <v>13784</v>
      </c>
      <c r="Q1183" s="122">
        <v>5105</v>
      </c>
      <c r="R1183" s="122">
        <v>166567</v>
      </c>
      <c r="S1183" s="122">
        <v>151425</v>
      </c>
      <c r="T1183" s="122">
        <v>23896</v>
      </c>
      <c r="U1183" s="122">
        <v>8850</v>
      </c>
      <c r="V1183" s="122">
        <v>1058056</v>
      </c>
      <c r="W1183" s="122">
        <f t="shared" si="36"/>
        <v>1058057</v>
      </c>
      <c r="X1183" s="122">
        <f t="shared" si="37"/>
        <v>1230830</v>
      </c>
      <c r="AA1183" t="s">
        <v>58</v>
      </c>
      <c r="AB1183" t="s">
        <v>405</v>
      </c>
      <c r="AC1183" t="s">
        <v>137</v>
      </c>
      <c r="AD1183" t="s">
        <v>405</v>
      </c>
      <c r="AE1183" t="s">
        <v>566</v>
      </c>
      <c r="AF1183">
        <v>21</v>
      </c>
      <c r="AG1183" s="122">
        <v>3043</v>
      </c>
      <c r="AH1183" s="122">
        <v>5439</v>
      </c>
      <c r="AI1183" s="122">
        <v>505667</v>
      </c>
      <c r="AJ1183" s="122">
        <v>459697</v>
      </c>
      <c r="AK1183">
        <v>81</v>
      </c>
      <c r="AL1183" s="122">
        <v>134470</v>
      </c>
      <c r="AM1183" s="122">
        <v>49804</v>
      </c>
      <c r="AN1183" s="122">
        <v>64350</v>
      </c>
      <c r="AO1183" s="122">
        <v>23833</v>
      </c>
      <c r="AP1183" s="122">
        <v>10503</v>
      </c>
      <c r="AQ1183" s="122">
        <v>3890</v>
      </c>
      <c r="AR1183" s="122">
        <v>101417</v>
      </c>
      <c r="AS1183" s="122">
        <v>92197</v>
      </c>
      <c r="AT1183" s="122">
        <v>0</v>
      </c>
      <c r="AU1183" s="122">
        <v>0</v>
      </c>
      <c r="AV1183" s="122">
        <v>629421</v>
      </c>
    </row>
    <row r="1184" spans="2:48" hidden="1">
      <c r="B1184" t="s">
        <v>369</v>
      </c>
      <c r="C1184" t="s">
        <v>60</v>
      </c>
      <c r="D1184" t="s">
        <v>405</v>
      </c>
      <c r="E1184" t="s">
        <v>137</v>
      </c>
      <c r="F1184" s="122">
        <v>2</v>
      </c>
      <c r="G1184" s="122">
        <v>234</v>
      </c>
      <c r="H1184" s="122">
        <v>652</v>
      </c>
      <c r="I1184" s="122">
        <v>49161</v>
      </c>
      <c r="J1184" s="122">
        <v>44692</v>
      </c>
      <c r="K1184" s="122">
        <v>73</v>
      </c>
      <c r="L1184" s="122">
        <v>9260</v>
      </c>
      <c r="M1184" s="122">
        <v>8418</v>
      </c>
      <c r="N1184" s="122">
        <v>5712</v>
      </c>
      <c r="O1184" s="122">
        <v>2115</v>
      </c>
      <c r="P1184" s="122">
        <v>945</v>
      </c>
      <c r="Q1184" s="122">
        <v>350</v>
      </c>
      <c r="R1184" s="122">
        <v>11311</v>
      </c>
      <c r="S1184" s="122">
        <v>4189</v>
      </c>
      <c r="T1184" s="122">
        <v>0</v>
      </c>
      <c r="U1184" s="122">
        <v>0</v>
      </c>
      <c r="V1184" s="122">
        <v>59764</v>
      </c>
      <c r="W1184" s="122">
        <f t="shared" si="36"/>
        <v>59764</v>
      </c>
      <c r="X1184" s="122">
        <f t="shared" si="37"/>
        <v>76389</v>
      </c>
      <c r="AA1184" t="s">
        <v>58</v>
      </c>
      <c r="AB1184" t="s">
        <v>405</v>
      </c>
      <c r="AC1184" t="s">
        <v>580</v>
      </c>
      <c r="AD1184" t="s">
        <v>405</v>
      </c>
      <c r="AE1184" t="s">
        <v>137</v>
      </c>
      <c r="AF1184">
        <v>5</v>
      </c>
      <c r="AG1184">
        <v>902</v>
      </c>
      <c r="AH1184" s="122">
        <v>1302</v>
      </c>
      <c r="AI1184" s="122">
        <v>163565</v>
      </c>
      <c r="AJ1184" s="122">
        <v>148695</v>
      </c>
      <c r="AK1184">
        <v>77</v>
      </c>
      <c r="AL1184" s="122">
        <v>20317</v>
      </c>
      <c r="AM1184" s="122">
        <v>18470</v>
      </c>
      <c r="AN1184" s="122">
        <v>22465</v>
      </c>
      <c r="AO1184" s="122">
        <v>8320</v>
      </c>
      <c r="AP1184" s="122">
        <v>3051</v>
      </c>
      <c r="AQ1184" s="122">
        <v>1130</v>
      </c>
      <c r="AR1184" s="122">
        <v>30345</v>
      </c>
      <c r="AS1184" s="122">
        <v>27586</v>
      </c>
      <c r="AT1184" s="122">
        <v>11087</v>
      </c>
      <c r="AU1184" s="122">
        <v>4106</v>
      </c>
      <c r="AV1184" s="122">
        <v>208308</v>
      </c>
    </row>
    <row r="1185" spans="2:48" hidden="1">
      <c r="B1185" t="s">
        <v>369</v>
      </c>
      <c r="C1185" t="s">
        <v>60</v>
      </c>
      <c r="D1185" t="s">
        <v>137</v>
      </c>
      <c r="E1185" t="s">
        <v>137</v>
      </c>
      <c r="F1185" s="122">
        <v>210</v>
      </c>
      <c r="G1185" s="122">
        <v>23684</v>
      </c>
      <c r="H1185" s="122">
        <v>71366</v>
      </c>
      <c r="I1185" s="122">
        <v>5469663</v>
      </c>
      <c r="J1185" s="122">
        <v>2025801</v>
      </c>
      <c r="K1185" s="122">
        <v>100</v>
      </c>
      <c r="L1185" s="122">
        <v>860029</v>
      </c>
      <c r="M1185" s="122">
        <v>691157</v>
      </c>
      <c r="N1185" s="122">
        <v>525320</v>
      </c>
      <c r="O1185" s="122">
        <v>194563</v>
      </c>
      <c r="P1185" s="122">
        <v>12759</v>
      </c>
      <c r="Q1185" s="122">
        <v>4725</v>
      </c>
      <c r="R1185" s="122">
        <v>1713099</v>
      </c>
      <c r="S1185" s="122">
        <v>634481</v>
      </c>
      <c r="T1185" s="122">
        <v>0</v>
      </c>
      <c r="U1185" s="122">
        <v>0</v>
      </c>
      <c r="V1185" s="122">
        <v>3550728</v>
      </c>
      <c r="W1185" s="122">
        <f t="shared" si="36"/>
        <v>3550727</v>
      </c>
      <c r="X1185" s="122">
        <f t="shared" si="37"/>
        <v>8580870</v>
      </c>
      <c r="AA1185" t="s">
        <v>58</v>
      </c>
      <c r="AB1185" t="s">
        <v>405</v>
      </c>
      <c r="AC1185" t="s">
        <v>580</v>
      </c>
      <c r="AD1185" t="s">
        <v>405</v>
      </c>
      <c r="AE1185" t="s">
        <v>566</v>
      </c>
      <c r="AF1185">
        <v>2</v>
      </c>
      <c r="AG1185">
        <v>515</v>
      </c>
      <c r="AH1185">
        <v>530</v>
      </c>
      <c r="AI1185" s="122">
        <v>92532</v>
      </c>
      <c r="AJ1185" s="122">
        <v>84120</v>
      </c>
      <c r="AK1185">
        <v>78</v>
      </c>
      <c r="AL1185" s="122">
        <v>18266</v>
      </c>
      <c r="AM1185" s="122">
        <v>16605</v>
      </c>
      <c r="AN1185" s="122">
        <v>10793</v>
      </c>
      <c r="AO1185" s="122">
        <v>3997</v>
      </c>
      <c r="AP1185" s="122">
        <v>1094</v>
      </c>
      <c r="AQ1185">
        <v>405</v>
      </c>
      <c r="AR1185" s="122">
        <v>14057</v>
      </c>
      <c r="AS1185" s="122">
        <v>12779</v>
      </c>
      <c r="AT1185" s="122">
        <v>0</v>
      </c>
      <c r="AU1185" s="122">
        <v>0</v>
      </c>
      <c r="AV1185" s="122">
        <v>117906</v>
      </c>
    </row>
    <row r="1186" spans="2:48" hidden="1">
      <c r="B1186" t="s">
        <v>369</v>
      </c>
      <c r="C1186" t="s">
        <v>60</v>
      </c>
      <c r="D1186" t="s">
        <v>137</v>
      </c>
      <c r="E1186" t="s">
        <v>406</v>
      </c>
      <c r="F1186" s="122">
        <v>2</v>
      </c>
      <c r="G1186" s="122">
        <v>231</v>
      </c>
      <c r="H1186" s="122">
        <v>688</v>
      </c>
      <c r="I1186" s="122">
        <v>52970</v>
      </c>
      <c r="J1186" s="122">
        <v>19619</v>
      </c>
      <c r="K1186" s="122">
        <v>100</v>
      </c>
      <c r="L1186" s="122">
        <v>6873</v>
      </c>
      <c r="M1186" s="122">
        <v>6248</v>
      </c>
      <c r="N1186" s="122">
        <v>3942</v>
      </c>
      <c r="O1186" s="122">
        <v>1460</v>
      </c>
      <c r="P1186" s="122">
        <v>621</v>
      </c>
      <c r="Q1186" s="122">
        <v>230</v>
      </c>
      <c r="R1186" s="122">
        <v>12957</v>
      </c>
      <c r="S1186" s="122">
        <v>11779</v>
      </c>
      <c r="T1186" s="122">
        <v>2738</v>
      </c>
      <c r="U1186" s="122">
        <v>1014</v>
      </c>
      <c r="V1186" s="122">
        <v>40350</v>
      </c>
      <c r="W1186" s="122">
        <f t="shared" si="36"/>
        <v>40350</v>
      </c>
      <c r="X1186" s="122">
        <f t="shared" si="37"/>
        <v>80101</v>
      </c>
      <c r="AA1186" t="s">
        <v>58</v>
      </c>
      <c r="AB1186" t="s">
        <v>405</v>
      </c>
      <c r="AC1186" t="s">
        <v>580</v>
      </c>
      <c r="AD1186" t="s">
        <v>407</v>
      </c>
      <c r="AE1186" t="s">
        <v>137</v>
      </c>
      <c r="AF1186">
        <v>2</v>
      </c>
      <c r="AG1186">
        <v>268</v>
      </c>
      <c r="AH1186">
        <v>525</v>
      </c>
      <c r="AI1186" s="122">
        <v>42879</v>
      </c>
      <c r="AJ1186" s="122">
        <v>38981</v>
      </c>
      <c r="AK1186">
        <v>82</v>
      </c>
      <c r="AL1186" s="122">
        <v>6206</v>
      </c>
      <c r="AM1186" s="122">
        <v>5642</v>
      </c>
      <c r="AN1186" s="122">
        <v>5093</v>
      </c>
      <c r="AO1186" s="122">
        <v>1886</v>
      </c>
      <c r="AP1186" s="122">
        <v>1715</v>
      </c>
      <c r="AQ1186">
        <v>635</v>
      </c>
      <c r="AR1186" s="122">
        <v>7939</v>
      </c>
      <c r="AS1186" s="122">
        <v>7217</v>
      </c>
      <c r="AT1186" s="122">
        <v>6028</v>
      </c>
      <c r="AU1186" s="122">
        <v>2233</v>
      </c>
      <c r="AV1186" s="122">
        <v>56594</v>
      </c>
    </row>
    <row r="1187" spans="2:48" hidden="1">
      <c r="B1187" t="s">
        <v>369</v>
      </c>
      <c r="C1187" t="s">
        <v>60</v>
      </c>
      <c r="D1187" t="s">
        <v>137</v>
      </c>
      <c r="E1187" t="s">
        <v>427</v>
      </c>
      <c r="F1187" s="122">
        <v>1</v>
      </c>
      <c r="G1187" s="122">
        <v>88</v>
      </c>
      <c r="H1187" s="122">
        <v>302</v>
      </c>
      <c r="I1187" s="122">
        <v>14915</v>
      </c>
      <c r="J1187" s="122">
        <v>5524</v>
      </c>
      <c r="K1187" s="122">
        <v>100</v>
      </c>
      <c r="L1187" s="122">
        <v>1421</v>
      </c>
      <c r="M1187" s="122">
        <v>1292</v>
      </c>
      <c r="N1187" s="122">
        <v>2154</v>
      </c>
      <c r="O1187" s="122">
        <v>798</v>
      </c>
      <c r="P1187" s="122">
        <v>0</v>
      </c>
      <c r="Q1187" s="122">
        <v>0</v>
      </c>
      <c r="R1187" s="122">
        <v>5189</v>
      </c>
      <c r="S1187" s="122">
        <v>4717</v>
      </c>
      <c r="T1187" s="122">
        <v>2990</v>
      </c>
      <c r="U1187" s="122">
        <v>1108</v>
      </c>
      <c r="V1187" s="122">
        <v>13439</v>
      </c>
      <c r="W1187" s="122">
        <f t="shared" si="36"/>
        <v>13439</v>
      </c>
      <c r="X1187" s="122">
        <f t="shared" si="37"/>
        <v>26669</v>
      </c>
      <c r="AA1187" t="s">
        <v>58</v>
      </c>
      <c r="AB1187" t="s">
        <v>405</v>
      </c>
      <c r="AC1187" t="s">
        <v>427</v>
      </c>
      <c r="AD1187" t="s">
        <v>425</v>
      </c>
      <c r="AE1187" t="s">
        <v>566</v>
      </c>
      <c r="AF1187">
        <v>2</v>
      </c>
      <c r="AG1187" s="122">
        <v>220</v>
      </c>
      <c r="AH1187" s="122">
        <v>562</v>
      </c>
      <c r="AI1187" s="122">
        <v>34775</v>
      </c>
      <c r="AJ1187" s="122">
        <v>31613</v>
      </c>
      <c r="AK1187">
        <v>72</v>
      </c>
      <c r="AL1187" s="122">
        <v>8549</v>
      </c>
      <c r="AM1187" s="122">
        <v>7772</v>
      </c>
      <c r="AN1187" s="122">
        <v>3438</v>
      </c>
      <c r="AO1187" s="122">
        <v>1273</v>
      </c>
      <c r="AP1187" s="122">
        <v>824</v>
      </c>
      <c r="AQ1187" s="122">
        <v>305</v>
      </c>
      <c r="AR1187" s="122">
        <v>14807</v>
      </c>
      <c r="AS1187" s="122">
        <v>13461</v>
      </c>
      <c r="AT1187" s="122">
        <v>0</v>
      </c>
      <c r="AU1187" s="122">
        <v>0</v>
      </c>
      <c r="AV1187" s="122">
        <v>54424</v>
      </c>
    </row>
    <row r="1188" spans="2:48" hidden="1">
      <c r="B1188" t="s">
        <v>369</v>
      </c>
      <c r="C1188" t="s">
        <v>60</v>
      </c>
      <c r="D1188" t="s">
        <v>137</v>
      </c>
      <c r="E1188" t="s">
        <v>426</v>
      </c>
      <c r="F1188" s="122">
        <v>7</v>
      </c>
      <c r="G1188" s="122">
        <v>558</v>
      </c>
      <c r="H1188" s="122">
        <v>2452</v>
      </c>
      <c r="I1188" s="122">
        <v>130322</v>
      </c>
      <c r="J1188" s="122">
        <v>48267</v>
      </c>
      <c r="K1188" s="122">
        <v>100</v>
      </c>
      <c r="L1188" s="122">
        <v>14196</v>
      </c>
      <c r="M1188" s="122">
        <v>12906</v>
      </c>
      <c r="N1188" s="122">
        <v>8989</v>
      </c>
      <c r="O1188" s="122">
        <v>3329</v>
      </c>
      <c r="P1188" s="122">
        <v>0</v>
      </c>
      <c r="Q1188" s="122">
        <v>0</v>
      </c>
      <c r="R1188" s="122">
        <v>30897</v>
      </c>
      <c r="S1188" s="122">
        <v>28088</v>
      </c>
      <c r="T1188" s="122">
        <v>11169</v>
      </c>
      <c r="U1188" s="122">
        <v>4137</v>
      </c>
      <c r="V1188" s="122">
        <v>96727</v>
      </c>
      <c r="W1188" s="122">
        <f t="shared" si="36"/>
        <v>96727</v>
      </c>
      <c r="X1188" s="122">
        <f t="shared" si="37"/>
        <v>195573</v>
      </c>
      <c r="AA1188" t="s">
        <v>58</v>
      </c>
      <c r="AB1188" t="s">
        <v>405</v>
      </c>
      <c r="AC1188" t="s">
        <v>427</v>
      </c>
      <c r="AD1188" t="s">
        <v>405</v>
      </c>
      <c r="AE1188" t="s">
        <v>137</v>
      </c>
      <c r="AF1188">
        <v>26</v>
      </c>
      <c r="AG1188" s="122">
        <v>3342</v>
      </c>
      <c r="AH1188" s="122">
        <v>6781</v>
      </c>
      <c r="AI1188" s="122">
        <v>511194</v>
      </c>
      <c r="AJ1188" s="122">
        <v>464722</v>
      </c>
      <c r="AK1188">
        <v>78</v>
      </c>
      <c r="AL1188" s="122">
        <v>123343</v>
      </c>
      <c r="AM1188" s="122">
        <v>112130</v>
      </c>
      <c r="AN1188" s="122">
        <v>72414</v>
      </c>
      <c r="AO1188" s="122">
        <v>26820</v>
      </c>
      <c r="AP1188" s="122">
        <v>11988</v>
      </c>
      <c r="AQ1188" s="122">
        <v>4440</v>
      </c>
      <c r="AR1188" s="122">
        <v>126078</v>
      </c>
      <c r="AS1188" s="122">
        <v>114617</v>
      </c>
      <c r="AT1188" s="122">
        <v>50347</v>
      </c>
      <c r="AU1188" s="122">
        <v>18647</v>
      </c>
      <c r="AV1188" s="122">
        <v>741375</v>
      </c>
    </row>
    <row r="1189" spans="2:48" hidden="1">
      <c r="B1189" t="s">
        <v>369</v>
      </c>
      <c r="C1189" t="s">
        <v>60</v>
      </c>
      <c r="D1189" t="s">
        <v>137</v>
      </c>
      <c r="E1189" t="s">
        <v>433</v>
      </c>
      <c r="F1189" s="122">
        <v>1</v>
      </c>
      <c r="G1189" s="122">
        <v>78</v>
      </c>
      <c r="H1189" s="122">
        <v>330</v>
      </c>
      <c r="I1189" s="122">
        <v>13307</v>
      </c>
      <c r="J1189" s="122">
        <v>4928</v>
      </c>
      <c r="K1189" s="122">
        <v>100</v>
      </c>
      <c r="L1189" s="122">
        <v>927</v>
      </c>
      <c r="M1189" s="122">
        <v>842</v>
      </c>
      <c r="N1189" s="122">
        <v>1142</v>
      </c>
      <c r="O1189" s="122">
        <v>423</v>
      </c>
      <c r="P1189" s="122">
        <v>0</v>
      </c>
      <c r="Q1189" s="122">
        <v>0</v>
      </c>
      <c r="R1189" s="122">
        <v>10360</v>
      </c>
      <c r="S1189" s="122">
        <v>9418</v>
      </c>
      <c r="T1189" s="122">
        <v>0</v>
      </c>
      <c r="U1189" s="122">
        <v>0</v>
      </c>
      <c r="V1189" s="122">
        <v>15612</v>
      </c>
      <c r="W1189" s="122">
        <f t="shared" si="36"/>
        <v>15611</v>
      </c>
      <c r="X1189" s="122">
        <f t="shared" si="37"/>
        <v>25736</v>
      </c>
      <c r="AA1189" t="s">
        <v>58</v>
      </c>
      <c r="AB1189" t="s">
        <v>405</v>
      </c>
      <c r="AC1189" t="s">
        <v>427</v>
      </c>
      <c r="AD1189" t="s">
        <v>405</v>
      </c>
      <c r="AE1189" t="s">
        <v>566</v>
      </c>
      <c r="AF1189">
        <v>40</v>
      </c>
      <c r="AG1189" s="122">
        <v>5353</v>
      </c>
      <c r="AH1189" s="122">
        <v>10245</v>
      </c>
      <c r="AI1189" s="122">
        <v>838457</v>
      </c>
      <c r="AJ1189" s="122">
        <v>762233</v>
      </c>
      <c r="AK1189">
        <v>83</v>
      </c>
      <c r="AL1189" s="122">
        <v>217275</v>
      </c>
      <c r="AM1189" s="122">
        <v>197522</v>
      </c>
      <c r="AN1189" s="122">
        <v>109077</v>
      </c>
      <c r="AO1189" s="122">
        <v>40399</v>
      </c>
      <c r="AP1189" s="122">
        <v>20537</v>
      </c>
      <c r="AQ1189" s="122">
        <v>7606</v>
      </c>
      <c r="AR1189" s="122">
        <v>225058</v>
      </c>
      <c r="AS1189" s="122">
        <v>204598</v>
      </c>
      <c r="AT1189">
        <v>0</v>
      </c>
      <c r="AU1189">
        <v>0</v>
      </c>
      <c r="AV1189" s="122">
        <v>1212359</v>
      </c>
    </row>
    <row r="1190" spans="2:48" hidden="1">
      <c r="B1190" t="s">
        <v>369</v>
      </c>
      <c r="C1190" t="s">
        <v>60</v>
      </c>
      <c r="D1190" t="s">
        <v>406</v>
      </c>
      <c r="E1190" t="s">
        <v>137</v>
      </c>
      <c r="F1190" s="122">
        <v>12</v>
      </c>
      <c r="G1190" s="122">
        <v>1327</v>
      </c>
      <c r="H1190" s="122">
        <v>4082</v>
      </c>
      <c r="I1190" s="122">
        <v>261511</v>
      </c>
      <c r="J1190" s="122">
        <v>237737</v>
      </c>
      <c r="K1190" s="122">
        <v>76</v>
      </c>
      <c r="L1190" s="122">
        <v>47971</v>
      </c>
      <c r="M1190" s="122">
        <v>38407</v>
      </c>
      <c r="N1190" s="122">
        <v>28212</v>
      </c>
      <c r="O1190" s="122">
        <v>10449</v>
      </c>
      <c r="P1190" s="122">
        <v>7452</v>
      </c>
      <c r="Q1190" s="122">
        <v>2760</v>
      </c>
      <c r="R1190" s="122">
        <v>117264</v>
      </c>
      <c r="S1190" s="122">
        <v>43431</v>
      </c>
      <c r="T1190" s="122">
        <v>4143</v>
      </c>
      <c r="U1190" s="122">
        <v>1534</v>
      </c>
      <c r="V1190" s="122">
        <v>334319</v>
      </c>
      <c r="W1190" s="122">
        <f t="shared" si="36"/>
        <v>334318</v>
      </c>
      <c r="X1190" s="122">
        <f t="shared" si="37"/>
        <v>466553</v>
      </c>
      <c r="AA1190" t="s">
        <v>58</v>
      </c>
      <c r="AB1190" t="s">
        <v>405</v>
      </c>
      <c r="AC1190" t="s">
        <v>427</v>
      </c>
      <c r="AD1190" t="s">
        <v>137</v>
      </c>
      <c r="AE1190" t="s">
        <v>566</v>
      </c>
      <c r="AF1190">
        <v>1</v>
      </c>
      <c r="AG1190">
        <v>125</v>
      </c>
      <c r="AH1190">
        <v>278</v>
      </c>
      <c r="AI1190" s="122">
        <v>18134</v>
      </c>
      <c r="AJ1190" s="122">
        <v>16485</v>
      </c>
      <c r="AK1190">
        <v>90</v>
      </c>
      <c r="AL1190" s="122">
        <v>2277</v>
      </c>
      <c r="AM1190" s="122">
        <v>2070</v>
      </c>
      <c r="AN1190" s="122">
        <v>3056</v>
      </c>
      <c r="AO1190" s="122">
        <v>1132</v>
      </c>
      <c r="AP1190">
        <v>351</v>
      </c>
      <c r="AQ1190">
        <v>130</v>
      </c>
      <c r="AR1190" s="122">
        <v>11001</v>
      </c>
      <c r="AS1190" s="122">
        <v>4075</v>
      </c>
      <c r="AT1190" s="122">
        <v>0</v>
      </c>
      <c r="AU1190" s="122">
        <v>0</v>
      </c>
      <c r="AV1190" s="122">
        <v>23892</v>
      </c>
    </row>
    <row r="1191" spans="2:48" hidden="1">
      <c r="B1191" t="s">
        <v>369</v>
      </c>
      <c r="C1191" t="s">
        <v>60</v>
      </c>
      <c r="D1191" t="s">
        <v>406</v>
      </c>
      <c r="E1191" t="s">
        <v>406</v>
      </c>
      <c r="F1191" s="122">
        <v>1048</v>
      </c>
      <c r="G1191" s="122">
        <v>121070</v>
      </c>
      <c r="H1191" s="122">
        <v>352922</v>
      </c>
      <c r="I1191" s="122">
        <v>25546832</v>
      </c>
      <c r="J1191" s="122">
        <v>23224393</v>
      </c>
      <c r="K1191" s="122">
        <v>75</v>
      </c>
      <c r="L1191" s="122">
        <v>5009654</v>
      </c>
      <c r="M1191" s="122">
        <v>4436422</v>
      </c>
      <c r="N1191" s="122">
        <v>2505365</v>
      </c>
      <c r="O1191" s="122">
        <v>927913</v>
      </c>
      <c r="P1191" s="122">
        <v>703489</v>
      </c>
      <c r="Q1191" s="122">
        <v>260551</v>
      </c>
      <c r="R1191" s="122">
        <v>6098239</v>
      </c>
      <c r="S1191" s="122">
        <v>5543853</v>
      </c>
      <c r="T1191" s="122">
        <v>1311741</v>
      </c>
      <c r="U1191" s="122">
        <v>485830</v>
      </c>
      <c r="V1191" s="122">
        <v>34878963</v>
      </c>
      <c r="W1191" s="122">
        <f t="shared" si="36"/>
        <v>34878962</v>
      </c>
      <c r="X1191" s="122">
        <f t="shared" si="37"/>
        <v>41175320</v>
      </c>
      <c r="AA1191" t="s">
        <v>58</v>
      </c>
      <c r="AB1191" t="s">
        <v>405</v>
      </c>
      <c r="AC1191" t="s">
        <v>427</v>
      </c>
      <c r="AD1191" t="s">
        <v>407</v>
      </c>
      <c r="AE1191" t="s">
        <v>137</v>
      </c>
      <c r="AF1191">
        <v>1</v>
      </c>
      <c r="AG1191">
        <v>132</v>
      </c>
      <c r="AH1191">
        <v>287</v>
      </c>
      <c r="AI1191" s="122">
        <v>22907</v>
      </c>
      <c r="AJ1191" s="122">
        <v>20825</v>
      </c>
      <c r="AK1191">
        <v>75</v>
      </c>
      <c r="AL1191" s="122">
        <v>3629</v>
      </c>
      <c r="AM1191" s="122">
        <v>3300</v>
      </c>
      <c r="AN1191" s="122">
        <v>2252</v>
      </c>
      <c r="AO1191" s="122">
        <v>834</v>
      </c>
      <c r="AP1191">
        <v>473</v>
      </c>
      <c r="AQ1191">
        <v>175</v>
      </c>
      <c r="AR1191" s="122">
        <v>4929</v>
      </c>
      <c r="AS1191" s="122">
        <v>4481</v>
      </c>
      <c r="AT1191" s="122">
        <v>3708</v>
      </c>
      <c r="AU1191" s="122">
        <v>1373</v>
      </c>
      <c r="AV1191" s="122">
        <v>30987</v>
      </c>
    </row>
    <row r="1192" spans="2:48" hidden="1">
      <c r="B1192" t="s">
        <v>369</v>
      </c>
      <c r="C1192" t="s">
        <v>60</v>
      </c>
      <c r="D1192" t="s">
        <v>406</v>
      </c>
      <c r="E1192" t="s">
        <v>427</v>
      </c>
      <c r="F1192" s="122">
        <v>1</v>
      </c>
      <c r="G1192" s="122">
        <v>147</v>
      </c>
      <c r="H1192" s="122">
        <v>370</v>
      </c>
      <c r="I1192" s="122">
        <v>53995</v>
      </c>
      <c r="J1192" s="122">
        <v>49086</v>
      </c>
      <c r="K1192" s="122">
        <v>55</v>
      </c>
      <c r="L1192" s="122">
        <v>0</v>
      </c>
      <c r="M1192" s="122">
        <v>0</v>
      </c>
      <c r="N1192" s="122">
        <v>4912</v>
      </c>
      <c r="O1192" s="122">
        <v>1819</v>
      </c>
      <c r="P1192" s="122">
        <v>621</v>
      </c>
      <c r="Q1192" s="122">
        <v>230</v>
      </c>
      <c r="R1192" s="122">
        <v>15095</v>
      </c>
      <c r="S1192" s="122">
        <v>13723</v>
      </c>
      <c r="T1192" s="122">
        <v>0</v>
      </c>
      <c r="U1192" s="122">
        <v>0</v>
      </c>
      <c r="V1192" s="122">
        <v>64858</v>
      </c>
      <c r="W1192" s="122">
        <f t="shared" si="36"/>
        <v>64858</v>
      </c>
      <c r="X1192" s="122">
        <f t="shared" si="37"/>
        <v>74623</v>
      </c>
      <c r="AA1192" t="s">
        <v>58</v>
      </c>
      <c r="AB1192" t="s">
        <v>405</v>
      </c>
      <c r="AC1192" t="s">
        <v>427</v>
      </c>
      <c r="AD1192" t="s">
        <v>579</v>
      </c>
      <c r="AE1192" t="s">
        <v>137</v>
      </c>
      <c r="AF1192">
        <v>1</v>
      </c>
      <c r="AG1192">
        <v>142</v>
      </c>
      <c r="AH1192">
        <v>259</v>
      </c>
      <c r="AI1192" s="122">
        <v>19597</v>
      </c>
      <c r="AJ1192" s="122">
        <v>17815</v>
      </c>
      <c r="AK1192">
        <v>78</v>
      </c>
      <c r="AL1192" s="122">
        <v>5378</v>
      </c>
      <c r="AM1192" s="122">
        <v>4889</v>
      </c>
      <c r="AN1192" s="122">
        <v>3203</v>
      </c>
      <c r="AO1192" s="122">
        <v>1186</v>
      </c>
      <c r="AP1192" s="122">
        <v>473</v>
      </c>
      <c r="AQ1192">
        <v>175</v>
      </c>
      <c r="AR1192" s="122">
        <v>5057</v>
      </c>
      <c r="AS1192" s="122">
        <v>4214</v>
      </c>
      <c r="AT1192" s="122">
        <v>3066</v>
      </c>
      <c r="AU1192" s="122">
        <v>1135</v>
      </c>
      <c r="AV1192" s="122">
        <v>29415</v>
      </c>
    </row>
    <row r="1193" spans="2:48" hidden="1">
      <c r="B1193" t="s">
        <v>369</v>
      </c>
      <c r="C1193" t="s">
        <v>60</v>
      </c>
      <c r="D1193" t="s">
        <v>406</v>
      </c>
      <c r="E1193" t="s">
        <v>426</v>
      </c>
      <c r="F1193" s="122">
        <v>2</v>
      </c>
      <c r="G1193" s="122">
        <v>188</v>
      </c>
      <c r="H1193" s="122">
        <v>678</v>
      </c>
      <c r="I1193" s="122">
        <v>33781</v>
      </c>
      <c r="J1193" s="122">
        <v>30710</v>
      </c>
      <c r="K1193" s="122">
        <v>78</v>
      </c>
      <c r="L1193" s="122">
        <v>7500</v>
      </c>
      <c r="M1193" s="122">
        <v>6818</v>
      </c>
      <c r="N1193" s="122">
        <v>3760</v>
      </c>
      <c r="O1193" s="122">
        <v>1393</v>
      </c>
      <c r="P1193" s="122">
        <v>1593</v>
      </c>
      <c r="Q1193" s="122">
        <v>590</v>
      </c>
      <c r="R1193" s="122">
        <v>13868</v>
      </c>
      <c r="S1193" s="122">
        <v>12607</v>
      </c>
      <c r="T1193" s="122">
        <v>2520</v>
      </c>
      <c r="U1193" s="122">
        <v>933</v>
      </c>
      <c r="V1193" s="122">
        <v>53051</v>
      </c>
      <c r="W1193" s="122">
        <f t="shared" si="36"/>
        <v>53051</v>
      </c>
      <c r="X1193" s="122">
        <f t="shared" si="37"/>
        <v>63022</v>
      </c>
      <c r="AA1193" t="s">
        <v>58</v>
      </c>
      <c r="AB1193" t="s">
        <v>405</v>
      </c>
      <c r="AC1193" t="s">
        <v>579</v>
      </c>
      <c r="AD1193" t="s">
        <v>425</v>
      </c>
      <c r="AE1193" t="s">
        <v>137</v>
      </c>
      <c r="AF1193">
        <v>2</v>
      </c>
      <c r="AG1193" s="122">
        <v>268</v>
      </c>
      <c r="AH1193" s="122">
        <v>524</v>
      </c>
      <c r="AI1193" s="122">
        <v>40060</v>
      </c>
      <c r="AJ1193" s="122">
        <v>36418</v>
      </c>
      <c r="AK1193">
        <v>79</v>
      </c>
      <c r="AL1193" s="122">
        <v>6435</v>
      </c>
      <c r="AM1193" s="122">
        <v>5362</v>
      </c>
      <c r="AN1193" s="122">
        <v>5846</v>
      </c>
      <c r="AO1193" s="122">
        <v>2165</v>
      </c>
      <c r="AP1193" s="122">
        <v>2592</v>
      </c>
      <c r="AQ1193" s="122">
        <v>960</v>
      </c>
      <c r="AR1193" s="122">
        <v>9164</v>
      </c>
      <c r="AS1193" s="122">
        <v>8331</v>
      </c>
      <c r="AT1193" s="122">
        <v>6115</v>
      </c>
      <c r="AU1193" s="122">
        <v>2265</v>
      </c>
      <c r="AV1193" s="122">
        <v>55502</v>
      </c>
    </row>
    <row r="1194" spans="2:48" hidden="1">
      <c r="B1194" t="s">
        <v>369</v>
      </c>
      <c r="C1194" t="s">
        <v>60</v>
      </c>
      <c r="D1194" t="s">
        <v>427</v>
      </c>
      <c r="E1194" t="s">
        <v>427</v>
      </c>
      <c r="F1194" s="122">
        <v>8</v>
      </c>
      <c r="G1194" s="122">
        <v>789</v>
      </c>
      <c r="H1194" s="122">
        <v>2789</v>
      </c>
      <c r="I1194" s="122">
        <v>187279</v>
      </c>
      <c r="J1194" s="122">
        <v>170253</v>
      </c>
      <c r="K1194" s="122">
        <v>60</v>
      </c>
      <c r="L1194" s="122">
        <v>20953</v>
      </c>
      <c r="M1194" s="122">
        <v>19048</v>
      </c>
      <c r="N1194" s="122">
        <v>17068</v>
      </c>
      <c r="O1194" s="122">
        <v>6322</v>
      </c>
      <c r="P1194" s="122">
        <v>2808</v>
      </c>
      <c r="Q1194" s="122">
        <v>1040</v>
      </c>
      <c r="R1194" s="122">
        <v>44602</v>
      </c>
      <c r="S1194" s="122">
        <v>40548</v>
      </c>
      <c r="T1194" s="122">
        <v>15430</v>
      </c>
      <c r="U1194" s="122">
        <v>5715</v>
      </c>
      <c r="V1194" s="122">
        <v>242925</v>
      </c>
      <c r="W1194" s="122">
        <f t="shared" si="36"/>
        <v>242926</v>
      </c>
      <c r="X1194" s="122">
        <f t="shared" si="37"/>
        <v>288140</v>
      </c>
      <c r="AA1194" t="s">
        <v>58</v>
      </c>
      <c r="AB1194" t="s">
        <v>405</v>
      </c>
      <c r="AC1194" t="s">
        <v>579</v>
      </c>
      <c r="AD1194" t="s">
        <v>405</v>
      </c>
      <c r="AE1194" t="s">
        <v>137</v>
      </c>
      <c r="AF1194">
        <v>23</v>
      </c>
      <c r="AG1194" s="122">
        <v>3114</v>
      </c>
      <c r="AH1194" s="122">
        <v>6178</v>
      </c>
      <c r="AI1194" s="122">
        <v>492572</v>
      </c>
      <c r="AJ1194" s="122">
        <v>447793</v>
      </c>
      <c r="AK1194">
        <v>76</v>
      </c>
      <c r="AL1194" s="122">
        <v>108774</v>
      </c>
      <c r="AM1194" s="122">
        <v>90645</v>
      </c>
      <c r="AN1194" s="122">
        <v>62816</v>
      </c>
      <c r="AO1194" s="122">
        <v>23265</v>
      </c>
      <c r="AP1194" s="122">
        <v>11219</v>
      </c>
      <c r="AQ1194" s="122">
        <v>4155</v>
      </c>
      <c r="AR1194" s="122">
        <v>118671</v>
      </c>
      <c r="AS1194" s="122">
        <v>107882</v>
      </c>
      <c r="AT1194" s="122">
        <v>52919</v>
      </c>
      <c r="AU1194" s="122">
        <v>19600</v>
      </c>
      <c r="AV1194" s="122">
        <v>693339</v>
      </c>
    </row>
    <row r="1195" spans="2:48" hidden="1">
      <c r="B1195" t="s">
        <v>369</v>
      </c>
      <c r="C1195" t="s">
        <v>60</v>
      </c>
      <c r="D1195" t="s">
        <v>407</v>
      </c>
      <c r="E1195" t="s">
        <v>407</v>
      </c>
      <c r="F1195" s="122">
        <v>1</v>
      </c>
      <c r="G1195" s="122">
        <v>112</v>
      </c>
      <c r="H1195" s="122">
        <v>335</v>
      </c>
      <c r="I1195" s="122">
        <v>26287</v>
      </c>
      <c r="J1195" s="122">
        <v>23897</v>
      </c>
      <c r="K1195" s="122">
        <v>90</v>
      </c>
      <c r="L1195" s="122">
        <v>4396</v>
      </c>
      <c r="M1195" s="122">
        <v>3996</v>
      </c>
      <c r="N1195" s="122">
        <v>1882</v>
      </c>
      <c r="O1195" s="122">
        <v>697</v>
      </c>
      <c r="P1195" s="122">
        <v>473</v>
      </c>
      <c r="Q1195" s="122">
        <v>175</v>
      </c>
      <c r="R1195" s="122">
        <v>4449</v>
      </c>
      <c r="S1195" s="122">
        <v>4045</v>
      </c>
      <c r="T1195" s="122">
        <v>0</v>
      </c>
      <c r="U1195" s="122">
        <v>0</v>
      </c>
      <c r="V1195" s="122">
        <v>32810</v>
      </c>
      <c r="W1195" s="122">
        <f t="shared" si="36"/>
        <v>32810</v>
      </c>
      <c r="X1195" s="122">
        <f t="shared" si="37"/>
        <v>37487</v>
      </c>
      <c r="AA1195" t="s">
        <v>58</v>
      </c>
      <c r="AB1195" t="s">
        <v>405</v>
      </c>
      <c r="AC1195" t="s">
        <v>579</v>
      </c>
      <c r="AD1195" t="s">
        <v>405</v>
      </c>
      <c r="AE1195" t="s">
        <v>566</v>
      </c>
      <c r="AF1195">
        <v>24</v>
      </c>
      <c r="AG1195" s="122">
        <v>3746</v>
      </c>
      <c r="AH1195" s="122">
        <v>6090</v>
      </c>
      <c r="AI1195" s="122">
        <v>600680</v>
      </c>
      <c r="AJ1195" s="122">
        <v>546072</v>
      </c>
      <c r="AK1195">
        <v>83</v>
      </c>
      <c r="AL1195" s="122">
        <v>147113</v>
      </c>
      <c r="AM1195" s="122">
        <v>122595</v>
      </c>
      <c r="AN1195" s="122">
        <v>79393</v>
      </c>
      <c r="AO1195" s="122">
        <v>29405</v>
      </c>
      <c r="AP1195" s="122">
        <v>11718</v>
      </c>
      <c r="AQ1195" s="122">
        <v>4340</v>
      </c>
      <c r="AR1195" s="122">
        <v>141238</v>
      </c>
      <c r="AS1195" s="122">
        <v>128398</v>
      </c>
      <c r="AT1195" s="122">
        <v>0</v>
      </c>
      <c r="AU1195" s="122">
        <v>0</v>
      </c>
      <c r="AV1195" s="122">
        <v>830810</v>
      </c>
    </row>
    <row r="1196" spans="2:48" hidden="1">
      <c r="B1196" t="s">
        <v>369</v>
      </c>
      <c r="C1196" t="s">
        <v>60</v>
      </c>
      <c r="D1196" t="s">
        <v>556</v>
      </c>
      <c r="E1196" t="s">
        <v>556</v>
      </c>
      <c r="F1196" s="122">
        <v>6</v>
      </c>
      <c r="G1196" s="122">
        <v>679</v>
      </c>
      <c r="H1196" s="122">
        <v>2004</v>
      </c>
      <c r="I1196" s="122">
        <v>139234</v>
      </c>
      <c r="J1196" s="122">
        <v>116028</v>
      </c>
      <c r="K1196" s="122">
        <v>64</v>
      </c>
      <c r="L1196" s="122">
        <v>20725</v>
      </c>
      <c r="M1196" s="122">
        <v>17445</v>
      </c>
      <c r="N1196" s="122">
        <v>12775</v>
      </c>
      <c r="O1196" s="122">
        <v>4731</v>
      </c>
      <c r="P1196" s="122">
        <v>3078</v>
      </c>
      <c r="Q1196" s="122">
        <v>1140</v>
      </c>
      <c r="R1196" s="122">
        <v>34831</v>
      </c>
      <c r="S1196" s="122">
        <v>29026</v>
      </c>
      <c r="T1196" s="122">
        <v>17559</v>
      </c>
      <c r="U1196" s="122">
        <v>6503</v>
      </c>
      <c r="V1196" s="122">
        <v>174874</v>
      </c>
      <c r="W1196" s="122">
        <f t="shared" si="36"/>
        <v>174873</v>
      </c>
      <c r="X1196" s="122">
        <f t="shared" si="37"/>
        <v>228202</v>
      </c>
      <c r="AA1196" t="s">
        <v>58</v>
      </c>
      <c r="AB1196" t="s">
        <v>405</v>
      </c>
      <c r="AC1196" t="s">
        <v>579</v>
      </c>
      <c r="AD1196" t="s">
        <v>407</v>
      </c>
      <c r="AE1196" t="s">
        <v>137</v>
      </c>
      <c r="AF1196">
        <v>1</v>
      </c>
      <c r="AG1196">
        <v>131</v>
      </c>
      <c r="AH1196">
        <v>235</v>
      </c>
      <c r="AI1196" s="122">
        <v>15165</v>
      </c>
      <c r="AJ1196" s="122">
        <v>13786</v>
      </c>
      <c r="AK1196">
        <v>91</v>
      </c>
      <c r="AL1196" s="122">
        <v>5306</v>
      </c>
      <c r="AM1196" s="122">
        <v>4422</v>
      </c>
      <c r="AN1196" s="122">
        <v>2691</v>
      </c>
      <c r="AO1196" s="122">
        <v>997</v>
      </c>
      <c r="AP1196">
        <v>473</v>
      </c>
      <c r="AQ1196">
        <v>175</v>
      </c>
      <c r="AR1196" s="122">
        <v>4061</v>
      </c>
      <c r="AS1196" s="122">
        <v>3692</v>
      </c>
      <c r="AT1196" s="122">
        <v>3167</v>
      </c>
      <c r="AU1196" s="122">
        <v>1173</v>
      </c>
      <c r="AV1196" s="122">
        <v>24244</v>
      </c>
    </row>
    <row r="1197" spans="2:48" hidden="1">
      <c r="B1197" t="s">
        <v>369</v>
      </c>
      <c r="C1197" t="s">
        <v>60</v>
      </c>
      <c r="D1197" t="s">
        <v>428</v>
      </c>
      <c r="E1197" t="s">
        <v>428</v>
      </c>
      <c r="F1197" s="122">
        <v>2</v>
      </c>
      <c r="G1197" s="122">
        <v>143</v>
      </c>
      <c r="H1197" s="122">
        <v>706</v>
      </c>
      <c r="I1197" s="122">
        <v>28477</v>
      </c>
      <c r="J1197" s="122">
        <v>25888</v>
      </c>
      <c r="K1197" s="122">
        <v>63</v>
      </c>
      <c r="L1197" s="122">
        <v>6605</v>
      </c>
      <c r="M1197" s="122">
        <v>6005</v>
      </c>
      <c r="N1197" s="122">
        <v>3492</v>
      </c>
      <c r="O1197" s="122">
        <v>1293</v>
      </c>
      <c r="P1197" s="122">
        <v>702</v>
      </c>
      <c r="Q1197" s="122">
        <v>260</v>
      </c>
      <c r="R1197" s="122">
        <v>7045</v>
      </c>
      <c r="S1197" s="122">
        <v>6405</v>
      </c>
      <c r="T1197" s="122">
        <v>4238</v>
      </c>
      <c r="U1197" s="122">
        <v>1570</v>
      </c>
      <c r="V1197" s="122">
        <v>41420</v>
      </c>
      <c r="W1197" s="122">
        <f t="shared" si="36"/>
        <v>41421</v>
      </c>
      <c r="X1197" s="122">
        <f t="shared" si="37"/>
        <v>50559</v>
      </c>
      <c r="AA1197" t="s">
        <v>58</v>
      </c>
      <c r="AB1197" t="s">
        <v>405</v>
      </c>
      <c r="AC1197" t="s">
        <v>428</v>
      </c>
      <c r="AD1197" t="s">
        <v>405</v>
      </c>
      <c r="AE1197" t="s">
        <v>137</v>
      </c>
      <c r="AF1197">
        <v>2</v>
      </c>
      <c r="AG1197">
        <v>390</v>
      </c>
      <c r="AH1197" s="122">
        <v>468</v>
      </c>
      <c r="AI1197" s="122">
        <v>51094</v>
      </c>
      <c r="AJ1197" s="122">
        <v>46449</v>
      </c>
      <c r="AK1197">
        <v>80</v>
      </c>
      <c r="AL1197" s="122">
        <v>14443</v>
      </c>
      <c r="AM1197" s="122">
        <v>13130</v>
      </c>
      <c r="AN1197" s="122">
        <v>6210</v>
      </c>
      <c r="AO1197" s="122">
        <v>2300</v>
      </c>
      <c r="AP1197" s="122">
        <v>473</v>
      </c>
      <c r="AQ1197">
        <v>175</v>
      </c>
      <c r="AR1197" s="122">
        <v>11233</v>
      </c>
      <c r="AS1197" s="122">
        <v>10212</v>
      </c>
      <c r="AT1197" s="122">
        <v>8192</v>
      </c>
      <c r="AU1197" s="122">
        <v>3034</v>
      </c>
      <c r="AV1197" s="122">
        <v>75300</v>
      </c>
    </row>
    <row r="1198" spans="2:48" hidden="1">
      <c r="B1198" t="s">
        <v>369</v>
      </c>
      <c r="C1198" t="s">
        <v>60</v>
      </c>
      <c r="D1198" t="s">
        <v>431</v>
      </c>
      <c r="E1198" t="s">
        <v>431</v>
      </c>
      <c r="F1198" s="122">
        <v>3</v>
      </c>
      <c r="G1198" s="122">
        <v>274</v>
      </c>
      <c r="H1198" s="122">
        <v>1036</v>
      </c>
      <c r="I1198" s="122">
        <v>53650</v>
      </c>
      <c r="J1198" s="122">
        <v>48773</v>
      </c>
      <c r="K1198" s="122">
        <v>58</v>
      </c>
      <c r="L1198" s="122">
        <v>8267</v>
      </c>
      <c r="M1198" s="122">
        <v>6549</v>
      </c>
      <c r="N1198" s="122">
        <v>5714</v>
      </c>
      <c r="O1198" s="122">
        <v>2116</v>
      </c>
      <c r="P1198" s="122">
        <v>1053</v>
      </c>
      <c r="Q1198" s="122">
        <v>390</v>
      </c>
      <c r="R1198" s="122">
        <v>18593</v>
      </c>
      <c r="S1198" s="122">
        <v>16903</v>
      </c>
      <c r="T1198" s="122">
        <v>5948</v>
      </c>
      <c r="U1198" s="122">
        <v>2203</v>
      </c>
      <c r="V1198" s="122">
        <v>76935</v>
      </c>
      <c r="W1198" s="122">
        <f t="shared" si="36"/>
        <v>76934</v>
      </c>
      <c r="X1198" s="122">
        <f t="shared" si="37"/>
        <v>93225</v>
      </c>
      <c r="AA1198" t="s">
        <v>58</v>
      </c>
      <c r="AB1198" t="s">
        <v>405</v>
      </c>
      <c r="AC1198" t="s">
        <v>428</v>
      </c>
      <c r="AD1198" t="s">
        <v>405</v>
      </c>
      <c r="AE1198" t="s">
        <v>566</v>
      </c>
      <c r="AF1198">
        <v>4</v>
      </c>
      <c r="AG1198" s="122">
        <v>642</v>
      </c>
      <c r="AH1198" s="122">
        <v>1055</v>
      </c>
      <c r="AI1198" s="122">
        <v>108902</v>
      </c>
      <c r="AJ1198" s="122">
        <v>99001</v>
      </c>
      <c r="AK1198">
        <v>80</v>
      </c>
      <c r="AL1198" s="122">
        <v>31107</v>
      </c>
      <c r="AM1198" s="122">
        <v>28279</v>
      </c>
      <c r="AN1198" s="122">
        <v>13210</v>
      </c>
      <c r="AO1198" s="122">
        <v>4892</v>
      </c>
      <c r="AP1198" s="122">
        <v>1769</v>
      </c>
      <c r="AQ1198" s="122">
        <v>655</v>
      </c>
      <c r="AR1198" s="122">
        <v>17734</v>
      </c>
      <c r="AS1198" s="122">
        <v>16122</v>
      </c>
      <c r="AT1198">
        <v>0</v>
      </c>
      <c r="AU1198">
        <v>0</v>
      </c>
      <c r="AV1198" s="122">
        <v>148950</v>
      </c>
    </row>
    <row r="1199" spans="2:48" hidden="1">
      <c r="B1199" t="s">
        <v>369</v>
      </c>
      <c r="C1199" t="s">
        <v>60</v>
      </c>
      <c r="D1199" t="s">
        <v>426</v>
      </c>
      <c r="E1199" t="s">
        <v>425</v>
      </c>
      <c r="F1199" s="122">
        <v>1</v>
      </c>
      <c r="G1199" s="122">
        <v>65</v>
      </c>
      <c r="H1199" s="122">
        <v>344</v>
      </c>
      <c r="I1199" s="122">
        <v>15292</v>
      </c>
      <c r="J1199" s="122">
        <v>13901</v>
      </c>
      <c r="K1199" s="122">
        <v>60</v>
      </c>
      <c r="L1199" s="122">
        <v>2502</v>
      </c>
      <c r="M1199" s="122">
        <v>927</v>
      </c>
      <c r="N1199" s="122">
        <v>1578</v>
      </c>
      <c r="O1199" s="122">
        <v>584</v>
      </c>
      <c r="P1199" s="122">
        <v>0</v>
      </c>
      <c r="Q1199" s="122">
        <v>0</v>
      </c>
      <c r="R1199" s="122">
        <v>2871</v>
      </c>
      <c r="S1199" s="122">
        <v>2610</v>
      </c>
      <c r="T1199" s="122">
        <v>0</v>
      </c>
      <c r="U1199" s="122">
        <v>0</v>
      </c>
      <c r="V1199" s="122">
        <v>18022</v>
      </c>
      <c r="W1199" s="122">
        <f t="shared" si="36"/>
        <v>18022</v>
      </c>
      <c r="X1199" s="122">
        <f t="shared" si="37"/>
        <v>22243</v>
      </c>
      <c r="AA1199" t="s">
        <v>58</v>
      </c>
      <c r="AB1199" t="s">
        <v>405</v>
      </c>
      <c r="AC1199" t="s">
        <v>431</v>
      </c>
      <c r="AD1199" t="s">
        <v>405</v>
      </c>
      <c r="AE1199" t="s">
        <v>566</v>
      </c>
      <c r="AF1199">
        <v>10</v>
      </c>
      <c r="AG1199" s="122">
        <v>1160</v>
      </c>
      <c r="AH1199" s="122">
        <v>2672</v>
      </c>
      <c r="AI1199" s="122">
        <v>193347</v>
      </c>
      <c r="AJ1199" s="122">
        <v>175770</v>
      </c>
      <c r="AK1199">
        <v>87</v>
      </c>
      <c r="AL1199" s="122">
        <v>37457</v>
      </c>
      <c r="AM1199" s="122">
        <v>34052</v>
      </c>
      <c r="AN1199" s="122">
        <v>25516</v>
      </c>
      <c r="AO1199" s="122">
        <v>9450</v>
      </c>
      <c r="AP1199" s="122">
        <v>5333</v>
      </c>
      <c r="AQ1199" s="122">
        <v>1975</v>
      </c>
      <c r="AR1199" s="122">
        <v>51290</v>
      </c>
      <c r="AS1199" s="122">
        <v>46628</v>
      </c>
      <c r="AT1199" s="122">
        <v>0</v>
      </c>
      <c r="AU1199" s="122">
        <v>0</v>
      </c>
      <c r="AV1199" s="122">
        <v>267875</v>
      </c>
    </row>
    <row r="1200" spans="2:48" hidden="1">
      <c r="B1200" t="s">
        <v>369</v>
      </c>
      <c r="C1200" t="s">
        <v>60</v>
      </c>
      <c r="D1200" t="s">
        <v>426</v>
      </c>
      <c r="E1200" t="s">
        <v>137</v>
      </c>
      <c r="F1200" s="122">
        <v>12</v>
      </c>
      <c r="G1200" s="122">
        <v>1285</v>
      </c>
      <c r="H1200" s="122">
        <v>4164</v>
      </c>
      <c r="I1200" s="122">
        <v>278098</v>
      </c>
      <c r="J1200" s="122">
        <v>252817</v>
      </c>
      <c r="K1200" s="122">
        <v>55</v>
      </c>
      <c r="L1200" s="122">
        <v>39296</v>
      </c>
      <c r="M1200" s="122">
        <v>19677</v>
      </c>
      <c r="N1200" s="122">
        <v>24552</v>
      </c>
      <c r="O1200" s="122">
        <v>9093</v>
      </c>
      <c r="P1200" s="122">
        <v>702</v>
      </c>
      <c r="Q1200" s="122">
        <v>260</v>
      </c>
      <c r="R1200" s="122">
        <v>97490</v>
      </c>
      <c r="S1200" s="122">
        <v>36107</v>
      </c>
      <c r="T1200" s="122">
        <v>0</v>
      </c>
      <c r="U1200" s="122">
        <v>0</v>
      </c>
      <c r="V1200" s="122">
        <v>317954</v>
      </c>
      <c r="W1200" s="122">
        <f t="shared" si="36"/>
        <v>317954</v>
      </c>
      <c r="X1200" s="122">
        <f t="shared" si="37"/>
        <v>440138</v>
      </c>
      <c r="AA1200" t="s">
        <v>58</v>
      </c>
      <c r="AB1200" t="s">
        <v>405</v>
      </c>
      <c r="AC1200" t="s">
        <v>431</v>
      </c>
      <c r="AD1200" t="s">
        <v>407</v>
      </c>
      <c r="AE1200" t="s">
        <v>137</v>
      </c>
      <c r="AF1200">
        <v>1</v>
      </c>
      <c r="AG1200">
        <v>151</v>
      </c>
      <c r="AH1200">
        <v>239</v>
      </c>
      <c r="AI1200" s="122">
        <v>19748</v>
      </c>
      <c r="AJ1200" s="122">
        <v>17953</v>
      </c>
      <c r="AK1200">
        <v>75</v>
      </c>
      <c r="AL1200" s="122">
        <v>2417</v>
      </c>
      <c r="AM1200" s="122">
        <v>2197</v>
      </c>
      <c r="AN1200" s="122">
        <v>3670</v>
      </c>
      <c r="AO1200" s="122">
        <v>1359</v>
      </c>
      <c r="AP1200">
        <v>473</v>
      </c>
      <c r="AQ1200">
        <v>175</v>
      </c>
      <c r="AR1200" s="122">
        <v>5779</v>
      </c>
      <c r="AS1200" s="122">
        <v>5254</v>
      </c>
      <c r="AT1200" s="122">
        <v>3918</v>
      </c>
      <c r="AU1200" s="122">
        <v>1451</v>
      </c>
      <c r="AV1200" s="122">
        <v>28389</v>
      </c>
    </row>
    <row r="1201" spans="2:48" hidden="1">
      <c r="B1201" t="s">
        <v>369</v>
      </c>
      <c r="C1201" t="s">
        <v>60</v>
      </c>
      <c r="D1201" t="s">
        <v>426</v>
      </c>
      <c r="E1201" t="s">
        <v>406</v>
      </c>
      <c r="F1201" s="122">
        <v>1</v>
      </c>
      <c r="G1201" s="122">
        <v>141</v>
      </c>
      <c r="H1201" s="122">
        <v>352</v>
      </c>
      <c r="I1201" s="122">
        <v>34550</v>
      </c>
      <c r="J1201" s="122">
        <v>31409</v>
      </c>
      <c r="K1201" s="122">
        <v>65</v>
      </c>
      <c r="L1201" s="122">
        <v>3954</v>
      </c>
      <c r="M1201" s="122">
        <v>3595</v>
      </c>
      <c r="N1201" s="122">
        <v>1712</v>
      </c>
      <c r="O1201" s="122">
        <v>634</v>
      </c>
      <c r="P1201" s="122">
        <v>972</v>
      </c>
      <c r="Q1201" s="122">
        <v>360</v>
      </c>
      <c r="R1201" s="122">
        <v>5360</v>
      </c>
      <c r="S1201" s="122">
        <v>4872</v>
      </c>
      <c r="T1201" s="122">
        <v>2914</v>
      </c>
      <c r="U1201" s="122">
        <v>1079</v>
      </c>
      <c r="V1201" s="122">
        <v>41950</v>
      </c>
      <c r="W1201" s="122">
        <f t="shared" si="36"/>
        <v>41949</v>
      </c>
      <c r="X1201" s="122">
        <f t="shared" si="37"/>
        <v>49462</v>
      </c>
      <c r="AA1201" t="s">
        <v>58</v>
      </c>
      <c r="AB1201" t="s">
        <v>405</v>
      </c>
      <c r="AC1201" t="s">
        <v>426</v>
      </c>
      <c r="AD1201" t="s">
        <v>425</v>
      </c>
      <c r="AE1201" t="s">
        <v>137</v>
      </c>
      <c r="AF1201">
        <v>1</v>
      </c>
      <c r="AG1201">
        <v>132</v>
      </c>
      <c r="AH1201" s="122">
        <v>267</v>
      </c>
      <c r="AI1201" s="122">
        <v>19866</v>
      </c>
      <c r="AJ1201" s="122">
        <v>18060</v>
      </c>
      <c r="AK1201">
        <v>78</v>
      </c>
      <c r="AL1201" s="122">
        <v>5459</v>
      </c>
      <c r="AM1201" s="122">
        <v>4963</v>
      </c>
      <c r="AN1201" s="122">
        <v>2896</v>
      </c>
      <c r="AO1201" s="122">
        <v>1073</v>
      </c>
      <c r="AP1201" s="122">
        <v>473</v>
      </c>
      <c r="AQ1201">
        <v>175</v>
      </c>
      <c r="AR1201" s="122">
        <v>3747</v>
      </c>
      <c r="AS1201" s="122">
        <v>3406</v>
      </c>
      <c r="AT1201" s="122">
        <v>2817</v>
      </c>
      <c r="AU1201" s="122">
        <v>1043</v>
      </c>
      <c r="AV1201" s="122">
        <v>28721</v>
      </c>
    </row>
    <row r="1202" spans="2:48" hidden="1">
      <c r="B1202" t="s">
        <v>369</v>
      </c>
      <c r="C1202" t="s">
        <v>60</v>
      </c>
      <c r="D1202" t="s">
        <v>426</v>
      </c>
      <c r="E1202" t="s">
        <v>426</v>
      </c>
      <c r="F1202" s="122">
        <v>208</v>
      </c>
      <c r="G1202" s="122">
        <v>19338</v>
      </c>
      <c r="H1202" s="122">
        <v>70828</v>
      </c>
      <c r="I1202" s="122">
        <v>4014400</v>
      </c>
      <c r="J1202" s="122">
        <v>3649455</v>
      </c>
      <c r="K1202" s="122">
        <v>61</v>
      </c>
      <c r="L1202" s="122">
        <v>693766</v>
      </c>
      <c r="M1202" s="122">
        <v>578784</v>
      </c>
      <c r="N1202" s="122">
        <v>334015</v>
      </c>
      <c r="O1202" s="122">
        <v>123709</v>
      </c>
      <c r="P1202" s="122">
        <v>85691</v>
      </c>
      <c r="Q1202" s="122">
        <v>31737</v>
      </c>
      <c r="R1202" s="122">
        <v>1089303</v>
      </c>
      <c r="S1202" s="122">
        <v>990275</v>
      </c>
      <c r="T1202" s="122">
        <v>457485</v>
      </c>
      <c r="U1202" s="122">
        <v>169439</v>
      </c>
      <c r="V1202" s="122">
        <v>5543400</v>
      </c>
      <c r="W1202" s="122">
        <f t="shared" si="36"/>
        <v>5543399</v>
      </c>
      <c r="X1202" s="122">
        <f t="shared" si="37"/>
        <v>6674660</v>
      </c>
      <c r="AA1202" t="s">
        <v>58</v>
      </c>
      <c r="AB1202" t="s">
        <v>405</v>
      </c>
      <c r="AC1202" t="s">
        <v>426</v>
      </c>
      <c r="AD1202" t="s">
        <v>425</v>
      </c>
      <c r="AE1202" t="s">
        <v>566</v>
      </c>
      <c r="AF1202">
        <v>5</v>
      </c>
      <c r="AG1202" s="122">
        <v>582</v>
      </c>
      <c r="AH1202" s="122">
        <v>1347</v>
      </c>
      <c r="AI1202" s="122">
        <v>101802</v>
      </c>
      <c r="AJ1202" s="122">
        <v>92547</v>
      </c>
      <c r="AK1202">
        <v>79</v>
      </c>
      <c r="AL1202" s="122">
        <v>19269</v>
      </c>
      <c r="AM1202" s="122">
        <v>17517</v>
      </c>
      <c r="AN1202" s="122">
        <v>13561</v>
      </c>
      <c r="AO1202" s="122">
        <v>5023</v>
      </c>
      <c r="AP1202" s="122">
        <v>2363</v>
      </c>
      <c r="AQ1202" s="122">
        <v>875</v>
      </c>
      <c r="AR1202" s="122">
        <v>27505</v>
      </c>
      <c r="AS1202" s="122">
        <v>25004</v>
      </c>
      <c r="AT1202" s="122">
        <v>0</v>
      </c>
      <c r="AU1202" s="122">
        <v>0</v>
      </c>
      <c r="AV1202" s="122">
        <v>140966</v>
      </c>
    </row>
    <row r="1203" spans="2:48" hidden="1">
      <c r="B1203" t="s">
        <v>369</v>
      </c>
      <c r="C1203" t="s">
        <v>60</v>
      </c>
      <c r="D1203" t="s">
        <v>433</v>
      </c>
      <c r="E1203" t="s">
        <v>137</v>
      </c>
      <c r="F1203" s="122">
        <v>1</v>
      </c>
      <c r="G1203" s="122">
        <v>30</v>
      </c>
      <c r="H1203" s="122">
        <v>309</v>
      </c>
      <c r="I1203" s="122">
        <v>6676</v>
      </c>
      <c r="J1203" s="122">
        <v>6069</v>
      </c>
      <c r="K1203" s="122">
        <v>60</v>
      </c>
      <c r="L1203" s="122">
        <v>0</v>
      </c>
      <c r="M1203" s="122">
        <v>0</v>
      </c>
      <c r="N1203" s="122">
        <v>366</v>
      </c>
      <c r="O1203" s="122">
        <v>136</v>
      </c>
      <c r="P1203" s="122">
        <v>0</v>
      </c>
      <c r="Q1203" s="122">
        <v>0</v>
      </c>
      <c r="R1203" s="122">
        <v>2234</v>
      </c>
      <c r="S1203" s="122">
        <v>827</v>
      </c>
      <c r="T1203" s="122">
        <v>0</v>
      </c>
      <c r="U1203" s="122">
        <v>0</v>
      </c>
      <c r="V1203" s="122">
        <v>7032</v>
      </c>
      <c r="W1203" s="122">
        <f t="shared" si="36"/>
        <v>7032</v>
      </c>
      <c r="X1203" s="122">
        <f t="shared" si="37"/>
        <v>9276</v>
      </c>
      <c r="AA1203" t="s">
        <v>58</v>
      </c>
      <c r="AB1203" t="s">
        <v>405</v>
      </c>
      <c r="AC1203" t="s">
        <v>426</v>
      </c>
      <c r="AD1203" t="s">
        <v>405</v>
      </c>
      <c r="AE1203" t="s">
        <v>137</v>
      </c>
      <c r="AF1203">
        <v>239</v>
      </c>
      <c r="AG1203" s="122">
        <v>33588</v>
      </c>
      <c r="AH1203" s="122">
        <v>62112</v>
      </c>
      <c r="AI1203" s="122">
        <v>5319210</v>
      </c>
      <c r="AJ1203" s="122">
        <v>4835646</v>
      </c>
      <c r="AK1203">
        <v>77</v>
      </c>
      <c r="AL1203" s="122">
        <v>1102938</v>
      </c>
      <c r="AM1203" s="122">
        <v>1002671</v>
      </c>
      <c r="AN1203" s="122">
        <v>724951</v>
      </c>
      <c r="AO1203" s="122">
        <v>268500</v>
      </c>
      <c r="AP1203" s="122">
        <v>126297</v>
      </c>
      <c r="AQ1203" s="122">
        <v>46777</v>
      </c>
      <c r="AR1203" s="122">
        <v>1180270</v>
      </c>
      <c r="AS1203" s="122">
        <v>1072973</v>
      </c>
      <c r="AT1203" s="122">
        <v>571272</v>
      </c>
      <c r="AU1203" s="122">
        <v>211582</v>
      </c>
      <c r="AV1203" s="122">
        <v>7438149</v>
      </c>
    </row>
    <row r="1204" spans="2:48" hidden="1">
      <c r="B1204" t="s">
        <v>369</v>
      </c>
      <c r="C1204" t="s">
        <v>60</v>
      </c>
      <c r="D1204" t="s">
        <v>433</v>
      </c>
      <c r="E1204" t="s">
        <v>433</v>
      </c>
      <c r="F1204" s="122">
        <v>3</v>
      </c>
      <c r="G1204" s="122">
        <v>222</v>
      </c>
      <c r="H1204" s="122">
        <v>1013</v>
      </c>
      <c r="I1204" s="122">
        <v>40256</v>
      </c>
      <c r="J1204" s="122">
        <v>36596</v>
      </c>
      <c r="K1204" s="122">
        <v>69</v>
      </c>
      <c r="L1204" s="122">
        <v>10261</v>
      </c>
      <c r="M1204" s="122">
        <v>9328</v>
      </c>
      <c r="N1204" s="122">
        <v>4126</v>
      </c>
      <c r="O1204" s="122">
        <v>1528</v>
      </c>
      <c r="P1204" s="122">
        <v>1053</v>
      </c>
      <c r="Q1204" s="122">
        <v>390</v>
      </c>
      <c r="R1204" s="122">
        <v>14469</v>
      </c>
      <c r="S1204" s="122">
        <v>13154</v>
      </c>
      <c r="T1204" s="122">
        <v>4807</v>
      </c>
      <c r="U1204" s="122">
        <v>1780</v>
      </c>
      <c r="V1204" s="122">
        <v>62776</v>
      </c>
      <c r="W1204" s="122">
        <f t="shared" si="36"/>
        <v>62776</v>
      </c>
      <c r="X1204" s="122">
        <f t="shared" si="37"/>
        <v>74972</v>
      </c>
      <c r="AA1204" t="s">
        <v>58</v>
      </c>
      <c r="AB1204" t="s">
        <v>405</v>
      </c>
      <c r="AC1204" t="s">
        <v>426</v>
      </c>
      <c r="AD1204" t="s">
        <v>405</v>
      </c>
      <c r="AE1204" t="s">
        <v>566</v>
      </c>
      <c r="AF1204">
        <v>317</v>
      </c>
      <c r="AG1204" s="122">
        <v>44949</v>
      </c>
      <c r="AH1204" s="122">
        <v>82143</v>
      </c>
      <c r="AI1204" s="122">
        <v>7512840</v>
      </c>
      <c r="AJ1204" s="122">
        <v>6829855</v>
      </c>
      <c r="AK1204">
        <v>83</v>
      </c>
      <c r="AL1204" s="122">
        <v>1670353</v>
      </c>
      <c r="AM1204" s="122">
        <v>1518503</v>
      </c>
      <c r="AN1204" s="122">
        <v>971886</v>
      </c>
      <c r="AO1204" s="122">
        <v>359958</v>
      </c>
      <c r="AP1204" s="122">
        <v>165275</v>
      </c>
      <c r="AQ1204" s="122">
        <v>61213</v>
      </c>
      <c r="AR1204" s="122">
        <v>1718869</v>
      </c>
      <c r="AS1204" s="122">
        <v>1562608</v>
      </c>
      <c r="AT1204">
        <v>0</v>
      </c>
      <c r="AU1204">
        <v>0</v>
      </c>
      <c r="AV1204" s="122">
        <v>10332136</v>
      </c>
    </row>
    <row r="1205" spans="2:48" hidden="1">
      <c r="B1205" t="s">
        <v>369</v>
      </c>
      <c r="C1205" t="s">
        <v>62</v>
      </c>
      <c r="D1205" t="s">
        <v>425</v>
      </c>
      <c r="E1205" t="s">
        <v>425</v>
      </c>
      <c r="F1205" s="122">
        <v>3</v>
      </c>
      <c r="G1205" s="122">
        <v>309</v>
      </c>
      <c r="H1205" s="122">
        <v>1240</v>
      </c>
      <c r="I1205" s="122">
        <v>78565</v>
      </c>
      <c r="J1205" s="122">
        <v>71423</v>
      </c>
      <c r="K1205" s="122">
        <v>76</v>
      </c>
      <c r="L1205" s="122">
        <v>23230</v>
      </c>
      <c r="M1205" s="122">
        <v>13250</v>
      </c>
      <c r="N1205" s="122">
        <v>7328</v>
      </c>
      <c r="O1205" s="122">
        <v>2714</v>
      </c>
      <c r="P1205" s="122">
        <v>1053</v>
      </c>
      <c r="Q1205" s="122">
        <v>390</v>
      </c>
      <c r="R1205" s="122">
        <v>15457</v>
      </c>
      <c r="S1205" s="122">
        <v>14052</v>
      </c>
      <c r="T1205" s="122">
        <v>4006</v>
      </c>
      <c r="U1205" s="122">
        <v>1484</v>
      </c>
      <c r="V1205" s="122">
        <v>103312</v>
      </c>
      <c r="W1205" s="122">
        <f t="shared" si="36"/>
        <v>103313</v>
      </c>
      <c r="X1205" s="122">
        <f t="shared" si="37"/>
        <v>129639</v>
      </c>
      <c r="AA1205" t="s">
        <v>58</v>
      </c>
      <c r="AB1205" t="s">
        <v>405</v>
      </c>
      <c r="AC1205" t="s">
        <v>426</v>
      </c>
      <c r="AD1205" t="s">
        <v>137</v>
      </c>
      <c r="AE1205" t="s">
        <v>566</v>
      </c>
      <c r="AF1205">
        <v>6</v>
      </c>
      <c r="AG1205">
        <v>981</v>
      </c>
      <c r="AH1205" s="122">
        <v>1446</v>
      </c>
      <c r="AI1205" s="122">
        <v>142292</v>
      </c>
      <c r="AJ1205" s="122">
        <v>129357</v>
      </c>
      <c r="AK1205">
        <v>80</v>
      </c>
      <c r="AL1205" s="122">
        <v>37720</v>
      </c>
      <c r="AM1205" s="122">
        <v>34291</v>
      </c>
      <c r="AN1205" s="122">
        <v>21271</v>
      </c>
      <c r="AO1205" s="122">
        <v>7878</v>
      </c>
      <c r="AP1205" s="122">
        <v>5206</v>
      </c>
      <c r="AQ1205" s="122">
        <v>1928</v>
      </c>
      <c r="AR1205" s="122">
        <v>27244</v>
      </c>
      <c r="AS1205" s="122">
        <v>10090</v>
      </c>
      <c r="AT1205" s="122">
        <v>0</v>
      </c>
      <c r="AU1205" s="122">
        <v>0</v>
      </c>
      <c r="AV1205" s="122">
        <v>183544</v>
      </c>
    </row>
    <row r="1206" spans="2:48" hidden="1">
      <c r="B1206" t="s">
        <v>369</v>
      </c>
      <c r="C1206" t="s">
        <v>62</v>
      </c>
      <c r="D1206" t="s">
        <v>405</v>
      </c>
      <c r="E1206" t="s">
        <v>405</v>
      </c>
      <c r="F1206" s="122">
        <v>10</v>
      </c>
      <c r="G1206" s="122">
        <v>1130</v>
      </c>
      <c r="H1206" s="122">
        <v>4149</v>
      </c>
      <c r="I1206" s="122">
        <v>307801</v>
      </c>
      <c r="J1206" s="122">
        <v>279819</v>
      </c>
      <c r="K1206" s="122">
        <v>81</v>
      </c>
      <c r="L1206" s="122">
        <v>72877</v>
      </c>
      <c r="M1206" s="122">
        <v>59388</v>
      </c>
      <c r="N1206" s="122">
        <v>24208</v>
      </c>
      <c r="O1206" s="122">
        <v>8966</v>
      </c>
      <c r="P1206" s="122">
        <v>6102</v>
      </c>
      <c r="Q1206" s="122">
        <v>2260</v>
      </c>
      <c r="R1206" s="122">
        <v>48749</v>
      </c>
      <c r="S1206" s="122">
        <v>44317</v>
      </c>
      <c r="T1206" s="122">
        <v>10147</v>
      </c>
      <c r="U1206" s="122">
        <v>3758</v>
      </c>
      <c r="V1206" s="122">
        <v>398509</v>
      </c>
      <c r="W1206" s="122">
        <f t="shared" si="36"/>
        <v>398508</v>
      </c>
      <c r="X1206" s="122">
        <f t="shared" si="37"/>
        <v>469884</v>
      </c>
      <c r="AA1206" t="s">
        <v>58</v>
      </c>
      <c r="AB1206" t="s">
        <v>405</v>
      </c>
      <c r="AC1206" t="s">
        <v>426</v>
      </c>
      <c r="AD1206" t="s">
        <v>406</v>
      </c>
      <c r="AE1206" t="s">
        <v>137</v>
      </c>
      <c r="AF1206">
        <v>1</v>
      </c>
      <c r="AG1206">
        <v>171</v>
      </c>
      <c r="AH1206">
        <v>260</v>
      </c>
      <c r="AI1206" s="122">
        <v>24968</v>
      </c>
      <c r="AJ1206" s="122">
        <v>22699</v>
      </c>
      <c r="AK1206">
        <v>92</v>
      </c>
      <c r="AL1206" s="122">
        <v>8119</v>
      </c>
      <c r="AM1206" s="122">
        <v>7381</v>
      </c>
      <c r="AN1206" s="122">
        <v>3407</v>
      </c>
      <c r="AO1206" s="122">
        <v>1262</v>
      </c>
      <c r="AP1206">
        <v>473</v>
      </c>
      <c r="AQ1206">
        <v>175</v>
      </c>
      <c r="AR1206" s="122">
        <v>4075</v>
      </c>
      <c r="AS1206" s="122">
        <v>3704</v>
      </c>
      <c r="AT1206" s="122">
        <v>3237</v>
      </c>
      <c r="AU1206" s="122">
        <v>1199</v>
      </c>
      <c r="AV1206" s="122">
        <v>36420</v>
      </c>
    </row>
    <row r="1207" spans="2:48" hidden="1">
      <c r="B1207" t="s">
        <v>369</v>
      </c>
      <c r="C1207" t="s">
        <v>62</v>
      </c>
      <c r="D1207" t="s">
        <v>405</v>
      </c>
      <c r="E1207" t="s">
        <v>137</v>
      </c>
      <c r="F1207" s="122">
        <v>1</v>
      </c>
      <c r="G1207" s="122">
        <v>89</v>
      </c>
      <c r="H1207" s="122">
        <v>429</v>
      </c>
      <c r="I1207" s="122">
        <v>24711</v>
      </c>
      <c r="J1207" s="122">
        <v>22465</v>
      </c>
      <c r="K1207" s="122">
        <v>82</v>
      </c>
      <c r="L1207" s="122">
        <v>4104</v>
      </c>
      <c r="M1207" s="122">
        <v>3730</v>
      </c>
      <c r="N1207" s="122">
        <v>1193</v>
      </c>
      <c r="O1207" s="122">
        <v>442</v>
      </c>
      <c r="P1207" s="122">
        <v>473</v>
      </c>
      <c r="Q1207" s="122">
        <v>175</v>
      </c>
      <c r="R1207" s="122">
        <v>7736</v>
      </c>
      <c r="S1207" s="122">
        <v>2865</v>
      </c>
      <c r="T1207" s="122">
        <v>0</v>
      </c>
      <c r="U1207" s="122">
        <v>0</v>
      </c>
      <c r="V1207" s="122">
        <v>29677</v>
      </c>
      <c r="W1207" s="122">
        <f t="shared" si="36"/>
        <v>29677</v>
      </c>
      <c r="X1207" s="122">
        <f t="shared" si="37"/>
        <v>38217</v>
      </c>
      <c r="AA1207" t="s">
        <v>58</v>
      </c>
      <c r="AB1207" t="s">
        <v>405</v>
      </c>
      <c r="AC1207" t="s">
        <v>426</v>
      </c>
      <c r="AD1207" t="s">
        <v>407</v>
      </c>
      <c r="AE1207" t="s">
        <v>566</v>
      </c>
      <c r="AF1207">
        <v>1</v>
      </c>
      <c r="AG1207">
        <v>88</v>
      </c>
      <c r="AH1207" s="122">
        <v>263</v>
      </c>
      <c r="AI1207" s="122">
        <v>13649</v>
      </c>
      <c r="AJ1207" s="122">
        <v>12408</v>
      </c>
      <c r="AK1207">
        <v>91</v>
      </c>
      <c r="AL1207" s="122">
        <v>4358</v>
      </c>
      <c r="AM1207" s="122">
        <v>3961</v>
      </c>
      <c r="AN1207" s="122">
        <v>2119</v>
      </c>
      <c r="AO1207" s="122">
        <v>785</v>
      </c>
      <c r="AP1207" s="122">
        <v>473</v>
      </c>
      <c r="AQ1207" s="122">
        <v>175</v>
      </c>
      <c r="AR1207" s="122">
        <v>2623</v>
      </c>
      <c r="AS1207" s="122">
        <v>2384</v>
      </c>
      <c r="AT1207" s="122">
        <v>0</v>
      </c>
      <c r="AU1207" s="122">
        <v>0</v>
      </c>
      <c r="AV1207" s="122">
        <v>19714</v>
      </c>
    </row>
    <row r="1208" spans="2:48" hidden="1">
      <c r="B1208" t="s">
        <v>369</v>
      </c>
      <c r="C1208" t="s">
        <v>62</v>
      </c>
      <c r="D1208" t="s">
        <v>137</v>
      </c>
      <c r="E1208" t="s">
        <v>137</v>
      </c>
      <c r="F1208" s="122">
        <v>104</v>
      </c>
      <c r="G1208" s="122">
        <v>9416</v>
      </c>
      <c r="H1208" s="122">
        <v>43116</v>
      </c>
      <c r="I1208" s="122">
        <v>2650296</v>
      </c>
      <c r="J1208" s="122">
        <v>981591</v>
      </c>
      <c r="K1208" s="122">
        <v>100</v>
      </c>
      <c r="L1208" s="122">
        <v>414204</v>
      </c>
      <c r="M1208" s="122">
        <v>310525</v>
      </c>
      <c r="N1208" s="122">
        <v>205026</v>
      </c>
      <c r="O1208" s="122">
        <v>75936</v>
      </c>
      <c r="P1208" s="122">
        <v>3861</v>
      </c>
      <c r="Q1208" s="122">
        <v>1430</v>
      </c>
      <c r="R1208" s="122">
        <v>790388</v>
      </c>
      <c r="S1208" s="122">
        <v>292736</v>
      </c>
      <c r="T1208" s="122">
        <v>0</v>
      </c>
      <c r="U1208" s="122">
        <v>0</v>
      </c>
      <c r="V1208" s="122">
        <v>1662219</v>
      </c>
      <c r="W1208" s="122">
        <f t="shared" si="36"/>
        <v>1662218</v>
      </c>
      <c r="X1208" s="122">
        <f t="shared" si="37"/>
        <v>4063775</v>
      </c>
      <c r="AA1208" t="s">
        <v>58</v>
      </c>
      <c r="AB1208" t="s">
        <v>405</v>
      </c>
      <c r="AC1208" t="s">
        <v>566</v>
      </c>
      <c r="AD1208" t="s">
        <v>405</v>
      </c>
      <c r="AE1208" t="s">
        <v>137</v>
      </c>
      <c r="AF1208">
        <v>6</v>
      </c>
      <c r="AG1208" s="122">
        <v>966</v>
      </c>
      <c r="AH1208" s="122">
        <v>1538</v>
      </c>
      <c r="AI1208" s="122">
        <v>184010</v>
      </c>
      <c r="AJ1208" s="122">
        <v>167281</v>
      </c>
      <c r="AK1208">
        <v>73</v>
      </c>
      <c r="AL1208">
        <v>0</v>
      </c>
      <c r="AM1208" s="122">
        <v>6047</v>
      </c>
      <c r="AN1208" s="122">
        <v>17702</v>
      </c>
      <c r="AO1208" s="122">
        <v>6556</v>
      </c>
      <c r="AP1208" s="122">
        <v>3564</v>
      </c>
      <c r="AQ1208" s="122">
        <v>1320</v>
      </c>
      <c r="AR1208" s="122">
        <v>28029</v>
      </c>
      <c r="AS1208" s="122">
        <v>25481</v>
      </c>
      <c r="AT1208" s="122">
        <v>16968</v>
      </c>
      <c r="AU1208" s="122">
        <v>6284</v>
      </c>
      <c r="AV1208" s="122">
        <v>212970</v>
      </c>
    </row>
    <row r="1209" spans="2:48" hidden="1">
      <c r="B1209" t="s">
        <v>369</v>
      </c>
      <c r="C1209" t="s">
        <v>62</v>
      </c>
      <c r="D1209" t="s">
        <v>137</v>
      </c>
      <c r="E1209" t="s">
        <v>406</v>
      </c>
      <c r="F1209" s="122">
        <v>1</v>
      </c>
      <c r="G1209" s="122">
        <v>126</v>
      </c>
      <c r="H1209" s="122">
        <v>397</v>
      </c>
      <c r="I1209" s="122">
        <v>30939</v>
      </c>
      <c r="J1209" s="122">
        <v>11459</v>
      </c>
      <c r="K1209" s="122">
        <v>100</v>
      </c>
      <c r="L1209" s="122">
        <v>7415</v>
      </c>
      <c r="M1209" s="122">
        <v>6741</v>
      </c>
      <c r="N1209" s="122">
        <v>2888</v>
      </c>
      <c r="O1209" s="122">
        <v>1070</v>
      </c>
      <c r="P1209" s="122">
        <v>270</v>
      </c>
      <c r="Q1209" s="122">
        <v>100</v>
      </c>
      <c r="R1209" s="122">
        <v>5494</v>
      </c>
      <c r="S1209" s="122">
        <v>4995</v>
      </c>
      <c r="T1209" s="122">
        <v>3015</v>
      </c>
      <c r="U1209" s="122">
        <v>1117</v>
      </c>
      <c r="V1209" s="122">
        <v>25481</v>
      </c>
      <c r="W1209" s="122">
        <f t="shared" si="36"/>
        <v>25482</v>
      </c>
      <c r="X1209" s="122">
        <f t="shared" si="37"/>
        <v>50021</v>
      </c>
      <c r="AA1209" t="s">
        <v>58</v>
      </c>
      <c r="AB1209" t="s">
        <v>405</v>
      </c>
      <c r="AC1209" t="s">
        <v>566</v>
      </c>
      <c r="AD1209" t="s">
        <v>405</v>
      </c>
      <c r="AE1209" t="s">
        <v>566</v>
      </c>
      <c r="AF1209">
        <v>12</v>
      </c>
      <c r="AG1209" s="122">
        <v>1206</v>
      </c>
      <c r="AH1209" s="122">
        <v>3058</v>
      </c>
      <c r="AI1209" s="122">
        <v>227695</v>
      </c>
      <c r="AJ1209" s="122">
        <v>206995</v>
      </c>
      <c r="AK1209">
        <v>81</v>
      </c>
      <c r="AL1209">
        <v>0</v>
      </c>
      <c r="AM1209" s="122">
        <v>6771</v>
      </c>
      <c r="AN1209" s="122">
        <v>26714</v>
      </c>
      <c r="AO1209" s="122">
        <v>9894</v>
      </c>
      <c r="AP1209" s="122">
        <v>6129</v>
      </c>
      <c r="AQ1209" s="122">
        <v>2270</v>
      </c>
      <c r="AR1209" s="122">
        <v>51456</v>
      </c>
      <c r="AS1209" s="122">
        <v>46778</v>
      </c>
      <c r="AT1209">
        <v>0</v>
      </c>
      <c r="AU1209">
        <v>0</v>
      </c>
      <c r="AV1209" s="122">
        <v>272708</v>
      </c>
    </row>
    <row r="1210" spans="2:48" hidden="1">
      <c r="B1210" t="s">
        <v>369</v>
      </c>
      <c r="C1210" t="s">
        <v>62</v>
      </c>
      <c r="D1210" t="s">
        <v>137</v>
      </c>
      <c r="E1210" t="s">
        <v>427</v>
      </c>
      <c r="F1210" s="122">
        <v>2</v>
      </c>
      <c r="G1210" s="122">
        <v>237</v>
      </c>
      <c r="H1210" s="122">
        <v>833</v>
      </c>
      <c r="I1210" s="122">
        <v>68860</v>
      </c>
      <c r="J1210" s="122">
        <v>25504</v>
      </c>
      <c r="K1210" s="122">
        <v>100</v>
      </c>
      <c r="L1210" s="122">
        <v>7673</v>
      </c>
      <c r="M1210" s="122">
        <v>6975</v>
      </c>
      <c r="N1210" s="122">
        <v>4752</v>
      </c>
      <c r="O1210" s="122">
        <v>1760</v>
      </c>
      <c r="P1210" s="122">
        <v>702</v>
      </c>
      <c r="Q1210" s="122">
        <v>260</v>
      </c>
      <c r="R1210" s="122">
        <v>11203</v>
      </c>
      <c r="S1210" s="122">
        <v>10185</v>
      </c>
      <c r="T1210" s="122">
        <v>5440</v>
      </c>
      <c r="U1210" s="122">
        <v>2015</v>
      </c>
      <c r="V1210" s="122">
        <v>46698</v>
      </c>
      <c r="W1210" s="122">
        <f t="shared" si="36"/>
        <v>46699</v>
      </c>
      <c r="X1210" s="122">
        <f t="shared" si="37"/>
        <v>98630</v>
      </c>
      <c r="AA1210" t="s">
        <v>58</v>
      </c>
      <c r="AB1210" t="s">
        <v>405</v>
      </c>
      <c r="AC1210" t="s">
        <v>566</v>
      </c>
      <c r="AD1210" t="s">
        <v>137</v>
      </c>
      <c r="AE1210" t="s">
        <v>566</v>
      </c>
      <c r="AF1210">
        <v>4</v>
      </c>
      <c r="AG1210">
        <v>653</v>
      </c>
      <c r="AH1210" s="122">
        <v>1023</v>
      </c>
      <c r="AI1210" s="122">
        <v>105088</v>
      </c>
      <c r="AJ1210" s="122">
        <v>95535</v>
      </c>
      <c r="AK1210">
        <v>74</v>
      </c>
      <c r="AL1210" s="122">
        <v>0</v>
      </c>
      <c r="AM1210" s="122">
        <v>0</v>
      </c>
      <c r="AN1210" s="122">
        <v>13010</v>
      </c>
      <c r="AO1210" s="122">
        <v>4818</v>
      </c>
      <c r="AP1210" s="122">
        <v>1890</v>
      </c>
      <c r="AQ1210">
        <v>700</v>
      </c>
      <c r="AR1210" s="122">
        <v>46968</v>
      </c>
      <c r="AS1210" s="122">
        <v>17396</v>
      </c>
      <c r="AT1210" s="122">
        <v>0</v>
      </c>
      <c r="AU1210" s="122">
        <v>0</v>
      </c>
      <c r="AV1210" s="122">
        <v>118449</v>
      </c>
    </row>
    <row r="1211" spans="2:48" hidden="1">
      <c r="B1211" t="s">
        <v>369</v>
      </c>
      <c r="C1211" t="s">
        <v>62</v>
      </c>
      <c r="D1211" t="s">
        <v>137</v>
      </c>
      <c r="E1211" t="s">
        <v>556</v>
      </c>
      <c r="F1211" s="122">
        <v>1</v>
      </c>
      <c r="G1211" s="122">
        <v>77</v>
      </c>
      <c r="H1211" s="122">
        <v>422</v>
      </c>
      <c r="I1211" s="122">
        <v>21880</v>
      </c>
      <c r="J1211" s="122">
        <v>8104</v>
      </c>
      <c r="K1211" s="122">
        <v>100</v>
      </c>
      <c r="L1211" s="122">
        <v>3740</v>
      </c>
      <c r="M1211" s="122">
        <v>3117</v>
      </c>
      <c r="N1211" s="122">
        <v>1481</v>
      </c>
      <c r="O1211" s="122">
        <v>548</v>
      </c>
      <c r="P1211" s="122">
        <v>0</v>
      </c>
      <c r="Q1211" s="122">
        <v>0</v>
      </c>
      <c r="R1211" s="122">
        <v>3849</v>
      </c>
      <c r="S1211" s="122">
        <v>3207</v>
      </c>
      <c r="T1211" s="122">
        <v>1686</v>
      </c>
      <c r="U1211" s="122">
        <v>624</v>
      </c>
      <c r="V1211" s="122">
        <v>15600</v>
      </c>
      <c r="W1211" s="122">
        <f t="shared" si="36"/>
        <v>15600</v>
      </c>
      <c r="X1211" s="122">
        <f t="shared" si="37"/>
        <v>32636</v>
      </c>
      <c r="AA1211" t="s">
        <v>58</v>
      </c>
      <c r="AB1211" t="s">
        <v>405</v>
      </c>
      <c r="AC1211" t="s">
        <v>481</v>
      </c>
      <c r="AD1211" t="s">
        <v>405</v>
      </c>
      <c r="AE1211" t="s">
        <v>137</v>
      </c>
      <c r="AF1211">
        <v>1</v>
      </c>
      <c r="AG1211">
        <v>107</v>
      </c>
      <c r="AH1211">
        <v>280</v>
      </c>
      <c r="AI1211" s="122">
        <v>17511</v>
      </c>
      <c r="AJ1211" s="122">
        <v>15919</v>
      </c>
      <c r="AK1211">
        <v>68</v>
      </c>
      <c r="AL1211" s="122">
        <v>1934</v>
      </c>
      <c r="AM1211" s="122">
        <v>1758</v>
      </c>
      <c r="AN1211" s="122">
        <v>1820</v>
      </c>
      <c r="AO1211">
        <v>674</v>
      </c>
      <c r="AP1211">
        <v>473</v>
      </c>
      <c r="AQ1211">
        <v>175</v>
      </c>
      <c r="AR1211" s="122">
        <v>5179</v>
      </c>
      <c r="AS1211" s="122">
        <v>4708</v>
      </c>
      <c r="AT1211" s="122">
        <v>2958</v>
      </c>
      <c r="AU1211" s="122">
        <v>1096</v>
      </c>
      <c r="AV1211" s="122">
        <v>24330</v>
      </c>
    </row>
    <row r="1212" spans="2:48" hidden="1">
      <c r="B1212" t="s">
        <v>369</v>
      </c>
      <c r="C1212" t="s">
        <v>62</v>
      </c>
      <c r="D1212" t="s">
        <v>137</v>
      </c>
      <c r="E1212" t="s">
        <v>426</v>
      </c>
      <c r="F1212" s="122">
        <v>1</v>
      </c>
      <c r="G1212" s="122">
        <v>76</v>
      </c>
      <c r="H1212" s="122">
        <v>449</v>
      </c>
      <c r="I1212" s="122">
        <v>17944</v>
      </c>
      <c r="J1212" s="122">
        <v>6646</v>
      </c>
      <c r="K1212" s="122">
        <v>100</v>
      </c>
      <c r="L1212" s="122">
        <v>4061</v>
      </c>
      <c r="M1212" s="122">
        <v>3692</v>
      </c>
      <c r="N1212" s="122">
        <v>1760</v>
      </c>
      <c r="O1212" s="122">
        <v>652</v>
      </c>
      <c r="P1212" s="122">
        <v>0</v>
      </c>
      <c r="Q1212" s="122">
        <v>0</v>
      </c>
      <c r="R1212" s="122">
        <v>7529</v>
      </c>
      <c r="S1212" s="122">
        <v>6844</v>
      </c>
      <c r="T1212" s="122">
        <v>3009</v>
      </c>
      <c r="U1212" s="122">
        <v>1114</v>
      </c>
      <c r="V1212" s="122">
        <v>18948</v>
      </c>
      <c r="W1212" s="122">
        <f t="shared" si="36"/>
        <v>18948</v>
      </c>
      <c r="X1212" s="122">
        <f t="shared" si="37"/>
        <v>34303</v>
      </c>
      <c r="AA1212" t="s">
        <v>58</v>
      </c>
      <c r="AB1212" t="s">
        <v>405</v>
      </c>
      <c r="AC1212" t="s">
        <v>481</v>
      </c>
      <c r="AD1212" t="s">
        <v>405</v>
      </c>
      <c r="AE1212" t="s">
        <v>566</v>
      </c>
      <c r="AF1212">
        <v>1</v>
      </c>
      <c r="AG1212">
        <v>137</v>
      </c>
      <c r="AH1212" s="122">
        <v>279</v>
      </c>
      <c r="AI1212" s="122">
        <v>23356</v>
      </c>
      <c r="AJ1212" s="122">
        <v>21232</v>
      </c>
      <c r="AK1212">
        <v>69</v>
      </c>
      <c r="AL1212" s="122">
        <v>5666</v>
      </c>
      <c r="AM1212" s="122">
        <v>5151</v>
      </c>
      <c r="AN1212" s="122">
        <v>2083</v>
      </c>
      <c r="AO1212" s="122">
        <v>772</v>
      </c>
      <c r="AP1212" s="122">
        <v>473</v>
      </c>
      <c r="AQ1212" s="122">
        <v>175</v>
      </c>
      <c r="AR1212" s="122">
        <v>6618</v>
      </c>
      <c r="AS1212" s="122">
        <v>6016</v>
      </c>
      <c r="AT1212" s="122">
        <v>0</v>
      </c>
      <c r="AU1212" s="122">
        <v>0</v>
      </c>
      <c r="AV1212" s="122">
        <v>33346</v>
      </c>
    </row>
    <row r="1213" spans="2:48" hidden="1">
      <c r="B1213" t="s">
        <v>369</v>
      </c>
      <c r="C1213" t="s">
        <v>62</v>
      </c>
      <c r="D1213" t="s">
        <v>406</v>
      </c>
      <c r="E1213" t="s">
        <v>425</v>
      </c>
      <c r="F1213" s="122">
        <v>1</v>
      </c>
      <c r="G1213" s="122">
        <v>139</v>
      </c>
      <c r="H1213" s="122">
        <v>422</v>
      </c>
      <c r="I1213" s="122">
        <v>37586</v>
      </c>
      <c r="J1213" s="122">
        <v>34170</v>
      </c>
      <c r="K1213" s="122">
        <v>65</v>
      </c>
      <c r="L1213" s="122">
        <v>8603</v>
      </c>
      <c r="M1213" s="122">
        <v>7821</v>
      </c>
      <c r="N1213" s="122">
        <v>3394</v>
      </c>
      <c r="O1213" s="122">
        <v>1257</v>
      </c>
      <c r="P1213" s="122">
        <v>621</v>
      </c>
      <c r="Q1213" s="122">
        <v>230</v>
      </c>
      <c r="R1213" s="122">
        <v>5520</v>
      </c>
      <c r="S1213" s="122">
        <v>5018</v>
      </c>
      <c r="T1213" s="122">
        <v>3034</v>
      </c>
      <c r="U1213" s="122">
        <v>1124</v>
      </c>
      <c r="V1213" s="122">
        <v>49620</v>
      </c>
      <c r="W1213" s="122">
        <f t="shared" si="36"/>
        <v>49620</v>
      </c>
      <c r="X1213" s="122">
        <f t="shared" si="37"/>
        <v>58758</v>
      </c>
      <c r="AA1213" t="s">
        <v>58</v>
      </c>
      <c r="AB1213" t="s">
        <v>405</v>
      </c>
      <c r="AC1213" t="s">
        <v>433</v>
      </c>
      <c r="AD1213" t="s">
        <v>405</v>
      </c>
      <c r="AE1213" t="s">
        <v>137</v>
      </c>
      <c r="AF1213">
        <v>6</v>
      </c>
      <c r="AG1213" s="122">
        <v>828</v>
      </c>
      <c r="AH1213" s="122">
        <v>1609</v>
      </c>
      <c r="AI1213" s="122">
        <v>126081</v>
      </c>
      <c r="AJ1213" s="122">
        <v>114619</v>
      </c>
      <c r="AK1213">
        <v>77</v>
      </c>
      <c r="AL1213" s="122">
        <v>20339</v>
      </c>
      <c r="AM1213" s="122">
        <v>18490</v>
      </c>
      <c r="AN1213" s="122">
        <v>15705</v>
      </c>
      <c r="AO1213" s="122">
        <v>5817</v>
      </c>
      <c r="AP1213" s="122">
        <v>3981</v>
      </c>
      <c r="AQ1213" s="122">
        <v>1475</v>
      </c>
      <c r="AR1213" s="122">
        <v>31982</v>
      </c>
      <c r="AS1213" s="122">
        <v>29075</v>
      </c>
      <c r="AT1213" s="122">
        <v>20388</v>
      </c>
      <c r="AU1213" s="122">
        <v>7551</v>
      </c>
      <c r="AV1213" s="122">
        <v>177027</v>
      </c>
    </row>
    <row r="1214" spans="2:48" hidden="1">
      <c r="B1214" t="s">
        <v>369</v>
      </c>
      <c r="C1214" t="s">
        <v>62</v>
      </c>
      <c r="D1214" t="s">
        <v>406</v>
      </c>
      <c r="E1214" t="s">
        <v>137</v>
      </c>
      <c r="F1214" s="122">
        <v>6</v>
      </c>
      <c r="G1214" s="122">
        <v>678</v>
      </c>
      <c r="H1214" s="122">
        <v>2529</v>
      </c>
      <c r="I1214" s="122">
        <v>192143</v>
      </c>
      <c r="J1214" s="122">
        <v>174676</v>
      </c>
      <c r="K1214" s="122">
        <v>71</v>
      </c>
      <c r="L1214" s="122">
        <v>18439</v>
      </c>
      <c r="M1214" s="122">
        <v>16763</v>
      </c>
      <c r="N1214" s="122">
        <v>16823</v>
      </c>
      <c r="O1214" s="122">
        <v>6231</v>
      </c>
      <c r="P1214" s="122">
        <v>3105</v>
      </c>
      <c r="Q1214" s="122">
        <v>1150</v>
      </c>
      <c r="R1214" s="122">
        <v>56426</v>
      </c>
      <c r="S1214" s="122">
        <v>20898</v>
      </c>
      <c r="T1214" s="122">
        <v>1943</v>
      </c>
      <c r="U1214" s="122">
        <v>719</v>
      </c>
      <c r="V1214" s="122">
        <v>220437</v>
      </c>
      <c r="W1214" s="122">
        <f t="shared" si="36"/>
        <v>220437</v>
      </c>
      <c r="X1214" s="122">
        <f t="shared" si="37"/>
        <v>288879</v>
      </c>
      <c r="AA1214" t="s">
        <v>58</v>
      </c>
      <c r="AB1214" t="s">
        <v>405</v>
      </c>
      <c r="AC1214" t="s">
        <v>433</v>
      </c>
      <c r="AD1214" t="s">
        <v>405</v>
      </c>
      <c r="AE1214" t="s">
        <v>566</v>
      </c>
      <c r="AF1214">
        <v>17</v>
      </c>
      <c r="AG1214" s="122">
        <v>2292</v>
      </c>
      <c r="AH1214" s="122">
        <v>4312</v>
      </c>
      <c r="AI1214" s="122">
        <v>376189</v>
      </c>
      <c r="AJ1214" s="122">
        <v>341990</v>
      </c>
      <c r="AK1214">
        <v>86</v>
      </c>
      <c r="AL1214" s="122">
        <v>78347</v>
      </c>
      <c r="AM1214" s="122">
        <v>71225</v>
      </c>
      <c r="AN1214" s="122">
        <v>42469</v>
      </c>
      <c r="AO1214" s="122">
        <v>15729</v>
      </c>
      <c r="AP1214" s="122">
        <v>7911</v>
      </c>
      <c r="AQ1214" s="122">
        <v>2930</v>
      </c>
      <c r="AR1214" s="122">
        <v>87388</v>
      </c>
      <c r="AS1214" s="122">
        <v>79443</v>
      </c>
      <c r="AT1214">
        <v>0</v>
      </c>
      <c r="AU1214">
        <v>0</v>
      </c>
      <c r="AV1214" s="122">
        <v>511317</v>
      </c>
    </row>
    <row r="1215" spans="2:48" hidden="1">
      <c r="B1215" t="s">
        <v>369</v>
      </c>
      <c r="C1215" t="s">
        <v>62</v>
      </c>
      <c r="D1215" t="s">
        <v>406</v>
      </c>
      <c r="E1215" t="s">
        <v>406</v>
      </c>
      <c r="F1215" s="122">
        <v>412</v>
      </c>
      <c r="G1215" s="122">
        <v>45371</v>
      </c>
      <c r="H1215" s="122">
        <v>170435</v>
      </c>
      <c r="I1215" s="122">
        <v>12451735</v>
      </c>
      <c r="J1215" s="122">
        <v>11319759</v>
      </c>
      <c r="K1215" s="122">
        <v>75</v>
      </c>
      <c r="L1215" s="122">
        <v>2453848</v>
      </c>
      <c r="M1215" s="122">
        <v>2144673</v>
      </c>
      <c r="N1215" s="122">
        <v>960918</v>
      </c>
      <c r="O1215" s="122">
        <v>355896</v>
      </c>
      <c r="P1215" s="122">
        <v>272781</v>
      </c>
      <c r="Q1215" s="122">
        <v>101030</v>
      </c>
      <c r="R1215" s="122">
        <v>2334188</v>
      </c>
      <c r="S1215" s="122">
        <v>2121989</v>
      </c>
      <c r="T1215" s="122">
        <v>507854</v>
      </c>
      <c r="U1215" s="122">
        <v>188094</v>
      </c>
      <c r="V1215" s="122">
        <v>16231441</v>
      </c>
      <c r="W1215" s="122">
        <f t="shared" si="36"/>
        <v>16231441</v>
      </c>
      <c r="X1215" s="122">
        <f t="shared" si="37"/>
        <v>18981324</v>
      </c>
      <c r="AA1215" t="s">
        <v>58</v>
      </c>
      <c r="AB1215" t="s">
        <v>405</v>
      </c>
      <c r="AC1215" t="s">
        <v>433</v>
      </c>
      <c r="AD1215" t="s">
        <v>137</v>
      </c>
      <c r="AE1215" t="s">
        <v>566</v>
      </c>
      <c r="AF1215">
        <v>1</v>
      </c>
      <c r="AG1215">
        <v>167</v>
      </c>
      <c r="AH1215">
        <v>257</v>
      </c>
      <c r="AI1215" s="122">
        <v>25541</v>
      </c>
      <c r="AJ1215" s="122">
        <v>23219</v>
      </c>
      <c r="AK1215">
        <v>76</v>
      </c>
      <c r="AL1215" s="122">
        <v>3008</v>
      </c>
      <c r="AM1215" s="122">
        <v>2735</v>
      </c>
      <c r="AN1215" s="122">
        <v>3811</v>
      </c>
      <c r="AO1215" s="122">
        <v>1411</v>
      </c>
      <c r="AP1215">
        <v>122</v>
      </c>
      <c r="AQ1215">
        <v>45</v>
      </c>
      <c r="AR1215" s="122">
        <v>10517</v>
      </c>
      <c r="AS1215" s="122">
        <v>3895</v>
      </c>
      <c r="AT1215">
        <v>0</v>
      </c>
      <c r="AU1215">
        <v>0</v>
      </c>
      <c r="AV1215" s="122">
        <v>31305</v>
      </c>
    </row>
    <row r="1216" spans="2:48" hidden="1">
      <c r="B1216" t="s">
        <v>369</v>
      </c>
      <c r="C1216" t="s">
        <v>62</v>
      </c>
      <c r="D1216" t="s">
        <v>406</v>
      </c>
      <c r="E1216" t="s">
        <v>426</v>
      </c>
      <c r="F1216" s="122">
        <v>1</v>
      </c>
      <c r="G1216" s="122">
        <v>68</v>
      </c>
      <c r="H1216" s="122">
        <v>398</v>
      </c>
      <c r="I1216" s="122">
        <v>15923</v>
      </c>
      <c r="J1216" s="122">
        <v>14476</v>
      </c>
      <c r="K1216" s="122">
        <v>65</v>
      </c>
      <c r="L1216" s="122">
        <v>2091</v>
      </c>
      <c r="M1216" s="122">
        <v>1901</v>
      </c>
      <c r="N1216" s="122">
        <v>827</v>
      </c>
      <c r="O1216" s="122">
        <v>306</v>
      </c>
      <c r="P1216" s="122">
        <v>621</v>
      </c>
      <c r="Q1216" s="122">
        <v>230</v>
      </c>
      <c r="R1216" s="122">
        <v>5179</v>
      </c>
      <c r="S1216" s="122">
        <v>4708</v>
      </c>
      <c r="T1216" s="122">
        <v>2357</v>
      </c>
      <c r="U1216" s="122">
        <v>873</v>
      </c>
      <c r="V1216" s="122">
        <v>22494</v>
      </c>
      <c r="W1216" s="122">
        <f t="shared" si="36"/>
        <v>22494</v>
      </c>
      <c r="X1216" s="122">
        <f t="shared" si="37"/>
        <v>26998</v>
      </c>
      <c r="AA1216" t="s">
        <v>58</v>
      </c>
      <c r="AB1216" t="s">
        <v>405</v>
      </c>
      <c r="AC1216" t="s">
        <v>408</v>
      </c>
      <c r="AD1216" t="s">
        <v>405</v>
      </c>
      <c r="AE1216" t="s">
        <v>137</v>
      </c>
      <c r="AF1216">
        <v>1</v>
      </c>
      <c r="AG1216">
        <v>136</v>
      </c>
      <c r="AH1216">
        <v>253</v>
      </c>
      <c r="AI1216" s="122">
        <v>24968</v>
      </c>
      <c r="AJ1216" s="122">
        <v>22699</v>
      </c>
      <c r="AK1216">
        <v>81</v>
      </c>
      <c r="AL1216" s="122">
        <v>3874</v>
      </c>
      <c r="AM1216" s="122">
        <v>3522</v>
      </c>
      <c r="AN1216" s="122">
        <v>3056</v>
      </c>
      <c r="AO1216" s="122">
        <v>1132</v>
      </c>
      <c r="AP1216">
        <v>473</v>
      </c>
      <c r="AQ1216">
        <v>175</v>
      </c>
      <c r="AR1216" s="122">
        <v>2441</v>
      </c>
      <c r="AS1216" s="122">
        <v>2219</v>
      </c>
      <c r="AT1216">
        <v>-519</v>
      </c>
      <c r="AU1216">
        <v>-192</v>
      </c>
      <c r="AV1216" s="122">
        <v>29554</v>
      </c>
    </row>
    <row r="1217" spans="2:48" hidden="1">
      <c r="B1217" t="s">
        <v>369</v>
      </c>
      <c r="C1217" t="s">
        <v>62</v>
      </c>
      <c r="D1217" t="s">
        <v>427</v>
      </c>
      <c r="E1217" t="s">
        <v>137</v>
      </c>
      <c r="F1217" s="122">
        <v>1</v>
      </c>
      <c r="G1217" s="122">
        <v>67</v>
      </c>
      <c r="H1217" s="122">
        <v>431</v>
      </c>
      <c r="I1217" s="122">
        <v>19384</v>
      </c>
      <c r="J1217" s="122">
        <v>17622</v>
      </c>
      <c r="K1217" s="122">
        <v>60</v>
      </c>
      <c r="L1217" s="122">
        <v>0</v>
      </c>
      <c r="M1217" s="122">
        <v>0</v>
      </c>
      <c r="N1217" s="122">
        <v>1159</v>
      </c>
      <c r="O1217" s="122">
        <v>429</v>
      </c>
      <c r="P1217" s="122">
        <v>0</v>
      </c>
      <c r="Q1217" s="122">
        <v>0</v>
      </c>
      <c r="R1217" s="122">
        <v>8165</v>
      </c>
      <c r="S1217" s="122">
        <v>3024</v>
      </c>
      <c r="T1217" s="122">
        <v>0</v>
      </c>
      <c r="U1217" s="122">
        <v>0</v>
      </c>
      <c r="V1217" s="122">
        <v>21075</v>
      </c>
      <c r="W1217" s="122">
        <f t="shared" si="36"/>
        <v>21075</v>
      </c>
      <c r="X1217" s="122">
        <f t="shared" si="37"/>
        <v>28708</v>
      </c>
      <c r="AA1217" t="s">
        <v>58</v>
      </c>
      <c r="AB1217" t="s">
        <v>405</v>
      </c>
      <c r="AC1217" t="s">
        <v>408</v>
      </c>
      <c r="AD1217" t="s">
        <v>405</v>
      </c>
      <c r="AE1217" t="s">
        <v>566</v>
      </c>
      <c r="AF1217">
        <v>1</v>
      </c>
      <c r="AG1217">
        <v>117</v>
      </c>
      <c r="AH1217">
        <v>276</v>
      </c>
      <c r="AI1217" s="122">
        <v>22727</v>
      </c>
      <c r="AJ1217" s="122">
        <v>20661</v>
      </c>
      <c r="AK1217">
        <v>90</v>
      </c>
      <c r="AL1217" s="122">
        <v>3329</v>
      </c>
      <c r="AM1217" s="122">
        <v>3027</v>
      </c>
      <c r="AN1217" s="122">
        <v>2566</v>
      </c>
      <c r="AO1217" s="122">
        <v>950</v>
      </c>
      <c r="AP1217">
        <v>473</v>
      </c>
      <c r="AQ1217">
        <v>175</v>
      </c>
      <c r="AR1217" s="122">
        <v>3160</v>
      </c>
      <c r="AS1217" s="122">
        <v>2873</v>
      </c>
      <c r="AT1217">
        <v>0</v>
      </c>
      <c r="AU1217">
        <v>0</v>
      </c>
      <c r="AV1217" s="122">
        <v>27686</v>
      </c>
    </row>
    <row r="1218" spans="2:48" hidden="1">
      <c r="B1218" t="s">
        <v>369</v>
      </c>
      <c r="C1218" t="s">
        <v>62</v>
      </c>
      <c r="D1218" t="s">
        <v>427</v>
      </c>
      <c r="E1218" t="s">
        <v>427</v>
      </c>
      <c r="F1218" s="122">
        <v>7</v>
      </c>
      <c r="G1218" s="122">
        <v>630</v>
      </c>
      <c r="H1218" s="122">
        <v>2879</v>
      </c>
      <c r="I1218" s="122">
        <v>161039</v>
      </c>
      <c r="J1218" s="122">
        <v>146399</v>
      </c>
      <c r="K1218" s="122">
        <v>59</v>
      </c>
      <c r="L1218" s="122">
        <v>24552</v>
      </c>
      <c r="M1218" s="122">
        <v>19875</v>
      </c>
      <c r="N1218" s="122">
        <v>13383</v>
      </c>
      <c r="O1218" s="122">
        <v>4956</v>
      </c>
      <c r="P1218" s="122">
        <v>2808</v>
      </c>
      <c r="Q1218" s="122">
        <v>1040</v>
      </c>
      <c r="R1218" s="122">
        <v>45387</v>
      </c>
      <c r="S1218" s="122">
        <v>41261</v>
      </c>
      <c r="T1218" s="122">
        <v>12075</v>
      </c>
      <c r="U1218" s="122">
        <v>4472</v>
      </c>
      <c r="V1218" s="122">
        <v>218003</v>
      </c>
      <c r="W1218" s="122">
        <f t="shared" si="36"/>
        <v>218003</v>
      </c>
      <c r="X1218" s="122">
        <f t="shared" si="37"/>
        <v>259244</v>
      </c>
      <c r="AA1218" t="s">
        <v>58</v>
      </c>
      <c r="AB1218" t="s">
        <v>405</v>
      </c>
      <c r="AC1218" t="s">
        <v>429</v>
      </c>
      <c r="AD1218" t="s">
        <v>406</v>
      </c>
      <c r="AE1218" t="s">
        <v>566</v>
      </c>
      <c r="AF1218">
        <v>1</v>
      </c>
      <c r="AG1218">
        <v>348</v>
      </c>
      <c r="AH1218" s="122">
        <v>237</v>
      </c>
      <c r="AI1218" s="122">
        <v>61117</v>
      </c>
      <c r="AJ1218" s="122">
        <v>55561</v>
      </c>
      <c r="AK1218">
        <v>91</v>
      </c>
      <c r="AL1218" s="122">
        <v>8985</v>
      </c>
      <c r="AM1218" s="122">
        <v>8168</v>
      </c>
      <c r="AN1218" s="122">
        <v>7882</v>
      </c>
      <c r="AO1218" s="122">
        <v>2919</v>
      </c>
      <c r="AP1218">
        <v>824</v>
      </c>
      <c r="AQ1218">
        <v>305</v>
      </c>
      <c r="AR1218" s="122">
        <v>3479</v>
      </c>
      <c r="AS1218" s="122">
        <v>3163</v>
      </c>
      <c r="AT1218" s="122">
        <v>0</v>
      </c>
      <c r="AU1218">
        <v>0</v>
      </c>
      <c r="AV1218" s="122">
        <v>70116</v>
      </c>
    </row>
    <row r="1219" spans="2:48" hidden="1">
      <c r="B1219" t="s">
        <v>369</v>
      </c>
      <c r="C1219" t="s">
        <v>62</v>
      </c>
      <c r="D1219" t="s">
        <v>556</v>
      </c>
      <c r="E1219" t="s">
        <v>556</v>
      </c>
      <c r="F1219" s="122">
        <v>2</v>
      </c>
      <c r="G1219" s="122">
        <v>166</v>
      </c>
      <c r="H1219" s="122">
        <v>776</v>
      </c>
      <c r="I1219" s="122">
        <v>43247</v>
      </c>
      <c r="J1219" s="122">
        <v>36039</v>
      </c>
      <c r="K1219" s="122">
        <v>65</v>
      </c>
      <c r="L1219" s="122">
        <v>5371</v>
      </c>
      <c r="M1219" s="122">
        <v>4476</v>
      </c>
      <c r="N1219" s="122">
        <v>3825</v>
      </c>
      <c r="O1219" s="122">
        <v>1417</v>
      </c>
      <c r="P1219" s="122">
        <v>702</v>
      </c>
      <c r="Q1219" s="122">
        <v>260</v>
      </c>
      <c r="R1219" s="122">
        <v>7654</v>
      </c>
      <c r="S1219" s="122">
        <v>6378</v>
      </c>
      <c r="T1219" s="122">
        <v>3227</v>
      </c>
      <c r="U1219" s="122">
        <v>1195</v>
      </c>
      <c r="V1219" s="122">
        <v>49765</v>
      </c>
      <c r="W1219" s="122">
        <f t="shared" si="36"/>
        <v>49765</v>
      </c>
      <c r="X1219" s="122">
        <f t="shared" si="37"/>
        <v>64026</v>
      </c>
      <c r="AA1219" t="s">
        <v>58</v>
      </c>
      <c r="AB1219" t="s">
        <v>137</v>
      </c>
      <c r="AC1219" t="s">
        <v>425</v>
      </c>
      <c r="AD1219" t="s">
        <v>137</v>
      </c>
      <c r="AE1219" t="s">
        <v>137</v>
      </c>
      <c r="AF1219">
        <v>4</v>
      </c>
      <c r="AG1219" s="122">
        <v>754</v>
      </c>
      <c r="AH1219" s="122">
        <v>1057</v>
      </c>
      <c r="AI1219" s="122">
        <v>151247</v>
      </c>
      <c r="AJ1219" s="122">
        <v>56017</v>
      </c>
      <c r="AK1219">
        <v>100</v>
      </c>
      <c r="AL1219" s="122">
        <v>10954</v>
      </c>
      <c r="AM1219" s="122">
        <v>9958</v>
      </c>
      <c r="AN1219" s="122">
        <v>16952</v>
      </c>
      <c r="AO1219" s="122">
        <v>6279</v>
      </c>
      <c r="AP1219" s="122">
        <v>0</v>
      </c>
      <c r="AQ1219" s="122">
        <v>0</v>
      </c>
      <c r="AR1219" s="122">
        <v>30478</v>
      </c>
      <c r="AS1219" s="122">
        <v>11288</v>
      </c>
      <c r="AT1219" s="122">
        <v>2134</v>
      </c>
      <c r="AU1219">
        <v>791</v>
      </c>
      <c r="AV1219" s="122">
        <v>84333</v>
      </c>
    </row>
    <row r="1220" spans="2:48" hidden="1">
      <c r="B1220" t="s">
        <v>369</v>
      </c>
      <c r="C1220" t="s">
        <v>62</v>
      </c>
      <c r="D1220" t="s">
        <v>431</v>
      </c>
      <c r="E1220" t="s">
        <v>431</v>
      </c>
      <c r="F1220" s="122">
        <v>3</v>
      </c>
      <c r="G1220" s="122">
        <v>186</v>
      </c>
      <c r="H1220" s="122">
        <v>1217</v>
      </c>
      <c r="I1220" s="122">
        <v>44052</v>
      </c>
      <c r="J1220" s="122">
        <v>40047</v>
      </c>
      <c r="K1220" s="122">
        <v>55</v>
      </c>
      <c r="L1220" s="122">
        <v>4879</v>
      </c>
      <c r="M1220" s="122">
        <v>4436</v>
      </c>
      <c r="N1220" s="122">
        <v>2790</v>
      </c>
      <c r="O1220" s="122">
        <v>1033</v>
      </c>
      <c r="P1220" s="122">
        <v>1404</v>
      </c>
      <c r="Q1220" s="122">
        <v>520</v>
      </c>
      <c r="R1220" s="122">
        <v>14784</v>
      </c>
      <c r="S1220" s="122">
        <v>13440</v>
      </c>
      <c r="T1220" s="122">
        <v>7071</v>
      </c>
      <c r="U1220" s="122">
        <v>2619</v>
      </c>
      <c r="V1220" s="122">
        <v>62095</v>
      </c>
      <c r="W1220" s="122">
        <f t="shared" si="36"/>
        <v>62095</v>
      </c>
      <c r="X1220" s="122">
        <f t="shared" si="37"/>
        <v>74980</v>
      </c>
      <c r="AA1220" t="s">
        <v>58</v>
      </c>
      <c r="AB1220" t="s">
        <v>137</v>
      </c>
      <c r="AC1220" t="s">
        <v>425</v>
      </c>
      <c r="AD1220" t="s">
        <v>137</v>
      </c>
      <c r="AE1220" t="s">
        <v>566</v>
      </c>
      <c r="AF1220">
        <v>27</v>
      </c>
      <c r="AG1220" s="122">
        <v>3879</v>
      </c>
      <c r="AH1220" s="122">
        <v>7354</v>
      </c>
      <c r="AI1220" s="122">
        <v>779221</v>
      </c>
      <c r="AJ1220" s="122">
        <v>288600</v>
      </c>
      <c r="AK1220">
        <v>100</v>
      </c>
      <c r="AL1220" s="122">
        <v>102978</v>
      </c>
      <c r="AM1220" s="122">
        <v>93616</v>
      </c>
      <c r="AN1220" s="122">
        <v>81132</v>
      </c>
      <c r="AO1220" s="122">
        <v>30049</v>
      </c>
      <c r="AP1220" s="122">
        <v>3092</v>
      </c>
      <c r="AQ1220" s="122">
        <v>1145</v>
      </c>
      <c r="AR1220" s="122">
        <v>262957</v>
      </c>
      <c r="AS1220" s="122">
        <v>97391</v>
      </c>
      <c r="AT1220">
        <v>0</v>
      </c>
      <c r="AU1220">
        <v>0</v>
      </c>
      <c r="AV1220" s="122">
        <v>510802</v>
      </c>
    </row>
    <row r="1221" spans="2:48" hidden="1">
      <c r="B1221" t="s">
        <v>369</v>
      </c>
      <c r="C1221" t="s">
        <v>62</v>
      </c>
      <c r="D1221" t="s">
        <v>426</v>
      </c>
      <c r="E1221" t="s">
        <v>137</v>
      </c>
      <c r="F1221" s="122">
        <v>6</v>
      </c>
      <c r="G1221" s="122">
        <v>463</v>
      </c>
      <c r="H1221" s="122">
        <v>2466</v>
      </c>
      <c r="I1221" s="122">
        <v>122699</v>
      </c>
      <c r="J1221" s="122">
        <v>111545</v>
      </c>
      <c r="K1221" s="122">
        <v>61</v>
      </c>
      <c r="L1221" s="122">
        <v>21875</v>
      </c>
      <c r="M1221" s="122">
        <v>12684</v>
      </c>
      <c r="N1221" s="122">
        <v>8531</v>
      </c>
      <c r="O1221" s="122">
        <v>3160</v>
      </c>
      <c r="P1221" s="122">
        <v>702</v>
      </c>
      <c r="Q1221" s="122">
        <v>260</v>
      </c>
      <c r="R1221" s="122">
        <v>36361</v>
      </c>
      <c r="S1221" s="122">
        <v>13467</v>
      </c>
      <c r="T1221" s="122">
        <v>0</v>
      </c>
      <c r="U1221" s="122">
        <v>0</v>
      </c>
      <c r="V1221" s="122">
        <v>141116</v>
      </c>
      <c r="W1221" s="122">
        <f t="shared" si="36"/>
        <v>141116</v>
      </c>
      <c r="X1221" s="122">
        <f t="shared" si="37"/>
        <v>190168</v>
      </c>
      <c r="AA1221" t="s">
        <v>58</v>
      </c>
      <c r="AB1221" t="s">
        <v>137</v>
      </c>
      <c r="AC1221" t="s">
        <v>405</v>
      </c>
      <c r="AD1221" t="s">
        <v>405</v>
      </c>
      <c r="AE1221" t="s">
        <v>566</v>
      </c>
      <c r="AF1221">
        <v>1</v>
      </c>
      <c r="AG1221">
        <v>129</v>
      </c>
      <c r="AH1221">
        <v>280</v>
      </c>
      <c r="AI1221" s="122">
        <v>26221</v>
      </c>
      <c r="AJ1221" s="122">
        <v>9711</v>
      </c>
      <c r="AK1221">
        <v>250</v>
      </c>
      <c r="AL1221" s="122">
        <v>2300</v>
      </c>
      <c r="AM1221" s="122">
        <v>2091</v>
      </c>
      <c r="AN1221" s="122">
        <v>2163</v>
      </c>
      <c r="AO1221" s="122">
        <v>801</v>
      </c>
      <c r="AP1221">
        <v>824</v>
      </c>
      <c r="AQ1221">
        <v>305</v>
      </c>
      <c r="AR1221" s="122">
        <v>4569</v>
      </c>
      <c r="AS1221" s="122">
        <v>4153</v>
      </c>
      <c r="AT1221" s="122">
        <v>0</v>
      </c>
      <c r="AU1221" s="122">
        <v>0</v>
      </c>
      <c r="AV1221" s="122">
        <v>17062</v>
      </c>
    </row>
    <row r="1222" spans="2:48" hidden="1">
      <c r="B1222" t="s">
        <v>369</v>
      </c>
      <c r="C1222" t="s">
        <v>62</v>
      </c>
      <c r="D1222" t="s">
        <v>426</v>
      </c>
      <c r="E1222" t="s">
        <v>426</v>
      </c>
      <c r="F1222" s="122">
        <v>116</v>
      </c>
      <c r="G1222" s="122">
        <v>10441</v>
      </c>
      <c r="H1222" s="122">
        <v>48554</v>
      </c>
      <c r="I1222" s="122">
        <v>2745737</v>
      </c>
      <c r="J1222" s="122">
        <v>2496125</v>
      </c>
      <c r="K1222" s="122">
        <v>54</v>
      </c>
      <c r="L1222" s="122">
        <v>444944</v>
      </c>
      <c r="M1222" s="122">
        <v>370993</v>
      </c>
      <c r="N1222" s="122">
        <v>198122</v>
      </c>
      <c r="O1222" s="122">
        <v>73378</v>
      </c>
      <c r="P1222" s="122">
        <v>46278</v>
      </c>
      <c r="Q1222" s="122">
        <v>17140</v>
      </c>
      <c r="R1222" s="122">
        <v>690579</v>
      </c>
      <c r="S1222" s="122">
        <v>627799</v>
      </c>
      <c r="T1222" s="122">
        <v>261015</v>
      </c>
      <c r="U1222" s="122">
        <v>96672</v>
      </c>
      <c r="V1222" s="122">
        <v>3682107</v>
      </c>
      <c r="W1222" s="122">
        <f t="shared" si="36"/>
        <v>3682107</v>
      </c>
      <c r="X1222" s="122">
        <f t="shared" si="37"/>
        <v>4386675</v>
      </c>
      <c r="AA1222" t="s">
        <v>58</v>
      </c>
      <c r="AB1222" t="s">
        <v>137</v>
      </c>
      <c r="AC1222" t="s">
        <v>405</v>
      </c>
      <c r="AD1222" t="s">
        <v>137</v>
      </c>
      <c r="AE1222" t="s">
        <v>137</v>
      </c>
      <c r="AF1222">
        <v>1</v>
      </c>
      <c r="AG1222">
        <v>204</v>
      </c>
      <c r="AH1222">
        <v>294</v>
      </c>
      <c r="AI1222" s="122">
        <v>41234</v>
      </c>
      <c r="AJ1222" s="122">
        <v>15272</v>
      </c>
      <c r="AK1222">
        <v>100</v>
      </c>
      <c r="AL1222" s="122">
        <v>2963</v>
      </c>
      <c r="AM1222" s="122">
        <v>2693</v>
      </c>
      <c r="AN1222" s="122">
        <v>4548</v>
      </c>
      <c r="AO1222" s="122">
        <v>1685</v>
      </c>
      <c r="AP1222">
        <v>0</v>
      </c>
      <c r="AQ1222">
        <v>0</v>
      </c>
      <c r="AR1222" s="122">
        <v>7498</v>
      </c>
      <c r="AS1222" s="122">
        <v>2777</v>
      </c>
      <c r="AT1222" s="122">
        <v>3693</v>
      </c>
      <c r="AU1222" s="122">
        <v>1368</v>
      </c>
      <c r="AV1222" s="122">
        <v>23795</v>
      </c>
    </row>
    <row r="1223" spans="2:48" hidden="1">
      <c r="B1223" t="s">
        <v>369</v>
      </c>
      <c r="C1223" t="s">
        <v>62</v>
      </c>
      <c r="D1223" t="s">
        <v>433</v>
      </c>
      <c r="E1223" t="s">
        <v>137</v>
      </c>
      <c r="F1223" s="122">
        <v>1</v>
      </c>
      <c r="G1223" s="122">
        <v>64</v>
      </c>
      <c r="H1223" s="122">
        <v>426</v>
      </c>
      <c r="I1223" s="122">
        <v>19483</v>
      </c>
      <c r="J1223" s="122">
        <v>17712</v>
      </c>
      <c r="K1223" s="122">
        <v>45</v>
      </c>
      <c r="L1223" s="122">
        <v>3247</v>
      </c>
      <c r="M1223" s="122">
        <v>2952</v>
      </c>
      <c r="N1223" s="122">
        <v>784</v>
      </c>
      <c r="O1223" s="122">
        <v>290</v>
      </c>
      <c r="P1223" s="122">
        <v>0</v>
      </c>
      <c r="Q1223" s="122">
        <v>0</v>
      </c>
      <c r="R1223" s="122">
        <v>3876</v>
      </c>
      <c r="S1223" s="122">
        <v>1436</v>
      </c>
      <c r="T1223" s="122">
        <v>0</v>
      </c>
      <c r="U1223" s="122">
        <v>0</v>
      </c>
      <c r="V1223" s="122">
        <v>22390</v>
      </c>
      <c r="W1223" s="122">
        <f t="shared" ref="W1223:W1286" si="38">SUM(ABS(J1223),ABS(M1223),ABS(O1223),ABS(Q1223),ABS(S1223),ABS(U1223))</f>
        <v>22390</v>
      </c>
      <c r="X1223" s="122">
        <f t="shared" ref="X1223:X1286" si="39">SUM(ABS(I1223),ABS(N1223),ABS(P1223),ABS(R1223),ABS(T1223),ABS(L1223))</f>
        <v>27390</v>
      </c>
      <c r="AA1223" t="s">
        <v>58</v>
      </c>
      <c r="AB1223" t="s">
        <v>137</v>
      </c>
      <c r="AC1223" t="s">
        <v>405</v>
      </c>
      <c r="AD1223" t="s">
        <v>137</v>
      </c>
      <c r="AE1223" t="s">
        <v>566</v>
      </c>
      <c r="AF1223">
        <v>1</v>
      </c>
      <c r="AG1223" s="122">
        <v>135</v>
      </c>
      <c r="AH1223" s="122">
        <v>266</v>
      </c>
      <c r="AI1223" s="122">
        <v>22728</v>
      </c>
      <c r="AJ1223" s="122">
        <v>8418</v>
      </c>
      <c r="AK1223">
        <v>100</v>
      </c>
      <c r="AL1223" s="122">
        <v>1633</v>
      </c>
      <c r="AM1223" s="122">
        <v>1485</v>
      </c>
      <c r="AN1223" s="122">
        <v>2361</v>
      </c>
      <c r="AO1223" s="122">
        <v>875</v>
      </c>
      <c r="AP1223">
        <v>0</v>
      </c>
      <c r="AQ1223">
        <v>0</v>
      </c>
      <c r="AR1223" s="122">
        <v>9031</v>
      </c>
      <c r="AS1223" s="122">
        <v>3345</v>
      </c>
      <c r="AT1223" s="122">
        <v>0</v>
      </c>
      <c r="AU1223" s="122">
        <v>0</v>
      </c>
      <c r="AV1223" s="122">
        <v>14122</v>
      </c>
    </row>
    <row r="1224" spans="2:48" hidden="1">
      <c r="B1224" t="s">
        <v>369</v>
      </c>
      <c r="C1224" t="s">
        <v>62</v>
      </c>
      <c r="D1224" t="s">
        <v>433</v>
      </c>
      <c r="E1224" t="s">
        <v>433</v>
      </c>
      <c r="F1224" s="122">
        <v>4</v>
      </c>
      <c r="G1224" s="122">
        <v>262</v>
      </c>
      <c r="H1224" s="122">
        <v>1645</v>
      </c>
      <c r="I1224" s="122">
        <v>72037</v>
      </c>
      <c r="J1224" s="122">
        <v>65489</v>
      </c>
      <c r="K1224" s="122">
        <v>57</v>
      </c>
      <c r="L1224" s="122">
        <v>4693</v>
      </c>
      <c r="M1224" s="122">
        <v>3110</v>
      </c>
      <c r="N1224" s="122">
        <v>4682</v>
      </c>
      <c r="O1224" s="122">
        <v>1734</v>
      </c>
      <c r="P1224" s="122">
        <v>1404</v>
      </c>
      <c r="Q1224" s="122">
        <v>520</v>
      </c>
      <c r="R1224" s="122">
        <v>17591</v>
      </c>
      <c r="S1224" s="122">
        <v>15992</v>
      </c>
      <c r="T1224" s="122">
        <v>7684</v>
      </c>
      <c r="U1224" s="122">
        <v>2846</v>
      </c>
      <c r="V1224" s="122">
        <v>89691</v>
      </c>
      <c r="W1224" s="122">
        <f t="shared" si="38"/>
        <v>89691</v>
      </c>
      <c r="X1224" s="122">
        <f t="shared" si="39"/>
        <v>108091</v>
      </c>
      <c r="AA1224" t="s">
        <v>58</v>
      </c>
      <c r="AB1224" t="s">
        <v>137</v>
      </c>
      <c r="AC1224" t="s">
        <v>137</v>
      </c>
      <c r="AD1224" t="s">
        <v>137</v>
      </c>
      <c r="AE1224" t="s">
        <v>137</v>
      </c>
      <c r="AF1224">
        <v>21</v>
      </c>
      <c r="AG1224" s="122">
        <v>3161</v>
      </c>
      <c r="AH1224" s="122">
        <v>5573</v>
      </c>
      <c r="AI1224" s="122">
        <v>552837</v>
      </c>
      <c r="AJ1224" s="122">
        <v>204755</v>
      </c>
      <c r="AK1224">
        <v>100</v>
      </c>
      <c r="AL1224" s="122">
        <v>87294</v>
      </c>
      <c r="AM1224" s="122">
        <v>32331</v>
      </c>
      <c r="AN1224" s="122">
        <v>78915</v>
      </c>
      <c r="AO1224" s="122">
        <v>29228</v>
      </c>
      <c r="AP1224" s="122">
        <v>702</v>
      </c>
      <c r="AQ1224" s="122">
        <v>260</v>
      </c>
      <c r="AR1224" s="122">
        <v>183083</v>
      </c>
      <c r="AS1224" s="122">
        <v>67809</v>
      </c>
      <c r="AT1224" s="122">
        <v>8495</v>
      </c>
      <c r="AU1224" s="122">
        <v>3146</v>
      </c>
      <c r="AV1224" s="122">
        <v>337528</v>
      </c>
    </row>
    <row r="1225" spans="2:48" hidden="1">
      <c r="B1225" t="s">
        <v>369</v>
      </c>
      <c r="C1225" t="s">
        <v>62</v>
      </c>
      <c r="D1225" t="s">
        <v>408</v>
      </c>
      <c r="E1225" t="s">
        <v>408</v>
      </c>
      <c r="F1225" s="122">
        <v>1</v>
      </c>
      <c r="G1225" s="122">
        <v>234</v>
      </c>
      <c r="H1225" s="122">
        <v>430</v>
      </c>
      <c r="I1225" s="122">
        <v>69673</v>
      </c>
      <c r="J1225" s="122">
        <v>63340</v>
      </c>
      <c r="K1225" s="122">
        <v>65</v>
      </c>
      <c r="L1225" s="122">
        <v>16773</v>
      </c>
      <c r="M1225" s="122">
        <v>15248</v>
      </c>
      <c r="N1225" s="122">
        <v>4356</v>
      </c>
      <c r="O1225" s="122">
        <v>1613</v>
      </c>
      <c r="P1225" s="122">
        <v>351</v>
      </c>
      <c r="Q1225" s="122">
        <v>130</v>
      </c>
      <c r="R1225" s="122">
        <v>9305</v>
      </c>
      <c r="S1225" s="122">
        <v>8459</v>
      </c>
      <c r="T1225" s="122">
        <v>0</v>
      </c>
      <c r="U1225" s="122">
        <v>0</v>
      </c>
      <c r="V1225" s="122">
        <v>88791</v>
      </c>
      <c r="W1225" s="122">
        <f t="shared" si="38"/>
        <v>88790</v>
      </c>
      <c r="X1225" s="122">
        <f t="shared" si="39"/>
        <v>100458</v>
      </c>
      <c r="AA1225" t="s">
        <v>58</v>
      </c>
      <c r="AB1225" t="s">
        <v>137</v>
      </c>
      <c r="AC1225" t="s">
        <v>137</v>
      </c>
      <c r="AD1225" t="s">
        <v>137</v>
      </c>
      <c r="AE1225" t="s">
        <v>566</v>
      </c>
      <c r="AF1225">
        <v>341</v>
      </c>
      <c r="AG1225" s="122">
        <v>40710</v>
      </c>
      <c r="AH1225" s="122">
        <v>92427</v>
      </c>
      <c r="AI1225" s="122">
        <v>6638371</v>
      </c>
      <c r="AJ1225" s="122">
        <v>2458656</v>
      </c>
      <c r="AK1225">
        <v>100</v>
      </c>
      <c r="AL1225" s="122">
        <v>1274721</v>
      </c>
      <c r="AM1225" s="122">
        <v>472119</v>
      </c>
      <c r="AN1225" s="122">
        <v>925988</v>
      </c>
      <c r="AO1225" s="122">
        <v>342959</v>
      </c>
      <c r="AP1225" s="122">
        <v>9660</v>
      </c>
      <c r="AQ1225" s="122">
        <v>3578</v>
      </c>
      <c r="AR1225" s="122">
        <v>2810266</v>
      </c>
      <c r="AS1225" s="122">
        <v>1040839</v>
      </c>
      <c r="AT1225" s="122">
        <v>0</v>
      </c>
      <c r="AU1225" s="122">
        <v>0</v>
      </c>
      <c r="AV1225" s="122">
        <v>4318150</v>
      </c>
    </row>
    <row r="1226" spans="2:48" hidden="1">
      <c r="B1226" t="s">
        <v>369</v>
      </c>
      <c r="C1226" t="s">
        <v>64</v>
      </c>
      <c r="D1226" t="s">
        <v>555</v>
      </c>
      <c r="E1226" t="s">
        <v>555</v>
      </c>
      <c r="F1226" s="122">
        <v>1</v>
      </c>
      <c r="G1226" s="122">
        <v>91</v>
      </c>
      <c r="H1226" s="122">
        <v>525</v>
      </c>
      <c r="I1226" s="122">
        <v>37817</v>
      </c>
      <c r="J1226" s="122">
        <v>34379</v>
      </c>
      <c r="K1226" s="122">
        <v>60</v>
      </c>
      <c r="L1226" s="122">
        <v>0</v>
      </c>
      <c r="M1226" s="122">
        <v>3526</v>
      </c>
      <c r="N1226" s="122">
        <v>2227</v>
      </c>
      <c r="O1226" s="122">
        <v>825</v>
      </c>
      <c r="P1226" s="122">
        <v>351</v>
      </c>
      <c r="Q1226" s="122">
        <v>130</v>
      </c>
      <c r="R1226" s="122">
        <v>4422</v>
      </c>
      <c r="S1226" s="122">
        <v>4020</v>
      </c>
      <c r="T1226" s="122">
        <v>3208</v>
      </c>
      <c r="U1226" s="122">
        <v>1188</v>
      </c>
      <c r="V1226" s="122">
        <v>44068</v>
      </c>
      <c r="W1226" s="122">
        <f t="shared" si="38"/>
        <v>44068</v>
      </c>
      <c r="X1226" s="122">
        <f t="shared" si="39"/>
        <v>48025</v>
      </c>
      <c r="AA1226" t="s">
        <v>58</v>
      </c>
      <c r="AB1226" t="s">
        <v>137</v>
      </c>
      <c r="AC1226" t="s">
        <v>580</v>
      </c>
      <c r="AD1226" t="s">
        <v>137</v>
      </c>
      <c r="AE1226" t="s">
        <v>137</v>
      </c>
      <c r="AF1226">
        <v>3</v>
      </c>
      <c r="AG1226" s="122">
        <v>696</v>
      </c>
      <c r="AH1226" s="122">
        <v>710</v>
      </c>
      <c r="AI1226" s="122">
        <v>105229</v>
      </c>
      <c r="AJ1226" s="122">
        <v>38974</v>
      </c>
      <c r="AK1226">
        <v>223</v>
      </c>
      <c r="AL1226" s="122">
        <v>17818</v>
      </c>
      <c r="AM1226" s="122">
        <v>16198</v>
      </c>
      <c r="AN1226" s="122">
        <v>15281</v>
      </c>
      <c r="AO1226" s="122">
        <v>5660</v>
      </c>
      <c r="AP1226" s="122">
        <v>702</v>
      </c>
      <c r="AQ1226" s="122">
        <v>260</v>
      </c>
      <c r="AR1226" s="122">
        <v>20990</v>
      </c>
      <c r="AS1226" s="122">
        <v>7774</v>
      </c>
      <c r="AT1226" s="122">
        <v>4520</v>
      </c>
      <c r="AU1226" s="122">
        <v>1674</v>
      </c>
      <c r="AV1226" s="122">
        <v>70540</v>
      </c>
    </row>
    <row r="1227" spans="2:48" hidden="1">
      <c r="B1227" t="s">
        <v>369</v>
      </c>
      <c r="C1227" t="s">
        <v>64</v>
      </c>
      <c r="D1227" t="s">
        <v>425</v>
      </c>
      <c r="E1227" t="s">
        <v>425</v>
      </c>
      <c r="F1227" s="122">
        <v>4</v>
      </c>
      <c r="G1227" s="122">
        <v>337</v>
      </c>
      <c r="H1227" s="122">
        <v>2025</v>
      </c>
      <c r="I1227" s="122">
        <v>135137</v>
      </c>
      <c r="J1227" s="122">
        <v>122852</v>
      </c>
      <c r="K1227" s="122">
        <v>66</v>
      </c>
      <c r="L1227" s="122">
        <v>19075</v>
      </c>
      <c r="M1227" s="122">
        <v>17341</v>
      </c>
      <c r="N1227" s="122">
        <v>7857</v>
      </c>
      <c r="O1227" s="122">
        <v>2910</v>
      </c>
      <c r="P1227" s="122">
        <v>2120</v>
      </c>
      <c r="Q1227" s="122">
        <v>785</v>
      </c>
      <c r="R1227" s="122">
        <v>26083</v>
      </c>
      <c r="S1227" s="122">
        <v>23711</v>
      </c>
      <c r="T1227" s="122">
        <v>0</v>
      </c>
      <c r="U1227" s="122">
        <v>0</v>
      </c>
      <c r="V1227" s="122">
        <v>167599</v>
      </c>
      <c r="W1227" s="122">
        <f t="shared" si="38"/>
        <v>167599</v>
      </c>
      <c r="X1227" s="122">
        <f t="shared" si="39"/>
        <v>190272</v>
      </c>
      <c r="AA1227" t="s">
        <v>58</v>
      </c>
      <c r="AB1227" t="s">
        <v>137</v>
      </c>
      <c r="AC1227" t="s">
        <v>580</v>
      </c>
      <c r="AD1227" t="s">
        <v>137</v>
      </c>
      <c r="AE1227" t="s">
        <v>566</v>
      </c>
      <c r="AF1227">
        <v>15</v>
      </c>
      <c r="AG1227" s="122">
        <v>2580</v>
      </c>
      <c r="AH1227" s="122">
        <v>3826</v>
      </c>
      <c r="AI1227" s="122">
        <v>461193</v>
      </c>
      <c r="AJ1227" s="122">
        <v>170812</v>
      </c>
      <c r="AK1227">
        <v>148</v>
      </c>
      <c r="AL1227" s="122">
        <v>53831</v>
      </c>
      <c r="AM1227" s="122">
        <v>48938</v>
      </c>
      <c r="AN1227" s="122">
        <v>54797</v>
      </c>
      <c r="AO1227" s="122">
        <v>20295</v>
      </c>
      <c r="AP1227" s="122">
        <v>4860</v>
      </c>
      <c r="AQ1227" s="122">
        <v>1800</v>
      </c>
      <c r="AR1227" s="122">
        <v>157032</v>
      </c>
      <c r="AS1227" s="122">
        <v>58160</v>
      </c>
      <c r="AT1227" s="122">
        <v>0</v>
      </c>
      <c r="AU1227" s="122">
        <v>0</v>
      </c>
      <c r="AV1227" s="122">
        <v>300005</v>
      </c>
    </row>
    <row r="1228" spans="2:48" hidden="1">
      <c r="B1228" t="s">
        <v>369</v>
      </c>
      <c r="C1228" t="s">
        <v>64</v>
      </c>
      <c r="D1228" t="s">
        <v>425</v>
      </c>
      <c r="E1228" t="s">
        <v>137</v>
      </c>
      <c r="F1228" s="122">
        <v>3</v>
      </c>
      <c r="G1228" s="122">
        <v>254</v>
      </c>
      <c r="H1228" s="122">
        <v>1578</v>
      </c>
      <c r="I1228" s="122">
        <v>86246</v>
      </c>
      <c r="J1228" s="122">
        <v>78405</v>
      </c>
      <c r="K1228" s="122">
        <v>71</v>
      </c>
      <c r="L1228" s="122">
        <v>14160</v>
      </c>
      <c r="M1228" s="122">
        <v>10931</v>
      </c>
      <c r="N1228" s="122">
        <v>4385</v>
      </c>
      <c r="O1228" s="122">
        <v>1624</v>
      </c>
      <c r="P1228" s="122">
        <v>473</v>
      </c>
      <c r="Q1228" s="122">
        <v>175</v>
      </c>
      <c r="R1228" s="122">
        <v>25676</v>
      </c>
      <c r="S1228" s="122">
        <v>9510</v>
      </c>
      <c r="T1228" s="122">
        <v>0</v>
      </c>
      <c r="U1228" s="122">
        <v>0</v>
      </c>
      <c r="V1228" s="122">
        <v>100645</v>
      </c>
      <c r="W1228" s="122">
        <f t="shared" si="38"/>
        <v>100645</v>
      </c>
      <c r="X1228" s="122">
        <f t="shared" si="39"/>
        <v>130940</v>
      </c>
      <c r="AA1228" t="s">
        <v>58</v>
      </c>
      <c r="AB1228" t="s">
        <v>137</v>
      </c>
      <c r="AC1228" t="s">
        <v>580</v>
      </c>
      <c r="AD1228" t="s">
        <v>406</v>
      </c>
      <c r="AE1228" t="s">
        <v>137</v>
      </c>
      <c r="AF1228">
        <v>2</v>
      </c>
      <c r="AG1228">
        <v>376</v>
      </c>
      <c r="AH1228">
        <v>504</v>
      </c>
      <c r="AI1228" s="122">
        <v>80764</v>
      </c>
      <c r="AJ1228" s="122">
        <v>29912</v>
      </c>
      <c r="AK1228">
        <v>100</v>
      </c>
      <c r="AL1228" s="122">
        <v>5106</v>
      </c>
      <c r="AM1228" s="122">
        <v>4642</v>
      </c>
      <c r="AN1228" s="122">
        <v>9313</v>
      </c>
      <c r="AO1228" s="122">
        <v>3449</v>
      </c>
      <c r="AP1228">
        <v>891</v>
      </c>
      <c r="AQ1228">
        <v>330</v>
      </c>
      <c r="AR1228" s="122">
        <v>9708</v>
      </c>
      <c r="AS1228" s="122">
        <v>8826</v>
      </c>
      <c r="AT1228" s="122">
        <v>6826</v>
      </c>
      <c r="AU1228" s="122">
        <v>2528</v>
      </c>
      <c r="AV1228" s="122">
        <v>49687</v>
      </c>
    </row>
    <row r="1229" spans="2:48" hidden="1">
      <c r="B1229" t="s">
        <v>369</v>
      </c>
      <c r="C1229" t="s">
        <v>64</v>
      </c>
      <c r="D1229" t="s">
        <v>405</v>
      </c>
      <c r="E1229" t="s">
        <v>405</v>
      </c>
      <c r="F1229" s="122">
        <v>12</v>
      </c>
      <c r="G1229" s="122">
        <v>1110</v>
      </c>
      <c r="H1229" s="122">
        <v>7006</v>
      </c>
      <c r="I1229" s="122">
        <v>463295</v>
      </c>
      <c r="J1229" s="122">
        <v>421177</v>
      </c>
      <c r="K1229" s="122">
        <v>77</v>
      </c>
      <c r="L1229" s="122">
        <v>84221</v>
      </c>
      <c r="M1229" s="122">
        <v>73315</v>
      </c>
      <c r="N1229" s="122">
        <v>25940</v>
      </c>
      <c r="O1229" s="122">
        <v>9608</v>
      </c>
      <c r="P1229" s="122">
        <v>5778</v>
      </c>
      <c r="Q1229" s="122">
        <v>2140</v>
      </c>
      <c r="R1229" s="122">
        <v>69281</v>
      </c>
      <c r="S1229" s="122">
        <v>62983</v>
      </c>
      <c r="T1229" s="122">
        <v>4849</v>
      </c>
      <c r="U1229" s="122">
        <v>1796</v>
      </c>
      <c r="V1229" s="122">
        <v>571019</v>
      </c>
      <c r="W1229" s="122">
        <f t="shared" si="38"/>
        <v>571019</v>
      </c>
      <c r="X1229" s="122">
        <f t="shared" si="39"/>
        <v>653364</v>
      </c>
      <c r="AA1229" t="s">
        <v>58</v>
      </c>
      <c r="AB1229" t="s">
        <v>137</v>
      </c>
      <c r="AC1229" t="s">
        <v>580</v>
      </c>
      <c r="AD1229" t="s">
        <v>406</v>
      </c>
      <c r="AE1229" t="s">
        <v>566</v>
      </c>
      <c r="AF1229">
        <v>1</v>
      </c>
      <c r="AG1229" s="122">
        <v>145</v>
      </c>
      <c r="AH1229" s="122">
        <v>265</v>
      </c>
      <c r="AI1229" s="122">
        <v>25551</v>
      </c>
      <c r="AJ1229" s="122">
        <v>9463</v>
      </c>
      <c r="AK1229">
        <v>100</v>
      </c>
      <c r="AL1229" s="122">
        <v>3470</v>
      </c>
      <c r="AM1229" s="122">
        <v>3154</v>
      </c>
      <c r="AN1229" s="122">
        <v>1998</v>
      </c>
      <c r="AO1229" s="122">
        <v>740</v>
      </c>
      <c r="AP1229">
        <v>621</v>
      </c>
      <c r="AQ1229">
        <v>230</v>
      </c>
      <c r="AR1229" s="122">
        <v>6892</v>
      </c>
      <c r="AS1229" s="122">
        <v>6265</v>
      </c>
      <c r="AT1229" s="122">
        <v>0</v>
      </c>
      <c r="AU1229" s="122">
        <v>0</v>
      </c>
      <c r="AV1229" s="122">
        <v>19853</v>
      </c>
    </row>
    <row r="1230" spans="2:48" hidden="1">
      <c r="B1230" t="s">
        <v>369</v>
      </c>
      <c r="C1230" t="s">
        <v>64</v>
      </c>
      <c r="D1230" t="s">
        <v>405</v>
      </c>
      <c r="E1230" t="s">
        <v>137</v>
      </c>
      <c r="F1230" s="122">
        <v>1</v>
      </c>
      <c r="G1230" s="122">
        <v>210</v>
      </c>
      <c r="H1230" s="122">
        <v>527</v>
      </c>
      <c r="I1230" s="122">
        <v>75181</v>
      </c>
      <c r="J1230" s="122">
        <v>68346</v>
      </c>
      <c r="K1230" s="122">
        <v>65</v>
      </c>
      <c r="L1230" s="122">
        <v>17208</v>
      </c>
      <c r="M1230" s="122">
        <v>15644</v>
      </c>
      <c r="N1230" s="122">
        <v>4521</v>
      </c>
      <c r="O1230" s="122">
        <v>1674</v>
      </c>
      <c r="P1230" s="122">
        <v>473</v>
      </c>
      <c r="Q1230" s="122">
        <v>175</v>
      </c>
      <c r="R1230" s="122">
        <v>13099</v>
      </c>
      <c r="S1230" s="122">
        <v>4851</v>
      </c>
      <c r="T1230" s="122">
        <v>0</v>
      </c>
      <c r="U1230" s="122">
        <v>0</v>
      </c>
      <c r="V1230" s="122">
        <v>90690</v>
      </c>
      <c r="W1230" s="122">
        <f t="shared" si="38"/>
        <v>90690</v>
      </c>
      <c r="X1230" s="122">
        <f t="shared" si="39"/>
        <v>110482</v>
      </c>
      <c r="AA1230" t="s">
        <v>58</v>
      </c>
      <c r="AB1230" t="s">
        <v>137</v>
      </c>
      <c r="AC1230" t="s">
        <v>427</v>
      </c>
      <c r="AD1230" t="s">
        <v>137</v>
      </c>
      <c r="AE1230" t="s">
        <v>137</v>
      </c>
      <c r="AF1230">
        <v>8</v>
      </c>
      <c r="AG1230" s="122">
        <v>1297</v>
      </c>
      <c r="AH1230" s="122">
        <v>2142</v>
      </c>
      <c r="AI1230" s="122">
        <v>271066</v>
      </c>
      <c r="AJ1230" s="122">
        <v>100395</v>
      </c>
      <c r="AK1230">
        <v>100</v>
      </c>
      <c r="AL1230" s="122">
        <v>36306</v>
      </c>
      <c r="AM1230" s="122">
        <v>33006</v>
      </c>
      <c r="AN1230" s="122">
        <v>30472</v>
      </c>
      <c r="AO1230" s="122">
        <v>11286</v>
      </c>
      <c r="AP1230" s="122">
        <v>351</v>
      </c>
      <c r="AQ1230" s="122">
        <v>130</v>
      </c>
      <c r="AR1230" s="122">
        <v>56425</v>
      </c>
      <c r="AS1230" s="122">
        <v>20898</v>
      </c>
      <c r="AT1230" s="122">
        <v>4680</v>
      </c>
      <c r="AU1230" s="122">
        <v>1733</v>
      </c>
      <c r="AV1230" s="122">
        <v>167448</v>
      </c>
    </row>
    <row r="1231" spans="2:48" hidden="1">
      <c r="B1231" t="s">
        <v>369</v>
      </c>
      <c r="C1231" t="s">
        <v>64</v>
      </c>
      <c r="D1231" t="s">
        <v>137</v>
      </c>
      <c r="E1231" t="s">
        <v>425</v>
      </c>
      <c r="F1231" s="122">
        <v>1</v>
      </c>
      <c r="G1231" s="122">
        <v>269</v>
      </c>
      <c r="H1231" s="122">
        <v>589</v>
      </c>
      <c r="I1231" s="122">
        <v>128657</v>
      </c>
      <c r="J1231" s="122">
        <v>47651</v>
      </c>
      <c r="K1231" s="122">
        <v>100</v>
      </c>
      <c r="L1231" s="122">
        <v>19413</v>
      </c>
      <c r="M1231" s="122">
        <v>17648</v>
      </c>
      <c r="N1231" s="122">
        <v>6554</v>
      </c>
      <c r="O1231" s="122">
        <v>2428</v>
      </c>
      <c r="P1231" s="122">
        <v>0</v>
      </c>
      <c r="Q1231" s="122">
        <v>0</v>
      </c>
      <c r="R1231" s="122">
        <v>3805</v>
      </c>
      <c r="S1231" s="122">
        <v>3459</v>
      </c>
      <c r="T1231" s="122">
        <v>0</v>
      </c>
      <c r="U1231" s="122">
        <v>0</v>
      </c>
      <c r="V1231" s="122">
        <v>71186</v>
      </c>
      <c r="W1231" s="122">
        <f t="shared" si="38"/>
        <v>71186</v>
      </c>
      <c r="X1231" s="122">
        <f t="shared" si="39"/>
        <v>158429</v>
      </c>
      <c r="AA1231" t="s">
        <v>58</v>
      </c>
      <c r="AB1231" t="s">
        <v>137</v>
      </c>
      <c r="AC1231" t="s">
        <v>427</v>
      </c>
      <c r="AD1231" t="s">
        <v>137</v>
      </c>
      <c r="AE1231" t="s">
        <v>566</v>
      </c>
      <c r="AF1231">
        <v>62</v>
      </c>
      <c r="AG1231" s="122">
        <v>10657</v>
      </c>
      <c r="AH1231" s="122">
        <v>16638</v>
      </c>
      <c r="AI1231" s="122">
        <v>1950065</v>
      </c>
      <c r="AJ1231" s="122">
        <v>722246</v>
      </c>
      <c r="AK1231">
        <v>100</v>
      </c>
      <c r="AL1231" s="122">
        <v>316460</v>
      </c>
      <c r="AM1231" s="122">
        <v>287691</v>
      </c>
      <c r="AN1231" s="122">
        <v>271467</v>
      </c>
      <c r="AO1231" s="122">
        <v>100543</v>
      </c>
      <c r="AP1231" s="122">
        <v>8823</v>
      </c>
      <c r="AQ1231" s="122">
        <v>3268</v>
      </c>
      <c r="AR1231" s="122">
        <v>639177</v>
      </c>
      <c r="AS1231" s="122">
        <v>236732</v>
      </c>
      <c r="AT1231">
        <v>0</v>
      </c>
      <c r="AU1231">
        <v>0</v>
      </c>
      <c r="AV1231" s="122">
        <v>1350481</v>
      </c>
    </row>
    <row r="1232" spans="2:48" hidden="1">
      <c r="B1232" t="s">
        <v>369</v>
      </c>
      <c r="C1232" t="s">
        <v>64</v>
      </c>
      <c r="D1232" t="s">
        <v>137</v>
      </c>
      <c r="E1232" t="s">
        <v>405</v>
      </c>
      <c r="F1232" s="122">
        <v>1</v>
      </c>
      <c r="G1232" s="122">
        <v>640</v>
      </c>
      <c r="H1232" s="122">
        <v>533</v>
      </c>
      <c r="I1232" s="122">
        <v>280318</v>
      </c>
      <c r="J1232" s="122">
        <v>103821</v>
      </c>
      <c r="K1232" s="122">
        <v>100</v>
      </c>
      <c r="L1232" s="122">
        <v>42298</v>
      </c>
      <c r="M1232" s="122">
        <v>38452</v>
      </c>
      <c r="N1232" s="122">
        <v>11768</v>
      </c>
      <c r="O1232" s="122">
        <v>4358</v>
      </c>
      <c r="P1232" s="122">
        <v>0</v>
      </c>
      <c r="Q1232" s="122">
        <v>0</v>
      </c>
      <c r="R1232" s="122">
        <v>6642</v>
      </c>
      <c r="S1232" s="122">
        <v>6039</v>
      </c>
      <c r="T1232" s="122">
        <v>0</v>
      </c>
      <c r="U1232" s="122">
        <v>0</v>
      </c>
      <c r="V1232" s="122">
        <v>152671</v>
      </c>
      <c r="W1232" s="122">
        <f t="shared" si="38"/>
        <v>152670</v>
      </c>
      <c r="X1232" s="122">
        <f t="shared" si="39"/>
        <v>341026</v>
      </c>
      <c r="AA1232" t="s">
        <v>58</v>
      </c>
      <c r="AB1232" t="s">
        <v>137</v>
      </c>
      <c r="AC1232" t="s">
        <v>427</v>
      </c>
      <c r="AD1232" t="s">
        <v>427</v>
      </c>
      <c r="AE1232" t="s">
        <v>566</v>
      </c>
      <c r="AF1232">
        <v>1</v>
      </c>
      <c r="AG1232">
        <v>157</v>
      </c>
      <c r="AH1232">
        <v>275</v>
      </c>
      <c r="AI1232" s="122">
        <v>29895</v>
      </c>
      <c r="AJ1232" s="122">
        <v>11072</v>
      </c>
      <c r="AK1232">
        <v>100</v>
      </c>
      <c r="AL1232" s="122">
        <v>2082</v>
      </c>
      <c r="AM1232" s="122">
        <v>1893</v>
      </c>
      <c r="AN1232" s="122">
        <v>2973</v>
      </c>
      <c r="AO1232" s="122">
        <v>1101</v>
      </c>
      <c r="AP1232">
        <v>351</v>
      </c>
      <c r="AQ1232">
        <v>130</v>
      </c>
      <c r="AR1232" s="122">
        <v>7953</v>
      </c>
      <c r="AS1232" s="122">
        <v>7230</v>
      </c>
      <c r="AT1232" s="122">
        <v>0</v>
      </c>
      <c r="AU1232">
        <v>0</v>
      </c>
      <c r="AV1232" s="122">
        <v>21426</v>
      </c>
    </row>
    <row r="1233" spans="2:48" hidden="1">
      <c r="B1233" t="s">
        <v>369</v>
      </c>
      <c r="C1233" t="s">
        <v>64</v>
      </c>
      <c r="D1233" t="s">
        <v>137</v>
      </c>
      <c r="E1233" t="s">
        <v>137</v>
      </c>
      <c r="F1233" s="122">
        <v>325</v>
      </c>
      <c r="G1233" s="122">
        <v>28050</v>
      </c>
      <c r="H1233" s="122">
        <v>235197</v>
      </c>
      <c r="I1233" s="122">
        <v>14531577</v>
      </c>
      <c r="J1233" s="122">
        <v>5382066</v>
      </c>
      <c r="K1233" s="122">
        <v>100</v>
      </c>
      <c r="L1233" s="122">
        <v>2301308</v>
      </c>
      <c r="M1233" s="122">
        <v>1913284</v>
      </c>
      <c r="N1233" s="122">
        <v>634487</v>
      </c>
      <c r="O1233" s="122">
        <v>234995</v>
      </c>
      <c r="P1233" s="122">
        <v>7722</v>
      </c>
      <c r="Q1233" s="122">
        <v>2860</v>
      </c>
      <c r="R1233" s="122">
        <v>2257565</v>
      </c>
      <c r="S1233" s="122">
        <v>836135</v>
      </c>
      <c r="T1233" s="122">
        <v>12022</v>
      </c>
      <c r="U1233" s="122">
        <v>4453</v>
      </c>
      <c r="V1233" s="122">
        <v>8373793</v>
      </c>
      <c r="W1233" s="122">
        <f t="shared" si="38"/>
        <v>8373793</v>
      </c>
      <c r="X1233" s="122">
        <f t="shared" si="39"/>
        <v>19744681</v>
      </c>
      <c r="AA1233" t="s">
        <v>58</v>
      </c>
      <c r="AB1233" t="s">
        <v>137</v>
      </c>
      <c r="AC1233" t="s">
        <v>407</v>
      </c>
      <c r="AD1233" t="s">
        <v>137</v>
      </c>
      <c r="AE1233" t="s">
        <v>137</v>
      </c>
      <c r="AF1233">
        <v>1</v>
      </c>
      <c r="AG1233" s="122">
        <v>105</v>
      </c>
      <c r="AH1233" s="122">
        <v>226</v>
      </c>
      <c r="AI1233" s="122">
        <v>12505</v>
      </c>
      <c r="AJ1233" s="122">
        <v>4632</v>
      </c>
      <c r="AK1233">
        <v>250</v>
      </c>
      <c r="AL1233" s="122">
        <v>1708</v>
      </c>
      <c r="AM1233" s="122">
        <v>1553</v>
      </c>
      <c r="AN1233" s="122">
        <v>2514</v>
      </c>
      <c r="AO1233" s="122">
        <v>931</v>
      </c>
      <c r="AP1233" s="122">
        <v>351</v>
      </c>
      <c r="AQ1233">
        <v>130</v>
      </c>
      <c r="AR1233" s="122">
        <v>4147</v>
      </c>
      <c r="AS1233" s="122">
        <v>1536</v>
      </c>
      <c r="AT1233" s="122">
        <v>2488</v>
      </c>
      <c r="AU1233">
        <v>921</v>
      </c>
      <c r="AV1233" s="122">
        <v>9703</v>
      </c>
    </row>
    <row r="1234" spans="2:48" hidden="1">
      <c r="B1234" t="s">
        <v>369</v>
      </c>
      <c r="C1234" t="s">
        <v>64</v>
      </c>
      <c r="D1234" t="s">
        <v>137</v>
      </c>
      <c r="E1234" t="s">
        <v>406</v>
      </c>
      <c r="F1234" s="122">
        <v>4</v>
      </c>
      <c r="G1234" s="122">
        <v>395</v>
      </c>
      <c r="H1234" s="122">
        <v>2754</v>
      </c>
      <c r="I1234" s="122">
        <v>203659</v>
      </c>
      <c r="J1234" s="122">
        <v>75429</v>
      </c>
      <c r="K1234" s="122">
        <v>100</v>
      </c>
      <c r="L1234" s="122">
        <v>27880</v>
      </c>
      <c r="M1234" s="122">
        <v>25345</v>
      </c>
      <c r="N1234" s="122">
        <v>7911</v>
      </c>
      <c r="O1234" s="122">
        <v>2930</v>
      </c>
      <c r="P1234" s="122">
        <v>0</v>
      </c>
      <c r="Q1234" s="122">
        <v>0</v>
      </c>
      <c r="R1234" s="122">
        <v>21969</v>
      </c>
      <c r="S1234" s="122">
        <v>19972</v>
      </c>
      <c r="T1234" s="122">
        <v>6299</v>
      </c>
      <c r="U1234" s="122">
        <v>2333</v>
      </c>
      <c r="V1234" s="122">
        <v>126009</v>
      </c>
      <c r="W1234" s="122">
        <f t="shared" si="38"/>
        <v>126009</v>
      </c>
      <c r="X1234" s="122">
        <f t="shared" si="39"/>
        <v>267718</v>
      </c>
      <c r="AA1234" t="s">
        <v>58</v>
      </c>
      <c r="AB1234" t="s">
        <v>137</v>
      </c>
      <c r="AC1234" t="s">
        <v>407</v>
      </c>
      <c r="AD1234" t="s">
        <v>137</v>
      </c>
      <c r="AE1234" t="s">
        <v>566</v>
      </c>
      <c r="AF1234">
        <v>5</v>
      </c>
      <c r="AG1234" s="122">
        <v>1044</v>
      </c>
      <c r="AH1234" s="122">
        <v>1226</v>
      </c>
      <c r="AI1234" s="122">
        <v>164369</v>
      </c>
      <c r="AJ1234" s="122">
        <v>60878</v>
      </c>
      <c r="AK1234">
        <v>130</v>
      </c>
      <c r="AL1234" s="122">
        <v>23931</v>
      </c>
      <c r="AM1234" s="122">
        <v>21755</v>
      </c>
      <c r="AN1234" s="122">
        <v>17620</v>
      </c>
      <c r="AO1234" s="122">
        <v>6526</v>
      </c>
      <c r="AP1234" s="122">
        <v>1855</v>
      </c>
      <c r="AQ1234">
        <v>687</v>
      </c>
      <c r="AR1234" s="122">
        <v>48099</v>
      </c>
      <c r="AS1234" s="122">
        <v>17815</v>
      </c>
      <c r="AT1234">
        <v>0</v>
      </c>
      <c r="AU1234">
        <v>0</v>
      </c>
      <c r="AV1234" s="122">
        <v>107660</v>
      </c>
    </row>
    <row r="1235" spans="2:48" hidden="1">
      <c r="B1235" t="s">
        <v>369</v>
      </c>
      <c r="C1235" t="s">
        <v>64</v>
      </c>
      <c r="D1235" t="s">
        <v>137</v>
      </c>
      <c r="E1235" t="s">
        <v>427</v>
      </c>
      <c r="F1235" s="122">
        <v>3</v>
      </c>
      <c r="G1235" s="122">
        <v>234</v>
      </c>
      <c r="H1235" s="122">
        <v>2659</v>
      </c>
      <c r="I1235" s="122">
        <v>159377</v>
      </c>
      <c r="J1235" s="122">
        <v>59028</v>
      </c>
      <c r="K1235" s="122">
        <v>100</v>
      </c>
      <c r="L1235" s="122">
        <v>21155</v>
      </c>
      <c r="M1235" s="122">
        <v>19232</v>
      </c>
      <c r="N1235" s="122">
        <v>5701</v>
      </c>
      <c r="O1235" s="122">
        <v>2111</v>
      </c>
      <c r="P1235" s="122">
        <v>351</v>
      </c>
      <c r="Q1235" s="122">
        <v>130</v>
      </c>
      <c r="R1235" s="122">
        <v>19744</v>
      </c>
      <c r="S1235" s="122">
        <v>17950</v>
      </c>
      <c r="T1235" s="122">
        <v>2678</v>
      </c>
      <c r="U1235" s="122">
        <v>992</v>
      </c>
      <c r="V1235" s="122">
        <v>99443</v>
      </c>
      <c r="W1235" s="122">
        <f t="shared" si="38"/>
        <v>99443</v>
      </c>
      <c r="X1235" s="122">
        <f t="shared" si="39"/>
        <v>209006</v>
      </c>
      <c r="AA1235" t="s">
        <v>58</v>
      </c>
      <c r="AB1235" t="s">
        <v>137</v>
      </c>
      <c r="AC1235" t="s">
        <v>407</v>
      </c>
      <c r="AD1235" t="s">
        <v>407</v>
      </c>
      <c r="AE1235" t="s">
        <v>566</v>
      </c>
      <c r="AF1235">
        <v>1</v>
      </c>
      <c r="AG1235">
        <v>418</v>
      </c>
      <c r="AH1235" s="122">
        <v>287</v>
      </c>
      <c r="AI1235" s="122">
        <v>97932</v>
      </c>
      <c r="AJ1235" s="122">
        <v>36271</v>
      </c>
      <c r="AK1235">
        <v>100</v>
      </c>
      <c r="AL1235" s="122">
        <v>6157</v>
      </c>
      <c r="AM1235" s="122">
        <v>5597</v>
      </c>
      <c r="AN1235" s="122">
        <v>8352</v>
      </c>
      <c r="AO1235" s="122">
        <v>3093</v>
      </c>
      <c r="AP1235">
        <v>0</v>
      </c>
      <c r="AQ1235">
        <v>0</v>
      </c>
      <c r="AR1235" s="122">
        <v>7570</v>
      </c>
      <c r="AS1235" s="122">
        <v>6882</v>
      </c>
      <c r="AT1235">
        <v>0</v>
      </c>
      <c r="AU1235">
        <v>0</v>
      </c>
      <c r="AV1235" s="122">
        <v>51844</v>
      </c>
    </row>
    <row r="1236" spans="2:48" hidden="1">
      <c r="B1236" t="s">
        <v>369</v>
      </c>
      <c r="C1236" t="s">
        <v>64</v>
      </c>
      <c r="D1236" t="s">
        <v>137</v>
      </c>
      <c r="E1236" t="s">
        <v>556</v>
      </c>
      <c r="F1236" s="122">
        <v>2</v>
      </c>
      <c r="G1236" s="122">
        <v>118</v>
      </c>
      <c r="H1236" s="122">
        <v>1069</v>
      </c>
      <c r="I1236" s="122">
        <v>39899</v>
      </c>
      <c r="J1236" s="122">
        <v>14777</v>
      </c>
      <c r="K1236" s="122">
        <v>100</v>
      </c>
      <c r="L1236" s="122">
        <v>3984</v>
      </c>
      <c r="M1236" s="122">
        <v>3503</v>
      </c>
      <c r="N1236" s="122">
        <v>2317</v>
      </c>
      <c r="O1236" s="122">
        <v>858</v>
      </c>
      <c r="P1236" s="122">
        <v>351</v>
      </c>
      <c r="Q1236" s="122">
        <v>130</v>
      </c>
      <c r="R1236" s="122">
        <v>10701</v>
      </c>
      <c r="S1236" s="122">
        <v>8918</v>
      </c>
      <c r="T1236" s="122">
        <v>3290</v>
      </c>
      <c r="U1236" s="122">
        <v>1218</v>
      </c>
      <c r="V1236" s="122">
        <v>29405</v>
      </c>
      <c r="W1236" s="122">
        <f t="shared" si="38"/>
        <v>29404</v>
      </c>
      <c r="X1236" s="122">
        <f t="shared" si="39"/>
        <v>60542</v>
      </c>
      <c r="AA1236" t="s">
        <v>58</v>
      </c>
      <c r="AB1236" t="s">
        <v>137</v>
      </c>
      <c r="AC1236" t="s">
        <v>579</v>
      </c>
      <c r="AD1236" t="s">
        <v>137</v>
      </c>
      <c r="AE1236" t="s">
        <v>137</v>
      </c>
      <c r="AF1236">
        <v>4</v>
      </c>
      <c r="AG1236" s="122">
        <v>399</v>
      </c>
      <c r="AH1236" s="122">
        <v>1155</v>
      </c>
      <c r="AI1236" s="122">
        <v>83404</v>
      </c>
      <c r="AJ1236" s="122">
        <v>30890</v>
      </c>
      <c r="AK1236">
        <v>100</v>
      </c>
      <c r="AL1236" s="122">
        <v>12591</v>
      </c>
      <c r="AM1236" s="122">
        <v>10493</v>
      </c>
      <c r="AN1236" s="122">
        <v>10479</v>
      </c>
      <c r="AO1236" s="122">
        <v>3881</v>
      </c>
      <c r="AP1236" s="122">
        <v>0</v>
      </c>
      <c r="AQ1236" s="122">
        <v>0</v>
      </c>
      <c r="AR1236" s="122">
        <v>32798</v>
      </c>
      <c r="AS1236" s="122">
        <v>12147</v>
      </c>
      <c r="AT1236">
        <v>0</v>
      </c>
      <c r="AU1236">
        <v>0</v>
      </c>
      <c r="AV1236" s="122">
        <v>57411</v>
      </c>
    </row>
    <row r="1237" spans="2:48" hidden="1">
      <c r="B1237" t="s">
        <v>369</v>
      </c>
      <c r="C1237" t="s">
        <v>64</v>
      </c>
      <c r="D1237" t="s">
        <v>137</v>
      </c>
      <c r="E1237" t="s">
        <v>426</v>
      </c>
      <c r="F1237" s="122">
        <v>27</v>
      </c>
      <c r="G1237" s="122">
        <v>2137</v>
      </c>
      <c r="H1237" s="122">
        <v>17250</v>
      </c>
      <c r="I1237" s="122">
        <v>975496</v>
      </c>
      <c r="J1237" s="122">
        <v>361295</v>
      </c>
      <c r="K1237" s="122">
        <v>100</v>
      </c>
      <c r="L1237" s="122">
        <v>143892</v>
      </c>
      <c r="M1237" s="122">
        <v>130811</v>
      </c>
      <c r="N1237" s="122">
        <v>42924</v>
      </c>
      <c r="O1237" s="122">
        <v>15898</v>
      </c>
      <c r="P1237" s="122">
        <v>3861</v>
      </c>
      <c r="Q1237" s="122">
        <v>1430</v>
      </c>
      <c r="R1237" s="122">
        <v>163249</v>
      </c>
      <c r="S1237" s="122">
        <v>148409</v>
      </c>
      <c r="T1237" s="122">
        <v>53051</v>
      </c>
      <c r="U1237" s="122">
        <v>19648</v>
      </c>
      <c r="V1237" s="122">
        <v>677491</v>
      </c>
      <c r="W1237" s="122">
        <f t="shared" si="38"/>
        <v>677491</v>
      </c>
      <c r="X1237" s="122">
        <f t="shared" si="39"/>
        <v>1382473</v>
      </c>
      <c r="AA1237" t="s">
        <v>58</v>
      </c>
      <c r="AB1237" t="s">
        <v>137</v>
      </c>
      <c r="AC1237" t="s">
        <v>579</v>
      </c>
      <c r="AD1237" t="s">
        <v>137</v>
      </c>
      <c r="AE1237" t="s">
        <v>566</v>
      </c>
      <c r="AF1237">
        <v>73</v>
      </c>
      <c r="AG1237" s="122">
        <v>12487</v>
      </c>
      <c r="AH1237" s="122">
        <v>19398</v>
      </c>
      <c r="AI1237" s="122">
        <v>2027338</v>
      </c>
      <c r="AJ1237" s="122">
        <v>750866</v>
      </c>
      <c r="AK1237">
        <v>105</v>
      </c>
      <c r="AL1237" s="122">
        <v>411091</v>
      </c>
      <c r="AM1237" s="122">
        <v>342576</v>
      </c>
      <c r="AN1237" s="122">
        <v>263021</v>
      </c>
      <c r="AO1237" s="122">
        <v>97415</v>
      </c>
      <c r="AP1237" s="122">
        <v>11610</v>
      </c>
      <c r="AQ1237" s="122">
        <v>4300</v>
      </c>
      <c r="AR1237" s="122">
        <v>658004</v>
      </c>
      <c r="AS1237" s="122">
        <v>243705</v>
      </c>
      <c r="AT1237">
        <v>0</v>
      </c>
      <c r="AU1237">
        <v>0</v>
      </c>
      <c r="AV1237" s="122">
        <v>1438862</v>
      </c>
    </row>
    <row r="1238" spans="2:48" hidden="1">
      <c r="B1238" t="s">
        <v>369</v>
      </c>
      <c r="C1238" t="s">
        <v>64</v>
      </c>
      <c r="D1238" t="s">
        <v>406</v>
      </c>
      <c r="E1238" t="s">
        <v>425</v>
      </c>
      <c r="F1238" s="122">
        <v>1</v>
      </c>
      <c r="G1238" s="122">
        <v>158</v>
      </c>
      <c r="H1238" s="122">
        <v>482</v>
      </c>
      <c r="I1238" s="122">
        <v>52293</v>
      </c>
      <c r="J1238" s="122">
        <v>47539</v>
      </c>
      <c r="K1238" s="122">
        <v>65</v>
      </c>
      <c r="L1238" s="122">
        <v>11969</v>
      </c>
      <c r="M1238" s="122">
        <v>10881</v>
      </c>
      <c r="N1238" s="122">
        <v>3688</v>
      </c>
      <c r="O1238" s="122">
        <v>1366</v>
      </c>
      <c r="P1238" s="122">
        <v>621</v>
      </c>
      <c r="Q1238" s="122">
        <v>230</v>
      </c>
      <c r="R1238" s="122">
        <v>7486</v>
      </c>
      <c r="S1238" s="122">
        <v>6805</v>
      </c>
      <c r="T1238" s="122">
        <v>0</v>
      </c>
      <c r="U1238" s="122">
        <v>0</v>
      </c>
      <c r="V1238" s="122">
        <v>66821</v>
      </c>
      <c r="W1238" s="122">
        <f t="shared" si="38"/>
        <v>66821</v>
      </c>
      <c r="X1238" s="122">
        <f t="shared" si="39"/>
        <v>76057</v>
      </c>
      <c r="AA1238" t="s">
        <v>58</v>
      </c>
      <c r="AB1238" t="s">
        <v>137</v>
      </c>
      <c r="AC1238" t="s">
        <v>428</v>
      </c>
      <c r="AD1238" t="s">
        <v>137</v>
      </c>
      <c r="AE1238" t="s">
        <v>566</v>
      </c>
      <c r="AF1238">
        <v>3</v>
      </c>
      <c r="AG1238">
        <v>404</v>
      </c>
      <c r="AH1238">
        <v>824</v>
      </c>
      <c r="AI1238" s="122">
        <v>68420</v>
      </c>
      <c r="AJ1238" s="122">
        <v>25341</v>
      </c>
      <c r="AK1238">
        <v>100</v>
      </c>
      <c r="AL1238" s="122">
        <v>8365</v>
      </c>
      <c r="AM1238" s="122">
        <v>7604</v>
      </c>
      <c r="AN1238" s="122">
        <v>8662</v>
      </c>
      <c r="AO1238" s="122">
        <v>3208</v>
      </c>
      <c r="AP1238">
        <v>0</v>
      </c>
      <c r="AQ1238">
        <v>0</v>
      </c>
      <c r="AR1238" s="122">
        <v>26089</v>
      </c>
      <c r="AS1238" s="122">
        <v>9663</v>
      </c>
      <c r="AT1238">
        <v>0</v>
      </c>
      <c r="AU1238">
        <v>0</v>
      </c>
      <c r="AV1238" s="122">
        <v>45816</v>
      </c>
    </row>
    <row r="1239" spans="2:48" hidden="1">
      <c r="B1239" t="s">
        <v>369</v>
      </c>
      <c r="C1239" t="s">
        <v>64</v>
      </c>
      <c r="D1239" t="s">
        <v>406</v>
      </c>
      <c r="E1239" t="s">
        <v>137</v>
      </c>
      <c r="F1239" s="122">
        <v>12</v>
      </c>
      <c r="G1239" s="122">
        <v>1219</v>
      </c>
      <c r="H1239" s="122">
        <v>7438</v>
      </c>
      <c r="I1239" s="122">
        <v>497900</v>
      </c>
      <c r="J1239" s="122">
        <v>452636</v>
      </c>
      <c r="K1239" s="122">
        <v>71</v>
      </c>
      <c r="L1239" s="122">
        <v>87642</v>
      </c>
      <c r="M1239" s="122">
        <v>77906</v>
      </c>
      <c r="N1239" s="122">
        <v>28309</v>
      </c>
      <c r="O1239" s="122">
        <v>10485</v>
      </c>
      <c r="P1239" s="122">
        <v>5859</v>
      </c>
      <c r="Q1239" s="122">
        <v>2170</v>
      </c>
      <c r="R1239" s="122">
        <v>106536</v>
      </c>
      <c r="S1239" s="122">
        <v>39458</v>
      </c>
      <c r="T1239" s="122">
        <v>0</v>
      </c>
      <c r="U1239" s="122">
        <v>0</v>
      </c>
      <c r="V1239" s="122">
        <v>582655</v>
      </c>
      <c r="W1239" s="122">
        <f t="shared" si="38"/>
        <v>582655</v>
      </c>
      <c r="X1239" s="122">
        <f t="shared" si="39"/>
        <v>726246</v>
      </c>
      <c r="AA1239" t="s">
        <v>58</v>
      </c>
      <c r="AB1239" t="s">
        <v>137</v>
      </c>
      <c r="AC1239" t="s">
        <v>431</v>
      </c>
      <c r="AD1239" t="s">
        <v>137</v>
      </c>
      <c r="AE1239" t="s">
        <v>566</v>
      </c>
      <c r="AF1239">
        <v>2</v>
      </c>
      <c r="AG1239">
        <v>209</v>
      </c>
      <c r="AH1239">
        <v>532</v>
      </c>
      <c r="AI1239" s="122">
        <v>33571</v>
      </c>
      <c r="AJ1239" s="122">
        <v>12434</v>
      </c>
      <c r="AK1239">
        <v>100</v>
      </c>
      <c r="AL1239" s="122">
        <v>4288</v>
      </c>
      <c r="AM1239" s="122">
        <v>3899</v>
      </c>
      <c r="AN1239" s="122">
        <v>4974</v>
      </c>
      <c r="AO1239" s="122">
        <v>1842</v>
      </c>
      <c r="AP1239">
        <v>0</v>
      </c>
      <c r="AQ1239">
        <v>0</v>
      </c>
      <c r="AR1239" s="122">
        <v>12751</v>
      </c>
      <c r="AS1239" s="122">
        <v>4723</v>
      </c>
      <c r="AT1239">
        <v>0</v>
      </c>
      <c r="AU1239">
        <v>0</v>
      </c>
      <c r="AV1239" s="122">
        <v>22897</v>
      </c>
    </row>
    <row r="1240" spans="2:48" hidden="1">
      <c r="B1240" t="s">
        <v>369</v>
      </c>
      <c r="C1240" t="s">
        <v>64</v>
      </c>
      <c r="D1240" t="s">
        <v>406</v>
      </c>
      <c r="E1240" t="s">
        <v>406</v>
      </c>
      <c r="F1240" s="122">
        <v>450</v>
      </c>
      <c r="G1240" s="122">
        <v>44413</v>
      </c>
      <c r="H1240" s="122">
        <v>251496</v>
      </c>
      <c r="I1240" s="122">
        <v>17099040</v>
      </c>
      <c r="J1240" s="122">
        <v>15544582</v>
      </c>
      <c r="K1240" s="122">
        <v>72</v>
      </c>
      <c r="L1240" s="122">
        <v>3419642</v>
      </c>
      <c r="M1240" s="122">
        <v>3025331</v>
      </c>
      <c r="N1240" s="122">
        <v>997319</v>
      </c>
      <c r="O1240" s="122">
        <v>369378</v>
      </c>
      <c r="P1240" s="122">
        <v>284638</v>
      </c>
      <c r="Q1240" s="122">
        <v>105422</v>
      </c>
      <c r="R1240" s="122">
        <v>2451164</v>
      </c>
      <c r="S1240" s="122">
        <v>2228331</v>
      </c>
      <c r="T1240" s="122">
        <v>532952</v>
      </c>
      <c r="U1240" s="122">
        <v>197390</v>
      </c>
      <c r="V1240" s="122">
        <v>21470433</v>
      </c>
      <c r="W1240" s="122">
        <f t="shared" si="38"/>
        <v>21470434</v>
      </c>
      <c r="X1240" s="122">
        <f t="shared" si="39"/>
        <v>24784755</v>
      </c>
      <c r="AA1240" t="s">
        <v>58</v>
      </c>
      <c r="AB1240" t="s">
        <v>137</v>
      </c>
      <c r="AC1240" t="s">
        <v>426</v>
      </c>
      <c r="AD1240" t="s">
        <v>405</v>
      </c>
      <c r="AE1240" t="s">
        <v>566</v>
      </c>
      <c r="AF1240">
        <v>1</v>
      </c>
      <c r="AG1240" s="122">
        <v>164</v>
      </c>
      <c r="AH1240" s="122">
        <v>269</v>
      </c>
      <c r="AI1240" s="122">
        <v>25757</v>
      </c>
      <c r="AJ1240" s="122">
        <v>9540</v>
      </c>
      <c r="AK1240">
        <v>100</v>
      </c>
      <c r="AL1240" s="122">
        <v>8745</v>
      </c>
      <c r="AM1240" s="122">
        <v>7950</v>
      </c>
      <c r="AN1240" s="122">
        <v>3997</v>
      </c>
      <c r="AO1240" s="122">
        <v>1480</v>
      </c>
      <c r="AP1240" s="122">
        <v>473</v>
      </c>
      <c r="AQ1240">
        <v>175</v>
      </c>
      <c r="AR1240" s="122">
        <v>5175</v>
      </c>
      <c r="AS1240" s="122">
        <v>4705</v>
      </c>
      <c r="AT1240" s="122">
        <v>0</v>
      </c>
      <c r="AU1240" s="122">
        <v>0</v>
      </c>
      <c r="AV1240" s="122">
        <v>23850</v>
      </c>
    </row>
    <row r="1241" spans="2:48" hidden="1">
      <c r="B1241" t="s">
        <v>369</v>
      </c>
      <c r="C1241" t="s">
        <v>64</v>
      </c>
      <c r="D1241" t="s">
        <v>427</v>
      </c>
      <c r="E1241" t="s">
        <v>137</v>
      </c>
      <c r="F1241" s="122">
        <v>6</v>
      </c>
      <c r="G1241" s="122">
        <v>360</v>
      </c>
      <c r="H1241" s="122">
        <v>7192</v>
      </c>
      <c r="I1241" s="122">
        <v>371102</v>
      </c>
      <c r="J1241" s="122">
        <v>337365</v>
      </c>
      <c r="K1241" s="122">
        <v>40</v>
      </c>
      <c r="L1241" s="122">
        <v>42693</v>
      </c>
      <c r="M1241" s="122">
        <v>15812</v>
      </c>
      <c r="N1241" s="122">
        <v>8955</v>
      </c>
      <c r="O1241" s="122">
        <v>3317</v>
      </c>
      <c r="P1241" s="122">
        <v>351</v>
      </c>
      <c r="Q1241" s="122">
        <v>130</v>
      </c>
      <c r="R1241" s="122">
        <v>30096</v>
      </c>
      <c r="S1241" s="122">
        <v>11147</v>
      </c>
      <c r="T1241" s="122">
        <v>0</v>
      </c>
      <c r="U1241" s="122">
        <v>0</v>
      </c>
      <c r="V1241" s="122">
        <v>367771</v>
      </c>
      <c r="W1241" s="122">
        <f t="shared" si="38"/>
        <v>367771</v>
      </c>
      <c r="X1241" s="122">
        <f t="shared" si="39"/>
        <v>453197</v>
      </c>
      <c r="AA1241" t="s">
        <v>58</v>
      </c>
      <c r="AB1241" t="s">
        <v>137</v>
      </c>
      <c r="AC1241" t="s">
        <v>426</v>
      </c>
      <c r="AD1241" t="s">
        <v>137</v>
      </c>
      <c r="AE1241" t="s">
        <v>137</v>
      </c>
      <c r="AF1241">
        <v>64</v>
      </c>
      <c r="AG1241" s="122">
        <v>9846</v>
      </c>
      <c r="AH1241" s="122">
        <v>16764</v>
      </c>
      <c r="AI1241" s="122">
        <v>1650657</v>
      </c>
      <c r="AJ1241" s="122">
        <v>611354</v>
      </c>
      <c r="AK1241">
        <v>106</v>
      </c>
      <c r="AL1241" s="122">
        <v>294222</v>
      </c>
      <c r="AM1241" s="122">
        <v>267475</v>
      </c>
      <c r="AN1241" s="122">
        <v>228561</v>
      </c>
      <c r="AO1241" s="122">
        <v>84652</v>
      </c>
      <c r="AP1241" s="122">
        <v>1755</v>
      </c>
      <c r="AQ1241" s="122">
        <v>650</v>
      </c>
      <c r="AR1241" s="122">
        <v>521526</v>
      </c>
      <c r="AS1241" s="122">
        <v>193158</v>
      </c>
      <c r="AT1241" s="122">
        <v>35703</v>
      </c>
      <c r="AU1241" s="122">
        <v>13223</v>
      </c>
      <c r="AV1241" s="122">
        <v>1170512</v>
      </c>
    </row>
    <row r="1242" spans="2:48" hidden="1">
      <c r="B1242" t="s">
        <v>369</v>
      </c>
      <c r="C1242" t="s">
        <v>64</v>
      </c>
      <c r="D1242" t="s">
        <v>427</v>
      </c>
      <c r="E1242" t="s">
        <v>406</v>
      </c>
      <c r="F1242" s="122">
        <v>1</v>
      </c>
      <c r="G1242" s="122">
        <v>78</v>
      </c>
      <c r="H1242" s="122">
        <v>604</v>
      </c>
      <c r="I1242" s="122">
        <v>32370</v>
      </c>
      <c r="J1242" s="122">
        <v>29427</v>
      </c>
      <c r="K1242" s="122">
        <v>45</v>
      </c>
      <c r="L1242" s="122">
        <v>5395</v>
      </c>
      <c r="M1242" s="122">
        <v>4905</v>
      </c>
      <c r="N1242" s="122">
        <v>1901</v>
      </c>
      <c r="O1242" s="122">
        <v>704</v>
      </c>
      <c r="P1242" s="122">
        <v>351</v>
      </c>
      <c r="Q1242" s="122">
        <v>130</v>
      </c>
      <c r="R1242" s="122">
        <v>4932</v>
      </c>
      <c r="S1242" s="122">
        <v>4483</v>
      </c>
      <c r="T1242" s="122">
        <v>2139</v>
      </c>
      <c r="U1242" s="122">
        <v>792</v>
      </c>
      <c r="V1242" s="122">
        <v>40441</v>
      </c>
      <c r="W1242" s="122">
        <f t="shared" si="38"/>
        <v>40441</v>
      </c>
      <c r="X1242" s="122">
        <f t="shared" si="39"/>
        <v>47088</v>
      </c>
      <c r="AA1242" t="s">
        <v>58</v>
      </c>
      <c r="AB1242" t="s">
        <v>137</v>
      </c>
      <c r="AC1242" t="s">
        <v>426</v>
      </c>
      <c r="AD1242" t="s">
        <v>137</v>
      </c>
      <c r="AE1242" t="s">
        <v>566</v>
      </c>
      <c r="AF1242">
        <v>657</v>
      </c>
      <c r="AG1242" s="122">
        <v>99151</v>
      </c>
      <c r="AH1242" s="122">
        <v>175446</v>
      </c>
      <c r="AI1242" s="122">
        <v>16763847</v>
      </c>
      <c r="AJ1242" s="122">
        <v>6208832</v>
      </c>
      <c r="AK1242">
        <v>109</v>
      </c>
      <c r="AL1242" s="122">
        <v>2999720</v>
      </c>
      <c r="AM1242" s="122">
        <v>2727019</v>
      </c>
      <c r="AN1242" s="122">
        <v>2262288</v>
      </c>
      <c r="AO1242" s="122">
        <v>837884</v>
      </c>
      <c r="AP1242" s="122">
        <v>46288</v>
      </c>
      <c r="AQ1242" s="122">
        <v>17144</v>
      </c>
      <c r="AR1242" s="122">
        <v>5744493</v>
      </c>
      <c r="AS1242" s="122">
        <v>2127590</v>
      </c>
      <c r="AT1242" s="122">
        <v>0</v>
      </c>
      <c r="AU1242" s="122">
        <v>0</v>
      </c>
      <c r="AV1242" s="122">
        <v>11918469</v>
      </c>
    </row>
    <row r="1243" spans="2:48" hidden="1">
      <c r="B1243" t="s">
        <v>369</v>
      </c>
      <c r="C1243" t="s">
        <v>64</v>
      </c>
      <c r="D1243" t="s">
        <v>427</v>
      </c>
      <c r="E1243" t="s">
        <v>427</v>
      </c>
      <c r="F1243" s="122">
        <v>23</v>
      </c>
      <c r="G1243" s="122">
        <v>2042</v>
      </c>
      <c r="H1243" s="122">
        <v>16569</v>
      </c>
      <c r="I1243" s="122">
        <v>1039502</v>
      </c>
      <c r="J1243" s="122">
        <v>945002</v>
      </c>
      <c r="K1243" s="122">
        <v>52</v>
      </c>
      <c r="L1243" s="122">
        <v>138432</v>
      </c>
      <c r="M1243" s="122">
        <v>125847</v>
      </c>
      <c r="N1243" s="122">
        <v>44313</v>
      </c>
      <c r="O1243" s="122">
        <v>16412</v>
      </c>
      <c r="P1243" s="122">
        <v>7641</v>
      </c>
      <c r="Q1243" s="122">
        <v>2830</v>
      </c>
      <c r="R1243" s="122">
        <v>157002</v>
      </c>
      <c r="S1243" s="122">
        <v>142730</v>
      </c>
      <c r="T1243" s="122">
        <v>33104</v>
      </c>
      <c r="U1243" s="122">
        <v>12261</v>
      </c>
      <c r="V1243" s="122">
        <v>1245082</v>
      </c>
      <c r="W1243" s="122">
        <f t="shared" si="38"/>
        <v>1245082</v>
      </c>
      <c r="X1243" s="122">
        <f t="shared" si="39"/>
        <v>1419994</v>
      </c>
      <c r="AA1243" t="s">
        <v>58</v>
      </c>
      <c r="AB1243" t="s">
        <v>137</v>
      </c>
      <c r="AC1243" t="s">
        <v>426</v>
      </c>
      <c r="AD1243" t="s">
        <v>406</v>
      </c>
      <c r="AE1243" t="s">
        <v>137</v>
      </c>
      <c r="AF1243">
        <v>1</v>
      </c>
      <c r="AG1243">
        <v>254</v>
      </c>
      <c r="AH1243" s="122">
        <v>245</v>
      </c>
      <c r="AI1243" s="122">
        <v>43494</v>
      </c>
      <c r="AJ1243" s="122">
        <v>16109</v>
      </c>
      <c r="AK1243">
        <v>100</v>
      </c>
      <c r="AL1243" s="122">
        <v>3281</v>
      </c>
      <c r="AM1243" s="122">
        <v>2983</v>
      </c>
      <c r="AN1243" s="122">
        <v>5639</v>
      </c>
      <c r="AO1243" s="122">
        <v>2088</v>
      </c>
      <c r="AP1243">
        <v>0</v>
      </c>
      <c r="AQ1243">
        <v>0</v>
      </c>
      <c r="AR1243" s="122">
        <v>6356</v>
      </c>
      <c r="AS1243" s="122">
        <v>5778</v>
      </c>
      <c r="AT1243" s="122">
        <v>3524</v>
      </c>
      <c r="AU1243" s="122">
        <v>1305</v>
      </c>
      <c r="AV1243" s="122">
        <v>28264</v>
      </c>
    </row>
    <row r="1244" spans="2:48" hidden="1">
      <c r="B1244" t="s">
        <v>369</v>
      </c>
      <c r="C1244" t="s">
        <v>64</v>
      </c>
      <c r="D1244" t="s">
        <v>407</v>
      </c>
      <c r="E1244" t="s">
        <v>407</v>
      </c>
      <c r="F1244" s="122">
        <v>3</v>
      </c>
      <c r="G1244" s="122">
        <v>284</v>
      </c>
      <c r="H1244" s="122">
        <v>1908</v>
      </c>
      <c r="I1244" s="122">
        <v>131683</v>
      </c>
      <c r="J1244" s="122">
        <v>119712</v>
      </c>
      <c r="K1244" s="122">
        <v>67</v>
      </c>
      <c r="L1244" s="122">
        <v>30305</v>
      </c>
      <c r="M1244" s="122">
        <v>27550</v>
      </c>
      <c r="N1244" s="122">
        <v>7827</v>
      </c>
      <c r="O1244" s="122">
        <v>2899</v>
      </c>
      <c r="P1244" s="122">
        <v>1418</v>
      </c>
      <c r="Q1244" s="122">
        <v>525</v>
      </c>
      <c r="R1244" s="122">
        <v>21410</v>
      </c>
      <c r="S1244" s="122">
        <v>19463</v>
      </c>
      <c r="T1244" s="122">
        <v>6979</v>
      </c>
      <c r="U1244" s="122">
        <v>2585</v>
      </c>
      <c r="V1244" s="122">
        <v>172734</v>
      </c>
      <c r="W1244" s="122">
        <f t="shared" si="38"/>
        <v>172734</v>
      </c>
      <c r="X1244" s="122">
        <f t="shared" si="39"/>
        <v>199622</v>
      </c>
      <c r="AA1244" t="s">
        <v>58</v>
      </c>
      <c r="AB1244" t="s">
        <v>137</v>
      </c>
      <c r="AC1244" t="s">
        <v>426</v>
      </c>
      <c r="AD1244" t="s">
        <v>406</v>
      </c>
      <c r="AE1244" t="s">
        <v>566</v>
      </c>
      <c r="AF1244">
        <v>4</v>
      </c>
      <c r="AG1244">
        <v>573</v>
      </c>
      <c r="AH1244" s="122">
        <v>1039</v>
      </c>
      <c r="AI1244" s="122">
        <v>121665</v>
      </c>
      <c r="AJ1244" s="122">
        <v>45061</v>
      </c>
      <c r="AK1244">
        <v>100</v>
      </c>
      <c r="AL1244" s="122">
        <v>14051</v>
      </c>
      <c r="AM1244" s="122">
        <v>12774</v>
      </c>
      <c r="AN1244" s="122">
        <v>15768</v>
      </c>
      <c r="AO1244" s="122">
        <v>5840</v>
      </c>
      <c r="AP1244" s="122">
        <v>351</v>
      </c>
      <c r="AQ1244">
        <v>130</v>
      </c>
      <c r="AR1244" s="122">
        <v>25929</v>
      </c>
      <c r="AS1244" s="122">
        <v>23572</v>
      </c>
      <c r="AT1244" s="122">
        <v>0</v>
      </c>
      <c r="AU1244" s="122">
        <v>0</v>
      </c>
      <c r="AV1244" s="122">
        <v>87377</v>
      </c>
    </row>
    <row r="1245" spans="2:48" hidden="1">
      <c r="B1245" t="s">
        <v>369</v>
      </c>
      <c r="C1245" t="s">
        <v>64</v>
      </c>
      <c r="D1245" t="s">
        <v>556</v>
      </c>
      <c r="E1245" t="s">
        <v>556</v>
      </c>
      <c r="F1245" s="122">
        <v>7</v>
      </c>
      <c r="G1245" s="122">
        <v>464</v>
      </c>
      <c r="H1245" s="122">
        <v>4298</v>
      </c>
      <c r="I1245" s="122">
        <v>190049</v>
      </c>
      <c r="J1245" s="122">
        <v>158374</v>
      </c>
      <c r="K1245" s="122">
        <v>59</v>
      </c>
      <c r="L1245" s="122">
        <v>22767</v>
      </c>
      <c r="M1245" s="122">
        <v>15252</v>
      </c>
      <c r="N1245" s="122">
        <v>9945</v>
      </c>
      <c r="O1245" s="122">
        <v>3683</v>
      </c>
      <c r="P1245" s="122">
        <v>2727</v>
      </c>
      <c r="Q1245" s="122">
        <v>1010</v>
      </c>
      <c r="R1245" s="122">
        <v>45083</v>
      </c>
      <c r="S1245" s="122">
        <v>37569</v>
      </c>
      <c r="T1245" s="122">
        <v>8763</v>
      </c>
      <c r="U1245" s="122">
        <v>3246</v>
      </c>
      <c r="V1245" s="122">
        <v>219135</v>
      </c>
      <c r="W1245" s="122">
        <f t="shared" si="38"/>
        <v>219134</v>
      </c>
      <c r="X1245" s="122">
        <f t="shared" si="39"/>
        <v>279334</v>
      </c>
      <c r="AA1245" t="s">
        <v>58</v>
      </c>
      <c r="AB1245" t="s">
        <v>137</v>
      </c>
      <c r="AC1245" t="s">
        <v>426</v>
      </c>
      <c r="AD1245" t="s">
        <v>426</v>
      </c>
      <c r="AE1245" t="s">
        <v>137</v>
      </c>
      <c r="AF1245">
        <v>6</v>
      </c>
      <c r="AG1245">
        <v>680</v>
      </c>
      <c r="AH1245" s="122">
        <v>1615</v>
      </c>
      <c r="AI1245" s="122">
        <v>113983</v>
      </c>
      <c r="AJ1245" s="122">
        <v>42216</v>
      </c>
      <c r="AK1245">
        <v>168</v>
      </c>
      <c r="AL1245" s="122">
        <v>10290</v>
      </c>
      <c r="AM1245" s="122">
        <v>9355</v>
      </c>
      <c r="AN1245" s="122">
        <v>12501</v>
      </c>
      <c r="AO1245" s="122">
        <v>4630</v>
      </c>
      <c r="AP1245" s="122">
        <v>1730</v>
      </c>
      <c r="AQ1245">
        <v>641</v>
      </c>
      <c r="AR1245" s="122">
        <v>31146</v>
      </c>
      <c r="AS1245" s="122">
        <v>28314</v>
      </c>
      <c r="AT1245" s="122">
        <v>12577</v>
      </c>
      <c r="AU1245" s="122">
        <v>4658</v>
      </c>
      <c r="AV1245" s="122">
        <v>89813</v>
      </c>
    </row>
    <row r="1246" spans="2:48" hidden="1">
      <c r="B1246" t="s">
        <v>369</v>
      </c>
      <c r="C1246" t="s">
        <v>64</v>
      </c>
      <c r="D1246" t="s">
        <v>428</v>
      </c>
      <c r="E1246" t="s">
        <v>137</v>
      </c>
      <c r="F1246" s="122">
        <v>1</v>
      </c>
      <c r="G1246" s="122">
        <v>85</v>
      </c>
      <c r="H1246" s="122">
        <v>617</v>
      </c>
      <c r="I1246" s="122">
        <v>36735</v>
      </c>
      <c r="J1246" s="122">
        <v>33395</v>
      </c>
      <c r="K1246" s="122">
        <v>60</v>
      </c>
      <c r="L1246" s="122">
        <v>6011</v>
      </c>
      <c r="M1246" s="122">
        <v>2226</v>
      </c>
      <c r="N1246" s="122">
        <v>2072</v>
      </c>
      <c r="O1246" s="122">
        <v>768</v>
      </c>
      <c r="P1246" s="122">
        <v>0</v>
      </c>
      <c r="Q1246" s="122">
        <v>0</v>
      </c>
      <c r="R1246" s="122">
        <v>7674</v>
      </c>
      <c r="S1246" s="122">
        <v>2842</v>
      </c>
      <c r="T1246" s="122">
        <v>0</v>
      </c>
      <c r="U1246" s="122">
        <v>0</v>
      </c>
      <c r="V1246" s="122">
        <v>39232</v>
      </c>
      <c r="W1246" s="122">
        <f t="shared" si="38"/>
        <v>39231</v>
      </c>
      <c r="X1246" s="122">
        <f t="shared" si="39"/>
        <v>52492</v>
      </c>
      <c r="AA1246" t="s">
        <v>58</v>
      </c>
      <c r="AB1246" t="s">
        <v>137</v>
      </c>
      <c r="AC1246" t="s">
        <v>426</v>
      </c>
      <c r="AD1246" t="s">
        <v>426</v>
      </c>
      <c r="AE1246" t="s">
        <v>566</v>
      </c>
      <c r="AF1246">
        <v>1</v>
      </c>
      <c r="AG1246">
        <v>120</v>
      </c>
      <c r="AH1246" s="122">
        <v>279</v>
      </c>
      <c r="AI1246" s="122">
        <v>25581</v>
      </c>
      <c r="AJ1246" s="122">
        <v>9474</v>
      </c>
      <c r="AK1246">
        <v>100</v>
      </c>
      <c r="AL1246" s="122">
        <v>1782</v>
      </c>
      <c r="AM1246" s="122">
        <v>1620</v>
      </c>
      <c r="AN1246" s="122">
        <v>1463</v>
      </c>
      <c r="AO1246" s="122">
        <v>542</v>
      </c>
      <c r="AP1246">
        <v>0</v>
      </c>
      <c r="AQ1246">
        <v>0</v>
      </c>
      <c r="AR1246" s="122">
        <v>4727</v>
      </c>
      <c r="AS1246" s="122">
        <v>4297</v>
      </c>
      <c r="AT1246">
        <v>0</v>
      </c>
      <c r="AU1246">
        <v>0</v>
      </c>
      <c r="AV1246" s="122">
        <v>15933</v>
      </c>
    </row>
    <row r="1247" spans="2:48" hidden="1">
      <c r="B1247" t="s">
        <v>369</v>
      </c>
      <c r="C1247" t="s">
        <v>64</v>
      </c>
      <c r="D1247" t="s">
        <v>428</v>
      </c>
      <c r="E1247" t="s">
        <v>428</v>
      </c>
      <c r="F1247" s="122">
        <v>3</v>
      </c>
      <c r="G1247" s="122">
        <v>341</v>
      </c>
      <c r="H1247" s="122">
        <v>1695</v>
      </c>
      <c r="I1247" s="122">
        <v>150353</v>
      </c>
      <c r="J1247" s="122">
        <v>136685</v>
      </c>
      <c r="K1247" s="122">
        <v>48</v>
      </c>
      <c r="L1247" s="122">
        <v>16811</v>
      </c>
      <c r="M1247" s="122">
        <v>13137</v>
      </c>
      <c r="N1247" s="122">
        <v>5765</v>
      </c>
      <c r="O1247" s="122">
        <v>2135</v>
      </c>
      <c r="P1247" s="122">
        <v>1053</v>
      </c>
      <c r="Q1247" s="122">
        <v>390</v>
      </c>
      <c r="R1247" s="122">
        <v>21810</v>
      </c>
      <c r="S1247" s="122">
        <v>19827</v>
      </c>
      <c r="T1247" s="122">
        <v>5616</v>
      </c>
      <c r="U1247" s="122">
        <v>2080</v>
      </c>
      <c r="V1247" s="122">
        <v>174254</v>
      </c>
      <c r="W1247" s="122">
        <f t="shared" si="38"/>
        <v>174254</v>
      </c>
      <c r="X1247" s="122">
        <f t="shared" si="39"/>
        <v>201408</v>
      </c>
      <c r="AA1247" t="s">
        <v>58</v>
      </c>
      <c r="AB1247" t="s">
        <v>137</v>
      </c>
      <c r="AC1247" t="s">
        <v>566</v>
      </c>
      <c r="AD1247" t="s">
        <v>137</v>
      </c>
      <c r="AE1247" t="s">
        <v>137</v>
      </c>
      <c r="AF1247">
        <v>4</v>
      </c>
      <c r="AG1247" s="122">
        <v>342</v>
      </c>
      <c r="AH1247" s="122">
        <v>1023</v>
      </c>
      <c r="AI1247" s="122">
        <v>59229</v>
      </c>
      <c r="AJ1247" s="122">
        <v>21937</v>
      </c>
      <c r="AK1247">
        <v>100</v>
      </c>
      <c r="AL1247">
        <v>0</v>
      </c>
      <c r="AM1247" s="122">
        <v>4252</v>
      </c>
      <c r="AN1247" s="122">
        <v>7847</v>
      </c>
      <c r="AO1247" s="122">
        <v>2906</v>
      </c>
      <c r="AP1247" s="122">
        <v>0</v>
      </c>
      <c r="AQ1247" s="122">
        <v>0</v>
      </c>
      <c r="AR1247" s="122">
        <v>26359</v>
      </c>
      <c r="AS1247" s="122">
        <v>9763</v>
      </c>
      <c r="AT1247">
        <v>0</v>
      </c>
      <c r="AU1247">
        <v>0</v>
      </c>
      <c r="AV1247" s="122">
        <v>38857</v>
      </c>
    </row>
    <row r="1248" spans="2:48" hidden="1">
      <c r="B1248" t="s">
        <v>369</v>
      </c>
      <c r="C1248" t="s">
        <v>64</v>
      </c>
      <c r="D1248" t="s">
        <v>431</v>
      </c>
      <c r="E1248" t="s">
        <v>431</v>
      </c>
      <c r="F1248" s="122">
        <v>8</v>
      </c>
      <c r="G1248" s="122">
        <v>673</v>
      </c>
      <c r="H1248" s="122">
        <v>5891</v>
      </c>
      <c r="I1248" s="122">
        <v>342141</v>
      </c>
      <c r="J1248" s="122">
        <v>311037</v>
      </c>
      <c r="K1248" s="122">
        <v>54</v>
      </c>
      <c r="L1248" s="122">
        <v>44691</v>
      </c>
      <c r="M1248" s="122">
        <v>44477</v>
      </c>
      <c r="N1248" s="122">
        <v>14748</v>
      </c>
      <c r="O1248" s="122">
        <v>5462</v>
      </c>
      <c r="P1248" s="122">
        <v>2457</v>
      </c>
      <c r="Q1248" s="122">
        <v>910</v>
      </c>
      <c r="R1248" s="122">
        <v>56398</v>
      </c>
      <c r="S1248" s="122">
        <v>51271</v>
      </c>
      <c r="T1248" s="122">
        <v>9956</v>
      </c>
      <c r="U1248" s="122">
        <v>3687</v>
      </c>
      <c r="V1248" s="122">
        <v>416844</v>
      </c>
      <c r="W1248" s="122">
        <f t="shared" si="38"/>
        <v>416844</v>
      </c>
      <c r="X1248" s="122">
        <f t="shared" si="39"/>
        <v>470391</v>
      </c>
      <c r="AA1248" t="s">
        <v>58</v>
      </c>
      <c r="AB1248" t="s">
        <v>137</v>
      </c>
      <c r="AC1248" t="s">
        <v>566</v>
      </c>
      <c r="AD1248" t="s">
        <v>137</v>
      </c>
      <c r="AE1248" t="s">
        <v>566</v>
      </c>
      <c r="AF1248">
        <v>138</v>
      </c>
      <c r="AG1248" s="122">
        <v>21136</v>
      </c>
      <c r="AH1248" s="122">
        <v>36575</v>
      </c>
      <c r="AI1248" s="122">
        <v>4096194</v>
      </c>
      <c r="AJ1248" s="122">
        <v>1517109</v>
      </c>
      <c r="AK1248">
        <v>102</v>
      </c>
      <c r="AL1248">
        <v>0</v>
      </c>
      <c r="AM1248" s="122">
        <v>799981</v>
      </c>
      <c r="AN1248" s="122">
        <v>476108</v>
      </c>
      <c r="AO1248" s="122">
        <v>176336</v>
      </c>
      <c r="AP1248" s="122">
        <v>4529</v>
      </c>
      <c r="AQ1248" s="122">
        <v>1677</v>
      </c>
      <c r="AR1248" s="122">
        <v>1094133</v>
      </c>
      <c r="AS1248" s="122">
        <v>405235</v>
      </c>
      <c r="AT1248">
        <v>0</v>
      </c>
      <c r="AU1248">
        <v>0</v>
      </c>
      <c r="AV1248" s="122">
        <v>2900338</v>
      </c>
    </row>
    <row r="1249" spans="2:48" hidden="1">
      <c r="B1249" t="s">
        <v>369</v>
      </c>
      <c r="C1249" t="s">
        <v>64</v>
      </c>
      <c r="D1249" t="s">
        <v>426</v>
      </c>
      <c r="E1249" t="s">
        <v>137</v>
      </c>
      <c r="F1249" s="122">
        <v>76</v>
      </c>
      <c r="G1249" s="122">
        <v>6283</v>
      </c>
      <c r="H1249" s="122">
        <v>78054</v>
      </c>
      <c r="I1249" s="122">
        <v>4921880</v>
      </c>
      <c r="J1249" s="122">
        <v>4474436</v>
      </c>
      <c r="K1249" s="122">
        <v>46</v>
      </c>
      <c r="L1249" s="122">
        <v>594762</v>
      </c>
      <c r="M1249" s="122">
        <v>356817</v>
      </c>
      <c r="N1249" s="122">
        <v>145637</v>
      </c>
      <c r="O1249" s="122">
        <v>53939</v>
      </c>
      <c r="P1249" s="122">
        <v>5265</v>
      </c>
      <c r="Q1249" s="122">
        <v>1950</v>
      </c>
      <c r="R1249" s="122">
        <v>469944</v>
      </c>
      <c r="S1249" s="122">
        <v>174053</v>
      </c>
      <c r="T1249" s="122">
        <v>0</v>
      </c>
      <c r="U1249" s="122">
        <v>0</v>
      </c>
      <c r="V1249" s="122">
        <v>5061196</v>
      </c>
      <c r="W1249" s="122">
        <f t="shared" si="38"/>
        <v>5061195</v>
      </c>
      <c r="X1249" s="122">
        <f t="shared" si="39"/>
        <v>6137488</v>
      </c>
      <c r="AA1249" t="s">
        <v>58</v>
      </c>
      <c r="AB1249" t="s">
        <v>137</v>
      </c>
      <c r="AC1249" t="s">
        <v>566</v>
      </c>
      <c r="AD1249" t="s">
        <v>406</v>
      </c>
      <c r="AE1249" t="s">
        <v>566</v>
      </c>
      <c r="AF1249">
        <v>1</v>
      </c>
      <c r="AG1249">
        <v>33</v>
      </c>
      <c r="AH1249">
        <v>282</v>
      </c>
      <c r="AI1249" s="122">
        <v>4978</v>
      </c>
      <c r="AJ1249" s="122">
        <v>1844</v>
      </c>
      <c r="AK1249">
        <v>100</v>
      </c>
      <c r="AL1249">
        <v>0</v>
      </c>
      <c r="AM1249">
        <v>0</v>
      </c>
      <c r="AN1249" s="122">
        <v>398</v>
      </c>
      <c r="AO1249" s="122">
        <v>147</v>
      </c>
      <c r="AP1249" s="122">
        <v>0</v>
      </c>
      <c r="AQ1249">
        <v>0</v>
      </c>
      <c r="AR1249" s="122">
        <v>3822</v>
      </c>
      <c r="AS1249" s="122">
        <v>3475</v>
      </c>
      <c r="AT1249">
        <v>0</v>
      </c>
      <c r="AU1249">
        <v>0</v>
      </c>
      <c r="AV1249" s="122">
        <v>5466</v>
      </c>
    </row>
    <row r="1250" spans="2:48" hidden="1">
      <c r="B1250" t="s">
        <v>369</v>
      </c>
      <c r="C1250" t="s">
        <v>64</v>
      </c>
      <c r="D1250" t="s">
        <v>426</v>
      </c>
      <c r="E1250" t="s">
        <v>406</v>
      </c>
      <c r="F1250" s="122">
        <v>2</v>
      </c>
      <c r="G1250" s="122">
        <v>261</v>
      </c>
      <c r="H1250" s="122">
        <v>2460</v>
      </c>
      <c r="I1250" s="122">
        <v>265974</v>
      </c>
      <c r="J1250" s="122">
        <v>241794</v>
      </c>
      <c r="K1250" s="122">
        <v>30</v>
      </c>
      <c r="L1250" s="122">
        <v>25472</v>
      </c>
      <c r="M1250" s="122">
        <v>17016</v>
      </c>
      <c r="N1250" s="122">
        <v>6019</v>
      </c>
      <c r="O1250" s="122">
        <v>2229</v>
      </c>
      <c r="P1250" s="122">
        <v>540</v>
      </c>
      <c r="Q1250" s="122">
        <v>200</v>
      </c>
      <c r="R1250" s="122">
        <v>13170</v>
      </c>
      <c r="S1250" s="122">
        <v>11972</v>
      </c>
      <c r="T1250" s="122">
        <v>7379</v>
      </c>
      <c r="U1250" s="122">
        <v>2733</v>
      </c>
      <c r="V1250" s="122">
        <v>275945</v>
      </c>
      <c r="W1250" s="122">
        <f t="shared" si="38"/>
        <v>275944</v>
      </c>
      <c r="X1250" s="122">
        <f t="shared" si="39"/>
        <v>318554</v>
      </c>
      <c r="AA1250" t="s">
        <v>58</v>
      </c>
      <c r="AB1250" t="s">
        <v>137</v>
      </c>
      <c r="AC1250" t="s">
        <v>566</v>
      </c>
      <c r="AD1250" t="s">
        <v>407</v>
      </c>
      <c r="AE1250" t="s">
        <v>566</v>
      </c>
      <c r="AF1250">
        <v>2</v>
      </c>
      <c r="AG1250">
        <v>373</v>
      </c>
      <c r="AH1250">
        <v>489</v>
      </c>
      <c r="AI1250" s="122">
        <v>77756</v>
      </c>
      <c r="AJ1250" s="122">
        <v>28799</v>
      </c>
      <c r="AK1250">
        <v>100</v>
      </c>
      <c r="AL1250" s="122">
        <v>0</v>
      </c>
      <c r="AM1250" s="122">
        <v>0</v>
      </c>
      <c r="AN1250" s="122">
        <v>10285</v>
      </c>
      <c r="AO1250" s="122">
        <v>3809</v>
      </c>
      <c r="AP1250" s="122">
        <v>1796</v>
      </c>
      <c r="AQ1250">
        <v>665</v>
      </c>
      <c r="AR1250" s="122">
        <v>14088</v>
      </c>
      <c r="AS1250" s="122">
        <v>12807</v>
      </c>
      <c r="AT1250" s="122">
        <v>0</v>
      </c>
      <c r="AU1250" s="122">
        <v>0</v>
      </c>
      <c r="AV1250" s="122">
        <v>46081</v>
      </c>
    </row>
    <row r="1251" spans="2:48" hidden="1">
      <c r="B1251" t="s">
        <v>369</v>
      </c>
      <c r="C1251" t="s">
        <v>64</v>
      </c>
      <c r="D1251" t="s">
        <v>426</v>
      </c>
      <c r="E1251" t="s">
        <v>426</v>
      </c>
      <c r="F1251" s="122">
        <v>270</v>
      </c>
      <c r="G1251" s="122">
        <v>22343</v>
      </c>
      <c r="H1251" s="122">
        <v>184437</v>
      </c>
      <c r="I1251" s="122">
        <v>11068004</v>
      </c>
      <c r="J1251" s="122">
        <v>10061822</v>
      </c>
      <c r="K1251" s="122">
        <v>52</v>
      </c>
      <c r="L1251" s="122">
        <v>1506556</v>
      </c>
      <c r="M1251" s="122">
        <v>1197572</v>
      </c>
      <c r="N1251" s="122">
        <v>475942</v>
      </c>
      <c r="O1251" s="122">
        <v>176275</v>
      </c>
      <c r="P1251" s="122">
        <v>84462</v>
      </c>
      <c r="Q1251" s="122">
        <v>31282</v>
      </c>
      <c r="R1251" s="122">
        <v>1608109</v>
      </c>
      <c r="S1251" s="122">
        <v>1461917</v>
      </c>
      <c r="T1251" s="122">
        <v>513058</v>
      </c>
      <c r="U1251" s="122">
        <v>190022</v>
      </c>
      <c r="V1251" s="122">
        <v>13118889</v>
      </c>
      <c r="W1251" s="122">
        <f t="shared" si="38"/>
        <v>13118890</v>
      </c>
      <c r="X1251" s="122">
        <f t="shared" si="39"/>
        <v>15256131</v>
      </c>
      <c r="AA1251" t="s">
        <v>58</v>
      </c>
      <c r="AB1251" t="s">
        <v>137</v>
      </c>
      <c r="AC1251" t="s">
        <v>433</v>
      </c>
      <c r="AD1251" t="s">
        <v>137</v>
      </c>
      <c r="AE1251" t="s">
        <v>137</v>
      </c>
      <c r="AF1251">
        <v>2</v>
      </c>
      <c r="AG1251" s="122">
        <v>229</v>
      </c>
      <c r="AH1251" s="122">
        <v>525</v>
      </c>
      <c r="AI1251" s="122">
        <v>49022</v>
      </c>
      <c r="AJ1251" s="122">
        <v>18156</v>
      </c>
      <c r="AK1251">
        <v>100</v>
      </c>
      <c r="AL1251" s="122">
        <v>4713</v>
      </c>
      <c r="AM1251" s="122">
        <v>4285</v>
      </c>
      <c r="AN1251" s="122">
        <v>3630</v>
      </c>
      <c r="AO1251" s="122">
        <v>1345</v>
      </c>
      <c r="AP1251" s="122">
        <v>351</v>
      </c>
      <c r="AQ1251" s="122">
        <v>130</v>
      </c>
      <c r="AR1251" s="122">
        <v>11908</v>
      </c>
      <c r="AS1251" s="122">
        <v>4410</v>
      </c>
      <c r="AT1251" s="122">
        <v>5865</v>
      </c>
      <c r="AU1251" s="122">
        <v>2172</v>
      </c>
      <c r="AV1251" s="122">
        <v>30498</v>
      </c>
    </row>
    <row r="1252" spans="2:48" hidden="1">
      <c r="B1252" t="s">
        <v>369</v>
      </c>
      <c r="C1252" t="s">
        <v>64</v>
      </c>
      <c r="D1252" t="s">
        <v>433</v>
      </c>
      <c r="E1252" t="s">
        <v>137</v>
      </c>
      <c r="F1252" s="122">
        <v>3</v>
      </c>
      <c r="G1252" s="122">
        <v>226</v>
      </c>
      <c r="H1252" s="122">
        <v>4202</v>
      </c>
      <c r="I1252" s="122">
        <v>254927</v>
      </c>
      <c r="J1252" s="122">
        <v>231752</v>
      </c>
      <c r="K1252" s="122">
        <v>30</v>
      </c>
      <c r="L1252" s="122">
        <v>36995</v>
      </c>
      <c r="M1252" s="122">
        <v>18264</v>
      </c>
      <c r="N1252" s="122">
        <v>5009</v>
      </c>
      <c r="O1252" s="122">
        <v>1855</v>
      </c>
      <c r="P1252" s="122">
        <v>0</v>
      </c>
      <c r="Q1252" s="122">
        <v>0</v>
      </c>
      <c r="R1252" s="122">
        <v>17683</v>
      </c>
      <c r="S1252" s="122">
        <v>6549</v>
      </c>
      <c r="T1252" s="122">
        <v>0</v>
      </c>
      <c r="U1252" s="122">
        <v>0</v>
      </c>
      <c r="V1252" s="122">
        <v>258420</v>
      </c>
      <c r="W1252" s="122">
        <f t="shared" si="38"/>
        <v>258420</v>
      </c>
      <c r="X1252" s="122">
        <f t="shared" si="39"/>
        <v>314614</v>
      </c>
      <c r="AA1252" t="s">
        <v>58</v>
      </c>
      <c r="AB1252" t="s">
        <v>137</v>
      </c>
      <c r="AC1252" t="s">
        <v>433</v>
      </c>
      <c r="AD1252" t="s">
        <v>137</v>
      </c>
      <c r="AE1252" t="s">
        <v>566</v>
      </c>
      <c r="AF1252">
        <v>27</v>
      </c>
      <c r="AG1252" s="122">
        <v>3713</v>
      </c>
      <c r="AH1252" s="122">
        <v>7579</v>
      </c>
      <c r="AI1252" s="122">
        <v>708505</v>
      </c>
      <c r="AJ1252" s="122">
        <v>262409</v>
      </c>
      <c r="AK1252">
        <v>119</v>
      </c>
      <c r="AL1252" s="122">
        <v>91565</v>
      </c>
      <c r="AM1252" s="122">
        <v>83241</v>
      </c>
      <c r="AN1252" s="122">
        <v>85635</v>
      </c>
      <c r="AO1252" s="122">
        <v>31717</v>
      </c>
      <c r="AP1252" s="122">
        <v>5012</v>
      </c>
      <c r="AQ1252" s="122">
        <v>1856</v>
      </c>
      <c r="AR1252" s="122">
        <v>226064</v>
      </c>
      <c r="AS1252" s="122">
        <v>83727</v>
      </c>
      <c r="AT1252">
        <v>0</v>
      </c>
      <c r="AU1252">
        <v>0</v>
      </c>
      <c r="AV1252" s="122">
        <v>462950</v>
      </c>
    </row>
    <row r="1253" spans="2:48" hidden="1">
      <c r="B1253" t="s">
        <v>369</v>
      </c>
      <c r="C1253" t="s">
        <v>64</v>
      </c>
      <c r="D1253" t="s">
        <v>433</v>
      </c>
      <c r="E1253" t="s">
        <v>433</v>
      </c>
      <c r="F1253" s="122">
        <v>5</v>
      </c>
      <c r="G1253" s="122">
        <v>444</v>
      </c>
      <c r="H1253" s="122">
        <v>3047</v>
      </c>
      <c r="I1253" s="122">
        <v>208745</v>
      </c>
      <c r="J1253" s="122">
        <v>189769</v>
      </c>
      <c r="K1253" s="122">
        <v>54</v>
      </c>
      <c r="L1253" s="122">
        <v>26816</v>
      </c>
      <c r="M1253" s="122">
        <v>24378</v>
      </c>
      <c r="N1253" s="122">
        <v>8284</v>
      </c>
      <c r="O1253" s="122">
        <v>3068</v>
      </c>
      <c r="P1253" s="122">
        <v>1404</v>
      </c>
      <c r="Q1253" s="122">
        <v>520</v>
      </c>
      <c r="R1253" s="122">
        <v>31359</v>
      </c>
      <c r="S1253" s="122">
        <v>28508</v>
      </c>
      <c r="T1253" s="122">
        <v>6889</v>
      </c>
      <c r="U1253" s="122">
        <v>2552</v>
      </c>
      <c r="V1253" s="122">
        <v>248794</v>
      </c>
      <c r="W1253" s="122">
        <f t="shared" si="38"/>
        <v>248795</v>
      </c>
      <c r="X1253" s="122">
        <f t="shared" si="39"/>
        <v>283497</v>
      </c>
      <c r="AA1253" t="s">
        <v>58</v>
      </c>
      <c r="AB1253" t="s">
        <v>137</v>
      </c>
      <c r="AC1253" t="s">
        <v>429</v>
      </c>
      <c r="AD1253" t="s">
        <v>137</v>
      </c>
      <c r="AE1253" t="s">
        <v>566</v>
      </c>
      <c r="AF1253">
        <v>2</v>
      </c>
      <c r="AG1253" s="122">
        <v>221</v>
      </c>
      <c r="AH1253" s="122">
        <v>525</v>
      </c>
      <c r="AI1253" s="122">
        <v>34836</v>
      </c>
      <c r="AJ1253" s="122">
        <v>12902</v>
      </c>
      <c r="AK1253">
        <v>100</v>
      </c>
      <c r="AL1253" s="122">
        <v>3308</v>
      </c>
      <c r="AM1253" s="122">
        <v>3007</v>
      </c>
      <c r="AN1253" s="122">
        <v>4470</v>
      </c>
      <c r="AO1253" s="122">
        <v>1656</v>
      </c>
      <c r="AP1253" s="122">
        <v>0</v>
      </c>
      <c r="AQ1253" s="122">
        <v>0</v>
      </c>
      <c r="AR1253" s="122">
        <v>15379</v>
      </c>
      <c r="AS1253" s="122">
        <v>5696</v>
      </c>
      <c r="AT1253" s="122">
        <v>0</v>
      </c>
      <c r="AU1253" s="122">
        <v>0</v>
      </c>
      <c r="AV1253" s="122">
        <v>23261</v>
      </c>
    </row>
    <row r="1254" spans="2:48" hidden="1">
      <c r="B1254" t="s">
        <v>369</v>
      </c>
      <c r="C1254" t="s">
        <v>64</v>
      </c>
      <c r="D1254" t="s">
        <v>408</v>
      </c>
      <c r="E1254" t="s">
        <v>408</v>
      </c>
      <c r="F1254" s="122">
        <v>1</v>
      </c>
      <c r="G1254" s="122">
        <v>58</v>
      </c>
      <c r="H1254" s="122">
        <v>730</v>
      </c>
      <c r="I1254" s="122">
        <v>31015</v>
      </c>
      <c r="J1254" s="122">
        <v>28195</v>
      </c>
      <c r="K1254" s="122">
        <v>60</v>
      </c>
      <c r="L1254" s="122">
        <v>3446</v>
      </c>
      <c r="M1254" s="122">
        <v>3133</v>
      </c>
      <c r="N1254" s="122">
        <v>809</v>
      </c>
      <c r="O1254" s="122">
        <v>300</v>
      </c>
      <c r="P1254" s="122">
        <v>351</v>
      </c>
      <c r="Q1254" s="122">
        <v>130</v>
      </c>
      <c r="R1254" s="122">
        <v>4303</v>
      </c>
      <c r="S1254" s="122">
        <v>3912</v>
      </c>
      <c r="T1254" s="122">
        <v>2578</v>
      </c>
      <c r="U1254" s="122">
        <v>955</v>
      </c>
      <c r="V1254" s="122">
        <v>36624</v>
      </c>
      <c r="W1254" s="122">
        <f t="shared" si="38"/>
        <v>36625</v>
      </c>
      <c r="X1254" s="122">
        <f t="shared" si="39"/>
        <v>42502</v>
      </c>
      <c r="AA1254" t="s">
        <v>58</v>
      </c>
      <c r="AB1254" t="s">
        <v>406</v>
      </c>
      <c r="AC1254" t="s">
        <v>578</v>
      </c>
      <c r="AD1254" t="s">
        <v>406</v>
      </c>
      <c r="AE1254" t="s">
        <v>137</v>
      </c>
      <c r="AF1254">
        <v>45</v>
      </c>
      <c r="AG1254" s="122">
        <v>6186</v>
      </c>
      <c r="AH1254" s="122">
        <v>11580</v>
      </c>
      <c r="AI1254" s="122">
        <v>932828</v>
      </c>
      <c r="AJ1254" s="122">
        <v>848025</v>
      </c>
      <c r="AK1254">
        <v>80</v>
      </c>
      <c r="AL1254" s="122">
        <v>184602</v>
      </c>
      <c r="AM1254" s="122">
        <v>167820</v>
      </c>
      <c r="AN1254" s="122">
        <v>127971</v>
      </c>
      <c r="AO1254" s="122">
        <v>47397</v>
      </c>
      <c r="AP1254" s="122">
        <v>29349</v>
      </c>
      <c r="AQ1254" s="122">
        <v>10870</v>
      </c>
      <c r="AR1254" s="122">
        <v>217674</v>
      </c>
      <c r="AS1254" s="122">
        <v>197885</v>
      </c>
      <c r="AT1254" s="122">
        <v>125868</v>
      </c>
      <c r="AU1254" s="122">
        <v>46618</v>
      </c>
      <c r="AV1254" s="122">
        <v>1318615</v>
      </c>
    </row>
    <row r="1255" spans="2:48" hidden="1">
      <c r="B1255" t="s">
        <v>370</v>
      </c>
      <c r="C1255" t="s">
        <v>48</v>
      </c>
      <c r="D1255" t="s">
        <v>137</v>
      </c>
      <c r="E1255" t="s">
        <v>137</v>
      </c>
      <c r="F1255" s="122">
        <v>436</v>
      </c>
      <c r="G1255" s="122">
        <v>90450</v>
      </c>
      <c r="H1255" s="122">
        <v>22477</v>
      </c>
      <c r="I1255" s="122">
        <v>602751</v>
      </c>
      <c r="J1255" s="122">
        <v>223241</v>
      </c>
      <c r="K1255" s="122">
        <v>453</v>
      </c>
      <c r="L1255" s="122">
        <v>129202</v>
      </c>
      <c r="M1255" s="122">
        <v>113692</v>
      </c>
      <c r="N1255" s="122">
        <v>1159315</v>
      </c>
      <c r="O1255" s="122">
        <v>429376</v>
      </c>
      <c r="P1255" s="122">
        <v>542575</v>
      </c>
      <c r="Q1255" s="122">
        <v>200954</v>
      </c>
      <c r="R1255" s="122">
        <v>2223552</v>
      </c>
      <c r="S1255" s="122">
        <v>823538</v>
      </c>
      <c r="T1255" s="122">
        <v>3376</v>
      </c>
      <c r="U1255" s="122">
        <v>1250</v>
      </c>
      <c r="V1255" s="122">
        <v>1792051</v>
      </c>
      <c r="W1255" s="122">
        <f t="shared" si="38"/>
        <v>1792051</v>
      </c>
      <c r="X1255" s="122">
        <f t="shared" si="39"/>
        <v>4660771</v>
      </c>
      <c r="AA1255" t="s">
        <v>58</v>
      </c>
      <c r="AB1255" t="s">
        <v>406</v>
      </c>
      <c r="AC1255" t="s">
        <v>578</v>
      </c>
      <c r="AD1255" t="s">
        <v>406</v>
      </c>
      <c r="AE1255" t="s">
        <v>566</v>
      </c>
      <c r="AF1255">
        <v>9</v>
      </c>
      <c r="AG1255" s="122">
        <v>1577</v>
      </c>
      <c r="AH1255" s="122">
        <v>2395</v>
      </c>
      <c r="AI1255" s="122">
        <v>277155</v>
      </c>
      <c r="AJ1255" s="122">
        <v>251960</v>
      </c>
      <c r="AK1255">
        <v>82</v>
      </c>
      <c r="AL1255" s="122">
        <v>48413</v>
      </c>
      <c r="AM1255" s="122">
        <v>44011</v>
      </c>
      <c r="AN1255" s="122">
        <v>33485</v>
      </c>
      <c r="AO1255" s="122">
        <v>12402</v>
      </c>
      <c r="AP1255" s="122">
        <v>5589</v>
      </c>
      <c r="AQ1255" s="122">
        <v>2070</v>
      </c>
      <c r="AR1255" s="122">
        <v>55249</v>
      </c>
      <c r="AS1255" s="122">
        <v>50226</v>
      </c>
      <c r="AT1255">
        <v>0</v>
      </c>
      <c r="AU1255">
        <v>0</v>
      </c>
      <c r="AV1255" s="122">
        <v>360669</v>
      </c>
    </row>
    <row r="1256" spans="2:48" hidden="1">
      <c r="B1256" t="s">
        <v>370</v>
      </c>
      <c r="C1256" t="s">
        <v>48</v>
      </c>
      <c r="D1256" t="s">
        <v>406</v>
      </c>
      <c r="E1256" t="s">
        <v>137</v>
      </c>
      <c r="F1256" s="122">
        <v>1</v>
      </c>
      <c r="G1256" s="122">
        <v>282</v>
      </c>
      <c r="H1256" s="122">
        <v>51</v>
      </c>
      <c r="I1256" s="122">
        <v>3514</v>
      </c>
      <c r="J1256" s="122">
        <v>3195</v>
      </c>
      <c r="K1256" s="122">
        <v>92</v>
      </c>
      <c r="L1256" s="122">
        <v>496</v>
      </c>
      <c r="M1256" s="122">
        <v>451</v>
      </c>
      <c r="N1256" s="122">
        <v>3439</v>
      </c>
      <c r="O1256" s="122">
        <v>1274</v>
      </c>
      <c r="P1256" s="122">
        <v>621</v>
      </c>
      <c r="Q1256" s="122">
        <v>230</v>
      </c>
      <c r="R1256" s="122">
        <v>6349</v>
      </c>
      <c r="S1256" s="122">
        <v>2352</v>
      </c>
      <c r="T1256" s="122">
        <v>0</v>
      </c>
      <c r="U1256" s="122">
        <v>0</v>
      </c>
      <c r="V1256" s="122">
        <v>7501</v>
      </c>
      <c r="W1256" s="122">
        <f t="shared" si="38"/>
        <v>7502</v>
      </c>
      <c r="X1256" s="122">
        <f t="shared" si="39"/>
        <v>14419</v>
      </c>
      <c r="AA1256" t="s">
        <v>58</v>
      </c>
      <c r="AB1256" t="s">
        <v>406</v>
      </c>
      <c r="AC1256" t="s">
        <v>425</v>
      </c>
      <c r="AD1256" t="s">
        <v>137</v>
      </c>
      <c r="AE1256" t="s">
        <v>137</v>
      </c>
      <c r="AF1256">
        <v>1</v>
      </c>
      <c r="AG1256">
        <v>221</v>
      </c>
      <c r="AH1256">
        <v>226</v>
      </c>
      <c r="AI1256" s="122">
        <v>33691</v>
      </c>
      <c r="AJ1256" s="122">
        <v>30628</v>
      </c>
      <c r="AK1256">
        <v>93</v>
      </c>
      <c r="AL1256" s="122">
        <v>4591</v>
      </c>
      <c r="AM1256" s="122">
        <v>4174</v>
      </c>
      <c r="AN1256" s="122">
        <v>4007</v>
      </c>
      <c r="AO1256" s="122">
        <v>1484</v>
      </c>
      <c r="AP1256" s="122">
        <v>621</v>
      </c>
      <c r="AQ1256">
        <v>230</v>
      </c>
      <c r="AR1256" s="122">
        <v>7022</v>
      </c>
      <c r="AS1256" s="122">
        <v>2601</v>
      </c>
      <c r="AT1256">
        <v>0</v>
      </c>
      <c r="AU1256">
        <v>0</v>
      </c>
      <c r="AV1256" s="122">
        <v>39117</v>
      </c>
    </row>
    <row r="1257" spans="2:48" hidden="1">
      <c r="B1257" t="s">
        <v>370</v>
      </c>
      <c r="C1257" t="s">
        <v>48</v>
      </c>
      <c r="D1257" t="s">
        <v>406</v>
      </c>
      <c r="E1257" t="s">
        <v>406</v>
      </c>
      <c r="F1257" s="122">
        <v>46</v>
      </c>
      <c r="G1257" s="122">
        <v>10065</v>
      </c>
      <c r="H1257" s="122">
        <v>2963</v>
      </c>
      <c r="I1257" s="122">
        <v>247091</v>
      </c>
      <c r="J1257" s="122">
        <v>224628</v>
      </c>
      <c r="K1257" s="122">
        <v>94</v>
      </c>
      <c r="L1257" s="122">
        <v>35142</v>
      </c>
      <c r="M1257" s="122">
        <v>31828</v>
      </c>
      <c r="N1257" s="122">
        <v>134970</v>
      </c>
      <c r="O1257" s="122">
        <v>49989</v>
      </c>
      <c r="P1257" s="122">
        <v>65494</v>
      </c>
      <c r="Q1257" s="122">
        <v>24257</v>
      </c>
      <c r="R1257" s="122">
        <v>179694</v>
      </c>
      <c r="S1257" s="122">
        <v>163358</v>
      </c>
      <c r="T1257" s="122">
        <v>0</v>
      </c>
      <c r="U1257" s="122">
        <v>0</v>
      </c>
      <c r="V1257" s="122">
        <v>494061</v>
      </c>
      <c r="W1257" s="122">
        <f t="shared" si="38"/>
        <v>494060</v>
      </c>
      <c r="X1257" s="122">
        <f t="shared" si="39"/>
        <v>662391</v>
      </c>
      <c r="AA1257" t="s">
        <v>58</v>
      </c>
      <c r="AB1257" t="s">
        <v>406</v>
      </c>
      <c r="AC1257" t="s">
        <v>425</v>
      </c>
      <c r="AD1257" t="s">
        <v>137</v>
      </c>
      <c r="AE1257" t="s">
        <v>566</v>
      </c>
      <c r="AF1257">
        <v>3</v>
      </c>
      <c r="AG1257" s="122">
        <v>566</v>
      </c>
      <c r="AH1257" s="122">
        <v>752</v>
      </c>
      <c r="AI1257" s="122">
        <v>86664</v>
      </c>
      <c r="AJ1257" s="122">
        <v>78786</v>
      </c>
      <c r="AK1257">
        <v>76</v>
      </c>
      <c r="AL1257" s="122">
        <v>13526</v>
      </c>
      <c r="AM1257" s="122">
        <v>12296</v>
      </c>
      <c r="AN1257" s="122">
        <v>14452</v>
      </c>
      <c r="AO1257" s="122">
        <v>5353</v>
      </c>
      <c r="AP1257" s="122">
        <v>1863</v>
      </c>
      <c r="AQ1257" s="122">
        <v>690</v>
      </c>
      <c r="AR1257" s="122">
        <v>29224</v>
      </c>
      <c r="AS1257" s="122">
        <v>10824</v>
      </c>
      <c r="AT1257" s="122">
        <v>0</v>
      </c>
      <c r="AU1257" s="122">
        <v>0</v>
      </c>
      <c r="AV1257" s="122">
        <v>107948</v>
      </c>
    </row>
    <row r="1258" spans="2:48" hidden="1">
      <c r="B1258" t="s">
        <v>370</v>
      </c>
      <c r="C1258" t="s">
        <v>48</v>
      </c>
      <c r="D1258" t="s">
        <v>406</v>
      </c>
      <c r="E1258" t="s">
        <v>433</v>
      </c>
      <c r="F1258" s="122">
        <v>1</v>
      </c>
      <c r="G1258" s="122">
        <v>220</v>
      </c>
      <c r="H1258" s="122">
        <v>53</v>
      </c>
      <c r="I1258" s="122">
        <v>1421</v>
      </c>
      <c r="J1258" s="122">
        <v>1292</v>
      </c>
      <c r="K1258" s="122">
        <v>97</v>
      </c>
      <c r="L1258" s="122">
        <v>236</v>
      </c>
      <c r="M1258" s="122">
        <v>214</v>
      </c>
      <c r="N1258" s="122">
        <v>2679</v>
      </c>
      <c r="O1258" s="122">
        <v>992</v>
      </c>
      <c r="P1258" s="122">
        <v>2960</v>
      </c>
      <c r="Q1258" s="122">
        <v>1096</v>
      </c>
      <c r="R1258" s="122">
        <v>4277</v>
      </c>
      <c r="S1258" s="122">
        <v>3888</v>
      </c>
      <c r="T1258" s="122">
        <v>0</v>
      </c>
      <c r="U1258" s="122">
        <v>0</v>
      </c>
      <c r="V1258" s="122">
        <v>7483</v>
      </c>
      <c r="W1258" s="122">
        <f t="shared" si="38"/>
        <v>7482</v>
      </c>
      <c r="X1258" s="122">
        <f t="shared" si="39"/>
        <v>11573</v>
      </c>
      <c r="AA1258" t="s">
        <v>58</v>
      </c>
      <c r="AB1258" t="s">
        <v>406</v>
      </c>
      <c r="AC1258" t="s">
        <v>425</v>
      </c>
      <c r="AD1258" t="s">
        <v>406</v>
      </c>
      <c r="AE1258" t="s">
        <v>137</v>
      </c>
      <c r="AF1258">
        <v>726</v>
      </c>
      <c r="AG1258" s="122">
        <v>111279</v>
      </c>
      <c r="AH1258" s="122">
        <v>188992</v>
      </c>
      <c r="AI1258" s="122">
        <v>16673764</v>
      </c>
      <c r="AJ1258" s="122">
        <v>15157967</v>
      </c>
      <c r="AK1258">
        <v>79</v>
      </c>
      <c r="AL1258" s="122">
        <v>4426530</v>
      </c>
      <c r="AM1258" s="122">
        <v>4024118</v>
      </c>
      <c r="AN1258" s="122">
        <v>2446831</v>
      </c>
      <c r="AO1258" s="122">
        <v>906234</v>
      </c>
      <c r="AP1258" s="122">
        <v>457488</v>
      </c>
      <c r="AQ1258" s="122">
        <v>169440</v>
      </c>
      <c r="AR1258" s="122">
        <v>3806417</v>
      </c>
      <c r="AS1258" s="122">
        <v>3460379</v>
      </c>
      <c r="AT1258" s="122">
        <v>1922979</v>
      </c>
      <c r="AU1258" s="122">
        <v>712215</v>
      </c>
      <c r="AV1258" s="122">
        <v>24430353</v>
      </c>
    </row>
    <row r="1259" spans="2:48" hidden="1">
      <c r="B1259" t="s">
        <v>370</v>
      </c>
      <c r="C1259" t="s">
        <v>48</v>
      </c>
      <c r="D1259" t="s">
        <v>407</v>
      </c>
      <c r="E1259" t="s">
        <v>407</v>
      </c>
      <c r="F1259" s="122">
        <v>278</v>
      </c>
      <c r="G1259" s="122">
        <v>45714</v>
      </c>
      <c r="H1259" s="122">
        <v>16700</v>
      </c>
      <c r="I1259" s="122">
        <v>857019</v>
      </c>
      <c r="J1259" s="122">
        <v>779109</v>
      </c>
      <c r="K1259" s="122">
        <v>91</v>
      </c>
      <c r="L1259" s="122">
        <v>101405</v>
      </c>
      <c r="M1259" s="122">
        <v>91795</v>
      </c>
      <c r="N1259" s="122">
        <v>559212</v>
      </c>
      <c r="O1259" s="122">
        <v>207116</v>
      </c>
      <c r="P1259" s="122">
        <v>195910</v>
      </c>
      <c r="Q1259" s="122">
        <v>72559</v>
      </c>
      <c r="R1259" s="122">
        <v>1030343</v>
      </c>
      <c r="S1259" s="122">
        <v>936675</v>
      </c>
      <c r="T1259" s="122">
        <v>0</v>
      </c>
      <c r="U1259" s="122">
        <v>0</v>
      </c>
      <c r="V1259" s="122">
        <v>2087253</v>
      </c>
      <c r="W1259" s="122">
        <f t="shared" si="38"/>
        <v>2087254</v>
      </c>
      <c r="X1259" s="122">
        <f t="shared" si="39"/>
        <v>2743889</v>
      </c>
      <c r="AA1259" t="s">
        <v>58</v>
      </c>
      <c r="AB1259" t="s">
        <v>406</v>
      </c>
      <c r="AC1259" t="s">
        <v>425</v>
      </c>
      <c r="AD1259" t="s">
        <v>406</v>
      </c>
      <c r="AE1259" t="s">
        <v>566</v>
      </c>
      <c r="AF1259">
        <v>462</v>
      </c>
      <c r="AG1259" s="122">
        <v>76022</v>
      </c>
      <c r="AH1259" s="122">
        <v>119481</v>
      </c>
      <c r="AI1259" s="122">
        <v>11420073</v>
      </c>
      <c r="AJ1259" s="122">
        <v>10381885</v>
      </c>
      <c r="AK1259">
        <v>79</v>
      </c>
      <c r="AL1259" s="122">
        <v>3511650</v>
      </c>
      <c r="AM1259" s="122">
        <v>3192409</v>
      </c>
      <c r="AN1259" s="122">
        <v>1620841</v>
      </c>
      <c r="AO1259" s="122">
        <v>600311</v>
      </c>
      <c r="AP1259" s="122">
        <v>304176</v>
      </c>
      <c r="AQ1259" s="122">
        <v>112658</v>
      </c>
      <c r="AR1259" s="122">
        <v>3203320</v>
      </c>
      <c r="AS1259" s="122">
        <v>2912109</v>
      </c>
      <c r="AT1259" s="122">
        <v>0</v>
      </c>
      <c r="AU1259" s="122">
        <v>0</v>
      </c>
      <c r="AV1259" s="122">
        <v>17199372</v>
      </c>
    </row>
    <row r="1260" spans="2:48" hidden="1">
      <c r="B1260" t="s">
        <v>370</v>
      </c>
      <c r="C1260" t="s">
        <v>48</v>
      </c>
      <c r="D1260" t="s">
        <v>433</v>
      </c>
      <c r="E1260" t="s">
        <v>433</v>
      </c>
      <c r="F1260" s="122">
        <v>1</v>
      </c>
      <c r="G1260" s="122">
        <v>131</v>
      </c>
      <c r="H1260" s="122">
        <v>64</v>
      </c>
      <c r="I1260" s="122">
        <v>-525</v>
      </c>
      <c r="J1260" s="122">
        <v>-477</v>
      </c>
      <c r="K1260" s="122">
        <v>69</v>
      </c>
      <c r="L1260" s="122">
        <v>-58</v>
      </c>
      <c r="M1260" s="122">
        <v>-53</v>
      </c>
      <c r="N1260" s="122">
        <v>1596</v>
      </c>
      <c r="O1260" s="122">
        <v>591</v>
      </c>
      <c r="P1260" s="122">
        <v>1848</v>
      </c>
      <c r="Q1260" s="122">
        <v>684</v>
      </c>
      <c r="R1260" s="122">
        <v>5526</v>
      </c>
      <c r="S1260" s="122">
        <v>5024</v>
      </c>
      <c r="T1260" s="122">
        <v>0</v>
      </c>
      <c r="U1260" s="122">
        <v>0</v>
      </c>
      <c r="V1260" s="122">
        <v>5769</v>
      </c>
      <c r="W1260" s="122">
        <f t="shared" si="38"/>
        <v>6829</v>
      </c>
      <c r="X1260" s="122">
        <f t="shared" si="39"/>
        <v>9553</v>
      </c>
      <c r="AA1260" t="s">
        <v>58</v>
      </c>
      <c r="AB1260" t="s">
        <v>406</v>
      </c>
      <c r="AC1260" t="s">
        <v>425</v>
      </c>
      <c r="AD1260" t="s">
        <v>407</v>
      </c>
      <c r="AE1260" t="s">
        <v>137</v>
      </c>
      <c r="AF1260">
        <v>3</v>
      </c>
      <c r="AG1260">
        <v>429</v>
      </c>
      <c r="AH1260">
        <v>793</v>
      </c>
      <c r="AI1260" s="122">
        <v>79214</v>
      </c>
      <c r="AJ1260" s="122">
        <v>72013</v>
      </c>
      <c r="AK1260">
        <v>72</v>
      </c>
      <c r="AL1260" s="122">
        <v>18228</v>
      </c>
      <c r="AM1260" s="122">
        <v>16571</v>
      </c>
      <c r="AN1260" s="122">
        <v>8962</v>
      </c>
      <c r="AO1260" s="122">
        <v>3319</v>
      </c>
      <c r="AP1260" s="122">
        <v>1863</v>
      </c>
      <c r="AQ1260">
        <v>690</v>
      </c>
      <c r="AR1260" s="122">
        <v>13601</v>
      </c>
      <c r="AS1260" s="122">
        <v>12364</v>
      </c>
      <c r="AT1260" s="122">
        <v>8477</v>
      </c>
      <c r="AU1260" s="122">
        <v>3140</v>
      </c>
      <c r="AV1260" s="122">
        <v>108097</v>
      </c>
    </row>
    <row r="1261" spans="2:48" hidden="1">
      <c r="B1261" t="s">
        <v>370</v>
      </c>
      <c r="C1261" t="s">
        <v>48</v>
      </c>
      <c r="D1261" t="s">
        <v>408</v>
      </c>
      <c r="E1261" t="s">
        <v>408</v>
      </c>
      <c r="F1261" s="122">
        <v>2</v>
      </c>
      <c r="G1261" s="122">
        <v>508</v>
      </c>
      <c r="H1261" s="122">
        <v>115</v>
      </c>
      <c r="I1261" s="122">
        <v>8033</v>
      </c>
      <c r="J1261" s="122">
        <v>7302</v>
      </c>
      <c r="K1261" s="122">
        <v>91</v>
      </c>
      <c r="L1261" s="122">
        <v>1354</v>
      </c>
      <c r="M1261" s="122">
        <v>1231</v>
      </c>
      <c r="N1261" s="122">
        <v>6192</v>
      </c>
      <c r="O1261" s="122">
        <v>2293</v>
      </c>
      <c r="P1261" s="122">
        <v>2954</v>
      </c>
      <c r="Q1261" s="122">
        <v>1094</v>
      </c>
      <c r="R1261" s="122">
        <v>10713</v>
      </c>
      <c r="S1261" s="122">
        <v>9739</v>
      </c>
      <c r="T1261" s="122">
        <v>0</v>
      </c>
      <c r="U1261" s="122">
        <v>0</v>
      </c>
      <c r="V1261" s="122">
        <v>21659</v>
      </c>
      <c r="W1261" s="122">
        <f t="shared" si="38"/>
        <v>21659</v>
      </c>
      <c r="X1261" s="122">
        <f t="shared" si="39"/>
        <v>29246</v>
      </c>
      <c r="AA1261" t="s">
        <v>58</v>
      </c>
      <c r="AB1261" t="s">
        <v>406</v>
      </c>
      <c r="AC1261" t="s">
        <v>425</v>
      </c>
      <c r="AD1261" t="s">
        <v>579</v>
      </c>
      <c r="AE1261" t="s">
        <v>566</v>
      </c>
      <c r="AF1261">
        <v>1</v>
      </c>
      <c r="AG1261">
        <v>167</v>
      </c>
      <c r="AH1261">
        <v>226</v>
      </c>
      <c r="AI1261" s="122">
        <v>18841</v>
      </c>
      <c r="AJ1261" s="122">
        <v>17128</v>
      </c>
      <c r="AK1261">
        <v>75</v>
      </c>
      <c r="AL1261" s="122">
        <v>7463</v>
      </c>
      <c r="AM1261" s="122">
        <v>6785</v>
      </c>
      <c r="AN1261" s="122">
        <v>2827</v>
      </c>
      <c r="AO1261" s="122">
        <v>1047</v>
      </c>
      <c r="AP1261">
        <v>621</v>
      </c>
      <c r="AQ1261">
        <v>230</v>
      </c>
      <c r="AR1261" s="122">
        <v>8020</v>
      </c>
      <c r="AS1261" s="122">
        <v>6683</v>
      </c>
      <c r="AT1261">
        <v>0</v>
      </c>
      <c r="AU1261">
        <v>0</v>
      </c>
      <c r="AV1261" s="122">
        <v>31873</v>
      </c>
    </row>
    <row r="1262" spans="2:48" hidden="1">
      <c r="B1262" t="s">
        <v>370</v>
      </c>
      <c r="C1262" t="s">
        <v>50</v>
      </c>
      <c r="D1262" t="s">
        <v>137</v>
      </c>
      <c r="E1262" t="s">
        <v>137</v>
      </c>
      <c r="F1262" s="122">
        <v>37</v>
      </c>
      <c r="G1262" s="122">
        <v>11683</v>
      </c>
      <c r="H1262" s="122">
        <v>3242</v>
      </c>
      <c r="I1262" s="122">
        <v>445277</v>
      </c>
      <c r="J1262" s="122">
        <v>164918</v>
      </c>
      <c r="K1262" s="122">
        <v>351</v>
      </c>
      <c r="L1262" s="122">
        <v>119846</v>
      </c>
      <c r="M1262" s="122">
        <v>106995</v>
      </c>
      <c r="N1262" s="122">
        <v>213962</v>
      </c>
      <c r="O1262" s="122">
        <v>79245</v>
      </c>
      <c r="P1262" s="122">
        <v>29482</v>
      </c>
      <c r="Q1262" s="122">
        <v>10919</v>
      </c>
      <c r="R1262" s="122">
        <v>266164</v>
      </c>
      <c r="S1262" s="122">
        <v>98579</v>
      </c>
      <c r="T1262" s="122">
        <v>3582</v>
      </c>
      <c r="U1262" s="122">
        <v>1327</v>
      </c>
      <c r="V1262" s="122">
        <v>461983</v>
      </c>
      <c r="W1262" s="122">
        <f t="shared" si="38"/>
        <v>461983</v>
      </c>
      <c r="X1262" s="122">
        <f t="shared" si="39"/>
        <v>1078313</v>
      </c>
      <c r="AA1262" t="s">
        <v>58</v>
      </c>
      <c r="AB1262" t="s">
        <v>406</v>
      </c>
      <c r="AC1262" t="s">
        <v>425</v>
      </c>
      <c r="AD1262" t="s">
        <v>426</v>
      </c>
      <c r="AE1262" t="s">
        <v>566</v>
      </c>
      <c r="AF1262">
        <v>1</v>
      </c>
      <c r="AG1262">
        <v>79</v>
      </c>
      <c r="AH1262">
        <v>230</v>
      </c>
      <c r="AI1262" s="122">
        <v>11314</v>
      </c>
      <c r="AJ1262" s="122">
        <v>10285</v>
      </c>
      <c r="AK1262">
        <v>82</v>
      </c>
      <c r="AL1262" s="122">
        <v>2454</v>
      </c>
      <c r="AM1262" s="122">
        <v>2231</v>
      </c>
      <c r="AN1262" s="122">
        <v>1005</v>
      </c>
      <c r="AO1262" s="122">
        <v>372</v>
      </c>
      <c r="AP1262">
        <v>621</v>
      </c>
      <c r="AQ1262">
        <v>230</v>
      </c>
      <c r="AR1262" s="122">
        <v>2690</v>
      </c>
      <c r="AS1262" s="122">
        <v>2445</v>
      </c>
      <c r="AT1262">
        <v>0</v>
      </c>
      <c r="AU1262">
        <v>0</v>
      </c>
      <c r="AV1262" s="122">
        <v>15564</v>
      </c>
    </row>
    <row r="1263" spans="2:48" hidden="1">
      <c r="B1263" t="s">
        <v>370</v>
      </c>
      <c r="C1263" t="s">
        <v>50</v>
      </c>
      <c r="D1263" t="s">
        <v>483</v>
      </c>
      <c r="E1263" t="s">
        <v>483</v>
      </c>
      <c r="F1263" s="122">
        <v>1</v>
      </c>
      <c r="G1263" s="122">
        <v>451</v>
      </c>
      <c r="H1263" s="122">
        <v>97</v>
      </c>
      <c r="I1263" s="122">
        <v>19652</v>
      </c>
      <c r="J1263" s="122">
        <v>7279</v>
      </c>
      <c r="K1263" s="122">
        <v>320</v>
      </c>
      <c r="L1263" s="122">
        <v>9489</v>
      </c>
      <c r="M1263" s="122">
        <v>8626</v>
      </c>
      <c r="N1263" s="122">
        <v>10440</v>
      </c>
      <c r="O1263" s="122">
        <v>3867</v>
      </c>
      <c r="P1263" s="122">
        <v>351</v>
      </c>
      <c r="Q1263" s="122">
        <v>130</v>
      </c>
      <c r="R1263" s="122">
        <v>3825</v>
      </c>
      <c r="S1263" s="122">
        <v>1417</v>
      </c>
      <c r="T1263" s="122">
        <v>0</v>
      </c>
      <c r="U1263" s="122">
        <v>0</v>
      </c>
      <c r="V1263" s="122">
        <v>21318</v>
      </c>
      <c r="W1263" s="122">
        <f t="shared" si="38"/>
        <v>21319</v>
      </c>
      <c r="X1263" s="122">
        <f t="shared" si="39"/>
        <v>43757</v>
      </c>
      <c r="AA1263" t="s">
        <v>58</v>
      </c>
      <c r="AB1263" t="s">
        <v>406</v>
      </c>
      <c r="AC1263" t="s">
        <v>405</v>
      </c>
      <c r="AD1263" t="s">
        <v>405</v>
      </c>
      <c r="AE1263" t="s">
        <v>566</v>
      </c>
      <c r="AF1263">
        <v>1</v>
      </c>
      <c r="AG1263" s="122">
        <v>243</v>
      </c>
      <c r="AH1263" s="122">
        <v>270</v>
      </c>
      <c r="AI1263" s="122">
        <v>38130</v>
      </c>
      <c r="AJ1263" s="122">
        <v>34664</v>
      </c>
      <c r="AK1263">
        <v>70</v>
      </c>
      <c r="AL1263" s="122">
        <v>14087</v>
      </c>
      <c r="AM1263" s="122">
        <v>12806</v>
      </c>
      <c r="AN1263" s="122">
        <v>5931</v>
      </c>
      <c r="AO1263" s="122">
        <v>2197</v>
      </c>
      <c r="AP1263" s="122">
        <v>351</v>
      </c>
      <c r="AQ1263" s="122">
        <v>130</v>
      </c>
      <c r="AR1263" s="122">
        <v>7127</v>
      </c>
      <c r="AS1263" s="122">
        <v>6479</v>
      </c>
      <c r="AT1263" s="122">
        <v>0</v>
      </c>
      <c r="AU1263" s="122">
        <v>0</v>
      </c>
      <c r="AV1263" s="122">
        <v>56275</v>
      </c>
    </row>
    <row r="1264" spans="2:48" hidden="1">
      <c r="B1264" t="s">
        <v>370</v>
      </c>
      <c r="C1264" t="s">
        <v>50</v>
      </c>
      <c r="D1264" t="s">
        <v>406</v>
      </c>
      <c r="E1264" t="s">
        <v>137</v>
      </c>
      <c r="F1264" s="122">
        <v>1</v>
      </c>
      <c r="G1264" s="122">
        <v>143</v>
      </c>
      <c r="H1264" s="122">
        <v>98</v>
      </c>
      <c r="I1264" s="122">
        <v>6702</v>
      </c>
      <c r="J1264" s="122">
        <v>6093</v>
      </c>
      <c r="K1264" s="122">
        <v>92</v>
      </c>
      <c r="L1264" s="122">
        <v>964</v>
      </c>
      <c r="M1264" s="122">
        <v>876</v>
      </c>
      <c r="N1264" s="122">
        <v>2740</v>
      </c>
      <c r="O1264" s="122">
        <v>1015</v>
      </c>
      <c r="P1264" s="122">
        <v>621</v>
      </c>
      <c r="Q1264" s="122">
        <v>230</v>
      </c>
      <c r="R1264" s="122">
        <v>2996</v>
      </c>
      <c r="S1264" s="122">
        <v>1109</v>
      </c>
      <c r="T1264" s="122">
        <v>0</v>
      </c>
      <c r="U1264" s="122">
        <v>0</v>
      </c>
      <c r="V1264" s="122">
        <v>9323</v>
      </c>
      <c r="W1264" s="122">
        <f t="shared" si="38"/>
        <v>9323</v>
      </c>
      <c r="X1264" s="122">
        <f t="shared" si="39"/>
        <v>14023</v>
      </c>
      <c r="AA1264" t="s">
        <v>58</v>
      </c>
      <c r="AB1264" t="s">
        <v>406</v>
      </c>
      <c r="AC1264" t="s">
        <v>405</v>
      </c>
      <c r="AD1264" t="s">
        <v>406</v>
      </c>
      <c r="AE1264" t="s">
        <v>137</v>
      </c>
      <c r="AF1264">
        <v>70</v>
      </c>
      <c r="AG1264" s="122">
        <v>10729</v>
      </c>
      <c r="AH1264" s="122">
        <v>18231</v>
      </c>
      <c r="AI1264" s="122">
        <v>1689093</v>
      </c>
      <c r="AJ1264" s="122">
        <v>1535539</v>
      </c>
      <c r="AK1264">
        <v>77</v>
      </c>
      <c r="AL1264" s="122">
        <v>390777</v>
      </c>
      <c r="AM1264" s="122">
        <v>355252</v>
      </c>
      <c r="AN1264" s="122">
        <v>232241</v>
      </c>
      <c r="AO1264" s="122">
        <v>86015</v>
      </c>
      <c r="AP1264" s="122">
        <v>44172</v>
      </c>
      <c r="AQ1264" s="122">
        <v>16360</v>
      </c>
      <c r="AR1264" s="122">
        <v>378981</v>
      </c>
      <c r="AS1264" s="122">
        <v>344528</v>
      </c>
      <c r="AT1264" s="122">
        <v>172346</v>
      </c>
      <c r="AU1264" s="122">
        <v>63832</v>
      </c>
      <c r="AV1264" s="122">
        <v>2401525</v>
      </c>
    </row>
    <row r="1265" spans="2:48" hidden="1">
      <c r="B1265" t="s">
        <v>370</v>
      </c>
      <c r="C1265" t="s">
        <v>50</v>
      </c>
      <c r="D1265" t="s">
        <v>406</v>
      </c>
      <c r="E1265" t="s">
        <v>406</v>
      </c>
      <c r="F1265" s="122">
        <v>58</v>
      </c>
      <c r="G1265" s="122">
        <v>14749</v>
      </c>
      <c r="H1265" s="122">
        <v>5214</v>
      </c>
      <c r="I1265" s="122">
        <v>718701</v>
      </c>
      <c r="J1265" s="122">
        <v>653365</v>
      </c>
      <c r="K1265" s="122">
        <v>94</v>
      </c>
      <c r="L1265" s="122">
        <v>104179</v>
      </c>
      <c r="M1265" s="122">
        <v>935274</v>
      </c>
      <c r="N1265" s="122">
        <v>214016</v>
      </c>
      <c r="O1265" s="122">
        <v>79265</v>
      </c>
      <c r="P1265" s="122">
        <v>59270</v>
      </c>
      <c r="Q1265" s="122">
        <v>21952</v>
      </c>
      <c r="R1265" s="122">
        <v>245657</v>
      </c>
      <c r="S1265" s="122">
        <v>223325</v>
      </c>
      <c r="T1265" s="122">
        <v>14093</v>
      </c>
      <c r="U1265" s="122">
        <v>5220</v>
      </c>
      <c r="V1265" s="122">
        <v>1918400</v>
      </c>
      <c r="W1265" s="122">
        <f t="shared" si="38"/>
        <v>1918401</v>
      </c>
      <c r="X1265" s="122">
        <f t="shared" si="39"/>
        <v>1355916</v>
      </c>
      <c r="AA1265" t="s">
        <v>58</v>
      </c>
      <c r="AB1265" t="s">
        <v>406</v>
      </c>
      <c r="AC1265" t="s">
        <v>405</v>
      </c>
      <c r="AD1265" t="s">
        <v>406</v>
      </c>
      <c r="AE1265" t="s">
        <v>566</v>
      </c>
      <c r="AF1265">
        <v>50</v>
      </c>
      <c r="AG1265" s="122">
        <v>9432</v>
      </c>
      <c r="AH1265" s="122">
        <v>12630</v>
      </c>
      <c r="AI1265" s="122">
        <v>1515865</v>
      </c>
      <c r="AJ1265" s="122">
        <v>1378060</v>
      </c>
      <c r="AK1265">
        <v>77</v>
      </c>
      <c r="AL1265" s="122">
        <v>393488</v>
      </c>
      <c r="AM1265" s="122">
        <v>357717</v>
      </c>
      <c r="AN1265" s="122">
        <v>216318</v>
      </c>
      <c r="AO1265" s="122">
        <v>80118</v>
      </c>
      <c r="AP1265" s="122">
        <v>33278</v>
      </c>
      <c r="AQ1265" s="122">
        <v>12325</v>
      </c>
      <c r="AR1265" s="122">
        <v>366718</v>
      </c>
      <c r="AS1265" s="122">
        <v>333380</v>
      </c>
      <c r="AT1265">
        <v>0</v>
      </c>
      <c r="AU1265">
        <v>0</v>
      </c>
      <c r="AV1265" s="122">
        <v>2161599</v>
      </c>
    </row>
    <row r="1266" spans="2:48" hidden="1">
      <c r="B1266" t="s">
        <v>370</v>
      </c>
      <c r="C1266" t="s">
        <v>50</v>
      </c>
      <c r="D1266" t="s">
        <v>407</v>
      </c>
      <c r="E1266" t="s">
        <v>137</v>
      </c>
      <c r="F1266" s="122">
        <v>1</v>
      </c>
      <c r="G1266" s="122">
        <v>288</v>
      </c>
      <c r="H1266" s="122">
        <v>80</v>
      </c>
      <c r="I1266" s="122">
        <v>13164</v>
      </c>
      <c r="J1266" s="122">
        <v>11967</v>
      </c>
      <c r="K1266" s="122">
        <v>78</v>
      </c>
      <c r="L1266" s="122">
        <v>1906</v>
      </c>
      <c r="M1266" s="122">
        <v>1733</v>
      </c>
      <c r="N1266" s="122">
        <v>3510</v>
      </c>
      <c r="O1266" s="122">
        <v>1300</v>
      </c>
      <c r="P1266" s="122">
        <v>473</v>
      </c>
      <c r="Q1266" s="122">
        <v>175</v>
      </c>
      <c r="R1266" s="122">
        <v>4001</v>
      </c>
      <c r="S1266" s="122">
        <v>1482</v>
      </c>
      <c r="T1266" s="122">
        <v>0</v>
      </c>
      <c r="U1266" s="122">
        <v>0</v>
      </c>
      <c r="V1266" s="122">
        <v>16657</v>
      </c>
      <c r="W1266" s="122">
        <f t="shared" si="38"/>
        <v>16657</v>
      </c>
      <c r="X1266" s="122">
        <f t="shared" si="39"/>
        <v>23054</v>
      </c>
      <c r="AA1266" t="s">
        <v>58</v>
      </c>
      <c r="AB1266" t="s">
        <v>406</v>
      </c>
      <c r="AC1266" t="s">
        <v>137</v>
      </c>
      <c r="AD1266" t="s">
        <v>405</v>
      </c>
      <c r="AE1266" t="s">
        <v>566</v>
      </c>
      <c r="AF1266">
        <v>1</v>
      </c>
      <c r="AG1266">
        <v>450</v>
      </c>
      <c r="AH1266">
        <v>285</v>
      </c>
      <c r="AI1266" s="122">
        <v>90753</v>
      </c>
      <c r="AJ1266" s="122">
        <v>82502</v>
      </c>
      <c r="AK1266">
        <v>86</v>
      </c>
      <c r="AL1266" s="122">
        <v>20147</v>
      </c>
      <c r="AM1266" s="122">
        <v>7462</v>
      </c>
      <c r="AN1266" s="122">
        <v>9932</v>
      </c>
      <c r="AO1266" s="122">
        <v>3679</v>
      </c>
      <c r="AP1266" s="122">
        <v>1242</v>
      </c>
      <c r="AQ1266">
        <v>460</v>
      </c>
      <c r="AR1266" s="122">
        <v>6458</v>
      </c>
      <c r="AS1266" s="122">
        <v>5871</v>
      </c>
      <c r="AT1266" s="122">
        <v>0</v>
      </c>
      <c r="AU1266" s="122">
        <v>0</v>
      </c>
      <c r="AV1266" s="122">
        <v>99974</v>
      </c>
    </row>
    <row r="1267" spans="2:48" hidden="1">
      <c r="B1267" t="s">
        <v>370</v>
      </c>
      <c r="C1267" t="s">
        <v>50</v>
      </c>
      <c r="D1267" t="s">
        <v>407</v>
      </c>
      <c r="E1267" t="s">
        <v>407</v>
      </c>
      <c r="F1267" s="122">
        <v>35</v>
      </c>
      <c r="G1267" s="122">
        <v>6847</v>
      </c>
      <c r="H1267" s="122">
        <v>3047</v>
      </c>
      <c r="I1267" s="122">
        <v>284646</v>
      </c>
      <c r="J1267" s="122">
        <v>258769</v>
      </c>
      <c r="K1267" s="122">
        <v>91</v>
      </c>
      <c r="L1267" s="122">
        <v>57052</v>
      </c>
      <c r="M1267" s="122">
        <v>47340</v>
      </c>
      <c r="N1267" s="122">
        <v>91595</v>
      </c>
      <c r="O1267" s="122">
        <v>33924</v>
      </c>
      <c r="P1267" s="122">
        <v>23512</v>
      </c>
      <c r="Q1267" s="122">
        <v>8708</v>
      </c>
      <c r="R1267" s="122">
        <v>136339</v>
      </c>
      <c r="S1267" s="122">
        <v>123944</v>
      </c>
      <c r="T1267" s="122">
        <v>0</v>
      </c>
      <c r="U1267" s="122">
        <v>0</v>
      </c>
      <c r="V1267" s="122">
        <v>472685</v>
      </c>
      <c r="W1267" s="122">
        <f t="shared" si="38"/>
        <v>472685</v>
      </c>
      <c r="X1267" s="122">
        <f t="shared" si="39"/>
        <v>593144</v>
      </c>
      <c r="AA1267" t="s">
        <v>58</v>
      </c>
      <c r="AB1267" t="s">
        <v>406</v>
      </c>
      <c r="AC1267" t="s">
        <v>137</v>
      </c>
      <c r="AD1267" t="s">
        <v>137</v>
      </c>
      <c r="AE1267" t="s">
        <v>137</v>
      </c>
      <c r="AF1267">
        <v>2</v>
      </c>
      <c r="AG1267" s="122">
        <v>256</v>
      </c>
      <c r="AH1267" s="122">
        <v>500</v>
      </c>
      <c r="AI1267" s="122">
        <v>31309</v>
      </c>
      <c r="AJ1267" s="122">
        <v>28462</v>
      </c>
      <c r="AK1267">
        <v>65</v>
      </c>
      <c r="AL1267" s="122">
        <v>9728</v>
      </c>
      <c r="AM1267" s="122">
        <v>3603</v>
      </c>
      <c r="AN1267" s="122">
        <v>6198</v>
      </c>
      <c r="AO1267" s="122">
        <v>2296</v>
      </c>
      <c r="AP1267" s="122">
        <v>972</v>
      </c>
      <c r="AQ1267" s="122">
        <v>360</v>
      </c>
      <c r="AR1267" s="122">
        <v>14782</v>
      </c>
      <c r="AS1267" s="122">
        <v>5475</v>
      </c>
      <c r="AT1267" s="122">
        <v>3927</v>
      </c>
      <c r="AU1267" s="122">
        <v>1455</v>
      </c>
      <c r="AV1267" s="122">
        <v>41650</v>
      </c>
    </row>
    <row r="1268" spans="2:48" hidden="1">
      <c r="B1268" t="s">
        <v>370</v>
      </c>
      <c r="C1268" t="s">
        <v>50</v>
      </c>
      <c r="D1268" t="s">
        <v>433</v>
      </c>
      <c r="E1268" t="s">
        <v>433</v>
      </c>
      <c r="F1268" s="122">
        <v>1</v>
      </c>
      <c r="G1268" s="122">
        <v>228</v>
      </c>
      <c r="H1268" s="122">
        <v>92</v>
      </c>
      <c r="I1268" s="122">
        <v>9350</v>
      </c>
      <c r="J1268" s="122">
        <v>8500</v>
      </c>
      <c r="K1268" s="122">
        <v>80</v>
      </c>
      <c r="L1268" s="122">
        <v>899</v>
      </c>
      <c r="M1268" s="122">
        <v>818</v>
      </c>
      <c r="N1268" s="122">
        <v>2781</v>
      </c>
      <c r="O1268" s="122">
        <v>1030</v>
      </c>
      <c r="P1268" s="122">
        <v>1323</v>
      </c>
      <c r="Q1268" s="122">
        <v>490</v>
      </c>
      <c r="R1268" s="122">
        <v>6585</v>
      </c>
      <c r="S1268" s="122">
        <v>5987</v>
      </c>
      <c r="T1268" s="122">
        <v>0</v>
      </c>
      <c r="U1268" s="122">
        <v>0</v>
      </c>
      <c r="V1268" s="122">
        <v>16824</v>
      </c>
      <c r="W1268" s="122">
        <f t="shared" si="38"/>
        <v>16825</v>
      </c>
      <c r="X1268" s="122">
        <f t="shared" si="39"/>
        <v>20938</v>
      </c>
      <c r="AA1268" t="s">
        <v>58</v>
      </c>
      <c r="AB1268" t="s">
        <v>406</v>
      </c>
      <c r="AC1268" t="s">
        <v>137</v>
      </c>
      <c r="AD1268" t="s">
        <v>137</v>
      </c>
      <c r="AE1268" t="s">
        <v>566</v>
      </c>
      <c r="AF1268">
        <v>12</v>
      </c>
      <c r="AG1268" s="122">
        <v>1331</v>
      </c>
      <c r="AH1268" s="122">
        <v>3058</v>
      </c>
      <c r="AI1268" s="122">
        <v>167041</v>
      </c>
      <c r="AJ1268" s="122">
        <v>151855</v>
      </c>
      <c r="AK1268">
        <v>83</v>
      </c>
      <c r="AL1268" s="122">
        <v>50862</v>
      </c>
      <c r="AM1268" s="122">
        <v>18838</v>
      </c>
      <c r="AN1268" s="122">
        <v>28774</v>
      </c>
      <c r="AO1268" s="122">
        <v>10657</v>
      </c>
      <c r="AP1268" s="122">
        <v>8383</v>
      </c>
      <c r="AQ1268" s="122">
        <v>3105</v>
      </c>
      <c r="AR1268" s="122">
        <v>95109</v>
      </c>
      <c r="AS1268" s="122">
        <v>35226</v>
      </c>
      <c r="AT1268" s="122">
        <v>0</v>
      </c>
      <c r="AU1268" s="122">
        <v>0</v>
      </c>
      <c r="AV1268" s="122">
        <v>219680</v>
      </c>
    </row>
    <row r="1269" spans="2:48" hidden="1">
      <c r="B1269" t="s">
        <v>370</v>
      </c>
      <c r="C1269" t="s">
        <v>52</v>
      </c>
      <c r="D1269" t="s">
        <v>425</v>
      </c>
      <c r="E1269" t="s">
        <v>425</v>
      </c>
      <c r="F1269" s="122">
        <v>1</v>
      </c>
      <c r="G1269" s="122">
        <v>196</v>
      </c>
      <c r="H1269" s="122">
        <v>111</v>
      </c>
      <c r="I1269" s="122">
        <v>12371</v>
      </c>
      <c r="J1269" s="122">
        <v>11246</v>
      </c>
      <c r="K1269" s="122">
        <v>90</v>
      </c>
      <c r="L1269" s="122">
        <v>0</v>
      </c>
      <c r="M1269" s="122">
        <v>0</v>
      </c>
      <c r="N1269" s="122">
        <v>3443</v>
      </c>
      <c r="O1269" s="122">
        <v>1275</v>
      </c>
      <c r="P1269" s="122">
        <v>473</v>
      </c>
      <c r="Q1269" s="122">
        <v>175</v>
      </c>
      <c r="R1269" s="122">
        <v>5512</v>
      </c>
      <c r="S1269" s="122">
        <v>5011</v>
      </c>
      <c r="T1269" s="122">
        <v>0</v>
      </c>
      <c r="U1269" s="122">
        <v>0</v>
      </c>
      <c r="V1269" s="122">
        <v>17708</v>
      </c>
      <c r="W1269" s="122">
        <f t="shared" si="38"/>
        <v>17707</v>
      </c>
      <c r="X1269" s="122">
        <f t="shared" si="39"/>
        <v>21799</v>
      </c>
      <c r="AA1269" t="s">
        <v>58</v>
      </c>
      <c r="AB1269" t="s">
        <v>406</v>
      </c>
      <c r="AC1269" t="s">
        <v>137</v>
      </c>
      <c r="AD1269" t="s">
        <v>406</v>
      </c>
      <c r="AE1269" t="s">
        <v>137</v>
      </c>
      <c r="AF1269">
        <v>892</v>
      </c>
      <c r="AG1269" s="122">
        <v>110945</v>
      </c>
      <c r="AH1269" s="122">
        <v>234483</v>
      </c>
      <c r="AI1269" s="122">
        <v>16338120</v>
      </c>
      <c r="AJ1269" s="122">
        <v>14852836</v>
      </c>
      <c r="AK1269">
        <v>79</v>
      </c>
      <c r="AL1269" s="122">
        <v>4134469</v>
      </c>
      <c r="AM1269" s="122">
        <v>1531285</v>
      </c>
      <c r="AN1269" s="122">
        <v>2329571</v>
      </c>
      <c r="AO1269" s="122">
        <v>862804</v>
      </c>
      <c r="AP1269" s="122">
        <v>563924</v>
      </c>
      <c r="AQ1269" s="122">
        <v>208861</v>
      </c>
      <c r="AR1269" s="122">
        <v>4232172</v>
      </c>
      <c r="AS1269" s="122">
        <v>3847429</v>
      </c>
      <c r="AT1269" s="122">
        <v>2192167</v>
      </c>
      <c r="AU1269" s="122">
        <v>811914</v>
      </c>
      <c r="AV1269" s="122">
        <v>22115128</v>
      </c>
    </row>
    <row r="1270" spans="2:48" hidden="1">
      <c r="B1270" t="s">
        <v>370</v>
      </c>
      <c r="C1270" t="s">
        <v>52</v>
      </c>
      <c r="D1270" t="s">
        <v>405</v>
      </c>
      <c r="E1270" t="s">
        <v>405</v>
      </c>
      <c r="F1270" s="122">
        <v>6</v>
      </c>
      <c r="G1270" s="122">
        <v>1453</v>
      </c>
      <c r="H1270" s="122">
        <v>685</v>
      </c>
      <c r="I1270" s="122">
        <v>108384</v>
      </c>
      <c r="J1270" s="122">
        <v>98530</v>
      </c>
      <c r="K1270" s="122">
        <v>92</v>
      </c>
      <c r="L1270" s="122">
        <v>17593</v>
      </c>
      <c r="M1270" s="122">
        <v>15606</v>
      </c>
      <c r="N1270" s="122">
        <v>25284</v>
      </c>
      <c r="O1270" s="122">
        <v>9364</v>
      </c>
      <c r="P1270" s="122">
        <v>5994</v>
      </c>
      <c r="Q1270" s="122">
        <v>2220</v>
      </c>
      <c r="R1270" s="122">
        <v>32612</v>
      </c>
      <c r="S1270" s="122">
        <v>29647</v>
      </c>
      <c r="T1270" s="122">
        <v>0</v>
      </c>
      <c r="U1270" s="122">
        <v>0</v>
      </c>
      <c r="V1270" s="122">
        <v>155369</v>
      </c>
      <c r="W1270" s="122">
        <f t="shared" si="38"/>
        <v>155367</v>
      </c>
      <c r="X1270" s="122">
        <f t="shared" si="39"/>
        <v>189867</v>
      </c>
      <c r="AA1270" t="s">
        <v>58</v>
      </c>
      <c r="AB1270" t="s">
        <v>406</v>
      </c>
      <c r="AC1270" t="s">
        <v>137</v>
      </c>
      <c r="AD1270" t="s">
        <v>406</v>
      </c>
      <c r="AE1270" t="s">
        <v>566</v>
      </c>
      <c r="AF1270">
        <v>504</v>
      </c>
      <c r="AG1270" s="122">
        <v>63535</v>
      </c>
      <c r="AH1270" s="122">
        <v>131468</v>
      </c>
      <c r="AI1270" s="122">
        <v>9679323</v>
      </c>
      <c r="AJ1270" s="122">
        <v>8799384</v>
      </c>
      <c r="AK1270">
        <v>81</v>
      </c>
      <c r="AL1270" s="122">
        <v>2476871</v>
      </c>
      <c r="AM1270" s="122">
        <v>917360</v>
      </c>
      <c r="AN1270" s="122">
        <v>1321915</v>
      </c>
      <c r="AO1270" s="122">
        <v>489598</v>
      </c>
      <c r="AP1270" s="122">
        <v>320968</v>
      </c>
      <c r="AQ1270" s="122">
        <v>118877</v>
      </c>
      <c r="AR1270" s="122">
        <v>3079633</v>
      </c>
      <c r="AS1270" s="122">
        <v>2799666</v>
      </c>
      <c r="AT1270" s="122">
        <v>0</v>
      </c>
      <c r="AU1270" s="122">
        <v>0</v>
      </c>
      <c r="AV1270" s="122">
        <v>13124885</v>
      </c>
    </row>
    <row r="1271" spans="2:48" hidden="1">
      <c r="B1271" t="s">
        <v>370</v>
      </c>
      <c r="C1271" t="s">
        <v>52</v>
      </c>
      <c r="D1271" t="s">
        <v>137</v>
      </c>
      <c r="E1271" t="s">
        <v>137</v>
      </c>
      <c r="F1271" s="122">
        <v>28</v>
      </c>
      <c r="G1271" s="122">
        <v>7029</v>
      </c>
      <c r="H1271" s="122">
        <v>3127</v>
      </c>
      <c r="I1271" s="122">
        <v>383564</v>
      </c>
      <c r="J1271" s="122">
        <v>142061</v>
      </c>
      <c r="K1271" s="122">
        <v>311</v>
      </c>
      <c r="L1271" s="122">
        <v>114235</v>
      </c>
      <c r="M1271" s="122">
        <v>101375</v>
      </c>
      <c r="N1271" s="122">
        <v>154217</v>
      </c>
      <c r="O1271" s="122">
        <v>57117</v>
      </c>
      <c r="P1271" s="122">
        <v>19228</v>
      </c>
      <c r="Q1271" s="122">
        <v>7121</v>
      </c>
      <c r="R1271" s="122">
        <v>226113</v>
      </c>
      <c r="S1271" s="122">
        <v>83745</v>
      </c>
      <c r="T1271" s="122">
        <v>0</v>
      </c>
      <c r="U1271" s="122">
        <v>0</v>
      </c>
      <c r="V1271" s="122">
        <v>391420</v>
      </c>
      <c r="W1271" s="122">
        <f t="shared" si="38"/>
        <v>391419</v>
      </c>
      <c r="X1271" s="122">
        <f t="shared" si="39"/>
        <v>897357</v>
      </c>
      <c r="AA1271" t="s">
        <v>58</v>
      </c>
      <c r="AB1271" t="s">
        <v>406</v>
      </c>
      <c r="AC1271" t="s">
        <v>137</v>
      </c>
      <c r="AD1271" t="s">
        <v>427</v>
      </c>
      <c r="AE1271" t="s">
        <v>137</v>
      </c>
      <c r="AF1271">
        <v>1</v>
      </c>
      <c r="AG1271">
        <v>142</v>
      </c>
      <c r="AH1271">
        <v>230</v>
      </c>
      <c r="AI1271" s="122">
        <v>18961</v>
      </c>
      <c r="AJ1271" s="122">
        <v>17237</v>
      </c>
      <c r="AK1271">
        <v>84</v>
      </c>
      <c r="AL1271" s="122">
        <v>4101</v>
      </c>
      <c r="AM1271" s="122">
        <v>1519</v>
      </c>
      <c r="AN1271" s="122">
        <v>2082</v>
      </c>
      <c r="AO1271" s="122">
        <v>771</v>
      </c>
      <c r="AP1271">
        <v>621</v>
      </c>
      <c r="AQ1271">
        <v>230</v>
      </c>
      <c r="AR1271" s="122">
        <v>3827</v>
      </c>
      <c r="AS1271" s="122">
        <v>3479</v>
      </c>
      <c r="AT1271" s="122">
        <v>3114</v>
      </c>
      <c r="AU1271" s="122">
        <v>1153</v>
      </c>
      <c r="AV1271" s="122">
        <v>24389</v>
      </c>
    </row>
    <row r="1272" spans="2:48" hidden="1">
      <c r="B1272" t="s">
        <v>370</v>
      </c>
      <c r="C1272" t="s">
        <v>52</v>
      </c>
      <c r="D1272" t="s">
        <v>483</v>
      </c>
      <c r="E1272" t="s">
        <v>483</v>
      </c>
      <c r="F1272" s="122">
        <v>1</v>
      </c>
      <c r="G1272" s="122">
        <v>533</v>
      </c>
      <c r="H1272" s="122">
        <v>115</v>
      </c>
      <c r="I1272" s="122">
        <v>27277</v>
      </c>
      <c r="J1272" s="122">
        <v>10103</v>
      </c>
      <c r="K1272" s="122">
        <v>320</v>
      </c>
      <c r="L1272" s="122">
        <v>14368</v>
      </c>
      <c r="M1272" s="122">
        <v>11973</v>
      </c>
      <c r="N1272" s="122">
        <v>12997</v>
      </c>
      <c r="O1272" s="122">
        <v>4814</v>
      </c>
      <c r="P1272" s="122">
        <v>351</v>
      </c>
      <c r="Q1272" s="122">
        <v>130</v>
      </c>
      <c r="R1272" s="122">
        <v>6428</v>
      </c>
      <c r="S1272" s="122">
        <v>2381</v>
      </c>
      <c r="T1272" s="122">
        <v>0</v>
      </c>
      <c r="U1272" s="122">
        <v>0</v>
      </c>
      <c r="V1272" s="122">
        <v>29401</v>
      </c>
      <c r="W1272" s="122">
        <f t="shared" si="38"/>
        <v>29401</v>
      </c>
      <c r="X1272" s="122">
        <f t="shared" si="39"/>
        <v>61421</v>
      </c>
      <c r="AA1272" t="s">
        <v>58</v>
      </c>
      <c r="AB1272" t="s">
        <v>406</v>
      </c>
      <c r="AC1272" t="s">
        <v>137</v>
      </c>
      <c r="AD1272" t="s">
        <v>426</v>
      </c>
      <c r="AE1272" t="s">
        <v>137</v>
      </c>
      <c r="AF1272">
        <v>1</v>
      </c>
      <c r="AG1272">
        <v>140</v>
      </c>
      <c r="AH1272">
        <v>268</v>
      </c>
      <c r="AI1272" s="122">
        <v>15273</v>
      </c>
      <c r="AJ1272" s="122">
        <v>13885</v>
      </c>
      <c r="AK1272">
        <v>84</v>
      </c>
      <c r="AL1272" s="122">
        <v>11025</v>
      </c>
      <c r="AM1272" s="122">
        <v>4083</v>
      </c>
      <c r="AN1272" s="122">
        <v>3411</v>
      </c>
      <c r="AO1272" s="122">
        <v>1263</v>
      </c>
      <c r="AP1272" s="122">
        <v>743</v>
      </c>
      <c r="AQ1272">
        <v>275</v>
      </c>
      <c r="AR1272" s="122">
        <v>4161</v>
      </c>
      <c r="AS1272" s="122">
        <v>3783</v>
      </c>
      <c r="AT1272" s="122">
        <v>2908</v>
      </c>
      <c r="AU1272" s="122">
        <v>1077</v>
      </c>
      <c r="AV1272" s="122">
        <v>24366</v>
      </c>
    </row>
    <row r="1273" spans="2:48" hidden="1">
      <c r="B1273" t="s">
        <v>370</v>
      </c>
      <c r="C1273" t="s">
        <v>52</v>
      </c>
      <c r="D1273" t="s">
        <v>406</v>
      </c>
      <c r="E1273" t="s">
        <v>137</v>
      </c>
      <c r="F1273" s="122">
        <v>6</v>
      </c>
      <c r="G1273" s="122">
        <v>1328</v>
      </c>
      <c r="H1273" s="122">
        <v>694</v>
      </c>
      <c r="I1273" s="122">
        <v>88496</v>
      </c>
      <c r="J1273" s="122">
        <v>80451</v>
      </c>
      <c r="K1273" s="122">
        <v>93</v>
      </c>
      <c r="L1273" s="122">
        <v>16857</v>
      </c>
      <c r="M1273" s="122">
        <v>15117</v>
      </c>
      <c r="N1273" s="122">
        <v>20349</v>
      </c>
      <c r="O1273" s="122">
        <v>7537</v>
      </c>
      <c r="P1273" s="122">
        <v>9353</v>
      </c>
      <c r="Q1273" s="122">
        <v>3464</v>
      </c>
      <c r="R1273" s="122">
        <v>29655</v>
      </c>
      <c r="S1273" s="122">
        <v>10983</v>
      </c>
      <c r="T1273" s="122">
        <v>0</v>
      </c>
      <c r="U1273" s="122">
        <v>0</v>
      </c>
      <c r="V1273" s="122">
        <v>117552</v>
      </c>
      <c r="W1273" s="122">
        <f t="shared" si="38"/>
        <v>117552</v>
      </c>
      <c r="X1273" s="122">
        <f t="shared" si="39"/>
        <v>164710</v>
      </c>
      <c r="AA1273" t="s">
        <v>58</v>
      </c>
      <c r="AB1273" t="s">
        <v>406</v>
      </c>
      <c r="AC1273" t="s">
        <v>137</v>
      </c>
      <c r="AD1273" t="s">
        <v>426</v>
      </c>
      <c r="AE1273" t="s">
        <v>566</v>
      </c>
      <c r="AF1273">
        <v>2</v>
      </c>
      <c r="AG1273">
        <v>392</v>
      </c>
      <c r="AH1273">
        <v>536</v>
      </c>
      <c r="AI1273" s="122">
        <v>57721</v>
      </c>
      <c r="AJ1273" s="122">
        <v>52474</v>
      </c>
      <c r="AK1273">
        <v>78</v>
      </c>
      <c r="AL1273" s="122">
        <v>24297</v>
      </c>
      <c r="AM1273" s="122">
        <v>8999</v>
      </c>
      <c r="AN1273" s="122">
        <v>6719</v>
      </c>
      <c r="AO1273" s="122">
        <v>2488</v>
      </c>
      <c r="AP1273" s="122">
        <v>1242</v>
      </c>
      <c r="AQ1273">
        <v>460</v>
      </c>
      <c r="AR1273" s="122">
        <v>15055</v>
      </c>
      <c r="AS1273" s="122">
        <v>13686</v>
      </c>
      <c r="AT1273">
        <v>0</v>
      </c>
      <c r="AU1273">
        <v>0</v>
      </c>
      <c r="AV1273" s="122">
        <v>78107</v>
      </c>
    </row>
    <row r="1274" spans="2:48" hidden="1">
      <c r="B1274" t="s">
        <v>370</v>
      </c>
      <c r="C1274" t="s">
        <v>52</v>
      </c>
      <c r="D1274" t="s">
        <v>406</v>
      </c>
      <c r="E1274" t="s">
        <v>406</v>
      </c>
      <c r="F1274" s="122">
        <v>171</v>
      </c>
      <c r="G1274" s="122">
        <v>37246</v>
      </c>
      <c r="H1274" s="122">
        <v>19924</v>
      </c>
      <c r="I1274" s="122">
        <v>2745302</v>
      </c>
      <c r="J1274" s="122">
        <v>2495729</v>
      </c>
      <c r="K1274" s="122">
        <v>93</v>
      </c>
      <c r="L1274" s="122">
        <v>483671</v>
      </c>
      <c r="M1274" s="122">
        <v>437534</v>
      </c>
      <c r="N1274" s="122">
        <v>679273</v>
      </c>
      <c r="O1274" s="122">
        <v>251582</v>
      </c>
      <c r="P1274" s="122">
        <v>141064</v>
      </c>
      <c r="Q1274" s="122">
        <v>52246</v>
      </c>
      <c r="R1274" s="122">
        <v>880456</v>
      </c>
      <c r="S1274" s="122">
        <v>800414</v>
      </c>
      <c r="T1274" s="122">
        <v>35395</v>
      </c>
      <c r="U1274" s="122">
        <v>13109</v>
      </c>
      <c r="V1274" s="122">
        <v>4050615</v>
      </c>
      <c r="W1274" s="122">
        <f t="shared" si="38"/>
        <v>4050614</v>
      </c>
      <c r="X1274" s="122">
        <f t="shared" si="39"/>
        <v>4965161</v>
      </c>
      <c r="AA1274" t="s">
        <v>58</v>
      </c>
      <c r="AB1274" t="s">
        <v>406</v>
      </c>
      <c r="AC1274" t="s">
        <v>580</v>
      </c>
      <c r="AD1274" t="s">
        <v>578</v>
      </c>
      <c r="AE1274" t="s">
        <v>566</v>
      </c>
      <c r="AF1274">
        <v>1</v>
      </c>
      <c r="AG1274">
        <v>128</v>
      </c>
      <c r="AH1274">
        <v>254</v>
      </c>
      <c r="AI1274" s="122">
        <v>19737</v>
      </c>
      <c r="AJ1274" s="122">
        <v>17943</v>
      </c>
      <c r="AK1274">
        <v>65</v>
      </c>
      <c r="AL1274" s="122">
        <v>2085</v>
      </c>
      <c r="AM1274" s="122">
        <v>1895</v>
      </c>
      <c r="AN1274" s="122">
        <v>2612</v>
      </c>
      <c r="AO1274" s="122">
        <v>968</v>
      </c>
      <c r="AP1274">
        <v>621</v>
      </c>
      <c r="AQ1274">
        <v>230</v>
      </c>
      <c r="AR1274" s="122">
        <v>7524</v>
      </c>
      <c r="AS1274" s="122">
        <v>6840</v>
      </c>
      <c r="AT1274" s="122">
        <v>0</v>
      </c>
      <c r="AU1274" s="122">
        <v>0</v>
      </c>
      <c r="AV1274" s="122">
        <v>27876</v>
      </c>
    </row>
    <row r="1275" spans="2:48" hidden="1">
      <c r="B1275" t="s">
        <v>370</v>
      </c>
      <c r="C1275" t="s">
        <v>52</v>
      </c>
      <c r="D1275" t="s">
        <v>406</v>
      </c>
      <c r="E1275" t="s">
        <v>426</v>
      </c>
      <c r="F1275" s="122">
        <v>1</v>
      </c>
      <c r="G1275" s="122">
        <v>128</v>
      </c>
      <c r="H1275" s="122">
        <v>123</v>
      </c>
      <c r="I1275" s="122">
        <v>7863</v>
      </c>
      <c r="J1275" s="122">
        <v>7148</v>
      </c>
      <c r="K1275" s="122">
        <v>95</v>
      </c>
      <c r="L1275" s="122">
        <v>1383</v>
      </c>
      <c r="M1275" s="122">
        <v>1258</v>
      </c>
      <c r="N1275" s="122">
        <v>1563</v>
      </c>
      <c r="O1275" s="122">
        <v>579</v>
      </c>
      <c r="P1275" s="122">
        <v>621</v>
      </c>
      <c r="Q1275" s="122">
        <v>230</v>
      </c>
      <c r="R1275" s="122">
        <v>4311</v>
      </c>
      <c r="S1275" s="122">
        <v>3919</v>
      </c>
      <c r="T1275" s="122">
        <v>0</v>
      </c>
      <c r="U1275" s="122">
        <v>0</v>
      </c>
      <c r="V1275" s="122">
        <v>13133</v>
      </c>
      <c r="W1275" s="122">
        <f t="shared" si="38"/>
        <v>13134</v>
      </c>
      <c r="X1275" s="122">
        <f t="shared" si="39"/>
        <v>15741</v>
      </c>
      <c r="AA1275" t="s">
        <v>58</v>
      </c>
      <c r="AB1275" t="s">
        <v>406</v>
      </c>
      <c r="AC1275" t="s">
        <v>580</v>
      </c>
      <c r="AD1275" t="s">
        <v>425</v>
      </c>
      <c r="AE1275" t="s">
        <v>137</v>
      </c>
      <c r="AF1275">
        <v>1</v>
      </c>
      <c r="AG1275">
        <v>145</v>
      </c>
      <c r="AH1275" s="122">
        <v>268</v>
      </c>
      <c r="AI1275" s="122">
        <v>24541</v>
      </c>
      <c r="AJ1275" s="122">
        <v>22310</v>
      </c>
      <c r="AK1275">
        <v>85</v>
      </c>
      <c r="AL1275" s="122">
        <v>3668</v>
      </c>
      <c r="AM1275" s="122">
        <v>3334</v>
      </c>
      <c r="AN1275" s="122">
        <v>2818</v>
      </c>
      <c r="AO1275" s="122">
        <v>1044</v>
      </c>
      <c r="AP1275" s="122">
        <v>621</v>
      </c>
      <c r="AQ1275">
        <v>230</v>
      </c>
      <c r="AR1275" s="122">
        <v>4145</v>
      </c>
      <c r="AS1275" s="122">
        <v>3768</v>
      </c>
      <c r="AT1275" s="122">
        <v>2960</v>
      </c>
      <c r="AU1275" s="122">
        <v>1096</v>
      </c>
      <c r="AV1275" s="122">
        <v>31782</v>
      </c>
    </row>
    <row r="1276" spans="2:48" hidden="1">
      <c r="B1276" t="s">
        <v>370</v>
      </c>
      <c r="C1276" t="s">
        <v>52</v>
      </c>
      <c r="D1276" t="s">
        <v>407</v>
      </c>
      <c r="E1276" t="s">
        <v>137</v>
      </c>
      <c r="F1276" s="122">
        <v>1</v>
      </c>
      <c r="G1276" s="122">
        <v>200</v>
      </c>
      <c r="H1276" s="122">
        <v>110</v>
      </c>
      <c r="I1276" s="122">
        <v>7698</v>
      </c>
      <c r="J1276" s="122">
        <v>6998</v>
      </c>
      <c r="K1276" s="122">
        <v>90</v>
      </c>
      <c r="L1276" s="122">
        <v>2799</v>
      </c>
      <c r="M1276" s="122">
        <v>2333</v>
      </c>
      <c r="N1276" s="122">
        <v>3770</v>
      </c>
      <c r="O1276" s="122">
        <v>1396</v>
      </c>
      <c r="P1276" s="122">
        <v>2551</v>
      </c>
      <c r="Q1276" s="122">
        <v>945</v>
      </c>
      <c r="R1276" s="122">
        <v>5153</v>
      </c>
      <c r="S1276" s="122">
        <v>1909</v>
      </c>
      <c r="T1276" s="122">
        <v>0</v>
      </c>
      <c r="U1276" s="122">
        <v>0</v>
      </c>
      <c r="V1276" s="122">
        <v>13580</v>
      </c>
      <c r="W1276" s="122">
        <f t="shared" si="38"/>
        <v>13581</v>
      </c>
      <c r="X1276" s="122">
        <f t="shared" si="39"/>
        <v>21971</v>
      </c>
      <c r="AA1276" t="s">
        <v>58</v>
      </c>
      <c r="AB1276" t="s">
        <v>406</v>
      </c>
      <c r="AC1276" t="s">
        <v>580</v>
      </c>
      <c r="AD1276" t="s">
        <v>137</v>
      </c>
      <c r="AE1276" t="s">
        <v>566</v>
      </c>
      <c r="AF1276">
        <v>4</v>
      </c>
      <c r="AG1276" s="122">
        <v>469</v>
      </c>
      <c r="AH1276" s="122">
        <v>1081</v>
      </c>
      <c r="AI1276" s="122">
        <v>79979</v>
      </c>
      <c r="AJ1276" s="122">
        <v>72708</v>
      </c>
      <c r="AK1276">
        <v>85</v>
      </c>
      <c r="AL1276" s="122">
        <v>11732</v>
      </c>
      <c r="AM1276" s="122">
        <v>10666</v>
      </c>
      <c r="AN1276" s="122">
        <v>9854</v>
      </c>
      <c r="AO1276" s="122">
        <v>3650</v>
      </c>
      <c r="AP1276" s="122">
        <v>2484</v>
      </c>
      <c r="AQ1276" s="122">
        <v>920</v>
      </c>
      <c r="AR1276" s="122">
        <v>20854</v>
      </c>
      <c r="AS1276" s="122">
        <v>7724</v>
      </c>
      <c r="AT1276" s="122">
        <v>0</v>
      </c>
      <c r="AU1276" s="122">
        <v>0</v>
      </c>
      <c r="AV1276" s="122">
        <v>95667</v>
      </c>
    </row>
    <row r="1277" spans="2:48" hidden="1">
      <c r="B1277" t="s">
        <v>370</v>
      </c>
      <c r="C1277" t="s">
        <v>52</v>
      </c>
      <c r="D1277" t="s">
        <v>407</v>
      </c>
      <c r="E1277" t="s">
        <v>407</v>
      </c>
      <c r="F1277" s="122">
        <v>126</v>
      </c>
      <c r="G1277" s="122">
        <v>22186</v>
      </c>
      <c r="H1277" s="122">
        <v>14638</v>
      </c>
      <c r="I1277" s="122">
        <v>1424368</v>
      </c>
      <c r="J1277" s="122">
        <v>1294880</v>
      </c>
      <c r="K1277" s="122">
        <v>90</v>
      </c>
      <c r="L1277" s="122">
        <v>257878</v>
      </c>
      <c r="M1277" s="122">
        <v>230634</v>
      </c>
      <c r="N1277" s="122">
        <v>366267</v>
      </c>
      <c r="O1277" s="122">
        <v>135654</v>
      </c>
      <c r="P1277" s="122">
        <v>88769</v>
      </c>
      <c r="Q1277" s="122">
        <v>32877</v>
      </c>
      <c r="R1277" s="122">
        <v>592985</v>
      </c>
      <c r="S1277" s="122">
        <v>539078</v>
      </c>
      <c r="T1277" s="122">
        <v>12674</v>
      </c>
      <c r="U1277" s="122">
        <v>4694</v>
      </c>
      <c r="V1277" s="122">
        <v>2237817</v>
      </c>
      <c r="W1277" s="122">
        <f t="shared" si="38"/>
        <v>2237817</v>
      </c>
      <c r="X1277" s="122">
        <f t="shared" si="39"/>
        <v>2742941</v>
      </c>
      <c r="AA1277" t="s">
        <v>58</v>
      </c>
      <c r="AB1277" t="s">
        <v>406</v>
      </c>
      <c r="AC1277" t="s">
        <v>580</v>
      </c>
      <c r="AD1277" t="s">
        <v>406</v>
      </c>
      <c r="AE1277" t="s">
        <v>137</v>
      </c>
      <c r="AF1277">
        <v>887</v>
      </c>
      <c r="AG1277" s="122">
        <v>130645</v>
      </c>
      <c r="AH1277" s="122">
        <v>232114</v>
      </c>
      <c r="AI1277" s="122">
        <v>21713755</v>
      </c>
      <c r="AJ1277" s="122">
        <v>19739777</v>
      </c>
      <c r="AK1277">
        <v>78</v>
      </c>
      <c r="AL1277" s="122">
        <v>2925505</v>
      </c>
      <c r="AM1277" s="122">
        <v>2659550</v>
      </c>
      <c r="AN1277" s="122">
        <v>2776932</v>
      </c>
      <c r="AO1277" s="122">
        <v>1028493</v>
      </c>
      <c r="AP1277" s="122">
        <v>632632</v>
      </c>
      <c r="AQ1277" s="122">
        <v>234308</v>
      </c>
      <c r="AR1277" s="122">
        <v>4505872</v>
      </c>
      <c r="AS1277" s="122">
        <v>4096247</v>
      </c>
      <c r="AT1277" s="122">
        <v>2387603</v>
      </c>
      <c r="AU1277" s="122">
        <v>884297</v>
      </c>
      <c r="AV1277" s="122">
        <v>28642673</v>
      </c>
    </row>
    <row r="1278" spans="2:48" hidden="1">
      <c r="B1278" t="s">
        <v>370</v>
      </c>
      <c r="C1278" t="s">
        <v>52</v>
      </c>
      <c r="D1278" t="s">
        <v>408</v>
      </c>
      <c r="E1278" t="s">
        <v>408</v>
      </c>
      <c r="F1278" s="122">
        <v>3</v>
      </c>
      <c r="G1278" s="122">
        <v>777</v>
      </c>
      <c r="H1278" s="122">
        <v>367</v>
      </c>
      <c r="I1278" s="122">
        <v>58919</v>
      </c>
      <c r="J1278" s="122">
        <v>53563</v>
      </c>
      <c r="K1278" s="122">
        <v>92</v>
      </c>
      <c r="L1278" s="122">
        <v>12388</v>
      </c>
      <c r="M1278" s="122">
        <v>11262</v>
      </c>
      <c r="N1278" s="122">
        <v>11151</v>
      </c>
      <c r="O1278" s="122">
        <v>4130</v>
      </c>
      <c r="P1278" s="122">
        <v>2784</v>
      </c>
      <c r="Q1278" s="122">
        <v>1031</v>
      </c>
      <c r="R1278" s="122">
        <v>12964</v>
      </c>
      <c r="S1278" s="122">
        <v>11786</v>
      </c>
      <c r="T1278" s="122">
        <v>0</v>
      </c>
      <c r="U1278" s="122">
        <v>0</v>
      </c>
      <c r="V1278" s="122">
        <v>81771</v>
      </c>
      <c r="W1278" s="122">
        <f t="shared" si="38"/>
        <v>81772</v>
      </c>
      <c r="X1278" s="122">
        <f t="shared" si="39"/>
        <v>98206</v>
      </c>
      <c r="AA1278" t="s">
        <v>58</v>
      </c>
      <c r="AB1278" t="s">
        <v>406</v>
      </c>
      <c r="AC1278" t="s">
        <v>580</v>
      </c>
      <c r="AD1278" t="s">
        <v>406</v>
      </c>
      <c r="AE1278" t="s">
        <v>566</v>
      </c>
      <c r="AF1278">
        <v>581</v>
      </c>
      <c r="AG1278" s="122">
        <v>92126</v>
      </c>
      <c r="AH1278" s="122">
        <v>151158</v>
      </c>
      <c r="AI1278" s="122">
        <v>16027389</v>
      </c>
      <c r="AJ1278" s="122">
        <v>14570354</v>
      </c>
      <c r="AK1278">
        <v>80</v>
      </c>
      <c r="AL1278" s="122">
        <v>2204861</v>
      </c>
      <c r="AM1278" s="122">
        <v>2004419</v>
      </c>
      <c r="AN1278" s="122">
        <v>1958965</v>
      </c>
      <c r="AO1278" s="122">
        <v>725543</v>
      </c>
      <c r="AP1278" s="122">
        <v>418968</v>
      </c>
      <c r="AQ1278" s="122">
        <v>155173</v>
      </c>
      <c r="AR1278" s="122">
        <v>3887378</v>
      </c>
      <c r="AS1278" s="122">
        <v>3533980</v>
      </c>
      <c r="AT1278" s="122">
        <v>0</v>
      </c>
      <c r="AU1278" s="122">
        <v>0</v>
      </c>
      <c r="AV1278" s="122">
        <v>20989468</v>
      </c>
    </row>
    <row r="1279" spans="2:48" hidden="1">
      <c r="B1279" t="s">
        <v>370</v>
      </c>
      <c r="C1279" t="s">
        <v>54</v>
      </c>
      <c r="D1279" t="s">
        <v>405</v>
      </c>
      <c r="E1279" t="s">
        <v>405</v>
      </c>
      <c r="F1279" s="122">
        <v>26</v>
      </c>
      <c r="G1279" s="122">
        <v>4678</v>
      </c>
      <c r="H1279" s="122">
        <v>3665</v>
      </c>
      <c r="I1279" s="122">
        <v>429946</v>
      </c>
      <c r="J1279" s="122">
        <v>390860</v>
      </c>
      <c r="K1279" s="122">
        <v>90</v>
      </c>
      <c r="L1279" s="122">
        <v>87890</v>
      </c>
      <c r="M1279" s="122">
        <v>78977</v>
      </c>
      <c r="N1279" s="122">
        <v>92336</v>
      </c>
      <c r="O1279" s="122">
        <v>34199</v>
      </c>
      <c r="P1279" s="122">
        <v>15569</v>
      </c>
      <c r="Q1279" s="122">
        <v>5766</v>
      </c>
      <c r="R1279" s="122">
        <v>121660</v>
      </c>
      <c r="S1279" s="122">
        <v>110600</v>
      </c>
      <c r="T1279" s="122">
        <v>11148</v>
      </c>
      <c r="U1279" s="122">
        <v>4129</v>
      </c>
      <c r="V1279" s="122">
        <v>624531</v>
      </c>
      <c r="W1279" s="122">
        <f t="shared" si="38"/>
        <v>624531</v>
      </c>
      <c r="X1279" s="122">
        <f t="shared" si="39"/>
        <v>758549</v>
      </c>
      <c r="AA1279" t="s">
        <v>58</v>
      </c>
      <c r="AB1279" t="s">
        <v>406</v>
      </c>
      <c r="AC1279" t="s">
        <v>580</v>
      </c>
      <c r="AD1279" t="s">
        <v>427</v>
      </c>
      <c r="AE1279" t="s">
        <v>137</v>
      </c>
      <c r="AF1279">
        <v>4</v>
      </c>
      <c r="AG1279">
        <v>546</v>
      </c>
      <c r="AH1279" s="122">
        <v>1097</v>
      </c>
      <c r="AI1279" s="122">
        <v>84712</v>
      </c>
      <c r="AJ1279" s="122">
        <v>77011</v>
      </c>
      <c r="AK1279">
        <v>80</v>
      </c>
      <c r="AL1279" s="122">
        <v>21093</v>
      </c>
      <c r="AM1279" s="122">
        <v>19175</v>
      </c>
      <c r="AN1279" s="122">
        <v>12461</v>
      </c>
      <c r="AO1279" s="122">
        <v>4615</v>
      </c>
      <c r="AP1279" s="122">
        <v>2484</v>
      </c>
      <c r="AQ1279">
        <v>920</v>
      </c>
      <c r="AR1279" s="122">
        <v>19868</v>
      </c>
      <c r="AS1279" s="122">
        <v>18062</v>
      </c>
      <c r="AT1279" s="122">
        <v>8746</v>
      </c>
      <c r="AU1279" s="122">
        <v>3239</v>
      </c>
      <c r="AV1279" s="122">
        <v>123023</v>
      </c>
    </row>
    <row r="1280" spans="2:48" hidden="1">
      <c r="B1280" t="s">
        <v>370</v>
      </c>
      <c r="C1280" t="s">
        <v>54</v>
      </c>
      <c r="D1280" t="s">
        <v>405</v>
      </c>
      <c r="E1280" t="s">
        <v>407</v>
      </c>
      <c r="F1280" s="122">
        <v>1</v>
      </c>
      <c r="G1280" s="122">
        <v>254</v>
      </c>
      <c r="H1280" s="122">
        <v>144</v>
      </c>
      <c r="I1280" s="122">
        <v>20326</v>
      </c>
      <c r="J1280" s="122">
        <v>18478</v>
      </c>
      <c r="K1280" s="122">
        <v>91</v>
      </c>
      <c r="L1280" s="122">
        <v>6813</v>
      </c>
      <c r="M1280" s="122">
        <v>6194</v>
      </c>
      <c r="N1280" s="122">
        <v>3099</v>
      </c>
      <c r="O1280" s="122">
        <v>1148</v>
      </c>
      <c r="P1280" s="122">
        <v>473</v>
      </c>
      <c r="Q1280" s="122">
        <v>175</v>
      </c>
      <c r="R1280" s="122">
        <v>5853</v>
      </c>
      <c r="S1280" s="122">
        <v>5321</v>
      </c>
      <c r="T1280" s="122">
        <v>0</v>
      </c>
      <c r="U1280" s="122">
        <v>0</v>
      </c>
      <c r="V1280" s="122">
        <v>31315</v>
      </c>
      <c r="W1280" s="122">
        <f t="shared" si="38"/>
        <v>31316</v>
      </c>
      <c r="X1280" s="122">
        <f t="shared" si="39"/>
        <v>36564</v>
      </c>
      <c r="AA1280" t="s">
        <v>58</v>
      </c>
      <c r="AB1280" t="s">
        <v>406</v>
      </c>
      <c r="AC1280" t="s">
        <v>580</v>
      </c>
      <c r="AD1280" t="s">
        <v>407</v>
      </c>
      <c r="AE1280" t="s">
        <v>137</v>
      </c>
      <c r="AF1280">
        <v>2</v>
      </c>
      <c r="AG1280">
        <v>258</v>
      </c>
      <c r="AH1280">
        <v>541</v>
      </c>
      <c r="AI1280" s="122">
        <v>41824</v>
      </c>
      <c r="AJ1280" s="122">
        <v>38022</v>
      </c>
      <c r="AK1280">
        <v>74</v>
      </c>
      <c r="AL1280" s="122">
        <v>4560</v>
      </c>
      <c r="AM1280" s="122">
        <v>4145</v>
      </c>
      <c r="AN1280" s="122">
        <v>6521</v>
      </c>
      <c r="AO1280" s="122">
        <v>2415</v>
      </c>
      <c r="AP1280" s="122">
        <v>1242</v>
      </c>
      <c r="AQ1280">
        <v>460</v>
      </c>
      <c r="AR1280" s="122">
        <v>11527</v>
      </c>
      <c r="AS1280" s="122">
        <v>10479</v>
      </c>
      <c r="AT1280" s="122">
        <v>8233</v>
      </c>
      <c r="AU1280" s="122">
        <v>3049</v>
      </c>
      <c r="AV1280" s="122">
        <v>58571</v>
      </c>
    </row>
    <row r="1281" spans="2:48" hidden="1">
      <c r="B1281" t="s">
        <v>370</v>
      </c>
      <c r="C1281" t="s">
        <v>54</v>
      </c>
      <c r="D1281" t="s">
        <v>137</v>
      </c>
      <c r="E1281" t="s">
        <v>137</v>
      </c>
      <c r="F1281" s="122">
        <v>23</v>
      </c>
      <c r="G1281" s="122">
        <v>6471</v>
      </c>
      <c r="H1281" s="122">
        <v>3151</v>
      </c>
      <c r="I1281" s="122">
        <v>466639</v>
      </c>
      <c r="J1281" s="122">
        <v>172829</v>
      </c>
      <c r="K1281" s="122">
        <v>295</v>
      </c>
      <c r="L1281" s="122">
        <v>133337</v>
      </c>
      <c r="M1281" s="122">
        <v>118519</v>
      </c>
      <c r="N1281" s="122">
        <v>137984</v>
      </c>
      <c r="O1281" s="122">
        <v>51105</v>
      </c>
      <c r="P1281" s="122">
        <v>25806</v>
      </c>
      <c r="Q1281" s="122">
        <v>9558</v>
      </c>
      <c r="R1281" s="122">
        <v>219145</v>
      </c>
      <c r="S1281" s="122">
        <v>81165</v>
      </c>
      <c r="T1281" s="122">
        <v>0</v>
      </c>
      <c r="U1281" s="122">
        <v>0</v>
      </c>
      <c r="V1281" s="122">
        <v>433176</v>
      </c>
      <c r="W1281" s="122">
        <f t="shared" si="38"/>
        <v>433176</v>
      </c>
      <c r="X1281" s="122">
        <f t="shared" si="39"/>
        <v>982911</v>
      </c>
      <c r="AA1281" t="s">
        <v>58</v>
      </c>
      <c r="AB1281" t="s">
        <v>406</v>
      </c>
      <c r="AC1281" t="s">
        <v>580</v>
      </c>
      <c r="AD1281" t="s">
        <v>579</v>
      </c>
      <c r="AE1281" t="s">
        <v>566</v>
      </c>
      <c r="AF1281">
        <v>1</v>
      </c>
      <c r="AG1281">
        <v>108</v>
      </c>
      <c r="AH1281">
        <v>295</v>
      </c>
      <c r="AI1281" s="122">
        <v>19211</v>
      </c>
      <c r="AJ1281" s="122">
        <v>17464</v>
      </c>
      <c r="AK1281">
        <v>70</v>
      </c>
      <c r="AL1281" s="122">
        <v>2366</v>
      </c>
      <c r="AM1281" s="122">
        <v>2151</v>
      </c>
      <c r="AN1281" s="122">
        <v>2302</v>
      </c>
      <c r="AO1281" s="122">
        <v>853</v>
      </c>
      <c r="AP1281" s="122">
        <v>621</v>
      </c>
      <c r="AQ1281">
        <v>230</v>
      </c>
      <c r="AR1281" s="122">
        <v>7321</v>
      </c>
      <c r="AS1281" s="122">
        <v>6101</v>
      </c>
      <c r="AT1281" s="122">
        <v>0</v>
      </c>
      <c r="AU1281" s="122">
        <v>0</v>
      </c>
      <c r="AV1281" s="122">
        <v>26798</v>
      </c>
    </row>
    <row r="1282" spans="2:48" hidden="1">
      <c r="B1282" t="s">
        <v>370</v>
      </c>
      <c r="C1282" t="s">
        <v>54</v>
      </c>
      <c r="D1282" t="s">
        <v>137</v>
      </c>
      <c r="E1282" t="s">
        <v>406</v>
      </c>
      <c r="F1282" s="122">
        <v>1</v>
      </c>
      <c r="G1282" s="122">
        <v>217</v>
      </c>
      <c r="H1282" s="122">
        <v>136</v>
      </c>
      <c r="I1282" s="122">
        <v>14656</v>
      </c>
      <c r="J1282" s="122">
        <v>5428</v>
      </c>
      <c r="K1282" s="122">
        <v>320</v>
      </c>
      <c r="L1282" s="122">
        <v>1981</v>
      </c>
      <c r="M1282" s="122">
        <v>1801</v>
      </c>
      <c r="N1282" s="122">
        <v>4251</v>
      </c>
      <c r="O1282" s="122">
        <v>1574</v>
      </c>
      <c r="P1282" s="122">
        <v>351</v>
      </c>
      <c r="Q1282" s="122">
        <v>130</v>
      </c>
      <c r="R1282" s="122">
        <v>4648</v>
      </c>
      <c r="S1282" s="122">
        <v>4226</v>
      </c>
      <c r="T1282" s="122">
        <v>3671</v>
      </c>
      <c r="U1282" s="122">
        <v>1360</v>
      </c>
      <c r="V1282" s="122">
        <v>14519</v>
      </c>
      <c r="W1282" s="122">
        <f t="shared" si="38"/>
        <v>14519</v>
      </c>
      <c r="X1282" s="122">
        <f t="shared" si="39"/>
        <v>29558</v>
      </c>
      <c r="AA1282" t="s">
        <v>58</v>
      </c>
      <c r="AB1282" t="s">
        <v>406</v>
      </c>
      <c r="AC1282" t="s">
        <v>580</v>
      </c>
      <c r="AD1282" t="s">
        <v>428</v>
      </c>
      <c r="AE1282" t="s">
        <v>137</v>
      </c>
      <c r="AF1282">
        <v>2</v>
      </c>
      <c r="AG1282">
        <v>288</v>
      </c>
      <c r="AH1282">
        <v>483</v>
      </c>
      <c r="AI1282" s="122">
        <v>42229</v>
      </c>
      <c r="AJ1282" s="122">
        <v>38390</v>
      </c>
      <c r="AK1282">
        <v>84</v>
      </c>
      <c r="AL1282" s="122">
        <v>8003</v>
      </c>
      <c r="AM1282" s="122">
        <v>7275</v>
      </c>
      <c r="AN1282" s="122">
        <v>3511</v>
      </c>
      <c r="AO1282" s="122">
        <v>1301</v>
      </c>
      <c r="AP1282" s="122">
        <v>1242</v>
      </c>
      <c r="AQ1282">
        <v>460</v>
      </c>
      <c r="AR1282" s="122">
        <v>8155</v>
      </c>
      <c r="AS1282" s="122">
        <v>7414</v>
      </c>
      <c r="AT1282" s="122">
        <v>6443</v>
      </c>
      <c r="AU1282" s="122">
        <v>2386</v>
      </c>
      <c r="AV1282" s="122">
        <v>57227</v>
      </c>
    </row>
    <row r="1283" spans="2:48" hidden="1">
      <c r="B1283" t="s">
        <v>370</v>
      </c>
      <c r="C1283" t="s">
        <v>54</v>
      </c>
      <c r="D1283" t="s">
        <v>406</v>
      </c>
      <c r="E1283" t="s">
        <v>137</v>
      </c>
      <c r="F1283" s="122">
        <v>2</v>
      </c>
      <c r="G1283" s="122">
        <v>403</v>
      </c>
      <c r="H1283" s="122">
        <v>284</v>
      </c>
      <c r="I1283" s="122">
        <v>36159</v>
      </c>
      <c r="J1283" s="122">
        <v>32872</v>
      </c>
      <c r="K1283" s="122">
        <v>93</v>
      </c>
      <c r="L1283" s="122">
        <v>6195</v>
      </c>
      <c r="M1283" s="122">
        <v>5632</v>
      </c>
      <c r="N1283" s="122">
        <v>6664</v>
      </c>
      <c r="O1283" s="122">
        <v>2468</v>
      </c>
      <c r="P1283" s="122">
        <v>1242</v>
      </c>
      <c r="Q1283" s="122">
        <v>460</v>
      </c>
      <c r="R1283" s="122">
        <v>6394</v>
      </c>
      <c r="S1283" s="122">
        <v>2368</v>
      </c>
      <c r="T1283" s="122">
        <v>0</v>
      </c>
      <c r="U1283" s="122">
        <v>0</v>
      </c>
      <c r="V1283" s="122">
        <v>43800</v>
      </c>
      <c r="W1283" s="122">
        <f t="shared" si="38"/>
        <v>43800</v>
      </c>
      <c r="X1283" s="122">
        <f t="shared" si="39"/>
        <v>56654</v>
      </c>
      <c r="AA1283" t="s">
        <v>58</v>
      </c>
      <c r="AB1283" t="s">
        <v>406</v>
      </c>
      <c r="AC1283" t="s">
        <v>580</v>
      </c>
      <c r="AD1283" t="s">
        <v>431</v>
      </c>
      <c r="AE1283" t="s">
        <v>137</v>
      </c>
      <c r="AF1283">
        <v>1</v>
      </c>
      <c r="AG1283">
        <v>124</v>
      </c>
      <c r="AH1283" s="122">
        <v>282</v>
      </c>
      <c r="AI1283" s="122">
        <v>17865</v>
      </c>
      <c r="AJ1283" s="122">
        <v>16241</v>
      </c>
      <c r="AK1283">
        <v>86</v>
      </c>
      <c r="AL1283" s="122">
        <v>5373</v>
      </c>
      <c r="AM1283" s="122">
        <v>4884</v>
      </c>
      <c r="AN1283" s="122">
        <v>3022</v>
      </c>
      <c r="AO1283" s="122">
        <v>1119</v>
      </c>
      <c r="AP1283" s="122">
        <v>621</v>
      </c>
      <c r="AQ1283" s="122">
        <v>230</v>
      </c>
      <c r="AR1283" s="122">
        <v>4606</v>
      </c>
      <c r="AS1283" s="122">
        <v>4187</v>
      </c>
      <c r="AT1283" s="122">
        <v>3435</v>
      </c>
      <c r="AU1283" s="122">
        <v>1272</v>
      </c>
      <c r="AV1283" s="122">
        <v>27934</v>
      </c>
    </row>
    <row r="1284" spans="2:48" hidden="1">
      <c r="B1284" t="s">
        <v>370</v>
      </c>
      <c r="C1284" t="s">
        <v>54</v>
      </c>
      <c r="D1284" t="s">
        <v>406</v>
      </c>
      <c r="E1284" t="s">
        <v>406</v>
      </c>
      <c r="F1284" s="122">
        <v>542</v>
      </c>
      <c r="G1284" s="122">
        <v>113956</v>
      </c>
      <c r="H1284" s="122">
        <v>75889</v>
      </c>
      <c r="I1284" s="122">
        <v>9866959</v>
      </c>
      <c r="J1284" s="122">
        <v>8969962</v>
      </c>
      <c r="K1284" s="122">
        <v>90</v>
      </c>
      <c r="L1284" s="122">
        <v>1956548</v>
      </c>
      <c r="M1284" s="122">
        <v>1748096</v>
      </c>
      <c r="N1284" s="122">
        <v>2300598</v>
      </c>
      <c r="O1284" s="122">
        <v>852073</v>
      </c>
      <c r="P1284" s="122">
        <v>402678</v>
      </c>
      <c r="Q1284" s="122">
        <v>149140</v>
      </c>
      <c r="R1284" s="122">
        <v>2992663</v>
      </c>
      <c r="S1284" s="122">
        <v>2720603</v>
      </c>
      <c r="T1284" s="122">
        <v>230263</v>
      </c>
      <c r="U1284" s="122">
        <v>85282</v>
      </c>
      <c r="V1284" s="122">
        <v>14525157</v>
      </c>
      <c r="W1284" s="122">
        <f t="shared" si="38"/>
        <v>14525156</v>
      </c>
      <c r="X1284" s="122">
        <f t="shared" si="39"/>
        <v>17749709</v>
      </c>
      <c r="AA1284" t="s">
        <v>58</v>
      </c>
      <c r="AB1284" t="s">
        <v>406</v>
      </c>
      <c r="AC1284" t="s">
        <v>580</v>
      </c>
      <c r="AD1284" t="s">
        <v>426</v>
      </c>
      <c r="AE1284" t="s">
        <v>137</v>
      </c>
      <c r="AF1284">
        <v>8</v>
      </c>
      <c r="AG1284">
        <v>937</v>
      </c>
      <c r="AH1284" s="122">
        <v>2158</v>
      </c>
      <c r="AI1284" s="122">
        <v>171743</v>
      </c>
      <c r="AJ1284" s="122">
        <v>156130</v>
      </c>
      <c r="AK1284">
        <v>77</v>
      </c>
      <c r="AL1284" s="122">
        <v>31842</v>
      </c>
      <c r="AM1284" s="122">
        <v>28947</v>
      </c>
      <c r="AN1284" s="122">
        <v>23875</v>
      </c>
      <c r="AO1284" s="122">
        <v>8842</v>
      </c>
      <c r="AP1284" s="122">
        <v>4968</v>
      </c>
      <c r="AQ1284" s="122">
        <v>1840</v>
      </c>
      <c r="AR1284" s="122">
        <v>37777</v>
      </c>
      <c r="AS1284" s="122">
        <v>34343</v>
      </c>
      <c r="AT1284" s="122">
        <v>20667</v>
      </c>
      <c r="AU1284" s="122">
        <v>7654</v>
      </c>
      <c r="AV1284" s="122">
        <v>237757</v>
      </c>
    </row>
    <row r="1285" spans="2:48" hidden="1">
      <c r="B1285" t="s">
        <v>370</v>
      </c>
      <c r="C1285" t="s">
        <v>54</v>
      </c>
      <c r="D1285" t="s">
        <v>406</v>
      </c>
      <c r="E1285" t="s">
        <v>427</v>
      </c>
      <c r="F1285" s="122">
        <v>1</v>
      </c>
      <c r="G1285" s="122">
        <v>343</v>
      </c>
      <c r="H1285" s="122">
        <v>146</v>
      </c>
      <c r="I1285" s="122">
        <v>29888</v>
      </c>
      <c r="J1285" s="122">
        <v>27170</v>
      </c>
      <c r="K1285" s="122">
        <v>79</v>
      </c>
      <c r="L1285" s="122">
        <v>4372</v>
      </c>
      <c r="M1285" s="122">
        <v>3975</v>
      </c>
      <c r="N1285" s="122">
        <v>6804</v>
      </c>
      <c r="O1285" s="122">
        <v>2520</v>
      </c>
      <c r="P1285" s="122">
        <v>621</v>
      </c>
      <c r="Q1285" s="122">
        <v>230</v>
      </c>
      <c r="R1285" s="122">
        <v>8470</v>
      </c>
      <c r="S1285" s="122">
        <v>7700</v>
      </c>
      <c r="T1285" s="122">
        <v>0</v>
      </c>
      <c r="U1285" s="122">
        <v>0</v>
      </c>
      <c r="V1285" s="122">
        <v>41595</v>
      </c>
      <c r="W1285" s="122">
        <f t="shared" si="38"/>
        <v>41595</v>
      </c>
      <c r="X1285" s="122">
        <f t="shared" si="39"/>
        <v>50155</v>
      </c>
      <c r="AA1285" t="s">
        <v>58</v>
      </c>
      <c r="AB1285" t="s">
        <v>406</v>
      </c>
      <c r="AC1285" t="s">
        <v>580</v>
      </c>
      <c r="AD1285" t="s">
        <v>426</v>
      </c>
      <c r="AE1285" t="s">
        <v>566</v>
      </c>
      <c r="AF1285">
        <v>3</v>
      </c>
      <c r="AG1285">
        <v>355</v>
      </c>
      <c r="AH1285">
        <v>829</v>
      </c>
      <c r="AI1285" s="122">
        <v>53688</v>
      </c>
      <c r="AJ1285" s="122">
        <v>48808</v>
      </c>
      <c r="AK1285">
        <v>83</v>
      </c>
      <c r="AL1285" s="122">
        <v>15715</v>
      </c>
      <c r="AM1285" s="122">
        <v>14287</v>
      </c>
      <c r="AN1285" s="122">
        <v>6918</v>
      </c>
      <c r="AO1285" s="122">
        <v>2562</v>
      </c>
      <c r="AP1285" s="122">
        <v>1863</v>
      </c>
      <c r="AQ1285">
        <v>690</v>
      </c>
      <c r="AR1285" s="122">
        <v>19394</v>
      </c>
      <c r="AS1285" s="122">
        <v>17631</v>
      </c>
      <c r="AT1285">
        <v>0</v>
      </c>
      <c r="AU1285">
        <v>0</v>
      </c>
      <c r="AV1285" s="122">
        <v>83978</v>
      </c>
    </row>
    <row r="1286" spans="2:48" hidden="1">
      <c r="B1286" t="s">
        <v>370</v>
      </c>
      <c r="C1286" t="s">
        <v>54</v>
      </c>
      <c r="D1286" t="s">
        <v>406</v>
      </c>
      <c r="E1286" t="s">
        <v>407</v>
      </c>
      <c r="F1286" s="122">
        <v>1</v>
      </c>
      <c r="G1286" s="122">
        <v>348</v>
      </c>
      <c r="H1286" s="122">
        <v>149</v>
      </c>
      <c r="I1286" s="122">
        <v>29269</v>
      </c>
      <c r="J1286" s="122">
        <v>26608</v>
      </c>
      <c r="K1286" s="122">
        <v>86</v>
      </c>
      <c r="L1286" s="122">
        <v>3677</v>
      </c>
      <c r="M1286" s="122">
        <v>3342</v>
      </c>
      <c r="N1286" s="122">
        <v>8473</v>
      </c>
      <c r="O1286" s="122">
        <v>3138</v>
      </c>
      <c r="P1286" s="122">
        <v>621</v>
      </c>
      <c r="Q1286" s="122">
        <v>230</v>
      </c>
      <c r="R1286" s="122">
        <v>5190</v>
      </c>
      <c r="S1286" s="122">
        <v>4718</v>
      </c>
      <c r="T1286" s="122">
        <v>4565</v>
      </c>
      <c r="U1286" s="122">
        <v>1691</v>
      </c>
      <c r="V1286" s="122">
        <v>39727</v>
      </c>
      <c r="W1286" s="122">
        <f t="shared" si="38"/>
        <v>39727</v>
      </c>
      <c r="X1286" s="122">
        <f t="shared" si="39"/>
        <v>51795</v>
      </c>
      <c r="AA1286" t="s">
        <v>58</v>
      </c>
      <c r="AB1286" t="s">
        <v>406</v>
      </c>
      <c r="AC1286" t="s">
        <v>580</v>
      </c>
      <c r="AD1286" t="s">
        <v>433</v>
      </c>
      <c r="AE1286" t="s">
        <v>566</v>
      </c>
      <c r="AF1286">
        <v>1</v>
      </c>
      <c r="AG1286">
        <v>101</v>
      </c>
      <c r="AH1286">
        <v>239</v>
      </c>
      <c r="AI1286" s="122">
        <v>15313</v>
      </c>
      <c r="AJ1286" s="122">
        <v>13921</v>
      </c>
      <c r="AK1286">
        <v>85</v>
      </c>
      <c r="AL1286" s="122">
        <v>2049</v>
      </c>
      <c r="AM1286" s="122">
        <v>1863</v>
      </c>
      <c r="AN1286" s="122">
        <v>2281</v>
      </c>
      <c r="AO1286">
        <v>845</v>
      </c>
      <c r="AP1286">
        <v>621</v>
      </c>
      <c r="AQ1286">
        <v>230</v>
      </c>
      <c r="AR1286" s="122">
        <v>3885</v>
      </c>
      <c r="AS1286" s="122">
        <v>3532</v>
      </c>
      <c r="AT1286">
        <v>0</v>
      </c>
      <c r="AU1286">
        <v>0</v>
      </c>
      <c r="AV1286" s="122">
        <v>20390</v>
      </c>
    </row>
    <row r="1287" spans="2:48" hidden="1">
      <c r="B1287" t="s">
        <v>370</v>
      </c>
      <c r="C1287" t="s">
        <v>54</v>
      </c>
      <c r="D1287" t="s">
        <v>406</v>
      </c>
      <c r="E1287" t="s">
        <v>426</v>
      </c>
      <c r="F1287" s="122">
        <v>1</v>
      </c>
      <c r="G1287" s="122">
        <v>245</v>
      </c>
      <c r="H1287" s="122">
        <v>141</v>
      </c>
      <c r="I1287" s="122">
        <v>19422</v>
      </c>
      <c r="J1287" s="122">
        <v>17656</v>
      </c>
      <c r="K1287" s="122">
        <v>83</v>
      </c>
      <c r="L1287" s="122">
        <v>5970</v>
      </c>
      <c r="M1287" s="122">
        <v>5428</v>
      </c>
      <c r="N1287" s="122">
        <v>3575</v>
      </c>
      <c r="O1287" s="122">
        <v>1324</v>
      </c>
      <c r="P1287" s="122">
        <v>621</v>
      </c>
      <c r="Q1287" s="122">
        <v>230</v>
      </c>
      <c r="R1287" s="122">
        <v>4916</v>
      </c>
      <c r="S1287" s="122">
        <v>4469</v>
      </c>
      <c r="T1287" s="122">
        <v>0</v>
      </c>
      <c r="U1287" s="122">
        <v>0</v>
      </c>
      <c r="V1287" s="122">
        <v>29107</v>
      </c>
      <c r="W1287" s="122">
        <f t="shared" ref="W1287:W1350" si="40">SUM(ABS(J1287),ABS(M1287),ABS(O1287),ABS(Q1287),ABS(S1287),ABS(U1287))</f>
        <v>29107</v>
      </c>
      <c r="X1287" s="122">
        <f t="shared" ref="X1287:X1350" si="41">SUM(ABS(I1287),ABS(N1287),ABS(P1287),ABS(R1287),ABS(T1287),ABS(L1287))</f>
        <v>34504</v>
      </c>
      <c r="AA1287" t="s">
        <v>58</v>
      </c>
      <c r="AB1287" t="s">
        <v>406</v>
      </c>
      <c r="AC1287" t="s">
        <v>427</v>
      </c>
      <c r="AD1287" t="s">
        <v>578</v>
      </c>
      <c r="AE1287" t="s">
        <v>566</v>
      </c>
      <c r="AF1287">
        <v>1</v>
      </c>
      <c r="AG1287">
        <v>74</v>
      </c>
      <c r="AH1287" s="122">
        <v>290</v>
      </c>
      <c r="AI1287" s="122">
        <v>17735</v>
      </c>
      <c r="AJ1287" s="122">
        <v>16123</v>
      </c>
      <c r="AK1287">
        <v>70</v>
      </c>
      <c r="AL1287" s="122">
        <v>4368</v>
      </c>
      <c r="AM1287" s="122">
        <v>3971</v>
      </c>
      <c r="AN1287" s="122">
        <v>2106</v>
      </c>
      <c r="AO1287" s="122">
        <v>780</v>
      </c>
      <c r="AP1287" s="122">
        <v>621</v>
      </c>
      <c r="AQ1287">
        <v>230</v>
      </c>
      <c r="AR1287" s="122">
        <v>7272</v>
      </c>
      <c r="AS1287" s="122">
        <v>6611</v>
      </c>
      <c r="AT1287" s="122">
        <v>0</v>
      </c>
      <c r="AU1287" s="122">
        <v>0</v>
      </c>
      <c r="AV1287" s="122">
        <v>27715</v>
      </c>
    </row>
    <row r="1288" spans="2:48" hidden="1">
      <c r="B1288" t="s">
        <v>370</v>
      </c>
      <c r="C1288" t="s">
        <v>54</v>
      </c>
      <c r="D1288" t="s">
        <v>407</v>
      </c>
      <c r="E1288" t="s">
        <v>137</v>
      </c>
      <c r="F1288" s="122">
        <v>1</v>
      </c>
      <c r="G1288" s="122">
        <v>189</v>
      </c>
      <c r="H1288" s="122">
        <v>132</v>
      </c>
      <c r="I1288" s="122">
        <v>12156</v>
      </c>
      <c r="J1288" s="122">
        <v>11051</v>
      </c>
      <c r="K1288" s="122">
        <v>90</v>
      </c>
      <c r="L1288" s="122">
        <v>4219</v>
      </c>
      <c r="M1288" s="122">
        <v>3516</v>
      </c>
      <c r="N1288" s="122">
        <v>2304</v>
      </c>
      <c r="O1288" s="122">
        <v>853</v>
      </c>
      <c r="P1288" s="122">
        <v>824</v>
      </c>
      <c r="Q1288" s="122">
        <v>305</v>
      </c>
      <c r="R1288" s="122">
        <v>5494</v>
      </c>
      <c r="S1288" s="122">
        <v>2035</v>
      </c>
      <c r="T1288" s="122">
        <v>0</v>
      </c>
      <c r="U1288" s="122">
        <v>0</v>
      </c>
      <c r="V1288" s="122">
        <v>17760</v>
      </c>
      <c r="W1288" s="122">
        <f t="shared" si="40"/>
        <v>17760</v>
      </c>
      <c r="X1288" s="122">
        <f t="shared" si="41"/>
        <v>24997</v>
      </c>
      <c r="AA1288" t="s">
        <v>58</v>
      </c>
      <c r="AB1288" t="s">
        <v>406</v>
      </c>
      <c r="AC1288" t="s">
        <v>427</v>
      </c>
      <c r="AD1288" t="s">
        <v>425</v>
      </c>
      <c r="AE1288" t="s">
        <v>137</v>
      </c>
      <c r="AF1288">
        <v>4</v>
      </c>
      <c r="AG1288">
        <v>514</v>
      </c>
      <c r="AH1288" s="122">
        <v>1053</v>
      </c>
      <c r="AI1288" s="122">
        <v>85017</v>
      </c>
      <c r="AJ1288" s="122">
        <v>77289</v>
      </c>
      <c r="AK1288">
        <v>71</v>
      </c>
      <c r="AL1288" s="122">
        <v>18155</v>
      </c>
      <c r="AM1288" s="122">
        <v>16505</v>
      </c>
      <c r="AN1288" s="122">
        <v>11044</v>
      </c>
      <c r="AO1288" s="122">
        <v>4090</v>
      </c>
      <c r="AP1288" s="122">
        <v>2484</v>
      </c>
      <c r="AQ1288">
        <v>920</v>
      </c>
      <c r="AR1288" s="122">
        <v>25190</v>
      </c>
      <c r="AS1288" s="122">
        <v>22900</v>
      </c>
      <c r="AT1288" s="122">
        <v>10269</v>
      </c>
      <c r="AU1288" s="122">
        <v>3803</v>
      </c>
      <c r="AV1288" s="122">
        <v>125507</v>
      </c>
    </row>
    <row r="1289" spans="2:48" hidden="1">
      <c r="B1289" t="s">
        <v>370</v>
      </c>
      <c r="C1289" t="s">
        <v>54</v>
      </c>
      <c r="D1289" t="s">
        <v>407</v>
      </c>
      <c r="E1289" t="s">
        <v>407</v>
      </c>
      <c r="F1289" s="122">
        <v>422</v>
      </c>
      <c r="G1289" s="122">
        <v>72677</v>
      </c>
      <c r="H1289" s="122">
        <v>59182</v>
      </c>
      <c r="I1289" s="122">
        <v>5820217</v>
      </c>
      <c r="J1289" s="122">
        <v>5291107</v>
      </c>
      <c r="K1289" s="122">
        <v>88</v>
      </c>
      <c r="L1289" s="122">
        <v>1117284</v>
      </c>
      <c r="M1289" s="122">
        <v>982954</v>
      </c>
      <c r="N1289" s="122">
        <v>1358582</v>
      </c>
      <c r="O1289" s="122">
        <v>503178</v>
      </c>
      <c r="P1289" s="122">
        <v>225283</v>
      </c>
      <c r="Q1289" s="122">
        <v>83438</v>
      </c>
      <c r="R1289" s="122">
        <v>2138886</v>
      </c>
      <c r="S1289" s="122">
        <v>1944442</v>
      </c>
      <c r="T1289" s="122">
        <v>129174</v>
      </c>
      <c r="U1289" s="122">
        <v>47842</v>
      </c>
      <c r="V1289" s="122">
        <v>8852960</v>
      </c>
      <c r="W1289" s="122">
        <f t="shared" si="40"/>
        <v>8852961</v>
      </c>
      <c r="X1289" s="122">
        <f t="shared" si="41"/>
        <v>10789426</v>
      </c>
      <c r="AA1289" t="s">
        <v>58</v>
      </c>
      <c r="AB1289" t="s">
        <v>406</v>
      </c>
      <c r="AC1289" t="s">
        <v>427</v>
      </c>
      <c r="AD1289" t="s">
        <v>425</v>
      </c>
      <c r="AE1289" t="s">
        <v>566</v>
      </c>
      <c r="AF1289">
        <v>3</v>
      </c>
      <c r="AG1289">
        <v>389</v>
      </c>
      <c r="AH1289">
        <v>792</v>
      </c>
      <c r="AI1289" s="122">
        <v>69446</v>
      </c>
      <c r="AJ1289" s="122">
        <v>63133</v>
      </c>
      <c r="AK1289">
        <v>71</v>
      </c>
      <c r="AL1289" s="122">
        <v>13902</v>
      </c>
      <c r="AM1289" s="122">
        <v>12638</v>
      </c>
      <c r="AN1289" s="122">
        <v>10346</v>
      </c>
      <c r="AO1289" s="122">
        <v>3832</v>
      </c>
      <c r="AP1289" s="122">
        <v>1863</v>
      </c>
      <c r="AQ1289">
        <v>690</v>
      </c>
      <c r="AR1289" s="122">
        <v>21446</v>
      </c>
      <c r="AS1289" s="122">
        <v>19496</v>
      </c>
      <c r="AT1289">
        <v>0</v>
      </c>
      <c r="AU1289">
        <v>0</v>
      </c>
      <c r="AV1289" s="122">
        <v>99789</v>
      </c>
    </row>
    <row r="1290" spans="2:48" hidden="1">
      <c r="B1290" t="s">
        <v>370</v>
      </c>
      <c r="C1290" t="s">
        <v>54</v>
      </c>
      <c r="D1290" t="s">
        <v>407</v>
      </c>
      <c r="E1290" t="s">
        <v>426</v>
      </c>
      <c r="F1290" s="122">
        <v>1</v>
      </c>
      <c r="G1290" s="122">
        <v>123</v>
      </c>
      <c r="H1290" s="122">
        <v>127</v>
      </c>
      <c r="I1290" s="122">
        <v>5701</v>
      </c>
      <c r="J1290" s="122">
        <v>5183</v>
      </c>
      <c r="K1290" s="122">
        <v>91</v>
      </c>
      <c r="L1290" s="122">
        <v>1829</v>
      </c>
      <c r="M1290" s="122">
        <v>1662</v>
      </c>
      <c r="N1290" s="122">
        <v>2992</v>
      </c>
      <c r="O1290" s="122">
        <v>1108</v>
      </c>
      <c r="P1290" s="122">
        <v>473</v>
      </c>
      <c r="Q1290" s="122">
        <v>175</v>
      </c>
      <c r="R1290" s="122">
        <v>4570</v>
      </c>
      <c r="S1290" s="122">
        <v>4155</v>
      </c>
      <c r="T1290" s="122">
        <v>0</v>
      </c>
      <c r="U1290" s="122">
        <v>0</v>
      </c>
      <c r="V1290" s="122">
        <v>12283</v>
      </c>
      <c r="W1290" s="122">
        <f t="shared" si="40"/>
        <v>12283</v>
      </c>
      <c r="X1290" s="122">
        <f t="shared" si="41"/>
        <v>15565</v>
      </c>
      <c r="AA1290" t="s">
        <v>58</v>
      </c>
      <c r="AB1290" t="s">
        <v>406</v>
      </c>
      <c r="AC1290" t="s">
        <v>427</v>
      </c>
      <c r="AD1290" t="s">
        <v>405</v>
      </c>
      <c r="AE1290" t="s">
        <v>566</v>
      </c>
      <c r="AF1290">
        <v>1</v>
      </c>
      <c r="AG1290">
        <v>229</v>
      </c>
      <c r="AH1290">
        <v>253</v>
      </c>
      <c r="AI1290" s="122">
        <v>31656</v>
      </c>
      <c r="AJ1290" s="122">
        <v>28778</v>
      </c>
      <c r="AK1290">
        <v>70</v>
      </c>
      <c r="AL1290" s="122">
        <v>11695</v>
      </c>
      <c r="AM1290" s="122">
        <v>10632</v>
      </c>
      <c r="AN1290" s="122">
        <v>5020</v>
      </c>
      <c r="AO1290" s="122">
        <v>1859</v>
      </c>
      <c r="AP1290">
        <v>621</v>
      </c>
      <c r="AQ1290">
        <v>230</v>
      </c>
      <c r="AR1290" s="122">
        <v>8841</v>
      </c>
      <c r="AS1290" s="122">
        <v>8037</v>
      </c>
      <c r="AT1290">
        <v>0</v>
      </c>
      <c r="AU1290">
        <v>0</v>
      </c>
      <c r="AV1290" s="122">
        <v>49536</v>
      </c>
    </row>
    <row r="1291" spans="2:48" hidden="1">
      <c r="B1291" t="s">
        <v>370</v>
      </c>
      <c r="C1291" t="s">
        <v>54</v>
      </c>
      <c r="D1291" t="s">
        <v>433</v>
      </c>
      <c r="E1291" t="s">
        <v>137</v>
      </c>
      <c r="F1291" s="122">
        <v>1</v>
      </c>
      <c r="G1291" s="122">
        <v>164</v>
      </c>
      <c r="H1291" s="122">
        <v>146</v>
      </c>
      <c r="I1291" s="122">
        <v>12924</v>
      </c>
      <c r="J1291" s="122">
        <v>11749</v>
      </c>
      <c r="K1291" s="122">
        <v>79</v>
      </c>
      <c r="L1291" s="122">
        <v>0</v>
      </c>
      <c r="M1291" s="122">
        <v>0</v>
      </c>
      <c r="N1291" s="122">
        <v>1995</v>
      </c>
      <c r="O1291" s="122">
        <v>739</v>
      </c>
      <c r="P1291" s="122">
        <v>1354</v>
      </c>
      <c r="Q1291" s="122">
        <v>501</v>
      </c>
      <c r="R1291" s="122">
        <v>7571</v>
      </c>
      <c r="S1291" s="122">
        <v>2804</v>
      </c>
      <c r="T1291" s="122">
        <v>0</v>
      </c>
      <c r="U1291" s="122">
        <v>0</v>
      </c>
      <c r="V1291" s="122">
        <v>15794</v>
      </c>
      <c r="W1291" s="122">
        <f t="shared" si="40"/>
        <v>15793</v>
      </c>
      <c r="X1291" s="122">
        <f t="shared" si="41"/>
        <v>23844</v>
      </c>
      <c r="AA1291" t="s">
        <v>58</v>
      </c>
      <c r="AB1291" t="s">
        <v>406</v>
      </c>
      <c r="AC1291" t="s">
        <v>427</v>
      </c>
      <c r="AD1291" t="s">
        <v>137</v>
      </c>
      <c r="AE1291" t="s">
        <v>137</v>
      </c>
      <c r="AF1291">
        <v>1</v>
      </c>
      <c r="AG1291" s="122">
        <v>137</v>
      </c>
      <c r="AH1291" s="122">
        <v>245</v>
      </c>
      <c r="AI1291" s="122">
        <v>22282</v>
      </c>
      <c r="AJ1291" s="122">
        <v>20256</v>
      </c>
      <c r="AK1291">
        <v>85</v>
      </c>
      <c r="AL1291" s="122">
        <v>20029</v>
      </c>
      <c r="AM1291" s="122">
        <v>18208</v>
      </c>
      <c r="AN1291" s="122">
        <v>6375</v>
      </c>
      <c r="AO1291" s="122">
        <v>2361</v>
      </c>
      <c r="AP1291" s="122">
        <v>621</v>
      </c>
      <c r="AQ1291" s="122">
        <v>230</v>
      </c>
      <c r="AR1291" s="122">
        <v>14747</v>
      </c>
      <c r="AS1291" s="122">
        <v>5462</v>
      </c>
      <c r="AT1291">
        <v>0</v>
      </c>
      <c r="AU1291">
        <v>0</v>
      </c>
      <c r="AV1291" s="122">
        <v>46517</v>
      </c>
    </row>
    <row r="1292" spans="2:48" hidden="1">
      <c r="B1292" t="s">
        <v>370</v>
      </c>
      <c r="C1292" t="s">
        <v>54</v>
      </c>
      <c r="D1292" t="s">
        <v>408</v>
      </c>
      <c r="E1292" t="s">
        <v>408</v>
      </c>
      <c r="F1292" s="122">
        <v>10</v>
      </c>
      <c r="G1292" s="122">
        <v>2603</v>
      </c>
      <c r="H1292" s="122">
        <v>1413</v>
      </c>
      <c r="I1292" s="122">
        <v>254846</v>
      </c>
      <c r="J1292" s="122">
        <v>231678</v>
      </c>
      <c r="K1292" s="122">
        <v>79</v>
      </c>
      <c r="L1292" s="122">
        <v>42032</v>
      </c>
      <c r="M1292" s="122">
        <v>37778</v>
      </c>
      <c r="N1292" s="122">
        <v>47240</v>
      </c>
      <c r="O1292" s="122">
        <v>17496</v>
      </c>
      <c r="P1292" s="122">
        <v>7619</v>
      </c>
      <c r="Q1292" s="122">
        <v>2822</v>
      </c>
      <c r="R1292" s="122">
        <v>61532</v>
      </c>
      <c r="S1292" s="122">
        <v>55938</v>
      </c>
      <c r="T1292" s="122">
        <v>0</v>
      </c>
      <c r="U1292" s="122">
        <v>0</v>
      </c>
      <c r="V1292" s="122">
        <v>345712</v>
      </c>
      <c r="W1292" s="122">
        <f t="shared" si="40"/>
        <v>345712</v>
      </c>
      <c r="X1292" s="122">
        <f t="shared" si="41"/>
        <v>413269</v>
      </c>
      <c r="AA1292" t="s">
        <v>58</v>
      </c>
      <c r="AB1292" t="s">
        <v>406</v>
      </c>
      <c r="AC1292" t="s">
        <v>427</v>
      </c>
      <c r="AD1292" t="s">
        <v>137</v>
      </c>
      <c r="AE1292" t="s">
        <v>566</v>
      </c>
      <c r="AF1292" s="122">
        <v>24</v>
      </c>
      <c r="AG1292" s="122">
        <v>3176</v>
      </c>
      <c r="AH1292" s="122">
        <v>6319</v>
      </c>
      <c r="AI1292" s="122">
        <v>437332</v>
      </c>
      <c r="AJ1292" s="122">
        <v>397574</v>
      </c>
      <c r="AK1292">
        <v>81</v>
      </c>
      <c r="AL1292" s="122">
        <v>108834</v>
      </c>
      <c r="AM1292" s="122">
        <v>98940</v>
      </c>
      <c r="AN1292" s="122">
        <v>68959</v>
      </c>
      <c r="AO1292" s="122">
        <v>25541</v>
      </c>
      <c r="AP1292" s="122">
        <v>14283</v>
      </c>
      <c r="AQ1292" s="122">
        <v>5290</v>
      </c>
      <c r="AR1292" s="122">
        <v>235916</v>
      </c>
      <c r="AS1292" s="122">
        <v>87376</v>
      </c>
      <c r="AT1292" s="122">
        <v>0</v>
      </c>
      <c r="AU1292" s="122">
        <v>0</v>
      </c>
      <c r="AV1292" s="122">
        <v>614721</v>
      </c>
    </row>
    <row r="1293" spans="2:48" hidden="1">
      <c r="B1293" t="s">
        <v>370</v>
      </c>
      <c r="C1293" t="s">
        <v>54</v>
      </c>
      <c r="D1293" t="s">
        <v>429</v>
      </c>
      <c r="E1293" t="s">
        <v>429</v>
      </c>
      <c r="F1293" s="122">
        <v>1</v>
      </c>
      <c r="G1293" s="122">
        <v>141</v>
      </c>
      <c r="H1293" s="122">
        <v>140</v>
      </c>
      <c r="I1293" s="122">
        <v>11168</v>
      </c>
      <c r="J1293" s="122">
        <v>10152</v>
      </c>
      <c r="K1293" s="122">
        <v>86</v>
      </c>
      <c r="L1293" s="122">
        <v>1651</v>
      </c>
      <c r="M1293" s="122">
        <v>1501</v>
      </c>
      <c r="N1293" s="122">
        <v>1723</v>
      </c>
      <c r="O1293" s="122">
        <v>638</v>
      </c>
      <c r="P1293" s="122">
        <v>351</v>
      </c>
      <c r="Q1293" s="122">
        <v>130</v>
      </c>
      <c r="R1293" s="122">
        <v>4950</v>
      </c>
      <c r="S1293" s="122">
        <v>4500</v>
      </c>
      <c r="T1293" s="122">
        <v>0</v>
      </c>
      <c r="U1293" s="122">
        <v>0</v>
      </c>
      <c r="V1293" s="122">
        <v>16922</v>
      </c>
      <c r="W1293" s="122">
        <f t="shared" si="40"/>
        <v>16921</v>
      </c>
      <c r="X1293" s="122">
        <f t="shared" si="41"/>
        <v>19843</v>
      </c>
      <c r="AA1293" t="s">
        <v>58</v>
      </c>
      <c r="AB1293" t="s">
        <v>406</v>
      </c>
      <c r="AC1293" t="s">
        <v>427</v>
      </c>
      <c r="AD1293" t="s">
        <v>406</v>
      </c>
      <c r="AE1293" t="s">
        <v>137</v>
      </c>
      <c r="AF1293" s="122">
        <v>3036</v>
      </c>
      <c r="AG1293" s="122">
        <v>391899</v>
      </c>
      <c r="AH1293" s="122">
        <v>792121</v>
      </c>
      <c r="AI1293" s="122">
        <v>59048919</v>
      </c>
      <c r="AJ1293" s="122">
        <v>53680835</v>
      </c>
      <c r="AK1293">
        <v>80</v>
      </c>
      <c r="AL1293" s="122">
        <v>13565959</v>
      </c>
      <c r="AM1293" s="122">
        <v>12332690</v>
      </c>
      <c r="AN1293" s="122">
        <v>8379950</v>
      </c>
      <c r="AO1293" s="122">
        <v>3103685</v>
      </c>
      <c r="AP1293" s="122">
        <v>1921549</v>
      </c>
      <c r="AQ1293" s="122">
        <v>711685</v>
      </c>
      <c r="AR1293" s="122">
        <v>14658187</v>
      </c>
      <c r="AS1293" s="122">
        <v>13325625</v>
      </c>
      <c r="AT1293" s="122">
        <v>7352178</v>
      </c>
      <c r="AU1293" s="122">
        <v>2723029</v>
      </c>
      <c r="AV1293" s="122">
        <v>85877549</v>
      </c>
    </row>
    <row r="1294" spans="2:48" hidden="1">
      <c r="B1294" t="s">
        <v>370</v>
      </c>
      <c r="C1294" t="s">
        <v>56</v>
      </c>
      <c r="F1294" s="122">
        <v>3</v>
      </c>
      <c r="G1294" s="122">
        <v>437</v>
      </c>
      <c r="H1294" s="122">
        <v>513</v>
      </c>
      <c r="I1294" s="122"/>
      <c r="J1294" s="122">
        <v>0</v>
      </c>
      <c r="K1294" s="122"/>
      <c r="L1294" s="122"/>
      <c r="M1294" s="122">
        <v>0</v>
      </c>
      <c r="N1294" s="122">
        <v>9516</v>
      </c>
      <c r="O1294" s="122">
        <v>3524</v>
      </c>
      <c r="P1294" s="122">
        <v>1944</v>
      </c>
      <c r="Q1294" s="122">
        <v>720</v>
      </c>
      <c r="R1294" s="122"/>
      <c r="S1294" s="122">
        <v>0</v>
      </c>
      <c r="T1294" s="122">
        <v>0</v>
      </c>
      <c r="U1294" s="122">
        <v>0</v>
      </c>
      <c r="V1294" s="122">
        <v>4244</v>
      </c>
      <c r="W1294" s="122">
        <f t="shared" si="40"/>
        <v>4244</v>
      </c>
      <c r="X1294" s="122">
        <f t="shared" si="41"/>
        <v>11460</v>
      </c>
      <c r="AA1294" t="s">
        <v>58</v>
      </c>
      <c r="AB1294" t="s">
        <v>406</v>
      </c>
      <c r="AC1294" t="s">
        <v>427</v>
      </c>
      <c r="AD1294" t="s">
        <v>406</v>
      </c>
      <c r="AE1294" t="s">
        <v>566</v>
      </c>
      <c r="AF1294" s="122">
        <v>1965</v>
      </c>
      <c r="AG1294" s="122">
        <v>257938</v>
      </c>
      <c r="AH1294" s="122">
        <v>507973</v>
      </c>
      <c r="AI1294" s="122">
        <v>39584119</v>
      </c>
      <c r="AJ1294" s="122">
        <v>35985563</v>
      </c>
      <c r="AK1294">
        <v>80</v>
      </c>
      <c r="AL1294" s="122">
        <v>9155465</v>
      </c>
      <c r="AM1294" s="122">
        <v>8323150</v>
      </c>
      <c r="AN1294" s="122">
        <v>5314928</v>
      </c>
      <c r="AO1294" s="122">
        <v>1968492</v>
      </c>
      <c r="AP1294" s="122">
        <v>1258098</v>
      </c>
      <c r="AQ1294" s="122">
        <v>465962</v>
      </c>
      <c r="AR1294" s="122">
        <v>12604067</v>
      </c>
      <c r="AS1294" s="122">
        <v>11458243</v>
      </c>
      <c r="AT1294" s="122">
        <v>0</v>
      </c>
      <c r="AU1294" s="122">
        <v>0</v>
      </c>
      <c r="AV1294" s="122">
        <v>58201409</v>
      </c>
    </row>
    <row r="1295" spans="2:48" hidden="1">
      <c r="B1295" t="s">
        <v>370</v>
      </c>
      <c r="C1295" t="s">
        <v>56</v>
      </c>
      <c r="D1295" t="s">
        <v>425</v>
      </c>
      <c r="E1295" t="s">
        <v>425</v>
      </c>
      <c r="F1295" s="122">
        <v>4</v>
      </c>
      <c r="G1295" s="122">
        <v>505</v>
      </c>
      <c r="H1295" s="122">
        <v>698</v>
      </c>
      <c r="I1295" s="122">
        <v>54246</v>
      </c>
      <c r="J1295" s="122">
        <v>49315</v>
      </c>
      <c r="K1295" s="122">
        <v>91</v>
      </c>
      <c r="L1295" s="122">
        <v>6907</v>
      </c>
      <c r="M1295" s="122">
        <v>6279</v>
      </c>
      <c r="N1295" s="122">
        <v>8911</v>
      </c>
      <c r="O1295" s="122">
        <v>3300</v>
      </c>
      <c r="P1295" s="122">
        <v>1890</v>
      </c>
      <c r="Q1295" s="122">
        <v>700</v>
      </c>
      <c r="R1295" s="122">
        <v>16206</v>
      </c>
      <c r="S1295" s="122">
        <v>14733</v>
      </c>
      <c r="T1295" s="122">
        <v>0</v>
      </c>
      <c r="U1295" s="122">
        <v>0</v>
      </c>
      <c r="V1295" s="122">
        <v>74327</v>
      </c>
      <c r="W1295" s="122">
        <f t="shared" si="40"/>
        <v>74327</v>
      </c>
      <c r="X1295" s="122">
        <f t="shared" si="41"/>
        <v>88160</v>
      </c>
      <c r="AA1295" t="s">
        <v>58</v>
      </c>
      <c r="AB1295" t="s">
        <v>406</v>
      </c>
      <c r="AC1295" t="s">
        <v>427</v>
      </c>
      <c r="AD1295" t="s">
        <v>427</v>
      </c>
      <c r="AE1295" t="s">
        <v>137</v>
      </c>
      <c r="AF1295">
        <v>10</v>
      </c>
      <c r="AG1295" s="122">
        <v>1278</v>
      </c>
      <c r="AH1295" s="122">
        <v>2543</v>
      </c>
      <c r="AI1295" s="122">
        <v>190757</v>
      </c>
      <c r="AJ1295" s="122">
        <v>173415</v>
      </c>
      <c r="AK1295">
        <v>78</v>
      </c>
      <c r="AL1295" s="122">
        <v>35528</v>
      </c>
      <c r="AM1295" s="122">
        <v>32298</v>
      </c>
      <c r="AN1295" s="122">
        <v>29051</v>
      </c>
      <c r="AO1295" s="122">
        <v>10760</v>
      </c>
      <c r="AP1295" s="122">
        <v>7936</v>
      </c>
      <c r="AQ1295" s="122">
        <v>2939</v>
      </c>
      <c r="AR1295" s="122">
        <v>59365</v>
      </c>
      <c r="AS1295" s="122">
        <v>53968</v>
      </c>
      <c r="AT1295" s="122">
        <v>24337</v>
      </c>
      <c r="AU1295" s="122">
        <v>9014</v>
      </c>
      <c r="AV1295" s="122">
        <v>282394</v>
      </c>
    </row>
    <row r="1296" spans="2:48" hidden="1">
      <c r="B1296" t="s">
        <v>370</v>
      </c>
      <c r="C1296" t="s">
        <v>56</v>
      </c>
      <c r="D1296" t="s">
        <v>425</v>
      </c>
      <c r="E1296" t="s">
        <v>137</v>
      </c>
      <c r="F1296" s="122">
        <v>1</v>
      </c>
      <c r="G1296" s="122">
        <v>356</v>
      </c>
      <c r="H1296" s="122">
        <v>160</v>
      </c>
      <c r="I1296" s="122">
        <v>28679</v>
      </c>
      <c r="J1296" s="122">
        <v>26072</v>
      </c>
      <c r="K1296" s="122">
        <v>90</v>
      </c>
      <c r="L1296" s="122">
        <v>14371</v>
      </c>
      <c r="M1296" s="122">
        <v>13065</v>
      </c>
      <c r="N1296" s="122">
        <v>8685</v>
      </c>
      <c r="O1296" s="122">
        <v>3217</v>
      </c>
      <c r="P1296" s="122">
        <v>473</v>
      </c>
      <c r="Q1296" s="122">
        <v>175</v>
      </c>
      <c r="R1296" s="122">
        <v>4641</v>
      </c>
      <c r="S1296" s="122">
        <v>1719</v>
      </c>
      <c r="T1296" s="122">
        <v>0</v>
      </c>
      <c r="U1296" s="122">
        <v>0</v>
      </c>
      <c r="V1296" s="122">
        <v>44247</v>
      </c>
      <c r="W1296" s="122">
        <f t="shared" si="40"/>
        <v>44248</v>
      </c>
      <c r="X1296" s="122">
        <f t="shared" si="41"/>
        <v>56849</v>
      </c>
      <c r="AA1296" t="s">
        <v>58</v>
      </c>
      <c r="AB1296" t="s">
        <v>406</v>
      </c>
      <c r="AC1296" t="s">
        <v>427</v>
      </c>
      <c r="AD1296" t="s">
        <v>427</v>
      </c>
      <c r="AE1296" t="s">
        <v>566</v>
      </c>
      <c r="AF1296">
        <v>3</v>
      </c>
      <c r="AG1296">
        <v>439</v>
      </c>
      <c r="AH1296">
        <v>800</v>
      </c>
      <c r="AI1296" s="122">
        <v>75358</v>
      </c>
      <c r="AJ1296" s="122">
        <v>68507</v>
      </c>
      <c r="AK1296">
        <v>84</v>
      </c>
      <c r="AL1296" s="122">
        <v>13246</v>
      </c>
      <c r="AM1296" s="122">
        <v>12042</v>
      </c>
      <c r="AN1296" s="122">
        <v>7120</v>
      </c>
      <c r="AO1296" s="122">
        <v>2637</v>
      </c>
      <c r="AP1296" s="122">
        <v>1863</v>
      </c>
      <c r="AQ1296">
        <v>690</v>
      </c>
      <c r="AR1296" s="122">
        <v>17789</v>
      </c>
      <c r="AS1296" s="122">
        <v>16172</v>
      </c>
      <c r="AT1296" s="122">
        <v>0</v>
      </c>
      <c r="AU1296">
        <v>0</v>
      </c>
      <c r="AV1296" s="122">
        <v>100048</v>
      </c>
    </row>
    <row r="1297" spans="2:48" hidden="1">
      <c r="B1297" t="s">
        <v>370</v>
      </c>
      <c r="C1297" t="s">
        <v>56</v>
      </c>
      <c r="D1297" t="s">
        <v>405</v>
      </c>
      <c r="E1297" t="s">
        <v>425</v>
      </c>
      <c r="F1297" s="122">
        <v>1</v>
      </c>
      <c r="G1297" s="122">
        <v>153</v>
      </c>
      <c r="H1297" s="122">
        <v>178</v>
      </c>
      <c r="I1297" s="122">
        <v>14360</v>
      </c>
      <c r="J1297" s="122">
        <v>13055</v>
      </c>
      <c r="K1297" s="122">
        <v>91</v>
      </c>
      <c r="L1297" s="122">
        <v>4851</v>
      </c>
      <c r="M1297" s="122">
        <v>4410</v>
      </c>
      <c r="N1297" s="122">
        <v>2631</v>
      </c>
      <c r="O1297" s="122">
        <v>974</v>
      </c>
      <c r="P1297" s="122">
        <v>621</v>
      </c>
      <c r="Q1297" s="122">
        <v>230</v>
      </c>
      <c r="R1297" s="122">
        <v>4810</v>
      </c>
      <c r="S1297" s="122">
        <v>4373</v>
      </c>
      <c r="T1297" s="122">
        <v>0</v>
      </c>
      <c r="U1297" s="122">
        <v>0</v>
      </c>
      <c r="V1297" s="122">
        <v>23042</v>
      </c>
      <c r="W1297" s="122">
        <f t="shared" si="40"/>
        <v>23042</v>
      </c>
      <c r="X1297" s="122">
        <f t="shared" si="41"/>
        <v>27273</v>
      </c>
      <c r="AA1297" t="s">
        <v>58</v>
      </c>
      <c r="AB1297" t="s">
        <v>406</v>
      </c>
      <c r="AC1297" t="s">
        <v>427</v>
      </c>
      <c r="AD1297" t="s">
        <v>407</v>
      </c>
      <c r="AE1297" t="s">
        <v>137</v>
      </c>
      <c r="AF1297">
        <v>2</v>
      </c>
      <c r="AG1297">
        <v>159</v>
      </c>
      <c r="AH1297">
        <v>529</v>
      </c>
      <c r="AI1297" s="122">
        <v>20185</v>
      </c>
      <c r="AJ1297" s="122">
        <v>18350</v>
      </c>
      <c r="AK1297">
        <v>86</v>
      </c>
      <c r="AL1297" s="122">
        <v>4749</v>
      </c>
      <c r="AM1297" s="122">
        <v>4317</v>
      </c>
      <c r="AN1297" s="122">
        <v>3090</v>
      </c>
      <c r="AO1297" s="122">
        <v>1144</v>
      </c>
      <c r="AP1297" s="122">
        <v>1242</v>
      </c>
      <c r="AQ1297">
        <v>460</v>
      </c>
      <c r="AR1297" s="122">
        <v>9601</v>
      </c>
      <c r="AS1297" s="122">
        <v>8728</v>
      </c>
      <c r="AT1297" s="122">
        <v>1942</v>
      </c>
      <c r="AU1297">
        <v>719</v>
      </c>
      <c r="AV1297" s="122">
        <v>33719</v>
      </c>
    </row>
    <row r="1298" spans="2:48" hidden="1">
      <c r="B1298" t="s">
        <v>370</v>
      </c>
      <c r="C1298" t="s">
        <v>56</v>
      </c>
      <c r="D1298" t="s">
        <v>405</v>
      </c>
      <c r="E1298" t="s">
        <v>405</v>
      </c>
      <c r="F1298" s="122">
        <v>94</v>
      </c>
      <c r="G1298" s="122">
        <v>14225</v>
      </c>
      <c r="H1298" s="122">
        <v>18151</v>
      </c>
      <c r="I1298" s="122">
        <v>1601091</v>
      </c>
      <c r="J1298" s="122">
        <v>1455537</v>
      </c>
      <c r="K1298" s="122">
        <v>87</v>
      </c>
      <c r="L1298" s="122">
        <v>368562</v>
      </c>
      <c r="M1298" s="122">
        <v>324051</v>
      </c>
      <c r="N1298" s="122">
        <v>305745</v>
      </c>
      <c r="O1298" s="122">
        <v>113239</v>
      </c>
      <c r="P1298" s="122">
        <v>45765</v>
      </c>
      <c r="Q1298" s="122">
        <v>16950</v>
      </c>
      <c r="R1298" s="122">
        <v>457928</v>
      </c>
      <c r="S1298" s="122">
        <v>416299</v>
      </c>
      <c r="T1298" s="122">
        <v>32420</v>
      </c>
      <c r="U1298" s="122">
        <v>12007</v>
      </c>
      <c r="V1298" s="122">
        <v>2338083</v>
      </c>
      <c r="W1298" s="122">
        <f t="shared" si="40"/>
        <v>2338083</v>
      </c>
      <c r="X1298" s="122">
        <f t="shared" si="41"/>
        <v>2811511</v>
      </c>
      <c r="AA1298" t="s">
        <v>58</v>
      </c>
      <c r="AB1298" t="s">
        <v>406</v>
      </c>
      <c r="AC1298" t="s">
        <v>427</v>
      </c>
      <c r="AD1298" t="s">
        <v>407</v>
      </c>
      <c r="AE1298" t="s">
        <v>566</v>
      </c>
      <c r="AF1298">
        <v>2</v>
      </c>
      <c r="AG1298" s="122">
        <v>287</v>
      </c>
      <c r="AH1298" s="122">
        <v>489</v>
      </c>
      <c r="AI1298" s="122">
        <v>50479</v>
      </c>
      <c r="AJ1298" s="122">
        <v>45890</v>
      </c>
      <c r="AK1298">
        <v>85</v>
      </c>
      <c r="AL1298" s="122">
        <v>15439</v>
      </c>
      <c r="AM1298" s="122">
        <v>14035</v>
      </c>
      <c r="AN1298" s="122">
        <v>6416</v>
      </c>
      <c r="AO1298" s="122">
        <v>2376</v>
      </c>
      <c r="AP1298" s="122">
        <v>1242</v>
      </c>
      <c r="AQ1298" s="122">
        <v>460</v>
      </c>
      <c r="AR1298" s="122">
        <v>11794</v>
      </c>
      <c r="AS1298" s="122">
        <v>10722</v>
      </c>
      <c r="AT1298" s="122">
        <v>0</v>
      </c>
      <c r="AU1298" s="122">
        <v>0</v>
      </c>
      <c r="AV1298" s="122">
        <v>73484</v>
      </c>
    </row>
    <row r="1299" spans="2:48" hidden="1">
      <c r="B1299" t="s">
        <v>370</v>
      </c>
      <c r="C1299" t="s">
        <v>56</v>
      </c>
      <c r="D1299" t="s">
        <v>405</v>
      </c>
      <c r="E1299" t="s">
        <v>426</v>
      </c>
      <c r="F1299" s="122">
        <v>1</v>
      </c>
      <c r="G1299" s="122">
        <v>172</v>
      </c>
      <c r="H1299" s="122">
        <v>198</v>
      </c>
      <c r="I1299" s="122">
        <v>26541</v>
      </c>
      <c r="J1299" s="122">
        <v>24128</v>
      </c>
      <c r="K1299" s="122">
        <v>92</v>
      </c>
      <c r="L1299" s="122">
        <v>4527</v>
      </c>
      <c r="M1299" s="122">
        <v>4115</v>
      </c>
      <c r="N1299" s="122">
        <v>6317</v>
      </c>
      <c r="O1299" s="122">
        <v>2340</v>
      </c>
      <c r="P1299" s="122">
        <v>473</v>
      </c>
      <c r="Q1299" s="122">
        <v>175</v>
      </c>
      <c r="R1299" s="122">
        <v>9359</v>
      </c>
      <c r="S1299" s="122">
        <v>8508</v>
      </c>
      <c r="T1299" s="122">
        <v>4005</v>
      </c>
      <c r="U1299" s="122">
        <v>1483</v>
      </c>
      <c r="V1299" s="122">
        <v>40749</v>
      </c>
      <c r="W1299" s="122">
        <f t="shared" si="40"/>
        <v>40749</v>
      </c>
      <c r="X1299" s="122">
        <f t="shared" si="41"/>
        <v>51222</v>
      </c>
      <c r="AA1299" t="s">
        <v>58</v>
      </c>
      <c r="AB1299" t="s">
        <v>406</v>
      </c>
      <c r="AC1299" t="s">
        <v>407</v>
      </c>
      <c r="AD1299" t="s">
        <v>406</v>
      </c>
      <c r="AE1299" t="s">
        <v>137</v>
      </c>
      <c r="AF1299">
        <v>77</v>
      </c>
      <c r="AG1299" s="122">
        <v>12218</v>
      </c>
      <c r="AH1299" s="122">
        <v>20172</v>
      </c>
      <c r="AI1299" s="122">
        <v>1857201</v>
      </c>
      <c r="AJ1299" s="122">
        <v>1688364</v>
      </c>
      <c r="AK1299">
        <v>80</v>
      </c>
      <c r="AL1299" s="122">
        <v>511700</v>
      </c>
      <c r="AM1299" s="122">
        <v>465182</v>
      </c>
      <c r="AN1299" s="122">
        <v>266837</v>
      </c>
      <c r="AO1299" s="122">
        <v>98829</v>
      </c>
      <c r="AP1299" s="122">
        <v>49815</v>
      </c>
      <c r="AQ1299" s="122">
        <v>18450</v>
      </c>
      <c r="AR1299" s="122">
        <v>394581</v>
      </c>
      <c r="AS1299" s="122">
        <v>358710</v>
      </c>
      <c r="AT1299" s="122">
        <v>221628</v>
      </c>
      <c r="AU1299" s="122">
        <v>82085</v>
      </c>
      <c r="AV1299" s="122">
        <v>2711619</v>
      </c>
    </row>
    <row r="1300" spans="2:48" hidden="1">
      <c r="B1300" t="s">
        <v>370</v>
      </c>
      <c r="C1300" t="s">
        <v>56</v>
      </c>
      <c r="D1300" t="s">
        <v>137</v>
      </c>
      <c r="E1300" t="s">
        <v>137</v>
      </c>
      <c r="F1300" s="122">
        <v>16</v>
      </c>
      <c r="G1300" s="122">
        <v>4651</v>
      </c>
      <c r="H1300" s="122">
        <v>2848</v>
      </c>
      <c r="I1300" s="122">
        <v>442696</v>
      </c>
      <c r="J1300" s="122">
        <v>163961</v>
      </c>
      <c r="K1300" s="122">
        <v>232</v>
      </c>
      <c r="L1300" s="122">
        <v>128312</v>
      </c>
      <c r="M1300" s="122">
        <v>113639</v>
      </c>
      <c r="N1300" s="122">
        <v>99791</v>
      </c>
      <c r="O1300" s="122">
        <v>36960</v>
      </c>
      <c r="P1300" s="122">
        <v>17891</v>
      </c>
      <c r="Q1300" s="122">
        <v>6626</v>
      </c>
      <c r="R1300" s="122">
        <v>166216</v>
      </c>
      <c r="S1300" s="122">
        <v>61562</v>
      </c>
      <c r="T1300" s="122">
        <v>0</v>
      </c>
      <c r="U1300" s="122">
        <v>0</v>
      </c>
      <c r="V1300" s="122">
        <v>382748</v>
      </c>
      <c r="W1300" s="122">
        <f t="shared" si="40"/>
        <v>382748</v>
      </c>
      <c r="X1300" s="122">
        <f t="shared" si="41"/>
        <v>854906</v>
      </c>
      <c r="AA1300" t="s">
        <v>58</v>
      </c>
      <c r="AB1300" t="s">
        <v>406</v>
      </c>
      <c r="AC1300" t="s">
        <v>407</v>
      </c>
      <c r="AD1300" t="s">
        <v>406</v>
      </c>
      <c r="AE1300" t="s">
        <v>566</v>
      </c>
      <c r="AF1300">
        <v>62</v>
      </c>
      <c r="AG1300" s="122">
        <v>10154</v>
      </c>
      <c r="AH1300" s="122">
        <v>16062</v>
      </c>
      <c r="AI1300" s="122">
        <v>1554625</v>
      </c>
      <c r="AJ1300" s="122">
        <v>1413296</v>
      </c>
      <c r="AK1300">
        <v>80</v>
      </c>
      <c r="AL1300" s="122">
        <v>462812</v>
      </c>
      <c r="AM1300" s="122">
        <v>420738</v>
      </c>
      <c r="AN1300" s="122">
        <v>224536</v>
      </c>
      <c r="AO1300" s="122">
        <v>83162</v>
      </c>
      <c r="AP1300" s="122">
        <v>37881</v>
      </c>
      <c r="AQ1300" s="122">
        <v>14030</v>
      </c>
      <c r="AR1300" s="122">
        <v>432203</v>
      </c>
      <c r="AS1300" s="122">
        <v>392912</v>
      </c>
      <c r="AT1300" s="122">
        <v>0</v>
      </c>
      <c r="AU1300" s="122">
        <v>0</v>
      </c>
      <c r="AV1300" s="122">
        <v>2324137</v>
      </c>
    </row>
    <row r="1301" spans="2:48" hidden="1">
      <c r="B1301" t="s">
        <v>370</v>
      </c>
      <c r="C1301" t="s">
        <v>56</v>
      </c>
      <c r="D1301" t="s">
        <v>137</v>
      </c>
      <c r="E1301" t="s">
        <v>406</v>
      </c>
      <c r="F1301" s="122">
        <v>1</v>
      </c>
      <c r="G1301" s="122">
        <v>189</v>
      </c>
      <c r="H1301" s="122">
        <v>167</v>
      </c>
      <c r="I1301" s="122">
        <v>16996</v>
      </c>
      <c r="J1301" s="122">
        <v>6295</v>
      </c>
      <c r="K1301" s="122">
        <v>300</v>
      </c>
      <c r="L1301" s="122">
        <v>3847</v>
      </c>
      <c r="M1301" s="122">
        <v>3497</v>
      </c>
      <c r="N1301" s="122">
        <v>2305</v>
      </c>
      <c r="O1301" s="122">
        <v>854</v>
      </c>
      <c r="P1301" s="122">
        <v>2619</v>
      </c>
      <c r="Q1301" s="122">
        <v>970</v>
      </c>
      <c r="R1301" s="122">
        <v>5779</v>
      </c>
      <c r="S1301" s="122">
        <v>5254</v>
      </c>
      <c r="T1301" s="122">
        <v>0</v>
      </c>
      <c r="U1301" s="122">
        <v>0</v>
      </c>
      <c r="V1301" s="122">
        <v>16869</v>
      </c>
      <c r="W1301" s="122">
        <f t="shared" si="40"/>
        <v>16870</v>
      </c>
      <c r="X1301" s="122">
        <f t="shared" si="41"/>
        <v>31546</v>
      </c>
      <c r="AA1301" t="s">
        <v>58</v>
      </c>
      <c r="AB1301" t="s">
        <v>406</v>
      </c>
      <c r="AC1301" t="s">
        <v>579</v>
      </c>
      <c r="AD1301" t="s">
        <v>425</v>
      </c>
      <c r="AE1301" t="s">
        <v>137</v>
      </c>
      <c r="AF1301">
        <v>1</v>
      </c>
      <c r="AG1301" s="122">
        <v>235</v>
      </c>
      <c r="AH1301" s="122">
        <v>260</v>
      </c>
      <c r="AI1301" s="122">
        <v>35591</v>
      </c>
      <c r="AJ1301" s="122">
        <v>32356</v>
      </c>
      <c r="AK1301">
        <v>86</v>
      </c>
      <c r="AL1301" s="122">
        <v>11706</v>
      </c>
      <c r="AM1301" s="122">
        <v>9755</v>
      </c>
      <c r="AN1301" s="122">
        <v>3716</v>
      </c>
      <c r="AO1301" s="122">
        <v>1376</v>
      </c>
      <c r="AP1301" s="122">
        <v>621</v>
      </c>
      <c r="AQ1301" s="122">
        <v>230</v>
      </c>
      <c r="AR1301" s="122">
        <v>5257</v>
      </c>
      <c r="AS1301" s="122">
        <v>4779</v>
      </c>
      <c r="AT1301" s="122">
        <v>4087</v>
      </c>
      <c r="AU1301" s="122">
        <v>1514</v>
      </c>
      <c r="AV1301" s="122">
        <v>50009</v>
      </c>
    </row>
    <row r="1302" spans="2:48" hidden="1">
      <c r="B1302" t="s">
        <v>370</v>
      </c>
      <c r="C1302" t="s">
        <v>56</v>
      </c>
      <c r="D1302" t="s">
        <v>406</v>
      </c>
      <c r="E1302" t="s">
        <v>137</v>
      </c>
      <c r="F1302" s="122">
        <v>7</v>
      </c>
      <c r="G1302" s="122">
        <v>1287</v>
      </c>
      <c r="H1302" s="122">
        <v>1316</v>
      </c>
      <c r="I1302" s="122">
        <v>158161</v>
      </c>
      <c r="J1302" s="122">
        <v>143782</v>
      </c>
      <c r="K1302" s="122">
        <v>86</v>
      </c>
      <c r="L1302" s="122">
        <v>21778</v>
      </c>
      <c r="M1302" s="122">
        <v>19798</v>
      </c>
      <c r="N1302" s="122">
        <v>26851</v>
      </c>
      <c r="O1302" s="122">
        <v>9945</v>
      </c>
      <c r="P1302" s="122">
        <v>4347</v>
      </c>
      <c r="Q1302" s="122">
        <v>1610</v>
      </c>
      <c r="R1302" s="122">
        <v>42150</v>
      </c>
      <c r="S1302" s="122">
        <v>15611</v>
      </c>
      <c r="T1302" s="122">
        <v>0</v>
      </c>
      <c r="U1302" s="122">
        <v>0</v>
      </c>
      <c r="V1302" s="122">
        <v>190746</v>
      </c>
      <c r="W1302" s="122">
        <f t="shared" si="40"/>
        <v>190746</v>
      </c>
      <c r="X1302" s="122">
        <f t="shared" si="41"/>
        <v>253287</v>
      </c>
      <c r="AA1302" t="s">
        <v>58</v>
      </c>
      <c r="AB1302" t="s">
        <v>406</v>
      </c>
      <c r="AC1302" t="s">
        <v>579</v>
      </c>
      <c r="AD1302" t="s">
        <v>137</v>
      </c>
      <c r="AE1302" t="s">
        <v>566</v>
      </c>
      <c r="AF1302" s="122">
        <v>9</v>
      </c>
      <c r="AG1302" s="122">
        <v>1485</v>
      </c>
      <c r="AH1302" s="122">
        <v>2296</v>
      </c>
      <c r="AI1302" s="122">
        <v>204063</v>
      </c>
      <c r="AJ1302" s="122">
        <v>185512</v>
      </c>
      <c r="AK1302">
        <v>78</v>
      </c>
      <c r="AL1302" s="122">
        <v>46788</v>
      </c>
      <c r="AM1302" s="122">
        <v>38990</v>
      </c>
      <c r="AN1302" s="122">
        <v>33809</v>
      </c>
      <c r="AO1302" s="122">
        <v>12522</v>
      </c>
      <c r="AP1302" s="122">
        <v>5238</v>
      </c>
      <c r="AQ1302" s="122">
        <v>1940</v>
      </c>
      <c r="AR1302" s="122">
        <v>87374</v>
      </c>
      <c r="AS1302" s="122">
        <v>32361</v>
      </c>
      <c r="AT1302" s="122">
        <v>0</v>
      </c>
      <c r="AU1302" s="122">
        <v>0</v>
      </c>
      <c r="AV1302" s="122">
        <v>271324</v>
      </c>
    </row>
    <row r="1303" spans="2:48" hidden="1">
      <c r="B1303" t="s">
        <v>370</v>
      </c>
      <c r="C1303" t="s">
        <v>56</v>
      </c>
      <c r="D1303" t="s">
        <v>406</v>
      </c>
      <c r="E1303" t="s">
        <v>406</v>
      </c>
      <c r="F1303" s="122">
        <v>2572</v>
      </c>
      <c r="G1303" s="122">
        <v>450207</v>
      </c>
      <c r="H1303" s="122">
        <v>489828</v>
      </c>
      <c r="I1303" s="122">
        <v>51152504</v>
      </c>
      <c r="J1303" s="122">
        <v>46502276</v>
      </c>
      <c r="K1303" s="122">
        <v>86</v>
      </c>
      <c r="L1303" s="122">
        <v>11378557</v>
      </c>
      <c r="M1303" s="122">
        <v>10098528</v>
      </c>
      <c r="N1303" s="122">
        <v>9386137</v>
      </c>
      <c r="O1303" s="122">
        <v>3476347</v>
      </c>
      <c r="P1303" s="122">
        <v>1714718</v>
      </c>
      <c r="Q1303" s="122">
        <v>635081</v>
      </c>
      <c r="R1303" s="122">
        <v>14151419</v>
      </c>
      <c r="S1303" s="122">
        <v>12864926</v>
      </c>
      <c r="T1303" s="122">
        <v>3070568</v>
      </c>
      <c r="U1303" s="122">
        <v>1137248</v>
      </c>
      <c r="V1303" s="122">
        <v>74714406</v>
      </c>
      <c r="W1303" s="122">
        <f t="shared" si="40"/>
        <v>74714406</v>
      </c>
      <c r="X1303" s="122">
        <f t="shared" si="41"/>
        <v>90853903</v>
      </c>
      <c r="AA1303" t="s">
        <v>58</v>
      </c>
      <c r="AB1303" t="s">
        <v>406</v>
      </c>
      <c r="AC1303" t="s">
        <v>579</v>
      </c>
      <c r="AD1303" t="s">
        <v>406</v>
      </c>
      <c r="AE1303" t="s">
        <v>137</v>
      </c>
      <c r="AF1303" s="122">
        <v>2761</v>
      </c>
      <c r="AG1303" s="122">
        <v>381747</v>
      </c>
      <c r="AH1303" s="122">
        <v>722754</v>
      </c>
      <c r="AI1303" s="122">
        <v>58474770</v>
      </c>
      <c r="AJ1303" s="122">
        <v>53158882</v>
      </c>
      <c r="AK1303">
        <v>79</v>
      </c>
      <c r="AL1303" s="122">
        <v>13899517</v>
      </c>
      <c r="AM1303" s="122">
        <v>11582930</v>
      </c>
      <c r="AN1303" s="122">
        <v>7949579</v>
      </c>
      <c r="AO1303" s="122">
        <v>2944289</v>
      </c>
      <c r="AP1303" s="122">
        <v>1779501</v>
      </c>
      <c r="AQ1303" s="122">
        <v>659074</v>
      </c>
      <c r="AR1303" s="122">
        <v>13209309</v>
      </c>
      <c r="AS1303" s="122">
        <v>12008463</v>
      </c>
      <c r="AT1303" s="122">
        <v>7388269</v>
      </c>
      <c r="AU1303" s="122">
        <v>2736396</v>
      </c>
      <c r="AV1303" s="122">
        <v>83090034</v>
      </c>
    </row>
    <row r="1304" spans="2:48" hidden="1">
      <c r="B1304" t="s">
        <v>370</v>
      </c>
      <c r="C1304" t="s">
        <v>56</v>
      </c>
      <c r="D1304" t="s">
        <v>406</v>
      </c>
      <c r="E1304" t="s">
        <v>428</v>
      </c>
      <c r="F1304" s="122">
        <v>1</v>
      </c>
      <c r="G1304" s="122">
        <v>209</v>
      </c>
      <c r="H1304" s="122">
        <v>173</v>
      </c>
      <c r="I1304" s="122">
        <v>18849</v>
      </c>
      <c r="J1304" s="122">
        <v>17136</v>
      </c>
      <c r="K1304" s="122">
        <v>97</v>
      </c>
      <c r="L1304" s="122">
        <v>6430</v>
      </c>
      <c r="M1304" s="122">
        <v>5845</v>
      </c>
      <c r="N1304" s="122">
        <v>2543</v>
      </c>
      <c r="O1304" s="122">
        <v>942</v>
      </c>
      <c r="P1304" s="122">
        <v>621</v>
      </c>
      <c r="Q1304" s="122">
        <v>230</v>
      </c>
      <c r="R1304" s="122">
        <v>4129</v>
      </c>
      <c r="S1304" s="122">
        <v>3754</v>
      </c>
      <c r="T1304" s="122">
        <v>3513</v>
      </c>
      <c r="U1304" s="122">
        <v>1301</v>
      </c>
      <c r="V1304" s="122">
        <v>29208</v>
      </c>
      <c r="W1304" s="122">
        <f t="shared" si="40"/>
        <v>29208</v>
      </c>
      <c r="X1304" s="122">
        <f t="shared" si="41"/>
        <v>36085</v>
      </c>
      <c r="AA1304" t="s">
        <v>58</v>
      </c>
      <c r="AB1304" t="s">
        <v>406</v>
      </c>
      <c r="AC1304" t="s">
        <v>579</v>
      </c>
      <c r="AD1304" t="s">
        <v>406</v>
      </c>
      <c r="AE1304" t="s">
        <v>566</v>
      </c>
      <c r="AF1304" s="122">
        <v>1550</v>
      </c>
      <c r="AG1304" s="122">
        <v>226041</v>
      </c>
      <c r="AH1304" s="122">
        <v>400909</v>
      </c>
      <c r="AI1304" s="122">
        <v>35186573</v>
      </c>
      <c r="AJ1304" s="122">
        <v>31987793</v>
      </c>
      <c r="AK1304">
        <v>81</v>
      </c>
      <c r="AL1304" s="122">
        <v>8781903</v>
      </c>
      <c r="AM1304" s="122">
        <v>7318252</v>
      </c>
      <c r="AN1304" s="122">
        <v>4602149</v>
      </c>
      <c r="AO1304" s="122">
        <v>1704500</v>
      </c>
      <c r="AP1304" s="122">
        <v>1014347</v>
      </c>
      <c r="AQ1304" s="122">
        <v>375684</v>
      </c>
      <c r="AR1304" s="122">
        <v>9933000</v>
      </c>
      <c r="AS1304" s="122">
        <v>9030000</v>
      </c>
      <c r="AT1304" s="122">
        <v>0</v>
      </c>
      <c r="AU1304" s="122">
        <v>0</v>
      </c>
      <c r="AV1304" s="122">
        <v>50416229</v>
      </c>
    </row>
    <row r="1305" spans="2:48" hidden="1">
      <c r="B1305" t="s">
        <v>370</v>
      </c>
      <c r="C1305" t="s">
        <v>56</v>
      </c>
      <c r="D1305" t="s">
        <v>406</v>
      </c>
      <c r="E1305" t="s">
        <v>426</v>
      </c>
      <c r="F1305" s="122">
        <v>4</v>
      </c>
      <c r="G1305" s="122">
        <v>922</v>
      </c>
      <c r="H1305" s="122">
        <v>797</v>
      </c>
      <c r="I1305" s="122">
        <v>107100</v>
      </c>
      <c r="J1305" s="122">
        <v>97363</v>
      </c>
      <c r="K1305" s="122">
        <v>85</v>
      </c>
      <c r="L1305" s="122">
        <v>30506</v>
      </c>
      <c r="M1305" s="122">
        <v>27732</v>
      </c>
      <c r="N1305" s="122">
        <v>20133</v>
      </c>
      <c r="O1305" s="122">
        <v>7457</v>
      </c>
      <c r="P1305" s="122">
        <v>2484</v>
      </c>
      <c r="Q1305" s="122">
        <v>920</v>
      </c>
      <c r="R1305" s="122">
        <v>24182</v>
      </c>
      <c r="S1305" s="122">
        <v>21984</v>
      </c>
      <c r="T1305" s="122">
        <v>2062</v>
      </c>
      <c r="U1305" s="122">
        <v>764</v>
      </c>
      <c r="V1305" s="122">
        <v>156220</v>
      </c>
      <c r="W1305" s="122">
        <f t="shared" si="40"/>
        <v>156220</v>
      </c>
      <c r="X1305" s="122">
        <f t="shared" si="41"/>
        <v>186467</v>
      </c>
      <c r="AA1305" t="s">
        <v>58</v>
      </c>
      <c r="AB1305" t="s">
        <v>406</v>
      </c>
      <c r="AC1305" t="s">
        <v>579</v>
      </c>
      <c r="AD1305" t="s">
        <v>427</v>
      </c>
      <c r="AE1305" t="s">
        <v>137</v>
      </c>
      <c r="AF1305">
        <v>1</v>
      </c>
      <c r="AG1305">
        <v>125</v>
      </c>
      <c r="AH1305">
        <v>295</v>
      </c>
      <c r="AI1305" s="122">
        <v>20140</v>
      </c>
      <c r="AJ1305" s="122">
        <v>18309</v>
      </c>
      <c r="AK1305">
        <v>86</v>
      </c>
      <c r="AL1305" s="122">
        <v>6608</v>
      </c>
      <c r="AM1305" s="122">
        <v>5506</v>
      </c>
      <c r="AN1305" s="122">
        <v>1526</v>
      </c>
      <c r="AO1305" s="122">
        <v>565</v>
      </c>
      <c r="AP1305" s="122">
        <v>621</v>
      </c>
      <c r="AQ1305">
        <v>230</v>
      </c>
      <c r="AR1305" s="122">
        <v>4621</v>
      </c>
      <c r="AS1305" s="122">
        <v>4201</v>
      </c>
      <c r="AT1305" s="122">
        <v>3450</v>
      </c>
      <c r="AU1305" s="122">
        <v>1278</v>
      </c>
      <c r="AV1305" s="122">
        <v>30089</v>
      </c>
    </row>
    <row r="1306" spans="2:48" hidden="1">
      <c r="B1306" t="s">
        <v>370</v>
      </c>
      <c r="C1306" t="s">
        <v>56</v>
      </c>
      <c r="D1306" t="s">
        <v>427</v>
      </c>
      <c r="E1306" t="s">
        <v>406</v>
      </c>
      <c r="F1306" s="122">
        <v>1</v>
      </c>
      <c r="G1306" s="122">
        <v>230</v>
      </c>
      <c r="H1306" s="122">
        <v>193</v>
      </c>
      <c r="I1306" s="122">
        <v>28766</v>
      </c>
      <c r="J1306" s="122">
        <v>26151</v>
      </c>
      <c r="K1306" s="122">
        <v>86</v>
      </c>
      <c r="L1306" s="122">
        <v>4565</v>
      </c>
      <c r="M1306" s="122">
        <v>4150</v>
      </c>
      <c r="N1306" s="122">
        <v>3861</v>
      </c>
      <c r="O1306" s="122">
        <v>1430</v>
      </c>
      <c r="P1306" s="122">
        <v>972</v>
      </c>
      <c r="Q1306" s="122">
        <v>360</v>
      </c>
      <c r="R1306" s="122">
        <v>6099</v>
      </c>
      <c r="S1306" s="122">
        <v>5545</v>
      </c>
      <c r="T1306" s="122">
        <v>0</v>
      </c>
      <c r="U1306" s="122">
        <v>0</v>
      </c>
      <c r="V1306" s="122">
        <v>37636</v>
      </c>
      <c r="W1306" s="122">
        <f t="shared" si="40"/>
        <v>37636</v>
      </c>
      <c r="X1306" s="122">
        <f t="shared" si="41"/>
        <v>44263</v>
      </c>
      <c r="AA1306" t="s">
        <v>58</v>
      </c>
      <c r="AB1306" t="s">
        <v>406</v>
      </c>
      <c r="AC1306" t="s">
        <v>579</v>
      </c>
      <c r="AD1306" t="s">
        <v>427</v>
      </c>
      <c r="AE1306" t="s">
        <v>566</v>
      </c>
      <c r="AF1306">
        <v>2</v>
      </c>
      <c r="AG1306">
        <v>257</v>
      </c>
      <c r="AH1306">
        <v>587</v>
      </c>
      <c r="AI1306" s="122">
        <v>44024</v>
      </c>
      <c r="AJ1306" s="122">
        <v>40022</v>
      </c>
      <c r="AK1306">
        <v>75</v>
      </c>
      <c r="AL1306" s="122">
        <v>9580</v>
      </c>
      <c r="AM1306" s="122">
        <v>7983</v>
      </c>
      <c r="AN1306" s="122">
        <v>5495</v>
      </c>
      <c r="AO1306" s="122">
        <v>2035</v>
      </c>
      <c r="AP1306" s="122">
        <v>1242</v>
      </c>
      <c r="AQ1306">
        <v>460</v>
      </c>
      <c r="AR1306" s="122">
        <v>14958</v>
      </c>
      <c r="AS1306" s="122">
        <v>13598</v>
      </c>
      <c r="AT1306" s="122">
        <v>0</v>
      </c>
      <c r="AU1306" s="122">
        <v>0</v>
      </c>
      <c r="AV1306" s="122">
        <v>64098</v>
      </c>
    </row>
    <row r="1307" spans="2:48" hidden="1">
      <c r="B1307" t="s">
        <v>370</v>
      </c>
      <c r="C1307" t="s">
        <v>56</v>
      </c>
      <c r="D1307" t="s">
        <v>407</v>
      </c>
      <c r="E1307" t="s">
        <v>405</v>
      </c>
      <c r="F1307" s="122">
        <v>1</v>
      </c>
      <c r="G1307" s="122">
        <v>154</v>
      </c>
      <c r="H1307" s="122">
        <v>220</v>
      </c>
      <c r="I1307" s="122">
        <v>17722</v>
      </c>
      <c r="J1307" s="122">
        <v>16111</v>
      </c>
      <c r="K1307" s="122">
        <v>78</v>
      </c>
      <c r="L1307" s="122">
        <v>5320</v>
      </c>
      <c r="M1307" s="122">
        <v>4434</v>
      </c>
      <c r="N1307" s="122">
        <v>3128</v>
      </c>
      <c r="O1307" s="122">
        <v>1158</v>
      </c>
      <c r="P1307" s="122">
        <v>473</v>
      </c>
      <c r="Q1307" s="122">
        <v>175</v>
      </c>
      <c r="R1307" s="122">
        <v>7114</v>
      </c>
      <c r="S1307" s="122">
        <v>6467</v>
      </c>
      <c r="T1307" s="122">
        <v>0</v>
      </c>
      <c r="U1307" s="122">
        <v>0</v>
      </c>
      <c r="V1307" s="122">
        <v>28346</v>
      </c>
      <c r="W1307" s="122">
        <f t="shared" si="40"/>
        <v>28345</v>
      </c>
      <c r="X1307" s="122">
        <f t="shared" si="41"/>
        <v>33757</v>
      </c>
      <c r="AA1307" t="s">
        <v>58</v>
      </c>
      <c r="AB1307" t="s">
        <v>406</v>
      </c>
      <c r="AC1307" t="s">
        <v>579</v>
      </c>
      <c r="AD1307" t="s">
        <v>407</v>
      </c>
      <c r="AE1307" t="s">
        <v>137</v>
      </c>
      <c r="AF1307">
        <v>3</v>
      </c>
      <c r="AG1307">
        <v>487</v>
      </c>
      <c r="AH1307">
        <v>785</v>
      </c>
      <c r="AI1307" s="122">
        <v>72498</v>
      </c>
      <c r="AJ1307" s="122">
        <v>65907</v>
      </c>
      <c r="AK1307">
        <v>80</v>
      </c>
      <c r="AL1307" s="122">
        <v>18064</v>
      </c>
      <c r="AM1307" s="122">
        <v>15053</v>
      </c>
      <c r="AN1307" s="122">
        <v>8536</v>
      </c>
      <c r="AO1307" s="122">
        <v>3162</v>
      </c>
      <c r="AP1307" s="122">
        <v>1863</v>
      </c>
      <c r="AQ1307">
        <v>690</v>
      </c>
      <c r="AR1307" s="122">
        <v>16882</v>
      </c>
      <c r="AS1307" s="122">
        <v>15347</v>
      </c>
      <c r="AT1307" s="122">
        <v>9714</v>
      </c>
      <c r="AU1307" s="122">
        <v>3598</v>
      </c>
      <c r="AV1307" s="122">
        <v>103758</v>
      </c>
    </row>
    <row r="1308" spans="2:48" hidden="1">
      <c r="B1308" t="s">
        <v>370</v>
      </c>
      <c r="C1308" t="s">
        <v>56</v>
      </c>
      <c r="D1308" t="s">
        <v>407</v>
      </c>
      <c r="E1308" t="s">
        <v>137</v>
      </c>
      <c r="F1308" s="122">
        <v>2</v>
      </c>
      <c r="G1308" s="122">
        <v>435</v>
      </c>
      <c r="H1308" s="122">
        <v>362</v>
      </c>
      <c r="I1308" s="122">
        <v>43324</v>
      </c>
      <c r="J1308" s="122">
        <v>39385</v>
      </c>
      <c r="K1308" s="122">
        <v>85</v>
      </c>
      <c r="L1308" s="122">
        <v>10924</v>
      </c>
      <c r="M1308" s="122">
        <v>6509</v>
      </c>
      <c r="N1308" s="122">
        <v>9219</v>
      </c>
      <c r="O1308" s="122">
        <v>3414</v>
      </c>
      <c r="P1308" s="122">
        <v>945</v>
      </c>
      <c r="Q1308" s="122">
        <v>350</v>
      </c>
      <c r="R1308" s="122">
        <v>14758</v>
      </c>
      <c r="S1308" s="122">
        <v>5466</v>
      </c>
      <c r="T1308" s="122">
        <v>0</v>
      </c>
      <c r="U1308" s="122">
        <v>0</v>
      </c>
      <c r="V1308" s="122">
        <v>55125</v>
      </c>
      <c r="W1308" s="122">
        <f t="shared" si="40"/>
        <v>55124</v>
      </c>
      <c r="X1308" s="122">
        <f t="shared" si="41"/>
        <v>79170</v>
      </c>
      <c r="AA1308" t="s">
        <v>58</v>
      </c>
      <c r="AB1308" t="s">
        <v>406</v>
      </c>
      <c r="AC1308" t="s">
        <v>579</v>
      </c>
      <c r="AD1308" t="s">
        <v>407</v>
      </c>
      <c r="AE1308" t="s">
        <v>566</v>
      </c>
      <c r="AF1308">
        <v>2</v>
      </c>
      <c r="AG1308">
        <v>380</v>
      </c>
      <c r="AH1308">
        <v>482</v>
      </c>
      <c r="AI1308" s="122">
        <v>52505</v>
      </c>
      <c r="AJ1308" s="122">
        <v>47732</v>
      </c>
      <c r="AK1308">
        <v>96</v>
      </c>
      <c r="AL1308" s="122">
        <v>17649</v>
      </c>
      <c r="AM1308" s="122">
        <v>14708</v>
      </c>
      <c r="AN1308" s="122">
        <v>8942</v>
      </c>
      <c r="AO1308" s="122">
        <v>3312</v>
      </c>
      <c r="AP1308" s="122">
        <v>1242</v>
      </c>
      <c r="AQ1308">
        <v>460</v>
      </c>
      <c r="AR1308" s="122">
        <v>11813</v>
      </c>
      <c r="AS1308" s="122">
        <v>10739</v>
      </c>
      <c r="AT1308" s="122">
        <v>0</v>
      </c>
      <c r="AU1308" s="122">
        <v>0</v>
      </c>
      <c r="AV1308" s="122">
        <v>76951</v>
      </c>
    </row>
    <row r="1309" spans="2:48" hidden="1">
      <c r="B1309" t="s">
        <v>370</v>
      </c>
      <c r="C1309" t="s">
        <v>56</v>
      </c>
      <c r="D1309" t="s">
        <v>407</v>
      </c>
      <c r="E1309" t="s">
        <v>427</v>
      </c>
      <c r="F1309" s="122">
        <v>1</v>
      </c>
      <c r="G1309" s="122">
        <v>228</v>
      </c>
      <c r="H1309" s="122">
        <v>163</v>
      </c>
      <c r="I1309" s="122">
        <v>17453</v>
      </c>
      <c r="J1309" s="122">
        <v>15867</v>
      </c>
      <c r="K1309" s="122">
        <v>91</v>
      </c>
      <c r="L1309" s="122">
        <v>5585</v>
      </c>
      <c r="M1309" s="122">
        <v>5077</v>
      </c>
      <c r="N1309" s="122">
        <v>5340</v>
      </c>
      <c r="O1309" s="122">
        <v>1978</v>
      </c>
      <c r="P1309" s="122">
        <v>473</v>
      </c>
      <c r="Q1309" s="122">
        <v>175</v>
      </c>
      <c r="R1309" s="122">
        <v>4651</v>
      </c>
      <c r="S1309" s="122">
        <v>4228</v>
      </c>
      <c r="T1309" s="122">
        <v>3768</v>
      </c>
      <c r="U1309" s="122">
        <v>1396</v>
      </c>
      <c r="V1309" s="122">
        <v>28720</v>
      </c>
      <c r="W1309" s="122">
        <f t="shared" si="40"/>
        <v>28721</v>
      </c>
      <c r="X1309" s="122">
        <f t="shared" si="41"/>
        <v>37270</v>
      </c>
      <c r="AA1309" t="s">
        <v>58</v>
      </c>
      <c r="AB1309" t="s">
        <v>406</v>
      </c>
      <c r="AC1309" t="s">
        <v>579</v>
      </c>
      <c r="AD1309" t="s">
        <v>426</v>
      </c>
      <c r="AE1309" t="s">
        <v>137</v>
      </c>
      <c r="AF1309">
        <v>1</v>
      </c>
      <c r="AG1309" s="122">
        <v>208</v>
      </c>
      <c r="AH1309" s="122">
        <v>230</v>
      </c>
      <c r="AI1309" s="122">
        <v>29762</v>
      </c>
      <c r="AJ1309" s="122">
        <v>27056</v>
      </c>
      <c r="AK1309">
        <v>97</v>
      </c>
      <c r="AL1309" s="122">
        <v>5538</v>
      </c>
      <c r="AM1309" s="122">
        <v>4615</v>
      </c>
      <c r="AN1309" s="122">
        <v>3195</v>
      </c>
      <c r="AO1309" s="122">
        <v>1183</v>
      </c>
      <c r="AP1309" s="122">
        <v>621</v>
      </c>
      <c r="AQ1309" s="122">
        <v>230</v>
      </c>
      <c r="AR1309" s="122">
        <v>4356</v>
      </c>
      <c r="AS1309" s="122">
        <v>3960</v>
      </c>
      <c r="AT1309" s="122">
        <v>4309</v>
      </c>
      <c r="AU1309" s="122">
        <v>1596</v>
      </c>
      <c r="AV1309" s="122">
        <v>38640</v>
      </c>
    </row>
    <row r="1310" spans="2:48" hidden="1">
      <c r="B1310" t="s">
        <v>370</v>
      </c>
      <c r="C1310" t="s">
        <v>56</v>
      </c>
      <c r="D1310" t="s">
        <v>407</v>
      </c>
      <c r="E1310" t="s">
        <v>407</v>
      </c>
      <c r="F1310" s="122">
        <v>1722</v>
      </c>
      <c r="G1310" s="122">
        <v>267881</v>
      </c>
      <c r="H1310" s="122">
        <v>322145</v>
      </c>
      <c r="I1310" s="122">
        <v>27329910</v>
      </c>
      <c r="J1310" s="122">
        <v>24845373</v>
      </c>
      <c r="K1310" s="122">
        <v>85</v>
      </c>
      <c r="L1310" s="122">
        <v>7870508</v>
      </c>
      <c r="M1310" s="122">
        <v>6933959</v>
      </c>
      <c r="N1310" s="122">
        <v>5526031</v>
      </c>
      <c r="O1310" s="122">
        <v>2046678</v>
      </c>
      <c r="P1310" s="122">
        <v>850521</v>
      </c>
      <c r="Q1310" s="122">
        <v>315008</v>
      </c>
      <c r="R1310" s="122">
        <v>9286459</v>
      </c>
      <c r="S1310" s="122">
        <v>8442235</v>
      </c>
      <c r="T1310" s="122">
        <v>997491</v>
      </c>
      <c r="U1310" s="122">
        <v>369441</v>
      </c>
      <c r="V1310" s="122">
        <v>42952694</v>
      </c>
      <c r="W1310" s="122">
        <f t="shared" si="40"/>
        <v>42952694</v>
      </c>
      <c r="X1310" s="122">
        <f t="shared" si="41"/>
        <v>51860920</v>
      </c>
      <c r="AA1310" t="s">
        <v>58</v>
      </c>
      <c r="AB1310" t="s">
        <v>406</v>
      </c>
      <c r="AC1310" t="s">
        <v>428</v>
      </c>
      <c r="AD1310" t="s">
        <v>406</v>
      </c>
      <c r="AE1310" t="s">
        <v>137</v>
      </c>
      <c r="AF1310">
        <v>224</v>
      </c>
      <c r="AG1310" s="122">
        <v>29640</v>
      </c>
      <c r="AH1310" s="122">
        <v>58294</v>
      </c>
      <c r="AI1310" s="122">
        <v>4511151</v>
      </c>
      <c r="AJ1310" s="122">
        <v>4101047</v>
      </c>
      <c r="AK1310">
        <v>80</v>
      </c>
      <c r="AL1310" s="122">
        <v>1002996</v>
      </c>
      <c r="AM1310" s="122">
        <v>911814</v>
      </c>
      <c r="AN1310" s="122">
        <v>619371</v>
      </c>
      <c r="AO1310" s="122">
        <v>229397</v>
      </c>
      <c r="AP1310" s="122">
        <v>133421</v>
      </c>
      <c r="AQ1310" s="122">
        <v>49415</v>
      </c>
      <c r="AR1310" s="122">
        <v>1058683</v>
      </c>
      <c r="AS1310" s="122">
        <v>962439</v>
      </c>
      <c r="AT1310" s="122">
        <v>557471</v>
      </c>
      <c r="AU1310" s="122">
        <v>206471</v>
      </c>
      <c r="AV1310" s="122">
        <v>6460583</v>
      </c>
    </row>
    <row r="1311" spans="2:48" hidden="1">
      <c r="B1311" t="s">
        <v>370</v>
      </c>
      <c r="C1311" t="s">
        <v>56</v>
      </c>
      <c r="D1311" t="s">
        <v>407</v>
      </c>
      <c r="E1311" t="s">
        <v>426</v>
      </c>
      <c r="F1311" s="122">
        <v>1</v>
      </c>
      <c r="G1311" s="122">
        <v>83</v>
      </c>
      <c r="H1311" s="122">
        <v>160</v>
      </c>
      <c r="I1311" s="122">
        <v>6107</v>
      </c>
      <c r="J1311" s="122">
        <v>5552</v>
      </c>
      <c r="K1311" s="122">
        <v>92</v>
      </c>
      <c r="L1311" s="122">
        <v>2085</v>
      </c>
      <c r="M1311" s="122">
        <v>1896</v>
      </c>
      <c r="N1311" s="122">
        <v>1010</v>
      </c>
      <c r="O1311" s="122">
        <v>374</v>
      </c>
      <c r="P1311" s="122">
        <v>473</v>
      </c>
      <c r="Q1311" s="122">
        <v>175</v>
      </c>
      <c r="R1311" s="122">
        <v>3560</v>
      </c>
      <c r="S1311" s="122">
        <v>3237</v>
      </c>
      <c r="T1311" s="122">
        <v>0</v>
      </c>
      <c r="U1311" s="122">
        <v>0</v>
      </c>
      <c r="V1311" s="122">
        <v>11233</v>
      </c>
      <c r="W1311" s="122">
        <f t="shared" si="40"/>
        <v>11234</v>
      </c>
      <c r="X1311" s="122">
        <f t="shared" si="41"/>
        <v>13235</v>
      </c>
      <c r="AA1311" t="s">
        <v>58</v>
      </c>
      <c r="AB1311" t="s">
        <v>406</v>
      </c>
      <c r="AC1311" t="s">
        <v>428</v>
      </c>
      <c r="AD1311" t="s">
        <v>406</v>
      </c>
      <c r="AE1311" t="s">
        <v>566</v>
      </c>
      <c r="AF1311">
        <v>160</v>
      </c>
      <c r="AG1311" s="122">
        <v>20300</v>
      </c>
      <c r="AH1311" s="122">
        <v>41242</v>
      </c>
      <c r="AI1311" s="122">
        <v>3102957</v>
      </c>
      <c r="AJ1311" s="122">
        <v>2820870</v>
      </c>
      <c r="AK1311">
        <v>80</v>
      </c>
      <c r="AL1311" s="122">
        <v>702228</v>
      </c>
      <c r="AM1311" s="122">
        <v>638389</v>
      </c>
      <c r="AN1311" s="122">
        <v>422756</v>
      </c>
      <c r="AO1311" s="122">
        <v>156576</v>
      </c>
      <c r="AP1311" s="122">
        <v>99055</v>
      </c>
      <c r="AQ1311" s="122">
        <v>36687</v>
      </c>
      <c r="AR1311" s="122">
        <v>985859</v>
      </c>
      <c r="AS1311" s="122">
        <v>896236</v>
      </c>
      <c r="AT1311" s="122">
        <v>0</v>
      </c>
      <c r="AU1311" s="122">
        <v>0</v>
      </c>
      <c r="AV1311" s="122">
        <v>4548758</v>
      </c>
    </row>
    <row r="1312" spans="2:48" hidden="1">
      <c r="B1312" t="s">
        <v>370</v>
      </c>
      <c r="C1312" t="s">
        <v>56</v>
      </c>
      <c r="D1312" t="s">
        <v>431</v>
      </c>
      <c r="E1312" t="s">
        <v>431</v>
      </c>
      <c r="F1312" s="122">
        <v>2</v>
      </c>
      <c r="G1312" s="122">
        <v>542</v>
      </c>
      <c r="H1312" s="122">
        <v>427</v>
      </c>
      <c r="I1312" s="122">
        <v>115083</v>
      </c>
      <c r="J1312" s="122">
        <v>104621</v>
      </c>
      <c r="K1312" s="122">
        <v>50</v>
      </c>
      <c r="L1312" s="122">
        <v>10576</v>
      </c>
      <c r="M1312" s="122">
        <v>9614</v>
      </c>
      <c r="N1312" s="122">
        <v>16624</v>
      </c>
      <c r="O1312" s="122">
        <v>6157</v>
      </c>
      <c r="P1312" s="122">
        <v>972</v>
      </c>
      <c r="Q1312" s="122">
        <v>360</v>
      </c>
      <c r="R1312" s="122">
        <v>17689</v>
      </c>
      <c r="S1312" s="122">
        <v>16081</v>
      </c>
      <c r="T1312" s="122">
        <v>8372</v>
      </c>
      <c r="U1312" s="122">
        <v>3101</v>
      </c>
      <c r="V1312" s="122">
        <v>139935</v>
      </c>
      <c r="W1312" s="122">
        <f t="shared" si="40"/>
        <v>139934</v>
      </c>
      <c r="X1312" s="122">
        <f t="shared" si="41"/>
        <v>169316</v>
      </c>
      <c r="AA1312" t="s">
        <v>58</v>
      </c>
      <c r="AB1312" t="s">
        <v>406</v>
      </c>
      <c r="AC1312" t="s">
        <v>428</v>
      </c>
      <c r="AD1312" t="s">
        <v>427</v>
      </c>
      <c r="AE1312" t="s">
        <v>137</v>
      </c>
      <c r="AF1312">
        <v>1</v>
      </c>
      <c r="AG1312">
        <v>126</v>
      </c>
      <c r="AH1312">
        <v>240</v>
      </c>
      <c r="AI1312" s="122">
        <v>16224</v>
      </c>
      <c r="AJ1312" s="122">
        <v>14749</v>
      </c>
      <c r="AK1312">
        <v>86</v>
      </c>
      <c r="AL1312" s="122">
        <v>4879</v>
      </c>
      <c r="AM1312" s="122">
        <v>4436</v>
      </c>
      <c r="AN1312" s="122">
        <v>2464</v>
      </c>
      <c r="AO1312" s="122">
        <v>913</v>
      </c>
      <c r="AP1312">
        <v>621</v>
      </c>
      <c r="AQ1312">
        <v>230</v>
      </c>
      <c r="AR1312" s="122">
        <v>3355</v>
      </c>
      <c r="AS1312" s="122">
        <v>3050</v>
      </c>
      <c r="AT1312" s="122">
        <v>2751</v>
      </c>
      <c r="AU1312" s="122">
        <v>1019</v>
      </c>
      <c r="AV1312" s="122">
        <v>24397</v>
      </c>
    </row>
    <row r="1313" spans="2:48" hidden="1">
      <c r="B1313" t="s">
        <v>370</v>
      </c>
      <c r="C1313" t="s">
        <v>56</v>
      </c>
      <c r="D1313" t="s">
        <v>426</v>
      </c>
      <c r="E1313" t="s">
        <v>426</v>
      </c>
      <c r="F1313" s="122">
        <v>5</v>
      </c>
      <c r="G1313" s="122">
        <v>879</v>
      </c>
      <c r="H1313" s="122">
        <v>976</v>
      </c>
      <c r="I1313" s="122">
        <v>125827</v>
      </c>
      <c r="J1313" s="122">
        <v>114388</v>
      </c>
      <c r="K1313" s="122">
        <v>68</v>
      </c>
      <c r="L1313" s="122">
        <v>11162</v>
      </c>
      <c r="M1313" s="122">
        <v>10147</v>
      </c>
      <c r="N1313" s="122">
        <v>16536</v>
      </c>
      <c r="O1313" s="122">
        <v>6124</v>
      </c>
      <c r="P1313" s="122">
        <v>2646</v>
      </c>
      <c r="Q1313" s="122">
        <v>980</v>
      </c>
      <c r="R1313" s="122">
        <v>37131</v>
      </c>
      <c r="S1313" s="122">
        <v>33756</v>
      </c>
      <c r="T1313" s="122">
        <v>7156</v>
      </c>
      <c r="U1313" s="122">
        <v>2650</v>
      </c>
      <c r="V1313" s="122">
        <v>168045</v>
      </c>
      <c r="W1313" s="122">
        <f t="shared" si="40"/>
        <v>168045</v>
      </c>
      <c r="X1313" s="122">
        <f t="shared" si="41"/>
        <v>200458</v>
      </c>
      <c r="AA1313" t="s">
        <v>58</v>
      </c>
      <c r="AB1313" t="s">
        <v>406</v>
      </c>
      <c r="AC1313" t="s">
        <v>428</v>
      </c>
      <c r="AD1313" t="s">
        <v>428</v>
      </c>
      <c r="AE1313" t="s">
        <v>137</v>
      </c>
      <c r="AF1313">
        <v>1</v>
      </c>
      <c r="AG1313">
        <v>167</v>
      </c>
      <c r="AH1313">
        <v>234</v>
      </c>
      <c r="AI1313" s="122">
        <v>21365</v>
      </c>
      <c r="AJ1313" s="122">
        <v>19423</v>
      </c>
      <c r="AK1313">
        <v>95</v>
      </c>
      <c r="AL1313" s="122">
        <v>3889</v>
      </c>
      <c r="AM1313" s="122">
        <v>3535</v>
      </c>
      <c r="AN1313" s="122">
        <v>3550</v>
      </c>
      <c r="AO1313" s="122">
        <v>1315</v>
      </c>
      <c r="AP1313">
        <v>351</v>
      </c>
      <c r="AQ1313">
        <v>130</v>
      </c>
      <c r="AR1313" s="122">
        <v>6795</v>
      </c>
      <c r="AS1313" s="122">
        <v>6177</v>
      </c>
      <c r="AT1313" s="122">
        <v>3205</v>
      </c>
      <c r="AU1313" s="122">
        <v>1187</v>
      </c>
      <c r="AV1313" s="122">
        <v>31767</v>
      </c>
    </row>
    <row r="1314" spans="2:48" hidden="1">
      <c r="B1314" t="s">
        <v>370</v>
      </c>
      <c r="C1314" t="s">
        <v>56</v>
      </c>
      <c r="D1314" t="s">
        <v>408</v>
      </c>
      <c r="E1314" t="s">
        <v>426</v>
      </c>
      <c r="F1314" s="122">
        <v>1</v>
      </c>
      <c r="G1314" s="122">
        <v>148</v>
      </c>
      <c r="H1314" s="122">
        <v>159</v>
      </c>
      <c r="I1314" s="122">
        <v>23238</v>
      </c>
      <c r="J1314" s="122">
        <v>21126</v>
      </c>
      <c r="K1314" s="122">
        <v>65</v>
      </c>
      <c r="L1314" s="122">
        <v>3052</v>
      </c>
      <c r="M1314" s="122">
        <v>2543</v>
      </c>
      <c r="N1314" s="122">
        <v>2767</v>
      </c>
      <c r="O1314" s="122">
        <v>1025</v>
      </c>
      <c r="P1314" s="122">
        <v>351</v>
      </c>
      <c r="Q1314" s="122">
        <v>130</v>
      </c>
      <c r="R1314" s="122">
        <v>6800</v>
      </c>
      <c r="S1314" s="122">
        <v>6182</v>
      </c>
      <c r="T1314" s="122">
        <v>0</v>
      </c>
      <c r="U1314" s="122">
        <v>0</v>
      </c>
      <c r="V1314" s="122">
        <v>31005</v>
      </c>
      <c r="W1314" s="122">
        <f t="shared" si="40"/>
        <v>31006</v>
      </c>
      <c r="X1314" s="122">
        <f t="shared" si="41"/>
        <v>36208</v>
      </c>
      <c r="AA1314" t="s">
        <v>58</v>
      </c>
      <c r="AB1314" t="s">
        <v>406</v>
      </c>
      <c r="AC1314" t="s">
        <v>431</v>
      </c>
      <c r="AD1314" t="s">
        <v>137</v>
      </c>
      <c r="AE1314" t="s">
        <v>566</v>
      </c>
      <c r="AF1314">
        <v>1</v>
      </c>
      <c r="AG1314" s="122">
        <v>82</v>
      </c>
      <c r="AH1314" s="122">
        <v>274</v>
      </c>
      <c r="AI1314" s="122">
        <v>9861</v>
      </c>
      <c r="AJ1314" s="122">
        <v>8964</v>
      </c>
      <c r="AK1314">
        <v>92</v>
      </c>
      <c r="AL1314" s="122">
        <v>1480</v>
      </c>
      <c r="AM1314" s="122">
        <v>1345</v>
      </c>
      <c r="AN1314" s="122">
        <v>1335</v>
      </c>
      <c r="AO1314" s="122">
        <v>494</v>
      </c>
      <c r="AP1314" s="122">
        <v>621</v>
      </c>
      <c r="AQ1314" s="122">
        <v>230</v>
      </c>
      <c r="AR1314" s="122">
        <v>9145</v>
      </c>
      <c r="AS1314" s="122">
        <v>3387</v>
      </c>
      <c r="AT1314" s="122">
        <v>0</v>
      </c>
      <c r="AU1314" s="122">
        <v>0</v>
      </c>
      <c r="AV1314" s="122">
        <v>14421</v>
      </c>
    </row>
    <row r="1315" spans="2:48" hidden="1">
      <c r="B1315" t="s">
        <v>370</v>
      </c>
      <c r="C1315" t="s">
        <v>56</v>
      </c>
      <c r="D1315" t="s">
        <v>408</v>
      </c>
      <c r="E1315" t="s">
        <v>408</v>
      </c>
      <c r="F1315" s="122">
        <v>11</v>
      </c>
      <c r="G1315" s="122">
        <v>2042</v>
      </c>
      <c r="H1315" s="122">
        <v>2056</v>
      </c>
      <c r="I1315" s="122">
        <v>253488</v>
      </c>
      <c r="J1315" s="122">
        <v>230444</v>
      </c>
      <c r="K1315" s="122">
        <v>74</v>
      </c>
      <c r="L1315" s="122">
        <v>49798</v>
      </c>
      <c r="M1315" s="122">
        <v>45271</v>
      </c>
      <c r="N1315" s="122">
        <v>42772</v>
      </c>
      <c r="O1315" s="122">
        <v>15841</v>
      </c>
      <c r="P1315" s="122">
        <v>5265</v>
      </c>
      <c r="Q1315" s="122">
        <v>1950</v>
      </c>
      <c r="R1315" s="122">
        <v>74288</v>
      </c>
      <c r="S1315" s="122">
        <v>67534</v>
      </c>
      <c r="T1315" s="122">
        <v>0</v>
      </c>
      <c r="U1315" s="122">
        <v>0</v>
      </c>
      <c r="V1315" s="122">
        <v>361040</v>
      </c>
      <c r="W1315" s="122">
        <f t="shared" si="40"/>
        <v>361040</v>
      </c>
      <c r="X1315" s="122">
        <f t="shared" si="41"/>
        <v>425611</v>
      </c>
      <c r="AA1315" t="s">
        <v>58</v>
      </c>
      <c r="AB1315" t="s">
        <v>406</v>
      </c>
      <c r="AC1315" t="s">
        <v>431</v>
      </c>
      <c r="AD1315" t="s">
        <v>406</v>
      </c>
      <c r="AE1315" t="s">
        <v>137</v>
      </c>
      <c r="AF1315">
        <v>487</v>
      </c>
      <c r="AG1315" s="122">
        <v>63321</v>
      </c>
      <c r="AH1315" s="122">
        <v>126750</v>
      </c>
      <c r="AI1315" s="122">
        <v>9727832</v>
      </c>
      <c r="AJ1315" s="122">
        <v>8843484</v>
      </c>
      <c r="AK1315">
        <v>80</v>
      </c>
      <c r="AL1315" s="122">
        <v>1867374</v>
      </c>
      <c r="AM1315" s="122">
        <v>1697613</v>
      </c>
      <c r="AN1315" s="122">
        <v>1356287</v>
      </c>
      <c r="AO1315" s="122">
        <v>502328</v>
      </c>
      <c r="AP1315" s="122">
        <v>308570</v>
      </c>
      <c r="AQ1315" s="122">
        <v>114285</v>
      </c>
      <c r="AR1315" s="122">
        <v>2364639</v>
      </c>
      <c r="AS1315" s="122">
        <v>2149672</v>
      </c>
      <c r="AT1315" s="122">
        <v>1137519</v>
      </c>
      <c r="AU1315" s="122">
        <v>421304</v>
      </c>
      <c r="AV1315" s="122">
        <v>13728685</v>
      </c>
    </row>
    <row r="1316" spans="2:48" hidden="1">
      <c r="B1316" t="s">
        <v>370</v>
      </c>
      <c r="C1316" t="s">
        <v>58</v>
      </c>
      <c r="F1316" s="122">
        <v>1</v>
      </c>
      <c r="G1316" s="122">
        <v>41</v>
      </c>
      <c r="H1316" s="122">
        <v>292</v>
      </c>
      <c r="I1316" s="122"/>
      <c r="J1316" s="122">
        <v>0</v>
      </c>
      <c r="K1316" s="122"/>
      <c r="L1316" s="122"/>
      <c r="M1316" s="122">
        <v>0</v>
      </c>
      <c r="N1316" s="122">
        <v>749</v>
      </c>
      <c r="O1316" s="122">
        <v>277</v>
      </c>
      <c r="P1316" s="122">
        <v>621</v>
      </c>
      <c r="Q1316" s="122">
        <v>230</v>
      </c>
      <c r="R1316" s="122"/>
      <c r="S1316" s="122">
        <v>0</v>
      </c>
      <c r="T1316" s="122">
        <v>0</v>
      </c>
      <c r="U1316" s="122">
        <v>0</v>
      </c>
      <c r="V1316" s="122">
        <v>507</v>
      </c>
      <c r="W1316" s="122">
        <f t="shared" si="40"/>
        <v>507</v>
      </c>
      <c r="X1316" s="122">
        <f t="shared" si="41"/>
        <v>1370</v>
      </c>
      <c r="AA1316" t="s">
        <v>58</v>
      </c>
      <c r="AB1316" t="s">
        <v>406</v>
      </c>
      <c r="AC1316" t="s">
        <v>431</v>
      </c>
      <c r="AD1316" t="s">
        <v>406</v>
      </c>
      <c r="AE1316" t="s">
        <v>566</v>
      </c>
      <c r="AF1316">
        <v>300</v>
      </c>
      <c r="AG1316" s="122">
        <v>36289</v>
      </c>
      <c r="AH1316" s="122">
        <v>78186</v>
      </c>
      <c r="AI1316" s="122">
        <v>5680058</v>
      </c>
      <c r="AJ1316" s="122">
        <v>5163689</v>
      </c>
      <c r="AK1316">
        <v>80</v>
      </c>
      <c r="AL1316" s="122">
        <v>1162133</v>
      </c>
      <c r="AM1316" s="122">
        <v>1056485</v>
      </c>
      <c r="AN1316" s="122">
        <v>755806</v>
      </c>
      <c r="AO1316" s="122">
        <v>279928</v>
      </c>
      <c r="AP1316" s="122">
        <v>198815</v>
      </c>
      <c r="AQ1316" s="122">
        <v>73635</v>
      </c>
      <c r="AR1316" s="122">
        <v>1856448</v>
      </c>
      <c r="AS1316" s="122">
        <v>1687680</v>
      </c>
      <c r="AT1316">
        <v>0</v>
      </c>
      <c r="AU1316">
        <v>0</v>
      </c>
      <c r="AV1316" s="122">
        <v>8261417</v>
      </c>
    </row>
    <row r="1317" spans="2:48" hidden="1">
      <c r="B1317" t="s">
        <v>370</v>
      </c>
      <c r="C1317" t="s">
        <v>58</v>
      </c>
      <c r="D1317" t="s">
        <v>425</v>
      </c>
      <c r="E1317" t="s">
        <v>425</v>
      </c>
      <c r="F1317" s="122">
        <v>3</v>
      </c>
      <c r="G1317" s="122">
        <v>815</v>
      </c>
      <c r="H1317" s="122">
        <v>718</v>
      </c>
      <c r="I1317" s="122">
        <v>112084</v>
      </c>
      <c r="J1317" s="122">
        <v>101895</v>
      </c>
      <c r="K1317" s="122">
        <v>77</v>
      </c>
      <c r="L1317" s="122">
        <v>39364</v>
      </c>
      <c r="M1317" s="122">
        <v>35785</v>
      </c>
      <c r="N1317" s="122">
        <v>19667</v>
      </c>
      <c r="O1317" s="122">
        <v>7284</v>
      </c>
      <c r="P1317" s="122">
        <v>2120</v>
      </c>
      <c r="Q1317" s="122">
        <v>785</v>
      </c>
      <c r="R1317" s="122">
        <v>21460</v>
      </c>
      <c r="S1317" s="122">
        <v>19509</v>
      </c>
      <c r="T1317" s="122">
        <v>0</v>
      </c>
      <c r="U1317" s="122">
        <v>0</v>
      </c>
      <c r="V1317" s="122">
        <v>165258</v>
      </c>
      <c r="W1317" s="122">
        <f t="shared" si="40"/>
        <v>165258</v>
      </c>
      <c r="X1317" s="122">
        <f t="shared" si="41"/>
        <v>194695</v>
      </c>
      <c r="AA1317" t="s">
        <v>58</v>
      </c>
      <c r="AB1317" t="s">
        <v>406</v>
      </c>
      <c r="AC1317" t="s">
        <v>431</v>
      </c>
      <c r="AD1317" t="s">
        <v>427</v>
      </c>
      <c r="AE1317" t="s">
        <v>566</v>
      </c>
      <c r="AF1317">
        <v>1</v>
      </c>
      <c r="AG1317" s="122">
        <v>122</v>
      </c>
      <c r="AH1317" s="122">
        <v>240</v>
      </c>
      <c r="AI1317" s="122">
        <v>27745</v>
      </c>
      <c r="AJ1317" s="122">
        <v>25223</v>
      </c>
      <c r="AK1317">
        <v>60</v>
      </c>
      <c r="AL1317" s="122">
        <v>5857</v>
      </c>
      <c r="AM1317" s="122">
        <v>5325</v>
      </c>
      <c r="AN1317" s="122">
        <v>4037</v>
      </c>
      <c r="AO1317" s="122">
        <v>1495</v>
      </c>
      <c r="AP1317" s="122">
        <v>621</v>
      </c>
      <c r="AQ1317" s="122">
        <v>230</v>
      </c>
      <c r="AR1317" s="122">
        <v>8512</v>
      </c>
      <c r="AS1317" s="122">
        <v>7738</v>
      </c>
      <c r="AT1317" s="122">
        <v>0</v>
      </c>
      <c r="AU1317" s="122">
        <v>0</v>
      </c>
      <c r="AV1317" s="122">
        <v>40011</v>
      </c>
    </row>
    <row r="1318" spans="2:48" hidden="1">
      <c r="B1318" t="s">
        <v>370</v>
      </c>
      <c r="C1318" t="s">
        <v>58</v>
      </c>
      <c r="D1318" t="s">
        <v>425</v>
      </c>
      <c r="E1318" t="s">
        <v>406</v>
      </c>
      <c r="F1318" s="122">
        <v>1</v>
      </c>
      <c r="G1318" s="122">
        <v>151</v>
      </c>
      <c r="H1318" s="122">
        <v>282</v>
      </c>
      <c r="I1318" s="122">
        <v>23259</v>
      </c>
      <c r="J1318" s="122">
        <v>21144</v>
      </c>
      <c r="K1318" s="122">
        <v>65</v>
      </c>
      <c r="L1318" s="122">
        <v>5324</v>
      </c>
      <c r="M1318" s="122">
        <v>4840</v>
      </c>
      <c r="N1318" s="122">
        <v>3670</v>
      </c>
      <c r="O1318" s="122">
        <v>1359</v>
      </c>
      <c r="P1318" s="122">
        <v>621</v>
      </c>
      <c r="Q1318" s="122">
        <v>230</v>
      </c>
      <c r="R1318" s="122">
        <v>6106</v>
      </c>
      <c r="S1318" s="122">
        <v>5551</v>
      </c>
      <c r="T1318" s="122">
        <v>3472</v>
      </c>
      <c r="U1318" s="122">
        <v>1286</v>
      </c>
      <c r="V1318" s="122">
        <v>34410</v>
      </c>
      <c r="W1318" s="122">
        <f t="shared" si="40"/>
        <v>34410</v>
      </c>
      <c r="X1318" s="122">
        <f t="shared" si="41"/>
        <v>42452</v>
      </c>
      <c r="AA1318" t="s">
        <v>58</v>
      </c>
      <c r="AB1318" t="s">
        <v>406</v>
      </c>
      <c r="AC1318" t="s">
        <v>431</v>
      </c>
      <c r="AD1318" t="s">
        <v>431</v>
      </c>
      <c r="AE1318" t="s">
        <v>137</v>
      </c>
      <c r="AF1318">
        <v>9</v>
      </c>
      <c r="AG1318" s="122">
        <v>1225</v>
      </c>
      <c r="AH1318" s="122">
        <v>2379</v>
      </c>
      <c r="AI1318" s="122">
        <v>173411</v>
      </c>
      <c r="AJ1318" s="122">
        <v>157647</v>
      </c>
      <c r="AK1318">
        <v>82</v>
      </c>
      <c r="AL1318" s="122">
        <v>31076</v>
      </c>
      <c r="AM1318" s="122">
        <v>28251</v>
      </c>
      <c r="AN1318" s="122">
        <v>25297</v>
      </c>
      <c r="AO1318" s="122">
        <v>9369</v>
      </c>
      <c r="AP1318" s="122">
        <v>6642</v>
      </c>
      <c r="AQ1318" s="122">
        <v>2460</v>
      </c>
      <c r="AR1318" s="122">
        <v>60120</v>
      </c>
      <c r="AS1318" s="122">
        <v>54655</v>
      </c>
      <c r="AT1318" s="122">
        <v>25163</v>
      </c>
      <c r="AU1318" s="122">
        <v>9320</v>
      </c>
      <c r="AV1318" s="122">
        <v>261701</v>
      </c>
    </row>
    <row r="1319" spans="2:48" hidden="1">
      <c r="B1319" t="s">
        <v>370</v>
      </c>
      <c r="C1319" t="s">
        <v>58</v>
      </c>
      <c r="D1319" t="s">
        <v>405</v>
      </c>
      <c r="E1319" t="s">
        <v>425</v>
      </c>
      <c r="F1319" s="122">
        <v>1</v>
      </c>
      <c r="G1319" s="122">
        <v>155</v>
      </c>
      <c r="H1319" s="122">
        <v>277</v>
      </c>
      <c r="I1319" s="122">
        <v>27586</v>
      </c>
      <c r="J1319" s="122">
        <v>25078</v>
      </c>
      <c r="K1319" s="122">
        <v>90</v>
      </c>
      <c r="L1319" s="122">
        <v>6447</v>
      </c>
      <c r="M1319" s="122">
        <v>2388</v>
      </c>
      <c r="N1319" s="122">
        <v>3333</v>
      </c>
      <c r="O1319" s="122">
        <v>1234</v>
      </c>
      <c r="P1319" s="122">
        <v>473</v>
      </c>
      <c r="Q1319" s="122">
        <v>175</v>
      </c>
      <c r="R1319" s="122">
        <v>5218</v>
      </c>
      <c r="S1319" s="122">
        <v>4744</v>
      </c>
      <c r="T1319" s="122">
        <v>0</v>
      </c>
      <c r="U1319" s="122">
        <v>0</v>
      </c>
      <c r="V1319" s="122">
        <v>33619</v>
      </c>
      <c r="W1319" s="122">
        <f t="shared" si="40"/>
        <v>33619</v>
      </c>
      <c r="X1319" s="122">
        <f t="shared" si="41"/>
        <v>43057</v>
      </c>
      <c r="AA1319" t="s">
        <v>58</v>
      </c>
      <c r="AB1319" t="s">
        <v>406</v>
      </c>
      <c r="AC1319" t="s">
        <v>431</v>
      </c>
      <c r="AD1319" t="s">
        <v>431</v>
      </c>
      <c r="AE1319" t="s">
        <v>566</v>
      </c>
      <c r="AF1319">
        <v>4</v>
      </c>
      <c r="AG1319">
        <v>569</v>
      </c>
      <c r="AH1319" s="122">
        <v>1040</v>
      </c>
      <c r="AI1319" s="122">
        <v>78933</v>
      </c>
      <c r="AJ1319" s="122">
        <v>71758</v>
      </c>
      <c r="AK1319">
        <v>78</v>
      </c>
      <c r="AL1319" s="122">
        <v>15168</v>
      </c>
      <c r="AM1319" s="122">
        <v>13789</v>
      </c>
      <c r="AN1319" s="122">
        <v>12375</v>
      </c>
      <c r="AO1319" s="122">
        <v>4583</v>
      </c>
      <c r="AP1319" s="122">
        <v>2484</v>
      </c>
      <c r="AQ1319" s="122">
        <v>920</v>
      </c>
      <c r="AR1319" s="122">
        <v>38091</v>
      </c>
      <c r="AS1319" s="122">
        <v>34629</v>
      </c>
      <c r="AT1319" s="122">
        <v>0</v>
      </c>
      <c r="AU1319" s="122">
        <v>0</v>
      </c>
      <c r="AV1319" s="122">
        <v>125678</v>
      </c>
    </row>
    <row r="1320" spans="2:48" hidden="1">
      <c r="B1320" t="s">
        <v>370</v>
      </c>
      <c r="C1320" t="s">
        <v>58</v>
      </c>
      <c r="D1320" t="s">
        <v>405</v>
      </c>
      <c r="E1320" t="s">
        <v>405</v>
      </c>
      <c r="F1320" s="122">
        <v>20</v>
      </c>
      <c r="G1320" s="122">
        <v>2874</v>
      </c>
      <c r="H1320" s="122">
        <v>5234</v>
      </c>
      <c r="I1320" s="122">
        <v>464502</v>
      </c>
      <c r="J1320" s="122">
        <v>422274</v>
      </c>
      <c r="K1320" s="122">
        <v>84</v>
      </c>
      <c r="L1320" s="122">
        <v>119162</v>
      </c>
      <c r="M1320" s="122">
        <v>114434</v>
      </c>
      <c r="N1320" s="122">
        <v>65105</v>
      </c>
      <c r="O1320" s="122">
        <v>24113</v>
      </c>
      <c r="P1320" s="122">
        <v>9801</v>
      </c>
      <c r="Q1320" s="122">
        <v>3630</v>
      </c>
      <c r="R1320" s="122">
        <v>112420</v>
      </c>
      <c r="S1320" s="122">
        <v>102200</v>
      </c>
      <c r="T1320" s="122">
        <v>12436</v>
      </c>
      <c r="U1320" s="122">
        <v>4606</v>
      </c>
      <c r="V1320" s="122">
        <v>671257</v>
      </c>
      <c r="W1320" s="122">
        <f t="shared" si="40"/>
        <v>671257</v>
      </c>
      <c r="X1320" s="122">
        <f t="shared" si="41"/>
        <v>783426</v>
      </c>
      <c r="AA1320" t="s">
        <v>58</v>
      </c>
      <c r="AB1320" t="s">
        <v>406</v>
      </c>
      <c r="AC1320" t="s">
        <v>426</v>
      </c>
      <c r="AD1320" t="s">
        <v>425</v>
      </c>
      <c r="AE1320" t="s">
        <v>137</v>
      </c>
      <c r="AF1320">
        <v>7</v>
      </c>
      <c r="AG1320" s="122">
        <v>905</v>
      </c>
      <c r="AH1320" s="122">
        <v>1889</v>
      </c>
      <c r="AI1320" s="122">
        <v>144950</v>
      </c>
      <c r="AJ1320" s="122">
        <v>131772</v>
      </c>
      <c r="AK1320">
        <v>76</v>
      </c>
      <c r="AL1320" s="122">
        <v>25520</v>
      </c>
      <c r="AM1320" s="122">
        <v>23200</v>
      </c>
      <c r="AN1320" s="122">
        <v>14017</v>
      </c>
      <c r="AO1320" s="122">
        <v>5191</v>
      </c>
      <c r="AP1320" s="122">
        <v>4617</v>
      </c>
      <c r="AQ1320" s="122">
        <v>1710</v>
      </c>
      <c r="AR1320" s="122">
        <v>32668</v>
      </c>
      <c r="AS1320" s="122">
        <v>29698</v>
      </c>
      <c r="AT1320" s="122">
        <v>21276</v>
      </c>
      <c r="AU1320" s="122">
        <v>7880</v>
      </c>
      <c r="AV1320" s="122">
        <v>199451</v>
      </c>
    </row>
    <row r="1321" spans="2:48" hidden="1">
      <c r="B1321" t="s">
        <v>370</v>
      </c>
      <c r="C1321" t="s">
        <v>58</v>
      </c>
      <c r="D1321" t="s">
        <v>137</v>
      </c>
      <c r="E1321" t="s">
        <v>137</v>
      </c>
      <c r="F1321" s="122">
        <v>14</v>
      </c>
      <c r="G1321" s="122">
        <v>3551</v>
      </c>
      <c r="H1321" s="122">
        <v>3763</v>
      </c>
      <c r="I1321" s="122">
        <v>718616</v>
      </c>
      <c r="J1321" s="122">
        <v>266154</v>
      </c>
      <c r="K1321" s="122">
        <v>108</v>
      </c>
      <c r="L1321" s="122">
        <v>75898</v>
      </c>
      <c r="M1321" s="122">
        <v>67626</v>
      </c>
      <c r="N1321" s="122">
        <v>86784</v>
      </c>
      <c r="O1321" s="122">
        <v>32142</v>
      </c>
      <c r="P1321" s="122">
        <v>1323</v>
      </c>
      <c r="Q1321" s="122">
        <v>490</v>
      </c>
      <c r="R1321" s="122">
        <v>140663</v>
      </c>
      <c r="S1321" s="122">
        <v>52097</v>
      </c>
      <c r="T1321" s="122">
        <v>0</v>
      </c>
      <c r="U1321" s="122">
        <v>0</v>
      </c>
      <c r="V1321" s="122">
        <v>418510</v>
      </c>
      <c r="W1321" s="122">
        <f t="shared" si="40"/>
        <v>418509</v>
      </c>
      <c r="X1321" s="122">
        <f t="shared" si="41"/>
        <v>1023284</v>
      </c>
      <c r="AA1321" t="s">
        <v>58</v>
      </c>
      <c r="AB1321" t="s">
        <v>406</v>
      </c>
      <c r="AC1321" t="s">
        <v>426</v>
      </c>
      <c r="AD1321" t="s">
        <v>425</v>
      </c>
      <c r="AE1321" t="s">
        <v>566</v>
      </c>
      <c r="AF1321">
        <v>8</v>
      </c>
      <c r="AG1321" s="122">
        <v>1245</v>
      </c>
      <c r="AH1321" s="122">
        <v>2091</v>
      </c>
      <c r="AI1321" s="122">
        <v>205375</v>
      </c>
      <c r="AJ1321" s="122">
        <v>186704</v>
      </c>
      <c r="AK1321">
        <v>74</v>
      </c>
      <c r="AL1321" s="122">
        <v>39904</v>
      </c>
      <c r="AM1321" s="122">
        <v>36277</v>
      </c>
      <c r="AN1321" s="122">
        <v>22215</v>
      </c>
      <c r="AO1321" s="122">
        <v>8228</v>
      </c>
      <c r="AP1321" s="122">
        <v>5319</v>
      </c>
      <c r="AQ1321" s="122">
        <v>1970</v>
      </c>
      <c r="AR1321" s="122">
        <v>53925</v>
      </c>
      <c r="AS1321" s="122">
        <v>49023</v>
      </c>
      <c r="AT1321">
        <v>0</v>
      </c>
      <c r="AU1321">
        <v>0</v>
      </c>
      <c r="AV1321" s="122">
        <v>282202</v>
      </c>
    </row>
    <row r="1322" spans="2:48" hidden="1">
      <c r="B1322" t="s">
        <v>370</v>
      </c>
      <c r="C1322" t="s">
        <v>58</v>
      </c>
      <c r="D1322" t="s">
        <v>137</v>
      </c>
      <c r="E1322" t="s">
        <v>407</v>
      </c>
      <c r="F1322" s="122">
        <v>2</v>
      </c>
      <c r="G1322" s="122">
        <v>593</v>
      </c>
      <c r="H1322" s="122">
        <v>541</v>
      </c>
      <c r="I1322" s="122">
        <v>141353</v>
      </c>
      <c r="J1322" s="122">
        <v>52353</v>
      </c>
      <c r="K1322" s="122">
        <v>100</v>
      </c>
      <c r="L1322" s="122">
        <v>6157</v>
      </c>
      <c r="M1322" s="122">
        <v>5597</v>
      </c>
      <c r="N1322" s="122">
        <v>13803</v>
      </c>
      <c r="O1322" s="122">
        <v>5112</v>
      </c>
      <c r="P1322" s="122">
        <v>122</v>
      </c>
      <c r="Q1322" s="122">
        <v>45</v>
      </c>
      <c r="R1322" s="122">
        <v>15839</v>
      </c>
      <c r="S1322" s="122">
        <v>14399</v>
      </c>
      <c r="T1322" s="122">
        <v>0</v>
      </c>
      <c r="U1322" s="122">
        <v>0</v>
      </c>
      <c r="V1322" s="122">
        <v>77507</v>
      </c>
      <c r="W1322" s="122">
        <f t="shared" si="40"/>
        <v>77506</v>
      </c>
      <c r="X1322" s="122">
        <f t="shared" si="41"/>
        <v>177274</v>
      </c>
      <c r="AA1322" t="s">
        <v>58</v>
      </c>
      <c r="AB1322" t="s">
        <v>406</v>
      </c>
      <c r="AC1322" t="s">
        <v>426</v>
      </c>
      <c r="AD1322" t="s">
        <v>405</v>
      </c>
      <c r="AE1322" t="s">
        <v>566</v>
      </c>
      <c r="AF1322">
        <v>1</v>
      </c>
      <c r="AG1322">
        <v>178</v>
      </c>
      <c r="AH1322" s="122">
        <v>291</v>
      </c>
      <c r="AI1322" s="122">
        <v>28271</v>
      </c>
      <c r="AJ1322" s="122">
        <v>25701</v>
      </c>
      <c r="AK1322">
        <v>86</v>
      </c>
      <c r="AL1322" s="122">
        <v>8502</v>
      </c>
      <c r="AM1322" s="122">
        <v>7729</v>
      </c>
      <c r="AN1322" s="122">
        <v>4344</v>
      </c>
      <c r="AO1322" s="122">
        <v>1609</v>
      </c>
      <c r="AP1322" s="122">
        <v>621</v>
      </c>
      <c r="AQ1322" s="122">
        <v>230</v>
      </c>
      <c r="AR1322" s="122">
        <v>10077</v>
      </c>
      <c r="AS1322" s="122">
        <v>9161</v>
      </c>
      <c r="AT1322" s="122">
        <v>0</v>
      </c>
      <c r="AU1322" s="122">
        <v>0</v>
      </c>
      <c r="AV1322" s="122">
        <v>44430</v>
      </c>
    </row>
    <row r="1323" spans="2:48" hidden="1">
      <c r="B1323" t="s">
        <v>370</v>
      </c>
      <c r="C1323" t="s">
        <v>58</v>
      </c>
      <c r="D1323" t="s">
        <v>406</v>
      </c>
      <c r="E1323" t="s">
        <v>137</v>
      </c>
      <c r="F1323" s="122">
        <v>4</v>
      </c>
      <c r="G1323" s="122">
        <v>844</v>
      </c>
      <c r="H1323" s="122">
        <v>1010</v>
      </c>
      <c r="I1323" s="122">
        <v>130115</v>
      </c>
      <c r="J1323" s="122">
        <v>118287</v>
      </c>
      <c r="K1323" s="122">
        <v>87</v>
      </c>
      <c r="L1323" s="122">
        <v>30260</v>
      </c>
      <c r="M1323" s="122">
        <v>26854</v>
      </c>
      <c r="N1323" s="122">
        <v>16604</v>
      </c>
      <c r="O1323" s="122">
        <v>6150</v>
      </c>
      <c r="P1323" s="122">
        <v>2484</v>
      </c>
      <c r="Q1323" s="122">
        <v>920</v>
      </c>
      <c r="R1323" s="122">
        <v>33546</v>
      </c>
      <c r="S1323" s="122">
        <v>12424</v>
      </c>
      <c r="T1323" s="122">
        <v>0</v>
      </c>
      <c r="U1323" s="122">
        <v>0</v>
      </c>
      <c r="V1323" s="122">
        <v>164635</v>
      </c>
      <c r="W1323" s="122">
        <f t="shared" si="40"/>
        <v>164635</v>
      </c>
      <c r="X1323" s="122">
        <f t="shared" si="41"/>
        <v>213009</v>
      </c>
      <c r="AA1323" t="s">
        <v>58</v>
      </c>
      <c r="AB1323" t="s">
        <v>406</v>
      </c>
      <c r="AC1323" t="s">
        <v>426</v>
      </c>
      <c r="AD1323" t="s">
        <v>137</v>
      </c>
      <c r="AE1323" t="s">
        <v>137</v>
      </c>
      <c r="AF1323">
        <v>5</v>
      </c>
      <c r="AG1323" s="122">
        <v>635</v>
      </c>
      <c r="AH1323" s="122">
        <v>1276</v>
      </c>
      <c r="AI1323" s="122">
        <v>82347</v>
      </c>
      <c r="AJ1323" s="122">
        <v>74861</v>
      </c>
      <c r="AK1323">
        <v>83</v>
      </c>
      <c r="AL1323" s="122">
        <v>19341</v>
      </c>
      <c r="AM1323" s="122">
        <v>17583</v>
      </c>
      <c r="AN1323" s="122">
        <v>12774</v>
      </c>
      <c r="AO1323" s="122">
        <v>4731</v>
      </c>
      <c r="AP1323" s="122">
        <v>3105</v>
      </c>
      <c r="AQ1323" s="122">
        <v>1150</v>
      </c>
      <c r="AR1323" s="122">
        <v>43557</v>
      </c>
      <c r="AS1323" s="122">
        <v>16132</v>
      </c>
      <c r="AT1323" s="122">
        <v>3143</v>
      </c>
      <c r="AU1323" s="122">
        <v>1164</v>
      </c>
      <c r="AV1323" s="122">
        <v>115621</v>
      </c>
    </row>
    <row r="1324" spans="2:48" hidden="1">
      <c r="B1324" t="s">
        <v>370</v>
      </c>
      <c r="C1324" t="s">
        <v>58</v>
      </c>
      <c r="D1324" t="s">
        <v>406</v>
      </c>
      <c r="E1324" t="s">
        <v>406</v>
      </c>
      <c r="F1324" s="122">
        <v>1697</v>
      </c>
      <c r="G1324" s="122">
        <v>236687</v>
      </c>
      <c r="H1324" s="122">
        <v>442287</v>
      </c>
      <c r="I1324" s="122">
        <v>36957390</v>
      </c>
      <c r="J1324" s="122">
        <v>33597627</v>
      </c>
      <c r="K1324" s="122">
        <v>80</v>
      </c>
      <c r="L1324" s="122">
        <v>8181104</v>
      </c>
      <c r="M1324" s="122">
        <v>8226387</v>
      </c>
      <c r="N1324" s="122">
        <v>4950868</v>
      </c>
      <c r="O1324" s="122">
        <v>1833655</v>
      </c>
      <c r="P1324" s="122">
        <v>1088703</v>
      </c>
      <c r="Q1324" s="122">
        <v>403223</v>
      </c>
      <c r="R1324" s="122">
        <v>9153893</v>
      </c>
      <c r="S1324" s="122">
        <v>8321721</v>
      </c>
      <c r="T1324" s="122">
        <v>2869460</v>
      </c>
      <c r="U1324" s="122">
        <v>1062763</v>
      </c>
      <c r="V1324" s="122">
        <v>53445377</v>
      </c>
      <c r="W1324" s="122">
        <f t="shared" si="40"/>
        <v>53445376</v>
      </c>
      <c r="X1324" s="122">
        <f t="shared" si="41"/>
        <v>63201418</v>
      </c>
      <c r="AA1324" t="s">
        <v>58</v>
      </c>
      <c r="AB1324" t="s">
        <v>406</v>
      </c>
      <c r="AC1324" t="s">
        <v>426</v>
      </c>
      <c r="AD1324" t="s">
        <v>137</v>
      </c>
      <c r="AE1324" t="s">
        <v>566</v>
      </c>
      <c r="AF1324" s="122">
        <v>99</v>
      </c>
      <c r="AG1324" s="122">
        <v>14751</v>
      </c>
      <c r="AH1324" s="122">
        <v>25726</v>
      </c>
      <c r="AI1324" s="122">
        <v>2318219</v>
      </c>
      <c r="AJ1324" s="122">
        <v>2107472</v>
      </c>
      <c r="AK1324">
        <v>82</v>
      </c>
      <c r="AL1324" s="122">
        <v>499691</v>
      </c>
      <c r="AM1324" s="122">
        <v>454265</v>
      </c>
      <c r="AN1324" s="122">
        <v>308620</v>
      </c>
      <c r="AO1324" s="122">
        <v>114304</v>
      </c>
      <c r="AP1324" s="122">
        <v>64584</v>
      </c>
      <c r="AQ1324" s="122">
        <v>23920</v>
      </c>
      <c r="AR1324" s="122">
        <v>754691</v>
      </c>
      <c r="AS1324" s="122">
        <v>279515</v>
      </c>
      <c r="AT1324" s="122">
        <v>0</v>
      </c>
      <c r="AU1324" s="122">
        <v>0</v>
      </c>
      <c r="AV1324" s="122">
        <v>2979475</v>
      </c>
    </row>
    <row r="1325" spans="2:48" hidden="1">
      <c r="B1325" t="s">
        <v>370</v>
      </c>
      <c r="C1325" t="s">
        <v>58</v>
      </c>
      <c r="D1325" t="s">
        <v>406</v>
      </c>
      <c r="E1325" t="s">
        <v>407</v>
      </c>
      <c r="F1325" s="122">
        <v>2</v>
      </c>
      <c r="G1325" s="122">
        <v>332</v>
      </c>
      <c r="H1325" s="122">
        <v>483</v>
      </c>
      <c r="I1325" s="122">
        <v>60851</v>
      </c>
      <c r="J1325" s="122">
        <v>55319</v>
      </c>
      <c r="K1325" s="122">
        <v>80</v>
      </c>
      <c r="L1325" s="122">
        <v>13809</v>
      </c>
      <c r="M1325" s="122">
        <v>12241</v>
      </c>
      <c r="N1325" s="122">
        <v>6458</v>
      </c>
      <c r="O1325" s="122">
        <v>2392</v>
      </c>
      <c r="P1325" s="122">
        <v>1242</v>
      </c>
      <c r="Q1325" s="122">
        <v>460</v>
      </c>
      <c r="R1325" s="122">
        <v>10686</v>
      </c>
      <c r="S1325" s="122">
        <v>9715</v>
      </c>
      <c r="T1325" s="122">
        <v>2827</v>
      </c>
      <c r="U1325" s="122">
        <v>1047</v>
      </c>
      <c r="V1325" s="122">
        <v>81174</v>
      </c>
      <c r="W1325" s="122">
        <f t="shared" si="40"/>
        <v>81174</v>
      </c>
      <c r="X1325" s="122">
        <f t="shared" si="41"/>
        <v>95873</v>
      </c>
      <c r="AA1325" t="s">
        <v>58</v>
      </c>
      <c r="AB1325" t="s">
        <v>406</v>
      </c>
      <c r="AC1325" t="s">
        <v>426</v>
      </c>
      <c r="AD1325" t="s">
        <v>406</v>
      </c>
      <c r="AE1325" t="s">
        <v>137</v>
      </c>
      <c r="AF1325" s="122">
        <v>20611</v>
      </c>
      <c r="AG1325" s="122">
        <v>2663830</v>
      </c>
      <c r="AH1325" s="122">
        <v>5380324</v>
      </c>
      <c r="AI1325" s="122">
        <v>409264804</v>
      </c>
      <c r="AJ1325" s="122">
        <v>372058912</v>
      </c>
      <c r="AK1325">
        <v>79</v>
      </c>
      <c r="AL1325" s="122">
        <v>82473369</v>
      </c>
      <c r="AM1325" s="122">
        <v>74975789</v>
      </c>
      <c r="AN1325" s="122">
        <v>55888728</v>
      </c>
      <c r="AO1325" s="122">
        <v>20699528</v>
      </c>
      <c r="AP1325" s="122">
        <v>13470467</v>
      </c>
      <c r="AQ1325" s="122">
        <v>4989062</v>
      </c>
      <c r="AR1325" s="122">
        <v>96919307</v>
      </c>
      <c r="AS1325" s="122">
        <v>88108460</v>
      </c>
      <c r="AT1325" s="122">
        <v>52682310</v>
      </c>
      <c r="AU1325" s="122">
        <v>19511966</v>
      </c>
      <c r="AV1325" s="122">
        <v>580343718</v>
      </c>
    </row>
    <row r="1326" spans="2:48" hidden="1">
      <c r="B1326" t="s">
        <v>370</v>
      </c>
      <c r="C1326" t="s">
        <v>58</v>
      </c>
      <c r="D1326" t="s">
        <v>406</v>
      </c>
      <c r="E1326" t="s">
        <v>426</v>
      </c>
      <c r="F1326" s="122">
        <v>2</v>
      </c>
      <c r="G1326" s="122">
        <v>305</v>
      </c>
      <c r="H1326" s="122">
        <v>489</v>
      </c>
      <c r="I1326" s="122">
        <v>41742</v>
      </c>
      <c r="J1326" s="122">
        <v>37947</v>
      </c>
      <c r="K1326" s="122">
        <v>87</v>
      </c>
      <c r="L1326" s="122">
        <v>9698</v>
      </c>
      <c r="M1326" s="122">
        <v>8816</v>
      </c>
      <c r="N1326" s="122">
        <v>5418</v>
      </c>
      <c r="O1326" s="122">
        <v>2007</v>
      </c>
      <c r="P1326" s="122">
        <v>1242</v>
      </c>
      <c r="Q1326" s="122">
        <v>460</v>
      </c>
      <c r="R1326" s="122">
        <v>9285</v>
      </c>
      <c r="S1326" s="122">
        <v>8441</v>
      </c>
      <c r="T1326" s="122">
        <v>6904</v>
      </c>
      <c r="U1326" s="122">
        <v>2557</v>
      </c>
      <c r="V1326" s="122">
        <v>60227</v>
      </c>
      <c r="W1326" s="122">
        <f t="shared" si="40"/>
        <v>60228</v>
      </c>
      <c r="X1326" s="122">
        <f t="shared" si="41"/>
        <v>74289</v>
      </c>
      <c r="AA1326" t="s">
        <v>58</v>
      </c>
      <c r="AB1326" t="s">
        <v>406</v>
      </c>
      <c r="AC1326" t="s">
        <v>426</v>
      </c>
      <c r="AD1326" t="s">
        <v>406</v>
      </c>
      <c r="AE1326" t="s">
        <v>566</v>
      </c>
      <c r="AF1326" s="122">
        <v>11404</v>
      </c>
      <c r="AG1326" s="122">
        <v>1493214</v>
      </c>
      <c r="AH1326" s="122">
        <v>2950678</v>
      </c>
      <c r="AI1326" s="122">
        <v>235255667</v>
      </c>
      <c r="AJ1326" s="122">
        <v>213868788</v>
      </c>
      <c r="AK1326">
        <v>81</v>
      </c>
      <c r="AL1326" s="122">
        <v>49234556</v>
      </c>
      <c r="AM1326" s="122">
        <v>44758687</v>
      </c>
      <c r="AN1326" s="122">
        <v>30835542</v>
      </c>
      <c r="AO1326" s="122">
        <v>11420571</v>
      </c>
      <c r="AP1326" s="122">
        <v>7594973</v>
      </c>
      <c r="AQ1326" s="122">
        <v>2812953</v>
      </c>
      <c r="AR1326" s="122">
        <v>70813351</v>
      </c>
      <c r="AS1326" s="122">
        <v>64375773</v>
      </c>
      <c r="AT1326" s="122">
        <v>0</v>
      </c>
      <c r="AU1326" s="122">
        <v>0</v>
      </c>
      <c r="AV1326" s="122">
        <v>337236772</v>
      </c>
    </row>
    <row r="1327" spans="2:48" hidden="1">
      <c r="B1327" t="s">
        <v>370</v>
      </c>
      <c r="C1327" t="s">
        <v>58</v>
      </c>
      <c r="D1327" t="s">
        <v>427</v>
      </c>
      <c r="E1327" t="s">
        <v>406</v>
      </c>
      <c r="F1327" s="122">
        <v>1</v>
      </c>
      <c r="G1327" s="122">
        <v>58</v>
      </c>
      <c r="H1327" s="122">
        <v>298</v>
      </c>
      <c r="I1327" s="122">
        <v>13247</v>
      </c>
      <c r="J1327" s="122">
        <v>12043</v>
      </c>
      <c r="K1327" s="122">
        <v>79</v>
      </c>
      <c r="L1327" s="122">
        <v>3680</v>
      </c>
      <c r="M1327" s="122">
        <v>3345</v>
      </c>
      <c r="N1327" s="122">
        <v>1894</v>
      </c>
      <c r="O1327" s="122">
        <v>701</v>
      </c>
      <c r="P1327" s="122">
        <v>351</v>
      </c>
      <c r="Q1327" s="122">
        <v>130</v>
      </c>
      <c r="R1327" s="122">
        <v>5708</v>
      </c>
      <c r="S1327" s="122">
        <v>5189</v>
      </c>
      <c r="T1327" s="122">
        <v>0</v>
      </c>
      <c r="U1327" s="122">
        <v>0</v>
      </c>
      <c r="V1327" s="122">
        <v>21408</v>
      </c>
      <c r="W1327" s="122">
        <f t="shared" si="40"/>
        <v>21408</v>
      </c>
      <c r="X1327" s="122">
        <f t="shared" si="41"/>
        <v>24880</v>
      </c>
      <c r="AA1327" t="s">
        <v>58</v>
      </c>
      <c r="AB1327" t="s">
        <v>406</v>
      </c>
      <c r="AC1327" t="s">
        <v>426</v>
      </c>
      <c r="AD1327" t="s">
        <v>427</v>
      </c>
      <c r="AE1327" t="s">
        <v>137</v>
      </c>
      <c r="AF1327">
        <v>10</v>
      </c>
      <c r="AG1327" s="122">
        <v>1287</v>
      </c>
      <c r="AH1327" s="122">
        <v>2542</v>
      </c>
      <c r="AI1327" s="122">
        <v>209048</v>
      </c>
      <c r="AJ1327" s="122">
        <v>190044</v>
      </c>
      <c r="AK1327">
        <v>76</v>
      </c>
      <c r="AL1327" s="122">
        <v>32215</v>
      </c>
      <c r="AM1327" s="122">
        <v>29286</v>
      </c>
      <c r="AN1327" s="122">
        <v>23063</v>
      </c>
      <c r="AO1327" s="122">
        <v>8542</v>
      </c>
      <c r="AP1327" s="122">
        <v>6210</v>
      </c>
      <c r="AQ1327" s="122">
        <v>2300</v>
      </c>
      <c r="AR1327" s="122">
        <v>53159</v>
      </c>
      <c r="AS1327" s="122">
        <v>48327</v>
      </c>
      <c r="AT1327" s="122">
        <v>18211</v>
      </c>
      <c r="AU1327" s="122">
        <v>6745</v>
      </c>
      <c r="AV1327" s="122">
        <v>285243</v>
      </c>
    </row>
    <row r="1328" spans="2:48" hidden="1">
      <c r="B1328" t="s">
        <v>370</v>
      </c>
      <c r="C1328" t="s">
        <v>58</v>
      </c>
      <c r="D1328" t="s">
        <v>407</v>
      </c>
      <c r="E1328" t="s">
        <v>407</v>
      </c>
      <c r="F1328" s="122">
        <v>526</v>
      </c>
      <c r="G1328" s="122">
        <v>68655</v>
      </c>
      <c r="H1328" s="122">
        <v>135406</v>
      </c>
      <c r="I1328" s="122">
        <v>9885718</v>
      </c>
      <c r="J1328" s="122">
        <v>8987016</v>
      </c>
      <c r="K1328" s="122">
        <v>79</v>
      </c>
      <c r="L1328" s="122">
        <v>2847219</v>
      </c>
      <c r="M1328" s="122">
        <v>2502610</v>
      </c>
      <c r="N1328" s="122">
        <v>1436640</v>
      </c>
      <c r="O1328" s="122">
        <v>532089</v>
      </c>
      <c r="P1328" s="122">
        <v>255380</v>
      </c>
      <c r="Q1328" s="122">
        <v>94585</v>
      </c>
      <c r="R1328" s="122">
        <v>2792130</v>
      </c>
      <c r="S1328" s="122">
        <v>2538300</v>
      </c>
      <c r="T1328" s="122">
        <v>764746</v>
      </c>
      <c r="U1328" s="122">
        <v>283239</v>
      </c>
      <c r="V1328" s="122">
        <v>14937839</v>
      </c>
      <c r="W1328" s="122">
        <f t="shared" si="40"/>
        <v>14937839</v>
      </c>
      <c r="X1328" s="122">
        <f t="shared" si="41"/>
        <v>17981833</v>
      </c>
      <c r="AA1328" t="s">
        <v>58</v>
      </c>
      <c r="AB1328" t="s">
        <v>406</v>
      </c>
      <c r="AC1328" t="s">
        <v>426</v>
      </c>
      <c r="AD1328" t="s">
        <v>427</v>
      </c>
      <c r="AE1328" t="s">
        <v>566</v>
      </c>
      <c r="AF1328">
        <v>8</v>
      </c>
      <c r="AG1328">
        <v>976</v>
      </c>
      <c r="AH1328" s="122">
        <v>2080</v>
      </c>
      <c r="AI1328" s="122">
        <v>145996</v>
      </c>
      <c r="AJ1328" s="122">
        <v>132723</v>
      </c>
      <c r="AK1328">
        <v>80</v>
      </c>
      <c r="AL1328" s="122">
        <v>32587</v>
      </c>
      <c r="AM1328" s="122">
        <v>29625</v>
      </c>
      <c r="AN1328" s="122">
        <v>22224</v>
      </c>
      <c r="AO1328" s="122">
        <v>8231</v>
      </c>
      <c r="AP1328" s="122">
        <v>5319</v>
      </c>
      <c r="AQ1328" s="122">
        <v>1970</v>
      </c>
      <c r="AR1328" s="122">
        <v>47940</v>
      </c>
      <c r="AS1328" s="122">
        <v>43582</v>
      </c>
      <c r="AT1328" s="122">
        <v>0</v>
      </c>
      <c r="AU1328" s="122">
        <v>0</v>
      </c>
      <c r="AV1328" s="122">
        <v>216130</v>
      </c>
    </row>
    <row r="1329" spans="2:48" hidden="1">
      <c r="B1329" t="s">
        <v>370</v>
      </c>
      <c r="C1329" t="s">
        <v>58</v>
      </c>
      <c r="D1329" t="s">
        <v>556</v>
      </c>
      <c r="E1329" t="s">
        <v>556</v>
      </c>
      <c r="F1329" s="122">
        <v>5</v>
      </c>
      <c r="G1329" s="122">
        <v>740</v>
      </c>
      <c r="H1329" s="122">
        <v>1358</v>
      </c>
      <c r="I1329" s="122">
        <v>130944</v>
      </c>
      <c r="J1329" s="122">
        <v>109120</v>
      </c>
      <c r="K1329" s="122">
        <v>68</v>
      </c>
      <c r="L1329" s="122">
        <v>15542</v>
      </c>
      <c r="M1329" s="122">
        <v>13115</v>
      </c>
      <c r="N1329" s="122">
        <v>12203</v>
      </c>
      <c r="O1329" s="122">
        <v>4520</v>
      </c>
      <c r="P1329" s="122">
        <v>2025</v>
      </c>
      <c r="Q1329" s="122">
        <v>750</v>
      </c>
      <c r="R1329" s="122">
        <v>26690</v>
      </c>
      <c r="S1329" s="122">
        <v>22242</v>
      </c>
      <c r="T1329" s="122">
        <v>14321</v>
      </c>
      <c r="U1329" s="122">
        <v>5304</v>
      </c>
      <c r="V1329" s="122">
        <v>155051</v>
      </c>
      <c r="W1329" s="122">
        <f t="shared" si="40"/>
        <v>155051</v>
      </c>
      <c r="X1329" s="122">
        <f t="shared" si="41"/>
        <v>201725</v>
      </c>
      <c r="AA1329" t="s">
        <v>58</v>
      </c>
      <c r="AB1329" t="s">
        <v>406</v>
      </c>
      <c r="AC1329" t="s">
        <v>426</v>
      </c>
      <c r="AD1329" t="s">
        <v>407</v>
      </c>
      <c r="AE1329" t="s">
        <v>137</v>
      </c>
      <c r="AF1329">
        <v>2</v>
      </c>
      <c r="AG1329">
        <v>461</v>
      </c>
      <c r="AH1329">
        <v>497</v>
      </c>
      <c r="AI1329" s="122">
        <v>66934</v>
      </c>
      <c r="AJ1329" s="122">
        <v>60850</v>
      </c>
      <c r="AK1329">
        <v>84</v>
      </c>
      <c r="AL1329" s="122">
        <v>19953</v>
      </c>
      <c r="AM1329" s="122">
        <v>18139</v>
      </c>
      <c r="AN1329" s="122">
        <v>9161</v>
      </c>
      <c r="AO1329" s="122">
        <v>3393</v>
      </c>
      <c r="AP1329" s="122">
        <v>1242</v>
      </c>
      <c r="AQ1329">
        <v>460</v>
      </c>
      <c r="AR1329" s="122">
        <v>12142</v>
      </c>
      <c r="AS1329" s="122">
        <v>11038</v>
      </c>
      <c r="AT1329" s="122">
        <v>3623</v>
      </c>
      <c r="AU1329" s="122">
        <v>1342</v>
      </c>
      <c r="AV1329" s="122">
        <v>95221</v>
      </c>
    </row>
    <row r="1330" spans="2:48" hidden="1">
      <c r="B1330" t="s">
        <v>370</v>
      </c>
      <c r="C1330" t="s">
        <v>58</v>
      </c>
      <c r="D1330" t="s">
        <v>428</v>
      </c>
      <c r="E1330" t="s">
        <v>428</v>
      </c>
      <c r="F1330" s="122">
        <v>1</v>
      </c>
      <c r="G1330" s="122">
        <v>151</v>
      </c>
      <c r="H1330" s="122">
        <v>260</v>
      </c>
      <c r="I1330" s="122">
        <v>23318</v>
      </c>
      <c r="J1330" s="122">
        <v>21198</v>
      </c>
      <c r="K1330" s="122">
        <v>65</v>
      </c>
      <c r="L1330" s="122">
        <v>2807</v>
      </c>
      <c r="M1330" s="122">
        <v>2552</v>
      </c>
      <c r="N1330" s="122">
        <v>3684</v>
      </c>
      <c r="O1330" s="122">
        <v>1365</v>
      </c>
      <c r="P1330" s="122">
        <v>351</v>
      </c>
      <c r="Q1330" s="122">
        <v>130</v>
      </c>
      <c r="R1330" s="122">
        <v>5697</v>
      </c>
      <c r="S1330" s="122">
        <v>5179</v>
      </c>
      <c r="T1330" s="122">
        <v>3389</v>
      </c>
      <c r="U1330" s="122">
        <v>1255</v>
      </c>
      <c r="V1330" s="122">
        <v>31678</v>
      </c>
      <c r="W1330" s="122">
        <f t="shared" si="40"/>
        <v>31679</v>
      </c>
      <c r="X1330" s="122">
        <f t="shared" si="41"/>
        <v>39246</v>
      </c>
      <c r="AA1330" t="s">
        <v>58</v>
      </c>
      <c r="AB1330" t="s">
        <v>406</v>
      </c>
      <c r="AC1330" t="s">
        <v>426</v>
      </c>
      <c r="AD1330" t="s">
        <v>407</v>
      </c>
      <c r="AE1330" t="s">
        <v>566</v>
      </c>
      <c r="AF1330">
        <v>3</v>
      </c>
      <c r="AG1330">
        <v>346</v>
      </c>
      <c r="AH1330">
        <v>809</v>
      </c>
      <c r="AI1330" s="122">
        <v>55890</v>
      </c>
      <c r="AJ1330" s="122">
        <v>50809</v>
      </c>
      <c r="AK1330">
        <v>80</v>
      </c>
      <c r="AL1330" s="122">
        <v>10915</v>
      </c>
      <c r="AM1330" s="122">
        <v>9923</v>
      </c>
      <c r="AN1330" s="122">
        <v>7822</v>
      </c>
      <c r="AO1330" s="122">
        <v>2897</v>
      </c>
      <c r="AP1330" s="122">
        <v>1593</v>
      </c>
      <c r="AQ1330">
        <v>590</v>
      </c>
      <c r="AR1330" s="122">
        <v>17748</v>
      </c>
      <c r="AS1330" s="122">
        <v>16134</v>
      </c>
      <c r="AT1330">
        <v>0</v>
      </c>
      <c r="AU1330">
        <v>0</v>
      </c>
      <c r="AV1330" s="122">
        <v>80354</v>
      </c>
    </row>
    <row r="1331" spans="2:48" hidden="1">
      <c r="B1331" t="s">
        <v>370</v>
      </c>
      <c r="C1331" t="s">
        <v>58</v>
      </c>
      <c r="D1331" t="s">
        <v>431</v>
      </c>
      <c r="E1331" t="s">
        <v>137</v>
      </c>
      <c r="F1331" s="122">
        <v>1</v>
      </c>
      <c r="G1331" s="122">
        <v>189</v>
      </c>
      <c r="H1331" s="122">
        <v>272</v>
      </c>
      <c r="I1331" s="122">
        <v>30107</v>
      </c>
      <c r="J1331" s="122">
        <v>27370</v>
      </c>
      <c r="K1331" s="122">
        <v>55</v>
      </c>
      <c r="L1331" s="122">
        <v>6133</v>
      </c>
      <c r="M1331" s="122">
        <v>5575</v>
      </c>
      <c r="N1331" s="122">
        <v>2308</v>
      </c>
      <c r="O1331" s="122">
        <v>855</v>
      </c>
      <c r="P1331" s="122">
        <v>351</v>
      </c>
      <c r="Q1331" s="122">
        <v>130</v>
      </c>
      <c r="R1331" s="122">
        <v>12535</v>
      </c>
      <c r="S1331" s="122">
        <v>4643</v>
      </c>
      <c r="T1331" s="122">
        <v>0</v>
      </c>
      <c r="U1331" s="122">
        <v>0</v>
      </c>
      <c r="V1331" s="122">
        <v>38573</v>
      </c>
      <c r="W1331" s="122">
        <f t="shared" si="40"/>
        <v>38573</v>
      </c>
      <c r="X1331" s="122">
        <f t="shared" si="41"/>
        <v>51434</v>
      </c>
      <c r="AA1331" t="s">
        <v>58</v>
      </c>
      <c r="AB1331" t="s">
        <v>406</v>
      </c>
      <c r="AC1331" t="s">
        <v>426</v>
      </c>
      <c r="AD1331" t="s">
        <v>579</v>
      </c>
      <c r="AE1331" t="s">
        <v>566</v>
      </c>
      <c r="AF1331">
        <v>1</v>
      </c>
      <c r="AG1331" s="122">
        <v>136</v>
      </c>
      <c r="AH1331" s="122">
        <v>236</v>
      </c>
      <c r="AI1331" s="122">
        <v>16595</v>
      </c>
      <c r="AJ1331" s="122">
        <v>15087</v>
      </c>
      <c r="AK1331">
        <v>85</v>
      </c>
      <c r="AL1331" s="122">
        <v>4960</v>
      </c>
      <c r="AM1331" s="122">
        <v>4509</v>
      </c>
      <c r="AN1331" s="122">
        <v>2924</v>
      </c>
      <c r="AO1331" s="122">
        <v>1083</v>
      </c>
      <c r="AP1331" s="122">
        <v>621</v>
      </c>
      <c r="AQ1331" s="122">
        <v>230</v>
      </c>
      <c r="AR1331" s="122">
        <v>7040</v>
      </c>
      <c r="AS1331" s="122">
        <v>5867</v>
      </c>
      <c r="AT1331" s="122">
        <v>0</v>
      </c>
      <c r="AU1331" s="122">
        <v>0</v>
      </c>
      <c r="AV1331" s="122">
        <v>26776</v>
      </c>
    </row>
    <row r="1332" spans="2:48" hidden="1">
      <c r="B1332" t="s">
        <v>370</v>
      </c>
      <c r="C1332" t="s">
        <v>58</v>
      </c>
      <c r="D1332" t="s">
        <v>431</v>
      </c>
      <c r="E1332" t="s">
        <v>431</v>
      </c>
      <c r="F1332" s="122">
        <v>1</v>
      </c>
      <c r="G1332" s="122">
        <v>171</v>
      </c>
      <c r="H1332" s="122">
        <v>290</v>
      </c>
      <c r="I1332" s="122">
        <v>34278</v>
      </c>
      <c r="J1332" s="122">
        <v>31162</v>
      </c>
      <c r="K1332" s="122">
        <v>55</v>
      </c>
      <c r="L1332" s="122">
        <v>3491</v>
      </c>
      <c r="M1332" s="122">
        <v>3174</v>
      </c>
      <c r="N1332" s="122">
        <v>2836</v>
      </c>
      <c r="O1332" s="122">
        <v>1050</v>
      </c>
      <c r="P1332" s="122">
        <v>351</v>
      </c>
      <c r="Q1332" s="122">
        <v>130</v>
      </c>
      <c r="R1332" s="122">
        <v>5843</v>
      </c>
      <c r="S1332" s="122">
        <v>5312</v>
      </c>
      <c r="T1332" s="122">
        <v>2798</v>
      </c>
      <c r="U1332" s="122">
        <v>1036</v>
      </c>
      <c r="V1332" s="122">
        <v>41865</v>
      </c>
      <c r="W1332" s="122">
        <f t="shared" si="40"/>
        <v>41864</v>
      </c>
      <c r="X1332" s="122">
        <f t="shared" si="41"/>
        <v>49597</v>
      </c>
      <c r="AA1332" t="s">
        <v>58</v>
      </c>
      <c r="AB1332" t="s">
        <v>406</v>
      </c>
      <c r="AC1332" t="s">
        <v>426</v>
      </c>
      <c r="AD1332" t="s">
        <v>426</v>
      </c>
      <c r="AE1332" t="s">
        <v>137</v>
      </c>
      <c r="AF1332">
        <v>33</v>
      </c>
      <c r="AG1332" s="122">
        <v>4918</v>
      </c>
      <c r="AH1332" s="122">
        <v>8738</v>
      </c>
      <c r="AI1332" s="122">
        <v>747623</v>
      </c>
      <c r="AJ1332" s="122">
        <v>679658</v>
      </c>
      <c r="AK1332">
        <v>78</v>
      </c>
      <c r="AL1332" s="122">
        <v>138063</v>
      </c>
      <c r="AM1332" s="122">
        <v>125511</v>
      </c>
      <c r="AN1332" s="122">
        <v>103164</v>
      </c>
      <c r="AO1332" s="122">
        <v>38209</v>
      </c>
      <c r="AP1332" s="122">
        <v>21897</v>
      </c>
      <c r="AQ1332" s="122">
        <v>8110</v>
      </c>
      <c r="AR1332" s="122">
        <v>219342</v>
      </c>
      <c r="AS1332" s="122">
        <v>199402</v>
      </c>
      <c r="AT1332" s="122">
        <v>91014</v>
      </c>
      <c r="AU1332" s="122">
        <v>33709</v>
      </c>
      <c r="AV1332" s="122">
        <v>1084599</v>
      </c>
    </row>
    <row r="1333" spans="2:48" hidden="1">
      <c r="B1333" t="s">
        <v>370</v>
      </c>
      <c r="C1333" t="s">
        <v>58</v>
      </c>
      <c r="D1333" t="s">
        <v>426</v>
      </c>
      <c r="E1333" t="s">
        <v>426</v>
      </c>
      <c r="F1333" s="122">
        <v>17</v>
      </c>
      <c r="G1333" s="122">
        <v>2603</v>
      </c>
      <c r="H1333" s="122">
        <v>4590</v>
      </c>
      <c r="I1333" s="122">
        <v>439646</v>
      </c>
      <c r="J1333" s="122">
        <v>399678</v>
      </c>
      <c r="K1333" s="122">
        <v>64</v>
      </c>
      <c r="L1333" s="122">
        <v>79399</v>
      </c>
      <c r="M1333" s="122">
        <v>67320</v>
      </c>
      <c r="N1333" s="122">
        <v>46310</v>
      </c>
      <c r="O1333" s="122">
        <v>17152</v>
      </c>
      <c r="P1333" s="122">
        <v>6710</v>
      </c>
      <c r="Q1333" s="122">
        <v>2485</v>
      </c>
      <c r="R1333" s="122">
        <v>109399</v>
      </c>
      <c r="S1333" s="122">
        <v>99453</v>
      </c>
      <c r="T1333" s="122">
        <v>41578</v>
      </c>
      <c r="U1333" s="122">
        <v>15399</v>
      </c>
      <c r="V1333" s="122">
        <v>601487</v>
      </c>
      <c r="W1333" s="122">
        <f t="shared" si="40"/>
        <v>601487</v>
      </c>
      <c r="X1333" s="122">
        <f t="shared" si="41"/>
        <v>723042</v>
      </c>
      <c r="AA1333" t="s">
        <v>58</v>
      </c>
      <c r="AB1333" t="s">
        <v>406</v>
      </c>
      <c r="AC1333" t="s">
        <v>426</v>
      </c>
      <c r="AD1333" t="s">
        <v>426</v>
      </c>
      <c r="AE1333" t="s">
        <v>566</v>
      </c>
      <c r="AF1333">
        <v>10</v>
      </c>
      <c r="AG1333" s="122">
        <v>1288</v>
      </c>
      <c r="AH1333" s="122">
        <v>2608</v>
      </c>
      <c r="AI1333" s="122">
        <v>181345</v>
      </c>
      <c r="AJ1333" s="122">
        <v>164859</v>
      </c>
      <c r="AK1333">
        <v>75</v>
      </c>
      <c r="AL1333" s="122">
        <v>38757</v>
      </c>
      <c r="AM1333" s="122">
        <v>35234</v>
      </c>
      <c r="AN1333" s="122">
        <v>26540</v>
      </c>
      <c r="AO1333" s="122">
        <v>9830</v>
      </c>
      <c r="AP1333" s="122">
        <v>6561</v>
      </c>
      <c r="AQ1333" s="122">
        <v>2430</v>
      </c>
      <c r="AR1333" s="122">
        <v>79627</v>
      </c>
      <c r="AS1333" s="122">
        <v>72388</v>
      </c>
      <c r="AT1333" s="122">
        <v>0</v>
      </c>
      <c r="AU1333">
        <v>0</v>
      </c>
      <c r="AV1333" s="122">
        <v>284741</v>
      </c>
    </row>
    <row r="1334" spans="2:48" hidden="1">
      <c r="B1334" t="s">
        <v>370</v>
      </c>
      <c r="C1334" t="s">
        <v>58</v>
      </c>
      <c r="D1334" t="s">
        <v>408</v>
      </c>
      <c r="E1334" t="s">
        <v>408</v>
      </c>
      <c r="F1334" s="122">
        <v>2</v>
      </c>
      <c r="G1334" s="122">
        <v>291</v>
      </c>
      <c r="H1334" s="122">
        <v>549</v>
      </c>
      <c r="I1334" s="122">
        <v>53312</v>
      </c>
      <c r="J1334" s="122">
        <v>48466</v>
      </c>
      <c r="K1334" s="122">
        <v>65</v>
      </c>
      <c r="L1334" s="122">
        <v>6654</v>
      </c>
      <c r="M1334" s="122">
        <v>5834</v>
      </c>
      <c r="N1334" s="122">
        <v>5133</v>
      </c>
      <c r="O1334" s="122">
        <v>1901</v>
      </c>
      <c r="P1334" s="122">
        <v>972</v>
      </c>
      <c r="Q1334" s="122">
        <v>360</v>
      </c>
      <c r="R1334" s="122">
        <v>9105</v>
      </c>
      <c r="S1334" s="122">
        <v>8278</v>
      </c>
      <c r="T1334" s="122">
        <v>4537</v>
      </c>
      <c r="U1334" s="122">
        <v>1681</v>
      </c>
      <c r="V1334" s="122">
        <v>66519</v>
      </c>
      <c r="W1334" s="122">
        <f t="shared" si="40"/>
        <v>66520</v>
      </c>
      <c r="X1334" s="122">
        <f t="shared" si="41"/>
        <v>79713</v>
      </c>
      <c r="AA1334" t="s">
        <v>58</v>
      </c>
      <c r="AB1334" t="s">
        <v>406</v>
      </c>
      <c r="AC1334" t="s">
        <v>426</v>
      </c>
      <c r="AD1334" t="s">
        <v>481</v>
      </c>
      <c r="AE1334" t="s">
        <v>137</v>
      </c>
      <c r="AF1334">
        <v>1</v>
      </c>
      <c r="AG1334">
        <v>129</v>
      </c>
      <c r="AH1334">
        <v>292</v>
      </c>
      <c r="AI1334" s="122">
        <v>21909</v>
      </c>
      <c r="AJ1334" s="122">
        <v>19917</v>
      </c>
      <c r="AK1334">
        <v>83</v>
      </c>
      <c r="AL1334" s="122">
        <v>6394</v>
      </c>
      <c r="AM1334" s="122">
        <v>5813</v>
      </c>
      <c r="AN1334" s="122">
        <v>2714</v>
      </c>
      <c r="AO1334" s="122">
        <v>1005</v>
      </c>
      <c r="AP1334" s="122">
        <v>621</v>
      </c>
      <c r="AQ1334">
        <v>230</v>
      </c>
      <c r="AR1334" s="122">
        <v>3588</v>
      </c>
      <c r="AS1334" s="122">
        <v>3262</v>
      </c>
      <c r="AT1334" s="122">
        <v>2333</v>
      </c>
      <c r="AU1334" s="122">
        <v>864</v>
      </c>
      <c r="AV1334" s="122">
        <v>31091</v>
      </c>
    </row>
    <row r="1335" spans="2:48" hidden="1">
      <c r="B1335" t="s">
        <v>370</v>
      </c>
      <c r="C1335" t="s">
        <v>60</v>
      </c>
      <c r="F1335" s="122">
        <v>1</v>
      </c>
      <c r="G1335" s="122">
        <v>682</v>
      </c>
      <c r="H1335" s="122">
        <v>351</v>
      </c>
      <c r="I1335" s="122"/>
      <c r="J1335" s="122">
        <v>0</v>
      </c>
      <c r="K1335" s="122"/>
      <c r="L1335" s="122"/>
      <c r="M1335" s="122">
        <v>0</v>
      </c>
      <c r="N1335" s="122">
        <v>16363</v>
      </c>
      <c r="O1335" s="122">
        <v>6060</v>
      </c>
      <c r="P1335" s="122">
        <v>621</v>
      </c>
      <c r="Q1335" s="122">
        <v>230</v>
      </c>
      <c r="R1335" s="122"/>
      <c r="S1335" s="122">
        <v>0</v>
      </c>
      <c r="T1335" s="122">
        <v>0</v>
      </c>
      <c r="U1335" s="122">
        <v>0</v>
      </c>
      <c r="V1335" s="122">
        <v>6290</v>
      </c>
      <c r="W1335" s="122">
        <f t="shared" si="40"/>
        <v>6290</v>
      </c>
      <c r="X1335" s="122">
        <f t="shared" si="41"/>
        <v>16984</v>
      </c>
      <c r="AA1335" t="s">
        <v>58</v>
      </c>
      <c r="AB1335" t="s">
        <v>406</v>
      </c>
      <c r="AC1335" t="s">
        <v>426</v>
      </c>
      <c r="AD1335" t="s">
        <v>433</v>
      </c>
      <c r="AE1335" t="s">
        <v>137</v>
      </c>
      <c r="AF1335">
        <v>2</v>
      </c>
      <c r="AG1335">
        <v>627</v>
      </c>
      <c r="AH1335" s="122">
        <v>494</v>
      </c>
      <c r="AI1335" s="122">
        <v>104955</v>
      </c>
      <c r="AJ1335" s="122">
        <v>95414</v>
      </c>
      <c r="AK1335">
        <v>75</v>
      </c>
      <c r="AL1335" s="122">
        <v>13324</v>
      </c>
      <c r="AM1335" s="122">
        <v>12113</v>
      </c>
      <c r="AN1335" s="122">
        <v>14335</v>
      </c>
      <c r="AO1335" s="122">
        <v>5309</v>
      </c>
      <c r="AP1335" s="122">
        <v>1593</v>
      </c>
      <c r="AQ1335" s="122">
        <v>590</v>
      </c>
      <c r="AR1335" s="122">
        <v>10882</v>
      </c>
      <c r="AS1335" s="122">
        <v>9893</v>
      </c>
      <c r="AT1335" s="122">
        <v>7142</v>
      </c>
      <c r="AU1335" s="122">
        <v>2645</v>
      </c>
      <c r="AV1335" s="122">
        <v>125963</v>
      </c>
    </row>
    <row r="1336" spans="2:48" hidden="1">
      <c r="B1336" t="s">
        <v>370</v>
      </c>
      <c r="C1336" t="s">
        <v>60</v>
      </c>
      <c r="D1336" t="s">
        <v>425</v>
      </c>
      <c r="E1336" t="s">
        <v>425</v>
      </c>
      <c r="F1336" s="122">
        <v>1</v>
      </c>
      <c r="G1336" s="122">
        <v>88</v>
      </c>
      <c r="H1336" s="122">
        <v>374</v>
      </c>
      <c r="I1336" s="122">
        <v>21834</v>
      </c>
      <c r="J1336" s="122">
        <v>19849</v>
      </c>
      <c r="K1336" s="122">
        <v>72</v>
      </c>
      <c r="L1336" s="122">
        <v>2305</v>
      </c>
      <c r="M1336" s="122">
        <v>2095</v>
      </c>
      <c r="N1336" s="122">
        <v>1460</v>
      </c>
      <c r="O1336" s="122">
        <v>541</v>
      </c>
      <c r="P1336" s="122">
        <v>621</v>
      </c>
      <c r="Q1336" s="122">
        <v>230</v>
      </c>
      <c r="R1336" s="122">
        <v>6710</v>
      </c>
      <c r="S1336" s="122">
        <v>6100</v>
      </c>
      <c r="T1336" s="122">
        <v>0</v>
      </c>
      <c r="U1336" s="122">
        <v>0</v>
      </c>
      <c r="V1336" s="122">
        <v>28815</v>
      </c>
      <c r="W1336" s="122">
        <f t="shared" si="40"/>
        <v>28815</v>
      </c>
      <c r="X1336" s="122">
        <f t="shared" si="41"/>
        <v>32930</v>
      </c>
      <c r="AA1336" t="s">
        <v>58</v>
      </c>
      <c r="AB1336" t="s">
        <v>406</v>
      </c>
      <c r="AC1336" t="s">
        <v>566</v>
      </c>
      <c r="AD1336" t="s">
        <v>137</v>
      </c>
      <c r="AE1336" t="s">
        <v>566</v>
      </c>
      <c r="AF1336">
        <v>8</v>
      </c>
      <c r="AG1336" s="122">
        <v>571</v>
      </c>
      <c r="AH1336" s="122">
        <v>2084</v>
      </c>
      <c r="AI1336" s="122">
        <v>94499</v>
      </c>
      <c r="AJ1336" s="122">
        <v>85908</v>
      </c>
      <c r="AK1336">
        <v>87</v>
      </c>
      <c r="AL1336">
        <v>0</v>
      </c>
      <c r="AM1336" s="122">
        <v>0</v>
      </c>
      <c r="AN1336" s="122">
        <v>10651</v>
      </c>
      <c r="AO1336" s="122">
        <v>3945</v>
      </c>
      <c r="AP1336" s="122">
        <v>4968</v>
      </c>
      <c r="AQ1336" s="122">
        <v>1840</v>
      </c>
      <c r="AR1336" s="122">
        <v>34523</v>
      </c>
      <c r="AS1336" s="122">
        <v>12786</v>
      </c>
      <c r="AT1336" s="122">
        <v>0</v>
      </c>
      <c r="AU1336" s="122">
        <v>0</v>
      </c>
      <c r="AV1336" s="122">
        <v>104479</v>
      </c>
    </row>
    <row r="1337" spans="2:48" hidden="1">
      <c r="B1337" t="s">
        <v>370</v>
      </c>
      <c r="C1337" t="s">
        <v>60</v>
      </c>
      <c r="D1337" t="s">
        <v>405</v>
      </c>
      <c r="E1337" t="s">
        <v>405</v>
      </c>
      <c r="F1337" s="122">
        <v>3</v>
      </c>
      <c r="G1337" s="122">
        <v>332</v>
      </c>
      <c r="H1337" s="122">
        <v>994</v>
      </c>
      <c r="I1337" s="122">
        <v>74122</v>
      </c>
      <c r="J1337" s="122">
        <v>67383</v>
      </c>
      <c r="K1337" s="122">
        <v>90</v>
      </c>
      <c r="L1337" s="122">
        <v>16570</v>
      </c>
      <c r="M1337" s="122">
        <v>14595</v>
      </c>
      <c r="N1337" s="122">
        <v>6452</v>
      </c>
      <c r="O1337" s="122">
        <v>2390</v>
      </c>
      <c r="P1337" s="122">
        <v>1418</v>
      </c>
      <c r="Q1337" s="122">
        <v>525</v>
      </c>
      <c r="R1337" s="122">
        <v>12069</v>
      </c>
      <c r="S1337" s="122">
        <v>10972</v>
      </c>
      <c r="T1337" s="122">
        <v>0</v>
      </c>
      <c r="U1337" s="122">
        <v>0</v>
      </c>
      <c r="V1337" s="122">
        <v>95864</v>
      </c>
      <c r="W1337" s="122">
        <f t="shared" si="40"/>
        <v>95865</v>
      </c>
      <c r="X1337" s="122">
        <f t="shared" si="41"/>
        <v>110631</v>
      </c>
      <c r="AA1337" t="s">
        <v>58</v>
      </c>
      <c r="AB1337" t="s">
        <v>406</v>
      </c>
      <c r="AC1337" t="s">
        <v>566</v>
      </c>
      <c r="AD1337" t="s">
        <v>406</v>
      </c>
      <c r="AE1337" t="s">
        <v>137</v>
      </c>
      <c r="AF1337">
        <v>382</v>
      </c>
      <c r="AG1337" s="122">
        <v>40072</v>
      </c>
      <c r="AH1337" s="122">
        <v>99781</v>
      </c>
      <c r="AI1337" s="122">
        <v>7141513</v>
      </c>
      <c r="AJ1337" s="122">
        <v>6492284</v>
      </c>
      <c r="AK1337">
        <v>81</v>
      </c>
      <c r="AL1337">
        <v>0</v>
      </c>
      <c r="AM1337" s="122">
        <v>1474735</v>
      </c>
      <c r="AN1337" s="122">
        <v>833271</v>
      </c>
      <c r="AO1337" s="122">
        <v>308619</v>
      </c>
      <c r="AP1337" s="122">
        <v>240815</v>
      </c>
      <c r="AQ1337" s="122">
        <v>89191</v>
      </c>
      <c r="AR1337" s="122">
        <v>1607761</v>
      </c>
      <c r="AS1337" s="122">
        <v>1461601</v>
      </c>
      <c r="AT1337" s="122">
        <v>898030</v>
      </c>
      <c r="AU1337" s="122">
        <v>332604</v>
      </c>
      <c r="AV1337" s="122">
        <v>10159033</v>
      </c>
    </row>
    <row r="1338" spans="2:48" hidden="1">
      <c r="B1338" t="s">
        <v>370</v>
      </c>
      <c r="C1338" t="s">
        <v>60</v>
      </c>
      <c r="D1338" t="s">
        <v>137</v>
      </c>
      <c r="E1338" t="s">
        <v>137</v>
      </c>
      <c r="F1338" s="122">
        <v>22</v>
      </c>
      <c r="G1338" s="122">
        <v>3180</v>
      </c>
      <c r="H1338" s="122">
        <v>7556</v>
      </c>
      <c r="I1338" s="122">
        <v>705607</v>
      </c>
      <c r="J1338" s="122">
        <v>261336</v>
      </c>
      <c r="K1338" s="122">
        <v>109</v>
      </c>
      <c r="L1338" s="122">
        <v>142981</v>
      </c>
      <c r="M1338" s="122">
        <v>123762</v>
      </c>
      <c r="N1338" s="122">
        <v>69231</v>
      </c>
      <c r="O1338" s="122">
        <v>25641</v>
      </c>
      <c r="P1338" s="122">
        <v>621</v>
      </c>
      <c r="Q1338" s="122">
        <v>230</v>
      </c>
      <c r="R1338" s="122">
        <v>186400</v>
      </c>
      <c r="S1338" s="122">
        <v>69037</v>
      </c>
      <c r="T1338" s="122">
        <v>0</v>
      </c>
      <c r="U1338" s="122">
        <v>0</v>
      </c>
      <c r="V1338" s="122">
        <v>480005</v>
      </c>
      <c r="W1338" s="122">
        <f t="shared" si="40"/>
        <v>480006</v>
      </c>
      <c r="X1338" s="122">
        <f t="shared" si="41"/>
        <v>1104840</v>
      </c>
      <c r="AA1338" t="s">
        <v>58</v>
      </c>
      <c r="AB1338" t="s">
        <v>406</v>
      </c>
      <c r="AC1338" t="s">
        <v>566</v>
      </c>
      <c r="AD1338" t="s">
        <v>406</v>
      </c>
      <c r="AE1338" t="s">
        <v>566</v>
      </c>
      <c r="AF1338">
        <v>288</v>
      </c>
      <c r="AG1338" s="122">
        <v>31407</v>
      </c>
      <c r="AH1338" s="122">
        <v>74679</v>
      </c>
      <c r="AI1338" s="122">
        <v>5774979</v>
      </c>
      <c r="AJ1338" s="122">
        <v>5249981</v>
      </c>
      <c r="AK1338">
        <v>81</v>
      </c>
      <c r="AL1338">
        <v>0</v>
      </c>
      <c r="AM1338" s="122">
        <v>613324</v>
      </c>
      <c r="AN1338" s="122">
        <v>644746</v>
      </c>
      <c r="AO1338" s="122">
        <v>238795</v>
      </c>
      <c r="AP1338" s="122">
        <v>182224</v>
      </c>
      <c r="AQ1338" s="122">
        <v>67490</v>
      </c>
      <c r="AR1338" s="122">
        <v>1610202</v>
      </c>
      <c r="AS1338" s="122">
        <v>1463820</v>
      </c>
      <c r="AT1338">
        <v>0</v>
      </c>
      <c r="AU1338">
        <v>0</v>
      </c>
      <c r="AV1338" s="122">
        <v>7633410</v>
      </c>
    </row>
    <row r="1339" spans="2:48" hidden="1">
      <c r="B1339" t="s">
        <v>370</v>
      </c>
      <c r="C1339" t="s">
        <v>60</v>
      </c>
      <c r="D1339" t="s">
        <v>137</v>
      </c>
      <c r="E1339" t="s">
        <v>426</v>
      </c>
      <c r="F1339" s="122">
        <v>2</v>
      </c>
      <c r="G1339" s="122">
        <v>283</v>
      </c>
      <c r="H1339" s="122">
        <v>686</v>
      </c>
      <c r="I1339" s="122">
        <v>60625</v>
      </c>
      <c r="J1339" s="122">
        <v>22454</v>
      </c>
      <c r="K1339" s="122">
        <v>100</v>
      </c>
      <c r="L1339" s="122">
        <v>8734</v>
      </c>
      <c r="M1339" s="122">
        <v>7940</v>
      </c>
      <c r="N1339" s="122">
        <v>5153</v>
      </c>
      <c r="O1339" s="122">
        <v>1908</v>
      </c>
      <c r="P1339" s="122">
        <v>702</v>
      </c>
      <c r="Q1339" s="122">
        <v>260</v>
      </c>
      <c r="R1339" s="122">
        <v>13063</v>
      </c>
      <c r="S1339" s="122">
        <v>11876</v>
      </c>
      <c r="T1339" s="122">
        <v>6838</v>
      </c>
      <c r="U1339" s="122">
        <v>2533</v>
      </c>
      <c r="V1339" s="122">
        <v>46971</v>
      </c>
      <c r="W1339" s="122">
        <f t="shared" si="40"/>
        <v>46971</v>
      </c>
      <c r="X1339" s="122">
        <f t="shared" si="41"/>
        <v>95115</v>
      </c>
      <c r="AA1339" t="s">
        <v>58</v>
      </c>
      <c r="AB1339" t="s">
        <v>406</v>
      </c>
      <c r="AC1339" t="s">
        <v>566</v>
      </c>
      <c r="AD1339" t="s">
        <v>427</v>
      </c>
      <c r="AE1339" t="s">
        <v>566</v>
      </c>
      <c r="AF1339">
        <v>1</v>
      </c>
      <c r="AG1339">
        <v>83</v>
      </c>
      <c r="AH1339">
        <v>266</v>
      </c>
      <c r="AI1339" s="122">
        <v>15656</v>
      </c>
      <c r="AJ1339" s="122">
        <v>14233</v>
      </c>
      <c r="AK1339">
        <v>85</v>
      </c>
      <c r="AL1339">
        <v>0</v>
      </c>
      <c r="AM1339" s="122">
        <v>4275</v>
      </c>
      <c r="AN1339" s="122">
        <v>1697</v>
      </c>
      <c r="AO1339">
        <v>628</v>
      </c>
      <c r="AP1339">
        <v>621</v>
      </c>
      <c r="AQ1339">
        <v>230</v>
      </c>
      <c r="AR1339" s="122">
        <v>4192</v>
      </c>
      <c r="AS1339" s="122">
        <v>3810</v>
      </c>
      <c r="AT1339">
        <v>0</v>
      </c>
      <c r="AU1339">
        <v>0</v>
      </c>
      <c r="AV1339" s="122">
        <v>23177</v>
      </c>
    </row>
    <row r="1340" spans="2:48" hidden="1">
      <c r="B1340" t="s">
        <v>370</v>
      </c>
      <c r="C1340" t="s">
        <v>60</v>
      </c>
      <c r="D1340" t="s">
        <v>406</v>
      </c>
      <c r="E1340" t="s">
        <v>425</v>
      </c>
      <c r="F1340" s="122">
        <v>1</v>
      </c>
      <c r="G1340" s="122">
        <v>100</v>
      </c>
      <c r="H1340" s="122">
        <v>362</v>
      </c>
      <c r="I1340" s="122">
        <v>21304</v>
      </c>
      <c r="J1340" s="122">
        <v>19368</v>
      </c>
      <c r="K1340" s="122">
        <v>65</v>
      </c>
      <c r="L1340" s="122">
        <v>4876</v>
      </c>
      <c r="M1340" s="122">
        <v>4433</v>
      </c>
      <c r="N1340" s="122">
        <v>1539</v>
      </c>
      <c r="O1340" s="122">
        <v>570</v>
      </c>
      <c r="P1340" s="122">
        <v>621</v>
      </c>
      <c r="Q1340" s="122">
        <v>230</v>
      </c>
      <c r="R1340" s="122">
        <v>7924</v>
      </c>
      <c r="S1340" s="122">
        <v>7204</v>
      </c>
      <c r="T1340" s="122">
        <v>0</v>
      </c>
      <c r="U1340" s="122">
        <v>0</v>
      </c>
      <c r="V1340" s="122">
        <v>31805</v>
      </c>
      <c r="W1340" s="122">
        <f t="shared" si="40"/>
        <v>31805</v>
      </c>
      <c r="X1340" s="122">
        <f t="shared" si="41"/>
        <v>36264</v>
      </c>
      <c r="AA1340" t="s">
        <v>58</v>
      </c>
      <c r="AB1340" t="s">
        <v>406</v>
      </c>
      <c r="AC1340" t="s">
        <v>566</v>
      </c>
      <c r="AD1340" t="s">
        <v>433</v>
      </c>
      <c r="AE1340" t="s">
        <v>566</v>
      </c>
      <c r="AF1340">
        <v>1</v>
      </c>
      <c r="AG1340">
        <v>67</v>
      </c>
      <c r="AH1340">
        <v>273</v>
      </c>
      <c r="AI1340" s="122">
        <v>11169</v>
      </c>
      <c r="AJ1340" s="122">
        <v>10153</v>
      </c>
      <c r="AK1340">
        <v>79</v>
      </c>
      <c r="AL1340" s="122">
        <v>0</v>
      </c>
      <c r="AM1340" s="122">
        <v>0</v>
      </c>
      <c r="AN1340" s="122">
        <v>977</v>
      </c>
      <c r="AO1340" s="122">
        <v>362</v>
      </c>
      <c r="AP1340">
        <v>621</v>
      </c>
      <c r="AQ1340">
        <v>230</v>
      </c>
      <c r="AR1340" s="122">
        <v>5495</v>
      </c>
      <c r="AS1340" s="122">
        <v>4995</v>
      </c>
      <c r="AT1340" s="122">
        <v>0</v>
      </c>
      <c r="AU1340" s="122">
        <v>0</v>
      </c>
      <c r="AV1340" s="122">
        <v>15740</v>
      </c>
    </row>
    <row r="1341" spans="2:48" hidden="1">
      <c r="B1341" t="s">
        <v>370</v>
      </c>
      <c r="C1341" t="s">
        <v>60</v>
      </c>
      <c r="D1341" t="s">
        <v>406</v>
      </c>
      <c r="E1341" t="s">
        <v>137</v>
      </c>
      <c r="F1341" s="122">
        <v>5</v>
      </c>
      <c r="G1341" s="122">
        <v>871</v>
      </c>
      <c r="H1341" s="122">
        <v>1739</v>
      </c>
      <c r="I1341" s="122">
        <v>188393</v>
      </c>
      <c r="J1341" s="122">
        <v>171266</v>
      </c>
      <c r="K1341" s="122">
        <v>77</v>
      </c>
      <c r="L1341" s="122">
        <v>38656</v>
      </c>
      <c r="M1341" s="122">
        <v>34724</v>
      </c>
      <c r="N1341" s="122">
        <v>17191</v>
      </c>
      <c r="O1341" s="122">
        <v>6367</v>
      </c>
      <c r="P1341" s="122">
        <v>3105</v>
      </c>
      <c r="Q1341" s="122">
        <v>1150</v>
      </c>
      <c r="R1341" s="122">
        <v>54003</v>
      </c>
      <c r="S1341" s="122">
        <v>20001</v>
      </c>
      <c r="T1341" s="122">
        <v>0</v>
      </c>
      <c r="U1341" s="122">
        <v>0</v>
      </c>
      <c r="V1341" s="122">
        <v>233508</v>
      </c>
      <c r="W1341" s="122">
        <f t="shared" si="40"/>
        <v>233508</v>
      </c>
      <c r="X1341" s="122">
        <f t="shared" si="41"/>
        <v>301348</v>
      </c>
      <c r="AA1341" t="s">
        <v>58</v>
      </c>
      <c r="AB1341" t="s">
        <v>406</v>
      </c>
      <c r="AC1341" t="s">
        <v>481</v>
      </c>
      <c r="AD1341" t="s">
        <v>425</v>
      </c>
      <c r="AE1341" t="s">
        <v>137</v>
      </c>
      <c r="AF1341">
        <v>1</v>
      </c>
      <c r="AG1341" s="122">
        <v>146</v>
      </c>
      <c r="AH1341" s="122">
        <v>259</v>
      </c>
      <c r="AI1341" s="122">
        <v>19471</v>
      </c>
      <c r="AJ1341" s="122">
        <v>17701</v>
      </c>
      <c r="AK1341">
        <v>85</v>
      </c>
      <c r="AL1341" s="122">
        <v>5834</v>
      </c>
      <c r="AM1341" s="122">
        <v>5304</v>
      </c>
      <c r="AN1341" s="122">
        <v>3384</v>
      </c>
      <c r="AO1341" s="122">
        <v>1253</v>
      </c>
      <c r="AP1341" s="122">
        <v>621</v>
      </c>
      <c r="AQ1341" s="122">
        <v>230</v>
      </c>
      <c r="AR1341" s="122">
        <v>4882</v>
      </c>
      <c r="AS1341" s="122">
        <v>4439</v>
      </c>
      <c r="AT1341" s="122">
        <v>3691</v>
      </c>
      <c r="AU1341" s="122">
        <v>1367</v>
      </c>
      <c r="AV1341" s="122">
        <v>30293</v>
      </c>
    </row>
    <row r="1342" spans="2:48" hidden="1">
      <c r="B1342" t="s">
        <v>370</v>
      </c>
      <c r="C1342" t="s">
        <v>60</v>
      </c>
      <c r="D1342" t="s">
        <v>406</v>
      </c>
      <c r="E1342" t="s">
        <v>406</v>
      </c>
      <c r="F1342" s="122">
        <v>674</v>
      </c>
      <c r="G1342" s="122">
        <v>87031</v>
      </c>
      <c r="H1342" s="122">
        <v>227246</v>
      </c>
      <c r="I1342" s="122">
        <v>18705020</v>
      </c>
      <c r="J1342" s="122">
        <v>17004564</v>
      </c>
      <c r="K1342" s="122">
        <v>76</v>
      </c>
      <c r="L1342" s="122">
        <v>3955537</v>
      </c>
      <c r="M1342" s="122">
        <v>3470713</v>
      </c>
      <c r="N1342" s="122">
        <v>1830719</v>
      </c>
      <c r="O1342" s="122">
        <v>678044</v>
      </c>
      <c r="P1342" s="122">
        <v>438305</v>
      </c>
      <c r="Q1342" s="122">
        <v>162335</v>
      </c>
      <c r="R1342" s="122">
        <v>3653383</v>
      </c>
      <c r="S1342" s="122">
        <v>3321257</v>
      </c>
      <c r="T1342" s="122">
        <v>1284761</v>
      </c>
      <c r="U1342" s="122">
        <v>475837</v>
      </c>
      <c r="V1342" s="122">
        <v>25112750</v>
      </c>
      <c r="W1342" s="122">
        <f t="shared" si="40"/>
        <v>25112750</v>
      </c>
      <c r="X1342" s="122">
        <f t="shared" si="41"/>
        <v>29867725</v>
      </c>
      <c r="AA1342" t="s">
        <v>58</v>
      </c>
      <c r="AB1342" t="s">
        <v>406</v>
      </c>
      <c r="AC1342" t="s">
        <v>481</v>
      </c>
      <c r="AD1342" t="s">
        <v>406</v>
      </c>
      <c r="AE1342" t="s">
        <v>137</v>
      </c>
      <c r="AF1342">
        <v>34</v>
      </c>
      <c r="AG1342" s="122">
        <v>4611</v>
      </c>
      <c r="AH1342" s="122">
        <v>9190</v>
      </c>
      <c r="AI1342" s="122">
        <v>754023</v>
      </c>
      <c r="AJ1342" s="122">
        <v>685475</v>
      </c>
      <c r="AK1342">
        <v>76</v>
      </c>
      <c r="AL1342" s="122">
        <v>144542</v>
      </c>
      <c r="AM1342" s="122">
        <v>131402</v>
      </c>
      <c r="AN1342" s="122">
        <v>98807</v>
      </c>
      <c r="AO1342" s="122">
        <v>36595</v>
      </c>
      <c r="AP1342" s="122">
        <v>21465</v>
      </c>
      <c r="AQ1342" s="122">
        <v>7950</v>
      </c>
      <c r="AR1342" s="122">
        <v>157699</v>
      </c>
      <c r="AS1342" s="122">
        <v>143363</v>
      </c>
      <c r="AT1342" s="122">
        <v>88760</v>
      </c>
      <c r="AU1342" s="122">
        <v>32874</v>
      </c>
      <c r="AV1342" s="122">
        <v>1037659</v>
      </c>
    </row>
    <row r="1343" spans="2:48" hidden="1">
      <c r="B1343" t="s">
        <v>370</v>
      </c>
      <c r="C1343" t="s">
        <v>60</v>
      </c>
      <c r="D1343" t="s">
        <v>406</v>
      </c>
      <c r="E1343" t="s">
        <v>426</v>
      </c>
      <c r="F1343" s="122">
        <v>2</v>
      </c>
      <c r="G1343" s="122">
        <v>242</v>
      </c>
      <c r="H1343" s="122">
        <v>616</v>
      </c>
      <c r="I1343" s="122">
        <v>48987</v>
      </c>
      <c r="J1343" s="122">
        <v>44533</v>
      </c>
      <c r="K1343" s="122">
        <v>65</v>
      </c>
      <c r="L1343" s="122">
        <v>5175</v>
      </c>
      <c r="M1343" s="122">
        <v>4705</v>
      </c>
      <c r="N1343" s="122">
        <v>2943</v>
      </c>
      <c r="O1343" s="122">
        <v>1090</v>
      </c>
      <c r="P1343" s="122">
        <v>1242</v>
      </c>
      <c r="Q1343" s="122">
        <v>460</v>
      </c>
      <c r="R1343" s="122">
        <v>10462</v>
      </c>
      <c r="S1343" s="122">
        <v>9511</v>
      </c>
      <c r="T1343" s="122">
        <v>5636</v>
      </c>
      <c r="U1343" s="122">
        <v>2087</v>
      </c>
      <c r="V1343" s="122">
        <v>62386</v>
      </c>
      <c r="W1343" s="122">
        <f t="shared" si="40"/>
        <v>62386</v>
      </c>
      <c r="X1343" s="122">
        <f t="shared" si="41"/>
        <v>74445</v>
      </c>
      <c r="AA1343" t="s">
        <v>58</v>
      </c>
      <c r="AB1343" t="s">
        <v>406</v>
      </c>
      <c r="AC1343" t="s">
        <v>481</v>
      </c>
      <c r="AD1343" t="s">
        <v>406</v>
      </c>
      <c r="AE1343" t="s">
        <v>566</v>
      </c>
      <c r="AF1343">
        <v>13</v>
      </c>
      <c r="AG1343" s="122">
        <v>1830</v>
      </c>
      <c r="AH1343" s="122">
        <v>3384</v>
      </c>
      <c r="AI1343" s="122">
        <v>296410</v>
      </c>
      <c r="AJ1343" s="122">
        <v>269463</v>
      </c>
      <c r="AK1343">
        <v>83</v>
      </c>
      <c r="AL1343" s="122">
        <v>60558</v>
      </c>
      <c r="AM1343" s="122">
        <v>55053</v>
      </c>
      <c r="AN1343" s="122">
        <v>39621</v>
      </c>
      <c r="AO1343" s="122">
        <v>14674</v>
      </c>
      <c r="AP1343" s="122">
        <v>8073</v>
      </c>
      <c r="AQ1343" s="122">
        <v>2990</v>
      </c>
      <c r="AR1343" s="122">
        <v>69205</v>
      </c>
      <c r="AS1343" s="122">
        <v>62914</v>
      </c>
      <c r="AT1343">
        <v>0</v>
      </c>
      <c r="AU1343">
        <v>0</v>
      </c>
      <c r="AV1343" s="122">
        <v>405094</v>
      </c>
    </row>
    <row r="1344" spans="2:48" hidden="1">
      <c r="B1344" t="s">
        <v>370</v>
      </c>
      <c r="C1344" t="s">
        <v>60</v>
      </c>
      <c r="D1344" t="s">
        <v>427</v>
      </c>
      <c r="E1344" t="s">
        <v>427</v>
      </c>
      <c r="F1344" s="122">
        <v>3</v>
      </c>
      <c r="G1344" s="122">
        <v>310</v>
      </c>
      <c r="H1344" s="122">
        <v>1051</v>
      </c>
      <c r="I1344" s="122">
        <v>62813</v>
      </c>
      <c r="J1344" s="122">
        <v>57102</v>
      </c>
      <c r="K1344" s="122">
        <v>62</v>
      </c>
      <c r="L1344" s="122">
        <v>14456</v>
      </c>
      <c r="M1344" s="122">
        <v>13142</v>
      </c>
      <c r="N1344" s="122">
        <v>6665</v>
      </c>
      <c r="O1344" s="122">
        <v>2468</v>
      </c>
      <c r="P1344" s="122">
        <v>1053</v>
      </c>
      <c r="Q1344" s="122">
        <v>390</v>
      </c>
      <c r="R1344" s="122">
        <v>17422</v>
      </c>
      <c r="S1344" s="122">
        <v>15839</v>
      </c>
      <c r="T1344" s="122">
        <v>5539</v>
      </c>
      <c r="U1344" s="122">
        <v>2051</v>
      </c>
      <c r="V1344" s="122">
        <v>90993</v>
      </c>
      <c r="W1344" s="122">
        <f t="shared" si="40"/>
        <v>90992</v>
      </c>
      <c r="X1344" s="122">
        <f t="shared" si="41"/>
        <v>107948</v>
      </c>
      <c r="AA1344" t="s">
        <v>58</v>
      </c>
      <c r="AB1344" t="s">
        <v>406</v>
      </c>
      <c r="AC1344" t="s">
        <v>433</v>
      </c>
      <c r="AD1344" t="s">
        <v>137</v>
      </c>
      <c r="AE1344" t="s">
        <v>566</v>
      </c>
      <c r="AF1344">
        <v>8</v>
      </c>
      <c r="AG1344" s="122">
        <v>1199</v>
      </c>
      <c r="AH1344" s="122">
        <v>2049</v>
      </c>
      <c r="AI1344" s="122">
        <v>206357</v>
      </c>
      <c r="AJ1344" s="122">
        <v>187597</v>
      </c>
      <c r="AK1344">
        <v>79</v>
      </c>
      <c r="AL1344" s="122">
        <v>44036</v>
      </c>
      <c r="AM1344" s="122">
        <v>40033</v>
      </c>
      <c r="AN1344" s="122">
        <v>23428</v>
      </c>
      <c r="AO1344" s="122">
        <v>8677</v>
      </c>
      <c r="AP1344" s="122">
        <v>5567</v>
      </c>
      <c r="AQ1344" s="122">
        <v>2062</v>
      </c>
      <c r="AR1344" s="122">
        <v>60808</v>
      </c>
      <c r="AS1344" s="122">
        <v>22521</v>
      </c>
      <c r="AT1344" s="122">
        <v>0</v>
      </c>
      <c r="AU1344" s="122">
        <v>0</v>
      </c>
      <c r="AV1344" s="122">
        <v>260890</v>
      </c>
    </row>
    <row r="1345" spans="2:48" hidden="1">
      <c r="B1345" t="s">
        <v>370</v>
      </c>
      <c r="C1345" t="s">
        <v>60</v>
      </c>
      <c r="D1345" t="s">
        <v>407</v>
      </c>
      <c r="E1345" t="s">
        <v>407</v>
      </c>
      <c r="F1345" s="122">
        <v>100</v>
      </c>
      <c r="G1345" s="122">
        <v>11259</v>
      </c>
      <c r="H1345" s="122">
        <v>33472</v>
      </c>
      <c r="I1345" s="122">
        <v>2278173</v>
      </c>
      <c r="J1345" s="122">
        <v>2071067</v>
      </c>
      <c r="K1345" s="122">
        <v>79</v>
      </c>
      <c r="L1345" s="122">
        <v>634095</v>
      </c>
      <c r="M1345" s="122">
        <v>551219</v>
      </c>
      <c r="N1345" s="122">
        <v>231338</v>
      </c>
      <c r="O1345" s="122">
        <v>85681</v>
      </c>
      <c r="P1345" s="122">
        <v>47534</v>
      </c>
      <c r="Q1345" s="122">
        <v>17605</v>
      </c>
      <c r="R1345" s="122">
        <v>510985</v>
      </c>
      <c r="S1345" s="122">
        <v>464532</v>
      </c>
      <c r="T1345" s="122">
        <v>152097</v>
      </c>
      <c r="U1345" s="122">
        <v>56332</v>
      </c>
      <c r="V1345" s="122">
        <v>3246436</v>
      </c>
      <c r="W1345" s="122">
        <f t="shared" si="40"/>
        <v>3246436</v>
      </c>
      <c r="X1345" s="122">
        <f t="shared" si="41"/>
        <v>3854222</v>
      </c>
      <c r="AA1345" t="s">
        <v>58</v>
      </c>
      <c r="AB1345" t="s">
        <v>406</v>
      </c>
      <c r="AC1345" t="s">
        <v>433</v>
      </c>
      <c r="AD1345" t="s">
        <v>406</v>
      </c>
      <c r="AE1345" t="s">
        <v>137</v>
      </c>
      <c r="AF1345">
        <v>584</v>
      </c>
      <c r="AG1345" s="122">
        <v>77284</v>
      </c>
      <c r="AH1345" s="122">
        <v>151175</v>
      </c>
      <c r="AI1345" s="122">
        <v>12241753</v>
      </c>
      <c r="AJ1345" s="122">
        <v>11128867</v>
      </c>
      <c r="AK1345">
        <v>80</v>
      </c>
      <c r="AL1345" s="122">
        <v>2316928</v>
      </c>
      <c r="AM1345" s="122">
        <v>2106299</v>
      </c>
      <c r="AN1345" s="122">
        <v>1554406</v>
      </c>
      <c r="AO1345" s="122">
        <v>575706</v>
      </c>
      <c r="AP1345" s="122">
        <v>372955</v>
      </c>
      <c r="AQ1345" s="122">
        <v>138132</v>
      </c>
      <c r="AR1345" s="122">
        <v>2785123</v>
      </c>
      <c r="AS1345" s="122">
        <v>2531930</v>
      </c>
      <c r="AT1345" s="122">
        <v>1333950</v>
      </c>
      <c r="AU1345" s="122">
        <v>494056</v>
      </c>
      <c r="AV1345" s="122">
        <v>16974989</v>
      </c>
    </row>
    <row r="1346" spans="2:48" hidden="1">
      <c r="B1346" t="s">
        <v>370</v>
      </c>
      <c r="C1346" t="s">
        <v>60</v>
      </c>
      <c r="D1346" t="s">
        <v>556</v>
      </c>
      <c r="E1346" t="s">
        <v>556</v>
      </c>
      <c r="F1346" s="122">
        <v>2</v>
      </c>
      <c r="G1346" s="122">
        <v>244</v>
      </c>
      <c r="H1346" s="122">
        <v>713</v>
      </c>
      <c r="I1346" s="122">
        <v>65972</v>
      </c>
      <c r="J1346" s="122">
        <v>54977</v>
      </c>
      <c r="K1346" s="122">
        <v>60</v>
      </c>
      <c r="L1346" s="122">
        <v>15239</v>
      </c>
      <c r="M1346" s="122">
        <v>9794</v>
      </c>
      <c r="N1346" s="122">
        <v>7238</v>
      </c>
      <c r="O1346" s="122">
        <v>2681</v>
      </c>
      <c r="P1346" s="122">
        <v>702</v>
      </c>
      <c r="Q1346" s="122">
        <v>260</v>
      </c>
      <c r="R1346" s="122">
        <v>10498</v>
      </c>
      <c r="S1346" s="122">
        <v>8748</v>
      </c>
      <c r="T1346" s="122">
        <v>5904</v>
      </c>
      <c r="U1346" s="122">
        <v>2187</v>
      </c>
      <c r="V1346" s="122">
        <v>78646</v>
      </c>
      <c r="W1346" s="122">
        <f t="shared" si="40"/>
        <v>78647</v>
      </c>
      <c r="X1346" s="122">
        <f t="shared" si="41"/>
        <v>105553</v>
      </c>
      <c r="AA1346" t="s">
        <v>58</v>
      </c>
      <c r="AB1346" t="s">
        <v>406</v>
      </c>
      <c r="AC1346" t="s">
        <v>433</v>
      </c>
      <c r="AD1346" t="s">
        <v>406</v>
      </c>
      <c r="AE1346" t="s">
        <v>566</v>
      </c>
      <c r="AF1346">
        <v>407</v>
      </c>
      <c r="AG1346" s="122">
        <v>56705</v>
      </c>
      <c r="AH1346" s="122">
        <v>105539</v>
      </c>
      <c r="AI1346" s="122">
        <v>9218722</v>
      </c>
      <c r="AJ1346" s="122">
        <v>8380657</v>
      </c>
      <c r="AK1346">
        <v>80</v>
      </c>
      <c r="AL1346" s="122">
        <v>1721750</v>
      </c>
      <c r="AM1346" s="122">
        <v>1565227</v>
      </c>
      <c r="AN1346" s="122">
        <v>1164636</v>
      </c>
      <c r="AO1346" s="122">
        <v>431347</v>
      </c>
      <c r="AP1346" s="122">
        <v>263559</v>
      </c>
      <c r="AQ1346" s="122">
        <v>97614</v>
      </c>
      <c r="AR1346" s="122">
        <v>2593036</v>
      </c>
      <c r="AS1346" s="122">
        <v>2357305</v>
      </c>
      <c r="AT1346" s="122">
        <v>0</v>
      </c>
      <c r="AU1346" s="122">
        <v>0</v>
      </c>
      <c r="AV1346" s="122">
        <v>12832150</v>
      </c>
    </row>
    <row r="1347" spans="2:48" hidden="1">
      <c r="B1347" t="s">
        <v>370</v>
      </c>
      <c r="C1347" t="s">
        <v>60</v>
      </c>
      <c r="D1347" t="s">
        <v>431</v>
      </c>
      <c r="E1347" t="s">
        <v>137</v>
      </c>
      <c r="F1347" s="122">
        <v>1</v>
      </c>
      <c r="G1347" s="122">
        <v>224</v>
      </c>
      <c r="H1347" s="122">
        <v>370</v>
      </c>
      <c r="I1347" s="122">
        <v>63778</v>
      </c>
      <c r="J1347" s="122">
        <v>57980</v>
      </c>
      <c r="K1347" s="122">
        <v>30</v>
      </c>
      <c r="L1347" s="122">
        <v>5218</v>
      </c>
      <c r="M1347" s="122">
        <v>1933</v>
      </c>
      <c r="N1347" s="122">
        <v>5338</v>
      </c>
      <c r="O1347" s="122">
        <v>1977</v>
      </c>
      <c r="P1347" s="122">
        <v>0</v>
      </c>
      <c r="Q1347" s="122">
        <v>0</v>
      </c>
      <c r="R1347" s="122">
        <v>8458</v>
      </c>
      <c r="S1347" s="122">
        <v>3133</v>
      </c>
      <c r="T1347" s="122">
        <v>0</v>
      </c>
      <c r="U1347" s="122">
        <v>0</v>
      </c>
      <c r="V1347" s="122">
        <v>65022</v>
      </c>
      <c r="W1347" s="122">
        <f t="shared" si="40"/>
        <v>65023</v>
      </c>
      <c r="X1347" s="122">
        <f t="shared" si="41"/>
        <v>82792</v>
      </c>
      <c r="AA1347" t="s">
        <v>58</v>
      </c>
      <c r="AB1347" t="s">
        <v>406</v>
      </c>
      <c r="AC1347" t="s">
        <v>433</v>
      </c>
      <c r="AD1347" t="s">
        <v>427</v>
      </c>
      <c r="AE1347" t="s">
        <v>137</v>
      </c>
      <c r="AF1347">
        <v>1</v>
      </c>
      <c r="AG1347">
        <v>175</v>
      </c>
      <c r="AH1347">
        <v>235</v>
      </c>
      <c r="AI1347" s="122">
        <v>22056</v>
      </c>
      <c r="AJ1347" s="122">
        <v>20051</v>
      </c>
      <c r="AK1347">
        <v>86</v>
      </c>
      <c r="AL1347" s="122">
        <v>6649</v>
      </c>
      <c r="AM1347" s="122">
        <v>6045</v>
      </c>
      <c r="AN1347" s="122">
        <v>4189</v>
      </c>
      <c r="AO1347" s="122">
        <v>1551</v>
      </c>
      <c r="AP1347">
        <v>621</v>
      </c>
      <c r="AQ1347">
        <v>230</v>
      </c>
      <c r="AR1347" s="122">
        <v>4444</v>
      </c>
      <c r="AS1347" s="122">
        <v>4040</v>
      </c>
      <c r="AT1347" s="122">
        <v>3287</v>
      </c>
      <c r="AU1347" s="122">
        <v>1217</v>
      </c>
      <c r="AV1347" s="122">
        <v>33134</v>
      </c>
    </row>
    <row r="1348" spans="2:48" hidden="1">
      <c r="B1348" t="s">
        <v>370</v>
      </c>
      <c r="C1348" t="s">
        <v>60</v>
      </c>
      <c r="D1348" t="s">
        <v>431</v>
      </c>
      <c r="E1348" t="s">
        <v>431</v>
      </c>
      <c r="F1348" s="122">
        <v>5</v>
      </c>
      <c r="G1348" s="122">
        <v>569</v>
      </c>
      <c r="H1348" s="122">
        <v>1654</v>
      </c>
      <c r="I1348" s="122">
        <v>139085</v>
      </c>
      <c r="J1348" s="122">
        <v>126441</v>
      </c>
      <c r="K1348" s="122">
        <v>55</v>
      </c>
      <c r="L1348" s="122">
        <v>22812</v>
      </c>
      <c r="M1348" s="122">
        <v>17709</v>
      </c>
      <c r="N1348" s="122">
        <v>12925</v>
      </c>
      <c r="O1348" s="122">
        <v>4787</v>
      </c>
      <c r="P1348" s="122">
        <v>1755</v>
      </c>
      <c r="Q1348" s="122">
        <v>650</v>
      </c>
      <c r="R1348" s="122">
        <v>29504</v>
      </c>
      <c r="S1348" s="122">
        <v>26822</v>
      </c>
      <c r="T1348" s="122">
        <v>14444</v>
      </c>
      <c r="U1348" s="122">
        <v>5349</v>
      </c>
      <c r="V1348" s="122">
        <v>181758</v>
      </c>
      <c r="W1348" s="122">
        <f t="shared" si="40"/>
        <v>181758</v>
      </c>
      <c r="X1348" s="122">
        <f t="shared" si="41"/>
        <v>220525</v>
      </c>
      <c r="AA1348" t="s">
        <v>58</v>
      </c>
      <c r="AB1348" t="s">
        <v>406</v>
      </c>
      <c r="AC1348" t="s">
        <v>433</v>
      </c>
      <c r="AD1348" t="s">
        <v>407</v>
      </c>
      <c r="AE1348" t="s">
        <v>137</v>
      </c>
      <c r="AF1348">
        <v>1</v>
      </c>
      <c r="AG1348">
        <v>141</v>
      </c>
      <c r="AH1348">
        <v>294</v>
      </c>
      <c r="AI1348" s="122">
        <v>28069</v>
      </c>
      <c r="AJ1348" s="122">
        <v>25517</v>
      </c>
      <c r="AK1348">
        <v>86</v>
      </c>
      <c r="AL1348" s="122">
        <v>3906</v>
      </c>
      <c r="AM1348" s="122">
        <v>3551</v>
      </c>
      <c r="AN1348" s="122">
        <v>1712</v>
      </c>
      <c r="AO1348">
        <v>634</v>
      </c>
      <c r="AP1348">
        <v>621</v>
      </c>
      <c r="AQ1348">
        <v>230</v>
      </c>
      <c r="AR1348" s="122">
        <v>4065</v>
      </c>
      <c r="AS1348" s="122">
        <v>3696</v>
      </c>
      <c r="AT1348" s="122">
        <v>2914</v>
      </c>
      <c r="AU1348" s="122">
        <v>1079</v>
      </c>
      <c r="AV1348" s="122">
        <v>34706</v>
      </c>
    </row>
    <row r="1349" spans="2:48" hidden="1">
      <c r="B1349" t="s">
        <v>370</v>
      </c>
      <c r="C1349" t="s">
        <v>60</v>
      </c>
      <c r="D1349" t="s">
        <v>426</v>
      </c>
      <c r="E1349" t="s">
        <v>137</v>
      </c>
      <c r="F1349" s="122">
        <v>1</v>
      </c>
      <c r="G1349" s="122">
        <v>94</v>
      </c>
      <c r="H1349" s="122">
        <v>348</v>
      </c>
      <c r="I1349" s="122">
        <v>21489</v>
      </c>
      <c r="J1349" s="122">
        <v>19536</v>
      </c>
      <c r="K1349" s="122">
        <v>60</v>
      </c>
      <c r="L1349" s="122">
        <v>3516</v>
      </c>
      <c r="M1349" s="122">
        <v>1302</v>
      </c>
      <c r="N1349" s="122">
        <v>2009</v>
      </c>
      <c r="O1349" s="122">
        <v>744</v>
      </c>
      <c r="P1349" s="122">
        <v>0</v>
      </c>
      <c r="Q1349" s="122">
        <v>0</v>
      </c>
      <c r="R1349" s="122">
        <v>5782</v>
      </c>
      <c r="S1349" s="122">
        <v>2142</v>
      </c>
      <c r="T1349" s="122">
        <v>0</v>
      </c>
      <c r="U1349" s="122">
        <v>0</v>
      </c>
      <c r="V1349" s="122">
        <v>23724</v>
      </c>
      <c r="W1349" s="122">
        <f t="shared" si="40"/>
        <v>23724</v>
      </c>
      <c r="X1349" s="122">
        <f t="shared" si="41"/>
        <v>32796</v>
      </c>
      <c r="AA1349" t="s">
        <v>58</v>
      </c>
      <c r="AB1349" t="s">
        <v>406</v>
      </c>
      <c r="AC1349" t="s">
        <v>433</v>
      </c>
      <c r="AD1349" t="s">
        <v>433</v>
      </c>
      <c r="AE1349" t="s">
        <v>137</v>
      </c>
      <c r="AF1349">
        <v>1</v>
      </c>
      <c r="AG1349">
        <v>112</v>
      </c>
      <c r="AH1349">
        <v>300</v>
      </c>
      <c r="AI1349" s="122">
        <v>23459</v>
      </c>
      <c r="AJ1349" s="122">
        <v>21326</v>
      </c>
      <c r="AK1349">
        <v>86</v>
      </c>
      <c r="AL1349" s="122">
        <v>3528</v>
      </c>
      <c r="AM1349" s="122">
        <v>3207</v>
      </c>
      <c r="AN1349" s="122">
        <v>1363</v>
      </c>
      <c r="AO1349" s="122">
        <v>505</v>
      </c>
      <c r="AP1349" s="122">
        <v>621</v>
      </c>
      <c r="AQ1349">
        <v>230</v>
      </c>
      <c r="AR1349" s="122">
        <v>3021</v>
      </c>
      <c r="AS1349" s="122">
        <v>2746</v>
      </c>
      <c r="AT1349" s="122">
        <v>1548</v>
      </c>
      <c r="AU1349" s="122">
        <v>573</v>
      </c>
      <c r="AV1349" s="122">
        <v>28587</v>
      </c>
    </row>
    <row r="1350" spans="2:48" hidden="1">
      <c r="B1350" t="s">
        <v>370</v>
      </c>
      <c r="C1350" t="s">
        <v>60</v>
      </c>
      <c r="D1350" t="s">
        <v>426</v>
      </c>
      <c r="E1350" t="s">
        <v>426</v>
      </c>
      <c r="F1350" s="122">
        <v>47</v>
      </c>
      <c r="G1350" s="122">
        <v>5698</v>
      </c>
      <c r="H1350" s="122">
        <v>15972</v>
      </c>
      <c r="I1350" s="122">
        <v>1269568</v>
      </c>
      <c r="J1350" s="122">
        <v>1154152</v>
      </c>
      <c r="K1350" s="122">
        <v>59</v>
      </c>
      <c r="L1350" s="122">
        <v>186882</v>
      </c>
      <c r="M1350" s="122">
        <v>169749</v>
      </c>
      <c r="N1350" s="122">
        <v>110299</v>
      </c>
      <c r="O1350" s="122">
        <v>40851</v>
      </c>
      <c r="P1350" s="122">
        <v>20812</v>
      </c>
      <c r="Q1350" s="122">
        <v>7708</v>
      </c>
      <c r="R1350" s="122">
        <v>279785</v>
      </c>
      <c r="S1350" s="122">
        <v>254350</v>
      </c>
      <c r="T1350" s="122">
        <v>106830</v>
      </c>
      <c r="U1350" s="122">
        <v>39567</v>
      </c>
      <c r="V1350" s="122">
        <v>1666378</v>
      </c>
      <c r="W1350" s="122">
        <f t="shared" si="40"/>
        <v>1666377</v>
      </c>
      <c r="X1350" s="122">
        <f t="shared" si="41"/>
        <v>1974176</v>
      </c>
      <c r="AA1350" t="s">
        <v>58</v>
      </c>
      <c r="AB1350" t="s">
        <v>406</v>
      </c>
      <c r="AC1350" t="s">
        <v>408</v>
      </c>
      <c r="AD1350" t="s">
        <v>406</v>
      </c>
      <c r="AE1350" t="s">
        <v>137</v>
      </c>
      <c r="AF1350">
        <v>2</v>
      </c>
      <c r="AG1350">
        <v>403</v>
      </c>
      <c r="AH1350" s="122">
        <v>543</v>
      </c>
      <c r="AI1350" s="122">
        <v>76921</v>
      </c>
      <c r="AJ1350" s="122">
        <v>69928</v>
      </c>
      <c r="AK1350">
        <v>75</v>
      </c>
      <c r="AL1350" s="122">
        <v>9810</v>
      </c>
      <c r="AM1350" s="122">
        <v>8918</v>
      </c>
      <c r="AN1350" s="122">
        <v>7533</v>
      </c>
      <c r="AO1350" s="122">
        <v>2790</v>
      </c>
      <c r="AP1350" s="122">
        <v>1593</v>
      </c>
      <c r="AQ1350" s="122">
        <v>590</v>
      </c>
      <c r="AR1350" s="122">
        <v>10570</v>
      </c>
      <c r="AS1350" s="122">
        <v>9609</v>
      </c>
      <c r="AT1350" s="122">
        <v>3747</v>
      </c>
      <c r="AU1350" s="122">
        <v>1388</v>
      </c>
      <c r="AV1350" s="122">
        <v>93222</v>
      </c>
    </row>
    <row r="1351" spans="2:48" hidden="1">
      <c r="B1351" t="s">
        <v>370</v>
      </c>
      <c r="C1351" t="s">
        <v>60</v>
      </c>
      <c r="D1351" t="s">
        <v>408</v>
      </c>
      <c r="E1351" t="s">
        <v>408</v>
      </c>
      <c r="F1351" s="122">
        <v>1</v>
      </c>
      <c r="G1351" s="122">
        <v>114</v>
      </c>
      <c r="H1351" s="122">
        <v>333</v>
      </c>
      <c r="I1351" s="122">
        <v>26484</v>
      </c>
      <c r="J1351" s="122">
        <v>24076</v>
      </c>
      <c r="K1351" s="122">
        <v>96</v>
      </c>
      <c r="L1351" s="122">
        <v>4360</v>
      </c>
      <c r="M1351" s="122">
        <v>3963</v>
      </c>
      <c r="N1351" s="122">
        <v>2186</v>
      </c>
      <c r="O1351" s="122">
        <v>810</v>
      </c>
      <c r="P1351" s="122">
        <v>351</v>
      </c>
      <c r="Q1351" s="122">
        <v>130</v>
      </c>
      <c r="R1351" s="122">
        <v>4734</v>
      </c>
      <c r="S1351" s="122">
        <v>4304</v>
      </c>
      <c r="T1351" s="122">
        <v>0</v>
      </c>
      <c r="U1351" s="122">
        <v>0</v>
      </c>
      <c r="V1351" s="122">
        <v>33283</v>
      </c>
      <c r="W1351" s="122">
        <f t="shared" ref="W1351:W1414" si="42">SUM(ABS(J1351),ABS(M1351),ABS(O1351),ABS(Q1351),ABS(S1351),ABS(U1351))</f>
        <v>33283</v>
      </c>
      <c r="X1351" s="122">
        <f t="shared" ref="X1351:X1414" si="43">SUM(ABS(I1351),ABS(N1351),ABS(P1351),ABS(R1351),ABS(T1351),ABS(L1351))</f>
        <v>38115</v>
      </c>
      <c r="AA1351" t="s">
        <v>58</v>
      </c>
      <c r="AB1351" t="s">
        <v>406</v>
      </c>
      <c r="AC1351" t="s">
        <v>408</v>
      </c>
      <c r="AD1351" t="s">
        <v>406</v>
      </c>
      <c r="AE1351" t="s">
        <v>566</v>
      </c>
      <c r="AF1351">
        <v>5</v>
      </c>
      <c r="AG1351">
        <v>800</v>
      </c>
      <c r="AH1351" s="122">
        <v>1295</v>
      </c>
      <c r="AI1351" s="122">
        <v>154688</v>
      </c>
      <c r="AJ1351" s="122">
        <v>140625</v>
      </c>
      <c r="AK1351">
        <v>74</v>
      </c>
      <c r="AL1351" s="122">
        <v>23224</v>
      </c>
      <c r="AM1351" s="122">
        <v>21113</v>
      </c>
      <c r="AN1351" s="122">
        <v>18017</v>
      </c>
      <c r="AO1351" s="122">
        <v>6673</v>
      </c>
      <c r="AP1351" s="122">
        <v>4158</v>
      </c>
      <c r="AQ1351" s="122">
        <v>1540</v>
      </c>
      <c r="AR1351" s="122">
        <v>36183</v>
      </c>
      <c r="AS1351" s="122">
        <v>32893</v>
      </c>
      <c r="AT1351" s="122">
        <v>0</v>
      </c>
      <c r="AU1351">
        <v>0</v>
      </c>
      <c r="AV1351" s="122">
        <v>202845</v>
      </c>
    </row>
    <row r="1352" spans="2:48" hidden="1">
      <c r="B1352" t="s">
        <v>370</v>
      </c>
      <c r="C1352" t="s">
        <v>62</v>
      </c>
      <c r="F1352" s="122">
        <v>2</v>
      </c>
      <c r="G1352" s="122">
        <v>295</v>
      </c>
      <c r="H1352" s="122">
        <v>819</v>
      </c>
      <c r="I1352" s="122"/>
      <c r="J1352" s="122">
        <v>0</v>
      </c>
      <c r="K1352" s="122"/>
      <c r="L1352" s="122"/>
      <c r="M1352" s="122">
        <v>0</v>
      </c>
      <c r="N1352" s="122">
        <v>7195</v>
      </c>
      <c r="O1352" s="122">
        <v>2665</v>
      </c>
      <c r="P1352" s="122">
        <v>621</v>
      </c>
      <c r="Q1352" s="122">
        <v>230</v>
      </c>
      <c r="R1352" s="122"/>
      <c r="S1352" s="122">
        <v>0</v>
      </c>
      <c r="T1352" s="122">
        <v>0</v>
      </c>
      <c r="U1352" s="122">
        <v>0</v>
      </c>
      <c r="V1352" s="122">
        <v>2895</v>
      </c>
      <c r="W1352" s="122">
        <f t="shared" si="42"/>
        <v>2895</v>
      </c>
      <c r="X1352" s="122">
        <f t="shared" si="43"/>
        <v>7816</v>
      </c>
      <c r="AA1352" t="s">
        <v>58</v>
      </c>
      <c r="AB1352" t="s">
        <v>406</v>
      </c>
      <c r="AC1352" t="s">
        <v>408</v>
      </c>
      <c r="AD1352" t="s">
        <v>427</v>
      </c>
      <c r="AE1352" t="s">
        <v>137</v>
      </c>
      <c r="AF1352">
        <v>1</v>
      </c>
      <c r="AG1352" s="122">
        <v>66</v>
      </c>
      <c r="AH1352" s="122">
        <v>243</v>
      </c>
      <c r="AI1352" s="122">
        <v>8828</v>
      </c>
      <c r="AJ1352" s="122">
        <v>8026</v>
      </c>
      <c r="AK1352">
        <v>79</v>
      </c>
      <c r="AL1352" s="122">
        <v>1132</v>
      </c>
      <c r="AM1352" s="122">
        <v>1029</v>
      </c>
      <c r="AN1352" s="122">
        <v>808</v>
      </c>
      <c r="AO1352" s="122">
        <v>299</v>
      </c>
      <c r="AP1352" s="122">
        <v>621</v>
      </c>
      <c r="AQ1352" s="122">
        <v>230</v>
      </c>
      <c r="AR1352" s="122">
        <v>2780</v>
      </c>
      <c r="AS1352" s="122">
        <v>2527</v>
      </c>
      <c r="AT1352" s="122">
        <v>1979</v>
      </c>
      <c r="AU1352" s="122">
        <v>733</v>
      </c>
      <c r="AV1352" s="122">
        <v>12844</v>
      </c>
    </row>
    <row r="1353" spans="2:48" hidden="1">
      <c r="B1353" t="s">
        <v>370</v>
      </c>
      <c r="C1353" t="s">
        <v>62</v>
      </c>
      <c r="D1353" t="s">
        <v>405</v>
      </c>
      <c r="E1353" t="s">
        <v>405</v>
      </c>
      <c r="F1353" s="122">
        <v>2</v>
      </c>
      <c r="G1353" s="122">
        <v>137</v>
      </c>
      <c r="H1353" s="122">
        <v>790</v>
      </c>
      <c r="I1353" s="122">
        <v>32407</v>
      </c>
      <c r="J1353" s="122">
        <v>29461</v>
      </c>
      <c r="K1353" s="122">
        <v>92</v>
      </c>
      <c r="L1353" s="122">
        <v>7700</v>
      </c>
      <c r="M1353" s="122">
        <v>7000</v>
      </c>
      <c r="N1353" s="122">
        <v>2833</v>
      </c>
      <c r="O1353" s="122">
        <v>1049</v>
      </c>
      <c r="P1353" s="122">
        <v>824</v>
      </c>
      <c r="Q1353" s="122">
        <v>305</v>
      </c>
      <c r="R1353" s="122">
        <v>10259</v>
      </c>
      <c r="S1353" s="122">
        <v>9327</v>
      </c>
      <c r="T1353" s="122">
        <v>0</v>
      </c>
      <c r="U1353" s="122">
        <v>0</v>
      </c>
      <c r="V1353" s="122">
        <v>47142</v>
      </c>
      <c r="W1353" s="122">
        <f t="shared" si="42"/>
        <v>47142</v>
      </c>
      <c r="X1353" s="122">
        <f t="shared" si="43"/>
        <v>54023</v>
      </c>
      <c r="AA1353" t="s">
        <v>58</v>
      </c>
      <c r="AB1353" t="s">
        <v>406</v>
      </c>
      <c r="AC1353" t="s">
        <v>429</v>
      </c>
      <c r="AD1353" t="s">
        <v>406</v>
      </c>
      <c r="AE1353" t="s">
        <v>137</v>
      </c>
      <c r="AF1353">
        <v>41</v>
      </c>
      <c r="AG1353" s="122">
        <v>6542</v>
      </c>
      <c r="AH1353" s="122">
        <v>10577</v>
      </c>
      <c r="AI1353" s="122">
        <v>1093666</v>
      </c>
      <c r="AJ1353" s="122">
        <v>994242</v>
      </c>
      <c r="AK1353">
        <v>76</v>
      </c>
      <c r="AL1353" s="122">
        <v>139869</v>
      </c>
      <c r="AM1353" s="122">
        <v>127154</v>
      </c>
      <c r="AN1353" s="122">
        <v>129075</v>
      </c>
      <c r="AO1353" s="122">
        <v>47806</v>
      </c>
      <c r="AP1353" s="122">
        <v>26595</v>
      </c>
      <c r="AQ1353" s="122">
        <v>9850</v>
      </c>
      <c r="AR1353" s="122">
        <v>218626</v>
      </c>
      <c r="AS1353" s="122">
        <v>198751</v>
      </c>
      <c r="AT1353" s="122">
        <v>118445</v>
      </c>
      <c r="AU1353" s="122">
        <v>43869</v>
      </c>
      <c r="AV1353" s="122">
        <v>1421671</v>
      </c>
    </row>
    <row r="1354" spans="2:48" hidden="1">
      <c r="B1354" t="s">
        <v>370</v>
      </c>
      <c r="C1354" t="s">
        <v>62</v>
      </c>
      <c r="D1354" t="s">
        <v>137</v>
      </c>
      <c r="E1354" t="s">
        <v>137</v>
      </c>
      <c r="F1354" s="122">
        <v>12</v>
      </c>
      <c r="G1354" s="122">
        <v>1148</v>
      </c>
      <c r="H1354" s="122">
        <v>4864</v>
      </c>
      <c r="I1354" s="122">
        <v>290458</v>
      </c>
      <c r="J1354" s="122">
        <v>107577</v>
      </c>
      <c r="K1354" s="122">
        <v>100</v>
      </c>
      <c r="L1354" s="122">
        <v>43300</v>
      </c>
      <c r="M1354" s="122">
        <v>36926</v>
      </c>
      <c r="N1354" s="122">
        <v>24773</v>
      </c>
      <c r="O1354" s="122">
        <v>9175</v>
      </c>
      <c r="P1354" s="122">
        <v>473</v>
      </c>
      <c r="Q1354" s="122">
        <v>175</v>
      </c>
      <c r="R1354" s="122">
        <v>105627</v>
      </c>
      <c r="S1354" s="122">
        <v>39121</v>
      </c>
      <c r="T1354" s="122">
        <v>0</v>
      </c>
      <c r="U1354" s="122">
        <v>0</v>
      </c>
      <c r="V1354" s="122">
        <v>192975</v>
      </c>
      <c r="W1354" s="122">
        <f t="shared" si="42"/>
        <v>192974</v>
      </c>
      <c r="X1354" s="122">
        <f t="shared" si="43"/>
        <v>464631</v>
      </c>
      <c r="AA1354" t="s">
        <v>58</v>
      </c>
      <c r="AB1354" t="s">
        <v>406</v>
      </c>
      <c r="AC1354" t="s">
        <v>429</v>
      </c>
      <c r="AD1354" t="s">
        <v>406</v>
      </c>
      <c r="AE1354" t="s">
        <v>566</v>
      </c>
      <c r="AF1354">
        <v>38</v>
      </c>
      <c r="AG1354" s="122">
        <v>6497</v>
      </c>
      <c r="AH1354" s="122">
        <v>9742</v>
      </c>
      <c r="AI1354" s="122">
        <v>1146237</v>
      </c>
      <c r="AJ1354" s="122">
        <v>1042034</v>
      </c>
      <c r="AK1354">
        <v>82</v>
      </c>
      <c r="AL1354" s="122">
        <v>163438</v>
      </c>
      <c r="AM1354" s="122">
        <v>148580</v>
      </c>
      <c r="AN1354" s="122">
        <v>134790</v>
      </c>
      <c r="AO1354" s="122">
        <v>49922</v>
      </c>
      <c r="AP1354" s="122">
        <v>24300</v>
      </c>
      <c r="AQ1354" s="122">
        <v>9000</v>
      </c>
      <c r="AR1354" s="122">
        <v>238675</v>
      </c>
      <c r="AS1354" s="122">
        <v>216978</v>
      </c>
      <c r="AT1354" s="122">
        <v>0</v>
      </c>
      <c r="AU1354">
        <v>0</v>
      </c>
      <c r="AV1354" s="122">
        <v>1466513</v>
      </c>
    </row>
    <row r="1355" spans="2:48" hidden="1">
      <c r="B1355" t="s">
        <v>370</v>
      </c>
      <c r="C1355" t="s">
        <v>62</v>
      </c>
      <c r="D1355" t="s">
        <v>137</v>
      </c>
      <c r="E1355" t="s">
        <v>426</v>
      </c>
      <c r="F1355" s="122">
        <v>1</v>
      </c>
      <c r="G1355" s="122">
        <v>110</v>
      </c>
      <c r="H1355" s="122">
        <v>417</v>
      </c>
      <c r="I1355" s="122">
        <v>33503</v>
      </c>
      <c r="J1355" s="122">
        <v>12408</v>
      </c>
      <c r="K1355" s="122">
        <v>100</v>
      </c>
      <c r="L1355" s="122">
        <v>2333</v>
      </c>
      <c r="M1355" s="122">
        <v>2121</v>
      </c>
      <c r="N1355" s="122">
        <v>2238</v>
      </c>
      <c r="O1355" s="122">
        <v>829</v>
      </c>
      <c r="P1355" s="122">
        <v>351</v>
      </c>
      <c r="Q1355" s="122">
        <v>130</v>
      </c>
      <c r="R1355" s="122">
        <v>4802</v>
      </c>
      <c r="S1355" s="122">
        <v>4366</v>
      </c>
      <c r="T1355" s="122">
        <v>2687</v>
      </c>
      <c r="U1355" s="122">
        <v>995</v>
      </c>
      <c r="V1355" s="122">
        <v>20849</v>
      </c>
      <c r="W1355" s="122">
        <f t="shared" si="42"/>
        <v>20849</v>
      </c>
      <c r="X1355" s="122">
        <f t="shared" si="43"/>
        <v>45914</v>
      </c>
      <c r="AA1355" t="s">
        <v>58</v>
      </c>
      <c r="AB1355" t="s">
        <v>427</v>
      </c>
      <c r="AC1355" t="s">
        <v>578</v>
      </c>
      <c r="AD1355" t="s">
        <v>406</v>
      </c>
      <c r="AE1355" t="s">
        <v>137</v>
      </c>
      <c r="AF1355">
        <v>1</v>
      </c>
      <c r="AG1355">
        <v>99</v>
      </c>
      <c r="AH1355">
        <v>252</v>
      </c>
      <c r="AI1355" s="122">
        <v>13972</v>
      </c>
      <c r="AJ1355" s="122">
        <v>12702</v>
      </c>
      <c r="AK1355">
        <v>86</v>
      </c>
      <c r="AL1355" s="122">
        <v>2101</v>
      </c>
      <c r="AM1355" s="122">
        <v>1910</v>
      </c>
      <c r="AN1355" s="122">
        <v>1813</v>
      </c>
      <c r="AO1355">
        <v>671</v>
      </c>
      <c r="AP1355">
        <v>621</v>
      </c>
      <c r="AQ1355">
        <v>230</v>
      </c>
      <c r="AR1355" s="122">
        <v>3841</v>
      </c>
      <c r="AS1355" s="122">
        <v>3492</v>
      </c>
      <c r="AT1355" s="122">
        <v>2685</v>
      </c>
      <c r="AU1355" s="122">
        <v>994</v>
      </c>
      <c r="AV1355" s="122">
        <v>19999</v>
      </c>
    </row>
    <row r="1356" spans="2:48" hidden="1">
      <c r="B1356" t="s">
        <v>370</v>
      </c>
      <c r="C1356" t="s">
        <v>62</v>
      </c>
      <c r="D1356" t="s">
        <v>406</v>
      </c>
      <c r="E1356" t="s">
        <v>137</v>
      </c>
      <c r="F1356" s="122">
        <v>5</v>
      </c>
      <c r="G1356" s="122">
        <v>631</v>
      </c>
      <c r="H1356" s="122">
        <v>2094</v>
      </c>
      <c r="I1356" s="122">
        <v>207791</v>
      </c>
      <c r="J1356" s="122">
        <v>188901</v>
      </c>
      <c r="K1356" s="122">
        <v>76</v>
      </c>
      <c r="L1356" s="122">
        <v>9014</v>
      </c>
      <c r="M1356" s="122">
        <v>11782</v>
      </c>
      <c r="N1356" s="122">
        <v>14025</v>
      </c>
      <c r="O1356" s="122">
        <v>5195</v>
      </c>
      <c r="P1356" s="122">
        <v>2957</v>
      </c>
      <c r="Q1356" s="122">
        <v>1095</v>
      </c>
      <c r="R1356" s="122">
        <v>36677</v>
      </c>
      <c r="S1356" s="122">
        <v>13584</v>
      </c>
      <c r="T1356" s="122">
        <v>0</v>
      </c>
      <c r="U1356" s="122">
        <v>0</v>
      </c>
      <c r="V1356" s="122">
        <v>220557</v>
      </c>
      <c r="W1356" s="122">
        <f t="shared" si="42"/>
        <v>220557</v>
      </c>
      <c r="X1356" s="122">
        <f t="shared" si="43"/>
        <v>270464</v>
      </c>
      <c r="AA1356" t="s">
        <v>58</v>
      </c>
      <c r="AB1356" t="s">
        <v>427</v>
      </c>
      <c r="AC1356" t="s">
        <v>425</v>
      </c>
      <c r="AD1356" t="s">
        <v>427</v>
      </c>
      <c r="AE1356" t="s">
        <v>137</v>
      </c>
      <c r="AF1356">
        <v>1</v>
      </c>
      <c r="AG1356">
        <v>128</v>
      </c>
      <c r="AH1356">
        <v>273</v>
      </c>
      <c r="AI1356" s="122">
        <v>22489</v>
      </c>
      <c r="AJ1356" s="122">
        <v>20444</v>
      </c>
      <c r="AK1356">
        <v>55</v>
      </c>
      <c r="AL1356" s="122">
        <v>2181</v>
      </c>
      <c r="AM1356" s="122">
        <v>1983</v>
      </c>
      <c r="AN1356" s="122">
        <v>1560</v>
      </c>
      <c r="AO1356" s="122">
        <v>578</v>
      </c>
      <c r="AP1356">
        <v>351</v>
      </c>
      <c r="AQ1356">
        <v>130</v>
      </c>
      <c r="AR1356" s="122">
        <v>5386</v>
      </c>
      <c r="AS1356" s="122">
        <v>4896</v>
      </c>
      <c r="AT1356" s="122">
        <v>3038</v>
      </c>
      <c r="AU1356" s="122">
        <v>1125</v>
      </c>
      <c r="AV1356" s="122">
        <v>29157</v>
      </c>
    </row>
    <row r="1357" spans="2:48" hidden="1">
      <c r="B1357" t="s">
        <v>370</v>
      </c>
      <c r="C1357" t="s">
        <v>62</v>
      </c>
      <c r="D1357" t="s">
        <v>406</v>
      </c>
      <c r="E1357" t="s">
        <v>406</v>
      </c>
      <c r="F1357" s="122">
        <v>279</v>
      </c>
      <c r="G1357" s="122">
        <v>36676</v>
      </c>
      <c r="H1357" s="122">
        <v>115968</v>
      </c>
      <c r="I1357" s="122">
        <v>10241707</v>
      </c>
      <c r="J1357" s="122">
        <v>9310643</v>
      </c>
      <c r="K1357" s="122">
        <v>75</v>
      </c>
      <c r="L1357" s="122">
        <v>2215259</v>
      </c>
      <c r="M1357" s="122">
        <v>2062228</v>
      </c>
      <c r="N1357" s="122">
        <v>766229</v>
      </c>
      <c r="O1357" s="122">
        <v>283788</v>
      </c>
      <c r="P1357" s="122">
        <v>181022</v>
      </c>
      <c r="Q1357" s="122">
        <v>67045</v>
      </c>
      <c r="R1357" s="122">
        <v>1492017</v>
      </c>
      <c r="S1357" s="122">
        <v>1356379</v>
      </c>
      <c r="T1357" s="122">
        <v>575461</v>
      </c>
      <c r="U1357" s="122">
        <v>213134</v>
      </c>
      <c r="V1357" s="122">
        <v>13293217</v>
      </c>
      <c r="W1357" s="122">
        <f t="shared" si="42"/>
        <v>13293217</v>
      </c>
      <c r="X1357" s="122">
        <f t="shared" si="43"/>
        <v>15471695</v>
      </c>
      <c r="AA1357" t="s">
        <v>58</v>
      </c>
      <c r="AB1357" t="s">
        <v>427</v>
      </c>
      <c r="AC1357" t="s">
        <v>425</v>
      </c>
      <c r="AD1357" t="s">
        <v>427</v>
      </c>
      <c r="AE1357" t="s">
        <v>566</v>
      </c>
      <c r="AF1357">
        <v>1</v>
      </c>
      <c r="AG1357">
        <v>528</v>
      </c>
      <c r="AH1357">
        <v>258</v>
      </c>
      <c r="AI1357" s="122">
        <v>82321</v>
      </c>
      <c r="AJ1357" s="122">
        <v>74837</v>
      </c>
      <c r="AK1357">
        <v>60</v>
      </c>
      <c r="AL1357" s="122">
        <v>27440</v>
      </c>
      <c r="AM1357" s="122">
        <v>24946</v>
      </c>
      <c r="AN1357" s="122">
        <v>12163</v>
      </c>
      <c r="AO1357" s="122">
        <v>4505</v>
      </c>
      <c r="AP1357">
        <v>702</v>
      </c>
      <c r="AQ1357">
        <v>260</v>
      </c>
      <c r="AR1357" s="122">
        <v>13737</v>
      </c>
      <c r="AS1357" s="122">
        <v>12488</v>
      </c>
      <c r="AT1357">
        <v>0</v>
      </c>
      <c r="AU1357">
        <v>0</v>
      </c>
      <c r="AV1357" s="122">
        <v>117036</v>
      </c>
    </row>
    <row r="1358" spans="2:48" hidden="1">
      <c r="B1358" t="s">
        <v>370</v>
      </c>
      <c r="C1358" t="s">
        <v>62</v>
      </c>
      <c r="D1358" t="s">
        <v>427</v>
      </c>
      <c r="E1358" t="s">
        <v>427</v>
      </c>
      <c r="F1358" s="122">
        <v>2</v>
      </c>
      <c r="G1358" s="122">
        <v>209</v>
      </c>
      <c r="H1358" s="122">
        <v>833</v>
      </c>
      <c r="I1358" s="122">
        <v>62711</v>
      </c>
      <c r="J1358" s="122">
        <v>57010</v>
      </c>
      <c r="K1358" s="122">
        <v>60</v>
      </c>
      <c r="L1358" s="122">
        <v>9304</v>
      </c>
      <c r="M1358" s="122">
        <v>8459</v>
      </c>
      <c r="N1358" s="122">
        <v>4846</v>
      </c>
      <c r="O1358" s="122">
        <v>1795</v>
      </c>
      <c r="P1358" s="122">
        <v>621</v>
      </c>
      <c r="Q1358" s="122">
        <v>230</v>
      </c>
      <c r="R1358" s="122">
        <v>8762</v>
      </c>
      <c r="S1358" s="122">
        <v>7965</v>
      </c>
      <c r="T1358" s="122">
        <v>1791</v>
      </c>
      <c r="U1358" s="122">
        <v>663</v>
      </c>
      <c r="V1358" s="122">
        <v>76122</v>
      </c>
      <c r="W1358" s="122">
        <f t="shared" si="42"/>
        <v>76122</v>
      </c>
      <c r="X1358" s="122">
        <f t="shared" si="43"/>
        <v>88035</v>
      </c>
      <c r="AA1358" t="s">
        <v>58</v>
      </c>
      <c r="AB1358" t="s">
        <v>427</v>
      </c>
      <c r="AC1358" t="s">
        <v>137</v>
      </c>
      <c r="AD1358" t="s">
        <v>137</v>
      </c>
      <c r="AE1358" t="s">
        <v>566</v>
      </c>
      <c r="AF1358">
        <v>3</v>
      </c>
      <c r="AG1358">
        <v>349</v>
      </c>
      <c r="AH1358">
        <v>834</v>
      </c>
      <c r="AI1358" s="122">
        <v>62715</v>
      </c>
      <c r="AJ1358" s="122">
        <v>57014</v>
      </c>
      <c r="AK1358">
        <v>70</v>
      </c>
      <c r="AL1358" s="122">
        <v>11304</v>
      </c>
      <c r="AM1358" s="122">
        <v>4187</v>
      </c>
      <c r="AN1358" s="122">
        <v>8948</v>
      </c>
      <c r="AO1358" s="122">
        <v>3314</v>
      </c>
      <c r="AP1358">
        <v>702</v>
      </c>
      <c r="AQ1358">
        <v>260</v>
      </c>
      <c r="AR1358" s="122">
        <v>33174</v>
      </c>
      <c r="AS1358" s="122">
        <v>12286</v>
      </c>
      <c r="AT1358">
        <v>0</v>
      </c>
      <c r="AU1358">
        <v>0</v>
      </c>
      <c r="AV1358" s="122">
        <v>77061</v>
      </c>
    </row>
    <row r="1359" spans="2:48" hidden="1">
      <c r="B1359" t="s">
        <v>370</v>
      </c>
      <c r="C1359" t="s">
        <v>62</v>
      </c>
      <c r="D1359" t="s">
        <v>407</v>
      </c>
      <c r="E1359" t="s">
        <v>407</v>
      </c>
      <c r="F1359" s="122">
        <v>21</v>
      </c>
      <c r="G1359" s="122">
        <v>2374</v>
      </c>
      <c r="H1359" s="122">
        <v>8766</v>
      </c>
      <c r="I1359" s="122">
        <v>641528</v>
      </c>
      <c r="J1359" s="122">
        <v>583208</v>
      </c>
      <c r="K1359" s="122">
        <v>77</v>
      </c>
      <c r="L1359" s="122">
        <v>155833</v>
      </c>
      <c r="M1359" s="122">
        <v>131807</v>
      </c>
      <c r="N1359" s="122">
        <v>50429</v>
      </c>
      <c r="O1359" s="122">
        <v>18678</v>
      </c>
      <c r="P1359" s="122">
        <v>9801</v>
      </c>
      <c r="Q1359" s="122">
        <v>3630</v>
      </c>
      <c r="R1359" s="122">
        <v>104976</v>
      </c>
      <c r="S1359" s="122">
        <v>95433</v>
      </c>
      <c r="T1359" s="122">
        <v>25605</v>
      </c>
      <c r="U1359" s="122">
        <v>9483</v>
      </c>
      <c r="V1359" s="122">
        <v>842239</v>
      </c>
      <c r="W1359" s="122">
        <f t="shared" si="42"/>
        <v>842239</v>
      </c>
      <c r="X1359" s="122">
        <f t="shared" si="43"/>
        <v>988172</v>
      </c>
      <c r="AA1359" t="s">
        <v>58</v>
      </c>
      <c r="AB1359" t="s">
        <v>427</v>
      </c>
      <c r="AC1359" t="s">
        <v>137</v>
      </c>
      <c r="AD1359" t="s">
        <v>406</v>
      </c>
      <c r="AE1359" t="s">
        <v>566</v>
      </c>
      <c r="AF1359">
        <v>2</v>
      </c>
      <c r="AG1359" s="122">
        <v>216</v>
      </c>
      <c r="AH1359" s="122">
        <v>562</v>
      </c>
      <c r="AI1359" s="122">
        <v>35347</v>
      </c>
      <c r="AJ1359" s="122">
        <v>32134</v>
      </c>
      <c r="AK1359">
        <v>68</v>
      </c>
      <c r="AL1359" s="122">
        <v>6317</v>
      </c>
      <c r="AM1359" s="122">
        <v>2340</v>
      </c>
      <c r="AN1359" s="122">
        <v>3662</v>
      </c>
      <c r="AO1359" s="122">
        <v>1356</v>
      </c>
      <c r="AP1359" s="122">
        <v>972</v>
      </c>
      <c r="AQ1359" s="122">
        <v>360</v>
      </c>
      <c r="AR1359" s="122">
        <v>14042</v>
      </c>
      <c r="AS1359" s="122">
        <v>12766</v>
      </c>
      <c r="AT1359" s="122">
        <v>0</v>
      </c>
      <c r="AU1359" s="122">
        <v>0</v>
      </c>
      <c r="AV1359" s="122">
        <v>48956</v>
      </c>
    </row>
    <row r="1360" spans="2:48" hidden="1">
      <c r="B1360" t="s">
        <v>370</v>
      </c>
      <c r="C1360" t="s">
        <v>62</v>
      </c>
      <c r="D1360" t="s">
        <v>556</v>
      </c>
      <c r="E1360" t="s">
        <v>556</v>
      </c>
      <c r="F1360" s="122">
        <v>2</v>
      </c>
      <c r="G1360" s="122">
        <v>175</v>
      </c>
      <c r="H1360" s="122">
        <v>868</v>
      </c>
      <c r="I1360" s="122">
        <v>49644</v>
      </c>
      <c r="J1360" s="122">
        <v>41370</v>
      </c>
      <c r="K1360" s="122">
        <v>55</v>
      </c>
      <c r="L1360" s="122">
        <v>7260</v>
      </c>
      <c r="M1360" s="122">
        <v>6050</v>
      </c>
      <c r="N1360" s="122">
        <v>3257</v>
      </c>
      <c r="O1360" s="122">
        <v>1206</v>
      </c>
      <c r="P1360" s="122">
        <v>702</v>
      </c>
      <c r="Q1360" s="122">
        <v>260</v>
      </c>
      <c r="R1360" s="122">
        <v>13953</v>
      </c>
      <c r="S1360" s="122">
        <v>11628</v>
      </c>
      <c r="T1360" s="122">
        <v>1900</v>
      </c>
      <c r="U1360" s="122">
        <v>704</v>
      </c>
      <c r="V1360" s="122">
        <v>61218</v>
      </c>
      <c r="W1360" s="122">
        <f t="shared" si="42"/>
        <v>61218</v>
      </c>
      <c r="X1360" s="122">
        <f t="shared" si="43"/>
        <v>76716</v>
      </c>
      <c r="AA1360" t="s">
        <v>58</v>
      </c>
      <c r="AB1360" t="s">
        <v>427</v>
      </c>
      <c r="AC1360" t="s">
        <v>137</v>
      </c>
      <c r="AD1360" t="s">
        <v>427</v>
      </c>
      <c r="AE1360" t="s">
        <v>137</v>
      </c>
      <c r="AF1360">
        <v>8</v>
      </c>
      <c r="AG1360" s="122">
        <v>1016</v>
      </c>
      <c r="AH1360" s="122">
        <v>2164</v>
      </c>
      <c r="AI1360" s="122">
        <v>184808</v>
      </c>
      <c r="AJ1360" s="122">
        <v>168007</v>
      </c>
      <c r="AK1360">
        <v>62</v>
      </c>
      <c r="AL1360" s="122">
        <v>34528</v>
      </c>
      <c r="AM1360" s="122">
        <v>12788</v>
      </c>
      <c r="AN1360" s="122">
        <v>21496</v>
      </c>
      <c r="AO1360" s="122">
        <v>7961</v>
      </c>
      <c r="AP1360" s="122">
        <v>2808</v>
      </c>
      <c r="AQ1360" s="122">
        <v>1040</v>
      </c>
      <c r="AR1360" s="122">
        <v>41612</v>
      </c>
      <c r="AS1360" s="122">
        <v>37829</v>
      </c>
      <c r="AT1360" s="122">
        <v>19917</v>
      </c>
      <c r="AU1360" s="122">
        <v>7377</v>
      </c>
      <c r="AV1360" s="122">
        <v>235002</v>
      </c>
    </row>
    <row r="1361" spans="2:48" hidden="1">
      <c r="B1361" t="s">
        <v>370</v>
      </c>
      <c r="C1361" t="s">
        <v>62</v>
      </c>
      <c r="D1361" t="s">
        <v>428</v>
      </c>
      <c r="E1361" t="s">
        <v>428</v>
      </c>
      <c r="F1361" s="122">
        <v>3</v>
      </c>
      <c r="G1361" s="122">
        <v>384</v>
      </c>
      <c r="H1361" s="122">
        <v>1233</v>
      </c>
      <c r="I1361" s="122">
        <v>104036</v>
      </c>
      <c r="J1361" s="122">
        <v>94578</v>
      </c>
      <c r="K1361" s="122">
        <v>52</v>
      </c>
      <c r="L1361" s="122">
        <v>18676</v>
      </c>
      <c r="M1361" s="122">
        <v>16978</v>
      </c>
      <c r="N1361" s="122">
        <v>7243</v>
      </c>
      <c r="O1361" s="122">
        <v>2682</v>
      </c>
      <c r="P1361" s="122">
        <v>702</v>
      </c>
      <c r="Q1361" s="122">
        <v>260</v>
      </c>
      <c r="R1361" s="122">
        <v>18856</v>
      </c>
      <c r="S1361" s="122">
        <v>17142</v>
      </c>
      <c r="T1361" s="122">
        <v>8665</v>
      </c>
      <c r="U1361" s="122">
        <v>3209</v>
      </c>
      <c r="V1361" s="122">
        <v>134849</v>
      </c>
      <c r="W1361" s="122">
        <f t="shared" si="42"/>
        <v>134849</v>
      </c>
      <c r="X1361" s="122">
        <f t="shared" si="43"/>
        <v>158178</v>
      </c>
      <c r="AA1361" t="s">
        <v>58</v>
      </c>
      <c r="AB1361" t="s">
        <v>427</v>
      </c>
      <c r="AC1361" t="s">
        <v>137</v>
      </c>
      <c r="AD1361" t="s">
        <v>427</v>
      </c>
      <c r="AE1361" t="s">
        <v>566</v>
      </c>
      <c r="AF1361">
        <v>2</v>
      </c>
      <c r="AG1361" s="122">
        <v>212</v>
      </c>
      <c r="AH1361" s="122">
        <v>556</v>
      </c>
      <c r="AI1361" s="122">
        <v>33516</v>
      </c>
      <c r="AJ1361" s="122">
        <v>30469</v>
      </c>
      <c r="AK1361">
        <v>58</v>
      </c>
      <c r="AL1361" s="122">
        <v>5467</v>
      </c>
      <c r="AM1361" s="122">
        <v>2025</v>
      </c>
      <c r="AN1361" s="122">
        <v>4149</v>
      </c>
      <c r="AO1361" s="122">
        <v>1537</v>
      </c>
      <c r="AP1361" s="122">
        <v>702</v>
      </c>
      <c r="AQ1361" s="122">
        <v>260</v>
      </c>
      <c r="AR1361" s="122">
        <v>15459</v>
      </c>
      <c r="AS1361" s="122">
        <v>14054</v>
      </c>
      <c r="AT1361" s="122">
        <v>0</v>
      </c>
      <c r="AU1361" s="122">
        <v>0</v>
      </c>
      <c r="AV1361" s="122">
        <v>48344</v>
      </c>
    </row>
    <row r="1362" spans="2:48" hidden="1">
      <c r="B1362" t="s">
        <v>370</v>
      </c>
      <c r="C1362" t="s">
        <v>62</v>
      </c>
      <c r="D1362" t="s">
        <v>431</v>
      </c>
      <c r="E1362" t="s">
        <v>431</v>
      </c>
      <c r="F1362" s="122">
        <v>4</v>
      </c>
      <c r="G1362" s="122">
        <v>545</v>
      </c>
      <c r="H1362" s="122">
        <v>1699</v>
      </c>
      <c r="I1362" s="122">
        <v>151938</v>
      </c>
      <c r="J1362" s="122">
        <v>138125</v>
      </c>
      <c r="K1362" s="122">
        <v>53</v>
      </c>
      <c r="L1362" s="122">
        <v>23586</v>
      </c>
      <c r="M1362" s="122">
        <v>21442</v>
      </c>
      <c r="N1362" s="122">
        <v>9775</v>
      </c>
      <c r="O1362" s="122">
        <v>3621</v>
      </c>
      <c r="P1362" s="122">
        <v>1404</v>
      </c>
      <c r="Q1362" s="122">
        <v>520</v>
      </c>
      <c r="R1362" s="122">
        <v>35323</v>
      </c>
      <c r="S1362" s="122">
        <v>32112</v>
      </c>
      <c r="T1362" s="122">
        <v>7966</v>
      </c>
      <c r="U1362" s="122">
        <v>2950</v>
      </c>
      <c r="V1362" s="122">
        <v>198770</v>
      </c>
      <c r="W1362" s="122">
        <f t="shared" si="42"/>
        <v>198770</v>
      </c>
      <c r="X1362" s="122">
        <f t="shared" si="43"/>
        <v>229992</v>
      </c>
      <c r="AA1362" t="s">
        <v>58</v>
      </c>
      <c r="AB1362" t="s">
        <v>427</v>
      </c>
      <c r="AC1362" t="s">
        <v>580</v>
      </c>
      <c r="AD1362" t="s">
        <v>427</v>
      </c>
      <c r="AE1362" t="s">
        <v>137</v>
      </c>
      <c r="AF1362">
        <v>8</v>
      </c>
      <c r="AG1362" s="122">
        <v>1029</v>
      </c>
      <c r="AH1362" s="122">
        <v>2160</v>
      </c>
      <c r="AI1362" s="122">
        <v>174928</v>
      </c>
      <c r="AJ1362" s="122">
        <v>159026</v>
      </c>
      <c r="AK1362">
        <v>63</v>
      </c>
      <c r="AL1362" s="122">
        <v>16329</v>
      </c>
      <c r="AM1362" s="122">
        <v>14844</v>
      </c>
      <c r="AN1362" s="122">
        <v>23377</v>
      </c>
      <c r="AO1362" s="122">
        <v>8658</v>
      </c>
      <c r="AP1362" s="122">
        <v>3078</v>
      </c>
      <c r="AQ1362" s="122">
        <v>1140</v>
      </c>
      <c r="AR1362" s="122">
        <v>45754</v>
      </c>
      <c r="AS1362" s="122">
        <v>41595</v>
      </c>
      <c r="AT1362" s="122">
        <v>20613</v>
      </c>
      <c r="AU1362" s="122">
        <v>7634</v>
      </c>
      <c r="AV1362" s="122">
        <v>232897</v>
      </c>
    </row>
    <row r="1363" spans="2:48" hidden="1">
      <c r="B1363" t="s">
        <v>370</v>
      </c>
      <c r="C1363" t="s">
        <v>62</v>
      </c>
      <c r="D1363" t="s">
        <v>426</v>
      </c>
      <c r="E1363" t="s">
        <v>137</v>
      </c>
      <c r="F1363" s="122">
        <v>1</v>
      </c>
      <c r="G1363" s="122">
        <v>46</v>
      </c>
      <c r="H1363" s="122">
        <v>385</v>
      </c>
      <c r="I1363" s="122">
        <v>13156</v>
      </c>
      <c r="J1363" s="122">
        <v>11960</v>
      </c>
      <c r="K1363" s="122">
        <v>60</v>
      </c>
      <c r="L1363" s="122">
        <v>0</v>
      </c>
      <c r="M1363" s="122">
        <v>0</v>
      </c>
      <c r="N1363" s="122">
        <v>844</v>
      </c>
      <c r="O1363" s="122">
        <v>313</v>
      </c>
      <c r="P1363" s="122">
        <v>0</v>
      </c>
      <c r="Q1363" s="122">
        <v>0</v>
      </c>
      <c r="R1363" s="122">
        <v>3774</v>
      </c>
      <c r="S1363" s="122">
        <v>1398</v>
      </c>
      <c r="T1363" s="122">
        <v>0</v>
      </c>
      <c r="U1363" s="122">
        <v>0</v>
      </c>
      <c r="V1363" s="122">
        <v>13671</v>
      </c>
      <c r="W1363" s="122">
        <f t="shared" si="42"/>
        <v>13671</v>
      </c>
      <c r="X1363" s="122">
        <f t="shared" si="43"/>
        <v>17774</v>
      </c>
      <c r="AA1363" t="s">
        <v>58</v>
      </c>
      <c r="AB1363" t="s">
        <v>427</v>
      </c>
      <c r="AC1363" t="s">
        <v>580</v>
      </c>
      <c r="AD1363" t="s">
        <v>427</v>
      </c>
      <c r="AE1363" t="s">
        <v>566</v>
      </c>
      <c r="AF1363">
        <v>1</v>
      </c>
      <c r="AG1363">
        <v>118</v>
      </c>
      <c r="AH1363">
        <v>268</v>
      </c>
      <c r="AI1363" s="122">
        <v>19893</v>
      </c>
      <c r="AJ1363" s="122">
        <v>18085</v>
      </c>
      <c r="AK1363">
        <v>55</v>
      </c>
      <c r="AL1363" s="122">
        <v>1422</v>
      </c>
      <c r="AM1363" s="122">
        <v>1293</v>
      </c>
      <c r="AN1363" s="122">
        <v>2484</v>
      </c>
      <c r="AO1363" s="122">
        <v>920</v>
      </c>
      <c r="AP1363">
        <v>621</v>
      </c>
      <c r="AQ1363">
        <v>230</v>
      </c>
      <c r="AR1363" s="122">
        <v>7166</v>
      </c>
      <c r="AS1363" s="122">
        <v>6515</v>
      </c>
      <c r="AT1363">
        <v>0</v>
      </c>
      <c r="AU1363">
        <v>0</v>
      </c>
      <c r="AV1363" s="122">
        <v>27042</v>
      </c>
    </row>
    <row r="1364" spans="2:48" hidden="1">
      <c r="B1364" t="s">
        <v>370</v>
      </c>
      <c r="C1364" t="s">
        <v>62</v>
      </c>
      <c r="D1364" t="s">
        <v>426</v>
      </c>
      <c r="E1364" t="s">
        <v>426</v>
      </c>
      <c r="F1364" s="122">
        <v>29</v>
      </c>
      <c r="G1364" s="122">
        <v>3073</v>
      </c>
      <c r="H1364" s="122">
        <v>12011</v>
      </c>
      <c r="I1364" s="122">
        <v>842587</v>
      </c>
      <c r="J1364" s="122">
        <v>765988</v>
      </c>
      <c r="K1364" s="122">
        <v>50</v>
      </c>
      <c r="L1364" s="122">
        <v>126110</v>
      </c>
      <c r="M1364" s="122">
        <v>111291</v>
      </c>
      <c r="N1364" s="122">
        <v>59742</v>
      </c>
      <c r="O1364" s="122">
        <v>22127</v>
      </c>
      <c r="P1364" s="122">
        <v>10449</v>
      </c>
      <c r="Q1364" s="122">
        <v>3870</v>
      </c>
      <c r="R1364" s="122">
        <v>185910</v>
      </c>
      <c r="S1364" s="122">
        <v>169009</v>
      </c>
      <c r="T1364" s="122">
        <v>66860</v>
      </c>
      <c r="U1364" s="122">
        <v>24763</v>
      </c>
      <c r="V1364" s="122">
        <v>1097048</v>
      </c>
      <c r="W1364" s="122">
        <f t="shared" si="42"/>
        <v>1097048</v>
      </c>
      <c r="X1364" s="122">
        <f t="shared" si="43"/>
        <v>1291658</v>
      </c>
      <c r="AA1364" t="s">
        <v>58</v>
      </c>
      <c r="AB1364" t="s">
        <v>427</v>
      </c>
      <c r="AC1364" t="s">
        <v>427</v>
      </c>
      <c r="AD1364" t="s">
        <v>137</v>
      </c>
      <c r="AE1364" t="s">
        <v>566</v>
      </c>
      <c r="AF1364">
        <v>3</v>
      </c>
      <c r="AG1364" s="122">
        <v>446</v>
      </c>
      <c r="AH1364" s="122">
        <v>825</v>
      </c>
      <c r="AI1364" s="122">
        <v>83903</v>
      </c>
      <c r="AJ1364" s="122">
        <v>76275</v>
      </c>
      <c r="AK1364">
        <v>57</v>
      </c>
      <c r="AL1364" s="122">
        <v>12374</v>
      </c>
      <c r="AM1364" s="122">
        <v>11249</v>
      </c>
      <c r="AN1364" s="122">
        <v>8043</v>
      </c>
      <c r="AO1364" s="122">
        <v>2979</v>
      </c>
      <c r="AP1364" s="122">
        <v>702</v>
      </c>
      <c r="AQ1364" s="122">
        <v>260</v>
      </c>
      <c r="AR1364" s="122">
        <v>18447</v>
      </c>
      <c r="AS1364" s="122">
        <v>6832</v>
      </c>
      <c r="AT1364" s="122">
        <v>0</v>
      </c>
      <c r="AU1364" s="122">
        <v>0</v>
      </c>
      <c r="AV1364" s="122">
        <v>97595</v>
      </c>
    </row>
    <row r="1365" spans="2:48" hidden="1">
      <c r="B1365" t="s">
        <v>370</v>
      </c>
      <c r="C1365" t="s">
        <v>64</v>
      </c>
      <c r="F1365" s="122">
        <v>2</v>
      </c>
      <c r="G1365" s="122">
        <v>526</v>
      </c>
      <c r="H1365" s="122">
        <v>1234</v>
      </c>
      <c r="I1365" s="122"/>
      <c r="J1365" s="122">
        <v>0</v>
      </c>
      <c r="K1365" s="122"/>
      <c r="L1365" s="122"/>
      <c r="M1365" s="122">
        <v>0</v>
      </c>
      <c r="N1365" s="122">
        <v>11754</v>
      </c>
      <c r="O1365" s="122">
        <v>4353</v>
      </c>
      <c r="P1365" s="122">
        <v>1242</v>
      </c>
      <c r="Q1365" s="122">
        <v>460</v>
      </c>
      <c r="R1365" s="122"/>
      <c r="S1365" s="122">
        <v>0</v>
      </c>
      <c r="T1365" s="122">
        <v>0</v>
      </c>
      <c r="U1365" s="122">
        <v>0</v>
      </c>
      <c r="V1365" s="122">
        <v>4813</v>
      </c>
      <c r="W1365" s="122">
        <f t="shared" si="42"/>
        <v>4813</v>
      </c>
      <c r="X1365" s="122">
        <f t="shared" si="43"/>
        <v>12996</v>
      </c>
      <c r="AA1365" t="s">
        <v>58</v>
      </c>
      <c r="AB1365" t="s">
        <v>427</v>
      </c>
      <c r="AC1365" t="s">
        <v>427</v>
      </c>
      <c r="AD1365" t="s">
        <v>427</v>
      </c>
      <c r="AE1365" t="s">
        <v>137</v>
      </c>
      <c r="AF1365">
        <v>20</v>
      </c>
      <c r="AG1365" s="122">
        <v>2669</v>
      </c>
      <c r="AH1365" s="122">
        <v>5571</v>
      </c>
      <c r="AI1365" s="122">
        <v>469863</v>
      </c>
      <c r="AJ1365" s="122">
        <v>427148</v>
      </c>
      <c r="AK1365">
        <v>62</v>
      </c>
      <c r="AL1365" s="122">
        <v>82790</v>
      </c>
      <c r="AM1365" s="122">
        <v>75264</v>
      </c>
      <c r="AN1365" s="122">
        <v>56330</v>
      </c>
      <c r="AO1365" s="122">
        <v>20863</v>
      </c>
      <c r="AP1365" s="122">
        <v>7913</v>
      </c>
      <c r="AQ1365" s="122">
        <v>2931</v>
      </c>
      <c r="AR1365" s="122">
        <v>111882</v>
      </c>
      <c r="AS1365" s="122">
        <v>101711</v>
      </c>
      <c r="AT1365" s="122">
        <v>49130</v>
      </c>
      <c r="AU1365" s="122">
        <v>18196</v>
      </c>
      <c r="AV1365" s="122">
        <v>646113</v>
      </c>
    </row>
    <row r="1366" spans="2:48" hidden="1">
      <c r="B1366" t="s">
        <v>370</v>
      </c>
      <c r="C1366" t="s">
        <v>64</v>
      </c>
      <c r="D1366" t="s">
        <v>425</v>
      </c>
      <c r="E1366" t="s">
        <v>406</v>
      </c>
      <c r="F1366" s="122">
        <v>1</v>
      </c>
      <c r="G1366" s="122">
        <v>75</v>
      </c>
      <c r="H1366" s="122">
        <v>589</v>
      </c>
      <c r="I1366" s="122">
        <v>30143</v>
      </c>
      <c r="J1366" s="122">
        <v>27403</v>
      </c>
      <c r="K1366" s="122">
        <v>70</v>
      </c>
      <c r="L1366" s="122">
        <v>3712</v>
      </c>
      <c r="M1366" s="122">
        <v>3375</v>
      </c>
      <c r="N1366" s="122">
        <v>995</v>
      </c>
      <c r="O1366" s="122">
        <v>369</v>
      </c>
      <c r="P1366" s="122">
        <v>621</v>
      </c>
      <c r="Q1366" s="122">
        <v>230</v>
      </c>
      <c r="R1366" s="122">
        <v>5402</v>
      </c>
      <c r="S1366" s="122">
        <v>4911</v>
      </c>
      <c r="T1366" s="122">
        <v>3256</v>
      </c>
      <c r="U1366" s="122">
        <v>1206</v>
      </c>
      <c r="V1366" s="122">
        <v>37492</v>
      </c>
      <c r="W1366" s="122">
        <f t="shared" si="42"/>
        <v>37494</v>
      </c>
      <c r="X1366" s="122">
        <f t="shared" si="43"/>
        <v>44129</v>
      </c>
      <c r="AA1366" t="s">
        <v>58</v>
      </c>
      <c r="AB1366" t="s">
        <v>427</v>
      </c>
      <c r="AC1366" t="s">
        <v>427</v>
      </c>
      <c r="AD1366" t="s">
        <v>427</v>
      </c>
      <c r="AE1366" t="s">
        <v>566</v>
      </c>
      <c r="AF1366">
        <v>14</v>
      </c>
      <c r="AG1366" s="122">
        <v>1820</v>
      </c>
      <c r="AH1366" s="122">
        <v>3862</v>
      </c>
      <c r="AI1366" s="122">
        <v>306474</v>
      </c>
      <c r="AJ1366" s="122">
        <v>278613</v>
      </c>
      <c r="AK1366">
        <v>63</v>
      </c>
      <c r="AL1366" s="122">
        <v>48773</v>
      </c>
      <c r="AM1366" s="122">
        <v>44339</v>
      </c>
      <c r="AN1366" s="122">
        <v>32535</v>
      </c>
      <c r="AO1366" s="122">
        <v>12050</v>
      </c>
      <c r="AP1366" s="122">
        <v>4914</v>
      </c>
      <c r="AQ1366" s="122">
        <v>1820</v>
      </c>
      <c r="AR1366" s="122">
        <v>106816</v>
      </c>
      <c r="AS1366" s="122">
        <v>97105</v>
      </c>
      <c r="AT1366" s="122">
        <v>0</v>
      </c>
      <c r="AU1366">
        <v>0</v>
      </c>
      <c r="AV1366" s="122">
        <v>433927</v>
      </c>
    </row>
    <row r="1367" spans="2:48" hidden="1">
      <c r="B1367" t="s">
        <v>370</v>
      </c>
      <c r="C1367" t="s">
        <v>64</v>
      </c>
      <c r="D1367" t="s">
        <v>137</v>
      </c>
      <c r="E1367" t="s">
        <v>137</v>
      </c>
      <c r="F1367" s="122">
        <v>70</v>
      </c>
      <c r="G1367" s="122">
        <v>8144</v>
      </c>
      <c r="H1367" s="122">
        <v>57400</v>
      </c>
      <c r="I1367" s="122">
        <v>4444386</v>
      </c>
      <c r="J1367" s="122">
        <v>1646069</v>
      </c>
      <c r="K1367" s="122">
        <v>100</v>
      </c>
      <c r="L1367" s="122">
        <v>1033466</v>
      </c>
      <c r="M1367" s="122">
        <v>856962</v>
      </c>
      <c r="N1367" s="122">
        <v>193846</v>
      </c>
      <c r="O1367" s="122">
        <v>71795</v>
      </c>
      <c r="P1367" s="122">
        <v>2115</v>
      </c>
      <c r="Q1367" s="122">
        <v>783</v>
      </c>
      <c r="R1367" s="122">
        <v>516613</v>
      </c>
      <c r="S1367" s="122">
        <v>191338</v>
      </c>
      <c r="T1367" s="122">
        <v>0</v>
      </c>
      <c r="U1367" s="122">
        <v>0</v>
      </c>
      <c r="V1367" s="122">
        <v>2766947</v>
      </c>
      <c r="W1367" s="122">
        <f t="shared" si="42"/>
        <v>2766947</v>
      </c>
      <c r="X1367" s="122">
        <f t="shared" si="43"/>
        <v>6190426</v>
      </c>
      <c r="AA1367" t="s">
        <v>58</v>
      </c>
      <c r="AB1367" t="s">
        <v>427</v>
      </c>
      <c r="AC1367" t="s">
        <v>407</v>
      </c>
      <c r="AD1367" t="s">
        <v>427</v>
      </c>
      <c r="AE1367" t="s">
        <v>137</v>
      </c>
      <c r="AF1367">
        <v>1</v>
      </c>
      <c r="AG1367">
        <v>84</v>
      </c>
      <c r="AH1367">
        <v>282</v>
      </c>
      <c r="AI1367" s="122">
        <v>12971</v>
      </c>
      <c r="AJ1367" s="122">
        <v>11792</v>
      </c>
      <c r="AK1367">
        <v>65</v>
      </c>
      <c r="AL1367" s="122">
        <v>1441</v>
      </c>
      <c r="AM1367" s="122">
        <v>1310</v>
      </c>
      <c r="AN1367" s="122">
        <v>2047</v>
      </c>
      <c r="AO1367">
        <v>758</v>
      </c>
      <c r="AP1367">
        <v>473</v>
      </c>
      <c r="AQ1367">
        <v>175</v>
      </c>
      <c r="AR1367" s="122">
        <v>4378</v>
      </c>
      <c r="AS1367" s="122">
        <v>3980</v>
      </c>
      <c r="AT1367" s="122">
        <v>2353</v>
      </c>
      <c r="AU1367">
        <v>871</v>
      </c>
      <c r="AV1367" s="122">
        <v>18886</v>
      </c>
    </row>
    <row r="1368" spans="2:48" hidden="1">
      <c r="B1368" t="s">
        <v>370</v>
      </c>
      <c r="C1368" t="s">
        <v>64</v>
      </c>
      <c r="D1368" t="s">
        <v>137</v>
      </c>
      <c r="E1368" t="s">
        <v>406</v>
      </c>
      <c r="F1368" s="122">
        <v>3</v>
      </c>
      <c r="G1368" s="122">
        <v>417</v>
      </c>
      <c r="H1368" s="122">
        <v>1861</v>
      </c>
      <c r="I1368" s="122">
        <v>185223</v>
      </c>
      <c r="J1368" s="122">
        <v>68601</v>
      </c>
      <c r="K1368" s="122">
        <v>100</v>
      </c>
      <c r="L1368" s="122">
        <v>34854</v>
      </c>
      <c r="M1368" s="122">
        <v>31686</v>
      </c>
      <c r="N1368" s="122">
        <v>9653</v>
      </c>
      <c r="O1368" s="122">
        <v>3575</v>
      </c>
      <c r="P1368" s="122">
        <v>891</v>
      </c>
      <c r="Q1368" s="122">
        <v>330</v>
      </c>
      <c r="R1368" s="122">
        <v>26312</v>
      </c>
      <c r="S1368" s="122">
        <v>23920</v>
      </c>
      <c r="T1368" s="122">
        <v>3341</v>
      </c>
      <c r="U1368" s="122">
        <v>1237</v>
      </c>
      <c r="V1368" s="122">
        <v>129349</v>
      </c>
      <c r="W1368" s="122">
        <f t="shared" si="42"/>
        <v>129349</v>
      </c>
      <c r="X1368" s="122">
        <f t="shared" si="43"/>
        <v>260274</v>
      </c>
      <c r="AA1368" t="s">
        <v>58</v>
      </c>
      <c r="AB1368" t="s">
        <v>427</v>
      </c>
      <c r="AC1368" t="s">
        <v>431</v>
      </c>
      <c r="AD1368" t="s">
        <v>578</v>
      </c>
      <c r="AE1368" t="s">
        <v>137</v>
      </c>
      <c r="AF1368">
        <v>1</v>
      </c>
      <c r="AG1368">
        <v>105</v>
      </c>
      <c r="AH1368">
        <v>291</v>
      </c>
      <c r="AI1368" s="122">
        <v>16854</v>
      </c>
      <c r="AJ1368" s="122">
        <v>15321</v>
      </c>
      <c r="AK1368">
        <v>65</v>
      </c>
      <c r="AL1368" s="122">
        <v>4057</v>
      </c>
      <c r="AM1368" s="122">
        <v>3689</v>
      </c>
      <c r="AN1368" s="122">
        <v>2143</v>
      </c>
      <c r="AO1368" s="122">
        <v>794</v>
      </c>
      <c r="AP1368">
        <v>351</v>
      </c>
      <c r="AQ1368">
        <v>130</v>
      </c>
      <c r="AR1368" s="122">
        <v>4548</v>
      </c>
      <c r="AS1368" s="122">
        <v>4134</v>
      </c>
      <c r="AT1368" s="122">
        <v>2487</v>
      </c>
      <c r="AU1368" s="122">
        <v>921</v>
      </c>
      <c r="AV1368" s="122">
        <v>24989</v>
      </c>
    </row>
    <row r="1369" spans="2:48" hidden="1">
      <c r="B1369" t="s">
        <v>370</v>
      </c>
      <c r="C1369" t="s">
        <v>64</v>
      </c>
      <c r="D1369" t="s">
        <v>137</v>
      </c>
      <c r="E1369" t="s">
        <v>426</v>
      </c>
      <c r="F1369" s="122">
        <v>8</v>
      </c>
      <c r="G1369" s="122">
        <v>924</v>
      </c>
      <c r="H1369" s="122">
        <v>6624</v>
      </c>
      <c r="I1369" s="122">
        <v>538169</v>
      </c>
      <c r="J1369" s="122">
        <v>199322</v>
      </c>
      <c r="K1369" s="122">
        <v>100</v>
      </c>
      <c r="L1369" s="122">
        <v>76321</v>
      </c>
      <c r="M1369" s="122">
        <v>63410</v>
      </c>
      <c r="N1369" s="122">
        <v>20703</v>
      </c>
      <c r="O1369" s="122">
        <v>7668</v>
      </c>
      <c r="P1369" s="122">
        <v>351</v>
      </c>
      <c r="Q1369" s="122">
        <v>130</v>
      </c>
      <c r="R1369" s="122">
        <v>78180</v>
      </c>
      <c r="S1369" s="122">
        <v>71073</v>
      </c>
      <c r="T1369" s="122">
        <v>21132</v>
      </c>
      <c r="U1369" s="122">
        <v>7826</v>
      </c>
      <c r="V1369" s="122">
        <v>349429</v>
      </c>
      <c r="W1369" s="122">
        <f t="shared" si="42"/>
        <v>349429</v>
      </c>
      <c r="X1369" s="122">
        <f t="shared" si="43"/>
        <v>734856</v>
      </c>
      <c r="AA1369" t="s">
        <v>58</v>
      </c>
      <c r="AB1369" t="s">
        <v>427</v>
      </c>
      <c r="AC1369" t="s">
        <v>426</v>
      </c>
      <c r="AD1369" t="s">
        <v>406</v>
      </c>
      <c r="AE1369" t="s">
        <v>137</v>
      </c>
      <c r="AF1369">
        <v>1</v>
      </c>
      <c r="AG1369">
        <v>212</v>
      </c>
      <c r="AH1369">
        <v>293</v>
      </c>
      <c r="AI1369" s="122">
        <v>41796</v>
      </c>
      <c r="AJ1369" s="122">
        <v>37996</v>
      </c>
      <c r="AK1369">
        <v>75</v>
      </c>
      <c r="AL1369" s="122">
        <v>5519</v>
      </c>
      <c r="AM1369" s="122">
        <v>5017</v>
      </c>
      <c r="AN1369" s="122">
        <v>5166</v>
      </c>
      <c r="AO1369" s="122">
        <v>1913</v>
      </c>
      <c r="AP1369">
        <v>621</v>
      </c>
      <c r="AQ1369">
        <v>230</v>
      </c>
      <c r="AR1369" s="122">
        <v>5477</v>
      </c>
      <c r="AS1369" s="122">
        <v>4979</v>
      </c>
      <c r="AT1369" s="122">
        <v>3631</v>
      </c>
      <c r="AU1369" s="122">
        <v>1345</v>
      </c>
      <c r="AV1369" s="122">
        <v>51480</v>
      </c>
    </row>
    <row r="1370" spans="2:48" hidden="1">
      <c r="B1370" t="s">
        <v>370</v>
      </c>
      <c r="C1370" t="s">
        <v>64</v>
      </c>
      <c r="D1370" t="s">
        <v>406</v>
      </c>
      <c r="E1370" t="s">
        <v>137</v>
      </c>
      <c r="F1370" s="122">
        <v>6</v>
      </c>
      <c r="G1370" s="122">
        <v>608</v>
      </c>
      <c r="H1370" s="122">
        <v>3651</v>
      </c>
      <c r="I1370" s="122">
        <v>261564</v>
      </c>
      <c r="J1370" s="122">
        <v>237785</v>
      </c>
      <c r="K1370" s="122">
        <v>67</v>
      </c>
      <c r="L1370" s="122">
        <v>53586</v>
      </c>
      <c r="M1370" s="122">
        <v>46032</v>
      </c>
      <c r="N1370" s="122">
        <v>13666</v>
      </c>
      <c r="O1370" s="122">
        <v>5061</v>
      </c>
      <c r="P1370" s="122">
        <v>3726</v>
      </c>
      <c r="Q1370" s="122">
        <v>1380</v>
      </c>
      <c r="R1370" s="122">
        <v>37065</v>
      </c>
      <c r="S1370" s="122">
        <v>13728</v>
      </c>
      <c r="T1370" s="122">
        <v>0</v>
      </c>
      <c r="U1370" s="122">
        <v>0</v>
      </c>
      <c r="V1370" s="122">
        <v>303987</v>
      </c>
      <c r="W1370" s="122">
        <f t="shared" si="42"/>
        <v>303986</v>
      </c>
      <c r="X1370" s="122">
        <f t="shared" si="43"/>
        <v>369607</v>
      </c>
      <c r="AA1370" t="s">
        <v>58</v>
      </c>
      <c r="AB1370" t="s">
        <v>427</v>
      </c>
      <c r="AC1370" t="s">
        <v>426</v>
      </c>
      <c r="AD1370" t="s">
        <v>406</v>
      </c>
      <c r="AE1370" t="s">
        <v>566</v>
      </c>
      <c r="AF1370">
        <v>2</v>
      </c>
      <c r="AG1370">
        <v>179</v>
      </c>
      <c r="AH1370">
        <v>559</v>
      </c>
      <c r="AI1370" s="122">
        <v>31321</v>
      </c>
      <c r="AJ1370" s="122">
        <v>28474</v>
      </c>
      <c r="AK1370">
        <v>79</v>
      </c>
      <c r="AL1370" s="122">
        <v>6324</v>
      </c>
      <c r="AM1370" s="122">
        <v>5749</v>
      </c>
      <c r="AN1370" s="122">
        <v>4841</v>
      </c>
      <c r="AO1370" s="122">
        <v>1793</v>
      </c>
      <c r="AP1370">
        <v>972</v>
      </c>
      <c r="AQ1370">
        <v>360</v>
      </c>
      <c r="AR1370" s="122">
        <v>12997</v>
      </c>
      <c r="AS1370" s="122">
        <v>11816</v>
      </c>
      <c r="AT1370">
        <v>0</v>
      </c>
      <c r="AU1370">
        <v>0</v>
      </c>
      <c r="AV1370" s="122">
        <v>48192</v>
      </c>
    </row>
    <row r="1371" spans="2:48" hidden="1">
      <c r="B1371" t="s">
        <v>370</v>
      </c>
      <c r="C1371" t="s">
        <v>64</v>
      </c>
      <c r="D1371" t="s">
        <v>406</v>
      </c>
      <c r="E1371" t="s">
        <v>406</v>
      </c>
      <c r="F1371" s="122">
        <v>322</v>
      </c>
      <c r="G1371" s="122">
        <v>37136</v>
      </c>
      <c r="H1371" s="122">
        <v>179144</v>
      </c>
      <c r="I1371" s="122">
        <v>14221249</v>
      </c>
      <c r="J1371" s="122">
        <v>12928408</v>
      </c>
      <c r="K1371" s="122">
        <v>72</v>
      </c>
      <c r="L1371" s="122">
        <v>3079429</v>
      </c>
      <c r="M1371" s="122">
        <v>2706573</v>
      </c>
      <c r="N1371" s="122">
        <v>823606</v>
      </c>
      <c r="O1371" s="122">
        <v>305039</v>
      </c>
      <c r="P1371" s="122">
        <v>201574</v>
      </c>
      <c r="Q1371" s="122">
        <v>74657</v>
      </c>
      <c r="R1371" s="122">
        <v>1666367</v>
      </c>
      <c r="S1371" s="122">
        <v>1514879</v>
      </c>
      <c r="T1371" s="122">
        <v>661871</v>
      </c>
      <c r="U1371" s="122">
        <v>245137</v>
      </c>
      <c r="V1371" s="122">
        <v>17774695</v>
      </c>
      <c r="W1371" s="122">
        <f t="shared" si="42"/>
        <v>17774693</v>
      </c>
      <c r="X1371" s="122">
        <f t="shared" si="43"/>
        <v>20654096</v>
      </c>
      <c r="AA1371" t="s">
        <v>58</v>
      </c>
      <c r="AB1371" t="s">
        <v>427</v>
      </c>
      <c r="AC1371" t="s">
        <v>426</v>
      </c>
      <c r="AD1371" t="s">
        <v>427</v>
      </c>
      <c r="AE1371" t="s">
        <v>566</v>
      </c>
      <c r="AF1371">
        <v>1</v>
      </c>
      <c r="AG1371">
        <v>152</v>
      </c>
      <c r="AH1371">
        <v>276</v>
      </c>
      <c r="AI1371" s="122">
        <v>25739</v>
      </c>
      <c r="AJ1371" s="122">
        <v>23399</v>
      </c>
      <c r="AK1371">
        <v>55</v>
      </c>
      <c r="AL1371" s="122">
        <v>3495</v>
      </c>
      <c r="AM1371" s="122">
        <v>3178</v>
      </c>
      <c r="AN1371" s="122">
        <v>3056</v>
      </c>
      <c r="AO1371" s="122">
        <v>1132</v>
      </c>
      <c r="AP1371">
        <v>351</v>
      </c>
      <c r="AQ1371">
        <v>130</v>
      </c>
      <c r="AR1371" s="122">
        <v>9267</v>
      </c>
      <c r="AS1371" s="122">
        <v>8425</v>
      </c>
      <c r="AT1371">
        <v>0</v>
      </c>
      <c r="AU1371">
        <v>0</v>
      </c>
      <c r="AV1371" s="122">
        <v>36263</v>
      </c>
    </row>
    <row r="1372" spans="2:48" hidden="1">
      <c r="B1372" t="s">
        <v>370</v>
      </c>
      <c r="C1372" t="s">
        <v>64</v>
      </c>
      <c r="D1372" t="s">
        <v>406</v>
      </c>
      <c r="E1372" t="s">
        <v>427</v>
      </c>
      <c r="F1372" s="122">
        <v>2</v>
      </c>
      <c r="G1372" s="122">
        <v>372</v>
      </c>
      <c r="H1372" s="122">
        <v>1044</v>
      </c>
      <c r="I1372" s="122">
        <v>133896</v>
      </c>
      <c r="J1372" s="122">
        <v>121724</v>
      </c>
      <c r="K1372" s="122">
        <v>79</v>
      </c>
      <c r="L1372" s="122">
        <v>37193</v>
      </c>
      <c r="M1372" s="122">
        <v>33812</v>
      </c>
      <c r="N1372" s="122">
        <v>6838</v>
      </c>
      <c r="O1372" s="122">
        <v>2533</v>
      </c>
      <c r="P1372" s="122">
        <v>1242</v>
      </c>
      <c r="Q1372" s="122">
        <v>460</v>
      </c>
      <c r="R1372" s="122">
        <v>10915</v>
      </c>
      <c r="S1372" s="122">
        <v>9923</v>
      </c>
      <c r="T1372" s="122">
        <v>5859</v>
      </c>
      <c r="U1372" s="122">
        <v>2170</v>
      </c>
      <c r="V1372" s="122">
        <v>170622</v>
      </c>
      <c r="W1372" s="122">
        <f t="shared" si="42"/>
        <v>170622</v>
      </c>
      <c r="X1372" s="122">
        <f t="shared" si="43"/>
        <v>195943</v>
      </c>
      <c r="AA1372" t="s">
        <v>58</v>
      </c>
      <c r="AB1372" t="s">
        <v>427</v>
      </c>
      <c r="AC1372" t="s">
        <v>566</v>
      </c>
      <c r="AD1372" t="s">
        <v>137</v>
      </c>
      <c r="AE1372" t="s">
        <v>566</v>
      </c>
      <c r="AF1372">
        <v>1</v>
      </c>
      <c r="AG1372">
        <v>98</v>
      </c>
      <c r="AH1372">
        <v>280</v>
      </c>
      <c r="AI1372" s="122">
        <v>17735</v>
      </c>
      <c r="AJ1372" s="122">
        <v>16122</v>
      </c>
      <c r="AK1372">
        <v>55</v>
      </c>
      <c r="AL1372">
        <v>0</v>
      </c>
      <c r="AM1372">
        <v>0</v>
      </c>
      <c r="AN1372" s="122">
        <v>2278</v>
      </c>
      <c r="AO1372" s="122">
        <v>844</v>
      </c>
      <c r="AP1372">
        <v>351</v>
      </c>
      <c r="AQ1372">
        <v>130</v>
      </c>
      <c r="AR1372" s="122">
        <v>7160</v>
      </c>
      <c r="AS1372" s="122">
        <v>2652</v>
      </c>
      <c r="AT1372" s="122">
        <v>0</v>
      </c>
      <c r="AU1372">
        <v>0</v>
      </c>
      <c r="AV1372" s="122">
        <v>19748</v>
      </c>
    </row>
    <row r="1373" spans="2:48" hidden="1">
      <c r="B1373" t="s">
        <v>370</v>
      </c>
      <c r="C1373" t="s">
        <v>64</v>
      </c>
      <c r="D1373" t="s">
        <v>406</v>
      </c>
      <c r="E1373" t="s">
        <v>407</v>
      </c>
      <c r="F1373" s="122">
        <v>1</v>
      </c>
      <c r="G1373" s="122">
        <v>56</v>
      </c>
      <c r="H1373" s="122">
        <v>552</v>
      </c>
      <c r="I1373" s="122">
        <v>20362</v>
      </c>
      <c r="J1373" s="122">
        <v>18511</v>
      </c>
      <c r="K1373" s="122">
        <v>70</v>
      </c>
      <c r="L1373" s="122">
        <v>2315</v>
      </c>
      <c r="M1373" s="122">
        <v>2104</v>
      </c>
      <c r="N1373" s="122">
        <v>686</v>
      </c>
      <c r="O1373" s="122">
        <v>254</v>
      </c>
      <c r="P1373" s="122">
        <v>621</v>
      </c>
      <c r="Q1373" s="122">
        <v>230</v>
      </c>
      <c r="R1373" s="122">
        <v>4524</v>
      </c>
      <c r="S1373" s="122">
        <v>4113</v>
      </c>
      <c r="T1373" s="122">
        <v>2550</v>
      </c>
      <c r="U1373" s="122">
        <v>945</v>
      </c>
      <c r="V1373" s="122">
        <v>26156</v>
      </c>
      <c r="W1373" s="122">
        <f t="shared" si="42"/>
        <v>26157</v>
      </c>
      <c r="X1373" s="122">
        <f t="shared" si="43"/>
        <v>31058</v>
      </c>
      <c r="AA1373" t="s">
        <v>58</v>
      </c>
      <c r="AB1373" t="s">
        <v>427</v>
      </c>
      <c r="AC1373" t="s">
        <v>566</v>
      </c>
      <c r="AD1373" t="s">
        <v>406</v>
      </c>
      <c r="AE1373" t="s">
        <v>137</v>
      </c>
      <c r="AF1373">
        <v>1</v>
      </c>
      <c r="AG1373">
        <v>195</v>
      </c>
      <c r="AH1373" s="122">
        <v>288</v>
      </c>
      <c r="AI1373" s="122">
        <v>45275</v>
      </c>
      <c r="AJ1373" s="122">
        <v>41159</v>
      </c>
      <c r="AK1373">
        <v>70</v>
      </c>
      <c r="AL1373">
        <v>0</v>
      </c>
      <c r="AM1373">
        <v>0</v>
      </c>
      <c r="AN1373" s="122">
        <v>4511</v>
      </c>
      <c r="AO1373" s="122">
        <v>1671</v>
      </c>
      <c r="AP1373" s="122">
        <v>351</v>
      </c>
      <c r="AQ1373">
        <v>130</v>
      </c>
      <c r="AR1373" s="122">
        <v>3929</v>
      </c>
      <c r="AS1373" s="122">
        <v>3572</v>
      </c>
      <c r="AT1373" s="122">
        <v>2126</v>
      </c>
      <c r="AU1373" s="122">
        <v>787</v>
      </c>
      <c r="AV1373" s="122">
        <v>47319</v>
      </c>
    </row>
    <row r="1374" spans="2:48" hidden="1">
      <c r="B1374" t="s">
        <v>370</v>
      </c>
      <c r="C1374" t="s">
        <v>64</v>
      </c>
      <c r="D1374" t="s">
        <v>427</v>
      </c>
      <c r="E1374" t="s">
        <v>137</v>
      </c>
      <c r="F1374" s="122">
        <v>3</v>
      </c>
      <c r="G1374" s="122">
        <v>438</v>
      </c>
      <c r="H1374" s="122">
        <v>2266</v>
      </c>
      <c r="I1374" s="122">
        <v>264359</v>
      </c>
      <c r="J1374" s="122">
        <v>240326</v>
      </c>
      <c r="K1374" s="122">
        <v>30</v>
      </c>
      <c r="L1374" s="122">
        <v>11656</v>
      </c>
      <c r="M1374" s="122">
        <v>8009</v>
      </c>
      <c r="N1374" s="122">
        <v>10678</v>
      </c>
      <c r="O1374" s="122">
        <v>3955</v>
      </c>
      <c r="P1374" s="122">
        <v>0</v>
      </c>
      <c r="Q1374" s="122">
        <v>0</v>
      </c>
      <c r="R1374" s="122">
        <v>19296</v>
      </c>
      <c r="S1374" s="122">
        <v>7147</v>
      </c>
      <c r="T1374" s="122">
        <v>0</v>
      </c>
      <c r="U1374" s="122">
        <v>0</v>
      </c>
      <c r="V1374" s="122">
        <v>259436</v>
      </c>
      <c r="W1374" s="122">
        <f t="shared" si="42"/>
        <v>259437</v>
      </c>
      <c r="X1374" s="122">
        <f t="shared" si="43"/>
        <v>305989</v>
      </c>
      <c r="AA1374" t="s">
        <v>58</v>
      </c>
      <c r="AB1374" t="s">
        <v>427</v>
      </c>
      <c r="AC1374" t="s">
        <v>566</v>
      </c>
      <c r="AD1374" t="s">
        <v>427</v>
      </c>
      <c r="AE1374" t="s">
        <v>137</v>
      </c>
      <c r="AF1374">
        <v>6</v>
      </c>
      <c r="AG1374">
        <v>565</v>
      </c>
      <c r="AH1374" s="122">
        <v>1706</v>
      </c>
      <c r="AI1374" s="122">
        <v>109647</v>
      </c>
      <c r="AJ1374" s="122">
        <v>99679</v>
      </c>
      <c r="AK1374">
        <v>64</v>
      </c>
      <c r="AL1374">
        <v>0</v>
      </c>
      <c r="AM1374">
        <v>0</v>
      </c>
      <c r="AN1374" s="122">
        <v>9646</v>
      </c>
      <c r="AO1374" s="122">
        <v>3573</v>
      </c>
      <c r="AP1374" s="122">
        <v>1755</v>
      </c>
      <c r="AQ1374">
        <v>650</v>
      </c>
      <c r="AR1374" s="122">
        <v>25959</v>
      </c>
      <c r="AS1374" s="122">
        <v>23599</v>
      </c>
      <c r="AT1374" s="122">
        <v>14002</v>
      </c>
      <c r="AU1374" s="122">
        <v>5186</v>
      </c>
      <c r="AV1374" s="122">
        <v>132687</v>
      </c>
    </row>
    <row r="1375" spans="2:48" hidden="1">
      <c r="B1375" t="s">
        <v>370</v>
      </c>
      <c r="C1375" t="s">
        <v>64</v>
      </c>
      <c r="D1375" t="s">
        <v>427</v>
      </c>
      <c r="E1375" t="s">
        <v>427</v>
      </c>
      <c r="F1375" s="122">
        <v>7</v>
      </c>
      <c r="G1375" s="122">
        <v>517</v>
      </c>
      <c r="H1375" s="122">
        <v>6059</v>
      </c>
      <c r="I1375" s="122">
        <v>307617</v>
      </c>
      <c r="J1375" s="122">
        <v>279652</v>
      </c>
      <c r="K1375" s="122">
        <v>56</v>
      </c>
      <c r="L1375" s="122">
        <v>39796</v>
      </c>
      <c r="M1375" s="122">
        <v>29187</v>
      </c>
      <c r="N1375" s="122">
        <v>9251</v>
      </c>
      <c r="O1375" s="122">
        <v>3426</v>
      </c>
      <c r="P1375" s="122">
        <v>1755</v>
      </c>
      <c r="Q1375" s="122">
        <v>650</v>
      </c>
      <c r="R1375" s="122">
        <v>46658</v>
      </c>
      <c r="S1375" s="122">
        <v>42416</v>
      </c>
      <c r="T1375" s="122">
        <v>8355</v>
      </c>
      <c r="U1375" s="122">
        <v>3094</v>
      </c>
      <c r="V1375" s="122">
        <v>358426</v>
      </c>
      <c r="W1375" s="122">
        <f t="shared" si="42"/>
        <v>358425</v>
      </c>
      <c r="X1375" s="122">
        <f t="shared" si="43"/>
        <v>413432</v>
      </c>
      <c r="AA1375" t="s">
        <v>58</v>
      </c>
      <c r="AB1375" t="s">
        <v>427</v>
      </c>
      <c r="AC1375" t="s">
        <v>566</v>
      </c>
      <c r="AD1375" t="s">
        <v>427</v>
      </c>
      <c r="AE1375" t="s">
        <v>566</v>
      </c>
      <c r="AF1375">
        <v>1</v>
      </c>
      <c r="AG1375" s="122">
        <v>85</v>
      </c>
      <c r="AH1375" s="122">
        <v>284</v>
      </c>
      <c r="AI1375" s="122">
        <v>16125</v>
      </c>
      <c r="AJ1375" s="122">
        <v>14659</v>
      </c>
      <c r="AK1375">
        <v>65</v>
      </c>
      <c r="AL1375" s="122">
        <v>0</v>
      </c>
      <c r="AM1375" s="122">
        <v>0</v>
      </c>
      <c r="AN1375" s="122">
        <v>1403</v>
      </c>
      <c r="AO1375" s="122">
        <v>520</v>
      </c>
      <c r="AP1375" s="122">
        <v>351</v>
      </c>
      <c r="AQ1375" s="122">
        <v>130</v>
      </c>
      <c r="AR1375" s="122">
        <v>6312</v>
      </c>
      <c r="AS1375" s="122">
        <v>5738</v>
      </c>
      <c r="AT1375" s="122">
        <v>0</v>
      </c>
      <c r="AU1375" s="122">
        <v>0</v>
      </c>
      <c r="AV1375" s="122">
        <v>21047</v>
      </c>
    </row>
    <row r="1376" spans="2:48" hidden="1">
      <c r="B1376" t="s">
        <v>370</v>
      </c>
      <c r="C1376" t="s">
        <v>64</v>
      </c>
      <c r="D1376" t="s">
        <v>407</v>
      </c>
      <c r="E1376" t="s">
        <v>407</v>
      </c>
      <c r="F1376" s="122">
        <v>17</v>
      </c>
      <c r="G1376" s="122">
        <v>1668</v>
      </c>
      <c r="H1376" s="122">
        <v>8700</v>
      </c>
      <c r="I1376" s="122">
        <v>547467</v>
      </c>
      <c r="J1376" s="122">
        <v>497698</v>
      </c>
      <c r="K1376" s="122">
        <v>76</v>
      </c>
      <c r="L1376" s="122">
        <v>157426</v>
      </c>
      <c r="M1376" s="122">
        <v>140691</v>
      </c>
      <c r="N1376" s="122">
        <v>34619</v>
      </c>
      <c r="O1376" s="122">
        <v>12822</v>
      </c>
      <c r="P1376" s="122">
        <v>8033</v>
      </c>
      <c r="Q1376" s="122">
        <v>2975</v>
      </c>
      <c r="R1376" s="122">
        <v>76681</v>
      </c>
      <c r="S1376" s="122">
        <v>69710</v>
      </c>
      <c r="T1376" s="122">
        <v>35682</v>
      </c>
      <c r="U1376" s="122">
        <v>13216</v>
      </c>
      <c r="V1376" s="122">
        <v>737111</v>
      </c>
      <c r="W1376" s="122">
        <f t="shared" si="42"/>
        <v>737112</v>
      </c>
      <c r="X1376" s="122">
        <f t="shared" si="43"/>
        <v>859908</v>
      </c>
      <c r="AA1376" t="s">
        <v>58</v>
      </c>
      <c r="AB1376" t="s">
        <v>407</v>
      </c>
      <c r="AC1376" t="s">
        <v>578</v>
      </c>
      <c r="AD1376" t="s">
        <v>407</v>
      </c>
      <c r="AE1376" t="s">
        <v>137</v>
      </c>
      <c r="AF1376">
        <v>5</v>
      </c>
      <c r="AG1376" s="122">
        <v>1007</v>
      </c>
      <c r="AH1376" s="122">
        <v>1215</v>
      </c>
      <c r="AI1376" s="122">
        <v>134081</v>
      </c>
      <c r="AJ1376" s="122">
        <v>121892</v>
      </c>
      <c r="AK1376">
        <v>79</v>
      </c>
      <c r="AL1376" s="122">
        <v>39948</v>
      </c>
      <c r="AM1376" s="122">
        <v>36316</v>
      </c>
      <c r="AN1376" s="122">
        <v>18720</v>
      </c>
      <c r="AO1376" s="122">
        <v>6933</v>
      </c>
      <c r="AP1376" s="122">
        <v>2714</v>
      </c>
      <c r="AQ1376" s="122">
        <v>1005</v>
      </c>
      <c r="AR1376" s="122">
        <v>29772</v>
      </c>
      <c r="AS1376" s="122">
        <v>27065</v>
      </c>
      <c r="AT1376" s="122">
        <v>15219</v>
      </c>
      <c r="AU1376" s="122">
        <v>5637</v>
      </c>
      <c r="AV1376" s="122">
        <v>198848</v>
      </c>
    </row>
    <row r="1377" spans="2:48" hidden="1">
      <c r="B1377" t="s">
        <v>370</v>
      </c>
      <c r="C1377" t="s">
        <v>64</v>
      </c>
      <c r="D1377" t="s">
        <v>556</v>
      </c>
      <c r="E1377" t="s">
        <v>137</v>
      </c>
      <c r="F1377" s="122">
        <v>6</v>
      </c>
      <c r="G1377" s="122">
        <v>528</v>
      </c>
      <c r="H1377" s="122">
        <v>8439</v>
      </c>
      <c r="I1377" s="122">
        <v>609769</v>
      </c>
      <c r="J1377" s="122">
        <v>508141</v>
      </c>
      <c r="K1377" s="122">
        <v>30</v>
      </c>
      <c r="L1377" s="122">
        <v>36516</v>
      </c>
      <c r="M1377" s="122">
        <v>13524</v>
      </c>
      <c r="N1377" s="122">
        <v>12575</v>
      </c>
      <c r="O1377" s="122">
        <v>4657</v>
      </c>
      <c r="P1377" s="122">
        <v>0</v>
      </c>
      <c r="Q1377" s="122">
        <v>0</v>
      </c>
      <c r="R1377" s="122">
        <v>33379</v>
      </c>
      <c r="S1377" s="122">
        <v>12363</v>
      </c>
      <c r="T1377" s="122">
        <v>2816</v>
      </c>
      <c r="U1377" s="122">
        <v>1043</v>
      </c>
      <c r="V1377" s="122">
        <v>539728</v>
      </c>
      <c r="W1377" s="122">
        <f t="shared" si="42"/>
        <v>539728</v>
      </c>
      <c r="X1377" s="122">
        <f t="shared" si="43"/>
        <v>695055</v>
      </c>
      <c r="AA1377" t="s">
        <v>58</v>
      </c>
      <c r="AB1377" t="s">
        <v>407</v>
      </c>
      <c r="AC1377" t="s">
        <v>578</v>
      </c>
      <c r="AD1377" t="s">
        <v>407</v>
      </c>
      <c r="AE1377" t="s">
        <v>566</v>
      </c>
      <c r="AF1377">
        <v>9</v>
      </c>
      <c r="AG1377" s="122">
        <v>1003</v>
      </c>
      <c r="AH1377" s="122">
        <v>2312</v>
      </c>
      <c r="AI1377" s="122">
        <v>157136</v>
      </c>
      <c r="AJ1377" s="122">
        <v>142851</v>
      </c>
      <c r="AK1377">
        <v>82</v>
      </c>
      <c r="AL1377" s="122">
        <v>39928</v>
      </c>
      <c r="AM1377" s="122">
        <v>36298</v>
      </c>
      <c r="AN1377" s="122">
        <v>20893</v>
      </c>
      <c r="AO1377" s="122">
        <v>7738</v>
      </c>
      <c r="AP1377" s="122">
        <v>4253</v>
      </c>
      <c r="AQ1377" s="122">
        <v>1575</v>
      </c>
      <c r="AR1377" s="122">
        <v>47655</v>
      </c>
      <c r="AS1377" s="122">
        <v>43322</v>
      </c>
      <c r="AT1377" s="122">
        <v>0</v>
      </c>
      <c r="AU1377" s="122">
        <v>0</v>
      </c>
      <c r="AV1377" s="122">
        <v>231785</v>
      </c>
    </row>
    <row r="1378" spans="2:48" hidden="1">
      <c r="B1378" t="s">
        <v>370</v>
      </c>
      <c r="C1378" t="s">
        <v>64</v>
      </c>
      <c r="D1378" t="s">
        <v>556</v>
      </c>
      <c r="E1378" t="s">
        <v>556</v>
      </c>
      <c r="F1378" s="122">
        <v>18</v>
      </c>
      <c r="G1378" s="122">
        <v>1788</v>
      </c>
      <c r="H1378" s="122">
        <v>13750</v>
      </c>
      <c r="I1378" s="122">
        <v>1007524</v>
      </c>
      <c r="J1378" s="122">
        <v>839603</v>
      </c>
      <c r="K1378" s="122">
        <v>50</v>
      </c>
      <c r="L1378" s="122">
        <v>117473</v>
      </c>
      <c r="M1378" s="122">
        <v>86663</v>
      </c>
      <c r="N1378" s="122">
        <v>37051</v>
      </c>
      <c r="O1378" s="122">
        <v>13723</v>
      </c>
      <c r="P1378" s="122">
        <v>6440</v>
      </c>
      <c r="Q1378" s="122">
        <v>2385</v>
      </c>
      <c r="R1378" s="122">
        <v>124530</v>
      </c>
      <c r="S1378" s="122">
        <v>103775</v>
      </c>
      <c r="T1378" s="122">
        <v>41017</v>
      </c>
      <c r="U1378" s="122">
        <v>15192</v>
      </c>
      <c r="V1378" s="122">
        <v>1061340</v>
      </c>
      <c r="W1378" s="122">
        <f t="shared" si="42"/>
        <v>1061341</v>
      </c>
      <c r="X1378" s="122">
        <f t="shared" si="43"/>
        <v>1334035</v>
      </c>
      <c r="AA1378" t="s">
        <v>58</v>
      </c>
      <c r="AB1378" t="s">
        <v>407</v>
      </c>
      <c r="AC1378" t="s">
        <v>425</v>
      </c>
      <c r="AD1378" t="s">
        <v>407</v>
      </c>
      <c r="AE1378" t="s">
        <v>137</v>
      </c>
      <c r="AF1378">
        <v>3</v>
      </c>
      <c r="AG1378" s="122">
        <v>617</v>
      </c>
      <c r="AH1378" s="122">
        <v>780</v>
      </c>
      <c r="AI1378" s="122">
        <v>103380</v>
      </c>
      <c r="AJ1378" s="122">
        <v>93982</v>
      </c>
      <c r="AK1378">
        <v>80</v>
      </c>
      <c r="AL1378" s="122">
        <v>22753</v>
      </c>
      <c r="AM1378" s="122">
        <v>20684</v>
      </c>
      <c r="AN1378" s="122">
        <v>10488</v>
      </c>
      <c r="AO1378" s="122">
        <v>3884</v>
      </c>
      <c r="AP1378" s="122">
        <v>1418</v>
      </c>
      <c r="AQ1378" s="122">
        <v>525</v>
      </c>
      <c r="AR1378" s="122">
        <v>14875</v>
      </c>
      <c r="AS1378" s="122">
        <v>13523</v>
      </c>
      <c r="AT1378" s="122">
        <v>10535</v>
      </c>
      <c r="AU1378" s="122">
        <v>3902</v>
      </c>
      <c r="AV1378" s="122">
        <v>136500</v>
      </c>
    </row>
    <row r="1379" spans="2:48" hidden="1">
      <c r="B1379" t="s">
        <v>370</v>
      </c>
      <c r="C1379" t="s">
        <v>64</v>
      </c>
      <c r="D1379" t="s">
        <v>428</v>
      </c>
      <c r="E1379" t="s">
        <v>137</v>
      </c>
      <c r="F1379" s="122">
        <v>1</v>
      </c>
      <c r="G1379" s="122">
        <v>36</v>
      </c>
      <c r="H1379" s="122">
        <v>1680</v>
      </c>
      <c r="I1379" s="122">
        <v>50877</v>
      </c>
      <c r="J1379" s="122">
        <v>46251</v>
      </c>
      <c r="K1379" s="122">
        <v>30</v>
      </c>
      <c r="L1379" s="122">
        <v>5653</v>
      </c>
      <c r="M1379" s="122">
        <v>5139</v>
      </c>
      <c r="N1379" s="122">
        <v>873</v>
      </c>
      <c r="O1379" s="122">
        <v>323</v>
      </c>
      <c r="P1379" s="122">
        <v>0</v>
      </c>
      <c r="Q1379" s="122">
        <v>0</v>
      </c>
      <c r="R1379" s="122">
        <v>2813</v>
      </c>
      <c r="S1379" s="122">
        <v>1042</v>
      </c>
      <c r="T1379" s="122">
        <v>0</v>
      </c>
      <c r="U1379" s="122">
        <v>0</v>
      </c>
      <c r="V1379" s="122">
        <v>52756</v>
      </c>
      <c r="W1379" s="122">
        <f t="shared" si="42"/>
        <v>52755</v>
      </c>
      <c r="X1379" s="122">
        <f t="shared" si="43"/>
        <v>60216</v>
      </c>
      <c r="AA1379" t="s">
        <v>58</v>
      </c>
      <c r="AB1379" t="s">
        <v>407</v>
      </c>
      <c r="AC1379" t="s">
        <v>425</v>
      </c>
      <c r="AD1379" t="s">
        <v>407</v>
      </c>
      <c r="AE1379" t="s">
        <v>566</v>
      </c>
      <c r="AF1379">
        <v>10</v>
      </c>
      <c r="AG1379" s="122">
        <v>1524</v>
      </c>
      <c r="AH1379" s="122">
        <v>2504</v>
      </c>
      <c r="AI1379" s="122">
        <v>211234</v>
      </c>
      <c r="AJ1379" s="122">
        <v>192031</v>
      </c>
      <c r="AK1379">
        <v>83</v>
      </c>
      <c r="AL1379" s="122">
        <v>73831</v>
      </c>
      <c r="AM1379" s="122">
        <v>67119</v>
      </c>
      <c r="AN1379" s="122">
        <v>33007</v>
      </c>
      <c r="AO1379" s="122">
        <v>12225</v>
      </c>
      <c r="AP1379" s="122">
        <v>4725</v>
      </c>
      <c r="AQ1379" s="122">
        <v>1750</v>
      </c>
      <c r="AR1379" s="122">
        <v>58353</v>
      </c>
      <c r="AS1379" s="122">
        <v>53049</v>
      </c>
      <c r="AT1379">
        <v>0</v>
      </c>
      <c r="AU1379">
        <v>0</v>
      </c>
      <c r="AV1379" s="122">
        <v>326173</v>
      </c>
    </row>
    <row r="1380" spans="2:48" hidden="1">
      <c r="B1380" t="s">
        <v>370</v>
      </c>
      <c r="C1380" t="s">
        <v>64</v>
      </c>
      <c r="D1380" t="s">
        <v>428</v>
      </c>
      <c r="E1380" t="s">
        <v>428</v>
      </c>
      <c r="F1380" s="122">
        <v>8</v>
      </c>
      <c r="G1380" s="122">
        <v>720</v>
      </c>
      <c r="H1380" s="122">
        <v>6210</v>
      </c>
      <c r="I1380" s="122">
        <v>389526</v>
      </c>
      <c r="J1380" s="122">
        <v>354114</v>
      </c>
      <c r="K1380" s="122">
        <v>51</v>
      </c>
      <c r="L1380" s="122">
        <v>48953</v>
      </c>
      <c r="M1380" s="122">
        <v>43923</v>
      </c>
      <c r="N1380" s="122">
        <v>15095</v>
      </c>
      <c r="O1380" s="122">
        <v>5591</v>
      </c>
      <c r="P1380" s="122">
        <v>3348</v>
      </c>
      <c r="Q1380" s="122">
        <v>1240</v>
      </c>
      <c r="R1380" s="122">
        <v>56673</v>
      </c>
      <c r="S1380" s="122">
        <v>51521</v>
      </c>
      <c r="T1380" s="122">
        <v>12517</v>
      </c>
      <c r="U1380" s="122">
        <v>4636</v>
      </c>
      <c r="V1380" s="122">
        <v>461024</v>
      </c>
      <c r="W1380" s="122">
        <f t="shared" si="42"/>
        <v>461025</v>
      </c>
      <c r="X1380" s="122">
        <f t="shared" si="43"/>
        <v>526112</v>
      </c>
      <c r="AA1380" t="s">
        <v>58</v>
      </c>
      <c r="AB1380" t="s">
        <v>407</v>
      </c>
      <c r="AC1380" t="s">
        <v>405</v>
      </c>
      <c r="AD1380" t="s">
        <v>407</v>
      </c>
      <c r="AE1380" t="s">
        <v>566</v>
      </c>
      <c r="AF1380">
        <v>1</v>
      </c>
      <c r="AG1380">
        <v>166</v>
      </c>
      <c r="AH1380">
        <v>230</v>
      </c>
      <c r="AI1380" s="122">
        <v>19091</v>
      </c>
      <c r="AJ1380" s="122">
        <v>17356</v>
      </c>
      <c r="AK1380">
        <v>80</v>
      </c>
      <c r="AL1380" s="122">
        <v>8071</v>
      </c>
      <c r="AM1380" s="122">
        <v>7338</v>
      </c>
      <c r="AN1380" s="122">
        <v>3843</v>
      </c>
      <c r="AO1380" s="122">
        <v>1423</v>
      </c>
      <c r="AP1380" s="122">
        <v>473</v>
      </c>
      <c r="AQ1380">
        <v>175</v>
      </c>
      <c r="AR1380" s="122">
        <v>6781</v>
      </c>
      <c r="AS1380" s="122">
        <v>6164</v>
      </c>
      <c r="AT1380">
        <v>0</v>
      </c>
      <c r="AU1380">
        <v>0</v>
      </c>
      <c r="AV1380" s="122">
        <v>32456</v>
      </c>
    </row>
    <row r="1381" spans="2:48" hidden="1">
      <c r="B1381" t="s">
        <v>370</v>
      </c>
      <c r="C1381" t="s">
        <v>64</v>
      </c>
      <c r="D1381" t="s">
        <v>431</v>
      </c>
      <c r="E1381" t="s">
        <v>425</v>
      </c>
      <c r="F1381" s="122">
        <v>1</v>
      </c>
      <c r="G1381" s="122">
        <v>612</v>
      </c>
      <c r="H1381" s="122">
        <v>806</v>
      </c>
      <c r="I1381" s="122">
        <v>633507</v>
      </c>
      <c r="J1381" s="122">
        <v>575915</v>
      </c>
      <c r="K1381" s="122">
        <v>30</v>
      </c>
      <c r="L1381" s="122">
        <v>0</v>
      </c>
      <c r="M1381" s="122">
        <v>0</v>
      </c>
      <c r="N1381" s="122">
        <v>19884</v>
      </c>
      <c r="O1381" s="122">
        <v>7364</v>
      </c>
      <c r="P1381" s="122">
        <v>0</v>
      </c>
      <c r="Q1381" s="122">
        <v>0</v>
      </c>
      <c r="R1381" s="122">
        <v>4182</v>
      </c>
      <c r="S1381" s="122">
        <v>3802</v>
      </c>
      <c r="T1381" s="122">
        <v>0</v>
      </c>
      <c r="U1381" s="122">
        <v>0</v>
      </c>
      <c r="V1381" s="122">
        <v>587082</v>
      </c>
      <c r="W1381" s="122">
        <f t="shared" si="42"/>
        <v>587081</v>
      </c>
      <c r="X1381" s="122">
        <f t="shared" si="43"/>
        <v>657573</v>
      </c>
      <c r="AA1381" t="s">
        <v>58</v>
      </c>
      <c r="AB1381" t="s">
        <v>407</v>
      </c>
      <c r="AC1381" t="s">
        <v>137</v>
      </c>
      <c r="AD1381" t="s">
        <v>137</v>
      </c>
      <c r="AE1381" t="s">
        <v>566</v>
      </c>
      <c r="AF1381">
        <v>3</v>
      </c>
      <c r="AG1381" s="122">
        <v>247</v>
      </c>
      <c r="AH1381" s="122">
        <v>822</v>
      </c>
      <c r="AI1381" s="122">
        <v>30917</v>
      </c>
      <c r="AJ1381" s="122">
        <v>28106</v>
      </c>
      <c r="AK1381">
        <v>83</v>
      </c>
      <c r="AL1381" s="122">
        <v>9386</v>
      </c>
      <c r="AM1381" s="122">
        <v>3476</v>
      </c>
      <c r="AN1381" s="122">
        <v>6271</v>
      </c>
      <c r="AO1381" s="122">
        <v>2323</v>
      </c>
      <c r="AP1381" s="122">
        <v>1418</v>
      </c>
      <c r="AQ1381" s="122">
        <v>525</v>
      </c>
      <c r="AR1381" s="122">
        <v>23978</v>
      </c>
      <c r="AS1381" s="122">
        <v>8881</v>
      </c>
      <c r="AT1381" s="122">
        <v>0</v>
      </c>
      <c r="AU1381" s="122">
        <v>0</v>
      </c>
      <c r="AV1381" s="122">
        <v>43311</v>
      </c>
    </row>
    <row r="1382" spans="2:48" hidden="1">
      <c r="B1382" t="s">
        <v>370</v>
      </c>
      <c r="C1382" t="s">
        <v>64</v>
      </c>
      <c r="D1382" t="s">
        <v>431</v>
      </c>
      <c r="E1382" t="s">
        <v>137</v>
      </c>
      <c r="F1382" s="122">
        <v>2</v>
      </c>
      <c r="G1382" s="122">
        <v>147</v>
      </c>
      <c r="H1382" s="122">
        <v>2045</v>
      </c>
      <c r="I1382" s="122">
        <v>102424</v>
      </c>
      <c r="J1382" s="122">
        <v>93113</v>
      </c>
      <c r="K1382" s="122">
        <v>30</v>
      </c>
      <c r="L1382" s="122">
        <v>2860</v>
      </c>
      <c r="M1382" s="122">
        <v>1059</v>
      </c>
      <c r="N1382" s="122">
        <v>3304</v>
      </c>
      <c r="O1382" s="122">
        <v>1224</v>
      </c>
      <c r="P1382" s="122">
        <v>0</v>
      </c>
      <c r="Q1382" s="122">
        <v>0</v>
      </c>
      <c r="R1382" s="122">
        <v>18412</v>
      </c>
      <c r="S1382" s="122">
        <v>6819</v>
      </c>
      <c r="T1382" s="122">
        <v>0</v>
      </c>
      <c r="U1382" s="122">
        <v>0</v>
      </c>
      <c r="V1382" s="122">
        <v>102215</v>
      </c>
      <c r="W1382" s="122">
        <f t="shared" si="42"/>
        <v>102215</v>
      </c>
      <c r="X1382" s="122">
        <f t="shared" si="43"/>
        <v>127000</v>
      </c>
      <c r="AA1382" t="s">
        <v>58</v>
      </c>
      <c r="AB1382" t="s">
        <v>407</v>
      </c>
      <c r="AC1382" t="s">
        <v>137</v>
      </c>
      <c r="AD1382" t="s">
        <v>407</v>
      </c>
      <c r="AE1382" t="s">
        <v>137</v>
      </c>
      <c r="AF1382">
        <v>147</v>
      </c>
      <c r="AG1382" s="122">
        <v>18198</v>
      </c>
      <c r="AH1382" s="122">
        <v>38107</v>
      </c>
      <c r="AI1382" s="122">
        <v>2606925</v>
      </c>
      <c r="AJ1382" s="122">
        <v>2369932</v>
      </c>
      <c r="AK1382">
        <v>79</v>
      </c>
      <c r="AL1382" s="122">
        <v>718389</v>
      </c>
      <c r="AM1382" s="122">
        <v>266070</v>
      </c>
      <c r="AN1382" s="122">
        <v>377996</v>
      </c>
      <c r="AO1382" s="122">
        <v>139999</v>
      </c>
      <c r="AP1382" s="122">
        <v>68526</v>
      </c>
      <c r="AQ1382" s="122">
        <v>25380</v>
      </c>
      <c r="AR1382" s="122">
        <v>665648</v>
      </c>
      <c r="AS1382" s="122">
        <v>605135</v>
      </c>
      <c r="AT1382" s="122">
        <v>353222</v>
      </c>
      <c r="AU1382" s="122">
        <v>130823</v>
      </c>
      <c r="AV1382" s="122">
        <v>3537338</v>
      </c>
    </row>
    <row r="1383" spans="2:48" hidden="1">
      <c r="B1383" t="s">
        <v>370</v>
      </c>
      <c r="C1383" t="s">
        <v>64</v>
      </c>
      <c r="D1383" t="s">
        <v>431</v>
      </c>
      <c r="E1383" t="s">
        <v>431</v>
      </c>
      <c r="F1383" s="122">
        <v>15</v>
      </c>
      <c r="G1383" s="122">
        <v>1410</v>
      </c>
      <c r="H1383" s="122">
        <v>10701</v>
      </c>
      <c r="I1383" s="122">
        <v>698643</v>
      </c>
      <c r="J1383" s="122">
        <v>635130</v>
      </c>
      <c r="K1383" s="122">
        <v>53</v>
      </c>
      <c r="L1383" s="122">
        <v>112696</v>
      </c>
      <c r="M1383" s="122">
        <v>102450</v>
      </c>
      <c r="N1383" s="122">
        <v>29904</v>
      </c>
      <c r="O1383" s="122">
        <v>11076</v>
      </c>
      <c r="P1383" s="122">
        <v>5986</v>
      </c>
      <c r="Q1383" s="122">
        <v>2217</v>
      </c>
      <c r="R1383" s="122">
        <v>119999</v>
      </c>
      <c r="S1383" s="122">
        <v>109090</v>
      </c>
      <c r="T1383" s="122">
        <v>29627</v>
      </c>
      <c r="U1383" s="122">
        <v>10973</v>
      </c>
      <c r="V1383" s="122">
        <v>870936</v>
      </c>
      <c r="W1383" s="122">
        <f t="shared" si="42"/>
        <v>870936</v>
      </c>
      <c r="X1383" s="122">
        <f t="shared" si="43"/>
        <v>996855</v>
      </c>
      <c r="AA1383" t="s">
        <v>58</v>
      </c>
      <c r="AB1383" t="s">
        <v>407</v>
      </c>
      <c r="AC1383" t="s">
        <v>137</v>
      </c>
      <c r="AD1383" t="s">
        <v>407</v>
      </c>
      <c r="AE1383" t="s">
        <v>566</v>
      </c>
      <c r="AF1383">
        <v>158</v>
      </c>
      <c r="AG1383" s="122">
        <v>18468</v>
      </c>
      <c r="AH1383" s="122">
        <v>40815</v>
      </c>
      <c r="AI1383" s="122">
        <v>2869786</v>
      </c>
      <c r="AJ1383" s="122">
        <v>2608897</v>
      </c>
      <c r="AK1383">
        <v>82</v>
      </c>
      <c r="AL1383" s="122">
        <v>732646</v>
      </c>
      <c r="AM1383" s="122">
        <v>271350</v>
      </c>
      <c r="AN1383" s="122">
        <v>384824</v>
      </c>
      <c r="AO1383" s="122">
        <v>142528</v>
      </c>
      <c r="AP1383" s="122">
        <v>77868</v>
      </c>
      <c r="AQ1383" s="122">
        <v>28840</v>
      </c>
      <c r="AR1383" s="122">
        <v>837867</v>
      </c>
      <c r="AS1383" s="122">
        <v>761697</v>
      </c>
      <c r="AT1383" s="122">
        <v>0</v>
      </c>
      <c r="AU1383" s="122">
        <v>0</v>
      </c>
      <c r="AV1383" s="122">
        <v>3813311</v>
      </c>
    </row>
    <row r="1384" spans="2:48" hidden="1">
      <c r="B1384" t="s">
        <v>370</v>
      </c>
      <c r="C1384" t="s">
        <v>64</v>
      </c>
      <c r="D1384" t="s">
        <v>426</v>
      </c>
      <c r="E1384" t="s">
        <v>137</v>
      </c>
      <c r="F1384" s="122">
        <v>27</v>
      </c>
      <c r="G1384" s="122">
        <v>2477</v>
      </c>
      <c r="H1384" s="122">
        <v>32239</v>
      </c>
      <c r="I1384" s="122">
        <v>2388641</v>
      </c>
      <c r="J1384" s="122">
        <v>2171492</v>
      </c>
      <c r="K1384" s="122">
        <v>37</v>
      </c>
      <c r="L1384" s="122">
        <v>198654</v>
      </c>
      <c r="M1384" s="122">
        <v>126519</v>
      </c>
      <c r="N1384" s="122">
        <v>57334</v>
      </c>
      <c r="O1384" s="122">
        <v>21235</v>
      </c>
      <c r="P1384" s="122">
        <v>1404</v>
      </c>
      <c r="Q1384" s="122">
        <v>520</v>
      </c>
      <c r="R1384" s="122">
        <v>210349</v>
      </c>
      <c r="S1384" s="122">
        <v>77907</v>
      </c>
      <c r="T1384" s="122">
        <v>5283</v>
      </c>
      <c r="U1384" s="122">
        <v>1957</v>
      </c>
      <c r="V1384" s="122">
        <v>2399629</v>
      </c>
      <c r="W1384" s="122">
        <f t="shared" si="42"/>
        <v>2399630</v>
      </c>
      <c r="X1384" s="122">
        <f t="shared" si="43"/>
        <v>2861665</v>
      </c>
      <c r="AA1384" t="s">
        <v>58</v>
      </c>
      <c r="AB1384" t="s">
        <v>407</v>
      </c>
      <c r="AC1384" t="s">
        <v>580</v>
      </c>
      <c r="AD1384" t="s">
        <v>406</v>
      </c>
      <c r="AE1384" t="s">
        <v>137</v>
      </c>
      <c r="AF1384">
        <v>1</v>
      </c>
      <c r="AG1384" s="122">
        <v>221</v>
      </c>
      <c r="AH1384" s="122">
        <v>260</v>
      </c>
      <c r="AI1384" s="122">
        <v>38017</v>
      </c>
      <c r="AJ1384" s="122">
        <v>34561</v>
      </c>
      <c r="AK1384">
        <v>65</v>
      </c>
      <c r="AL1384" s="122">
        <v>4016</v>
      </c>
      <c r="AM1384" s="122">
        <v>3651</v>
      </c>
      <c r="AN1384" s="122">
        <v>4963</v>
      </c>
      <c r="AO1384" s="122">
        <v>1838</v>
      </c>
      <c r="AP1384" s="122">
        <v>473</v>
      </c>
      <c r="AQ1384" s="122">
        <v>175</v>
      </c>
      <c r="AR1384" s="122">
        <v>6058</v>
      </c>
      <c r="AS1384" s="122">
        <v>5507</v>
      </c>
      <c r="AT1384" s="122">
        <v>3979</v>
      </c>
      <c r="AU1384" s="122">
        <v>1474</v>
      </c>
      <c r="AV1384" s="122">
        <v>47206</v>
      </c>
    </row>
    <row r="1385" spans="2:48" hidden="1">
      <c r="B1385" t="s">
        <v>370</v>
      </c>
      <c r="C1385" t="s">
        <v>64</v>
      </c>
      <c r="D1385" t="s">
        <v>426</v>
      </c>
      <c r="E1385" t="s">
        <v>426</v>
      </c>
      <c r="F1385" s="122">
        <v>117</v>
      </c>
      <c r="G1385" s="122">
        <v>10471</v>
      </c>
      <c r="H1385" s="122">
        <v>84484</v>
      </c>
      <c r="I1385" s="122">
        <v>5213267</v>
      </c>
      <c r="J1385" s="122">
        <v>4739334</v>
      </c>
      <c r="K1385" s="122">
        <v>53</v>
      </c>
      <c r="L1385" s="122">
        <v>849600</v>
      </c>
      <c r="M1385" s="122">
        <v>742722</v>
      </c>
      <c r="N1385" s="122">
        <v>225444</v>
      </c>
      <c r="O1385" s="122">
        <v>83498</v>
      </c>
      <c r="P1385" s="122">
        <v>40041</v>
      </c>
      <c r="Q1385" s="122">
        <v>14830</v>
      </c>
      <c r="R1385" s="122">
        <v>690198</v>
      </c>
      <c r="S1385" s="122">
        <v>627452</v>
      </c>
      <c r="T1385" s="122">
        <v>235930</v>
      </c>
      <c r="U1385" s="122">
        <v>87381</v>
      </c>
      <c r="V1385" s="122">
        <v>6295217</v>
      </c>
      <c r="W1385" s="122">
        <f t="shared" si="42"/>
        <v>6295217</v>
      </c>
      <c r="X1385" s="122">
        <f t="shared" si="43"/>
        <v>7254480</v>
      </c>
      <c r="AA1385" t="s">
        <v>58</v>
      </c>
      <c r="AB1385" t="s">
        <v>407</v>
      </c>
      <c r="AC1385" t="s">
        <v>580</v>
      </c>
      <c r="AD1385" t="s">
        <v>407</v>
      </c>
      <c r="AE1385" t="s">
        <v>137</v>
      </c>
      <c r="AF1385">
        <v>5</v>
      </c>
      <c r="AG1385" s="122">
        <v>1138</v>
      </c>
      <c r="AH1385" s="122">
        <v>1385</v>
      </c>
      <c r="AI1385" s="122">
        <v>223063</v>
      </c>
      <c r="AJ1385" s="122">
        <v>202785</v>
      </c>
      <c r="AK1385">
        <v>81</v>
      </c>
      <c r="AL1385" s="122">
        <v>30946</v>
      </c>
      <c r="AM1385" s="122">
        <v>28133</v>
      </c>
      <c r="AN1385" s="122">
        <v>21699</v>
      </c>
      <c r="AO1385" s="122">
        <v>8037</v>
      </c>
      <c r="AP1385" s="122">
        <v>3537</v>
      </c>
      <c r="AQ1385" s="122">
        <v>1310</v>
      </c>
      <c r="AR1385" s="122">
        <v>32250</v>
      </c>
      <c r="AS1385" s="122">
        <v>29318</v>
      </c>
      <c r="AT1385" s="122">
        <v>11042</v>
      </c>
      <c r="AU1385" s="122">
        <v>4090</v>
      </c>
      <c r="AV1385" s="122">
        <v>273672</v>
      </c>
    </row>
    <row r="1386" spans="2:48" hidden="1">
      <c r="B1386" t="s">
        <v>370</v>
      </c>
      <c r="C1386" t="s">
        <v>64</v>
      </c>
      <c r="D1386" t="s">
        <v>433</v>
      </c>
      <c r="E1386" t="s">
        <v>433</v>
      </c>
      <c r="F1386" s="122">
        <v>2</v>
      </c>
      <c r="G1386" s="122">
        <v>311</v>
      </c>
      <c r="H1386" s="122">
        <v>1138</v>
      </c>
      <c r="I1386" s="122">
        <v>141679</v>
      </c>
      <c r="J1386" s="122">
        <v>128799</v>
      </c>
      <c r="K1386" s="122">
        <v>50</v>
      </c>
      <c r="L1386" s="122">
        <v>18605</v>
      </c>
      <c r="M1386" s="122">
        <v>15902</v>
      </c>
      <c r="N1386" s="122">
        <v>6164</v>
      </c>
      <c r="O1386" s="122">
        <v>2283</v>
      </c>
      <c r="P1386" s="122">
        <v>702</v>
      </c>
      <c r="Q1386" s="122">
        <v>260</v>
      </c>
      <c r="R1386" s="122">
        <v>12809</v>
      </c>
      <c r="S1386" s="122">
        <v>11644</v>
      </c>
      <c r="T1386" s="122">
        <v>5580</v>
      </c>
      <c r="U1386" s="122">
        <v>2067</v>
      </c>
      <c r="V1386" s="122">
        <v>160955</v>
      </c>
      <c r="W1386" s="122">
        <f t="shared" si="42"/>
        <v>160955</v>
      </c>
      <c r="X1386" s="122">
        <f t="shared" si="43"/>
        <v>185539</v>
      </c>
      <c r="AA1386" t="s">
        <v>58</v>
      </c>
      <c r="AB1386" t="s">
        <v>407</v>
      </c>
      <c r="AC1386" t="s">
        <v>580</v>
      </c>
      <c r="AD1386" t="s">
        <v>407</v>
      </c>
      <c r="AE1386" t="s">
        <v>566</v>
      </c>
      <c r="AF1386">
        <v>4</v>
      </c>
      <c r="AG1386">
        <v>802</v>
      </c>
      <c r="AH1386" s="122">
        <v>1059</v>
      </c>
      <c r="AI1386" s="122">
        <v>147899</v>
      </c>
      <c r="AJ1386" s="122">
        <v>134454</v>
      </c>
      <c r="AK1386">
        <v>85</v>
      </c>
      <c r="AL1386" s="122">
        <v>19674</v>
      </c>
      <c r="AM1386" s="122">
        <v>17886</v>
      </c>
      <c r="AN1386" s="122">
        <v>13504</v>
      </c>
      <c r="AO1386" s="122">
        <v>5001</v>
      </c>
      <c r="AP1386" s="122">
        <v>3011</v>
      </c>
      <c r="AQ1386" s="122">
        <v>1115</v>
      </c>
      <c r="AR1386" s="122">
        <v>31326</v>
      </c>
      <c r="AS1386" s="122">
        <v>28478</v>
      </c>
      <c r="AT1386" s="122">
        <v>0</v>
      </c>
      <c r="AU1386" s="122">
        <v>0</v>
      </c>
      <c r="AV1386" s="122">
        <v>186934</v>
      </c>
    </row>
    <row r="1387" spans="2:48" hidden="1">
      <c r="B1387" t="s">
        <v>371</v>
      </c>
      <c r="C1387" t="s">
        <v>48</v>
      </c>
      <c r="D1387" t="s">
        <v>405</v>
      </c>
      <c r="E1387" t="s">
        <v>405</v>
      </c>
      <c r="F1387" s="122">
        <v>1</v>
      </c>
      <c r="G1387" s="122">
        <v>405</v>
      </c>
      <c r="H1387" s="122">
        <v>40</v>
      </c>
      <c r="I1387" s="122">
        <v>2050</v>
      </c>
      <c r="J1387" s="122">
        <v>1864</v>
      </c>
      <c r="K1387" s="122">
        <v>90</v>
      </c>
      <c r="L1387" s="122">
        <v>345</v>
      </c>
      <c r="M1387" s="122">
        <v>314</v>
      </c>
      <c r="N1387" s="122">
        <v>4933</v>
      </c>
      <c r="O1387" s="122">
        <v>1827</v>
      </c>
      <c r="P1387" s="122">
        <v>4200</v>
      </c>
      <c r="Q1387" s="122">
        <v>1556</v>
      </c>
      <c r="R1387" s="122">
        <v>4692</v>
      </c>
      <c r="S1387" s="122">
        <v>4266</v>
      </c>
      <c r="T1387" s="122">
        <v>0</v>
      </c>
      <c r="U1387" s="122">
        <v>0</v>
      </c>
      <c r="V1387" s="122">
        <v>9826</v>
      </c>
      <c r="W1387" s="122">
        <f t="shared" si="42"/>
        <v>9827</v>
      </c>
      <c r="X1387" s="122">
        <f t="shared" si="43"/>
        <v>16220</v>
      </c>
      <c r="AA1387" t="s">
        <v>58</v>
      </c>
      <c r="AB1387" t="s">
        <v>407</v>
      </c>
      <c r="AC1387" t="s">
        <v>427</v>
      </c>
      <c r="AD1387" t="s">
        <v>406</v>
      </c>
      <c r="AE1387" t="s">
        <v>137</v>
      </c>
      <c r="AF1387">
        <v>1</v>
      </c>
      <c r="AG1387">
        <v>133</v>
      </c>
      <c r="AH1387">
        <v>282</v>
      </c>
      <c r="AI1387" s="122">
        <v>21387</v>
      </c>
      <c r="AJ1387" s="122">
        <v>19443</v>
      </c>
      <c r="AK1387">
        <v>65</v>
      </c>
      <c r="AL1387" s="122">
        <v>4895</v>
      </c>
      <c r="AM1387" s="122">
        <v>4450</v>
      </c>
      <c r="AN1387" s="122">
        <v>2603</v>
      </c>
      <c r="AO1387">
        <v>964</v>
      </c>
      <c r="AP1387">
        <v>473</v>
      </c>
      <c r="AQ1387">
        <v>175</v>
      </c>
      <c r="AR1387" s="122">
        <v>5240</v>
      </c>
      <c r="AS1387" s="122">
        <v>4764</v>
      </c>
      <c r="AT1387" s="122">
        <v>2825</v>
      </c>
      <c r="AU1387" s="122">
        <v>1046</v>
      </c>
      <c r="AV1387" s="122">
        <v>30842</v>
      </c>
    </row>
    <row r="1388" spans="2:48" hidden="1">
      <c r="B1388" t="s">
        <v>371</v>
      </c>
      <c r="C1388" t="s">
        <v>48</v>
      </c>
      <c r="D1388" t="s">
        <v>405</v>
      </c>
      <c r="E1388" t="s">
        <v>137</v>
      </c>
      <c r="F1388" s="122">
        <v>1</v>
      </c>
      <c r="G1388" s="122">
        <v>242</v>
      </c>
      <c r="H1388" s="122">
        <v>75</v>
      </c>
      <c r="I1388" s="122">
        <v>8440</v>
      </c>
      <c r="J1388" s="122">
        <v>7673</v>
      </c>
      <c r="K1388" s="122">
        <v>92</v>
      </c>
      <c r="L1388" s="122">
        <v>2157</v>
      </c>
      <c r="M1388" s="122">
        <v>1961</v>
      </c>
      <c r="N1388" s="122">
        <v>2953</v>
      </c>
      <c r="O1388" s="122">
        <v>1094</v>
      </c>
      <c r="P1388" s="122">
        <v>473</v>
      </c>
      <c r="Q1388" s="122">
        <v>175</v>
      </c>
      <c r="R1388" s="122">
        <v>4100</v>
      </c>
      <c r="S1388" s="122">
        <v>1519</v>
      </c>
      <c r="T1388" s="122">
        <v>0</v>
      </c>
      <c r="U1388" s="122">
        <v>0</v>
      </c>
      <c r="V1388" s="122">
        <v>12421</v>
      </c>
      <c r="W1388" s="122">
        <f t="shared" si="42"/>
        <v>12422</v>
      </c>
      <c r="X1388" s="122">
        <f t="shared" si="43"/>
        <v>18123</v>
      </c>
      <c r="AA1388" t="s">
        <v>58</v>
      </c>
      <c r="AB1388" t="s">
        <v>407</v>
      </c>
      <c r="AC1388" t="s">
        <v>427</v>
      </c>
      <c r="AD1388" t="s">
        <v>427</v>
      </c>
      <c r="AE1388" t="s">
        <v>566</v>
      </c>
      <c r="AF1388">
        <v>1</v>
      </c>
      <c r="AG1388" s="122">
        <v>80</v>
      </c>
      <c r="AH1388" s="122">
        <v>230</v>
      </c>
      <c r="AI1388" s="122">
        <v>9065</v>
      </c>
      <c r="AJ1388" s="122">
        <v>8241</v>
      </c>
      <c r="AK1388">
        <v>79</v>
      </c>
      <c r="AL1388" s="122">
        <v>2656</v>
      </c>
      <c r="AM1388" s="122">
        <v>2414</v>
      </c>
      <c r="AN1388" s="122">
        <v>1949</v>
      </c>
      <c r="AO1388" s="122">
        <v>722</v>
      </c>
      <c r="AP1388" s="122">
        <v>473</v>
      </c>
      <c r="AQ1388" s="122">
        <v>175</v>
      </c>
      <c r="AR1388" s="122">
        <v>4243</v>
      </c>
      <c r="AS1388" s="122">
        <v>3858</v>
      </c>
      <c r="AT1388" s="122">
        <v>0</v>
      </c>
      <c r="AU1388" s="122">
        <v>0</v>
      </c>
      <c r="AV1388" s="122">
        <v>15410</v>
      </c>
    </row>
    <row r="1389" spans="2:48" hidden="1">
      <c r="B1389" t="s">
        <v>371</v>
      </c>
      <c r="C1389" t="s">
        <v>48</v>
      </c>
      <c r="D1389" t="s">
        <v>137</v>
      </c>
      <c r="E1389" t="s">
        <v>137</v>
      </c>
      <c r="F1389" s="122">
        <v>120</v>
      </c>
      <c r="G1389" s="122">
        <v>28341</v>
      </c>
      <c r="H1389" s="122">
        <v>6393</v>
      </c>
      <c r="I1389" s="122">
        <v>294781</v>
      </c>
      <c r="J1389" s="122">
        <v>109178</v>
      </c>
      <c r="K1389" s="122">
        <v>466</v>
      </c>
      <c r="L1389" s="122">
        <v>66865</v>
      </c>
      <c r="M1389" s="122">
        <v>59274</v>
      </c>
      <c r="N1389" s="122">
        <v>379958</v>
      </c>
      <c r="O1389" s="122">
        <v>140725</v>
      </c>
      <c r="P1389" s="122">
        <v>130011</v>
      </c>
      <c r="Q1389" s="122">
        <v>48152</v>
      </c>
      <c r="R1389" s="122">
        <v>651424</v>
      </c>
      <c r="S1389" s="122">
        <v>241268</v>
      </c>
      <c r="T1389" s="122">
        <v>0</v>
      </c>
      <c r="U1389" s="122">
        <v>0</v>
      </c>
      <c r="V1389" s="122">
        <v>598598</v>
      </c>
      <c r="W1389" s="122">
        <f t="shared" si="42"/>
        <v>598597</v>
      </c>
      <c r="X1389" s="122">
        <f t="shared" si="43"/>
        <v>1523039</v>
      </c>
      <c r="AA1389" t="s">
        <v>58</v>
      </c>
      <c r="AB1389" t="s">
        <v>407</v>
      </c>
      <c r="AC1389" t="s">
        <v>427</v>
      </c>
      <c r="AD1389" t="s">
        <v>407</v>
      </c>
      <c r="AE1389" t="s">
        <v>137</v>
      </c>
      <c r="AF1389">
        <v>284</v>
      </c>
      <c r="AG1389" s="122">
        <v>34549</v>
      </c>
      <c r="AH1389" s="122">
        <v>74467</v>
      </c>
      <c r="AI1389" s="122">
        <v>5118669</v>
      </c>
      <c r="AJ1389" s="122">
        <v>4653335</v>
      </c>
      <c r="AK1389">
        <v>78</v>
      </c>
      <c r="AL1389" s="122">
        <v>1292945</v>
      </c>
      <c r="AM1389" s="122">
        <v>1175405</v>
      </c>
      <c r="AN1389" s="122">
        <v>706537</v>
      </c>
      <c r="AO1389" s="122">
        <v>261680</v>
      </c>
      <c r="AP1389" s="122">
        <v>136102</v>
      </c>
      <c r="AQ1389" s="122">
        <v>50408</v>
      </c>
      <c r="AR1389" s="122">
        <v>1342554</v>
      </c>
      <c r="AS1389" s="122">
        <v>1220503</v>
      </c>
      <c r="AT1389" s="122">
        <v>634819</v>
      </c>
      <c r="AU1389" s="122">
        <v>235118</v>
      </c>
      <c r="AV1389" s="122">
        <v>7596450</v>
      </c>
    </row>
    <row r="1390" spans="2:48" hidden="1">
      <c r="B1390" t="s">
        <v>371</v>
      </c>
      <c r="C1390" t="s">
        <v>48</v>
      </c>
      <c r="D1390" t="s">
        <v>137</v>
      </c>
      <c r="E1390" t="s">
        <v>406</v>
      </c>
      <c r="F1390" s="122">
        <v>1</v>
      </c>
      <c r="G1390" s="122">
        <v>192</v>
      </c>
      <c r="H1390" s="122">
        <v>43</v>
      </c>
      <c r="I1390" s="122">
        <v>1254</v>
      </c>
      <c r="J1390" s="122">
        <v>464</v>
      </c>
      <c r="K1390" s="122">
        <v>514</v>
      </c>
      <c r="L1390" s="122">
        <v>486</v>
      </c>
      <c r="M1390" s="122">
        <v>442</v>
      </c>
      <c r="N1390" s="122">
        <v>2336</v>
      </c>
      <c r="O1390" s="122">
        <v>865</v>
      </c>
      <c r="P1390" s="122">
        <v>2120</v>
      </c>
      <c r="Q1390" s="122">
        <v>785</v>
      </c>
      <c r="R1390" s="122">
        <v>2096</v>
      </c>
      <c r="S1390" s="122">
        <v>1905</v>
      </c>
      <c r="T1390" s="122">
        <v>0</v>
      </c>
      <c r="U1390" s="122">
        <v>0</v>
      </c>
      <c r="V1390" s="122">
        <v>4462</v>
      </c>
      <c r="W1390" s="122">
        <f t="shared" si="42"/>
        <v>4461</v>
      </c>
      <c r="X1390" s="122">
        <f t="shared" si="43"/>
        <v>8292</v>
      </c>
      <c r="AA1390" t="s">
        <v>58</v>
      </c>
      <c r="AB1390" t="s">
        <v>407</v>
      </c>
      <c r="AC1390" t="s">
        <v>427</v>
      </c>
      <c r="AD1390" t="s">
        <v>407</v>
      </c>
      <c r="AE1390" t="s">
        <v>566</v>
      </c>
      <c r="AF1390">
        <v>271</v>
      </c>
      <c r="AG1390" s="122">
        <v>35055</v>
      </c>
      <c r="AH1390" s="122">
        <v>70557</v>
      </c>
      <c r="AI1390" s="122">
        <v>5366749</v>
      </c>
      <c r="AJ1390" s="122">
        <v>4878862</v>
      </c>
      <c r="AK1390">
        <v>82</v>
      </c>
      <c r="AL1390" s="122">
        <v>1525366</v>
      </c>
      <c r="AM1390" s="122">
        <v>1386697</v>
      </c>
      <c r="AN1390" s="122">
        <v>723321</v>
      </c>
      <c r="AO1390" s="122">
        <v>267897</v>
      </c>
      <c r="AP1390" s="122">
        <v>130691</v>
      </c>
      <c r="AQ1390" s="122">
        <v>48404</v>
      </c>
      <c r="AR1390" s="122">
        <v>1563068</v>
      </c>
      <c r="AS1390" s="122">
        <v>1420971</v>
      </c>
      <c r="AT1390">
        <v>0</v>
      </c>
      <c r="AU1390">
        <v>0</v>
      </c>
      <c r="AV1390" s="122">
        <v>8002831</v>
      </c>
    </row>
    <row r="1391" spans="2:48" hidden="1">
      <c r="B1391" t="s">
        <v>371</v>
      </c>
      <c r="C1391" t="s">
        <v>48</v>
      </c>
      <c r="D1391" t="s">
        <v>406</v>
      </c>
      <c r="E1391" t="s">
        <v>137</v>
      </c>
      <c r="F1391" s="122">
        <v>8</v>
      </c>
      <c r="G1391" s="122">
        <v>1740</v>
      </c>
      <c r="H1391" s="122">
        <v>488</v>
      </c>
      <c r="I1391" s="122">
        <v>41601</v>
      </c>
      <c r="J1391" s="122">
        <v>37819</v>
      </c>
      <c r="K1391" s="122">
        <v>96</v>
      </c>
      <c r="L1391" s="122">
        <v>6207</v>
      </c>
      <c r="M1391" s="122">
        <v>5642</v>
      </c>
      <c r="N1391" s="122">
        <v>21649</v>
      </c>
      <c r="O1391" s="122">
        <v>8018</v>
      </c>
      <c r="P1391" s="122">
        <v>8097</v>
      </c>
      <c r="Q1391" s="122">
        <v>2999</v>
      </c>
      <c r="R1391" s="122">
        <v>29360</v>
      </c>
      <c r="S1391" s="122">
        <v>10874</v>
      </c>
      <c r="T1391" s="122">
        <v>0</v>
      </c>
      <c r="U1391" s="122">
        <v>0</v>
      </c>
      <c r="V1391" s="122">
        <v>65352</v>
      </c>
      <c r="W1391" s="122">
        <f t="shared" si="42"/>
        <v>65352</v>
      </c>
      <c r="X1391" s="122">
        <f t="shared" si="43"/>
        <v>106914</v>
      </c>
      <c r="AA1391" t="s">
        <v>58</v>
      </c>
      <c r="AB1391" t="s">
        <v>407</v>
      </c>
      <c r="AC1391" t="s">
        <v>427</v>
      </c>
      <c r="AD1391" t="s">
        <v>426</v>
      </c>
      <c r="AE1391" t="s">
        <v>137</v>
      </c>
      <c r="AF1391">
        <v>1</v>
      </c>
      <c r="AG1391">
        <v>227</v>
      </c>
      <c r="AH1391">
        <v>289</v>
      </c>
      <c r="AI1391" s="122">
        <v>45774</v>
      </c>
      <c r="AJ1391" s="122">
        <v>41613</v>
      </c>
      <c r="AK1391">
        <v>78</v>
      </c>
      <c r="AL1391" s="122">
        <v>6307</v>
      </c>
      <c r="AM1391" s="122">
        <v>5733</v>
      </c>
      <c r="AN1391" s="122">
        <v>4873</v>
      </c>
      <c r="AO1391" s="122">
        <v>1805</v>
      </c>
      <c r="AP1391">
        <v>473</v>
      </c>
      <c r="AQ1391">
        <v>175</v>
      </c>
      <c r="AR1391" s="122">
        <v>8325</v>
      </c>
      <c r="AS1391" s="122">
        <v>7569</v>
      </c>
      <c r="AT1391">
        <v>0</v>
      </c>
      <c r="AU1391">
        <v>0</v>
      </c>
      <c r="AV1391" s="122">
        <v>56895</v>
      </c>
    </row>
    <row r="1392" spans="2:48" hidden="1">
      <c r="B1392" t="s">
        <v>371</v>
      </c>
      <c r="C1392" t="s">
        <v>48</v>
      </c>
      <c r="D1392" t="s">
        <v>406</v>
      </c>
      <c r="E1392" t="s">
        <v>406</v>
      </c>
      <c r="F1392" s="122">
        <v>48</v>
      </c>
      <c r="G1392" s="122">
        <v>10414</v>
      </c>
      <c r="H1392" s="122">
        <v>2860</v>
      </c>
      <c r="I1392" s="122">
        <v>214963</v>
      </c>
      <c r="J1392" s="122">
        <v>195421</v>
      </c>
      <c r="K1392" s="122">
        <v>95</v>
      </c>
      <c r="L1392" s="122">
        <v>26874</v>
      </c>
      <c r="M1392" s="122">
        <v>24314</v>
      </c>
      <c r="N1392" s="122">
        <v>138526</v>
      </c>
      <c r="O1392" s="122">
        <v>51306</v>
      </c>
      <c r="P1392" s="122">
        <v>55750</v>
      </c>
      <c r="Q1392" s="122">
        <v>20648</v>
      </c>
      <c r="R1392" s="122">
        <v>177854</v>
      </c>
      <c r="S1392" s="122">
        <v>161686</v>
      </c>
      <c r="T1392" s="122">
        <v>0</v>
      </c>
      <c r="U1392" s="122">
        <v>0</v>
      </c>
      <c r="V1392" s="122">
        <v>453375</v>
      </c>
      <c r="W1392" s="122">
        <f t="shared" si="42"/>
        <v>453375</v>
      </c>
      <c r="X1392" s="122">
        <f t="shared" si="43"/>
        <v>613967</v>
      </c>
      <c r="AA1392" t="s">
        <v>58</v>
      </c>
      <c r="AB1392" t="s">
        <v>407</v>
      </c>
      <c r="AC1392" t="s">
        <v>427</v>
      </c>
      <c r="AD1392" t="s">
        <v>426</v>
      </c>
      <c r="AE1392" t="s">
        <v>566</v>
      </c>
      <c r="AF1392">
        <v>1</v>
      </c>
      <c r="AG1392">
        <v>142</v>
      </c>
      <c r="AH1392">
        <v>265</v>
      </c>
      <c r="AI1392" s="122">
        <v>20431</v>
      </c>
      <c r="AJ1392" s="122">
        <v>18574</v>
      </c>
      <c r="AK1392">
        <v>73</v>
      </c>
      <c r="AL1392" s="122">
        <v>5252</v>
      </c>
      <c r="AM1392" s="122">
        <v>4774</v>
      </c>
      <c r="AN1392" s="122">
        <v>3459</v>
      </c>
      <c r="AO1392" s="122">
        <v>1281</v>
      </c>
      <c r="AP1392">
        <v>473</v>
      </c>
      <c r="AQ1392">
        <v>175</v>
      </c>
      <c r="AR1392" s="122">
        <v>7945</v>
      </c>
      <c r="AS1392" s="122">
        <v>7223</v>
      </c>
      <c r="AT1392">
        <v>0</v>
      </c>
      <c r="AU1392">
        <v>0</v>
      </c>
      <c r="AV1392" s="122">
        <v>32027</v>
      </c>
    </row>
    <row r="1393" spans="2:48" hidden="1">
      <c r="B1393" t="s">
        <v>371</v>
      </c>
      <c r="C1393" t="s">
        <v>48</v>
      </c>
      <c r="D1393" t="s">
        <v>407</v>
      </c>
      <c r="E1393" t="s">
        <v>407</v>
      </c>
      <c r="F1393" s="122">
        <v>22</v>
      </c>
      <c r="G1393" s="122">
        <v>3901</v>
      </c>
      <c r="H1393" s="122">
        <v>1324</v>
      </c>
      <c r="I1393" s="122">
        <v>58339</v>
      </c>
      <c r="J1393" s="122">
        <v>53035</v>
      </c>
      <c r="K1393" s="122">
        <v>90</v>
      </c>
      <c r="L1393" s="122">
        <v>7224</v>
      </c>
      <c r="M1393" s="122">
        <v>6460</v>
      </c>
      <c r="N1393" s="122">
        <v>48139</v>
      </c>
      <c r="O1393" s="122">
        <v>17829</v>
      </c>
      <c r="P1393" s="122">
        <v>20973</v>
      </c>
      <c r="Q1393" s="122">
        <v>7768</v>
      </c>
      <c r="R1393" s="122">
        <v>94074</v>
      </c>
      <c r="S1393" s="122">
        <v>85522</v>
      </c>
      <c r="T1393" s="122">
        <v>0</v>
      </c>
      <c r="U1393" s="122">
        <v>0</v>
      </c>
      <c r="V1393" s="122">
        <v>170614</v>
      </c>
      <c r="W1393" s="122">
        <f t="shared" si="42"/>
        <v>170614</v>
      </c>
      <c r="X1393" s="122">
        <f t="shared" si="43"/>
        <v>228749</v>
      </c>
      <c r="AA1393" t="s">
        <v>58</v>
      </c>
      <c r="AB1393" t="s">
        <v>407</v>
      </c>
      <c r="AC1393" t="s">
        <v>407</v>
      </c>
      <c r="AD1393" t="s">
        <v>425</v>
      </c>
      <c r="AE1393" t="s">
        <v>566</v>
      </c>
      <c r="AF1393">
        <v>1</v>
      </c>
      <c r="AG1393">
        <v>169</v>
      </c>
      <c r="AH1393">
        <v>226</v>
      </c>
      <c r="AI1393" s="122">
        <v>23683</v>
      </c>
      <c r="AJ1393" s="122">
        <v>21530</v>
      </c>
      <c r="AK1393">
        <v>77</v>
      </c>
      <c r="AL1393" s="122">
        <v>2531</v>
      </c>
      <c r="AM1393" s="122">
        <v>2301</v>
      </c>
      <c r="AN1393" s="122">
        <v>3740</v>
      </c>
      <c r="AO1393" s="122">
        <v>1385</v>
      </c>
      <c r="AP1393">
        <v>473</v>
      </c>
      <c r="AQ1393">
        <v>175</v>
      </c>
      <c r="AR1393" s="122">
        <v>7727</v>
      </c>
      <c r="AS1393" s="122">
        <v>7025</v>
      </c>
      <c r="AT1393">
        <v>0</v>
      </c>
      <c r="AU1393">
        <v>0</v>
      </c>
      <c r="AV1393" s="122">
        <v>32416</v>
      </c>
    </row>
    <row r="1394" spans="2:48" hidden="1">
      <c r="B1394" t="s">
        <v>371</v>
      </c>
      <c r="C1394" t="s">
        <v>50</v>
      </c>
      <c r="F1394" s="122">
        <v>1</v>
      </c>
      <c r="G1394" s="122">
        <v>264</v>
      </c>
      <c r="H1394" s="122">
        <v>100</v>
      </c>
      <c r="I1394" s="122"/>
      <c r="J1394" s="122">
        <v>0</v>
      </c>
      <c r="K1394" s="122"/>
      <c r="L1394" s="122"/>
      <c r="M1394" s="122">
        <v>0</v>
      </c>
      <c r="N1394" s="122">
        <v>3219</v>
      </c>
      <c r="O1394" s="122">
        <v>1192</v>
      </c>
      <c r="P1394" s="122">
        <v>351</v>
      </c>
      <c r="Q1394" s="122">
        <v>130</v>
      </c>
      <c r="R1394" s="122"/>
      <c r="S1394" s="122">
        <v>0</v>
      </c>
      <c r="T1394" s="122">
        <v>0</v>
      </c>
      <c r="U1394" s="122">
        <v>0</v>
      </c>
      <c r="V1394" s="122">
        <v>1322</v>
      </c>
      <c r="W1394" s="122">
        <f t="shared" si="42"/>
        <v>1322</v>
      </c>
      <c r="X1394" s="122">
        <f t="shared" si="43"/>
        <v>3570</v>
      </c>
      <c r="AA1394" t="s">
        <v>58</v>
      </c>
      <c r="AB1394" t="s">
        <v>407</v>
      </c>
      <c r="AC1394" t="s">
        <v>407</v>
      </c>
      <c r="AD1394" t="s">
        <v>405</v>
      </c>
      <c r="AE1394" t="s">
        <v>566</v>
      </c>
      <c r="AF1394">
        <v>2</v>
      </c>
      <c r="AG1394">
        <v>356</v>
      </c>
      <c r="AH1394">
        <v>518</v>
      </c>
      <c r="AI1394" s="122">
        <v>59448</v>
      </c>
      <c r="AJ1394" s="122">
        <v>54044</v>
      </c>
      <c r="AK1394">
        <v>83</v>
      </c>
      <c r="AL1394" s="122">
        <v>11420</v>
      </c>
      <c r="AM1394" s="122">
        <v>10382</v>
      </c>
      <c r="AN1394" s="122">
        <v>5869</v>
      </c>
      <c r="AO1394" s="122">
        <v>2174</v>
      </c>
      <c r="AP1394">
        <v>945</v>
      </c>
      <c r="AQ1394">
        <v>350</v>
      </c>
      <c r="AR1394" s="122">
        <v>13908</v>
      </c>
      <c r="AS1394" s="122">
        <v>12644</v>
      </c>
      <c r="AT1394">
        <v>0</v>
      </c>
      <c r="AU1394">
        <v>0</v>
      </c>
      <c r="AV1394" s="122">
        <v>79593</v>
      </c>
    </row>
    <row r="1395" spans="2:48" hidden="1">
      <c r="B1395" t="s">
        <v>371</v>
      </c>
      <c r="C1395" t="s">
        <v>50</v>
      </c>
      <c r="D1395" t="s">
        <v>137</v>
      </c>
      <c r="E1395" t="s">
        <v>137</v>
      </c>
      <c r="F1395" s="122">
        <v>19</v>
      </c>
      <c r="G1395" s="122">
        <v>5177</v>
      </c>
      <c r="H1395" s="122">
        <v>1646</v>
      </c>
      <c r="I1395" s="122">
        <v>189305</v>
      </c>
      <c r="J1395" s="122">
        <v>70113</v>
      </c>
      <c r="K1395" s="122">
        <v>363</v>
      </c>
      <c r="L1395" s="122">
        <v>51686</v>
      </c>
      <c r="M1395" s="122">
        <v>44264</v>
      </c>
      <c r="N1395" s="122">
        <v>94018</v>
      </c>
      <c r="O1395" s="122">
        <v>34822</v>
      </c>
      <c r="P1395" s="122">
        <v>18538</v>
      </c>
      <c r="Q1395" s="122">
        <v>6866</v>
      </c>
      <c r="R1395" s="122">
        <v>118107</v>
      </c>
      <c r="S1395" s="122">
        <v>43743</v>
      </c>
      <c r="T1395" s="122">
        <v>0</v>
      </c>
      <c r="U1395" s="122">
        <v>0</v>
      </c>
      <c r="V1395" s="122">
        <v>199808</v>
      </c>
      <c r="W1395" s="122">
        <f t="shared" si="42"/>
        <v>199808</v>
      </c>
      <c r="X1395" s="122">
        <f t="shared" si="43"/>
        <v>471654</v>
      </c>
      <c r="AA1395" t="s">
        <v>58</v>
      </c>
      <c r="AB1395" t="s">
        <v>407</v>
      </c>
      <c r="AC1395" t="s">
        <v>407</v>
      </c>
      <c r="AD1395" t="s">
        <v>137</v>
      </c>
      <c r="AE1395" t="s">
        <v>137</v>
      </c>
      <c r="AF1395">
        <v>1</v>
      </c>
      <c r="AG1395">
        <v>175</v>
      </c>
      <c r="AH1395" s="122">
        <v>244</v>
      </c>
      <c r="AI1395" s="122">
        <v>28234</v>
      </c>
      <c r="AJ1395" s="122">
        <v>25667</v>
      </c>
      <c r="AK1395">
        <v>90</v>
      </c>
      <c r="AL1395" s="122">
        <v>4491</v>
      </c>
      <c r="AM1395" s="122">
        <v>4083</v>
      </c>
      <c r="AN1395" s="122">
        <v>3747</v>
      </c>
      <c r="AO1395" s="122">
        <v>1388</v>
      </c>
      <c r="AP1395" s="122">
        <v>473</v>
      </c>
      <c r="AQ1395" s="122">
        <v>175</v>
      </c>
      <c r="AR1395" s="122">
        <v>5649</v>
      </c>
      <c r="AS1395" s="122">
        <v>2092</v>
      </c>
      <c r="AT1395">
        <v>0</v>
      </c>
      <c r="AU1395">
        <v>0</v>
      </c>
      <c r="AV1395" s="122">
        <v>33405</v>
      </c>
    </row>
    <row r="1396" spans="2:48" hidden="1">
      <c r="B1396" t="s">
        <v>371</v>
      </c>
      <c r="C1396" t="s">
        <v>50</v>
      </c>
      <c r="D1396" t="s">
        <v>137</v>
      </c>
      <c r="E1396" t="s">
        <v>406</v>
      </c>
      <c r="F1396" s="122">
        <v>1</v>
      </c>
      <c r="G1396" s="122">
        <v>503</v>
      </c>
      <c r="H1396" s="122">
        <v>98</v>
      </c>
      <c r="I1396" s="122">
        <v>22862</v>
      </c>
      <c r="J1396" s="122">
        <v>8468</v>
      </c>
      <c r="K1396" s="122">
        <v>320</v>
      </c>
      <c r="L1396" s="122">
        <v>4416</v>
      </c>
      <c r="M1396" s="122">
        <v>4014</v>
      </c>
      <c r="N1396" s="122">
        <v>11040</v>
      </c>
      <c r="O1396" s="122">
        <v>4089</v>
      </c>
      <c r="P1396" s="122">
        <v>351</v>
      </c>
      <c r="Q1396" s="122">
        <v>130</v>
      </c>
      <c r="R1396" s="122">
        <v>5781</v>
      </c>
      <c r="S1396" s="122">
        <v>5255</v>
      </c>
      <c r="T1396" s="122">
        <v>4698</v>
      </c>
      <c r="U1396" s="122">
        <v>1740</v>
      </c>
      <c r="V1396" s="122">
        <v>23696</v>
      </c>
      <c r="W1396" s="122">
        <f t="shared" si="42"/>
        <v>23696</v>
      </c>
      <c r="X1396" s="122">
        <f t="shared" si="43"/>
        <v>49148</v>
      </c>
      <c r="AA1396" t="s">
        <v>58</v>
      </c>
      <c r="AB1396" t="s">
        <v>407</v>
      </c>
      <c r="AC1396" t="s">
        <v>407</v>
      </c>
      <c r="AD1396" t="s">
        <v>137</v>
      </c>
      <c r="AE1396" t="s">
        <v>566</v>
      </c>
      <c r="AF1396">
        <v>7</v>
      </c>
      <c r="AG1396">
        <v>715</v>
      </c>
      <c r="AH1396" s="122">
        <v>1796</v>
      </c>
      <c r="AI1396" s="122">
        <v>101449</v>
      </c>
      <c r="AJ1396" s="122">
        <v>92226</v>
      </c>
      <c r="AK1396">
        <v>80</v>
      </c>
      <c r="AL1396" s="122">
        <v>21094</v>
      </c>
      <c r="AM1396" s="122">
        <v>19176</v>
      </c>
      <c r="AN1396" s="122">
        <v>15581</v>
      </c>
      <c r="AO1396" s="122">
        <v>5771</v>
      </c>
      <c r="AP1396" s="122">
        <v>3308</v>
      </c>
      <c r="AQ1396" s="122">
        <v>1225</v>
      </c>
      <c r="AR1396" s="122">
        <v>47516</v>
      </c>
      <c r="AS1396" s="122">
        <v>17598</v>
      </c>
      <c r="AT1396">
        <v>0</v>
      </c>
      <c r="AU1396">
        <v>0</v>
      </c>
      <c r="AV1396" s="122">
        <v>135996</v>
      </c>
    </row>
    <row r="1397" spans="2:48" hidden="1">
      <c r="B1397" t="s">
        <v>371</v>
      </c>
      <c r="C1397" t="s">
        <v>50</v>
      </c>
      <c r="D1397" t="s">
        <v>406</v>
      </c>
      <c r="E1397" t="s">
        <v>406</v>
      </c>
      <c r="F1397" s="122">
        <v>29</v>
      </c>
      <c r="G1397" s="122">
        <v>7121</v>
      </c>
      <c r="H1397" s="122">
        <v>2649</v>
      </c>
      <c r="I1397" s="122">
        <v>341150</v>
      </c>
      <c r="J1397" s="122">
        <v>310136</v>
      </c>
      <c r="K1397" s="122">
        <v>93</v>
      </c>
      <c r="L1397" s="122">
        <v>62299</v>
      </c>
      <c r="M1397" s="122">
        <v>56236</v>
      </c>
      <c r="N1397" s="122">
        <v>101658</v>
      </c>
      <c r="O1397" s="122">
        <v>37651</v>
      </c>
      <c r="P1397" s="122">
        <v>26652</v>
      </c>
      <c r="Q1397" s="122">
        <v>9871</v>
      </c>
      <c r="R1397" s="122">
        <v>134783</v>
      </c>
      <c r="S1397" s="122">
        <v>122530</v>
      </c>
      <c r="T1397" s="122">
        <v>0</v>
      </c>
      <c r="U1397" s="122">
        <v>0</v>
      </c>
      <c r="V1397" s="122">
        <v>536424</v>
      </c>
      <c r="W1397" s="122">
        <f t="shared" si="42"/>
        <v>536424</v>
      </c>
      <c r="X1397" s="122">
        <f t="shared" si="43"/>
        <v>666542</v>
      </c>
      <c r="AA1397" t="s">
        <v>58</v>
      </c>
      <c r="AB1397" t="s">
        <v>407</v>
      </c>
      <c r="AC1397" t="s">
        <v>407</v>
      </c>
      <c r="AD1397" t="s">
        <v>406</v>
      </c>
      <c r="AE1397" t="s">
        <v>566</v>
      </c>
      <c r="AF1397">
        <v>1</v>
      </c>
      <c r="AG1397">
        <v>134</v>
      </c>
      <c r="AH1397">
        <v>247</v>
      </c>
      <c r="AI1397" s="122">
        <v>29470</v>
      </c>
      <c r="AJ1397" s="122">
        <v>26791</v>
      </c>
      <c r="AK1397">
        <v>78</v>
      </c>
      <c r="AL1397" s="122">
        <v>6066</v>
      </c>
      <c r="AM1397" s="122">
        <v>5515</v>
      </c>
      <c r="AN1397" s="122">
        <v>4277</v>
      </c>
      <c r="AO1397" s="122">
        <v>1584</v>
      </c>
      <c r="AP1397">
        <v>743</v>
      </c>
      <c r="AQ1397">
        <v>275</v>
      </c>
      <c r="AR1397" s="122">
        <v>7664</v>
      </c>
      <c r="AS1397" s="122">
        <v>6968</v>
      </c>
      <c r="AT1397">
        <v>0</v>
      </c>
      <c r="AU1397">
        <v>0</v>
      </c>
      <c r="AV1397" s="122">
        <v>41132</v>
      </c>
    </row>
    <row r="1398" spans="2:48" hidden="1">
      <c r="B1398" t="s">
        <v>371</v>
      </c>
      <c r="C1398" t="s">
        <v>50</v>
      </c>
      <c r="D1398" t="s">
        <v>407</v>
      </c>
      <c r="E1398" t="s">
        <v>407</v>
      </c>
      <c r="F1398" s="122">
        <v>11</v>
      </c>
      <c r="G1398" s="122">
        <v>1624</v>
      </c>
      <c r="H1398" s="122">
        <v>996</v>
      </c>
      <c r="I1398" s="122">
        <v>84167</v>
      </c>
      <c r="J1398" s="122">
        <v>76516</v>
      </c>
      <c r="K1398" s="122">
        <v>90</v>
      </c>
      <c r="L1398" s="122">
        <v>11563</v>
      </c>
      <c r="M1398" s="122">
        <v>10270</v>
      </c>
      <c r="N1398" s="122">
        <v>22607</v>
      </c>
      <c r="O1398" s="122">
        <v>8373</v>
      </c>
      <c r="P1398" s="122">
        <v>4590</v>
      </c>
      <c r="Q1398" s="122">
        <v>1700</v>
      </c>
      <c r="R1398" s="122">
        <v>30537</v>
      </c>
      <c r="S1398" s="122">
        <v>27761</v>
      </c>
      <c r="T1398" s="122">
        <v>0</v>
      </c>
      <c r="U1398" s="122">
        <v>0</v>
      </c>
      <c r="V1398" s="122">
        <v>124620</v>
      </c>
      <c r="W1398" s="122">
        <f t="shared" si="42"/>
        <v>124620</v>
      </c>
      <c r="X1398" s="122">
        <f t="shared" si="43"/>
        <v>153464</v>
      </c>
      <c r="AA1398" t="s">
        <v>58</v>
      </c>
      <c r="AB1398" t="s">
        <v>407</v>
      </c>
      <c r="AC1398" t="s">
        <v>407</v>
      </c>
      <c r="AD1398" t="s">
        <v>427</v>
      </c>
      <c r="AE1398" t="s">
        <v>566</v>
      </c>
      <c r="AF1398" s="122">
        <v>1</v>
      </c>
      <c r="AG1398" s="122">
        <v>110</v>
      </c>
      <c r="AH1398" s="122">
        <v>232</v>
      </c>
      <c r="AI1398" s="122">
        <v>13000</v>
      </c>
      <c r="AJ1398" s="122">
        <v>11819</v>
      </c>
      <c r="AK1398">
        <v>78</v>
      </c>
      <c r="AL1398" s="122">
        <v>3756</v>
      </c>
      <c r="AM1398" s="122">
        <v>3414</v>
      </c>
      <c r="AN1398" s="122">
        <v>2609</v>
      </c>
      <c r="AO1398" s="122">
        <v>966</v>
      </c>
      <c r="AP1398" s="122">
        <v>473</v>
      </c>
      <c r="AQ1398" s="122">
        <v>175</v>
      </c>
      <c r="AR1398" s="122">
        <v>5687</v>
      </c>
      <c r="AS1398" s="122">
        <v>5170</v>
      </c>
      <c r="AT1398" s="122">
        <v>0</v>
      </c>
      <c r="AU1398" s="122">
        <v>0</v>
      </c>
      <c r="AV1398" s="122">
        <v>21544</v>
      </c>
    </row>
    <row r="1399" spans="2:48" hidden="1">
      <c r="B1399" t="s">
        <v>371</v>
      </c>
      <c r="C1399" t="s">
        <v>52</v>
      </c>
      <c r="D1399" t="s">
        <v>405</v>
      </c>
      <c r="E1399" t="s">
        <v>405</v>
      </c>
      <c r="F1399" s="122">
        <v>2</v>
      </c>
      <c r="G1399" s="122">
        <v>621</v>
      </c>
      <c r="H1399" s="122">
        <v>229</v>
      </c>
      <c r="I1399" s="122">
        <v>33622</v>
      </c>
      <c r="J1399" s="122">
        <v>30566</v>
      </c>
      <c r="K1399" s="122">
        <v>91</v>
      </c>
      <c r="L1399" s="122">
        <v>9393</v>
      </c>
      <c r="M1399" s="122">
        <v>8400</v>
      </c>
      <c r="N1399" s="122">
        <v>14574</v>
      </c>
      <c r="O1399" s="122">
        <v>5398</v>
      </c>
      <c r="P1399" s="122">
        <v>1094</v>
      </c>
      <c r="Q1399" s="122">
        <v>405</v>
      </c>
      <c r="R1399" s="122">
        <v>12898</v>
      </c>
      <c r="S1399" s="122">
        <v>11726</v>
      </c>
      <c r="T1399" s="122">
        <v>0</v>
      </c>
      <c r="U1399" s="122">
        <v>0</v>
      </c>
      <c r="V1399" s="122">
        <v>56494</v>
      </c>
      <c r="W1399" s="122">
        <f t="shared" si="42"/>
        <v>56495</v>
      </c>
      <c r="X1399" s="122">
        <f t="shared" si="43"/>
        <v>71581</v>
      </c>
      <c r="AA1399" t="s">
        <v>58</v>
      </c>
      <c r="AB1399" t="s">
        <v>407</v>
      </c>
      <c r="AC1399" t="s">
        <v>407</v>
      </c>
      <c r="AD1399" t="s">
        <v>407</v>
      </c>
      <c r="AE1399" t="s">
        <v>137</v>
      </c>
      <c r="AF1399" s="122">
        <v>1624</v>
      </c>
      <c r="AG1399" s="122">
        <v>215344</v>
      </c>
      <c r="AH1399" s="122">
        <v>422303</v>
      </c>
      <c r="AI1399" s="122">
        <v>30767333</v>
      </c>
      <c r="AJ1399" s="122">
        <v>27970303</v>
      </c>
      <c r="AK1399">
        <v>78</v>
      </c>
      <c r="AL1399" s="122">
        <v>8913366</v>
      </c>
      <c r="AM1399" s="122">
        <v>8103060</v>
      </c>
      <c r="AN1399" s="122">
        <v>4649477</v>
      </c>
      <c r="AO1399" s="122">
        <v>1722028</v>
      </c>
      <c r="AP1399" s="122">
        <v>774369</v>
      </c>
      <c r="AQ1399" s="122">
        <v>286803</v>
      </c>
      <c r="AR1399" s="122">
        <v>7897396</v>
      </c>
      <c r="AS1399" s="122">
        <v>7179451</v>
      </c>
      <c r="AT1399" s="122">
        <v>4048869</v>
      </c>
      <c r="AU1399" s="122">
        <v>1499581</v>
      </c>
      <c r="AV1399" s="122">
        <v>46761226</v>
      </c>
    </row>
    <row r="1400" spans="2:48" hidden="1">
      <c r="B1400" t="s">
        <v>371</v>
      </c>
      <c r="C1400" t="s">
        <v>52</v>
      </c>
      <c r="D1400" t="s">
        <v>137</v>
      </c>
      <c r="E1400" t="s">
        <v>405</v>
      </c>
      <c r="F1400" s="122">
        <v>1</v>
      </c>
      <c r="G1400" s="122">
        <v>523</v>
      </c>
      <c r="H1400" s="122">
        <v>104</v>
      </c>
      <c r="I1400" s="122">
        <v>33722</v>
      </c>
      <c r="J1400" s="122">
        <v>12490</v>
      </c>
      <c r="K1400" s="122">
        <v>320</v>
      </c>
      <c r="L1400" s="122">
        <v>5392</v>
      </c>
      <c r="M1400" s="122">
        <v>4902</v>
      </c>
      <c r="N1400" s="122">
        <v>6372</v>
      </c>
      <c r="O1400" s="122">
        <v>2360</v>
      </c>
      <c r="P1400" s="122">
        <v>473</v>
      </c>
      <c r="Q1400" s="122">
        <v>175</v>
      </c>
      <c r="R1400" s="122">
        <v>8207</v>
      </c>
      <c r="S1400" s="122">
        <v>7461</v>
      </c>
      <c r="T1400" s="122">
        <v>0</v>
      </c>
      <c r="U1400" s="122">
        <v>0</v>
      </c>
      <c r="V1400" s="122">
        <v>27387</v>
      </c>
      <c r="W1400" s="122">
        <f t="shared" si="42"/>
        <v>27388</v>
      </c>
      <c r="X1400" s="122">
        <f t="shared" si="43"/>
        <v>54166</v>
      </c>
      <c r="AA1400" t="s">
        <v>58</v>
      </c>
      <c r="AB1400" t="s">
        <v>407</v>
      </c>
      <c r="AC1400" t="s">
        <v>407</v>
      </c>
      <c r="AD1400" t="s">
        <v>407</v>
      </c>
      <c r="AE1400" t="s">
        <v>566</v>
      </c>
      <c r="AF1400" s="122">
        <v>1555</v>
      </c>
      <c r="AG1400" s="122">
        <v>220279</v>
      </c>
      <c r="AH1400" s="122">
        <v>398864</v>
      </c>
      <c r="AI1400" s="122">
        <v>32046420</v>
      </c>
      <c r="AJ1400" s="122">
        <v>29133109</v>
      </c>
      <c r="AK1400">
        <v>81</v>
      </c>
      <c r="AL1400" s="122">
        <v>10478872</v>
      </c>
      <c r="AM1400" s="122">
        <v>9526247</v>
      </c>
      <c r="AN1400" s="122">
        <v>4768096</v>
      </c>
      <c r="AO1400" s="122">
        <v>1765961</v>
      </c>
      <c r="AP1400" s="122">
        <v>779849</v>
      </c>
      <c r="AQ1400" s="122">
        <v>288833</v>
      </c>
      <c r="AR1400" s="122">
        <v>9655036</v>
      </c>
      <c r="AS1400" s="122">
        <v>8777305</v>
      </c>
      <c r="AT1400" s="122">
        <v>0</v>
      </c>
      <c r="AU1400">
        <v>0</v>
      </c>
      <c r="AV1400" s="122">
        <v>49491456</v>
      </c>
    </row>
    <row r="1401" spans="2:48" hidden="1">
      <c r="B1401" t="s">
        <v>371</v>
      </c>
      <c r="C1401" t="s">
        <v>52</v>
      </c>
      <c r="D1401" t="s">
        <v>137</v>
      </c>
      <c r="E1401" t="s">
        <v>137</v>
      </c>
      <c r="F1401" s="122">
        <v>25</v>
      </c>
      <c r="G1401" s="122">
        <v>7433</v>
      </c>
      <c r="H1401" s="122">
        <v>2829</v>
      </c>
      <c r="I1401" s="122">
        <v>398361</v>
      </c>
      <c r="J1401" s="122">
        <v>147541</v>
      </c>
      <c r="K1401" s="122">
        <v>316</v>
      </c>
      <c r="L1401" s="122">
        <v>123924</v>
      </c>
      <c r="M1401" s="122">
        <v>111246</v>
      </c>
      <c r="N1401" s="122">
        <v>140674</v>
      </c>
      <c r="O1401" s="122">
        <v>52102</v>
      </c>
      <c r="P1401" s="122">
        <v>18914</v>
      </c>
      <c r="Q1401" s="122">
        <v>7005</v>
      </c>
      <c r="R1401" s="122">
        <v>211125</v>
      </c>
      <c r="S1401" s="122">
        <v>78194</v>
      </c>
      <c r="T1401" s="122">
        <v>2990</v>
      </c>
      <c r="U1401" s="122">
        <v>1108</v>
      </c>
      <c r="V1401" s="122">
        <v>397196</v>
      </c>
      <c r="W1401" s="122">
        <f t="shared" si="42"/>
        <v>397196</v>
      </c>
      <c r="X1401" s="122">
        <f t="shared" si="43"/>
        <v>895988</v>
      </c>
      <c r="AA1401" t="s">
        <v>58</v>
      </c>
      <c r="AB1401" t="s">
        <v>407</v>
      </c>
      <c r="AC1401" t="s">
        <v>407</v>
      </c>
      <c r="AD1401" t="s">
        <v>579</v>
      </c>
      <c r="AE1401" t="s">
        <v>137</v>
      </c>
      <c r="AF1401">
        <v>1</v>
      </c>
      <c r="AG1401">
        <v>141</v>
      </c>
      <c r="AH1401">
        <v>297</v>
      </c>
      <c r="AI1401" s="122">
        <v>24394</v>
      </c>
      <c r="AJ1401" s="122">
        <v>22176</v>
      </c>
      <c r="AK1401">
        <v>77</v>
      </c>
      <c r="AL1401" s="122">
        <v>6622</v>
      </c>
      <c r="AM1401" s="122">
        <v>6020</v>
      </c>
      <c r="AN1401" s="122">
        <v>3373</v>
      </c>
      <c r="AO1401" s="122">
        <v>1249</v>
      </c>
      <c r="AP1401">
        <v>473</v>
      </c>
      <c r="AQ1401">
        <v>175</v>
      </c>
      <c r="AR1401" s="122">
        <v>4375</v>
      </c>
      <c r="AS1401" s="122">
        <v>3646</v>
      </c>
      <c r="AT1401" s="122">
        <v>2469</v>
      </c>
      <c r="AU1401" s="122">
        <v>914</v>
      </c>
      <c r="AV1401" s="122">
        <v>34180</v>
      </c>
    </row>
    <row r="1402" spans="2:48" hidden="1">
      <c r="B1402" t="s">
        <v>371</v>
      </c>
      <c r="C1402" t="s">
        <v>52</v>
      </c>
      <c r="D1402" t="s">
        <v>137</v>
      </c>
      <c r="E1402" t="s">
        <v>406</v>
      </c>
      <c r="F1402" s="122">
        <v>1</v>
      </c>
      <c r="G1402" s="122">
        <v>368</v>
      </c>
      <c r="H1402" s="122">
        <v>104</v>
      </c>
      <c r="I1402" s="122">
        <v>15391</v>
      </c>
      <c r="J1402" s="122">
        <v>5700</v>
      </c>
      <c r="K1402" s="122">
        <v>510</v>
      </c>
      <c r="L1402" s="122">
        <v>4146</v>
      </c>
      <c r="M1402" s="122">
        <v>3769</v>
      </c>
      <c r="N1402" s="122">
        <v>6770</v>
      </c>
      <c r="O1402" s="122">
        <v>2508</v>
      </c>
      <c r="P1402" s="122">
        <v>621</v>
      </c>
      <c r="Q1402" s="122">
        <v>230</v>
      </c>
      <c r="R1402" s="122">
        <v>11246</v>
      </c>
      <c r="S1402" s="122">
        <v>10223</v>
      </c>
      <c r="T1402" s="122">
        <v>0</v>
      </c>
      <c r="U1402" s="122">
        <v>0</v>
      </c>
      <c r="V1402" s="122">
        <v>22430</v>
      </c>
      <c r="W1402" s="122">
        <f t="shared" si="42"/>
        <v>22430</v>
      </c>
      <c r="X1402" s="122">
        <f t="shared" si="43"/>
        <v>38174</v>
      </c>
      <c r="AA1402" t="s">
        <v>58</v>
      </c>
      <c r="AB1402" t="s">
        <v>407</v>
      </c>
      <c r="AC1402" t="s">
        <v>407</v>
      </c>
      <c r="AD1402" t="s">
        <v>426</v>
      </c>
      <c r="AE1402" t="s">
        <v>137</v>
      </c>
      <c r="AF1402">
        <v>2</v>
      </c>
      <c r="AG1402">
        <v>230</v>
      </c>
      <c r="AH1402">
        <v>577</v>
      </c>
      <c r="AI1402" s="122">
        <v>35254</v>
      </c>
      <c r="AJ1402" s="122">
        <v>32049</v>
      </c>
      <c r="AK1402">
        <v>77</v>
      </c>
      <c r="AL1402" s="122">
        <v>9577</v>
      </c>
      <c r="AM1402" s="122">
        <v>8707</v>
      </c>
      <c r="AN1402" s="122">
        <v>5601</v>
      </c>
      <c r="AO1402" s="122">
        <v>2074</v>
      </c>
      <c r="AP1402">
        <v>945</v>
      </c>
      <c r="AQ1402">
        <v>350</v>
      </c>
      <c r="AR1402" s="122">
        <v>9019</v>
      </c>
      <c r="AS1402" s="122">
        <v>8199</v>
      </c>
      <c r="AT1402" s="122">
        <v>5804</v>
      </c>
      <c r="AU1402" s="122">
        <v>2149</v>
      </c>
      <c r="AV1402" s="122">
        <v>53529</v>
      </c>
    </row>
    <row r="1403" spans="2:48" hidden="1">
      <c r="B1403" t="s">
        <v>371</v>
      </c>
      <c r="C1403" t="s">
        <v>52</v>
      </c>
      <c r="D1403" t="s">
        <v>406</v>
      </c>
      <c r="E1403" t="s">
        <v>406</v>
      </c>
      <c r="F1403" s="122">
        <v>73</v>
      </c>
      <c r="G1403" s="122">
        <v>17066</v>
      </c>
      <c r="H1403" s="122">
        <v>8456</v>
      </c>
      <c r="I1403" s="122">
        <v>1198603</v>
      </c>
      <c r="J1403" s="122">
        <v>1089639</v>
      </c>
      <c r="K1403" s="122">
        <v>93</v>
      </c>
      <c r="L1403" s="122">
        <v>203732</v>
      </c>
      <c r="M1403" s="122">
        <v>187315</v>
      </c>
      <c r="N1403" s="122">
        <v>306326</v>
      </c>
      <c r="O1403" s="122">
        <v>113454</v>
      </c>
      <c r="P1403" s="122">
        <v>52546</v>
      </c>
      <c r="Q1403" s="122">
        <v>19461</v>
      </c>
      <c r="R1403" s="122">
        <v>371884</v>
      </c>
      <c r="S1403" s="122">
        <v>338076</v>
      </c>
      <c r="T1403" s="122">
        <v>15652</v>
      </c>
      <c r="U1403" s="122">
        <v>5797</v>
      </c>
      <c r="V1403" s="122">
        <v>1753743</v>
      </c>
      <c r="W1403" s="122">
        <f t="shared" si="42"/>
        <v>1753742</v>
      </c>
      <c r="X1403" s="122">
        <f t="shared" si="43"/>
        <v>2148743</v>
      </c>
      <c r="AA1403" t="s">
        <v>58</v>
      </c>
      <c r="AB1403" t="s">
        <v>407</v>
      </c>
      <c r="AC1403" t="s">
        <v>407</v>
      </c>
      <c r="AD1403" t="s">
        <v>426</v>
      </c>
      <c r="AE1403" t="s">
        <v>566</v>
      </c>
      <c r="AF1403">
        <v>2</v>
      </c>
      <c r="AG1403">
        <v>136</v>
      </c>
      <c r="AH1403">
        <v>538</v>
      </c>
      <c r="AI1403" s="122">
        <v>27350</v>
      </c>
      <c r="AJ1403" s="122">
        <v>24864</v>
      </c>
      <c r="AK1403">
        <v>85</v>
      </c>
      <c r="AL1403" s="122">
        <v>8984</v>
      </c>
      <c r="AM1403" s="122">
        <v>8168</v>
      </c>
      <c r="AN1403" s="122">
        <v>4404</v>
      </c>
      <c r="AO1403" s="122">
        <v>1631</v>
      </c>
      <c r="AP1403">
        <v>945</v>
      </c>
      <c r="AQ1403">
        <v>350</v>
      </c>
      <c r="AR1403" s="122">
        <v>9560</v>
      </c>
      <c r="AS1403" s="122">
        <v>8691</v>
      </c>
      <c r="AT1403">
        <v>0</v>
      </c>
      <c r="AU1403">
        <v>0</v>
      </c>
      <c r="AV1403" s="122">
        <v>43704</v>
      </c>
    </row>
    <row r="1404" spans="2:48" hidden="1">
      <c r="B1404" t="s">
        <v>371</v>
      </c>
      <c r="C1404" t="s">
        <v>52</v>
      </c>
      <c r="D1404" t="s">
        <v>407</v>
      </c>
      <c r="E1404" t="s">
        <v>407</v>
      </c>
      <c r="F1404" s="122">
        <v>22</v>
      </c>
      <c r="G1404" s="122">
        <v>4634</v>
      </c>
      <c r="H1404" s="122">
        <v>2589</v>
      </c>
      <c r="I1404" s="122">
        <v>300058</v>
      </c>
      <c r="J1404" s="122">
        <v>272780</v>
      </c>
      <c r="K1404" s="122">
        <v>90</v>
      </c>
      <c r="L1404" s="122">
        <v>56560</v>
      </c>
      <c r="M1404" s="122">
        <v>46675</v>
      </c>
      <c r="N1404" s="122">
        <v>78273</v>
      </c>
      <c r="O1404" s="122">
        <v>28990</v>
      </c>
      <c r="P1404" s="122">
        <v>10395</v>
      </c>
      <c r="Q1404" s="122">
        <v>3850</v>
      </c>
      <c r="R1404" s="122">
        <v>122391</v>
      </c>
      <c r="S1404" s="122">
        <v>111265</v>
      </c>
      <c r="T1404" s="122">
        <v>0</v>
      </c>
      <c r="U1404" s="122">
        <v>0</v>
      </c>
      <c r="V1404" s="122">
        <v>463560</v>
      </c>
      <c r="W1404" s="122">
        <f t="shared" si="42"/>
        <v>463560</v>
      </c>
      <c r="X1404" s="122">
        <f t="shared" si="43"/>
        <v>567677</v>
      </c>
      <c r="AA1404" t="s">
        <v>58</v>
      </c>
      <c r="AB1404" t="s">
        <v>407</v>
      </c>
      <c r="AC1404" t="s">
        <v>579</v>
      </c>
      <c r="AD1404" t="s">
        <v>405</v>
      </c>
      <c r="AE1404" t="s">
        <v>137</v>
      </c>
      <c r="AF1404">
        <v>1</v>
      </c>
      <c r="AG1404">
        <v>97</v>
      </c>
      <c r="AH1404">
        <v>299</v>
      </c>
      <c r="AI1404" s="122">
        <v>15874</v>
      </c>
      <c r="AJ1404" s="122">
        <v>14431</v>
      </c>
      <c r="AK1404">
        <v>90</v>
      </c>
      <c r="AL1404" s="122">
        <v>5510</v>
      </c>
      <c r="AM1404" s="122">
        <v>4591</v>
      </c>
      <c r="AN1404" s="122">
        <v>2369</v>
      </c>
      <c r="AO1404">
        <v>877</v>
      </c>
      <c r="AP1404">
        <v>473</v>
      </c>
      <c r="AQ1404">
        <v>175</v>
      </c>
      <c r="AR1404" s="122">
        <v>4809</v>
      </c>
      <c r="AS1404" s="122">
        <v>4372</v>
      </c>
      <c r="AT1404">
        <v>0</v>
      </c>
      <c r="AU1404">
        <v>0</v>
      </c>
      <c r="AV1404" s="122">
        <v>24447</v>
      </c>
    </row>
    <row r="1405" spans="2:48" hidden="1">
      <c r="B1405" t="s">
        <v>371</v>
      </c>
      <c r="C1405" t="s">
        <v>52</v>
      </c>
      <c r="D1405" t="s">
        <v>408</v>
      </c>
      <c r="E1405" t="s">
        <v>408</v>
      </c>
      <c r="F1405" s="122">
        <v>2</v>
      </c>
      <c r="G1405" s="122">
        <v>438</v>
      </c>
      <c r="H1405" s="122">
        <v>233</v>
      </c>
      <c r="I1405" s="122">
        <v>31732</v>
      </c>
      <c r="J1405" s="122">
        <v>28847</v>
      </c>
      <c r="K1405" s="122">
        <v>89</v>
      </c>
      <c r="L1405" s="122">
        <v>5137</v>
      </c>
      <c r="M1405" s="122">
        <v>4670</v>
      </c>
      <c r="N1405" s="122">
        <v>8762</v>
      </c>
      <c r="O1405" s="122">
        <v>3245</v>
      </c>
      <c r="P1405" s="122">
        <v>702</v>
      </c>
      <c r="Q1405" s="122">
        <v>260</v>
      </c>
      <c r="R1405" s="122">
        <v>8914</v>
      </c>
      <c r="S1405" s="122">
        <v>8104</v>
      </c>
      <c r="T1405" s="122">
        <v>0</v>
      </c>
      <c r="U1405" s="122">
        <v>0</v>
      </c>
      <c r="V1405" s="122">
        <v>45126</v>
      </c>
      <c r="W1405" s="122">
        <f t="shared" si="42"/>
        <v>45126</v>
      </c>
      <c r="X1405" s="122">
        <f t="shared" si="43"/>
        <v>55247</v>
      </c>
      <c r="AA1405" t="s">
        <v>58</v>
      </c>
      <c r="AB1405" t="s">
        <v>407</v>
      </c>
      <c r="AC1405" t="s">
        <v>579</v>
      </c>
      <c r="AD1405" t="s">
        <v>405</v>
      </c>
      <c r="AE1405" t="s">
        <v>566</v>
      </c>
      <c r="AF1405">
        <v>1</v>
      </c>
      <c r="AG1405" s="122">
        <v>86</v>
      </c>
      <c r="AH1405" s="122">
        <v>239</v>
      </c>
      <c r="AI1405" s="122">
        <v>10052</v>
      </c>
      <c r="AJ1405" s="122">
        <v>9139</v>
      </c>
      <c r="AK1405">
        <v>79</v>
      </c>
      <c r="AL1405" s="122">
        <v>3046</v>
      </c>
      <c r="AM1405" s="122">
        <v>2538</v>
      </c>
      <c r="AN1405" s="122">
        <v>1576</v>
      </c>
      <c r="AO1405" s="122">
        <v>584</v>
      </c>
      <c r="AP1405" s="122">
        <v>473</v>
      </c>
      <c r="AQ1405" s="122">
        <v>175</v>
      </c>
      <c r="AR1405" s="122">
        <v>5487</v>
      </c>
      <c r="AS1405" s="122">
        <v>4988</v>
      </c>
      <c r="AT1405">
        <v>0</v>
      </c>
      <c r="AU1405">
        <v>0</v>
      </c>
      <c r="AV1405" s="122">
        <v>17424</v>
      </c>
    </row>
    <row r="1406" spans="2:48" hidden="1">
      <c r="B1406" t="s">
        <v>371</v>
      </c>
      <c r="C1406" t="s">
        <v>54</v>
      </c>
      <c r="F1406" s="122">
        <v>4</v>
      </c>
      <c r="G1406" s="122">
        <v>968</v>
      </c>
      <c r="H1406" s="122">
        <v>558</v>
      </c>
      <c r="I1406" s="122"/>
      <c r="J1406" s="122">
        <v>0</v>
      </c>
      <c r="K1406" s="122"/>
      <c r="L1406" s="122"/>
      <c r="M1406" s="122">
        <v>0</v>
      </c>
      <c r="N1406" s="122">
        <v>19092</v>
      </c>
      <c r="O1406" s="122">
        <v>7071</v>
      </c>
      <c r="P1406" s="122">
        <v>1944</v>
      </c>
      <c r="Q1406" s="122">
        <v>720</v>
      </c>
      <c r="R1406" s="122"/>
      <c r="S1406" s="122">
        <v>0</v>
      </c>
      <c r="T1406" s="122">
        <v>0</v>
      </c>
      <c r="U1406" s="122">
        <v>0</v>
      </c>
      <c r="V1406" s="122">
        <v>7791</v>
      </c>
      <c r="W1406" s="122">
        <f t="shared" si="42"/>
        <v>7791</v>
      </c>
      <c r="X1406" s="122">
        <f t="shared" si="43"/>
        <v>21036</v>
      </c>
      <c r="AA1406" t="s">
        <v>58</v>
      </c>
      <c r="AB1406" t="s">
        <v>407</v>
      </c>
      <c r="AC1406" t="s">
        <v>579</v>
      </c>
      <c r="AD1406" t="s">
        <v>137</v>
      </c>
      <c r="AE1406" t="s">
        <v>566</v>
      </c>
      <c r="AF1406">
        <v>7</v>
      </c>
      <c r="AG1406" s="122">
        <v>1177</v>
      </c>
      <c r="AH1406" s="122">
        <v>1854</v>
      </c>
      <c r="AI1406" s="122">
        <v>175794</v>
      </c>
      <c r="AJ1406" s="122">
        <v>159813</v>
      </c>
      <c r="AK1406">
        <v>82</v>
      </c>
      <c r="AL1406" s="122">
        <v>45321</v>
      </c>
      <c r="AM1406" s="122">
        <v>37768</v>
      </c>
      <c r="AN1406" s="122">
        <v>23354</v>
      </c>
      <c r="AO1406" s="122">
        <v>8650</v>
      </c>
      <c r="AP1406" s="122">
        <v>3308</v>
      </c>
      <c r="AQ1406" s="122">
        <v>1225</v>
      </c>
      <c r="AR1406" s="122">
        <v>61996</v>
      </c>
      <c r="AS1406" s="122">
        <v>22962</v>
      </c>
      <c r="AT1406" s="122">
        <v>0</v>
      </c>
      <c r="AU1406" s="122">
        <v>0</v>
      </c>
      <c r="AV1406" s="122">
        <v>230417</v>
      </c>
    </row>
    <row r="1407" spans="2:48" hidden="1">
      <c r="B1407" t="s">
        <v>371</v>
      </c>
      <c r="C1407" t="s">
        <v>54</v>
      </c>
      <c r="D1407" t="s">
        <v>405</v>
      </c>
      <c r="E1407" t="s">
        <v>405</v>
      </c>
      <c r="F1407" s="122">
        <v>6</v>
      </c>
      <c r="G1407" s="122">
        <v>1229</v>
      </c>
      <c r="H1407" s="122">
        <v>868</v>
      </c>
      <c r="I1407" s="122">
        <v>95697</v>
      </c>
      <c r="J1407" s="122">
        <v>86997</v>
      </c>
      <c r="K1407" s="122">
        <v>87</v>
      </c>
      <c r="L1407" s="122">
        <v>22799</v>
      </c>
      <c r="M1407" s="122">
        <v>20514</v>
      </c>
      <c r="N1407" s="122">
        <v>15955</v>
      </c>
      <c r="O1407" s="122">
        <v>5909</v>
      </c>
      <c r="P1407" s="122">
        <v>2835</v>
      </c>
      <c r="Q1407" s="122">
        <v>1050</v>
      </c>
      <c r="R1407" s="122">
        <v>33106</v>
      </c>
      <c r="S1407" s="122">
        <v>30096</v>
      </c>
      <c r="T1407" s="122">
        <v>6657</v>
      </c>
      <c r="U1407" s="122">
        <v>2466</v>
      </c>
      <c r="V1407" s="122">
        <v>147032</v>
      </c>
      <c r="W1407" s="122">
        <f t="shared" si="42"/>
        <v>147032</v>
      </c>
      <c r="X1407" s="122">
        <f t="shared" si="43"/>
        <v>177049</v>
      </c>
      <c r="AA1407" t="s">
        <v>58</v>
      </c>
      <c r="AB1407" t="s">
        <v>407</v>
      </c>
      <c r="AC1407" t="s">
        <v>579</v>
      </c>
      <c r="AD1407" t="s">
        <v>406</v>
      </c>
      <c r="AE1407" t="s">
        <v>137</v>
      </c>
      <c r="AF1407">
        <v>3</v>
      </c>
      <c r="AG1407">
        <v>428</v>
      </c>
      <c r="AH1407">
        <v>782</v>
      </c>
      <c r="AI1407" s="122">
        <v>61391</v>
      </c>
      <c r="AJ1407" s="122">
        <v>55810</v>
      </c>
      <c r="AK1407">
        <v>74</v>
      </c>
      <c r="AL1407" s="122">
        <v>17050</v>
      </c>
      <c r="AM1407" s="122">
        <v>14208</v>
      </c>
      <c r="AN1407" s="122">
        <v>9047</v>
      </c>
      <c r="AO1407" s="122">
        <v>3351</v>
      </c>
      <c r="AP1407" s="122">
        <v>1688</v>
      </c>
      <c r="AQ1407">
        <v>625</v>
      </c>
      <c r="AR1407" s="122">
        <v>14910</v>
      </c>
      <c r="AS1407" s="122">
        <v>13555</v>
      </c>
      <c r="AT1407" s="122">
        <v>9334</v>
      </c>
      <c r="AU1407" s="122">
        <v>3457</v>
      </c>
      <c r="AV1407" s="122">
        <v>91005</v>
      </c>
    </row>
    <row r="1408" spans="2:48" hidden="1">
      <c r="B1408" t="s">
        <v>371</v>
      </c>
      <c r="C1408" t="s">
        <v>54</v>
      </c>
      <c r="D1408" t="s">
        <v>137</v>
      </c>
      <c r="E1408" t="s">
        <v>137</v>
      </c>
      <c r="F1408" s="122">
        <v>16</v>
      </c>
      <c r="G1408" s="122">
        <v>3657</v>
      </c>
      <c r="H1408" s="122">
        <v>2201</v>
      </c>
      <c r="I1408" s="122">
        <v>256872</v>
      </c>
      <c r="J1408" s="122">
        <v>95138</v>
      </c>
      <c r="K1408" s="122">
        <v>308</v>
      </c>
      <c r="L1408" s="122">
        <v>90720</v>
      </c>
      <c r="M1408" s="122">
        <v>79963</v>
      </c>
      <c r="N1408" s="122">
        <v>79801</v>
      </c>
      <c r="O1408" s="122">
        <v>29556</v>
      </c>
      <c r="P1408" s="122">
        <v>9586</v>
      </c>
      <c r="Q1408" s="122">
        <v>3550</v>
      </c>
      <c r="R1408" s="122">
        <v>114758</v>
      </c>
      <c r="S1408" s="122">
        <v>42503</v>
      </c>
      <c r="T1408" s="122">
        <v>0</v>
      </c>
      <c r="U1408" s="122">
        <v>0</v>
      </c>
      <c r="V1408" s="122">
        <v>250709</v>
      </c>
      <c r="W1408" s="122">
        <f t="shared" si="42"/>
        <v>250710</v>
      </c>
      <c r="X1408" s="122">
        <f t="shared" si="43"/>
        <v>551737</v>
      </c>
      <c r="AA1408" t="s">
        <v>58</v>
      </c>
      <c r="AB1408" t="s">
        <v>407</v>
      </c>
      <c r="AC1408" t="s">
        <v>579</v>
      </c>
      <c r="AD1408" t="s">
        <v>406</v>
      </c>
      <c r="AE1408" t="s">
        <v>566</v>
      </c>
      <c r="AF1408" s="122">
        <v>1</v>
      </c>
      <c r="AG1408" s="122">
        <v>137</v>
      </c>
      <c r="AH1408" s="122">
        <v>228</v>
      </c>
      <c r="AI1408" s="122">
        <v>18693</v>
      </c>
      <c r="AJ1408" s="122">
        <v>16994</v>
      </c>
      <c r="AK1408">
        <v>78</v>
      </c>
      <c r="AL1408" s="122">
        <v>2798</v>
      </c>
      <c r="AM1408" s="122">
        <v>2332</v>
      </c>
      <c r="AN1408" s="122">
        <v>2741</v>
      </c>
      <c r="AO1408" s="122">
        <v>1015</v>
      </c>
      <c r="AP1408" s="122">
        <v>473</v>
      </c>
      <c r="AQ1408" s="122">
        <v>175</v>
      </c>
      <c r="AR1408" s="122">
        <v>6603</v>
      </c>
      <c r="AS1408" s="122">
        <v>6003</v>
      </c>
      <c r="AT1408" s="122">
        <v>0</v>
      </c>
      <c r="AU1408" s="122">
        <v>0</v>
      </c>
      <c r="AV1408" s="122">
        <v>26518</v>
      </c>
    </row>
    <row r="1409" spans="2:48" hidden="1">
      <c r="B1409" t="s">
        <v>371</v>
      </c>
      <c r="C1409" t="s">
        <v>54</v>
      </c>
      <c r="D1409" t="s">
        <v>406</v>
      </c>
      <c r="E1409" t="s">
        <v>137</v>
      </c>
      <c r="F1409" s="122">
        <v>1</v>
      </c>
      <c r="G1409" s="122">
        <v>262</v>
      </c>
      <c r="H1409" s="122">
        <v>145</v>
      </c>
      <c r="I1409" s="122">
        <v>21146</v>
      </c>
      <c r="J1409" s="122">
        <v>19224</v>
      </c>
      <c r="K1409" s="122">
        <v>86</v>
      </c>
      <c r="L1409" s="122">
        <v>6712</v>
      </c>
      <c r="M1409" s="122">
        <v>6102</v>
      </c>
      <c r="N1409" s="122">
        <v>5809</v>
      </c>
      <c r="O1409" s="122">
        <v>2151</v>
      </c>
      <c r="P1409" s="122">
        <v>621</v>
      </c>
      <c r="Q1409" s="122">
        <v>230</v>
      </c>
      <c r="R1409" s="122">
        <v>3719</v>
      </c>
      <c r="S1409" s="122">
        <v>1377</v>
      </c>
      <c r="T1409" s="122">
        <v>0</v>
      </c>
      <c r="U1409" s="122">
        <v>0</v>
      </c>
      <c r="V1409" s="122">
        <v>29084</v>
      </c>
      <c r="W1409" s="122">
        <f t="shared" si="42"/>
        <v>29084</v>
      </c>
      <c r="X1409" s="122">
        <f t="shared" si="43"/>
        <v>38007</v>
      </c>
      <c r="AA1409" t="s">
        <v>58</v>
      </c>
      <c r="AB1409" t="s">
        <v>407</v>
      </c>
      <c r="AC1409" t="s">
        <v>579</v>
      </c>
      <c r="AD1409" t="s">
        <v>407</v>
      </c>
      <c r="AE1409" t="s">
        <v>137</v>
      </c>
      <c r="AF1409" s="122">
        <v>1006</v>
      </c>
      <c r="AG1409" s="122">
        <v>131074</v>
      </c>
      <c r="AH1409" s="122">
        <v>261843</v>
      </c>
      <c r="AI1409" s="122">
        <v>19195234</v>
      </c>
      <c r="AJ1409" s="122">
        <v>17450213</v>
      </c>
      <c r="AK1409">
        <v>79</v>
      </c>
      <c r="AL1409" s="122">
        <v>5252622</v>
      </c>
      <c r="AM1409" s="122">
        <v>4377185</v>
      </c>
      <c r="AN1409" s="122">
        <v>2754064</v>
      </c>
      <c r="AO1409" s="122">
        <v>1020024</v>
      </c>
      <c r="AP1409" s="122">
        <v>481759</v>
      </c>
      <c r="AQ1409" s="122">
        <v>178429</v>
      </c>
      <c r="AR1409" s="122">
        <v>4703057</v>
      </c>
      <c r="AS1409" s="122">
        <v>4275506</v>
      </c>
      <c r="AT1409" s="122">
        <v>2525276</v>
      </c>
      <c r="AU1409" s="122">
        <v>935287</v>
      </c>
      <c r="AV1409" s="122">
        <v>28236644</v>
      </c>
    </row>
    <row r="1410" spans="2:48" hidden="1">
      <c r="B1410" t="s">
        <v>371</v>
      </c>
      <c r="C1410" t="s">
        <v>54</v>
      </c>
      <c r="D1410" t="s">
        <v>406</v>
      </c>
      <c r="E1410" t="s">
        <v>406</v>
      </c>
      <c r="F1410" s="122">
        <v>258</v>
      </c>
      <c r="G1410" s="122">
        <v>55284</v>
      </c>
      <c r="H1410" s="122">
        <v>36203</v>
      </c>
      <c r="I1410" s="122">
        <v>4689420</v>
      </c>
      <c r="J1410" s="122">
        <v>4263109</v>
      </c>
      <c r="K1410" s="122">
        <v>89</v>
      </c>
      <c r="L1410" s="122">
        <v>890042</v>
      </c>
      <c r="M1410" s="122">
        <v>802128</v>
      </c>
      <c r="N1410" s="122">
        <v>1092769</v>
      </c>
      <c r="O1410" s="122">
        <v>404729</v>
      </c>
      <c r="P1410" s="122">
        <v>178408</v>
      </c>
      <c r="Q1410" s="122">
        <v>66077</v>
      </c>
      <c r="R1410" s="122">
        <v>1426763</v>
      </c>
      <c r="S1410" s="122">
        <v>1297057</v>
      </c>
      <c r="T1410" s="122">
        <v>102846</v>
      </c>
      <c r="U1410" s="122">
        <v>38091</v>
      </c>
      <c r="V1410" s="122">
        <v>6871191</v>
      </c>
      <c r="W1410" s="122">
        <f t="shared" si="42"/>
        <v>6871191</v>
      </c>
      <c r="X1410" s="122">
        <f t="shared" si="43"/>
        <v>8380248</v>
      </c>
      <c r="AA1410" t="s">
        <v>58</v>
      </c>
      <c r="AB1410" t="s">
        <v>407</v>
      </c>
      <c r="AC1410" t="s">
        <v>579</v>
      </c>
      <c r="AD1410" t="s">
        <v>407</v>
      </c>
      <c r="AE1410" t="s">
        <v>566</v>
      </c>
      <c r="AF1410" s="122">
        <v>1258</v>
      </c>
      <c r="AG1410" s="122">
        <v>178635</v>
      </c>
      <c r="AH1410" s="122">
        <v>326171</v>
      </c>
      <c r="AI1410" s="122">
        <v>27797517</v>
      </c>
      <c r="AJ1410" s="122">
        <v>25270470</v>
      </c>
      <c r="AK1410">
        <v>83</v>
      </c>
      <c r="AL1410" s="122">
        <v>8120179</v>
      </c>
      <c r="AM1410" s="122">
        <v>6766816</v>
      </c>
      <c r="AN1410" s="122">
        <v>3660653</v>
      </c>
      <c r="AO1410" s="122">
        <v>1355797</v>
      </c>
      <c r="AP1410" s="122">
        <v>613928</v>
      </c>
      <c r="AQ1410" s="122">
        <v>227381</v>
      </c>
      <c r="AR1410" s="122">
        <v>7189403</v>
      </c>
      <c r="AS1410" s="122">
        <v>6535821</v>
      </c>
      <c r="AT1410">
        <v>0</v>
      </c>
      <c r="AU1410">
        <v>0</v>
      </c>
      <c r="AV1410" s="122">
        <v>40156285</v>
      </c>
    </row>
    <row r="1411" spans="2:48" hidden="1">
      <c r="B1411" t="s">
        <v>371</v>
      </c>
      <c r="C1411" t="s">
        <v>54</v>
      </c>
      <c r="D1411" t="s">
        <v>406</v>
      </c>
      <c r="E1411" t="s">
        <v>407</v>
      </c>
      <c r="F1411" s="122">
        <v>1</v>
      </c>
      <c r="G1411" s="122">
        <v>162</v>
      </c>
      <c r="H1411" s="122">
        <v>132</v>
      </c>
      <c r="I1411" s="122">
        <v>15516</v>
      </c>
      <c r="J1411" s="122">
        <v>14106</v>
      </c>
      <c r="K1411" s="122">
        <v>94</v>
      </c>
      <c r="L1411" s="122">
        <v>2154</v>
      </c>
      <c r="M1411" s="122">
        <v>1958</v>
      </c>
      <c r="N1411" s="122">
        <v>2350</v>
      </c>
      <c r="O1411" s="122">
        <v>870</v>
      </c>
      <c r="P1411" s="122">
        <v>621</v>
      </c>
      <c r="Q1411" s="122">
        <v>230</v>
      </c>
      <c r="R1411" s="122">
        <v>4736</v>
      </c>
      <c r="S1411" s="122">
        <v>4305</v>
      </c>
      <c r="T1411" s="122">
        <v>0</v>
      </c>
      <c r="U1411" s="122">
        <v>0</v>
      </c>
      <c r="V1411" s="122">
        <v>21469</v>
      </c>
      <c r="W1411" s="122">
        <f t="shared" si="42"/>
        <v>21469</v>
      </c>
      <c r="X1411" s="122">
        <f t="shared" si="43"/>
        <v>25377</v>
      </c>
      <c r="AA1411" t="s">
        <v>58</v>
      </c>
      <c r="AB1411" t="s">
        <v>407</v>
      </c>
      <c r="AC1411" t="s">
        <v>428</v>
      </c>
      <c r="AD1411" t="s">
        <v>137</v>
      </c>
      <c r="AE1411" t="s">
        <v>566</v>
      </c>
      <c r="AF1411">
        <v>1</v>
      </c>
      <c r="AG1411" s="122">
        <v>167</v>
      </c>
      <c r="AH1411" s="122">
        <v>266</v>
      </c>
      <c r="AI1411" s="122">
        <v>24061</v>
      </c>
      <c r="AJ1411" s="122">
        <v>21874</v>
      </c>
      <c r="AK1411">
        <v>91</v>
      </c>
      <c r="AL1411" s="122">
        <v>4871</v>
      </c>
      <c r="AM1411" s="122">
        <v>4428</v>
      </c>
      <c r="AN1411" s="122">
        <v>2479</v>
      </c>
      <c r="AO1411" s="122">
        <v>918</v>
      </c>
      <c r="AP1411" s="122">
        <v>473</v>
      </c>
      <c r="AQ1411" s="122">
        <v>175</v>
      </c>
      <c r="AR1411" s="122">
        <v>12447</v>
      </c>
      <c r="AS1411" s="122">
        <v>4610</v>
      </c>
      <c r="AT1411" s="122">
        <v>0</v>
      </c>
      <c r="AU1411" s="122">
        <v>0</v>
      </c>
      <c r="AV1411" s="122">
        <v>32005</v>
      </c>
    </row>
    <row r="1412" spans="2:48" hidden="1">
      <c r="B1412" t="s">
        <v>371</v>
      </c>
      <c r="C1412" t="s">
        <v>54</v>
      </c>
      <c r="D1412" t="s">
        <v>406</v>
      </c>
      <c r="E1412" t="s">
        <v>426</v>
      </c>
      <c r="F1412" s="122">
        <v>2</v>
      </c>
      <c r="G1412" s="122">
        <v>574</v>
      </c>
      <c r="H1412" s="122">
        <v>279</v>
      </c>
      <c r="I1412" s="122">
        <v>42735</v>
      </c>
      <c r="J1412" s="122">
        <v>38850</v>
      </c>
      <c r="K1412" s="122">
        <v>93</v>
      </c>
      <c r="L1412" s="122">
        <v>10882</v>
      </c>
      <c r="M1412" s="122">
        <v>9892</v>
      </c>
      <c r="N1412" s="122">
        <v>11896</v>
      </c>
      <c r="O1412" s="122">
        <v>4406</v>
      </c>
      <c r="P1412" s="122">
        <v>1242</v>
      </c>
      <c r="Q1412" s="122">
        <v>460</v>
      </c>
      <c r="R1412" s="122">
        <v>7542</v>
      </c>
      <c r="S1412" s="122">
        <v>6856</v>
      </c>
      <c r="T1412" s="122">
        <v>4208</v>
      </c>
      <c r="U1412" s="122">
        <v>1559</v>
      </c>
      <c r="V1412" s="122">
        <v>62023</v>
      </c>
      <c r="W1412" s="122">
        <f t="shared" si="42"/>
        <v>62023</v>
      </c>
      <c r="X1412" s="122">
        <f t="shared" si="43"/>
        <v>78505</v>
      </c>
      <c r="AA1412" t="s">
        <v>58</v>
      </c>
      <c r="AB1412" t="s">
        <v>407</v>
      </c>
      <c r="AC1412" t="s">
        <v>428</v>
      </c>
      <c r="AD1412" t="s">
        <v>407</v>
      </c>
      <c r="AE1412" t="s">
        <v>137</v>
      </c>
      <c r="AF1412">
        <v>11</v>
      </c>
      <c r="AG1412" s="122">
        <v>1348</v>
      </c>
      <c r="AH1412" s="122">
        <v>2856</v>
      </c>
      <c r="AI1412" s="122">
        <v>207294</v>
      </c>
      <c r="AJ1412" s="122">
        <v>188449</v>
      </c>
      <c r="AK1412">
        <v>81</v>
      </c>
      <c r="AL1412" s="122">
        <v>42937</v>
      </c>
      <c r="AM1412" s="122">
        <v>39034</v>
      </c>
      <c r="AN1412" s="122">
        <v>25087</v>
      </c>
      <c r="AO1412" s="122">
        <v>9291</v>
      </c>
      <c r="AP1412" s="122">
        <v>4725</v>
      </c>
      <c r="AQ1412" s="122">
        <v>1750</v>
      </c>
      <c r="AR1412" s="122">
        <v>48331</v>
      </c>
      <c r="AS1412" s="122">
        <v>43937</v>
      </c>
      <c r="AT1412" s="122">
        <v>21858</v>
      </c>
      <c r="AU1412" s="122">
        <v>8095</v>
      </c>
      <c r="AV1412" s="122">
        <v>290557</v>
      </c>
    </row>
    <row r="1413" spans="2:48" hidden="1">
      <c r="B1413" t="s">
        <v>371</v>
      </c>
      <c r="C1413" t="s">
        <v>54</v>
      </c>
      <c r="D1413" t="s">
        <v>427</v>
      </c>
      <c r="E1413" t="s">
        <v>427</v>
      </c>
      <c r="F1413" s="122">
        <v>1</v>
      </c>
      <c r="G1413" s="122">
        <v>286</v>
      </c>
      <c r="H1413" s="122">
        <v>142</v>
      </c>
      <c r="I1413" s="122">
        <v>25180</v>
      </c>
      <c r="J1413" s="122">
        <v>22891</v>
      </c>
      <c r="K1413" s="122">
        <v>65</v>
      </c>
      <c r="L1413" s="122">
        <v>4464</v>
      </c>
      <c r="M1413" s="122">
        <v>1653</v>
      </c>
      <c r="N1413" s="122">
        <v>4318</v>
      </c>
      <c r="O1413" s="122">
        <v>1599</v>
      </c>
      <c r="P1413" s="122">
        <v>351</v>
      </c>
      <c r="Q1413" s="122">
        <v>130</v>
      </c>
      <c r="R1413" s="122">
        <v>4517</v>
      </c>
      <c r="S1413" s="122">
        <v>4107</v>
      </c>
      <c r="T1413" s="122">
        <v>1819</v>
      </c>
      <c r="U1413" s="122">
        <v>674</v>
      </c>
      <c r="V1413" s="122">
        <v>31053</v>
      </c>
      <c r="W1413" s="122">
        <f t="shared" si="42"/>
        <v>31054</v>
      </c>
      <c r="X1413" s="122">
        <f t="shared" si="43"/>
        <v>40649</v>
      </c>
      <c r="AA1413" t="s">
        <v>58</v>
      </c>
      <c r="AB1413" t="s">
        <v>407</v>
      </c>
      <c r="AC1413" t="s">
        <v>428</v>
      </c>
      <c r="AD1413" t="s">
        <v>407</v>
      </c>
      <c r="AE1413" t="s">
        <v>566</v>
      </c>
      <c r="AF1413">
        <v>23</v>
      </c>
      <c r="AG1413" s="122">
        <v>3175</v>
      </c>
      <c r="AH1413" s="122">
        <v>6029</v>
      </c>
      <c r="AI1413" s="122">
        <v>513891</v>
      </c>
      <c r="AJ1413" s="122">
        <v>467174</v>
      </c>
      <c r="AK1413">
        <v>85</v>
      </c>
      <c r="AL1413" s="122">
        <v>140671</v>
      </c>
      <c r="AM1413" s="122">
        <v>127882</v>
      </c>
      <c r="AN1413" s="122">
        <v>69059</v>
      </c>
      <c r="AO1413" s="122">
        <v>25577</v>
      </c>
      <c r="AP1413" s="122">
        <v>10868</v>
      </c>
      <c r="AQ1413" s="122">
        <v>4025</v>
      </c>
      <c r="AR1413" s="122">
        <v>132917</v>
      </c>
      <c r="AS1413" s="122">
        <v>120833</v>
      </c>
      <c r="AT1413">
        <v>0</v>
      </c>
      <c r="AU1413">
        <v>0</v>
      </c>
      <c r="AV1413" s="122">
        <v>745492</v>
      </c>
    </row>
    <row r="1414" spans="2:48" hidden="1">
      <c r="B1414" t="s">
        <v>371</v>
      </c>
      <c r="C1414" t="s">
        <v>54</v>
      </c>
      <c r="D1414" t="s">
        <v>407</v>
      </c>
      <c r="E1414" t="s">
        <v>405</v>
      </c>
      <c r="F1414" s="122">
        <v>1</v>
      </c>
      <c r="G1414" s="122">
        <v>126</v>
      </c>
      <c r="H1414" s="122">
        <v>144</v>
      </c>
      <c r="I1414" s="122">
        <v>9590</v>
      </c>
      <c r="J1414" s="122">
        <v>8718</v>
      </c>
      <c r="K1414" s="122">
        <v>91</v>
      </c>
      <c r="L1414" s="122">
        <v>1607</v>
      </c>
      <c r="M1414" s="122">
        <v>1461</v>
      </c>
      <c r="N1414" s="122">
        <v>2028</v>
      </c>
      <c r="O1414" s="122">
        <v>751</v>
      </c>
      <c r="P1414" s="122">
        <v>473</v>
      </c>
      <c r="Q1414" s="122">
        <v>175</v>
      </c>
      <c r="R1414" s="122">
        <v>4491</v>
      </c>
      <c r="S1414" s="122">
        <v>4082</v>
      </c>
      <c r="T1414" s="122">
        <v>0</v>
      </c>
      <c r="U1414" s="122">
        <v>0</v>
      </c>
      <c r="V1414" s="122">
        <v>15188</v>
      </c>
      <c r="W1414" s="122">
        <f t="shared" si="42"/>
        <v>15187</v>
      </c>
      <c r="X1414" s="122">
        <f t="shared" si="43"/>
        <v>18189</v>
      </c>
      <c r="AA1414" t="s">
        <v>58</v>
      </c>
      <c r="AB1414" t="s">
        <v>407</v>
      </c>
      <c r="AC1414" t="s">
        <v>431</v>
      </c>
      <c r="AD1414" t="s">
        <v>407</v>
      </c>
      <c r="AE1414" t="s">
        <v>566</v>
      </c>
      <c r="AF1414">
        <v>9</v>
      </c>
      <c r="AG1414">
        <v>917</v>
      </c>
      <c r="AH1414" s="122">
        <v>2345</v>
      </c>
      <c r="AI1414" s="122">
        <v>136447</v>
      </c>
      <c r="AJ1414" s="122">
        <v>124043</v>
      </c>
      <c r="AK1414">
        <v>82</v>
      </c>
      <c r="AL1414" s="122">
        <v>39001</v>
      </c>
      <c r="AM1414" s="122">
        <v>35455</v>
      </c>
      <c r="AN1414" s="122">
        <v>16124</v>
      </c>
      <c r="AO1414" s="122">
        <v>5972</v>
      </c>
      <c r="AP1414" s="122">
        <v>4253</v>
      </c>
      <c r="AQ1414" s="122">
        <v>1575</v>
      </c>
      <c r="AR1414" s="122">
        <v>45300</v>
      </c>
      <c r="AS1414" s="122">
        <v>41182</v>
      </c>
      <c r="AT1414">
        <v>0</v>
      </c>
      <c r="AU1414">
        <v>0</v>
      </c>
      <c r="AV1414" s="122">
        <v>208226</v>
      </c>
    </row>
    <row r="1415" spans="2:48" hidden="1">
      <c r="B1415" t="s">
        <v>371</v>
      </c>
      <c r="C1415" t="s">
        <v>54</v>
      </c>
      <c r="D1415" t="s">
        <v>407</v>
      </c>
      <c r="E1415" t="s">
        <v>407</v>
      </c>
      <c r="F1415" s="122">
        <v>72</v>
      </c>
      <c r="G1415" s="122">
        <v>13569</v>
      </c>
      <c r="H1415" s="122">
        <v>10062</v>
      </c>
      <c r="I1415" s="122">
        <v>1074673</v>
      </c>
      <c r="J1415" s="122">
        <v>976975</v>
      </c>
      <c r="K1415" s="122">
        <v>87</v>
      </c>
      <c r="L1415" s="122">
        <v>224935</v>
      </c>
      <c r="M1415" s="122">
        <v>194829</v>
      </c>
      <c r="N1415" s="122">
        <v>268572</v>
      </c>
      <c r="O1415" s="122">
        <v>99471</v>
      </c>
      <c r="P1415" s="122">
        <v>40835</v>
      </c>
      <c r="Q1415" s="122">
        <v>15124</v>
      </c>
      <c r="R1415" s="122">
        <v>399215</v>
      </c>
      <c r="S1415" s="122">
        <v>362923</v>
      </c>
      <c r="T1415" s="122">
        <v>29718</v>
      </c>
      <c r="U1415" s="122">
        <v>11007</v>
      </c>
      <c r="V1415" s="122">
        <v>1660329</v>
      </c>
      <c r="W1415" s="122">
        <f t="shared" ref="W1415:W1478" si="44">SUM(ABS(J1415),ABS(M1415),ABS(O1415),ABS(Q1415),ABS(S1415),ABS(U1415))</f>
        <v>1660329</v>
      </c>
      <c r="X1415" s="122">
        <f t="shared" ref="X1415:X1478" si="45">SUM(ABS(I1415),ABS(N1415),ABS(P1415),ABS(R1415),ABS(T1415),ABS(L1415))</f>
        <v>2037948</v>
      </c>
      <c r="AA1415" t="s">
        <v>58</v>
      </c>
      <c r="AB1415" t="s">
        <v>407</v>
      </c>
      <c r="AC1415" t="s">
        <v>426</v>
      </c>
      <c r="AD1415" t="s">
        <v>137</v>
      </c>
      <c r="AE1415" t="s">
        <v>566</v>
      </c>
      <c r="AF1415">
        <v>2</v>
      </c>
      <c r="AG1415">
        <v>337</v>
      </c>
      <c r="AH1415">
        <v>590</v>
      </c>
      <c r="AI1415" s="122">
        <v>58713</v>
      </c>
      <c r="AJ1415" s="122">
        <v>53375</v>
      </c>
      <c r="AK1415">
        <v>85</v>
      </c>
      <c r="AL1415" s="122">
        <v>12919</v>
      </c>
      <c r="AM1415" s="122">
        <v>11745</v>
      </c>
      <c r="AN1415" s="122">
        <v>6817</v>
      </c>
      <c r="AO1415" s="122">
        <v>2525</v>
      </c>
      <c r="AP1415">
        <v>945</v>
      </c>
      <c r="AQ1415">
        <v>350</v>
      </c>
      <c r="AR1415" s="122">
        <v>20035</v>
      </c>
      <c r="AS1415" s="122">
        <v>7420</v>
      </c>
      <c r="AT1415" s="122">
        <v>0</v>
      </c>
      <c r="AU1415">
        <v>0</v>
      </c>
      <c r="AV1415" s="122">
        <v>75415</v>
      </c>
    </row>
    <row r="1416" spans="2:48" hidden="1">
      <c r="B1416" t="s">
        <v>371</v>
      </c>
      <c r="C1416" t="s">
        <v>54</v>
      </c>
      <c r="D1416" t="s">
        <v>408</v>
      </c>
      <c r="E1416" t="s">
        <v>408</v>
      </c>
      <c r="F1416" s="122">
        <v>4</v>
      </c>
      <c r="G1416" s="122">
        <v>932</v>
      </c>
      <c r="H1416" s="122">
        <v>547</v>
      </c>
      <c r="I1416" s="122">
        <v>79791</v>
      </c>
      <c r="J1416" s="122">
        <v>72537</v>
      </c>
      <c r="K1416" s="122">
        <v>84</v>
      </c>
      <c r="L1416" s="122">
        <v>17104</v>
      </c>
      <c r="M1416" s="122">
        <v>15455</v>
      </c>
      <c r="N1416" s="122">
        <v>14826</v>
      </c>
      <c r="O1416" s="122">
        <v>5491</v>
      </c>
      <c r="P1416" s="122">
        <v>1755</v>
      </c>
      <c r="Q1416" s="122">
        <v>650</v>
      </c>
      <c r="R1416" s="122">
        <v>16866</v>
      </c>
      <c r="S1416" s="122">
        <v>15333</v>
      </c>
      <c r="T1416" s="122">
        <v>4370</v>
      </c>
      <c r="U1416" s="122">
        <v>1619</v>
      </c>
      <c r="V1416" s="122">
        <v>111084</v>
      </c>
      <c r="W1416" s="122">
        <f t="shared" si="44"/>
        <v>111085</v>
      </c>
      <c r="X1416" s="122">
        <f t="shared" si="45"/>
        <v>134712</v>
      </c>
      <c r="AA1416" t="s">
        <v>58</v>
      </c>
      <c r="AB1416" t="s">
        <v>407</v>
      </c>
      <c r="AC1416" t="s">
        <v>426</v>
      </c>
      <c r="AD1416" t="s">
        <v>406</v>
      </c>
      <c r="AE1416" t="s">
        <v>137</v>
      </c>
      <c r="AF1416">
        <v>1</v>
      </c>
      <c r="AG1416" s="122">
        <v>107</v>
      </c>
      <c r="AH1416" s="122">
        <v>243</v>
      </c>
      <c r="AI1416" s="122">
        <v>15592</v>
      </c>
      <c r="AJ1416" s="122">
        <v>14174</v>
      </c>
      <c r="AK1416">
        <v>78</v>
      </c>
      <c r="AL1416" s="122">
        <v>2334</v>
      </c>
      <c r="AM1416" s="122">
        <v>2122</v>
      </c>
      <c r="AN1416" s="122">
        <v>1628</v>
      </c>
      <c r="AO1416" s="122">
        <v>603</v>
      </c>
      <c r="AP1416" s="122">
        <v>473</v>
      </c>
      <c r="AQ1416" s="122">
        <v>175</v>
      </c>
      <c r="AR1416" s="122">
        <v>3414</v>
      </c>
      <c r="AS1416" s="122">
        <v>3103</v>
      </c>
      <c r="AT1416" s="122">
        <v>2514</v>
      </c>
      <c r="AU1416" s="122">
        <v>931</v>
      </c>
      <c r="AV1416" s="122">
        <v>21108</v>
      </c>
    </row>
    <row r="1417" spans="2:48" hidden="1">
      <c r="B1417" t="s">
        <v>371</v>
      </c>
      <c r="C1417" t="s">
        <v>56</v>
      </c>
      <c r="F1417" s="122">
        <v>5</v>
      </c>
      <c r="G1417" s="122">
        <v>1468</v>
      </c>
      <c r="H1417" s="122">
        <v>930</v>
      </c>
      <c r="I1417" s="122"/>
      <c r="J1417" s="122">
        <v>0</v>
      </c>
      <c r="K1417" s="122"/>
      <c r="L1417" s="122"/>
      <c r="M1417" s="122">
        <v>0</v>
      </c>
      <c r="N1417" s="122">
        <v>27275</v>
      </c>
      <c r="O1417" s="122">
        <v>10102</v>
      </c>
      <c r="P1417" s="122">
        <v>2295</v>
      </c>
      <c r="Q1417" s="122">
        <v>850</v>
      </c>
      <c r="R1417" s="122"/>
      <c r="S1417" s="122">
        <v>0</v>
      </c>
      <c r="T1417" s="122">
        <v>0</v>
      </c>
      <c r="U1417" s="122">
        <v>0</v>
      </c>
      <c r="V1417" s="122">
        <v>10952</v>
      </c>
      <c r="W1417" s="122">
        <f t="shared" si="44"/>
        <v>10952</v>
      </c>
      <c r="X1417" s="122">
        <f t="shared" si="45"/>
        <v>29570</v>
      </c>
      <c r="AA1417" t="s">
        <v>58</v>
      </c>
      <c r="AB1417" t="s">
        <v>407</v>
      </c>
      <c r="AC1417" t="s">
        <v>426</v>
      </c>
      <c r="AD1417" t="s">
        <v>407</v>
      </c>
      <c r="AE1417" t="s">
        <v>137</v>
      </c>
      <c r="AF1417">
        <v>757</v>
      </c>
      <c r="AG1417" s="122">
        <v>95997</v>
      </c>
      <c r="AH1417" s="122">
        <v>196090</v>
      </c>
      <c r="AI1417" s="122">
        <v>14056172</v>
      </c>
      <c r="AJ1417" s="122">
        <v>12778338</v>
      </c>
      <c r="AK1417">
        <v>78</v>
      </c>
      <c r="AL1417" s="122">
        <v>3567663</v>
      </c>
      <c r="AM1417" s="122">
        <v>3243330</v>
      </c>
      <c r="AN1417" s="122">
        <v>2058335</v>
      </c>
      <c r="AO1417" s="122">
        <v>762346</v>
      </c>
      <c r="AP1417" s="122">
        <v>360437</v>
      </c>
      <c r="AQ1417" s="122">
        <v>133495</v>
      </c>
      <c r="AR1417" s="122">
        <v>3640432</v>
      </c>
      <c r="AS1417" s="122">
        <v>3309484</v>
      </c>
      <c r="AT1417" s="122">
        <v>1812665</v>
      </c>
      <c r="AU1417" s="122">
        <v>671358</v>
      </c>
      <c r="AV1417" s="122">
        <v>20898351</v>
      </c>
    </row>
    <row r="1418" spans="2:48" hidden="1">
      <c r="B1418" t="s">
        <v>371</v>
      </c>
      <c r="C1418" t="s">
        <v>56</v>
      </c>
      <c r="D1418" t="s">
        <v>425</v>
      </c>
      <c r="E1418" t="s">
        <v>425</v>
      </c>
      <c r="F1418" s="122">
        <v>1</v>
      </c>
      <c r="G1418" s="122">
        <v>193</v>
      </c>
      <c r="H1418" s="122">
        <v>189</v>
      </c>
      <c r="I1418" s="122">
        <v>19994</v>
      </c>
      <c r="J1418" s="122">
        <v>18176</v>
      </c>
      <c r="K1418" s="122">
        <v>83</v>
      </c>
      <c r="L1418" s="122">
        <v>5835</v>
      </c>
      <c r="M1418" s="122">
        <v>5305</v>
      </c>
      <c r="N1418" s="122">
        <v>3122</v>
      </c>
      <c r="O1418" s="122">
        <v>1156</v>
      </c>
      <c r="P1418" s="122">
        <v>473</v>
      </c>
      <c r="Q1418" s="122">
        <v>175</v>
      </c>
      <c r="R1418" s="122">
        <v>7042</v>
      </c>
      <c r="S1418" s="122">
        <v>6402</v>
      </c>
      <c r="T1418" s="122">
        <v>0</v>
      </c>
      <c r="U1418" s="122">
        <v>0</v>
      </c>
      <c r="V1418" s="122">
        <v>31214</v>
      </c>
      <c r="W1418" s="122">
        <f t="shared" si="44"/>
        <v>31214</v>
      </c>
      <c r="X1418" s="122">
        <f t="shared" si="45"/>
        <v>36466</v>
      </c>
      <c r="AA1418" t="s">
        <v>58</v>
      </c>
      <c r="AB1418" t="s">
        <v>407</v>
      </c>
      <c r="AC1418" t="s">
        <v>426</v>
      </c>
      <c r="AD1418" t="s">
        <v>407</v>
      </c>
      <c r="AE1418" t="s">
        <v>566</v>
      </c>
      <c r="AF1418">
        <v>711</v>
      </c>
      <c r="AG1418" s="122">
        <v>92416</v>
      </c>
      <c r="AH1418" s="122">
        <v>182868</v>
      </c>
      <c r="AI1418" s="122">
        <v>14119026</v>
      </c>
      <c r="AJ1418" s="122">
        <v>12835478</v>
      </c>
      <c r="AK1418">
        <v>81</v>
      </c>
      <c r="AL1418" s="122">
        <v>3680584</v>
      </c>
      <c r="AM1418" s="122">
        <v>3345985</v>
      </c>
      <c r="AN1418" s="122">
        <v>1961001</v>
      </c>
      <c r="AO1418" s="122">
        <v>726297</v>
      </c>
      <c r="AP1418" s="122">
        <v>347541</v>
      </c>
      <c r="AQ1418" s="122">
        <v>128719</v>
      </c>
      <c r="AR1418" s="122">
        <v>4212153</v>
      </c>
      <c r="AS1418" s="122">
        <v>3829230</v>
      </c>
      <c r="AT1418">
        <v>0</v>
      </c>
      <c r="AU1418">
        <v>0</v>
      </c>
      <c r="AV1418" s="122">
        <v>20865709</v>
      </c>
    </row>
    <row r="1419" spans="2:48" hidden="1">
      <c r="B1419" t="s">
        <v>371</v>
      </c>
      <c r="C1419" t="s">
        <v>56</v>
      </c>
      <c r="D1419" t="s">
        <v>425</v>
      </c>
      <c r="E1419" t="s">
        <v>406</v>
      </c>
      <c r="F1419" s="122">
        <v>1</v>
      </c>
      <c r="G1419" s="122">
        <v>164</v>
      </c>
      <c r="H1419" s="122">
        <v>210</v>
      </c>
      <c r="I1419" s="122">
        <v>17642</v>
      </c>
      <c r="J1419" s="122">
        <v>16038</v>
      </c>
      <c r="K1419" s="122">
        <v>85</v>
      </c>
      <c r="L1419" s="122">
        <v>5273</v>
      </c>
      <c r="M1419" s="122">
        <v>4794</v>
      </c>
      <c r="N1419" s="122">
        <v>3155</v>
      </c>
      <c r="O1419" s="122">
        <v>1169</v>
      </c>
      <c r="P1419" s="122">
        <v>621</v>
      </c>
      <c r="Q1419" s="122">
        <v>230</v>
      </c>
      <c r="R1419" s="122">
        <v>4496</v>
      </c>
      <c r="S1419" s="122">
        <v>4088</v>
      </c>
      <c r="T1419" s="122">
        <v>3302</v>
      </c>
      <c r="U1419" s="122">
        <v>1223</v>
      </c>
      <c r="V1419" s="122">
        <v>27541</v>
      </c>
      <c r="W1419" s="122">
        <f t="shared" si="44"/>
        <v>27542</v>
      </c>
      <c r="X1419" s="122">
        <f t="shared" si="45"/>
        <v>34489</v>
      </c>
      <c r="AA1419" t="s">
        <v>58</v>
      </c>
      <c r="AB1419" t="s">
        <v>407</v>
      </c>
      <c r="AC1419" t="s">
        <v>566</v>
      </c>
      <c r="AD1419" t="s">
        <v>137</v>
      </c>
      <c r="AE1419" t="s">
        <v>566</v>
      </c>
      <c r="AF1419">
        <v>1</v>
      </c>
      <c r="AG1419" s="122">
        <v>67</v>
      </c>
      <c r="AH1419" s="122">
        <v>233</v>
      </c>
      <c r="AI1419" s="122">
        <v>9566</v>
      </c>
      <c r="AJ1419" s="122">
        <v>8696</v>
      </c>
      <c r="AK1419">
        <v>90</v>
      </c>
      <c r="AL1419">
        <v>0</v>
      </c>
      <c r="AM1419" s="122">
        <v>0</v>
      </c>
      <c r="AN1419" s="122">
        <v>938</v>
      </c>
      <c r="AO1419" s="122">
        <v>347</v>
      </c>
      <c r="AP1419" s="122">
        <v>473</v>
      </c>
      <c r="AQ1419" s="122">
        <v>175</v>
      </c>
      <c r="AR1419" s="122">
        <v>4647</v>
      </c>
      <c r="AS1419" s="122">
        <v>1721</v>
      </c>
      <c r="AT1419" s="122">
        <v>0</v>
      </c>
      <c r="AU1419" s="122">
        <v>0</v>
      </c>
      <c r="AV1419" s="122">
        <v>10939</v>
      </c>
    </row>
    <row r="1420" spans="2:48" hidden="1">
      <c r="B1420" t="s">
        <v>371</v>
      </c>
      <c r="C1420" t="s">
        <v>56</v>
      </c>
      <c r="D1420" t="s">
        <v>405</v>
      </c>
      <c r="E1420" t="s">
        <v>405</v>
      </c>
      <c r="F1420" s="122">
        <v>45</v>
      </c>
      <c r="G1420" s="122">
        <v>9008</v>
      </c>
      <c r="H1420" s="122">
        <v>8425</v>
      </c>
      <c r="I1420" s="122">
        <v>1003390</v>
      </c>
      <c r="J1420" s="122">
        <v>912172</v>
      </c>
      <c r="K1420" s="122">
        <v>86</v>
      </c>
      <c r="L1420" s="122">
        <v>238875</v>
      </c>
      <c r="M1420" s="122">
        <v>216192</v>
      </c>
      <c r="N1420" s="122">
        <v>201902</v>
      </c>
      <c r="O1420" s="122">
        <v>74778</v>
      </c>
      <c r="P1420" s="122">
        <v>30267</v>
      </c>
      <c r="Q1420" s="122">
        <v>11210</v>
      </c>
      <c r="R1420" s="122">
        <v>253490</v>
      </c>
      <c r="S1420" s="122">
        <v>230446</v>
      </c>
      <c r="T1420" s="122">
        <v>35176</v>
      </c>
      <c r="U1420" s="122">
        <v>13028</v>
      </c>
      <c r="V1420" s="122">
        <v>1457826</v>
      </c>
      <c r="W1420" s="122">
        <f t="shared" si="44"/>
        <v>1457826</v>
      </c>
      <c r="X1420" s="122">
        <f t="shared" si="45"/>
        <v>1763100</v>
      </c>
      <c r="AA1420" t="s">
        <v>58</v>
      </c>
      <c r="AB1420" t="s">
        <v>407</v>
      </c>
      <c r="AC1420" t="s">
        <v>566</v>
      </c>
      <c r="AD1420" t="s">
        <v>407</v>
      </c>
      <c r="AE1420" t="s">
        <v>137</v>
      </c>
      <c r="AF1420">
        <v>146</v>
      </c>
      <c r="AG1420" s="122">
        <v>14743</v>
      </c>
      <c r="AH1420" s="122">
        <v>37591</v>
      </c>
      <c r="AI1420" s="122">
        <v>2518562</v>
      </c>
      <c r="AJ1420" s="122">
        <v>2289602</v>
      </c>
      <c r="AK1420">
        <v>79</v>
      </c>
      <c r="AL1420">
        <v>0</v>
      </c>
      <c r="AM1420" s="122">
        <v>50292</v>
      </c>
      <c r="AN1420" s="122">
        <v>292631</v>
      </c>
      <c r="AO1420" s="122">
        <v>108382</v>
      </c>
      <c r="AP1420" s="122">
        <v>68742</v>
      </c>
      <c r="AQ1420" s="122">
        <v>25460</v>
      </c>
      <c r="AR1420" s="122">
        <v>599739</v>
      </c>
      <c r="AS1420" s="122">
        <v>545217</v>
      </c>
      <c r="AT1420" s="122">
        <v>325622</v>
      </c>
      <c r="AU1420" s="122">
        <v>120601</v>
      </c>
      <c r="AV1420" s="122">
        <v>3139553</v>
      </c>
    </row>
    <row r="1421" spans="2:48" hidden="1">
      <c r="B1421" t="s">
        <v>371</v>
      </c>
      <c r="C1421" t="s">
        <v>56</v>
      </c>
      <c r="D1421" t="s">
        <v>137</v>
      </c>
      <c r="E1421" t="s">
        <v>137</v>
      </c>
      <c r="F1421" s="122">
        <v>26</v>
      </c>
      <c r="G1421" s="122">
        <v>4213</v>
      </c>
      <c r="H1421" s="122">
        <v>4964</v>
      </c>
      <c r="I1421" s="122">
        <v>428980</v>
      </c>
      <c r="J1421" s="122">
        <v>158882</v>
      </c>
      <c r="K1421" s="122">
        <v>209</v>
      </c>
      <c r="L1421" s="122">
        <v>101127</v>
      </c>
      <c r="M1421" s="122">
        <v>86897</v>
      </c>
      <c r="N1421" s="122">
        <v>84423</v>
      </c>
      <c r="O1421" s="122">
        <v>31268</v>
      </c>
      <c r="P1421" s="122">
        <v>9431</v>
      </c>
      <c r="Q1421" s="122">
        <v>3493</v>
      </c>
      <c r="R1421" s="122">
        <v>226040</v>
      </c>
      <c r="S1421" s="122">
        <v>83719</v>
      </c>
      <c r="T1421" s="122">
        <v>3101</v>
      </c>
      <c r="U1421" s="122">
        <v>1148</v>
      </c>
      <c r="V1421" s="122">
        <v>365406</v>
      </c>
      <c r="W1421" s="122">
        <f t="shared" si="44"/>
        <v>365407</v>
      </c>
      <c r="X1421" s="122">
        <f t="shared" si="45"/>
        <v>853102</v>
      </c>
      <c r="AA1421" t="s">
        <v>58</v>
      </c>
      <c r="AB1421" t="s">
        <v>407</v>
      </c>
      <c r="AC1421" t="s">
        <v>566</v>
      </c>
      <c r="AD1421" t="s">
        <v>407</v>
      </c>
      <c r="AE1421" t="s">
        <v>566</v>
      </c>
      <c r="AF1421">
        <v>164</v>
      </c>
      <c r="AG1421" s="122">
        <v>16252</v>
      </c>
      <c r="AH1421" s="122">
        <v>42273</v>
      </c>
      <c r="AI1421" s="122">
        <v>3077931</v>
      </c>
      <c r="AJ1421" s="122">
        <v>2798119</v>
      </c>
      <c r="AK1421">
        <v>82</v>
      </c>
      <c r="AL1421" s="122">
        <v>0</v>
      </c>
      <c r="AM1421" s="122">
        <v>113975</v>
      </c>
      <c r="AN1421" s="122">
        <v>317804</v>
      </c>
      <c r="AO1421" s="122">
        <v>117705</v>
      </c>
      <c r="AP1421" s="122">
        <v>77598</v>
      </c>
      <c r="AQ1421" s="122">
        <v>28740</v>
      </c>
      <c r="AR1421" s="122">
        <v>802185</v>
      </c>
      <c r="AS1421" s="122">
        <v>729259</v>
      </c>
      <c r="AT1421" s="122">
        <v>0</v>
      </c>
      <c r="AU1421" s="122">
        <v>0</v>
      </c>
      <c r="AV1421" s="122">
        <v>3787798</v>
      </c>
    </row>
    <row r="1422" spans="2:48" hidden="1">
      <c r="B1422" t="s">
        <v>371</v>
      </c>
      <c r="C1422" t="s">
        <v>56</v>
      </c>
      <c r="D1422" t="s">
        <v>406</v>
      </c>
      <c r="E1422" t="s">
        <v>405</v>
      </c>
      <c r="F1422" s="122">
        <v>1</v>
      </c>
      <c r="G1422" s="122">
        <v>210</v>
      </c>
      <c r="H1422" s="122">
        <v>177</v>
      </c>
      <c r="I1422" s="122">
        <v>20193</v>
      </c>
      <c r="J1422" s="122">
        <v>18357</v>
      </c>
      <c r="K1422" s="122">
        <v>86</v>
      </c>
      <c r="L1422" s="122">
        <v>3044</v>
      </c>
      <c r="M1422" s="122">
        <v>2767</v>
      </c>
      <c r="N1422" s="122">
        <v>5124</v>
      </c>
      <c r="O1422" s="122">
        <v>1898</v>
      </c>
      <c r="P1422" s="122">
        <v>621</v>
      </c>
      <c r="Q1422" s="122">
        <v>230</v>
      </c>
      <c r="R1422" s="122">
        <v>4687</v>
      </c>
      <c r="S1422" s="122">
        <v>4261</v>
      </c>
      <c r="T1422" s="122">
        <v>3526</v>
      </c>
      <c r="U1422" s="122">
        <v>1306</v>
      </c>
      <c r="V1422" s="122">
        <v>28819</v>
      </c>
      <c r="W1422" s="122">
        <f t="shared" si="44"/>
        <v>28819</v>
      </c>
      <c r="X1422" s="122">
        <f t="shared" si="45"/>
        <v>37195</v>
      </c>
      <c r="AA1422" t="s">
        <v>58</v>
      </c>
      <c r="AB1422" t="s">
        <v>407</v>
      </c>
      <c r="AC1422" t="s">
        <v>481</v>
      </c>
      <c r="AD1422" t="s">
        <v>407</v>
      </c>
      <c r="AE1422" t="s">
        <v>137</v>
      </c>
      <c r="AF1422">
        <v>1</v>
      </c>
      <c r="AG1422">
        <v>119</v>
      </c>
      <c r="AH1422">
        <v>299</v>
      </c>
      <c r="AI1422" s="122">
        <v>19893</v>
      </c>
      <c r="AJ1422" s="122">
        <v>18084</v>
      </c>
      <c r="AK1422">
        <v>72</v>
      </c>
      <c r="AL1422" s="122">
        <v>5017</v>
      </c>
      <c r="AM1422" s="122">
        <v>4561</v>
      </c>
      <c r="AN1422" s="122">
        <v>1451</v>
      </c>
      <c r="AO1422" s="122">
        <v>537</v>
      </c>
      <c r="AP1422">
        <v>473</v>
      </c>
      <c r="AQ1422">
        <v>175</v>
      </c>
      <c r="AR1422" s="122">
        <v>5421</v>
      </c>
      <c r="AS1422" s="122">
        <v>4928</v>
      </c>
      <c r="AT1422" s="122">
        <v>3377</v>
      </c>
      <c r="AU1422" s="122">
        <v>1251</v>
      </c>
      <c r="AV1422" s="122">
        <v>29536</v>
      </c>
    </row>
    <row r="1423" spans="2:48" hidden="1">
      <c r="B1423" t="s">
        <v>371</v>
      </c>
      <c r="C1423" t="s">
        <v>56</v>
      </c>
      <c r="D1423" t="s">
        <v>406</v>
      </c>
      <c r="E1423" t="s">
        <v>137</v>
      </c>
      <c r="F1423" s="122">
        <v>1</v>
      </c>
      <c r="G1423" s="122">
        <v>198</v>
      </c>
      <c r="H1423" s="122">
        <v>208</v>
      </c>
      <c r="I1423" s="122">
        <v>28102</v>
      </c>
      <c r="J1423" s="122">
        <v>25547</v>
      </c>
      <c r="K1423" s="122">
        <v>79</v>
      </c>
      <c r="L1423" s="122">
        <v>0</v>
      </c>
      <c r="M1423" s="122">
        <v>0</v>
      </c>
      <c r="N1423" s="122">
        <v>4658</v>
      </c>
      <c r="O1423" s="122">
        <v>1725</v>
      </c>
      <c r="P1423" s="122">
        <v>621</v>
      </c>
      <c r="Q1423" s="122">
        <v>230</v>
      </c>
      <c r="R1423" s="122">
        <v>7882</v>
      </c>
      <c r="S1423" s="122">
        <v>2919</v>
      </c>
      <c r="T1423" s="122">
        <v>0</v>
      </c>
      <c r="U1423" s="122">
        <v>0</v>
      </c>
      <c r="V1423" s="122">
        <v>30422</v>
      </c>
      <c r="W1423" s="122">
        <f t="shared" si="44"/>
        <v>30421</v>
      </c>
      <c r="X1423" s="122">
        <f t="shared" si="45"/>
        <v>41263</v>
      </c>
      <c r="AA1423" t="s">
        <v>58</v>
      </c>
      <c r="AB1423" t="s">
        <v>407</v>
      </c>
      <c r="AC1423" t="s">
        <v>481</v>
      </c>
      <c r="AD1423" t="s">
        <v>407</v>
      </c>
      <c r="AE1423" t="s">
        <v>566</v>
      </c>
      <c r="AF1423">
        <v>1</v>
      </c>
      <c r="AG1423" s="122">
        <v>132</v>
      </c>
      <c r="AH1423" s="122">
        <v>237</v>
      </c>
      <c r="AI1423" s="122">
        <v>22249</v>
      </c>
      <c r="AJ1423" s="122">
        <v>20227</v>
      </c>
      <c r="AK1423">
        <v>90</v>
      </c>
      <c r="AL1423" s="122">
        <v>3427</v>
      </c>
      <c r="AM1423" s="122">
        <v>3115</v>
      </c>
      <c r="AN1423" s="122">
        <v>3370</v>
      </c>
      <c r="AO1423" s="122">
        <v>1248</v>
      </c>
      <c r="AP1423" s="122">
        <v>473</v>
      </c>
      <c r="AQ1423" s="122">
        <v>175</v>
      </c>
      <c r="AR1423" s="122">
        <v>4999</v>
      </c>
      <c r="AS1423" s="122">
        <v>4544</v>
      </c>
      <c r="AT1423" s="122">
        <v>0</v>
      </c>
      <c r="AU1423" s="122">
        <v>0</v>
      </c>
      <c r="AV1423" s="122">
        <v>29309</v>
      </c>
    </row>
    <row r="1424" spans="2:48" hidden="1">
      <c r="B1424" t="s">
        <v>371</v>
      </c>
      <c r="C1424" t="s">
        <v>56</v>
      </c>
      <c r="D1424" t="s">
        <v>406</v>
      </c>
      <c r="E1424" t="s">
        <v>406</v>
      </c>
      <c r="F1424" s="122">
        <v>1638</v>
      </c>
      <c r="G1424" s="122">
        <v>275179</v>
      </c>
      <c r="H1424" s="122">
        <v>313425</v>
      </c>
      <c r="I1424" s="122">
        <v>31253090</v>
      </c>
      <c r="J1424" s="122">
        <v>28411900</v>
      </c>
      <c r="K1424" s="122">
        <v>85</v>
      </c>
      <c r="L1424" s="122">
        <v>6442353</v>
      </c>
      <c r="M1424" s="122">
        <v>5745688</v>
      </c>
      <c r="N1424" s="122">
        <v>5809375</v>
      </c>
      <c r="O1424" s="122">
        <v>2151620</v>
      </c>
      <c r="P1424" s="122">
        <v>1071596</v>
      </c>
      <c r="Q1424" s="122">
        <v>396888</v>
      </c>
      <c r="R1424" s="122">
        <v>9001801</v>
      </c>
      <c r="S1424" s="122">
        <v>8183455</v>
      </c>
      <c r="T1424" s="122">
        <v>1954011</v>
      </c>
      <c r="U1424" s="122">
        <v>723708</v>
      </c>
      <c r="V1424" s="122">
        <v>45613259</v>
      </c>
      <c r="W1424" s="122">
        <f t="shared" si="44"/>
        <v>45613259</v>
      </c>
      <c r="X1424" s="122">
        <f t="shared" si="45"/>
        <v>55532226</v>
      </c>
      <c r="AA1424" t="s">
        <v>58</v>
      </c>
      <c r="AB1424" t="s">
        <v>407</v>
      </c>
      <c r="AC1424" t="s">
        <v>433</v>
      </c>
      <c r="AD1424" t="s">
        <v>407</v>
      </c>
      <c r="AE1424" t="s">
        <v>137</v>
      </c>
      <c r="AF1424">
        <v>35</v>
      </c>
      <c r="AG1424" s="122">
        <v>4204</v>
      </c>
      <c r="AH1424" s="122">
        <v>9126</v>
      </c>
      <c r="AI1424" s="122">
        <v>668409</v>
      </c>
      <c r="AJ1424" s="122">
        <v>607644</v>
      </c>
      <c r="AK1424">
        <v>82</v>
      </c>
      <c r="AL1424" s="122">
        <v>139600</v>
      </c>
      <c r="AM1424" s="122">
        <v>126909</v>
      </c>
      <c r="AN1424" s="122">
        <v>91094</v>
      </c>
      <c r="AO1424" s="122">
        <v>33739</v>
      </c>
      <c r="AP1424" s="122">
        <v>17510</v>
      </c>
      <c r="AQ1424" s="122">
        <v>6485</v>
      </c>
      <c r="AR1424" s="122">
        <v>151311</v>
      </c>
      <c r="AS1424" s="122">
        <v>137555</v>
      </c>
      <c r="AT1424" s="122">
        <v>76790</v>
      </c>
      <c r="AU1424" s="122">
        <v>28441</v>
      </c>
      <c r="AV1424" s="122">
        <v>940773</v>
      </c>
    </row>
    <row r="1425" spans="2:48" hidden="1">
      <c r="B1425" t="s">
        <v>371</v>
      </c>
      <c r="C1425" t="s">
        <v>56</v>
      </c>
      <c r="D1425" t="s">
        <v>406</v>
      </c>
      <c r="E1425" t="s">
        <v>427</v>
      </c>
      <c r="F1425" s="122">
        <v>2</v>
      </c>
      <c r="G1425" s="122">
        <v>364</v>
      </c>
      <c r="H1425" s="122">
        <v>345</v>
      </c>
      <c r="I1425" s="122">
        <v>37728</v>
      </c>
      <c r="J1425" s="122">
        <v>34298</v>
      </c>
      <c r="K1425" s="122">
        <v>80</v>
      </c>
      <c r="L1425" s="122">
        <v>5244</v>
      </c>
      <c r="M1425" s="122">
        <v>4767</v>
      </c>
      <c r="N1425" s="122">
        <v>6777</v>
      </c>
      <c r="O1425" s="122">
        <v>2510</v>
      </c>
      <c r="P1425" s="122">
        <v>1242</v>
      </c>
      <c r="Q1425" s="122">
        <v>460</v>
      </c>
      <c r="R1425" s="122">
        <v>12612</v>
      </c>
      <c r="S1425" s="122">
        <v>11466</v>
      </c>
      <c r="T1425" s="122">
        <v>0</v>
      </c>
      <c r="U1425" s="122">
        <v>0</v>
      </c>
      <c r="V1425" s="122">
        <v>53501</v>
      </c>
      <c r="W1425" s="122">
        <f t="shared" si="44"/>
        <v>53501</v>
      </c>
      <c r="X1425" s="122">
        <f t="shared" si="45"/>
        <v>63603</v>
      </c>
      <c r="AA1425" t="s">
        <v>58</v>
      </c>
      <c r="AB1425" t="s">
        <v>407</v>
      </c>
      <c r="AC1425" t="s">
        <v>433</v>
      </c>
      <c r="AD1425" t="s">
        <v>407</v>
      </c>
      <c r="AE1425" t="s">
        <v>566</v>
      </c>
      <c r="AF1425">
        <v>38</v>
      </c>
      <c r="AG1425" s="122">
        <v>6597</v>
      </c>
      <c r="AH1425" s="122">
        <v>9867</v>
      </c>
      <c r="AI1425" s="122">
        <v>1167914</v>
      </c>
      <c r="AJ1425" s="122">
        <v>1061740</v>
      </c>
      <c r="AK1425">
        <v>84</v>
      </c>
      <c r="AL1425" s="122">
        <v>250544</v>
      </c>
      <c r="AM1425" s="122">
        <v>227768</v>
      </c>
      <c r="AN1425" s="122">
        <v>128342</v>
      </c>
      <c r="AO1425" s="122">
        <v>47534</v>
      </c>
      <c r="AP1425" s="122">
        <v>20534</v>
      </c>
      <c r="AQ1425" s="122">
        <v>7605</v>
      </c>
      <c r="AR1425" s="122">
        <v>219763</v>
      </c>
      <c r="AS1425" s="122">
        <v>199784</v>
      </c>
      <c r="AT1425">
        <v>0</v>
      </c>
      <c r="AU1425">
        <v>0</v>
      </c>
      <c r="AV1425" s="122">
        <v>1544430</v>
      </c>
    </row>
    <row r="1426" spans="2:48" hidden="1">
      <c r="B1426" t="s">
        <v>371</v>
      </c>
      <c r="C1426" t="s">
        <v>56</v>
      </c>
      <c r="D1426" t="s">
        <v>406</v>
      </c>
      <c r="E1426" t="s">
        <v>407</v>
      </c>
      <c r="F1426" s="122">
        <v>2</v>
      </c>
      <c r="G1426" s="122">
        <v>377</v>
      </c>
      <c r="H1426" s="122">
        <v>363</v>
      </c>
      <c r="I1426" s="122">
        <v>39072</v>
      </c>
      <c r="J1426" s="122">
        <v>35520</v>
      </c>
      <c r="K1426" s="122">
        <v>85</v>
      </c>
      <c r="L1426" s="122">
        <v>5570</v>
      </c>
      <c r="M1426" s="122">
        <v>5063</v>
      </c>
      <c r="N1426" s="122">
        <v>7989</v>
      </c>
      <c r="O1426" s="122">
        <v>2959</v>
      </c>
      <c r="P1426" s="122">
        <v>1242</v>
      </c>
      <c r="Q1426" s="122">
        <v>460</v>
      </c>
      <c r="R1426" s="122">
        <v>10075</v>
      </c>
      <c r="S1426" s="122">
        <v>9159</v>
      </c>
      <c r="T1426" s="122">
        <v>0</v>
      </c>
      <c r="U1426" s="122">
        <v>0</v>
      </c>
      <c r="V1426" s="122">
        <v>53161</v>
      </c>
      <c r="W1426" s="122">
        <f t="shared" si="44"/>
        <v>53161</v>
      </c>
      <c r="X1426" s="122">
        <f t="shared" si="45"/>
        <v>63948</v>
      </c>
      <c r="AA1426" t="s">
        <v>58</v>
      </c>
      <c r="AB1426" t="s">
        <v>407</v>
      </c>
      <c r="AC1426" t="s">
        <v>408</v>
      </c>
      <c r="AD1426" t="s">
        <v>407</v>
      </c>
      <c r="AE1426" t="s">
        <v>566</v>
      </c>
      <c r="AF1426">
        <v>1</v>
      </c>
      <c r="AG1426">
        <v>148</v>
      </c>
      <c r="AH1426" s="122">
        <v>235</v>
      </c>
      <c r="AI1426" s="122">
        <v>25530</v>
      </c>
      <c r="AJ1426" s="122">
        <v>23209</v>
      </c>
      <c r="AK1426">
        <v>78</v>
      </c>
      <c r="AL1426" s="122">
        <v>3238</v>
      </c>
      <c r="AM1426" s="122">
        <v>2944</v>
      </c>
      <c r="AN1426" s="122">
        <v>4022</v>
      </c>
      <c r="AO1426" s="122">
        <v>1490</v>
      </c>
      <c r="AP1426" s="122">
        <v>473</v>
      </c>
      <c r="AQ1426">
        <v>175</v>
      </c>
      <c r="AR1426" s="122">
        <v>7219</v>
      </c>
      <c r="AS1426" s="122">
        <v>6563</v>
      </c>
      <c r="AT1426" s="122">
        <v>0</v>
      </c>
      <c r="AU1426" s="122">
        <v>0</v>
      </c>
      <c r="AV1426" s="122">
        <v>34381</v>
      </c>
    </row>
    <row r="1427" spans="2:48" hidden="1">
      <c r="B1427" t="s">
        <v>371</v>
      </c>
      <c r="C1427" t="s">
        <v>56</v>
      </c>
      <c r="D1427" t="s">
        <v>406</v>
      </c>
      <c r="E1427" t="s">
        <v>426</v>
      </c>
      <c r="F1427" s="122">
        <v>2</v>
      </c>
      <c r="G1427" s="122">
        <v>313</v>
      </c>
      <c r="H1427" s="122">
        <v>376</v>
      </c>
      <c r="I1427" s="122">
        <v>34960</v>
      </c>
      <c r="J1427" s="122">
        <v>31781</v>
      </c>
      <c r="K1427" s="122">
        <v>79</v>
      </c>
      <c r="L1427" s="122">
        <v>4903</v>
      </c>
      <c r="M1427" s="122">
        <v>4457</v>
      </c>
      <c r="N1427" s="122">
        <v>6502</v>
      </c>
      <c r="O1427" s="122">
        <v>2408</v>
      </c>
      <c r="P1427" s="122">
        <v>1242</v>
      </c>
      <c r="Q1427" s="122">
        <v>460</v>
      </c>
      <c r="R1427" s="122">
        <v>11034</v>
      </c>
      <c r="S1427" s="122">
        <v>10031</v>
      </c>
      <c r="T1427" s="122">
        <v>3838</v>
      </c>
      <c r="U1427" s="122">
        <v>1421</v>
      </c>
      <c r="V1427" s="122">
        <v>50560</v>
      </c>
      <c r="W1427" s="122">
        <f t="shared" si="44"/>
        <v>50558</v>
      </c>
      <c r="X1427" s="122">
        <f t="shared" si="45"/>
        <v>62479</v>
      </c>
      <c r="AA1427" t="s">
        <v>58</v>
      </c>
      <c r="AB1427" t="s">
        <v>407</v>
      </c>
      <c r="AC1427" t="s">
        <v>429</v>
      </c>
      <c r="AD1427" t="s">
        <v>407</v>
      </c>
      <c r="AE1427" t="s">
        <v>137</v>
      </c>
      <c r="AF1427">
        <v>5</v>
      </c>
      <c r="AG1427" s="122">
        <v>637</v>
      </c>
      <c r="AH1427" s="122">
        <v>1227</v>
      </c>
      <c r="AI1427" s="122">
        <v>96641</v>
      </c>
      <c r="AJ1427" s="122">
        <v>87855</v>
      </c>
      <c r="AK1427">
        <v>82</v>
      </c>
      <c r="AL1427" s="122">
        <v>12849</v>
      </c>
      <c r="AM1427" s="122">
        <v>11681</v>
      </c>
      <c r="AN1427" s="122">
        <v>12658</v>
      </c>
      <c r="AO1427" s="122">
        <v>4688</v>
      </c>
      <c r="AP1427" s="122">
        <v>2363</v>
      </c>
      <c r="AQ1427" s="122">
        <v>875</v>
      </c>
      <c r="AR1427" s="122">
        <v>20612</v>
      </c>
      <c r="AS1427" s="122">
        <v>18738</v>
      </c>
      <c r="AT1427" s="122">
        <v>14810</v>
      </c>
      <c r="AU1427" s="122">
        <v>5485</v>
      </c>
      <c r="AV1427" s="122">
        <v>129322</v>
      </c>
    </row>
    <row r="1428" spans="2:48" hidden="1">
      <c r="B1428" t="s">
        <v>371</v>
      </c>
      <c r="C1428" t="s">
        <v>56</v>
      </c>
      <c r="D1428" t="s">
        <v>427</v>
      </c>
      <c r="E1428" t="s">
        <v>427</v>
      </c>
      <c r="F1428" s="122">
        <v>1</v>
      </c>
      <c r="G1428" s="122">
        <v>191</v>
      </c>
      <c r="H1428" s="122">
        <v>223</v>
      </c>
      <c r="I1428" s="122">
        <v>25953</v>
      </c>
      <c r="J1428" s="122">
        <v>23594</v>
      </c>
      <c r="K1428" s="122">
        <v>65</v>
      </c>
      <c r="L1428" s="122">
        <v>2373</v>
      </c>
      <c r="M1428" s="122">
        <v>2157</v>
      </c>
      <c r="N1428" s="122">
        <v>3906</v>
      </c>
      <c r="O1428" s="122">
        <v>1447</v>
      </c>
      <c r="P1428" s="122">
        <v>351</v>
      </c>
      <c r="Q1428" s="122">
        <v>130</v>
      </c>
      <c r="R1428" s="122">
        <v>9947</v>
      </c>
      <c r="S1428" s="122">
        <v>9043</v>
      </c>
      <c r="T1428" s="122">
        <v>0</v>
      </c>
      <c r="U1428" s="122">
        <v>0</v>
      </c>
      <c r="V1428" s="122">
        <v>36370</v>
      </c>
      <c r="W1428" s="122">
        <f t="shared" si="44"/>
        <v>36371</v>
      </c>
      <c r="X1428" s="122">
        <f t="shared" si="45"/>
        <v>42530</v>
      </c>
      <c r="AA1428" t="s">
        <v>58</v>
      </c>
      <c r="AB1428" t="s">
        <v>407</v>
      </c>
      <c r="AC1428" t="s">
        <v>429</v>
      </c>
      <c r="AD1428" t="s">
        <v>407</v>
      </c>
      <c r="AE1428" t="s">
        <v>566</v>
      </c>
      <c r="AF1428">
        <v>8</v>
      </c>
      <c r="AG1428" s="122">
        <v>1166</v>
      </c>
      <c r="AH1428" s="122">
        <v>2057</v>
      </c>
      <c r="AI1428" s="122">
        <v>189975</v>
      </c>
      <c r="AJ1428" s="122">
        <v>172704</v>
      </c>
      <c r="AK1428">
        <v>81</v>
      </c>
      <c r="AL1428" s="122">
        <v>33840</v>
      </c>
      <c r="AM1428" s="122">
        <v>30764</v>
      </c>
      <c r="AN1428" s="122">
        <v>23291</v>
      </c>
      <c r="AO1428" s="122">
        <v>8626</v>
      </c>
      <c r="AP1428" s="122">
        <v>3780</v>
      </c>
      <c r="AQ1428" s="122">
        <v>1400</v>
      </c>
      <c r="AR1428" s="122">
        <v>49193</v>
      </c>
      <c r="AS1428" s="122">
        <v>44721</v>
      </c>
      <c r="AT1428">
        <v>0</v>
      </c>
      <c r="AU1428">
        <v>0</v>
      </c>
      <c r="AV1428" s="122">
        <v>258215</v>
      </c>
    </row>
    <row r="1429" spans="2:48" hidden="1">
      <c r="B1429" t="s">
        <v>371</v>
      </c>
      <c r="C1429" t="s">
        <v>56</v>
      </c>
      <c r="D1429" t="s">
        <v>407</v>
      </c>
      <c r="E1429" t="s">
        <v>407</v>
      </c>
      <c r="F1429" s="122">
        <v>350</v>
      </c>
      <c r="G1429" s="122">
        <v>56308</v>
      </c>
      <c r="H1429" s="122">
        <v>64541</v>
      </c>
      <c r="I1429" s="122">
        <v>5677479</v>
      </c>
      <c r="J1429" s="122">
        <v>5161344</v>
      </c>
      <c r="K1429" s="122">
        <v>81</v>
      </c>
      <c r="L1429" s="122">
        <v>1364789</v>
      </c>
      <c r="M1429" s="122">
        <v>1195240</v>
      </c>
      <c r="N1429" s="122">
        <v>1175292</v>
      </c>
      <c r="O1429" s="122">
        <v>435293</v>
      </c>
      <c r="P1429" s="122">
        <v>170235</v>
      </c>
      <c r="Q1429" s="122">
        <v>63050</v>
      </c>
      <c r="R1429" s="122">
        <v>2025219</v>
      </c>
      <c r="S1429" s="122">
        <v>1841108</v>
      </c>
      <c r="T1429" s="122">
        <v>291494</v>
      </c>
      <c r="U1429" s="122">
        <v>107961</v>
      </c>
      <c r="V1429" s="122">
        <v>8803997</v>
      </c>
      <c r="W1429" s="122">
        <f t="shared" si="44"/>
        <v>8803996</v>
      </c>
      <c r="X1429" s="122">
        <f t="shared" si="45"/>
        <v>10704508</v>
      </c>
      <c r="AA1429" t="s">
        <v>58</v>
      </c>
      <c r="AB1429" t="s">
        <v>579</v>
      </c>
      <c r="AC1429" t="s">
        <v>137</v>
      </c>
      <c r="AD1429" t="s">
        <v>137</v>
      </c>
      <c r="AE1429" t="s">
        <v>566</v>
      </c>
      <c r="AF1429">
        <v>1</v>
      </c>
      <c r="AG1429">
        <v>57</v>
      </c>
      <c r="AH1429" s="122">
        <v>297</v>
      </c>
      <c r="AI1429" s="122">
        <v>9184</v>
      </c>
      <c r="AJ1429" s="122">
        <v>7653</v>
      </c>
      <c r="AK1429">
        <v>60</v>
      </c>
      <c r="AL1429" s="122">
        <v>1378</v>
      </c>
      <c r="AM1429" s="122">
        <v>510</v>
      </c>
      <c r="AN1429" s="122">
        <v>692</v>
      </c>
      <c r="AO1429" s="122">
        <v>256</v>
      </c>
      <c r="AP1429" s="122">
        <v>0</v>
      </c>
      <c r="AQ1429">
        <v>0</v>
      </c>
      <c r="AR1429" s="122">
        <v>5589</v>
      </c>
      <c r="AS1429" s="122">
        <v>2070</v>
      </c>
      <c r="AT1429" s="122">
        <v>0</v>
      </c>
      <c r="AU1429" s="122">
        <v>0</v>
      </c>
      <c r="AV1429" s="122">
        <v>10490</v>
      </c>
    </row>
    <row r="1430" spans="2:48" hidden="1">
      <c r="B1430" t="s">
        <v>371</v>
      </c>
      <c r="C1430" t="s">
        <v>56</v>
      </c>
      <c r="D1430" t="s">
        <v>426</v>
      </c>
      <c r="E1430" t="s">
        <v>426</v>
      </c>
      <c r="F1430" s="122">
        <v>11</v>
      </c>
      <c r="G1430" s="122">
        <v>1602</v>
      </c>
      <c r="H1430" s="122">
        <v>2242</v>
      </c>
      <c r="I1430" s="122">
        <v>233525</v>
      </c>
      <c r="J1430" s="122">
        <v>212296</v>
      </c>
      <c r="K1430" s="122">
        <v>70</v>
      </c>
      <c r="L1430" s="122">
        <v>28889</v>
      </c>
      <c r="M1430" s="122">
        <v>26263</v>
      </c>
      <c r="N1430" s="122">
        <v>35227</v>
      </c>
      <c r="O1430" s="122">
        <v>13047</v>
      </c>
      <c r="P1430" s="122">
        <v>4131</v>
      </c>
      <c r="Q1430" s="122">
        <v>1530</v>
      </c>
      <c r="R1430" s="122">
        <v>59251</v>
      </c>
      <c r="S1430" s="122">
        <v>53865</v>
      </c>
      <c r="T1430" s="122">
        <v>20371</v>
      </c>
      <c r="U1430" s="122">
        <v>7545</v>
      </c>
      <c r="V1430" s="122">
        <v>314545</v>
      </c>
      <c r="W1430" s="122">
        <f t="shared" si="44"/>
        <v>314546</v>
      </c>
      <c r="X1430" s="122">
        <f t="shared" si="45"/>
        <v>381394</v>
      </c>
      <c r="AA1430" t="s">
        <v>58</v>
      </c>
      <c r="AB1430" t="s">
        <v>579</v>
      </c>
      <c r="AC1430" t="s">
        <v>137</v>
      </c>
      <c r="AD1430" t="s">
        <v>579</v>
      </c>
      <c r="AE1430" t="s">
        <v>137</v>
      </c>
      <c r="AF1430">
        <v>4</v>
      </c>
      <c r="AG1430" s="122">
        <v>448</v>
      </c>
      <c r="AH1430" s="122">
        <v>1070</v>
      </c>
      <c r="AI1430" s="122">
        <v>80289</v>
      </c>
      <c r="AJ1430" s="122">
        <v>66907</v>
      </c>
      <c r="AK1430">
        <v>63</v>
      </c>
      <c r="AL1430" s="122">
        <v>12646</v>
      </c>
      <c r="AM1430" s="122">
        <v>4684</v>
      </c>
      <c r="AN1430" s="122">
        <v>9450</v>
      </c>
      <c r="AO1430" s="122">
        <v>3500</v>
      </c>
      <c r="AP1430" s="122">
        <v>1404</v>
      </c>
      <c r="AQ1430" s="122">
        <v>520</v>
      </c>
      <c r="AR1430" s="122">
        <v>24299</v>
      </c>
      <c r="AS1430" s="122">
        <v>20249</v>
      </c>
      <c r="AT1430" s="122">
        <v>8771</v>
      </c>
      <c r="AU1430" s="122">
        <v>3248</v>
      </c>
      <c r="AV1430" s="122">
        <v>99109</v>
      </c>
    </row>
    <row r="1431" spans="2:48" hidden="1">
      <c r="B1431" t="s">
        <v>371</v>
      </c>
      <c r="C1431" t="s">
        <v>56</v>
      </c>
      <c r="D1431" t="s">
        <v>433</v>
      </c>
      <c r="E1431" t="s">
        <v>433</v>
      </c>
      <c r="F1431" s="122">
        <v>3</v>
      </c>
      <c r="G1431" s="122">
        <v>636</v>
      </c>
      <c r="H1431" s="122">
        <v>526</v>
      </c>
      <c r="I1431" s="122">
        <v>77157</v>
      </c>
      <c r="J1431" s="122">
        <v>70143</v>
      </c>
      <c r="K1431" s="122">
        <v>70</v>
      </c>
      <c r="L1431" s="122">
        <v>9058</v>
      </c>
      <c r="M1431" s="122">
        <v>8235</v>
      </c>
      <c r="N1431" s="122">
        <v>14057</v>
      </c>
      <c r="O1431" s="122">
        <v>5206</v>
      </c>
      <c r="P1431" s="122">
        <v>1674</v>
      </c>
      <c r="Q1431" s="122">
        <v>620</v>
      </c>
      <c r="R1431" s="122">
        <v>11225</v>
      </c>
      <c r="S1431" s="122">
        <v>10205</v>
      </c>
      <c r="T1431" s="122">
        <v>3219</v>
      </c>
      <c r="U1431" s="122">
        <v>1192</v>
      </c>
      <c r="V1431" s="122">
        <v>95601</v>
      </c>
      <c r="W1431" s="122">
        <f t="shared" si="44"/>
        <v>95601</v>
      </c>
      <c r="X1431" s="122">
        <f t="shared" si="45"/>
        <v>116390</v>
      </c>
      <c r="AA1431" t="s">
        <v>58</v>
      </c>
      <c r="AB1431" t="s">
        <v>579</v>
      </c>
      <c r="AC1431" t="s">
        <v>580</v>
      </c>
      <c r="AD1431" t="s">
        <v>579</v>
      </c>
      <c r="AE1431" t="s">
        <v>137</v>
      </c>
      <c r="AF1431">
        <v>16</v>
      </c>
      <c r="AG1431" s="122">
        <v>2157</v>
      </c>
      <c r="AH1431" s="122">
        <v>4265</v>
      </c>
      <c r="AI1431" s="122">
        <v>353442</v>
      </c>
      <c r="AJ1431" s="122">
        <v>294535</v>
      </c>
      <c r="AK1431">
        <v>64</v>
      </c>
      <c r="AL1431" s="122">
        <v>31417</v>
      </c>
      <c r="AM1431" s="122">
        <v>28561</v>
      </c>
      <c r="AN1431" s="122">
        <v>39018</v>
      </c>
      <c r="AO1431" s="122">
        <v>14451</v>
      </c>
      <c r="AP1431" s="122">
        <v>10530</v>
      </c>
      <c r="AQ1431" s="122">
        <v>3900</v>
      </c>
      <c r="AR1431" s="122">
        <v>94862</v>
      </c>
      <c r="AS1431" s="122">
        <v>79052</v>
      </c>
      <c r="AT1431" s="122">
        <v>41521</v>
      </c>
      <c r="AU1431" s="122">
        <v>15378</v>
      </c>
      <c r="AV1431" s="122">
        <v>435877</v>
      </c>
    </row>
    <row r="1432" spans="2:48" hidden="1">
      <c r="B1432" t="s">
        <v>371</v>
      </c>
      <c r="C1432" t="s">
        <v>56</v>
      </c>
      <c r="D1432" t="s">
        <v>408</v>
      </c>
      <c r="E1432" t="s">
        <v>408</v>
      </c>
      <c r="F1432" s="122">
        <v>8</v>
      </c>
      <c r="G1432" s="122">
        <v>1566</v>
      </c>
      <c r="H1432" s="122">
        <v>1485</v>
      </c>
      <c r="I1432" s="122">
        <v>194502</v>
      </c>
      <c r="J1432" s="122">
        <v>176820</v>
      </c>
      <c r="K1432" s="122">
        <v>69</v>
      </c>
      <c r="L1432" s="122">
        <v>29673</v>
      </c>
      <c r="M1432" s="122">
        <v>26975</v>
      </c>
      <c r="N1432" s="122">
        <v>30974</v>
      </c>
      <c r="O1432" s="122">
        <v>11472</v>
      </c>
      <c r="P1432" s="122">
        <v>4685</v>
      </c>
      <c r="Q1432" s="122">
        <v>1735</v>
      </c>
      <c r="R1432" s="122">
        <v>51124</v>
      </c>
      <c r="S1432" s="122">
        <v>46476</v>
      </c>
      <c r="T1432" s="122">
        <v>1738</v>
      </c>
      <c r="U1432" s="122">
        <v>644</v>
      </c>
      <c r="V1432" s="122">
        <v>264122</v>
      </c>
      <c r="W1432" s="122">
        <f t="shared" si="44"/>
        <v>264122</v>
      </c>
      <c r="X1432" s="122">
        <f t="shared" si="45"/>
        <v>312696</v>
      </c>
      <c r="AA1432" t="s">
        <v>58</v>
      </c>
      <c r="AB1432" t="s">
        <v>579</v>
      </c>
      <c r="AC1432" t="s">
        <v>580</v>
      </c>
      <c r="AD1432" t="s">
        <v>579</v>
      </c>
      <c r="AE1432" t="s">
        <v>566</v>
      </c>
      <c r="AF1432">
        <v>2</v>
      </c>
      <c r="AG1432" s="122">
        <v>411</v>
      </c>
      <c r="AH1432" s="122">
        <v>519</v>
      </c>
      <c r="AI1432" s="122">
        <v>70911</v>
      </c>
      <c r="AJ1432" s="122">
        <v>59092</v>
      </c>
      <c r="AK1432">
        <v>64</v>
      </c>
      <c r="AL1432" s="122">
        <v>7347</v>
      </c>
      <c r="AM1432" s="122">
        <v>6679</v>
      </c>
      <c r="AN1432" s="122">
        <v>9539</v>
      </c>
      <c r="AO1432" s="122">
        <v>3533</v>
      </c>
      <c r="AP1432" s="122">
        <v>1242</v>
      </c>
      <c r="AQ1432" s="122">
        <v>460</v>
      </c>
      <c r="AR1432" s="122">
        <v>19051</v>
      </c>
      <c r="AS1432" s="122">
        <v>15876</v>
      </c>
      <c r="AT1432" s="122">
        <v>0</v>
      </c>
      <c r="AU1432" s="122">
        <v>0</v>
      </c>
      <c r="AV1432" s="122">
        <v>85641</v>
      </c>
    </row>
    <row r="1433" spans="2:48" hidden="1">
      <c r="B1433" t="s">
        <v>371</v>
      </c>
      <c r="C1433" t="s">
        <v>56</v>
      </c>
      <c r="D1433" t="s">
        <v>408</v>
      </c>
      <c r="E1433" t="s">
        <v>429</v>
      </c>
      <c r="F1433" s="122">
        <v>1</v>
      </c>
      <c r="G1433" s="122">
        <v>270</v>
      </c>
      <c r="H1433" s="122">
        <v>199</v>
      </c>
      <c r="I1433" s="122">
        <v>33085</v>
      </c>
      <c r="J1433" s="122">
        <v>30078</v>
      </c>
      <c r="K1433" s="122">
        <v>90</v>
      </c>
      <c r="L1433" s="122">
        <v>5514</v>
      </c>
      <c r="M1433" s="122">
        <v>5013</v>
      </c>
      <c r="N1433" s="122">
        <v>5994</v>
      </c>
      <c r="O1433" s="122">
        <v>2220</v>
      </c>
      <c r="P1433" s="122">
        <v>351</v>
      </c>
      <c r="Q1433" s="122">
        <v>130</v>
      </c>
      <c r="R1433" s="122">
        <v>4749</v>
      </c>
      <c r="S1433" s="122">
        <v>4318</v>
      </c>
      <c r="T1433" s="122">
        <v>4081</v>
      </c>
      <c r="U1433" s="122">
        <v>1511</v>
      </c>
      <c r="V1433" s="122">
        <v>43270</v>
      </c>
      <c r="W1433" s="122">
        <f t="shared" si="44"/>
        <v>43270</v>
      </c>
      <c r="X1433" s="122">
        <f t="shared" si="45"/>
        <v>53774</v>
      </c>
      <c r="AA1433" t="s">
        <v>58</v>
      </c>
      <c r="AB1433" t="s">
        <v>579</v>
      </c>
      <c r="AC1433" t="s">
        <v>579</v>
      </c>
      <c r="AD1433" t="s">
        <v>579</v>
      </c>
      <c r="AE1433" t="s">
        <v>137</v>
      </c>
      <c r="AF1433">
        <v>24</v>
      </c>
      <c r="AG1433" s="122">
        <v>2939</v>
      </c>
      <c r="AH1433" s="122">
        <v>6698</v>
      </c>
      <c r="AI1433" s="122">
        <v>520401</v>
      </c>
      <c r="AJ1433" s="122">
        <v>433667</v>
      </c>
      <c r="AK1433">
        <v>69</v>
      </c>
      <c r="AL1433" s="122">
        <v>77004</v>
      </c>
      <c r="AM1433" s="122">
        <v>64170</v>
      </c>
      <c r="AN1433" s="122">
        <v>58116</v>
      </c>
      <c r="AO1433" s="122">
        <v>21525</v>
      </c>
      <c r="AP1433" s="122">
        <v>8775</v>
      </c>
      <c r="AQ1433" s="122">
        <v>3250</v>
      </c>
      <c r="AR1433" s="122">
        <v>123435</v>
      </c>
      <c r="AS1433" s="122">
        <v>102862</v>
      </c>
      <c r="AT1433" s="122">
        <v>60405</v>
      </c>
      <c r="AU1433" s="122">
        <v>22372</v>
      </c>
      <c r="AV1433" s="122">
        <v>647846</v>
      </c>
    </row>
    <row r="1434" spans="2:48" hidden="1">
      <c r="B1434" t="s">
        <v>371</v>
      </c>
      <c r="C1434" t="s">
        <v>58</v>
      </c>
      <c r="F1434" s="122">
        <v>6</v>
      </c>
      <c r="G1434" s="122">
        <v>1737</v>
      </c>
      <c r="H1434" s="122">
        <v>1497</v>
      </c>
      <c r="I1434" s="122"/>
      <c r="J1434" s="122">
        <v>0</v>
      </c>
      <c r="K1434" s="122"/>
      <c r="L1434" s="122"/>
      <c r="M1434" s="122">
        <v>0</v>
      </c>
      <c r="N1434" s="122">
        <v>26762</v>
      </c>
      <c r="O1434" s="122">
        <v>9912</v>
      </c>
      <c r="P1434" s="122">
        <v>3348</v>
      </c>
      <c r="Q1434" s="122">
        <v>1240</v>
      </c>
      <c r="R1434" s="122"/>
      <c r="S1434" s="122">
        <v>0</v>
      </c>
      <c r="T1434" s="122">
        <v>2899</v>
      </c>
      <c r="U1434" s="122">
        <v>1074</v>
      </c>
      <c r="V1434" s="122">
        <v>12226</v>
      </c>
      <c r="W1434" s="122">
        <f t="shared" si="44"/>
        <v>12226</v>
      </c>
      <c r="X1434" s="122">
        <f t="shared" si="45"/>
        <v>33009</v>
      </c>
      <c r="AA1434" t="s">
        <v>58</v>
      </c>
      <c r="AB1434" t="s">
        <v>579</v>
      </c>
      <c r="AC1434" t="s">
        <v>579</v>
      </c>
      <c r="AD1434" t="s">
        <v>579</v>
      </c>
      <c r="AE1434" t="s">
        <v>566</v>
      </c>
      <c r="AF1434">
        <v>3</v>
      </c>
      <c r="AG1434">
        <v>598</v>
      </c>
      <c r="AH1434">
        <v>837</v>
      </c>
      <c r="AI1434" s="122">
        <v>107150</v>
      </c>
      <c r="AJ1434" s="122">
        <v>89292</v>
      </c>
      <c r="AK1434">
        <v>62</v>
      </c>
      <c r="AL1434" s="122">
        <v>12283</v>
      </c>
      <c r="AM1434" s="122">
        <v>10236</v>
      </c>
      <c r="AN1434" s="122">
        <v>13243</v>
      </c>
      <c r="AO1434" s="122">
        <v>4905</v>
      </c>
      <c r="AP1434" s="122">
        <v>1053</v>
      </c>
      <c r="AQ1434">
        <v>390</v>
      </c>
      <c r="AR1434" s="122">
        <v>31201</v>
      </c>
      <c r="AS1434" s="122">
        <v>26001</v>
      </c>
      <c r="AT1434">
        <v>0</v>
      </c>
      <c r="AU1434">
        <v>0</v>
      </c>
      <c r="AV1434" s="122">
        <v>130823</v>
      </c>
    </row>
    <row r="1435" spans="2:48" hidden="1">
      <c r="B1435" t="s">
        <v>371</v>
      </c>
      <c r="C1435" t="s">
        <v>58</v>
      </c>
      <c r="D1435" t="s">
        <v>425</v>
      </c>
      <c r="E1435" t="s">
        <v>425</v>
      </c>
      <c r="F1435" s="122">
        <v>1</v>
      </c>
      <c r="G1435" s="122">
        <v>139</v>
      </c>
      <c r="H1435" s="122">
        <v>269</v>
      </c>
      <c r="I1435" s="122">
        <v>21358</v>
      </c>
      <c r="J1435" s="122">
        <v>19417</v>
      </c>
      <c r="K1435" s="122">
        <v>79</v>
      </c>
      <c r="L1435" s="122">
        <v>5933</v>
      </c>
      <c r="M1435" s="122">
        <v>5394</v>
      </c>
      <c r="N1435" s="122">
        <v>3377</v>
      </c>
      <c r="O1435" s="122">
        <v>1251</v>
      </c>
      <c r="P1435" s="122">
        <v>473</v>
      </c>
      <c r="Q1435" s="122">
        <v>175</v>
      </c>
      <c r="R1435" s="122">
        <v>6099</v>
      </c>
      <c r="S1435" s="122">
        <v>5545</v>
      </c>
      <c r="T1435" s="122">
        <v>0</v>
      </c>
      <c r="U1435" s="122">
        <v>0</v>
      </c>
      <c r="V1435" s="122">
        <v>31781</v>
      </c>
      <c r="W1435" s="122">
        <f t="shared" si="44"/>
        <v>31782</v>
      </c>
      <c r="X1435" s="122">
        <f t="shared" si="45"/>
        <v>37240</v>
      </c>
      <c r="AA1435" t="s">
        <v>58</v>
      </c>
      <c r="AB1435" t="s">
        <v>579</v>
      </c>
      <c r="AC1435" t="s">
        <v>428</v>
      </c>
      <c r="AD1435" t="s">
        <v>579</v>
      </c>
      <c r="AE1435" t="s">
        <v>566</v>
      </c>
      <c r="AF1435">
        <v>1</v>
      </c>
      <c r="AG1435">
        <v>152</v>
      </c>
      <c r="AH1435">
        <v>289</v>
      </c>
      <c r="AI1435" s="122">
        <v>25682</v>
      </c>
      <c r="AJ1435" s="122">
        <v>21402</v>
      </c>
      <c r="AK1435">
        <v>65</v>
      </c>
      <c r="AL1435" s="122">
        <v>5668</v>
      </c>
      <c r="AM1435" s="122">
        <v>5152</v>
      </c>
      <c r="AN1435" s="122">
        <v>2778</v>
      </c>
      <c r="AO1435" s="122">
        <v>1029</v>
      </c>
      <c r="AP1435">
        <v>473</v>
      </c>
      <c r="AQ1435">
        <v>175</v>
      </c>
      <c r="AR1435" s="122">
        <v>9293</v>
      </c>
      <c r="AS1435" s="122">
        <v>7744</v>
      </c>
      <c r="AT1435" s="122">
        <v>0</v>
      </c>
      <c r="AU1435">
        <v>0</v>
      </c>
      <c r="AV1435" s="122">
        <v>35502</v>
      </c>
    </row>
    <row r="1436" spans="2:48" hidden="1">
      <c r="B1436" t="s">
        <v>371</v>
      </c>
      <c r="C1436" t="s">
        <v>58</v>
      </c>
      <c r="D1436" t="s">
        <v>425</v>
      </c>
      <c r="E1436" t="s">
        <v>406</v>
      </c>
      <c r="F1436" s="122">
        <v>2</v>
      </c>
      <c r="G1436" s="122">
        <v>253</v>
      </c>
      <c r="H1436" s="122">
        <v>536</v>
      </c>
      <c r="I1436" s="122">
        <v>40046</v>
      </c>
      <c r="J1436" s="122">
        <v>36406</v>
      </c>
      <c r="K1436" s="122">
        <v>82</v>
      </c>
      <c r="L1436" s="122">
        <v>8502</v>
      </c>
      <c r="M1436" s="122">
        <v>7729</v>
      </c>
      <c r="N1436" s="122">
        <v>3811</v>
      </c>
      <c r="O1436" s="122">
        <v>1412</v>
      </c>
      <c r="P1436" s="122">
        <v>1242</v>
      </c>
      <c r="Q1436" s="122">
        <v>460</v>
      </c>
      <c r="R1436" s="122">
        <v>8408</v>
      </c>
      <c r="S1436" s="122">
        <v>7643</v>
      </c>
      <c r="T1436" s="122">
        <v>5773</v>
      </c>
      <c r="U1436" s="122">
        <v>2138</v>
      </c>
      <c r="V1436" s="122">
        <v>55788</v>
      </c>
      <c r="W1436" s="122">
        <f t="shared" si="44"/>
        <v>55788</v>
      </c>
      <c r="X1436" s="122">
        <f t="shared" si="45"/>
        <v>67782</v>
      </c>
      <c r="AA1436" t="s">
        <v>58</v>
      </c>
      <c r="AB1436" t="s">
        <v>579</v>
      </c>
      <c r="AC1436" t="s">
        <v>426</v>
      </c>
      <c r="AD1436" t="s">
        <v>579</v>
      </c>
      <c r="AE1436" t="s">
        <v>137</v>
      </c>
      <c r="AF1436">
        <v>1</v>
      </c>
      <c r="AG1436">
        <v>115</v>
      </c>
      <c r="AH1436" s="122">
        <v>299</v>
      </c>
      <c r="AI1436" s="122">
        <v>20196</v>
      </c>
      <c r="AJ1436" s="122">
        <v>16830</v>
      </c>
      <c r="AK1436">
        <v>71</v>
      </c>
      <c r="AL1436" s="122">
        <v>4896</v>
      </c>
      <c r="AM1436" s="122">
        <v>4451</v>
      </c>
      <c r="AN1436" s="122">
        <v>1997</v>
      </c>
      <c r="AO1436" s="122">
        <v>740</v>
      </c>
      <c r="AP1436" s="122">
        <v>351</v>
      </c>
      <c r="AQ1436" s="122">
        <v>130</v>
      </c>
      <c r="AR1436" s="122">
        <v>4572</v>
      </c>
      <c r="AS1436" s="122">
        <v>3810</v>
      </c>
      <c r="AT1436" s="122">
        <v>2531</v>
      </c>
      <c r="AU1436" s="122">
        <v>937</v>
      </c>
      <c r="AV1436" s="122">
        <v>26898</v>
      </c>
    </row>
    <row r="1437" spans="2:48" hidden="1">
      <c r="B1437" t="s">
        <v>371</v>
      </c>
      <c r="C1437" t="s">
        <v>58</v>
      </c>
      <c r="D1437" t="s">
        <v>405</v>
      </c>
      <c r="E1437" t="s">
        <v>405</v>
      </c>
      <c r="F1437" s="122">
        <v>24</v>
      </c>
      <c r="G1437" s="122">
        <v>3844</v>
      </c>
      <c r="H1437" s="122">
        <v>6143</v>
      </c>
      <c r="I1437" s="122">
        <v>604611</v>
      </c>
      <c r="J1437" s="122">
        <v>549647</v>
      </c>
      <c r="K1437" s="122">
        <v>80</v>
      </c>
      <c r="L1437" s="122">
        <v>137914</v>
      </c>
      <c r="M1437" s="122">
        <v>125018</v>
      </c>
      <c r="N1437" s="122">
        <v>81661</v>
      </c>
      <c r="O1437" s="122">
        <v>30245</v>
      </c>
      <c r="P1437" s="122">
        <v>13946</v>
      </c>
      <c r="Q1437" s="122">
        <v>5165</v>
      </c>
      <c r="R1437" s="122">
        <v>137662</v>
      </c>
      <c r="S1437" s="122">
        <v>125147</v>
      </c>
      <c r="T1437" s="122">
        <v>20491</v>
      </c>
      <c r="U1437" s="122">
        <v>7589</v>
      </c>
      <c r="V1437" s="122">
        <v>842810</v>
      </c>
      <c r="W1437" s="122">
        <f t="shared" si="44"/>
        <v>842811</v>
      </c>
      <c r="X1437" s="122">
        <f t="shared" si="45"/>
        <v>996285</v>
      </c>
      <c r="AA1437" t="s">
        <v>58</v>
      </c>
      <c r="AB1437" t="s">
        <v>579</v>
      </c>
      <c r="AC1437" t="s">
        <v>566</v>
      </c>
      <c r="AD1437" t="s">
        <v>579</v>
      </c>
      <c r="AE1437" t="s">
        <v>137</v>
      </c>
      <c r="AF1437">
        <v>8</v>
      </c>
      <c r="AG1437">
        <v>652</v>
      </c>
      <c r="AH1437" s="122">
        <v>2118</v>
      </c>
      <c r="AI1437" s="122">
        <v>115820</v>
      </c>
      <c r="AJ1437" s="122">
        <v>96517</v>
      </c>
      <c r="AK1437">
        <v>67</v>
      </c>
      <c r="AL1437" s="122">
        <v>0</v>
      </c>
      <c r="AM1437" s="122">
        <v>0</v>
      </c>
      <c r="AN1437" s="122">
        <v>10798</v>
      </c>
      <c r="AO1437" s="122">
        <v>3999</v>
      </c>
      <c r="AP1437" s="122">
        <v>2808</v>
      </c>
      <c r="AQ1437" s="122">
        <v>1040</v>
      </c>
      <c r="AR1437" s="122">
        <v>36079</v>
      </c>
      <c r="AS1437" s="122">
        <v>30066</v>
      </c>
      <c r="AT1437" s="122">
        <v>18807</v>
      </c>
      <c r="AU1437" s="122">
        <v>6966</v>
      </c>
      <c r="AV1437" s="122">
        <v>138587</v>
      </c>
    </row>
    <row r="1438" spans="2:48" hidden="1">
      <c r="B1438" t="s">
        <v>371</v>
      </c>
      <c r="C1438" t="s">
        <v>58</v>
      </c>
      <c r="D1438" t="s">
        <v>405</v>
      </c>
      <c r="E1438" t="s">
        <v>556</v>
      </c>
      <c r="F1438" s="122">
        <v>1</v>
      </c>
      <c r="G1438" s="122">
        <v>142</v>
      </c>
      <c r="H1438" s="122">
        <v>259</v>
      </c>
      <c r="I1438" s="122">
        <v>19597</v>
      </c>
      <c r="J1438" s="122">
        <v>17815</v>
      </c>
      <c r="K1438" s="122">
        <v>78</v>
      </c>
      <c r="L1438" s="122">
        <v>5378</v>
      </c>
      <c r="M1438" s="122">
        <v>4889</v>
      </c>
      <c r="N1438" s="122">
        <v>3203</v>
      </c>
      <c r="O1438" s="122">
        <v>1186</v>
      </c>
      <c r="P1438" s="122">
        <v>473</v>
      </c>
      <c r="Q1438" s="122">
        <v>175</v>
      </c>
      <c r="R1438" s="122">
        <v>5057</v>
      </c>
      <c r="S1438" s="122">
        <v>4214</v>
      </c>
      <c r="T1438" s="122">
        <v>3066</v>
      </c>
      <c r="U1438" s="122">
        <v>1135</v>
      </c>
      <c r="V1438" s="122">
        <v>29415</v>
      </c>
      <c r="W1438" s="122">
        <f t="shared" si="44"/>
        <v>29414</v>
      </c>
      <c r="X1438" s="122">
        <f t="shared" si="45"/>
        <v>36774</v>
      </c>
      <c r="AA1438" t="s">
        <v>58</v>
      </c>
      <c r="AB1438" t="s">
        <v>428</v>
      </c>
      <c r="AC1438" t="s">
        <v>580</v>
      </c>
      <c r="AD1438" t="s">
        <v>428</v>
      </c>
      <c r="AE1438" t="s">
        <v>137</v>
      </c>
      <c r="AF1438">
        <v>1</v>
      </c>
      <c r="AG1438">
        <v>142</v>
      </c>
      <c r="AH1438" s="122">
        <v>272</v>
      </c>
      <c r="AI1438" s="122">
        <v>23459</v>
      </c>
      <c r="AJ1438" s="122">
        <v>21327</v>
      </c>
      <c r="AK1438">
        <v>65</v>
      </c>
      <c r="AL1438" s="122">
        <v>2607</v>
      </c>
      <c r="AM1438" s="122">
        <v>2370</v>
      </c>
      <c r="AN1438" s="122">
        <v>3189</v>
      </c>
      <c r="AO1438" s="122">
        <v>1181</v>
      </c>
      <c r="AP1438" s="122">
        <v>621</v>
      </c>
      <c r="AQ1438">
        <v>230</v>
      </c>
      <c r="AR1438" s="122">
        <v>5446</v>
      </c>
      <c r="AS1438" s="122">
        <v>4951</v>
      </c>
      <c r="AT1438" s="122">
        <v>3193</v>
      </c>
      <c r="AU1438" s="122">
        <v>1183</v>
      </c>
      <c r="AV1438" s="122">
        <v>31241</v>
      </c>
    </row>
    <row r="1439" spans="2:48" hidden="1">
      <c r="B1439" t="s">
        <v>371</v>
      </c>
      <c r="C1439" t="s">
        <v>58</v>
      </c>
      <c r="D1439" t="s">
        <v>137</v>
      </c>
      <c r="E1439" t="s">
        <v>137</v>
      </c>
      <c r="F1439" s="122">
        <v>31</v>
      </c>
      <c r="G1439" s="122">
        <v>5060</v>
      </c>
      <c r="H1439" s="122">
        <v>8198</v>
      </c>
      <c r="I1439" s="122">
        <v>894480</v>
      </c>
      <c r="J1439" s="122">
        <v>331289</v>
      </c>
      <c r="K1439" s="122">
        <v>111</v>
      </c>
      <c r="L1439" s="122">
        <v>129250</v>
      </c>
      <c r="M1439" s="122">
        <v>109345</v>
      </c>
      <c r="N1439" s="122">
        <v>114278</v>
      </c>
      <c r="O1439" s="122">
        <v>42325</v>
      </c>
      <c r="P1439" s="122">
        <v>2727</v>
      </c>
      <c r="Q1439" s="122">
        <v>1010</v>
      </c>
      <c r="R1439" s="122">
        <v>275198</v>
      </c>
      <c r="S1439" s="122">
        <v>101925</v>
      </c>
      <c r="T1439" s="122">
        <v>0</v>
      </c>
      <c r="U1439" s="122">
        <v>0</v>
      </c>
      <c r="V1439" s="122">
        <v>585894</v>
      </c>
      <c r="W1439" s="122">
        <f t="shared" si="44"/>
        <v>585894</v>
      </c>
      <c r="X1439" s="122">
        <f t="shared" si="45"/>
        <v>1415933</v>
      </c>
      <c r="AA1439" t="s">
        <v>58</v>
      </c>
      <c r="AB1439" t="s">
        <v>428</v>
      </c>
      <c r="AC1439" t="s">
        <v>428</v>
      </c>
      <c r="AD1439" t="s">
        <v>428</v>
      </c>
      <c r="AE1439" t="s">
        <v>137</v>
      </c>
      <c r="AF1439">
        <v>5</v>
      </c>
      <c r="AG1439">
        <v>670</v>
      </c>
      <c r="AH1439" s="122">
        <v>1385</v>
      </c>
      <c r="AI1439" s="122">
        <v>115598</v>
      </c>
      <c r="AJ1439" s="122">
        <v>105089</v>
      </c>
      <c r="AK1439">
        <v>65</v>
      </c>
      <c r="AL1439" s="122">
        <v>20897</v>
      </c>
      <c r="AM1439" s="122">
        <v>18997</v>
      </c>
      <c r="AN1439" s="122">
        <v>14392</v>
      </c>
      <c r="AO1439" s="122">
        <v>5330</v>
      </c>
      <c r="AP1439" s="122">
        <v>2106</v>
      </c>
      <c r="AQ1439">
        <v>780</v>
      </c>
      <c r="AR1439" s="122">
        <v>24549</v>
      </c>
      <c r="AS1439" s="122">
        <v>22318</v>
      </c>
      <c r="AT1439" s="122">
        <v>14992</v>
      </c>
      <c r="AU1439" s="122">
        <v>5552</v>
      </c>
      <c r="AV1439" s="122">
        <v>158067</v>
      </c>
    </row>
    <row r="1440" spans="2:48" hidden="1">
      <c r="B1440" t="s">
        <v>371</v>
      </c>
      <c r="C1440" t="s">
        <v>58</v>
      </c>
      <c r="D1440" t="s">
        <v>406</v>
      </c>
      <c r="E1440" t="s">
        <v>137</v>
      </c>
      <c r="F1440" s="122">
        <v>1</v>
      </c>
      <c r="G1440" s="122">
        <v>122</v>
      </c>
      <c r="H1440" s="122">
        <v>268</v>
      </c>
      <c r="I1440" s="122">
        <v>14582</v>
      </c>
      <c r="J1440" s="122">
        <v>13256</v>
      </c>
      <c r="K1440" s="122">
        <v>85</v>
      </c>
      <c r="L1440" s="122">
        <v>4369</v>
      </c>
      <c r="M1440" s="122">
        <v>3972</v>
      </c>
      <c r="N1440" s="122">
        <v>2973</v>
      </c>
      <c r="O1440" s="122">
        <v>1101</v>
      </c>
      <c r="P1440" s="122">
        <v>621</v>
      </c>
      <c r="Q1440" s="122">
        <v>230</v>
      </c>
      <c r="R1440" s="122">
        <v>10099</v>
      </c>
      <c r="S1440" s="122">
        <v>3740</v>
      </c>
      <c r="T1440" s="122">
        <v>0</v>
      </c>
      <c r="U1440" s="122">
        <v>0</v>
      </c>
      <c r="V1440" s="122">
        <v>22300</v>
      </c>
      <c r="W1440" s="122">
        <f t="shared" si="44"/>
        <v>22299</v>
      </c>
      <c r="X1440" s="122">
        <f t="shared" si="45"/>
        <v>32644</v>
      </c>
      <c r="AA1440" t="s">
        <v>58</v>
      </c>
      <c r="AB1440" t="s">
        <v>428</v>
      </c>
      <c r="AC1440" t="s">
        <v>428</v>
      </c>
      <c r="AD1440" t="s">
        <v>428</v>
      </c>
      <c r="AE1440" t="s">
        <v>566</v>
      </c>
      <c r="AF1440">
        <v>4</v>
      </c>
      <c r="AG1440">
        <v>528</v>
      </c>
      <c r="AH1440" s="122">
        <v>1012</v>
      </c>
      <c r="AI1440" s="122">
        <v>73533</v>
      </c>
      <c r="AJ1440" s="122">
        <v>66848</v>
      </c>
      <c r="AK1440">
        <v>66</v>
      </c>
      <c r="AL1440" s="122">
        <v>12075</v>
      </c>
      <c r="AM1440" s="122">
        <v>10977</v>
      </c>
      <c r="AN1440" s="122">
        <v>9048</v>
      </c>
      <c r="AO1440" s="122">
        <v>3351</v>
      </c>
      <c r="AP1440" s="122">
        <v>1404</v>
      </c>
      <c r="AQ1440">
        <v>520</v>
      </c>
      <c r="AR1440" s="122">
        <v>36035</v>
      </c>
      <c r="AS1440" s="122">
        <v>32759</v>
      </c>
      <c r="AT1440">
        <v>0</v>
      </c>
      <c r="AU1440">
        <v>0</v>
      </c>
      <c r="AV1440" s="122">
        <v>114455</v>
      </c>
    </row>
    <row r="1441" spans="2:48" hidden="1">
      <c r="B1441" t="s">
        <v>371</v>
      </c>
      <c r="C1441" t="s">
        <v>58</v>
      </c>
      <c r="D1441" t="s">
        <v>406</v>
      </c>
      <c r="E1441" t="s">
        <v>406</v>
      </c>
      <c r="F1441" s="122">
        <v>1202</v>
      </c>
      <c r="G1441" s="122">
        <v>158302</v>
      </c>
      <c r="H1441" s="122">
        <v>314088</v>
      </c>
      <c r="I1441" s="122">
        <v>25106008</v>
      </c>
      <c r="J1441" s="122">
        <v>22823643</v>
      </c>
      <c r="K1441" s="122">
        <v>79</v>
      </c>
      <c r="L1441" s="122">
        <v>5004788</v>
      </c>
      <c r="M1441" s="122">
        <v>4426543</v>
      </c>
      <c r="N1441" s="122">
        <v>3297904</v>
      </c>
      <c r="O1441" s="122">
        <v>1221446</v>
      </c>
      <c r="P1441" s="122">
        <v>776005</v>
      </c>
      <c r="Q1441" s="122">
        <v>287409</v>
      </c>
      <c r="R1441" s="122">
        <v>6450696</v>
      </c>
      <c r="S1441" s="122">
        <v>5864269</v>
      </c>
      <c r="T1441" s="122">
        <v>1994035</v>
      </c>
      <c r="U1441" s="122">
        <v>738532</v>
      </c>
      <c r="V1441" s="122">
        <v>35361842</v>
      </c>
      <c r="W1441" s="122">
        <f t="shared" si="44"/>
        <v>35361842</v>
      </c>
      <c r="X1441" s="122">
        <f t="shared" si="45"/>
        <v>42629436</v>
      </c>
      <c r="AA1441" t="s">
        <v>58</v>
      </c>
      <c r="AB1441" t="s">
        <v>428</v>
      </c>
      <c r="AC1441" t="s">
        <v>566</v>
      </c>
      <c r="AD1441" t="s">
        <v>137</v>
      </c>
      <c r="AE1441" t="s">
        <v>566</v>
      </c>
      <c r="AF1441">
        <v>1</v>
      </c>
      <c r="AG1441">
        <v>67</v>
      </c>
      <c r="AH1441">
        <v>261</v>
      </c>
      <c r="AI1441" s="122">
        <v>18388</v>
      </c>
      <c r="AJ1441" s="122">
        <v>16716</v>
      </c>
      <c r="AK1441">
        <v>65</v>
      </c>
      <c r="AL1441">
        <v>0</v>
      </c>
      <c r="AM1441">
        <v>0</v>
      </c>
      <c r="AN1441" s="122">
        <v>2737</v>
      </c>
      <c r="AO1441" s="122">
        <v>1014</v>
      </c>
      <c r="AP1441">
        <v>0</v>
      </c>
      <c r="AQ1441">
        <v>0</v>
      </c>
      <c r="AR1441" s="122">
        <v>8229</v>
      </c>
      <c r="AS1441" s="122">
        <v>3048</v>
      </c>
      <c r="AT1441" s="122">
        <v>0</v>
      </c>
      <c r="AU1441">
        <v>0</v>
      </c>
      <c r="AV1441" s="122">
        <v>20778</v>
      </c>
    </row>
    <row r="1442" spans="2:48" hidden="1">
      <c r="B1442" t="s">
        <v>371</v>
      </c>
      <c r="C1442" t="s">
        <v>58</v>
      </c>
      <c r="D1442" t="s">
        <v>406</v>
      </c>
      <c r="E1442" t="s">
        <v>427</v>
      </c>
      <c r="F1442" s="122">
        <v>2</v>
      </c>
      <c r="G1442" s="122">
        <v>159</v>
      </c>
      <c r="H1442" s="122">
        <v>520</v>
      </c>
      <c r="I1442" s="122">
        <v>21258</v>
      </c>
      <c r="J1442" s="122">
        <v>19325</v>
      </c>
      <c r="K1442" s="122">
        <v>78</v>
      </c>
      <c r="L1442" s="122">
        <v>2759</v>
      </c>
      <c r="M1442" s="122">
        <v>2508</v>
      </c>
      <c r="N1442" s="122">
        <v>3070</v>
      </c>
      <c r="O1442" s="122">
        <v>1137</v>
      </c>
      <c r="P1442" s="122">
        <v>1242</v>
      </c>
      <c r="Q1442" s="122">
        <v>460</v>
      </c>
      <c r="R1442" s="122">
        <v>12548</v>
      </c>
      <c r="S1442" s="122">
        <v>11407</v>
      </c>
      <c r="T1442" s="122">
        <v>0</v>
      </c>
      <c r="U1442" s="122">
        <v>0</v>
      </c>
      <c r="V1442" s="122">
        <v>34838</v>
      </c>
      <c r="W1442" s="122">
        <f t="shared" si="44"/>
        <v>34837</v>
      </c>
      <c r="X1442" s="122">
        <f t="shared" si="45"/>
        <v>40877</v>
      </c>
      <c r="AA1442" t="s">
        <v>58</v>
      </c>
      <c r="AB1442" t="s">
        <v>428</v>
      </c>
      <c r="AC1442" t="s">
        <v>566</v>
      </c>
      <c r="AD1442" t="s">
        <v>428</v>
      </c>
      <c r="AE1442" t="s">
        <v>137</v>
      </c>
      <c r="AF1442">
        <v>1</v>
      </c>
      <c r="AG1442">
        <v>117</v>
      </c>
      <c r="AH1442">
        <v>265</v>
      </c>
      <c r="AI1442" s="122">
        <v>20978</v>
      </c>
      <c r="AJ1442" s="122">
        <v>19071</v>
      </c>
      <c r="AK1442">
        <v>65</v>
      </c>
      <c r="AL1442">
        <v>0</v>
      </c>
      <c r="AM1442">
        <v>0</v>
      </c>
      <c r="AN1442" s="122">
        <v>2174</v>
      </c>
      <c r="AO1442">
        <v>805</v>
      </c>
      <c r="AP1442">
        <v>351</v>
      </c>
      <c r="AQ1442">
        <v>130</v>
      </c>
      <c r="AR1442" s="122">
        <v>4736</v>
      </c>
      <c r="AS1442" s="122">
        <v>4305</v>
      </c>
      <c r="AT1442" s="122">
        <v>2634</v>
      </c>
      <c r="AU1442">
        <v>976</v>
      </c>
      <c r="AV1442" s="122">
        <v>25287</v>
      </c>
    </row>
    <row r="1443" spans="2:48" hidden="1">
      <c r="B1443" t="s">
        <v>371</v>
      </c>
      <c r="C1443" t="s">
        <v>58</v>
      </c>
      <c r="D1443" t="s">
        <v>406</v>
      </c>
      <c r="E1443" t="s">
        <v>407</v>
      </c>
      <c r="F1443" s="122">
        <v>1</v>
      </c>
      <c r="G1443" s="122">
        <v>85</v>
      </c>
      <c r="H1443" s="122">
        <v>253</v>
      </c>
      <c r="I1443" s="122">
        <v>20083</v>
      </c>
      <c r="J1443" s="122">
        <v>18257</v>
      </c>
      <c r="K1443" s="122">
        <v>86</v>
      </c>
      <c r="L1443" s="122">
        <v>6055</v>
      </c>
      <c r="M1443" s="122">
        <v>5504</v>
      </c>
      <c r="N1443" s="122">
        <v>3345</v>
      </c>
      <c r="O1443" s="122">
        <v>1239</v>
      </c>
      <c r="P1443" s="122">
        <v>621</v>
      </c>
      <c r="Q1443" s="122">
        <v>230</v>
      </c>
      <c r="R1443" s="122">
        <v>4553</v>
      </c>
      <c r="S1443" s="122">
        <v>4139</v>
      </c>
      <c r="T1443" s="122">
        <v>3938</v>
      </c>
      <c r="U1443" s="122">
        <v>1458</v>
      </c>
      <c r="V1443" s="122">
        <v>30827</v>
      </c>
      <c r="W1443" s="122">
        <f t="shared" si="44"/>
        <v>30827</v>
      </c>
      <c r="X1443" s="122">
        <f t="shared" si="45"/>
        <v>38595</v>
      </c>
      <c r="AA1443" t="s">
        <v>58</v>
      </c>
      <c r="AB1443" t="s">
        <v>428</v>
      </c>
      <c r="AC1443" t="s">
        <v>566</v>
      </c>
      <c r="AD1443" t="s">
        <v>428</v>
      </c>
      <c r="AE1443" t="s">
        <v>566</v>
      </c>
      <c r="AF1443">
        <v>1</v>
      </c>
      <c r="AG1443">
        <v>136</v>
      </c>
      <c r="AH1443">
        <v>252</v>
      </c>
      <c r="AI1443" s="122">
        <v>25742</v>
      </c>
      <c r="AJ1443" s="122">
        <v>23402</v>
      </c>
      <c r="AK1443">
        <v>65</v>
      </c>
      <c r="AL1443" s="122">
        <v>0</v>
      </c>
      <c r="AM1443" s="122">
        <v>0</v>
      </c>
      <c r="AN1443" s="122">
        <v>1654</v>
      </c>
      <c r="AO1443" s="122">
        <v>613</v>
      </c>
      <c r="AP1443">
        <v>351</v>
      </c>
      <c r="AQ1443">
        <v>130</v>
      </c>
      <c r="AR1443" s="122">
        <v>6464</v>
      </c>
      <c r="AS1443" s="122">
        <v>5876</v>
      </c>
      <c r="AT1443" s="122">
        <v>0</v>
      </c>
      <c r="AU1443" s="122">
        <v>0</v>
      </c>
      <c r="AV1443" s="122">
        <v>30021</v>
      </c>
    </row>
    <row r="1444" spans="2:48" hidden="1">
      <c r="B1444" t="s">
        <v>371</v>
      </c>
      <c r="C1444" t="s">
        <v>58</v>
      </c>
      <c r="D1444" t="s">
        <v>406</v>
      </c>
      <c r="E1444" t="s">
        <v>426</v>
      </c>
      <c r="F1444" s="122">
        <v>4</v>
      </c>
      <c r="G1444" s="122">
        <v>638</v>
      </c>
      <c r="H1444" s="122">
        <v>1094</v>
      </c>
      <c r="I1444" s="122">
        <v>102304</v>
      </c>
      <c r="J1444" s="122">
        <v>93004</v>
      </c>
      <c r="K1444" s="122">
        <v>76</v>
      </c>
      <c r="L1444" s="122">
        <v>20214</v>
      </c>
      <c r="M1444" s="122">
        <v>18376</v>
      </c>
      <c r="N1444" s="122">
        <v>13991</v>
      </c>
      <c r="O1444" s="122">
        <v>5182</v>
      </c>
      <c r="P1444" s="122">
        <v>2484</v>
      </c>
      <c r="Q1444" s="122">
        <v>920</v>
      </c>
      <c r="R1444" s="122">
        <v>23193</v>
      </c>
      <c r="S1444" s="122">
        <v>21084</v>
      </c>
      <c r="T1444" s="122">
        <v>12449</v>
      </c>
      <c r="U1444" s="122">
        <v>4611</v>
      </c>
      <c r="V1444" s="122">
        <v>143177</v>
      </c>
      <c r="W1444" s="122">
        <f t="shared" si="44"/>
        <v>143177</v>
      </c>
      <c r="X1444" s="122">
        <f t="shared" si="45"/>
        <v>174635</v>
      </c>
      <c r="AA1444" t="s">
        <v>58</v>
      </c>
      <c r="AB1444" t="s">
        <v>431</v>
      </c>
      <c r="AC1444" t="s">
        <v>425</v>
      </c>
      <c r="AD1444" t="s">
        <v>431</v>
      </c>
      <c r="AE1444" t="s">
        <v>137</v>
      </c>
      <c r="AF1444">
        <v>2</v>
      </c>
      <c r="AG1444">
        <v>317</v>
      </c>
      <c r="AH1444">
        <v>576</v>
      </c>
      <c r="AI1444" s="122">
        <v>95858</v>
      </c>
      <c r="AJ1444" s="122">
        <v>87144</v>
      </c>
      <c r="AK1444">
        <v>45</v>
      </c>
      <c r="AL1444" s="122">
        <v>7231</v>
      </c>
      <c r="AM1444" s="122">
        <v>6574</v>
      </c>
      <c r="AN1444" s="122">
        <v>11515</v>
      </c>
      <c r="AO1444" s="122">
        <v>4265</v>
      </c>
      <c r="AP1444" s="122">
        <v>972</v>
      </c>
      <c r="AQ1444">
        <v>360</v>
      </c>
      <c r="AR1444" s="122">
        <v>19156</v>
      </c>
      <c r="AS1444" s="122">
        <v>17414</v>
      </c>
      <c r="AT1444" s="122">
        <v>8247</v>
      </c>
      <c r="AU1444" s="122">
        <v>3055</v>
      </c>
      <c r="AV1444" s="122">
        <v>118811</v>
      </c>
    </row>
    <row r="1445" spans="2:48" hidden="1">
      <c r="B1445" t="s">
        <v>371</v>
      </c>
      <c r="C1445" t="s">
        <v>58</v>
      </c>
      <c r="D1445" t="s">
        <v>406</v>
      </c>
      <c r="E1445" t="s">
        <v>433</v>
      </c>
      <c r="F1445" s="122">
        <v>1</v>
      </c>
      <c r="G1445" s="122">
        <v>515</v>
      </c>
      <c r="H1445" s="122">
        <v>240</v>
      </c>
      <c r="I1445" s="122">
        <v>89703</v>
      </c>
      <c r="J1445" s="122">
        <v>81548</v>
      </c>
      <c r="K1445" s="122">
        <v>65</v>
      </c>
      <c r="L1445" s="122">
        <v>10266</v>
      </c>
      <c r="M1445" s="122">
        <v>9333</v>
      </c>
      <c r="N1445" s="122">
        <v>11798</v>
      </c>
      <c r="O1445" s="122">
        <v>4370</v>
      </c>
      <c r="P1445" s="122">
        <v>621</v>
      </c>
      <c r="Q1445" s="122">
        <v>230</v>
      </c>
      <c r="R1445" s="122">
        <v>7015</v>
      </c>
      <c r="S1445" s="122">
        <v>6377</v>
      </c>
      <c r="T1445" s="122">
        <v>4431</v>
      </c>
      <c r="U1445" s="122">
        <v>1641</v>
      </c>
      <c r="V1445" s="122">
        <v>103498</v>
      </c>
      <c r="W1445" s="122">
        <f t="shared" si="44"/>
        <v>103499</v>
      </c>
      <c r="X1445" s="122">
        <f t="shared" si="45"/>
        <v>123834</v>
      </c>
      <c r="AA1445" t="s">
        <v>58</v>
      </c>
      <c r="AB1445" t="s">
        <v>431</v>
      </c>
      <c r="AC1445" t="s">
        <v>137</v>
      </c>
      <c r="AD1445" t="s">
        <v>431</v>
      </c>
      <c r="AE1445" t="s">
        <v>137</v>
      </c>
      <c r="AF1445">
        <v>3</v>
      </c>
      <c r="AG1445">
        <v>315</v>
      </c>
      <c r="AH1445">
        <v>786</v>
      </c>
      <c r="AI1445" s="122">
        <v>64122</v>
      </c>
      <c r="AJ1445" s="122">
        <v>58292</v>
      </c>
      <c r="AK1445">
        <v>62</v>
      </c>
      <c r="AL1445" s="122">
        <v>17676</v>
      </c>
      <c r="AM1445" s="122">
        <v>6547</v>
      </c>
      <c r="AN1445" s="122">
        <v>9584</v>
      </c>
      <c r="AO1445" s="122">
        <v>3550</v>
      </c>
      <c r="AP1445" s="122">
        <v>1053</v>
      </c>
      <c r="AQ1445">
        <v>390</v>
      </c>
      <c r="AR1445" s="122">
        <v>14360</v>
      </c>
      <c r="AS1445" s="122">
        <v>13055</v>
      </c>
      <c r="AT1445" s="122">
        <v>9386</v>
      </c>
      <c r="AU1445" s="122">
        <v>3476</v>
      </c>
      <c r="AV1445" s="122">
        <v>85310</v>
      </c>
    </row>
    <row r="1446" spans="2:48" hidden="1">
      <c r="B1446" t="s">
        <v>371</v>
      </c>
      <c r="C1446" t="s">
        <v>58</v>
      </c>
      <c r="D1446" t="s">
        <v>427</v>
      </c>
      <c r="E1446" t="s">
        <v>427</v>
      </c>
      <c r="F1446" s="122">
        <v>3</v>
      </c>
      <c r="G1446" s="122">
        <v>286</v>
      </c>
      <c r="H1446" s="122">
        <v>864</v>
      </c>
      <c r="I1446" s="122">
        <v>49749</v>
      </c>
      <c r="J1446" s="122">
        <v>45226</v>
      </c>
      <c r="K1446" s="122">
        <v>70</v>
      </c>
      <c r="L1446" s="122">
        <v>10338</v>
      </c>
      <c r="M1446" s="122">
        <v>9398</v>
      </c>
      <c r="N1446" s="122">
        <v>4331</v>
      </c>
      <c r="O1446" s="122">
        <v>1604</v>
      </c>
      <c r="P1446" s="122">
        <v>1053</v>
      </c>
      <c r="Q1446" s="122">
        <v>390</v>
      </c>
      <c r="R1446" s="122">
        <v>13240</v>
      </c>
      <c r="S1446" s="122">
        <v>12036</v>
      </c>
      <c r="T1446" s="122">
        <v>4541</v>
      </c>
      <c r="U1446" s="122">
        <v>1682</v>
      </c>
      <c r="V1446" s="122">
        <v>70337</v>
      </c>
      <c r="W1446" s="122">
        <f t="shared" si="44"/>
        <v>70336</v>
      </c>
      <c r="X1446" s="122">
        <f t="shared" si="45"/>
        <v>83252</v>
      </c>
      <c r="AA1446" t="s">
        <v>58</v>
      </c>
      <c r="AB1446" t="s">
        <v>431</v>
      </c>
      <c r="AC1446" t="s">
        <v>580</v>
      </c>
      <c r="AD1446" t="s">
        <v>406</v>
      </c>
      <c r="AE1446" t="s">
        <v>137</v>
      </c>
      <c r="AF1446">
        <v>1</v>
      </c>
      <c r="AG1446">
        <v>123</v>
      </c>
      <c r="AH1446">
        <v>254</v>
      </c>
      <c r="AI1446" s="122">
        <v>21947</v>
      </c>
      <c r="AJ1446" s="122">
        <v>19952</v>
      </c>
      <c r="AK1446">
        <v>65</v>
      </c>
      <c r="AL1446" s="122">
        <v>2006</v>
      </c>
      <c r="AM1446" s="122">
        <v>1824</v>
      </c>
      <c r="AN1446" s="122">
        <v>2163</v>
      </c>
      <c r="AO1446" s="122">
        <v>801</v>
      </c>
      <c r="AP1446" s="122">
        <v>621</v>
      </c>
      <c r="AQ1446">
        <v>230</v>
      </c>
      <c r="AR1446" s="122">
        <v>4627</v>
      </c>
      <c r="AS1446" s="122">
        <v>4206</v>
      </c>
      <c r="AT1446">
        <v>0</v>
      </c>
      <c r="AU1446">
        <v>0</v>
      </c>
      <c r="AV1446" s="122">
        <v>27013</v>
      </c>
    </row>
    <row r="1447" spans="2:48" hidden="1">
      <c r="B1447" t="s">
        <v>371</v>
      </c>
      <c r="C1447" t="s">
        <v>58</v>
      </c>
      <c r="D1447" t="s">
        <v>407</v>
      </c>
      <c r="E1447" t="s">
        <v>407</v>
      </c>
      <c r="F1447" s="122">
        <v>130</v>
      </c>
      <c r="G1447" s="122">
        <v>16425</v>
      </c>
      <c r="H1447" s="122">
        <v>33966</v>
      </c>
      <c r="I1447" s="122">
        <v>2486658</v>
      </c>
      <c r="J1447" s="122">
        <v>2260598</v>
      </c>
      <c r="K1447" s="122">
        <v>77</v>
      </c>
      <c r="L1447" s="122">
        <v>577683</v>
      </c>
      <c r="M1447" s="122">
        <v>513708</v>
      </c>
      <c r="N1447" s="122">
        <v>339918</v>
      </c>
      <c r="O1447" s="122">
        <v>125895</v>
      </c>
      <c r="P1447" s="122">
        <v>63774</v>
      </c>
      <c r="Q1447" s="122">
        <v>23620</v>
      </c>
      <c r="R1447" s="122">
        <v>725921</v>
      </c>
      <c r="S1447" s="122">
        <v>659928</v>
      </c>
      <c r="T1447" s="122">
        <v>185895</v>
      </c>
      <c r="U1447" s="122">
        <v>68850</v>
      </c>
      <c r="V1447" s="122">
        <v>3652600</v>
      </c>
      <c r="W1447" s="122">
        <f t="shared" si="44"/>
        <v>3652599</v>
      </c>
      <c r="X1447" s="122">
        <f t="shared" si="45"/>
        <v>4379849</v>
      </c>
      <c r="AA1447" t="s">
        <v>58</v>
      </c>
      <c r="AB1447" t="s">
        <v>431</v>
      </c>
      <c r="AC1447" t="s">
        <v>580</v>
      </c>
      <c r="AD1447" t="s">
        <v>428</v>
      </c>
      <c r="AE1447" t="s">
        <v>137</v>
      </c>
      <c r="AF1447">
        <v>1</v>
      </c>
      <c r="AG1447" s="122">
        <v>247</v>
      </c>
      <c r="AH1447" s="122">
        <v>297</v>
      </c>
      <c r="AI1447" s="122">
        <v>51840</v>
      </c>
      <c r="AJ1447" s="122">
        <v>47128</v>
      </c>
      <c r="AK1447">
        <v>65</v>
      </c>
      <c r="AL1447" s="122">
        <v>4154</v>
      </c>
      <c r="AM1447" s="122">
        <v>3776</v>
      </c>
      <c r="AN1447" s="122">
        <v>6014</v>
      </c>
      <c r="AO1447" s="122">
        <v>2227</v>
      </c>
      <c r="AP1447" s="122">
        <v>1242</v>
      </c>
      <c r="AQ1447" s="122">
        <v>460</v>
      </c>
      <c r="AR1447" s="122">
        <v>9997</v>
      </c>
      <c r="AS1447" s="122">
        <v>9088</v>
      </c>
      <c r="AT1447" s="122">
        <v>0</v>
      </c>
      <c r="AU1447" s="122">
        <v>0</v>
      </c>
      <c r="AV1447" s="122">
        <v>62679</v>
      </c>
    </row>
    <row r="1448" spans="2:48" hidden="1">
      <c r="B1448" t="s">
        <v>371</v>
      </c>
      <c r="C1448" t="s">
        <v>58</v>
      </c>
      <c r="D1448" t="s">
        <v>556</v>
      </c>
      <c r="E1448" t="s">
        <v>556</v>
      </c>
      <c r="F1448" s="122">
        <v>1</v>
      </c>
      <c r="G1448" s="122">
        <v>115</v>
      </c>
      <c r="H1448" s="122">
        <v>299</v>
      </c>
      <c r="I1448" s="122">
        <v>20196</v>
      </c>
      <c r="J1448" s="122">
        <v>16830</v>
      </c>
      <c r="K1448" s="122">
        <v>71</v>
      </c>
      <c r="L1448" s="122">
        <v>4896</v>
      </c>
      <c r="M1448" s="122">
        <v>4451</v>
      </c>
      <c r="N1448" s="122">
        <v>1997</v>
      </c>
      <c r="O1448" s="122">
        <v>740</v>
      </c>
      <c r="P1448" s="122">
        <v>351</v>
      </c>
      <c r="Q1448" s="122">
        <v>130</v>
      </c>
      <c r="R1448" s="122">
        <v>4572</v>
      </c>
      <c r="S1448" s="122">
        <v>3810</v>
      </c>
      <c r="T1448" s="122">
        <v>2531</v>
      </c>
      <c r="U1448" s="122">
        <v>937</v>
      </c>
      <c r="V1448" s="122">
        <v>26898</v>
      </c>
      <c r="W1448" s="122">
        <f t="shared" si="44"/>
        <v>26898</v>
      </c>
      <c r="X1448" s="122">
        <f t="shared" si="45"/>
        <v>34543</v>
      </c>
      <c r="AA1448" t="s">
        <v>58</v>
      </c>
      <c r="AB1448" t="s">
        <v>431</v>
      </c>
      <c r="AC1448" t="s">
        <v>580</v>
      </c>
      <c r="AD1448" t="s">
        <v>431</v>
      </c>
      <c r="AE1448" t="s">
        <v>137</v>
      </c>
      <c r="AF1448">
        <v>12</v>
      </c>
      <c r="AG1448" s="122">
        <v>1959</v>
      </c>
      <c r="AH1448" s="122">
        <v>3265</v>
      </c>
      <c r="AI1448" s="122">
        <v>358703</v>
      </c>
      <c r="AJ1448" s="122">
        <v>326094</v>
      </c>
      <c r="AK1448">
        <v>61</v>
      </c>
      <c r="AL1448" s="122">
        <v>32447</v>
      </c>
      <c r="AM1448" s="122">
        <v>29497</v>
      </c>
      <c r="AN1448" s="122">
        <v>45282</v>
      </c>
      <c r="AO1448" s="122">
        <v>16771</v>
      </c>
      <c r="AP1448" s="122">
        <v>8154</v>
      </c>
      <c r="AQ1448" s="122">
        <v>3020</v>
      </c>
      <c r="AR1448" s="122">
        <v>95704</v>
      </c>
      <c r="AS1448" s="122">
        <v>87004</v>
      </c>
      <c r="AT1448" s="122">
        <v>16171</v>
      </c>
      <c r="AU1448" s="122">
        <v>5989</v>
      </c>
      <c r="AV1448" s="122">
        <v>468375</v>
      </c>
    </row>
    <row r="1449" spans="2:48" hidden="1">
      <c r="B1449" t="s">
        <v>371</v>
      </c>
      <c r="C1449" t="s">
        <v>58</v>
      </c>
      <c r="D1449" t="s">
        <v>431</v>
      </c>
      <c r="E1449" t="s">
        <v>431</v>
      </c>
      <c r="F1449" s="122">
        <v>1</v>
      </c>
      <c r="G1449" s="122">
        <v>150</v>
      </c>
      <c r="H1449" s="122">
        <v>290</v>
      </c>
      <c r="I1449" s="122">
        <v>28167</v>
      </c>
      <c r="J1449" s="122">
        <v>25606</v>
      </c>
      <c r="K1449" s="122">
        <v>65</v>
      </c>
      <c r="L1449" s="122">
        <v>3390</v>
      </c>
      <c r="M1449" s="122">
        <v>3082</v>
      </c>
      <c r="N1449" s="122">
        <v>3225</v>
      </c>
      <c r="O1449" s="122">
        <v>1194</v>
      </c>
      <c r="P1449" s="122">
        <v>351</v>
      </c>
      <c r="Q1449" s="122">
        <v>130</v>
      </c>
      <c r="R1449" s="122">
        <v>5220</v>
      </c>
      <c r="S1449" s="122">
        <v>4745</v>
      </c>
      <c r="T1449" s="122">
        <v>3015</v>
      </c>
      <c r="U1449" s="122">
        <v>1117</v>
      </c>
      <c r="V1449" s="122">
        <v>35875</v>
      </c>
      <c r="W1449" s="122">
        <f t="shared" si="44"/>
        <v>35874</v>
      </c>
      <c r="X1449" s="122">
        <f t="shared" si="45"/>
        <v>43368</v>
      </c>
      <c r="AA1449" t="s">
        <v>58</v>
      </c>
      <c r="AB1449" t="s">
        <v>431</v>
      </c>
      <c r="AC1449" t="s">
        <v>580</v>
      </c>
      <c r="AD1449" t="s">
        <v>431</v>
      </c>
      <c r="AE1449" t="s">
        <v>566</v>
      </c>
      <c r="AF1449">
        <v>3</v>
      </c>
      <c r="AG1449" s="122">
        <v>615</v>
      </c>
      <c r="AH1449" s="122">
        <v>800</v>
      </c>
      <c r="AI1449" s="122">
        <v>111836</v>
      </c>
      <c r="AJ1449" s="122">
        <v>101669</v>
      </c>
      <c r="AK1449">
        <v>55</v>
      </c>
      <c r="AL1449" s="122">
        <v>9535</v>
      </c>
      <c r="AM1449" s="122">
        <v>8668</v>
      </c>
      <c r="AN1449" s="122">
        <v>11051</v>
      </c>
      <c r="AO1449" s="122">
        <v>4093</v>
      </c>
      <c r="AP1449" s="122">
        <v>2214</v>
      </c>
      <c r="AQ1449" s="122">
        <v>820</v>
      </c>
      <c r="AR1449" s="122">
        <v>31916</v>
      </c>
      <c r="AS1449" s="122">
        <v>29015</v>
      </c>
      <c r="AT1449" s="122">
        <v>0</v>
      </c>
      <c r="AU1449" s="122">
        <v>0</v>
      </c>
      <c r="AV1449" s="122">
        <v>144264</v>
      </c>
    </row>
    <row r="1450" spans="2:48" hidden="1">
      <c r="B1450" t="s">
        <v>371</v>
      </c>
      <c r="C1450" t="s">
        <v>58</v>
      </c>
      <c r="D1450" t="s">
        <v>426</v>
      </c>
      <c r="E1450" t="s">
        <v>137</v>
      </c>
      <c r="F1450" s="122">
        <v>1</v>
      </c>
      <c r="G1450" s="122">
        <v>61</v>
      </c>
      <c r="H1450" s="122">
        <v>299</v>
      </c>
      <c r="I1450" s="122">
        <v>9761</v>
      </c>
      <c r="J1450" s="122">
        <v>8873</v>
      </c>
      <c r="K1450" s="122">
        <v>60</v>
      </c>
      <c r="L1450" s="122">
        <v>3594</v>
      </c>
      <c r="M1450" s="122">
        <v>1331</v>
      </c>
      <c r="N1450" s="122">
        <v>1251</v>
      </c>
      <c r="O1450" s="122">
        <v>463</v>
      </c>
      <c r="P1450" s="122">
        <v>0</v>
      </c>
      <c r="Q1450" s="122">
        <v>0</v>
      </c>
      <c r="R1450" s="122">
        <v>3775</v>
      </c>
      <c r="S1450" s="122">
        <v>1398</v>
      </c>
      <c r="T1450" s="122">
        <v>0</v>
      </c>
      <c r="U1450" s="122">
        <v>0</v>
      </c>
      <c r="V1450" s="122">
        <v>12066</v>
      </c>
      <c r="W1450" s="122">
        <f t="shared" si="44"/>
        <v>12065</v>
      </c>
      <c r="X1450" s="122">
        <f t="shared" si="45"/>
        <v>18381</v>
      </c>
      <c r="AA1450" t="s">
        <v>58</v>
      </c>
      <c r="AB1450" t="s">
        <v>431</v>
      </c>
      <c r="AC1450" t="s">
        <v>431</v>
      </c>
      <c r="AD1450" t="s">
        <v>431</v>
      </c>
      <c r="AE1450" t="s">
        <v>137</v>
      </c>
      <c r="AF1450">
        <v>17</v>
      </c>
      <c r="AG1450" s="122">
        <v>2334</v>
      </c>
      <c r="AH1450" s="122">
        <v>4707</v>
      </c>
      <c r="AI1450" s="122">
        <v>412914</v>
      </c>
      <c r="AJ1450" s="122">
        <v>375377</v>
      </c>
      <c r="AK1450">
        <v>63</v>
      </c>
      <c r="AL1450" s="122">
        <v>67930</v>
      </c>
      <c r="AM1450" s="122">
        <v>61755</v>
      </c>
      <c r="AN1450" s="122">
        <v>44409</v>
      </c>
      <c r="AO1450" s="122">
        <v>16448</v>
      </c>
      <c r="AP1450" s="122">
        <v>5886</v>
      </c>
      <c r="AQ1450" s="122">
        <v>2180</v>
      </c>
      <c r="AR1450" s="122">
        <v>93791</v>
      </c>
      <c r="AS1450" s="122">
        <v>85264</v>
      </c>
      <c r="AT1450" s="122">
        <v>45129</v>
      </c>
      <c r="AU1450" s="122">
        <v>16714</v>
      </c>
      <c r="AV1450" s="122">
        <v>557738</v>
      </c>
    </row>
    <row r="1451" spans="2:48" hidden="1">
      <c r="B1451" t="s">
        <v>371</v>
      </c>
      <c r="C1451" t="s">
        <v>58</v>
      </c>
      <c r="D1451" t="s">
        <v>426</v>
      </c>
      <c r="E1451" t="s">
        <v>406</v>
      </c>
      <c r="F1451" s="122">
        <v>1</v>
      </c>
      <c r="G1451" s="122">
        <v>197</v>
      </c>
      <c r="H1451" s="122">
        <v>264</v>
      </c>
      <c r="I1451" s="122">
        <v>30454</v>
      </c>
      <c r="J1451" s="122">
        <v>27685</v>
      </c>
      <c r="K1451" s="122">
        <v>65</v>
      </c>
      <c r="L1451" s="122">
        <v>3384</v>
      </c>
      <c r="M1451" s="122">
        <v>3076</v>
      </c>
      <c r="N1451" s="122">
        <v>3245</v>
      </c>
      <c r="O1451" s="122">
        <v>1202</v>
      </c>
      <c r="P1451" s="122">
        <v>702</v>
      </c>
      <c r="Q1451" s="122">
        <v>260</v>
      </c>
      <c r="R1451" s="122">
        <v>8669</v>
      </c>
      <c r="S1451" s="122">
        <v>7881</v>
      </c>
      <c r="T1451" s="122">
        <v>5725</v>
      </c>
      <c r="U1451" s="122">
        <v>2121</v>
      </c>
      <c r="V1451" s="122">
        <v>42225</v>
      </c>
      <c r="W1451" s="122">
        <f t="shared" si="44"/>
        <v>42225</v>
      </c>
      <c r="X1451" s="122">
        <f t="shared" si="45"/>
        <v>52179</v>
      </c>
      <c r="AA1451" t="s">
        <v>58</v>
      </c>
      <c r="AB1451" t="s">
        <v>431</v>
      </c>
      <c r="AC1451" t="s">
        <v>431</v>
      </c>
      <c r="AD1451" t="s">
        <v>431</v>
      </c>
      <c r="AE1451" t="s">
        <v>566</v>
      </c>
      <c r="AF1451">
        <v>5</v>
      </c>
      <c r="AG1451">
        <v>589</v>
      </c>
      <c r="AH1451" s="122">
        <v>1416</v>
      </c>
      <c r="AI1451" s="122">
        <v>106630</v>
      </c>
      <c r="AJ1451" s="122">
        <v>96936</v>
      </c>
      <c r="AK1451">
        <v>63</v>
      </c>
      <c r="AL1451" s="122">
        <v>17724</v>
      </c>
      <c r="AM1451" s="122">
        <v>16113</v>
      </c>
      <c r="AN1451" s="122">
        <v>12606</v>
      </c>
      <c r="AO1451" s="122">
        <v>4669</v>
      </c>
      <c r="AP1451" s="122">
        <v>2457</v>
      </c>
      <c r="AQ1451">
        <v>910</v>
      </c>
      <c r="AR1451" s="122">
        <v>38697</v>
      </c>
      <c r="AS1451" s="122">
        <v>35179</v>
      </c>
      <c r="AT1451">
        <v>0</v>
      </c>
      <c r="AU1451">
        <v>0</v>
      </c>
      <c r="AV1451" s="122">
        <v>153807</v>
      </c>
    </row>
    <row r="1452" spans="2:48" hidden="1">
      <c r="B1452" t="s">
        <v>371</v>
      </c>
      <c r="C1452" t="s">
        <v>58</v>
      </c>
      <c r="D1452" t="s">
        <v>426</v>
      </c>
      <c r="E1452" t="s">
        <v>426</v>
      </c>
      <c r="F1452" s="122">
        <v>33</v>
      </c>
      <c r="G1452" s="122">
        <v>3574</v>
      </c>
      <c r="H1452" s="122">
        <v>8856</v>
      </c>
      <c r="I1452" s="122">
        <v>581765</v>
      </c>
      <c r="J1452" s="122">
        <v>528877</v>
      </c>
      <c r="K1452" s="122">
        <v>66</v>
      </c>
      <c r="L1452" s="122">
        <v>71490</v>
      </c>
      <c r="M1452" s="122">
        <v>62962</v>
      </c>
      <c r="N1452" s="122">
        <v>69396</v>
      </c>
      <c r="O1452" s="122">
        <v>25702</v>
      </c>
      <c r="P1452" s="122">
        <v>12933</v>
      </c>
      <c r="Q1452" s="122">
        <v>4790</v>
      </c>
      <c r="R1452" s="122">
        <v>169477</v>
      </c>
      <c r="S1452" s="122">
        <v>154070</v>
      </c>
      <c r="T1452" s="122">
        <v>68568</v>
      </c>
      <c r="U1452" s="122">
        <v>25396</v>
      </c>
      <c r="V1452" s="122">
        <v>801797</v>
      </c>
      <c r="W1452" s="122">
        <f t="shared" si="44"/>
        <v>801797</v>
      </c>
      <c r="X1452" s="122">
        <f t="shared" si="45"/>
        <v>973629</v>
      </c>
      <c r="AA1452" t="s">
        <v>58</v>
      </c>
      <c r="AB1452" t="s">
        <v>431</v>
      </c>
      <c r="AC1452" t="s">
        <v>426</v>
      </c>
      <c r="AD1452" t="s">
        <v>137</v>
      </c>
      <c r="AE1452" t="s">
        <v>566</v>
      </c>
      <c r="AF1452">
        <v>1</v>
      </c>
      <c r="AG1452">
        <v>189</v>
      </c>
      <c r="AH1452">
        <v>272</v>
      </c>
      <c r="AI1452" s="122">
        <v>30107</v>
      </c>
      <c r="AJ1452" s="122">
        <v>27370</v>
      </c>
      <c r="AK1452">
        <v>55</v>
      </c>
      <c r="AL1452" s="122">
        <v>6133</v>
      </c>
      <c r="AM1452" s="122">
        <v>5575</v>
      </c>
      <c r="AN1452" s="122">
        <v>2308</v>
      </c>
      <c r="AO1452" s="122">
        <v>855</v>
      </c>
      <c r="AP1452">
        <v>351</v>
      </c>
      <c r="AQ1452">
        <v>130</v>
      </c>
      <c r="AR1452" s="122">
        <v>12535</v>
      </c>
      <c r="AS1452" s="122">
        <v>4643</v>
      </c>
      <c r="AT1452">
        <v>0</v>
      </c>
      <c r="AU1452">
        <v>0</v>
      </c>
      <c r="AV1452" s="122">
        <v>38573</v>
      </c>
    </row>
    <row r="1453" spans="2:48" hidden="1">
      <c r="B1453" t="s">
        <v>371</v>
      </c>
      <c r="C1453" t="s">
        <v>58</v>
      </c>
      <c r="D1453" t="s">
        <v>481</v>
      </c>
      <c r="E1453" t="s">
        <v>481</v>
      </c>
      <c r="F1453" s="122">
        <v>1</v>
      </c>
      <c r="G1453" s="122">
        <v>304</v>
      </c>
      <c r="H1453" s="122">
        <v>236</v>
      </c>
      <c r="I1453" s="122">
        <v>65920</v>
      </c>
      <c r="J1453" s="122">
        <v>59928</v>
      </c>
      <c r="K1453" s="122">
        <v>83</v>
      </c>
      <c r="L1453" s="122">
        <v>10096</v>
      </c>
      <c r="M1453" s="122">
        <v>9178</v>
      </c>
      <c r="N1453" s="122">
        <v>6191</v>
      </c>
      <c r="O1453" s="122">
        <v>2293</v>
      </c>
      <c r="P1453" s="122">
        <v>351</v>
      </c>
      <c r="Q1453" s="122">
        <v>130</v>
      </c>
      <c r="R1453" s="122">
        <v>7575</v>
      </c>
      <c r="S1453" s="122">
        <v>6886</v>
      </c>
      <c r="T1453" s="122">
        <v>0</v>
      </c>
      <c r="U1453" s="122">
        <v>0</v>
      </c>
      <c r="V1453" s="122">
        <v>78415</v>
      </c>
      <c r="W1453" s="122">
        <f t="shared" si="44"/>
        <v>78415</v>
      </c>
      <c r="X1453" s="122">
        <f t="shared" si="45"/>
        <v>90133</v>
      </c>
      <c r="AA1453" t="s">
        <v>58</v>
      </c>
      <c r="AB1453" t="s">
        <v>431</v>
      </c>
      <c r="AC1453" t="s">
        <v>426</v>
      </c>
      <c r="AD1453" t="s">
        <v>431</v>
      </c>
      <c r="AE1453" t="s">
        <v>566</v>
      </c>
      <c r="AF1453">
        <v>1</v>
      </c>
      <c r="AG1453">
        <v>166</v>
      </c>
      <c r="AH1453">
        <v>282</v>
      </c>
      <c r="AI1453" s="122">
        <v>29868</v>
      </c>
      <c r="AJ1453" s="122">
        <v>27153</v>
      </c>
      <c r="AK1453">
        <v>55</v>
      </c>
      <c r="AL1453" s="122">
        <v>3042</v>
      </c>
      <c r="AM1453" s="122">
        <v>2766</v>
      </c>
      <c r="AN1453" s="122">
        <v>3150</v>
      </c>
      <c r="AO1453" s="122">
        <v>1167</v>
      </c>
      <c r="AP1453">
        <v>351</v>
      </c>
      <c r="AQ1453">
        <v>130</v>
      </c>
      <c r="AR1453" s="122">
        <v>10395</v>
      </c>
      <c r="AS1453" s="122">
        <v>9450</v>
      </c>
      <c r="AT1453" s="122">
        <v>0</v>
      </c>
      <c r="AU1453">
        <v>0</v>
      </c>
      <c r="AV1453" s="122">
        <v>40664</v>
      </c>
    </row>
    <row r="1454" spans="2:48" hidden="1">
      <c r="B1454" t="s">
        <v>371</v>
      </c>
      <c r="C1454" t="s">
        <v>58</v>
      </c>
      <c r="D1454" t="s">
        <v>433</v>
      </c>
      <c r="E1454" t="s">
        <v>433</v>
      </c>
      <c r="F1454" s="122">
        <v>4</v>
      </c>
      <c r="G1454" s="122">
        <v>573</v>
      </c>
      <c r="H1454" s="122">
        <v>1040</v>
      </c>
      <c r="I1454" s="122">
        <v>87965</v>
      </c>
      <c r="J1454" s="122">
        <v>79968</v>
      </c>
      <c r="K1454" s="122">
        <v>59</v>
      </c>
      <c r="L1454" s="122">
        <v>9229</v>
      </c>
      <c r="M1454" s="122">
        <v>8390</v>
      </c>
      <c r="N1454" s="122">
        <v>11087</v>
      </c>
      <c r="O1454" s="122">
        <v>4106</v>
      </c>
      <c r="P1454" s="122">
        <v>1755</v>
      </c>
      <c r="Q1454" s="122">
        <v>650</v>
      </c>
      <c r="R1454" s="122">
        <v>29911</v>
      </c>
      <c r="S1454" s="122">
        <v>27192</v>
      </c>
      <c r="T1454" s="122">
        <v>2320</v>
      </c>
      <c r="U1454" s="122">
        <v>859</v>
      </c>
      <c r="V1454" s="122">
        <v>121166</v>
      </c>
      <c r="W1454" s="122">
        <f t="shared" si="44"/>
        <v>121165</v>
      </c>
      <c r="X1454" s="122">
        <f t="shared" si="45"/>
        <v>142267</v>
      </c>
      <c r="AA1454" t="s">
        <v>58</v>
      </c>
      <c r="AB1454" t="s">
        <v>431</v>
      </c>
      <c r="AC1454" t="s">
        <v>566</v>
      </c>
      <c r="AD1454" t="s">
        <v>431</v>
      </c>
      <c r="AE1454" t="s">
        <v>137</v>
      </c>
      <c r="AF1454">
        <v>2</v>
      </c>
      <c r="AG1454">
        <v>237</v>
      </c>
      <c r="AH1454">
        <v>525</v>
      </c>
      <c r="AI1454" s="122">
        <v>41186</v>
      </c>
      <c r="AJ1454" s="122">
        <v>37442</v>
      </c>
      <c r="AK1454">
        <v>65</v>
      </c>
      <c r="AL1454" s="122">
        <v>0</v>
      </c>
      <c r="AM1454" s="122">
        <v>5708</v>
      </c>
      <c r="AN1454" s="122">
        <v>5556</v>
      </c>
      <c r="AO1454" s="122">
        <v>2058</v>
      </c>
      <c r="AP1454">
        <v>702</v>
      </c>
      <c r="AQ1454">
        <v>260</v>
      </c>
      <c r="AR1454" s="122">
        <v>10189</v>
      </c>
      <c r="AS1454" s="122">
        <v>9263</v>
      </c>
      <c r="AT1454" s="122">
        <v>2326</v>
      </c>
      <c r="AU1454">
        <v>861</v>
      </c>
      <c r="AV1454" s="122">
        <v>55592</v>
      </c>
    </row>
    <row r="1455" spans="2:48" hidden="1">
      <c r="B1455" t="s">
        <v>371</v>
      </c>
      <c r="C1455" t="s">
        <v>58</v>
      </c>
      <c r="D1455" t="s">
        <v>408</v>
      </c>
      <c r="E1455" t="s">
        <v>408</v>
      </c>
      <c r="F1455" s="122">
        <v>9</v>
      </c>
      <c r="G1455" s="122">
        <v>1404</v>
      </c>
      <c r="H1455" s="122">
        <v>2420</v>
      </c>
      <c r="I1455" s="122">
        <v>243640</v>
      </c>
      <c r="J1455" s="122">
        <v>221491</v>
      </c>
      <c r="K1455" s="122">
        <v>68</v>
      </c>
      <c r="L1455" s="122">
        <v>40073</v>
      </c>
      <c r="M1455" s="122">
        <v>32015</v>
      </c>
      <c r="N1455" s="122">
        <v>32692</v>
      </c>
      <c r="O1455" s="122">
        <v>12108</v>
      </c>
      <c r="P1455" s="122">
        <v>3429</v>
      </c>
      <c r="Q1455" s="122">
        <v>1270</v>
      </c>
      <c r="R1455" s="122">
        <v>57575</v>
      </c>
      <c r="S1455" s="122">
        <v>52341</v>
      </c>
      <c r="T1455" s="122">
        <v>9985</v>
      </c>
      <c r="U1455" s="122">
        <v>3698</v>
      </c>
      <c r="V1455" s="122">
        <v>322923</v>
      </c>
      <c r="W1455" s="122">
        <f t="shared" si="44"/>
        <v>322923</v>
      </c>
      <c r="X1455" s="122">
        <f t="shared" si="45"/>
        <v>387394</v>
      </c>
      <c r="AA1455" t="s">
        <v>58</v>
      </c>
      <c r="AB1455" t="s">
        <v>426</v>
      </c>
      <c r="AC1455" t="s">
        <v>425</v>
      </c>
      <c r="AD1455" t="s">
        <v>137</v>
      </c>
      <c r="AE1455" t="s">
        <v>137</v>
      </c>
      <c r="AF1455">
        <v>1</v>
      </c>
      <c r="AG1455">
        <v>149</v>
      </c>
      <c r="AH1455" s="122">
        <v>273</v>
      </c>
      <c r="AI1455" s="122">
        <v>46084</v>
      </c>
      <c r="AJ1455" s="122">
        <v>41895</v>
      </c>
      <c r="AK1455">
        <v>45</v>
      </c>
      <c r="AL1455" s="122">
        <v>3657</v>
      </c>
      <c r="AM1455" s="122">
        <v>3325</v>
      </c>
      <c r="AN1455" s="122">
        <v>3849</v>
      </c>
      <c r="AO1455" s="122">
        <v>1426</v>
      </c>
      <c r="AP1455" s="122">
        <v>351</v>
      </c>
      <c r="AQ1455">
        <v>130</v>
      </c>
      <c r="AR1455" s="122">
        <v>2720</v>
      </c>
      <c r="AS1455" s="122">
        <v>1007</v>
      </c>
      <c r="AT1455" s="122">
        <v>0</v>
      </c>
      <c r="AU1455" s="122">
        <v>0</v>
      </c>
      <c r="AV1455" s="122">
        <v>47783</v>
      </c>
    </row>
    <row r="1456" spans="2:48" hidden="1">
      <c r="B1456" t="s">
        <v>371</v>
      </c>
      <c r="C1456" t="s">
        <v>58</v>
      </c>
      <c r="D1456" t="s">
        <v>429</v>
      </c>
      <c r="E1456" t="s">
        <v>408</v>
      </c>
      <c r="F1456" s="122">
        <v>1</v>
      </c>
      <c r="G1456" s="122">
        <v>243</v>
      </c>
      <c r="H1456" s="122">
        <v>232</v>
      </c>
      <c r="I1456" s="122">
        <v>34321</v>
      </c>
      <c r="J1456" s="122">
        <v>31201</v>
      </c>
      <c r="K1456" s="122">
        <v>65</v>
      </c>
      <c r="L1456" s="122">
        <v>8262</v>
      </c>
      <c r="M1456" s="122">
        <v>7511</v>
      </c>
      <c r="N1456" s="122">
        <v>2961</v>
      </c>
      <c r="O1456" s="122">
        <v>1097</v>
      </c>
      <c r="P1456" s="122">
        <v>351</v>
      </c>
      <c r="Q1456" s="122">
        <v>130</v>
      </c>
      <c r="R1456" s="122">
        <v>6498</v>
      </c>
      <c r="S1456" s="122">
        <v>5907</v>
      </c>
      <c r="T1456" s="122">
        <v>4019</v>
      </c>
      <c r="U1456" s="122">
        <v>1488</v>
      </c>
      <c r="V1456" s="122">
        <v>47334</v>
      </c>
      <c r="W1456" s="122">
        <f t="shared" si="44"/>
        <v>47334</v>
      </c>
      <c r="X1456" s="122">
        <f t="shared" si="45"/>
        <v>56412</v>
      </c>
      <c r="AA1456" t="s">
        <v>58</v>
      </c>
      <c r="AB1456" t="s">
        <v>426</v>
      </c>
      <c r="AC1456" t="s">
        <v>425</v>
      </c>
      <c r="AD1456" t="s">
        <v>426</v>
      </c>
      <c r="AE1456" t="s">
        <v>137</v>
      </c>
      <c r="AF1456">
        <v>5</v>
      </c>
      <c r="AG1456">
        <v>647</v>
      </c>
      <c r="AH1456" s="122">
        <v>1268</v>
      </c>
      <c r="AI1456" s="122">
        <v>100815</v>
      </c>
      <c r="AJ1456" s="122">
        <v>91650</v>
      </c>
      <c r="AK1456">
        <v>59</v>
      </c>
      <c r="AL1456" s="122">
        <v>17107</v>
      </c>
      <c r="AM1456" s="122">
        <v>15551</v>
      </c>
      <c r="AN1456" s="122">
        <v>12005</v>
      </c>
      <c r="AO1456" s="122">
        <v>4446</v>
      </c>
      <c r="AP1456" s="122">
        <v>1755</v>
      </c>
      <c r="AQ1456">
        <v>650</v>
      </c>
      <c r="AR1456" s="122">
        <v>21762</v>
      </c>
      <c r="AS1456" s="122">
        <v>19783</v>
      </c>
      <c r="AT1456" s="122">
        <v>10252</v>
      </c>
      <c r="AU1456" s="122">
        <v>3797</v>
      </c>
      <c r="AV1456" s="122">
        <v>135878</v>
      </c>
    </row>
    <row r="1457" spans="2:48" hidden="1">
      <c r="B1457" t="s">
        <v>371</v>
      </c>
      <c r="C1457" t="s">
        <v>60</v>
      </c>
      <c r="D1457" t="s">
        <v>555</v>
      </c>
      <c r="E1457" t="s">
        <v>555</v>
      </c>
      <c r="F1457" s="122">
        <v>1</v>
      </c>
      <c r="G1457" s="122">
        <v>75</v>
      </c>
      <c r="H1457" s="122">
        <v>359</v>
      </c>
      <c r="I1457" s="122">
        <v>16259</v>
      </c>
      <c r="J1457" s="122">
        <v>14781</v>
      </c>
      <c r="K1457" s="122">
        <v>55</v>
      </c>
      <c r="L1457" s="122">
        <v>0</v>
      </c>
      <c r="M1457" s="122">
        <v>0</v>
      </c>
      <c r="N1457" s="122">
        <v>1738</v>
      </c>
      <c r="O1457" s="122">
        <v>644</v>
      </c>
      <c r="P1457" s="122">
        <v>3510</v>
      </c>
      <c r="Q1457" s="122">
        <v>1300</v>
      </c>
      <c r="R1457" s="122">
        <v>3601</v>
      </c>
      <c r="S1457" s="122">
        <v>3274</v>
      </c>
      <c r="T1457" s="122">
        <v>1851</v>
      </c>
      <c r="U1457" s="122">
        <v>686</v>
      </c>
      <c r="V1457" s="122">
        <v>20684</v>
      </c>
      <c r="W1457" s="122">
        <f t="shared" si="44"/>
        <v>20685</v>
      </c>
      <c r="X1457" s="122">
        <f t="shared" si="45"/>
        <v>26959</v>
      </c>
      <c r="AA1457" t="s">
        <v>58</v>
      </c>
      <c r="AB1457" t="s">
        <v>426</v>
      </c>
      <c r="AC1457" t="s">
        <v>425</v>
      </c>
      <c r="AD1457" t="s">
        <v>426</v>
      </c>
      <c r="AE1457" t="s">
        <v>566</v>
      </c>
      <c r="AF1457">
        <v>2</v>
      </c>
      <c r="AG1457" s="122">
        <v>222</v>
      </c>
      <c r="AH1457" s="122">
        <v>543</v>
      </c>
      <c r="AI1457" s="122">
        <v>37874</v>
      </c>
      <c r="AJ1457" s="122">
        <v>34431</v>
      </c>
      <c r="AK1457">
        <v>64</v>
      </c>
      <c r="AL1457" s="122">
        <v>5199</v>
      </c>
      <c r="AM1457" s="122">
        <v>4726</v>
      </c>
      <c r="AN1457" s="122">
        <v>3445</v>
      </c>
      <c r="AO1457" s="122">
        <v>1276</v>
      </c>
      <c r="AP1457" s="122">
        <v>702</v>
      </c>
      <c r="AQ1457" s="122">
        <v>260</v>
      </c>
      <c r="AR1457" s="122">
        <v>12940</v>
      </c>
      <c r="AS1457" s="122">
        <v>11763</v>
      </c>
      <c r="AT1457" s="122">
        <v>0</v>
      </c>
      <c r="AU1457" s="122">
        <v>0</v>
      </c>
      <c r="AV1457" s="122">
        <v>52457</v>
      </c>
    </row>
    <row r="1458" spans="2:48" hidden="1">
      <c r="B1458" t="s">
        <v>371</v>
      </c>
      <c r="C1458" t="s">
        <v>60</v>
      </c>
      <c r="D1458" t="s">
        <v>425</v>
      </c>
      <c r="E1458" t="s">
        <v>425</v>
      </c>
      <c r="F1458" s="122">
        <v>2</v>
      </c>
      <c r="G1458" s="122">
        <v>220</v>
      </c>
      <c r="H1458" s="122">
        <v>664</v>
      </c>
      <c r="I1458" s="122">
        <v>50222</v>
      </c>
      <c r="J1458" s="122">
        <v>45656</v>
      </c>
      <c r="K1458" s="122">
        <v>86</v>
      </c>
      <c r="L1458" s="122">
        <v>4377</v>
      </c>
      <c r="M1458" s="122">
        <v>3979</v>
      </c>
      <c r="N1458" s="122">
        <v>4530</v>
      </c>
      <c r="O1458" s="122">
        <v>1678</v>
      </c>
      <c r="P1458" s="122">
        <v>945</v>
      </c>
      <c r="Q1458" s="122">
        <v>350</v>
      </c>
      <c r="R1458" s="122">
        <v>6996</v>
      </c>
      <c r="S1458" s="122">
        <v>6360</v>
      </c>
      <c r="T1458" s="122">
        <v>3368</v>
      </c>
      <c r="U1458" s="122">
        <v>1247</v>
      </c>
      <c r="V1458" s="122">
        <v>59271</v>
      </c>
      <c r="W1458" s="122">
        <f t="shared" si="44"/>
        <v>59270</v>
      </c>
      <c r="X1458" s="122">
        <f t="shared" si="45"/>
        <v>70438</v>
      </c>
      <c r="AA1458" t="s">
        <v>58</v>
      </c>
      <c r="AB1458" t="s">
        <v>426</v>
      </c>
      <c r="AC1458" t="s">
        <v>405</v>
      </c>
      <c r="AD1458" t="s">
        <v>426</v>
      </c>
      <c r="AE1458" t="s">
        <v>137</v>
      </c>
      <c r="AF1458">
        <v>7</v>
      </c>
      <c r="AG1458" s="122">
        <v>1210</v>
      </c>
      <c r="AH1458" s="122">
        <v>1858</v>
      </c>
      <c r="AI1458" s="122">
        <v>205127</v>
      </c>
      <c r="AJ1458" s="122">
        <v>186479</v>
      </c>
      <c r="AK1458">
        <v>64</v>
      </c>
      <c r="AL1458" s="122">
        <v>21242</v>
      </c>
      <c r="AM1458" s="122">
        <v>19311</v>
      </c>
      <c r="AN1458" s="122">
        <v>24172</v>
      </c>
      <c r="AO1458" s="122">
        <v>8953</v>
      </c>
      <c r="AP1458" s="122">
        <v>3996</v>
      </c>
      <c r="AQ1458" s="122">
        <v>1480</v>
      </c>
      <c r="AR1458" s="122">
        <v>40753</v>
      </c>
      <c r="AS1458" s="122">
        <v>37048</v>
      </c>
      <c r="AT1458" s="122">
        <v>23716</v>
      </c>
      <c r="AU1458" s="122">
        <v>8784</v>
      </c>
      <c r="AV1458" s="122">
        <v>262055</v>
      </c>
    </row>
    <row r="1459" spans="2:48" hidden="1">
      <c r="B1459" t="s">
        <v>371</v>
      </c>
      <c r="C1459" t="s">
        <v>60</v>
      </c>
      <c r="D1459" t="s">
        <v>405</v>
      </c>
      <c r="E1459" t="s">
        <v>405</v>
      </c>
      <c r="F1459" s="122">
        <v>8</v>
      </c>
      <c r="G1459" s="122">
        <v>830</v>
      </c>
      <c r="H1459" s="122">
        <v>2640</v>
      </c>
      <c r="I1459" s="122">
        <v>190793</v>
      </c>
      <c r="J1459" s="122">
        <v>173448</v>
      </c>
      <c r="K1459" s="122">
        <v>82</v>
      </c>
      <c r="L1459" s="122">
        <v>33627</v>
      </c>
      <c r="M1459" s="122">
        <v>27353</v>
      </c>
      <c r="N1459" s="122">
        <v>17860</v>
      </c>
      <c r="O1459" s="122">
        <v>6615</v>
      </c>
      <c r="P1459" s="122">
        <v>3780</v>
      </c>
      <c r="Q1459" s="122">
        <v>1400</v>
      </c>
      <c r="R1459" s="122">
        <v>29873</v>
      </c>
      <c r="S1459" s="122">
        <v>27158</v>
      </c>
      <c r="T1459" s="122">
        <v>7796</v>
      </c>
      <c r="U1459" s="122">
        <v>2887</v>
      </c>
      <c r="V1459" s="122">
        <v>238861</v>
      </c>
      <c r="W1459" s="122">
        <f t="shared" si="44"/>
        <v>238861</v>
      </c>
      <c r="X1459" s="122">
        <f t="shared" si="45"/>
        <v>283729</v>
      </c>
      <c r="AA1459" t="s">
        <v>58</v>
      </c>
      <c r="AB1459" t="s">
        <v>426</v>
      </c>
      <c r="AC1459" t="s">
        <v>137</v>
      </c>
      <c r="AD1459" t="s">
        <v>137</v>
      </c>
      <c r="AE1459" t="s">
        <v>566</v>
      </c>
      <c r="AF1459">
        <v>19</v>
      </c>
      <c r="AG1459" s="122">
        <v>1897</v>
      </c>
      <c r="AH1459" s="122">
        <v>5375</v>
      </c>
      <c r="AI1459" s="122">
        <v>309100</v>
      </c>
      <c r="AJ1459" s="122">
        <v>281000</v>
      </c>
      <c r="AK1459">
        <v>61</v>
      </c>
      <c r="AL1459" s="122">
        <v>54948</v>
      </c>
      <c r="AM1459" s="122">
        <v>20351</v>
      </c>
      <c r="AN1459" s="122">
        <v>36810</v>
      </c>
      <c r="AO1459" s="122">
        <v>13633</v>
      </c>
      <c r="AP1459" s="122">
        <v>2321</v>
      </c>
      <c r="AQ1459" s="122">
        <v>860</v>
      </c>
      <c r="AR1459" s="122">
        <v>143136</v>
      </c>
      <c r="AS1459" s="122">
        <v>53013</v>
      </c>
      <c r="AT1459" s="122">
        <v>0</v>
      </c>
      <c r="AU1459" s="122">
        <v>0</v>
      </c>
      <c r="AV1459" s="122">
        <v>368857</v>
      </c>
    </row>
    <row r="1460" spans="2:48" hidden="1">
      <c r="B1460" t="s">
        <v>371</v>
      </c>
      <c r="C1460" t="s">
        <v>60</v>
      </c>
      <c r="D1460" t="s">
        <v>137</v>
      </c>
      <c r="E1460" t="s">
        <v>137</v>
      </c>
      <c r="F1460" s="122">
        <v>15</v>
      </c>
      <c r="G1460" s="122">
        <v>1718</v>
      </c>
      <c r="H1460" s="122">
        <v>5100</v>
      </c>
      <c r="I1460" s="122">
        <v>374035</v>
      </c>
      <c r="J1460" s="122">
        <v>138531</v>
      </c>
      <c r="K1460" s="122">
        <v>100</v>
      </c>
      <c r="L1460" s="122">
        <v>49273</v>
      </c>
      <c r="M1460" s="122">
        <v>39070</v>
      </c>
      <c r="N1460" s="122">
        <v>35788</v>
      </c>
      <c r="O1460" s="122">
        <v>13255</v>
      </c>
      <c r="P1460" s="122">
        <v>351</v>
      </c>
      <c r="Q1460" s="122">
        <v>130</v>
      </c>
      <c r="R1460" s="122">
        <v>130715</v>
      </c>
      <c r="S1460" s="122">
        <v>48413</v>
      </c>
      <c r="T1460" s="122">
        <v>0</v>
      </c>
      <c r="U1460" s="122">
        <v>0</v>
      </c>
      <c r="V1460" s="122">
        <v>239399</v>
      </c>
      <c r="W1460" s="122">
        <f t="shared" si="44"/>
        <v>239399</v>
      </c>
      <c r="X1460" s="122">
        <f t="shared" si="45"/>
        <v>590162</v>
      </c>
      <c r="AA1460" t="s">
        <v>58</v>
      </c>
      <c r="AB1460" t="s">
        <v>426</v>
      </c>
      <c r="AC1460" t="s">
        <v>137</v>
      </c>
      <c r="AD1460" t="s">
        <v>426</v>
      </c>
      <c r="AE1460" t="s">
        <v>137</v>
      </c>
      <c r="AF1460">
        <v>96</v>
      </c>
      <c r="AG1460" s="122">
        <v>11048</v>
      </c>
      <c r="AH1460" s="122">
        <v>26134</v>
      </c>
      <c r="AI1460" s="122">
        <v>1877457</v>
      </c>
      <c r="AJ1460" s="122">
        <v>1706779</v>
      </c>
      <c r="AK1460">
        <v>63</v>
      </c>
      <c r="AL1460" s="122">
        <v>399110</v>
      </c>
      <c r="AM1460" s="122">
        <v>147818</v>
      </c>
      <c r="AN1460" s="122">
        <v>216798</v>
      </c>
      <c r="AO1460" s="122">
        <v>80296</v>
      </c>
      <c r="AP1460" s="122">
        <v>34938</v>
      </c>
      <c r="AQ1460" s="122">
        <v>12940</v>
      </c>
      <c r="AR1460" s="122">
        <v>506805</v>
      </c>
      <c r="AS1460" s="122">
        <v>460732</v>
      </c>
      <c r="AT1460" s="122">
        <v>232266</v>
      </c>
      <c r="AU1460" s="122">
        <v>86025</v>
      </c>
      <c r="AV1460" s="122">
        <v>2494590</v>
      </c>
    </row>
    <row r="1461" spans="2:48" hidden="1">
      <c r="B1461" t="s">
        <v>371</v>
      </c>
      <c r="C1461" t="s">
        <v>60</v>
      </c>
      <c r="D1461" t="s">
        <v>406</v>
      </c>
      <c r="E1461" t="s">
        <v>137</v>
      </c>
      <c r="F1461" s="122">
        <v>1</v>
      </c>
      <c r="G1461" s="122">
        <v>59</v>
      </c>
      <c r="H1461" s="122">
        <v>369</v>
      </c>
      <c r="I1461" s="122">
        <v>8294</v>
      </c>
      <c r="J1461" s="122">
        <v>7540</v>
      </c>
      <c r="K1461" s="122">
        <v>86</v>
      </c>
      <c r="L1461" s="122">
        <v>2494</v>
      </c>
      <c r="M1461" s="122">
        <v>2268</v>
      </c>
      <c r="N1461" s="122">
        <v>1445</v>
      </c>
      <c r="O1461" s="122">
        <v>535</v>
      </c>
      <c r="P1461" s="122">
        <v>621</v>
      </c>
      <c r="Q1461" s="122">
        <v>230</v>
      </c>
      <c r="R1461" s="122">
        <v>9043</v>
      </c>
      <c r="S1461" s="122">
        <v>3349</v>
      </c>
      <c r="T1461" s="122">
        <v>0</v>
      </c>
      <c r="U1461" s="122">
        <v>0</v>
      </c>
      <c r="V1461" s="122">
        <v>13923</v>
      </c>
      <c r="W1461" s="122">
        <f t="shared" si="44"/>
        <v>13922</v>
      </c>
      <c r="X1461" s="122">
        <f t="shared" si="45"/>
        <v>21897</v>
      </c>
      <c r="AA1461" t="s">
        <v>58</v>
      </c>
      <c r="AB1461" t="s">
        <v>426</v>
      </c>
      <c r="AC1461" t="s">
        <v>137</v>
      </c>
      <c r="AD1461" t="s">
        <v>426</v>
      </c>
      <c r="AE1461" t="s">
        <v>566</v>
      </c>
      <c r="AF1461">
        <v>19</v>
      </c>
      <c r="AG1461" s="122">
        <v>2113</v>
      </c>
      <c r="AH1461" s="122">
        <v>5289</v>
      </c>
      <c r="AI1461" s="122">
        <v>332859</v>
      </c>
      <c r="AJ1461" s="122">
        <v>302599</v>
      </c>
      <c r="AK1461">
        <v>62</v>
      </c>
      <c r="AL1461" s="122">
        <v>70406</v>
      </c>
      <c r="AM1461" s="122">
        <v>26076</v>
      </c>
      <c r="AN1461" s="122">
        <v>38170</v>
      </c>
      <c r="AO1461" s="122">
        <v>14137</v>
      </c>
      <c r="AP1461" s="122">
        <v>7037</v>
      </c>
      <c r="AQ1461" s="122">
        <v>2606</v>
      </c>
      <c r="AR1461" s="122">
        <v>138607</v>
      </c>
      <c r="AS1461" s="122">
        <v>126006</v>
      </c>
      <c r="AT1461" s="122">
        <v>0</v>
      </c>
      <c r="AU1461" s="122">
        <v>0</v>
      </c>
      <c r="AV1461" s="122">
        <v>471425</v>
      </c>
    </row>
    <row r="1462" spans="2:48" hidden="1">
      <c r="B1462" t="s">
        <v>371</v>
      </c>
      <c r="C1462" t="s">
        <v>60</v>
      </c>
      <c r="D1462" t="s">
        <v>406</v>
      </c>
      <c r="E1462" t="s">
        <v>406</v>
      </c>
      <c r="F1462" s="122">
        <v>514</v>
      </c>
      <c r="G1462" s="122">
        <v>63400</v>
      </c>
      <c r="H1462" s="122">
        <v>172996</v>
      </c>
      <c r="I1462" s="122">
        <v>13633966</v>
      </c>
      <c r="J1462" s="122">
        <v>12394515</v>
      </c>
      <c r="K1462" s="122">
        <v>74</v>
      </c>
      <c r="L1462" s="122">
        <v>2548875</v>
      </c>
      <c r="M1462" s="122">
        <v>2275874</v>
      </c>
      <c r="N1462" s="122">
        <v>1325639</v>
      </c>
      <c r="O1462" s="122">
        <v>490978</v>
      </c>
      <c r="P1462" s="122">
        <v>335482</v>
      </c>
      <c r="Q1462" s="122">
        <v>124253</v>
      </c>
      <c r="R1462" s="122">
        <v>2877423</v>
      </c>
      <c r="S1462" s="122">
        <v>2615839</v>
      </c>
      <c r="T1462" s="122">
        <v>915056</v>
      </c>
      <c r="U1462" s="122">
        <v>338910</v>
      </c>
      <c r="V1462" s="122">
        <v>18240368</v>
      </c>
      <c r="W1462" s="122">
        <f t="shared" si="44"/>
        <v>18240369</v>
      </c>
      <c r="X1462" s="122">
        <f t="shared" si="45"/>
        <v>21636441</v>
      </c>
      <c r="AA1462" t="s">
        <v>58</v>
      </c>
      <c r="AB1462" t="s">
        <v>426</v>
      </c>
      <c r="AC1462" t="s">
        <v>580</v>
      </c>
      <c r="AD1462" t="s">
        <v>406</v>
      </c>
      <c r="AE1462" t="s">
        <v>137</v>
      </c>
      <c r="AF1462">
        <v>5</v>
      </c>
      <c r="AG1462" s="122">
        <v>917</v>
      </c>
      <c r="AH1462" s="122">
        <v>1372</v>
      </c>
      <c r="AI1462" s="122">
        <v>157343</v>
      </c>
      <c r="AJ1462" s="122">
        <v>143039</v>
      </c>
      <c r="AK1462">
        <v>59</v>
      </c>
      <c r="AL1462" s="122">
        <v>15315</v>
      </c>
      <c r="AM1462" s="122">
        <v>13923</v>
      </c>
      <c r="AN1462" s="122">
        <v>19140</v>
      </c>
      <c r="AO1462" s="122">
        <v>7089</v>
      </c>
      <c r="AP1462" s="122">
        <v>3537</v>
      </c>
      <c r="AQ1462" s="122">
        <v>1310</v>
      </c>
      <c r="AR1462" s="122">
        <v>41718</v>
      </c>
      <c r="AS1462" s="122">
        <v>37925</v>
      </c>
      <c r="AT1462" s="122">
        <v>16083</v>
      </c>
      <c r="AU1462" s="122">
        <v>5957</v>
      </c>
      <c r="AV1462" s="122">
        <v>209243</v>
      </c>
    </row>
    <row r="1463" spans="2:48" hidden="1">
      <c r="B1463" t="s">
        <v>371</v>
      </c>
      <c r="C1463" t="s">
        <v>60</v>
      </c>
      <c r="D1463" t="s">
        <v>406</v>
      </c>
      <c r="E1463" t="s">
        <v>427</v>
      </c>
      <c r="F1463" s="122">
        <v>1</v>
      </c>
      <c r="G1463" s="122">
        <v>132</v>
      </c>
      <c r="H1463" s="122">
        <v>378</v>
      </c>
      <c r="I1463" s="122">
        <v>42244</v>
      </c>
      <c r="J1463" s="122">
        <v>38404</v>
      </c>
      <c r="K1463" s="122">
        <v>55</v>
      </c>
      <c r="L1463" s="122">
        <v>7350</v>
      </c>
      <c r="M1463" s="122">
        <v>6682</v>
      </c>
      <c r="N1463" s="122">
        <v>3176</v>
      </c>
      <c r="O1463" s="122">
        <v>1176</v>
      </c>
      <c r="P1463" s="122">
        <v>621</v>
      </c>
      <c r="Q1463" s="122">
        <v>230</v>
      </c>
      <c r="R1463" s="122">
        <v>6396</v>
      </c>
      <c r="S1463" s="122">
        <v>5815</v>
      </c>
      <c r="T1463" s="122">
        <v>0</v>
      </c>
      <c r="U1463" s="122">
        <v>0</v>
      </c>
      <c r="V1463" s="122">
        <v>52307</v>
      </c>
      <c r="W1463" s="122">
        <f t="shared" si="44"/>
        <v>52307</v>
      </c>
      <c r="X1463" s="122">
        <f t="shared" si="45"/>
        <v>59787</v>
      </c>
      <c r="AA1463" t="s">
        <v>58</v>
      </c>
      <c r="AB1463" t="s">
        <v>426</v>
      </c>
      <c r="AC1463" t="s">
        <v>580</v>
      </c>
      <c r="AD1463" t="s">
        <v>426</v>
      </c>
      <c r="AE1463" t="s">
        <v>137</v>
      </c>
      <c r="AF1463">
        <v>311</v>
      </c>
      <c r="AG1463" s="122">
        <v>43687</v>
      </c>
      <c r="AH1463" s="122">
        <v>82606</v>
      </c>
      <c r="AI1463" s="122">
        <v>7517054</v>
      </c>
      <c r="AJ1463" s="122">
        <v>6833685</v>
      </c>
      <c r="AK1463">
        <v>65</v>
      </c>
      <c r="AL1463" s="122">
        <v>741805</v>
      </c>
      <c r="AM1463" s="122">
        <v>674368</v>
      </c>
      <c r="AN1463" s="122">
        <v>918661</v>
      </c>
      <c r="AO1463" s="122">
        <v>340245</v>
      </c>
      <c r="AP1463" s="122">
        <v>223310</v>
      </c>
      <c r="AQ1463" s="122">
        <v>82707</v>
      </c>
      <c r="AR1463" s="122">
        <v>1671474</v>
      </c>
      <c r="AS1463" s="122">
        <v>1519521</v>
      </c>
      <c r="AT1463" s="122">
        <v>894492</v>
      </c>
      <c r="AU1463" s="122">
        <v>331293</v>
      </c>
      <c r="AV1463" s="122">
        <v>9781820</v>
      </c>
    </row>
    <row r="1464" spans="2:48" hidden="1">
      <c r="B1464" t="s">
        <v>371</v>
      </c>
      <c r="C1464" t="s">
        <v>60</v>
      </c>
      <c r="D1464" t="s">
        <v>406</v>
      </c>
      <c r="E1464" t="s">
        <v>426</v>
      </c>
      <c r="F1464" s="122">
        <v>1</v>
      </c>
      <c r="G1464" s="122">
        <v>103</v>
      </c>
      <c r="H1464" s="122">
        <v>330</v>
      </c>
      <c r="I1464" s="122">
        <v>16880</v>
      </c>
      <c r="J1464" s="122">
        <v>15345</v>
      </c>
      <c r="K1464" s="122">
        <v>70</v>
      </c>
      <c r="L1464" s="122">
        <v>4862</v>
      </c>
      <c r="M1464" s="122">
        <v>1801</v>
      </c>
      <c r="N1464" s="122">
        <v>2420</v>
      </c>
      <c r="O1464" s="122">
        <v>896</v>
      </c>
      <c r="P1464" s="122">
        <v>621</v>
      </c>
      <c r="Q1464" s="122">
        <v>230</v>
      </c>
      <c r="R1464" s="122">
        <v>6662</v>
      </c>
      <c r="S1464" s="122">
        <v>6057</v>
      </c>
      <c r="T1464" s="122">
        <v>2739</v>
      </c>
      <c r="U1464" s="122">
        <v>1014</v>
      </c>
      <c r="V1464" s="122">
        <v>25343</v>
      </c>
      <c r="W1464" s="122">
        <f t="shared" si="44"/>
        <v>25343</v>
      </c>
      <c r="X1464" s="122">
        <f t="shared" si="45"/>
        <v>34184</v>
      </c>
      <c r="AA1464" t="s">
        <v>58</v>
      </c>
      <c r="AB1464" t="s">
        <v>426</v>
      </c>
      <c r="AC1464" t="s">
        <v>580</v>
      </c>
      <c r="AD1464" t="s">
        <v>426</v>
      </c>
      <c r="AE1464" t="s">
        <v>566</v>
      </c>
      <c r="AF1464">
        <v>39</v>
      </c>
      <c r="AG1464" s="122">
        <v>5774</v>
      </c>
      <c r="AH1464" s="122">
        <v>10290</v>
      </c>
      <c r="AI1464" s="122">
        <v>1010478</v>
      </c>
      <c r="AJ1464" s="122">
        <v>918616</v>
      </c>
      <c r="AK1464">
        <v>66</v>
      </c>
      <c r="AL1464" s="122">
        <v>107545</v>
      </c>
      <c r="AM1464" s="122">
        <v>97768</v>
      </c>
      <c r="AN1464" s="122">
        <v>119034</v>
      </c>
      <c r="AO1464" s="122">
        <v>44087</v>
      </c>
      <c r="AP1464" s="122">
        <v>28512</v>
      </c>
      <c r="AQ1464" s="122">
        <v>10560</v>
      </c>
      <c r="AR1464" s="122">
        <v>293458</v>
      </c>
      <c r="AS1464" s="122">
        <v>266780</v>
      </c>
      <c r="AT1464" s="122">
        <v>0</v>
      </c>
      <c r="AU1464" s="122">
        <v>0</v>
      </c>
      <c r="AV1464" s="122">
        <v>1337811</v>
      </c>
    </row>
    <row r="1465" spans="2:48" hidden="1">
      <c r="B1465" t="s">
        <v>371</v>
      </c>
      <c r="C1465" t="s">
        <v>60</v>
      </c>
      <c r="D1465" t="s">
        <v>406</v>
      </c>
      <c r="E1465" t="s">
        <v>433</v>
      </c>
      <c r="F1465" s="122">
        <v>1</v>
      </c>
      <c r="G1465" s="122">
        <v>189</v>
      </c>
      <c r="H1465" s="122">
        <v>359</v>
      </c>
      <c r="I1465" s="122">
        <v>41594</v>
      </c>
      <c r="J1465" s="122">
        <v>37813</v>
      </c>
      <c r="K1465" s="122">
        <v>86</v>
      </c>
      <c r="L1465" s="122">
        <v>12540</v>
      </c>
      <c r="M1465" s="122">
        <v>11400</v>
      </c>
      <c r="N1465" s="122">
        <v>2648</v>
      </c>
      <c r="O1465" s="122">
        <v>981</v>
      </c>
      <c r="P1465" s="122">
        <v>621</v>
      </c>
      <c r="Q1465" s="122">
        <v>230</v>
      </c>
      <c r="R1465" s="122">
        <v>10544</v>
      </c>
      <c r="S1465" s="122">
        <v>9585</v>
      </c>
      <c r="T1465" s="122">
        <v>0</v>
      </c>
      <c r="U1465" s="122">
        <v>0</v>
      </c>
      <c r="V1465" s="122">
        <v>60009</v>
      </c>
      <c r="W1465" s="122">
        <f t="shared" si="44"/>
        <v>60009</v>
      </c>
      <c r="X1465" s="122">
        <f t="shared" si="45"/>
        <v>67947</v>
      </c>
      <c r="AA1465" t="s">
        <v>58</v>
      </c>
      <c r="AB1465" t="s">
        <v>426</v>
      </c>
      <c r="AC1465" t="s">
        <v>427</v>
      </c>
      <c r="AD1465" t="s">
        <v>426</v>
      </c>
      <c r="AE1465" t="s">
        <v>137</v>
      </c>
      <c r="AF1465">
        <v>6</v>
      </c>
      <c r="AG1465">
        <v>813</v>
      </c>
      <c r="AH1465" s="122">
        <v>1644</v>
      </c>
      <c r="AI1465" s="122">
        <v>125446</v>
      </c>
      <c r="AJ1465" s="122">
        <v>114042</v>
      </c>
      <c r="AK1465">
        <v>67</v>
      </c>
      <c r="AL1465" s="122">
        <v>28708</v>
      </c>
      <c r="AM1465" s="122">
        <v>26099</v>
      </c>
      <c r="AN1465" s="122">
        <v>16135</v>
      </c>
      <c r="AO1465" s="122">
        <v>5976</v>
      </c>
      <c r="AP1465" s="122">
        <v>2376</v>
      </c>
      <c r="AQ1465">
        <v>880</v>
      </c>
      <c r="AR1465" s="122">
        <v>30030</v>
      </c>
      <c r="AS1465" s="122">
        <v>27300</v>
      </c>
      <c r="AT1465" s="122">
        <v>17659</v>
      </c>
      <c r="AU1465" s="122">
        <v>6540</v>
      </c>
      <c r="AV1465" s="122">
        <v>180837</v>
      </c>
    </row>
    <row r="1466" spans="2:48" hidden="1">
      <c r="B1466" t="s">
        <v>371</v>
      </c>
      <c r="C1466" t="s">
        <v>60</v>
      </c>
      <c r="D1466" t="s">
        <v>427</v>
      </c>
      <c r="E1466" t="s">
        <v>427</v>
      </c>
      <c r="F1466" s="122">
        <v>5</v>
      </c>
      <c r="G1466" s="122">
        <v>473</v>
      </c>
      <c r="H1466" s="122">
        <v>1785</v>
      </c>
      <c r="I1466" s="122">
        <v>120773</v>
      </c>
      <c r="J1466" s="122">
        <v>109794</v>
      </c>
      <c r="K1466" s="122">
        <v>57</v>
      </c>
      <c r="L1466" s="122">
        <v>13080</v>
      </c>
      <c r="M1466" s="122">
        <v>10590</v>
      </c>
      <c r="N1466" s="122">
        <v>9148</v>
      </c>
      <c r="O1466" s="122">
        <v>3388</v>
      </c>
      <c r="P1466" s="122">
        <v>2025</v>
      </c>
      <c r="Q1466" s="122">
        <v>750</v>
      </c>
      <c r="R1466" s="122">
        <v>37698</v>
      </c>
      <c r="S1466" s="122">
        <v>34271</v>
      </c>
      <c r="T1466" s="122">
        <v>2516</v>
      </c>
      <c r="U1466" s="122">
        <v>932</v>
      </c>
      <c r="V1466" s="122">
        <v>159725</v>
      </c>
      <c r="W1466" s="122">
        <f t="shared" si="44"/>
        <v>159725</v>
      </c>
      <c r="X1466" s="122">
        <f t="shared" si="45"/>
        <v>185240</v>
      </c>
      <c r="AA1466" t="s">
        <v>58</v>
      </c>
      <c r="AB1466" t="s">
        <v>426</v>
      </c>
      <c r="AC1466" t="s">
        <v>427</v>
      </c>
      <c r="AD1466" t="s">
        <v>426</v>
      </c>
      <c r="AE1466" t="s">
        <v>566</v>
      </c>
      <c r="AF1466">
        <v>2</v>
      </c>
      <c r="AG1466">
        <v>179</v>
      </c>
      <c r="AH1466">
        <v>581</v>
      </c>
      <c r="AI1466" s="122">
        <v>30805</v>
      </c>
      <c r="AJ1466" s="122">
        <v>28005</v>
      </c>
      <c r="AK1466">
        <v>69</v>
      </c>
      <c r="AL1466" s="122">
        <v>4133</v>
      </c>
      <c r="AM1466" s="122">
        <v>3757</v>
      </c>
      <c r="AN1466" s="122">
        <v>3256</v>
      </c>
      <c r="AO1466" s="122">
        <v>1206</v>
      </c>
      <c r="AP1466">
        <v>621</v>
      </c>
      <c r="AQ1466">
        <v>230</v>
      </c>
      <c r="AR1466" s="122">
        <v>13083</v>
      </c>
      <c r="AS1466" s="122">
        <v>11894</v>
      </c>
      <c r="AT1466">
        <v>0</v>
      </c>
      <c r="AU1466">
        <v>0</v>
      </c>
      <c r="AV1466" s="122">
        <v>45091</v>
      </c>
    </row>
    <row r="1467" spans="2:48" hidden="1">
      <c r="B1467" t="s">
        <v>371</v>
      </c>
      <c r="C1467" t="s">
        <v>60</v>
      </c>
      <c r="D1467" t="s">
        <v>407</v>
      </c>
      <c r="E1467" t="s">
        <v>407</v>
      </c>
      <c r="F1467" s="122">
        <v>35</v>
      </c>
      <c r="G1467" s="122">
        <v>4479</v>
      </c>
      <c r="H1467" s="122">
        <v>11645</v>
      </c>
      <c r="I1467" s="122">
        <v>929333</v>
      </c>
      <c r="J1467" s="122">
        <v>844848</v>
      </c>
      <c r="K1467" s="122">
        <v>77</v>
      </c>
      <c r="L1467" s="122">
        <v>216034</v>
      </c>
      <c r="M1467" s="122">
        <v>188771</v>
      </c>
      <c r="N1467" s="122">
        <v>92442</v>
      </c>
      <c r="O1467" s="122">
        <v>34238</v>
      </c>
      <c r="P1467" s="122">
        <v>17510</v>
      </c>
      <c r="Q1467" s="122">
        <v>6485</v>
      </c>
      <c r="R1467" s="122">
        <v>195705</v>
      </c>
      <c r="S1467" s="122">
        <v>177914</v>
      </c>
      <c r="T1467" s="122">
        <v>45901</v>
      </c>
      <c r="U1467" s="122">
        <v>17001</v>
      </c>
      <c r="V1467" s="122">
        <v>1269257</v>
      </c>
      <c r="W1467" s="122">
        <f t="shared" si="44"/>
        <v>1269257</v>
      </c>
      <c r="X1467" s="122">
        <f t="shared" si="45"/>
        <v>1496925</v>
      </c>
      <c r="AA1467" t="s">
        <v>58</v>
      </c>
      <c r="AB1467" t="s">
        <v>426</v>
      </c>
      <c r="AC1467" t="s">
        <v>407</v>
      </c>
      <c r="AD1467" t="s">
        <v>426</v>
      </c>
      <c r="AE1467" t="s">
        <v>566</v>
      </c>
      <c r="AF1467">
        <v>1</v>
      </c>
      <c r="AG1467">
        <v>148</v>
      </c>
      <c r="AH1467">
        <v>266</v>
      </c>
      <c r="AI1467" s="122">
        <v>23075</v>
      </c>
      <c r="AJ1467" s="122">
        <v>20978</v>
      </c>
      <c r="AK1467">
        <v>55</v>
      </c>
      <c r="AL1467" s="122">
        <v>4701</v>
      </c>
      <c r="AM1467" s="122">
        <v>4273</v>
      </c>
      <c r="AN1467" s="122">
        <v>3618</v>
      </c>
      <c r="AO1467" s="122">
        <v>1340</v>
      </c>
      <c r="AP1467">
        <v>351</v>
      </c>
      <c r="AQ1467">
        <v>130</v>
      </c>
      <c r="AR1467" s="122">
        <v>7681</v>
      </c>
      <c r="AS1467" s="122">
        <v>6982</v>
      </c>
      <c r="AT1467">
        <v>0</v>
      </c>
      <c r="AU1467">
        <v>0</v>
      </c>
      <c r="AV1467" s="122">
        <v>33703</v>
      </c>
    </row>
    <row r="1468" spans="2:48" hidden="1">
      <c r="B1468" t="s">
        <v>371</v>
      </c>
      <c r="C1468" t="s">
        <v>60</v>
      </c>
      <c r="D1468" t="s">
        <v>556</v>
      </c>
      <c r="E1468" t="s">
        <v>556</v>
      </c>
      <c r="F1468" s="122">
        <v>5</v>
      </c>
      <c r="G1468" s="122">
        <v>458</v>
      </c>
      <c r="H1468" s="122">
        <v>1719</v>
      </c>
      <c r="I1468" s="122">
        <v>98773</v>
      </c>
      <c r="J1468" s="122">
        <v>82311</v>
      </c>
      <c r="K1468" s="122">
        <v>72</v>
      </c>
      <c r="L1468" s="122">
        <v>14974</v>
      </c>
      <c r="M1468" s="122">
        <v>13406</v>
      </c>
      <c r="N1468" s="122">
        <v>8841</v>
      </c>
      <c r="O1468" s="122">
        <v>3274</v>
      </c>
      <c r="P1468" s="122">
        <v>1755</v>
      </c>
      <c r="Q1468" s="122">
        <v>650</v>
      </c>
      <c r="R1468" s="122">
        <v>22241</v>
      </c>
      <c r="S1468" s="122">
        <v>18534</v>
      </c>
      <c r="T1468" s="122">
        <v>12326</v>
      </c>
      <c r="U1468" s="122">
        <v>4565</v>
      </c>
      <c r="V1468" s="122">
        <v>122741</v>
      </c>
      <c r="W1468" s="122">
        <f t="shared" si="44"/>
        <v>122740</v>
      </c>
      <c r="X1468" s="122">
        <f t="shared" si="45"/>
        <v>158910</v>
      </c>
      <c r="AA1468" t="s">
        <v>58</v>
      </c>
      <c r="AB1468" t="s">
        <v>426</v>
      </c>
      <c r="AC1468" t="s">
        <v>579</v>
      </c>
      <c r="AD1468" t="s">
        <v>137</v>
      </c>
      <c r="AE1468" t="s">
        <v>566</v>
      </c>
      <c r="AF1468">
        <v>1</v>
      </c>
      <c r="AG1468">
        <v>94</v>
      </c>
      <c r="AH1468">
        <v>227</v>
      </c>
      <c r="AI1468" s="122">
        <v>6781</v>
      </c>
      <c r="AJ1468" s="122">
        <v>6164</v>
      </c>
      <c r="AK1468">
        <v>100</v>
      </c>
      <c r="AL1468" s="122">
        <v>6164</v>
      </c>
      <c r="AM1468" s="122">
        <v>5137</v>
      </c>
      <c r="AN1468" s="122">
        <v>1139</v>
      </c>
      <c r="AO1468" s="122">
        <v>422</v>
      </c>
      <c r="AP1468">
        <v>0</v>
      </c>
      <c r="AQ1468">
        <v>0</v>
      </c>
      <c r="AR1468" s="122">
        <v>7104</v>
      </c>
      <c r="AS1468" s="122">
        <v>2631</v>
      </c>
      <c r="AT1468" s="122">
        <v>0</v>
      </c>
      <c r="AU1468">
        <v>0</v>
      </c>
      <c r="AV1468" s="122">
        <v>14354</v>
      </c>
    </row>
    <row r="1469" spans="2:48" hidden="1">
      <c r="B1469" t="s">
        <v>371</v>
      </c>
      <c r="C1469" t="s">
        <v>60</v>
      </c>
      <c r="D1469" t="s">
        <v>431</v>
      </c>
      <c r="E1469" t="s">
        <v>431</v>
      </c>
      <c r="F1469" s="122">
        <v>1</v>
      </c>
      <c r="G1469" s="122">
        <v>162</v>
      </c>
      <c r="H1469" s="122">
        <v>332</v>
      </c>
      <c r="I1469" s="122">
        <v>39132</v>
      </c>
      <c r="J1469" s="122">
        <v>35575</v>
      </c>
      <c r="K1469" s="122">
        <v>45</v>
      </c>
      <c r="L1469" s="122">
        <v>6522</v>
      </c>
      <c r="M1469" s="122">
        <v>5929</v>
      </c>
      <c r="N1469" s="122">
        <v>4153</v>
      </c>
      <c r="O1469" s="122">
        <v>1538</v>
      </c>
      <c r="P1469" s="122">
        <v>351</v>
      </c>
      <c r="Q1469" s="122">
        <v>130</v>
      </c>
      <c r="R1469" s="122">
        <v>10721</v>
      </c>
      <c r="S1469" s="122">
        <v>9746</v>
      </c>
      <c r="T1469" s="122">
        <v>0</v>
      </c>
      <c r="U1469" s="122">
        <v>0</v>
      </c>
      <c r="V1469" s="122">
        <v>52918</v>
      </c>
      <c r="W1469" s="122">
        <f t="shared" si="44"/>
        <v>52918</v>
      </c>
      <c r="X1469" s="122">
        <f t="shared" si="45"/>
        <v>60879</v>
      </c>
      <c r="AA1469" t="s">
        <v>58</v>
      </c>
      <c r="AB1469" t="s">
        <v>426</v>
      </c>
      <c r="AC1469" t="s">
        <v>579</v>
      </c>
      <c r="AD1469" t="s">
        <v>426</v>
      </c>
      <c r="AE1469" t="s">
        <v>137</v>
      </c>
      <c r="AF1469">
        <v>1</v>
      </c>
      <c r="AG1469">
        <v>208</v>
      </c>
      <c r="AH1469">
        <v>276</v>
      </c>
      <c r="AI1469" s="122">
        <v>41725</v>
      </c>
      <c r="AJ1469" s="122">
        <v>37932</v>
      </c>
      <c r="AK1469">
        <v>55</v>
      </c>
      <c r="AL1469" s="122">
        <v>3896</v>
      </c>
      <c r="AM1469" s="122">
        <v>3247</v>
      </c>
      <c r="AN1469" s="122">
        <v>4353</v>
      </c>
      <c r="AO1469" s="122">
        <v>1612</v>
      </c>
      <c r="AP1469">
        <v>351</v>
      </c>
      <c r="AQ1469">
        <v>130</v>
      </c>
      <c r="AR1469" s="122">
        <v>5526</v>
      </c>
      <c r="AS1469" s="122">
        <v>5023</v>
      </c>
      <c r="AT1469" s="122">
        <v>1572</v>
      </c>
      <c r="AU1469">
        <v>582</v>
      </c>
      <c r="AV1469" s="122">
        <v>48526</v>
      </c>
    </row>
    <row r="1470" spans="2:48" hidden="1">
      <c r="B1470" t="s">
        <v>371</v>
      </c>
      <c r="C1470" t="s">
        <v>60</v>
      </c>
      <c r="D1470" t="s">
        <v>426</v>
      </c>
      <c r="E1470" t="s">
        <v>137</v>
      </c>
      <c r="F1470" s="122">
        <v>1</v>
      </c>
      <c r="G1470" s="122">
        <v>132</v>
      </c>
      <c r="H1470" s="122">
        <v>357</v>
      </c>
      <c r="I1470" s="122">
        <v>33707</v>
      </c>
      <c r="J1470" s="122">
        <v>30643</v>
      </c>
      <c r="K1470" s="122">
        <v>60</v>
      </c>
      <c r="L1470" s="122">
        <v>5516</v>
      </c>
      <c r="M1470" s="122">
        <v>2043</v>
      </c>
      <c r="N1470" s="122">
        <v>1604</v>
      </c>
      <c r="O1470" s="122">
        <v>594</v>
      </c>
      <c r="P1470" s="122">
        <v>0</v>
      </c>
      <c r="Q1470" s="122">
        <v>0</v>
      </c>
      <c r="R1470" s="122">
        <v>6097</v>
      </c>
      <c r="S1470" s="122">
        <v>2258</v>
      </c>
      <c r="T1470" s="122">
        <v>0</v>
      </c>
      <c r="U1470" s="122">
        <v>0</v>
      </c>
      <c r="V1470" s="122">
        <v>35537</v>
      </c>
      <c r="W1470" s="122">
        <f t="shared" si="44"/>
        <v>35538</v>
      </c>
      <c r="X1470" s="122">
        <f t="shared" si="45"/>
        <v>46924</v>
      </c>
      <c r="AA1470" t="s">
        <v>58</v>
      </c>
      <c r="AB1470" t="s">
        <v>426</v>
      </c>
      <c r="AC1470" t="s">
        <v>579</v>
      </c>
      <c r="AD1470" t="s">
        <v>426</v>
      </c>
      <c r="AE1470" t="s">
        <v>566</v>
      </c>
      <c r="AF1470">
        <v>1</v>
      </c>
      <c r="AG1470">
        <v>150</v>
      </c>
      <c r="AH1470">
        <v>266</v>
      </c>
      <c r="AI1470" s="122">
        <v>22798</v>
      </c>
      <c r="AJ1470" s="122">
        <v>20726</v>
      </c>
      <c r="AK1470">
        <v>75</v>
      </c>
      <c r="AL1470" s="122">
        <v>6909</v>
      </c>
      <c r="AM1470" s="122">
        <v>5757</v>
      </c>
      <c r="AN1470" s="122">
        <v>1833</v>
      </c>
      <c r="AO1470" s="122">
        <v>679</v>
      </c>
      <c r="AP1470">
        <v>473</v>
      </c>
      <c r="AQ1470">
        <v>175</v>
      </c>
      <c r="AR1470" s="122">
        <v>7942</v>
      </c>
      <c r="AS1470" s="122">
        <v>7220</v>
      </c>
      <c r="AT1470" s="122">
        <v>0</v>
      </c>
      <c r="AU1470" s="122">
        <v>0</v>
      </c>
      <c r="AV1470" s="122">
        <v>34557</v>
      </c>
    </row>
    <row r="1471" spans="2:48" hidden="1">
      <c r="B1471" t="s">
        <v>371</v>
      </c>
      <c r="C1471" t="s">
        <v>60</v>
      </c>
      <c r="D1471" t="s">
        <v>426</v>
      </c>
      <c r="E1471" t="s">
        <v>426</v>
      </c>
      <c r="F1471" s="122">
        <v>43</v>
      </c>
      <c r="G1471" s="122">
        <v>3873</v>
      </c>
      <c r="H1471" s="122">
        <v>14680</v>
      </c>
      <c r="I1471" s="122">
        <v>842006</v>
      </c>
      <c r="J1471" s="122">
        <v>765460</v>
      </c>
      <c r="K1471" s="122">
        <v>62</v>
      </c>
      <c r="L1471" s="122">
        <v>113714</v>
      </c>
      <c r="M1471" s="122">
        <v>102265</v>
      </c>
      <c r="N1471" s="122">
        <v>78550</v>
      </c>
      <c r="O1471" s="122">
        <v>29092</v>
      </c>
      <c r="P1471" s="122">
        <v>17064</v>
      </c>
      <c r="Q1471" s="122">
        <v>6320</v>
      </c>
      <c r="R1471" s="122">
        <v>213495</v>
      </c>
      <c r="S1471" s="122">
        <v>194086</v>
      </c>
      <c r="T1471" s="122">
        <v>93428</v>
      </c>
      <c r="U1471" s="122">
        <v>34603</v>
      </c>
      <c r="V1471" s="122">
        <v>1131827</v>
      </c>
      <c r="W1471" s="122">
        <f t="shared" si="44"/>
        <v>1131826</v>
      </c>
      <c r="X1471" s="122">
        <f t="shared" si="45"/>
        <v>1358257</v>
      </c>
      <c r="AA1471" t="s">
        <v>58</v>
      </c>
      <c r="AB1471" t="s">
        <v>426</v>
      </c>
      <c r="AC1471" t="s">
        <v>431</v>
      </c>
      <c r="AD1471" t="s">
        <v>426</v>
      </c>
      <c r="AE1471" t="s">
        <v>137</v>
      </c>
      <c r="AF1471">
        <v>2</v>
      </c>
      <c r="AG1471">
        <v>202</v>
      </c>
      <c r="AH1471">
        <v>543</v>
      </c>
      <c r="AI1471" s="122">
        <v>40786</v>
      </c>
      <c r="AJ1471" s="122">
        <v>37079</v>
      </c>
      <c r="AK1471">
        <v>69</v>
      </c>
      <c r="AL1471" s="122">
        <v>10461</v>
      </c>
      <c r="AM1471" s="122">
        <v>9510</v>
      </c>
      <c r="AN1471" s="122">
        <v>4665</v>
      </c>
      <c r="AO1471" s="122">
        <v>1728</v>
      </c>
      <c r="AP1471">
        <v>702</v>
      </c>
      <c r="AQ1471">
        <v>260</v>
      </c>
      <c r="AR1471" s="122">
        <v>10302</v>
      </c>
      <c r="AS1471" s="122">
        <v>9366</v>
      </c>
      <c r="AT1471" s="122">
        <v>6896</v>
      </c>
      <c r="AU1471" s="122">
        <v>2554</v>
      </c>
      <c r="AV1471" s="122">
        <v>60496</v>
      </c>
    </row>
    <row r="1472" spans="2:48" hidden="1">
      <c r="B1472" t="s">
        <v>371</v>
      </c>
      <c r="C1472" t="s">
        <v>60</v>
      </c>
      <c r="D1472" t="s">
        <v>433</v>
      </c>
      <c r="E1472" t="s">
        <v>433</v>
      </c>
      <c r="F1472" s="122">
        <v>6</v>
      </c>
      <c r="G1472" s="122">
        <v>768</v>
      </c>
      <c r="H1472" s="122">
        <v>2027</v>
      </c>
      <c r="I1472" s="122">
        <v>174578</v>
      </c>
      <c r="J1472" s="122">
        <v>158707</v>
      </c>
      <c r="K1472" s="122">
        <v>61</v>
      </c>
      <c r="L1472" s="122">
        <v>28722</v>
      </c>
      <c r="M1472" s="122">
        <v>24677</v>
      </c>
      <c r="N1472" s="122">
        <v>14205</v>
      </c>
      <c r="O1472" s="122">
        <v>5261</v>
      </c>
      <c r="P1472" s="122">
        <v>2376</v>
      </c>
      <c r="Q1472" s="122">
        <v>880</v>
      </c>
      <c r="R1472" s="122">
        <v>36052</v>
      </c>
      <c r="S1472" s="122">
        <v>32774</v>
      </c>
      <c r="T1472" s="122">
        <v>6199</v>
      </c>
      <c r="U1472" s="122">
        <v>2296</v>
      </c>
      <c r="V1472" s="122">
        <v>224595</v>
      </c>
      <c r="W1472" s="122">
        <f t="shared" si="44"/>
        <v>224595</v>
      </c>
      <c r="X1472" s="122">
        <f t="shared" si="45"/>
        <v>262132</v>
      </c>
      <c r="AA1472" t="s">
        <v>58</v>
      </c>
      <c r="AB1472" t="s">
        <v>426</v>
      </c>
      <c r="AC1472" t="s">
        <v>431</v>
      </c>
      <c r="AD1472" t="s">
        <v>426</v>
      </c>
      <c r="AE1472" t="s">
        <v>566</v>
      </c>
      <c r="AF1472">
        <v>1</v>
      </c>
      <c r="AG1472">
        <v>143</v>
      </c>
      <c r="AH1472" s="122">
        <v>248</v>
      </c>
      <c r="AI1472" s="122">
        <v>20063</v>
      </c>
      <c r="AJ1472" s="122">
        <v>18239</v>
      </c>
      <c r="AK1472">
        <v>70</v>
      </c>
      <c r="AL1472" s="122">
        <v>5201</v>
      </c>
      <c r="AM1472" s="122">
        <v>4729</v>
      </c>
      <c r="AN1472" s="122">
        <v>1737</v>
      </c>
      <c r="AO1472" s="122">
        <v>643</v>
      </c>
      <c r="AP1472" s="122">
        <v>621</v>
      </c>
      <c r="AQ1472">
        <v>230</v>
      </c>
      <c r="AR1472" s="122">
        <v>7710</v>
      </c>
      <c r="AS1472" s="122">
        <v>7009</v>
      </c>
      <c r="AT1472">
        <v>0</v>
      </c>
      <c r="AU1472">
        <v>0</v>
      </c>
      <c r="AV1472" s="122">
        <v>30849</v>
      </c>
    </row>
    <row r="1473" spans="2:48" hidden="1">
      <c r="B1473" t="s">
        <v>371</v>
      </c>
      <c r="C1473" t="s">
        <v>60</v>
      </c>
      <c r="D1473" t="s">
        <v>408</v>
      </c>
      <c r="E1473" t="s">
        <v>408</v>
      </c>
      <c r="F1473" s="122">
        <v>3</v>
      </c>
      <c r="G1473" s="122">
        <v>336</v>
      </c>
      <c r="H1473" s="122">
        <v>1094</v>
      </c>
      <c r="I1473" s="122">
        <v>87171</v>
      </c>
      <c r="J1473" s="122">
        <v>79247</v>
      </c>
      <c r="K1473" s="122">
        <v>65</v>
      </c>
      <c r="L1473" s="122">
        <v>5283</v>
      </c>
      <c r="M1473" s="122">
        <v>3063</v>
      </c>
      <c r="N1473" s="122">
        <v>6515</v>
      </c>
      <c r="O1473" s="122">
        <v>2413</v>
      </c>
      <c r="P1473" s="122">
        <v>1053</v>
      </c>
      <c r="Q1473" s="122">
        <v>390</v>
      </c>
      <c r="R1473" s="122">
        <v>15876</v>
      </c>
      <c r="S1473" s="122">
        <v>14433</v>
      </c>
      <c r="T1473" s="122">
        <v>5729</v>
      </c>
      <c r="U1473" s="122">
        <v>2122</v>
      </c>
      <c r="V1473" s="122">
        <v>101667</v>
      </c>
      <c r="W1473" s="122">
        <f t="shared" si="44"/>
        <v>101668</v>
      </c>
      <c r="X1473" s="122">
        <f t="shared" si="45"/>
        <v>121627</v>
      </c>
      <c r="AA1473" t="s">
        <v>58</v>
      </c>
      <c r="AB1473" t="s">
        <v>426</v>
      </c>
      <c r="AC1473" t="s">
        <v>426</v>
      </c>
      <c r="AD1473" t="s">
        <v>137</v>
      </c>
      <c r="AE1473" t="s">
        <v>566</v>
      </c>
      <c r="AF1473">
        <v>4</v>
      </c>
      <c r="AG1473">
        <v>563</v>
      </c>
      <c r="AH1473" s="122">
        <v>1065</v>
      </c>
      <c r="AI1473" s="122">
        <v>87094</v>
      </c>
      <c r="AJ1473" s="122">
        <v>79176</v>
      </c>
      <c r="AK1473">
        <v>64</v>
      </c>
      <c r="AL1473" s="122">
        <v>14100</v>
      </c>
      <c r="AM1473" s="122">
        <v>12818</v>
      </c>
      <c r="AN1473" s="122">
        <v>11435</v>
      </c>
      <c r="AO1473" s="122">
        <v>4235</v>
      </c>
      <c r="AP1473" s="122">
        <v>1053</v>
      </c>
      <c r="AQ1473">
        <v>390</v>
      </c>
      <c r="AR1473" s="122">
        <v>32523</v>
      </c>
      <c r="AS1473" s="122">
        <v>12046</v>
      </c>
      <c r="AT1473" s="122">
        <v>0</v>
      </c>
      <c r="AU1473">
        <v>0</v>
      </c>
      <c r="AV1473" s="122">
        <v>108665</v>
      </c>
    </row>
    <row r="1474" spans="2:48" hidden="1">
      <c r="B1474" t="s">
        <v>371</v>
      </c>
      <c r="C1474" t="s">
        <v>62</v>
      </c>
      <c r="F1474" s="122">
        <v>1</v>
      </c>
      <c r="G1474" s="122">
        <v>172</v>
      </c>
      <c r="H1474" s="122">
        <v>413</v>
      </c>
      <c r="I1474" s="122"/>
      <c r="J1474" s="122">
        <v>0</v>
      </c>
      <c r="K1474" s="122"/>
      <c r="L1474" s="122"/>
      <c r="M1474" s="122">
        <v>0</v>
      </c>
      <c r="N1474" s="122">
        <v>3610</v>
      </c>
      <c r="O1474" s="122">
        <v>1337</v>
      </c>
      <c r="P1474" s="122">
        <v>621</v>
      </c>
      <c r="Q1474" s="122">
        <v>230</v>
      </c>
      <c r="R1474" s="122"/>
      <c r="S1474" s="122">
        <v>0</v>
      </c>
      <c r="T1474" s="122">
        <v>0</v>
      </c>
      <c r="U1474" s="122">
        <v>0</v>
      </c>
      <c r="V1474" s="122">
        <v>1567</v>
      </c>
      <c r="W1474" s="122">
        <f t="shared" si="44"/>
        <v>1567</v>
      </c>
      <c r="X1474" s="122">
        <f t="shared" si="45"/>
        <v>4231</v>
      </c>
      <c r="AA1474" t="s">
        <v>58</v>
      </c>
      <c r="AB1474" t="s">
        <v>426</v>
      </c>
      <c r="AC1474" t="s">
        <v>426</v>
      </c>
      <c r="AD1474" t="s">
        <v>406</v>
      </c>
      <c r="AE1474" t="s">
        <v>137</v>
      </c>
      <c r="AF1474">
        <v>1</v>
      </c>
      <c r="AG1474">
        <v>82</v>
      </c>
      <c r="AH1474">
        <v>231</v>
      </c>
      <c r="AI1474" s="122">
        <v>8547</v>
      </c>
      <c r="AJ1474" s="122">
        <v>7770</v>
      </c>
      <c r="AK1474">
        <v>75</v>
      </c>
      <c r="AL1474" s="122">
        <v>2374</v>
      </c>
      <c r="AM1474" s="122">
        <v>2158</v>
      </c>
      <c r="AN1474" s="122">
        <v>1988</v>
      </c>
      <c r="AO1474" s="122">
        <v>736</v>
      </c>
      <c r="AP1474">
        <v>351</v>
      </c>
      <c r="AQ1474">
        <v>130</v>
      </c>
      <c r="AR1474" s="122">
        <v>3081</v>
      </c>
      <c r="AS1474" s="122">
        <v>2800</v>
      </c>
      <c r="AT1474" s="122">
        <v>2544</v>
      </c>
      <c r="AU1474" s="122">
        <v>942</v>
      </c>
      <c r="AV1474" s="122">
        <v>14537</v>
      </c>
    </row>
    <row r="1475" spans="2:48" hidden="1">
      <c r="B1475" t="s">
        <v>371</v>
      </c>
      <c r="C1475" t="s">
        <v>62</v>
      </c>
      <c r="D1475" t="s">
        <v>405</v>
      </c>
      <c r="E1475" t="s">
        <v>405</v>
      </c>
      <c r="F1475" s="122">
        <v>3</v>
      </c>
      <c r="G1475" s="122">
        <v>237</v>
      </c>
      <c r="H1475" s="122">
        <v>1249</v>
      </c>
      <c r="I1475" s="122">
        <v>68318</v>
      </c>
      <c r="J1475" s="122">
        <v>62108</v>
      </c>
      <c r="K1475" s="122">
        <v>74</v>
      </c>
      <c r="L1475" s="122">
        <v>6291</v>
      </c>
      <c r="M1475" s="122">
        <v>5720</v>
      </c>
      <c r="N1475" s="122">
        <v>4671</v>
      </c>
      <c r="O1475" s="122">
        <v>1730</v>
      </c>
      <c r="P1475" s="122">
        <v>1296</v>
      </c>
      <c r="Q1475" s="122">
        <v>480</v>
      </c>
      <c r="R1475" s="122">
        <v>14494</v>
      </c>
      <c r="S1475" s="122">
        <v>13177</v>
      </c>
      <c r="T1475" s="122">
        <v>3149</v>
      </c>
      <c r="U1475" s="122">
        <v>1166</v>
      </c>
      <c r="V1475" s="122">
        <v>84380</v>
      </c>
      <c r="W1475" s="122">
        <f t="shared" si="44"/>
        <v>84381</v>
      </c>
      <c r="X1475" s="122">
        <f t="shared" si="45"/>
        <v>98219</v>
      </c>
      <c r="AA1475" t="s">
        <v>58</v>
      </c>
      <c r="AB1475" t="s">
        <v>426</v>
      </c>
      <c r="AC1475" t="s">
        <v>426</v>
      </c>
      <c r="AD1475" t="s">
        <v>431</v>
      </c>
      <c r="AE1475" t="s">
        <v>137</v>
      </c>
      <c r="AF1475">
        <v>1</v>
      </c>
      <c r="AG1475" s="122">
        <v>196</v>
      </c>
      <c r="AH1475" s="122">
        <v>267</v>
      </c>
      <c r="AI1475" s="122">
        <v>58476</v>
      </c>
      <c r="AJ1475" s="122">
        <v>53160</v>
      </c>
      <c r="AK1475">
        <v>55</v>
      </c>
      <c r="AL1475" s="122">
        <v>11912</v>
      </c>
      <c r="AM1475" s="122">
        <v>10829</v>
      </c>
      <c r="AN1475" s="122">
        <v>7068</v>
      </c>
      <c r="AO1475" s="122">
        <v>2618</v>
      </c>
      <c r="AP1475" s="122">
        <v>351</v>
      </c>
      <c r="AQ1475" s="122">
        <v>130</v>
      </c>
      <c r="AR1475" s="122">
        <v>8299</v>
      </c>
      <c r="AS1475" s="122">
        <v>7544</v>
      </c>
      <c r="AT1475" s="122">
        <v>4431</v>
      </c>
      <c r="AU1475" s="122">
        <v>1641</v>
      </c>
      <c r="AV1475" s="122">
        <v>75922</v>
      </c>
    </row>
    <row r="1476" spans="2:48" hidden="1">
      <c r="B1476" t="s">
        <v>371</v>
      </c>
      <c r="C1476" t="s">
        <v>62</v>
      </c>
      <c r="D1476" t="s">
        <v>137</v>
      </c>
      <c r="E1476" t="s">
        <v>137</v>
      </c>
      <c r="F1476" s="122">
        <v>10</v>
      </c>
      <c r="G1476" s="122">
        <v>738</v>
      </c>
      <c r="H1476" s="122">
        <v>4152</v>
      </c>
      <c r="I1476" s="122">
        <v>194580</v>
      </c>
      <c r="J1476" s="122">
        <v>72067</v>
      </c>
      <c r="K1476" s="122">
        <v>100</v>
      </c>
      <c r="L1476" s="122">
        <v>25858</v>
      </c>
      <c r="M1476" s="122">
        <v>22237</v>
      </c>
      <c r="N1476" s="122">
        <v>14136</v>
      </c>
      <c r="O1476" s="122">
        <v>5235</v>
      </c>
      <c r="P1476" s="122">
        <v>351</v>
      </c>
      <c r="Q1476" s="122">
        <v>130</v>
      </c>
      <c r="R1476" s="122">
        <v>67649</v>
      </c>
      <c r="S1476" s="122">
        <v>25055</v>
      </c>
      <c r="T1476" s="122">
        <v>2436</v>
      </c>
      <c r="U1476" s="122">
        <v>902</v>
      </c>
      <c r="V1476" s="122">
        <v>125627</v>
      </c>
      <c r="W1476" s="122">
        <f t="shared" si="44"/>
        <v>125626</v>
      </c>
      <c r="X1476" s="122">
        <f t="shared" si="45"/>
        <v>305010</v>
      </c>
      <c r="AA1476" t="s">
        <v>58</v>
      </c>
      <c r="AB1476" t="s">
        <v>426</v>
      </c>
      <c r="AC1476" t="s">
        <v>426</v>
      </c>
      <c r="AD1476" t="s">
        <v>426</v>
      </c>
      <c r="AE1476" t="s">
        <v>137</v>
      </c>
      <c r="AF1476">
        <v>488</v>
      </c>
      <c r="AG1476" s="122">
        <v>64119</v>
      </c>
      <c r="AH1476" s="122">
        <v>133958</v>
      </c>
      <c r="AI1476" s="122">
        <v>10977983</v>
      </c>
      <c r="AJ1476" s="122">
        <v>9979984</v>
      </c>
      <c r="AK1476">
        <v>64</v>
      </c>
      <c r="AL1476" s="122">
        <v>1897479</v>
      </c>
      <c r="AM1476" s="122">
        <v>1724981</v>
      </c>
      <c r="AN1476" s="122">
        <v>1268319</v>
      </c>
      <c r="AO1476" s="122">
        <v>469748</v>
      </c>
      <c r="AP1476" s="122">
        <v>187610</v>
      </c>
      <c r="AQ1476" s="122">
        <v>69485</v>
      </c>
      <c r="AR1476" s="122">
        <v>2544194</v>
      </c>
      <c r="AS1476" s="122">
        <v>2312903</v>
      </c>
      <c r="AT1476" s="122">
        <v>1310756</v>
      </c>
      <c r="AU1476" s="122">
        <v>485465</v>
      </c>
      <c r="AV1476" s="122">
        <v>15042566</v>
      </c>
    </row>
    <row r="1477" spans="2:48" hidden="1">
      <c r="B1477" t="s">
        <v>371</v>
      </c>
      <c r="C1477" t="s">
        <v>62</v>
      </c>
      <c r="D1477" t="s">
        <v>137</v>
      </c>
      <c r="E1477" t="s">
        <v>406</v>
      </c>
      <c r="F1477" s="122">
        <v>1</v>
      </c>
      <c r="G1477" s="122">
        <v>286</v>
      </c>
      <c r="H1477" s="122">
        <v>380</v>
      </c>
      <c r="I1477" s="122">
        <v>80098</v>
      </c>
      <c r="J1477" s="122">
        <v>29666</v>
      </c>
      <c r="K1477" s="122">
        <v>100</v>
      </c>
      <c r="L1477" s="122">
        <v>9598</v>
      </c>
      <c r="M1477" s="122">
        <v>8725</v>
      </c>
      <c r="N1477" s="122">
        <v>5117</v>
      </c>
      <c r="O1477" s="122">
        <v>1895</v>
      </c>
      <c r="P1477" s="122">
        <v>270</v>
      </c>
      <c r="Q1477" s="122">
        <v>100</v>
      </c>
      <c r="R1477" s="122">
        <v>8677</v>
      </c>
      <c r="S1477" s="122">
        <v>7888</v>
      </c>
      <c r="T1477" s="122">
        <v>4892</v>
      </c>
      <c r="U1477" s="122">
        <v>1812</v>
      </c>
      <c r="V1477" s="122">
        <v>50086</v>
      </c>
      <c r="W1477" s="122">
        <f t="shared" si="44"/>
        <v>50086</v>
      </c>
      <c r="X1477" s="122">
        <f t="shared" si="45"/>
        <v>108652</v>
      </c>
      <c r="AA1477" t="s">
        <v>58</v>
      </c>
      <c r="AB1477" t="s">
        <v>426</v>
      </c>
      <c r="AC1477" t="s">
        <v>426</v>
      </c>
      <c r="AD1477" t="s">
        <v>426</v>
      </c>
      <c r="AE1477" t="s">
        <v>566</v>
      </c>
      <c r="AF1477">
        <v>77</v>
      </c>
      <c r="AG1477" s="122">
        <v>10222</v>
      </c>
      <c r="AH1477" s="122">
        <v>21223</v>
      </c>
      <c r="AI1477" s="122">
        <v>1783924</v>
      </c>
      <c r="AJ1477" s="122">
        <v>1621749</v>
      </c>
      <c r="AK1477">
        <v>62</v>
      </c>
      <c r="AL1477" s="122">
        <v>296019</v>
      </c>
      <c r="AM1477" s="122">
        <v>269108</v>
      </c>
      <c r="AN1477" s="122">
        <v>197510</v>
      </c>
      <c r="AO1477" s="122">
        <v>73152</v>
      </c>
      <c r="AP1477" s="122">
        <v>33426</v>
      </c>
      <c r="AQ1477" s="122">
        <v>12380</v>
      </c>
      <c r="AR1477" s="122">
        <v>578454</v>
      </c>
      <c r="AS1477" s="122">
        <v>525868</v>
      </c>
      <c r="AT1477">
        <v>0</v>
      </c>
      <c r="AU1477">
        <v>0</v>
      </c>
      <c r="AV1477" s="122">
        <v>2502257</v>
      </c>
    </row>
    <row r="1478" spans="2:48" hidden="1">
      <c r="B1478" t="s">
        <v>371</v>
      </c>
      <c r="C1478" t="s">
        <v>62</v>
      </c>
      <c r="D1478" t="s">
        <v>137</v>
      </c>
      <c r="E1478" t="s">
        <v>426</v>
      </c>
      <c r="F1478" s="122">
        <v>1</v>
      </c>
      <c r="G1478" s="122">
        <v>86</v>
      </c>
      <c r="H1478" s="122">
        <v>448</v>
      </c>
      <c r="I1478" s="122">
        <v>23716</v>
      </c>
      <c r="J1478" s="122">
        <v>8784</v>
      </c>
      <c r="K1478" s="122">
        <v>100</v>
      </c>
      <c r="L1478" s="122">
        <v>4831</v>
      </c>
      <c r="M1478" s="122">
        <v>4392</v>
      </c>
      <c r="N1478" s="122">
        <v>1368</v>
      </c>
      <c r="O1478" s="122">
        <v>507</v>
      </c>
      <c r="P1478" s="122">
        <v>0</v>
      </c>
      <c r="Q1478" s="122">
        <v>0</v>
      </c>
      <c r="R1478" s="122">
        <v>6278</v>
      </c>
      <c r="S1478" s="122">
        <v>5707</v>
      </c>
      <c r="T1478" s="122">
        <v>2518</v>
      </c>
      <c r="U1478" s="122">
        <v>933</v>
      </c>
      <c r="V1478" s="122">
        <v>20322</v>
      </c>
      <c r="W1478" s="122">
        <f t="shared" si="44"/>
        <v>20323</v>
      </c>
      <c r="X1478" s="122">
        <f t="shared" si="45"/>
        <v>38711</v>
      </c>
      <c r="AA1478" t="s">
        <v>58</v>
      </c>
      <c r="AB1478" t="s">
        <v>426</v>
      </c>
      <c r="AC1478" t="s">
        <v>426</v>
      </c>
      <c r="AD1478" t="s">
        <v>481</v>
      </c>
      <c r="AE1478" t="s">
        <v>566</v>
      </c>
      <c r="AF1478">
        <v>1</v>
      </c>
      <c r="AG1478">
        <v>192</v>
      </c>
      <c r="AH1478">
        <v>279</v>
      </c>
      <c r="AI1478" s="122">
        <v>37446</v>
      </c>
      <c r="AJ1478" s="122">
        <v>34042</v>
      </c>
      <c r="AK1478">
        <v>55</v>
      </c>
      <c r="AL1478" s="122">
        <v>3521</v>
      </c>
      <c r="AM1478" s="122">
        <v>3201</v>
      </c>
      <c r="AN1478" s="122">
        <v>3896</v>
      </c>
      <c r="AO1478" s="122">
        <v>1443</v>
      </c>
      <c r="AP1478" s="122">
        <v>1053</v>
      </c>
      <c r="AQ1478">
        <v>390</v>
      </c>
      <c r="AR1478" s="122">
        <v>7454</v>
      </c>
      <c r="AS1478" s="122">
        <v>6776</v>
      </c>
      <c r="AT1478">
        <v>0</v>
      </c>
      <c r="AU1478">
        <v>0</v>
      </c>
      <c r="AV1478" s="122">
        <v>45852</v>
      </c>
    </row>
    <row r="1479" spans="2:48" hidden="1">
      <c r="B1479" t="s">
        <v>371</v>
      </c>
      <c r="C1479" t="s">
        <v>62</v>
      </c>
      <c r="D1479" t="s">
        <v>406</v>
      </c>
      <c r="E1479" t="s">
        <v>137</v>
      </c>
      <c r="F1479" s="122">
        <v>2</v>
      </c>
      <c r="G1479" s="122">
        <v>178</v>
      </c>
      <c r="H1479" s="122">
        <v>848</v>
      </c>
      <c r="I1479" s="122">
        <v>53568</v>
      </c>
      <c r="J1479" s="122">
        <v>48698</v>
      </c>
      <c r="K1479" s="122">
        <v>82</v>
      </c>
      <c r="L1479" s="122">
        <v>5683</v>
      </c>
      <c r="M1479" s="122">
        <v>5166</v>
      </c>
      <c r="N1479" s="122">
        <v>4223</v>
      </c>
      <c r="O1479" s="122">
        <v>1564</v>
      </c>
      <c r="P1479" s="122">
        <v>1242</v>
      </c>
      <c r="Q1479" s="122">
        <v>460</v>
      </c>
      <c r="R1479" s="122">
        <v>10727</v>
      </c>
      <c r="S1479" s="122">
        <v>3973</v>
      </c>
      <c r="T1479" s="122">
        <v>0</v>
      </c>
      <c r="U1479" s="122">
        <v>0</v>
      </c>
      <c r="V1479" s="122">
        <v>59861</v>
      </c>
      <c r="W1479" s="122">
        <f t="shared" ref="W1479:W1542" si="46">SUM(ABS(J1479),ABS(M1479),ABS(O1479),ABS(Q1479),ABS(S1479),ABS(U1479))</f>
        <v>59861</v>
      </c>
      <c r="X1479" s="122">
        <f t="shared" ref="X1479:X1542" si="47">SUM(ABS(I1479),ABS(N1479),ABS(P1479),ABS(R1479),ABS(T1479),ABS(L1479))</f>
        <v>75443</v>
      </c>
      <c r="AA1479" t="s">
        <v>58</v>
      </c>
      <c r="AB1479" t="s">
        <v>426</v>
      </c>
      <c r="AC1479" t="s">
        <v>566</v>
      </c>
      <c r="AD1479" t="s">
        <v>137</v>
      </c>
      <c r="AE1479" t="s">
        <v>566</v>
      </c>
      <c r="AF1479">
        <v>1</v>
      </c>
      <c r="AG1479" s="122">
        <v>84</v>
      </c>
      <c r="AH1479" s="122">
        <v>277</v>
      </c>
      <c r="AI1479" s="122">
        <v>17594</v>
      </c>
      <c r="AJ1479" s="122">
        <v>15994</v>
      </c>
      <c r="AK1479">
        <v>60</v>
      </c>
      <c r="AL1479">
        <v>0</v>
      </c>
      <c r="AM1479" s="122">
        <v>0</v>
      </c>
      <c r="AN1479" s="122">
        <v>1020</v>
      </c>
      <c r="AO1479" s="122">
        <v>378</v>
      </c>
      <c r="AP1479" s="122">
        <v>0</v>
      </c>
      <c r="AQ1479" s="122">
        <v>0</v>
      </c>
      <c r="AR1479" s="122">
        <v>4559</v>
      </c>
      <c r="AS1479" s="122">
        <v>1688</v>
      </c>
      <c r="AT1479" s="122">
        <v>0</v>
      </c>
      <c r="AU1479" s="122">
        <v>0</v>
      </c>
      <c r="AV1479" s="122">
        <v>18060</v>
      </c>
    </row>
    <row r="1480" spans="2:48" hidden="1">
      <c r="B1480" t="s">
        <v>371</v>
      </c>
      <c r="C1480" t="s">
        <v>62</v>
      </c>
      <c r="D1480" t="s">
        <v>406</v>
      </c>
      <c r="E1480" t="s">
        <v>406</v>
      </c>
      <c r="F1480" s="122">
        <v>237</v>
      </c>
      <c r="G1480" s="122">
        <v>27838</v>
      </c>
      <c r="H1480" s="122">
        <v>98002</v>
      </c>
      <c r="I1480" s="122">
        <v>7767002</v>
      </c>
      <c r="J1480" s="122">
        <v>7060911</v>
      </c>
      <c r="K1480" s="122">
        <v>75</v>
      </c>
      <c r="L1480" s="122">
        <v>1537024</v>
      </c>
      <c r="M1480" s="122">
        <v>1357547</v>
      </c>
      <c r="N1480" s="122">
        <v>586398</v>
      </c>
      <c r="O1480" s="122">
        <v>217185</v>
      </c>
      <c r="P1480" s="122">
        <v>149553</v>
      </c>
      <c r="Q1480" s="122">
        <v>55390</v>
      </c>
      <c r="R1480" s="122">
        <v>1239025</v>
      </c>
      <c r="S1480" s="122">
        <v>1126387</v>
      </c>
      <c r="T1480" s="122">
        <v>429901</v>
      </c>
      <c r="U1480" s="122">
        <v>159222</v>
      </c>
      <c r="V1480" s="122">
        <v>9976642</v>
      </c>
      <c r="W1480" s="122">
        <f t="shared" si="46"/>
        <v>9976642</v>
      </c>
      <c r="X1480" s="122">
        <f t="shared" si="47"/>
        <v>11708903</v>
      </c>
      <c r="AA1480" t="s">
        <v>58</v>
      </c>
      <c r="AB1480" t="s">
        <v>426</v>
      </c>
      <c r="AC1480" t="s">
        <v>566</v>
      </c>
      <c r="AD1480" t="s">
        <v>426</v>
      </c>
      <c r="AE1480" t="s">
        <v>137</v>
      </c>
      <c r="AF1480">
        <v>190</v>
      </c>
      <c r="AG1480" s="122">
        <v>18622</v>
      </c>
      <c r="AH1480" s="122">
        <v>51753</v>
      </c>
      <c r="AI1480" s="122">
        <v>3477430</v>
      </c>
      <c r="AJ1480" s="122">
        <v>3161300</v>
      </c>
      <c r="AK1480">
        <v>64</v>
      </c>
      <c r="AL1480">
        <v>0</v>
      </c>
      <c r="AM1480" s="122">
        <v>21103</v>
      </c>
      <c r="AN1480" s="122">
        <v>346492</v>
      </c>
      <c r="AO1480" s="122">
        <v>128330</v>
      </c>
      <c r="AP1480" s="122">
        <v>69934</v>
      </c>
      <c r="AQ1480" s="122">
        <v>25902</v>
      </c>
      <c r="AR1480" s="122">
        <v>852667</v>
      </c>
      <c r="AS1480" s="122">
        <v>775152</v>
      </c>
      <c r="AT1480" s="122">
        <v>422923</v>
      </c>
      <c r="AU1480" s="122">
        <v>156638</v>
      </c>
      <c r="AV1480" s="122">
        <v>4268425</v>
      </c>
    </row>
    <row r="1481" spans="2:48" hidden="1">
      <c r="B1481" t="s">
        <v>371</v>
      </c>
      <c r="C1481" t="s">
        <v>62</v>
      </c>
      <c r="D1481" t="s">
        <v>406</v>
      </c>
      <c r="E1481" t="s">
        <v>426</v>
      </c>
      <c r="F1481" s="122">
        <v>1</v>
      </c>
      <c r="G1481" s="122">
        <v>82</v>
      </c>
      <c r="H1481" s="122">
        <v>434</v>
      </c>
      <c r="I1481" s="122">
        <v>17532</v>
      </c>
      <c r="J1481" s="122">
        <v>15938</v>
      </c>
      <c r="K1481" s="122">
        <v>55</v>
      </c>
      <c r="L1481" s="122">
        <v>3571</v>
      </c>
      <c r="M1481" s="122">
        <v>3247</v>
      </c>
      <c r="N1481" s="122">
        <v>1502</v>
      </c>
      <c r="O1481" s="122">
        <v>556</v>
      </c>
      <c r="P1481" s="122">
        <v>351</v>
      </c>
      <c r="Q1481" s="122">
        <v>130</v>
      </c>
      <c r="R1481" s="122">
        <v>8287</v>
      </c>
      <c r="S1481" s="122">
        <v>7534</v>
      </c>
      <c r="T1481" s="122">
        <v>4423</v>
      </c>
      <c r="U1481" s="122">
        <v>1638</v>
      </c>
      <c r="V1481" s="122">
        <v>29043</v>
      </c>
      <c r="W1481" s="122">
        <f t="shared" si="46"/>
        <v>29043</v>
      </c>
      <c r="X1481" s="122">
        <f t="shared" si="47"/>
        <v>35666</v>
      </c>
      <c r="AA1481" t="s">
        <v>58</v>
      </c>
      <c r="AB1481" t="s">
        <v>426</v>
      </c>
      <c r="AC1481" t="s">
        <v>566</v>
      </c>
      <c r="AD1481" t="s">
        <v>426</v>
      </c>
      <c r="AE1481" t="s">
        <v>566</v>
      </c>
      <c r="AF1481">
        <v>9</v>
      </c>
      <c r="AG1481">
        <v>837</v>
      </c>
      <c r="AH1481" s="122">
        <v>2511</v>
      </c>
      <c r="AI1481" s="122">
        <v>166127</v>
      </c>
      <c r="AJ1481" s="122">
        <v>151024</v>
      </c>
      <c r="AK1481">
        <v>62</v>
      </c>
      <c r="AL1481">
        <v>0</v>
      </c>
      <c r="AM1481" s="122">
        <v>3732</v>
      </c>
      <c r="AN1481" s="122">
        <v>17508</v>
      </c>
      <c r="AO1481" s="122">
        <v>6485</v>
      </c>
      <c r="AP1481" s="122">
        <v>3159</v>
      </c>
      <c r="AQ1481" s="122">
        <v>1170</v>
      </c>
      <c r="AR1481" s="122">
        <v>64779</v>
      </c>
      <c r="AS1481" s="122">
        <v>58890</v>
      </c>
      <c r="AT1481" s="122">
        <v>0</v>
      </c>
      <c r="AU1481" s="122">
        <v>0</v>
      </c>
      <c r="AV1481" s="122">
        <v>221301</v>
      </c>
    </row>
    <row r="1482" spans="2:48" hidden="1">
      <c r="B1482" t="s">
        <v>371</v>
      </c>
      <c r="C1482" t="s">
        <v>62</v>
      </c>
      <c r="D1482" t="s">
        <v>427</v>
      </c>
      <c r="E1482" t="s">
        <v>427</v>
      </c>
      <c r="F1482" s="122">
        <v>3</v>
      </c>
      <c r="G1482" s="122">
        <v>288</v>
      </c>
      <c r="H1482" s="122">
        <v>1250</v>
      </c>
      <c r="I1482" s="122">
        <v>79921</v>
      </c>
      <c r="J1482" s="122">
        <v>72656</v>
      </c>
      <c r="K1482" s="122">
        <v>62</v>
      </c>
      <c r="L1482" s="122">
        <v>7232</v>
      </c>
      <c r="M1482" s="122">
        <v>6575</v>
      </c>
      <c r="N1482" s="122">
        <v>5577</v>
      </c>
      <c r="O1482" s="122">
        <v>2066</v>
      </c>
      <c r="P1482" s="122">
        <v>1053</v>
      </c>
      <c r="Q1482" s="122">
        <v>390</v>
      </c>
      <c r="R1482" s="122">
        <v>19287</v>
      </c>
      <c r="S1482" s="122">
        <v>17533</v>
      </c>
      <c r="T1482" s="122">
        <v>6656</v>
      </c>
      <c r="U1482" s="122">
        <v>2465</v>
      </c>
      <c r="V1482" s="122">
        <v>101685</v>
      </c>
      <c r="W1482" s="122">
        <f t="shared" si="46"/>
        <v>101685</v>
      </c>
      <c r="X1482" s="122">
        <f t="shared" si="47"/>
        <v>119726</v>
      </c>
      <c r="AA1482" t="s">
        <v>58</v>
      </c>
      <c r="AB1482" t="s">
        <v>426</v>
      </c>
      <c r="AC1482" t="s">
        <v>566</v>
      </c>
      <c r="AD1482" t="s">
        <v>481</v>
      </c>
      <c r="AE1482" t="s">
        <v>137</v>
      </c>
      <c r="AF1482">
        <v>1</v>
      </c>
      <c r="AG1482">
        <v>111</v>
      </c>
      <c r="AH1482">
        <v>292</v>
      </c>
      <c r="AI1482" s="122">
        <v>29097</v>
      </c>
      <c r="AJ1482" s="122">
        <v>26451</v>
      </c>
      <c r="AK1482">
        <v>55</v>
      </c>
      <c r="AL1482" s="122">
        <v>0</v>
      </c>
      <c r="AM1482" s="122">
        <v>0</v>
      </c>
      <c r="AN1482" s="122">
        <v>3614</v>
      </c>
      <c r="AO1482" s="122">
        <v>1338</v>
      </c>
      <c r="AP1482">
        <v>351</v>
      </c>
      <c r="AQ1482">
        <v>130</v>
      </c>
      <c r="AR1482" s="122">
        <v>6818</v>
      </c>
      <c r="AS1482" s="122">
        <v>6198</v>
      </c>
      <c r="AT1482" s="122">
        <v>3446</v>
      </c>
      <c r="AU1482" s="122">
        <v>1276</v>
      </c>
      <c r="AV1482" s="122">
        <v>35395</v>
      </c>
    </row>
    <row r="1483" spans="2:48" hidden="1">
      <c r="B1483" t="s">
        <v>371</v>
      </c>
      <c r="C1483" t="s">
        <v>62</v>
      </c>
      <c r="D1483" t="s">
        <v>407</v>
      </c>
      <c r="E1483" t="s">
        <v>407</v>
      </c>
      <c r="F1483" s="122">
        <v>12</v>
      </c>
      <c r="G1483" s="122">
        <v>1244</v>
      </c>
      <c r="H1483" s="122">
        <v>5143</v>
      </c>
      <c r="I1483" s="122">
        <v>353812</v>
      </c>
      <c r="J1483" s="122">
        <v>321647</v>
      </c>
      <c r="K1483" s="122">
        <v>78</v>
      </c>
      <c r="L1483" s="122">
        <v>83501</v>
      </c>
      <c r="M1483" s="122">
        <v>65520</v>
      </c>
      <c r="N1483" s="122">
        <v>26700</v>
      </c>
      <c r="O1483" s="122">
        <v>9889</v>
      </c>
      <c r="P1483" s="122">
        <v>5076</v>
      </c>
      <c r="Q1483" s="122">
        <v>1880</v>
      </c>
      <c r="R1483" s="122">
        <v>58309</v>
      </c>
      <c r="S1483" s="122">
        <v>53008</v>
      </c>
      <c r="T1483" s="122">
        <v>17371</v>
      </c>
      <c r="U1483" s="122">
        <v>6434</v>
      </c>
      <c r="V1483" s="122">
        <v>458378</v>
      </c>
      <c r="W1483" s="122">
        <f t="shared" si="46"/>
        <v>458378</v>
      </c>
      <c r="X1483" s="122">
        <f t="shared" si="47"/>
        <v>544769</v>
      </c>
      <c r="AA1483" t="s">
        <v>58</v>
      </c>
      <c r="AB1483" t="s">
        <v>426</v>
      </c>
      <c r="AC1483" t="s">
        <v>481</v>
      </c>
      <c r="AD1483" t="s">
        <v>426</v>
      </c>
      <c r="AE1483" t="s">
        <v>566</v>
      </c>
      <c r="AF1483">
        <v>1</v>
      </c>
      <c r="AG1483">
        <v>131</v>
      </c>
      <c r="AH1483">
        <v>296</v>
      </c>
      <c r="AI1483" s="122">
        <v>26644</v>
      </c>
      <c r="AJ1483" s="122">
        <v>24221</v>
      </c>
      <c r="AK1483">
        <v>65</v>
      </c>
      <c r="AL1483" s="122">
        <v>2815</v>
      </c>
      <c r="AM1483" s="122">
        <v>2559</v>
      </c>
      <c r="AN1483" s="122">
        <v>1599</v>
      </c>
      <c r="AO1483" s="122">
        <v>592</v>
      </c>
      <c r="AP1483" s="122">
        <v>351</v>
      </c>
      <c r="AQ1483">
        <v>130</v>
      </c>
      <c r="AR1483" s="122">
        <v>7413</v>
      </c>
      <c r="AS1483" s="122">
        <v>6739</v>
      </c>
      <c r="AT1483" s="122">
        <v>0</v>
      </c>
      <c r="AU1483" s="122">
        <v>0</v>
      </c>
      <c r="AV1483" s="122">
        <v>34242</v>
      </c>
    </row>
    <row r="1484" spans="2:48" hidden="1">
      <c r="B1484" t="s">
        <v>371</v>
      </c>
      <c r="C1484" t="s">
        <v>62</v>
      </c>
      <c r="D1484" t="s">
        <v>556</v>
      </c>
      <c r="E1484" t="s">
        <v>556</v>
      </c>
      <c r="F1484" s="122">
        <v>1</v>
      </c>
      <c r="G1484" s="122">
        <v>86</v>
      </c>
      <c r="H1484" s="122">
        <v>396</v>
      </c>
      <c r="I1484" s="122">
        <v>20300</v>
      </c>
      <c r="J1484" s="122">
        <v>16916</v>
      </c>
      <c r="K1484" s="122">
        <v>65</v>
      </c>
      <c r="L1484" s="122">
        <v>4887</v>
      </c>
      <c r="M1484" s="122">
        <v>4072</v>
      </c>
      <c r="N1484" s="122">
        <v>1812</v>
      </c>
      <c r="O1484" s="122">
        <v>671</v>
      </c>
      <c r="P1484" s="122">
        <v>351</v>
      </c>
      <c r="Q1484" s="122">
        <v>130</v>
      </c>
      <c r="R1484" s="122">
        <v>4636</v>
      </c>
      <c r="S1484" s="122">
        <v>3863</v>
      </c>
      <c r="T1484" s="122">
        <v>2252</v>
      </c>
      <c r="U1484" s="122">
        <v>834</v>
      </c>
      <c r="V1484" s="122">
        <v>26488</v>
      </c>
      <c r="W1484" s="122">
        <f t="shared" si="46"/>
        <v>26486</v>
      </c>
      <c r="X1484" s="122">
        <f t="shared" si="47"/>
        <v>34238</v>
      </c>
      <c r="AA1484" t="s">
        <v>58</v>
      </c>
      <c r="AB1484" t="s">
        <v>426</v>
      </c>
      <c r="AC1484" t="s">
        <v>433</v>
      </c>
      <c r="AD1484" t="s">
        <v>426</v>
      </c>
      <c r="AE1484" t="s">
        <v>137</v>
      </c>
      <c r="AF1484">
        <v>3</v>
      </c>
      <c r="AG1484">
        <v>365</v>
      </c>
      <c r="AH1484">
        <v>816</v>
      </c>
      <c r="AI1484" s="122">
        <v>59250</v>
      </c>
      <c r="AJ1484" s="122">
        <v>53864</v>
      </c>
      <c r="AK1484">
        <v>65</v>
      </c>
      <c r="AL1484" s="122">
        <v>8291</v>
      </c>
      <c r="AM1484" s="122">
        <v>7537</v>
      </c>
      <c r="AN1484" s="122">
        <v>6870</v>
      </c>
      <c r="AO1484" s="122">
        <v>2545</v>
      </c>
      <c r="AP1484" s="122">
        <v>1053</v>
      </c>
      <c r="AQ1484">
        <v>390</v>
      </c>
      <c r="AR1484" s="122">
        <v>15180</v>
      </c>
      <c r="AS1484" s="122">
        <v>13800</v>
      </c>
      <c r="AT1484" s="122">
        <v>8668</v>
      </c>
      <c r="AU1484" s="122">
        <v>3210</v>
      </c>
      <c r="AV1484" s="122">
        <v>81346</v>
      </c>
    </row>
    <row r="1485" spans="2:48" hidden="1">
      <c r="B1485" t="s">
        <v>371</v>
      </c>
      <c r="C1485" t="s">
        <v>62</v>
      </c>
      <c r="D1485" t="s">
        <v>428</v>
      </c>
      <c r="E1485" t="s">
        <v>428</v>
      </c>
      <c r="F1485" s="122">
        <v>1</v>
      </c>
      <c r="G1485" s="122">
        <v>68</v>
      </c>
      <c r="H1485" s="122">
        <v>400</v>
      </c>
      <c r="I1485" s="122">
        <v>15765</v>
      </c>
      <c r="J1485" s="122">
        <v>14331</v>
      </c>
      <c r="K1485" s="122">
        <v>55</v>
      </c>
      <c r="L1485" s="122">
        <v>2365</v>
      </c>
      <c r="M1485" s="122">
        <v>876</v>
      </c>
      <c r="N1485" s="122">
        <v>1195</v>
      </c>
      <c r="O1485" s="122">
        <v>442</v>
      </c>
      <c r="P1485" s="122">
        <v>351</v>
      </c>
      <c r="Q1485" s="122">
        <v>130</v>
      </c>
      <c r="R1485" s="122">
        <v>7537</v>
      </c>
      <c r="S1485" s="122">
        <v>6851</v>
      </c>
      <c r="T1485" s="122">
        <v>0</v>
      </c>
      <c r="U1485" s="122">
        <v>0</v>
      </c>
      <c r="V1485" s="122">
        <v>22631</v>
      </c>
      <c r="W1485" s="122">
        <f t="shared" si="46"/>
        <v>22630</v>
      </c>
      <c r="X1485" s="122">
        <f t="shared" si="47"/>
        <v>27213</v>
      </c>
      <c r="AA1485" t="s">
        <v>58</v>
      </c>
      <c r="AB1485" t="s">
        <v>426</v>
      </c>
      <c r="AC1485" t="s">
        <v>433</v>
      </c>
      <c r="AD1485" t="s">
        <v>426</v>
      </c>
      <c r="AE1485" t="s">
        <v>566</v>
      </c>
      <c r="AF1485">
        <v>2</v>
      </c>
      <c r="AG1485">
        <v>315</v>
      </c>
      <c r="AH1485">
        <v>585</v>
      </c>
      <c r="AI1485" s="122">
        <v>58220</v>
      </c>
      <c r="AJ1485" s="122">
        <v>52928</v>
      </c>
      <c r="AK1485">
        <v>55</v>
      </c>
      <c r="AL1485" s="122">
        <v>7486</v>
      </c>
      <c r="AM1485" s="122">
        <v>6805</v>
      </c>
      <c r="AN1485" s="122">
        <v>5462</v>
      </c>
      <c r="AO1485" s="122">
        <v>2023</v>
      </c>
      <c r="AP1485">
        <v>972</v>
      </c>
      <c r="AQ1485">
        <v>360</v>
      </c>
      <c r="AR1485" s="122">
        <v>20009</v>
      </c>
      <c r="AS1485" s="122">
        <v>18190</v>
      </c>
      <c r="AT1485" s="122">
        <v>0</v>
      </c>
      <c r="AU1485" s="122">
        <v>0</v>
      </c>
      <c r="AV1485" s="122">
        <v>80306</v>
      </c>
    </row>
    <row r="1486" spans="2:48" hidden="1">
      <c r="B1486" t="s">
        <v>371</v>
      </c>
      <c r="C1486" t="s">
        <v>62</v>
      </c>
      <c r="D1486" t="s">
        <v>431</v>
      </c>
      <c r="E1486" t="s">
        <v>431</v>
      </c>
      <c r="F1486" s="122">
        <v>1</v>
      </c>
      <c r="G1486" s="122">
        <v>124</v>
      </c>
      <c r="H1486" s="122">
        <v>437</v>
      </c>
      <c r="I1486" s="122">
        <v>38868</v>
      </c>
      <c r="J1486" s="122">
        <v>35335</v>
      </c>
      <c r="K1486" s="122">
        <v>45</v>
      </c>
      <c r="L1486" s="122">
        <v>2990</v>
      </c>
      <c r="M1486" s="122">
        <v>2718</v>
      </c>
      <c r="N1486" s="122">
        <v>2906</v>
      </c>
      <c r="O1486" s="122">
        <v>1076</v>
      </c>
      <c r="P1486" s="122">
        <v>351</v>
      </c>
      <c r="Q1486" s="122">
        <v>130</v>
      </c>
      <c r="R1486" s="122">
        <v>8949</v>
      </c>
      <c r="S1486" s="122">
        <v>8135</v>
      </c>
      <c r="T1486" s="122">
        <v>0</v>
      </c>
      <c r="U1486" s="122">
        <v>0</v>
      </c>
      <c r="V1486" s="122">
        <v>47394</v>
      </c>
      <c r="W1486" s="122">
        <f t="shared" si="46"/>
        <v>47394</v>
      </c>
      <c r="X1486" s="122">
        <f t="shared" si="47"/>
        <v>54064</v>
      </c>
      <c r="AA1486" t="s">
        <v>58</v>
      </c>
      <c r="AB1486" t="s">
        <v>426</v>
      </c>
      <c r="AC1486" t="s">
        <v>429</v>
      </c>
      <c r="AD1486" t="s">
        <v>426</v>
      </c>
      <c r="AE1486" t="s">
        <v>137</v>
      </c>
      <c r="AF1486">
        <v>1</v>
      </c>
      <c r="AG1486">
        <v>116</v>
      </c>
      <c r="AH1486">
        <v>294</v>
      </c>
      <c r="AI1486" s="122">
        <v>21429</v>
      </c>
      <c r="AJ1486" s="122">
        <v>19480</v>
      </c>
      <c r="AK1486">
        <v>65</v>
      </c>
      <c r="AL1486" s="122">
        <v>2381</v>
      </c>
      <c r="AM1486" s="122">
        <v>2164</v>
      </c>
      <c r="AN1486" s="122">
        <v>2141</v>
      </c>
      <c r="AO1486" s="122">
        <v>793</v>
      </c>
      <c r="AP1486">
        <v>351</v>
      </c>
      <c r="AQ1486">
        <v>130</v>
      </c>
      <c r="AR1486" s="122">
        <v>4890</v>
      </c>
      <c r="AS1486" s="122">
        <v>4445</v>
      </c>
      <c r="AT1486" s="122">
        <v>2756</v>
      </c>
      <c r="AU1486" s="122">
        <v>1021</v>
      </c>
      <c r="AV1486" s="122">
        <v>28034</v>
      </c>
    </row>
    <row r="1487" spans="2:48" hidden="1">
      <c r="B1487" t="s">
        <v>371</v>
      </c>
      <c r="C1487" t="s">
        <v>62</v>
      </c>
      <c r="D1487" t="s">
        <v>426</v>
      </c>
      <c r="E1487" t="s">
        <v>137</v>
      </c>
      <c r="F1487" s="122">
        <v>2</v>
      </c>
      <c r="G1487" s="122">
        <v>277</v>
      </c>
      <c r="H1487" s="122">
        <v>822</v>
      </c>
      <c r="I1487" s="122">
        <v>86344</v>
      </c>
      <c r="J1487" s="122">
        <v>78495</v>
      </c>
      <c r="K1487" s="122">
        <v>60</v>
      </c>
      <c r="L1487" s="122">
        <v>0</v>
      </c>
      <c r="M1487" s="122">
        <v>0</v>
      </c>
      <c r="N1487" s="122">
        <v>6325</v>
      </c>
      <c r="O1487" s="122">
        <v>2343</v>
      </c>
      <c r="P1487" s="122">
        <v>351</v>
      </c>
      <c r="Q1487" s="122">
        <v>130</v>
      </c>
      <c r="R1487" s="122">
        <v>22570</v>
      </c>
      <c r="S1487" s="122">
        <v>8359</v>
      </c>
      <c r="T1487" s="122">
        <v>0</v>
      </c>
      <c r="U1487" s="122">
        <v>0</v>
      </c>
      <c r="V1487" s="122">
        <v>89327</v>
      </c>
      <c r="W1487" s="122">
        <f t="shared" si="46"/>
        <v>89327</v>
      </c>
      <c r="X1487" s="122">
        <f t="shared" si="47"/>
        <v>115590</v>
      </c>
      <c r="AA1487" t="s">
        <v>58</v>
      </c>
      <c r="AB1487" t="s">
        <v>481</v>
      </c>
      <c r="AC1487" t="s">
        <v>426</v>
      </c>
      <c r="AD1487" t="s">
        <v>426</v>
      </c>
      <c r="AE1487" t="s">
        <v>566</v>
      </c>
      <c r="AF1487">
        <v>1</v>
      </c>
      <c r="AG1487">
        <v>136</v>
      </c>
      <c r="AH1487">
        <v>239</v>
      </c>
      <c r="AI1487" s="122">
        <v>17385</v>
      </c>
      <c r="AJ1487" s="122">
        <v>15805</v>
      </c>
      <c r="AK1487">
        <v>65</v>
      </c>
      <c r="AL1487" s="122">
        <v>4185</v>
      </c>
      <c r="AM1487" s="122">
        <v>3805</v>
      </c>
      <c r="AN1487" s="122">
        <v>3320</v>
      </c>
      <c r="AO1487" s="122">
        <v>1230</v>
      </c>
      <c r="AP1487" s="122">
        <v>351</v>
      </c>
      <c r="AQ1487">
        <v>130</v>
      </c>
      <c r="AR1487" s="122">
        <v>7322</v>
      </c>
      <c r="AS1487" s="122">
        <v>6656</v>
      </c>
      <c r="AT1487">
        <v>0</v>
      </c>
      <c r="AU1487">
        <v>0</v>
      </c>
      <c r="AV1487" s="122">
        <v>27625</v>
      </c>
    </row>
    <row r="1488" spans="2:48" hidden="1">
      <c r="B1488" t="s">
        <v>371</v>
      </c>
      <c r="C1488" t="s">
        <v>62</v>
      </c>
      <c r="D1488" t="s">
        <v>426</v>
      </c>
      <c r="E1488" t="s">
        <v>426</v>
      </c>
      <c r="F1488" s="122">
        <v>25</v>
      </c>
      <c r="G1488" s="122">
        <v>2144</v>
      </c>
      <c r="H1488" s="122">
        <v>10558</v>
      </c>
      <c r="I1488" s="122">
        <v>610403</v>
      </c>
      <c r="J1488" s="122">
        <v>554912</v>
      </c>
      <c r="K1488" s="122">
        <v>58</v>
      </c>
      <c r="L1488" s="122">
        <v>65160</v>
      </c>
      <c r="M1488" s="122">
        <v>57875</v>
      </c>
      <c r="N1488" s="122">
        <v>43893</v>
      </c>
      <c r="O1488" s="122">
        <v>16256</v>
      </c>
      <c r="P1488" s="122">
        <v>8343</v>
      </c>
      <c r="Q1488" s="122">
        <v>3090</v>
      </c>
      <c r="R1488" s="122">
        <v>134176</v>
      </c>
      <c r="S1488" s="122">
        <v>121979</v>
      </c>
      <c r="T1488" s="122">
        <v>50209</v>
      </c>
      <c r="U1488" s="122">
        <v>18596</v>
      </c>
      <c r="V1488" s="122">
        <v>772709</v>
      </c>
      <c r="W1488" s="122">
        <f t="shared" si="46"/>
        <v>772708</v>
      </c>
      <c r="X1488" s="122">
        <f t="shared" si="47"/>
        <v>912184</v>
      </c>
      <c r="AA1488" t="s">
        <v>58</v>
      </c>
      <c r="AB1488" t="s">
        <v>481</v>
      </c>
      <c r="AC1488" t="s">
        <v>426</v>
      </c>
      <c r="AD1488" t="s">
        <v>481</v>
      </c>
      <c r="AE1488" t="s">
        <v>566</v>
      </c>
      <c r="AF1488">
        <v>2</v>
      </c>
      <c r="AG1488">
        <v>429</v>
      </c>
      <c r="AH1488">
        <v>470</v>
      </c>
      <c r="AI1488" s="122">
        <v>92587</v>
      </c>
      <c r="AJ1488" s="122">
        <v>84170</v>
      </c>
      <c r="AK1488">
        <v>74</v>
      </c>
      <c r="AL1488" s="122">
        <v>13306</v>
      </c>
      <c r="AM1488" s="122">
        <v>12096</v>
      </c>
      <c r="AN1488" s="122">
        <v>9418</v>
      </c>
      <c r="AO1488" s="122">
        <v>3488</v>
      </c>
      <c r="AP1488" s="122">
        <v>1053</v>
      </c>
      <c r="AQ1488">
        <v>390</v>
      </c>
      <c r="AR1488" s="122">
        <v>14850</v>
      </c>
      <c r="AS1488" s="122">
        <v>13500</v>
      </c>
      <c r="AT1488" s="122">
        <v>0</v>
      </c>
      <c r="AU1488" s="122">
        <v>0</v>
      </c>
      <c r="AV1488" s="122">
        <v>113644</v>
      </c>
    </row>
    <row r="1489" spans="2:48" hidden="1">
      <c r="B1489" t="s">
        <v>371</v>
      </c>
      <c r="C1489" t="s">
        <v>62</v>
      </c>
      <c r="D1489" t="s">
        <v>433</v>
      </c>
      <c r="E1489" t="s">
        <v>137</v>
      </c>
      <c r="F1489" s="122">
        <v>1</v>
      </c>
      <c r="G1489" s="122">
        <v>117</v>
      </c>
      <c r="H1489" s="122">
        <v>446</v>
      </c>
      <c r="I1489" s="122">
        <v>25856</v>
      </c>
      <c r="J1489" s="122">
        <v>23506</v>
      </c>
      <c r="K1489" s="122">
        <v>60</v>
      </c>
      <c r="L1489" s="122">
        <v>14103</v>
      </c>
      <c r="M1489" s="122">
        <v>5224</v>
      </c>
      <c r="N1489" s="122">
        <v>2855</v>
      </c>
      <c r="O1489" s="122">
        <v>1057</v>
      </c>
      <c r="P1489" s="122">
        <v>0</v>
      </c>
      <c r="Q1489" s="122">
        <v>0</v>
      </c>
      <c r="R1489" s="122">
        <v>9424</v>
      </c>
      <c r="S1489" s="122">
        <v>3490</v>
      </c>
      <c r="T1489" s="122">
        <v>0</v>
      </c>
      <c r="U1489" s="122">
        <v>0</v>
      </c>
      <c r="V1489" s="122">
        <v>33277</v>
      </c>
      <c r="W1489" s="122">
        <f t="shared" si="46"/>
        <v>33277</v>
      </c>
      <c r="X1489" s="122">
        <f t="shared" si="47"/>
        <v>52238</v>
      </c>
      <c r="AA1489" t="s">
        <v>58</v>
      </c>
      <c r="AB1489" t="s">
        <v>481</v>
      </c>
      <c r="AC1489" t="s">
        <v>433</v>
      </c>
      <c r="AD1489" t="s">
        <v>481</v>
      </c>
      <c r="AE1489" t="s">
        <v>137</v>
      </c>
      <c r="AF1489">
        <v>1</v>
      </c>
      <c r="AG1489">
        <v>218</v>
      </c>
      <c r="AH1489">
        <v>247</v>
      </c>
      <c r="AI1489" s="122">
        <v>34610</v>
      </c>
      <c r="AJ1489" s="122">
        <v>31464</v>
      </c>
      <c r="AK1489">
        <v>65</v>
      </c>
      <c r="AL1489" s="122">
        <v>4545</v>
      </c>
      <c r="AM1489" s="122">
        <v>4132</v>
      </c>
      <c r="AN1489" s="122">
        <v>5150</v>
      </c>
      <c r="AO1489" s="122">
        <v>1907</v>
      </c>
      <c r="AP1489">
        <v>351</v>
      </c>
      <c r="AQ1489">
        <v>130</v>
      </c>
      <c r="AR1489" s="122">
        <v>5376</v>
      </c>
      <c r="AS1489" s="122">
        <v>4888</v>
      </c>
      <c r="AT1489" s="122">
        <v>3681</v>
      </c>
      <c r="AU1489" s="122">
        <v>1363</v>
      </c>
      <c r="AV1489" s="122">
        <v>43884</v>
      </c>
    </row>
    <row r="1490" spans="2:48" hidden="1">
      <c r="B1490" t="s">
        <v>371</v>
      </c>
      <c r="C1490" t="s">
        <v>62</v>
      </c>
      <c r="D1490" t="s">
        <v>433</v>
      </c>
      <c r="E1490" t="s">
        <v>433</v>
      </c>
      <c r="F1490" s="122">
        <v>1</v>
      </c>
      <c r="G1490" s="122">
        <v>92</v>
      </c>
      <c r="H1490" s="122">
        <v>384</v>
      </c>
      <c r="I1490" s="122">
        <v>26062</v>
      </c>
      <c r="J1490" s="122">
        <v>23692</v>
      </c>
      <c r="K1490" s="122">
        <v>60</v>
      </c>
      <c r="L1490" s="122">
        <v>0</v>
      </c>
      <c r="M1490" s="122">
        <v>0</v>
      </c>
      <c r="N1490" s="122">
        <v>1395</v>
      </c>
      <c r="O1490" s="122">
        <v>517</v>
      </c>
      <c r="P1490" s="122">
        <v>351</v>
      </c>
      <c r="Q1490" s="122">
        <v>130</v>
      </c>
      <c r="R1490" s="122">
        <v>7348</v>
      </c>
      <c r="S1490" s="122">
        <v>6680</v>
      </c>
      <c r="T1490" s="122">
        <v>0</v>
      </c>
      <c r="U1490" s="122">
        <v>0</v>
      </c>
      <c r="V1490" s="122">
        <v>31019</v>
      </c>
      <c r="W1490" s="122">
        <f t="shared" si="46"/>
        <v>31019</v>
      </c>
      <c r="X1490" s="122">
        <f t="shared" si="47"/>
        <v>35156</v>
      </c>
      <c r="AA1490" t="s">
        <v>58</v>
      </c>
      <c r="AB1490" t="s">
        <v>433</v>
      </c>
      <c r="AC1490" t="s">
        <v>137</v>
      </c>
      <c r="AD1490" t="s">
        <v>137</v>
      </c>
      <c r="AE1490" t="s">
        <v>137</v>
      </c>
      <c r="AF1490">
        <v>1</v>
      </c>
      <c r="AG1490">
        <v>91</v>
      </c>
      <c r="AH1490">
        <v>246</v>
      </c>
      <c r="AI1490" s="122">
        <v>10663</v>
      </c>
      <c r="AJ1490" s="122">
        <v>9694</v>
      </c>
      <c r="AK1490">
        <v>70</v>
      </c>
      <c r="AL1490" s="122">
        <v>2036</v>
      </c>
      <c r="AM1490" s="122">
        <v>754</v>
      </c>
      <c r="AN1490" s="122">
        <v>2214</v>
      </c>
      <c r="AO1490" s="122">
        <v>820</v>
      </c>
      <c r="AP1490" s="122">
        <v>0</v>
      </c>
      <c r="AQ1490">
        <v>0</v>
      </c>
      <c r="AR1490" s="122">
        <v>7404</v>
      </c>
      <c r="AS1490" s="122">
        <v>2742</v>
      </c>
      <c r="AT1490">
        <v>0</v>
      </c>
      <c r="AU1490">
        <v>0</v>
      </c>
      <c r="AV1490" s="122">
        <v>14010</v>
      </c>
    </row>
    <row r="1491" spans="2:48" hidden="1">
      <c r="B1491" t="s">
        <v>371</v>
      </c>
      <c r="C1491" t="s">
        <v>62</v>
      </c>
      <c r="D1491" t="s">
        <v>408</v>
      </c>
      <c r="E1491" t="s">
        <v>408</v>
      </c>
      <c r="F1491" s="122">
        <v>3</v>
      </c>
      <c r="G1491" s="122">
        <v>571</v>
      </c>
      <c r="H1491" s="122">
        <v>1206</v>
      </c>
      <c r="I1491" s="122">
        <v>163667</v>
      </c>
      <c r="J1491" s="122">
        <v>148788</v>
      </c>
      <c r="K1491" s="122">
        <v>72</v>
      </c>
      <c r="L1491" s="122">
        <v>29878</v>
      </c>
      <c r="M1491" s="122">
        <v>27162</v>
      </c>
      <c r="N1491" s="122">
        <v>9926</v>
      </c>
      <c r="O1491" s="122">
        <v>3676</v>
      </c>
      <c r="P1491" s="122">
        <v>1323</v>
      </c>
      <c r="Q1491" s="122">
        <v>490</v>
      </c>
      <c r="R1491" s="122">
        <v>18717</v>
      </c>
      <c r="S1491" s="122">
        <v>17016</v>
      </c>
      <c r="T1491" s="122">
        <v>2966</v>
      </c>
      <c r="U1491" s="122">
        <v>1098</v>
      </c>
      <c r="V1491" s="122">
        <v>198230</v>
      </c>
      <c r="W1491" s="122">
        <f t="shared" si="46"/>
        <v>198230</v>
      </c>
      <c r="X1491" s="122">
        <f t="shared" si="47"/>
        <v>226477</v>
      </c>
      <c r="AA1491" t="s">
        <v>58</v>
      </c>
      <c r="AB1491" t="s">
        <v>433</v>
      </c>
      <c r="AC1491" t="s">
        <v>137</v>
      </c>
      <c r="AD1491" t="s">
        <v>137</v>
      </c>
      <c r="AE1491" t="s">
        <v>566</v>
      </c>
      <c r="AF1491">
        <v>3</v>
      </c>
      <c r="AG1491">
        <v>491</v>
      </c>
      <c r="AH1491">
        <v>830</v>
      </c>
      <c r="AI1491" s="122">
        <v>78568</v>
      </c>
      <c r="AJ1491" s="122">
        <v>71426</v>
      </c>
      <c r="AK1491">
        <v>62</v>
      </c>
      <c r="AL1491" s="122">
        <v>22594</v>
      </c>
      <c r="AM1491" s="122">
        <v>8368</v>
      </c>
      <c r="AN1491" s="122">
        <v>8634</v>
      </c>
      <c r="AO1491" s="122">
        <v>3198</v>
      </c>
      <c r="AP1491" s="122">
        <v>1640</v>
      </c>
      <c r="AQ1491">
        <v>607</v>
      </c>
      <c r="AR1491" s="122">
        <v>23576</v>
      </c>
      <c r="AS1491" s="122">
        <v>8732</v>
      </c>
      <c r="AT1491" s="122">
        <v>0</v>
      </c>
      <c r="AU1491" s="122">
        <v>0</v>
      </c>
      <c r="AV1491" s="122">
        <v>92331</v>
      </c>
    </row>
    <row r="1492" spans="2:48" hidden="1">
      <c r="B1492" t="s">
        <v>371</v>
      </c>
      <c r="C1492" t="s">
        <v>64</v>
      </c>
      <c r="D1492" t="s">
        <v>555</v>
      </c>
      <c r="E1492" t="s">
        <v>555</v>
      </c>
      <c r="F1492" s="122">
        <v>2</v>
      </c>
      <c r="G1492" s="122">
        <v>201</v>
      </c>
      <c r="H1492" s="122">
        <v>1593</v>
      </c>
      <c r="I1492" s="122">
        <v>121919</v>
      </c>
      <c r="J1492" s="122">
        <v>110836</v>
      </c>
      <c r="K1492" s="122">
        <v>45</v>
      </c>
      <c r="L1492" s="122">
        <v>15521</v>
      </c>
      <c r="M1492" s="122">
        <v>14110</v>
      </c>
      <c r="N1492" s="122">
        <v>3685</v>
      </c>
      <c r="O1492" s="122">
        <v>1365</v>
      </c>
      <c r="P1492" s="122">
        <v>702</v>
      </c>
      <c r="Q1492" s="122">
        <v>260</v>
      </c>
      <c r="R1492" s="122">
        <v>18280</v>
      </c>
      <c r="S1492" s="122">
        <v>16618</v>
      </c>
      <c r="T1492" s="122">
        <v>0</v>
      </c>
      <c r="U1492" s="122">
        <v>0</v>
      </c>
      <c r="V1492" s="122">
        <v>143189</v>
      </c>
      <c r="W1492" s="122">
        <f t="shared" si="46"/>
        <v>143189</v>
      </c>
      <c r="X1492" s="122">
        <f t="shared" si="47"/>
        <v>160107</v>
      </c>
      <c r="AA1492" t="s">
        <v>58</v>
      </c>
      <c r="AB1492" t="s">
        <v>433</v>
      </c>
      <c r="AC1492" t="s">
        <v>137</v>
      </c>
      <c r="AD1492" t="s">
        <v>433</v>
      </c>
      <c r="AE1492" t="s">
        <v>137</v>
      </c>
      <c r="AF1492">
        <v>3</v>
      </c>
      <c r="AG1492">
        <v>420</v>
      </c>
      <c r="AH1492">
        <v>840</v>
      </c>
      <c r="AI1492" s="122">
        <v>73422</v>
      </c>
      <c r="AJ1492" s="122">
        <v>66747</v>
      </c>
      <c r="AK1492">
        <v>65</v>
      </c>
      <c r="AL1492" s="122">
        <v>13016</v>
      </c>
      <c r="AM1492" s="122">
        <v>4821</v>
      </c>
      <c r="AN1492" s="122">
        <v>7784</v>
      </c>
      <c r="AO1492" s="122">
        <v>2883</v>
      </c>
      <c r="AP1492" s="122">
        <v>1053</v>
      </c>
      <c r="AQ1492">
        <v>390</v>
      </c>
      <c r="AR1492" s="122">
        <v>13625</v>
      </c>
      <c r="AS1492" s="122">
        <v>12387</v>
      </c>
      <c r="AT1492" s="122">
        <v>8756</v>
      </c>
      <c r="AU1492" s="122">
        <v>3243</v>
      </c>
      <c r="AV1492" s="122">
        <v>90471</v>
      </c>
    </row>
    <row r="1493" spans="2:48" hidden="1">
      <c r="B1493" t="s">
        <v>371</v>
      </c>
      <c r="C1493" t="s">
        <v>64</v>
      </c>
      <c r="D1493" t="s">
        <v>137</v>
      </c>
      <c r="E1493" t="s">
        <v>137</v>
      </c>
      <c r="F1493" s="122">
        <v>97</v>
      </c>
      <c r="G1493" s="122">
        <v>8926</v>
      </c>
      <c r="H1493" s="122">
        <v>72723</v>
      </c>
      <c r="I1493" s="122">
        <v>4752203</v>
      </c>
      <c r="J1493" s="122">
        <v>1760075</v>
      </c>
      <c r="K1493" s="122">
        <v>100</v>
      </c>
      <c r="L1493" s="122">
        <v>780459</v>
      </c>
      <c r="M1493" s="122">
        <v>676762</v>
      </c>
      <c r="N1493" s="122">
        <v>201296</v>
      </c>
      <c r="O1493" s="122">
        <v>74554</v>
      </c>
      <c r="P1493" s="122">
        <v>0</v>
      </c>
      <c r="Q1493" s="122">
        <v>0</v>
      </c>
      <c r="R1493" s="122">
        <v>672768</v>
      </c>
      <c r="S1493" s="122">
        <v>249173</v>
      </c>
      <c r="T1493" s="122">
        <v>5122</v>
      </c>
      <c r="U1493" s="122">
        <v>1897</v>
      </c>
      <c r="V1493" s="122">
        <v>2762461</v>
      </c>
      <c r="W1493" s="122">
        <f t="shared" si="46"/>
        <v>2762461</v>
      </c>
      <c r="X1493" s="122">
        <f t="shared" si="47"/>
        <v>6411848</v>
      </c>
      <c r="AA1493" t="s">
        <v>58</v>
      </c>
      <c r="AB1493" t="s">
        <v>433</v>
      </c>
      <c r="AC1493" t="s">
        <v>137</v>
      </c>
      <c r="AD1493" t="s">
        <v>433</v>
      </c>
      <c r="AE1493" t="s">
        <v>566</v>
      </c>
      <c r="AF1493">
        <v>1</v>
      </c>
      <c r="AG1493" s="122">
        <v>98</v>
      </c>
      <c r="AH1493" s="122">
        <v>282</v>
      </c>
      <c r="AI1493" s="122">
        <v>16790</v>
      </c>
      <c r="AJ1493" s="122">
        <v>15264</v>
      </c>
      <c r="AK1493">
        <v>75</v>
      </c>
      <c r="AL1493" s="122">
        <v>3434</v>
      </c>
      <c r="AM1493" s="122">
        <v>1272</v>
      </c>
      <c r="AN1493" s="122">
        <v>2261</v>
      </c>
      <c r="AO1493" s="122">
        <v>837</v>
      </c>
      <c r="AP1493" s="122">
        <v>351</v>
      </c>
      <c r="AQ1493" s="122">
        <v>130</v>
      </c>
      <c r="AR1493" s="122">
        <v>4695</v>
      </c>
      <c r="AS1493" s="122">
        <v>4268</v>
      </c>
      <c r="AT1493" s="122">
        <v>0</v>
      </c>
      <c r="AU1493" s="122">
        <v>0</v>
      </c>
      <c r="AV1493" s="122">
        <v>21772</v>
      </c>
    </row>
    <row r="1494" spans="2:48" hidden="1">
      <c r="B1494" t="s">
        <v>371</v>
      </c>
      <c r="C1494" t="s">
        <v>64</v>
      </c>
      <c r="D1494" t="s">
        <v>137</v>
      </c>
      <c r="E1494" t="s">
        <v>406</v>
      </c>
      <c r="F1494" s="122">
        <v>5</v>
      </c>
      <c r="G1494" s="122">
        <v>797</v>
      </c>
      <c r="H1494" s="122">
        <v>3665</v>
      </c>
      <c r="I1494" s="122">
        <v>439601</v>
      </c>
      <c r="J1494" s="122">
        <v>162815</v>
      </c>
      <c r="K1494" s="122">
        <v>100</v>
      </c>
      <c r="L1494" s="122">
        <v>50583</v>
      </c>
      <c r="M1494" s="122">
        <v>41683</v>
      </c>
      <c r="N1494" s="122">
        <v>18451</v>
      </c>
      <c r="O1494" s="122">
        <v>6834</v>
      </c>
      <c r="P1494" s="122">
        <v>1161</v>
      </c>
      <c r="Q1494" s="122">
        <v>430</v>
      </c>
      <c r="R1494" s="122">
        <v>36011</v>
      </c>
      <c r="S1494" s="122">
        <v>32737</v>
      </c>
      <c r="T1494" s="122">
        <v>18546</v>
      </c>
      <c r="U1494" s="122">
        <v>6869</v>
      </c>
      <c r="V1494" s="122">
        <v>251368</v>
      </c>
      <c r="W1494" s="122">
        <f t="shared" si="46"/>
        <v>251368</v>
      </c>
      <c r="X1494" s="122">
        <f t="shared" si="47"/>
        <v>564353</v>
      </c>
      <c r="AA1494" t="s">
        <v>58</v>
      </c>
      <c r="AB1494" t="s">
        <v>433</v>
      </c>
      <c r="AC1494" t="s">
        <v>580</v>
      </c>
      <c r="AD1494" t="s">
        <v>433</v>
      </c>
      <c r="AE1494" t="s">
        <v>137</v>
      </c>
      <c r="AF1494">
        <v>10</v>
      </c>
      <c r="AG1494" s="122">
        <v>1982</v>
      </c>
      <c r="AH1494" s="122">
        <v>2586</v>
      </c>
      <c r="AI1494" s="122">
        <v>350835</v>
      </c>
      <c r="AJ1494" s="122">
        <v>318941</v>
      </c>
      <c r="AK1494">
        <v>65</v>
      </c>
      <c r="AL1494" s="122">
        <v>34160</v>
      </c>
      <c r="AM1494" s="122">
        <v>31055</v>
      </c>
      <c r="AN1494" s="122">
        <v>46279</v>
      </c>
      <c r="AO1494" s="122">
        <v>17140</v>
      </c>
      <c r="AP1494" s="122">
        <v>7263</v>
      </c>
      <c r="AQ1494" s="122">
        <v>2690</v>
      </c>
      <c r="AR1494" s="122">
        <v>60823</v>
      </c>
      <c r="AS1494" s="122">
        <v>55294</v>
      </c>
      <c r="AT1494" s="122">
        <v>18280</v>
      </c>
      <c r="AU1494" s="122">
        <v>6770</v>
      </c>
      <c r="AV1494" s="122">
        <v>431890</v>
      </c>
    </row>
    <row r="1495" spans="2:48" hidden="1">
      <c r="B1495" t="s">
        <v>371</v>
      </c>
      <c r="C1495" t="s">
        <v>64</v>
      </c>
      <c r="D1495" t="s">
        <v>137</v>
      </c>
      <c r="E1495" t="s">
        <v>556</v>
      </c>
      <c r="F1495" s="122">
        <v>2</v>
      </c>
      <c r="G1495" s="122">
        <v>216</v>
      </c>
      <c r="H1495" s="122">
        <v>1293</v>
      </c>
      <c r="I1495" s="122">
        <v>90808</v>
      </c>
      <c r="J1495" s="122">
        <v>33633</v>
      </c>
      <c r="K1495" s="122">
        <v>100</v>
      </c>
      <c r="L1495" s="122">
        <v>9965</v>
      </c>
      <c r="M1495" s="122">
        <v>8304</v>
      </c>
      <c r="N1495" s="122">
        <v>4617</v>
      </c>
      <c r="O1495" s="122">
        <v>1710</v>
      </c>
      <c r="P1495" s="122">
        <v>972</v>
      </c>
      <c r="Q1495" s="122">
        <v>360</v>
      </c>
      <c r="R1495" s="122">
        <v>18649</v>
      </c>
      <c r="S1495" s="122">
        <v>15541</v>
      </c>
      <c r="T1495" s="122">
        <v>2172</v>
      </c>
      <c r="U1495" s="122">
        <v>805</v>
      </c>
      <c r="V1495" s="122">
        <v>60352</v>
      </c>
      <c r="W1495" s="122">
        <f t="shared" si="46"/>
        <v>60353</v>
      </c>
      <c r="X1495" s="122">
        <f t="shared" si="47"/>
        <v>127183</v>
      </c>
      <c r="AA1495" t="s">
        <v>58</v>
      </c>
      <c r="AB1495" t="s">
        <v>433</v>
      </c>
      <c r="AC1495" t="s">
        <v>580</v>
      </c>
      <c r="AD1495" t="s">
        <v>433</v>
      </c>
      <c r="AE1495" t="s">
        <v>566</v>
      </c>
      <c r="AF1495">
        <v>4</v>
      </c>
      <c r="AG1495">
        <v>534</v>
      </c>
      <c r="AH1495" s="122">
        <v>1064</v>
      </c>
      <c r="AI1495" s="122">
        <v>119448</v>
      </c>
      <c r="AJ1495" s="122">
        <v>108589</v>
      </c>
      <c r="AK1495">
        <v>64</v>
      </c>
      <c r="AL1495" s="122">
        <v>13165</v>
      </c>
      <c r="AM1495" s="122">
        <v>11968</v>
      </c>
      <c r="AN1495" s="122">
        <v>11947</v>
      </c>
      <c r="AO1495" s="122">
        <v>4425</v>
      </c>
      <c r="AP1495" s="122">
        <v>3186</v>
      </c>
      <c r="AQ1495" s="122">
        <v>1180</v>
      </c>
      <c r="AR1495" s="122">
        <v>28718</v>
      </c>
      <c r="AS1495" s="122">
        <v>26107</v>
      </c>
      <c r="AT1495">
        <v>0</v>
      </c>
      <c r="AU1495">
        <v>0</v>
      </c>
      <c r="AV1495" s="122">
        <v>152269</v>
      </c>
    </row>
    <row r="1496" spans="2:48" hidden="1">
      <c r="B1496" t="s">
        <v>371</v>
      </c>
      <c r="C1496" t="s">
        <v>64</v>
      </c>
      <c r="D1496" t="s">
        <v>137</v>
      </c>
      <c r="E1496" t="s">
        <v>426</v>
      </c>
      <c r="F1496" s="122">
        <v>2</v>
      </c>
      <c r="G1496" s="122">
        <v>253</v>
      </c>
      <c r="H1496" s="122">
        <v>1162</v>
      </c>
      <c r="I1496" s="122">
        <v>105475</v>
      </c>
      <c r="J1496" s="122">
        <v>39065</v>
      </c>
      <c r="K1496" s="122">
        <v>100</v>
      </c>
      <c r="L1496" s="122">
        <v>13397</v>
      </c>
      <c r="M1496" s="122">
        <v>12179</v>
      </c>
      <c r="N1496" s="122">
        <v>5550</v>
      </c>
      <c r="O1496" s="122">
        <v>2056</v>
      </c>
      <c r="P1496" s="122">
        <v>351</v>
      </c>
      <c r="Q1496" s="122">
        <v>130</v>
      </c>
      <c r="R1496" s="122">
        <v>16873</v>
      </c>
      <c r="S1496" s="122">
        <v>15339</v>
      </c>
      <c r="T1496" s="122">
        <v>3252</v>
      </c>
      <c r="U1496" s="122">
        <v>1205</v>
      </c>
      <c r="V1496" s="122">
        <v>69973</v>
      </c>
      <c r="W1496" s="122">
        <f t="shared" si="46"/>
        <v>69974</v>
      </c>
      <c r="X1496" s="122">
        <f t="shared" si="47"/>
        <v>144898</v>
      </c>
      <c r="AA1496" t="s">
        <v>58</v>
      </c>
      <c r="AB1496" t="s">
        <v>433</v>
      </c>
      <c r="AC1496" t="s">
        <v>427</v>
      </c>
      <c r="AD1496" t="s">
        <v>433</v>
      </c>
      <c r="AE1496" t="s">
        <v>137</v>
      </c>
      <c r="AF1496">
        <v>1</v>
      </c>
      <c r="AG1496">
        <v>98</v>
      </c>
      <c r="AH1496">
        <v>299</v>
      </c>
      <c r="AI1496" s="122">
        <v>17723</v>
      </c>
      <c r="AJ1496" s="122">
        <v>16112</v>
      </c>
      <c r="AK1496">
        <v>65</v>
      </c>
      <c r="AL1496" s="122">
        <v>2327</v>
      </c>
      <c r="AM1496" s="122">
        <v>2116</v>
      </c>
      <c r="AN1496" s="122">
        <v>1331</v>
      </c>
      <c r="AO1496" s="122">
        <v>493</v>
      </c>
      <c r="AP1496" s="122">
        <v>351</v>
      </c>
      <c r="AQ1496">
        <v>130</v>
      </c>
      <c r="AR1496" s="122">
        <v>7462</v>
      </c>
      <c r="AS1496" s="122">
        <v>6783</v>
      </c>
      <c r="AT1496">
        <v>0</v>
      </c>
      <c r="AU1496">
        <v>0</v>
      </c>
      <c r="AV1496" s="122">
        <v>25634</v>
      </c>
    </row>
    <row r="1497" spans="2:48" hidden="1">
      <c r="B1497" t="s">
        <v>371</v>
      </c>
      <c r="C1497" t="s">
        <v>64</v>
      </c>
      <c r="D1497" t="s">
        <v>406</v>
      </c>
      <c r="E1497" t="s">
        <v>137</v>
      </c>
      <c r="F1497" s="122">
        <v>5</v>
      </c>
      <c r="G1497" s="122">
        <v>318</v>
      </c>
      <c r="H1497" s="122">
        <v>3438</v>
      </c>
      <c r="I1497" s="122">
        <v>155032</v>
      </c>
      <c r="J1497" s="122">
        <v>140938</v>
      </c>
      <c r="K1497" s="122">
        <v>66</v>
      </c>
      <c r="L1497" s="122">
        <v>23006</v>
      </c>
      <c r="M1497" s="122">
        <v>17922</v>
      </c>
      <c r="N1497" s="122">
        <v>7181</v>
      </c>
      <c r="O1497" s="122">
        <v>2660</v>
      </c>
      <c r="P1497" s="122">
        <v>3105</v>
      </c>
      <c r="Q1497" s="122">
        <v>1150</v>
      </c>
      <c r="R1497" s="122">
        <v>37394</v>
      </c>
      <c r="S1497" s="122">
        <v>13849</v>
      </c>
      <c r="T1497" s="122">
        <v>0</v>
      </c>
      <c r="U1497" s="122">
        <v>0</v>
      </c>
      <c r="V1497" s="122">
        <v>176519</v>
      </c>
      <c r="W1497" s="122">
        <f t="shared" si="46"/>
        <v>176519</v>
      </c>
      <c r="X1497" s="122">
        <f t="shared" si="47"/>
        <v>225718</v>
      </c>
      <c r="AA1497" t="s">
        <v>58</v>
      </c>
      <c r="AB1497" t="s">
        <v>433</v>
      </c>
      <c r="AC1497" t="s">
        <v>427</v>
      </c>
      <c r="AD1497" t="s">
        <v>433</v>
      </c>
      <c r="AE1497" t="s">
        <v>566</v>
      </c>
      <c r="AF1497">
        <v>2</v>
      </c>
      <c r="AG1497">
        <v>290</v>
      </c>
      <c r="AH1497">
        <v>556</v>
      </c>
      <c r="AI1497" s="122">
        <v>45307</v>
      </c>
      <c r="AJ1497" s="122">
        <v>41189</v>
      </c>
      <c r="AK1497">
        <v>71</v>
      </c>
      <c r="AL1497" s="122">
        <v>13018</v>
      </c>
      <c r="AM1497" s="122">
        <v>11835</v>
      </c>
      <c r="AN1497" s="122">
        <v>5259</v>
      </c>
      <c r="AO1497" s="122">
        <v>1948</v>
      </c>
      <c r="AP1497" s="122">
        <v>1323</v>
      </c>
      <c r="AQ1497">
        <v>490</v>
      </c>
      <c r="AR1497" s="122">
        <v>13712</v>
      </c>
      <c r="AS1497" s="122">
        <v>12465</v>
      </c>
      <c r="AT1497">
        <v>0</v>
      </c>
      <c r="AU1497">
        <v>0</v>
      </c>
      <c r="AV1497" s="122">
        <v>67926</v>
      </c>
    </row>
    <row r="1498" spans="2:48" hidden="1">
      <c r="B1498" t="s">
        <v>371</v>
      </c>
      <c r="C1498" t="s">
        <v>64</v>
      </c>
      <c r="D1498" t="s">
        <v>406</v>
      </c>
      <c r="E1498" t="s">
        <v>406</v>
      </c>
      <c r="F1498" s="122">
        <v>328</v>
      </c>
      <c r="G1498" s="122">
        <v>36188</v>
      </c>
      <c r="H1498" s="122">
        <v>182098</v>
      </c>
      <c r="I1498" s="122">
        <v>13707825</v>
      </c>
      <c r="J1498" s="122">
        <v>12461659</v>
      </c>
      <c r="K1498" s="122">
        <v>70</v>
      </c>
      <c r="L1498" s="122">
        <v>2847677</v>
      </c>
      <c r="M1498" s="122">
        <v>2536666</v>
      </c>
      <c r="N1498" s="122">
        <v>784402</v>
      </c>
      <c r="O1498" s="122">
        <v>290519</v>
      </c>
      <c r="P1498" s="122">
        <v>204633</v>
      </c>
      <c r="Q1498" s="122">
        <v>75790</v>
      </c>
      <c r="R1498" s="122">
        <v>1790592</v>
      </c>
      <c r="S1498" s="122">
        <v>1627811</v>
      </c>
      <c r="T1498" s="122">
        <v>604545</v>
      </c>
      <c r="U1498" s="122">
        <v>223906</v>
      </c>
      <c r="V1498" s="122">
        <v>17216351</v>
      </c>
      <c r="W1498" s="122">
        <f t="shared" si="46"/>
        <v>17216351</v>
      </c>
      <c r="X1498" s="122">
        <f t="shared" si="47"/>
        <v>19939674</v>
      </c>
      <c r="AA1498" t="s">
        <v>58</v>
      </c>
      <c r="AB1498" t="s">
        <v>433</v>
      </c>
      <c r="AC1498" t="s">
        <v>579</v>
      </c>
      <c r="AD1498" t="s">
        <v>433</v>
      </c>
      <c r="AE1498" t="s">
        <v>566</v>
      </c>
      <c r="AF1498">
        <v>1</v>
      </c>
      <c r="AG1498">
        <v>173</v>
      </c>
      <c r="AH1498">
        <v>254</v>
      </c>
      <c r="AI1498" s="122">
        <v>23745</v>
      </c>
      <c r="AJ1498" s="122">
        <v>21586</v>
      </c>
      <c r="AK1498">
        <v>76</v>
      </c>
      <c r="AL1498" s="122">
        <v>7243</v>
      </c>
      <c r="AM1498" s="122">
        <v>6036</v>
      </c>
      <c r="AN1498" s="122">
        <v>4205</v>
      </c>
      <c r="AO1498" s="122">
        <v>1557</v>
      </c>
      <c r="AP1498">
        <v>351</v>
      </c>
      <c r="AQ1498">
        <v>130</v>
      </c>
      <c r="AR1498" s="122">
        <v>8271</v>
      </c>
      <c r="AS1498" s="122">
        <v>7519</v>
      </c>
      <c r="AT1498">
        <v>0</v>
      </c>
      <c r="AU1498">
        <v>0</v>
      </c>
      <c r="AV1498" s="122">
        <v>36829</v>
      </c>
    </row>
    <row r="1499" spans="2:48" hidden="1">
      <c r="B1499" t="s">
        <v>371</v>
      </c>
      <c r="C1499" t="s">
        <v>64</v>
      </c>
      <c r="D1499" t="s">
        <v>427</v>
      </c>
      <c r="E1499" t="s">
        <v>137</v>
      </c>
      <c r="F1499" s="122">
        <v>9</v>
      </c>
      <c r="G1499" s="122">
        <v>776</v>
      </c>
      <c r="H1499" s="122">
        <v>9226</v>
      </c>
      <c r="I1499" s="122">
        <v>585521</v>
      </c>
      <c r="J1499" s="122">
        <v>532292</v>
      </c>
      <c r="K1499" s="122">
        <v>42</v>
      </c>
      <c r="L1499" s="122">
        <v>108163</v>
      </c>
      <c r="M1499" s="122">
        <v>46151</v>
      </c>
      <c r="N1499" s="122">
        <v>17604</v>
      </c>
      <c r="O1499" s="122">
        <v>6520</v>
      </c>
      <c r="P1499" s="122">
        <v>0</v>
      </c>
      <c r="Q1499" s="122">
        <v>0</v>
      </c>
      <c r="R1499" s="122">
        <v>60294</v>
      </c>
      <c r="S1499" s="122">
        <v>22331</v>
      </c>
      <c r="T1499" s="122">
        <v>1196</v>
      </c>
      <c r="U1499" s="122">
        <v>443</v>
      </c>
      <c r="V1499" s="122">
        <v>607737</v>
      </c>
      <c r="W1499" s="122">
        <f t="shared" si="46"/>
        <v>607737</v>
      </c>
      <c r="X1499" s="122">
        <f t="shared" si="47"/>
        <v>772778</v>
      </c>
      <c r="AA1499" t="s">
        <v>58</v>
      </c>
      <c r="AB1499" t="s">
        <v>433</v>
      </c>
      <c r="AC1499" t="s">
        <v>428</v>
      </c>
      <c r="AD1499" t="s">
        <v>433</v>
      </c>
      <c r="AE1499" t="s">
        <v>566</v>
      </c>
      <c r="AF1499">
        <v>1</v>
      </c>
      <c r="AG1499">
        <v>86</v>
      </c>
      <c r="AH1499">
        <v>277</v>
      </c>
      <c r="AI1499" s="122">
        <v>11403</v>
      </c>
      <c r="AJ1499" s="122">
        <v>10366</v>
      </c>
      <c r="AK1499">
        <v>60</v>
      </c>
      <c r="AL1499" s="122">
        <v>2407</v>
      </c>
      <c r="AM1499" s="122">
        <v>2188</v>
      </c>
      <c r="AN1499" s="122">
        <v>1434</v>
      </c>
      <c r="AO1499" s="122">
        <v>531</v>
      </c>
      <c r="AP1499" s="122">
        <v>351</v>
      </c>
      <c r="AQ1499">
        <v>130</v>
      </c>
      <c r="AR1499" s="122">
        <v>8181</v>
      </c>
      <c r="AS1499" s="122">
        <v>7437</v>
      </c>
      <c r="AT1499" s="122">
        <v>0</v>
      </c>
      <c r="AU1499" s="122">
        <v>0</v>
      </c>
      <c r="AV1499" s="122">
        <v>20653</v>
      </c>
    </row>
    <row r="1500" spans="2:48" hidden="1">
      <c r="B1500" t="s">
        <v>371</v>
      </c>
      <c r="C1500" t="s">
        <v>64</v>
      </c>
      <c r="D1500" t="s">
        <v>427</v>
      </c>
      <c r="E1500" t="s">
        <v>427</v>
      </c>
      <c r="F1500" s="122">
        <v>16</v>
      </c>
      <c r="G1500" s="122">
        <v>1296</v>
      </c>
      <c r="H1500" s="122">
        <v>11902</v>
      </c>
      <c r="I1500" s="122">
        <v>653842</v>
      </c>
      <c r="J1500" s="122">
        <v>594402</v>
      </c>
      <c r="K1500" s="122">
        <v>53</v>
      </c>
      <c r="L1500" s="122">
        <v>108552</v>
      </c>
      <c r="M1500" s="122">
        <v>96498</v>
      </c>
      <c r="N1500" s="122">
        <v>28215</v>
      </c>
      <c r="O1500" s="122">
        <v>10450</v>
      </c>
      <c r="P1500" s="122">
        <v>5265</v>
      </c>
      <c r="Q1500" s="122">
        <v>1950</v>
      </c>
      <c r="R1500" s="122">
        <v>105412</v>
      </c>
      <c r="S1500" s="122">
        <v>95830</v>
      </c>
      <c r="T1500" s="122">
        <v>25896</v>
      </c>
      <c r="U1500" s="122">
        <v>9591</v>
      </c>
      <c r="V1500" s="122">
        <v>808721</v>
      </c>
      <c r="W1500" s="122">
        <f t="shared" si="46"/>
        <v>808721</v>
      </c>
      <c r="X1500" s="122">
        <f t="shared" si="47"/>
        <v>927182</v>
      </c>
      <c r="AA1500" t="s">
        <v>58</v>
      </c>
      <c r="AB1500" t="s">
        <v>433</v>
      </c>
      <c r="AC1500" t="s">
        <v>431</v>
      </c>
      <c r="AD1500" t="s">
        <v>433</v>
      </c>
      <c r="AE1500" t="s">
        <v>137</v>
      </c>
      <c r="AF1500">
        <v>3</v>
      </c>
      <c r="AG1500">
        <v>368</v>
      </c>
      <c r="AH1500" s="122">
        <v>774</v>
      </c>
      <c r="AI1500" s="122">
        <v>55746</v>
      </c>
      <c r="AJ1500" s="122">
        <v>50678</v>
      </c>
      <c r="AK1500">
        <v>63</v>
      </c>
      <c r="AL1500" s="122">
        <v>12818</v>
      </c>
      <c r="AM1500" s="122">
        <v>11652</v>
      </c>
      <c r="AN1500" s="122">
        <v>5119</v>
      </c>
      <c r="AO1500" s="122">
        <v>1896</v>
      </c>
      <c r="AP1500" s="122">
        <v>1323</v>
      </c>
      <c r="AQ1500">
        <v>490</v>
      </c>
      <c r="AR1500" s="122">
        <v>13410</v>
      </c>
      <c r="AS1500" s="122">
        <v>12191</v>
      </c>
      <c r="AT1500" s="122">
        <v>5636</v>
      </c>
      <c r="AU1500" s="122">
        <v>2087</v>
      </c>
      <c r="AV1500" s="122">
        <v>78995</v>
      </c>
    </row>
    <row r="1501" spans="2:48" hidden="1">
      <c r="B1501" t="s">
        <v>371</v>
      </c>
      <c r="C1501" t="s">
        <v>64</v>
      </c>
      <c r="D1501" t="s">
        <v>407</v>
      </c>
      <c r="E1501" t="s">
        <v>407</v>
      </c>
      <c r="F1501" s="122">
        <v>5</v>
      </c>
      <c r="G1501" s="122">
        <v>598</v>
      </c>
      <c r="H1501" s="122">
        <v>2508</v>
      </c>
      <c r="I1501" s="122">
        <v>205384</v>
      </c>
      <c r="J1501" s="122">
        <v>186713</v>
      </c>
      <c r="K1501" s="122">
        <v>76</v>
      </c>
      <c r="L1501" s="122">
        <v>40045</v>
      </c>
      <c r="M1501" s="122">
        <v>34805</v>
      </c>
      <c r="N1501" s="122">
        <v>11841</v>
      </c>
      <c r="O1501" s="122">
        <v>4386</v>
      </c>
      <c r="P1501" s="122">
        <v>2363</v>
      </c>
      <c r="Q1501" s="122">
        <v>875</v>
      </c>
      <c r="R1501" s="122">
        <v>27454</v>
      </c>
      <c r="S1501" s="122">
        <v>24958</v>
      </c>
      <c r="T1501" s="122">
        <v>8569</v>
      </c>
      <c r="U1501" s="122">
        <v>3174</v>
      </c>
      <c r="V1501" s="122">
        <v>254910</v>
      </c>
      <c r="W1501" s="122">
        <f t="shared" si="46"/>
        <v>254911</v>
      </c>
      <c r="X1501" s="122">
        <f t="shared" si="47"/>
        <v>295656</v>
      </c>
      <c r="AA1501" t="s">
        <v>58</v>
      </c>
      <c r="AB1501" t="s">
        <v>433</v>
      </c>
      <c r="AC1501" t="s">
        <v>431</v>
      </c>
      <c r="AD1501" t="s">
        <v>433</v>
      </c>
      <c r="AE1501" t="s">
        <v>566</v>
      </c>
      <c r="AF1501">
        <v>4</v>
      </c>
      <c r="AG1501">
        <v>399</v>
      </c>
      <c r="AH1501" s="122">
        <v>1146</v>
      </c>
      <c r="AI1501" s="122">
        <v>70914</v>
      </c>
      <c r="AJ1501" s="122">
        <v>64467</v>
      </c>
      <c r="AK1501">
        <v>61</v>
      </c>
      <c r="AL1501" s="122">
        <v>16191</v>
      </c>
      <c r="AM1501" s="122">
        <v>14719</v>
      </c>
      <c r="AN1501" s="122">
        <v>8840</v>
      </c>
      <c r="AO1501" s="122">
        <v>3274</v>
      </c>
      <c r="AP1501" s="122">
        <v>1404</v>
      </c>
      <c r="AQ1501">
        <v>520</v>
      </c>
      <c r="AR1501" s="122">
        <v>17280</v>
      </c>
      <c r="AS1501" s="122">
        <v>15709</v>
      </c>
      <c r="AT1501" s="122">
        <v>0</v>
      </c>
      <c r="AU1501" s="122">
        <v>0</v>
      </c>
      <c r="AV1501" s="122">
        <v>98690</v>
      </c>
    </row>
    <row r="1502" spans="2:48" hidden="1">
      <c r="B1502" t="s">
        <v>371</v>
      </c>
      <c r="C1502" t="s">
        <v>64</v>
      </c>
      <c r="D1502" t="s">
        <v>556</v>
      </c>
      <c r="E1502" t="s">
        <v>137</v>
      </c>
      <c r="F1502" s="122">
        <v>1</v>
      </c>
      <c r="G1502" s="122">
        <v>106</v>
      </c>
      <c r="H1502" s="122">
        <v>1152</v>
      </c>
      <c r="I1502" s="122">
        <v>103911</v>
      </c>
      <c r="J1502" s="122">
        <v>86593</v>
      </c>
      <c r="K1502" s="122">
        <v>30</v>
      </c>
      <c r="L1502" s="122">
        <v>7793</v>
      </c>
      <c r="M1502" s="122">
        <v>2886</v>
      </c>
      <c r="N1502" s="122">
        <v>2477</v>
      </c>
      <c r="O1502" s="122">
        <v>917</v>
      </c>
      <c r="P1502" s="122">
        <v>0</v>
      </c>
      <c r="Q1502" s="122">
        <v>0</v>
      </c>
      <c r="R1502" s="122">
        <v>8413</v>
      </c>
      <c r="S1502" s="122">
        <v>3116</v>
      </c>
      <c r="T1502" s="122">
        <v>0</v>
      </c>
      <c r="U1502" s="122">
        <v>0</v>
      </c>
      <c r="V1502" s="122">
        <v>93512</v>
      </c>
      <c r="W1502" s="122">
        <f t="shared" si="46"/>
        <v>93512</v>
      </c>
      <c r="X1502" s="122">
        <f t="shared" si="47"/>
        <v>122594</v>
      </c>
      <c r="AA1502" t="s">
        <v>58</v>
      </c>
      <c r="AB1502" t="s">
        <v>433</v>
      </c>
      <c r="AC1502" t="s">
        <v>426</v>
      </c>
      <c r="AD1502" t="s">
        <v>433</v>
      </c>
      <c r="AE1502" t="s">
        <v>137</v>
      </c>
      <c r="AF1502">
        <v>3</v>
      </c>
      <c r="AG1502" s="122">
        <v>373</v>
      </c>
      <c r="AH1502" s="122">
        <v>815</v>
      </c>
      <c r="AI1502" s="122">
        <v>57605</v>
      </c>
      <c r="AJ1502" s="122">
        <v>52368</v>
      </c>
      <c r="AK1502">
        <v>70</v>
      </c>
      <c r="AL1502" s="122">
        <v>12718</v>
      </c>
      <c r="AM1502" s="122">
        <v>11562</v>
      </c>
      <c r="AN1502" s="122">
        <v>7363</v>
      </c>
      <c r="AO1502" s="122">
        <v>2727</v>
      </c>
      <c r="AP1502" s="122">
        <v>1175</v>
      </c>
      <c r="AQ1502" s="122">
        <v>435</v>
      </c>
      <c r="AR1502" s="122">
        <v>13419</v>
      </c>
      <c r="AS1502" s="122">
        <v>12199</v>
      </c>
      <c r="AT1502" s="122">
        <v>8030</v>
      </c>
      <c r="AU1502" s="122">
        <v>2974</v>
      </c>
      <c r="AV1502" s="122">
        <v>82266</v>
      </c>
    </row>
    <row r="1503" spans="2:48" hidden="1">
      <c r="B1503" t="s">
        <v>371</v>
      </c>
      <c r="C1503" t="s">
        <v>64</v>
      </c>
      <c r="D1503" t="s">
        <v>556</v>
      </c>
      <c r="E1503" t="s">
        <v>556</v>
      </c>
      <c r="F1503" s="122">
        <v>1</v>
      </c>
      <c r="G1503" s="122">
        <v>135</v>
      </c>
      <c r="H1503" s="122">
        <v>601</v>
      </c>
      <c r="I1503" s="122">
        <v>56108</v>
      </c>
      <c r="J1503" s="122">
        <v>46756</v>
      </c>
      <c r="K1503" s="122">
        <v>71</v>
      </c>
      <c r="L1503" s="122">
        <v>13601</v>
      </c>
      <c r="M1503" s="122">
        <v>12364</v>
      </c>
      <c r="N1503" s="122">
        <v>3016</v>
      </c>
      <c r="O1503" s="122">
        <v>1117</v>
      </c>
      <c r="P1503" s="122">
        <v>351</v>
      </c>
      <c r="Q1503" s="122">
        <v>130</v>
      </c>
      <c r="R1503" s="122">
        <v>5150</v>
      </c>
      <c r="S1503" s="122">
        <v>4292</v>
      </c>
      <c r="T1503" s="122">
        <v>2988</v>
      </c>
      <c r="U1503" s="122">
        <v>1107</v>
      </c>
      <c r="V1503" s="122">
        <v>65766</v>
      </c>
      <c r="W1503" s="122">
        <f t="shared" si="46"/>
        <v>65766</v>
      </c>
      <c r="X1503" s="122">
        <f t="shared" si="47"/>
        <v>81214</v>
      </c>
      <c r="AA1503" t="s">
        <v>58</v>
      </c>
      <c r="AB1503" t="s">
        <v>433</v>
      </c>
      <c r="AC1503" t="s">
        <v>426</v>
      </c>
      <c r="AD1503" t="s">
        <v>433</v>
      </c>
      <c r="AE1503" t="s">
        <v>566</v>
      </c>
      <c r="AF1503">
        <v>7</v>
      </c>
      <c r="AG1503" s="122">
        <v>1422</v>
      </c>
      <c r="AH1503" s="122">
        <v>1867</v>
      </c>
      <c r="AI1503" s="122">
        <v>256609</v>
      </c>
      <c r="AJ1503" s="122">
        <v>233281</v>
      </c>
      <c r="AK1503">
        <v>62</v>
      </c>
      <c r="AL1503" s="122">
        <v>31520</v>
      </c>
      <c r="AM1503" s="122">
        <v>28654</v>
      </c>
      <c r="AN1503" s="122">
        <v>30920</v>
      </c>
      <c r="AO1503" s="122">
        <v>11452</v>
      </c>
      <c r="AP1503" s="122">
        <v>3902</v>
      </c>
      <c r="AQ1503" s="122">
        <v>1445</v>
      </c>
      <c r="AR1503" s="122">
        <v>49897</v>
      </c>
      <c r="AS1503" s="122">
        <v>45360</v>
      </c>
      <c r="AT1503">
        <v>0</v>
      </c>
      <c r="AU1503">
        <v>0</v>
      </c>
      <c r="AV1503" s="122">
        <v>320192</v>
      </c>
    </row>
    <row r="1504" spans="2:48" hidden="1">
      <c r="B1504" t="s">
        <v>371</v>
      </c>
      <c r="C1504" t="s">
        <v>64</v>
      </c>
      <c r="D1504" t="s">
        <v>431</v>
      </c>
      <c r="E1504" t="s">
        <v>431</v>
      </c>
      <c r="F1504" s="122">
        <v>1</v>
      </c>
      <c r="G1504" s="122">
        <v>50</v>
      </c>
      <c r="H1504" s="122">
        <v>846</v>
      </c>
      <c r="I1504" s="122">
        <v>28589</v>
      </c>
      <c r="J1504" s="122">
        <v>25990</v>
      </c>
      <c r="K1504" s="122">
        <v>45</v>
      </c>
      <c r="L1504" s="122">
        <v>4084</v>
      </c>
      <c r="M1504" s="122">
        <v>3713</v>
      </c>
      <c r="N1504" s="122">
        <v>1106</v>
      </c>
      <c r="O1504" s="122">
        <v>410</v>
      </c>
      <c r="P1504" s="122">
        <v>351</v>
      </c>
      <c r="Q1504" s="122">
        <v>130</v>
      </c>
      <c r="R1504" s="122">
        <v>8525</v>
      </c>
      <c r="S1504" s="122">
        <v>7750</v>
      </c>
      <c r="T1504" s="122">
        <v>0</v>
      </c>
      <c r="U1504" s="122">
        <v>0</v>
      </c>
      <c r="V1504" s="122">
        <v>37993</v>
      </c>
      <c r="W1504" s="122">
        <f t="shared" si="46"/>
        <v>37993</v>
      </c>
      <c r="X1504" s="122">
        <f t="shared" si="47"/>
        <v>42655</v>
      </c>
      <c r="AA1504" t="s">
        <v>58</v>
      </c>
      <c r="AB1504" t="s">
        <v>433</v>
      </c>
      <c r="AC1504" t="s">
        <v>566</v>
      </c>
      <c r="AD1504" t="s">
        <v>137</v>
      </c>
      <c r="AE1504" t="s">
        <v>137</v>
      </c>
      <c r="AF1504">
        <v>1</v>
      </c>
      <c r="AG1504">
        <v>52</v>
      </c>
      <c r="AH1504">
        <v>234</v>
      </c>
      <c r="AI1504" s="122">
        <v>8267</v>
      </c>
      <c r="AJ1504" s="122">
        <v>7516</v>
      </c>
      <c r="AK1504">
        <v>60</v>
      </c>
      <c r="AL1504">
        <v>0</v>
      </c>
      <c r="AM1504">
        <v>0</v>
      </c>
      <c r="AN1504">
        <v>629</v>
      </c>
      <c r="AO1504">
        <v>233</v>
      </c>
      <c r="AP1504">
        <v>0</v>
      </c>
      <c r="AQ1504">
        <v>0</v>
      </c>
      <c r="AR1504" s="122">
        <v>3206</v>
      </c>
      <c r="AS1504" s="122">
        <v>1187</v>
      </c>
      <c r="AT1504">
        <v>0</v>
      </c>
      <c r="AU1504">
        <v>0</v>
      </c>
      <c r="AV1504" s="122">
        <v>8936</v>
      </c>
    </row>
    <row r="1505" spans="2:48" hidden="1">
      <c r="B1505" t="s">
        <v>371</v>
      </c>
      <c r="C1505" t="s">
        <v>64</v>
      </c>
      <c r="D1505" t="s">
        <v>426</v>
      </c>
      <c r="E1505" t="s">
        <v>425</v>
      </c>
      <c r="F1505" s="122">
        <v>1</v>
      </c>
      <c r="G1505" s="122">
        <v>110</v>
      </c>
      <c r="H1505" s="122">
        <v>481</v>
      </c>
      <c r="I1505" s="122">
        <v>46610</v>
      </c>
      <c r="J1505" s="122">
        <v>42373</v>
      </c>
      <c r="K1505" s="122">
        <v>60</v>
      </c>
      <c r="L1505" s="122">
        <v>0</v>
      </c>
      <c r="M1505" s="122">
        <v>0</v>
      </c>
      <c r="N1505" s="122">
        <v>2432</v>
      </c>
      <c r="O1505" s="122">
        <v>901</v>
      </c>
      <c r="P1505" s="122">
        <v>0</v>
      </c>
      <c r="Q1505" s="122">
        <v>0</v>
      </c>
      <c r="R1505" s="122">
        <v>4010</v>
      </c>
      <c r="S1505" s="122">
        <v>3646</v>
      </c>
      <c r="T1505" s="122">
        <v>0</v>
      </c>
      <c r="U1505" s="122">
        <v>0</v>
      </c>
      <c r="V1505" s="122">
        <v>46919</v>
      </c>
      <c r="W1505" s="122">
        <f t="shared" si="46"/>
        <v>46920</v>
      </c>
      <c r="X1505" s="122">
        <f t="shared" si="47"/>
        <v>53052</v>
      </c>
      <c r="AA1505" t="s">
        <v>58</v>
      </c>
      <c r="AB1505" t="s">
        <v>433</v>
      </c>
      <c r="AC1505" t="s">
        <v>566</v>
      </c>
      <c r="AD1505" t="s">
        <v>137</v>
      </c>
      <c r="AE1505" t="s">
        <v>566</v>
      </c>
      <c r="AF1505">
        <v>1</v>
      </c>
      <c r="AG1505">
        <v>39</v>
      </c>
      <c r="AH1505" s="122">
        <v>280</v>
      </c>
      <c r="AI1505" s="122">
        <v>5350</v>
      </c>
      <c r="AJ1505" s="122">
        <v>4864</v>
      </c>
      <c r="AK1505">
        <v>78</v>
      </c>
      <c r="AL1505">
        <v>0</v>
      </c>
      <c r="AM1505">
        <v>0</v>
      </c>
      <c r="AN1505" s="122">
        <v>476</v>
      </c>
      <c r="AO1505" s="122">
        <v>176</v>
      </c>
      <c r="AP1505" s="122">
        <v>314</v>
      </c>
      <c r="AQ1505" s="122">
        <v>116</v>
      </c>
      <c r="AR1505" s="122">
        <v>4807</v>
      </c>
      <c r="AS1505" s="122">
        <v>1780</v>
      </c>
      <c r="AT1505" s="122">
        <v>0</v>
      </c>
      <c r="AU1505" s="122">
        <v>0</v>
      </c>
      <c r="AV1505" s="122">
        <v>6937</v>
      </c>
    </row>
    <row r="1506" spans="2:48" hidden="1">
      <c r="B1506" t="s">
        <v>371</v>
      </c>
      <c r="C1506" t="s">
        <v>64</v>
      </c>
      <c r="D1506" t="s">
        <v>426</v>
      </c>
      <c r="E1506" t="s">
        <v>137</v>
      </c>
      <c r="F1506" s="122">
        <v>27</v>
      </c>
      <c r="G1506" s="122">
        <v>2605</v>
      </c>
      <c r="H1506" s="122">
        <v>31758</v>
      </c>
      <c r="I1506" s="122">
        <v>2327707</v>
      </c>
      <c r="J1506" s="122">
        <v>2116097</v>
      </c>
      <c r="K1506" s="122">
        <v>41</v>
      </c>
      <c r="L1506" s="122">
        <v>193824</v>
      </c>
      <c r="M1506" s="122">
        <v>125215</v>
      </c>
      <c r="N1506" s="122">
        <v>60703</v>
      </c>
      <c r="O1506" s="122">
        <v>22483</v>
      </c>
      <c r="P1506" s="122">
        <v>702</v>
      </c>
      <c r="Q1506" s="122">
        <v>260</v>
      </c>
      <c r="R1506" s="122">
        <v>198632</v>
      </c>
      <c r="S1506" s="122">
        <v>73568</v>
      </c>
      <c r="T1506" s="122">
        <v>3961</v>
      </c>
      <c r="U1506" s="122">
        <v>1467</v>
      </c>
      <c r="V1506" s="122">
        <v>2339089</v>
      </c>
      <c r="W1506" s="122">
        <f t="shared" si="46"/>
        <v>2339090</v>
      </c>
      <c r="X1506" s="122">
        <f t="shared" si="47"/>
        <v>2785529</v>
      </c>
      <c r="AA1506" t="s">
        <v>58</v>
      </c>
      <c r="AB1506" t="s">
        <v>433</v>
      </c>
      <c r="AC1506" t="s">
        <v>566</v>
      </c>
      <c r="AD1506" t="s">
        <v>433</v>
      </c>
      <c r="AE1506" t="s">
        <v>137</v>
      </c>
      <c r="AF1506">
        <v>9</v>
      </c>
      <c r="AG1506">
        <v>805</v>
      </c>
      <c r="AH1506" s="122">
        <v>2372</v>
      </c>
      <c r="AI1506" s="122">
        <v>144106</v>
      </c>
      <c r="AJ1506" s="122">
        <v>131005</v>
      </c>
      <c r="AK1506">
        <v>68</v>
      </c>
      <c r="AL1506">
        <v>0</v>
      </c>
      <c r="AM1506">
        <v>0</v>
      </c>
      <c r="AN1506" s="122">
        <v>12945</v>
      </c>
      <c r="AO1506" s="122">
        <v>4795</v>
      </c>
      <c r="AP1506" s="122">
        <v>3159</v>
      </c>
      <c r="AQ1506" s="122">
        <v>1170</v>
      </c>
      <c r="AR1506" s="122">
        <v>32530</v>
      </c>
      <c r="AS1506" s="122">
        <v>29573</v>
      </c>
      <c r="AT1506" s="122">
        <v>17061</v>
      </c>
      <c r="AU1506" s="122">
        <v>6319</v>
      </c>
      <c r="AV1506" s="122">
        <v>172862</v>
      </c>
    </row>
    <row r="1507" spans="2:48" hidden="1">
      <c r="B1507" t="s">
        <v>371</v>
      </c>
      <c r="C1507" t="s">
        <v>64</v>
      </c>
      <c r="D1507" t="s">
        <v>426</v>
      </c>
      <c r="E1507" t="s">
        <v>426</v>
      </c>
      <c r="F1507" s="122">
        <v>107</v>
      </c>
      <c r="G1507" s="122">
        <v>9904</v>
      </c>
      <c r="H1507" s="122">
        <v>75254</v>
      </c>
      <c r="I1507" s="122">
        <v>4914158</v>
      </c>
      <c r="J1507" s="122">
        <v>4467416</v>
      </c>
      <c r="K1507" s="122">
        <v>53</v>
      </c>
      <c r="L1507" s="122">
        <v>676807</v>
      </c>
      <c r="M1507" s="122">
        <v>589291</v>
      </c>
      <c r="N1507" s="122">
        <v>210918</v>
      </c>
      <c r="O1507" s="122">
        <v>78118</v>
      </c>
      <c r="P1507" s="122">
        <v>33696</v>
      </c>
      <c r="Q1507" s="122">
        <v>12480</v>
      </c>
      <c r="R1507" s="122">
        <v>623747</v>
      </c>
      <c r="S1507" s="122">
        <v>567042</v>
      </c>
      <c r="T1507" s="122">
        <v>226982</v>
      </c>
      <c r="U1507" s="122">
        <v>84067</v>
      </c>
      <c r="V1507" s="122">
        <v>5798415</v>
      </c>
      <c r="W1507" s="122">
        <f t="shared" si="46"/>
        <v>5798414</v>
      </c>
      <c r="X1507" s="122">
        <f t="shared" si="47"/>
        <v>6686308</v>
      </c>
      <c r="AA1507" t="s">
        <v>58</v>
      </c>
      <c r="AB1507" t="s">
        <v>433</v>
      </c>
      <c r="AC1507" t="s">
        <v>566</v>
      </c>
      <c r="AD1507" t="s">
        <v>433</v>
      </c>
      <c r="AE1507" t="s">
        <v>566</v>
      </c>
      <c r="AF1507">
        <v>1</v>
      </c>
      <c r="AG1507">
        <v>70</v>
      </c>
      <c r="AH1507">
        <v>267</v>
      </c>
      <c r="AI1507" s="122">
        <v>14051</v>
      </c>
      <c r="AJ1507" s="122">
        <v>12774</v>
      </c>
      <c r="AK1507">
        <v>60</v>
      </c>
      <c r="AL1507" s="122">
        <v>0</v>
      </c>
      <c r="AM1507" s="122">
        <v>0</v>
      </c>
      <c r="AN1507" s="122">
        <v>1704</v>
      </c>
      <c r="AO1507">
        <v>631</v>
      </c>
      <c r="AP1507">
        <v>351</v>
      </c>
      <c r="AQ1507">
        <v>130</v>
      </c>
      <c r="AR1507" s="122">
        <v>2543</v>
      </c>
      <c r="AS1507" s="122">
        <v>2312</v>
      </c>
      <c r="AT1507" s="122">
        <v>0</v>
      </c>
      <c r="AU1507" s="122">
        <v>0</v>
      </c>
      <c r="AV1507" s="122">
        <v>15847</v>
      </c>
    </row>
    <row r="1508" spans="2:48" hidden="1">
      <c r="B1508" t="s">
        <v>371</v>
      </c>
      <c r="C1508" t="s">
        <v>64</v>
      </c>
      <c r="D1508" t="s">
        <v>426</v>
      </c>
      <c r="E1508" t="s">
        <v>481</v>
      </c>
      <c r="F1508" s="122">
        <v>1</v>
      </c>
      <c r="G1508" s="122">
        <v>60</v>
      </c>
      <c r="H1508" s="122">
        <v>1068</v>
      </c>
      <c r="I1508" s="122">
        <v>47687</v>
      </c>
      <c r="J1508" s="122">
        <v>43351</v>
      </c>
      <c r="K1508" s="122">
        <v>45</v>
      </c>
      <c r="L1508" s="122">
        <v>7948</v>
      </c>
      <c r="M1508" s="122">
        <v>7225</v>
      </c>
      <c r="N1508" s="122">
        <v>1450</v>
      </c>
      <c r="O1508" s="122">
        <v>537</v>
      </c>
      <c r="P1508" s="122">
        <v>351</v>
      </c>
      <c r="Q1508" s="122">
        <v>130</v>
      </c>
      <c r="R1508" s="122">
        <v>4640</v>
      </c>
      <c r="S1508" s="122">
        <v>4218</v>
      </c>
      <c r="T1508" s="122">
        <v>1437</v>
      </c>
      <c r="U1508" s="122">
        <v>532</v>
      </c>
      <c r="V1508" s="122">
        <v>55994</v>
      </c>
      <c r="W1508" s="122">
        <f t="shared" si="46"/>
        <v>55993</v>
      </c>
      <c r="X1508" s="122">
        <f t="shared" si="47"/>
        <v>63513</v>
      </c>
      <c r="AA1508" t="s">
        <v>58</v>
      </c>
      <c r="AB1508" t="s">
        <v>433</v>
      </c>
      <c r="AC1508" t="s">
        <v>433</v>
      </c>
      <c r="AD1508" t="s">
        <v>406</v>
      </c>
      <c r="AE1508" t="s">
        <v>137</v>
      </c>
      <c r="AF1508">
        <v>1</v>
      </c>
      <c r="AG1508">
        <v>172</v>
      </c>
      <c r="AH1508" s="122">
        <v>294</v>
      </c>
      <c r="AI1508" s="122">
        <v>31462</v>
      </c>
      <c r="AJ1508" s="122">
        <v>28602</v>
      </c>
      <c r="AK1508">
        <v>70</v>
      </c>
      <c r="AL1508" s="122">
        <v>6642</v>
      </c>
      <c r="AM1508" s="122">
        <v>6038</v>
      </c>
      <c r="AN1508" s="122">
        <v>2091</v>
      </c>
      <c r="AO1508" s="122">
        <v>775</v>
      </c>
      <c r="AP1508" s="122">
        <v>621</v>
      </c>
      <c r="AQ1508" s="122">
        <v>230</v>
      </c>
      <c r="AR1508" s="122">
        <v>5978</v>
      </c>
      <c r="AS1508" s="122">
        <v>5435</v>
      </c>
      <c r="AT1508" s="122">
        <v>3719</v>
      </c>
      <c r="AU1508" s="122">
        <v>1377</v>
      </c>
      <c r="AV1508" s="122">
        <v>42457</v>
      </c>
    </row>
    <row r="1509" spans="2:48" hidden="1">
      <c r="B1509" t="s">
        <v>371</v>
      </c>
      <c r="C1509" t="s">
        <v>64</v>
      </c>
      <c r="D1509" t="s">
        <v>433</v>
      </c>
      <c r="E1509" t="s">
        <v>137</v>
      </c>
      <c r="F1509" s="122">
        <v>2</v>
      </c>
      <c r="G1509" s="122">
        <v>182</v>
      </c>
      <c r="H1509" s="122">
        <v>1637</v>
      </c>
      <c r="I1509" s="122">
        <v>128871</v>
      </c>
      <c r="J1509" s="122">
        <v>117155</v>
      </c>
      <c r="K1509" s="122">
        <v>45</v>
      </c>
      <c r="L1509" s="122">
        <v>17553</v>
      </c>
      <c r="M1509" s="122">
        <v>6501</v>
      </c>
      <c r="N1509" s="122">
        <v>4444</v>
      </c>
      <c r="O1509" s="122">
        <v>1646</v>
      </c>
      <c r="P1509" s="122">
        <v>0</v>
      </c>
      <c r="Q1509" s="122">
        <v>0</v>
      </c>
      <c r="R1509" s="122">
        <v>9582</v>
      </c>
      <c r="S1509" s="122">
        <v>3549</v>
      </c>
      <c r="T1509" s="122">
        <v>0</v>
      </c>
      <c r="U1509" s="122">
        <v>0</v>
      </c>
      <c r="V1509" s="122">
        <v>128851</v>
      </c>
      <c r="W1509" s="122">
        <f t="shared" si="46"/>
        <v>128851</v>
      </c>
      <c r="X1509" s="122">
        <f t="shared" si="47"/>
        <v>160450</v>
      </c>
      <c r="AA1509" t="s">
        <v>58</v>
      </c>
      <c r="AB1509" t="s">
        <v>433</v>
      </c>
      <c r="AC1509" t="s">
        <v>433</v>
      </c>
      <c r="AD1509" t="s">
        <v>433</v>
      </c>
      <c r="AE1509" t="s">
        <v>137</v>
      </c>
      <c r="AF1509">
        <v>8</v>
      </c>
      <c r="AG1509" s="122">
        <v>940</v>
      </c>
      <c r="AH1509" s="122">
        <v>2145</v>
      </c>
      <c r="AI1509" s="122">
        <v>188995</v>
      </c>
      <c r="AJ1509" s="122">
        <v>171814</v>
      </c>
      <c r="AK1509">
        <v>62</v>
      </c>
      <c r="AL1509" s="122">
        <v>22596</v>
      </c>
      <c r="AM1509" s="122">
        <v>20542</v>
      </c>
      <c r="AN1509" s="122">
        <v>17093</v>
      </c>
      <c r="AO1509" s="122">
        <v>6331</v>
      </c>
      <c r="AP1509" s="122">
        <v>3078</v>
      </c>
      <c r="AQ1509" s="122">
        <v>1140</v>
      </c>
      <c r="AR1509" s="122">
        <v>39677</v>
      </c>
      <c r="AS1509" s="122">
        <v>36070</v>
      </c>
      <c r="AT1509" s="122">
        <v>14631</v>
      </c>
      <c r="AU1509" s="122">
        <v>5419</v>
      </c>
      <c r="AV1509" s="122">
        <v>241315</v>
      </c>
    </row>
    <row r="1510" spans="2:48" hidden="1">
      <c r="B1510" t="s">
        <v>371</v>
      </c>
      <c r="C1510" t="s">
        <v>64</v>
      </c>
      <c r="D1510" t="s">
        <v>433</v>
      </c>
      <c r="E1510" t="s">
        <v>433</v>
      </c>
      <c r="F1510" s="122">
        <v>4</v>
      </c>
      <c r="G1510" s="122">
        <v>235</v>
      </c>
      <c r="H1510" s="122">
        <v>3437</v>
      </c>
      <c r="I1510" s="122">
        <v>159916</v>
      </c>
      <c r="J1510" s="122">
        <v>145378</v>
      </c>
      <c r="K1510" s="122">
        <v>53</v>
      </c>
      <c r="L1510" s="122">
        <v>27890</v>
      </c>
      <c r="M1510" s="122">
        <v>20220</v>
      </c>
      <c r="N1510" s="122">
        <v>6878</v>
      </c>
      <c r="O1510" s="122">
        <v>2547</v>
      </c>
      <c r="P1510" s="122">
        <v>1404</v>
      </c>
      <c r="Q1510" s="122">
        <v>520</v>
      </c>
      <c r="R1510" s="122">
        <v>20291</v>
      </c>
      <c r="S1510" s="122">
        <v>18446</v>
      </c>
      <c r="T1510" s="122">
        <v>6701</v>
      </c>
      <c r="U1510" s="122">
        <v>2482</v>
      </c>
      <c r="V1510" s="122">
        <v>189594</v>
      </c>
      <c r="W1510" s="122">
        <f t="shared" si="46"/>
        <v>189593</v>
      </c>
      <c r="X1510" s="122">
        <f t="shared" si="47"/>
        <v>223080</v>
      </c>
      <c r="AA1510" t="s">
        <v>58</v>
      </c>
      <c r="AB1510" t="s">
        <v>433</v>
      </c>
      <c r="AC1510" t="s">
        <v>433</v>
      </c>
      <c r="AD1510" t="s">
        <v>433</v>
      </c>
      <c r="AE1510" t="s">
        <v>566</v>
      </c>
      <c r="AF1510">
        <v>9</v>
      </c>
      <c r="AG1510" s="122">
        <v>1590</v>
      </c>
      <c r="AH1510" s="122">
        <v>2350</v>
      </c>
      <c r="AI1510" s="122">
        <v>297605</v>
      </c>
      <c r="AJ1510" s="122">
        <v>270550</v>
      </c>
      <c r="AK1510">
        <v>59</v>
      </c>
      <c r="AL1510" s="122">
        <v>44185</v>
      </c>
      <c r="AM1510" s="122">
        <v>40168</v>
      </c>
      <c r="AN1510" s="122">
        <v>27109</v>
      </c>
      <c r="AO1510" s="122">
        <v>10040</v>
      </c>
      <c r="AP1510" s="122">
        <v>4212</v>
      </c>
      <c r="AQ1510" s="122">
        <v>1560</v>
      </c>
      <c r="AR1510" s="122">
        <v>54907</v>
      </c>
      <c r="AS1510" s="122">
        <v>49916</v>
      </c>
      <c r="AT1510">
        <v>0</v>
      </c>
      <c r="AU1510">
        <v>0</v>
      </c>
      <c r="AV1510" s="122">
        <v>372234</v>
      </c>
    </row>
    <row r="1511" spans="2:48" hidden="1">
      <c r="B1511" t="s">
        <v>371</v>
      </c>
      <c r="C1511" t="s">
        <v>64</v>
      </c>
      <c r="D1511" t="s">
        <v>408</v>
      </c>
      <c r="E1511" t="s">
        <v>408</v>
      </c>
      <c r="F1511" s="122">
        <v>2</v>
      </c>
      <c r="G1511" s="122">
        <v>364</v>
      </c>
      <c r="H1511" s="122">
        <v>1210</v>
      </c>
      <c r="I1511" s="122">
        <v>158455</v>
      </c>
      <c r="J1511" s="122">
        <v>144050</v>
      </c>
      <c r="K1511" s="122">
        <v>65</v>
      </c>
      <c r="L1511" s="122">
        <v>38147</v>
      </c>
      <c r="M1511" s="122">
        <v>34679</v>
      </c>
      <c r="N1511" s="122">
        <v>6081</v>
      </c>
      <c r="O1511" s="122">
        <v>2252</v>
      </c>
      <c r="P1511" s="122">
        <v>824</v>
      </c>
      <c r="Q1511" s="122">
        <v>305</v>
      </c>
      <c r="R1511" s="122">
        <v>10090</v>
      </c>
      <c r="S1511" s="122">
        <v>9172</v>
      </c>
      <c r="T1511" s="122">
        <v>6842</v>
      </c>
      <c r="U1511" s="122">
        <v>2534</v>
      </c>
      <c r="V1511" s="122">
        <v>192993</v>
      </c>
      <c r="W1511" s="122">
        <f t="shared" si="46"/>
        <v>192992</v>
      </c>
      <c r="X1511" s="122">
        <f t="shared" si="47"/>
        <v>220439</v>
      </c>
      <c r="AA1511" t="s">
        <v>58</v>
      </c>
      <c r="AB1511" t="s">
        <v>408</v>
      </c>
      <c r="AC1511" t="s">
        <v>405</v>
      </c>
      <c r="AD1511" t="s">
        <v>408</v>
      </c>
      <c r="AE1511" t="s">
        <v>566</v>
      </c>
      <c r="AF1511">
        <v>1</v>
      </c>
      <c r="AG1511">
        <v>157</v>
      </c>
      <c r="AH1511">
        <v>245</v>
      </c>
      <c r="AI1511" s="122">
        <v>24317</v>
      </c>
      <c r="AJ1511" s="122">
        <v>22106</v>
      </c>
      <c r="AK1511">
        <v>65</v>
      </c>
      <c r="AL1511" s="122">
        <v>2406</v>
      </c>
      <c r="AM1511" s="122">
        <v>2187</v>
      </c>
      <c r="AN1511" s="122">
        <v>3343</v>
      </c>
      <c r="AO1511" s="122">
        <v>1238</v>
      </c>
      <c r="AP1511">
        <v>473</v>
      </c>
      <c r="AQ1511">
        <v>175</v>
      </c>
      <c r="AR1511" s="122">
        <v>7941</v>
      </c>
      <c r="AS1511" s="122">
        <v>7219</v>
      </c>
      <c r="AT1511">
        <v>0</v>
      </c>
      <c r="AU1511">
        <v>0</v>
      </c>
      <c r="AV1511" s="122">
        <v>32925</v>
      </c>
    </row>
    <row r="1512" spans="2:48" hidden="1">
      <c r="B1512" t="s">
        <v>372</v>
      </c>
      <c r="C1512" t="s">
        <v>48</v>
      </c>
      <c r="D1512" t="s">
        <v>405</v>
      </c>
      <c r="E1512" t="s">
        <v>405</v>
      </c>
      <c r="F1512" s="122">
        <v>4</v>
      </c>
      <c r="G1512" s="122">
        <v>636</v>
      </c>
      <c r="H1512" s="122">
        <v>232</v>
      </c>
      <c r="I1512" s="122">
        <v>3957</v>
      </c>
      <c r="J1512" s="122">
        <v>3598</v>
      </c>
      <c r="K1512" s="122">
        <v>92</v>
      </c>
      <c r="L1512" s="122">
        <v>394</v>
      </c>
      <c r="M1512" s="122">
        <v>328</v>
      </c>
      <c r="N1512" s="122">
        <v>7749</v>
      </c>
      <c r="O1512" s="122">
        <v>2870</v>
      </c>
      <c r="P1512" s="122">
        <v>6026</v>
      </c>
      <c r="Q1512" s="122">
        <v>2232</v>
      </c>
      <c r="R1512" s="122">
        <v>18821</v>
      </c>
      <c r="S1512" s="122">
        <v>17110</v>
      </c>
      <c r="T1512" s="122">
        <v>0</v>
      </c>
      <c r="U1512" s="122">
        <v>0</v>
      </c>
      <c r="V1512" s="122">
        <v>26138</v>
      </c>
      <c r="W1512" s="122">
        <f t="shared" si="46"/>
        <v>26138</v>
      </c>
      <c r="X1512" s="122">
        <f t="shared" si="47"/>
        <v>36947</v>
      </c>
      <c r="AA1512" t="s">
        <v>58</v>
      </c>
      <c r="AB1512" t="s">
        <v>408</v>
      </c>
      <c r="AC1512" t="s">
        <v>137</v>
      </c>
      <c r="AD1512" t="s">
        <v>137</v>
      </c>
      <c r="AE1512" t="s">
        <v>137</v>
      </c>
      <c r="AF1512">
        <v>1</v>
      </c>
      <c r="AG1512">
        <v>85</v>
      </c>
      <c r="AH1512" s="122">
        <v>252</v>
      </c>
      <c r="AI1512" s="122">
        <v>11171</v>
      </c>
      <c r="AJ1512" s="122">
        <v>10156</v>
      </c>
      <c r="AK1512">
        <v>65</v>
      </c>
      <c r="AL1512" s="122">
        <v>1980</v>
      </c>
      <c r="AM1512" s="122">
        <v>733</v>
      </c>
      <c r="AN1512" s="122">
        <v>1494</v>
      </c>
      <c r="AO1512" s="122">
        <v>553</v>
      </c>
      <c r="AP1512" s="122">
        <v>351</v>
      </c>
      <c r="AQ1512">
        <v>130</v>
      </c>
      <c r="AR1512" s="122">
        <v>6502</v>
      </c>
      <c r="AS1512" s="122">
        <v>2408</v>
      </c>
      <c r="AT1512" s="122">
        <v>0</v>
      </c>
      <c r="AU1512" s="122">
        <v>0</v>
      </c>
      <c r="AV1512" s="122">
        <v>13981</v>
      </c>
    </row>
    <row r="1513" spans="2:48" hidden="1">
      <c r="B1513" t="s">
        <v>372</v>
      </c>
      <c r="C1513" t="s">
        <v>48</v>
      </c>
      <c r="D1513" t="s">
        <v>137</v>
      </c>
      <c r="E1513" t="s">
        <v>137</v>
      </c>
      <c r="F1513" s="122">
        <v>62</v>
      </c>
      <c r="G1513" s="122">
        <v>15593</v>
      </c>
      <c r="H1513" s="122">
        <v>3466</v>
      </c>
      <c r="I1513" s="122">
        <v>182551</v>
      </c>
      <c r="J1513" s="122">
        <v>67612</v>
      </c>
      <c r="K1513" s="122">
        <v>449</v>
      </c>
      <c r="L1513" s="122">
        <v>51387</v>
      </c>
      <c r="M1513" s="122">
        <v>43742</v>
      </c>
      <c r="N1513" s="122">
        <v>214089</v>
      </c>
      <c r="O1513" s="122">
        <v>79292</v>
      </c>
      <c r="P1513" s="122">
        <v>100088</v>
      </c>
      <c r="Q1513" s="122">
        <v>37069</v>
      </c>
      <c r="R1513" s="122">
        <v>350305</v>
      </c>
      <c r="S1513" s="122">
        <v>129742</v>
      </c>
      <c r="T1513" s="122">
        <v>0</v>
      </c>
      <c r="U1513" s="122">
        <v>0</v>
      </c>
      <c r="V1513" s="122">
        <v>357458</v>
      </c>
      <c r="W1513" s="122">
        <f t="shared" si="46"/>
        <v>357457</v>
      </c>
      <c r="X1513" s="122">
        <f t="shared" si="47"/>
        <v>898420</v>
      </c>
      <c r="AA1513" t="s">
        <v>58</v>
      </c>
      <c r="AB1513" t="s">
        <v>408</v>
      </c>
      <c r="AC1513" t="s">
        <v>137</v>
      </c>
      <c r="AD1513" t="s">
        <v>408</v>
      </c>
      <c r="AE1513" t="s">
        <v>137</v>
      </c>
      <c r="AF1513">
        <v>4</v>
      </c>
      <c r="AG1513">
        <v>560</v>
      </c>
      <c r="AH1513" s="122">
        <v>1068</v>
      </c>
      <c r="AI1513" s="122">
        <v>89105</v>
      </c>
      <c r="AJ1513" s="122">
        <v>81005</v>
      </c>
      <c r="AK1513">
        <v>83</v>
      </c>
      <c r="AL1513" s="122">
        <v>20306</v>
      </c>
      <c r="AM1513" s="122">
        <v>7521</v>
      </c>
      <c r="AN1513" s="122">
        <v>11196</v>
      </c>
      <c r="AO1513" s="122">
        <v>4147</v>
      </c>
      <c r="AP1513" s="122">
        <v>1404</v>
      </c>
      <c r="AQ1513">
        <v>520</v>
      </c>
      <c r="AR1513" s="122">
        <v>13757</v>
      </c>
      <c r="AS1513" s="122">
        <v>12506</v>
      </c>
      <c r="AT1513" s="122">
        <v>11188</v>
      </c>
      <c r="AU1513" s="122">
        <v>4144</v>
      </c>
      <c r="AV1513" s="122">
        <v>109842</v>
      </c>
    </row>
    <row r="1514" spans="2:48" hidden="1">
      <c r="B1514" t="s">
        <v>372</v>
      </c>
      <c r="C1514" t="s">
        <v>48</v>
      </c>
      <c r="D1514" t="s">
        <v>406</v>
      </c>
      <c r="E1514" t="s">
        <v>137</v>
      </c>
      <c r="F1514" s="122">
        <v>3</v>
      </c>
      <c r="G1514" s="122">
        <v>782</v>
      </c>
      <c r="H1514" s="122">
        <v>194</v>
      </c>
      <c r="I1514" s="122">
        <v>19113</v>
      </c>
      <c r="J1514" s="122">
        <v>17375</v>
      </c>
      <c r="K1514" s="122">
        <v>96</v>
      </c>
      <c r="L1514" s="122">
        <v>2747</v>
      </c>
      <c r="M1514" s="122">
        <v>2497</v>
      </c>
      <c r="N1514" s="122">
        <v>10007</v>
      </c>
      <c r="O1514" s="122">
        <v>3706</v>
      </c>
      <c r="P1514" s="122">
        <v>4638</v>
      </c>
      <c r="Q1514" s="122">
        <v>1718</v>
      </c>
      <c r="R1514" s="122">
        <v>14470</v>
      </c>
      <c r="S1514" s="122">
        <v>5359</v>
      </c>
      <c r="T1514" s="122">
        <v>0</v>
      </c>
      <c r="U1514" s="122">
        <v>0</v>
      </c>
      <c r="V1514" s="122">
        <v>30656</v>
      </c>
      <c r="W1514" s="122">
        <f t="shared" si="46"/>
        <v>30655</v>
      </c>
      <c r="X1514" s="122">
        <f t="shared" si="47"/>
        <v>50975</v>
      </c>
      <c r="AA1514" t="s">
        <v>58</v>
      </c>
      <c r="AB1514" t="s">
        <v>408</v>
      </c>
      <c r="AC1514" t="s">
        <v>137</v>
      </c>
      <c r="AD1514" t="s">
        <v>408</v>
      </c>
      <c r="AE1514" t="s">
        <v>566</v>
      </c>
      <c r="AF1514">
        <v>2</v>
      </c>
      <c r="AG1514">
        <v>253</v>
      </c>
      <c r="AH1514">
        <v>498</v>
      </c>
      <c r="AI1514" s="122">
        <v>39734</v>
      </c>
      <c r="AJ1514" s="122">
        <v>36122</v>
      </c>
      <c r="AK1514">
        <v>65</v>
      </c>
      <c r="AL1514" s="122">
        <v>9667</v>
      </c>
      <c r="AM1514" s="122">
        <v>3580</v>
      </c>
      <c r="AN1514" s="122">
        <v>4173</v>
      </c>
      <c r="AO1514" s="122">
        <v>1546</v>
      </c>
      <c r="AP1514" s="122">
        <v>702</v>
      </c>
      <c r="AQ1514">
        <v>260</v>
      </c>
      <c r="AR1514" s="122">
        <v>9203</v>
      </c>
      <c r="AS1514" s="122">
        <v>8366</v>
      </c>
      <c r="AT1514" s="122">
        <v>0</v>
      </c>
      <c r="AU1514" s="122">
        <v>0</v>
      </c>
      <c r="AV1514" s="122">
        <v>49874</v>
      </c>
    </row>
    <row r="1515" spans="2:48" hidden="1">
      <c r="B1515" t="s">
        <v>372</v>
      </c>
      <c r="C1515" t="s">
        <v>48</v>
      </c>
      <c r="D1515" t="s">
        <v>406</v>
      </c>
      <c r="E1515" t="s">
        <v>406</v>
      </c>
      <c r="F1515" s="122">
        <v>17</v>
      </c>
      <c r="G1515" s="122">
        <v>4435</v>
      </c>
      <c r="H1515" s="122">
        <v>1007</v>
      </c>
      <c r="I1515" s="122">
        <v>79413</v>
      </c>
      <c r="J1515" s="122">
        <v>72194</v>
      </c>
      <c r="K1515" s="122">
        <v>94</v>
      </c>
      <c r="L1515" s="122">
        <v>11204</v>
      </c>
      <c r="M1515" s="122">
        <v>9972</v>
      </c>
      <c r="N1515" s="122">
        <v>57285</v>
      </c>
      <c r="O1515" s="122">
        <v>21217</v>
      </c>
      <c r="P1515" s="122">
        <v>40218</v>
      </c>
      <c r="Q1515" s="122">
        <v>14896</v>
      </c>
      <c r="R1515" s="122">
        <v>72589</v>
      </c>
      <c r="S1515" s="122">
        <v>65990</v>
      </c>
      <c r="T1515" s="122">
        <v>0</v>
      </c>
      <c r="U1515" s="122">
        <v>0</v>
      </c>
      <c r="V1515" s="122">
        <v>184268</v>
      </c>
      <c r="W1515" s="122">
        <f t="shared" si="46"/>
        <v>184269</v>
      </c>
      <c r="X1515" s="122">
        <f t="shared" si="47"/>
        <v>260709</v>
      </c>
      <c r="AA1515" t="s">
        <v>58</v>
      </c>
      <c r="AB1515" t="s">
        <v>408</v>
      </c>
      <c r="AC1515" t="s">
        <v>580</v>
      </c>
      <c r="AD1515" t="s">
        <v>408</v>
      </c>
      <c r="AE1515" t="s">
        <v>137</v>
      </c>
      <c r="AF1515">
        <v>3</v>
      </c>
      <c r="AG1515">
        <v>501</v>
      </c>
      <c r="AH1515">
        <v>861</v>
      </c>
      <c r="AI1515" s="122">
        <v>95985</v>
      </c>
      <c r="AJ1515" s="122">
        <v>87259</v>
      </c>
      <c r="AK1515">
        <v>69</v>
      </c>
      <c r="AL1515" s="122">
        <v>10169</v>
      </c>
      <c r="AM1515" s="122">
        <v>9245</v>
      </c>
      <c r="AN1515" s="122">
        <v>8541</v>
      </c>
      <c r="AO1515" s="122">
        <v>3163</v>
      </c>
      <c r="AP1515" s="122">
        <v>1593</v>
      </c>
      <c r="AQ1515">
        <v>590</v>
      </c>
      <c r="AR1515" s="122">
        <v>19352</v>
      </c>
      <c r="AS1515" s="122">
        <v>17593</v>
      </c>
      <c r="AT1515" s="122">
        <v>7276</v>
      </c>
      <c r="AU1515" s="122">
        <v>2695</v>
      </c>
      <c r="AV1515" s="122">
        <v>120544</v>
      </c>
    </row>
    <row r="1516" spans="2:48" hidden="1">
      <c r="B1516" t="s">
        <v>372</v>
      </c>
      <c r="C1516" t="s">
        <v>48</v>
      </c>
      <c r="D1516" t="s">
        <v>407</v>
      </c>
      <c r="E1516" t="s">
        <v>137</v>
      </c>
      <c r="F1516" s="122">
        <v>1</v>
      </c>
      <c r="G1516" s="122">
        <v>248</v>
      </c>
      <c r="H1516" s="122">
        <v>56</v>
      </c>
      <c r="I1516" s="122">
        <v>5752</v>
      </c>
      <c r="J1516" s="122">
        <v>5229</v>
      </c>
      <c r="K1516" s="122">
        <v>92</v>
      </c>
      <c r="L1516" s="122">
        <v>794</v>
      </c>
      <c r="M1516" s="122">
        <v>722</v>
      </c>
      <c r="N1516" s="122">
        <v>3024</v>
      </c>
      <c r="O1516" s="122">
        <v>1120</v>
      </c>
      <c r="P1516" s="122">
        <v>473</v>
      </c>
      <c r="Q1516" s="122">
        <v>175</v>
      </c>
      <c r="R1516" s="122">
        <v>3819</v>
      </c>
      <c r="S1516" s="122">
        <v>1414</v>
      </c>
      <c r="T1516" s="122">
        <v>0</v>
      </c>
      <c r="U1516" s="122">
        <v>0</v>
      </c>
      <c r="V1516" s="122">
        <v>8660</v>
      </c>
      <c r="W1516" s="122">
        <f t="shared" si="46"/>
        <v>8660</v>
      </c>
      <c r="X1516" s="122">
        <f t="shared" si="47"/>
        <v>13862</v>
      </c>
      <c r="AA1516" t="s">
        <v>58</v>
      </c>
      <c r="AB1516" t="s">
        <v>408</v>
      </c>
      <c r="AC1516" t="s">
        <v>580</v>
      </c>
      <c r="AD1516" t="s">
        <v>408</v>
      </c>
      <c r="AE1516" t="s">
        <v>566</v>
      </c>
      <c r="AF1516">
        <v>1</v>
      </c>
      <c r="AG1516">
        <v>171</v>
      </c>
      <c r="AH1516">
        <v>294</v>
      </c>
      <c r="AI1516" s="122">
        <v>33968</v>
      </c>
      <c r="AJ1516" s="122">
        <v>30880</v>
      </c>
      <c r="AK1516">
        <v>68</v>
      </c>
      <c r="AL1516" s="122">
        <v>4290</v>
      </c>
      <c r="AM1516" s="122">
        <v>3900</v>
      </c>
      <c r="AN1516" s="122">
        <v>3750</v>
      </c>
      <c r="AO1516" s="122">
        <v>1389</v>
      </c>
      <c r="AP1516">
        <v>351</v>
      </c>
      <c r="AQ1516">
        <v>130</v>
      </c>
      <c r="AR1516" s="122">
        <v>7830</v>
      </c>
      <c r="AS1516" s="122">
        <v>7118</v>
      </c>
      <c r="AT1516">
        <v>0</v>
      </c>
      <c r="AU1516">
        <v>0</v>
      </c>
      <c r="AV1516" s="122">
        <v>43418</v>
      </c>
    </row>
    <row r="1517" spans="2:48" hidden="1">
      <c r="B1517" t="s">
        <v>372</v>
      </c>
      <c r="C1517" t="s">
        <v>48</v>
      </c>
      <c r="D1517" t="s">
        <v>407</v>
      </c>
      <c r="E1517" t="s">
        <v>407</v>
      </c>
      <c r="F1517" s="122">
        <v>23</v>
      </c>
      <c r="G1517" s="122">
        <v>2856</v>
      </c>
      <c r="H1517" s="122">
        <v>1395</v>
      </c>
      <c r="I1517" s="122">
        <v>38276</v>
      </c>
      <c r="J1517" s="122">
        <v>34797</v>
      </c>
      <c r="K1517" s="122">
        <v>91</v>
      </c>
      <c r="L1517" s="122">
        <v>6918</v>
      </c>
      <c r="M1517" s="122">
        <v>4221</v>
      </c>
      <c r="N1517" s="122">
        <v>34793</v>
      </c>
      <c r="O1517" s="122">
        <v>12886</v>
      </c>
      <c r="P1517" s="122">
        <v>14911</v>
      </c>
      <c r="Q1517" s="122">
        <v>5523</v>
      </c>
      <c r="R1517" s="122">
        <v>75670</v>
      </c>
      <c r="S1517" s="122">
        <v>68791</v>
      </c>
      <c r="T1517" s="122">
        <v>0</v>
      </c>
      <c r="U1517" s="122">
        <v>0</v>
      </c>
      <c r="V1517" s="122">
        <v>126218</v>
      </c>
      <c r="W1517" s="122">
        <f t="shared" si="46"/>
        <v>126218</v>
      </c>
      <c r="X1517" s="122">
        <f t="shared" si="47"/>
        <v>170568</v>
      </c>
      <c r="AA1517" t="s">
        <v>58</v>
      </c>
      <c r="AB1517" t="s">
        <v>408</v>
      </c>
      <c r="AC1517" t="s">
        <v>580</v>
      </c>
      <c r="AD1517" t="s">
        <v>429</v>
      </c>
      <c r="AE1517" t="s">
        <v>566</v>
      </c>
      <c r="AF1517">
        <v>1</v>
      </c>
      <c r="AG1517">
        <v>179</v>
      </c>
      <c r="AH1517">
        <v>253</v>
      </c>
      <c r="AI1517" s="122">
        <v>30829</v>
      </c>
      <c r="AJ1517" s="122">
        <v>28026</v>
      </c>
      <c r="AK1517">
        <v>86</v>
      </c>
      <c r="AL1517" s="122">
        <v>3542</v>
      </c>
      <c r="AM1517" s="122">
        <v>3220</v>
      </c>
      <c r="AN1517" s="122">
        <v>3265</v>
      </c>
      <c r="AO1517" s="122">
        <v>1209</v>
      </c>
      <c r="AP1517" s="122">
        <v>621</v>
      </c>
      <c r="AQ1517">
        <v>230</v>
      </c>
      <c r="AR1517" s="122">
        <v>6859</v>
      </c>
      <c r="AS1517" s="122">
        <v>6236</v>
      </c>
      <c r="AT1517" s="122">
        <v>0</v>
      </c>
      <c r="AU1517" s="122">
        <v>0</v>
      </c>
      <c r="AV1517" s="122">
        <v>38922</v>
      </c>
    </row>
    <row r="1518" spans="2:48" hidden="1">
      <c r="B1518" t="s">
        <v>372</v>
      </c>
      <c r="C1518" t="s">
        <v>48</v>
      </c>
      <c r="D1518" t="s">
        <v>433</v>
      </c>
      <c r="E1518" t="s">
        <v>433</v>
      </c>
      <c r="F1518" s="122">
        <v>1</v>
      </c>
      <c r="G1518" s="122">
        <v>325</v>
      </c>
      <c r="H1518" s="122">
        <v>62</v>
      </c>
      <c r="I1518" s="122">
        <v>8736</v>
      </c>
      <c r="J1518" s="122">
        <v>7942</v>
      </c>
      <c r="K1518" s="122">
        <v>90</v>
      </c>
      <c r="L1518" s="122">
        <v>971</v>
      </c>
      <c r="M1518" s="122">
        <v>882</v>
      </c>
      <c r="N1518" s="122">
        <v>3961</v>
      </c>
      <c r="O1518" s="122">
        <v>1467</v>
      </c>
      <c r="P1518" s="122">
        <v>3109</v>
      </c>
      <c r="Q1518" s="122">
        <v>1151</v>
      </c>
      <c r="R1518" s="122">
        <v>3370</v>
      </c>
      <c r="S1518" s="122">
        <v>3064</v>
      </c>
      <c r="T1518" s="122">
        <v>0</v>
      </c>
      <c r="U1518" s="122">
        <v>0</v>
      </c>
      <c r="V1518" s="122">
        <v>14506</v>
      </c>
      <c r="W1518" s="122">
        <f t="shared" si="46"/>
        <v>14506</v>
      </c>
      <c r="X1518" s="122">
        <f t="shared" si="47"/>
        <v>20147</v>
      </c>
      <c r="AA1518" t="s">
        <v>58</v>
      </c>
      <c r="AB1518" t="s">
        <v>408</v>
      </c>
      <c r="AC1518" t="s">
        <v>427</v>
      </c>
      <c r="AD1518" t="s">
        <v>408</v>
      </c>
      <c r="AE1518" t="s">
        <v>137</v>
      </c>
      <c r="AF1518">
        <v>2</v>
      </c>
      <c r="AG1518">
        <v>378</v>
      </c>
      <c r="AH1518">
        <v>501</v>
      </c>
      <c r="AI1518" s="122">
        <v>55400</v>
      </c>
      <c r="AJ1518" s="122">
        <v>50363</v>
      </c>
      <c r="AK1518">
        <v>65</v>
      </c>
      <c r="AL1518" s="122">
        <v>9264</v>
      </c>
      <c r="AM1518" s="122">
        <v>8422</v>
      </c>
      <c r="AN1518" s="122">
        <v>8070</v>
      </c>
      <c r="AO1518" s="122">
        <v>2989</v>
      </c>
      <c r="AP1518" s="122">
        <v>1323</v>
      </c>
      <c r="AQ1518">
        <v>490</v>
      </c>
      <c r="AR1518" s="122">
        <v>12862</v>
      </c>
      <c r="AS1518" s="122">
        <v>11693</v>
      </c>
      <c r="AT1518" s="122">
        <v>7687</v>
      </c>
      <c r="AU1518" s="122">
        <v>2847</v>
      </c>
      <c r="AV1518" s="122">
        <v>76804</v>
      </c>
    </row>
    <row r="1519" spans="2:48" hidden="1">
      <c r="B1519" t="s">
        <v>372</v>
      </c>
      <c r="C1519" t="s">
        <v>48</v>
      </c>
      <c r="D1519" t="s">
        <v>408</v>
      </c>
      <c r="E1519" t="s">
        <v>408</v>
      </c>
      <c r="F1519" s="122">
        <v>1</v>
      </c>
      <c r="G1519" s="122">
        <v>206</v>
      </c>
      <c r="H1519" s="122">
        <v>29</v>
      </c>
      <c r="I1519" s="122">
        <v>-3145</v>
      </c>
      <c r="J1519" s="122">
        <v>-2859</v>
      </c>
      <c r="K1519" s="122">
        <v>90</v>
      </c>
      <c r="L1519" s="122">
        <v>-430</v>
      </c>
      <c r="M1519" s="122">
        <v>-391</v>
      </c>
      <c r="N1519" s="122">
        <v>2505</v>
      </c>
      <c r="O1519" s="122">
        <v>928</v>
      </c>
      <c r="P1519" s="122">
        <v>2234</v>
      </c>
      <c r="Q1519" s="122">
        <v>827</v>
      </c>
      <c r="R1519" s="122">
        <v>4758</v>
      </c>
      <c r="S1519" s="122">
        <v>4326</v>
      </c>
      <c r="T1519" s="122">
        <v>0</v>
      </c>
      <c r="U1519" s="122">
        <v>0</v>
      </c>
      <c r="V1519" s="122">
        <v>2832</v>
      </c>
      <c r="W1519" s="122">
        <f t="shared" si="46"/>
        <v>9331</v>
      </c>
      <c r="X1519" s="122">
        <f t="shared" si="47"/>
        <v>13072</v>
      </c>
      <c r="AA1519" t="s">
        <v>58</v>
      </c>
      <c r="AB1519" t="s">
        <v>408</v>
      </c>
      <c r="AC1519" t="s">
        <v>427</v>
      </c>
      <c r="AD1519" t="s">
        <v>408</v>
      </c>
      <c r="AE1519" t="s">
        <v>566</v>
      </c>
      <c r="AF1519">
        <v>1</v>
      </c>
      <c r="AG1519">
        <v>168</v>
      </c>
      <c r="AH1519">
        <v>253</v>
      </c>
      <c r="AI1519" s="122">
        <v>26807</v>
      </c>
      <c r="AJ1519" s="122">
        <v>24370</v>
      </c>
      <c r="AK1519">
        <v>65</v>
      </c>
      <c r="AL1519" s="122">
        <v>6454</v>
      </c>
      <c r="AM1519" s="122">
        <v>5867</v>
      </c>
      <c r="AN1519" s="122">
        <v>4101</v>
      </c>
      <c r="AO1519" s="122">
        <v>1519</v>
      </c>
      <c r="AP1519" s="122">
        <v>351</v>
      </c>
      <c r="AQ1519">
        <v>130</v>
      </c>
      <c r="AR1519" s="122">
        <v>4795</v>
      </c>
      <c r="AS1519" s="122">
        <v>4359</v>
      </c>
      <c r="AT1519" s="122">
        <v>0</v>
      </c>
      <c r="AU1519" s="122">
        <v>0</v>
      </c>
      <c r="AV1519" s="122">
        <v>36245</v>
      </c>
    </row>
    <row r="1520" spans="2:48" hidden="1">
      <c r="B1520" t="s">
        <v>372</v>
      </c>
      <c r="C1520" t="s">
        <v>50</v>
      </c>
      <c r="D1520" t="s">
        <v>405</v>
      </c>
      <c r="E1520" t="s">
        <v>405</v>
      </c>
      <c r="F1520" s="122">
        <v>1</v>
      </c>
      <c r="G1520" s="122">
        <v>171</v>
      </c>
      <c r="H1520" s="122">
        <v>99</v>
      </c>
      <c r="I1520" s="122">
        <v>7625</v>
      </c>
      <c r="J1520" s="122">
        <v>6932</v>
      </c>
      <c r="K1520" s="122">
        <v>92</v>
      </c>
      <c r="L1520" s="122">
        <v>1302</v>
      </c>
      <c r="M1520" s="122">
        <v>1184</v>
      </c>
      <c r="N1520" s="122">
        <v>3222</v>
      </c>
      <c r="O1520" s="122">
        <v>1193</v>
      </c>
      <c r="P1520" s="122">
        <v>473</v>
      </c>
      <c r="Q1520" s="122">
        <v>175</v>
      </c>
      <c r="R1520" s="122">
        <v>4216</v>
      </c>
      <c r="S1520" s="122">
        <v>3833</v>
      </c>
      <c r="T1520" s="122">
        <v>0</v>
      </c>
      <c r="U1520" s="122">
        <v>0</v>
      </c>
      <c r="V1520" s="122">
        <v>13316</v>
      </c>
      <c r="W1520" s="122">
        <f t="shared" si="46"/>
        <v>13317</v>
      </c>
      <c r="X1520" s="122">
        <f t="shared" si="47"/>
        <v>16838</v>
      </c>
      <c r="AA1520" t="s">
        <v>58</v>
      </c>
      <c r="AB1520" t="s">
        <v>408</v>
      </c>
      <c r="AC1520" t="s">
        <v>579</v>
      </c>
      <c r="AD1520" t="s">
        <v>408</v>
      </c>
      <c r="AE1520" t="s">
        <v>137</v>
      </c>
      <c r="AF1520">
        <v>3</v>
      </c>
      <c r="AG1520">
        <v>493</v>
      </c>
      <c r="AH1520">
        <v>797</v>
      </c>
      <c r="AI1520" s="122">
        <v>86440</v>
      </c>
      <c r="AJ1520" s="122">
        <v>78582</v>
      </c>
      <c r="AK1520">
        <v>77</v>
      </c>
      <c r="AL1520" s="122">
        <v>13504</v>
      </c>
      <c r="AM1520" s="122">
        <v>11253</v>
      </c>
      <c r="AN1520" s="122">
        <v>10055</v>
      </c>
      <c r="AO1520" s="122">
        <v>3724</v>
      </c>
      <c r="AP1520" s="122">
        <v>1053</v>
      </c>
      <c r="AQ1520">
        <v>390</v>
      </c>
      <c r="AR1520" s="122">
        <v>12741</v>
      </c>
      <c r="AS1520" s="122">
        <v>11582</v>
      </c>
      <c r="AT1520" s="122">
        <v>8208</v>
      </c>
      <c r="AU1520" s="122">
        <v>3040</v>
      </c>
      <c r="AV1520" s="122">
        <v>108572</v>
      </c>
    </row>
    <row r="1521" spans="2:48" hidden="1">
      <c r="B1521" t="s">
        <v>372</v>
      </c>
      <c r="C1521" t="s">
        <v>50</v>
      </c>
      <c r="D1521" t="s">
        <v>137</v>
      </c>
      <c r="E1521" t="s">
        <v>137</v>
      </c>
      <c r="F1521" s="122">
        <v>12</v>
      </c>
      <c r="G1521" s="122">
        <v>3472</v>
      </c>
      <c r="H1521" s="122">
        <v>1046</v>
      </c>
      <c r="I1521" s="122">
        <v>129341</v>
      </c>
      <c r="J1521" s="122">
        <v>47904</v>
      </c>
      <c r="K1521" s="122">
        <v>374</v>
      </c>
      <c r="L1521" s="122">
        <v>34959</v>
      </c>
      <c r="M1521" s="122">
        <v>31653</v>
      </c>
      <c r="N1521" s="122">
        <v>46739</v>
      </c>
      <c r="O1521" s="122">
        <v>17311</v>
      </c>
      <c r="P1521" s="122">
        <v>27326</v>
      </c>
      <c r="Q1521" s="122">
        <v>10121</v>
      </c>
      <c r="R1521" s="122">
        <v>61869</v>
      </c>
      <c r="S1521" s="122">
        <v>22914</v>
      </c>
      <c r="T1521" s="122">
        <v>0</v>
      </c>
      <c r="U1521" s="122">
        <v>0</v>
      </c>
      <c r="V1521" s="122">
        <v>129903</v>
      </c>
      <c r="W1521" s="122">
        <f t="shared" si="46"/>
        <v>129903</v>
      </c>
      <c r="X1521" s="122">
        <f t="shared" si="47"/>
        <v>300234</v>
      </c>
      <c r="AA1521" t="s">
        <v>58</v>
      </c>
      <c r="AB1521" t="s">
        <v>408</v>
      </c>
      <c r="AC1521" t="s">
        <v>579</v>
      </c>
      <c r="AD1521" t="s">
        <v>408</v>
      </c>
      <c r="AE1521" t="s">
        <v>566</v>
      </c>
      <c r="AF1521">
        <v>1</v>
      </c>
      <c r="AG1521">
        <v>156</v>
      </c>
      <c r="AH1521">
        <v>239</v>
      </c>
      <c r="AI1521" s="122">
        <v>25525</v>
      </c>
      <c r="AJ1521" s="122">
        <v>23205</v>
      </c>
      <c r="AK1521">
        <v>65</v>
      </c>
      <c r="AL1521" s="122">
        <v>3352</v>
      </c>
      <c r="AM1521" s="122">
        <v>2793</v>
      </c>
      <c r="AN1521" s="122">
        <v>2714</v>
      </c>
      <c r="AO1521" s="122">
        <v>1005</v>
      </c>
      <c r="AP1521">
        <v>351</v>
      </c>
      <c r="AQ1521">
        <v>130</v>
      </c>
      <c r="AR1521" s="122">
        <v>5229</v>
      </c>
      <c r="AS1521" s="122">
        <v>4754</v>
      </c>
      <c r="AT1521">
        <v>0</v>
      </c>
      <c r="AU1521">
        <v>0</v>
      </c>
      <c r="AV1521" s="122">
        <v>31887</v>
      </c>
    </row>
    <row r="1522" spans="2:48" hidden="1">
      <c r="B1522" t="s">
        <v>372</v>
      </c>
      <c r="C1522" t="s">
        <v>50</v>
      </c>
      <c r="D1522" t="s">
        <v>406</v>
      </c>
      <c r="E1522" t="s">
        <v>406</v>
      </c>
      <c r="F1522" s="122">
        <v>21</v>
      </c>
      <c r="G1522" s="122">
        <v>5484</v>
      </c>
      <c r="H1522" s="122">
        <v>1918</v>
      </c>
      <c r="I1522" s="122">
        <v>256941</v>
      </c>
      <c r="J1522" s="122">
        <v>233583</v>
      </c>
      <c r="K1522" s="122">
        <v>94</v>
      </c>
      <c r="L1522" s="122">
        <v>39887</v>
      </c>
      <c r="M1522" s="122">
        <v>36261</v>
      </c>
      <c r="N1522" s="122">
        <v>74536</v>
      </c>
      <c r="O1522" s="122">
        <v>27606</v>
      </c>
      <c r="P1522" s="122">
        <v>27854</v>
      </c>
      <c r="Q1522" s="122">
        <v>10316</v>
      </c>
      <c r="R1522" s="122">
        <v>111052</v>
      </c>
      <c r="S1522" s="122">
        <v>100956</v>
      </c>
      <c r="T1522" s="122">
        <v>0</v>
      </c>
      <c r="U1522" s="122">
        <v>0</v>
      </c>
      <c r="V1522" s="122">
        <v>408722</v>
      </c>
      <c r="W1522" s="122">
        <f t="shared" si="46"/>
        <v>408722</v>
      </c>
      <c r="X1522" s="122">
        <f t="shared" si="47"/>
        <v>510270</v>
      </c>
      <c r="AA1522" t="s">
        <v>58</v>
      </c>
      <c r="AB1522" t="s">
        <v>408</v>
      </c>
      <c r="AC1522" t="s">
        <v>428</v>
      </c>
      <c r="AD1522" t="s">
        <v>408</v>
      </c>
      <c r="AE1522" t="s">
        <v>566</v>
      </c>
      <c r="AF1522">
        <v>1</v>
      </c>
      <c r="AG1522">
        <v>124</v>
      </c>
      <c r="AH1522">
        <v>235</v>
      </c>
      <c r="AI1522" s="122">
        <v>17184</v>
      </c>
      <c r="AJ1522" s="122">
        <v>15622</v>
      </c>
      <c r="AK1522">
        <v>65</v>
      </c>
      <c r="AL1522" s="122">
        <v>1817</v>
      </c>
      <c r="AM1522" s="122">
        <v>1652</v>
      </c>
      <c r="AN1522" s="122">
        <v>2040</v>
      </c>
      <c r="AO1522" s="122">
        <v>755</v>
      </c>
      <c r="AP1522">
        <v>351</v>
      </c>
      <c r="AQ1522">
        <v>130</v>
      </c>
      <c r="AR1522" s="122">
        <v>7744</v>
      </c>
      <c r="AS1522" s="122">
        <v>7040</v>
      </c>
      <c r="AT1522">
        <v>0</v>
      </c>
      <c r="AU1522">
        <v>0</v>
      </c>
      <c r="AV1522" s="122">
        <v>25199</v>
      </c>
    </row>
    <row r="1523" spans="2:48" hidden="1">
      <c r="B1523" t="s">
        <v>372</v>
      </c>
      <c r="C1523" t="s">
        <v>50</v>
      </c>
      <c r="D1523" t="s">
        <v>407</v>
      </c>
      <c r="E1523" t="s">
        <v>407</v>
      </c>
      <c r="F1523" s="122">
        <v>9</v>
      </c>
      <c r="G1523" s="122">
        <v>1202</v>
      </c>
      <c r="H1523" s="122">
        <v>781</v>
      </c>
      <c r="I1523" s="122">
        <v>54750</v>
      </c>
      <c r="J1523" s="122">
        <v>49773</v>
      </c>
      <c r="K1523" s="122">
        <v>90</v>
      </c>
      <c r="L1523" s="122">
        <v>6507</v>
      </c>
      <c r="M1523" s="122">
        <v>5915</v>
      </c>
      <c r="N1523" s="122">
        <v>14639</v>
      </c>
      <c r="O1523" s="122">
        <v>5422</v>
      </c>
      <c r="P1523" s="122">
        <v>4604</v>
      </c>
      <c r="Q1523" s="122">
        <v>1705</v>
      </c>
      <c r="R1523" s="122">
        <v>24949</v>
      </c>
      <c r="S1523" s="122">
        <v>22681</v>
      </c>
      <c r="T1523" s="122">
        <v>0</v>
      </c>
      <c r="U1523" s="122">
        <v>0</v>
      </c>
      <c r="V1523" s="122">
        <v>85495</v>
      </c>
      <c r="W1523" s="122">
        <f t="shared" si="46"/>
        <v>85496</v>
      </c>
      <c r="X1523" s="122">
        <f t="shared" si="47"/>
        <v>105449</v>
      </c>
      <c r="AA1523" t="s">
        <v>58</v>
      </c>
      <c r="AB1523" t="s">
        <v>408</v>
      </c>
      <c r="AC1523" t="s">
        <v>431</v>
      </c>
      <c r="AD1523" t="s">
        <v>408</v>
      </c>
      <c r="AE1523" t="s">
        <v>566</v>
      </c>
      <c r="AF1523">
        <v>1</v>
      </c>
      <c r="AG1523" s="122">
        <v>129</v>
      </c>
      <c r="AH1523" s="122">
        <v>296</v>
      </c>
      <c r="AI1523" s="122">
        <v>24772</v>
      </c>
      <c r="AJ1523" s="122">
        <v>22520</v>
      </c>
      <c r="AK1523">
        <v>65</v>
      </c>
      <c r="AL1523" s="122">
        <v>2982</v>
      </c>
      <c r="AM1523" s="122">
        <v>2711</v>
      </c>
      <c r="AN1523" s="122">
        <v>2896</v>
      </c>
      <c r="AO1523" s="122">
        <v>1073</v>
      </c>
      <c r="AP1523" s="122">
        <v>351</v>
      </c>
      <c r="AQ1523" s="122">
        <v>130</v>
      </c>
      <c r="AR1523" s="122">
        <v>7184</v>
      </c>
      <c r="AS1523" s="122">
        <v>6531</v>
      </c>
      <c r="AT1523" s="122">
        <v>0</v>
      </c>
      <c r="AU1523" s="122">
        <v>0</v>
      </c>
      <c r="AV1523" s="122">
        <v>32964</v>
      </c>
    </row>
    <row r="1524" spans="2:48" hidden="1">
      <c r="B1524" t="s">
        <v>372</v>
      </c>
      <c r="C1524" t="s">
        <v>52</v>
      </c>
      <c r="D1524" t="s">
        <v>405</v>
      </c>
      <c r="E1524" t="s">
        <v>405</v>
      </c>
      <c r="F1524" s="122">
        <v>2</v>
      </c>
      <c r="G1524" s="122">
        <v>533</v>
      </c>
      <c r="H1524" s="122">
        <v>248</v>
      </c>
      <c r="I1524" s="122">
        <v>47385</v>
      </c>
      <c r="J1524" s="122">
        <v>43078</v>
      </c>
      <c r="K1524" s="122">
        <v>87</v>
      </c>
      <c r="L1524" s="122">
        <v>7198</v>
      </c>
      <c r="M1524" s="122">
        <v>6543</v>
      </c>
      <c r="N1524" s="122">
        <v>12779</v>
      </c>
      <c r="O1524" s="122">
        <v>4733</v>
      </c>
      <c r="P1524" s="122">
        <v>1418</v>
      </c>
      <c r="Q1524" s="122">
        <v>525</v>
      </c>
      <c r="R1524" s="122">
        <v>11066</v>
      </c>
      <c r="S1524" s="122">
        <v>10060</v>
      </c>
      <c r="T1524" s="122">
        <v>0</v>
      </c>
      <c r="U1524" s="122">
        <v>0</v>
      </c>
      <c r="V1524" s="122">
        <v>64939</v>
      </c>
      <c r="W1524" s="122">
        <f t="shared" si="46"/>
        <v>64939</v>
      </c>
      <c r="X1524" s="122">
        <f t="shared" si="47"/>
        <v>79846</v>
      </c>
      <c r="AA1524" t="s">
        <v>58</v>
      </c>
      <c r="AB1524" t="s">
        <v>408</v>
      </c>
      <c r="AC1524" t="s">
        <v>426</v>
      </c>
      <c r="AD1524" t="s">
        <v>408</v>
      </c>
      <c r="AE1524" t="s">
        <v>137</v>
      </c>
      <c r="AF1524">
        <v>25</v>
      </c>
      <c r="AG1524" s="122">
        <v>3819</v>
      </c>
      <c r="AH1524" s="122">
        <v>6667</v>
      </c>
      <c r="AI1524" s="122">
        <v>647437</v>
      </c>
      <c r="AJ1524" s="122">
        <v>588579</v>
      </c>
      <c r="AK1524">
        <v>65</v>
      </c>
      <c r="AL1524" s="122">
        <v>103242</v>
      </c>
      <c r="AM1524" s="122">
        <v>93856</v>
      </c>
      <c r="AN1524" s="122">
        <v>81905</v>
      </c>
      <c r="AO1524" s="122">
        <v>30335</v>
      </c>
      <c r="AP1524" s="122">
        <v>11529</v>
      </c>
      <c r="AQ1524" s="122">
        <v>4270</v>
      </c>
      <c r="AR1524" s="122">
        <v>135972</v>
      </c>
      <c r="AS1524" s="122">
        <v>123611</v>
      </c>
      <c r="AT1524" s="122">
        <v>65986</v>
      </c>
      <c r="AU1524" s="122">
        <v>24439</v>
      </c>
      <c r="AV1524" s="122">
        <v>865091</v>
      </c>
    </row>
    <row r="1525" spans="2:48" hidden="1">
      <c r="B1525" t="s">
        <v>372</v>
      </c>
      <c r="C1525" t="s">
        <v>52</v>
      </c>
      <c r="D1525" t="s">
        <v>137</v>
      </c>
      <c r="E1525" t="s">
        <v>137</v>
      </c>
      <c r="F1525" s="122">
        <v>13</v>
      </c>
      <c r="G1525" s="122">
        <v>2603</v>
      </c>
      <c r="H1525" s="122">
        <v>1420</v>
      </c>
      <c r="I1525" s="122">
        <v>112031</v>
      </c>
      <c r="J1525" s="122">
        <v>41493</v>
      </c>
      <c r="K1525" s="122">
        <v>354</v>
      </c>
      <c r="L1525" s="122">
        <v>37059</v>
      </c>
      <c r="M1525" s="122">
        <v>33568</v>
      </c>
      <c r="N1525" s="122">
        <v>53744</v>
      </c>
      <c r="O1525" s="122">
        <v>19905</v>
      </c>
      <c r="P1525" s="122">
        <v>11154</v>
      </c>
      <c r="Q1525" s="122">
        <v>4131</v>
      </c>
      <c r="R1525" s="122">
        <v>96898</v>
      </c>
      <c r="S1525" s="122">
        <v>35888</v>
      </c>
      <c r="T1525" s="122">
        <v>0</v>
      </c>
      <c r="U1525" s="122">
        <v>0</v>
      </c>
      <c r="V1525" s="122">
        <v>134986</v>
      </c>
      <c r="W1525" s="122">
        <f t="shared" si="46"/>
        <v>134985</v>
      </c>
      <c r="X1525" s="122">
        <f t="shared" si="47"/>
        <v>310886</v>
      </c>
      <c r="AA1525" t="s">
        <v>58</v>
      </c>
      <c r="AB1525" t="s">
        <v>408</v>
      </c>
      <c r="AC1525" t="s">
        <v>426</v>
      </c>
      <c r="AD1525" t="s">
        <v>408</v>
      </c>
      <c r="AE1525" t="s">
        <v>566</v>
      </c>
      <c r="AF1525">
        <v>34</v>
      </c>
      <c r="AG1525" s="122">
        <v>5454</v>
      </c>
      <c r="AH1525" s="122">
        <v>8733</v>
      </c>
      <c r="AI1525" s="122">
        <v>934628</v>
      </c>
      <c r="AJ1525" s="122">
        <v>849662</v>
      </c>
      <c r="AK1525">
        <v>71</v>
      </c>
      <c r="AL1525" s="122">
        <v>160856</v>
      </c>
      <c r="AM1525" s="122">
        <v>146233</v>
      </c>
      <c r="AN1525" s="122">
        <v>110465</v>
      </c>
      <c r="AO1525" s="122">
        <v>40913</v>
      </c>
      <c r="AP1525" s="122">
        <v>14891</v>
      </c>
      <c r="AQ1525" s="122">
        <v>5515</v>
      </c>
      <c r="AR1525" s="122">
        <v>211299</v>
      </c>
      <c r="AS1525" s="122">
        <v>192090</v>
      </c>
      <c r="AT1525" s="122">
        <v>0</v>
      </c>
      <c r="AU1525">
        <v>0</v>
      </c>
      <c r="AV1525" s="122">
        <v>1234413</v>
      </c>
    </row>
    <row r="1526" spans="2:48" hidden="1">
      <c r="B1526" t="s">
        <v>372</v>
      </c>
      <c r="C1526" t="s">
        <v>52</v>
      </c>
      <c r="D1526" t="s">
        <v>406</v>
      </c>
      <c r="E1526" t="s">
        <v>137</v>
      </c>
      <c r="F1526" s="122">
        <v>2</v>
      </c>
      <c r="G1526" s="122">
        <v>593</v>
      </c>
      <c r="H1526" s="122">
        <v>228</v>
      </c>
      <c r="I1526" s="122">
        <v>41460</v>
      </c>
      <c r="J1526" s="122">
        <v>37691</v>
      </c>
      <c r="K1526" s="122">
        <v>95</v>
      </c>
      <c r="L1526" s="122">
        <v>6885</v>
      </c>
      <c r="M1526" s="122">
        <v>6259</v>
      </c>
      <c r="N1526" s="122">
        <v>8558</v>
      </c>
      <c r="O1526" s="122">
        <v>3170</v>
      </c>
      <c r="P1526" s="122">
        <v>1242</v>
      </c>
      <c r="Q1526" s="122">
        <v>460</v>
      </c>
      <c r="R1526" s="122">
        <v>9772</v>
      </c>
      <c r="S1526" s="122">
        <v>3619</v>
      </c>
      <c r="T1526" s="122">
        <v>0</v>
      </c>
      <c r="U1526" s="122">
        <v>0</v>
      </c>
      <c r="V1526" s="122">
        <v>51198</v>
      </c>
      <c r="W1526" s="122">
        <f t="shared" si="46"/>
        <v>51199</v>
      </c>
      <c r="X1526" s="122">
        <f t="shared" si="47"/>
        <v>67917</v>
      </c>
      <c r="AA1526" t="s">
        <v>58</v>
      </c>
      <c r="AB1526" t="s">
        <v>408</v>
      </c>
      <c r="AC1526" t="s">
        <v>426</v>
      </c>
      <c r="AD1526" t="s">
        <v>429</v>
      </c>
      <c r="AE1526" t="s">
        <v>137</v>
      </c>
      <c r="AF1526">
        <v>2</v>
      </c>
      <c r="AG1526">
        <v>236</v>
      </c>
      <c r="AH1526">
        <v>521</v>
      </c>
      <c r="AI1526" s="122">
        <v>39710</v>
      </c>
      <c r="AJ1526" s="122">
        <v>36100</v>
      </c>
      <c r="AK1526">
        <v>65</v>
      </c>
      <c r="AL1526" s="122">
        <v>9560</v>
      </c>
      <c r="AM1526" s="122">
        <v>8691</v>
      </c>
      <c r="AN1526" s="122">
        <v>6129</v>
      </c>
      <c r="AO1526" s="122">
        <v>2270</v>
      </c>
      <c r="AP1526">
        <v>702</v>
      </c>
      <c r="AQ1526">
        <v>260</v>
      </c>
      <c r="AR1526" s="122">
        <v>12551</v>
      </c>
      <c r="AS1526" s="122">
        <v>11410</v>
      </c>
      <c r="AT1526" s="122">
        <v>2586</v>
      </c>
      <c r="AU1526">
        <v>958</v>
      </c>
      <c r="AV1526" s="122">
        <v>59688</v>
      </c>
    </row>
    <row r="1527" spans="2:48" hidden="1">
      <c r="B1527" t="s">
        <v>372</v>
      </c>
      <c r="C1527" t="s">
        <v>52</v>
      </c>
      <c r="D1527" t="s">
        <v>406</v>
      </c>
      <c r="E1527" t="s">
        <v>406</v>
      </c>
      <c r="F1527" s="122">
        <v>58</v>
      </c>
      <c r="G1527" s="122">
        <v>15033</v>
      </c>
      <c r="H1527" s="122">
        <v>6601</v>
      </c>
      <c r="I1527" s="122">
        <v>1034146</v>
      </c>
      <c r="J1527" s="122">
        <v>940133</v>
      </c>
      <c r="K1527" s="122">
        <v>93</v>
      </c>
      <c r="L1527" s="122">
        <v>183820</v>
      </c>
      <c r="M1527" s="122">
        <v>166638</v>
      </c>
      <c r="N1527" s="122">
        <v>270222</v>
      </c>
      <c r="O1527" s="122">
        <v>100082</v>
      </c>
      <c r="P1527" s="122">
        <v>55780</v>
      </c>
      <c r="Q1527" s="122">
        <v>20659</v>
      </c>
      <c r="R1527" s="122">
        <v>313961</v>
      </c>
      <c r="S1527" s="122">
        <v>285419</v>
      </c>
      <c r="T1527" s="122">
        <v>6045</v>
      </c>
      <c r="U1527" s="122">
        <v>2239</v>
      </c>
      <c r="V1527" s="122">
        <v>1515171</v>
      </c>
      <c r="W1527" s="122">
        <f t="shared" si="46"/>
        <v>1515170</v>
      </c>
      <c r="X1527" s="122">
        <f t="shared" si="47"/>
        <v>1863974</v>
      </c>
      <c r="AA1527" t="s">
        <v>58</v>
      </c>
      <c r="AB1527" t="s">
        <v>408</v>
      </c>
      <c r="AC1527" t="s">
        <v>426</v>
      </c>
      <c r="AD1527" t="s">
        <v>429</v>
      </c>
      <c r="AE1527" t="s">
        <v>566</v>
      </c>
      <c r="AF1527">
        <v>1</v>
      </c>
      <c r="AG1527">
        <v>208</v>
      </c>
      <c r="AH1527">
        <v>242</v>
      </c>
      <c r="AI1527" s="122">
        <v>36143</v>
      </c>
      <c r="AJ1527" s="122">
        <v>32857</v>
      </c>
      <c r="AK1527">
        <v>91</v>
      </c>
      <c r="AL1527" s="122">
        <v>6091</v>
      </c>
      <c r="AM1527" s="122">
        <v>5537</v>
      </c>
      <c r="AN1527" s="122">
        <v>2531</v>
      </c>
      <c r="AO1527" s="122">
        <v>938</v>
      </c>
      <c r="AP1527" s="122">
        <v>351</v>
      </c>
      <c r="AQ1527">
        <v>130</v>
      </c>
      <c r="AR1527" s="122">
        <v>5164</v>
      </c>
      <c r="AS1527" s="122">
        <v>4695</v>
      </c>
      <c r="AT1527">
        <v>0</v>
      </c>
      <c r="AU1527">
        <v>0</v>
      </c>
      <c r="AV1527" s="122">
        <v>44156</v>
      </c>
    </row>
    <row r="1528" spans="2:48" hidden="1">
      <c r="B1528" t="s">
        <v>372</v>
      </c>
      <c r="C1528" t="s">
        <v>52</v>
      </c>
      <c r="D1528" t="s">
        <v>407</v>
      </c>
      <c r="E1528" t="s">
        <v>407</v>
      </c>
      <c r="F1528" s="122">
        <v>49</v>
      </c>
      <c r="G1528" s="122">
        <v>8288</v>
      </c>
      <c r="H1528" s="122">
        <v>5592</v>
      </c>
      <c r="I1528" s="122">
        <v>496106</v>
      </c>
      <c r="J1528" s="122">
        <v>451006</v>
      </c>
      <c r="K1528" s="122">
        <v>91</v>
      </c>
      <c r="L1528" s="122">
        <v>87293</v>
      </c>
      <c r="M1528" s="122">
        <v>69665</v>
      </c>
      <c r="N1528" s="122">
        <v>136660</v>
      </c>
      <c r="O1528" s="122">
        <v>50615</v>
      </c>
      <c r="P1528" s="122">
        <v>35438</v>
      </c>
      <c r="Q1528" s="122">
        <v>13125</v>
      </c>
      <c r="R1528" s="122">
        <v>217338</v>
      </c>
      <c r="S1528" s="122">
        <v>197580</v>
      </c>
      <c r="T1528" s="122">
        <v>0</v>
      </c>
      <c r="U1528" s="122">
        <v>0</v>
      </c>
      <c r="V1528" s="122">
        <v>781990</v>
      </c>
      <c r="W1528" s="122">
        <f t="shared" si="46"/>
        <v>781991</v>
      </c>
      <c r="X1528" s="122">
        <f t="shared" si="47"/>
        <v>972835</v>
      </c>
      <c r="AA1528" t="s">
        <v>58</v>
      </c>
      <c r="AB1528" t="s">
        <v>408</v>
      </c>
      <c r="AC1528" t="s">
        <v>566</v>
      </c>
      <c r="AD1528" t="s">
        <v>408</v>
      </c>
      <c r="AE1528" t="s">
        <v>566</v>
      </c>
      <c r="AF1528">
        <v>3</v>
      </c>
      <c r="AG1528">
        <v>308</v>
      </c>
      <c r="AH1528">
        <v>878</v>
      </c>
      <c r="AI1528" s="122">
        <v>67874</v>
      </c>
      <c r="AJ1528" s="122">
        <v>61704</v>
      </c>
      <c r="AK1528">
        <v>65</v>
      </c>
      <c r="AL1528" s="122">
        <v>0</v>
      </c>
      <c r="AM1528" s="122">
        <v>0</v>
      </c>
      <c r="AN1528" s="122">
        <v>5622</v>
      </c>
      <c r="AO1528" s="122">
        <v>2082</v>
      </c>
      <c r="AP1528" s="122">
        <v>1053</v>
      </c>
      <c r="AQ1528">
        <v>390</v>
      </c>
      <c r="AR1528" s="122">
        <v>15757</v>
      </c>
      <c r="AS1528" s="122">
        <v>14325</v>
      </c>
      <c r="AT1528" s="122">
        <v>0</v>
      </c>
      <c r="AU1528" s="122">
        <v>0</v>
      </c>
      <c r="AV1528" s="122">
        <v>78501</v>
      </c>
    </row>
    <row r="1529" spans="2:48" hidden="1">
      <c r="B1529" t="s">
        <v>372</v>
      </c>
      <c r="C1529" t="s">
        <v>52</v>
      </c>
      <c r="D1529" t="s">
        <v>408</v>
      </c>
      <c r="E1529" t="s">
        <v>408</v>
      </c>
      <c r="F1529" s="122">
        <v>3</v>
      </c>
      <c r="G1529" s="122">
        <v>643</v>
      </c>
      <c r="H1529" s="122">
        <v>361</v>
      </c>
      <c r="I1529" s="122">
        <v>42590</v>
      </c>
      <c r="J1529" s="122">
        <v>38718</v>
      </c>
      <c r="K1529" s="122">
        <v>87</v>
      </c>
      <c r="L1529" s="122">
        <v>6451</v>
      </c>
      <c r="M1529" s="122">
        <v>5865</v>
      </c>
      <c r="N1529" s="122">
        <v>10630</v>
      </c>
      <c r="O1529" s="122">
        <v>3937</v>
      </c>
      <c r="P1529" s="122">
        <v>1755</v>
      </c>
      <c r="Q1529" s="122">
        <v>650</v>
      </c>
      <c r="R1529" s="122">
        <v>15756</v>
      </c>
      <c r="S1529" s="122">
        <v>14324</v>
      </c>
      <c r="T1529" s="122">
        <v>0</v>
      </c>
      <c r="U1529" s="122">
        <v>0</v>
      </c>
      <c r="V1529" s="122">
        <v>63493</v>
      </c>
      <c r="W1529" s="122">
        <f t="shared" si="46"/>
        <v>63494</v>
      </c>
      <c r="X1529" s="122">
        <f t="shared" si="47"/>
        <v>77182</v>
      </c>
      <c r="AA1529" t="s">
        <v>58</v>
      </c>
      <c r="AB1529" t="s">
        <v>408</v>
      </c>
      <c r="AC1529" t="s">
        <v>433</v>
      </c>
      <c r="AD1529" t="s">
        <v>408</v>
      </c>
      <c r="AE1529" t="s">
        <v>137</v>
      </c>
      <c r="AF1529">
        <v>3</v>
      </c>
      <c r="AG1529">
        <v>443</v>
      </c>
      <c r="AH1529">
        <v>773</v>
      </c>
      <c r="AI1529" s="122">
        <v>66825</v>
      </c>
      <c r="AJ1529" s="122">
        <v>60750</v>
      </c>
      <c r="AK1529">
        <v>65</v>
      </c>
      <c r="AL1529" s="122">
        <v>9711</v>
      </c>
      <c r="AM1529" s="122">
        <v>8828</v>
      </c>
      <c r="AN1529" s="122">
        <v>9028</v>
      </c>
      <c r="AO1529" s="122">
        <v>3344</v>
      </c>
      <c r="AP1529" s="122">
        <v>1053</v>
      </c>
      <c r="AQ1529">
        <v>390</v>
      </c>
      <c r="AR1529" s="122">
        <v>16087</v>
      </c>
      <c r="AS1529" s="122">
        <v>14625</v>
      </c>
      <c r="AT1529" s="122">
        <v>8887</v>
      </c>
      <c r="AU1529" s="122">
        <v>3292</v>
      </c>
      <c r="AV1529" s="122">
        <v>91228</v>
      </c>
    </row>
    <row r="1530" spans="2:48" hidden="1">
      <c r="B1530" t="s">
        <v>372</v>
      </c>
      <c r="C1530" t="s">
        <v>54</v>
      </c>
      <c r="D1530" t="s">
        <v>425</v>
      </c>
      <c r="E1530" t="s">
        <v>405</v>
      </c>
      <c r="F1530" s="122">
        <v>1</v>
      </c>
      <c r="G1530" s="122">
        <v>202</v>
      </c>
      <c r="H1530" s="122">
        <v>139</v>
      </c>
      <c r="I1530" s="122">
        <v>21082</v>
      </c>
      <c r="J1530" s="122">
        <v>19165</v>
      </c>
      <c r="K1530" s="122">
        <v>90</v>
      </c>
      <c r="L1530" s="122">
        <v>3646</v>
      </c>
      <c r="M1530" s="122">
        <v>3038</v>
      </c>
      <c r="N1530" s="122">
        <v>4852</v>
      </c>
      <c r="O1530" s="122">
        <v>1797</v>
      </c>
      <c r="P1530" s="122">
        <v>473</v>
      </c>
      <c r="Q1530" s="122">
        <v>175</v>
      </c>
      <c r="R1530" s="122">
        <v>6815</v>
      </c>
      <c r="S1530" s="122">
        <v>6196</v>
      </c>
      <c r="T1530" s="122">
        <v>0</v>
      </c>
      <c r="U1530" s="122">
        <v>0</v>
      </c>
      <c r="V1530" s="122">
        <v>30371</v>
      </c>
      <c r="W1530" s="122">
        <f t="shared" si="46"/>
        <v>30371</v>
      </c>
      <c r="X1530" s="122">
        <f t="shared" si="47"/>
        <v>36868</v>
      </c>
      <c r="AA1530" t="s">
        <v>58</v>
      </c>
      <c r="AB1530" t="s">
        <v>408</v>
      </c>
      <c r="AC1530" t="s">
        <v>433</v>
      </c>
      <c r="AD1530" t="s">
        <v>408</v>
      </c>
      <c r="AE1530" t="s">
        <v>566</v>
      </c>
      <c r="AF1530">
        <v>3</v>
      </c>
      <c r="AG1530">
        <v>484</v>
      </c>
      <c r="AH1530">
        <v>711</v>
      </c>
      <c r="AI1530" s="122">
        <v>88856</v>
      </c>
      <c r="AJ1530" s="122">
        <v>80778</v>
      </c>
      <c r="AK1530">
        <v>72</v>
      </c>
      <c r="AL1530" s="122">
        <v>10646</v>
      </c>
      <c r="AM1530" s="122">
        <v>9678</v>
      </c>
      <c r="AN1530" s="122">
        <v>7990</v>
      </c>
      <c r="AO1530" s="122">
        <v>2959</v>
      </c>
      <c r="AP1530" s="122">
        <v>1053</v>
      </c>
      <c r="AQ1530">
        <v>390</v>
      </c>
      <c r="AR1530" s="122">
        <v>21636</v>
      </c>
      <c r="AS1530" s="122">
        <v>19669</v>
      </c>
      <c r="AT1530" s="122">
        <v>0</v>
      </c>
      <c r="AU1530" s="122">
        <v>0</v>
      </c>
      <c r="AV1530" s="122">
        <v>113474</v>
      </c>
    </row>
    <row r="1531" spans="2:48" hidden="1">
      <c r="B1531" t="s">
        <v>372</v>
      </c>
      <c r="C1531" t="s">
        <v>54</v>
      </c>
      <c r="D1531" t="s">
        <v>405</v>
      </c>
      <c r="E1531" t="s">
        <v>405</v>
      </c>
      <c r="F1531" s="122">
        <v>8</v>
      </c>
      <c r="G1531" s="122">
        <v>1257</v>
      </c>
      <c r="H1531" s="122">
        <v>1138</v>
      </c>
      <c r="I1531" s="122">
        <v>97085</v>
      </c>
      <c r="J1531" s="122">
        <v>88259</v>
      </c>
      <c r="K1531" s="122">
        <v>91</v>
      </c>
      <c r="L1531" s="122">
        <v>17737</v>
      </c>
      <c r="M1531" s="122">
        <v>16009</v>
      </c>
      <c r="N1531" s="122">
        <v>27168</v>
      </c>
      <c r="O1531" s="122">
        <v>10062</v>
      </c>
      <c r="P1531" s="122">
        <v>3780</v>
      </c>
      <c r="Q1531" s="122">
        <v>1400</v>
      </c>
      <c r="R1531" s="122">
        <v>44321</v>
      </c>
      <c r="S1531" s="122">
        <v>40292</v>
      </c>
      <c r="T1531" s="122">
        <v>0</v>
      </c>
      <c r="U1531" s="122">
        <v>0</v>
      </c>
      <c r="V1531" s="122">
        <v>156021</v>
      </c>
      <c r="W1531" s="122">
        <f t="shared" si="46"/>
        <v>156022</v>
      </c>
      <c r="X1531" s="122">
        <f t="shared" si="47"/>
        <v>190091</v>
      </c>
      <c r="AA1531" t="s">
        <v>58</v>
      </c>
      <c r="AB1531" t="s">
        <v>408</v>
      </c>
      <c r="AC1531" t="s">
        <v>408</v>
      </c>
      <c r="AD1531" t="s">
        <v>408</v>
      </c>
      <c r="AE1531" t="s">
        <v>137</v>
      </c>
      <c r="AF1531">
        <v>1</v>
      </c>
      <c r="AG1531">
        <v>173</v>
      </c>
      <c r="AH1531" s="122">
        <v>252</v>
      </c>
      <c r="AI1531" s="122">
        <v>25048</v>
      </c>
      <c r="AJ1531" s="122">
        <v>22771</v>
      </c>
      <c r="AK1531">
        <v>65</v>
      </c>
      <c r="AL1531" s="122">
        <v>6030</v>
      </c>
      <c r="AM1531" s="122">
        <v>5482</v>
      </c>
      <c r="AN1531" s="122">
        <v>3170</v>
      </c>
      <c r="AO1531" s="122">
        <v>1174</v>
      </c>
      <c r="AP1531" s="122">
        <v>351</v>
      </c>
      <c r="AQ1531">
        <v>130</v>
      </c>
      <c r="AR1531" s="122">
        <v>5711</v>
      </c>
      <c r="AS1531" s="122">
        <v>5192</v>
      </c>
      <c r="AT1531" s="122">
        <v>3401</v>
      </c>
      <c r="AU1531" s="122">
        <v>1259</v>
      </c>
      <c r="AV1531" s="122">
        <v>36008</v>
      </c>
    </row>
    <row r="1532" spans="2:48" hidden="1">
      <c r="B1532" t="s">
        <v>372</v>
      </c>
      <c r="C1532" t="s">
        <v>54</v>
      </c>
      <c r="D1532" t="s">
        <v>137</v>
      </c>
      <c r="E1532" t="s">
        <v>137</v>
      </c>
      <c r="F1532" s="122">
        <v>7</v>
      </c>
      <c r="G1532" s="122">
        <v>1946</v>
      </c>
      <c r="H1532" s="122">
        <v>974</v>
      </c>
      <c r="I1532" s="122">
        <v>146639</v>
      </c>
      <c r="J1532" s="122">
        <v>54311</v>
      </c>
      <c r="K1532" s="122">
        <v>290</v>
      </c>
      <c r="L1532" s="122">
        <v>38978</v>
      </c>
      <c r="M1532" s="122">
        <v>32955</v>
      </c>
      <c r="N1532" s="122">
        <v>38396</v>
      </c>
      <c r="O1532" s="122">
        <v>14221</v>
      </c>
      <c r="P1532" s="122">
        <v>2930</v>
      </c>
      <c r="Q1532" s="122">
        <v>1085</v>
      </c>
      <c r="R1532" s="122">
        <v>57495</v>
      </c>
      <c r="S1532" s="122">
        <v>21295</v>
      </c>
      <c r="T1532" s="122">
        <v>0</v>
      </c>
      <c r="U1532" s="122">
        <v>0</v>
      </c>
      <c r="V1532" s="122">
        <v>123866</v>
      </c>
      <c r="W1532" s="122">
        <f t="shared" si="46"/>
        <v>123867</v>
      </c>
      <c r="X1532" s="122">
        <f t="shared" si="47"/>
        <v>284438</v>
      </c>
      <c r="AA1532" t="s">
        <v>58</v>
      </c>
      <c r="AB1532" t="s">
        <v>408</v>
      </c>
      <c r="AC1532" t="s">
        <v>408</v>
      </c>
      <c r="AD1532" t="s">
        <v>408</v>
      </c>
      <c r="AE1532" t="s">
        <v>566</v>
      </c>
      <c r="AF1532">
        <v>4</v>
      </c>
      <c r="AG1532">
        <v>495</v>
      </c>
      <c r="AH1532" s="122">
        <v>1030</v>
      </c>
      <c r="AI1532" s="122">
        <v>95854</v>
      </c>
      <c r="AJ1532" s="122">
        <v>87140</v>
      </c>
      <c r="AK1532">
        <v>65</v>
      </c>
      <c r="AL1532" s="122">
        <v>10807</v>
      </c>
      <c r="AM1532" s="122">
        <v>9824</v>
      </c>
      <c r="AN1532" s="122">
        <v>13037</v>
      </c>
      <c r="AO1532" s="122">
        <v>4829</v>
      </c>
      <c r="AP1532" s="122">
        <v>1404</v>
      </c>
      <c r="AQ1532">
        <v>520</v>
      </c>
      <c r="AR1532" s="122">
        <v>24794</v>
      </c>
      <c r="AS1532" s="122">
        <v>22540</v>
      </c>
      <c r="AT1532" s="122">
        <v>0</v>
      </c>
      <c r="AU1532" s="122">
        <v>0</v>
      </c>
      <c r="AV1532" s="122">
        <v>124853</v>
      </c>
    </row>
    <row r="1533" spans="2:48" hidden="1">
      <c r="B1533" t="s">
        <v>372</v>
      </c>
      <c r="C1533" t="s">
        <v>54</v>
      </c>
      <c r="D1533" t="s">
        <v>406</v>
      </c>
      <c r="E1533" t="s">
        <v>406</v>
      </c>
      <c r="F1533" s="122">
        <v>190</v>
      </c>
      <c r="G1533" s="122">
        <v>41024</v>
      </c>
      <c r="H1533" s="122">
        <v>26661</v>
      </c>
      <c r="I1533" s="122">
        <v>3369489</v>
      </c>
      <c r="J1533" s="122">
        <v>3063172</v>
      </c>
      <c r="K1533" s="122">
        <v>90</v>
      </c>
      <c r="L1533" s="122">
        <v>603956</v>
      </c>
      <c r="M1533" s="122">
        <v>550984</v>
      </c>
      <c r="N1533" s="122">
        <v>793240</v>
      </c>
      <c r="O1533" s="122">
        <v>293793</v>
      </c>
      <c r="P1533" s="122">
        <v>133668</v>
      </c>
      <c r="Q1533" s="122">
        <v>49507</v>
      </c>
      <c r="R1533" s="122">
        <v>1083395</v>
      </c>
      <c r="S1533" s="122">
        <v>984905</v>
      </c>
      <c r="T1533" s="122">
        <v>71942</v>
      </c>
      <c r="U1533" s="122">
        <v>26645</v>
      </c>
      <c r="V1533" s="122">
        <v>4969005</v>
      </c>
      <c r="W1533" s="122">
        <f t="shared" si="46"/>
        <v>4969006</v>
      </c>
      <c r="X1533" s="122">
        <f t="shared" si="47"/>
        <v>6055690</v>
      </c>
      <c r="AA1533" t="s">
        <v>58</v>
      </c>
      <c r="AB1533" t="s">
        <v>408</v>
      </c>
      <c r="AC1533" t="s">
        <v>429</v>
      </c>
      <c r="AD1533" t="s">
        <v>408</v>
      </c>
      <c r="AE1533" t="s">
        <v>137</v>
      </c>
      <c r="AF1533">
        <v>1</v>
      </c>
      <c r="AG1533">
        <v>154</v>
      </c>
      <c r="AH1533">
        <v>249</v>
      </c>
      <c r="AI1533" s="122">
        <v>24260</v>
      </c>
      <c r="AJ1533" s="122">
        <v>22055</v>
      </c>
      <c r="AK1533">
        <v>65</v>
      </c>
      <c r="AL1533" s="122">
        <v>2920</v>
      </c>
      <c r="AM1533" s="122">
        <v>2655</v>
      </c>
      <c r="AN1533" s="122">
        <v>2494</v>
      </c>
      <c r="AO1533" s="122">
        <v>924</v>
      </c>
      <c r="AP1533">
        <v>351</v>
      </c>
      <c r="AQ1533">
        <v>130</v>
      </c>
      <c r="AR1533" s="122">
        <v>5280</v>
      </c>
      <c r="AS1533" s="122">
        <v>4800</v>
      </c>
      <c r="AT1533" s="122">
        <v>3062</v>
      </c>
      <c r="AU1533" s="122">
        <v>1134</v>
      </c>
      <c r="AV1533" s="122">
        <v>31697</v>
      </c>
    </row>
    <row r="1534" spans="2:48" hidden="1">
      <c r="B1534" t="s">
        <v>372</v>
      </c>
      <c r="C1534" t="s">
        <v>54</v>
      </c>
      <c r="D1534" t="s">
        <v>407</v>
      </c>
      <c r="E1534" t="s">
        <v>407</v>
      </c>
      <c r="F1534" s="122">
        <v>188</v>
      </c>
      <c r="G1534" s="122">
        <v>30957</v>
      </c>
      <c r="H1534" s="122">
        <v>26277</v>
      </c>
      <c r="I1534" s="122">
        <v>2199036</v>
      </c>
      <c r="J1534" s="122">
        <v>1999124</v>
      </c>
      <c r="K1534" s="122">
        <v>88</v>
      </c>
      <c r="L1534" s="122">
        <v>474370</v>
      </c>
      <c r="M1534" s="122">
        <v>417919</v>
      </c>
      <c r="N1534" s="122">
        <v>593215</v>
      </c>
      <c r="O1534" s="122">
        <v>219709</v>
      </c>
      <c r="P1534" s="122">
        <v>105705</v>
      </c>
      <c r="Q1534" s="122">
        <v>39150</v>
      </c>
      <c r="R1534" s="122">
        <v>1000928</v>
      </c>
      <c r="S1534" s="122">
        <v>909934</v>
      </c>
      <c r="T1534" s="122">
        <v>8256</v>
      </c>
      <c r="U1534" s="122">
        <v>3058</v>
      </c>
      <c r="V1534" s="122">
        <v>3588894</v>
      </c>
      <c r="W1534" s="122">
        <f t="shared" si="46"/>
        <v>3588894</v>
      </c>
      <c r="X1534" s="122">
        <f t="shared" si="47"/>
        <v>4381510</v>
      </c>
      <c r="AA1534" t="s">
        <v>58</v>
      </c>
      <c r="AB1534" t="s">
        <v>408</v>
      </c>
      <c r="AC1534" t="s">
        <v>429</v>
      </c>
      <c r="AD1534" t="s">
        <v>408</v>
      </c>
      <c r="AE1534" t="s">
        <v>566</v>
      </c>
      <c r="AF1534">
        <v>1</v>
      </c>
      <c r="AG1534">
        <v>192</v>
      </c>
      <c r="AH1534">
        <v>240</v>
      </c>
      <c r="AI1534" s="122">
        <v>31086</v>
      </c>
      <c r="AJ1534" s="122">
        <v>28260</v>
      </c>
      <c r="AK1534">
        <v>65</v>
      </c>
      <c r="AL1534" s="122">
        <v>3454</v>
      </c>
      <c r="AM1534" s="122">
        <v>3140</v>
      </c>
      <c r="AN1534" s="122">
        <v>3991</v>
      </c>
      <c r="AO1534" s="122">
        <v>1478</v>
      </c>
      <c r="AP1534">
        <v>351</v>
      </c>
      <c r="AQ1534">
        <v>130</v>
      </c>
      <c r="AR1534" s="122">
        <v>7084</v>
      </c>
      <c r="AS1534" s="122">
        <v>6440</v>
      </c>
      <c r="AT1534" s="122">
        <v>0</v>
      </c>
      <c r="AU1534">
        <v>0</v>
      </c>
      <c r="AV1534" s="122">
        <v>39448</v>
      </c>
    </row>
    <row r="1535" spans="2:48" hidden="1">
      <c r="B1535" t="s">
        <v>372</v>
      </c>
      <c r="C1535" t="s">
        <v>54</v>
      </c>
      <c r="D1535" t="s">
        <v>407</v>
      </c>
      <c r="E1535" t="s">
        <v>426</v>
      </c>
      <c r="F1535" s="122">
        <v>1</v>
      </c>
      <c r="G1535" s="122">
        <v>116</v>
      </c>
      <c r="H1535" s="122">
        <v>139</v>
      </c>
      <c r="I1535" s="122">
        <v>13120</v>
      </c>
      <c r="J1535" s="122">
        <v>11928</v>
      </c>
      <c r="K1535" s="122">
        <v>90</v>
      </c>
      <c r="L1535" s="122">
        <v>4388</v>
      </c>
      <c r="M1535" s="122">
        <v>3989</v>
      </c>
      <c r="N1535" s="122">
        <v>2310</v>
      </c>
      <c r="O1535" s="122">
        <v>856</v>
      </c>
      <c r="P1535" s="122">
        <v>1094</v>
      </c>
      <c r="Q1535" s="122">
        <v>405</v>
      </c>
      <c r="R1535" s="122">
        <v>5426</v>
      </c>
      <c r="S1535" s="122">
        <v>4933</v>
      </c>
      <c r="T1535" s="122">
        <v>0</v>
      </c>
      <c r="U1535" s="122">
        <v>0</v>
      </c>
      <c r="V1535" s="122">
        <v>22110</v>
      </c>
      <c r="W1535" s="122">
        <f t="shared" si="46"/>
        <v>22111</v>
      </c>
      <c r="X1535" s="122">
        <f t="shared" si="47"/>
        <v>26338</v>
      </c>
      <c r="AA1535" t="s">
        <v>58</v>
      </c>
      <c r="AB1535" t="s">
        <v>429</v>
      </c>
      <c r="AC1535" t="s">
        <v>137</v>
      </c>
      <c r="AD1535" t="s">
        <v>429</v>
      </c>
      <c r="AE1535" t="s">
        <v>137</v>
      </c>
      <c r="AF1535">
        <v>1</v>
      </c>
      <c r="AG1535">
        <v>90</v>
      </c>
      <c r="AH1535" s="122">
        <v>296</v>
      </c>
      <c r="AI1535" s="122">
        <v>12897</v>
      </c>
      <c r="AJ1535" s="122">
        <v>11725</v>
      </c>
      <c r="AK1535">
        <v>65</v>
      </c>
      <c r="AL1535" s="122">
        <v>5144</v>
      </c>
      <c r="AM1535" s="122">
        <v>1905</v>
      </c>
      <c r="AN1535" s="122">
        <v>1811</v>
      </c>
      <c r="AO1535" s="122">
        <v>671</v>
      </c>
      <c r="AP1535" s="122">
        <v>351</v>
      </c>
      <c r="AQ1535" s="122">
        <v>130</v>
      </c>
      <c r="AR1535" s="122">
        <v>4253</v>
      </c>
      <c r="AS1535" s="122">
        <v>3867</v>
      </c>
      <c r="AT1535" s="122">
        <v>2255</v>
      </c>
      <c r="AU1535" s="122">
        <v>835</v>
      </c>
      <c r="AV1535" s="122">
        <v>19133</v>
      </c>
    </row>
    <row r="1536" spans="2:48" hidden="1">
      <c r="B1536" t="s">
        <v>372</v>
      </c>
      <c r="C1536" t="s">
        <v>54</v>
      </c>
      <c r="D1536" t="s">
        <v>426</v>
      </c>
      <c r="E1536" t="s">
        <v>426</v>
      </c>
      <c r="F1536" s="122">
        <v>1</v>
      </c>
      <c r="G1536" s="122">
        <v>195</v>
      </c>
      <c r="H1536" s="122">
        <v>149</v>
      </c>
      <c r="I1536" s="122">
        <v>18860</v>
      </c>
      <c r="J1536" s="122">
        <v>17146</v>
      </c>
      <c r="K1536" s="122">
        <v>70</v>
      </c>
      <c r="L1536" s="122">
        <v>0</v>
      </c>
      <c r="M1536" s="122">
        <v>0</v>
      </c>
      <c r="N1536" s="122">
        <v>2689</v>
      </c>
      <c r="O1536" s="122">
        <v>996</v>
      </c>
      <c r="P1536" s="122">
        <v>351</v>
      </c>
      <c r="Q1536" s="122">
        <v>130</v>
      </c>
      <c r="R1536" s="122">
        <v>7174</v>
      </c>
      <c r="S1536" s="122">
        <v>6522</v>
      </c>
      <c r="T1536" s="122">
        <v>0</v>
      </c>
      <c r="U1536" s="122">
        <v>0</v>
      </c>
      <c r="V1536" s="122">
        <v>24793</v>
      </c>
      <c r="W1536" s="122">
        <f t="shared" si="46"/>
        <v>24794</v>
      </c>
      <c r="X1536" s="122">
        <f t="shared" si="47"/>
        <v>29074</v>
      </c>
      <c r="AA1536" t="s">
        <v>58</v>
      </c>
      <c r="AB1536" t="s">
        <v>429</v>
      </c>
      <c r="AC1536" t="s">
        <v>580</v>
      </c>
      <c r="AD1536" t="s">
        <v>429</v>
      </c>
      <c r="AE1536" t="s">
        <v>137</v>
      </c>
      <c r="AF1536">
        <v>4</v>
      </c>
      <c r="AG1536">
        <v>642</v>
      </c>
      <c r="AH1536" s="122">
        <v>1013</v>
      </c>
      <c r="AI1536" s="122">
        <v>107939</v>
      </c>
      <c r="AJ1536" s="122">
        <v>98127</v>
      </c>
      <c r="AK1536">
        <v>76</v>
      </c>
      <c r="AL1536" s="122">
        <v>10791</v>
      </c>
      <c r="AM1536" s="122">
        <v>9810</v>
      </c>
      <c r="AN1536" s="122">
        <v>11134</v>
      </c>
      <c r="AO1536" s="122">
        <v>4124</v>
      </c>
      <c r="AP1536" s="122">
        <v>4239</v>
      </c>
      <c r="AQ1536" s="122">
        <v>1570</v>
      </c>
      <c r="AR1536" s="122">
        <v>17274</v>
      </c>
      <c r="AS1536" s="122">
        <v>15704</v>
      </c>
      <c r="AT1536" s="122">
        <v>9970</v>
      </c>
      <c r="AU1536" s="122">
        <v>3693</v>
      </c>
      <c r="AV1536" s="122">
        <v>133027</v>
      </c>
    </row>
    <row r="1537" spans="2:48" hidden="1">
      <c r="B1537" t="s">
        <v>372</v>
      </c>
      <c r="C1537" t="s">
        <v>54</v>
      </c>
      <c r="D1537" t="s">
        <v>481</v>
      </c>
      <c r="E1537" t="s">
        <v>481</v>
      </c>
      <c r="F1537" s="122">
        <v>1</v>
      </c>
      <c r="G1537" s="122">
        <v>440</v>
      </c>
      <c r="H1537" s="122">
        <v>130</v>
      </c>
      <c r="I1537" s="122">
        <v>37057</v>
      </c>
      <c r="J1537" s="122">
        <v>33688</v>
      </c>
      <c r="K1537" s="122">
        <v>83</v>
      </c>
      <c r="L1537" s="122">
        <v>4573</v>
      </c>
      <c r="M1537" s="122">
        <v>4157</v>
      </c>
      <c r="N1537" s="122">
        <v>8416</v>
      </c>
      <c r="O1537" s="122">
        <v>3117</v>
      </c>
      <c r="P1537" s="122">
        <v>351</v>
      </c>
      <c r="Q1537" s="122">
        <v>130</v>
      </c>
      <c r="R1537" s="122">
        <v>6718</v>
      </c>
      <c r="S1537" s="122">
        <v>6107</v>
      </c>
      <c r="T1537" s="122">
        <v>0</v>
      </c>
      <c r="U1537" s="122">
        <v>0</v>
      </c>
      <c r="V1537" s="122">
        <v>47199</v>
      </c>
      <c r="W1537" s="122">
        <f t="shared" si="46"/>
        <v>47199</v>
      </c>
      <c r="X1537" s="122">
        <f t="shared" si="47"/>
        <v>57115</v>
      </c>
      <c r="AA1537" t="s">
        <v>58</v>
      </c>
      <c r="AB1537" t="s">
        <v>429</v>
      </c>
      <c r="AC1537" t="s">
        <v>579</v>
      </c>
      <c r="AD1537" t="s">
        <v>429</v>
      </c>
      <c r="AE1537" t="s">
        <v>137</v>
      </c>
      <c r="AF1537">
        <v>1</v>
      </c>
      <c r="AG1537">
        <v>140</v>
      </c>
      <c r="AH1537">
        <v>245</v>
      </c>
      <c r="AI1537" s="122">
        <v>19036</v>
      </c>
      <c r="AJ1537" s="122">
        <v>17306</v>
      </c>
      <c r="AK1537">
        <v>78</v>
      </c>
      <c r="AL1537" s="122">
        <v>3600</v>
      </c>
      <c r="AM1537" s="122">
        <v>3000</v>
      </c>
      <c r="AN1537" s="122">
        <v>3206</v>
      </c>
      <c r="AO1537" s="122">
        <v>1188</v>
      </c>
      <c r="AP1537">
        <v>702</v>
      </c>
      <c r="AQ1537">
        <v>260</v>
      </c>
      <c r="AR1537" s="122">
        <v>4520</v>
      </c>
      <c r="AS1537" s="122">
        <v>4109</v>
      </c>
      <c r="AT1537" s="122">
        <v>3176</v>
      </c>
      <c r="AU1537" s="122">
        <v>1176</v>
      </c>
      <c r="AV1537" s="122">
        <v>27038</v>
      </c>
    </row>
    <row r="1538" spans="2:48" hidden="1">
      <c r="B1538" t="s">
        <v>372</v>
      </c>
      <c r="C1538" t="s">
        <v>54</v>
      </c>
      <c r="D1538" t="s">
        <v>433</v>
      </c>
      <c r="E1538" t="s">
        <v>433</v>
      </c>
      <c r="F1538" s="122">
        <v>2</v>
      </c>
      <c r="G1538" s="122">
        <v>651</v>
      </c>
      <c r="H1538" s="122">
        <v>286</v>
      </c>
      <c r="I1538" s="122">
        <v>72957</v>
      </c>
      <c r="J1538" s="122">
        <v>66324</v>
      </c>
      <c r="K1538" s="122">
        <v>69</v>
      </c>
      <c r="L1538" s="122">
        <v>9045</v>
      </c>
      <c r="M1538" s="122">
        <v>8223</v>
      </c>
      <c r="N1538" s="122">
        <v>9479</v>
      </c>
      <c r="O1538" s="122">
        <v>3511</v>
      </c>
      <c r="P1538" s="122">
        <v>1323</v>
      </c>
      <c r="Q1538" s="122">
        <v>490</v>
      </c>
      <c r="R1538" s="122">
        <v>12065</v>
      </c>
      <c r="S1538" s="122">
        <v>10968</v>
      </c>
      <c r="T1538" s="122">
        <v>0</v>
      </c>
      <c r="U1538" s="122">
        <v>0</v>
      </c>
      <c r="V1538" s="122">
        <v>89516</v>
      </c>
      <c r="W1538" s="122">
        <f t="shared" si="46"/>
        <v>89516</v>
      </c>
      <c r="X1538" s="122">
        <f t="shared" si="47"/>
        <v>104869</v>
      </c>
      <c r="AA1538" t="s">
        <v>58</v>
      </c>
      <c r="AB1538" t="s">
        <v>429</v>
      </c>
      <c r="AC1538" t="s">
        <v>579</v>
      </c>
      <c r="AD1538" t="s">
        <v>429</v>
      </c>
      <c r="AE1538" t="s">
        <v>566</v>
      </c>
      <c r="AF1538">
        <v>2</v>
      </c>
      <c r="AG1538">
        <v>245</v>
      </c>
      <c r="AH1538">
        <v>494</v>
      </c>
      <c r="AI1538" s="122">
        <v>35618</v>
      </c>
      <c r="AJ1538" s="122">
        <v>32380</v>
      </c>
      <c r="AK1538">
        <v>74</v>
      </c>
      <c r="AL1538" s="122">
        <v>5327</v>
      </c>
      <c r="AM1538" s="122">
        <v>4439</v>
      </c>
      <c r="AN1538" s="122">
        <v>4059</v>
      </c>
      <c r="AO1538" s="122">
        <v>1503</v>
      </c>
      <c r="AP1538" s="122">
        <v>972</v>
      </c>
      <c r="AQ1538">
        <v>360</v>
      </c>
      <c r="AR1538" s="122">
        <v>14649</v>
      </c>
      <c r="AS1538" s="122">
        <v>13317</v>
      </c>
      <c r="AT1538" s="122">
        <v>0</v>
      </c>
      <c r="AU1538">
        <v>0</v>
      </c>
      <c r="AV1538" s="122">
        <v>51999</v>
      </c>
    </row>
    <row r="1539" spans="2:48" hidden="1">
      <c r="B1539" t="s">
        <v>372</v>
      </c>
      <c r="C1539" t="s">
        <v>54</v>
      </c>
      <c r="D1539" t="s">
        <v>408</v>
      </c>
      <c r="E1539" t="s">
        <v>408</v>
      </c>
      <c r="F1539" s="122">
        <v>2</v>
      </c>
      <c r="G1539" s="122">
        <v>686</v>
      </c>
      <c r="H1539" s="122">
        <v>292</v>
      </c>
      <c r="I1539" s="122">
        <v>65370</v>
      </c>
      <c r="J1539" s="122">
        <v>59427</v>
      </c>
      <c r="K1539" s="122">
        <v>78</v>
      </c>
      <c r="L1539" s="122">
        <v>7901</v>
      </c>
      <c r="M1539" s="122">
        <v>7183</v>
      </c>
      <c r="N1539" s="122">
        <v>13045</v>
      </c>
      <c r="O1539" s="122">
        <v>4832</v>
      </c>
      <c r="P1539" s="122">
        <v>702</v>
      </c>
      <c r="Q1539" s="122">
        <v>260</v>
      </c>
      <c r="R1539" s="122">
        <v>13478</v>
      </c>
      <c r="S1539" s="122">
        <v>12252</v>
      </c>
      <c r="T1539" s="122">
        <v>0</v>
      </c>
      <c r="U1539" s="122">
        <v>0</v>
      </c>
      <c r="V1539" s="122">
        <v>83954</v>
      </c>
      <c r="W1539" s="122">
        <f t="shared" si="46"/>
        <v>83954</v>
      </c>
      <c r="X1539" s="122">
        <f t="shared" si="47"/>
        <v>100496</v>
      </c>
      <c r="AA1539" t="s">
        <v>58</v>
      </c>
      <c r="AB1539" t="s">
        <v>429</v>
      </c>
      <c r="AC1539" t="s">
        <v>431</v>
      </c>
      <c r="AD1539" t="s">
        <v>429</v>
      </c>
      <c r="AE1539" t="s">
        <v>137</v>
      </c>
      <c r="AF1539">
        <v>1</v>
      </c>
      <c r="AG1539">
        <v>106</v>
      </c>
      <c r="AH1539" s="122">
        <v>229</v>
      </c>
      <c r="AI1539" s="122">
        <v>17787</v>
      </c>
      <c r="AJ1539" s="122">
        <v>16170</v>
      </c>
      <c r="AK1539">
        <v>65</v>
      </c>
      <c r="AL1539" s="122">
        <v>4282</v>
      </c>
      <c r="AM1539" s="122">
        <v>3893</v>
      </c>
      <c r="AN1539" s="122">
        <v>1805</v>
      </c>
      <c r="AO1539" s="122">
        <v>668</v>
      </c>
      <c r="AP1539" s="122">
        <v>1053</v>
      </c>
      <c r="AQ1539">
        <v>390</v>
      </c>
      <c r="AR1539" s="122">
        <v>3260</v>
      </c>
      <c r="AS1539" s="122">
        <v>2964</v>
      </c>
      <c r="AT1539" s="122">
        <v>1250</v>
      </c>
      <c r="AU1539" s="122">
        <v>463</v>
      </c>
      <c r="AV1539" s="122">
        <v>24548</v>
      </c>
    </row>
    <row r="1540" spans="2:48" hidden="1">
      <c r="B1540" t="s">
        <v>372</v>
      </c>
      <c r="C1540" t="s">
        <v>56</v>
      </c>
      <c r="D1540" t="s">
        <v>425</v>
      </c>
      <c r="E1540" t="s">
        <v>425</v>
      </c>
      <c r="F1540" s="122">
        <v>2</v>
      </c>
      <c r="G1540" s="122">
        <v>275</v>
      </c>
      <c r="H1540" s="122">
        <v>351</v>
      </c>
      <c r="I1540" s="122">
        <v>33079</v>
      </c>
      <c r="J1540" s="122">
        <v>30072</v>
      </c>
      <c r="K1540" s="122">
        <v>88</v>
      </c>
      <c r="L1540" s="122">
        <v>7372</v>
      </c>
      <c r="M1540" s="122">
        <v>6702</v>
      </c>
      <c r="N1540" s="122">
        <v>6209</v>
      </c>
      <c r="O1540" s="122">
        <v>2300</v>
      </c>
      <c r="P1540" s="122">
        <v>824</v>
      </c>
      <c r="Q1540" s="122">
        <v>305</v>
      </c>
      <c r="R1540" s="122">
        <v>12976</v>
      </c>
      <c r="S1540" s="122">
        <v>11797</v>
      </c>
      <c r="T1540" s="122">
        <v>0</v>
      </c>
      <c r="U1540" s="122">
        <v>0</v>
      </c>
      <c r="V1540" s="122">
        <v>51175</v>
      </c>
      <c r="W1540" s="122">
        <f t="shared" si="46"/>
        <v>51176</v>
      </c>
      <c r="X1540" s="122">
        <f t="shared" si="47"/>
        <v>60460</v>
      </c>
      <c r="AA1540" t="s">
        <v>58</v>
      </c>
      <c r="AB1540" t="s">
        <v>429</v>
      </c>
      <c r="AC1540" t="s">
        <v>426</v>
      </c>
      <c r="AD1540" t="s">
        <v>429</v>
      </c>
      <c r="AE1540" t="s">
        <v>137</v>
      </c>
      <c r="AF1540">
        <v>5</v>
      </c>
      <c r="AG1540">
        <v>760</v>
      </c>
      <c r="AH1540" s="122">
        <v>1239</v>
      </c>
      <c r="AI1540" s="122">
        <v>114925</v>
      </c>
      <c r="AJ1540" s="122">
        <v>104477</v>
      </c>
      <c r="AK1540">
        <v>69</v>
      </c>
      <c r="AL1540" s="122">
        <v>19542</v>
      </c>
      <c r="AM1540" s="122">
        <v>17766</v>
      </c>
      <c r="AN1540" s="122">
        <v>15095</v>
      </c>
      <c r="AO1540" s="122">
        <v>5591</v>
      </c>
      <c r="AP1540" s="122">
        <v>2106</v>
      </c>
      <c r="AQ1540">
        <v>780</v>
      </c>
      <c r="AR1540" s="122">
        <v>26340</v>
      </c>
      <c r="AS1540" s="122">
        <v>23945</v>
      </c>
      <c r="AT1540" s="122">
        <v>9682</v>
      </c>
      <c r="AU1540" s="122">
        <v>3586</v>
      </c>
      <c r="AV1540" s="122">
        <v>156145</v>
      </c>
    </row>
    <row r="1541" spans="2:48" hidden="1">
      <c r="B1541" t="s">
        <v>372</v>
      </c>
      <c r="C1541" t="s">
        <v>56</v>
      </c>
      <c r="D1541" t="s">
        <v>405</v>
      </c>
      <c r="E1541" t="s">
        <v>405</v>
      </c>
      <c r="F1541" s="122">
        <v>25</v>
      </c>
      <c r="G1541" s="122">
        <v>3739</v>
      </c>
      <c r="H1541" s="122">
        <v>4922</v>
      </c>
      <c r="I1541" s="122">
        <v>442120</v>
      </c>
      <c r="J1541" s="122">
        <v>401927</v>
      </c>
      <c r="K1541" s="122">
        <v>87</v>
      </c>
      <c r="L1541" s="122">
        <v>95851</v>
      </c>
      <c r="M1541" s="122">
        <v>78202</v>
      </c>
      <c r="N1541" s="122">
        <v>78448</v>
      </c>
      <c r="O1541" s="122">
        <v>29055</v>
      </c>
      <c r="P1541" s="122">
        <v>13825</v>
      </c>
      <c r="Q1541" s="122">
        <v>5120</v>
      </c>
      <c r="R1541" s="122">
        <v>122923</v>
      </c>
      <c r="S1541" s="122">
        <v>111748</v>
      </c>
      <c r="T1541" s="122">
        <v>15866</v>
      </c>
      <c r="U1541" s="122">
        <v>5876</v>
      </c>
      <c r="V1541" s="122">
        <v>631929</v>
      </c>
      <c r="W1541" s="122">
        <f t="shared" si="46"/>
        <v>631928</v>
      </c>
      <c r="X1541" s="122">
        <f t="shared" si="47"/>
        <v>769033</v>
      </c>
      <c r="AA1541" t="s">
        <v>58</v>
      </c>
      <c r="AB1541" t="s">
        <v>429</v>
      </c>
      <c r="AC1541" t="s">
        <v>426</v>
      </c>
      <c r="AD1541" t="s">
        <v>429</v>
      </c>
      <c r="AE1541" t="s">
        <v>566</v>
      </c>
      <c r="AF1541">
        <v>5</v>
      </c>
      <c r="AG1541">
        <v>659</v>
      </c>
      <c r="AH1541" s="122">
        <v>1295</v>
      </c>
      <c r="AI1541" s="122">
        <v>110656</v>
      </c>
      <c r="AJ1541" s="122">
        <v>100596</v>
      </c>
      <c r="AK1541">
        <v>80</v>
      </c>
      <c r="AL1541" s="122">
        <v>21823</v>
      </c>
      <c r="AM1541" s="122">
        <v>19839</v>
      </c>
      <c r="AN1541" s="122">
        <v>10994</v>
      </c>
      <c r="AO1541" s="122">
        <v>4072</v>
      </c>
      <c r="AP1541" s="122">
        <v>2106</v>
      </c>
      <c r="AQ1541">
        <v>780</v>
      </c>
      <c r="AR1541" s="122">
        <v>23861</v>
      </c>
      <c r="AS1541" s="122">
        <v>21692</v>
      </c>
      <c r="AT1541" s="122">
        <v>0</v>
      </c>
      <c r="AU1541" s="122">
        <v>0</v>
      </c>
      <c r="AV1541" s="122">
        <v>146979</v>
      </c>
    </row>
    <row r="1542" spans="2:48" hidden="1">
      <c r="B1542" t="s">
        <v>372</v>
      </c>
      <c r="C1542" t="s">
        <v>56</v>
      </c>
      <c r="D1542" t="s">
        <v>137</v>
      </c>
      <c r="E1542" t="s">
        <v>137</v>
      </c>
      <c r="F1542" s="122">
        <v>14</v>
      </c>
      <c r="G1542" s="122">
        <v>3573</v>
      </c>
      <c r="H1542" s="122">
        <v>2747</v>
      </c>
      <c r="I1542" s="122">
        <v>424997</v>
      </c>
      <c r="J1542" s="122">
        <v>157406</v>
      </c>
      <c r="K1542" s="122">
        <v>198</v>
      </c>
      <c r="L1542" s="122">
        <v>68496</v>
      </c>
      <c r="M1542" s="122">
        <v>57674</v>
      </c>
      <c r="N1542" s="122">
        <v>63666</v>
      </c>
      <c r="O1542" s="122">
        <v>23580</v>
      </c>
      <c r="P1542" s="122">
        <v>17678</v>
      </c>
      <c r="Q1542" s="122">
        <v>6547</v>
      </c>
      <c r="R1542" s="122">
        <v>138730</v>
      </c>
      <c r="S1542" s="122">
        <v>51381</v>
      </c>
      <c r="T1542" s="122">
        <v>4565</v>
      </c>
      <c r="U1542" s="122">
        <v>1691</v>
      </c>
      <c r="V1542" s="122">
        <v>298280</v>
      </c>
      <c r="W1542" s="122">
        <f t="shared" si="46"/>
        <v>298279</v>
      </c>
      <c r="X1542" s="122">
        <f t="shared" si="47"/>
        <v>718132</v>
      </c>
      <c r="AA1542" t="s">
        <v>58</v>
      </c>
      <c r="AB1542" t="s">
        <v>429</v>
      </c>
      <c r="AC1542" t="s">
        <v>566</v>
      </c>
      <c r="AD1542" t="s">
        <v>429</v>
      </c>
      <c r="AE1542" t="s">
        <v>137</v>
      </c>
      <c r="AF1542">
        <v>2</v>
      </c>
      <c r="AG1542">
        <v>256</v>
      </c>
      <c r="AH1542">
        <v>503</v>
      </c>
      <c r="AI1542" s="122">
        <v>42535</v>
      </c>
      <c r="AJ1542" s="122">
        <v>38668</v>
      </c>
      <c r="AK1542">
        <v>65</v>
      </c>
      <c r="AL1542">
        <v>0</v>
      </c>
      <c r="AM1542">
        <v>0</v>
      </c>
      <c r="AN1542" s="122">
        <v>5144</v>
      </c>
      <c r="AO1542" s="122">
        <v>1905</v>
      </c>
      <c r="AP1542">
        <v>702</v>
      </c>
      <c r="AQ1542">
        <v>260</v>
      </c>
      <c r="AR1542" s="122">
        <v>10379</v>
      </c>
      <c r="AS1542" s="122">
        <v>9436</v>
      </c>
      <c r="AT1542" s="122">
        <v>5982</v>
      </c>
      <c r="AU1542" s="122">
        <v>2216</v>
      </c>
      <c r="AV1542" s="122">
        <v>52484</v>
      </c>
    </row>
    <row r="1543" spans="2:48" hidden="1">
      <c r="B1543" t="s">
        <v>372</v>
      </c>
      <c r="C1543" t="s">
        <v>56</v>
      </c>
      <c r="D1543" t="s">
        <v>137</v>
      </c>
      <c r="E1543" t="s">
        <v>406</v>
      </c>
      <c r="F1543" s="122">
        <v>1</v>
      </c>
      <c r="G1543" s="122">
        <v>408</v>
      </c>
      <c r="H1543" s="122">
        <v>180</v>
      </c>
      <c r="I1543" s="122">
        <v>53771</v>
      </c>
      <c r="J1543" s="122">
        <v>19915</v>
      </c>
      <c r="K1543" s="122">
        <v>100</v>
      </c>
      <c r="L1543" s="122">
        <v>2617</v>
      </c>
      <c r="M1543" s="122">
        <v>2379</v>
      </c>
      <c r="N1543" s="122">
        <v>5614</v>
      </c>
      <c r="O1543" s="122">
        <v>2079</v>
      </c>
      <c r="P1543" s="122">
        <v>4401</v>
      </c>
      <c r="Q1543" s="122">
        <v>1630</v>
      </c>
      <c r="R1543" s="122">
        <v>7088</v>
      </c>
      <c r="S1543" s="122">
        <v>6444</v>
      </c>
      <c r="T1543" s="122">
        <v>0</v>
      </c>
      <c r="U1543" s="122">
        <v>0</v>
      </c>
      <c r="V1543" s="122">
        <v>32448</v>
      </c>
      <c r="W1543" s="122">
        <f t="shared" ref="W1543:W1606" si="48">SUM(ABS(J1543),ABS(M1543),ABS(O1543),ABS(Q1543),ABS(S1543),ABS(U1543))</f>
        <v>32447</v>
      </c>
      <c r="X1543" s="122">
        <f t="shared" ref="X1543:X1606" si="49">SUM(ABS(I1543),ABS(N1543),ABS(P1543),ABS(R1543),ABS(T1543),ABS(L1543))</f>
        <v>73491</v>
      </c>
      <c r="AA1543" t="s">
        <v>58</v>
      </c>
      <c r="AB1543" t="s">
        <v>429</v>
      </c>
      <c r="AC1543" t="s">
        <v>566</v>
      </c>
      <c r="AD1543" t="s">
        <v>429</v>
      </c>
      <c r="AE1543" t="s">
        <v>566</v>
      </c>
      <c r="AF1543">
        <v>1</v>
      </c>
      <c r="AG1543">
        <v>112</v>
      </c>
      <c r="AH1543">
        <v>277</v>
      </c>
      <c r="AI1543" s="122">
        <v>21803</v>
      </c>
      <c r="AJ1543" s="122">
        <v>19821</v>
      </c>
      <c r="AK1543">
        <v>65</v>
      </c>
      <c r="AL1543" s="122">
        <v>0</v>
      </c>
      <c r="AM1543" s="122">
        <v>0</v>
      </c>
      <c r="AN1543" s="122">
        <v>1736</v>
      </c>
      <c r="AO1543" s="122">
        <v>643</v>
      </c>
      <c r="AP1543">
        <v>351</v>
      </c>
      <c r="AQ1543">
        <v>130</v>
      </c>
      <c r="AR1543" s="122">
        <v>7220</v>
      </c>
      <c r="AS1543" s="122">
        <v>6563</v>
      </c>
      <c r="AT1543" s="122">
        <v>0</v>
      </c>
      <c r="AU1543" s="122">
        <v>0</v>
      </c>
      <c r="AV1543" s="122">
        <v>27157</v>
      </c>
    </row>
    <row r="1544" spans="2:48" hidden="1">
      <c r="B1544" t="s">
        <v>372</v>
      </c>
      <c r="C1544" t="s">
        <v>56</v>
      </c>
      <c r="D1544" t="s">
        <v>406</v>
      </c>
      <c r="E1544" t="s">
        <v>425</v>
      </c>
      <c r="F1544" s="122">
        <v>1</v>
      </c>
      <c r="G1544" s="122">
        <v>158</v>
      </c>
      <c r="H1544" s="122">
        <v>199</v>
      </c>
      <c r="I1544" s="122">
        <v>17102</v>
      </c>
      <c r="J1544" s="122">
        <v>15547</v>
      </c>
      <c r="K1544" s="122">
        <v>84</v>
      </c>
      <c r="L1544" s="122">
        <v>2743</v>
      </c>
      <c r="M1544" s="122">
        <v>2494</v>
      </c>
      <c r="N1544" s="122">
        <v>3507</v>
      </c>
      <c r="O1544" s="122">
        <v>1299</v>
      </c>
      <c r="P1544" s="122">
        <v>621</v>
      </c>
      <c r="Q1544" s="122">
        <v>230</v>
      </c>
      <c r="R1544" s="122">
        <v>4369</v>
      </c>
      <c r="S1544" s="122">
        <v>3971</v>
      </c>
      <c r="T1544" s="122">
        <v>3108</v>
      </c>
      <c r="U1544" s="122">
        <v>1151</v>
      </c>
      <c r="V1544" s="122">
        <v>24692</v>
      </c>
      <c r="W1544" s="122">
        <f t="shared" si="48"/>
        <v>24692</v>
      </c>
      <c r="X1544" s="122">
        <f t="shared" si="49"/>
        <v>31450</v>
      </c>
      <c r="AA1544" t="s">
        <v>58</v>
      </c>
      <c r="AB1544" t="s">
        <v>429</v>
      </c>
      <c r="AC1544" t="s">
        <v>433</v>
      </c>
      <c r="AD1544" t="s">
        <v>408</v>
      </c>
      <c r="AE1544" t="s">
        <v>137</v>
      </c>
      <c r="AF1544">
        <v>1</v>
      </c>
      <c r="AG1544">
        <v>243</v>
      </c>
      <c r="AH1544">
        <v>232</v>
      </c>
      <c r="AI1544" s="122">
        <v>34321</v>
      </c>
      <c r="AJ1544" s="122">
        <v>31201</v>
      </c>
      <c r="AK1544">
        <v>65</v>
      </c>
      <c r="AL1544" s="122">
        <v>8262</v>
      </c>
      <c r="AM1544" s="122">
        <v>7511</v>
      </c>
      <c r="AN1544" s="122">
        <v>2961</v>
      </c>
      <c r="AO1544" s="122">
        <v>1097</v>
      </c>
      <c r="AP1544" s="122">
        <v>351</v>
      </c>
      <c r="AQ1544">
        <v>130</v>
      </c>
      <c r="AR1544" s="122">
        <v>6498</v>
      </c>
      <c r="AS1544" s="122">
        <v>5907</v>
      </c>
      <c r="AT1544" s="122">
        <v>4019</v>
      </c>
      <c r="AU1544" s="122">
        <v>1488</v>
      </c>
      <c r="AV1544" s="122">
        <v>47334</v>
      </c>
    </row>
    <row r="1545" spans="2:48" hidden="1">
      <c r="B1545" t="s">
        <v>372</v>
      </c>
      <c r="C1545" t="s">
        <v>56</v>
      </c>
      <c r="D1545" t="s">
        <v>406</v>
      </c>
      <c r="E1545" t="s">
        <v>137</v>
      </c>
      <c r="F1545" s="122">
        <v>3</v>
      </c>
      <c r="G1545" s="122">
        <v>452</v>
      </c>
      <c r="H1545" s="122">
        <v>563</v>
      </c>
      <c r="I1545" s="122">
        <v>37467</v>
      </c>
      <c r="J1545" s="122">
        <v>34061</v>
      </c>
      <c r="K1545" s="122">
        <v>87</v>
      </c>
      <c r="L1545" s="122">
        <v>8102</v>
      </c>
      <c r="M1545" s="122">
        <v>7365</v>
      </c>
      <c r="N1545" s="122">
        <v>7449</v>
      </c>
      <c r="O1545" s="122">
        <v>2759</v>
      </c>
      <c r="P1545" s="122">
        <v>1863</v>
      </c>
      <c r="Q1545" s="122">
        <v>690</v>
      </c>
      <c r="R1545" s="122">
        <v>29505</v>
      </c>
      <c r="S1545" s="122">
        <v>10928</v>
      </c>
      <c r="T1545" s="122">
        <v>0</v>
      </c>
      <c r="U1545" s="122">
        <v>0</v>
      </c>
      <c r="V1545" s="122">
        <v>55803</v>
      </c>
      <c r="W1545" s="122">
        <f t="shared" si="48"/>
        <v>55803</v>
      </c>
      <c r="X1545" s="122">
        <f t="shared" si="49"/>
        <v>84386</v>
      </c>
      <c r="AA1545" t="s">
        <v>58</v>
      </c>
      <c r="AB1545" t="s">
        <v>429</v>
      </c>
      <c r="AC1545" t="s">
        <v>429</v>
      </c>
      <c r="AD1545" t="s">
        <v>429</v>
      </c>
      <c r="AE1545" t="s">
        <v>566</v>
      </c>
      <c r="AF1545">
        <v>3</v>
      </c>
      <c r="AG1545" s="122">
        <v>242</v>
      </c>
      <c r="AH1545" s="122">
        <v>763</v>
      </c>
      <c r="AI1545" s="122">
        <v>35234</v>
      </c>
      <c r="AJ1545" s="122">
        <v>32031</v>
      </c>
      <c r="AK1545">
        <v>79</v>
      </c>
      <c r="AL1545" s="122">
        <v>4675</v>
      </c>
      <c r="AM1545" s="122">
        <v>4250</v>
      </c>
      <c r="AN1545" s="122">
        <v>4496</v>
      </c>
      <c r="AO1545" s="122">
        <v>1665</v>
      </c>
      <c r="AP1545" s="122">
        <v>1053</v>
      </c>
      <c r="AQ1545" s="122">
        <v>390</v>
      </c>
      <c r="AR1545" s="122">
        <v>14650</v>
      </c>
      <c r="AS1545" s="122">
        <v>13318</v>
      </c>
      <c r="AT1545" s="122">
        <v>0</v>
      </c>
      <c r="AU1545" s="122">
        <v>0</v>
      </c>
      <c r="AV1545" s="122">
        <v>51655</v>
      </c>
    </row>
    <row r="1546" spans="2:48" hidden="1">
      <c r="B1546" t="s">
        <v>372</v>
      </c>
      <c r="C1546" t="s">
        <v>56</v>
      </c>
      <c r="D1546" t="s">
        <v>406</v>
      </c>
      <c r="E1546" t="s">
        <v>406</v>
      </c>
      <c r="F1546" s="122">
        <v>1498</v>
      </c>
      <c r="G1546" s="122">
        <v>243984</v>
      </c>
      <c r="H1546" s="122">
        <v>286897</v>
      </c>
      <c r="I1546" s="122">
        <v>27343621</v>
      </c>
      <c r="J1546" s="122">
        <v>24857837</v>
      </c>
      <c r="K1546" s="122">
        <v>86</v>
      </c>
      <c r="L1546" s="122">
        <v>5437045</v>
      </c>
      <c r="M1546" s="122">
        <v>4857333</v>
      </c>
      <c r="N1546" s="122">
        <v>4986889</v>
      </c>
      <c r="O1546" s="122">
        <v>1846996</v>
      </c>
      <c r="P1546" s="122">
        <v>995392</v>
      </c>
      <c r="Q1546" s="122">
        <v>368664</v>
      </c>
      <c r="R1546" s="122">
        <v>8164168</v>
      </c>
      <c r="S1546" s="122">
        <v>7421971</v>
      </c>
      <c r="T1546" s="122">
        <v>1468101</v>
      </c>
      <c r="U1546" s="122">
        <v>543741</v>
      </c>
      <c r="V1546" s="122">
        <v>39896542</v>
      </c>
      <c r="W1546" s="122">
        <f t="shared" si="48"/>
        <v>39896542</v>
      </c>
      <c r="X1546" s="122">
        <f t="shared" si="49"/>
        <v>48395216</v>
      </c>
      <c r="AA1546" t="s">
        <v>60</v>
      </c>
      <c r="AC1546" t="s">
        <v>566</v>
      </c>
      <c r="AE1546" t="s">
        <v>566</v>
      </c>
      <c r="AF1546">
        <v>17</v>
      </c>
      <c r="AG1546" s="122">
        <v>2470</v>
      </c>
      <c r="AH1546" s="122">
        <v>5694</v>
      </c>
      <c r="AI1546" s="122"/>
      <c r="AJ1546" s="122">
        <v>0</v>
      </c>
      <c r="AL1546" s="122"/>
      <c r="AM1546" s="122">
        <v>0</v>
      </c>
      <c r="AN1546" s="122">
        <v>55649</v>
      </c>
      <c r="AO1546" s="122">
        <v>20611</v>
      </c>
      <c r="AP1546" s="122">
        <v>7776</v>
      </c>
      <c r="AQ1546" s="122">
        <v>2880</v>
      </c>
      <c r="AR1546" s="122"/>
      <c r="AS1546" s="122">
        <v>0</v>
      </c>
      <c r="AT1546" s="122">
        <v>11537</v>
      </c>
      <c r="AU1546" s="122">
        <v>4273</v>
      </c>
      <c r="AV1546" s="122">
        <v>27764</v>
      </c>
    </row>
    <row r="1547" spans="2:48" hidden="1">
      <c r="B1547" t="s">
        <v>372</v>
      </c>
      <c r="C1547" t="s">
        <v>56</v>
      </c>
      <c r="D1547" t="s">
        <v>406</v>
      </c>
      <c r="E1547" t="s">
        <v>426</v>
      </c>
      <c r="F1547" s="122">
        <v>3</v>
      </c>
      <c r="G1547" s="122">
        <v>534</v>
      </c>
      <c r="H1547" s="122">
        <v>567</v>
      </c>
      <c r="I1547" s="122">
        <v>60509</v>
      </c>
      <c r="J1547" s="122">
        <v>55008</v>
      </c>
      <c r="K1547" s="122">
        <v>89</v>
      </c>
      <c r="L1547" s="122">
        <v>11528</v>
      </c>
      <c r="M1547" s="122">
        <v>10480</v>
      </c>
      <c r="N1547" s="122">
        <v>9224</v>
      </c>
      <c r="O1547" s="122">
        <v>3416</v>
      </c>
      <c r="P1547" s="122">
        <v>2214</v>
      </c>
      <c r="Q1547" s="122">
        <v>820</v>
      </c>
      <c r="R1547" s="122">
        <v>17408</v>
      </c>
      <c r="S1547" s="122">
        <v>15825</v>
      </c>
      <c r="T1547" s="122">
        <v>0</v>
      </c>
      <c r="U1547" s="122">
        <v>0</v>
      </c>
      <c r="V1547" s="122">
        <v>85550</v>
      </c>
      <c r="W1547" s="122">
        <f t="shared" si="48"/>
        <v>85549</v>
      </c>
      <c r="X1547" s="122">
        <f t="shared" si="49"/>
        <v>100883</v>
      </c>
      <c r="AA1547" t="s">
        <v>60</v>
      </c>
      <c r="AB1547" t="s">
        <v>578</v>
      </c>
      <c r="AC1547" t="s">
        <v>578</v>
      </c>
      <c r="AD1547" t="s">
        <v>578</v>
      </c>
      <c r="AE1547" t="s">
        <v>137</v>
      </c>
      <c r="AF1547">
        <v>1</v>
      </c>
      <c r="AG1547">
        <v>90</v>
      </c>
      <c r="AH1547">
        <v>352</v>
      </c>
      <c r="AI1547" s="122">
        <v>19347</v>
      </c>
      <c r="AJ1547" s="122">
        <v>17588</v>
      </c>
      <c r="AK1547">
        <v>55</v>
      </c>
      <c r="AL1547" s="122">
        <v>1971</v>
      </c>
      <c r="AM1547" s="122">
        <v>1791</v>
      </c>
      <c r="AN1547" s="122">
        <v>1645</v>
      </c>
      <c r="AO1547">
        <v>609</v>
      </c>
      <c r="AP1547">
        <v>351</v>
      </c>
      <c r="AQ1547">
        <v>130</v>
      </c>
      <c r="AR1547" s="122">
        <v>5346</v>
      </c>
      <c r="AS1547" s="122">
        <v>4860</v>
      </c>
      <c r="AT1547" s="122">
        <v>3011</v>
      </c>
      <c r="AU1547" s="122">
        <v>1115</v>
      </c>
      <c r="AV1547" s="122">
        <v>26094</v>
      </c>
    </row>
    <row r="1548" spans="2:48" hidden="1">
      <c r="B1548" t="s">
        <v>372</v>
      </c>
      <c r="C1548" t="s">
        <v>56</v>
      </c>
      <c r="D1548" t="s">
        <v>406</v>
      </c>
      <c r="E1548" t="s">
        <v>433</v>
      </c>
      <c r="F1548" s="122">
        <v>1</v>
      </c>
      <c r="G1548" s="122">
        <v>175</v>
      </c>
      <c r="H1548" s="122">
        <v>203</v>
      </c>
      <c r="I1548" s="122">
        <v>38381</v>
      </c>
      <c r="J1548" s="122">
        <v>34892</v>
      </c>
      <c r="K1548" s="122">
        <v>70</v>
      </c>
      <c r="L1548" s="122">
        <v>4363</v>
      </c>
      <c r="M1548" s="122">
        <v>3966</v>
      </c>
      <c r="N1548" s="122">
        <v>5659</v>
      </c>
      <c r="O1548" s="122">
        <v>2096</v>
      </c>
      <c r="P1548" s="122">
        <v>621</v>
      </c>
      <c r="Q1548" s="122">
        <v>230</v>
      </c>
      <c r="R1548" s="122">
        <v>7150</v>
      </c>
      <c r="S1548" s="122">
        <v>6500</v>
      </c>
      <c r="T1548" s="122">
        <v>4250</v>
      </c>
      <c r="U1548" s="122">
        <v>1574</v>
      </c>
      <c r="V1548" s="122">
        <v>49258</v>
      </c>
      <c r="W1548" s="122">
        <f t="shared" si="48"/>
        <v>49258</v>
      </c>
      <c r="X1548" s="122">
        <f t="shared" si="49"/>
        <v>60424</v>
      </c>
      <c r="AA1548" t="s">
        <v>60</v>
      </c>
      <c r="AB1548" t="s">
        <v>578</v>
      </c>
      <c r="AC1548" t="s">
        <v>137</v>
      </c>
      <c r="AD1548" t="s">
        <v>578</v>
      </c>
      <c r="AE1548" t="s">
        <v>137</v>
      </c>
      <c r="AF1548">
        <v>1</v>
      </c>
      <c r="AG1548">
        <v>75</v>
      </c>
      <c r="AH1548">
        <v>325</v>
      </c>
      <c r="AI1548" s="122">
        <v>14052</v>
      </c>
      <c r="AJ1548" s="122">
        <v>12774</v>
      </c>
      <c r="AK1548">
        <v>65</v>
      </c>
      <c r="AL1548" s="122">
        <v>2491</v>
      </c>
      <c r="AM1548" s="122">
        <v>923</v>
      </c>
      <c r="AN1548" s="122">
        <v>1372</v>
      </c>
      <c r="AO1548" s="122">
        <v>508</v>
      </c>
      <c r="AP1548">
        <v>351</v>
      </c>
      <c r="AQ1548">
        <v>130</v>
      </c>
      <c r="AR1548" s="122">
        <v>4054</v>
      </c>
      <c r="AS1548" s="122">
        <v>3686</v>
      </c>
      <c r="AT1548" s="122">
        <v>2099</v>
      </c>
      <c r="AU1548" s="122">
        <v>777</v>
      </c>
      <c r="AV1548" s="122">
        <v>18798</v>
      </c>
    </row>
    <row r="1549" spans="2:48" hidden="1">
      <c r="B1549" t="s">
        <v>372</v>
      </c>
      <c r="C1549" t="s">
        <v>56</v>
      </c>
      <c r="D1549" t="s">
        <v>427</v>
      </c>
      <c r="E1549" t="s">
        <v>406</v>
      </c>
      <c r="F1549" s="122">
        <v>2</v>
      </c>
      <c r="G1549" s="122">
        <v>304</v>
      </c>
      <c r="H1549" s="122">
        <v>346</v>
      </c>
      <c r="I1549" s="122">
        <v>28678</v>
      </c>
      <c r="J1549" s="122">
        <v>26071</v>
      </c>
      <c r="K1549" s="122">
        <v>89</v>
      </c>
      <c r="L1549" s="122">
        <v>4395</v>
      </c>
      <c r="M1549" s="122">
        <v>3996</v>
      </c>
      <c r="N1549" s="122">
        <v>6009</v>
      </c>
      <c r="O1549" s="122">
        <v>2225</v>
      </c>
      <c r="P1549" s="122">
        <v>1242</v>
      </c>
      <c r="Q1549" s="122">
        <v>460</v>
      </c>
      <c r="R1549" s="122">
        <v>12189</v>
      </c>
      <c r="S1549" s="122">
        <v>11081</v>
      </c>
      <c r="T1549" s="122">
        <v>0</v>
      </c>
      <c r="U1549" s="122">
        <v>0</v>
      </c>
      <c r="V1549" s="122">
        <v>43833</v>
      </c>
      <c r="W1549" s="122">
        <f t="shared" si="48"/>
        <v>43833</v>
      </c>
      <c r="X1549" s="122">
        <f t="shared" si="49"/>
        <v>52513</v>
      </c>
      <c r="AA1549" t="s">
        <v>60</v>
      </c>
      <c r="AB1549" t="s">
        <v>578</v>
      </c>
      <c r="AC1549" t="s">
        <v>426</v>
      </c>
      <c r="AD1549" t="s">
        <v>578</v>
      </c>
      <c r="AE1549" t="s">
        <v>137</v>
      </c>
      <c r="AF1549">
        <v>2</v>
      </c>
      <c r="AG1549">
        <v>206</v>
      </c>
      <c r="AH1549">
        <v>722</v>
      </c>
      <c r="AI1549" s="122">
        <v>42252</v>
      </c>
      <c r="AJ1549" s="122">
        <v>38411</v>
      </c>
      <c r="AK1549">
        <v>64</v>
      </c>
      <c r="AL1549" s="122">
        <v>10402</v>
      </c>
      <c r="AM1549" s="122">
        <v>9456</v>
      </c>
      <c r="AN1549" s="122">
        <v>4334</v>
      </c>
      <c r="AO1549" s="122">
        <v>1605</v>
      </c>
      <c r="AP1549">
        <v>702</v>
      </c>
      <c r="AQ1549">
        <v>260</v>
      </c>
      <c r="AR1549" s="122">
        <v>10434</v>
      </c>
      <c r="AS1549" s="122">
        <v>9486</v>
      </c>
      <c r="AT1549" s="122">
        <v>5874</v>
      </c>
      <c r="AU1549" s="122">
        <v>2176</v>
      </c>
      <c r="AV1549" s="122">
        <v>61394</v>
      </c>
    </row>
    <row r="1550" spans="2:48" hidden="1">
      <c r="B1550" t="s">
        <v>372</v>
      </c>
      <c r="C1550" t="s">
        <v>56</v>
      </c>
      <c r="D1550" t="s">
        <v>407</v>
      </c>
      <c r="E1550" t="s">
        <v>137</v>
      </c>
      <c r="F1550" s="122">
        <v>3</v>
      </c>
      <c r="G1550" s="122">
        <v>382</v>
      </c>
      <c r="H1550" s="122">
        <v>593</v>
      </c>
      <c r="I1550" s="122">
        <v>43375</v>
      </c>
      <c r="J1550" s="122">
        <v>39432</v>
      </c>
      <c r="K1550" s="122">
        <v>81</v>
      </c>
      <c r="L1550" s="122">
        <v>9947</v>
      </c>
      <c r="M1550" s="122">
        <v>9042</v>
      </c>
      <c r="N1550" s="122">
        <v>6696</v>
      </c>
      <c r="O1550" s="122">
        <v>2480</v>
      </c>
      <c r="P1550" s="122">
        <v>1418</v>
      </c>
      <c r="Q1550" s="122">
        <v>525</v>
      </c>
      <c r="R1550" s="122">
        <v>13743</v>
      </c>
      <c r="S1550" s="122">
        <v>5090</v>
      </c>
      <c r="T1550" s="122">
        <v>0</v>
      </c>
      <c r="U1550" s="122">
        <v>0</v>
      </c>
      <c r="V1550" s="122">
        <v>56569</v>
      </c>
      <c r="W1550" s="122">
        <f t="shared" si="48"/>
        <v>56569</v>
      </c>
      <c r="X1550" s="122">
        <f t="shared" si="49"/>
        <v>75179</v>
      </c>
      <c r="AA1550" t="s">
        <v>60</v>
      </c>
      <c r="AB1550" t="s">
        <v>578</v>
      </c>
      <c r="AC1550" t="s">
        <v>426</v>
      </c>
      <c r="AD1550" t="s">
        <v>578</v>
      </c>
      <c r="AE1550" t="s">
        <v>566</v>
      </c>
      <c r="AF1550">
        <v>1</v>
      </c>
      <c r="AG1550">
        <v>120</v>
      </c>
      <c r="AH1550">
        <v>367</v>
      </c>
      <c r="AI1550" s="122">
        <v>26303</v>
      </c>
      <c r="AJ1550" s="122">
        <v>23912</v>
      </c>
      <c r="AK1550">
        <v>55</v>
      </c>
      <c r="AL1550" s="122">
        <v>5348</v>
      </c>
      <c r="AM1550" s="122">
        <v>4862</v>
      </c>
      <c r="AN1550" s="122">
        <v>1865</v>
      </c>
      <c r="AO1550" s="122">
        <v>691</v>
      </c>
      <c r="AP1550" s="122">
        <v>351</v>
      </c>
      <c r="AQ1550" s="122">
        <v>130</v>
      </c>
      <c r="AR1550" s="122">
        <v>10052</v>
      </c>
      <c r="AS1550" s="122">
        <v>9139</v>
      </c>
      <c r="AT1550" s="122">
        <v>0</v>
      </c>
      <c r="AU1550" s="122">
        <v>0</v>
      </c>
      <c r="AV1550" s="122">
        <v>38733</v>
      </c>
    </row>
    <row r="1551" spans="2:48" hidden="1">
      <c r="B1551" t="s">
        <v>372</v>
      </c>
      <c r="C1551" t="s">
        <v>56</v>
      </c>
      <c r="D1551" t="s">
        <v>407</v>
      </c>
      <c r="E1551" t="s">
        <v>407</v>
      </c>
      <c r="F1551" s="122">
        <v>504</v>
      </c>
      <c r="G1551" s="122">
        <v>64306</v>
      </c>
      <c r="H1551" s="122">
        <v>95671</v>
      </c>
      <c r="I1551" s="122">
        <v>6398919</v>
      </c>
      <c r="J1551" s="122">
        <v>5817199</v>
      </c>
      <c r="K1551" s="122">
        <v>82</v>
      </c>
      <c r="L1551" s="122">
        <v>1410155</v>
      </c>
      <c r="M1551" s="122">
        <v>1244372</v>
      </c>
      <c r="N1551" s="122">
        <v>1296947</v>
      </c>
      <c r="O1551" s="122">
        <v>480351</v>
      </c>
      <c r="P1551" s="122">
        <v>243513</v>
      </c>
      <c r="Q1551" s="122">
        <v>90190</v>
      </c>
      <c r="R1551" s="122">
        <v>2588383</v>
      </c>
      <c r="S1551" s="122">
        <v>2353076</v>
      </c>
      <c r="T1551" s="122">
        <v>305767</v>
      </c>
      <c r="U1551" s="122">
        <v>113247</v>
      </c>
      <c r="V1551" s="122">
        <v>10098435</v>
      </c>
      <c r="W1551" s="122">
        <f t="shared" si="48"/>
        <v>10098435</v>
      </c>
      <c r="X1551" s="122">
        <f t="shared" si="49"/>
        <v>12243684</v>
      </c>
      <c r="AA1551" t="s">
        <v>60</v>
      </c>
      <c r="AB1551" t="s">
        <v>578</v>
      </c>
      <c r="AC1551" t="s">
        <v>566</v>
      </c>
      <c r="AD1551" t="s">
        <v>578</v>
      </c>
      <c r="AE1551" t="s">
        <v>137</v>
      </c>
      <c r="AF1551">
        <v>2</v>
      </c>
      <c r="AG1551">
        <v>165</v>
      </c>
      <c r="AH1551" s="122">
        <v>735</v>
      </c>
      <c r="AI1551" s="122">
        <v>38315</v>
      </c>
      <c r="AJ1551" s="122">
        <v>34832</v>
      </c>
      <c r="AK1551">
        <v>60</v>
      </c>
      <c r="AL1551" s="122">
        <v>0</v>
      </c>
      <c r="AM1551" s="122">
        <v>4827</v>
      </c>
      <c r="AN1551" s="122">
        <v>2834</v>
      </c>
      <c r="AO1551" s="122">
        <v>1050</v>
      </c>
      <c r="AP1551" s="122">
        <v>3861</v>
      </c>
      <c r="AQ1551" s="122">
        <v>1430</v>
      </c>
      <c r="AR1551" s="122">
        <v>9360</v>
      </c>
      <c r="AS1551" s="122">
        <v>8509</v>
      </c>
      <c r="AT1551" s="122">
        <v>6377</v>
      </c>
      <c r="AU1551" s="122">
        <v>2362</v>
      </c>
      <c r="AV1551" s="122">
        <v>53010</v>
      </c>
    </row>
    <row r="1552" spans="2:48" hidden="1">
      <c r="B1552" t="s">
        <v>372</v>
      </c>
      <c r="C1552" t="s">
        <v>56</v>
      </c>
      <c r="D1552" t="s">
        <v>407</v>
      </c>
      <c r="E1552" t="s">
        <v>433</v>
      </c>
      <c r="F1552" s="122">
        <v>1</v>
      </c>
      <c r="G1552" s="122">
        <v>89</v>
      </c>
      <c r="H1552" s="122">
        <v>221</v>
      </c>
      <c r="I1552" s="122">
        <v>16313</v>
      </c>
      <c r="J1552" s="122">
        <v>14830</v>
      </c>
      <c r="K1552" s="122">
        <v>78</v>
      </c>
      <c r="L1552" s="122">
        <v>4891</v>
      </c>
      <c r="M1552" s="122">
        <v>4076</v>
      </c>
      <c r="N1552" s="122">
        <v>2857</v>
      </c>
      <c r="O1552" s="122">
        <v>1058</v>
      </c>
      <c r="P1552" s="122">
        <v>473</v>
      </c>
      <c r="Q1552" s="122">
        <v>175</v>
      </c>
      <c r="R1552" s="122">
        <v>6910</v>
      </c>
      <c r="S1552" s="122">
        <v>6282</v>
      </c>
      <c r="T1552" s="122">
        <v>0</v>
      </c>
      <c r="U1552" s="122">
        <v>0</v>
      </c>
      <c r="V1552" s="122">
        <v>26421</v>
      </c>
      <c r="W1552" s="122">
        <f t="shared" si="48"/>
        <v>26421</v>
      </c>
      <c r="X1552" s="122">
        <f t="shared" si="49"/>
        <v>31444</v>
      </c>
      <c r="AA1552" t="s">
        <v>60</v>
      </c>
      <c r="AB1552" t="s">
        <v>425</v>
      </c>
      <c r="AC1552" t="s">
        <v>425</v>
      </c>
      <c r="AD1552" t="s">
        <v>425</v>
      </c>
      <c r="AE1552" t="s">
        <v>137</v>
      </c>
      <c r="AF1552">
        <v>5</v>
      </c>
      <c r="AG1552">
        <v>668</v>
      </c>
      <c r="AH1552" s="122">
        <v>1693</v>
      </c>
      <c r="AI1552" s="122">
        <v>140059</v>
      </c>
      <c r="AJ1552" s="122">
        <v>127326</v>
      </c>
      <c r="AK1552">
        <v>81</v>
      </c>
      <c r="AL1552" s="122">
        <v>28045</v>
      </c>
      <c r="AM1552" s="122">
        <v>25495</v>
      </c>
      <c r="AN1552" s="122">
        <v>12747</v>
      </c>
      <c r="AO1552" s="122">
        <v>4721</v>
      </c>
      <c r="AP1552" s="122">
        <v>2511</v>
      </c>
      <c r="AQ1552">
        <v>930</v>
      </c>
      <c r="AR1552" s="122">
        <v>28495</v>
      </c>
      <c r="AS1552" s="122">
        <v>25905</v>
      </c>
      <c r="AT1552" s="122">
        <v>11600</v>
      </c>
      <c r="AU1552" s="122">
        <v>4296</v>
      </c>
      <c r="AV1552" s="122">
        <v>188674</v>
      </c>
    </row>
    <row r="1553" spans="2:48" hidden="1">
      <c r="B1553" t="s">
        <v>372</v>
      </c>
      <c r="C1553" t="s">
        <v>56</v>
      </c>
      <c r="D1553" t="s">
        <v>426</v>
      </c>
      <c r="E1553" t="s">
        <v>426</v>
      </c>
      <c r="F1553" s="122">
        <v>12</v>
      </c>
      <c r="G1553" s="122">
        <v>2174</v>
      </c>
      <c r="H1553" s="122">
        <v>2419</v>
      </c>
      <c r="I1553" s="122">
        <v>294763</v>
      </c>
      <c r="J1553" s="122">
        <v>267966</v>
      </c>
      <c r="K1553" s="122">
        <v>65</v>
      </c>
      <c r="L1553" s="122">
        <v>41615</v>
      </c>
      <c r="M1553" s="122">
        <v>36341</v>
      </c>
      <c r="N1553" s="122">
        <v>42201</v>
      </c>
      <c r="O1553" s="122">
        <v>15630</v>
      </c>
      <c r="P1553" s="122">
        <v>4401</v>
      </c>
      <c r="Q1553" s="122">
        <v>1630</v>
      </c>
      <c r="R1553" s="122">
        <v>65119</v>
      </c>
      <c r="S1553" s="122">
        <v>59199</v>
      </c>
      <c r="T1553" s="122">
        <v>19984</v>
      </c>
      <c r="U1553" s="122">
        <v>7402</v>
      </c>
      <c r="V1553" s="122">
        <v>388168</v>
      </c>
      <c r="W1553" s="122">
        <f t="shared" si="48"/>
        <v>388168</v>
      </c>
      <c r="X1553" s="122">
        <f t="shared" si="49"/>
        <v>468083</v>
      </c>
      <c r="AA1553" t="s">
        <v>60</v>
      </c>
      <c r="AB1553" t="s">
        <v>425</v>
      </c>
      <c r="AC1553" t="s">
        <v>425</v>
      </c>
      <c r="AD1553" t="s">
        <v>425</v>
      </c>
      <c r="AE1553" t="s">
        <v>566</v>
      </c>
      <c r="AF1553">
        <v>1</v>
      </c>
      <c r="AG1553">
        <v>114</v>
      </c>
      <c r="AH1553">
        <v>303</v>
      </c>
      <c r="AI1553" s="122">
        <v>20456</v>
      </c>
      <c r="AJ1553" s="122">
        <v>18596</v>
      </c>
      <c r="AK1553">
        <v>65</v>
      </c>
      <c r="AL1553" s="122">
        <v>3512</v>
      </c>
      <c r="AM1553" s="122">
        <v>3192</v>
      </c>
      <c r="AN1553" s="122">
        <v>2780</v>
      </c>
      <c r="AO1553" s="122">
        <v>1030</v>
      </c>
      <c r="AP1553">
        <v>473</v>
      </c>
      <c r="AQ1553">
        <v>175</v>
      </c>
      <c r="AR1553" s="122">
        <v>7379</v>
      </c>
      <c r="AS1553" s="122">
        <v>6708</v>
      </c>
      <c r="AT1553" s="122">
        <v>0</v>
      </c>
      <c r="AU1553">
        <v>0</v>
      </c>
      <c r="AV1553" s="122">
        <v>29701</v>
      </c>
    </row>
    <row r="1554" spans="2:48" hidden="1">
      <c r="B1554" t="s">
        <v>372</v>
      </c>
      <c r="C1554" t="s">
        <v>56</v>
      </c>
      <c r="D1554" t="s">
        <v>408</v>
      </c>
      <c r="E1554" t="s">
        <v>408</v>
      </c>
      <c r="F1554" s="122">
        <v>10</v>
      </c>
      <c r="G1554" s="122">
        <v>1910</v>
      </c>
      <c r="H1554" s="122">
        <v>1864</v>
      </c>
      <c r="I1554" s="122">
        <v>253958</v>
      </c>
      <c r="J1554" s="122">
        <v>230871</v>
      </c>
      <c r="K1554" s="122">
        <v>68</v>
      </c>
      <c r="L1554" s="122">
        <v>41302</v>
      </c>
      <c r="M1554" s="122">
        <v>37348</v>
      </c>
      <c r="N1554" s="122">
        <v>38085</v>
      </c>
      <c r="O1554" s="122">
        <v>14105</v>
      </c>
      <c r="P1554" s="122">
        <v>5272</v>
      </c>
      <c r="Q1554" s="122">
        <v>1953</v>
      </c>
      <c r="R1554" s="122">
        <v>64956</v>
      </c>
      <c r="S1554" s="122">
        <v>59051</v>
      </c>
      <c r="T1554" s="122">
        <v>0</v>
      </c>
      <c r="U1554" s="122">
        <v>0</v>
      </c>
      <c r="V1554" s="122">
        <v>343328</v>
      </c>
      <c r="W1554" s="122">
        <f t="shared" si="48"/>
        <v>343328</v>
      </c>
      <c r="X1554" s="122">
        <f t="shared" si="49"/>
        <v>403573</v>
      </c>
      <c r="AA1554" t="s">
        <v>60</v>
      </c>
      <c r="AB1554" t="s">
        <v>425</v>
      </c>
      <c r="AC1554" t="s">
        <v>137</v>
      </c>
      <c r="AD1554" t="s">
        <v>425</v>
      </c>
      <c r="AE1554" t="s">
        <v>137</v>
      </c>
      <c r="AF1554">
        <v>1</v>
      </c>
      <c r="AG1554">
        <v>81</v>
      </c>
      <c r="AH1554">
        <v>322</v>
      </c>
      <c r="AI1554" s="122">
        <v>15640</v>
      </c>
      <c r="AJ1554" s="122">
        <v>14218</v>
      </c>
      <c r="AK1554">
        <v>65</v>
      </c>
      <c r="AL1554" s="122">
        <v>2636</v>
      </c>
      <c r="AM1554" s="122">
        <v>976</v>
      </c>
      <c r="AN1554" s="122">
        <v>1511</v>
      </c>
      <c r="AO1554" s="122">
        <v>560</v>
      </c>
      <c r="AP1554">
        <v>351</v>
      </c>
      <c r="AQ1554">
        <v>130</v>
      </c>
      <c r="AR1554" s="122">
        <v>3639</v>
      </c>
      <c r="AS1554" s="122">
        <v>3308</v>
      </c>
      <c r="AT1554" s="122">
        <v>2173</v>
      </c>
      <c r="AU1554">
        <v>805</v>
      </c>
      <c r="AV1554" s="122">
        <v>19997</v>
      </c>
    </row>
    <row r="1555" spans="2:48" hidden="1">
      <c r="B1555" t="s">
        <v>372</v>
      </c>
      <c r="C1555" t="s">
        <v>56</v>
      </c>
      <c r="D1555" t="s">
        <v>408</v>
      </c>
      <c r="E1555" t="s">
        <v>429</v>
      </c>
      <c r="F1555" s="122">
        <v>1</v>
      </c>
      <c r="G1555" s="122">
        <v>239</v>
      </c>
      <c r="H1555" s="122">
        <v>216</v>
      </c>
      <c r="I1555" s="122">
        <v>36239</v>
      </c>
      <c r="J1555" s="122">
        <v>32945</v>
      </c>
      <c r="K1555" s="122">
        <v>91</v>
      </c>
      <c r="L1555" s="122">
        <v>6107</v>
      </c>
      <c r="M1555" s="122">
        <v>5552</v>
      </c>
      <c r="N1555" s="122">
        <v>3383</v>
      </c>
      <c r="O1555" s="122">
        <v>1253</v>
      </c>
      <c r="P1555" s="122">
        <v>351</v>
      </c>
      <c r="Q1555" s="122">
        <v>130</v>
      </c>
      <c r="R1555" s="122">
        <v>3163</v>
      </c>
      <c r="S1555" s="122">
        <v>2875</v>
      </c>
      <c r="T1555" s="122">
        <v>2454</v>
      </c>
      <c r="U1555" s="122">
        <v>909</v>
      </c>
      <c r="V1555" s="122">
        <v>43664</v>
      </c>
      <c r="W1555" s="122">
        <f t="shared" si="48"/>
        <v>43664</v>
      </c>
      <c r="X1555" s="122">
        <f t="shared" si="49"/>
        <v>51697</v>
      </c>
      <c r="AA1555" t="s">
        <v>60</v>
      </c>
      <c r="AB1555" t="s">
        <v>425</v>
      </c>
      <c r="AC1555" t="s">
        <v>137</v>
      </c>
      <c r="AD1555" t="s">
        <v>425</v>
      </c>
      <c r="AE1555" t="s">
        <v>566</v>
      </c>
      <c r="AF1555">
        <v>2</v>
      </c>
      <c r="AG1555">
        <v>200</v>
      </c>
      <c r="AH1555">
        <v>699</v>
      </c>
      <c r="AI1555" s="122">
        <v>46047</v>
      </c>
      <c r="AJ1555" s="122">
        <v>41861</v>
      </c>
      <c r="AK1555">
        <v>82</v>
      </c>
      <c r="AL1555" s="122">
        <v>9285</v>
      </c>
      <c r="AM1555" s="122">
        <v>3439</v>
      </c>
      <c r="AN1555" s="122">
        <v>3155</v>
      </c>
      <c r="AO1555" s="122">
        <v>1169</v>
      </c>
      <c r="AP1555">
        <v>824</v>
      </c>
      <c r="AQ1555">
        <v>305</v>
      </c>
      <c r="AR1555" s="122">
        <v>9132</v>
      </c>
      <c r="AS1555" s="122">
        <v>8302</v>
      </c>
      <c r="AT1555">
        <v>0</v>
      </c>
      <c r="AU1555">
        <v>0</v>
      </c>
      <c r="AV1555" s="122">
        <v>55075</v>
      </c>
    </row>
    <row r="1556" spans="2:48" hidden="1">
      <c r="B1556" t="s">
        <v>372</v>
      </c>
      <c r="C1556" t="s">
        <v>56</v>
      </c>
      <c r="D1556" t="s">
        <v>429</v>
      </c>
      <c r="E1556" t="s">
        <v>429</v>
      </c>
      <c r="F1556" s="122">
        <v>1</v>
      </c>
      <c r="G1556" s="122">
        <v>170</v>
      </c>
      <c r="H1556" s="122">
        <v>211</v>
      </c>
      <c r="I1556" s="122">
        <v>22923</v>
      </c>
      <c r="J1556" s="122">
        <v>20839</v>
      </c>
      <c r="K1556" s="122">
        <v>83</v>
      </c>
      <c r="L1556" s="122">
        <v>3027</v>
      </c>
      <c r="M1556" s="122">
        <v>2752</v>
      </c>
      <c r="N1556" s="122">
        <v>3107</v>
      </c>
      <c r="O1556" s="122">
        <v>1151</v>
      </c>
      <c r="P1556" s="122">
        <v>972</v>
      </c>
      <c r="Q1556" s="122">
        <v>360</v>
      </c>
      <c r="R1556" s="122">
        <v>5800</v>
      </c>
      <c r="S1556" s="122">
        <v>5273</v>
      </c>
      <c r="T1556" s="122">
        <v>0</v>
      </c>
      <c r="U1556" s="122">
        <v>0</v>
      </c>
      <c r="V1556" s="122">
        <v>30375</v>
      </c>
      <c r="W1556" s="122">
        <f t="shared" si="48"/>
        <v>30375</v>
      </c>
      <c r="X1556" s="122">
        <f t="shared" si="49"/>
        <v>35829</v>
      </c>
      <c r="AA1556" t="s">
        <v>60</v>
      </c>
      <c r="AB1556" t="s">
        <v>425</v>
      </c>
      <c r="AC1556" t="s">
        <v>137</v>
      </c>
      <c r="AD1556" t="s">
        <v>137</v>
      </c>
      <c r="AE1556" t="s">
        <v>566</v>
      </c>
      <c r="AF1556">
        <v>2</v>
      </c>
      <c r="AG1556">
        <v>160</v>
      </c>
      <c r="AH1556">
        <v>700</v>
      </c>
      <c r="AI1556" s="122">
        <v>31982</v>
      </c>
      <c r="AJ1556" s="122">
        <v>29074</v>
      </c>
      <c r="AK1556">
        <v>61</v>
      </c>
      <c r="AL1556" s="122">
        <v>5050</v>
      </c>
      <c r="AM1556" s="122">
        <v>1870</v>
      </c>
      <c r="AN1556" s="122">
        <v>3889</v>
      </c>
      <c r="AO1556" s="122">
        <v>1440</v>
      </c>
      <c r="AP1556">
        <v>0</v>
      </c>
      <c r="AQ1556">
        <v>0</v>
      </c>
      <c r="AR1556" s="122">
        <v>15250</v>
      </c>
      <c r="AS1556" s="122">
        <v>5648</v>
      </c>
      <c r="AT1556">
        <v>0</v>
      </c>
      <c r="AU1556">
        <v>0</v>
      </c>
      <c r="AV1556" s="122">
        <v>38033</v>
      </c>
    </row>
    <row r="1557" spans="2:48" hidden="1">
      <c r="B1557" t="s">
        <v>372</v>
      </c>
      <c r="C1557" t="s">
        <v>58</v>
      </c>
      <c r="D1557" t="s">
        <v>425</v>
      </c>
      <c r="E1557" t="s">
        <v>425</v>
      </c>
      <c r="F1557" s="122">
        <v>2</v>
      </c>
      <c r="G1557" s="122">
        <v>230</v>
      </c>
      <c r="H1557" s="122">
        <v>596</v>
      </c>
      <c r="I1557" s="122">
        <v>39256</v>
      </c>
      <c r="J1557" s="122">
        <v>35688</v>
      </c>
      <c r="K1557" s="122">
        <v>78</v>
      </c>
      <c r="L1557" s="122">
        <v>10030</v>
      </c>
      <c r="M1557" s="122">
        <v>7596</v>
      </c>
      <c r="N1557" s="122">
        <v>4541</v>
      </c>
      <c r="O1557" s="122">
        <v>1682</v>
      </c>
      <c r="P1557" s="122">
        <v>824</v>
      </c>
      <c r="Q1557" s="122">
        <v>305</v>
      </c>
      <c r="R1557" s="122">
        <v>14001</v>
      </c>
      <c r="S1557" s="122">
        <v>12729</v>
      </c>
      <c r="T1557" s="122">
        <v>0</v>
      </c>
      <c r="U1557" s="122">
        <v>0</v>
      </c>
      <c r="V1557" s="122">
        <v>57999</v>
      </c>
      <c r="W1557" s="122">
        <f t="shared" si="48"/>
        <v>58000</v>
      </c>
      <c r="X1557" s="122">
        <f t="shared" si="49"/>
        <v>68652</v>
      </c>
      <c r="AA1557" t="s">
        <v>60</v>
      </c>
      <c r="AB1557" t="s">
        <v>425</v>
      </c>
      <c r="AC1557" t="s">
        <v>580</v>
      </c>
      <c r="AD1557" t="s">
        <v>406</v>
      </c>
      <c r="AE1557" t="s">
        <v>566</v>
      </c>
      <c r="AF1557">
        <v>1</v>
      </c>
      <c r="AG1557">
        <v>123</v>
      </c>
      <c r="AH1557">
        <v>374</v>
      </c>
      <c r="AI1557" s="122">
        <v>31685</v>
      </c>
      <c r="AJ1557" s="122">
        <v>28805</v>
      </c>
      <c r="AK1557">
        <v>85</v>
      </c>
      <c r="AL1557" s="122">
        <v>5166</v>
      </c>
      <c r="AM1557" s="122">
        <v>4696</v>
      </c>
      <c r="AN1557" s="122">
        <v>2901</v>
      </c>
      <c r="AO1557" s="122">
        <v>1074</v>
      </c>
      <c r="AP1557">
        <v>621</v>
      </c>
      <c r="AQ1557">
        <v>230</v>
      </c>
      <c r="AR1557" s="122">
        <v>5745</v>
      </c>
      <c r="AS1557" s="122">
        <v>5223</v>
      </c>
      <c r="AT1557">
        <v>0</v>
      </c>
      <c r="AU1557">
        <v>0</v>
      </c>
      <c r="AV1557" s="122">
        <v>40028</v>
      </c>
    </row>
    <row r="1558" spans="2:48" hidden="1">
      <c r="B1558" t="s">
        <v>372</v>
      </c>
      <c r="C1558" t="s">
        <v>58</v>
      </c>
      <c r="D1558" t="s">
        <v>425</v>
      </c>
      <c r="E1558" t="s">
        <v>406</v>
      </c>
      <c r="F1558" s="122">
        <v>1</v>
      </c>
      <c r="G1558" s="122">
        <v>151</v>
      </c>
      <c r="H1558" s="122">
        <v>230</v>
      </c>
      <c r="I1558" s="122">
        <v>20551</v>
      </c>
      <c r="J1558" s="122">
        <v>18683</v>
      </c>
      <c r="K1558" s="122">
        <v>84</v>
      </c>
      <c r="L1558" s="122">
        <v>2789</v>
      </c>
      <c r="M1558" s="122">
        <v>2536</v>
      </c>
      <c r="N1558" s="122">
        <v>3440</v>
      </c>
      <c r="O1558" s="122">
        <v>1274</v>
      </c>
      <c r="P1558" s="122">
        <v>621</v>
      </c>
      <c r="Q1558" s="122">
        <v>230</v>
      </c>
      <c r="R1558" s="122">
        <v>4288</v>
      </c>
      <c r="S1558" s="122">
        <v>3899</v>
      </c>
      <c r="T1558" s="122">
        <v>3031</v>
      </c>
      <c r="U1558" s="122">
        <v>1122</v>
      </c>
      <c r="V1558" s="122">
        <v>27744</v>
      </c>
      <c r="W1558" s="122">
        <f t="shared" si="48"/>
        <v>27744</v>
      </c>
      <c r="X1558" s="122">
        <f t="shared" si="49"/>
        <v>34720</v>
      </c>
      <c r="AA1558" t="s">
        <v>60</v>
      </c>
      <c r="AB1558" t="s">
        <v>425</v>
      </c>
      <c r="AC1558" t="s">
        <v>427</v>
      </c>
      <c r="AD1558" t="s">
        <v>425</v>
      </c>
      <c r="AE1558" t="s">
        <v>137</v>
      </c>
      <c r="AF1558">
        <v>1</v>
      </c>
      <c r="AG1558">
        <v>110</v>
      </c>
      <c r="AH1558" s="122">
        <v>322</v>
      </c>
      <c r="AI1558" s="122">
        <v>19713</v>
      </c>
      <c r="AJ1558" s="122">
        <v>17921</v>
      </c>
      <c r="AK1558">
        <v>78</v>
      </c>
      <c r="AL1558" s="122">
        <v>5439</v>
      </c>
      <c r="AM1558" s="122">
        <v>4945</v>
      </c>
      <c r="AN1558" s="122">
        <v>2680</v>
      </c>
      <c r="AO1558" s="122">
        <v>993</v>
      </c>
      <c r="AP1558" s="122">
        <v>351</v>
      </c>
      <c r="AQ1558">
        <v>130</v>
      </c>
      <c r="AR1558" s="122">
        <v>7215</v>
      </c>
      <c r="AS1558" s="122">
        <v>6559</v>
      </c>
      <c r="AT1558">
        <v>0</v>
      </c>
      <c r="AU1558">
        <v>0</v>
      </c>
      <c r="AV1558" s="122">
        <v>30548</v>
      </c>
    </row>
    <row r="1559" spans="2:48" hidden="1">
      <c r="B1559" t="s">
        <v>372</v>
      </c>
      <c r="C1559" t="s">
        <v>58</v>
      </c>
      <c r="D1559" t="s">
        <v>405</v>
      </c>
      <c r="E1559" t="s">
        <v>425</v>
      </c>
      <c r="F1559" s="122">
        <v>1</v>
      </c>
      <c r="G1559" s="122">
        <v>90</v>
      </c>
      <c r="H1559" s="122">
        <v>262</v>
      </c>
      <c r="I1559" s="122">
        <v>18256</v>
      </c>
      <c r="J1559" s="122">
        <v>16596</v>
      </c>
      <c r="K1559" s="122">
        <v>86</v>
      </c>
      <c r="L1559" s="122">
        <v>5531</v>
      </c>
      <c r="M1559" s="122">
        <v>5028</v>
      </c>
      <c r="N1559" s="122">
        <v>2643</v>
      </c>
      <c r="O1559" s="122">
        <v>979</v>
      </c>
      <c r="P1559" s="122">
        <v>473</v>
      </c>
      <c r="Q1559" s="122">
        <v>175</v>
      </c>
      <c r="R1559" s="122">
        <v>5442</v>
      </c>
      <c r="S1559" s="122">
        <v>4947</v>
      </c>
      <c r="T1559" s="122">
        <v>0</v>
      </c>
      <c r="U1559" s="122">
        <v>0</v>
      </c>
      <c r="V1559" s="122">
        <v>27725</v>
      </c>
      <c r="W1559" s="122">
        <f t="shared" si="48"/>
        <v>27725</v>
      </c>
      <c r="X1559" s="122">
        <f t="shared" si="49"/>
        <v>32345</v>
      </c>
      <c r="AA1559" t="s">
        <v>60</v>
      </c>
      <c r="AB1559" t="s">
        <v>425</v>
      </c>
      <c r="AC1559" t="s">
        <v>427</v>
      </c>
      <c r="AD1559" t="s">
        <v>425</v>
      </c>
      <c r="AE1559" t="s">
        <v>566</v>
      </c>
      <c r="AF1559">
        <v>3</v>
      </c>
      <c r="AG1559">
        <v>212</v>
      </c>
      <c r="AH1559" s="122">
        <v>1027</v>
      </c>
      <c r="AI1559" s="122">
        <v>50895</v>
      </c>
      <c r="AJ1559" s="122">
        <v>46268</v>
      </c>
      <c r="AK1559">
        <v>74</v>
      </c>
      <c r="AL1559" s="122">
        <v>11871</v>
      </c>
      <c r="AM1559" s="122">
        <v>10792</v>
      </c>
      <c r="AN1559" s="122">
        <v>5605</v>
      </c>
      <c r="AO1559" s="122">
        <v>2076</v>
      </c>
      <c r="AP1559" s="122">
        <v>1418</v>
      </c>
      <c r="AQ1559">
        <v>525</v>
      </c>
      <c r="AR1559" s="122">
        <v>17994</v>
      </c>
      <c r="AS1559" s="122">
        <v>16358</v>
      </c>
      <c r="AT1559">
        <v>0</v>
      </c>
      <c r="AU1559">
        <v>0</v>
      </c>
      <c r="AV1559" s="122">
        <v>76020</v>
      </c>
    </row>
    <row r="1560" spans="2:48" hidden="1">
      <c r="B1560" t="s">
        <v>372</v>
      </c>
      <c r="C1560" t="s">
        <v>58</v>
      </c>
      <c r="D1560" t="s">
        <v>405</v>
      </c>
      <c r="E1560" t="s">
        <v>405</v>
      </c>
      <c r="F1560" s="122">
        <v>11</v>
      </c>
      <c r="G1560" s="122">
        <v>1445</v>
      </c>
      <c r="H1560" s="122">
        <v>2863</v>
      </c>
      <c r="I1560" s="122">
        <v>247764</v>
      </c>
      <c r="J1560" s="122">
        <v>225240</v>
      </c>
      <c r="K1560" s="122">
        <v>87</v>
      </c>
      <c r="L1560" s="122">
        <v>47537</v>
      </c>
      <c r="M1560" s="122">
        <v>38852</v>
      </c>
      <c r="N1560" s="122">
        <v>29433</v>
      </c>
      <c r="O1560" s="122">
        <v>10901</v>
      </c>
      <c r="P1560" s="122">
        <v>6440</v>
      </c>
      <c r="Q1560" s="122">
        <v>2385</v>
      </c>
      <c r="R1560" s="122">
        <v>52332</v>
      </c>
      <c r="S1560" s="122">
        <v>47575</v>
      </c>
      <c r="T1560" s="122">
        <v>9213</v>
      </c>
      <c r="U1560" s="122">
        <v>3412</v>
      </c>
      <c r="V1560" s="122">
        <v>328366</v>
      </c>
      <c r="W1560" s="122">
        <f t="shared" si="48"/>
        <v>328365</v>
      </c>
      <c r="X1560" s="122">
        <f t="shared" si="49"/>
        <v>392719</v>
      </c>
      <c r="AA1560" t="s">
        <v>60</v>
      </c>
      <c r="AB1560" t="s">
        <v>425</v>
      </c>
      <c r="AC1560" t="s">
        <v>427</v>
      </c>
      <c r="AD1560" t="s">
        <v>405</v>
      </c>
      <c r="AE1560" t="s">
        <v>566</v>
      </c>
      <c r="AF1560">
        <v>1</v>
      </c>
      <c r="AG1560" s="122">
        <v>95</v>
      </c>
      <c r="AH1560" s="122">
        <v>314</v>
      </c>
      <c r="AI1560" s="122">
        <v>17190</v>
      </c>
      <c r="AJ1560" s="122">
        <v>15627</v>
      </c>
      <c r="AK1560">
        <v>73</v>
      </c>
      <c r="AL1560" s="122">
        <v>4418</v>
      </c>
      <c r="AM1560" s="122">
        <v>4017</v>
      </c>
      <c r="AN1560" s="122">
        <v>2262</v>
      </c>
      <c r="AO1560" s="122">
        <v>838</v>
      </c>
      <c r="AP1560" s="122">
        <v>351</v>
      </c>
      <c r="AQ1560" s="122">
        <v>130</v>
      </c>
      <c r="AR1560" s="122">
        <v>5655</v>
      </c>
      <c r="AS1560" s="122">
        <v>5141</v>
      </c>
      <c r="AT1560" s="122">
        <v>0</v>
      </c>
      <c r="AU1560" s="122">
        <v>0</v>
      </c>
      <c r="AV1560" s="122">
        <v>25753</v>
      </c>
    </row>
    <row r="1561" spans="2:48" hidden="1">
      <c r="B1561" t="s">
        <v>372</v>
      </c>
      <c r="C1561" t="s">
        <v>58</v>
      </c>
      <c r="D1561" t="s">
        <v>137</v>
      </c>
      <c r="E1561" t="s">
        <v>137</v>
      </c>
      <c r="F1561" s="122">
        <v>22</v>
      </c>
      <c r="G1561" s="122">
        <v>2645</v>
      </c>
      <c r="H1561" s="122">
        <v>5881</v>
      </c>
      <c r="I1561" s="122">
        <v>480295</v>
      </c>
      <c r="J1561" s="122">
        <v>177887</v>
      </c>
      <c r="K1561" s="122">
        <v>100</v>
      </c>
      <c r="L1561" s="122">
        <v>49538</v>
      </c>
      <c r="M1561" s="122">
        <v>42211</v>
      </c>
      <c r="N1561" s="122">
        <v>52936</v>
      </c>
      <c r="O1561" s="122">
        <v>19606</v>
      </c>
      <c r="P1561" s="122">
        <v>905</v>
      </c>
      <c r="Q1561" s="122">
        <v>335</v>
      </c>
      <c r="R1561" s="122">
        <v>163508</v>
      </c>
      <c r="S1561" s="122">
        <v>60558</v>
      </c>
      <c r="T1561" s="122">
        <v>3693</v>
      </c>
      <c r="U1561" s="122">
        <v>1368</v>
      </c>
      <c r="V1561" s="122">
        <v>301965</v>
      </c>
      <c r="W1561" s="122">
        <f t="shared" si="48"/>
        <v>301965</v>
      </c>
      <c r="X1561" s="122">
        <f t="shared" si="49"/>
        <v>750875</v>
      </c>
      <c r="AA1561" t="s">
        <v>60</v>
      </c>
      <c r="AB1561" t="s">
        <v>425</v>
      </c>
      <c r="AC1561" t="s">
        <v>426</v>
      </c>
      <c r="AD1561" t="s">
        <v>425</v>
      </c>
      <c r="AE1561" t="s">
        <v>137</v>
      </c>
      <c r="AF1561">
        <v>16</v>
      </c>
      <c r="AG1561" s="122">
        <v>2367</v>
      </c>
      <c r="AH1561" s="122">
        <v>5349</v>
      </c>
      <c r="AI1561" s="122">
        <v>541569</v>
      </c>
      <c r="AJ1561" s="122">
        <v>492336</v>
      </c>
      <c r="AK1561">
        <v>77</v>
      </c>
      <c r="AL1561" s="122">
        <v>106373</v>
      </c>
      <c r="AM1561" s="122">
        <v>96703</v>
      </c>
      <c r="AN1561" s="122">
        <v>56020</v>
      </c>
      <c r="AO1561" s="122">
        <v>20748</v>
      </c>
      <c r="AP1561" s="122">
        <v>8046</v>
      </c>
      <c r="AQ1561" s="122">
        <v>2980</v>
      </c>
      <c r="AR1561" s="122">
        <v>79485</v>
      </c>
      <c r="AS1561" s="122">
        <v>72259</v>
      </c>
      <c r="AT1561" s="122">
        <v>31636</v>
      </c>
      <c r="AU1561" s="122">
        <v>11717</v>
      </c>
      <c r="AV1561" s="122">
        <v>696743</v>
      </c>
    </row>
    <row r="1562" spans="2:48" hidden="1">
      <c r="B1562" t="s">
        <v>372</v>
      </c>
      <c r="C1562" t="s">
        <v>58</v>
      </c>
      <c r="D1562" t="s">
        <v>137</v>
      </c>
      <c r="E1562" t="s">
        <v>406</v>
      </c>
      <c r="F1562" s="122">
        <v>1</v>
      </c>
      <c r="G1562" s="122">
        <v>128</v>
      </c>
      <c r="H1562" s="122">
        <v>291</v>
      </c>
      <c r="I1562" s="122">
        <v>23782</v>
      </c>
      <c r="J1562" s="122">
        <v>8808</v>
      </c>
      <c r="K1562" s="122">
        <v>100</v>
      </c>
      <c r="L1562" s="122">
        <v>3588</v>
      </c>
      <c r="M1562" s="122">
        <v>3262</v>
      </c>
      <c r="N1562" s="122">
        <v>2528</v>
      </c>
      <c r="O1562" s="122">
        <v>936</v>
      </c>
      <c r="P1562" s="122">
        <v>0</v>
      </c>
      <c r="Q1562" s="122">
        <v>0</v>
      </c>
      <c r="R1562" s="122">
        <v>7328</v>
      </c>
      <c r="S1562" s="122">
        <v>6662</v>
      </c>
      <c r="T1562" s="122">
        <v>0</v>
      </c>
      <c r="U1562" s="122">
        <v>0</v>
      </c>
      <c r="V1562" s="122">
        <v>19668</v>
      </c>
      <c r="W1562" s="122">
        <f t="shared" si="48"/>
        <v>19668</v>
      </c>
      <c r="X1562" s="122">
        <f t="shared" si="49"/>
        <v>37226</v>
      </c>
      <c r="AA1562" t="s">
        <v>60</v>
      </c>
      <c r="AB1562" t="s">
        <v>425</v>
      </c>
      <c r="AC1562" t="s">
        <v>426</v>
      </c>
      <c r="AD1562" t="s">
        <v>425</v>
      </c>
      <c r="AE1562" t="s">
        <v>566</v>
      </c>
      <c r="AF1562">
        <v>10</v>
      </c>
      <c r="AG1562" s="122">
        <v>1255</v>
      </c>
      <c r="AH1562" s="122">
        <v>3460</v>
      </c>
      <c r="AI1562" s="122">
        <v>302044</v>
      </c>
      <c r="AJ1562" s="122">
        <v>274586</v>
      </c>
      <c r="AK1562">
        <v>79</v>
      </c>
      <c r="AL1562" s="122">
        <v>41878</v>
      </c>
      <c r="AM1562" s="122">
        <v>38071</v>
      </c>
      <c r="AN1562" s="122">
        <v>28393</v>
      </c>
      <c r="AO1562" s="122">
        <v>10516</v>
      </c>
      <c r="AP1562" s="122">
        <v>4604</v>
      </c>
      <c r="AQ1562" s="122">
        <v>1705</v>
      </c>
      <c r="AR1562" s="122">
        <v>51008</v>
      </c>
      <c r="AS1562" s="122">
        <v>46371</v>
      </c>
      <c r="AT1562" s="122">
        <v>0</v>
      </c>
      <c r="AU1562" s="122">
        <v>0</v>
      </c>
      <c r="AV1562" s="122">
        <v>371248</v>
      </c>
    </row>
    <row r="1563" spans="2:48" hidden="1">
      <c r="B1563" t="s">
        <v>372</v>
      </c>
      <c r="C1563" t="s">
        <v>58</v>
      </c>
      <c r="D1563" t="s">
        <v>406</v>
      </c>
      <c r="E1563" t="s">
        <v>555</v>
      </c>
      <c r="F1563" s="122">
        <v>1</v>
      </c>
      <c r="G1563" s="122">
        <v>74</v>
      </c>
      <c r="H1563" s="122">
        <v>290</v>
      </c>
      <c r="I1563" s="122">
        <v>17735</v>
      </c>
      <c r="J1563" s="122">
        <v>16123</v>
      </c>
      <c r="K1563" s="122">
        <v>70</v>
      </c>
      <c r="L1563" s="122">
        <v>4368</v>
      </c>
      <c r="M1563" s="122">
        <v>3971</v>
      </c>
      <c r="N1563" s="122">
        <v>2106</v>
      </c>
      <c r="O1563" s="122">
        <v>780</v>
      </c>
      <c r="P1563" s="122">
        <v>621</v>
      </c>
      <c r="Q1563" s="122">
        <v>230</v>
      </c>
      <c r="R1563" s="122">
        <v>7272</v>
      </c>
      <c r="S1563" s="122">
        <v>6611</v>
      </c>
      <c r="T1563" s="122">
        <v>0</v>
      </c>
      <c r="U1563" s="122">
        <v>0</v>
      </c>
      <c r="V1563" s="122">
        <v>27715</v>
      </c>
      <c r="W1563" s="122">
        <f t="shared" si="48"/>
        <v>27715</v>
      </c>
      <c r="X1563" s="122">
        <f t="shared" si="49"/>
        <v>32102</v>
      </c>
      <c r="AA1563" t="s">
        <v>60</v>
      </c>
      <c r="AB1563" t="s">
        <v>425</v>
      </c>
      <c r="AC1563" t="s">
        <v>426</v>
      </c>
      <c r="AD1563" t="s">
        <v>406</v>
      </c>
      <c r="AE1563" t="s">
        <v>137</v>
      </c>
      <c r="AF1563">
        <v>3</v>
      </c>
      <c r="AG1563">
        <v>485</v>
      </c>
      <c r="AH1563" s="122">
        <v>1028</v>
      </c>
      <c r="AI1563" s="122">
        <v>100567</v>
      </c>
      <c r="AJ1563" s="122">
        <v>91425</v>
      </c>
      <c r="AK1563">
        <v>65</v>
      </c>
      <c r="AL1563" s="122">
        <v>23253</v>
      </c>
      <c r="AM1563" s="122">
        <v>21139</v>
      </c>
      <c r="AN1563" s="122">
        <v>10969</v>
      </c>
      <c r="AO1563" s="122">
        <v>4062</v>
      </c>
      <c r="AP1563" s="122">
        <v>2214</v>
      </c>
      <c r="AQ1563">
        <v>820</v>
      </c>
      <c r="AR1563" s="122">
        <v>16920</v>
      </c>
      <c r="AS1563" s="122">
        <v>15381</v>
      </c>
      <c r="AT1563" s="122">
        <v>9843</v>
      </c>
      <c r="AU1563" s="122">
        <v>3645</v>
      </c>
      <c r="AV1563" s="122">
        <v>136473</v>
      </c>
    </row>
    <row r="1564" spans="2:48" hidden="1">
      <c r="B1564" t="s">
        <v>372</v>
      </c>
      <c r="C1564" t="s">
        <v>58</v>
      </c>
      <c r="D1564" t="s">
        <v>406</v>
      </c>
      <c r="E1564" t="s">
        <v>425</v>
      </c>
      <c r="F1564" s="122">
        <v>1</v>
      </c>
      <c r="G1564" s="122">
        <v>100</v>
      </c>
      <c r="H1564" s="122">
        <v>232</v>
      </c>
      <c r="I1564" s="122">
        <v>12902</v>
      </c>
      <c r="J1564" s="122">
        <v>11729</v>
      </c>
      <c r="K1564" s="122">
        <v>85</v>
      </c>
      <c r="L1564" s="122">
        <v>2314</v>
      </c>
      <c r="M1564" s="122">
        <v>2103</v>
      </c>
      <c r="N1564" s="122">
        <v>2167</v>
      </c>
      <c r="O1564" s="122">
        <v>803</v>
      </c>
      <c r="P1564" s="122">
        <v>621</v>
      </c>
      <c r="Q1564" s="122">
        <v>230</v>
      </c>
      <c r="R1564" s="122">
        <v>5314</v>
      </c>
      <c r="S1564" s="122">
        <v>4831</v>
      </c>
      <c r="T1564" s="122">
        <v>0</v>
      </c>
      <c r="U1564" s="122">
        <v>0</v>
      </c>
      <c r="V1564" s="122">
        <v>19696</v>
      </c>
      <c r="W1564" s="122">
        <f t="shared" si="48"/>
        <v>19696</v>
      </c>
      <c r="X1564" s="122">
        <f t="shared" si="49"/>
        <v>23318</v>
      </c>
      <c r="AA1564" t="s">
        <v>60</v>
      </c>
      <c r="AB1564" t="s">
        <v>425</v>
      </c>
      <c r="AC1564" t="s">
        <v>566</v>
      </c>
      <c r="AD1564" t="s">
        <v>425</v>
      </c>
      <c r="AE1564" t="s">
        <v>137</v>
      </c>
      <c r="AF1564">
        <v>2</v>
      </c>
      <c r="AG1564">
        <v>150</v>
      </c>
      <c r="AH1564">
        <v>702</v>
      </c>
      <c r="AI1564" s="122">
        <v>43267</v>
      </c>
      <c r="AJ1564" s="122">
        <v>39333</v>
      </c>
      <c r="AK1564">
        <v>67</v>
      </c>
      <c r="AL1564">
        <v>0</v>
      </c>
      <c r="AM1564" s="122">
        <v>1404</v>
      </c>
      <c r="AN1564" s="122">
        <v>3733</v>
      </c>
      <c r="AO1564" s="122">
        <v>1383</v>
      </c>
      <c r="AP1564">
        <v>824</v>
      </c>
      <c r="AQ1564">
        <v>305</v>
      </c>
      <c r="AR1564" s="122">
        <v>12257</v>
      </c>
      <c r="AS1564" s="122">
        <v>11142</v>
      </c>
      <c r="AT1564" s="122">
        <v>7302</v>
      </c>
      <c r="AU1564" s="122">
        <v>2704</v>
      </c>
      <c r="AV1564" s="122">
        <v>56272</v>
      </c>
    </row>
    <row r="1565" spans="2:48" hidden="1">
      <c r="B1565" t="s">
        <v>372</v>
      </c>
      <c r="C1565" t="s">
        <v>58</v>
      </c>
      <c r="D1565" t="s">
        <v>406</v>
      </c>
      <c r="E1565" t="s">
        <v>137</v>
      </c>
      <c r="F1565" s="122">
        <v>2</v>
      </c>
      <c r="G1565" s="122">
        <v>361</v>
      </c>
      <c r="H1565" s="122">
        <v>493</v>
      </c>
      <c r="I1565" s="122">
        <v>54048</v>
      </c>
      <c r="J1565" s="122">
        <v>49135</v>
      </c>
      <c r="K1565" s="122">
        <v>90</v>
      </c>
      <c r="L1565" s="122">
        <v>17314</v>
      </c>
      <c r="M1565" s="122">
        <v>15740</v>
      </c>
      <c r="N1565" s="122">
        <v>8121</v>
      </c>
      <c r="O1565" s="122">
        <v>3008</v>
      </c>
      <c r="P1565" s="122">
        <v>3672</v>
      </c>
      <c r="Q1565" s="122">
        <v>1360</v>
      </c>
      <c r="R1565" s="122">
        <v>10135</v>
      </c>
      <c r="S1565" s="122">
        <v>3754</v>
      </c>
      <c r="T1565" s="122">
        <v>0</v>
      </c>
      <c r="U1565" s="122">
        <v>0</v>
      </c>
      <c r="V1565" s="122">
        <v>72996</v>
      </c>
      <c r="W1565" s="122">
        <f t="shared" si="48"/>
        <v>72997</v>
      </c>
      <c r="X1565" s="122">
        <f t="shared" si="49"/>
        <v>93290</v>
      </c>
      <c r="AA1565" t="s">
        <v>60</v>
      </c>
      <c r="AB1565" t="s">
        <v>425</v>
      </c>
      <c r="AC1565" t="s">
        <v>566</v>
      </c>
      <c r="AD1565" t="s">
        <v>425</v>
      </c>
      <c r="AE1565" t="s">
        <v>566</v>
      </c>
      <c r="AF1565">
        <v>1</v>
      </c>
      <c r="AG1565">
        <v>62</v>
      </c>
      <c r="AH1565">
        <v>358</v>
      </c>
      <c r="AI1565" s="122">
        <v>18662</v>
      </c>
      <c r="AJ1565" s="122">
        <v>16966</v>
      </c>
      <c r="AK1565">
        <v>93</v>
      </c>
      <c r="AL1565">
        <v>0</v>
      </c>
      <c r="AM1565">
        <v>0</v>
      </c>
      <c r="AN1565" s="122">
        <v>1077</v>
      </c>
      <c r="AO1565">
        <v>399</v>
      </c>
      <c r="AP1565">
        <v>473</v>
      </c>
      <c r="AQ1565">
        <v>175</v>
      </c>
      <c r="AR1565" s="122">
        <v>2073</v>
      </c>
      <c r="AS1565" s="122">
        <v>1885</v>
      </c>
      <c r="AT1565" s="122">
        <v>0</v>
      </c>
      <c r="AU1565">
        <v>0</v>
      </c>
      <c r="AV1565" s="122">
        <v>19425</v>
      </c>
    </row>
    <row r="1566" spans="2:48" hidden="1">
      <c r="B1566" t="s">
        <v>372</v>
      </c>
      <c r="C1566" t="s">
        <v>58</v>
      </c>
      <c r="D1566" t="s">
        <v>406</v>
      </c>
      <c r="E1566" t="s">
        <v>406</v>
      </c>
      <c r="F1566" s="122">
        <v>988</v>
      </c>
      <c r="G1566" s="122">
        <v>131257</v>
      </c>
      <c r="H1566" s="122">
        <v>257334</v>
      </c>
      <c r="I1566" s="122">
        <v>20846076</v>
      </c>
      <c r="J1566" s="122">
        <v>18950978</v>
      </c>
      <c r="K1566" s="122">
        <v>80</v>
      </c>
      <c r="L1566" s="122">
        <v>3995889</v>
      </c>
      <c r="M1566" s="122">
        <v>3572012</v>
      </c>
      <c r="N1566" s="122">
        <v>2741179</v>
      </c>
      <c r="O1566" s="122">
        <v>1015251</v>
      </c>
      <c r="P1566" s="122">
        <v>642938</v>
      </c>
      <c r="Q1566" s="122">
        <v>238125</v>
      </c>
      <c r="R1566" s="122">
        <v>5231436</v>
      </c>
      <c r="S1566" s="122">
        <v>4755851</v>
      </c>
      <c r="T1566" s="122">
        <v>1570169</v>
      </c>
      <c r="U1566" s="122">
        <v>581544</v>
      </c>
      <c r="V1566" s="122">
        <v>29113761</v>
      </c>
      <c r="W1566" s="122">
        <f t="shared" si="48"/>
        <v>29113761</v>
      </c>
      <c r="X1566" s="122">
        <f t="shared" si="49"/>
        <v>35027687</v>
      </c>
      <c r="AA1566" t="s">
        <v>60</v>
      </c>
      <c r="AB1566" t="s">
        <v>425</v>
      </c>
      <c r="AC1566" t="s">
        <v>433</v>
      </c>
      <c r="AD1566" t="s">
        <v>425</v>
      </c>
      <c r="AE1566" t="s">
        <v>137</v>
      </c>
      <c r="AF1566">
        <v>1</v>
      </c>
      <c r="AG1566">
        <v>97</v>
      </c>
      <c r="AH1566">
        <v>349</v>
      </c>
      <c r="AI1566" s="122">
        <v>26212</v>
      </c>
      <c r="AJ1566" s="122">
        <v>23829</v>
      </c>
      <c r="AK1566">
        <v>81</v>
      </c>
      <c r="AL1566" s="122">
        <v>0</v>
      </c>
      <c r="AM1566" s="122">
        <v>0</v>
      </c>
      <c r="AN1566" s="122">
        <v>1183</v>
      </c>
      <c r="AO1566">
        <v>438</v>
      </c>
      <c r="AP1566">
        <v>473</v>
      </c>
      <c r="AQ1566">
        <v>175</v>
      </c>
      <c r="AR1566" s="122">
        <v>3681</v>
      </c>
      <c r="AS1566" s="122">
        <v>3346</v>
      </c>
      <c r="AT1566" s="122">
        <v>2346</v>
      </c>
      <c r="AU1566">
        <v>869</v>
      </c>
      <c r="AV1566" s="122">
        <v>28657</v>
      </c>
    </row>
    <row r="1567" spans="2:48" hidden="1">
      <c r="B1567" t="s">
        <v>372</v>
      </c>
      <c r="C1567" t="s">
        <v>58</v>
      </c>
      <c r="D1567" t="s">
        <v>406</v>
      </c>
      <c r="E1567" t="s">
        <v>427</v>
      </c>
      <c r="F1567" s="122">
        <v>1</v>
      </c>
      <c r="G1567" s="122">
        <v>147</v>
      </c>
      <c r="H1567" s="122">
        <v>253</v>
      </c>
      <c r="I1567" s="122">
        <v>22928</v>
      </c>
      <c r="J1567" s="122">
        <v>20843</v>
      </c>
      <c r="K1567" s="122">
        <v>73</v>
      </c>
      <c r="L1567" s="122">
        <v>2947</v>
      </c>
      <c r="M1567" s="122">
        <v>2679</v>
      </c>
      <c r="N1567" s="122">
        <v>2692</v>
      </c>
      <c r="O1567" s="122">
        <v>997</v>
      </c>
      <c r="P1567" s="122">
        <v>621</v>
      </c>
      <c r="Q1567" s="122">
        <v>230</v>
      </c>
      <c r="R1567" s="122">
        <v>8051</v>
      </c>
      <c r="S1567" s="122">
        <v>7319</v>
      </c>
      <c r="T1567" s="122">
        <v>0</v>
      </c>
      <c r="U1567" s="122">
        <v>0</v>
      </c>
      <c r="V1567" s="122">
        <v>32068</v>
      </c>
      <c r="W1567" s="122">
        <f t="shared" si="48"/>
        <v>32068</v>
      </c>
      <c r="X1567" s="122">
        <f t="shared" si="49"/>
        <v>37239</v>
      </c>
      <c r="AA1567" t="s">
        <v>60</v>
      </c>
      <c r="AB1567" t="s">
        <v>425</v>
      </c>
      <c r="AC1567" t="s">
        <v>433</v>
      </c>
      <c r="AD1567" t="s">
        <v>425</v>
      </c>
      <c r="AE1567" t="s">
        <v>566</v>
      </c>
      <c r="AF1567">
        <v>1</v>
      </c>
      <c r="AG1567" s="122">
        <v>104</v>
      </c>
      <c r="AH1567" s="122">
        <v>354</v>
      </c>
      <c r="AI1567" s="122">
        <v>26587</v>
      </c>
      <c r="AJ1567" s="122">
        <v>24170</v>
      </c>
      <c r="AK1567">
        <v>91</v>
      </c>
      <c r="AL1567" s="122">
        <v>4264</v>
      </c>
      <c r="AM1567" s="122">
        <v>3876</v>
      </c>
      <c r="AN1567" s="122">
        <v>2532</v>
      </c>
      <c r="AO1567" s="122">
        <v>938</v>
      </c>
      <c r="AP1567" s="122">
        <v>473</v>
      </c>
      <c r="AQ1567" s="122">
        <v>175</v>
      </c>
      <c r="AR1567" s="122">
        <v>2895</v>
      </c>
      <c r="AS1567" s="122">
        <v>2632</v>
      </c>
      <c r="AT1567" s="122">
        <v>0</v>
      </c>
      <c r="AU1567" s="122">
        <v>0</v>
      </c>
      <c r="AV1567" s="122">
        <v>31791</v>
      </c>
    </row>
    <row r="1568" spans="2:48" hidden="1">
      <c r="B1568" t="s">
        <v>372</v>
      </c>
      <c r="C1568" t="s">
        <v>58</v>
      </c>
      <c r="D1568" t="s">
        <v>406</v>
      </c>
      <c r="E1568" t="s">
        <v>431</v>
      </c>
      <c r="F1568" s="122">
        <v>1</v>
      </c>
      <c r="G1568" s="122">
        <v>183</v>
      </c>
      <c r="H1568" s="122">
        <v>273</v>
      </c>
      <c r="I1568" s="122">
        <v>27448</v>
      </c>
      <c r="J1568" s="122">
        <v>24953</v>
      </c>
      <c r="K1568" s="122">
        <v>85</v>
      </c>
      <c r="L1568" s="122">
        <v>5483</v>
      </c>
      <c r="M1568" s="122">
        <v>4984</v>
      </c>
      <c r="N1568" s="122">
        <v>4132</v>
      </c>
      <c r="O1568" s="122">
        <v>1530</v>
      </c>
      <c r="P1568" s="122">
        <v>621</v>
      </c>
      <c r="Q1568" s="122">
        <v>230</v>
      </c>
      <c r="R1568" s="122">
        <v>8674</v>
      </c>
      <c r="S1568" s="122">
        <v>7886</v>
      </c>
      <c r="T1568" s="122">
        <v>3632</v>
      </c>
      <c r="U1568" s="122">
        <v>1345</v>
      </c>
      <c r="V1568" s="122">
        <v>40928</v>
      </c>
      <c r="W1568" s="122">
        <f t="shared" si="48"/>
        <v>40928</v>
      </c>
      <c r="X1568" s="122">
        <f t="shared" si="49"/>
        <v>49990</v>
      </c>
      <c r="AA1568" t="s">
        <v>60</v>
      </c>
      <c r="AB1568" t="s">
        <v>405</v>
      </c>
      <c r="AC1568" t="s">
        <v>405</v>
      </c>
      <c r="AD1568" t="s">
        <v>405</v>
      </c>
      <c r="AE1568" t="s">
        <v>137</v>
      </c>
      <c r="AF1568">
        <v>35</v>
      </c>
      <c r="AG1568" s="122">
        <v>4580</v>
      </c>
      <c r="AH1568" s="122">
        <v>11737</v>
      </c>
      <c r="AI1568" s="122">
        <v>922802</v>
      </c>
      <c r="AJ1568" s="122">
        <v>838911</v>
      </c>
      <c r="AK1568">
        <v>74</v>
      </c>
      <c r="AL1568" s="122">
        <v>222763</v>
      </c>
      <c r="AM1568" s="122">
        <v>202512</v>
      </c>
      <c r="AN1568" s="122">
        <v>97115</v>
      </c>
      <c r="AO1568" s="122">
        <v>35969</v>
      </c>
      <c r="AP1568" s="122">
        <v>15836</v>
      </c>
      <c r="AQ1568" s="122">
        <v>5865</v>
      </c>
      <c r="AR1568" s="122">
        <v>178688</v>
      </c>
      <c r="AS1568" s="122">
        <v>162444</v>
      </c>
      <c r="AT1568" s="122">
        <v>94124</v>
      </c>
      <c r="AU1568" s="122">
        <v>34861</v>
      </c>
      <c r="AV1568" s="122">
        <v>1280561</v>
      </c>
    </row>
    <row r="1569" spans="2:48" hidden="1">
      <c r="B1569" t="s">
        <v>372</v>
      </c>
      <c r="C1569" t="s">
        <v>58</v>
      </c>
      <c r="D1569" t="s">
        <v>406</v>
      </c>
      <c r="E1569" t="s">
        <v>426</v>
      </c>
      <c r="F1569" s="122">
        <v>1</v>
      </c>
      <c r="G1569" s="122">
        <v>185</v>
      </c>
      <c r="H1569" s="122">
        <v>299</v>
      </c>
      <c r="I1569" s="122">
        <v>33165</v>
      </c>
      <c r="J1569" s="122">
        <v>30150</v>
      </c>
      <c r="K1569" s="122">
        <v>65</v>
      </c>
      <c r="L1569" s="122">
        <v>5061</v>
      </c>
      <c r="M1569" s="122">
        <v>4601</v>
      </c>
      <c r="N1569" s="122">
        <v>3918</v>
      </c>
      <c r="O1569" s="122">
        <v>1451</v>
      </c>
      <c r="P1569" s="122">
        <v>621</v>
      </c>
      <c r="Q1569" s="122">
        <v>230</v>
      </c>
      <c r="R1569" s="122">
        <v>8901</v>
      </c>
      <c r="S1569" s="122">
        <v>8091</v>
      </c>
      <c r="T1569" s="122">
        <v>3513</v>
      </c>
      <c r="U1569" s="122">
        <v>1301</v>
      </c>
      <c r="V1569" s="122">
        <v>45824</v>
      </c>
      <c r="W1569" s="122">
        <f t="shared" si="48"/>
        <v>45824</v>
      </c>
      <c r="X1569" s="122">
        <f t="shared" si="49"/>
        <v>55179</v>
      </c>
      <c r="AA1569" t="s">
        <v>60</v>
      </c>
      <c r="AB1569" t="s">
        <v>405</v>
      </c>
      <c r="AC1569" t="s">
        <v>405</v>
      </c>
      <c r="AD1569" t="s">
        <v>405</v>
      </c>
      <c r="AE1569" t="s">
        <v>566</v>
      </c>
      <c r="AF1569">
        <v>25</v>
      </c>
      <c r="AG1569" s="122">
        <v>3492</v>
      </c>
      <c r="AH1569" s="122">
        <v>8455</v>
      </c>
      <c r="AI1569" s="122">
        <v>759655</v>
      </c>
      <c r="AJ1569" s="122">
        <v>690596</v>
      </c>
      <c r="AK1569">
        <v>76</v>
      </c>
      <c r="AL1569" s="122">
        <v>180550</v>
      </c>
      <c r="AM1569" s="122">
        <v>164137</v>
      </c>
      <c r="AN1569" s="122">
        <v>76284</v>
      </c>
      <c r="AO1569" s="122">
        <v>28253</v>
      </c>
      <c r="AP1569" s="122">
        <v>11448</v>
      </c>
      <c r="AQ1569" s="122">
        <v>4240</v>
      </c>
      <c r="AR1569" s="122">
        <v>157562</v>
      </c>
      <c r="AS1569" s="122">
        <v>143239</v>
      </c>
      <c r="AT1569">
        <v>0</v>
      </c>
      <c r="AU1569">
        <v>0</v>
      </c>
      <c r="AV1569" s="122">
        <v>1030464</v>
      </c>
    </row>
    <row r="1570" spans="2:48" hidden="1">
      <c r="B1570" t="s">
        <v>372</v>
      </c>
      <c r="C1570" t="s">
        <v>58</v>
      </c>
      <c r="D1570" t="s">
        <v>427</v>
      </c>
      <c r="E1570" t="s">
        <v>427</v>
      </c>
      <c r="F1570" s="122">
        <v>2</v>
      </c>
      <c r="G1570" s="122">
        <v>306</v>
      </c>
      <c r="H1570" s="122">
        <v>483</v>
      </c>
      <c r="I1570" s="122">
        <v>41072</v>
      </c>
      <c r="J1570" s="122">
        <v>37338</v>
      </c>
      <c r="K1570" s="122">
        <v>70</v>
      </c>
      <c r="L1570" s="122">
        <v>8308</v>
      </c>
      <c r="M1570" s="122">
        <v>7553</v>
      </c>
      <c r="N1570" s="122">
        <v>6677</v>
      </c>
      <c r="O1570" s="122">
        <v>2473</v>
      </c>
      <c r="P1570" s="122">
        <v>702</v>
      </c>
      <c r="Q1570" s="122">
        <v>260</v>
      </c>
      <c r="R1570" s="122">
        <v>12968</v>
      </c>
      <c r="S1570" s="122">
        <v>11789</v>
      </c>
      <c r="T1570" s="122">
        <v>3569</v>
      </c>
      <c r="U1570" s="122">
        <v>1322</v>
      </c>
      <c r="V1570" s="122">
        <v>60735</v>
      </c>
      <c r="W1570" s="122">
        <f t="shared" si="48"/>
        <v>60735</v>
      </c>
      <c r="X1570" s="122">
        <f t="shared" si="49"/>
        <v>73296</v>
      </c>
      <c r="AA1570" t="s">
        <v>60</v>
      </c>
      <c r="AB1570" t="s">
        <v>405</v>
      </c>
      <c r="AC1570" t="s">
        <v>405</v>
      </c>
      <c r="AD1570" t="s">
        <v>137</v>
      </c>
      <c r="AE1570" t="s">
        <v>566</v>
      </c>
      <c r="AF1570">
        <v>1</v>
      </c>
      <c r="AG1570">
        <v>189</v>
      </c>
      <c r="AH1570" s="122">
        <v>313</v>
      </c>
      <c r="AI1570" s="122">
        <v>31801</v>
      </c>
      <c r="AJ1570" s="122">
        <v>28910</v>
      </c>
      <c r="AK1570">
        <v>80</v>
      </c>
      <c r="AL1570" s="122">
        <v>13445</v>
      </c>
      <c r="AM1570" s="122">
        <v>12223</v>
      </c>
      <c r="AN1570" s="122">
        <v>4076</v>
      </c>
      <c r="AO1570" s="122">
        <v>1510</v>
      </c>
      <c r="AP1570" s="122">
        <v>351</v>
      </c>
      <c r="AQ1570" s="122">
        <v>130</v>
      </c>
      <c r="AR1570" s="122">
        <v>9488</v>
      </c>
      <c r="AS1570" s="122">
        <v>3514</v>
      </c>
      <c r="AT1570" s="122">
        <v>0</v>
      </c>
      <c r="AU1570" s="122">
        <v>0</v>
      </c>
      <c r="AV1570" s="122">
        <v>46287</v>
      </c>
    </row>
    <row r="1571" spans="2:48" hidden="1">
      <c r="B1571" t="s">
        <v>372</v>
      </c>
      <c r="C1571" t="s">
        <v>58</v>
      </c>
      <c r="D1571" t="s">
        <v>407</v>
      </c>
      <c r="E1571" t="s">
        <v>137</v>
      </c>
      <c r="F1571" s="122">
        <v>1</v>
      </c>
      <c r="G1571" s="122">
        <v>81</v>
      </c>
      <c r="H1571" s="122">
        <v>294</v>
      </c>
      <c r="I1571" s="122">
        <v>11781</v>
      </c>
      <c r="J1571" s="122">
        <v>10710</v>
      </c>
      <c r="K1571" s="122">
        <v>73</v>
      </c>
      <c r="L1571" s="122">
        <v>5017</v>
      </c>
      <c r="M1571" s="122">
        <v>1858</v>
      </c>
      <c r="N1571" s="122">
        <v>1962</v>
      </c>
      <c r="O1571" s="122">
        <v>727</v>
      </c>
      <c r="P1571" s="122">
        <v>473</v>
      </c>
      <c r="Q1571" s="122">
        <v>175</v>
      </c>
      <c r="R1571" s="122">
        <v>4448</v>
      </c>
      <c r="S1571" s="122">
        <v>1648</v>
      </c>
      <c r="T1571" s="122">
        <v>0</v>
      </c>
      <c r="U1571" s="122">
        <v>0</v>
      </c>
      <c r="V1571" s="122">
        <v>15117</v>
      </c>
      <c r="W1571" s="122">
        <f t="shared" si="48"/>
        <v>15118</v>
      </c>
      <c r="X1571" s="122">
        <f t="shared" si="49"/>
        <v>23681</v>
      </c>
      <c r="AA1571" t="s">
        <v>60</v>
      </c>
      <c r="AB1571" t="s">
        <v>405</v>
      </c>
      <c r="AC1571" t="s">
        <v>137</v>
      </c>
      <c r="AD1571" t="s">
        <v>405</v>
      </c>
      <c r="AE1571" t="s">
        <v>137</v>
      </c>
      <c r="AF1571">
        <v>6</v>
      </c>
      <c r="AG1571">
        <v>841</v>
      </c>
      <c r="AH1571" s="122">
        <v>2125</v>
      </c>
      <c r="AI1571" s="122">
        <v>197861</v>
      </c>
      <c r="AJ1571" s="122">
        <v>179874</v>
      </c>
      <c r="AK1571">
        <v>74</v>
      </c>
      <c r="AL1571" s="122">
        <v>37655</v>
      </c>
      <c r="AM1571" s="122">
        <v>13946</v>
      </c>
      <c r="AN1571" s="122">
        <v>16706</v>
      </c>
      <c r="AO1571" s="122">
        <v>6187</v>
      </c>
      <c r="AP1571" s="122">
        <v>3092</v>
      </c>
      <c r="AQ1571" s="122">
        <v>1145</v>
      </c>
      <c r="AR1571" s="122">
        <v>32046</v>
      </c>
      <c r="AS1571" s="122">
        <v>29133</v>
      </c>
      <c r="AT1571" s="122">
        <v>13949</v>
      </c>
      <c r="AU1571" s="122">
        <v>5166</v>
      </c>
      <c r="AV1571" s="122">
        <v>235451</v>
      </c>
    </row>
    <row r="1572" spans="2:48" hidden="1">
      <c r="B1572" t="s">
        <v>372</v>
      </c>
      <c r="C1572" t="s">
        <v>58</v>
      </c>
      <c r="D1572" t="s">
        <v>407</v>
      </c>
      <c r="E1572" t="s">
        <v>407</v>
      </c>
      <c r="F1572" s="122">
        <v>139</v>
      </c>
      <c r="G1572" s="122">
        <v>14735</v>
      </c>
      <c r="H1572" s="122">
        <v>35023</v>
      </c>
      <c r="I1572" s="122">
        <v>2040773</v>
      </c>
      <c r="J1572" s="122">
        <v>1855248</v>
      </c>
      <c r="K1572" s="122">
        <v>79</v>
      </c>
      <c r="L1572" s="122">
        <v>534183</v>
      </c>
      <c r="M1572" s="122">
        <v>462566</v>
      </c>
      <c r="N1572" s="122">
        <v>295731</v>
      </c>
      <c r="O1572" s="122">
        <v>109530</v>
      </c>
      <c r="P1572" s="122">
        <v>67419</v>
      </c>
      <c r="Q1572" s="122">
        <v>24970</v>
      </c>
      <c r="R1572" s="122">
        <v>684593</v>
      </c>
      <c r="S1572" s="122">
        <v>622357</v>
      </c>
      <c r="T1572" s="122">
        <v>146628</v>
      </c>
      <c r="U1572" s="122">
        <v>54307</v>
      </c>
      <c r="V1572" s="122">
        <v>3128978</v>
      </c>
      <c r="W1572" s="122">
        <f t="shared" si="48"/>
        <v>3128978</v>
      </c>
      <c r="X1572" s="122">
        <f t="shared" si="49"/>
        <v>3769327</v>
      </c>
      <c r="AA1572" t="s">
        <v>60</v>
      </c>
      <c r="AB1572" t="s">
        <v>405</v>
      </c>
      <c r="AC1572" t="s">
        <v>137</v>
      </c>
      <c r="AD1572" t="s">
        <v>405</v>
      </c>
      <c r="AE1572" t="s">
        <v>566</v>
      </c>
      <c r="AF1572">
        <v>8</v>
      </c>
      <c r="AG1572">
        <v>806</v>
      </c>
      <c r="AH1572" s="122">
        <v>2778</v>
      </c>
      <c r="AI1572" s="122">
        <v>198472</v>
      </c>
      <c r="AJ1572" s="122">
        <v>180429</v>
      </c>
      <c r="AK1572">
        <v>80</v>
      </c>
      <c r="AL1572" s="122">
        <v>38126</v>
      </c>
      <c r="AM1572" s="122">
        <v>14121</v>
      </c>
      <c r="AN1572" s="122">
        <v>14653</v>
      </c>
      <c r="AO1572" s="122">
        <v>5427</v>
      </c>
      <c r="AP1572" s="122">
        <v>3659</v>
      </c>
      <c r="AQ1572" s="122">
        <v>1355</v>
      </c>
      <c r="AR1572" s="122">
        <v>47331</v>
      </c>
      <c r="AS1572" s="122">
        <v>43028</v>
      </c>
      <c r="AT1572">
        <v>0</v>
      </c>
      <c r="AU1572">
        <v>0</v>
      </c>
      <c r="AV1572" s="122">
        <v>244360</v>
      </c>
    </row>
    <row r="1573" spans="2:48" hidden="1">
      <c r="B1573" t="s">
        <v>372</v>
      </c>
      <c r="C1573" t="s">
        <v>58</v>
      </c>
      <c r="D1573" t="s">
        <v>556</v>
      </c>
      <c r="E1573" t="s">
        <v>556</v>
      </c>
      <c r="F1573" s="122">
        <v>3</v>
      </c>
      <c r="G1573" s="122">
        <v>330</v>
      </c>
      <c r="H1573" s="122">
        <v>767</v>
      </c>
      <c r="I1573" s="122">
        <v>49183</v>
      </c>
      <c r="J1573" s="122">
        <v>40986</v>
      </c>
      <c r="K1573" s="122">
        <v>68</v>
      </c>
      <c r="L1573" s="122">
        <v>2971</v>
      </c>
      <c r="M1573" s="122">
        <v>2701</v>
      </c>
      <c r="N1573" s="122">
        <v>5442</v>
      </c>
      <c r="O1573" s="122">
        <v>2015</v>
      </c>
      <c r="P1573" s="122">
        <v>1053</v>
      </c>
      <c r="Q1573" s="122">
        <v>390</v>
      </c>
      <c r="R1573" s="122">
        <v>16335</v>
      </c>
      <c r="S1573" s="122">
        <v>13613</v>
      </c>
      <c r="T1573" s="122">
        <v>8990</v>
      </c>
      <c r="U1573" s="122">
        <v>3330</v>
      </c>
      <c r="V1573" s="122">
        <v>63034</v>
      </c>
      <c r="W1573" s="122">
        <f t="shared" si="48"/>
        <v>63035</v>
      </c>
      <c r="X1573" s="122">
        <f t="shared" si="49"/>
        <v>83974</v>
      </c>
      <c r="AA1573" t="s">
        <v>60</v>
      </c>
      <c r="AB1573" t="s">
        <v>405</v>
      </c>
      <c r="AC1573" t="s">
        <v>137</v>
      </c>
      <c r="AD1573" t="s">
        <v>137</v>
      </c>
      <c r="AE1573" t="s">
        <v>566</v>
      </c>
      <c r="AF1573">
        <v>1</v>
      </c>
      <c r="AG1573">
        <v>279</v>
      </c>
      <c r="AH1573">
        <v>329</v>
      </c>
      <c r="AI1573" s="122">
        <v>58430</v>
      </c>
      <c r="AJ1573" s="122">
        <v>53118</v>
      </c>
      <c r="AK1573">
        <v>92</v>
      </c>
      <c r="AL1573" s="122">
        <v>13991</v>
      </c>
      <c r="AM1573" s="122">
        <v>5182</v>
      </c>
      <c r="AN1573" s="122">
        <v>5681</v>
      </c>
      <c r="AO1573" s="122">
        <v>2104</v>
      </c>
      <c r="AP1573">
        <v>351</v>
      </c>
      <c r="AQ1573">
        <v>130</v>
      </c>
      <c r="AR1573" s="122">
        <v>13350</v>
      </c>
      <c r="AS1573" s="122">
        <v>4945</v>
      </c>
      <c r="AT1573" s="122">
        <v>0</v>
      </c>
      <c r="AU1573">
        <v>0</v>
      </c>
      <c r="AV1573" s="122">
        <v>65479</v>
      </c>
    </row>
    <row r="1574" spans="2:48" hidden="1">
      <c r="B1574" t="s">
        <v>372</v>
      </c>
      <c r="C1574" t="s">
        <v>58</v>
      </c>
      <c r="D1574" t="s">
        <v>428</v>
      </c>
      <c r="E1574" t="s">
        <v>428</v>
      </c>
      <c r="F1574" s="122">
        <v>4</v>
      </c>
      <c r="G1574" s="122">
        <v>467</v>
      </c>
      <c r="H1574" s="122">
        <v>1074</v>
      </c>
      <c r="I1574" s="122">
        <v>68866</v>
      </c>
      <c r="J1574" s="122">
        <v>62606</v>
      </c>
      <c r="K1574" s="122">
        <v>64</v>
      </c>
      <c r="L1574" s="122">
        <v>8816</v>
      </c>
      <c r="M1574" s="122">
        <v>8014</v>
      </c>
      <c r="N1574" s="122">
        <v>8558</v>
      </c>
      <c r="O1574" s="122">
        <v>3170</v>
      </c>
      <c r="P1574" s="122">
        <v>1404</v>
      </c>
      <c r="Q1574" s="122">
        <v>520</v>
      </c>
      <c r="R1574" s="122">
        <v>29505</v>
      </c>
      <c r="S1574" s="122">
        <v>26823</v>
      </c>
      <c r="T1574" s="122">
        <v>4794</v>
      </c>
      <c r="U1574" s="122">
        <v>1776</v>
      </c>
      <c r="V1574" s="122">
        <v>102908</v>
      </c>
      <c r="W1574" s="122">
        <f t="shared" si="48"/>
        <v>102909</v>
      </c>
      <c r="X1574" s="122">
        <f t="shared" si="49"/>
        <v>121943</v>
      </c>
      <c r="AA1574" t="s">
        <v>60</v>
      </c>
      <c r="AB1574" t="s">
        <v>405</v>
      </c>
      <c r="AC1574" t="s">
        <v>137</v>
      </c>
      <c r="AD1574" t="s">
        <v>407</v>
      </c>
      <c r="AE1574" t="s">
        <v>137</v>
      </c>
      <c r="AF1574">
        <v>1</v>
      </c>
      <c r="AG1574">
        <v>78</v>
      </c>
      <c r="AH1574">
        <v>318</v>
      </c>
      <c r="AI1574" s="122">
        <v>14144</v>
      </c>
      <c r="AJ1574" s="122">
        <v>12859</v>
      </c>
      <c r="AK1574">
        <v>65</v>
      </c>
      <c r="AL1574" s="122">
        <v>2507</v>
      </c>
      <c r="AM1574" s="122">
        <v>929</v>
      </c>
      <c r="AN1574" s="122">
        <v>949</v>
      </c>
      <c r="AO1574" s="122">
        <v>352</v>
      </c>
      <c r="AP1574">
        <v>351</v>
      </c>
      <c r="AQ1574">
        <v>130</v>
      </c>
      <c r="AR1574" s="122">
        <v>4443</v>
      </c>
      <c r="AS1574" s="122">
        <v>4040</v>
      </c>
      <c r="AT1574" s="122">
        <v>2405</v>
      </c>
      <c r="AU1574">
        <v>891</v>
      </c>
      <c r="AV1574" s="122">
        <v>19199</v>
      </c>
    </row>
    <row r="1575" spans="2:48" hidden="1">
      <c r="B1575" t="s">
        <v>372</v>
      </c>
      <c r="C1575" t="s">
        <v>58</v>
      </c>
      <c r="D1575" t="s">
        <v>431</v>
      </c>
      <c r="E1575" t="s">
        <v>431</v>
      </c>
      <c r="F1575" s="122">
        <v>3</v>
      </c>
      <c r="G1575" s="122">
        <v>553</v>
      </c>
      <c r="H1575" s="122">
        <v>831</v>
      </c>
      <c r="I1575" s="122">
        <v>113507</v>
      </c>
      <c r="J1575" s="122">
        <v>103188</v>
      </c>
      <c r="K1575" s="122">
        <v>55</v>
      </c>
      <c r="L1575" s="122">
        <v>9999</v>
      </c>
      <c r="M1575" s="122">
        <v>9090</v>
      </c>
      <c r="N1575" s="122">
        <v>13030</v>
      </c>
      <c r="O1575" s="122">
        <v>4826</v>
      </c>
      <c r="P1575" s="122">
        <v>972</v>
      </c>
      <c r="Q1575" s="122">
        <v>360</v>
      </c>
      <c r="R1575" s="122">
        <v>25138</v>
      </c>
      <c r="S1575" s="122">
        <v>22853</v>
      </c>
      <c r="T1575" s="122">
        <v>6311</v>
      </c>
      <c r="U1575" s="122">
        <v>2337</v>
      </c>
      <c r="V1575" s="122">
        <v>142654</v>
      </c>
      <c r="W1575" s="122">
        <f t="shared" si="48"/>
        <v>142654</v>
      </c>
      <c r="X1575" s="122">
        <f t="shared" si="49"/>
        <v>168957</v>
      </c>
      <c r="AA1575" t="s">
        <v>60</v>
      </c>
      <c r="AB1575" t="s">
        <v>405</v>
      </c>
      <c r="AC1575" t="s">
        <v>580</v>
      </c>
      <c r="AD1575" t="s">
        <v>425</v>
      </c>
      <c r="AE1575" t="s">
        <v>137</v>
      </c>
      <c r="AF1575">
        <v>1</v>
      </c>
      <c r="AG1575">
        <v>286</v>
      </c>
      <c r="AH1575">
        <v>331</v>
      </c>
      <c r="AI1575" s="122">
        <v>70056</v>
      </c>
      <c r="AJ1575" s="122">
        <v>63687</v>
      </c>
      <c r="AK1575">
        <v>46</v>
      </c>
      <c r="AL1575" s="122">
        <v>5669</v>
      </c>
      <c r="AM1575" s="122">
        <v>5154</v>
      </c>
      <c r="AN1575" s="122">
        <v>5081</v>
      </c>
      <c r="AO1575" s="122">
        <v>1882</v>
      </c>
      <c r="AP1575" s="122">
        <v>473</v>
      </c>
      <c r="AQ1575">
        <v>175</v>
      </c>
      <c r="AR1575" s="122">
        <v>13341</v>
      </c>
      <c r="AS1575" s="122">
        <v>12128</v>
      </c>
      <c r="AT1575">
        <v>0</v>
      </c>
      <c r="AU1575">
        <v>0</v>
      </c>
      <c r="AV1575" s="122">
        <v>83027</v>
      </c>
    </row>
    <row r="1576" spans="2:48" hidden="1">
      <c r="B1576" t="s">
        <v>372</v>
      </c>
      <c r="C1576" t="s">
        <v>58</v>
      </c>
      <c r="D1576" t="s">
        <v>426</v>
      </c>
      <c r="E1576" t="s">
        <v>137</v>
      </c>
      <c r="F1576" s="122">
        <v>1</v>
      </c>
      <c r="G1576" s="122">
        <v>237</v>
      </c>
      <c r="H1576" s="122">
        <v>239</v>
      </c>
      <c r="I1576" s="122">
        <v>31675</v>
      </c>
      <c r="J1576" s="122">
        <v>28795</v>
      </c>
      <c r="K1576" s="122">
        <v>60</v>
      </c>
      <c r="L1576" s="122">
        <v>7039</v>
      </c>
      <c r="M1576" s="122">
        <v>6399</v>
      </c>
      <c r="N1576" s="122">
        <v>5775</v>
      </c>
      <c r="O1576" s="122">
        <v>2139</v>
      </c>
      <c r="P1576" s="122">
        <v>0</v>
      </c>
      <c r="Q1576" s="122">
        <v>0</v>
      </c>
      <c r="R1576" s="122">
        <v>12036</v>
      </c>
      <c r="S1576" s="122">
        <v>4458</v>
      </c>
      <c r="T1576" s="122">
        <v>0</v>
      </c>
      <c r="U1576" s="122">
        <v>0</v>
      </c>
      <c r="V1576" s="122">
        <v>41791</v>
      </c>
      <c r="W1576" s="122">
        <f t="shared" si="48"/>
        <v>41791</v>
      </c>
      <c r="X1576" s="122">
        <f t="shared" si="49"/>
        <v>56525</v>
      </c>
      <c r="AA1576" t="s">
        <v>60</v>
      </c>
      <c r="AB1576" t="s">
        <v>405</v>
      </c>
      <c r="AC1576" t="s">
        <v>580</v>
      </c>
      <c r="AD1576" t="s">
        <v>405</v>
      </c>
      <c r="AE1576" t="s">
        <v>566</v>
      </c>
      <c r="AF1576">
        <v>3</v>
      </c>
      <c r="AG1576" s="122">
        <v>401</v>
      </c>
      <c r="AH1576" s="122">
        <v>967</v>
      </c>
      <c r="AI1576" s="122">
        <v>87832</v>
      </c>
      <c r="AJ1576" s="122">
        <v>79848</v>
      </c>
      <c r="AK1576">
        <v>87</v>
      </c>
      <c r="AL1576" s="122">
        <v>13273</v>
      </c>
      <c r="AM1576" s="122">
        <v>12067</v>
      </c>
      <c r="AN1576" s="122">
        <v>8912</v>
      </c>
      <c r="AO1576" s="122">
        <v>3301</v>
      </c>
      <c r="AP1576" s="122">
        <v>2660</v>
      </c>
      <c r="AQ1576" s="122">
        <v>985</v>
      </c>
      <c r="AR1576" s="122">
        <v>14713</v>
      </c>
      <c r="AS1576" s="122">
        <v>13375</v>
      </c>
      <c r="AT1576" s="122">
        <v>0</v>
      </c>
      <c r="AU1576" s="122">
        <v>0</v>
      </c>
      <c r="AV1576" s="122">
        <v>109575</v>
      </c>
    </row>
    <row r="1577" spans="2:48" hidden="1">
      <c r="B1577" t="s">
        <v>372</v>
      </c>
      <c r="C1577" t="s">
        <v>58</v>
      </c>
      <c r="D1577" t="s">
        <v>426</v>
      </c>
      <c r="E1577" t="s">
        <v>426</v>
      </c>
      <c r="F1577" s="122">
        <v>42</v>
      </c>
      <c r="G1577" s="122">
        <v>5851</v>
      </c>
      <c r="H1577" s="122">
        <v>11365</v>
      </c>
      <c r="I1577" s="122">
        <v>1000004</v>
      </c>
      <c r="J1577" s="122">
        <v>909094</v>
      </c>
      <c r="K1577" s="122">
        <v>63</v>
      </c>
      <c r="L1577" s="122">
        <v>160548</v>
      </c>
      <c r="M1577" s="122">
        <v>141209</v>
      </c>
      <c r="N1577" s="122">
        <v>116377</v>
      </c>
      <c r="O1577" s="122">
        <v>43103</v>
      </c>
      <c r="P1577" s="122">
        <v>15039</v>
      </c>
      <c r="Q1577" s="122">
        <v>5570</v>
      </c>
      <c r="R1577" s="122">
        <v>245255</v>
      </c>
      <c r="S1577" s="122">
        <v>222960</v>
      </c>
      <c r="T1577" s="122">
        <v>85168</v>
      </c>
      <c r="U1577" s="122">
        <v>31544</v>
      </c>
      <c r="V1577" s="122">
        <v>1353479</v>
      </c>
      <c r="W1577" s="122">
        <f t="shared" si="48"/>
        <v>1353480</v>
      </c>
      <c r="X1577" s="122">
        <f t="shared" si="49"/>
        <v>1622391</v>
      </c>
      <c r="AA1577" t="s">
        <v>60</v>
      </c>
      <c r="AB1577" t="s">
        <v>405</v>
      </c>
      <c r="AC1577" t="s">
        <v>427</v>
      </c>
      <c r="AD1577" t="s">
        <v>405</v>
      </c>
      <c r="AE1577" t="s">
        <v>137</v>
      </c>
      <c r="AF1577">
        <v>13</v>
      </c>
      <c r="AG1577" s="122">
        <v>1705</v>
      </c>
      <c r="AH1577" s="122">
        <v>4329</v>
      </c>
      <c r="AI1577" s="122">
        <v>358506</v>
      </c>
      <c r="AJ1577" s="122">
        <v>325915</v>
      </c>
      <c r="AK1577">
        <v>71</v>
      </c>
      <c r="AL1577" s="122">
        <v>66942</v>
      </c>
      <c r="AM1577" s="122">
        <v>60856</v>
      </c>
      <c r="AN1577" s="122">
        <v>38025</v>
      </c>
      <c r="AO1577" s="122">
        <v>14083</v>
      </c>
      <c r="AP1577" s="122">
        <v>7020</v>
      </c>
      <c r="AQ1577" s="122">
        <v>2600</v>
      </c>
      <c r="AR1577" s="122">
        <v>70710</v>
      </c>
      <c r="AS1577" s="122">
        <v>64282</v>
      </c>
      <c r="AT1577" s="122">
        <v>30584</v>
      </c>
      <c r="AU1577" s="122">
        <v>11328</v>
      </c>
      <c r="AV1577" s="122">
        <v>479064</v>
      </c>
    </row>
    <row r="1578" spans="2:48" hidden="1">
      <c r="B1578" t="s">
        <v>372</v>
      </c>
      <c r="C1578" t="s">
        <v>58</v>
      </c>
      <c r="D1578" t="s">
        <v>433</v>
      </c>
      <c r="E1578" t="s">
        <v>433</v>
      </c>
      <c r="F1578" s="122">
        <v>1</v>
      </c>
      <c r="G1578" s="122">
        <v>98</v>
      </c>
      <c r="H1578" s="122">
        <v>299</v>
      </c>
      <c r="I1578" s="122">
        <v>17723</v>
      </c>
      <c r="J1578" s="122">
        <v>16112</v>
      </c>
      <c r="K1578" s="122">
        <v>65</v>
      </c>
      <c r="L1578" s="122">
        <v>2327</v>
      </c>
      <c r="M1578" s="122">
        <v>2116</v>
      </c>
      <c r="N1578" s="122">
        <v>1331</v>
      </c>
      <c r="O1578" s="122">
        <v>493</v>
      </c>
      <c r="P1578" s="122">
        <v>351</v>
      </c>
      <c r="Q1578" s="122">
        <v>130</v>
      </c>
      <c r="R1578" s="122">
        <v>7462</v>
      </c>
      <c r="S1578" s="122">
        <v>6783</v>
      </c>
      <c r="T1578" s="122">
        <v>0</v>
      </c>
      <c r="U1578" s="122">
        <v>0</v>
      </c>
      <c r="V1578" s="122">
        <v>25634</v>
      </c>
      <c r="W1578" s="122">
        <f t="shared" si="48"/>
        <v>25634</v>
      </c>
      <c r="X1578" s="122">
        <f t="shared" si="49"/>
        <v>29194</v>
      </c>
      <c r="AA1578" t="s">
        <v>60</v>
      </c>
      <c r="AB1578" t="s">
        <v>405</v>
      </c>
      <c r="AC1578" t="s">
        <v>427</v>
      </c>
      <c r="AD1578" t="s">
        <v>405</v>
      </c>
      <c r="AE1578" t="s">
        <v>566</v>
      </c>
      <c r="AF1578">
        <v>13</v>
      </c>
      <c r="AG1578" s="122">
        <v>1858</v>
      </c>
      <c r="AH1578" s="122">
        <v>4425</v>
      </c>
      <c r="AI1578" s="122">
        <v>415634</v>
      </c>
      <c r="AJ1578" s="122">
        <v>377850</v>
      </c>
      <c r="AK1578">
        <v>87</v>
      </c>
      <c r="AL1578" s="122">
        <v>101836</v>
      </c>
      <c r="AM1578" s="122">
        <v>92578</v>
      </c>
      <c r="AN1578" s="122">
        <v>38253</v>
      </c>
      <c r="AO1578" s="122">
        <v>14168</v>
      </c>
      <c r="AP1578" s="122">
        <v>6318</v>
      </c>
      <c r="AQ1578" s="122">
        <v>2340</v>
      </c>
      <c r="AR1578" s="122">
        <v>67120</v>
      </c>
      <c r="AS1578" s="122">
        <v>61018</v>
      </c>
      <c r="AT1578">
        <v>0</v>
      </c>
      <c r="AU1578">
        <v>0</v>
      </c>
      <c r="AV1578" s="122">
        <v>547954</v>
      </c>
    </row>
    <row r="1579" spans="2:48" hidden="1">
      <c r="B1579" t="s">
        <v>372</v>
      </c>
      <c r="C1579" t="s">
        <v>58</v>
      </c>
      <c r="D1579" t="s">
        <v>408</v>
      </c>
      <c r="E1579" t="s">
        <v>408</v>
      </c>
      <c r="F1579" s="122">
        <v>2</v>
      </c>
      <c r="G1579" s="122">
        <v>207</v>
      </c>
      <c r="H1579" s="122">
        <v>563</v>
      </c>
      <c r="I1579" s="122">
        <v>39305</v>
      </c>
      <c r="J1579" s="122">
        <v>35732</v>
      </c>
      <c r="K1579" s="122">
        <v>63</v>
      </c>
      <c r="L1579" s="122">
        <v>4523</v>
      </c>
      <c r="M1579" s="122">
        <v>4112</v>
      </c>
      <c r="N1579" s="122">
        <v>4328</v>
      </c>
      <c r="O1579" s="122">
        <v>1603</v>
      </c>
      <c r="P1579" s="122">
        <v>702</v>
      </c>
      <c r="Q1579" s="122">
        <v>260</v>
      </c>
      <c r="R1579" s="122">
        <v>9523</v>
      </c>
      <c r="S1579" s="122">
        <v>8657</v>
      </c>
      <c r="T1579" s="122">
        <v>0</v>
      </c>
      <c r="U1579" s="122">
        <v>0</v>
      </c>
      <c r="V1579" s="122">
        <v>50364</v>
      </c>
      <c r="W1579" s="122">
        <f t="shared" si="48"/>
        <v>50364</v>
      </c>
      <c r="X1579" s="122">
        <f t="shared" si="49"/>
        <v>58381</v>
      </c>
      <c r="AA1579" t="s">
        <v>60</v>
      </c>
      <c r="AB1579" t="s">
        <v>405</v>
      </c>
      <c r="AC1579" t="s">
        <v>579</v>
      </c>
      <c r="AD1579" t="s">
        <v>425</v>
      </c>
      <c r="AE1579" t="s">
        <v>566</v>
      </c>
      <c r="AF1579">
        <v>1</v>
      </c>
      <c r="AG1579" s="122">
        <v>101</v>
      </c>
      <c r="AH1579" s="122">
        <v>304</v>
      </c>
      <c r="AI1579" s="122">
        <v>16049</v>
      </c>
      <c r="AJ1579" s="122">
        <v>14590</v>
      </c>
      <c r="AK1579">
        <v>91</v>
      </c>
      <c r="AL1579" s="122">
        <v>5596</v>
      </c>
      <c r="AM1579" s="122">
        <v>4663</v>
      </c>
      <c r="AN1579" s="122">
        <v>2456</v>
      </c>
      <c r="AO1579" s="122">
        <v>910</v>
      </c>
      <c r="AP1579" s="122">
        <v>473</v>
      </c>
      <c r="AQ1579" s="122">
        <v>175</v>
      </c>
      <c r="AR1579" s="122">
        <v>6065</v>
      </c>
      <c r="AS1579" s="122">
        <v>5514</v>
      </c>
      <c r="AT1579" s="122">
        <v>0</v>
      </c>
      <c r="AU1579" s="122">
        <v>0</v>
      </c>
      <c r="AV1579" s="122">
        <v>25852</v>
      </c>
    </row>
    <row r="1580" spans="2:48" hidden="1">
      <c r="B1580" t="s">
        <v>372</v>
      </c>
      <c r="C1580" t="s">
        <v>58</v>
      </c>
      <c r="D1580" t="s">
        <v>429</v>
      </c>
      <c r="E1580" t="s">
        <v>429</v>
      </c>
      <c r="F1580" s="122">
        <v>1</v>
      </c>
      <c r="G1580" s="122">
        <v>116</v>
      </c>
      <c r="H1580" s="122">
        <v>252</v>
      </c>
      <c r="I1580" s="122">
        <v>16333</v>
      </c>
      <c r="J1580" s="122">
        <v>14848</v>
      </c>
      <c r="K1580" s="122">
        <v>88</v>
      </c>
      <c r="L1580" s="122">
        <v>5293</v>
      </c>
      <c r="M1580" s="122">
        <v>4812</v>
      </c>
      <c r="N1580" s="122">
        <v>1956</v>
      </c>
      <c r="O1580" s="122">
        <v>725</v>
      </c>
      <c r="P1580" s="122">
        <v>351</v>
      </c>
      <c r="Q1580" s="122">
        <v>130</v>
      </c>
      <c r="R1580" s="122">
        <v>5232</v>
      </c>
      <c r="S1580" s="122">
        <v>4756</v>
      </c>
      <c r="T1580" s="122">
        <v>0</v>
      </c>
      <c r="U1580" s="122">
        <v>0</v>
      </c>
      <c r="V1580" s="122">
        <v>25271</v>
      </c>
      <c r="W1580" s="122">
        <f t="shared" si="48"/>
        <v>25271</v>
      </c>
      <c r="X1580" s="122">
        <f t="shared" si="49"/>
        <v>29165</v>
      </c>
      <c r="AA1580" t="s">
        <v>60</v>
      </c>
      <c r="AB1580" t="s">
        <v>405</v>
      </c>
      <c r="AC1580" t="s">
        <v>579</v>
      </c>
      <c r="AD1580" t="s">
        <v>405</v>
      </c>
      <c r="AE1580" t="s">
        <v>137</v>
      </c>
      <c r="AF1580">
        <v>6</v>
      </c>
      <c r="AG1580" s="122">
        <v>1068</v>
      </c>
      <c r="AH1580" s="122">
        <v>1982</v>
      </c>
      <c r="AI1580" s="122">
        <v>224827</v>
      </c>
      <c r="AJ1580" s="122">
        <v>204388</v>
      </c>
      <c r="AK1580">
        <v>72</v>
      </c>
      <c r="AL1580" s="122">
        <v>56205</v>
      </c>
      <c r="AM1580" s="122">
        <v>46838</v>
      </c>
      <c r="AN1580" s="122">
        <v>21232</v>
      </c>
      <c r="AO1580" s="122">
        <v>7864</v>
      </c>
      <c r="AP1580" s="122">
        <v>2984</v>
      </c>
      <c r="AQ1580" s="122">
        <v>1105</v>
      </c>
      <c r="AR1580" s="122">
        <v>39680</v>
      </c>
      <c r="AS1580" s="122">
        <v>36073</v>
      </c>
      <c r="AT1580" s="122">
        <v>15786</v>
      </c>
      <c r="AU1580" s="122">
        <v>5846</v>
      </c>
      <c r="AV1580" s="122">
        <v>302114</v>
      </c>
    </row>
    <row r="1581" spans="2:48" hidden="1">
      <c r="B1581" t="s">
        <v>372</v>
      </c>
      <c r="C1581" t="s">
        <v>60</v>
      </c>
      <c r="D1581" t="s">
        <v>555</v>
      </c>
      <c r="E1581" t="s">
        <v>555</v>
      </c>
      <c r="F1581" s="122">
        <v>1</v>
      </c>
      <c r="G1581" s="122">
        <v>73</v>
      </c>
      <c r="H1581" s="122">
        <v>365</v>
      </c>
      <c r="I1581" s="122">
        <v>14397</v>
      </c>
      <c r="J1581" s="122">
        <v>13088</v>
      </c>
      <c r="K1581" s="122">
        <v>55</v>
      </c>
      <c r="L1581" s="122">
        <v>2933</v>
      </c>
      <c r="M1581" s="122">
        <v>2666</v>
      </c>
      <c r="N1581" s="122">
        <v>1562</v>
      </c>
      <c r="O1581" s="122">
        <v>579</v>
      </c>
      <c r="P1581" s="122">
        <v>351</v>
      </c>
      <c r="Q1581" s="122">
        <v>130</v>
      </c>
      <c r="R1581" s="122">
        <v>5156</v>
      </c>
      <c r="S1581" s="122">
        <v>4688</v>
      </c>
      <c r="T1581" s="122">
        <v>2342</v>
      </c>
      <c r="U1581" s="122">
        <v>867</v>
      </c>
      <c r="V1581" s="122">
        <v>22017</v>
      </c>
      <c r="W1581" s="122">
        <f t="shared" si="48"/>
        <v>22018</v>
      </c>
      <c r="X1581" s="122">
        <f t="shared" si="49"/>
        <v>26741</v>
      </c>
      <c r="AA1581" t="s">
        <v>60</v>
      </c>
      <c r="AB1581" t="s">
        <v>405</v>
      </c>
      <c r="AC1581" t="s">
        <v>579</v>
      </c>
      <c r="AD1581" t="s">
        <v>405</v>
      </c>
      <c r="AE1581" t="s">
        <v>566</v>
      </c>
      <c r="AF1581">
        <v>10</v>
      </c>
      <c r="AG1581" s="122">
        <v>1330</v>
      </c>
      <c r="AH1581" s="122">
        <v>3321</v>
      </c>
      <c r="AI1581" s="122">
        <v>273679</v>
      </c>
      <c r="AJ1581" s="122">
        <v>248799</v>
      </c>
      <c r="AK1581">
        <v>85</v>
      </c>
      <c r="AL1581" s="122">
        <v>85258</v>
      </c>
      <c r="AM1581" s="122">
        <v>71048</v>
      </c>
      <c r="AN1581" s="122">
        <v>27592</v>
      </c>
      <c r="AO1581" s="122">
        <v>10219</v>
      </c>
      <c r="AP1581" s="122">
        <v>4725</v>
      </c>
      <c r="AQ1581" s="122">
        <v>1750</v>
      </c>
      <c r="AR1581" s="122">
        <v>50784</v>
      </c>
      <c r="AS1581" s="122">
        <v>46167</v>
      </c>
      <c r="AT1581" s="122">
        <v>0</v>
      </c>
      <c r="AU1581">
        <v>0</v>
      </c>
      <c r="AV1581" s="122">
        <v>377984</v>
      </c>
    </row>
    <row r="1582" spans="2:48" hidden="1">
      <c r="B1582" t="s">
        <v>372</v>
      </c>
      <c r="C1582" t="s">
        <v>60</v>
      </c>
      <c r="D1582" t="s">
        <v>405</v>
      </c>
      <c r="E1582" t="s">
        <v>405</v>
      </c>
      <c r="F1582" s="122">
        <v>5</v>
      </c>
      <c r="G1582" s="122">
        <v>524</v>
      </c>
      <c r="H1582" s="122">
        <v>1677</v>
      </c>
      <c r="I1582" s="122">
        <v>110064</v>
      </c>
      <c r="J1582" s="122">
        <v>100058</v>
      </c>
      <c r="K1582" s="122">
        <v>81</v>
      </c>
      <c r="L1582" s="122">
        <v>21581</v>
      </c>
      <c r="M1582" s="122">
        <v>17501</v>
      </c>
      <c r="N1582" s="122">
        <v>10274</v>
      </c>
      <c r="O1582" s="122">
        <v>3805</v>
      </c>
      <c r="P1582" s="122">
        <v>2714</v>
      </c>
      <c r="Q1582" s="122">
        <v>1005</v>
      </c>
      <c r="R1582" s="122">
        <v>23896</v>
      </c>
      <c r="S1582" s="122">
        <v>21723</v>
      </c>
      <c r="T1582" s="122">
        <v>5505</v>
      </c>
      <c r="U1582" s="122">
        <v>2039</v>
      </c>
      <c r="V1582" s="122">
        <v>146131</v>
      </c>
      <c r="W1582" s="122">
        <f t="shared" si="48"/>
        <v>146131</v>
      </c>
      <c r="X1582" s="122">
        <f t="shared" si="49"/>
        <v>174034</v>
      </c>
      <c r="AA1582" t="s">
        <v>60</v>
      </c>
      <c r="AB1582" t="s">
        <v>405</v>
      </c>
      <c r="AC1582" t="s">
        <v>428</v>
      </c>
      <c r="AD1582" t="s">
        <v>405</v>
      </c>
      <c r="AE1582" t="s">
        <v>137</v>
      </c>
      <c r="AF1582">
        <v>1</v>
      </c>
      <c r="AG1582">
        <v>60</v>
      </c>
      <c r="AH1582">
        <v>355</v>
      </c>
      <c r="AI1582" s="122">
        <v>12429</v>
      </c>
      <c r="AJ1582" s="122">
        <v>11299</v>
      </c>
      <c r="AK1582">
        <v>75</v>
      </c>
      <c r="AL1582" s="122">
        <v>1969</v>
      </c>
      <c r="AM1582" s="122">
        <v>1790</v>
      </c>
      <c r="AN1582" s="122">
        <v>996</v>
      </c>
      <c r="AO1582" s="122">
        <v>369</v>
      </c>
      <c r="AP1582">
        <v>473</v>
      </c>
      <c r="AQ1582">
        <v>175</v>
      </c>
      <c r="AR1582" s="122">
        <v>3428</v>
      </c>
      <c r="AS1582" s="122">
        <v>3116</v>
      </c>
      <c r="AT1582" s="122">
        <v>2025</v>
      </c>
      <c r="AU1582">
        <v>750</v>
      </c>
      <c r="AV1582" s="122">
        <v>17500</v>
      </c>
    </row>
    <row r="1583" spans="2:48" hidden="1">
      <c r="B1583" t="s">
        <v>372</v>
      </c>
      <c r="C1583" t="s">
        <v>60</v>
      </c>
      <c r="D1583" t="s">
        <v>405</v>
      </c>
      <c r="E1583" t="s">
        <v>137</v>
      </c>
      <c r="F1583" s="122">
        <v>1</v>
      </c>
      <c r="G1583" s="122">
        <v>189</v>
      </c>
      <c r="H1583" s="122">
        <v>313</v>
      </c>
      <c r="I1583" s="122">
        <v>31801</v>
      </c>
      <c r="J1583" s="122">
        <v>28910</v>
      </c>
      <c r="K1583" s="122">
        <v>80</v>
      </c>
      <c r="L1583" s="122">
        <v>13445</v>
      </c>
      <c r="M1583" s="122">
        <v>12223</v>
      </c>
      <c r="N1583" s="122">
        <v>4076</v>
      </c>
      <c r="O1583" s="122">
        <v>1510</v>
      </c>
      <c r="P1583" s="122">
        <v>351</v>
      </c>
      <c r="Q1583" s="122">
        <v>130</v>
      </c>
      <c r="R1583" s="122">
        <v>9488</v>
      </c>
      <c r="S1583" s="122">
        <v>3514</v>
      </c>
      <c r="T1583" s="122">
        <v>0</v>
      </c>
      <c r="U1583" s="122">
        <v>0</v>
      </c>
      <c r="V1583" s="122">
        <v>46287</v>
      </c>
      <c r="W1583" s="122">
        <f t="shared" si="48"/>
        <v>46287</v>
      </c>
      <c r="X1583" s="122">
        <f t="shared" si="49"/>
        <v>59161</v>
      </c>
      <c r="AA1583" t="s">
        <v>60</v>
      </c>
      <c r="AB1583" t="s">
        <v>405</v>
      </c>
      <c r="AC1583" t="s">
        <v>428</v>
      </c>
      <c r="AD1583" t="s">
        <v>405</v>
      </c>
      <c r="AE1583" t="s">
        <v>566</v>
      </c>
      <c r="AF1583">
        <v>2</v>
      </c>
      <c r="AG1583">
        <v>267</v>
      </c>
      <c r="AH1583">
        <v>701</v>
      </c>
      <c r="AI1583" s="122">
        <v>64457</v>
      </c>
      <c r="AJ1583" s="122">
        <v>58597</v>
      </c>
      <c r="AK1583">
        <v>81</v>
      </c>
      <c r="AL1583" s="122">
        <v>9454</v>
      </c>
      <c r="AM1583" s="122">
        <v>8595</v>
      </c>
      <c r="AN1583" s="122">
        <v>6186</v>
      </c>
      <c r="AO1583" s="122">
        <v>2291</v>
      </c>
      <c r="AP1583">
        <v>945</v>
      </c>
      <c r="AQ1583">
        <v>350</v>
      </c>
      <c r="AR1583" s="122">
        <v>12691</v>
      </c>
      <c r="AS1583" s="122">
        <v>11537</v>
      </c>
      <c r="AT1583" s="122">
        <v>0</v>
      </c>
      <c r="AU1583" s="122">
        <v>0</v>
      </c>
      <c r="AV1583" s="122">
        <v>81370</v>
      </c>
    </row>
    <row r="1584" spans="2:48" hidden="1">
      <c r="B1584" t="s">
        <v>372</v>
      </c>
      <c r="C1584" t="s">
        <v>60</v>
      </c>
      <c r="D1584" t="s">
        <v>137</v>
      </c>
      <c r="E1584" t="s">
        <v>137</v>
      </c>
      <c r="F1584" s="122">
        <v>32</v>
      </c>
      <c r="G1584" s="122">
        <v>3343</v>
      </c>
      <c r="H1584" s="122">
        <v>10653</v>
      </c>
      <c r="I1584" s="122">
        <v>704595</v>
      </c>
      <c r="J1584" s="122">
        <v>260961</v>
      </c>
      <c r="K1584" s="122">
        <v>108</v>
      </c>
      <c r="L1584" s="122">
        <v>137434</v>
      </c>
      <c r="M1584" s="122">
        <v>114589</v>
      </c>
      <c r="N1584" s="122">
        <v>76008</v>
      </c>
      <c r="O1584" s="122">
        <v>28151</v>
      </c>
      <c r="P1584" s="122">
        <v>2727</v>
      </c>
      <c r="Q1584" s="122">
        <v>1010</v>
      </c>
      <c r="R1584" s="122">
        <v>215435</v>
      </c>
      <c r="S1584" s="122">
        <v>79791</v>
      </c>
      <c r="T1584" s="122">
        <v>0</v>
      </c>
      <c r="U1584" s="122">
        <v>0</v>
      </c>
      <c r="V1584" s="122">
        <v>484501</v>
      </c>
      <c r="W1584" s="122">
        <f t="shared" si="48"/>
        <v>484502</v>
      </c>
      <c r="X1584" s="122">
        <f t="shared" si="49"/>
        <v>1136199</v>
      </c>
      <c r="AA1584" t="s">
        <v>60</v>
      </c>
      <c r="AB1584" t="s">
        <v>405</v>
      </c>
      <c r="AC1584" t="s">
        <v>431</v>
      </c>
      <c r="AD1584" t="s">
        <v>405</v>
      </c>
      <c r="AE1584" t="s">
        <v>137</v>
      </c>
      <c r="AF1584">
        <v>2</v>
      </c>
      <c r="AG1584">
        <v>227</v>
      </c>
      <c r="AH1584">
        <v>659</v>
      </c>
      <c r="AI1584" s="122">
        <v>45224</v>
      </c>
      <c r="AJ1584" s="122">
        <v>41113</v>
      </c>
      <c r="AK1584">
        <v>72</v>
      </c>
      <c r="AL1584" s="122">
        <v>7565</v>
      </c>
      <c r="AM1584" s="122">
        <v>6877</v>
      </c>
      <c r="AN1584" s="122">
        <v>5428</v>
      </c>
      <c r="AO1584" s="122">
        <v>2010</v>
      </c>
      <c r="AP1584">
        <v>945</v>
      </c>
      <c r="AQ1584">
        <v>350</v>
      </c>
      <c r="AR1584" s="122">
        <v>10240</v>
      </c>
      <c r="AS1584" s="122">
        <v>9309</v>
      </c>
      <c r="AT1584" s="122">
        <v>6139</v>
      </c>
      <c r="AU1584" s="122">
        <v>2274</v>
      </c>
      <c r="AV1584" s="122">
        <v>61934</v>
      </c>
    </row>
    <row r="1585" spans="2:48" hidden="1">
      <c r="B1585" t="s">
        <v>372</v>
      </c>
      <c r="C1585" t="s">
        <v>60</v>
      </c>
      <c r="D1585" t="s">
        <v>406</v>
      </c>
      <c r="E1585" t="s">
        <v>137</v>
      </c>
      <c r="F1585" s="122">
        <v>1</v>
      </c>
      <c r="G1585" s="122">
        <v>178</v>
      </c>
      <c r="H1585" s="122">
        <v>380</v>
      </c>
      <c r="I1585" s="122">
        <v>41722</v>
      </c>
      <c r="J1585" s="122">
        <v>37929</v>
      </c>
      <c r="K1585" s="122">
        <v>70</v>
      </c>
      <c r="L1585" s="122">
        <v>11210</v>
      </c>
      <c r="M1585" s="122">
        <v>9342</v>
      </c>
      <c r="N1585" s="122">
        <v>2341</v>
      </c>
      <c r="O1585" s="122">
        <v>867</v>
      </c>
      <c r="P1585" s="122">
        <v>621</v>
      </c>
      <c r="Q1585" s="122">
        <v>230</v>
      </c>
      <c r="R1585" s="122">
        <v>11701</v>
      </c>
      <c r="S1585" s="122">
        <v>4334</v>
      </c>
      <c r="T1585" s="122">
        <v>0</v>
      </c>
      <c r="U1585" s="122">
        <v>0</v>
      </c>
      <c r="V1585" s="122">
        <v>52701</v>
      </c>
      <c r="W1585" s="122">
        <f t="shared" si="48"/>
        <v>52702</v>
      </c>
      <c r="X1585" s="122">
        <f t="shared" si="49"/>
        <v>67595</v>
      </c>
      <c r="AA1585" t="s">
        <v>60</v>
      </c>
      <c r="AB1585" t="s">
        <v>405</v>
      </c>
      <c r="AC1585" t="s">
        <v>431</v>
      </c>
      <c r="AD1585" t="s">
        <v>405</v>
      </c>
      <c r="AE1585" t="s">
        <v>566</v>
      </c>
      <c r="AF1585">
        <v>2</v>
      </c>
      <c r="AG1585">
        <v>284</v>
      </c>
      <c r="AH1585">
        <v>644</v>
      </c>
      <c r="AI1585" s="122">
        <v>56449</v>
      </c>
      <c r="AJ1585" s="122">
        <v>51317</v>
      </c>
      <c r="AK1585">
        <v>79</v>
      </c>
      <c r="AL1585" s="122">
        <v>14155</v>
      </c>
      <c r="AM1585" s="122">
        <v>12868</v>
      </c>
      <c r="AN1585" s="122">
        <v>5480</v>
      </c>
      <c r="AO1585" s="122">
        <v>2030</v>
      </c>
      <c r="AP1585">
        <v>702</v>
      </c>
      <c r="AQ1585">
        <v>260</v>
      </c>
      <c r="AR1585" s="122">
        <v>13540</v>
      </c>
      <c r="AS1585" s="122">
        <v>12309</v>
      </c>
      <c r="AT1585">
        <v>0</v>
      </c>
      <c r="AU1585">
        <v>0</v>
      </c>
      <c r="AV1585" s="122">
        <v>78784</v>
      </c>
    </row>
    <row r="1586" spans="2:48" hidden="1">
      <c r="B1586" t="s">
        <v>372</v>
      </c>
      <c r="C1586" t="s">
        <v>60</v>
      </c>
      <c r="D1586" t="s">
        <v>406</v>
      </c>
      <c r="E1586" t="s">
        <v>406</v>
      </c>
      <c r="F1586" s="122">
        <v>369</v>
      </c>
      <c r="G1586" s="122">
        <v>44356</v>
      </c>
      <c r="H1586" s="122">
        <v>124284</v>
      </c>
      <c r="I1586" s="122">
        <v>9596666</v>
      </c>
      <c r="J1586" s="122">
        <v>8724242</v>
      </c>
      <c r="K1586" s="122">
        <v>77</v>
      </c>
      <c r="L1586" s="122">
        <v>1778117</v>
      </c>
      <c r="M1586" s="122">
        <v>1579874</v>
      </c>
      <c r="N1586" s="122">
        <v>924665</v>
      </c>
      <c r="O1586" s="122">
        <v>342468</v>
      </c>
      <c r="P1586" s="122">
        <v>237411</v>
      </c>
      <c r="Q1586" s="122">
        <v>87930</v>
      </c>
      <c r="R1586" s="122">
        <v>1936687</v>
      </c>
      <c r="S1586" s="122">
        <v>1760625</v>
      </c>
      <c r="T1586" s="122">
        <v>631094</v>
      </c>
      <c r="U1586" s="122">
        <v>233738</v>
      </c>
      <c r="V1586" s="122">
        <v>12728877</v>
      </c>
      <c r="W1586" s="122">
        <f t="shared" si="48"/>
        <v>12728877</v>
      </c>
      <c r="X1586" s="122">
        <f t="shared" si="49"/>
        <v>15104640</v>
      </c>
      <c r="AA1586" t="s">
        <v>60</v>
      </c>
      <c r="AB1586" t="s">
        <v>405</v>
      </c>
      <c r="AC1586" t="s">
        <v>431</v>
      </c>
      <c r="AD1586" t="s">
        <v>137</v>
      </c>
      <c r="AE1586" t="s">
        <v>566</v>
      </c>
      <c r="AF1586">
        <v>1</v>
      </c>
      <c r="AG1586">
        <v>99</v>
      </c>
      <c r="AH1586">
        <v>371</v>
      </c>
      <c r="AI1586" s="122">
        <v>20990</v>
      </c>
      <c r="AJ1586" s="122">
        <v>19082</v>
      </c>
      <c r="AK1586">
        <v>68</v>
      </c>
      <c r="AL1586" s="122">
        <v>2511</v>
      </c>
      <c r="AM1586" s="122">
        <v>2283</v>
      </c>
      <c r="AN1586" s="122">
        <v>2226</v>
      </c>
      <c r="AO1586">
        <v>824</v>
      </c>
      <c r="AP1586">
        <v>351</v>
      </c>
      <c r="AQ1586">
        <v>130</v>
      </c>
      <c r="AR1586" s="122">
        <v>10601</v>
      </c>
      <c r="AS1586" s="122">
        <v>3926</v>
      </c>
      <c r="AT1586" s="122">
        <v>0</v>
      </c>
      <c r="AU1586">
        <v>0</v>
      </c>
      <c r="AV1586" s="122">
        <v>26245</v>
      </c>
    </row>
    <row r="1587" spans="2:48" hidden="1">
      <c r="B1587" t="s">
        <v>372</v>
      </c>
      <c r="C1587" t="s">
        <v>60</v>
      </c>
      <c r="D1587" t="s">
        <v>406</v>
      </c>
      <c r="E1587" t="s">
        <v>427</v>
      </c>
      <c r="F1587" s="122">
        <v>1</v>
      </c>
      <c r="G1587" s="122">
        <v>93</v>
      </c>
      <c r="H1587" s="122">
        <v>352</v>
      </c>
      <c r="I1587" s="122">
        <v>19868</v>
      </c>
      <c r="J1587" s="122">
        <v>18062</v>
      </c>
      <c r="K1587" s="122">
        <v>86</v>
      </c>
      <c r="L1587" s="122">
        <v>5134</v>
      </c>
      <c r="M1587" s="122">
        <v>4667</v>
      </c>
      <c r="N1587" s="122">
        <v>1363</v>
      </c>
      <c r="O1587" s="122">
        <v>505</v>
      </c>
      <c r="P1587" s="122">
        <v>621</v>
      </c>
      <c r="Q1587" s="122">
        <v>230</v>
      </c>
      <c r="R1587" s="122">
        <v>3482</v>
      </c>
      <c r="S1587" s="122">
        <v>3165</v>
      </c>
      <c r="T1587" s="122">
        <v>2340</v>
      </c>
      <c r="U1587" s="122">
        <v>867</v>
      </c>
      <c r="V1587" s="122">
        <v>27496</v>
      </c>
      <c r="W1587" s="122">
        <f t="shared" si="48"/>
        <v>27496</v>
      </c>
      <c r="X1587" s="122">
        <f t="shared" si="49"/>
        <v>32808</v>
      </c>
      <c r="AA1587" t="s">
        <v>60</v>
      </c>
      <c r="AB1587" t="s">
        <v>405</v>
      </c>
      <c r="AC1587" t="s">
        <v>431</v>
      </c>
      <c r="AD1587" t="s">
        <v>431</v>
      </c>
      <c r="AE1587" t="s">
        <v>137</v>
      </c>
      <c r="AF1587">
        <v>1</v>
      </c>
      <c r="AG1587">
        <v>92</v>
      </c>
      <c r="AH1587">
        <v>373</v>
      </c>
      <c r="AI1587" s="122">
        <v>17920</v>
      </c>
      <c r="AJ1587" s="122">
        <v>16291</v>
      </c>
      <c r="AK1587">
        <v>91</v>
      </c>
      <c r="AL1587" s="122">
        <v>5754</v>
      </c>
      <c r="AM1587" s="122">
        <v>5231</v>
      </c>
      <c r="AN1587" s="122">
        <v>1688</v>
      </c>
      <c r="AO1587">
        <v>625</v>
      </c>
      <c r="AP1587">
        <v>473</v>
      </c>
      <c r="AQ1587">
        <v>175</v>
      </c>
      <c r="AR1587" s="122">
        <v>6280</v>
      </c>
      <c r="AS1587" s="122">
        <v>5709</v>
      </c>
      <c r="AT1587" s="122">
        <v>2329</v>
      </c>
      <c r="AU1587">
        <v>863</v>
      </c>
      <c r="AV1587" s="122">
        <v>28894</v>
      </c>
    </row>
    <row r="1588" spans="2:48" hidden="1">
      <c r="B1588" t="s">
        <v>372</v>
      </c>
      <c r="C1588" t="s">
        <v>60</v>
      </c>
      <c r="D1588" t="s">
        <v>406</v>
      </c>
      <c r="E1588" t="s">
        <v>426</v>
      </c>
      <c r="F1588" s="122">
        <v>2</v>
      </c>
      <c r="G1588" s="122">
        <v>219</v>
      </c>
      <c r="H1588" s="122">
        <v>636</v>
      </c>
      <c r="I1588" s="122">
        <v>41431</v>
      </c>
      <c r="J1588" s="122">
        <v>37665</v>
      </c>
      <c r="K1588" s="122">
        <v>78</v>
      </c>
      <c r="L1588" s="122">
        <v>6566</v>
      </c>
      <c r="M1588" s="122">
        <v>5969</v>
      </c>
      <c r="N1588" s="122">
        <v>4233</v>
      </c>
      <c r="O1588" s="122">
        <v>1568</v>
      </c>
      <c r="P1588" s="122">
        <v>1593</v>
      </c>
      <c r="Q1588" s="122">
        <v>590</v>
      </c>
      <c r="R1588" s="122">
        <v>15734</v>
      </c>
      <c r="S1588" s="122">
        <v>14304</v>
      </c>
      <c r="T1588" s="122">
        <v>0</v>
      </c>
      <c r="U1588" s="122">
        <v>0</v>
      </c>
      <c r="V1588" s="122">
        <v>60095</v>
      </c>
      <c r="W1588" s="122">
        <f t="shared" si="48"/>
        <v>60096</v>
      </c>
      <c r="X1588" s="122">
        <f t="shared" si="49"/>
        <v>69557</v>
      </c>
      <c r="AA1588" t="s">
        <v>60</v>
      </c>
      <c r="AB1588" t="s">
        <v>405</v>
      </c>
      <c r="AC1588" t="s">
        <v>426</v>
      </c>
      <c r="AD1588" t="s">
        <v>425</v>
      </c>
      <c r="AE1588" t="s">
        <v>137</v>
      </c>
      <c r="AF1588">
        <v>1</v>
      </c>
      <c r="AG1588">
        <v>118</v>
      </c>
      <c r="AH1588">
        <v>323</v>
      </c>
      <c r="AI1588" s="122">
        <v>25069</v>
      </c>
      <c r="AJ1588" s="122">
        <v>22790</v>
      </c>
      <c r="AK1588">
        <v>65</v>
      </c>
      <c r="AL1588" s="122">
        <v>2869</v>
      </c>
      <c r="AM1588" s="122">
        <v>2608</v>
      </c>
      <c r="AN1588" s="122">
        <v>1870</v>
      </c>
      <c r="AO1588">
        <v>693</v>
      </c>
      <c r="AP1588">
        <v>621</v>
      </c>
      <c r="AQ1588">
        <v>230</v>
      </c>
      <c r="AR1588" s="122">
        <v>5008</v>
      </c>
      <c r="AS1588" s="122">
        <v>4553</v>
      </c>
      <c r="AT1588" s="122">
        <v>2652</v>
      </c>
      <c r="AU1588">
        <v>982</v>
      </c>
      <c r="AV1588" s="122">
        <v>31855</v>
      </c>
    </row>
    <row r="1589" spans="2:48" hidden="1">
      <c r="B1589" t="s">
        <v>372</v>
      </c>
      <c r="C1589" t="s">
        <v>60</v>
      </c>
      <c r="D1589" t="s">
        <v>427</v>
      </c>
      <c r="E1589" t="s">
        <v>427</v>
      </c>
      <c r="F1589" s="122">
        <v>1</v>
      </c>
      <c r="G1589" s="122">
        <v>64</v>
      </c>
      <c r="H1589" s="122">
        <v>317</v>
      </c>
      <c r="I1589" s="122">
        <v>11507</v>
      </c>
      <c r="J1589" s="122">
        <v>10461</v>
      </c>
      <c r="K1589" s="122">
        <v>65</v>
      </c>
      <c r="L1589" s="122">
        <v>1385</v>
      </c>
      <c r="M1589" s="122">
        <v>1259</v>
      </c>
      <c r="N1589" s="122">
        <v>1220</v>
      </c>
      <c r="O1589" s="122">
        <v>452</v>
      </c>
      <c r="P1589" s="122">
        <v>351</v>
      </c>
      <c r="Q1589" s="122">
        <v>130</v>
      </c>
      <c r="R1589" s="122">
        <v>5755</v>
      </c>
      <c r="S1589" s="122">
        <v>5232</v>
      </c>
      <c r="T1589" s="122">
        <v>0</v>
      </c>
      <c r="U1589" s="122">
        <v>0</v>
      </c>
      <c r="V1589" s="122">
        <v>17534</v>
      </c>
      <c r="W1589" s="122">
        <f t="shared" si="48"/>
        <v>17534</v>
      </c>
      <c r="X1589" s="122">
        <f t="shared" si="49"/>
        <v>20218</v>
      </c>
      <c r="AA1589" t="s">
        <v>60</v>
      </c>
      <c r="AB1589" t="s">
        <v>405</v>
      </c>
      <c r="AC1589" t="s">
        <v>426</v>
      </c>
      <c r="AD1589" t="s">
        <v>425</v>
      </c>
      <c r="AE1589" t="s">
        <v>566</v>
      </c>
      <c r="AF1589">
        <v>1</v>
      </c>
      <c r="AG1589" s="122">
        <v>70</v>
      </c>
      <c r="AH1589" s="122">
        <v>327</v>
      </c>
      <c r="AI1589" s="122">
        <v>16007</v>
      </c>
      <c r="AJ1589" s="122">
        <v>14552</v>
      </c>
      <c r="AK1589">
        <v>73</v>
      </c>
      <c r="AL1589" s="122">
        <v>2057</v>
      </c>
      <c r="AM1589" s="122">
        <v>1870</v>
      </c>
      <c r="AN1589" s="122">
        <v>1655</v>
      </c>
      <c r="AO1589" s="122">
        <v>613</v>
      </c>
      <c r="AP1589" s="122">
        <v>473</v>
      </c>
      <c r="AQ1589" s="122">
        <v>175</v>
      </c>
      <c r="AR1589" s="122">
        <v>2829</v>
      </c>
      <c r="AS1589" s="122">
        <v>2572</v>
      </c>
      <c r="AT1589" s="122">
        <v>0</v>
      </c>
      <c r="AU1589" s="122">
        <v>0</v>
      </c>
      <c r="AV1589" s="122">
        <v>19782</v>
      </c>
    </row>
    <row r="1590" spans="2:48" hidden="1">
      <c r="B1590" t="s">
        <v>372</v>
      </c>
      <c r="C1590" t="s">
        <v>60</v>
      </c>
      <c r="D1590" t="s">
        <v>407</v>
      </c>
      <c r="E1590" t="s">
        <v>407</v>
      </c>
      <c r="F1590" s="122">
        <v>26</v>
      </c>
      <c r="G1590" s="122">
        <v>3010</v>
      </c>
      <c r="H1590" s="122">
        <v>8827</v>
      </c>
      <c r="I1590" s="122">
        <v>640876</v>
      </c>
      <c r="J1590" s="122">
        <v>582614</v>
      </c>
      <c r="K1590" s="122">
        <v>80</v>
      </c>
      <c r="L1590" s="122">
        <v>163445</v>
      </c>
      <c r="M1590" s="122">
        <v>145152</v>
      </c>
      <c r="N1590" s="122">
        <v>63763</v>
      </c>
      <c r="O1590" s="122">
        <v>23616</v>
      </c>
      <c r="P1590" s="122">
        <v>12555</v>
      </c>
      <c r="Q1590" s="122">
        <v>4650</v>
      </c>
      <c r="R1590" s="122">
        <v>142047</v>
      </c>
      <c r="S1590" s="122">
        <v>129134</v>
      </c>
      <c r="T1590" s="122">
        <v>19218</v>
      </c>
      <c r="U1590" s="122">
        <v>7118</v>
      </c>
      <c r="V1590" s="122">
        <v>892284</v>
      </c>
      <c r="W1590" s="122">
        <f t="shared" si="48"/>
        <v>892284</v>
      </c>
      <c r="X1590" s="122">
        <f t="shared" si="49"/>
        <v>1041904</v>
      </c>
      <c r="AA1590" t="s">
        <v>60</v>
      </c>
      <c r="AB1590" t="s">
        <v>405</v>
      </c>
      <c r="AC1590" t="s">
        <v>426</v>
      </c>
      <c r="AD1590" t="s">
        <v>405</v>
      </c>
      <c r="AE1590" t="s">
        <v>137</v>
      </c>
      <c r="AF1590">
        <v>108</v>
      </c>
      <c r="AG1590" s="122">
        <v>13423</v>
      </c>
      <c r="AH1590" s="122">
        <v>36508</v>
      </c>
      <c r="AI1590" s="122">
        <v>2900802</v>
      </c>
      <c r="AJ1590" s="122">
        <v>2637093</v>
      </c>
      <c r="AK1590">
        <v>75</v>
      </c>
      <c r="AL1590" s="122">
        <v>565808</v>
      </c>
      <c r="AM1590" s="122">
        <v>514371</v>
      </c>
      <c r="AN1590" s="122">
        <v>284328</v>
      </c>
      <c r="AO1590" s="122">
        <v>105307</v>
      </c>
      <c r="AP1590" s="122">
        <v>51705</v>
      </c>
      <c r="AQ1590" s="122">
        <v>19150</v>
      </c>
      <c r="AR1590" s="122">
        <v>548597</v>
      </c>
      <c r="AS1590" s="122">
        <v>498724</v>
      </c>
      <c r="AT1590" s="122">
        <v>251483</v>
      </c>
      <c r="AU1590" s="122">
        <v>93142</v>
      </c>
      <c r="AV1590" s="122">
        <v>3867787</v>
      </c>
    </row>
    <row r="1591" spans="2:48" hidden="1">
      <c r="B1591" t="s">
        <v>372</v>
      </c>
      <c r="C1591" t="s">
        <v>60</v>
      </c>
      <c r="D1591" t="s">
        <v>431</v>
      </c>
      <c r="E1591" t="s">
        <v>431</v>
      </c>
      <c r="F1591" s="122">
        <v>3</v>
      </c>
      <c r="G1591" s="122">
        <v>303</v>
      </c>
      <c r="H1591" s="122">
        <v>997</v>
      </c>
      <c r="I1591" s="122">
        <v>83860</v>
      </c>
      <c r="J1591" s="122">
        <v>76237</v>
      </c>
      <c r="K1591" s="122">
        <v>55</v>
      </c>
      <c r="L1591" s="122">
        <v>12074</v>
      </c>
      <c r="M1591" s="122">
        <v>10976</v>
      </c>
      <c r="N1591" s="122">
        <v>7139</v>
      </c>
      <c r="O1591" s="122">
        <v>2644</v>
      </c>
      <c r="P1591" s="122">
        <v>702</v>
      </c>
      <c r="Q1591" s="122">
        <v>260</v>
      </c>
      <c r="R1591" s="122">
        <v>19023</v>
      </c>
      <c r="S1591" s="122">
        <v>17294</v>
      </c>
      <c r="T1591" s="122">
        <v>3831</v>
      </c>
      <c r="U1591" s="122">
        <v>1419</v>
      </c>
      <c r="V1591" s="122">
        <v>108830</v>
      </c>
      <c r="W1591" s="122">
        <f t="shared" si="48"/>
        <v>108830</v>
      </c>
      <c r="X1591" s="122">
        <f t="shared" si="49"/>
        <v>126629</v>
      </c>
      <c r="AA1591" t="s">
        <v>60</v>
      </c>
      <c r="AB1591" t="s">
        <v>405</v>
      </c>
      <c r="AC1591" t="s">
        <v>426</v>
      </c>
      <c r="AD1591" t="s">
        <v>405</v>
      </c>
      <c r="AE1591" t="s">
        <v>566</v>
      </c>
      <c r="AF1591">
        <v>106</v>
      </c>
      <c r="AG1591" s="122">
        <v>12695</v>
      </c>
      <c r="AH1591" s="122">
        <v>35853</v>
      </c>
      <c r="AI1591" s="122">
        <v>2886331</v>
      </c>
      <c r="AJ1591" s="122">
        <v>2623938</v>
      </c>
      <c r="AK1591">
        <v>81</v>
      </c>
      <c r="AL1591" s="122">
        <v>631204</v>
      </c>
      <c r="AM1591" s="122">
        <v>573822</v>
      </c>
      <c r="AN1591" s="122">
        <v>260340</v>
      </c>
      <c r="AO1591" s="122">
        <v>96422</v>
      </c>
      <c r="AP1591" s="122">
        <v>56039</v>
      </c>
      <c r="AQ1591" s="122">
        <v>20755</v>
      </c>
      <c r="AR1591" s="122">
        <v>536781</v>
      </c>
      <c r="AS1591" s="122">
        <v>487983</v>
      </c>
      <c r="AT1591">
        <v>0</v>
      </c>
      <c r="AU1591">
        <v>0</v>
      </c>
      <c r="AV1591" s="122">
        <v>3802920</v>
      </c>
    </row>
    <row r="1592" spans="2:48" hidden="1">
      <c r="B1592" t="s">
        <v>372</v>
      </c>
      <c r="C1592" t="s">
        <v>60</v>
      </c>
      <c r="D1592" t="s">
        <v>426</v>
      </c>
      <c r="E1592" t="s">
        <v>137</v>
      </c>
      <c r="F1592" s="122">
        <v>1</v>
      </c>
      <c r="G1592" s="122">
        <v>64</v>
      </c>
      <c r="H1592" s="122">
        <v>378</v>
      </c>
      <c r="I1592" s="122">
        <v>17179</v>
      </c>
      <c r="J1592" s="122">
        <v>15617</v>
      </c>
      <c r="K1592" s="122">
        <v>60</v>
      </c>
      <c r="L1592" s="122">
        <v>0</v>
      </c>
      <c r="M1592" s="122">
        <v>0</v>
      </c>
      <c r="N1592" s="122">
        <v>1116</v>
      </c>
      <c r="O1592" s="122">
        <v>413</v>
      </c>
      <c r="P1592" s="122">
        <v>0</v>
      </c>
      <c r="Q1592" s="122">
        <v>0</v>
      </c>
      <c r="R1592" s="122">
        <v>5900</v>
      </c>
      <c r="S1592" s="122">
        <v>2185</v>
      </c>
      <c r="T1592" s="122">
        <v>0</v>
      </c>
      <c r="U1592" s="122">
        <v>0</v>
      </c>
      <c r="V1592" s="122">
        <v>18216</v>
      </c>
      <c r="W1592" s="122">
        <f t="shared" si="48"/>
        <v>18215</v>
      </c>
      <c r="X1592" s="122">
        <f t="shared" si="49"/>
        <v>24195</v>
      </c>
      <c r="AA1592" t="s">
        <v>60</v>
      </c>
      <c r="AB1592" t="s">
        <v>405</v>
      </c>
      <c r="AC1592" t="s">
        <v>426</v>
      </c>
      <c r="AD1592" t="s">
        <v>137</v>
      </c>
      <c r="AE1592" t="s">
        <v>566</v>
      </c>
      <c r="AF1592">
        <v>4</v>
      </c>
      <c r="AG1592">
        <v>462</v>
      </c>
      <c r="AH1592" s="122">
        <v>1290</v>
      </c>
      <c r="AI1592" s="122">
        <v>85427</v>
      </c>
      <c r="AJ1592" s="122">
        <v>77661</v>
      </c>
      <c r="AK1592">
        <v>81</v>
      </c>
      <c r="AL1592" s="122">
        <v>20712</v>
      </c>
      <c r="AM1592" s="122">
        <v>18829</v>
      </c>
      <c r="AN1592" s="122">
        <v>11097</v>
      </c>
      <c r="AO1592" s="122">
        <v>4110</v>
      </c>
      <c r="AP1592" s="122">
        <v>1769</v>
      </c>
      <c r="AQ1592">
        <v>655</v>
      </c>
      <c r="AR1592" s="122">
        <v>29885</v>
      </c>
      <c r="AS1592" s="122">
        <v>11068</v>
      </c>
      <c r="AT1592">
        <v>0</v>
      </c>
      <c r="AU1592">
        <v>0</v>
      </c>
      <c r="AV1592" s="122">
        <v>112323</v>
      </c>
    </row>
    <row r="1593" spans="2:48" hidden="1">
      <c r="B1593" t="s">
        <v>372</v>
      </c>
      <c r="C1593" t="s">
        <v>60</v>
      </c>
      <c r="D1593" t="s">
        <v>426</v>
      </c>
      <c r="E1593" t="s">
        <v>426</v>
      </c>
      <c r="F1593" s="122">
        <v>69</v>
      </c>
      <c r="G1593" s="122">
        <v>8312</v>
      </c>
      <c r="H1593" s="122">
        <v>23697</v>
      </c>
      <c r="I1593" s="122">
        <v>1843548</v>
      </c>
      <c r="J1593" s="122">
        <v>1675953</v>
      </c>
      <c r="K1593" s="122">
        <v>57</v>
      </c>
      <c r="L1593" s="122">
        <v>281363</v>
      </c>
      <c r="M1593" s="122">
        <v>247314</v>
      </c>
      <c r="N1593" s="122">
        <v>165894</v>
      </c>
      <c r="O1593" s="122">
        <v>61442</v>
      </c>
      <c r="P1593" s="122">
        <v>25137</v>
      </c>
      <c r="Q1593" s="122">
        <v>9310</v>
      </c>
      <c r="R1593" s="122">
        <v>407222</v>
      </c>
      <c r="S1593" s="122">
        <v>370202</v>
      </c>
      <c r="T1593" s="122">
        <v>157050</v>
      </c>
      <c r="U1593" s="122">
        <v>58167</v>
      </c>
      <c r="V1593" s="122">
        <v>2422387</v>
      </c>
      <c r="W1593" s="122">
        <f t="shared" si="48"/>
        <v>2422388</v>
      </c>
      <c r="X1593" s="122">
        <f t="shared" si="49"/>
        <v>2880214</v>
      </c>
      <c r="AA1593" t="s">
        <v>60</v>
      </c>
      <c r="AB1593" t="s">
        <v>405</v>
      </c>
      <c r="AC1593" t="s">
        <v>426</v>
      </c>
      <c r="AD1593" t="s">
        <v>406</v>
      </c>
      <c r="AE1593" t="s">
        <v>566</v>
      </c>
      <c r="AF1593">
        <v>1</v>
      </c>
      <c r="AG1593">
        <v>91</v>
      </c>
      <c r="AH1593" s="122">
        <v>324</v>
      </c>
      <c r="AI1593" s="122">
        <v>19789</v>
      </c>
      <c r="AJ1593" s="122">
        <v>17990</v>
      </c>
      <c r="AK1593">
        <v>87</v>
      </c>
      <c r="AL1593" s="122">
        <v>3188</v>
      </c>
      <c r="AM1593" s="122">
        <v>2898</v>
      </c>
      <c r="AN1593" s="122">
        <v>1970</v>
      </c>
      <c r="AO1593" s="122">
        <v>730</v>
      </c>
      <c r="AP1593" s="122">
        <v>621</v>
      </c>
      <c r="AQ1593">
        <v>230</v>
      </c>
      <c r="AR1593" s="122">
        <v>4059</v>
      </c>
      <c r="AS1593" s="122">
        <v>3690</v>
      </c>
      <c r="AT1593" s="122">
        <v>0</v>
      </c>
      <c r="AU1593" s="122">
        <v>0</v>
      </c>
      <c r="AV1593" s="122">
        <v>25538</v>
      </c>
    </row>
    <row r="1594" spans="2:48" hidden="1">
      <c r="B1594" t="s">
        <v>372</v>
      </c>
      <c r="C1594" t="s">
        <v>62</v>
      </c>
      <c r="D1594" t="s">
        <v>405</v>
      </c>
      <c r="E1594" t="s">
        <v>405</v>
      </c>
      <c r="F1594" s="122">
        <v>2</v>
      </c>
      <c r="G1594" s="122">
        <v>319</v>
      </c>
      <c r="H1594" s="122">
        <v>814</v>
      </c>
      <c r="I1594" s="122">
        <v>88058</v>
      </c>
      <c r="J1594" s="122">
        <v>80053</v>
      </c>
      <c r="K1594" s="122">
        <v>83</v>
      </c>
      <c r="L1594" s="122">
        <v>17180</v>
      </c>
      <c r="M1594" s="122">
        <v>15618</v>
      </c>
      <c r="N1594" s="122">
        <v>6916</v>
      </c>
      <c r="O1594" s="122">
        <v>2561</v>
      </c>
      <c r="P1594" s="122">
        <v>945</v>
      </c>
      <c r="Q1594" s="122">
        <v>350</v>
      </c>
      <c r="R1594" s="122">
        <v>9988</v>
      </c>
      <c r="S1594" s="122">
        <v>9080</v>
      </c>
      <c r="T1594" s="122">
        <v>4327</v>
      </c>
      <c r="U1594" s="122">
        <v>1603</v>
      </c>
      <c r="V1594" s="122">
        <v>109266</v>
      </c>
      <c r="W1594" s="122">
        <f t="shared" si="48"/>
        <v>109265</v>
      </c>
      <c r="X1594" s="122">
        <f t="shared" si="49"/>
        <v>127414</v>
      </c>
      <c r="AA1594" t="s">
        <v>60</v>
      </c>
      <c r="AB1594" t="s">
        <v>405</v>
      </c>
      <c r="AC1594" t="s">
        <v>566</v>
      </c>
      <c r="AD1594" t="s">
        <v>405</v>
      </c>
      <c r="AE1594" t="s">
        <v>137</v>
      </c>
      <c r="AF1594">
        <v>5</v>
      </c>
      <c r="AG1594">
        <v>482</v>
      </c>
      <c r="AH1594" s="122">
        <v>1689</v>
      </c>
      <c r="AI1594" s="122">
        <v>119045</v>
      </c>
      <c r="AJ1594" s="122">
        <v>108223</v>
      </c>
      <c r="AK1594">
        <v>75</v>
      </c>
      <c r="AL1594">
        <v>0</v>
      </c>
      <c r="AM1594">
        <v>0</v>
      </c>
      <c r="AN1594" s="122">
        <v>11636</v>
      </c>
      <c r="AO1594" s="122">
        <v>4310</v>
      </c>
      <c r="AP1594" s="122">
        <v>2241</v>
      </c>
      <c r="AQ1594">
        <v>830</v>
      </c>
      <c r="AR1594" s="122">
        <v>20264</v>
      </c>
      <c r="AS1594" s="122">
        <v>18421</v>
      </c>
      <c r="AT1594" s="122">
        <v>8565</v>
      </c>
      <c r="AU1594" s="122">
        <v>3172</v>
      </c>
      <c r="AV1594" s="122">
        <v>134956</v>
      </c>
    </row>
    <row r="1595" spans="2:48" hidden="1">
      <c r="B1595" t="s">
        <v>372</v>
      </c>
      <c r="C1595" t="s">
        <v>62</v>
      </c>
      <c r="D1595" t="s">
        <v>137</v>
      </c>
      <c r="E1595" t="s">
        <v>137</v>
      </c>
      <c r="F1595" s="122">
        <v>11</v>
      </c>
      <c r="G1595" s="122">
        <v>1608</v>
      </c>
      <c r="H1595" s="122">
        <v>4492</v>
      </c>
      <c r="I1595" s="122">
        <v>490150</v>
      </c>
      <c r="J1595" s="122">
        <v>181537</v>
      </c>
      <c r="K1595" s="122">
        <v>100</v>
      </c>
      <c r="L1595" s="122">
        <v>74986</v>
      </c>
      <c r="M1595" s="122">
        <v>65963</v>
      </c>
      <c r="N1595" s="122">
        <v>39936</v>
      </c>
      <c r="O1595" s="122">
        <v>14791</v>
      </c>
      <c r="P1595" s="122">
        <v>702</v>
      </c>
      <c r="Q1595" s="122">
        <v>260</v>
      </c>
      <c r="R1595" s="122">
        <v>73855</v>
      </c>
      <c r="S1595" s="122">
        <v>27354</v>
      </c>
      <c r="T1595" s="122">
        <v>3193</v>
      </c>
      <c r="U1595" s="122">
        <v>1183</v>
      </c>
      <c r="V1595" s="122">
        <v>291087</v>
      </c>
      <c r="W1595" s="122">
        <f t="shared" si="48"/>
        <v>291088</v>
      </c>
      <c r="X1595" s="122">
        <f t="shared" si="49"/>
        <v>682822</v>
      </c>
      <c r="AA1595" t="s">
        <v>60</v>
      </c>
      <c r="AB1595" t="s">
        <v>405</v>
      </c>
      <c r="AC1595" t="s">
        <v>566</v>
      </c>
      <c r="AD1595" t="s">
        <v>405</v>
      </c>
      <c r="AE1595" t="s">
        <v>566</v>
      </c>
      <c r="AF1595">
        <v>4</v>
      </c>
      <c r="AG1595">
        <v>659</v>
      </c>
      <c r="AH1595" s="122">
        <v>1289</v>
      </c>
      <c r="AI1595" s="122">
        <v>189429</v>
      </c>
      <c r="AJ1595" s="122">
        <v>172208</v>
      </c>
      <c r="AK1595">
        <v>80</v>
      </c>
      <c r="AL1595" s="122">
        <v>0</v>
      </c>
      <c r="AM1595" s="122">
        <v>0</v>
      </c>
      <c r="AN1595" s="122">
        <v>11167</v>
      </c>
      <c r="AO1595" s="122">
        <v>4136</v>
      </c>
      <c r="AP1595" s="122">
        <v>1890</v>
      </c>
      <c r="AQ1595">
        <v>700</v>
      </c>
      <c r="AR1595" s="122">
        <v>21819</v>
      </c>
      <c r="AS1595" s="122">
        <v>19836</v>
      </c>
      <c r="AT1595" s="122">
        <v>0</v>
      </c>
      <c r="AU1595">
        <v>0</v>
      </c>
      <c r="AV1595" s="122">
        <v>196880</v>
      </c>
    </row>
    <row r="1596" spans="2:48" hidden="1">
      <c r="B1596" t="s">
        <v>372</v>
      </c>
      <c r="C1596" t="s">
        <v>62</v>
      </c>
      <c r="D1596" t="s">
        <v>406</v>
      </c>
      <c r="E1596" t="s">
        <v>137</v>
      </c>
      <c r="F1596" s="122">
        <v>2</v>
      </c>
      <c r="G1596" s="122">
        <v>357</v>
      </c>
      <c r="H1596" s="122">
        <v>836</v>
      </c>
      <c r="I1596" s="122">
        <v>107880</v>
      </c>
      <c r="J1596" s="122">
        <v>98073</v>
      </c>
      <c r="K1596" s="122">
        <v>79</v>
      </c>
      <c r="L1596" s="122">
        <v>16507</v>
      </c>
      <c r="M1596" s="122">
        <v>15006</v>
      </c>
      <c r="N1596" s="122">
        <v>7254</v>
      </c>
      <c r="O1596" s="122">
        <v>2687</v>
      </c>
      <c r="P1596" s="122">
        <v>1863</v>
      </c>
      <c r="Q1596" s="122">
        <v>690</v>
      </c>
      <c r="R1596" s="122">
        <v>17839</v>
      </c>
      <c r="S1596" s="122">
        <v>6607</v>
      </c>
      <c r="T1596" s="122">
        <v>0</v>
      </c>
      <c r="U1596" s="122">
        <v>0</v>
      </c>
      <c r="V1596" s="122">
        <v>123063</v>
      </c>
      <c r="W1596" s="122">
        <f t="shared" si="48"/>
        <v>123063</v>
      </c>
      <c r="X1596" s="122">
        <f t="shared" si="49"/>
        <v>151343</v>
      </c>
      <c r="AA1596" t="s">
        <v>60</v>
      </c>
      <c r="AB1596" t="s">
        <v>405</v>
      </c>
      <c r="AC1596" t="s">
        <v>433</v>
      </c>
      <c r="AD1596" t="s">
        <v>405</v>
      </c>
      <c r="AE1596" t="s">
        <v>137</v>
      </c>
      <c r="AF1596">
        <v>2</v>
      </c>
      <c r="AG1596">
        <v>205</v>
      </c>
      <c r="AH1596" s="122">
        <v>640</v>
      </c>
      <c r="AI1596" s="122">
        <v>41502</v>
      </c>
      <c r="AJ1596" s="122">
        <v>37729</v>
      </c>
      <c r="AK1596">
        <v>72</v>
      </c>
      <c r="AL1596" s="122">
        <v>7962</v>
      </c>
      <c r="AM1596" s="122">
        <v>7238</v>
      </c>
      <c r="AN1596" s="122">
        <v>2499</v>
      </c>
      <c r="AO1596" s="122">
        <v>926</v>
      </c>
      <c r="AP1596" s="122">
        <v>945</v>
      </c>
      <c r="AQ1596">
        <v>350</v>
      </c>
      <c r="AR1596" s="122">
        <v>11093</v>
      </c>
      <c r="AS1596" s="122">
        <v>10084</v>
      </c>
      <c r="AT1596" s="122">
        <v>2112</v>
      </c>
      <c r="AU1596">
        <v>782</v>
      </c>
      <c r="AV1596" s="122">
        <v>57109</v>
      </c>
    </row>
    <row r="1597" spans="2:48" hidden="1">
      <c r="B1597" t="s">
        <v>372</v>
      </c>
      <c r="C1597" t="s">
        <v>62</v>
      </c>
      <c r="D1597" t="s">
        <v>406</v>
      </c>
      <c r="E1597" t="s">
        <v>406</v>
      </c>
      <c r="F1597" s="122">
        <v>199</v>
      </c>
      <c r="G1597" s="122">
        <v>23401</v>
      </c>
      <c r="H1597" s="122">
        <v>82877</v>
      </c>
      <c r="I1597" s="122">
        <v>6599828</v>
      </c>
      <c r="J1597" s="122">
        <v>5999843</v>
      </c>
      <c r="K1597" s="122">
        <v>75</v>
      </c>
      <c r="L1597" s="122">
        <v>1238678</v>
      </c>
      <c r="M1597" s="122">
        <v>1088514</v>
      </c>
      <c r="N1597" s="122">
        <v>499913</v>
      </c>
      <c r="O1597" s="122">
        <v>185153</v>
      </c>
      <c r="P1597" s="122">
        <v>129128</v>
      </c>
      <c r="Q1597" s="122">
        <v>47825</v>
      </c>
      <c r="R1597" s="122">
        <v>1084399</v>
      </c>
      <c r="S1597" s="122">
        <v>985817</v>
      </c>
      <c r="T1597" s="122">
        <v>335665</v>
      </c>
      <c r="U1597" s="122">
        <v>124320</v>
      </c>
      <c r="V1597" s="122">
        <v>8431473</v>
      </c>
      <c r="W1597" s="122">
        <f t="shared" si="48"/>
        <v>8431472</v>
      </c>
      <c r="X1597" s="122">
        <f t="shared" si="49"/>
        <v>9887611</v>
      </c>
      <c r="AA1597" t="s">
        <v>60</v>
      </c>
      <c r="AB1597" t="s">
        <v>405</v>
      </c>
      <c r="AC1597" t="s">
        <v>433</v>
      </c>
      <c r="AD1597" t="s">
        <v>405</v>
      </c>
      <c r="AE1597" t="s">
        <v>566</v>
      </c>
      <c r="AF1597">
        <v>5</v>
      </c>
      <c r="AG1597">
        <v>559</v>
      </c>
      <c r="AH1597" s="122">
        <v>1705</v>
      </c>
      <c r="AI1597" s="122">
        <v>125352</v>
      </c>
      <c r="AJ1597" s="122">
        <v>113956</v>
      </c>
      <c r="AK1597">
        <v>85</v>
      </c>
      <c r="AL1597" s="122">
        <v>27376</v>
      </c>
      <c r="AM1597" s="122">
        <v>24887</v>
      </c>
      <c r="AN1597" s="122">
        <v>12150</v>
      </c>
      <c r="AO1597" s="122">
        <v>4500</v>
      </c>
      <c r="AP1597" s="122">
        <v>2241</v>
      </c>
      <c r="AQ1597">
        <v>830</v>
      </c>
      <c r="AR1597" s="122">
        <v>23825</v>
      </c>
      <c r="AS1597" s="122">
        <v>21659</v>
      </c>
      <c r="AT1597">
        <v>0</v>
      </c>
      <c r="AU1597">
        <v>0</v>
      </c>
      <c r="AV1597" s="122">
        <v>165833</v>
      </c>
    </row>
    <row r="1598" spans="2:48" hidden="1">
      <c r="B1598" t="s">
        <v>372</v>
      </c>
      <c r="C1598" t="s">
        <v>62</v>
      </c>
      <c r="D1598" t="s">
        <v>427</v>
      </c>
      <c r="E1598" t="s">
        <v>406</v>
      </c>
      <c r="F1598" s="122">
        <v>1</v>
      </c>
      <c r="G1598" s="122">
        <v>205</v>
      </c>
      <c r="H1598" s="122">
        <v>435</v>
      </c>
      <c r="I1598" s="122">
        <v>59724</v>
      </c>
      <c r="J1598" s="122">
        <v>54295</v>
      </c>
      <c r="K1598" s="122">
        <v>65</v>
      </c>
      <c r="L1598" s="122">
        <v>13670</v>
      </c>
      <c r="M1598" s="122">
        <v>12427</v>
      </c>
      <c r="N1598" s="122">
        <v>5004</v>
      </c>
      <c r="O1598" s="122">
        <v>1853</v>
      </c>
      <c r="P1598" s="122">
        <v>621</v>
      </c>
      <c r="Q1598" s="122">
        <v>230</v>
      </c>
      <c r="R1598" s="122">
        <v>6479</v>
      </c>
      <c r="S1598" s="122">
        <v>5890</v>
      </c>
      <c r="T1598" s="122">
        <v>3750</v>
      </c>
      <c r="U1598" s="122">
        <v>1389</v>
      </c>
      <c r="V1598" s="122">
        <v>76085</v>
      </c>
      <c r="W1598" s="122">
        <f t="shared" si="48"/>
        <v>76084</v>
      </c>
      <c r="X1598" s="122">
        <f t="shared" si="49"/>
        <v>89248</v>
      </c>
      <c r="AA1598" t="s">
        <v>60</v>
      </c>
      <c r="AB1598" t="s">
        <v>405</v>
      </c>
      <c r="AC1598" t="s">
        <v>433</v>
      </c>
      <c r="AD1598" t="s">
        <v>137</v>
      </c>
      <c r="AE1598" t="s">
        <v>566</v>
      </c>
      <c r="AF1598">
        <v>1</v>
      </c>
      <c r="AG1598">
        <v>153</v>
      </c>
      <c r="AH1598">
        <v>367</v>
      </c>
      <c r="AI1598" s="122">
        <v>39028</v>
      </c>
      <c r="AJ1598" s="122">
        <v>35480</v>
      </c>
      <c r="AK1598">
        <v>73</v>
      </c>
      <c r="AL1598" s="122">
        <v>5016</v>
      </c>
      <c r="AM1598" s="122">
        <v>4560</v>
      </c>
      <c r="AN1598" s="122">
        <v>3531</v>
      </c>
      <c r="AO1598" s="122">
        <v>1308</v>
      </c>
      <c r="AP1598">
        <v>473</v>
      </c>
      <c r="AQ1598">
        <v>175</v>
      </c>
      <c r="AR1598" s="122">
        <v>7884</v>
      </c>
      <c r="AS1598" s="122">
        <v>2920</v>
      </c>
      <c r="AT1598">
        <v>0</v>
      </c>
      <c r="AU1598">
        <v>0</v>
      </c>
      <c r="AV1598" s="122">
        <v>44443</v>
      </c>
    </row>
    <row r="1599" spans="2:48" hidden="1">
      <c r="B1599" t="s">
        <v>372</v>
      </c>
      <c r="C1599" t="s">
        <v>62</v>
      </c>
      <c r="D1599" t="s">
        <v>427</v>
      </c>
      <c r="E1599" t="s">
        <v>427</v>
      </c>
      <c r="F1599" s="122">
        <v>2</v>
      </c>
      <c r="G1599" s="122">
        <v>195</v>
      </c>
      <c r="H1599" s="122">
        <v>843</v>
      </c>
      <c r="I1599" s="122">
        <v>58812</v>
      </c>
      <c r="J1599" s="122">
        <v>53465</v>
      </c>
      <c r="K1599" s="122">
        <v>60</v>
      </c>
      <c r="L1599" s="122">
        <v>6404</v>
      </c>
      <c r="M1599" s="122">
        <v>2372</v>
      </c>
      <c r="N1599" s="122">
        <v>2371</v>
      </c>
      <c r="O1599" s="122">
        <v>878</v>
      </c>
      <c r="P1599" s="122">
        <v>351</v>
      </c>
      <c r="Q1599" s="122">
        <v>130</v>
      </c>
      <c r="R1599" s="122">
        <v>11485</v>
      </c>
      <c r="S1599" s="122">
        <v>10441</v>
      </c>
      <c r="T1599" s="122">
        <v>2651</v>
      </c>
      <c r="U1599" s="122">
        <v>982</v>
      </c>
      <c r="V1599" s="122">
        <v>68269</v>
      </c>
      <c r="W1599" s="122">
        <f t="shared" si="48"/>
        <v>68268</v>
      </c>
      <c r="X1599" s="122">
        <f t="shared" si="49"/>
        <v>82074</v>
      </c>
      <c r="AA1599" t="s">
        <v>60</v>
      </c>
      <c r="AB1599" t="s">
        <v>405</v>
      </c>
      <c r="AC1599" t="s">
        <v>433</v>
      </c>
      <c r="AD1599" t="s">
        <v>406</v>
      </c>
      <c r="AE1599" t="s">
        <v>566</v>
      </c>
      <c r="AF1599">
        <v>1</v>
      </c>
      <c r="AG1599">
        <v>257</v>
      </c>
      <c r="AH1599">
        <v>348</v>
      </c>
      <c r="AI1599" s="122">
        <v>69003</v>
      </c>
      <c r="AJ1599" s="122">
        <v>62730</v>
      </c>
      <c r="AK1599">
        <v>73</v>
      </c>
      <c r="AL1599" s="122">
        <v>8868</v>
      </c>
      <c r="AM1599" s="122">
        <v>8062</v>
      </c>
      <c r="AN1599" s="122">
        <v>3134</v>
      </c>
      <c r="AO1599" s="122">
        <v>1161</v>
      </c>
      <c r="AP1599">
        <v>351</v>
      </c>
      <c r="AQ1599">
        <v>130</v>
      </c>
      <c r="AR1599" s="122">
        <v>8070</v>
      </c>
      <c r="AS1599" s="122">
        <v>7337</v>
      </c>
      <c r="AT1599">
        <v>0</v>
      </c>
      <c r="AU1599">
        <v>0</v>
      </c>
      <c r="AV1599" s="122">
        <v>79419</v>
      </c>
    </row>
    <row r="1600" spans="2:48" hidden="1">
      <c r="B1600" t="s">
        <v>372</v>
      </c>
      <c r="C1600" t="s">
        <v>62</v>
      </c>
      <c r="D1600" t="s">
        <v>407</v>
      </c>
      <c r="E1600" t="s">
        <v>407</v>
      </c>
      <c r="F1600" s="122">
        <v>4</v>
      </c>
      <c r="G1600" s="122">
        <v>838</v>
      </c>
      <c r="H1600" s="122">
        <v>1630</v>
      </c>
      <c r="I1600" s="122">
        <v>253895</v>
      </c>
      <c r="J1600" s="122">
        <v>230814</v>
      </c>
      <c r="K1600" s="122">
        <v>75</v>
      </c>
      <c r="L1600" s="122">
        <v>42625</v>
      </c>
      <c r="M1600" s="122">
        <v>37720</v>
      </c>
      <c r="N1600" s="122">
        <v>13503</v>
      </c>
      <c r="O1600" s="122">
        <v>5001</v>
      </c>
      <c r="P1600" s="122">
        <v>2268</v>
      </c>
      <c r="Q1600" s="122">
        <v>840</v>
      </c>
      <c r="R1600" s="122">
        <v>21278</v>
      </c>
      <c r="S1600" s="122">
        <v>19344</v>
      </c>
      <c r="T1600" s="122">
        <v>9951</v>
      </c>
      <c r="U1600" s="122">
        <v>3686</v>
      </c>
      <c r="V1600" s="122">
        <v>297404</v>
      </c>
      <c r="W1600" s="122">
        <f t="shared" si="48"/>
        <v>297405</v>
      </c>
      <c r="X1600" s="122">
        <f t="shared" si="49"/>
        <v>343520</v>
      </c>
      <c r="AA1600" t="s">
        <v>60</v>
      </c>
      <c r="AB1600" t="s">
        <v>405</v>
      </c>
      <c r="AC1600" t="s">
        <v>429</v>
      </c>
      <c r="AD1600" t="s">
        <v>405</v>
      </c>
      <c r="AE1600" t="s">
        <v>566</v>
      </c>
      <c r="AF1600">
        <v>2</v>
      </c>
      <c r="AG1600">
        <v>264</v>
      </c>
      <c r="AH1600">
        <v>646</v>
      </c>
      <c r="AI1600" s="122">
        <v>81281</v>
      </c>
      <c r="AJ1600" s="122">
        <v>73892</v>
      </c>
      <c r="AK1600">
        <v>91</v>
      </c>
      <c r="AL1600" s="122">
        <v>12515</v>
      </c>
      <c r="AM1600" s="122">
        <v>11377</v>
      </c>
      <c r="AN1600" s="122">
        <v>7024</v>
      </c>
      <c r="AO1600" s="122">
        <v>2602</v>
      </c>
      <c r="AP1600">
        <v>945</v>
      </c>
      <c r="AQ1600">
        <v>350</v>
      </c>
      <c r="AR1600" s="122">
        <v>8968</v>
      </c>
      <c r="AS1600" s="122">
        <v>8153</v>
      </c>
      <c r="AT1600">
        <v>0</v>
      </c>
      <c r="AU1600">
        <v>0</v>
      </c>
      <c r="AV1600" s="122">
        <v>96373</v>
      </c>
    </row>
    <row r="1601" spans="2:48" hidden="1">
      <c r="B1601" t="s">
        <v>372</v>
      </c>
      <c r="C1601" t="s">
        <v>62</v>
      </c>
      <c r="D1601" t="s">
        <v>431</v>
      </c>
      <c r="E1601" t="s">
        <v>427</v>
      </c>
      <c r="F1601" s="122">
        <v>1</v>
      </c>
      <c r="G1601" s="122">
        <v>116</v>
      </c>
      <c r="H1601" s="122">
        <v>444</v>
      </c>
      <c r="I1601" s="122">
        <v>36181</v>
      </c>
      <c r="J1601" s="122">
        <v>32892</v>
      </c>
      <c r="K1601" s="122">
        <v>55</v>
      </c>
      <c r="L1601" s="122">
        <v>6317</v>
      </c>
      <c r="M1601" s="122">
        <v>5743</v>
      </c>
      <c r="N1601" s="122">
        <v>1772</v>
      </c>
      <c r="O1601" s="122">
        <v>656</v>
      </c>
      <c r="P1601" s="122">
        <v>351</v>
      </c>
      <c r="Q1601" s="122">
        <v>130</v>
      </c>
      <c r="R1601" s="122">
        <v>4440</v>
      </c>
      <c r="S1601" s="122">
        <v>4036</v>
      </c>
      <c r="T1601" s="122">
        <v>2631</v>
      </c>
      <c r="U1601" s="122">
        <v>975</v>
      </c>
      <c r="V1601" s="122">
        <v>44432</v>
      </c>
      <c r="W1601" s="122">
        <f t="shared" si="48"/>
        <v>44432</v>
      </c>
      <c r="X1601" s="122">
        <f t="shared" si="49"/>
        <v>51692</v>
      </c>
      <c r="AA1601" t="s">
        <v>60</v>
      </c>
      <c r="AB1601" t="s">
        <v>137</v>
      </c>
      <c r="AC1601" t="s">
        <v>578</v>
      </c>
      <c r="AD1601" t="s">
        <v>137</v>
      </c>
      <c r="AE1601" t="s">
        <v>566</v>
      </c>
      <c r="AF1601">
        <v>2</v>
      </c>
      <c r="AG1601" s="122">
        <v>267</v>
      </c>
      <c r="AH1601" s="122">
        <v>711</v>
      </c>
      <c r="AI1601" s="122">
        <v>63459</v>
      </c>
      <c r="AJ1601" s="122">
        <v>23503</v>
      </c>
      <c r="AK1601">
        <v>100</v>
      </c>
      <c r="AL1601" s="122">
        <v>8446</v>
      </c>
      <c r="AM1601" s="122">
        <v>7678</v>
      </c>
      <c r="AN1601" s="122">
        <v>6202</v>
      </c>
      <c r="AO1601" s="122">
        <v>2297</v>
      </c>
      <c r="AP1601" s="122">
        <v>0</v>
      </c>
      <c r="AQ1601">
        <v>0</v>
      </c>
      <c r="AR1601" s="122">
        <v>16926</v>
      </c>
      <c r="AS1601" s="122">
        <v>6269</v>
      </c>
      <c r="AT1601">
        <v>0</v>
      </c>
      <c r="AU1601">
        <v>0</v>
      </c>
      <c r="AV1601" s="122">
        <v>39748</v>
      </c>
    </row>
    <row r="1602" spans="2:48" hidden="1">
      <c r="B1602" t="s">
        <v>372</v>
      </c>
      <c r="C1602" t="s">
        <v>62</v>
      </c>
      <c r="D1602" t="s">
        <v>431</v>
      </c>
      <c r="E1602" t="s">
        <v>431</v>
      </c>
      <c r="F1602" s="122">
        <v>7</v>
      </c>
      <c r="G1602" s="122">
        <v>770</v>
      </c>
      <c r="H1602" s="122">
        <v>2878</v>
      </c>
      <c r="I1602" s="122">
        <v>207625</v>
      </c>
      <c r="J1602" s="122">
        <v>188750</v>
      </c>
      <c r="K1602" s="122">
        <v>49</v>
      </c>
      <c r="L1602" s="122">
        <v>27542</v>
      </c>
      <c r="M1602" s="122">
        <v>25039</v>
      </c>
      <c r="N1602" s="122">
        <v>16132</v>
      </c>
      <c r="O1602" s="122">
        <v>5975</v>
      </c>
      <c r="P1602" s="122">
        <v>2457</v>
      </c>
      <c r="Q1602" s="122">
        <v>910</v>
      </c>
      <c r="R1602" s="122">
        <v>49604</v>
      </c>
      <c r="S1602" s="122">
        <v>45094</v>
      </c>
      <c r="T1602" s="122">
        <v>13307</v>
      </c>
      <c r="U1602" s="122">
        <v>4929</v>
      </c>
      <c r="V1602" s="122">
        <v>270696</v>
      </c>
      <c r="W1602" s="122">
        <f t="shared" si="48"/>
        <v>270697</v>
      </c>
      <c r="X1602" s="122">
        <f t="shared" si="49"/>
        <v>316667</v>
      </c>
      <c r="AA1602" t="s">
        <v>60</v>
      </c>
      <c r="AB1602" t="s">
        <v>137</v>
      </c>
      <c r="AC1602" t="s">
        <v>425</v>
      </c>
      <c r="AD1602" t="s">
        <v>137</v>
      </c>
      <c r="AE1602" t="s">
        <v>566</v>
      </c>
      <c r="AF1602">
        <v>28</v>
      </c>
      <c r="AG1602" s="122">
        <v>3246</v>
      </c>
      <c r="AH1602" s="122">
        <v>9399</v>
      </c>
      <c r="AI1602" s="122">
        <v>749530</v>
      </c>
      <c r="AJ1602" s="122">
        <v>277604</v>
      </c>
      <c r="AK1602">
        <v>100</v>
      </c>
      <c r="AL1602" s="122">
        <v>119553</v>
      </c>
      <c r="AM1602" s="122">
        <v>108685</v>
      </c>
      <c r="AN1602" s="122">
        <v>71340</v>
      </c>
      <c r="AO1602" s="122">
        <v>26422</v>
      </c>
      <c r="AP1602" s="122">
        <v>1840</v>
      </c>
      <c r="AQ1602">
        <v>681</v>
      </c>
      <c r="AR1602" s="122">
        <v>246171</v>
      </c>
      <c r="AS1602" s="122">
        <v>91174</v>
      </c>
      <c r="AT1602">
        <v>0</v>
      </c>
      <c r="AU1602">
        <v>0</v>
      </c>
      <c r="AV1602" s="122">
        <v>504567</v>
      </c>
    </row>
    <row r="1603" spans="2:48" hidden="1">
      <c r="B1603" t="s">
        <v>372</v>
      </c>
      <c r="C1603" t="s">
        <v>62</v>
      </c>
      <c r="D1603" t="s">
        <v>426</v>
      </c>
      <c r="E1603" t="s">
        <v>426</v>
      </c>
      <c r="F1603" s="122">
        <v>77</v>
      </c>
      <c r="G1603" s="122">
        <v>7621</v>
      </c>
      <c r="H1603" s="122">
        <v>31948</v>
      </c>
      <c r="I1603" s="122">
        <v>2073302</v>
      </c>
      <c r="J1603" s="122">
        <v>1884820</v>
      </c>
      <c r="K1603" s="122">
        <v>50</v>
      </c>
      <c r="L1603" s="122">
        <v>292810</v>
      </c>
      <c r="M1603" s="122">
        <v>256536</v>
      </c>
      <c r="N1603" s="122">
        <v>150926</v>
      </c>
      <c r="O1603" s="122">
        <v>55898</v>
      </c>
      <c r="P1603" s="122">
        <v>27419</v>
      </c>
      <c r="Q1603" s="122">
        <v>10155</v>
      </c>
      <c r="R1603" s="122">
        <v>481709</v>
      </c>
      <c r="S1603" s="122">
        <v>437917</v>
      </c>
      <c r="T1603" s="122">
        <v>179613</v>
      </c>
      <c r="U1603" s="122">
        <v>66523</v>
      </c>
      <c r="V1603" s="122">
        <v>2711850</v>
      </c>
      <c r="W1603" s="122">
        <f t="shared" si="48"/>
        <v>2711849</v>
      </c>
      <c r="X1603" s="122">
        <f t="shared" si="49"/>
        <v>3205779</v>
      </c>
      <c r="AA1603" t="s">
        <v>60</v>
      </c>
      <c r="AB1603" t="s">
        <v>137</v>
      </c>
      <c r="AC1603" t="s">
        <v>405</v>
      </c>
      <c r="AD1603" t="s">
        <v>405</v>
      </c>
      <c r="AE1603" t="s">
        <v>566</v>
      </c>
      <c r="AF1603">
        <v>1</v>
      </c>
      <c r="AG1603">
        <v>471</v>
      </c>
      <c r="AH1603">
        <v>380</v>
      </c>
      <c r="AI1603" s="122">
        <v>158380</v>
      </c>
      <c r="AJ1603" s="122">
        <v>58659</v>
      </c>
      <c r="AK1603">
        <v>100</v>
      </c>
      <c r="AL1603" s="122">
        <v>7169</v>
      </c>
      <c r="AM1603" s="122">
        <v>6518</v>
      </c>
      <c r="AN1603" s="122">
        <v>5739</v>
      </c>
      <c r="AO1603" s="122">
        <v>2125</v>
      </c>
      <c r="AP1603">
        <v>0</v>
      </c>
      <c r="AQ1603">
        <v>0</v>
      </c>
      <c r="AR1603" s="122">
        <v>7570</v>
      </c>
      <c r="AS1603" s="122">
        <v>6882</v>
      </c>
      <c r="AT1603">
        <v>0</v>
      </c>
      <c r="AU1603">
        <v>0</v>
      </c>
      <c r="AV1603" s="122">
        <v>74184</v>
      </c>
    </row>
    <row r="1604" spans="2:48" hidden="1">
      <c r="B1604" t="s">
        <v>372</v>
      </c>
      <c r="C1604" t="s">
        <v>62</v>
      </c>
      <c r="D1604" t="s">
        <v>408</v>
      </c>
      <c r="E1604" t="s">
        <v>137</v>
      </c>
      <c r="F1604" s="122">
        <v>1</v>
      </c>
      <c r="G1604" s="122">
        <v>122</v>
      </c>
      <c r="H1604" s="122">
        <v>448</v>
      </c>
      <c r="I1604" s="122">
        <v>40568</v>
      </c>
      <c r="J1604" s="122">
        <v>36880</v>
      </c>
      <c r="K1604" s="122">
        <v>65</v>
      </c>
      <c r="L1604" s="122">
        <v>4883</v>
      </c>
      <c r="M1604" s="122">
        <v>4439</v>
      </c>
      <c r="N1604" s="122">
        <v>2965</v>
      </c>
      <c r="O1604" s="122">
        <v>1098</v>
      </c>
      <c r="P1604" s="122">
        <v>351</v>
      </c>
      <c r="Q1604" s="122">
        <v>130</v>
      </c>
      <c r="R1604" s="122">
        <v>5796</v>
      </c>
      <c r="S1604" s="122">
        <v>2146</v>
      </c>
      <c r="T1604" s="122">
        <v>0</v>
      </c>
      <c r="U1604" s="122">
        <v>0</v>
      </c>
      <c r="V1604" s="122">
        <v>44694</v>
      </c>
      <c r="W1604" s="122">
        <f t="shared" si="48"/>
        <v>44693</v>
      </c>
      <c r="X1604" s="122">
        <f t="shared" si="49"/>
        <v>54563</v>
      </c>
      <c r="AA1604" t="s">
        <v>60</v>
      </c>
      <c r="AB1604" t="s">
        <v>137</v>
      </c>
      <c r="AC1604" t="s">
        <v>405</v>
      </c>
      <c r="AD1604" t="s">
        <v>137</v>
      </c>
      <c r="AE1604" t="s">
        <v>137</v>
      </c>
      <c r="AF1604">
        <v>1</v>
      </c>
      <c r="AG1604">
        <v>103</v>
      </c>
      <c r="AH1604">
        <v>329</v>
      </c>
      <c r="AI1604" s="122">
        <v>34431</v>
      </c>
      <c r="AJ1604" s="122">
        <v>12752</v>
      </c>
      <c r="AK1604">
        <v>100</v>
      </c>
      <c r="AL1604" s="122">
        <v>2834</v>
      </c>
      <c r="AM1604" s="122">
        <v>2576</v>
      </c>
      <c r="AN1604" s="122">
        <v>4138</v>
      </c>
      <c r="AO1604" s="122">
        <v>1533</v>
      </c>
      <c r="AP1604">
        <v>0</v>
      </c>
      <c r="AQ1604">
        <v>0</v>
      </c>
      <c r="AR1604" s="122">
        <v>14432</v>
      </c>
      <c r="AS1604" s="122">
        <v>5345</v>
      </c>
      <c r="AT1604">
        <v>0</v>
      </c>
      <c r="AU1604">
        <v>0</v>
      </c>
      <c r="AV1604" s="122">
        <v>22206</v>
      </c>
    </row>
    <row r="1605" spans="2:48" hidden="1">
      <c r="B1605" t="s">
        <v>372</v>
      </c>
      <c r="C1605" t="s">
        <v>62</v>
      </c>
      <c r="D1605" t="s">
        <v>429</v>
      </c>
      <c r="E1605" t="s">
        <v>429</v>
      </c>
      <c r="F1605" s="122">
        <v>1</v>
      </c>
      <c r="G1605" s="122">
        <v>154</v>
      </c>
      <c r="H1605" s="122">
        <v>383</v>
      </c>
      <c r="I1605" s="122">
        <v>41399</v>
      </c>
      <c r="J1605" s="122">
        <v>37636</v>
      </c>
      <c r="K1605" s="122">
        <v>60</v>
      </c>
      <c r="L1605" s="122">
        <v>6133</v>
      </c>
      <c r="M1605" s="122">
        <v>5576</v>
      </c>
      <c r="N1605" s="122">
        <v>3143</v>
      </c>
      <c r="O1605" s="122">
        <v>1164</v>
      </c>
      <c r="P1605" s="122">
        <v>351</v>
      </c>
      <c r="Q1605" s="122">
        <v>130</v>
      </c>
      <c r="R1605" s="122">
        <v>8166</v>
      </c>
      <c r="S1605" s="122">
        <v>7423</v>
      </c>
      <c r="T1605" s="122">
        <v>0</v>
      </c>
      <c r="U1605" s="122">
        <v>0</v>
      </c>
      <c r="V1605" s="122">
        <v>51929</v>
      </c>
      <c r="W1605" s="122">
        <f t="shared" si="48"/>
        <v>51929</v>
      </c>
      <c r="X1605" s="122">
        <f t="shared" si="49"/>
        <v>59192</v>
      </c>
      <c r="AA1605" t="s">
        <v>60</v>
      </c>
      <c r="AB1605" t="s">
        <v>137</v>
      </c>
      <c r="AC1605" t="s">
        <v>405</v>
      </c>
      <c r="AD1605" t="s">
        <v>137</v>
      </c>
      <c r="AE1605" t="s">
        <v>566</v>
      </c>
      <c r="AF1605">
        <v>3</v>
      </c>
      <c r="AG1605" s="122">
        <v>239</v>
      </c>
      <c r="AH1605" s="122">
        <v>992</v>
      </c>
      <c r="AI1605" s="122">
        <v>52002</v>
      </c>
      <c r="AJ1605" s="122">
        <v>19260</v>
      </c>
      <c r="AK1605">
        <v>150</v>
      </c>
      <c r="AL1605" s="122">
        <v>13727</v>
      </c>
      <c r="AM1605" s="122">
        <v>12479</v>
      </c>
      <c r="AN1605" s="122">
        <v>4435</v>
      </c>
      <c r="AO1605" s="122">
        <v>1643</v>
      </c>
      <c r="AP1605">
        <v>0</v>
      </c>
      <c r="AQ1605">
        <v>0</v>
      </c>
      <c r="AR1605" s="122">
        <v>16309</v>
      </c>
      <c r="AS1605" s="122">
        <v>6040</v>
      </c>
      <c r="AT1605" s="122">
        <v>0</v>
      </c>
      <c r="AU1605" s="122">
        <v>0</v>
      </c>
      <c r="AV1605" s="122">
        <v>39421</v>
      </c>
    </row>
    <row r="1606" spans="2:48" hidden="1">
      <c r="B1606" t="s">
        <v>372</v>
      </c>
      <c r="C1606" t="s">
        <v>64</v>
      </c>
      <c r="D1606" t="s">
        <v>555</v>
      </c>
      <c r="E1606" t="s">
        <v>555</v>
      </c>
      <c r="F1606" s="122">
        <v>2</v>
      </c>
      <c r="G1606" s="122">
        <v>245</v>
      </c>
      <c r="H1606" s="122">
        <v>1519</v>
      </c>
      <c r="I1606" s="122">
        <v>147080</v>
      </c>
      <c r="J1606" s="122">
        <v>133709</v>
      </c>
      <c r="K1606" s="122">
        <v>50</v>
      </c>
      <c r="L1606" s="122">
        <v>19848</v>
      </c>
      <c r="M1606" s="122">
        <v>18044</v>
      </c>
      <c r="N1606" s="122">
        <v>5460</v>
      </c>
      <c r="O1606" s="122">
        <v>2022</v>
      </c>
      <c r="P1606" s="122">
        <v>702</v>
      </c>
      <c r="Q1606" s="122">
        <v>260</v>
      </c>
      <c r="R1606" s="122">
        <v>11205</v>
      </c>
      <c r="S1606" s="122">
        <v>10186</v>
      </c>
      <c r="T1606" s="122">
        <v>4512</v>
      </c>
      <c r="U1606" s="122">
        <v>1671</v>
      </c>
      <c r="V1606" s="122">
        <v>165892</v>
      </c>
      <c r="W1606" s="122">
        <f t="shared" si="48"/>
        <v>165892</v>
      </c>
      <c r="X1606" s="122">
        <f t="shared" si="49"/>
        <v>188807</v>
      </c>
      <c r="AA1606" t="s">
        <v>60</v>
      </c>
      <c r="AB1606" t="s">
        <v>137</v>
      </c>
      <c r="AC1606" t="s">
        <v>137</v>
      </c>
      <c r="AD1606" t="s">
        <v>137</v>
      </c>
      <c r="AE1606" t="s">
        <v>137</v>
      </c>
      <c r="AF1606">
        <v>27</v>
      </c>
      <c r="AG1606" s="122">
        <v>3299</v>
      </c>
      <c r="AH1606" s="122">
        <v>9144</v>
      </c>
      <c r="AI1606" s="122">
        <v>781880</v>
      </c>
      <c r="AJ1606" s="122">
        <v>289585</v>
      </c>
      <c r="AK1606">
        <v>100</v>
      </c>
      <c r="AL1606" s="122">
        <v>126640</v>
      </c>
      <c r="AM1606" s="122">
        <v>46904</v>
      </c>
      <c r="AN1606" s="122">
        <v>81289</v>
      </c>
      <c r="AO1606" s="122">
        <v>30107</v>
      </c>
      <c r="AP1606" s="122">
        <v>351</v>
      </c>
      <c r="AQ1606">
        <v>130</v>
      </c>
      <c r="AR1606" s="122">
        <v>218922</v>
      </c>
      <c r="AS1606" s="122">
        <v>81082</v>
      </c>
      <c r="AT1606" s="122">
        <v>4355</v>
      </c>
      <c r="AU1606" s="122">
        <v>1613</v>
      </c>
      <c r="AV1606" s="122">
        <v>449421</v>
      </c>
    </row>
    <row r="1607" spans="2:48" hidden="1">
      <c r="B1607" t="s">
        <v>372</v>
      </c>
      <c r="C1607" t="s">
        <v>64</v>
      </c>
      <c r="D1607" t="s">
        <v>425</v>
      </c>
      <c r="E1607" t="s">
        <v>406</v>
      </c>
      <c r="F1607" s="122">
        <v>1</v>
      </c>
      <c r="G1607" s="122">
        <v>183</v>
      </c>
      <c r="H1607" s="122">
        <v>467</v>
      </c>
      <c r="I1607" s="122">
        <v>70428</v>
      </c>
      <c r="J1607" s="122">
        <v>64026</v>
      </c>
      <c r="K1607" s="122">
        <v>70</v>
      </c>
      <c r="L1607" s="122">
        <v>8673</v>
      </c>
      <c r="M1607" s="122">
        <v>7885</v>
      </c>
      <c r="N1607" s="122">
        <v>4692</v>
      </c>
      <c r="O1607" s="122">
        <v>1738</v>
      </c>
      <c r="P1607" s="122">
        <v>621</v>
      </c>
      <c r="Q1607" s="122">
        <v>230</v>
      </c>
      <c r="R1607" s="122">
        <v>5741</v>
      </c>
      <c r="S1607" s="122">
        <v>5219</v>
      </c>
      <c r="T1607" s="122">
        <v>3528</v>
      </c>
      <c r="U1607" s="122">
        <v>1307</v>
      </c>
      <c r="V1607" s="122">
        <v>80404</v>
      </c>
      <c r="W1607" s="122">
        <f t="shared" ref="W1607:W1670" si="50">SUM(ABS(J1607),ABS(M1607),ABS(O1607),ABS(Q1607),ABS(S1607),ABS(U1607))</f>
        <v>80405</v>
      </c>
      <c r="X1607" s="122">
        <f t="shared" ref="X1607:X1670" si="51">SUM(ABS(I1607),ABS(N1607),ABS(P1607),ABS(R1607),ABS(T1607),ABS(L1607))</f>
        <v>93683</v>
      </c>
      <c r="AA1607" t="s">
        <v>60</v>
      </c>
      <c r="AB1607" t="s">
        <v>137</v>
      </c>
      <c r="AC1607" t="s">
        <v>137</v>
      </c>
      <c r="AD1607" t="s">
        <v>137</v>
      </c>
      <c r="AE1607" t="s">
        <v>566</v>
      </c>
      <c r="AF1607">
        <v>381</v>
      </c>
      <c r="AG1607" s="122">
        <v>37302</v>
      </c>
      <c r="AH1607" s="122">
        <v>128777</v>
      </c>
      <c r="AI1607" s="122">
        <v>7782135</v>
      </c>
      <c r="AJ1607" s="122">
        <v>2882272</v>
      </c>
      <c r="AK1607">
        <v>100</v>
      </c>
      <c r="AL1607" s="122">
        <v>1558561</v>
      </c>
      <c r="AM1607" s="122">
        <v>577245</v>
      </c>
      <c r="AN1607" s="122">
        <v>834755</v>
      </c>
      <c r="AO1607" s="122">
        <v>309169</v>
      </c>
      <c r="AP1607" s="122">
        <v>2457</v>
      </c>
      <c r="AQ1607">
        <v>910</v>
      </c>
      <c r="AR1607" s="122">
        <v>2930635</v>
      </c>
      <c r="AS1607" s="122">
        <v>1085420</v>
      </c>
      <c r="AT1607">
        <v>0</v>
      </c>
      <c r="AU1607">
        <v>0</v>
      </c>
      <c r="AV1607" s="122">
        <v>4855016</v>
      </c>
    </row>
    <row r="1608" spans="2:48" hidden="1">
      <c r="B1608" t="s">
        <v>372</v>
      </c>
      <c r="C1608" t="s">
        <v>64</v>
      </c>
      <c r="D1608" t="s">
        <v>405</v>
      </c>
      <c r="E1608" t="s">
        <v>405</v>
      </c>
      <c r="F1608" s="122">
        <v>2</v>
      </c>
      <c r="G1608" s="122">
        <v>147</v>
      </c>
      <c r="H1608" s="122">
        <v>946</v>
      </c>
      <c r="I1608" s="122">
        <v>42708</v>
      </c>
      <c r="J1608" s="122">
        <v>38826</v>
      </c>
      <c r="K1608" s="122">
        <v>91</v>
      </c>
      <c r="L1608" s="122">
        <v>8820</v>
      </c>
      <c r="M1608" s="122">
        <v>4659</v>
      </c>
      <c r="N1608" s="122">
        <v>3023</v>
      </c>
      <c r="O1608" s="122">
        <v>1120</v>
      </c>
      <c r="P1608" s="122">
        <v>1296</v>
      </c>
      <c r="Q1608" s="122">
        <v>480</v>
      </c>
      <c r="R1608" s="122">
        <v>7762</v>
      </c>
      <c r="S1608" s="122">
        <v>7056</v>
      </c>
      <c r="T1608" s="122">
        <v>4675</v>
      </c>
      <c r="U1608" s="122">
        <v>1731</v>
      </c>
      <c r="V1608" s="122">
        <v>53872</v>
      </c>
      <c r="W1608" s="122">
        <f t="shared" si="50"/>
        <v>53872</v>
      </c>
      <c r="X1608" s="122">
        <f t="shared" si="51"/>
        <v>68284</v>
      </c>
      <c r="AA1608" t="s">
        <v>60</v>
      </c>
      <c r="AB1608" t="s">
        <v>137</v>
      </c>
      <c r="AC1608" t="s">
        <v>580</v>
      </c>
      <c r="AD1608" t="s">
        <v>137</v>
      </c>
      <c r="AE1608" t="s">
        <v>137</v>
      </c>
      <c r="AF1608">
        <v>2</v>
      </c>
      <c r="AG1608">
        <v>329</v>
      </c>
      <c r="AH1608" s="122">
        <v>716</v>
      </c>
      <c r="AI1608" s="122">
        <v>103797</v>
      </c>
      <c r="AJ1608" s="122">
        <v>38443</v>
      </c>
      <c r="AK1608">
        <v>100</v>
      </c>
      <c r="AL1608" s="122">
        <v>7703</v>
      </c>
      <c r="AM1608" s="122">
        <v>7002</v>
      </c>
      <c r="AN1608" s="122">
        <v>7480</v>
      </c>
      <c r="AO1608" s="122">
        <v>2770</v>
      </c>
      <c r="AP1608">
        <v>351</v>
      </c>
      <c r="AQ1608">
        <v>130</v>
      </c>
      <c r="AR1608" s="122">
        <v>-290</v>
      </c>
      <c r="AS1608" s="122">
        <v>-107</v>
      </c>
      <c r="AT1608">
        <v>0</v>
      </c>
      <c r="AU1608">
        <v>0</v>
      </c>
      <c r="AV1608" s="122">
        <v>48239</v>
      </c>
    </row>
    <row r="1609" spans="2:48" hidden="1">
      <c r="B1609" t="s">
        <v>372</v>
      </c>
      <c r="C1609" t="s">
        <v>64</v>
      </c>
      <c r="D1609" t="s">
        <v>137</v>
      </c>
      <c r="E1609" t="s">
        <v>137</v>
      </c>
      <c r="F1609" s="122">
        <v>67</v>
      </c>
      <c r="G1609" s="122">
        <v>6594</v>
      </c>
      <c r="H1609" s="122">
        <v>51333</v>
      </c>
      <c r="I1609" s="122">
        <v>3623108</v>
      </c>
      <c r="J1609" s="122">
        <v>1341892</v>
      </c>
      <c r="K1609" s="122">
        <v>100</v>
      </c>
      <c r="L1609" s="122">
        <v>517260</v>
      </c>
      <c r="M1609" s="122">
        <v>469923</v>
      </c>
      <c r="N1609" s="122">
        <v>157271</v>
      </c>
      <c r="O1609" s="122">
        <v>58249</v>
      </c>
      <c r="P1609" s="122">
        <v>1944</v>
      </c>
      <c r="Q1609" s="122">
        <v>720</v>
      </c>
      <c r="R1609" s="122">
        <v>481101</v>
      </c>
      <c r="S1609" s="122">
        <v>178186</v>
      </c>
      <c r="T1609" s="122">
        <v>5088</v>
      </c>
      <c r="U1609" s="122">
        <v>1885</v>
      </c>
      <c r="V1609" s="122">
        <v>2050853</v>
      </c>
      <c r="W1609" s="122">
        <f t="shared" si="50"/>
        <v>2050855</v>
      </c>
      <c r="X1609" s="122">
        <f t="shared" si="51"/>
        <v>4785772</v>
      </c>
      <c r="AA1609" t="s">
        <v>60</v>
      </c>
      <c r="AB1609" t="s">
        <v>137</v>
      </c>
      <c r="AC1609" t="s">
        <v>580</v>
      </c>
      <c r="AD1609" t="s">
        <v>137</v>
      </c>
      <c r="AE1609" t="s">
        <v>566</v>
      </c>
      <c r="AF1609">
        <v>6</v>
      </c>
      <c r="AG1609">
        <v>885</v>
      </c>
      <c r="AH1609" s="122">
        <v>1971</v>
      </c>
      <c r="AI1609" s="122">
        <v>190635</v>
      </c>
      <c r="AJ1609" s="122">
        <v>70606</v>
      </c>
      <c r="AK1609">
        <v>100</v>
      </c>
      <c r="AL1609" s="122">
        <v>25286</v>
      </c>
      <c r="AM1609" s="122">
        <v>22987</v>
      </c>
      <c r="AN1609" s="122">
        <v>18620</v>
      </c>
      <c r="AO1609" s="122">
        <v>6896</v>
      </c>
      <c r="AP1609" s="122">
        <v>270</v>
      </c>
      <c r="AQ1609">
        <v>100</v>
      </c>
      <c r="AR1609" s="122">
        <v>55937</v>
      </c>
      <c r="AS1609" s="122">
        <v>20717</v>
      </c>
      <c r="AT1609" s="122">
        <v>0</v>
      </c>
      <c r="AU1609" s="122">
        <v>0</v>
      </c>
      <c r="AV1609" s="122">
        <v>121306</v>
      </c>
    </row>
    <row r="1610" spans="2:48" hidden="1">
      <c r="B1610" t="s">
        <v>372</v>
      </c>
      <c r="C1610" t="s">
        <v>64</v>
      </c>
      <c r="D1610" t="s">
        <v>137</v>
      </c>
      <c r="E1610" t="s">
        <v>406</v>
      </c>
      <c r="F1610" s="122">
        <v>2</v>
      </c>
      <c r="G1610" s="122">
        <v>915</v>
      </c>
      <c r="H1610" s="122">
        <v>1325</v>
      </c>
      <c r="I1610" s="122">
        <v>459664</v>
      </c>
      <c r="J1610" s="122">
        <v>170246</v>
      </c>
      <c r="K1610" s="122">
        <v>100</v>
      </c>
      <c r="L1610" s="122">
        <v>50322</v>
      </c>
      <c r="M1610" s="122">
        <v>45747</v>
      </c>
      <c r="N1610" s="122">
        <v>22286</v>
      </c>
      <c r="O1610" s="122">
        <v>8254</v>
      </c>
      <c r="P1610" s="122">
        <v>270</v>
      </c>
      <c r="Q1610" s="122">
        <v>100</v>
      </c>
      <c r="R1610" s="122">
        <v>14732</v>
      </c>
      <c r="S1610" s="122">
        <v>13393</v>
      </c>
      <c r="T1610" s="122">
        <v>3985</v>
      </c>
      <c r="U1610" s="122">
        <v>1476</v>
      </c>
      <c r="V1610" s="122">
        <v>239216</v>
      </c>
      <c r="W1610" s="122">
        <f t="shared" si="50"/>
        <v>239216</v>
      </c>
      <c r="X1610" s="122">
        <f t="shared" si="51"/>
        <v>551259</v>
      </c>
      <c r="AA1610" t="s">
        <v>60</v>
      </c>
      <c r="AB1610" t="s">
        <v>137</v>
      </c>
      <c r="AC1610" t="s">
        <v>580</v>
      </c>
      <c r="AD1610" t="s">
        <v>406</v>
      </c>
      <c r="AE1610" t="s">
        <v>137</v>
      </c>
      <c r="AF1610">
        <v>6</v>
      </c>
      <c r="AG1610">
        <v>820</v>
      </c>
      <c r="AH1610" s="122">
        <v>1929</v>
      </c>
      <c r="AI1610" s="122">
        <v>180163</v>
      </c>
      <c r="AJ1610" s="122">
        <v>66727</v>
      </c>
      <c r="AK1610">
        <v>100</v>
      </c>
      <c r="AL1610" s="122">
        <v>15611</v>
      </c>
      <c r="AM1610" s="122">
        <v>14192</v>
      </c>
      <c r="AN1610" s="122">
        <v>14886</v>
      </c>
      <c r="AO1610" s="122">
        <v>5513</v>
      </c>
      <c r="AP1610" s="122">
        <v>1512</v>
      </c>
      <c r="AQ1610">
        <v>560</v>
      </c>
      <c r="AR1610" s="122">
        <v>33022</v>
      </c>
      <c r="AS1610" s="122">
        <v>30020</v>
      </c>
      <c r="AT1610" s="122">
        <v>16642</v>
      </c>
      <c r="AU1610" s="122">
        <v>6164</v>
      </c>
      <c r="AV1610" s="122">
        <v>123176</v>
      </c>
    </row>
    <row r="1611" spans="2:48" hidden="1">
      <c r="B1611" t="s">
        <v>372</v>
      </c>
      <c r="C1611" t="s">
        <v>64</v>
      </c>
      <c r="D1611" t="s">
        <v>137</v>
      </c>
      <c r="E1611" t="s">
        <v>427</v>
      </c>
      <c r="F1611" s="122">
        <v>1</v>
      </c>
      <c r="G1611" s="122">
        <v>107</v>
      </c>
      <c r="H1611" s="122">
        <v>791</v>
      </c>
      <c r="I1611" s="122">
        <v>65906</v>
      </c>
      <c r="J1611" s="122">
        <v>24409</v>
      </c>
      <c r="K1611" s="122">
        <v>100</v>
      </c>
      <c r="L1611" s="122">
        <v>6630</v>
      </c>
      <c r="M1611" s="122">
        <v>6027</v>
      </c>
      <c r="N1611" s="122">
        <v>2184</v>
      </c>
      <c r="O1611" s="122">
        <v>809</v>
      </c>
      <c r="P1611" s="122">
        <v>0</v>
      </c>
      <c r="Q1611" s="122">
        <v>0</v>
      </c>
      <c r="R1611" s="122">
        <v>10263</v>
      </c>
      <c r="S1611" s="122">
        <v>9330</v>
      </c>
      <c r="T1611" s="122">
        <v>0</v>
      </c>
      <c r="U1611" s="122">
        <v>0</v>
      </c>
      <c r="V1611" s="122">
        <v>40576</v>
      </c>
      <c r="W1611" s="122">
        <f t="shared" si="50"/>
        <v>40575</v>
      </c>
      <c r="X1611" s="122">
        <f t="shared" si="51"/>
        <v>84983</v>
      </c>
      <c r="AA1611" t="s">
        <v>60</v>
      </c>
      <c r="AB1611" t="s">
        <v>137</v>
      </c>
      <c r="AC1611" t="s">
        <v>580</v>
      </c>
      <c r="AD1611" t="s">
        <v>406</v>
      </c>
      <c r="AE1611" t="s">
        <v>566</v>
      </c>
      <c r="AF1611">
        <v>5</v>
      </c>
      <c r="AG1611">
        <v>747</v>
      </c>
      <c r="AH1611" s="122">
        <v>1732</v>
      </c>
      <c r="AI1611" s="122">
        <v>208133</v>
      </c>
      <c r="AJ1611" s="122">
        <v>77086</v>
      </c>
      <c r="AK1611">
        <v>94</v>
      </c>
      <c r="AL1611" s="122">
        <v>19251</v>
      </c>
      <c r="AM1611" s="122">
        <v>17501</v>
      </c>
      <c r="AN1611" s="122">
        <v>16793</v>
      </c>
      <c r="AO1611" s="122">
        <v>6220</v>
      </c>
      <c r="AP1611" s="122">
        <v>1863</v>
      </c>
      <c r="AQ1611">
        <v>690</v>
      </c>
      <c r="AR1611" s="122">
        <v>39525</v>
      </c>
      <c r="AS1611" s="122">
        <v>35932</v>
      </c>
      <c r="AT1611">
        <v>0</v>
      </c>
      <c r="AU1611">
        <v>0</v>
      </c>
      <c r="AV1611" s="122">
        <v>137429</v>
      </c>
    </row>
    <row r="1612" spans="2:48" hidden="1">
      <c r="B1612" t="s">
        <v>372</v>
      </c>
      <c r="C1612" t="s">
        <v>64</v>
      </c>
      <c r="D1612" t="s">
        <v>137</v>
      </c>
      <c r="E1612" t="s">
        <v>431</v>
      </c>
      <c r="F1612" s="122">
        <v>1</v>
      </c>
      <c r="G1612" s="122">
        <v>101</v>
      </c>
      <c r="H1612" s="122">
        <v>889</v>
      </c>
      <c r="I1612" s="122">
        <v>94047</v>
      </c>
      <c r="J1612" s="122">
        <v>34832</v>
      </c>
      <c r="K1612" s="122">
        <v>100</v>
      </c>
      <c r="L1612" s="122">
        <v>12294</v>
      </c>
      <c r="M1612" s="122">
        <v>11176</v>
      </c>
      <c r="N1612" s="122">
        <v>3304</v>
      </c>
      <c r="O1612" s="122">
        <v>1224</v>
      </c>
      <c r="P1612" s="122">
        <v>0</v>
      </c>
      <c r="Q1612" s="122">
        <v>0</v>
      </c>
      <c r="R1612" s="122">
        <v>7374</v>
      </c>
      <c r="S1612" s="122">
        <v>6704</v>
      </c>
      <c r="T1612" s="122">
        <v>3571</v>
      </c>
      <c r="U1612" s="122">
        <v>1323</v>
      </c>
      <c r="V1612" s="122">
        <v>55259</v>
      </c>
      <c r="W1612" s="122">
        <f t="shared" si="50"/>
        <v>55259</v>
      </c>
      <c r="X1612" s="122">
        <f t="shared" si="51"/>
        <v>120590</v>
      </c>
      <c r="AA1612" t="s">
        <v>60</v>
      </c>
      <c r="AB1612" t="s">
        <v>137</v>
      </c>
      <c r="AC1612" t="s">
        <v>427</v>
      </c>
      <c r="AD1612" t="s">
        <v>137</v>
      </c>
      <c r="AE1612" t="s">
        <v>137</v>
      </c>
      <c r="AF1612">
        <v>2</v>
      </c>
      <c r="AG1612" s="122">
        <v>272</v>
      </c>
      <c r="AH1612" s="122">
        <v>704</v>
      </c>
      <c r="AI1612" s="122">
        <v>82198</v>
      </c>
      <c r="AJ1612" s="122">
        <v>30444</v>
      </c>
      <c r="AK1612">
        <v>100</v>
      </c>
      <c r="AL1612" s="122">
        <v>9963</v>
      </c>
      <c r="AM1612" s="122">
        <v>9057</v>
      </c>
      <c r="AN1612" s="122">
        <v>7214</v>
      </c>
      <c r="AO1612" s="122">
        <v>2672</v>
      </c>
      <c r="AP1612" s="122">
        <v>0</v>
      </c>
      <c r="AQ1612" s="122">
        <v>0</v>
      </c>
      <c r="AR1612" s="122">
        <v>17881</v>
      </c>
      <c r="AS1612" s="122">
        <v>6623</v>
      </c>
      <c r="AT1612">
        <v>0</v>
      </c>
      <c r="AU1612">
        <v>0</v>
      </c>
      <c r="AV1612" s="122">
        <v>48796</v>
      </c>
    </row>
    <row r="1613" spans="2:48" hidden="1">
      <c r="B1613" t="s">
        <v>372</v>
      </c>
      <c r="C1613" t="s">
        <v>64</v>
      </c>
      <c r="D1613" t="s">
        <v>137</v>
      </c>
      <c r="E1613" t="s">
        <v>426</v>
      </c>
      <c r="F1613" s="122">
        <v>4</v>
      </c>
      <c r="G1613" s="122">
        <v>376</v>
      </c>
      <c r="H1613" s="122">
        <v>2612</v>
      </c>
      <c r="I1613" s="122">
        <v>180257</v>
      </c>
      <c r="J1613" s="122">
        <v>66762</v>
      </c>
      <c r="K1613" s="122">
        <v>100</v>
      </c>
      <c r="L1613" s="122">
        <v>18934</v>
      </c>
      <c r="M1613" s="122">
        <v>17213</v>
      </c>
      <c r="N1613" s="122">
        <v>7064</v>
      </c>
      <c r="O1613" s="122">
        <v>2616</v>
      </c>
      <c r="P1613" s="122">
        <v>1053</v>
      </c>
      <c r="Q1613" s="122">
        <v>390</v>
      </c>
      <c r="R1613" s="122">
        <v>28117</v>
      </c>
      <c r="S1613" s="122">
        <v>25561</v>
      </c>
      <c r="T1613" s="122">
        <v>9341</v>
      </c>
      <c r="U1613" s="122">
        <v>3459</v>
      </c>
      <c r="V1613" s="122">
        <v>116002</v>
      </c>
      <c r="W1613" s="122">
        <f t="shared" si="50"/>
        <v>116001</v>
      </c>
      <c r="X1613" s="122">
        <f t="shared" si="51"/>
        <v>244766</v>
      </c>
      <c r="AA1613" t="s">
        <v>60</v>
      </c>
      <c r="AB1613" t="s">
        <v>137</v>
      </c>
      <c r="AC1613" t="s">
        <v>427</v>
      </c>
      <c r="AD1613" t="s">
        <v>137</v>
      </c>
      <c r="AE1613" t="s">
        <v>566</v>
      </c>
      <c r="AF1613">
        <v>82</v>
      </c>
      <c r="AG1613" s="122">
        <v>9017</v>
      </c>
      <c r="AH1613" s="122">
        <v>27953</v>
      </c>
      <c r="AI1613" s="122">
        <v>2110142</v>
      </c>
      <c r="AJ1613" s="122">
        <v>781534</v>
      </c>
      <c r="AK1613">
        <v>102</v>
      </c>
      <c r="AL1613" s="122">
        <v>338404</v>
      </c>
      <c r="AM1613" s="122">
        <v>307640</v>
      </c>
      <c r="AN1613" s="122">
        <v>214032</v>
      </c>
      <c r="AO1613" s="122">
        <v>79271</v>
      </c>
      <c r="AP1613" s="122">
        <v>3159</v>
      </c>
      <c r="AQ1613" s="122">
        <v>1170</v>
      </c>
      <c r="AR1613" s="122">
        <v>658360</v>
      </c>
      <c r="AS1613" s="122">
        <v>243837</v>
      </c>
      <c r="AT1613" s="122">
        <v>0</v>
      </c>
      <c r="AU1613" s="122">
        <v>0</v>
      </c>
      <c r="AV1613" s="122">
        <v>1413452</v>
      </c>
    </row>
    <row r="1614" spans="2:48" hidden="1">
      <c r="B1614" t="s">
        <v>372</v>
      </c>
      <c r="C1614" t="s">
        <v>64</v>
      </c>
      <c r="D1614" t="s">
        <v>406</v>
      </c>
      <c r="E1614" t="s">
        <v>137</v>
      </c>
      <c r="F1614" s="122">
        <v>3</v>
      </c>
      <c r="G1614" s="122">
        <v>194</v>
      </c>
      <c r="H1614" s="122">
        <v>1992</v>
      </c>
      <c r="I1614" s="122">
        <v>98196</v>
      </c>
      <c r="J1614" s="122">
        <v>89269</v>
      </c>
      <c r="K1614" s="122">
        <v>72</v>
      </c>
      <c r="L1614" s="122">
        <v>8147</v>
      </c>
      <c r="M1614" s="122">
        <v>7407</v>
      </c>
      <c r="N1614" s="122">
        <v>4290</v>
      </c>
      <c r="O1614" s="122">
        <v>1589</v>
      </c>
      <c r="P1614" s="122">
        <v>1242</v>
      </c>
      <c r="Q1614" s="122">
        <v>460</v>
      </c>
      <c r="R1614" s="122">
        <v>15595</v>
      </c>
      <c r="S1614" s="122">
        <v>5776</v>
      </c>
      <c r="T1614" s="122">
        <v>0</v>
      </c>
      <c r="U1614" s="122">
        <v>0</v>
      </c>
      <c r="V1614" s="122">
        <v>104500</v>
      </c>
      <c r="W1614" s="122">
        <f t="shared" si="50"/>
        <v>104501</v>
      </c>
      <c r="X1614" s="122">
        <f t="shared" si="51"/>
        <v>127470</v>
      </c>
      <c r="AA1614" t="s">
        <v>60</v>
      </c>
      <c r="AB1614" t="s">
        <v>137</v>
      </c>
      <c r="AC1614" t="s">
        <v>427</v>
      </c>
      <c r="AD1614" t="s">
        <v>427</v>
      </c>
      <c r="AE1614" t="s">
        <v>137</v>
      </c>
      <c r="AF1614">
        <v>2</v>
      </c>
      <c r="AG1614">
        <v>155</v>
      </c>
      <c r="AH1614">
        <v>675</v>
      </c>
      <c r="AI1614" s="122">
        <v>29215</v>
      </c>
      <c r="AJ1614" s="122">
        <v>10821</v>
      </c>
      <c r="AK1614">
        <v>100</v>
      </c>
      <c r="AL1614" s="122">
        <v>2860</v>
      </c>
      <c r="AM1614" s="122">
        <v>2600</v>
      </c>
      <c r="AN1614" s="122">
        <v>3594</v>
      </c>
      <c r="AO1614" s="122">
        <v>1331</v>
      </c>
      <c r="AP1614">
        <v>0</v>
      </c>
      <c r="AQ1614">
        <v>0</v>
      </c>
      <c r="AR1614" s="122">
        <v>10825</v>
      </c>
      <c r="AS1614" s="122">
        <v>9841</v>
      </c>
      <c r="AT1614" s="122">
        <v>4970</v>
      </c>
      <c r="AU1614" s="122">
        <v>1841</v>
      </c>
      <c r="AV1614" s="122">
        <v>26434</v>
      </c>
    </row>
    <row r="1615" spans="2:48" hidden="1">
      <c r="B1615" t="s">
        <v>372</v>
      </c>
      <c r="C1615" t="s">
        <v>64</v>
      </c>
      <c r="D1615" t="s">
        <v>406</v>
      </c>
      <c r="E1615" t="s">
        <v>406</v>
      </c>
      <c r="F1615" s="122">
        <v>201</v>
      </c>
      <c r="G1615" s="122">
        <v>20836</v>
      </c>
      <c r="H1615" s="122">
        <v>111146</v>
      </c>
      <c r="I1615" s="122">
        <v>7916920</v>
      </c>
      <c r="J1615" s="122">
        <v>7197200</v>
      </c>
      <c r="K1615" s="122">
        <v>72</v>
      </c>
      <c r="L1615" s="122">
        <v>1509417</v>
      </c>
      <c r="M1615" s="122">
        <v>1322471</v>
      </c>
      <c r="N1615" s="122">
        <v>449028</v>
      </c>
      <c r="O1615" s="122">
        <v>166307</v>
      </c>
      <c r="P1615" s="122">
        <v>127440</v>
      </c>
      <c r="Q1615" s="122">
        <v>47200</v>
      </c>
      <c r="R1615" s="122">
        <v>1039476</v>
      </c>
      <c r="S1615" s="122">
        <v>944978</v>
      </c>
      <c r="T1615" s="122">
        <v>333977</v>
      </c>
      <c r="U1615" s="122">
        <v>123695</v>
      </c>
      <c r="V1615" s="122">
        <v>9801850</v>
      </c>
      <c r="W1615" s="122">
        <f t="shared" si="50"/>
        <v>9801851</v>
      </c>
      <c r="X1615" s="122">
        <f t="shared" si="51"/>
        <v>11376258</v>
      </c>
      <c r="AA1615" t="s">
        <v>60</v>
      </c>
      <c r="AB1615" t="s">
        <v>137</v>
      </c>
      <c r="AC1615" t="s">
        <v>407</v>
      </c>
      <c r="AD1615" t="s">
        <v>137</v>
      </c>
      <c r="AE1615" t="s">
        <v>137</v>
      </c>
      <c r="AF1615">
        <v>1</v>
      </c>
      <c r="AG1615">
        <v>176</v>
      </c>
      <c r="AH1615">
        <v>366</v>
      </c>
      <c r="AI1615" s="122">
        <v>47129</v>
      </c>
      <c r="AJ1615" s="122">
        <v>17455</v>
      </c>
      <c r="AK1615">
        <v>127</v>
      </c>
      <c r="AL1615" s="122">
        <v>6774</v>
      </c>
      <c r="AM1615" s="122">
        <v>6158</v>
      </c>
      <c r="AN1615" s="122">
        <v>3224</v>
      </c>
      <c r="AO1615" s="122">
        <v>1194</v>
      </c>
      <c r="AP1615">
        <v>702</v>
      </c>
      <c r="AQ1615">
        <v>260</v>
      </c>
      <c r="AR1615" s="122">
        <v>6805</v>
      </c>
      <c r="AS1615" s="122">
        <v>2520</v>
      </c>
      <c r="AT1615">
        <v>0</v>
      </c>
      <c r="AU1615">
        <v>0</v>
      </c>
      <c r="AV1615" s="122">
        <v>27588</v>
      </c>
    </row>
    <row r="1616" spans="2:48" hidden="1">
      <c r="B1616" t="s">
        <v>372</v>
      </c>
      <c r="C1616" t="s">
        <v>64</v>
      </c>
      <c r="D1616" t="s">
        <v>406</v>
      </c>
      <c r="E1616" t="s">
        <v>431</v>
      </c>
      <c r="F1616" s="122">
        <v>1</v>
      </c>
      <c r="G1616" s="122">
        <v>152</v>
      </c>
      <c r="H1616" s="122">
        <v>488</v>
      </c>
      <c r="I1616" s="122">
        <v>66493</v>
      </c>
      <c r="J1616" s="122">
        <v>60448</v>
      </c>
      <c r="K1616" s="122">
        <v>65</v>
      </c>
      <c r="L1616" s="122">
        <v>7024</v>
      </c>
      <c r="M1616" s="122">
        <v>6386</v>
      </c>
      <c r="N1616" s="122">
        <v>4387</v>
      </c>
      <c r="O1616" s="122">
        <v>1625</v>
      </c>
      <c r="P1616" s="122">
        <v>621</v>
      </c>
      <c r="Q1616" s="122">
        <v>230</v>
      </c>
      <c r="R1616" s="122">
        <v>5920</v>
      </c>
      <c r="S1616" s="122">
        <v>5382</v>
      </c>
      <c r="T1616" s="122">
        <v>3333</v>
      </c>
      <c r="U1616" s="122">
        <v>1234</v>
      </c>
      <c r="V1616" s="122">
        <v>75305</v>
      </c>
      <c r="W1616" s="122">
        <f t="shared" si="50"/>
        <v>75305</v>
      </c>
      <c r="X1616" s="122">
        <f t="shared" si="51"/>
        <v>87778</v>
      </c>
      <c r="AA1616" t="s">
        <v>60</v>
      </c>
      <c r="AB1616" t="s">
        <v>137</v>
      </c>
      <c r="AC1616" t="s">
        <v>407</v>
      </c>
      <c r="AD1616" t="s">
        <v>137</v>
      </c>
      <c r="AE1616" t="s">
        <v>566</v>
      </c>
      <c r="AF1616">
        <v>3</v>
      </c>
      <c r="AG1616">
        <v>592</v>
      </c>
      <c r="AH1616">
        <v>961</v>
      </c>
      <c r="AI1616" s="122">
        <v>136903</v>
      </c>
      <c r="AJ1616" s="122">
        <v>50705</v>
      </c>
      <c r="AK1616">
        <v>100</v>
      </c>
      <c r="AL1616" s="122">
        <v>23715</v>
      </c>
      <c r="AM1616" s="122">
        <v>21560</v>
      </c>
      <c r="AN1616" s="122">
        <v>14212</v>
      </c>
      <c r="AO1616" s="122">
        <v>5264</v>
      </c>
      <c r="AP1616">
        <v>0</v>
      </c>
      <c r="AQ1616">
        <v>0</v>
      </c>
      <c r="AR1616" s="122">
        <v>34392</v>
      </c>
      <c r="AS1616" s="122">
        <v>12738</v>
      </c>
      <c r="AT1616">
        <v>0</v>
      </c>
      <c r="AU1616">
        <v>0</v>
      </c>
      <c r="AV1616" s="122">
        <v>90266</v>
      </c>
    </row>
    <row r="1617" spans="2:48" hidden="1">
      <c r="B1617" t="s">
        <v>372</v>
      </c>
      <c r="C1617" t="s">
        <v>64</v>
      </c>
      <c r="D1617" t="s">
        <v>427</v>
      </c>
      <c r="E1617" t="s">
        <v>137</v>
      </c>
      <c r="F1617" s="122">
        <v>2</v>
      </c>
      <c r="G1617" s="122">
        <v>158</v>
      </c>
      <c r="H1617" s="122">
        <v>2285</v>
      </c>
      <c r="I1617" s="122">
        <v>141249</v>
      </c>
      <c r="J1617" s="122">
        <v>128408</v>
      </c>
      <c r="K1617" s="122">
        <v>38</v>
      </c>
      <c r="L1617" s="122">
        <v>17481</v>
      </c>
      <c r="M1617" s="122">
        <v>12744</v>
      </c>
      <c r="N1617" s="122">
        <v>3505</v>
      </c>
      <c r="O1617" s="122">
        <v>1298</v>
      </c>
      <c r="P1617" s="122">
        <v>0</v>
      </c>
      <c r="Q1617" s="122">
        <v>0</v>
      </c>
      <c r="R1617" s="122">
        <v>14135</v>
      </c>
      <c r="S1617" s="122">
        <v>5235</v>
      </c>
      <c r="T1617" s="122">
        <v>0</v>
      </c>
      <c r="U1617" s="122">
        <v>0</v>
      </c>
      <c r="V1617" s="122">
        <v>147685</v>
      </c>
      <c r="W1617" s="122">
        <f t="shared" si="50"/>
        <v>147685</v>
      </c>
      <c r="X1617" s="122">
        <f t="shared" si="51"/>
        <v>176370</v>
      </c>
      <c r="AA1617" t="s">
        <v>60</v>
      </c>
      <c r="AB1617" t="s">
        <v>137</v>
      </c>
      <c r="AC1617" t="s">
        <v>407</v>
      </c>
      <c r="AD1617" t="s">
        <v>407</v>
      </c>
      <c r="AE1617" t="s">
        <v>566</v>
      </c>
      <c r="AF1617">
        <v>2</v>
      </c>
      <c r="AG1617">
        <v>379</v>
      </c>
      <c r="AH1617" s="122">
        <v>635</v>
      </c>
      <c r="AI1617" s="122">
        <v>96687</v>
      </c>
      <c r="AJ1617" s="122">
        <v>35810</v>
      </c>
      <c r="AK1617">
        <v>100</v>
      </c>
      <c r="AL1617" s="122">
        <v>6593</v>
      </c>
      <c r="AM1617" s="122">
        <v>5994</v>
      </c>
      <c r="AN1617" s="122">
        <v>8887</v>
      </c>
      <c r="AO1617" s="122">
        <v>3292</v>
      </c>
      <c r="AP1617">
        <v>945</v>
      </c>
      <c r="AQ1617">
        <v>350</v>
      </c>
      <c r="AR1617" s="122">
        <v>8167</v>
      </c>
      <c r="AS1617" s="122">
        <v>7425</v>
      </c>
      <c r="AT1617">
        <v>0</v>
      </c>
      <c r="AU1617">
        <v>0</v>
      </c>
      <c r="AV1617" s="122">
        <v>52870</v>
      </c>
    </row>
    <row r="1618" spans="2:48" hidden="1">
      <c r="B1618" t="s">
        <v>372</v>
      </c>
      <c r="C1618" t="s">
        <v>64</v>
      </c>
      <c r="D1618" t="s">
        <v>427</v>
      </c>
      <c r="E1618" t="s">
        <v>427</v>
      </c>
      <c r="F1618" s="122">
        <v>3</v>
      </c>
      <c r="G1618" s="122">
        <v>356</v>
      </c>
      <c r="H1618" s="122">
        <v>1834</v>
      </c>
      <c r="I1618" s="122">
        <v>153097</v>
      </c>
      <c r="J1618" s="122">
        <v>139179</v>
      </c>
      <c r="K1618" s="122">
        <v>55</v>
      </c>
      <c r="L1618" s="122">
        <v>27105</v>
      </c>
      <c r="M1618" s="122">
        <v>24641</v>
      </c>
      <c r="N1618" s="122">
        <v>7665</v>
      </c>
      <c r="O1618" s="122">
        <v>2839</v>
      </c>
      <c r="P1618" s="122">
        <v>702</v>
      </c>
      <c r="Q1618" s="122">
        <v>260</v>
      </c>
      <c r="R1618" s="122">
        <v>17533</v>
      </c>
      <c r="S1618" s="122">
        <v>15939</v>
      </c>
      <c r="T1618" s="122">
        <v>5073</v>
      </c>
      <c r="U1618" s="122">
        <v>1879</v>
      </c>
      <c r="V1618" s="122">
        <v>184737</v>
      </c>
      <c r="W1618" s="122">
        <f t="shared" si="50"/>
        <v>184737</v>
      </c>
      <c r="X1618" s="122">
        <f t="shared" si="51"/>
        <v>211175</v>
      </c>
      <c r="AA1618" t="s">
        <v>60</v>
      </c>
      <c r="AB1618" t="s">
        <v>137</v>
      </c>
      <c r="AC1618" t="s">
        <v>579</v>
      </c>
      <c r="AD1618" t="s">
        <v>137</v>
      </c>
      <c r="AE1618" t="s">
        <v>137</v>
      </c>
      <c r="AF1618">
        <v>4</v>
      </c>
      <c r="AG1618" s="122">
        <v>377</v>
      </c>
      <c r="AH1618" s="122">
        <v>1296</v>
      </c>
      <c r="AI1618" s="122">
        <v>65971</v>
      </c>
      <c r="AJ1618" s="122">
        <v>24434</v>
      </c>
      <c r="AK1618">
        <v>100</v>
      </c>
      <c r="AL1618" s="122">
        <v>16326</v>
      </c>
      <c r="AM1618" s="122">
        <v>13605</v>
      </c>
      <c r="AN1618" s="122">
        <v>8460</v>
      </c>
      <c r="AO1618" s="122">
        <v>3134</v>
      </c>
      <c r="AP1618" s="122">
        <v>0</v>
      </c>
      <c r="AQ1618" s="122">
        <v>0</v>
      </c>
      <c r="AR1618" s="122">
        <v>31090</v>
      </c>
      <c r="AS1618" s="122">
        <v>11515</v>
      </c>
      <c r="AT1618">
        <v>0</v>
      </c>
      <c r="AU1618">
        <v>0</v>
      </c>
      <c r="AV1618" s="122">
        <v>52687</v>
      </c>
    </row>
    <row r="1619" spans="2:48" hidden="1">
      <c r="B1619" t="s">
        <v>372</v>
      </c>
      <c r="C1619" t="s">
        <v>64</v>
      </c>
      <c r="D1619" t="s">
        <v>407</v>
      </c>
      <c r="E1619" t="s">
        <v>407</v>
      </c>
      <c r="F1619" s="122">
        <v>3</v>
      </c>
      <c r="G1619" s="122">
        <v>281</v>
      </c>
      <c r="H1619" s="122">
        <v>1661</v>
      </c>
      <c r="I1619" s="122">
        <v>93422</v>
      </c>
      <c r="J1619" s="122">
        <v>84930</v>
      </c>
      <c r="K1619" s="122">
        <v>82</v>
      </c>
      <c r="L1619" s="122">
        <v>32171</v>
      </c>
      <c r="M1619" s="122">
        <v>27286</v>
      </c>
      <c r="N1619" s="122">
        <v>4929</v>
      </c>
      <c r="O1619" s="122">
        <v>1826</v>
      </c>
      <c r="P1619" s="122">
        <v>1418</v>
      </c>
      <c r="Q1619" s="122">
        <v>525</v>
      </c>
      <c r="R1619" s="122">
        <v>12373</v>
      </c>
      <c r="S1619" s="122">
        <v>11248</v>
      </c>
      <c r="T1619" s="122">
        <v>3309</v>
      </c>
      <c r="U1619" s="122">
        <v>1225</v>
      </c>
      <c r="V1619" s="122">
        <v>127039</v>
      </c>
      <c r="W1619" s="122">
        <f t="shared" si="50"/>
        <v>127040</v>
      </c>
      <c r="X1619" s="122">
        <f t="shared" si="51"/>
        <v>147622</v>
      </c>
      <c r="AA1619" t="s">
        <v>60</v>
      </c>
      <c r="AB1619" t="s">
        <v>137</v>
      </c>
      <c r="AC1619" t="s">
        <v>579</v>
      </c>
      <c r="AD1619" t="s">
        <v>137</v>
      </c>
      <c r="AE1619" t="s">
        <v>566</v>
      </c>
      <c r="AF1619">
        <v>79</v>
      </c>
      <c r="AG1619" s="122">
        <v>8792</v>
      </c>
      <c r="AH1619" s="122">
        <v>27236</v>
      </c>
      <c r="AI1619" s="122">
        <v>1925801</v>
      </c>
      <c r="AJ1619" s="122">
        <v>713260</v>
      </c>
      <c r="AK1619">
        <v>104</v>
      </c>
      <c r="AL1619" s="122">
        <v>377158</v>
      </c>
      <c r="AM1619" s="122">
        <v>314298</v>
      </c>
      <c r="AN1619" s="122">
        <v>183772</v>
      </c>
      <c r="AO1619" s="122">
        <v>68064</v>
      </c>
      <c r="AP1619" s="122">
        <v>2727</v>
      </c>
      <c r="AQ1619" s="122">
        <v>1010</v>
      </c>
      <c r="AR1619" s="122">
        <v>611924</v>
      </c>
      <c r="AS1619" s="122">
        <v>226639</v>
      </c>
      <c r="AT1619" s="122">
        <v>0</v>
      </c>
      <c r="AU1619">
        <v>0</v>
      </c>
      <c r="AV1619" s="122">
        <v>1323270</v>
      </c>
    </row>
    <row r="1620" spans="2:48" hidden="1">
      <c r="B1620" t="s">
        <v>372</v>
      </c>
      <c r="C1620" t="s">
        <v>64</v>
      </c>
      <c r="D1620" t="s">
        <v>556</v>
      </c>
      <c r="E1620" t="s">
        <v>556</v>
      </c>
      <c r="F1620" s="122">
        <v>6</v>
      </c>
      <c r="G1620" s="122">
        <v>542</v>
      </c>
      <c r="H1620" s="122">
        <v>3925</v>
      </c>
      <c r="I1620" s="122">
        <v>227137</v>
      </c>
      <c r="J1620" s="122">
        <v>189281</v>
      </c>
      <c r="K1620" s="122">
        <v>57</v>
      </c>
      <c r="L1620" s="122">
        <v>39339</v>
      </c>
      <c r="M1620" s="122">
        <v>31576</v>
      </c>
      <c r="N1620" s="122">
        <v>11776</v>
      </c>
      <c r="O1620" s="122">
        <v>4361</v>
      </c>
      <c r="P1620" s="122">
        <v>1404</v>
      </c>
      <c r="Q1620" s="122">
        <v>520</v>
      </c>
      <c r="R1620" s="122">
        <v>39632</v>
      </c>
      <c r="S1620" s="122">
        <v>33027</v>
      </c>
      <c r="T1620" s="122">
        <v>11826</v>
      </c>
      <c r="U1620" s="122">
        <v>4380</v>
      </c>
      <c r="V1620" s="122">
        <v>263145</v>
      </c>
      <c r="W1620" s="122">
        <f t="shared" si="50"/>
        <v>263145</v>
      </c>
      <c r="X1620" s="122">
        <f t="shared" si="51"/>
        <v>331114</v>
      </c>
      <c r="AA1620" t="s">
        <v>60</v>
      </c>
      <c r="AB1620" t="s">
        <v>137</v>
      </c>
      <c r="AC1620" t="s">
        <v>579</v>
      </c>
      <c r="AD1620" t="s">
        <v>579</v>
      </c>
      <c r="AE1620" t="s">
        <v>137</v>
      </c>
      <c r="AF1620">
        <v>1</v>
      </c>
      <c r="AG1620">
        <v>57</v>
      </c>
      <c r="AH1620">
        <v>328</v>
      </c>
      <c r="AI1620" s="122">
        <v>7791</v>
      </c>
      <c r="AJ1620" s="122">
        <v>2886</v>
      </c>
      <c r="AK1620">
        <v>100</v>
      </c>
      <c r="AL1620" s="122">
        <v>770</v>
      </c>
      <c r="AM1620" s="122">
        <v>641</v>
      </c>
      <c r="AN1620" s="122">
        <v>1082</v>
      </c>
      <c r="AO1620">
        <v>401</v>
      </c>
      <c r="AP1620">
        <v>0</v>
      </c>
      <c r="AQ1620">
        <v>0</v>
      </c>
      <c r="AR1620" s="122">
        <v>6589</v>
      </c>
      <c r="AS1620" s="122">
        <v>5491</v>
      </c>
      <c r="AT1620" s="122">
        <v>2564</v>
      </c>
      <c r="AU1620">
        <v>950</v>
      </c>
      <c r="AV1620" s="122">
        <v>10368</v>
      </c>
    </row>
    <row r="1621" spans="2:48" hidden="1">
      <c r="B1621" t="s">
        <v>372</v>
      </c>
      <c r="C1621" t="s">
        <v>64</v>
      </c>
      <c r="D1621" t="s">
        <v>428</v>
      </c>
      <c r="E1621" t="s">
        <v>428</v>
      </c>
      <c r="F1621" s="122">
        <v>4</v>
      </c>
      <c r="G1621" s="122">
        <v>345</v>
      </c>
      <c r="H1621" s="122">
        <v>2827</v>
      </c>
      <c r="I1621" s="122">
        <v>163859</v>
      </c>
      <c r="J1621" s="122">
        <v>148963</v>
      </c>
      <c r="K1621" s="122">
        <v>55</v>
      </c>
      <c r="L1621" s="122">
        <v>20109</v>
      </c>
      <c r="M1621" s="122">
        <v>18281</v>
      </c>
      <c r="N1621" s="122">
        <v>7433</v>
      </c>
      <c r="O1621" s="122">
        <v>2753</v>
      </c>
      <c r="P1621" s="122">
        <v>1323</v>
      </c>
      <c r="Q1621" s="122">
        <v>490</v>
      </c>
      <c r="R1621" s="122">
        <v>33120</v>
      </c>
      <c r="S1621" s="122">
        <v>30109</v>
      </c>
      <c r="T1621" s="122">
        <v>2915</v>
      </c>
      <c r="U1621" s="122">
        <v>1080</v>
      </c>
      <c r="V1621" s="122">
        <v>201675</v>
      </c>
      <c r="W1621" s="122">
        <f t="shared" si="50"/>
        <v>201676</v>
      </c>
      <c r="X1621" s="122">
        <f t="shared" si="51"/>
        <v>228759</v>
      </c>
      <c r="AA1621" t="s">
        <v>60</v>
      </c>
      <c r="AB1621" t="s">
        <v>137</v>
      </c>
      <c r="AC1621" t="s">
        <v>579</v>
      </c>
      <c r="AD1621" t="s">
        <v>579</v>
      </c>
      <c r="AE1621" t="s">
        <v>566</v>
      </c>
      <c r="AF1621">
        <v>1</v>
      </c>
      <c r="AG1621" s="122">
        <v>188</v>
      </c>
      <c r="AH1621" s="122">
        <v>327</v>
      </c>
      <c r="AI1621" s="122">
        <v>49809</v>
      </c>
      <c r="AJ1621" s="122">
        <v>18448</v>
      </c>
      <c r="AK1621">
        <v>100</v>
      </c>
      <c r="AL1621" s="122">
        <v>3904</v>
      </c>
      <c r="AM1621" s="122">
        <v>3254</v>
      </c>
      <c r="AN1621" s="122">
        <v>2289</v>
      </c>
      <c r="AO1621" s="122">
        <v>848</v>
      </c>
      <c r="AP1621">
        <v>0</v>
      </c>
      <c r="AQ1621">
        <v>0</v>
      </c>
      <c r="AR1621" s="122">
        <v>5455</v>
      </c>
      <c r="AS1621" s="122">
        <v>4546</v>
      </c>
      <c r="AT1621">
        <v>0</v>
      </c>
      <c r="AU1621">
        <v>0</v>
      </c>
      <c r="AV1621" s="122">
        <v>27095</v>
      </c>
    </row>
    <row r="1622" spans="2:48" hidden="1">
      <c r="B1622" t="s">
        <v>372</v>
      </c>
      <c r="C1622" t="s">
        <v>64</v>
      </c>
      <c r="D1622" t="s">
        <v>431</v>
      </c>
      <c r="E1622" t="s">
        <v>431</v>
      </c>
      <c r="F1622" s="122">
        <v>22</v>
      </c>
      <c r="G1622" s="122">
        <v>1954</v>
      </c>
      <c r="H1622" s="122">
        <v>15459</v>
      </c>
      <c r="I1622" s="122">
        <v>929460</v>
      </c>
      <c r="J1622" s="122">
        <v>844963</v>
      </c>
      <c r="K1622" s="122">
        <v>48</v>
      </c>
      <c r="L1622" s="122">
        <v>141017</v>
      </c>
      <c r="M1622" s="122">
        <v>123204</v>
      </c>
      <c r="N1622" s="122">
        <v>39867</v>
      </c>
      <c r="O1622" s="122">
        <v>14766</v>
      </c>
      <c r="P1622" s="122">
        <v>7641</v>
      </c>
      <c r="Q1622" s="122">
        <v>2830</v>
      </c>
      <c r="R1622" s="122">
        <v>154740</v>
      </c>
      <c r="S1622" s="122">
        <v>140672</v>
      </c>
      <c r="T1622" s="122">
        <v>35228</v>
      </c>
      <c r="U1622" s="122">
        <v>13048</v>
      </c>
      <c r="V1622" s="122">
        <v>1139482</v>
      </c>
      <c r="W1622" s="122">
        <f t="shared" si="50"/>
        <v>1139483</v>
      </c>
      <c r="X1622" s="122">
        <f t="shared" si="51"/>
        <v>1307953</v>
      </c>
      <c r="AA1622" t="s">
        <v>60</v>
      </c>
      <c r="AB1622" t="s">
        <v>137</v>
      </c>
      <c r="AC1622" t="s">
        <v>428</v>
      </c>
      <c r="AD1622" t="s">
        <v>137</v>
      </c>
      <c r="AE1622" t="s">
        <v>566</v>
      </c>
      <c r="AF1622">
        <v>19</v>
      </c>
      <c r="AG1622" s="122">
        <v>1522</v>
      </c>
      <c r="AH1622" s="122">
        <v>6193</v>
      </c>
      <c r="AI1622" s="122">
        <v>317958</v>
      </c>
      <c r="AJ1622" s="122">
        <v>117762</v>
      </c>
      <c r="AK1622">
        <v>100</v>
      </c>
      <c r="AL1622" s="122">
        <v>38308</v>
      </c>
      <c r="AM1622" s="122">
        <v>34826</v>
      </c>
      <c r="AN1622" s="122">
        <v>22873</v>
      </c>
      <c r="AO1622" s="122">
        <v>8471</v>
      </c>
      <c r="AP1622">
        <v>621</v>
      </c>
      <c r="AQ1622">
        <v>230</v>
      </c>
      <c r="AR1622" s="122">
        <v>128971</v>
      </c>
      <c r="AS1622" s="122">
        <v>47767</v>
      </c>
      <c r="AT1622">
        <v>0</v>
      </c>
      <c r="AU1622">
        <v>0</v>
      </c>
      <c r="AV1622" s="122">
        <v>209056</v>
      </c>
    </row>
    <row r="1623" spans="2:48" hidden="1">
      <c r="B1623" t="s">
        <v>372</v>
      </c>
      <c r="C1623" t="s">
        <v>64</v>
      </c>
      <c r="D1623" t="s">
        <v>426</v>
      </c>
      <c r="E1623" t="s">
        <v>137</v>
      </c>
      <c r="F1623" s="122">
        <v>34</v>
      </c>
      <c r="G1623" s="122">
        <v>3009</v>
      </c>
      <c r="H1623" s="122">
        <v>38282</v>
      </c>
      <c r="I1623" s="122">
        <v>2679695</v>
      </c>
      <c r="J1623" s="122">
        <v>2436086</v>
      </c>
      <c r="K1623" s="122">
        <v>41</v>
      </c>
      <c r="L1623" s="122">
        <v>284931</v>
      </c>
      <c r="M1623" s="122">
        <v>219618</v>
      </c>
      <c r="N1623" s="122">
        <v>71119</v>
      </c>
      <c r="O1623" s="122">
        <v>26340</v>
      </c>
      <c r="P1623" s="122">
        <v>1323</v>
      </c>
      <c r="Q1623" s="122">
        <v>490</v>
      </c>
      <c r="R1623" s="122">
        <v>220371</v>
      </c>
      <c r="S1623" s="122">
        <v>81619</v>
      </c>
      <c r="T1623" s="122">
        <v>0</v>
      </c>
      <c r="U1623" s="122">
        <v>0</v>
      </c>
      <c r="V1623" s="122">
        <v>2764153</v>
      </c>
      <c r="W1623" s="122">
        <f t="shared" si="50"/>
        <v>2764153</v>
      </c>
      <c r="X1623" s="122">
        <f t="shared" si="51"/>
        <v>3257439</v>
      </c>
      <c r="AA1623" t="s">
        <v>60</v>
      </c>
      <c r="AB1623" t="s">
        <v>137</v>
      </c>
      <c r="AC1623" t="s">
        <v>431</v>
      </c>
      <c r="AD1623" t="s">
        <v>137</v>
      </c>
      <c r="AE1623" t="s">
        <v>566</v>
      </c>
      <c r="AF1623">
        <v>4</v>
      </c>
      <c r="AG1623">
        <v>480</v>
      </c>
      <c r="AH1623" s="122">
        <v>1453</v>
      </c>
      <c r="AI1623" s="122">
        <v>107807</v>
      </c>
      <c r="AJ1623" s="122">
        <v>39929</v>
      </c>
      <c r="AK1623">
        <v>100</v>
      </c>
      <c r="AL1623" s="122">
        <v>23668</v>
      </c>
      <c r="AM1623" s="122">
        <v>21517</v>
      </c>
      <c r="AN1623" s="122">
        <v>10456</v>
      </c>
      <c r="AO1623" s="122">
        <v>3873</v>
      </c>
      <c r="AP1623">
        <v>0</v>
      </c>
      <c r="AQ1623">
        <v>0</v>
      </c>
      <c r="AR1623" s="122">
        <v>33276</v>
      </c>
      <c r="AS1623" s="122">
        <v>12324</v>
      </c>
      <c r="AT1623" s="122">
        <v>0</v>
      </c>
      <c r="AU1623" s="122">
        <v>0</v>
      </c>
      <c r="AV1623" s="122">
        <v>77642</v>
      </c>
    </row>
    <row r="1624" spans="2:48" hidden="1">
      <c r="B1624" t="s">
        <v>372</v>
      </c>
      <c r="C1624" t="s">
        <v>64</v>
      </c>
      <c r="D1624" t="s">
        <v>426</v>
      </c>
      <c r="E1624" t="s">
        <v>406</v>
      </c>
      <c r="F1624" s="122">
        <v>2</v>
      </c>
      <c r="G1624" s="122">
        <v>881</v>
      </c>
      <c r="H1624" s="122">
        <v>1952</v>
      </c>
      <c r="I1624" s="122">
        <v>741168</v>
      </c>
      <c r="J1624" s="122">
        <v>673789</v>
      </c>
      <c r="K1624" s="122">
        <v>30</v>
      </c>
      <c r="L1624" s="122">
        <v>54266</v>
      </c>
      <c r="M1624" s="122">
        <v>27364</v>
      </c>
      <c r="N1624" s="122">
        <v>18665</v>
      </c>
      <c r="O1624" s="122">
        <v>6913</v>
      </c>
      <c r="P1624" s="122">
        <v>621</v>
      </c>
      <c r="Q1624" s="122">
        <v>230</v>
      </c>
      <c r="R1624" s="122">
        <v>13508</v>
      </c>
      <c r="S1624" s="122">
        <v>12280</v>
      </c>
      <c r="T1624" s="122">
        <v>8181</v>
      </c>
      <c r="U1624" s="122">
        <v>3030</v>
      </c>
      <c r="V1624" s="122">
        <v>723606</v>
      </c>
      <c r="W1624" s="122">
        <f t="shared" si="50"/>
        <v>723606</v>
      </c>
      <c r="X1624" s="122">
        <f t="shared" si="51"/>
        <v>836409</v>
      </c>
      <c r="AA1624" t="s">
        <v>60</v>
      </c>
      <c r="AB1624" t="s">
        <v>137</v>
      </c>
      <c r="AC1624" t="s">
        <v>431</v>
      </c>
      <c r="AD1624" t="s">
        <v>431</v>
      </c>
      <c r="AE1624" t="s">
        <v>137</v>
      </c>
      <c r="AF1624">
        <v>2</v>
      </c>
      <c r="AG1624" s="122">
        <v>200</v>
      </c>
      <c r="AH1624" s="122">
        <v>700</v>
      </c>
      <c r="AI1624" s="122">
        <v>44643</v>
      </c>
      <c r="AJ1624" s="122">
        <v>16535</v>
      </c>
      <c r="AK1624">
        <v>100</v>
      </c>
      <c r="AL1624" s="122">
        <v>2972</v>
      </c>
      <c r="AM1624" s="122">
        <v>2702</v>
      </c>
      <c r="AN1624" s="122">
        <v>3983</v>
      </c>
      <c r="AO1624" s="122">
        <v>1475</v>
      </c>
      <c r="AP1624" s="122">
        <v>0</v>
      </c>
      <c r="AQ1624" s="122">
        <v>0</v>
      </c>
      <c r="AR1624" s="122">
        <v>11189</v>
      </c>
      <c r="AS1624" s="122">
        <v>10172</v>
      </c>
      <c r="AT1624" s="122">
        <v>7053</v>
      </c>
      <c r="AU1624" s="122">
        <v>2612</v>
      </c>
      <c r="AV1624" s="122">
        <v>33496</v>
      </c>
    </row>
    <row r="1625" spans="2:48" hidden="1">
      <c r="B1625" t="s">
        <v>372</v>
      </c>
      <c r="C1625" t="s">
        <v>64</v>
      </c>
      <c r="D1625" t="s">
        <v>426</v>
      </c>
      <c r="E1625" t="s">
        <v>426</v>
      </c>
      <c r="F1625" s="122">
        <v>186</v>
      </c>
      <c r="G1625" s="122">
        <v>16959</v>
      </c>
      <c r="H1625" s="122">
        <v>131036</v>
      </c>
      <c r="I1625" s="122">
        <v>8587823</v>
      </c>
      <c r="J1625" s="122">
        <v>7807112</v>
      </c>
      <c r="K1625" s="122">
        <v>49</v>
      </c>
      <c r="L1625" s="122">
        <v>1193183</v>
      </c>
      <c r="M1625" s="122">
        <v>1013806</v>
      </c>
      <c r="N1625" s="122">
        <v>355657</v>
      </c>
      <c r="O1625" s="122">
        <v>131725</v>
      </c>
      <c r="P1625" s="122">
        <v>58766</v>
      </c>
      <c r="Q1625" s="122">
        <v>21765</v>
      </c>
      <c r="R1625" s="122">
        <v>1231614</v>
      </c>
      <c r="S1625" s="122">
        <v>1119649</v>
      </c>
      <c r="T1625" s="122">
        <v>390209</v>
      </c>
      <c r="U1625" s="122">
        <v>144522</v>
      </c>
      <c r="V1625" s="122">
        <v>10238579</v>
      </c>
      <c r="W1625" s="122">
        <f t="shared" si="50"/>
        <v>10238579</v>
      </c>
      <c r="X1625" s="122">
        <f t="shared" si="51"/>
        <v>11817252</v>
      </c>
      <c r="AA1625" t="s">
        <v>60</v>
      </c>
      <c r="AB1625" t="s">
        <v>137</v>
      </c>
      <c r="AC1625" t="s">
        <v>426</v>
      </c>
      <c r="AD1625" t="s">
        <v>137</v>
      </c>
      <c r="AE1625" t="s">
        <v>137</v>
      </c>
      <c r="AF1625">
        <v>44</v>
      </c>
      <c r="AG1625" s="122">
        <v>5344</v>
      </c>
      <c r="AH1625" s="122">
        <v>14720</v>
      </c>
      <c r="AI1625" s="122">
        <v>1289348</v>
      </c>
      <c r="AJ1625" s="122">
        <v>477536</v>
      </c>
      <c r="AK1625">
        <v>108</v>
      </c>
      <c r="AL1625" s="122">
        <v>187371</v>
      </c>
      <c r="AM1625" s="122">
        <v>170337</v>
      </c>
      <c r="AN1625" s="122">
        <v>119671</v>
      </c>
      <c r="AO1625" s="122">
        <v>44323</v>
      </c>
      <c r="AP1625" s="122">
        <v>2997</v>
      </c>
      <c r="AQ1625" s="122">
        <v>1110</v>
      </c>
      <c r="AR1625" s="122">
        <v>367396</v>
      </c>
      <c r="AS1625" s="122">
        <v>136073</v>
      </c>
      <c r="AT1625" s="122">
        <v>19671</v>
      </c>
      <c r="AU1625" s="122">
        <v>7286</v>
      </c>
      <c r="AV1625" s="122">
        <v>836664</v>
      </c>
    </row>
    <row r="1626" spans="2:48" hidden="1">
      <c r="B1626" t="s">
        <v>373</v>
      </c>
      <c r="C1626" t="s">
        <v>48</v>
      </c>
      <c r="D1626" t="s">
        <v>137</v>
      </c>
      <c r="E1626" t="s">
        <v>137</v>
      </c>
      <c r="F1626" s="122">
        <v>10</v>
      </c>
      <c r="G1626" s="122">
        <v>2297</v>
      </c>
      <c r="H1626" s="122">
        <v>536</v>
      </c>
      <c r="I1626" s="122">
        <v>17495</v>
      </c>
      <c r="J1626" s="122">
        <v>6480</v>
      </c>
      <c r="K1626" s="122">
        <v>464</v>
      </c>
      <c r="L1626" s="122">
        <v>3661</v>
      </c>
      <c r="M1626" s="122">
        <v>3328</v>
      </c>
      <c r="N1626" s="122">
        <v>29191</v>
      </c>
      <c r="O1626" s="122">
        <v>10812</v>
      </c>
      <c r="P1626" s="122">
        <v>14294</v>
      </c>
      <c r="Q1626" s="122">
        <v>5294</v>
      </c>
      <c r="R1626" s="122">
        <v>56225</v>
      </c>
      <c r="S1626" s="122">
        <v>20824</v>
      </c>
      <c r="T1626" s="122">
        <v>0</v>
      </c>
      <c r="U1626" s="122">
        <v>0</v>
      </c>
      <c r="V1626" s="122">
        <v>46738</v>
      </c>
      <c r="W1626" s="122">
        <f t="shared" si="50"/>
        <v>46738</v>
      </c>
      <c r="X1626" s="122">
        <f t="shared" si="51"/>
        <v>120866</v>
      </c>
      <c r="AA1626" t="s">
        <v>60</v>
      </c>
      <c r="AB1626" t="s">
        <v>137</v>
      </c>
      <c r="AC1626" t="s">
        <v>426</v>
      </c>
      <c r="AD1626" t="s">
        <v>137</v>
      </c>
      <c r="AE1626" t="s">
        <v>566</v>
      </c>
      <c r="AF1626">
        <v>803</v>
      </c>
      <c r="AG1626" s="122">
        <v>94320</v>
      </c>
      <c r="AH1626" s="122">
        <v>273856</v>
      </c>
      <c r="AI1626" s="122">
        <v>21290360</v>
      </c>
      <c r="AJ1626" s="122">
        <v>7885318</v>
      </c>
      <c r="AK1626">
        <v>102</v>
      </c>
      <c r="AL1626" s="122">
        <v>3582278</v>
      </c>
      <c r="AM1626" s="122">
        <v>3256616</v>
      </c>
      <c r="AN1626" s="122">
        <v>2119601</v>
      </c>
      <c r="AO1626" s="122">
        <v>785037</v>
      </c>
      <c r="AP1626" s="122">
        <v>35979</v>
      </c>
      <c r="AQ1626" s="122">
        <v>13326</v>
      </c>
      <c r="AR1626" s="122">
        <v>6608442</v>
      </c>
      <c r="AS1626" s="122">
        <v>2447571</v>
      </c>
      <c r="AT1626" s="122">
        <v>0</v>
      </c>
      <c r="AU1626" s="122">
        <v>0</v>
      </c>
      <c r="AV1626" s="122">
        <v>14387869</v>
      </c>
    </row>
    <row r="1627" spans="2:48" hidden="1">
      <c r="B1627" t="s">
        <v>373</v>
      </c>
      <c r="C1627" t="s">
        <v>48</v>
      </c>
      <c r="D1627" t="s">
        <v>406</v>
      </c>
      <c r="E1627" t="s">
        <v>406</v>
      </c>
      <c r="F1627" s="122">
        <v>3</v>
      </c>
      <c r="G1627" s="122">
        <v>686</v>
      </c>
      <c r="H1627" s="122">
        <v>182</v>
      </c>
      <c r="I1627" s="122">
        <v>17297</v>
      </c>
      <c r="J1627" s="122">
        <v>15725</v>
      </c>
      <c r="K1627" s="122">
        <v>95</v>
      </c>
      <c r="L1627" s="122">
        <v>2504</v>
      </c>
      <c r="M1627" s="122">
        <v>2276</v>
      </c>
      <c r="N1627" s="122">
        <v>9106</v>
      </c>
      <c r="O1627" s="122">
        <v>3372</v>
      </c>
      <c r="P1627" s="122">
        <v>1863</v>
      </c>
      <c r="Q1627" s="122">
        <v>690</v>
      </c>
      <c r="R1627" s="122">
        <v>11467</v>
      </c>
      <c r="S1627" s="122">
        <v>10425</v>
      </c>
      <c r="T1627" s="122">
        <v>0</v>
      </c>
      <c r="U1627" s="122">
        <v>0</v>
      </c>
      <c r="V1627" s="122">
        <v>32488</v>
      </c>
      <c r="W1627" s="122">
        <f t="shared" si="50"/>
        <v>32488</v>
      </c>
      <c r="X1627" s="122">
        <f t="shared" si="51"/>
        <v>42237</v>
      </c>
      <c r="AA1627" t="s">
        <v>60</v>
      </c>
      <c r="AB1627" t="s">
        <v>137</v>
      </c>
      <c r="AC1627" t="s">
        <v>426</v>
      </c>
      <c r="AD1627" t="s">
        <v>406</v>
      </c>
      <c r="AE1627" t="s">
        <v>137</v>
      </c>
      <c r="AF1627">
        <v>4</v>
      </c>
      <c r="AG1627">
        <v>800</v>
      </c>
      <c r="AH1627" s="122">
        <v>1351</v>
      </c>
      <c r="AI1627" s="122">
        <v>210245</v>
      </c>
      <c r="AJ1627" s="122">
        <v>77868</v>
      </c>
      <c r="AK1627">
        <v>100</v>
      </c>
      <c r="AL1627" s="122">
        <v>23757</v>
      </c>
      <c r="AM1627" s="122">
        <v>21597</v>
      </c>
      <c r="AN1627" s="122">
        <v>17477</v>
      </c>
      <c r="AO1627" s="122">
        <v>6473</v>
      </c>
      <c r="AP1627" s="122">
        <v>1161</v>
      </c>
      <c r="AQ1627">
        <v>430</v>
      </c>
      <c r="AR1627" s="122">
        <v>17544</v>
      </c>
      <c r="AS1627" s="122">
        <v>15949</v>
      </c>
      <c r="AT1627" s="122">
        <v>12340</v>
      </c>
      <c r="AU1627" s="122">
        <v>4570</v>
      </c>
      <c r="AV1627" s="122">
        <v>126888</v>
      </c>
    </row>
    <row r="1628" spans="2:48" hidden="1">
      <c r="B1628" t="s">
        <v>373</v>
      </c>
      <c r="C1628" t="s">
        <v>50</v>
      </c>
      <c r="D1628" t="s">
        <v>137</v>
      </c>
      <c r="E1628" t="s">
        <v>137</v>
      </c>
      <c r="F1628" s="122">
        <v>14</v>
      </c>
      <c r="G1628" s="122">
        <v>2370</v>
      </c>
      <c r="H1628" s="122">
        <v>1196</v>
      </c>
      <c r="I1628" s="122">
        <v>72183</v>
      </c>
      <c r="J1628" s="122">
        <v>26734</v>
      </c>
      <c r="K1628" s="122">
        <v>425</v>
      </c>
      <c r="L1628" s="122">
        <v>19936</v>
      </c>
      <c r="M1628" s="122">
        <v>18123</v>
      </c>
      <c r="N1628" s="122">
        <v>42522</v>
      </c>
      <c r="O1628" s="122">
        <v>15749</v>
      </c>
      <c r="P1628" s="122">
        <v>8180</v>
      </c>
      <c r="Q1628" s="122">
        <v>3030</v>
      </c>
      <c r="R1628" s="122">
        <v>69061</v>
      </c>
      <c r="S1628" s="122">
        <v>25578</v>
      </c>
      <c r="T1628" s="122">
        <v>0</v>
      </c>
      <c r="U1628" s="122">
        <v>0</v>
      </c>
      <c r="V1628" s="122">
        <v>89215</v>
      </c>
      <c r="W1628" s="122">
        <f t="shared" si="50"/>
        <v>89214</v>
      </c>
      <c r="X1628" s="122">
        <f t="shared" si="51"/>
        <v>211882</v>
      </c>
      <c r="AA1628" t="s">
        <v>60</v>
      </c>
      <c r="AB1628" t="s">
        <v>137</v>
      </c>
      <c r="AC1628" t="s">
        <v>426</v>
      </c>
      <c r="AD1628" t="s">
        <v>406</v>
      </c>
      <c r="AE1628" t="s">
        <v>566</v>
      </c>
      <c r="AF1628">
        <v>1</v>
      </c>
      <c r="AG1628" s="122">
        <v>174</v>
      </c>
      <c r="AH1628" s="122">
        <v>321</v>
      </c>
      <c r="AI1628" s="122">
        <v>33241</v>
      </c>
      <c r="AJ1628" s="122">
        <v>12311</v>
      </c>
      <c r="AK1628">
        <v>100</v>
      </c>
      <c r="AL1628" s="122">
        <v>11286</v>
      </c>
      <c r="AM1628" s="122">
        <v>10260</v>
      </c>
      <c r="AN1628" s="122">
        <v>4239</v>
      </c>
      <c r="AO1628" s="122">
        <v>1570</v>
      </c>
      <c r="AP1628" s="122">
        <v>0</v>
      </c>
      <c r="AQ1628">
        <v>0</v>
      </c>
      <c r="AR1628" s="122">
        <v>7007</v>
      </c>
      <c r="AS1628" s="122">
        <v>6370</v>
      </c>
      <c r="AT1628" s="122">
        <v>0</v>
      </c>
      <c r="AU1628" s="122">
        <v>0</v>
      </c>
      <c r="AV1628" s="122">
        <v>30511</v>
      </c>
    </row>
    <row r="1629" spans="2:48" hidden="1">
      <c r="B1629" t="s">
        <v>373</v>
      </c>
      <c r="C1629" t="s">
        <v>50</v>
      </c>
      <c r="D1629" t="s">
        <v>406</v>
      </c>
      <c r="E1629" t="s">
        <v>406</v>
      </c>
      <c r="F1629" s="122">
        <v>16</v>
      </c>
      <c r="G1629" s="122">
        <v>3755</v>
      </c>
      <c r="H1629" s="122">
        <v>1454</v>
      </c>
      <c r="I1629" s="122">
        <v>177354</v>
      </c>
      <c r="J1629" s="122">
        <v>161231</v>
      </c>
      <c r="K1629" s="122">
        <v>94</v>
      </c>
      <c r="L1629" s="122">
        <v>26947</v>
      </c>
      <c r="M1629" s="122">
        <v>24497</v>
      </c>
      <c r="N1629" s="122">
        <v>53270</v>
      </c>
      <c r="O1629" s="122">
        <v>19730</v>
      </c>
      <c r="P1629" s="122">
        <v>9747</v>
      </c>
      <c r="Q1629" s="122">
        <v>3610</v>
      </c>
      <c r="R1629" s="122">
        <v>77910</v>
      </c>
      <c r="S1629" s="122">
        <v>70827</v>
      </c>
      <c r="T1629" s="122">
        <v>0</v>
      </c>
      <c r="U1629" s="122">
        <v>0</v>
      </c>
      <c r="V1629" s="122">
        <v>279895</v>
      </c>
      <c r="W1629" s="122">
        <f t="shared" si="50"/>
        <v>279895</v>
      </c>
      <c r="X1629" s="122">
        <f t="shared" si="51"/>
        <v>345228</v>
      </c>
      <c r="AA1629" t="s">
        <v>60</v>
      </c>
      <c r="AB1629" t="s">
        <v>137</v>
      </c>
      <c r="AC1629" t="s">
        <v>426</v>
      </c>
      <c r="AD1629" t="s">
        <v>426</v>
      </c>
      <c r="AE1629" t="s">
        <v>137</v>
      </c>
      <c r="AF1629">
        <v>28</v>
      </c>
      <c r="AG1629" s="122">
        <v>2689</v>
      </c>
      <c r="AH1629" s="122">
        <v>9826</v>
      </c>
      <c r="AI1629" s="122">
        <v>595911</v>
      </c>
      <c r="AJ1629" s="122">
        <v>220708</v>
      </c>
      <c r="AK1629">
        <v>100</v>
      </c>
      <c r="AL1629" s="122">
        <v>67298</v>
      </c>
      <c r="AM1629" s="122">
        <v>61180</v>
      </c>
      <c r="AN1629" s="122">
        <v>52531</v>
      </c>
      <c r="AO1629" s="122">
        <v>19456</v>
      </c>
      <c r="AP1629" s="122">
        <v>2457</v>
      </c>
      <c r="AQ1629">
        <v>910</v>
      </c>
      <c r="AR1629" s="122">
        <v>147665</v>
      </c>
      <c r="AS1629" s="122">
        <v>134240</v>
      </c>
      <c r="AT1629" s="122">
        <v>67510</v>
      </c>
      <c r="AU1629" s="122">
        <v>25004</v>
      </c>
      <c r="AV1629" s="122">
        <v>461498</v>
      </c>
    </row>
    <row r="1630" spans="2:48" hidden="1">
      <c r="B1630" t="s">
        <v>373</v>
      </c>
      <c r="C1630" t="s">
        <v>52</v>
      </c>
      <c r="D1630" t="s">
        <v>405</v>
      </c>
      <c r="E1630" t="s">
        <v>405</v>
      </c>
      <c r="F1630" s="122">
        <v>15</v>
      </c>
      <c r="G1630" s="122">
        <v>2676</v>
      </c>
      <c r="H1630" s="122">
        <v>1747</v>
      </c>
      <c r="I1630" s="122">
        <v>186627</v>
      </c>
      <c r="J1630" s="122">
        <v>169661</v>
      </c>
      <c r="K1630" s="122">
        <v>92</v>
      </c>
      <c r="L1630" s="122">
        <v>30925</v>
      </c>
      <c r="M1630" s="122">
        <v>28114</v>
      </c>
      <c r="N1630" s="122">
        <v>47604</v>
      </c>
      <c r="O1630" s="122">
        <v>17631</v>
      </c>
      <c r="P1630" s="122">
        <v>7047</v>
      </c>
      <c r="Q1630" s="122">
        <v>2610</v>
      </c>
      <c r="R1630" s="122">
        <v>54080</v>
      </c>
      <c r="S1630" s="122">
        <v>49163</v>
      </c>
      <c r="T1630" s="122">
        <v>0</v>
      </c>
      <c r="U1630" s="122">
        <v>0</v>
      </c>
      <c r="V1630" s="122">
        <v>267179</v>
      </c>
      <c r="W1630" s="122">
        <f t="shared" si="50"/>
        <v>267179</v>
      </c>
      <c r="X1630" s="122">
        <f t="shared" si="51"/>
        <v>326283</v>
      </c>
      <c r="AA1630" t="s">
        <v>60</v>
      </c>
      <c r="AB1630" t="s">
        <v>137</v>
      </c>
      <c r="AC1630" t="s">
        <v>426</v>
      </c>
      <c r="AD1630" t="s">
        <v>426</v>
      </c>
      <c r="AE1630" t="s">
        <v>566</v>
      </c>
      <c r="AF1630">
        <v>5</v>
      </c>
      <c r="AG1630">
        <v>405</v>
      </c>
      <c r="AH1630" s="122">
        <v>1786</v>
      </c>
      <c r="AI1630" s="122">
        <v>111775</v>
      </c>
      <c r="AJ1630" s="122">
        <v>41398</v>
      </c>
      <c r="AK1630">
        <v>100</v>
      </c>
      <c r="AL1630" s="122">
        <v>12993</v>
      </c>
      <c r="AM1630" s="122">
        <v>11812</v>
      </c>
      <c r="AN1630" s="122">
        <v>7362</v>
      </c>
      <c r="AO1630" s="122">
        <v>2727</v>
      </c>
      <c r="AP1630">
        <v>0</v>
      </c>
      <c r="AQ1630">
        <v>0</v>
      </c>
      <c r="AR1630" s="122">
        <v>28445</v>
      </c>
      <c r="AS1630" s="122">
        <v>25860</v>
      </c>
      <c r="AT1630" s="122">
        <v>0</v>
      </c>
      <c r="AU1630" s="122">
        <v>0</v>
      </c>
      <c r="AV1630" s="122">
        <v>81796</v>
      </c>
    </row>
    <row r="1631" spans="2:48" hidden="1">
      <c r="B1631" t="s">
        <v>373</v>
      </c>
      <c r="C1631" t="s">
        <v>52</v>
      </c>
      <c r="D1631" t="s">
        <v>137</v>
      </c>
      <c r="E1631" t="s">
        <v>137</v>
      </c>
      <c r="F1631" s="122">
        <v>5</v>
      </c>
      <c r="G1631" s="122">
        <v>1033</v>
      </c>
      <c r="H1631" s="122">
        <v>548</v>
      </c>
      <c r="I1631" s="122">
        <v>56166</v>
      </c>
      <c r="J1631" s="122">
        <v>20802</v>
      </c>
      <c r="K1631" s="122">
        <v>344</v>
      </c>
      <c r="L1631" s="122">
        <v>13977</v>
      </c>
      <c r="M1631" s="122">
        <v>12706</v>
      </c>
      <c r="N1631" s="122">
        <v>24473</v>
      </c>
      <c r="O1631" s="122">
        <v>9064</v>
      </c>
      <c r="P1631" s="122">
        <v>2106</v>
      </c>
      <c r="Q1631" s="122">
        <v>780</v>
      </c>
      <c r="R1631" s="122">
        <v>25029</v>
      </c>
      <c r="S1631" s="122">
        <v>9270</v>
      </c>
      <c r="T1631" s="122">
        <v>0</v>
      </c>
      <c r="U1631" s="122">
        <v>0</v>
      </c>
      <c r="V1631" s="122">
        <v>52622</v>
      </c>
      <c r="W1631" s="122">
        <f t="shared" si="50"/>
        <v>52622</v>
      </c>
      <c r="X1631" s="122">
        <f t="shared" si="51"/>
        <v>121751</v>
      </c>
      <c r="AA1631" t="s">
        <v>60</v>
      </c>
      <c r="AB1631" t="s">
        <v>137</v>
      </c>
      <c r="AC1631" t="s">
        <v>426</v>
      </c>
      <c r="AD1631" t="s">
        <v>433</v>
      </c>
      <c r="AE1631" t="s">
        <v>137</v>
      </c>
      <c r="AF1631">
        <v>1</v>
      </c>
      <c r="AG1631">
        <v>140</v>
      </c>
      <c r="AH1631">
        <v>321</v>
      </c>
      <c r="AI1631" s="122">
        <v>23513</v>
      </c>
      <c r="AJ1631" s="122">
        <v>8708</v>
      </c>
      <c r="AK1631">
        <v>100</v>
      </c>
      <c r="AL1631" s="122">
        <v>3548</v>
      </c>
      <c r="AM1631" s="122">
        <v>3225</v>
      </c>
      <c r="AN1631" s="122">
        <v>3415</v>
      </c>
      <c r="AO1631" s="122">
        <v>1265</v>
      </c>
      <c r="AP1631">
        <v>0</v>
      </c>
      <c r="AQ1631">
        <v>0</v>
      </c>
      <c r="AR1631" s="122">
        <v>9361</v>
      </c>
      <c r="AS1631" s="122">
        <v>8510</v>
      </c>
      <c r="AT1631" s="122">
        <v>5138</v>
      </c>
      <c r="AU1631" s="122">
        <v>1903</v>
      </c>
      <c r="AV1631" s="122">
        <v>23612</v>
      </c>
    </row>
    <row r="1632" spans="2:48" hidden="1">
      <c r="B1632" t="s">
        <v>373</v>
      </c>
      <c r="C1632" t="s">
        <v>52</v>
      </c>
      <c r="D1632" t="s">
        <v>406</v>
      </c>
      <c r="E1632" t="s">
        <v>406</v>
      </c>
      <c r="F1632" s="122">
        <v>66</v>
      </c>
      <c r="G1632" s="122">
        <v>14572</v>
      </c>
      <c r="H1632" s="122">
        <v>7678</v>
      </c>
      <c r="I1632" s="122">
        <v>949435</v>
      </c>
      <c r="J1632" s="122">
        <v>863123</v>
      </c>
      <c r="K1632" s="122">
        <v>92</v>
      </c>
      <c r="L1632" s="122">
        <v>158259</v>
      </c>
      <c r="M1632" s="122">
        <v>149196</v>
      </c>
      <c r="N1632" s="122">
        <v>257777</v>
      </c>
      <c r="O1632" s="122">
        <v>95473</v>
      </c>
      <c r="P1632" s="122">
        <v>51960</v>
      </c>
      <c r="Q1632" s="122">
        <v>19245</v>
      </c>
      <c r="R1632" s="122">
        <v>326498</v>
      </c>
      <c r="S1632" s="122">
        <v>296817</v>
      </c>
      <c r="T1632" s="122">
        <v>15246</v>
      </c>
      <c r="U1632" s="122">
        <v>5647</v>
      </c>
      <c r="V1632" s="122">
        <v>1429499</v>
      </c>
      <c r="W1632" s="122">
        <f t="shared" si="50"/>
        <v>1429501</v>
      </c>
      <c r="X1632" s="122">
        <f t="shared" si="51"/>
        <v>1759175</v>
      </c>
      <c r="AA1632" t="s">
        <v>60</v>
      </c>
      <c r="AB1632" t="s">
        <v>137</v>
      </c>
      <c r="AC1632" t="s">
        <v>566</v>
      </c>
      <c r="AD1632" t="s">
        <v>137</v>
      </c>
      <c r="AE1632" t="s">
        <v>137</v>
      </c>
      <c r="AF1632">
        <v>1</v>
      </c>
      <c r="AG1632" s="122">
        <v>70</v>
      </c>
      <c r="AH1632" s="122">
        <v>361</v>
      </c>
      <c r="AI1632" s="122">
        <v>17912</v>
      </c>
      <c r="AJ1632" s="122">
        <v>6634</v>
      </c>
      <c r="AK1632">
        <v>100</v>
      </c>
      <c r="AL1632" s="122">
        <v>0</v>
      </c>
      <c r="AM1632" s="122">
        <v>0</v>
      </c>
      <c r="AN1632" s="122">
        <v>1481</v>
      </c>
      <c r="AO1632" s="122">
        <v>548</v>
      </c>
      <c r="AP1632" s="122">
        <v>0</v>
      </c>
      <c r="AQ1632" s="122">
        <v>0</v>
      </c>
      <c r="AR1632" s="122">
        <v>5987</v>
      </c>
      <c r="AS1632" s="122">
        <v>2217</v>
      </c>
      <c r="AT1632">
        <v>0</v>
      </c>
      <c r="AU1632">
        <v>0</v>
      </c>
      <c r="AV1632" s="122">
        <v>9400</v>
      </c>
    </row>
    <row r="1633" spans="2:48" hidden="1">
      <c r="B1633" t="s">
        <v>373</v>
      </c>
      <c r="C1633" t="s">
        <v>52</v>
      </c>
      <c r="D1633" t="s">
        <v>427</v>
      </c>
      <c r="E1633" t="s">
        <v>427</v>
      </c>
      <c r="F1633" s="122">
        <v>1</v>
      </c>
      <c r="G1633" s="122">
        <v>236</v>
      </c>
      <c r="H1633" s="122">
        <v>123</v>
      </c>
      <c r="I1633" s="122">
        <v>19071</v>
      </c>
      <c r="J1633" s="122">
        <v>17337</v>
      </c>
      <c r="K1633" s="122">
        <v>75</v>
      </c>
      <c r="L1633" s="122">
        <v>1718</v>
      </c>
      <c r="M1633" s="122">
        <v>1562</v>
      </c>
      <c r="N1633" s="122">
        <v>2875</v>
      </c>
      <c r="O1633" s="122">
        <v>1065</v>
      </c>
      <c r="P1633" s="122">
        <v>621</v>
      </c>
      <c r="Q1633" s="122">
        <v>230</v>
      </c>
      <c r="R1633" s="122">
        <v>4817</v>
      </c>
      <c r="S1633" s="122">
        <v>4379</v>
      </c>
      <c r="T1633" s="122">
        <v>0</v>
      </c>
      <c r="U1633" s="122">
        <v>0</v>
      </c>
      <c r="V1633" s="122">
        <v>24574</v>
      </c>
      <c r="W1633" s="122">
        <f t="shared" si="50"/>
        <v>24573</v>
      </c>
      <c r="X1633" s="122">
        <f t="shared" si="51"/>
        <v>29102</v>
      </c>
      <c r="AA1633" t="s">
        <v>60</v>
      </c>
      <c r="AB1633" t="s">
        <v>137</v>
      </c>
      <c r="AC1633" t="s">
        <v>566</v>
      </c>
      <c r="AD1633" t="s">
        <v>137</v>
      </c>
      <c r="AE1633" t="s">
        <v>566</v>
      </c>
      <c r="AF1633">
        <v>122</v>
      </c>
      <c r="AG1633" s="122">
        <v>12395</v>
      </c>
      <c r="AH1633" s="122">
        <v>41043</v>
      </c>
      <c r="AI1633" s="122">
        <v>3108507</v>
      </c>
      <c r="AJ1633" s="122">
        <v>1151299</v>
      </c>
      <c r="AK1633">
        <v>100</v>
      </c>
      <c r="AL1633" s="122">
        <v>4317</v>
      </c>
      <c r="AM1633" s="122">
        <v>68480</v>
      </c>
      <c r="AN1633" s="122">
        <v>269865</v>
      </c>
      <c r="AO1633" s="122">
        <v>99950</v>
      </c>
      <c r="AP1633" s="122">
        <v>3064</v>
      </c>
      <c r="AQ1633" s="122">
        <v>1135</v>
      </c>
      <c r="AR1633" s="122">
        <v>849122</v>
      </c>
      <c r="AS1633" s="122">
        <v>314490</v>
      </c>
      <c r="AT1633">
        <v>0</v>
      </c>
      <c r="AU1633">
        <v>0</v>
      </c>
      <c r="AV1633" s="122">
        <v>1635354</v>
      </c>
    </row>
    <row r="1634" spans="2:48" hidden="1">
      <c r="B1634" t="s">
        <v>373</v>
      </c>
      <c r="C1634" t="s">
        <v>52</v>
      </c>
      <c r="D1634" t="s">
        <v>408</v>
      </c>
      <c r="E1634" t="s">
        <v>408</v>
      </c>
      <c r="F1634" s="122">
        <v>2</v>
      </c>
      <c r="G1634" s="122">
        <v>453</v>
      </c>
      <c r="H1634" s="122">
        <v>239</v>
      </c>
      <c r="I1634" s="122">
        <v>39495</v>
      </c>
      <c r="J1634" s="122">
        <v>35904</v>
      </c>
      <c r="K1634" s="122">
        <v>83</v>
      </c>
      <c r="L1634" s="122">
        <v>5693</v>
      </c>
      <c r="M1634" s="122">
        <v>5175</v>
      </c>
      <c r="N1634" s="122">
        <v>7967</v>
      </c>
      <c r="O1634" s="122">
        <v>2951</v>
      </c>
      <c r="P1634" s="122">
        <v>1323</v>
      </c>
      <c r="Q1634" s="122">
        <v>490</v>
      </c>
      <c r="R1634" s="122">
        <v>5729</v>
      </c>
      <c r="S1634" s="122">
        <v>5208</v>
      </c>
      <c r="T1634" s="122">
        <v>0</v>
      </c>
      <c r="U1634" s="122">
        <v>0</v>
      </c>
      <c r="V1634" s="122">
        <v>49728</v>
      </c>
      <c r="W1634" s="122">
        <f t="shared" si="50"/>
        <v>49728</v>
      </c>
      <c r="X1634" s="122">
        <f t="shared" si="51"/>
        <v>60207</v>
      </c>
      <c r="AA1634" t="s">
        <v>60</v>
      </c>
      <c r="AB1634" t="s">
        <v>137</v>
      </c>
      <c r="AC1634" t="s">
        <v>566</v>
      </c>
      <c r="AD1634" t="s">
        <v>406</v>
      </c>
      <c r="AE1634" t="s">
        <v>566</v>
      </c>
      <c r="AF1634">
        <v>1</v>
      </c>
      <c r="AG1634">
        <v>78</v>
      </c>
      <c r="AH1634">
        <v>372</v>
      </c>
      <c r="AI1634" s="122">
        <v>19134</v>
      </c>
      <c r="AJ1634" s="122">
        <v>7087</v>
      </c>
      <c r="AK1634">
        <v>100</v>
      </c>
      <c r="AL1634">
        <v>0</v>
      </c>
      <c r="AM1634" s="122">
        <v>1432</v>
      </c>
      <c r="AN1634" s="122">
        <v>1899</v>
      </c>
      <c r="AO1634">
        <v>703</v>
      </c>
      <c r="AP1634">
        <v>270</v>
      </c>
      <c r="AQ1634">
        <v>100</v>
      </c>
      <c r="AR1634" s="122">
        <v>7699</v>
      </c>
      <c r="AS1634" s="122">
        <v>6999</v>
      </c>
      <c r="AT1634">
        <v>0</v>
      </c>
      <c r="AU1634">
        <v>0</v>
      </c>
      <c r="AV1634" s="122">
        <v>16321</v>
      </c>
    </row>
    <row r="1635" spans="2:48" hidden="1">
      <c r="B1635" t="s">
        <v>373</v>
      </c>
      <c r="C1635" t="s">
        <v>54</v>
      </c>
      <c r="D1635" t="s">
        <v>425</v>
      </c>
      <c r="E1635" t="s">
        <v>425</v>
      </c>
      <c r="F1635" s="122">
        <v>2</v>
      </c>
      <c r="G1635" s="122">
        <v>719</v>
      </c>
      <c r="H1635" s="122">
        <v>266</v>
      </c>
      <c r="I1635" s="122">
        <v>61303</v>
      </c>
      <c r="J1635" s="122">
        <v>55730</v>
      </c>
      <c r="K1635" s="122">
        <v>88</v>
      </c>
      <c r="L1635" s="122">
        <v>10633</v>
      </c>
      <c r="M1635" s="122">
        <v>9666</v>
      </c>
      <c r="N1635" s="122">
        <v>13780</v>
      </c>
      <c r="O1635" s="122">
        <v>5104</v>
      </c>
      <c r="P1635" s="122">
        <v>1526</v>
      </c>
      <c r="Q1635" s="122">
        <v>565</v>
      </c>
      <c r="R1635" s="122">
        <v>14202</v>
      </c>
      <c r="S1635" s="122">
        <v>12911</v>
      </c>
      <c r="T1635" s="122">
        <v>0</v>
      </c>
      <c r="U1635" s="122">
        <v>0</v>
      </c>
      <c r="V1635" s="122">
        <v>83976</v>
      </c>
      <c r="W1635" s="122">
        <f t="shared" si="50"/>
        <v>83976</v>
      </c>
      <c r="X1635" s="122">
        <f t="shared" si="51"/>
        <v>101444</v>
      </c>
      <c r="AA1635" t="s">
        <v>60</v>
      </c>
      <c r="AB1635" t="s">
        <v>137</v>
      </c>
      <c r="AC1635" t="s">
        <v>566</v>
      </c>
      <c r="AD1635" t="s">
        <v>426</v>
      </c>
      <c r="AE1635" t="s">
        <v>137</v>
      </c>
      <c r="AF1635">
        <v>1</v>
      </c>
      <c r="AG1635">
        <v>105</v>
      </c>
      <c r="AH1635">
        <v>346</v>
      </c>
      <c r="AI1635" s="122">
        <v>28505</v>
      </c>
      <c r="AJ1635" s="122">
        <v>10557</v>
      </c>
      <c r="AK1635">
        <v>100</v>
      </c>
      <c r="AL1635" s="122">
        <v>0</v>
      </c>
      <c r="AM1635" s="122">
        <v>2133</v>
      </c>
      <c r="AN1635" s="122">
        <v>1274</v>
      </c>
      <c r="AO1635" s="122">
        <v>472</v>
      </c>
      <c r="AP1635">
        <v>0</v>
      </c>
      <c r="AQ1635">
        <v>0</v>
      </c>
      <c r="AR1635" s="122">
        <v>6380</v>
      </c>
      <c r="AS1635" s="122">
        <v>5800</v>
      </c>
      <c r="AT1635">
        <v>0</v>
      </c>
      <c r="AU1635">
        <v>0</v>
      </c>
      <c r="AV1635" s="122">
        <v>18962</v>
      </c>
    </row>
    <row r="1636" spans="2:48" hidden="1">
      <c r="B1636" t="s">
        <v>373</v>
      </c>
      <c r="C1636" t="s">
        <v>54</v>
      </c>
      <c r="D1636" t="s">
        <v>405</v>
      </c>
      <c r="E1636" t="s">
        <v>405</v>
      </c>
      <c r="F1636" s="122">
        <v>7</v>
      </c>
      <c r="G1636" s="122">
        <v>1218</v>
      </c>
      <c r="H1636" s="122">
        <v>992</v>
      </c>
      <c r="I1636" s="122">
        <v>97376</v>
      </c>
      <c r="J1636" s="122">
        <v>88524</v>
      </c>
      <c r="K1636" s="122">
        <v>90</v>
      </c>
      <c r="L1636" s="122">
        <v>16634</v>
      </c>
      <c r="M1636" s="122">
        <v>15122</v>
      </c>
      <c r="N1636" s="122">
        <v>22843</v>
      </c>
      <c r="O1636" s="122">
        <v>8460</v>
      </c>
      <c r="P1636" s="122">
        <v>2822</v>
      </c>
      <c r="Q1636" s="122">
        <v>1045</v>
      </c>
      <c r="R1636" s="122">
        <v>32648</v>
      </c>
      <c r="S1636" s="122">
        <v>29680</v>
      </c>
      <c r="T1636" s="122">
        <v>0</v>
      </c>
      <c r="U1636" s="122">
        <v>0</v>
      </c>
      <c r="V1636" s="122">
        <v>142831</v>
      </c>
      <c r="W1636" s="122">
        <f t="shared" si="50"/>
        <v>142831</v>
      </c>
      <c r="X1636" s="122">
        <f t="shared" si="51"/>
        <v>172323</v>
      </c>
      <c r="AA1636" t="s">
        <v>60</v>
      </c>
      <c r="AB1636" t="s">
        <v>137</v>
      </c>
      <c r="AC1636" t="s">
        <v>481</v>
      </c>
      <c r="AD1636" t="s">
        <v>137</v>
      </c>
      <c r="AE1636" t="s">
        <v>566</v>
      </c>
      <c r="AF1636">
        <v>2</v>
      </c>
      <c r="AG1636">
        <v>228</v>
      </c>
      <c r="AH1636">
        <v>693</v>
      </c>
      <c r="AI1636" s="122">
        <v>50715</v>
      </c>
      <c r="AJ1636" s="122">
        <v>18783</v>
      </c>
      <c r="AK1636">
        <v>100</v>
      </c>
      <c r="AL1636" s="122">
        <v>7653</v>
      </c>
      <c r="AM1636" s="122">
        <v>6957</v>
      </c>
      <c r="AN1636" s="122">
        <v>5547</v>
      </c>
      <c r="AO1636" s="122">
        <v>2055</v>
      </c>
      <c r="AP1636">
        <v>0</v>
      </c>
      <c r="AQ1636">
        <v>0</v>
      </c>
      <c r="AR1636" s="122">
        <v>15935</v>
      </c>
      <c r="AS1636" s="122">
        <v>5902</v>
      </c>
      <c r="AT1636">
        <v>0</v>
      </c>
      <c r="AU1636">
        <v>0</v>
      </c>
      <c r="AV1636" s="122">
        <v>33697</v>
      </c>
    </row>
    <row r="1637" spans="2:48" hidden="1">
      <c r="B1637" t="s">
        <v>373</v>
      </c>
      <c r="C1637" t="s">
        <v>54</v>
      </c>
      <c r="D1637" t="s">
        <v>137</v>
      </c>
      <c r="E1637" t="s">
        <v>137</v>
      </c>
      <c r="F1637" s="122">
        <v>5</v>
      </c>
      <c r="G1637" s="122">
        <v>1211</v>
      </c>
      <c r="H1637" s="122">
        <v>694</v>
      </c>
      <c r="I1637" s="122">
        <v>60246</v>
      </c>
      <c r="J1637" s="122">
        <v>22313</v>
      </c>
      <c r="K1637" s="122">
        <v>318</v>
      </c>
      <c r="L1637" s="122">
        <v>19025</v>
      </c>
      <c r="M1637" s="122">
        <v>17295</v>
      </c>
      <c r="N1637" s="122">
        <v>25037</v>
      </c>
      <c r="O1637" s="122">
        <v>9273</v>
      </c>
      <c r="P1637" s="122">
        <v>3159</v>
      </c>
      <c r="Q1637" s="122">
        <v>1170</v>
      </c>
      <c r="R1637" s="122">
        <v>58738</v>
      </c>
      <c r="S1637" s="122">
        <v>21755</v>
      </c>
      <c r="T1637" s="122">
        <v>0</v>
      </c>
      <c r="U1637" s="122">
        <v>0</v>
      </c>
      <c r="V1637" s="122">
        <v>71806</v>
      </c>
      <c r="W1637" s="122">
        <f t="shared" si="50"/>
        <v>71806</v>
      </c>
      <c r="X1637" s="122">
        <f t="shared" si="51"/>
        <v>166205</v>
      </c>
      <c r="AA1637" t="s">
        <v>60</v>
      </c>
      <c r="AB1637" t="s">
        <v>137</v>
      </c>
      <c r="AC1637" t="s">
        <v>433</v>
      </c>
      <c r="AD1637" t="s">
        <v>137</v>
      </c>
      <c r="AE1637" t="s">
        <v>137</v>
      </c>
      <c r="AF1637">
        <v>1</v>
      </c>
      <c r="AG1637" s="122">
        <v>117</v>
      </c>
      <c r="AH1637" s="122">
        <v>356</v>
      </c>
      <c r="AI1637" s="122">
        <v>28341</v>
      </c>
      <c r="AJ1637" s="122">
        <v>10497</v>
      </c>
      <c r="AK1637">
        <v>100</v>
      </c>
      <c r="AL1637" s="122">
        <v>2138</v>
      </c>
      <c r="AM1637" s="122">
        <v>1944</v>
      </c>
      <c r="AN1637" s="122">
        <v>2780</v>
      </c>
      <c r="AO1637" s="122">
        <v>1030</v>
      </c>
      <c r="AP1637">
        <v>0</v>
      </c>
      <c r="AQ1637">
        <v>0</v>
      </c>
      <c r="AR1637" s="122">
        <v>8401</v>
      </c>
      <c r="AS1637" s="122">
        <v>3112</v>
      </c>
      <c r="AT1637">
        <v>0</v>
      </c>
      <c r="AU1637">
        <v>0</v>
      </c>
      <c r="AV1637" s="122">
        <v>16582</v>
      </c>
    </row>
    <row r="1638" spans="2:48" hidden="1">
      <c r="B1638" t="s">
        <v>373</v>
      </c>
      <c r="C1638" t="s">
        <v>54</v>
      </c>
      <c r="D1638" t="s">
        <v>406</v>
      </c>
      <c r="E1638" t="s">
        <v>406</v>
      </c>
      <c r="F1638" s="122">
        <v>213</v>
      </c>
      <c r="G1638" s="122">
        <v>40644</v>
      </c>
      <c r="H1638" s="122">
        <v>29804</v>
      </c>
      <c r="I1638" s="122">
        <v>3100654</v>
      </c>
      <c r="J1638" s="122">
        <v>2818776</v>
      </c>
      <c r="K1638" s="122">
        <v>90</v>
      </c>
      <c r="L1638" s="122">
        <v>639492</v>
      </c>
      <c r="M1638" s="122">
        <v>589219</v>
      </c>
      <c r="N1638" s="122">
        <v>788218</v>
      </c>
      <c r="O1638" s="122">
        <v>291933</v>
      </c>
      <c r="P1638" s="122">
        <v>144374</v>
      </c>
      <c r="Q1638" s="122">
        <v>53472</v>
      </c>
      <c r="R1638" s="122">
        <v>1133623</v>
      </c>
      <c r="S1638" s="122">
        <v>1030567</v>
      </c>
      <c r="T1638" s="122">
        <v>55568</v>
      </c>
      <c r="U1638" s="122">
        <v>20581</v>
      </c>
      <c r="V1638" s="122">
        <v>4804546</v>
      </c>
      <c r="W1638" s="122">
        <f t="shared" si="50"/>
        <v>4804548</v>
      </c>
      <c r="X1638" s="122">
        <f t="shared" si="51"/>
        <v>5861929</v>
      </c>
      <c r="AA1638" t="s">
        <v>60</v>
      </c>
      <c r="AB1638" t="s">
        <v>137</v>
      </c>
      <c r="AC1638" t="s">
        <v>433</v>
      </c>
      <c r="AD1638" t="s">
        <v>137</v>
      </c>
      <c r="AE1638" t="s">
        <v>566</v>
      </c>
      <c r="AF1638">
        <v>29</v>
      </c>
      <c r="AG1638" s="122">
        <v>2659</v>
      </c>
      <c r="AH1638" s="122">
        <v>10099</v>
      </c>
      <c r="AI1638" s="122">
        <v>659918</v>
      </c>
      <c r="AJ1638" s="122">
        <v>244414</v>
      </c>
      <c r="AK1638">
        <v>100</v>
      </c>
      <c r="AL1638" s="122">
        <v>86206</v>
      </c>
      <c r="AM1638" s="122">
        <v>78369</v>
      </c>
      <c r="AN1638" s="122">
        <v>59686</v>
      </c>
      <c r="AO1638" s="122">
        <v>22106</v>
      </c>
      <c r="AP1638">
        <v>638</v>
      </c>
      <c r="AQ1638">
        <v>236</v>
      </c>
      <c r="AR1638" s="122">
        <v>193557</v>
      </c>
      <c r="AS1638" s="122">
        <v>71688</v>
      </c>
      <c r="AT1638" s="122">
        <v>0</v>
      </c>
      <c r="AU1638">
        <v>0</v>
      </c>
      <c r="AV1638" s="122">
        <v>416813</v>
      </c>
    </row>
    <row r="1639" spans="2:48" hidden="1">
      <c r="B1639" t="s">
        <v>373</v>
      </c>
      <c r="C1639" t="s">
        <v>54</v>
      </c>
      <c r="D1639" t="s">
        <v>406</v>
      </c>
      <c r="E1639" t="s">
        <v>427</v>
      </c>
      <c r="F1639" s="122">
        <v>1</v>
      </c>
      <c r="G1639" s="122">
        <v>141</v>
      </c>
      <c r="H1639" s="122">
        <v>148</v>
      </c>
      <c r="I1639" s="122">
        <v>10321</v>
      </c>
      <c r="J1639" s="122">
        <v>9383</v>
      </c>
      <c r="K1639" s="122">
        <v>90</v>
      </c>
      <c r="L1639" s="122">
        <v>3475</v>
      </c>
      <c r="M1639" s="122">
        <v>3159</v>
      </c>
      <c r="N1639" s="122">
        <v>1717</v>
      </c>
      <c r="O1639" s="122">
        <v>636</v>
      </c>
      <c r="P1639" s="122">
        <v>621</v>
      </c>
      <c r="Q1639" s="122">
        <v>230</v>
      </c>
      <c r="R1639" s="122">
        <v>4702</v>
      </c>
      <c r="S1639" s="122">
        <v>4275</v>
      </c>
      <c r="T1639" s="122">
        <v>0</v>
      </c>
      <c r="U1639" s="122">
        <v>0</v>
      </c>
      <c r="V1639" s="122">
        <v>17682</v>
      </c>
      <c r="W1639" s="122">
        <f t="shared" si="50"/>
        <v>17683</v>
      </c>
      <c r="X1639" s="122">
        <f t="shared" si="51"/>
        <v>20836</v>
      </c>
      <c r="AA1639" t="s">
        <v>60</v>
      </c>
      <c r="AB1639" t="s">
        <v>137</v>
      </c>
      <c r="AC1639" t="s">
        <v>433</v>
      </c>
      <c r="AD1639" t="s">
        <v>406</v>
      </c>
      <c r="AE1639" t="s">
        <v>137</v>
      </c>
      <c r="AF1639">
        <v>1</v>
      </c>
      <c r="AG1639">
        <v>143</v>
      </c>
      <c r="AH1639">
        <v>362</v>
      </c>
      <c r="AI1639" s="122">
        <v>37931</v>
      </c>
      <c r="AJ1639" s="122">
        <v>14049</v>
      </c>
      <c r="AK1639">
        <v>100</v>
      </c>
      <c r="AL1639" s="122">
        <v>2862</v>
      </c>
      <c r="AM1639" s="122">
        <v>2602</v>
      </c>
      <c r="AN1639" s="122">
        <v>3478</v>
      </c>
      <c r="AO1639" s="122">
        <v>1288</v>
      </c>
      <c r="AP1639">
        <v>0</v>
      </c>
      <c r="AQ1639">
        <v>0</v>
      </c>
      <c r="AR1639" s="122">
        <v>4937</v>
      </c>
      <c r="AS1639" s="122">
        <v>4488</v>
      </c>
      <c r="AT1639" s="122">
        <v>2494</v>
      </c>
      <c r="AU1639">
        <v>924</v>
      </c>
      <c r="AV1639" s="122">
        <v>23350</v>
      </c>
    </row>
    <row r="1640" spans="2:48" hidden="1">
      <c r="B1640" t="s">
        <v>373</v>
      </c>
      <c r="C1640" t="s">
        <v>54</v>
      </c>
      <c r="D1640" t="s">
        <v>406</v>
      </c>
      <c r="E1640" t="s">
        <v>556</v>
      </c>
      <c r="F1640" s="122">
        <v>1</v>
      </c>
      <c r="G1640" s="122">
        <v>205</v>
      </c>
      <c r="H1640" s="122">
        <v>142</v>
      </c>
      <c r="I1640" s="122">
        <v>16096</v>
      </c>
      <c r="J1640" s="122">
        <v>14633</v>
      </c>
      <c r="K1640" s="122">
        <v>86</v>
      </c>
      <c r="L1640" s="122">
        <v>2554</v>
      </c>
      <c r="M1640" s="122">
        <v>2322</v>
      </c>
      <c r="N1640" s="122">
        <v>3417</v>
      </c>
      <c r="O1640" s="122">
        <v>1265</v>
      </c>
      <c r="P1640" s="122">
        <v>621</v>
      </c>
      <c r="Q1640" s="122">
        <v>230</v>
      </c>
      <c r="R1640" s="122">
        <v>6458</v>
      </c>
      <c r="S1640" s="122">
        <v>5382</v>
      </c>
      <c r="T1640" s="122">
        <v>0</v>
      </c>
      <c r="U1640" s="122">
        <v>0</v>
      </c>
      <c r="V1640" s="122">
        <v>23832</v>
      </c>
      <c r="W1640" s="122">
        <f t="shared" si="50"/>
        <v>23832</v>
      </c>
      <c r="X1640" s="122">
        <f t="shared" si="51"/>
        <v>29146</v>
      </c>
      <c r="AA1640" t="s">
        <v>60</v>
      </c>
      <c r="AB1640" t="s">
        <v>137</v>
      </c>
      <c r="AC1640" t="s">
        <v>433</v>
      </c>
      <c r="AD1640" t="s">
        <v>433</v>
      </c>
      <c r="AE1640" t="s">
        <v>137</v>
      </c>
      <c r="AF1640">
        <v>1</v>
      </c>
      <c r="AG1640">
        <v>117</v>
      </c>
      <c r="AH1640">
        <v>376</v>
      </c>
      <c r="AI1640" s="122">
        <v>31641</v>
      </c>
      <c r="AJ1640" s="122">
        <v>11719</v>
      </c>
      <c r="AK1640">
        <v>100</v>
      </c>
      <c r="AL1640" s="122">
        <v>4746</v>
      </c>
      <c r="AM1640" s="122">
        <v>4315</v>
      </c>
      <c r="AN1640" s="122">
        <v>1428</v>
      </c>
      <c r="AO1640">
        <v>529</v>
      </c>
      <c r="AP1640">
        <v>0</v>
      </c>
      <c r="AQ1640">
        <v>0</v>
      </c>
      <c r="AR1640" s="122">
        <v>3999</v>
      </c>
      <c r="AS1640" s="122">
        <v>3636</v>
      </c>
      <c r="AT1640" s="122">
        <v>2196</v>
      </c>
      <c r="AU1640">
        <v>813</v>
      </c>
      <c r="AV1640" s="122">
        <v>21011</v>
      </c>
    </row>
    <row r="1641" spans="2:48" hidden="1">
      <c r="B1641" t="s">
        <v>373</v>
      </c>
      <c r="C1641" t="s">
        <v>54</v>
      </c>
      <c r="D1641" t="s">
        <v>407</v>
      </c>
      <c r="E1641" t="s">
        <v>407</v>
      </c>
      <c r="F1641" s="122">
        <v>1</v>
      </c>
      <c r="G1641" s="122">
        <v>156</v>
      </c>
      <c r="H1641" s="122">
        <v>144</v>
      </c>
      <c r="I1641" s="122">
        <v>10086</v>
      </c>
      <c r="J1641" s="122">
        <v>9169</v>
      </c>
      <c r="K1641" s="122">
        <v>91</v>
      </c>
      <c r="L1641" s="122">
        <v>3220</v>
      </c>
      <c r="M1641" s="122">
        <v>2927</v>
      </c>
      <c r="N1641" s="122">
        <v>2656</v>
      </c>
      <c r="O1641" s="122">
        <v>984</v>
      </c>
      <c r="P1641" s="122">
        <v>473</v>
      </c>
      <c r="Q1641" s="122">
        <v>175</v>
      </c>
      <c r="R1641" s="122">
        <v>5973</v>
      </c>
      <c r="S1641" s="122">
        <v>5430</v>
      </c>
      <c r="T1641" s="122">
        <v>0</v>
      </c>
      <c r="U1641" s="122">
        <v>0</v>
      </c>
      <c r="V1641" s="122">
        <v>18685</v>
      </c>
      <c r="W1641" s="122">
        <f t="shared" si="50"/>
        <v>18685</v>
      </c>
      <c r="X1641" s="122">
        <f t="shared" si="51"/>
        <v>22408</v>
      </c>
      <c r="AA1641" t="s">
        <v>60</v>
      </c>
      <c r="AB1641" t="s">
        <v>137</v>
      </c>
      <c r="AC1641" t="s">
        <v>433</v>
      </c>
      <c r="AD1641" t="s">
        <v>433</v>
      </c>
      <c r="AE1641" t="s">
        <v>566</v>
      </c>
      <c r="AF1641">
        <v>1</v>
      </c>
      <c r="AG1641">
        <v>78</v>
      </c>
      <c r="AH1641" s="122">
        <v>330</v>
      </c>
      <c r="AI1641" s="122">
        <v>13307</v>
      </c>
      <c r="AJ1641" s="122">
        <v>4928</v>
      </c>
      <c r="AK1641">
        <v>100</v>
      </c>
      <c r="AL1641" s="122">
        <v>927</v>
      </c>
      <c r="AM1641" s="122">
        <v>842</v>
      </c>
      <c r="AN1641" s="122">
        <v>1142</v>
      </c>
      <c r="AO1641" s="122">
        <v>423</v>
      </c>
      <c r="AP1641">
        <v>0</v>
      </c>
      <c r="AQ1641">
        <v>0</v>
      </c>
      <c r="AR1641" s="122">
        <v>10360</v>
      </c>
      <c r="AS1641" s="122">
        <v>9418</v>
      </c>
      <c r="AT1641">
        <v>0</v>
      </c>
      <c r="AU1641">
        <v>0</v>
      </c>
      <c r="AV1641" s="122">
        <v>15612</v>
      </c>
    </row>
    <row r="1642" spans="2:48" hidden="1">
      <c r="B1642" t="s">
        <v>373</v>
      </c>
      <c r="C1642" t="s">
        <v>54</v>
      </c>
      <c r="D1642" t="s">
        <v>408</v>
      </c>
      <c r="E1642" t="s">
        <v>408</v>
      </c>
      <c r="F1642" s="122">
        <v>3</v>
      </c>
      <c r="G1642" s="122">
        <v>626</v>
      </c>
      <c r="H1642" s="122">
        <v>410</v>
      </c>
      <c r="I1642" s="122">
        <v>49000</v>
      </c>
      <c r="J1642" s="122">
        <v>44546</v>
      </c>
      <c r="K1642" s="122">
        <v>89</v>
      </c>
      <c r="L1642" s="122">
        <v>11397</v>
      </c>
      <c r="M1642" s="122">
        <v>10361</v>
      </c>
      <c r="N1642" s="122">
        <v>10131</v>
      </c>
      <c r="O1642" s="122">
        <v>3752</v>
      </c>
      <c r="P1642" s="122">
        <v>1323</v>
      </c>
      <c r="Q1642" s="122">
        <v>490</v>
      </c>
      <c r="R1642" s="122">
        <v>14389</v>
      </c>
      <c r="S1642" s="122">
        <v>13081</v>
      </c>
      <c r="T1642" s="122">
        <v>0</v>
      </c>
      <c r="U1642" s="122">
        <v>0</v>
      </c>
      <c r="V1642" s="122">
        <v>72229</v>
      </c>
      <c r="W1642" s="122">
        <f t="shared" si="50"/>
        <v>72230</v>
      </c>
      <c r="X1642" s="122">
        <f t="shared" si="51"/>
        <v>86240</v>
      </c>
      <c r="AA1642" t="s">
        <v>60</v>
      </c>
      <c r="AB1642" t="s">
        <v>137</v>
      </c>
      <c r="AC1642" t="s">
        <v>429</v>
      </c>
      <c r="AD1642" t="s">
        <v>137</v>
      </c>
      <c r="AE1642" t="s">
        <v>566</v>
      </c>
      <c r="AF1642">
        <v>3</v>
      </c>
      <c r="AG1642">
        <v>207</v>
      </c>
      <c r="AH1642" s="122">
        <v>1103</v>
      </c>
      <c r="AI1642" s="122">
        <v>64088</v>
      </c>
      <c r="AJ1642" s="122">
        <v>23736</v>
      </c>
      <c r="AK1642">
        <v>100</v>
      </c>
      <c r="AL1642" s="122">
        <v>4463</v>
      </c>
      <c r="AM1642" s="122">
        <v>4058</v>
      </c>
      <c r="AN1642" s="122">
        <v>3612</v>
      </c>
      <c r="AO1642" s="122">
        <v>1338</v>
      </c>
      <c r="AP1642">
        <v>0</v>
      </c>
      <c r="AQ1642">
        <v>0</v>
      </c>
      <c r="AR1642" s="122">
        <v>20590</v>
      </c>
      <c r="AS1642" s="122">
        <v>7626</v>
      </c>
      <c r="AT1642">
        <v>0</v>
      </c>
      <c r="AU1642">
        <v>0</v>
      </c>
      <c r="AV1642" s="122">
        <v>36758</v>
      </c>
    </row>
    <row r="1643" spans="2:48" hidden="1">
      <c r="B1643" t="s">
        <v>373</v>
      </c>
      <c r="C1643" t="s">
        <v>56</v>
      </c>
      <c r="D1643" t="s">
        <v>425</v>
      </c>
      <c r="E1643" t="s">
        <v>425</v>
      </c>
      <c r="F1643" s="122">
        <v>8</v>
      </c>
      <c r="G1643" s="122">
        <v>1382</v>
      </c>
      <c r="H1643" s="122">
        <v>1445</v>
      </c>
      <c r="I1643" s="122">
        <v>144387</v>
      </c>
      <c r="J1643" s="122">
        <v>131261</v>
      </c>
      <c r="K1643" s="122">
        <v>79</v>
      </c>
      <c r="L1643" s="122">
        <v>18920</v>
      </c>
      <c r="M1643" s="122">
        <v>17200</v>
      </c>
      <c r="N1643" s="122">
        <v>29212</v>
      </c>
      <c r="O1643" s="122">
        <v>10819</v>
      </c>
      <c r="P1643" s="122">
        <v>3807</v>
      </c>
      <c r="Q1643" s="122">
        <v>1410</v>
      </c>
      <c r="R1643" s="122">
        <v>46555</v>
      </c>
      <c r="S1643" s="122">
        <v>42323</v>
      </c>
      <c r="T1643" s="122">
        <v>7371</v>
      </c>
      <c r="U1643" s="122">
        <v>2730</v>
      </c>
      <c r="V1643" s="122">
        <v>205743</v>
      </c>
      <c r="W1643" s="122">
        <f t="shared" si="50"/>
        <v>205743</v>
      </c>
      <c r="X1643" s="122">
        <f t="shared" si="51"/>
        <v>250252</v>
      </c>
      <c r="AA1643" t="s">
        <v>60</v>
      </c>
      <c r="AB1643" t="s">
        <v>137</v>
      </c>
      <c r="AC1643" t="s">
        <v>429</v>
      </c>
      <c r="AD1643" t="s">
        <v>431</v>
      </c>
      <c r="AE1643" t="s">
        <v>137</v>
      </c>
      <c r="AF1643">
        <v>1</v>
      </c>
      <c r="AG1643">
        <v>145</v>
      </c>
      <c r="AH1643">
        <v>352</v>
      </c>
      <c r="AI1643" s="122">
        <v>32916</v>
      </c>
      <c r="AJ1643" s="122">
        <v>12191</v>
      </c>
      <c r="AK1643">
        <v>100</v>
      </c>
      <c r="AL1643" s="122">
        <v>3641</v>
      </c>
      <c r="AM1643" s="122">
        <v>3310</v>
      </c>
      <c r="AN1643" s="122">
        <v>3189</v>
      </c>
      <c r="AO1643" s="122">
        <v>1181</v>
      </c>
      <c r="AP1643">
        <v>0</v>
      </c>
      <c r="AQ1643">
        <v>0</v>
      </c>
      <c r="AR1643" s="122">
        <v>11103</v>
      </c>
      <c r="AS1643" s="122">
        <v>10094</v>
      </c>
      <c r="AT1643" s="122">
        <v>0</v>
      </c>
      <c r="AU1643">
        <v>0</v>
      </c>
      <c r="AV1643" s="122">
        <v>26776</v>
      </c>
    </row>
    <row r="1644" spans="2:48" hidden="1">
      <c r="B1644" t="s">
        <v>373</v>
      </c>
      <c r="C1644" t="s">
        <v>56</v>
      </c>
      <c r="D1644" t="s">
        <v>405</v>
      </c>
      <c r="E1644" t="s">
        <v>405</v>
      </c>
      <c r="F1644" s="122">
        <v>62</v>
      </c>
      <c r="G1644" s="122">
        <v>9235</v>
      </c>
      <c r="H1644" s="122">
        <v>11002</v>
      </c>
      <c r="I1644" s="122">
        <v>899644</v>
      </c>
      <c r="J1644" s="122">
        <v>817859</v>
      </c>
      <c r="K1644" s="122">
        <v>83</v>
      </c>
      <c r="L1644" s="122">
        <v>205168</v>
      </c>
      <c r="M1644" s="122">
        <v>184499</v>
      </c>
      <c r="N1644" s="122">
        <v>198558</v>
      </c>
      <c r="O1644" s="122">
        <v>73540</v>
      </c>
      <c r="P1644" s="122">
        <v>28917</v>
      </c>
      <c r="Q1644" s="122">
        <v>10710</v>
      </c>
      <c r="R1644" s="122">
        <v>339866</v>
      </c>
      <c r="S1644" s="122">
        <v>308969</v>
      </c>
      <c r="T1644" s="122">
        <v>5451</v>
      </c>
      <c r="U1644" s="122">
        <v>2019</v>
      </c>
      <c r="V1644" s="122">
        <v>1397595</v>
      </c>
      <c r="W1644" s="122">
        <f t="shared" si="50"/>
        <v>1397596</v>
      </c>
      <c r="X1644" s="122">
        <f t="shared" si="51"/>
        <v>1677604</v>
      </c>
      <c r="AA1644" t="s">
        <v>60</v>
      </c>
      <c r="AB1644" t="s">
        <v>406</v>
      </c>
      <c r="AC1644" t="s">
        <v>578</v>
      </c>
      <c r="AD1644" t="s">
        <v>578</v>
      </c>
      <c r="AE1644" t="s">
        <v>137</v>
      </c>
      <c r="AF1644">
        <v>1</v>
      </c>
      <c r="AG1644" s="122">
        <v>82</v>
      </c>
      <c r="AH1644" s="122">
        <v>312</v>
      </c>
      <c r="AI1644" s="122">
        <v>15446</v>
      </c>
      <c r="AJ1644" s="122">
        <v>14041</v>
      </c>
      <c r="AK1644">
        <v>70</v>
      </c>
      <c r="AL1644" s="122">
        <v>1756</v>
      </c>
      <c r="AM1644" s="122">
        <v>1596</v>
      </c>
      <c r="AN1644" s="122">
        <v>1499</v>
      </c>
      <c r="AO1644" s="122">
        <v>555</v>
      </c>
      <c r="AP1644" s="122">
        <v>621</v>
      </c>
      <c r="AQ1644" s="122">
        <v>230</v>
      </c>
      <c r="AR1644" s="122">
        <v>3822</v>
      </c>
      <c r="AS1644" s="122">
        <v>3475</v>
      </c>
      <c r="AT1644" s="122">
        <v>2460</v>
      </c>
      <c r="AU1644" s="122">
        <v>911</v>
      </c>
      <c r="AV1644" s="122">
        <v>20808</v>
      </c>
    </row>
    <row r="1645" spans="2:48" hidden="1">
      <c r="B1645" t="s">
        <v>373</v>
      </c>
      <c r="C1645" t="s">
        <v>56</v>
      </c>
      <c r="D1645" t="s">
        <v>405</v>
      </c>
      <c r="E1645" t="s">
        <v>137</v>
      </c>
      <c r="F1645" s="122">
        <v>1</v>
      </c>
      <c r="G1645" s="122">
        <v>343</v>
      </c>
      <c r="H1645" s="122">
        <v>185</v>
      </c>
      <c r="I1645" s="122">
        <v>40321</v>
      </c>
      <c r="J1645" s="122">
        <v>36655</v>
      </c>
      <c r="K1645" s="122">
        <v>68</v>
      </c>
      <c r="L1645" s="122">
        <v>7104</v>
      </c>
      <c r="M1645" s="122">
        <v>2631</v>
      </c>
      <c r="N1645" s="122">
        <v>4178</v>
      </c>
      <c r="O1645" s="122">
        <v>1547</v>
      </c>
      <c r="P1645" s="122">
        <v>702</v>
      </c>
      <c r="Q1645" s="122">
        <v>260</v>
      </c>
      <c r="R1645" s="122">
        <v>11143</v>
      </c>
      <c r="S1645" s="122">
        <v>4127</v>
      </c>
      <c r="T1645" s="122">
        <v>0</v>
      </c>
      <c r="U1645" s="122">
        <v>0</v>
      </c>
      <c r="V1645" s="122">
        <v>45221</v>
      </c>
      <c r="W1645" s="122">
        <f t="shared" si="50"/>
        <v>45220</v>
      </c>
      <c r="X1645" s="122">
        <f t="shared" si="51"/>
        <v>63448</v>
      </c>
      <c r="AA1645" t="s">
        <v>60</v>
      </c>
      <c r="AB1645" t="s">
        <v>406</v>
      </c>
      <c r="AC1645" t="s">
        <v>578</v>
      </c>
      <c r="AD1645" t="s">
        <v>406</v>
      </c>
      <c r="AE1645" t="s">
        <v>137</v>
      </c>
      <c r="AF1645">
        <v>13</v>
      </c>
      <c r="AG1645" s="122">
        <v>1631</v>
      </c>
      <c r="AH1645" s="122">
        <v>4455</v>
      </c>
      <c r="AI1645" s="122">
        <v>344806</v>
      </c>
      <c r="AJ1645" s="122">
        <v>313460</v>
      </c>
      <c r="AK1645">
        <v>72</v>
      </c>
      <c r="AL1645" s="122">
        <v>69649</v>
      </c>
      <c r="AM1645" s="122">
        <v>63317</v>
      </c>
      <c r="AN1645" s="122">
        <v>34309</v>
      </c>
      <c r="AO1645" s="122">
        <v>12707</v>
      </c>
      <c r="AP1645" s="122">
        <v>8424</v>
      </c>
      <c r="AQ1645" s="122">
        <v>3120</v>
      </c>
      <c r="AR1645" s="122">
        <v>70269</v>
      </c>
      <c r="AS1645" s="122">
        <v>63881</v>
      </c>
      <c r="AT1645" s="122">
        <v>29671</v>
      </c>
      <c r="AU1645" s="122">
        <v>10989</v>
      </c>
      <c r="AV1645" s="122">
        <v>467474</v>
      </c>
    </row>
    <row r="1646" spans="2:48" hidden="1">
      <c r="B1646" t="s">
        <v>373</v>
      </c>
      <c r="C1646" t="s">
        <v>56</v>
      </c>
      <c r="D1646" t="s">
        <v>137</v>
      </c>
      <c r="E1646" t="s">
        <v>137</v>
      </c>
      <c r="F1646" s="122">
        <v>7</v>
      </c>
      <c r="G1646" s="122">
        <v>1485</v>
      </c>
      <c r="H1646" s="122">
        <v>1371</v>
      </c>
      <c r="I1646" s="122">
        <v>177188</v>
      </c>
      <c r="J1646" s="122">
        <v>65625</v>
      </c>
      <c r="K1646" s="122">
        <v>121</v>
      </c>
      <c r="L1646" s="122">
        <v>44193</v>
      </c>
      <c r="M1646" s="122">
        <v>37462</v>
      </c>
      <c r="N1646" s="122">
        <v>36684</v>
      </c>
      <c r="O1646" s="122">
        <v>13587</v>
      </c>
      <c r="P1646" s="122">
        <v>702</v>
      </c>
      <c r="Q1646" s="122">
        <v>260</v>
      </c>
      <c r="R1646" s="122">
        <v>65956</v>
      </c>
      <c r="S1646" s="122">
        <v>24428</v>
      </c>
      <c r="T1646" s="122">
        <v>0</v>
      </c>
      <c r="U1646" s="122">
        <v>0</v>
      </c>
      <c r="V1646" s="122">
        <v>141362</v>
      </c>
      <c r="W1646" s="122">
        <f t="shared" si="50"/>
        <v>141362</v>
      </c>
      <c r="X1646" s="122">
        <f t="shared" si="51"/>
        <v>324723</v>
      </c>
      <c r="AA1646" t="s">
        <v>60</v>
      </c>
      <c r="AB1646" t="s">
        <v>406</v>
      </c>
      <c r="AC1646" t="s">
        <v>578</v>
      </c>
      <c r="AD1646" t="s">
        <v>406</v>
      </c>
      <c r="AE1646" t="s">
        <v>566</v>
      </c>
      <c r="AF1646">
        <v>2</v>
      </c>
      <c r="AG1646">
        <v>157</v>
      </c>
      <c r="AH1646">
        <v>613</v>
      </c>
      <c r="AI1646" s="122">
        <v>29960</v>
      </c>
      <c r="AJ1646" s="122">
        <v>27236</v>
      </c>
      <c r="AK1646">
        <v>90</v>
      </c>
      <c r="AL1646" s="122">
        <v>5312</v>
      </c>
      <c r="AM1646" s="122">
        <v>4829</v>
      </c>
      <c r="AN1646" s="122">
        <v>2670</v>
      </c>
      <c r="AO1646" s="122">
        <v>989</v>
      </c>
      <c r="AP1646" s="122">
        <v>1944</v>
      </c>
      <c r="AQ1646">
        <v>720</v>
      </c>
      <c r="AR1646" s="122">
        <v>8383</v>
      </c>
      <c r="AS1646" s="122">
        <v>7621</v>
      </c>
      <c r="AT1646" s="122">
        <v>0</v>
      </c>
      <c r="AU1646" s="122">
        <v>0</v>
      </c>
      <c r="AV1646" s="122">
        <v>41395</v>
      </c>
    </row>
    <row r="1647" spans="2:48" hidden="1">
      <c r="B1647" t="s">
        <v>373</v>
      </c>
      <c r="C1647" t="s">
        <v>56</v>
      </c>
      <c r="D1647" t="s">
        <v>406</v>
      </c>
      <c r="E1647" t="s">
        <v>425</v>
      </c>
      <c r="F1647" s="122">
        <v>1</v>
      </c>
      <c r="G1647" s="122">
        <v>118</v>
      </c>
      <c r="H1647" s="122">
        <v>198</v>
      </c>
      <c r="I1647" s="122">
        <v>11360</v>
      </c>
      <c r="J1647" s="122">
        <v>10327</v>
      </c>
      <c r="K1647" s="122">
        <v>86</v>
      </c>
      <c r="L1647" s="122">
        <v>3421</v>
      </c>
      <c r="M1647" s="122">
        <v>3110</v>
      </c>
      <c r="N1647" s="122">
        <v>2095</v>
      </c>
      <c r="O1647" s="122">
        <v>776</v>
      </c>
      <c r="P1647" s="122">
        <v>621</v>
      </c>
      <c r="Q1647" s="122">
        <v>230</v>
      </c>
      <c r="R1647" s="122">
        <v>5874</v>
      </c>
      <c r="S1647" s="122">
        <v>5340</v>
      </c>
      <c r="T1647" s="122">
        <v>0</v>
      </c>
      <c r="U1647" s="122">
        <v>0</v>
      </c>
      <c r="V1647" s="122">
        <v>19784</v>
      </c>
      <c r="W1647" s="122">
        <f t="shared" si="50"/>
        <v>19783</v>
      </c>
      <c r="X1647" s="122">
        <f t="shared" si="51"/>
        <v>23371</v>
      </c>
      <c r="AA1647" t="s">
        <v>60</v>
      </c>
      <c r="AB1647" t="s">
        <v>406</v>
      </c>
      <c r="AC1647" t="s">
        <v>578</v>
      </c>
      <c r="AD1647" t="s">
        <v>426</v>
      </c>
      <c r="AE1647" t="s">
        <v>137</v>
      </c>
      <c r="AF1647">
        <v>1</v>
      </c>
      <c r="AG1647">
        <v>141</v>
      </c>
      <c r="AH1647">
        <v>303</v>
      </c>
      <c r="AI1647" s="122">
        <v>26598</v>
      </c>
      <c r="AJ1647" s="122">
        <v>24180</v>
      </c>
      <c r="AK1647">
        <v>65</v>
      </c>
      <c r="AL1647" s="122">
        <v>4059</v>
      </c>
      <c r="AM1647" s="122">
        <v>3690</v>
      </c>
      <c r="AN1647" s="122">
        <v>3034</v>
      </c>
      <c r="AO1647" s="122">
        <v>1124</v>
      </c>
      <c r="AP1647">
        <v>621</v>
      </c>
      <c r="AQ1647">
        <v>230</v>
      </c>
      <c r="AR1647" s="122">
        <v>5362</v>
      </c>
      <c r="AS1647" s="122">
        <v>4875</v>
      </c>
      <c r="AT1647" s="122">
        <v>2916</v>
      </c>
      <c r="AU1647" s="122">
        <v>1080</v>
      </c>
      <c r="AV1647" s="122">
        <v>35178</v>
      </c>
    </row>
    <row r="1648" spans="2:48" hidden="1">
      <c r="B1648" t="s">
        <v>373</v>
      </c>
      <c r="C1648" t="s">
        <v>56</v>
      </c>
      <c r="D1648" t="s">
        <v>406</v>
      </c>
      <c r="E1648" t="s">
        <v>137</v>
      </c>
      <c r="F1648" s="122">
        <v>2</v>
      </c>
      <c r="G1648" s="122">
        <v>438</v>
      </c>
      <c r="H1648" s="122">
        <v>406</v>
      </c>
      <c r="I1648" s="122">
        <v>57236</v>
      </c>
      <c r="J1648" s="122">
        <v>52032</v>
      </c>
      <c r="K1648" s="122">
        <v>75</v>
      </c>
      <c r="L1648" s="122">
        <v>7983</v>
      </c>
      <c r="M1648" s="122">
        <v>7257</v>
      </c>
      <c r="N1648" s="122">
        <v>10675</v>
      </c>
      <c r="O1648" s="122">
        <v>3954</v>
      </c>
      <c r="P1648" s="122">
        <v>1242</v>
      </c>
      <c r="Q1648" s="122">
        <v>460</v>
      </c>
      <c r="R1648" s="122">
        <v>12410</v>
      </c>
      <c r="S1648" s="122">
        <v>4596</v>
      </c>
      <c r="T1648" s="122">
        <v>0</v>
      </c>
      <c r="U1648" s="122">
        <v>0</v>
      </c>
      <c r="V1648" s="122">
        <v>68300</v>
      </c>
      <c r="W1648" s="122">
        <f t="shared" si="50"/>
        <v>68299</v>
      </c>
      <c r="X1648" s="122">
        <f t="shared" si="51"/>
        <v>89546</v>
      </c>
      <c r="AA1648" t="s">
        <v>60</v>
      </c>
      <c r="AB1648" t="s">
        <v>406</v>
      </c>
      <c r="AC1648" t="s">
        <v>425</v>
      </c>
      <c r="AD1648" t="s">
        <v>425</v>
      </c>
      <c r="AE1648" t="s">
        <v>137</v>
      </c>
      <c r="AF1648">
        <v>1</v>
      </c>
      <c r="AG1648">
        <v>100</v>
      </c>
      <c r="AH1648" s="122">
        <v>339</v>
      </c>
      <c r="AI1648" s="122">
        <v>22170</v>
      </c>
      <c r="AJ1648" s="122">
        <v>20154</v>
      </c>
      <c r="AK1648">
        <v>85</v>
      </c>
      <c r="AL1648" s="122">
        <v>3155</v>
      </c>
      <c r="AM1648" s="122">
        <v>2868</v>
      </c>
      <c r="AN1648" s="122">
        <v>2403</v>
      </c>
      <c r="AO1648" s="122">
        <v>890</v>
      </c>
      <c r="AP1648" s="122">
        <v>621</v>
      </c>
      <c r="AQ1648">
        <v>230</v>
      </c>
      <c r="AR1648" s="122">
        <v>5580</v>
      </c>
      <c r="AS1648" s="122">
        <v>5073</v>
      </c>
      <c r="AT1648">
        <v>0</v>
      </c>
      <c r="AU1648">
        <v>0</v>
      </c>
      <c r="AV1648" s="122">
        <v>29215</v>
      </c>
    </row>
    <row r="1649" spans="2:48" hidden="1">
      <c r="B1649" t="s">
        <v>373</v>
      </c>
      <c r="C1649" t="s">
        <v>56</v>
      </c>
      <c r="D1649" t="s">
        <v>406</v>
      </c>
      <c r="E1649" t="s">
        <v>406</v>
      </c>
      <c r="F1649" s="122">
        <v>1211</v>
      </c>
      <c r="G1649" s="122">
        <v>184634</v>
      </c>
      <c r="H1649" s="122">
        <v>229956</v>
      </c>
      <c r="I1649" s="122">
        <v>19515309</v>
      </c>
      <c r="J1649" s="122">
        <v>17741190</v>
      </c>
      <c r="K1649" s="122">
        <v>85</v>
      </c>
      <c r="L1649" s="122">
        <v>4337010</v>
      </c>
      <c r="M1649" s="122">
        <v>3885464</v>
      </c>
      <c r="N1649" s="122">
        <v>3886754</v>
      </c>
      <c r="O1649" s="122">
        <v>1439538</v>
      </c>
      <c r="P1649" s="122">
        <v>776732</v>
      </c>
      <c r="Q1649" s="122">
        <v>287679</v>
      </c>
      <c r="R1649" s="122">
        <v>6255280</v>
      </c>
      <c r="S1649" s="122">
        <v>5686618</v>
      </c>
      <c r="T1649" s="122">
        <v>1465501</v>
      </c>
      <c r="U1649" s="122">
        <v>542778</v>
      </c>
      <c r="V1649" s="122">
        <v>29583266</v>
      </c>
      <c r="W1649" s="122">
        <f t="shared" si="50"/>
        <v>29583267</v>
      </c>
      <c r="X1649" s="122">
        <f t="shared" si="51"/>
        <v>36236586</v>
      </c>
      <c r="AA1649" t="s">
        <v>60</v>
      </c>
      <c r="AB1649" t="s">
        <v>406</v>
      </c>
      <c r="AC1649" t="s">
        <v>425</v>
      </c>
      <c r="AD1649" t="s">
        <v>137</v>
      </c>
      <c r="AE1649" t="s">
        <v>566</v>
      </c>
      <c r="AF1649">
        <v>4</v>
      </c>
      <c r="AG1649" s="122">
        <v>619</v>
      </c>
      <c r="AH1649" s="122">
        <v>1295</v>
      </c>
      <c r="AI1649" s="122">
        <v>114421</v>
      </c>
      <c r="AJ1649" s="122">
        <v>104019</v>
      </c>
      <c r="AK1649">
        <v>69</v>
      </c>
      <c r="AL1649" s="122">
        <v>30211</v>
      </c>
      <c r="AM1649" s="122">
        <v>27464</v>
      </c>
      <c r="AN1649" s="122">
        <v>11207</v>
      </c>
      <c r="AO1649" s="122">
        <v>4151</v>
      </c>
      <c r="AP1649" s="122">
        <v>2484</v>
      </c>
      <c r="AQ1649" s="122">
        <v>920</v>
      </c>
      <c r="AR1649" s="122">
        <v>43164</v>
      </c>
      <c r="AS1649" s="122">
        <v>15987</v>
      </c>
      <c r="AT1649" s="122">
        <v>0</v>
      </c>
      <c r="AU1649" s="122">
        <v>0</v>
      </c>
      <c r="AV1649" s="122">
        <v>152541</v>
      </c>
    </row>
    <row r="1650" spans="2:48" hidden="1">
      <c r="B1650" t="s">
        <v>373</v>
      </c>
      <c r="C1650" t="s">
        <v>56</v>
      </c>
      <c r="D1650" t="s">
        <v>406</v>
      </c>
      <c r="E1650" t="s">
        <v>427</v>
      </c>
      <c r="F1650" s="122">
        <v>2</v>
      </c>
      <c r="G1650" s="122">
        <v>374</v>
      </c>
      <c r="H1650" s="122">
        <v>370</v>
      </c>
      <c r="I1650" s="122">
        <v>41467</v>
      </c>
      <c r="J1650" s="122">
        <v>37698</v>
      </c>
      <c r="K1650" s="122">
        <v>79</v>
      </c>
      <c r="L1650" s="122">
        <v>8971</v>
      </c>
      <c r="M1650" s="122">
        <v>8155</v>
      </c>
      <c r="N1650" s="122">
        <v>9482</v>
      </c>
      <c r="O1650" s="122">
        <v>3512</v>
      </c>
      <c r="P1650" s="122">
        <v>1242</v>
      </c>
      <c r="Q1650" s="122">
        <v>460</v>
      </c>
      <c r="R1650" s="122">
        <v>11857</v>
      </c>
      <c r="S1650" s="122">
        <v>10779</v>
      </c>
      <c r="T1650" s="122">
        <v>3588</v>
      </c>
      <c r="U1650" s="122">
        <v>1329</v>
      </c>
      <c r="V1650" s="122">
        <v>61933</v>
      </c>
      <c r="W1650" s="122">
        <f t="shared" si="50"/>
        <v>61933</v>
      </c>
      <c r="X1650" s="122">
        <f t="shared" si="51"/>
        <v>76607</v>
      </c>
      <c r="AA1650" t="s">
        <v>60</v>
      </c>
      <c r="AB1650" t="s">
        <v>406</v>
      </c>
      <c r="AC1650" t="s">
        <v>425</v>
      </c>
      <c r="AD1650" t="s">
        <v>406</v>
      </c>
      <c r="AE1650" t="s">
        <v>137</v>
      </c>
      <c r="AF1650">
        <v>240</v>
      </c>
      <c r="AG1650" s="122">
        <v>34618</v>
      </c>
      <c r="AH1650" s="122">
        <v>80629</v>
      </c>
      <c r="AI1650" s="122">
        <v>6983824</v>
      </c>
      <c r="AJ1650" s="122">
        <v>6348931</v>
      </c>
      <c r="AK1650">
        <v>73</v>
      </c>
      <c r="AL1650" s="122">
        <v>1933756</v>
      </c>
      <c r="AM1650" s="122">
        <v>1757960</v>
      </c>
      <c r="AN1650" s="122">
        <v>753968</v>
      </c>
      <c r="AO1650" s="122">
        <v>279247</v>
      </c>
      <c r="AP1650" s="122">
        <v>153739</v>
      </c>
      <c r="AQ1650" s="122">
        <v>56940</v>
      </c>
      <c r="AR1650" s="122">
        <v>1268522</v>
      </c>
      <c r="AS1650" s="122">
        <v>1153202</v>
      </c>
      <c r="AT1650" s="122">
        <v>670647</v>
      </c>
      <c r="AU1650" s="122">
        <v>248388</v>
      </c>
      <c r="AV1650" s="122">
        <v>9844669</v>
      </c>
    </row>
    <row r="1651" spans="2:48" hidden="1">
      <c r="B1651" t="s">
        <v>373</v>
      </c>
      <c r="C1651" t="s">
        <v>56</v>
      </c>
      <c r="D1651" t="s">
        <v>407</v>
      </c>
      <c r="E1651" t="s">
        <v>407</v>
      </c>
      <c r="F1651" s="122">
        <v>6</v>
      </c>
      <c r="G1651" s="122">
        <v>870</v>
      </c>
      <c r="H1651" s="122">
        <v>1156</v>
      </c>
      <c r="I1651" s="122">
        <v>96648</v>
      </c>
      <c r="J1651" s="122">
        <v>87862</v>
      </c>
      <c r="K1651" s="122">
        <v>81</v>
      </c>
      <c r="L1651" s="122">
        <v>13669</v>
      </c>
      <c r="M1651" s="122">
        <v>12427</v>
      </c>
      <c r="N1651" s="122">
        <v>18015</v>
      </c>
      <c r="O1651" s="122">
        <v>6672</v>
      </c>
      <c r="P1651" s="122">
        <v>2835</v>
      </c>
      <c r="Q1651" s="122">
        <v>1050</v>
      </c>
      <c r="R1651" s="122">
        <v>29390</v>
      </c>
      <c r="S1651" s="122">
        <v>26718</v>
      </c>
      <c r="T1651" s="122">
        <v>5635</v>
      </c>
      <c r="U1651" s="122">
        <v>2087</v>
      </c>
      <c r="V1651" s="122">
        <v>136816</v>
      </c>
      <c r="W1651" s="122">
        <f t="shared" si="50"/>
        <v>136816</v>
      </c>
      <c r="X1651" s="122">
        <f t="shared" si="51"/>
        <v>166192</v>
      </c>
      <c r="AA1651" t="s">
        <v>60</v>
      </c>
      <c r="AB1651" t="s">
        <v>406</v>
      </c>
      <c r="AC1651" t="s">
        <v>425</v>
      </c>
      <c r="AD1651" t="s">
        <v>406</v>
      </c>
      <c r="AE1651" t="s">
        <v>566</v>
      </c>
      <c r="AF1651">
        <v>118</v>
      </c>
      <c r="AG1651" s="122">
        <v>17469</v>
      </c>
      <c r="AH1651" s="122">
        <v>39232</v>
      </c>
      <c r="AI1651" s="122">
        <v>3519426</v>
      </c>
      <c r="AJ1651" s="122">
        <v>3199478</v>
      </c>
      <c r="AK1651">
        <v>77</v>
      </c>
      <c r="AL1651" s="122">
        <v>1091875</v>
      </c>
      <c r="AM1651" s="122">
        <v>992613</v>
      </c>
      <c r="AN1651" s="122">
        <v>365970</v>
      </c>
      <c r="AO1651" s="122">
        <v>135545</v>
      </c>
      <c r="AP1651" s="122">
        <v>77375</v>
      </c>
      <c r="AQ1651" s="122">
        <v>28658</v>
      </c>
      <c r="AR1651" s="122">
        <v>836497</v>
      </c>
      <c r="AS1651" s="122">
        <v>760452</v>
      </c>
      <c r="AT1651" s="122">
        <v>0</v>
      </c>
      <c r="AU1651" s="122">
        <v>0</v>
      </c>
      <c r="AV1651" s="122">
        <v>5116745</v>
      </c>
    </row>
    <row r="1652" spans="2:48" hidden="1">
      <c r="B1652" t="s">
        <v>373</v>
      </c>
      <c r="C1652" t="s">
        <v>56</v>
      </c>
      <c r="D1652" t="s">
        <v>426</v>
      </c>
      <c r="E1652" t="s">
        <v>426</v>
      </c>
      <c r="F1652" s="122">
        <v>9</v>
      </c>
      <c r="G1652" s="122">
        <v>1301</v>
      </c>
      <c r="H1652" s="122">
        <v>1904</v>
      </c>
      <c r="I1652" s="122">
        <v>213416</v>
      </c>
      <c r="J1652" s="122">
        <v>194014</v>
      </c>
      <c r="K1652" s="122">
        <v>67</v>
      </c>
      <c r="L1652" s="122">
        <v>20992</v>
      </c>
      <c r="M1652" s="122">
        <v>16981</v>
      </c>
      <c r="N1652" s="122">
        <v>30673</v>
      </c>
      <c r="O1652" s="122">
        <v>11360</v>
      </c>
      <c r="P1652" s="122">
        <v>5562</v>
      </c>
      <c r="Q1652" s="122">
        <v>2060</v>
      </c>
      <c r="R1652" s="122">
        <v>47401</v>
      </c>
      <c r="S1652" s="122">
        <v>43092</v>
      </c>
      <c r="T1652" s="122">
        <v>23626</v>
      </c>
      <c r="U1652" s="122">
        <v>8750</v>
      </c>
      <c r="V1652" s="122">
        <v>276258</v>
      </c>
      <c r="W1652" s="122">
        <f t="shared" si="50"/>
        <v>276257</v>
      </c>
      <c r="X1652" s="122">
        <f t="shared" si="51"/>
        <v>341670</v>
      </c>
      <c r="AA1652" t="s">
        <v>60</v>
      </c>
      <c r="AB1652" t="s">
        <v>406</v>
      </c>
      <c r="AC1652" t="s">
        <v>425</v>
      </c>
      <c r="AD1652" t="s">
        <v>407</v>
      </c>
      <c r="AE1652" t="s">
        <v>137</v>
      </c>
      <c r="AF1652">
        <v>2</v>
      </c>
      <c r="AG1652">
        <v>231</v>
      </c>
      <c r="AH1652">
        <v>615</v>
      </c>
      <c r="AI1652" s="122">
        <v>42998</v>
      </c>
      <c r="AJ1652" s="122">
        <v>39089</v>
      </c>
      <c r="AK1652">
        <v>70</v>
      </c>
      <c r="AL1652" s="122">
        <v>9197</v>
      </c>
      <c r="AM1652" s="122">
        <v>8361</v>
      </c>
      <c r="AN1652" s="122">
        <v>4546</v>
      </c>
      <c r="AO1652" s="122">
        <v>1684</v>
      </c>
      <c r="AP1652" s="122">
        <v>1242</v>
      </c>
      <c r="AQ1652">
        <v>460</v>
      </c>
      <c r="AR1652" s="122">
        <v>8614</v>
      </c>
      <c r="AS1652" s="122">
        <v>7831</v>
      </c>
      <c r="AT1652" s="122">
        <v>4638</v>
      </c>
      <c r="AU1652" s="122">
        <v>1718</v>
      </c>
      <c r="AV1652" s="122">
        <v>59143</v>
      </c>
    </row>
    <row r="1653" spans="2:48" hidden="1">
      <c r="B1653" t="s">
        <v>373</v>
      </c>
      <c r="C1653" t="s">
        <v>56</v>
      </c>
      <c r="D1653" t="s">
        <v>433</v>
      </c>
      <c r="E1653" t="s">
        <v>433</v>
      </c>
      <c r="F1653" s="122">
        <v>1</v>
      </c>
      <c r="G1653" s="122">
        <v>126</v>
      </c>
      <c r="H1653" s="122">
        <v>190</v>
      </c>
      <c r="I1653" s="122">
        <v>15010</v>
      </c>
      <c r="J1653" s="122">
        <v>13645</v>
      </c>
      <c r="K1653" s="122">
        <v>72</v>
      </c>
      <c r="L1653" s="122">
        <v>2960</v>
      </c>
      <c r="M1653" s="122">
        <v>1096</v>
      </c>
      <c r="N1653" s="122">
        <v>1842</v>
      </c>
      <c r="O1653" s="122">
        <v>682</v>
      </c>
      <c r="P1653" s="122">
        <v>0</v>
      </c>
      <c r="Q1653" s="122">
        <v>0</v>
      </c>
      <c r="R1653" s="122">
        <v>4154</v>
      </c>
      <c r="S1653" s="122">
        <v>3777</v>
      </c>
      <c r="T1653" s="122">
        <v>0</v>
      </c>
      <c r="U1653" s="122">
        <v>0</v>
      </c>
      <c r="V1653" s="122">
        <v>19200</v>
      </c>
      <c r="W1653" s="122">
        <f t="shared" si="50"/>
        <v>19200</v>
      </c>
      <c r="X1653" s="122">
        <f t="shared" si="51"/>
        <v>23966</v>
      </c>
      <c r="AA1653" t="s">
        <v>60</v>
      </c>
      <c r="AB1653" t="s">
        <v>406</v>
      </c>
      <c r="AC1653" t="s">
        <v>405</v>
      </c>
      <c r="AD1653" t="s">
        <v>137</v>
      </c>
      <c r="AE1653" t="s">
        <v>566</v>
      </c>
      <c r="AF1653">
        <v>1</v>
      </c>
      <c r="AG1653" s="122">
        <v>148</v>
      </c>
      <c r="AH1653" s="122">
        <v>330</v>
      </c>
      <c r="AI1653" s="122">
        <v>27901</v>
      </c>
      <c r="AJ1653" s="122">
        <v>25365</v>
      </c>
      <c r="AK1653">
        <v>60</v>
      </c>
      <c r="AL1653" s="122">
        <v>4418</v>
      </c>
      <c r="AM1653" s="122">
        <v>4016</v>
      </c>
      <c r="AN1653" s="122">
        <v>3003</v>
      </c>
      <c r="AO1653" s="122">
        <v>1112</v>
      </c>
      <c r="AP1653" s="122">
        <v>621</v>
      </c>
      <c r="AQ1653" s="122">
        <v>230</v>
      </c>
      <c r="AR1653" s="122">
        <v>12704</v>
      </c>
      <c r="AS1653" s="122">
        <v>4705</v>
      </c>
      <c r="AT1653" s="122">
        <v>0</v>
      </c>
      <c r="AU1653" s="122">
        <v>0</v>
      </c>
      <c r="AV1653" s="122">
        <v>35428</v>
      </c>
    </row>
    <row r="1654" spans="2:48" hidden="1">
      <c r="B1654" t="s">
        <v>373</v>
      </c>
      <c r="C1654" t="s">
        <v>56</v>
      </c>
      <c r="D1654" t="s">
        <v>408</v>
      </c>
      <c r="E1654" t="s">
        <v>137</v>
      </c>
      <c r="F1654" s="122">
        <v>1</v>
      </c>
      <c r="G1654" s="122">
        <v>445</v>
      </c>
      <c r="H1654" s="122">
        <v>190</v>
      </c>
      <c r="I1654" s="122">
        <v>53764</v>
      </c>
      <c r="J1654" s="122">
        <v>48877</v>
      </c>
      <c r="K1654" s="122">
        <v>91</v>
      </c>
      <c r="L1654" s="122">
        <v>13314</v>
      </c>
      <c r="M1654" s="122">
        <v>4931</v>
      </c>
      <c r="N1654" s="122">
        <v>5422</v>
      </c>
      <c r="O1654" s="122">
        <v>2008</v>
      </c>
      <c r="P1654" s="122">
        <v>1053</v>
      </c>
      <c r="Q1654" s="122">
        <v>390</v>
      </c>
      <c r="R1654" s="122">
        <v>11143</v>
      </c>
      <c r="S1654" s="122">
        <v>4127</v>
      </c>
      <c r="T1654" s="122">
        <v>0</v>
      </c>
      <c r="U1654" s="122">
        <v>0</v>
      </c>
      <c r="V1654" s="122">
        <v>60333</v>
      </c>
      <c r="W1654" s="122">
        <f t="shared" si="50"/>
        <v>60333</v>
      </c>
      <c r="X1654" s="122">
        <f t="shared" si="51"/>
        <v>84696</v>
      </c>
      <c r="AA1654" t="s">
        <v>60</v>
      </c>
      <c r="AB1654" t="s">
        <v>406</v>
      </c>
      <c r="AC1654" t="s">
        <v>405</v>
      </c>
      <c r="AD1654" t="s">
        <v>406</v>
      </c>
      <c r="AE1654" t="s">
        <v>137</v>
      </c>
      <c r="AF1654">
        <v>23</v>
      </c>
      <c r="AG1654" s="122">
        <v>3417</v>
      </c>
      <c r="AH1654" s="122">
        <v>7702</v>
      </c>
      <c r="AI1654" s="122">
        <v>746609</v>
      </c>
      <c r="AJ1654" s="122">
        <v>678736</v>
      </c>
      <c r="AK1654">
        <v>75</v>
      </c>
      <c r="AL1654" s="122">
        <v>132595</v>
      </c>
      <c r="AM1654" s="122">
        <v>120541</v>
      </c>
      <c r="AN1654" s="122">
        <v>74978</v>
      </c>
      <c r="AO1654" s="122">
        <v>27770</v>
      </c>
      <c r="AP1654" s="122">
        <v>14877</v>
      </c>
      <c r="AQ1654" s="122">
        <v>5510</v>
      </c>
      <c r="AR1654" s="122">
        <v>123668</v>
      </c>
      <c r="AS1654" s="122">
        <v>112426</v>
      </c>
      <c r="AT1654" s="122">
        <v>68170</v>
      </c>
      <c r="AU1654" s="122">
        <v>25248</v>
      </c>
      <c r="AV1654" s="122">
        <v>970230</v>
      </c>
    </row>
    <row r="1655" spans="2:48" hidden="1">
      <c r="B1655" t="s">
        <v>373</v>
      </c>
      <c r="C1655" t="s">
        <v>56</v>
      </c>
      <c r="D1655" t="s">
        <v>408</v>
      </c>
      <c r="E1655" t="s">
        <v>408</v>
      </c>
      <c r="F1655" s="122">
        <v>4</v>
      </c>
      <c r="G1655" s="122">
        <v>806</v>
      </c>
      <c r="H1655" s="122">
        <v>709</v>
      </c>
      <c r="I1655" s="122">
        <v>102102</v>
      </c>
      <c r="J1655" s="122">
        <v>92820</v>
      </c>
      <c r="K1655" s="122">
        <v>71</v>
      </c>
      <c r="L1655" s="122">
        <v>20588</v>
      </c>
      <c r="M1655" s="122">
        <v>18716</v>
      </c>
      <c r="N1655" s="122">
        <v>16576</v>
      </c>
      <c r="O1655" s="122">
        <v>6139</v>
      </c>
      <c r="P1655" s="122">
        <v>1674</v>
      </c>
      <c r="Q1655" s="122">
        <v>620</v>
      </c>
      <c r="R1655" s="122">
        <v>25932</v>
      </c>
      <c r="S1655" s="122">
        <v>23575</v>
      </c>
      <c r="T1655" s="122">
        <v>3983</v>
      </c>
      <c r="U1655" s="122">
        <v>1475</v>
      </c>
      <c r="V1655" s="122">
        <v>143345</v>
      </c>
      <c r="W1655" s="122">
        <f t="shared" si="50"/>
        <v>143345</v>
      </c>
      <c r="X1655" s="122">
        <f t="shared" si="51"/>
        <v>170855</v>
      </c>
      <c r="AA1655" t="s">
        <v>60</v>
      </c>
      <c r="AB1655" t="s">
        <v>406</v>
      </c>
      <c r="AC1655" t="s">
        <v>405</v>
      </c>
      <c r="AD1655" t="s">
        <v>406</v>
      </c>
      <c r="AE1655" t="s">
        <v>566</v>
      </c>
      <c r="AF1655">
        <v>16</v>
      </c>
      <c r="AG1655" s="122">
        <v>2732</v>
      </c>
      <c r="AH1655" s="122">
        <v>5309</v>
      </c>
      <c r="AI1655" s="122">
        <v>612077</v>
      </c>
      <c r="AJ1655" s="122">
        <v>556433</v>
      </c>
      <c r="AK1655">
        <v>75</v>
      </c>
      <c r="AL1655" s="122">
        <v>143663</v>
      </c>
      <c r="AM1655" s="122">
        <v>130603</v>
      </c>
      <c r="AN1655" s="122">
        <v>60406</v>
      </c>
      <c r="AO1655" s="122">
        <v>22373</v>
      </c>
      <c r="AP1655" s="122">
        <v>13591</v>
      </c>
      <c r="AQ1655" s="122">
        <v>5034</v>
      </c>
      <c r="AR1655" s="122">
        <v>120406</v>
      </c>
      <c r="AS1655" s="122">
        <v>109460</v>
      </c>
      <c r="AT1655">
        <v>0</v>
      </c>
      <c r="AU1655">
        <v>0</v>
      </c>
      <c r="AV1655" s="122">
        <v>823903</v>
      </c>
    </row>
    <row r="1656" spans="2:48" hidden="1">
      <c r="B1656" t="s">
        <v>373</v>
      </c>
      <c r="C1656" t="s">
        <v>58</v>
      </c>
      <c r="F1656" s="122">
        <v>1</v>
      </c>
      <c r="G1656" s="122">
        <v>160</v>
      </c>
      <c r="H1656" s="122">
        <v>236</v>
      </c>
      <c r="I1656" s="122"/>
      <c r="J1656" s="122">
        <v>0</v>
      </c>
      <c r="K1656" s="122"/>
      <c r="L1656" s="122"/>
      <c r="M1656" s="122">
        <v>0</v>
      </c>
      <c r="N1656" s="122">
        <v>3495</v>
      </c>
      <c r="O1656" s="122">
        <v>1294</v>
      </c>
      <c r="P1656" s="122">
        <v>621</v>
      </c>
      <c r="Q1656" s="122">
        <v>230</v>
      </c>
      <c r="R1656" s="122"/>
      <c r="S1656" s="122">
        <v>0</v>
      </c>
      <c r="T1656" s="122">
        <v>3576</v>
      </c>
      <c r="U1656" s="122">
        <v>1324</v>
      </c>
      <c r="V1656" s="122">
        <v>2849</v>
      </c>
      <c r="W1656" s="122">
        <f t="shared" si="50"/>
        <v>2848</v>
      </c>
      <c r="X1656" s="122">
        <f t="shared" si="51"/>
        <v>7692</v>
      </c>
      <c r="AA1656" t="s">
        <v>60</v>
      </c>
      <c r="AB1656" t="s">
        <v>406</v>
      </c>
      <c r="AC1656" t="s">
        <v>137</v>
      </c>
      <c r="AD1656" t="s">
        <v>137</v>
      </c>
      <c r="AE1656" t="s">
        <v>137</v>
      </c>
      <c r="AF1656">
        <v>2</v>
      </c>
      <c r="AG1656" s="122">
        <v>158</v>
      </c>
      <c r="AH1656" s="122">
        <v>705</v>
      </c>
      <c r="AI1656" s="122">
        <v>31533</v>
      </c>
      <c r="AJ1656" s="122">
        <v>28666</v>
      </c>
      <c r="AK1656">
        <v>77</v>
      </c>
      <c r="AL1656" s="122">
        <v>6391</v>
      </c>
      <c r="AM1656" s="122">
        <v>2367</v>
      </c>
      <c r="AN1656" s="122">
        <v>3314</v>
      </c>
      <c r="AO1656" s="122">
        <v>1227</v>
      </c>
      <c r="AP1656" s="122">
        <v>1242</v>
      </c>
      <c r="AQ1656" s="122">
        <v>460</v>
      </c>
      <c r="AR1656" s="122">
        <v>13330</v>
      </c>
      <c r="AS1656" s="122">
        <v>4937</v>
      </c>
      <c r="AT1656">
        <v>0</v>
      </c>
      <c r="AU1656">
        <v>0</v>
      </c>
      <c r="AV1656" s="122">
        <v>37658</v>
      </c>
    </row>
    <row r="1657" spans="2:48" hidden="1">
      <c r="B1657" t="s">
        <v>373</v>
      </c>
      <c r="C1657" t="s">
        <v>58</v>
      </c>
      <c r="D1657" t="s">
        <v>425</v>
      </c>
      <c r="E1657" t="s">
        <v>425</v>
      </c>
      <c r="F1657" s="122">
        <v>1</v>
      </c>
      <c r="G1657" s="122">
        <v>107</v>
      </c>
      <c r="H1657" s="122">
        <v>281</v>
      </c>
      <c r="I1657" s="122">
        <v>19999</v>
      </c>
      <c r="J1657" s="122">
        <v>18181</v>
      </c>
      <c r="K1657" s="122">
        <v>90</v>
      </c>
      <c r="L1657" s="122">
        <v>3181</v>
      </c>
      <c r="M1657" s="122">
        <v>2892</v>
      </c>
      <c r="N1657" s="122">
        <v>2338</v>
      </c>
      <c r="O1657" s="122">
        <v>866</v>
      </c>
      <c r="P1657" s="122">
        <v>351</v>
      </c>
      <c r="Q1657" s="122">
        <v>130</v>
      </c>
      <c r="R1657" s="122">
        <v>4071</v>
      </c>
      <c r="S1657" s="122">
        <v>3701</v>
      </c>
      <c r="T1657" s="122">
        <v>0</v>
      </c>
      <c r="U1657" s="122">
        <v>0</v>
      </c>
      <c r="V1657" s="122">
        <v>25770</v>
      </c>
      <c r="W1657" s="122">
        <f t="shared" si="50"/>
        <v>25770</v>
      </c>
      <c r="X1657" s="122">
        <f t="shared" si="51"/>
        <v>29940</v>
      </c>
      <c r="AA1657" t="s">
        <v>60</v>
      </c>
      <c r="AB1657" t="s">
        <v>406</v>
      </c>
      <c r="AC1657" t="s">
        <v>137</v>
      </c>
      <c r="AD1657" t="s">
        <v>137</v>
      </c>
      <c r="AE1657" t="s">
        <v>566</v>
      </c>
      <c r="AF1657">
        <v>8</v>
      </c>
      <c r="AG1657" s="122">
        <v>1139</v>
      </c>
      <c r="AH1657" s="122">
        <v>2731</v>
      </c>
      <c r="AI1657" s="122">
        <v>233330</v>
      </c>
      <c r="AJ1657" s="122">
        <v>212118</v>
      </c>
      <c r="AK1657">
        <v>78</v>
      </c>
      <c r="AL1657" s="122">
        <v>55798</v>
      </c>
      <c r="AM1657" s="122">
        <v>20666</v>
      </c>
      <c r="AN1657" s="122">
        <v>23070</v>
      </c>
      <c r="AO1657" s="122">
        <v>8544</v>
      </c>
      <c r="AP1657" s="122">
        <v>5270</v>
      </c>
      <c r="AQ1657" s="122">
        <v>1952</v>
      </c>
      <c r="AR1657" s="122">
        <v>70222</v>
      </c>
      <c r="AS1657" s="122">
        <v>26008</v>
      </c>
      <c r="AT1657" s="122">
        <v>0</v>
      </c>
      <c r="AU1657" s="122">
        <v>0</v>
      </c>
      <c r="AV1657" s="122">
        <v>269289</v>
      </c>
    </row>
    <row r="1658" spans="2:48" hidden="1">
      <c r="B1658" t="s">
        <v>373</v>
      </c>
      <c r="C1658" t="s">
        <v>58</v>
      </c>
      <c r="D1658" t="s">
        <v>405</v>
      </c>
      <c r="E1658" t="s">
        <v>405</v>
      </c>
      <c r="F1658" s="122">
        <v>14</v>
      </c>
      <c r="G1658" s="122">
        <v>2192</v>
      </c>
      <c r="H1658" s="122">
        <v>3633</v>
      </c>
      <c r="I1658" s="122">
        <v>354837</v>
      </c>
      <c r="J1658" s="122">
        <v>322579</v>
      </c>
      <c r="K1658" s="122">
        <v>77</v>
      </c>
      <c r="L1658" s="122">
        <v>75726</v>
      </c>
      <c r="M1658" s="122">
        <v>68842</v>
      </c>
      <c r="N1658" s="122">
        <v>45991</v>
      </c>
      <c r="O1658" s="122">
        <v>17034</v>
      </c>
      <c r="P1658" s="122">
        <v>7169</v>
      </c>
      <c r="Q1658" s="122">
        <v>2655</v>
      </c>
      <c r="R1658" s="122">
        <v>88699</v>
      </c>
      <c r="S1658" s="122">
        <v>80636</v>
      </c>
      <c r="T1658" s="122">
        <v>4305</v>
      </c>
      <c r="U1658" s="122">
        <v>1594</v>
      </c>
      <c r="V1658" s="122">
        <v>493340</v>
      </c>
      <c r="W1658" s="122">
        <f t="shared" si="50"/>
        <v>493340</v>
      </c>
      <c r="X1658" s="122">
        <f t="shared" si="51"/>
        <v>576727</v>
      </c>
      <c r="AA1658" t="s">
        <v>60</v>
      </c>
      <c r="AB1658" t="s">
        <v>406</v>
      </c>
      <c r="AC1658" t="s">
        <v>137</v>
      </c>
      <c r="AD1658" t="s">
        <v>406</v>
      </c>
      <c r="AE1658" t="s">
        <v>137</v>
      </c>
      <c r="AF1658">
        <v>431</v>
      </c>
      <c r="AG1658" s="122">
        <v>48587</v>
      </c>
      <c r="AH1658" s="122">
        <v>145400</v>
      </c>
      <c r="AI1658" s="122">
        <v>9880233</v>
      </c>
      <c r="AJ1658" s="122">
        <v>8982030</v>
      </c>
      <c r="AK1658">
        <v>75</v>
      </c>
      <c r="AL1658" s="122">
        <v>2285809</v>
      </c>
      <c r="AM1658" s="122">
        <v>846596</v>
      </c>
      <c r="AN1658" s="122">
        <v>1045015</v>
      </c>
      <c r="AO1658" s="122">
        <v>387042</v>
      </c>
      <c r="AP1658" s="122">
        <v>269824</v>
      </c>
      <c r="AQ1658" s="122">
        <v>99935</v>
      </c>
      <c r="AR1658" s="122">
        <v>2092298</v>
      </c>
      <c r="AS1658" s="122">
        <v>1902089</v>
      </c>
      <c r="AT1658" s="122">
        <v>1097819</v>
      </c>
      <c r="AU1658" s="122">
        <v>406600</v>
      </c>
      <c r="AV1658" s="122">
        <v>12624292</v>
      </c>
    </row>
    <row r="1659" spans="2:48" hidden="1">
      <c r="B1659" t="s">
        <v>373</v>
      </c>
      <c r="C1659" t="s">
        <v>58</v>
      </c>
      <c r="D1659" t="s">
        <v>137</v>
      </c>
      <c r="E1659" t="s">
        <v>405</v>
      </c>
      <c r="F1659" s="122">
        <v>1</v>
      </c>
      <c r="G1659" s="122">
        <v>164</v>
      </c>
      <c r="H1659" s="122">
        <v>269</v>
      </c>
      <c r="I1659" s="122">
        <v>25757</v>
      </c>
      <c r="J1659" s="122">
        <v>9540</v>
      </c>
      <c r="K1659" s="122">
        <v>100</v>
      </c>
      <c r="L1659" s="122">
        <v>8745</v>
      </c>
      <c r="M1659" s="122">
        <v>7950</v>
      </c>
      <c r="N1659" s="122">
        <v>3997</v>
      </c>
      <c r="O1659" s="122">
        <v>1480</v>
      </c>
      <c r="P1659" s="122">
        <v>473</v>
      </c>
      <c r="Q1659" s="122">
        <v>175</v>
      </c>
      <c r="R1659" s="122">
        <v>5175</v>
      </c>
      <c r="S1659" s="122">
        <v>4705</v>
      </c>
      <c r="T1659" s="122">
        <v>0</v>
      </c>
      <c r="U1659" s="122">
        <v>0</v>
      </c>
      <c r="V1659" s="122">
        <v>23850</v>
      </c>
      <c r="W1659" s="122">
        <f t="shared" si="50"/>
        <v>23850</v>
      </c>
      <c r="X1659" s="122">
        <f t="shared" si="51"/>
        <v>44147</v>
      </c>
      <c r="AA1659" t="s">
        <v>60</v>
      </c>
      <c r="AB1659" t="s">
        <v>406</v>
      </c>
      <c r="AC1659" t="s">
        <v>137</v>
      </c>
      <c r="AD1659" t="s">
        <v>406</v>
      </c>
      <c r="AE1659" t="s">
        <v>566</v>
      </c>
      <c r="AF1659">
        <v>181</v>
      </c>
      <c r="AG1659" s="122">
        <v>22155</v>
      </c>
      <c r="AH1659" s="122">
        <v>60780</v>
      </c>
      <c r="AI1659" s="122">
        <v>4589581</v>
      </c>
      <c r="AJ1659" s="122">
        <v>4172346</v>
      </c>
      <c r="AK1659">
        <v>76</v>
      </c>
      <c r="AL1659" s="122">
        <v>1211685</v>
      </c>
      <c r="AM1659" s="122">
        <v>448772</v>
      </c>
      <c r="AN1659" s="122">
        <v>471455</v>
      </c>
      <c r="AO1659" s="122">
        <v>174613</v>
      </c>
      <c r="AP1659" s="122">
        <v>115864</v>
      </c>
      <c r="AQ1659" s="122">
        <v>42913</v>
      </c>
      <c r="AR1659" s="122">
        <v>1214349</v>
      </c>
      <c r="AS1659" s="122">
        <v>1103953</v>
      </c>
      <c r="AT1659" s="122">
        <v>0</v>
      </c>
      <c r="AU1659" s="122">
        <v>0</v>
      </c>
      <c r="AV1659" s="122">
        <v>5942597</v>
      </c>
    </row>
    <row r="1660" spans="2:48" hidden="1">
      <c r="B1660" t="s">
        <v>373</v>
      </c>
      <c r="C1660" t="s">
        <v>58</v>
      </c>
      <c r="D1660" t="s">
        <v>137</v>
      </c>
      <c r="E1660" t="s">
        <v>137</v>
      </c>
      <c r="F1660" s="122">
        <v>47</v>
      </c>
      <c r="G1660" s="122">
        <v>7001</v>
      </c>
      <c r="H1660" s="122">
        <v>12161</v>
      </c>
      <c r="I1660" s="122">
        <v>1068492</v>
      </c>
      <c r="J1660" s="122">
        <v>395738</v>
      </c>
      <c r="K1660" s="122">
        <v>103</v>
      </c>
      <c r="L1660" s="122">
        <v>194828</v>
      </c>
      <c r="M1660" s="122">
        <v>163295</v>
      </c>
      <c r="N1660" s="122">
        <v>159153</v>
      </c>
      <c r="O1660" s="122">
        <v>58945</v>
      </c>
      <c r="P1660" s="122">
        <v>1654</v>
      </c>
      <c r="Q1660" s="122">
        <v>613</v>
      </c>
      <c r="R1660" s="122">
        <v>391260</v>
      </c>
      <c r="S1660" s="122">
        <v>144911</v>
      </c>
      <c r="T1660" s="122">
        <v>0</v>
      </c>
      <c r="U1660" s="122">
        <v>0</v>
      </c>
      <c r="V1660" s="122">
        <v>763502</v>
      </c>
      <c r="W1660" s="122">
        <f t="shared" si="50"/>
        <v>763502</v>
      </c>
      <c r="X1660" s="122">
        <f t="shared" si="51"/>
        <v>1815387</v>
      </c>
      <c r="AA1660" t="s">
        <v>60</v>
      </c>
      <c r="AB1660" t="s">
        <v>406</v>
      </c>
      <c r="AC1660" t="s">
        <v>137</v>
      </c>
      <c r="AD1660" t="s">
        <v>426</v>
      </c>
      <c r="AE1660" t="s">
        <v>137</v>
      </c>
      <c r="AF1660">
        <v>2</v>
      </c>
      <c r="AG1660">
        <v>156</v>
      </c>
      <c r="AH1660">
        <v>680</v>
      </c>
      <c r="AI1660" s="122">
        <v>25092</v>
      </c>
      <c r="AJ1660" s="122">
        <v>22810</v>
      </c>
      <c r="AK1660">
        <v>69</v>
      </c>
      <c r="AL1660" s="122">
        <v>6396</v>
      </c>
      <c r="AM1660" s="122">
        <v>2369</v>
      </c>
      <c r="AN1660" s="122">
        <v>3537</v>
      </c>
      <c r="AO1660" s="122">
        <v>1310</v>
      </c>
      <c r="AP1660" s="122">
        <v>1242</v>
      </c>
      <c r="AQ1660">
        <v>460</v>
      </c>
      <c r="AR1660" s="122">
        <v>10986</v>
      </c>
      <c r="AS1660" s="122">
        <v>9988</v>
      </c>
      <c r="AT1660" s="122">
        <v>5233</v>
      </c>
      <c r="AU1660" s="122">
        <v>1938</v>
      </c>
      <c r="AV1660" s="122">
        <v>38875</v>
      </c>
    </row>
    <row r="1661" spans="2:48" hidden="1">
      <c r="B1661" t="s">
        <v>373</v>
      </c>
      <c r="C1661" t="s">
        <v>58</v>
      </c>
      <c r="D1661" t="s">
        <v>137</v>
      </c>
      <c r="E1661" t="s">
        <v>426</v>
      </c>
      <c r="F1661" s="122">
        <v>1</v>
      </c>
      <c r="G1661" s="122">
        <v>47</v>
      </c>
      <c r="H1661" s="122">
        <v>290</v>
      </c>
      <c r="I1661" s="122">
        <v>2506</v>
      </c>
      <c r="J1661" s="122">
        <v>928</v>
      </c>
      <c r="K1661" s="122">
        <v>355</v>
      </c>
      <c r="L1661" s="122">
        <v>896</v>
      </c>
      <c r="M1661" s="122">
        <v>814</v>
      </c>
      <c r="N1661" s="122">
        <v>578</v>
      </c>
      <c r="O1661" s="122">
        <v>214</v>
      </c>
      <c r="P1661" s="122">
        <v>541</v>
      </c>
      <c r="Q1661" s="122">
        <v>200</v>
      </c>
      <c r="R1661" s="122">
        <v>6788</v>
      </c>
      <c r="S1661" s="122">
        <v>6171</v>
      </c>
      <c r="T1661" s="122">
        <v>2421</v>
      </c>
      <c r="U1661" s="122">
        <v>897</v>
      </c>
      <c r="V1661" s="122">
        <v>9225</v>
      </c>
      <c r="W1661" s="122">
        <f t="shared" si="50"/>
        <v>9224</v>
      </c>
      <c r="X1661" s="122">
        <f t="shared" si="51"/>
        <v>13730</v>
      </c>
      <c r="AA1661" t="s">
        <v>60</v>
      </c>
      <c r="AB1661" t="s">
        <v>406</v>
      </c>
      <c r="AC1661" t="s">
        <v>580</v>
      </c>
      <c r="AD1661" t="s">
        <v>137</v>
      </c>
      <c r="AE1661" t="s">
        <v>137</v>
      </c>
      <c r="AF1661">
        <v>2</v>
      </c>
      <c r="AG1661">
        <v>206</v>
      </c>
      <c r="AH1661">
        <v>664</v>
      </c>
      <c r="AI1661" s="122">
        <v>26912</v>
      </c>
      <c r="AJ1661" s="122">
        <v>24465</v>
      </c>
      <c r="AK1661">
        <v>85</v>
      </c>
      <c r="AL1661" s="122">
        <v>2419</v>
      </c>
      <c r="AM1661" s="122">
        <v>2199</v>
      </c>
      <c r="AN1661" s="122">
        <v>3590</v>
      </c>
      <c r="AO1661" s="122">
        <v>1330</v>
      </c>
      <c r="AP1661" s="122">
        <v>1242</v>
      </c>
      <c r="AQ1661">
        <v>460</v>
      </c>
      <c r="AR1661" s="122">
        <v>29416</v>
      </c>
      <c r="AS1661" s="122">
        <v>10895</v>
      </c>
      <c r="AT1661" s="122">
        <v>4717</v>
      </c>
      <c r="AU1661" s="122">
        <v>1747</v>
      </c>
      <c r="AV1661" s="122">
        <v>41096</v>
      </c>
    </row>
    <row r="1662" spans="2:48" hidden="1">
      <c r="B1662" t="s">
        <v>373</v>
      </c>
      <c r="C1662" t="s">
        <v>58</v>
      </c>
      <c r="D1662" t="s">
        <v>406</v>
      </c>
      <c r="E1662" t="s">
        <v>137</v>
      </c>
      <c r="F1662" s="122">
        <v>4</v>
      </c>
      <c r="G1662" s="122">
        <v>565</v>
      </c>
      <c r="H1662" s="122">
        <v>1067</v>
      </c>
      <c r="I1662" s="122">
        <v>80359</v>
      </c>
      <c r="J1662" s="122">
        <v>73054</v>
      </c>
      <c r="K1662" s="122">
        <v>84</v>
      </c>
      <c r="L1662" s="122">
        <v>20965</v>
      </c>
      <c r="M1662" s="122">
        <v>19059</v>
      </c>
      <c r="N1662" s="122">
        <v>12149</v>
      </c>
      <c r="O1662" s="122">
        <v>4499</v>
      </c>
      <c r="P1662" s="122">
        <v>2484</v>
      </c>
      <c r="Q1662" s="122">
        <v>920</v>
      </c>
      <c r="R1662" s="122">
        <v>32313</v>
      </c>
      <c r="S1662" s="122">
        <v>11968</v>
      </c>
      <c r="T1662" s="122">
        <v>0</v>
      </c>
      <c r="U1662" s="122">
        <v>0</v>
      </c>
      <c r="V1662" s="122">
        <v>109500</v>
      </c>
      <c r="W1662" s="122">
        <f t="shared" si="50"/>
        <v>109500</v>
      </c>
      <c r="X1662" s="122">
        <f t="shared" si="51"/>
        <v>148270</v>
      </c>
      <c r="AA1662" t="s">
        <v>60</v>
      </c>
      <c r="AB1662" t="s">
        <v>406</v>
      </c>
      <c r="AC1662" t="s">
        <v>580</v>
      </c>
      <c r="AD1662" t="s">
        <v>137</v>
      </c>
      <c r="AE1662" t="s">
        <v>566</v>
      </c>
      <c r="AF1662">
        <v>1</v>
      </c>
      <c r="AG1662" s="122">
        <v>186</v>
      </c>
      <c r="AH1662" s="122">
        <v>377</v>
      </c>
      <c r="AI1662" s="122">
        <v>47571</v>
      </c>
      <c r="AJ1662" s="122">
        <v>43247</v>
      </c>
      <c r="AK1662">
        <v>70</v>
      </c>
      <c r="AL1662" s="122">
        <v>7400</v>
      </c>
      <c r="AM1662" s="122">
        <v>6727</v>
      </c>
      <c r="AN1662" s="122">
        <v>3075</v>
      </c>
      <c r="AO1662" s="122">
        <v>1139</v>
      </c>
      <c r="AP1662" s="122">
        <v>621</v>
      </c>
      <c r="AQ1662" s="122">
        <v>230</v>
      </c>
      <c r="AR1662" s="122">
        <v>11343</v>
      </c>
      <c r="AS1662" s="122">
        <v>4201</v>
      </c>
      <c r="AT1662" s="122">
        <v>0</v>
      </c>
      <c r="AU1662" s="122">
        <v>0</v>
      </c>
      <c r="AV1662" s="122">
        <v>55544</v>
      </c>
    </row>
    <row r="1663" spans="2:48" hidden="1">
      <c r="B1663" t="s">
        <v>373</v>
      </c>
      <c r="C1663" t="s">
        <v>58</v>
      </c>
      <c r="D1663" t="s">
        <v>406</v>
      </c>
      <c r="E1663" t="s">
        <v>406</v>
      </c>
      <c r="F1663" s="122">
        <v>651</v>
      </c>
      <c r="G1663" s="122">
        <v>81436</v>
      </c>
      <c r="H1663" s="122">
        <v>169247</v>
      </c>
      <c r="I1663" s="122">
        <v>12387031</v>
      </c>
      <c r="J1663" s="122">
        <v>11260937</v>
      </c>
      <c r="K1663" s="122">
        <v>81</v>
      </c>
      <c r="L1663" s="122">
        <v>2559287</v>
      </c>
      <c r="M1663" s="122">
        <v>2283742</v>
      </c>
      <c r="N1663" s="122">
        <v>1729172</v>
      </c>
      <c r="O1663" s="122">
        <v>640434</v>
      </c>
      <c r="P1663" s="122">
        <v>418676</v>
      </c>
      <c r="Q1663" s="122">
        <v>155065</v>
      </c>
      <c r="R1663" s="122">
        <v>3202847</v>
      </c>
      <c r="S1663" s="122">
        <v>2911679</v>
      </c>
      <c r="T1663" s="122">
        <v>1144819</v>
      </c>
      <c r="U1663" s="122">
        <v>424007</v>
      </c>
      <c r="V1663" s="122">
        <v>17675865</v>
      </c>
      <c r="W1663" s="122">
        <f t="shared" si="50"/>
        <v>17675864</v>
      </c>
      <c r="X1663" s="122">
        <f t="shared" si="51"/>
        <v>21441832</v>
      </c>
      <c r="AA1663" t="s">
        <v>60</v>
      </c>
      <c r="AB1663" t="s">
        <v>406</v>
      </c>
      <c r="AC1663" t="s">
        <v>580</v>
      </c>
      <c r="AD1663" t="s">
        <v>406</v>
      </c>
      <c r="AE1663" t="s">
        <v>137</v>
      </c>
      <c r="AF1663">
        <v>426</v>
      </c>
      <c r="AG1663" s="122">
        <v>57136</v>
      </c>
      <c r="AH1663" s="122">
        <v>143152</v>
      </c>
      <c r="AI1663" s="122">
        <v>12958440</v>
      </c>
      <c r="AJ1663" s="122">
        <v>11780400</v>
      </c>
      <c r="AK1663">
        <v>77</v>
      </c>
      <c r="AL1663" s="122">
        <v>1731515</v>
      </c>
      <c r="AM1663" s="122">
        <v>1574105</v>
      </c>
      <c r="AN1663" s="122">
        <v>1218494</v>
      </c>
      <c r="AO1663" s="122">
        <v>451294</v>
      </c>
      <c r="AP1663" s="122">
        <v>301563</v>
      </c>
      <c r="AQ1663" s="122">
        <v>111690</v>
      </c>
      <c r="AR1663" s="122">
        <v>2121197</v>
      </c>
      <c r="AS1663" s="122">
        <v>1928361</v>
      </c>
      <c r="AT1663" s="122">
        <v>1154572</v>
      </c>
      <c r="AU1663" s="122">
        <v>427619</v>
      </c>
      <c r="AV1663" s="122">
        <v>16273469</v>
      </c>
    </row>
    <row r="1664" spans="2:48" hidden="1">
      <c r="B1664" t="s">
        <v>373</v>
      </c>
      <c r="C1664" t="s">
        <v>58</v>
      </c>
      <c r="D1664" t="s">
        <v>406</v>
      </c>
      <c r="E1664" t="s">
        <v>427</v>
      </c>
      <c r="F1664" s="122">
        <v>1</v>
      </c>
      <c r="G1664" s="122">
        <v>128</v>
      </c>
      <c r="H1664" s="122">
        <v>267</v>
      </c>
      <c r="I1664" s="122">
        <v>23246</v>
      </c>
      <c r="J1664" s="122">
        <v>21133</v>
      </c>
      <c r="K1664" s="122">
        <v>95</v>
      </c>
      <c r="L1664" s="122">
        <v>3584</v>
      </c>
      <c r="M1664" s="122">
        <v>3258</v>
      </c>
      <c r="N1664" s="122">
        <v>2182</v>
      </c>
      <c r="O1664" s="122">
        <v>808</v>
      </c>
      <c r="P1664" s="122">
        <v>621</v>
      </c>
      <c r="Q1664" s="122">
        <v>230</v>
      </c>
      <c r="R1664" s="122">
        <v>4531</v>
      </c>
      <c r="S1664" s="122">
        <v>4119</v>
      </c>
      <c r="T1664" s="122">
        <v>0</v>
      </c>
      <c r="U1664" s="122">
        <v>0</v>
      </c>
      <c r="V1664" s="122">
        <v>29548</v>
      </c>
      <c r="W1664" s="122">
        <f t="shared" si="50"/>
        <v>29548</v>
      </c>
      <c r="X1664" s="122">
        <f t="shared" si="51"/>
        <v>34164</v>
      </c>
      <c r="AA1664" t="s">
        <v>60</v>
      </c>
      <c r="AB1664" t="s">
        <v>406</v>
      </c>
      <c r="AC1664" t="s">
        <v>580</v>
      </c>
      <c r="AD1664" t="s">
        <v>406</v>
      </c>
      <c r="AE1664" t="s">
        <v>566</v>
      </c>
      <c r="AF1664">
        <v>217</v>
      </c>
      <c r="AG1664" s="122">
        <v>31928</v>
      </c>
      <c r="AH1664" s="122">
        <v>72994</v>
      </c>
      <c r="AI1664" s="122">
        <v>7541697</v>
      </c>
      <c r="AJ1664" s="122">
        <v>6856088</v>
      </c>
      <c r="AK1664">
        <v>77</v>
      </c>
      <c r="AL1664" s="122">
        <v>1026391</v>
      </c>
      <c r="AM1664" s="122">
        <v>933082</v>
      </c>
      <c r="AN1664" s="122">
        <v>674289</v>
      </c>
      <c r="AO1664" s="122">
        <v>249737</v>
      </c>
      <c r="AP1664" s="122">
        <v>156681</v>
      </c>
      <c r="AQ1664" s="122">
        <v>58030</v>
      </c>
      <c r="AR1664" s="122">
        <v>1512054</v>
      </c>
      <c r="AS1664" s="122">
        <v>1374595</v>
      </c>
      <c r="AT1664" s="122">
        <v>0</v>
      </c>
      <c r="AU1664" s="122">
        <v>0</v>
      </c>
      <c r="AV1664" s="122">
        <v>9471531</v>
      </c>
    </row>
    <row r="1665" spans="2:48" hidden="1">
      <c r="B1665" t="s">
        <v>373</v>
      </c>
      <c r="C1665" t="s">
        <v>58</v>
      </c>
      <c r="D1665" t="s">
        <v>406</v>
      </c>
      <c r="E1665" t="s">
        <v>426</v>
      </c>
      <c r="F1665" s="122">
        <v>3</v>
      </c>
      <c r="G1665" s="122">
        <v>343</v>
      </c>
      <c r="H1665" s="122">
        <v>725</v>
      </c>
      <c r="I1665" s="122">
        <v>44455</v>
      </c>
      <c r="J1665" s="122">
        <v>40414</v>
      </c>
      <c r="K1665" s="122">
        <v>83</v>
      </c>
      <c r="L1665" s="122">
        <v>8474</v>
      </c>
      <c r="M1665" s="122">
        <v>7704</v>
      </c>
      <c r="N1665" s="122">
        <v>7200</v>
      </c>
      <c r="O1665" s="122">
        <v>2667</v>
      </c>
      <c r="P1665" s="122">
        <v>1863</v>
      </c>
      <c r="Q1665" s="122">
        <v>690</v>
      </c>
      <c r="R1665" s="122">
        <v>15532</v>
      </c>
      <c r="S1665" s="122">
        <v>14120</v>
      </c>
      <c r="T1665" s="122">
        <v>5783</v>
      </c>
      <c r="U1665" s="122">
        <v>2142</v>
      </c>
      <c r="V1665" s="122">
        <v>67736</v>
      </c>
      <c r="W1665" s="122">
        <f t="shared" si="50"/>
        <v>67737</v>
      </c>
      <c r="X1665" s="122">
        <f t="shared" si="51"/>
        <v>83307</v>
      </c>
      <c r="AA1665" t="s">
        <v>60</v>
      </c>
      <c r="AB1665" t="s">
        <v>406</v>
      </c>
      <c r="AC1665" t="s">
        <v>580</v>
      </c>
      <c r="AD1665" t="s">
        <v>427</v>
      </c>
      <c r="AE1665" t="s">
        <v>137</v>
      </c>
      <c r="AF1665">
        <v>2</v>
      </c>
      <c r="AG1665">
        <v>196</v>
      </c>
      <c r="AH1665">
        <v>679</v>
      </c>
      <c r="AI1665" s="122">
        <v>39772</v>
      </c>
      <c r="AJ1665" s="122">
        <v>36156</v>
      </c>
      <c r="AK1665">
        <v>75</v>
      </c>
      <c r="AL1665" s="122">
        <v>7518</v>
      </c>
      <c r="AM1665" s="122">
        <v>6835</v>
      </c>
      <c r="AN1665" s="122">
        <v>4275</v>
      </c>
      <c r="AO1665" s="122">
        <v>1583</v>
      </c>
      <c r="AP1665" s="122">
        <v>1242</v>
      </c>
      <c r="AQ1665">
        <v>460</v>
      </c>
      <c r="AR1665" s="122">
        <v>11079</v>
      </c>
      <c r="AS1665" s="122">
        <v>10072</v>
      </c>
      <c r="AT1665" s="122">
        <v>2847</v>
      </c>
      <c r="AU1665" s="122">
        <v>1055</v>
      </c>
      <c r="AV1665" s="122">
        <v>56160</v>
      </c>
    </row>
    <row r="1666" spans="2:48" hidden="1">
      <c r="B1666" t="s">
        <v>373</v>
      </c>
      <c r="C1666" t="s">
        <v>58</v>
      </c>
      <c r="D1666" t="s">
        <v>427</v>
      </c>
      <c r="E1666" t="s">
        <v>427</v>
      </c>
      <c r="F1666" s="122">
        <v>1</v>
      </c>
      <c r="G1666" s="122">
        <v>255</v>
      </c>
      <c r="H1666" s="122">
        <v>295</v>
      </c>
      <c r="I1666" s="122">
        <v>48403</v>
      </c>
      <c r="J1666" s="122">
        <v>44003</v>
      </c>
      <c r="K1666" s="122">
        <v>50</v>
      </c>
      <c r="L1666" s="122">
        <v>8964</v>
      </c>
      <c r="M1666" s="122">
        <v>8149</v>
      </c>
      <c r="N1666" s="122">
        <v>4902</v>
      </c>
      <c r="O1666" s="122">
        <v>1815</v>
      </c>
      <c r="P1666" s="122">
        <v>351</v>
      </c>
      <c r="Q1666" s="122">
        <v>130</v>
      </c>
      <c r="R1666" s="122">
        <v>12490</v>
      </c>
      <c r="S1666" s="122">
        <v>11355</v>
      </c>
      <c r="T1666" s="122">
        <v>0</v>
      </c>
      <c r="U1666" s="122">
        <v>0</v>
      </c>
      <c r="V1666" s="122">
        <v>65452</v>
      </c>
      <c r="W1666" s="122">
        <f t="shared" si="50"/>
        <v>65452</v>
      </c>
      <c r="X1666" s="122">
        <f t="shared" si="51"/>
        <v>75110</v>
      </c>
      <c r="AA1666" t="s">
        <v>60</v>
      </c>
      <c r="AB1666" t="s">
        <v>406</v>
      </c>
      <c r="AC1666" t="s">
        <v>580</v>
      </c>
      <c r="AD1666" t="s">
        <v>426</v>
      </c>
      <c r="AE1666" t="s">
        <v>137</v>
      </c>
      <c r="AF1666">
        <v>1</v>
      </c>
      <c r="AG1666">
        <v>138</v>
      </c>
      <c r="AH1666">
        <v>360</v>
      </c>
      <c r="AI1666" s="122">
        <v>33096</v>
      </c>
      <c r="AJ1666" s="122">
        <v>30087</v>
      </c>
      <c r="AK1666">
        <v>70</v>
      </c>
      <c r="AL1666" s="122">
        <v>4076</v>
      </c>
      <c r="AM1666" s="122">
        <v>3705</v>
      </c>
      <c r="AN1666" s="122">
        <v>3360</v>
      </c>
      <c r="AO1666" s="122">
        <v>1244</v>
      </c>
      <c r="AP1666">
        <v>621</v>
      </c>
      <c r="AQ1666">
        <v>230</v>
      </c>
      <c r="AR1666" s="122">
        <v>5272</v>
      </c>
      <c r="AS1666" s="122">
        <v>4793</v>
      </c>
      <c r="AT1666" s="122">
        <v>3151</v>
      </c>
      <c r="AU1666" s="122">
        <v>1167</v>
      </c>
      <c r="AV1666" s="122">
        <v>41226</v>
      </c>
    </row>
    <row r="1667" spans="2:48" hidden="1">
      <c r="B1667" t="s">
        <v>373</v>
      </c>
      <c r="C1667" t="s">
        <v>58</v>
      </c>
      <c r="D1667" t="s">
        <v>431</v>
      </c>
      <c r="E1667" t="s">
        <v>431</v>
      </c>
      <c r="F1667" s="122">
        <v>1</v>
      </c>
      <c r="G1667" s="122">
        <v>163</v>
      </c>
      <c r="H1667" s="122">
        <v>270</v>
      </c>
      <c r="I1667" s="122">
        <v>32472</v>
      </c>
      <c r="J1667" s="122">
        <v>29520</v>
      </c>
      <c r="K1667" s="122">
        <v>60</v>
      </c>
      <c r="L1667" s="122">
        <v>0</v>
      </c>
      <c r="M1667" s="122">
        <v>0</v>
      </c>
      <c r="N1667" s="122">
        <v>1992</v>
      </c>
      <c r="O1667" s="122">
        <v>738</v>
      </c>
      <c r="P1667" s="122">
        <v>621</v>
      </c>
      <c r="Q1667" s="122">
        <v>230</v>
      </c>
      <c r="R1667" s="122">
        <v>5861</v>
      </c>
      <c r="S1667" s="122">
        <v>5328</v>
      </c>
      <c r="T1667" s="122">
        <v>3164</v>
      </c>
      <c r="U1667" s="122">
        <v>1172</v>
      </c>
      <c r="V1667" s="122">
        <v>36987</v>
      </c>
      <c r="W1667" s="122">
        <f t="shared" si="50"/>
        <v>36988</v>
      </c>
      <c r="X1667" s="122">
        <f t="shared" si="51"/>
        <v>44110</v>
      </c>
      <c r="AA1667" t="s">
        <v>60</v>
      </c>
      <c r="AB1667" t="s">
        <v>406</v>
      </c>
      <c r="AC1667" t="s">
        <v>580</v>
      </c>
      <c r="AD1667" t="s">
        <v>426</v>
      </c>
      <c r="AE1667" t="s">
        <v>566</v>
      </c>
      <c r="AF1667">
        <v>1</v>
      </c>
      <c r="AG1667">
        <v>141</v>
      </c>
      <c r="AH1667">
        <v>302</v>
      </c>
      <c r="AI1667" s="122">
        <v>23097</v>
      </c>
      <c r="AJ1667" s="122">
        <v>20997</v>
      </c>
      <c r="AK1667">
        <v>92</v>
      </c>
      <c r="AL1667" s="122">
        <v>7485</v>
      </c>
      <c r="AM1667" s="122">
        <v>6805</v>
      </c>
      <c r="AN1667" s="122">
        <v>3444</v>
      </c>
      <c r="AO1667" s="122">
        <v>1276</v>
      </c>
      <c r="AP1667">
        <v>621</v>
      </c>
      <c r="AQ1667">
        <v>230</v>
      </c>
      <c r="AR1667" s="122">
        <v>8035</v>
      </c>
      <c r="AS1667" s="122">
        <v>7305</v>
      </c>
      <c r="AT1667" s="122">
        <v>0</v>
      </c>
      <c r="AU1667">
        <v>0</v>
      </c>
      <c r="AV1667" s="122">
        <v>36612</v>
      </c>
    </row>
    <row r="1668" spans="2:48" hidden="1">
      <c r="B1668" t="s">
        <v>373</v>
      </c>
      <c r="C1668" t="s">
        <v>58</v>
      </c>
      <c r="D1668" t="s">
        <v>426</v>
      </c>
      <c r="E1668" t="s">
        <v>406</v>
      </c>
      <c r="F1668" s="122">
        <v>1</v>
      </c>
      <c r="G1668" s="122">
        <v>287</v>
      </c>
      <c r="H1668" s="122">
        <v>290</v>
      </c>
      <c r="I1668" s="122">
        <v>57730</v>
      </c>
      <c r="J1668" s="122">
        <v>52482</v>
      </c>
      <c r="K1668" s="122">
        <v>45</v>
      </c>
      <c r="L1668" s="122">
        <v>4214</v>
      </c>
      <c r="M1668" s="122">
        <v>3831</v>
      </c>
      <c r="N1668" s="122">
        <v>6649</v>
      </c>
      <c r="O1668" s="122">
        <v>2463</v>
      </c>
      <c r="P1668" s="122">
        <v>621</v>
      </c>
      <c r="Q1668" s="122">
        <v>230</v>
      </c>
      <c r="R1668" s="122">
        <v>14050</v>
      </c>
      <c r="S1668" s="122">
        <v>12773</v>
      </c>
      <c r="T1668" s="122">
        <v>0</v>
      </c>
      <c r="U1668" s="122">
        <v>0</v>
      </c>
      <c r="V1668" s="122">
        <v>71778</v>
      </c>
      <c r="W1668" s="122">
        <f t="shared" si="50"/>
        <v>71779</v>
      </c>
      <c r="X1668" s="122">
        <f t="shared" si="51"/>
        <v>83264</v>
      </c>
      <c r="AA1668" t="s">
        <v>60</v>
      </c>
      <c r="AB1668" t="s">
        <v>406</v>
      </c>
      <c r="AC1668" t="s">
        <v>427</v>
      </c>
      <c r="AD1668" t="s">
        <v>578</v>
      </c>
      <c r="AE1668" t="s">
        <v>137</v>
      </c>
      <c r="AF1668">
        <v>1</v>
      </c>
      <c r="AG1668">
        <v>47</v>
      </c>
      <c r="AH1668">
        <v>325</v>
      </c>
      <c r="AI1668" s="122">
        <v>6846</v>
      </c>
      <c r="AJ1668" s="122">
        <v>6223</v>
      </c>
      <c r="AK1668">
        <v>85</v>
      </c>
      <c r="AL1668" s="122">
        <v>1228</v>
      </c>
      <c r="AM1668" s="122">
        <v>1116</v>
      </c>
      <c r="AN1668" s="122">
        <v>958</v>
      </c>
      <c r="AO1668" s="122">
        <v>355</v>
      </c>
      <c r="AP1668" s="122">
        <v>972</v>
      </c>
      <c r="AQ1668">
        <v>360</v>
      </c>
      <c r="AR1668" s="122">
        <v>3224</v>
      </c>
      <c r="AS1668" s="122">
        <v>2931</v>
      </c>
      <c r="AT1668" s="122">
        <v>2061</v>
      </c>
      <c r="AU1668" s="122">
        <v>763</v>
      </c>
      <c r="AV1668" s="122">
        <v>11749</v>
      </c>
    </row>
    <row r="1669" spans="2:48" hidden="1">
      <c r="B1669" t="s">
        <v>373</v>
      </c>
      <c r="C1669" t="s">
        <v>58</v>
      </c>
      <c r="D1669" t="s">
        <v>426</v>
      </c>
      <c r="E1669" t="s">
        <v>426</v>
      </c>
      <c r="F1669" s="122">
        <v>25</v>
      </c>
      <c r="G1669" s="122">
        <v>3417</v>
      </c>
      <c r="H1669" s="122">
        <v>6556</v>
      </c>
      <c r="I1669" s="122">
        <v>629442</v>
      </c>
      <c r="J1669" s="122">
        <v>572220</v>
      </c>
      <c r="K1669" s="122">
        <v>63</v>
      </c>
      <c r="L1669" s="122">
        <v>65513</v>
      </c>
      <c r="M1669" s="122">
        <v>57456</v>
      </c>
      <c r="N1669" s="122">
        <v>79284</v>
      </c>
      <c r="O1669" s="122">
        <v>29365</v>
      </c>
      <c r="P1669" s="122">
        <v>15552</v>
      </c>
      <c r="Q1669" s="122">
        <v>5760</v>
      </c>
      <c r="R1669" s="122">
        <v>144122</v>
      </c>
      <c r="S1669" s="122">
        <v>131020</v>
      </c>
      <c r="T1669" s="122">
        <v>66607</v>
      </c>
      <c r="U1669" s="122">
        <v>24669</v>
      </c>
      <c r="V1669" s="122">
        <v>820490</v>
      </c>
      <c r="W1669" s="122">
        <f t="shared" si="50"/>
        <v>820490</v>
      </c>
      <c r="X1669" s="122">
        <f t="shared" si="51"/>
        <v>1000520</v>
      </c>
      <c r="AA1669" t="s">
        <v>60</v>
      </c>
      <c r="AB1669" t="s">
        <v>406</v>
      </c>
      <c r="AC1669" t="s">
        <v>427</v>
      </c>
      <c r="AD1669" t="s">
        <v>425</v>
      </c>
      <c r="AE1669" t="s">
        <v>137</v>
      </c>
      <c r="AF1669">
        <v>2</v>
      </c>
      <c r="AG1669">
        <v>236</v>
      </c>
      <c r="AH1669">
        <v>694</v>
      </c>
      <c r="AI1669" s="122">
        <v>51612</v>
      </c>
      <c r="AJ1669" s="122">
        <v>46920</v>
      </c>
      <c r="AK1669">
        <v>79</v>
      </c>
      <c r="AL1669" s="122">
        <v>11020</v>
      </c>
      <c r="AM1669" s="122">
        <v>10018</v>
      </c>
      <c r="AN1669" s="122">
        <v>4861</v>
      </c>
      <c r="AO1669" s="122">
        <v>1800</v>
      </c>
      <c r="AP1669" s="122">
        <v>1242</v>
      </c>
      <c r="AQ1669">
        <v>460</v>
      </c>
      <c r="AR1669" s="122">
        <v>10213</v>
      </c>
      <c r="AS1669" s="122">
        <v>9284</v>
      </c>
      <c r="AT1669" s="122">
        <v>2746</v>
      </c>
      <c r="AU1669" s="122">
        <v>1017</v>
      </c>
      <c r="AV1669" s="122">
        <v>69500</v>
      </c>
    </row>
    <row r="1670" spans="2:48" hidden="1">
      <c r="B1670" t="s">
        <v>373</v>
      </c>
      <c r="C1670" t="s">
        <v>58</v>
      </c>
      <c r="D1670" t="s">
        <v>408</v>
      </c>
      <c r="E1670" t="s">
        <v>408</v>
      </c>
      <c r="F1670" s="122">
        <v>1</v>
      </c>
      <c r="G1670" s="122">
        <v>74</v>
      </c>
      <c r="H1670" s="122">
        <v>285</v>
      </c>
      <c r="I1670" s="122">
        <v>19247</v>
      </c>
      <c r="J1670" s="122">
        <v>17497</v>
      </c>
      <c r="K1670" s="122">
        <v>65</v>
      </c>
      <c r="L1670" s="122">
        <v>4633</v>
      </c>
      <c r="M1670" s="122">
        <v>4212</v>
      </c>
      <c r="N1670" s="122">
        <v>2990</v>
      </c>
      <c r="O1670" s="122">
        <v>1108</v>
      </c>
      <c r="P1670" s="122">
        <v>621</v>
      </c>
      <c r="Q1670" s="122">
        <v>230</v>
      </c>
      <c r="R1670" s="122">
        <v>4829</v>
      </c>
      <c r="S1670" s="122">
        <v>4390</v>
      </c>
      <c r="T1670" s="122">
        <v>2708</v>
      </c>
      <c r="U1670" s="122">
        <v>1003</v>
      </c>
      <c r="V1670" s="122">
        <v>28440</v>
      </c>
      <c r="W1670" s="122">
        <f t="shared" si="50"/>
        <v>28440</v>
      </c>
      <c r="X1670" s="122">
        <f t="shared" si="51"/>
        <v>35028</v>
      </c>
      <c r="AA1670" t="s">
        <v>60</v>
      </c>
      <c r="AB1670" t="s">
        <v>406</v>
      </c>
      <c r="AC1670" t="s">
        <v>427</v>
      </c>
      <c r="AD1670" t="s">
        <v>425</v>
      </c>
      <c r="AE1670" t="s">
        <v>566</v>
      </c>
      <c r="AF1670">
        <v>1</v>
      </c>
      <c r="AG1670">
        <v>105</v>
      </c>
      <c r="AH1670">
        <v>336</v>
      </c>
      <c r="AI1670" s="122">
        <v>18423</v>
      </c>
      <c r="AJ1670" s="122">
        <v>16748</v>
      </c>
      <c r="AK1670">
        <v>79</v>
      </c>
      <c r="AL1670" s="122">
        <v>5117</v>
      </c>
      <c r="AM1670" s="122">
        <v>4652</v>
      </c>
      <c r="AN1670" s="122">
        <v>1535</v>
      </c>
      <c r="AO1670">
        <v>569</v>
      </c>
      <c r="AP1670">
        <v>621</v>
      </c>
      <c r="AQ1670">
        <v>230</v>
      </c>
      <c r="AR1670" s="122">
        <v>9550</v>
      </c>
      <c r="AS1670" s="122">
        <v>8681</v>
      </c>
      <c r="AT1670">
        <v>0</v>
      </c>
      <c r="AU1670">
        <v>0</v>
      </c>
      <c r="AV1670" s="122">
        <v>30880</v>
      </c>
    </row>
    <row r="1671" spans="2:48" hidden="1">
      <c r="B1671" t="s">
        <v>373</v>
      </c>
      <c r="C1671" t="s">
        <v>60</v>
      </c>
      <c r="D1671" t="s">
        <v>405</v>
      </c>
      <c r="E1671" t="s">
        <v>425</v>
      </c>
      <c r="F1671" s="122">
        <v>1</v>
      </c>
      <c r="G1671" s="122">
        <v>70</v>
      </c>
      <c r="H1671" s="122">
        <v>327</v>
      </c>
      <c r="I1671" s="122">
        <v>16007</v>
      </c>
      <c r="J1671" s="122">
        <v>14552</v>
      </c>
      <c r="K1671" s="122">
        <v>73</v>
      </c>
      <c r="L1671" s="122">
        <v>2057</v>
      </c>
      <c r="M1671" s="122">
        <v>1870</v>
      </c>
      <c r="N1671" s="122">
        <v>1655</v>
      </c>
      <c r="O1671" s="122">
        <v>613</v>
      </c>
      <c r="P1671" s="122">
        <v>473</v>
      </c>
      <c r="Q1671" s="122">
        <v>175</v>
      </c>
      <c r="R1671" s="122">
        <v>2829</v>
      </c>
      <c r="S1671" s="122">
        <v>2572</v>
      </c>
      <c r="T1671" s="122">
        <v>0</v>
      </c>
      <c r="U1671" s="122">
        <v>0</v>
      </c>
      <c r="V1671" s="122">
        <v>19782</v>
      </c>
      <c r="W1671" s="122">
        <f t="shared" ref="W1671:W1734" si="52">SUM(ABS(J1671),ABS(M1671),ABS(O1671),ABS(Q1671),ABS(S1671),ABS(U1671))</f>
        <v>19782</v>
      </c>
      <c r="X1671" s="122">
        <f t="shared" ref="X1671:X1734" si="53">SUM(ABS(I1671),ABS(N1671),ABS(P1671),ABS(R1671),ABS(T1671),ABS(L1671))</f>
        <v>23021</v>
      </c>
      <c r="AA1671" t="s">
        <v>60</v>
      </c>
      <c r="AB1671" t="s">
        <v>406</v>
      </c>
      <c r="AC1671" t="s">
        <v>427</v>
      </c>
      <c r="AD1671" t="s">
        <v>137</v>
      </c>
      <c r="AE1671" t="s">
        <v>137</v>
      </c>
      <c r="AF1671">
        <v>1</v>
      </c>
      <c r="AG1671" s="122">
        <v>61</v>
      </c>
      <c r="AH1671" s="122">
        <v>339</v>
      </c>
      <c r="AI1671" s="122">
        <v>10717</v>
      </c>
      <c r="AJ1671" s="122">
        <v>9743</v>
      </c>
      <c r="AK1671">
        <v>79</v>
      </c>
      <c r="AL1671" s="122">
        <v>2977</v>
      </c>
      <c r="AM1671" s="122">
        <v>2706</v>
      </c>
      <c r="AN1671" s="122">
        <v>2231</v>
      </c>
      <c r="AO1671" s="122">
        <v>826</v>
      </c>
      <c r="AP1671" s="122">
        <v>621</v>
      </c>
      <c r="AQ1671" s="122">
        <v>230</v>
      </c>
      <c r="AR1671" s="122">
        <v>17017</v>
      </c>
      <c r="AS1671" s="122">
        <v>6303</v>
      </c>
      <c r="AT1671">
        <v>0</v>
      </c>
      <c r="AU1671">
        <v>0</v>
      </c>
      <c r="AV1671" s="122">
        <v>19809</v>
      </c>
    </row>
    <row r="1672" spans="2:48" hidden="1">
      <c r="B1672" t="s">
        <v>373</v>
      </c>
      <c r="C1672" t="s">
        <v>60</v>
      </c>
      <c r="D1672" t="s">
        <v>405</v>
      </c>
      <c r="E1672" t="s">
        <v>405</v>
      </c>
      <c r="F1672" s="122">
        <v>8</v>
      </c>
      <c r="G1672" s="122">
        <v>908</v>
      </c>
      <c r="H1672" s="122">
        <v>2645</v>
      </c>
      <c r="I1672" s="122">
        <v>186478</v>
      </c>
      <c r="J1672" s="122">
        <v>169525</v>
      </c>
      <c r="K1672" s="122">
        <v>75</v>
      </c>
      <c r="L1672" s="122">
        <v>35329</v>
      </c>
      <c r="M1672" s="122">
        <v>32117</v>
      </c>
      <c r="N1672" s="122">
        <v>18210</v>
      </c>
      <c r="O1672" s="122">
        <v>6744</v>
      </c>
      <c r="P1672" s="122">
        <v>4239</v>
      </c>
      <c r="Q1672" s="122">
        <v>1570</v>
      </c>
      <c r="R1672" s="122">
        <v>42632</v>
      </c>
      <c r="S1672" s="122">
        <v>38757</v>
      </c>
      <c r="T1672" s="122">
        <v>12251</v>
      </c>
      <c r="U1672" s="122">
        <v>4537</v>
      </c>
      <c r="V1672" s="122">
        <v>253250</v>
      </c>
      <c r="W1672" s="122">
        <f t="shared" si="52"/>
        <v>253250</v>
      </c>
      <c r="X1672" s="122">
        <f t="shared" si="53"/>
        <v>299139</v>
      </c>
      <c r="AA1672" t="s">
        <v>60</v>
      </c>
      <c r="AB1672" t="s">
        <v>406</v>
      </c>
      <c r="AC1672" t="s">
        <v>427</v>
      </c>
      <c r="AD1672" t="s">
        <v>137</v>
      </c>
      <c r="AE1672" t="s">
        <v>566</v>
      </c>
      <c r="AF1672" s="122">
        <v>10</v>
      </c>
      <c r="AG1672" s="122">
        <v>1312</v>
      </c>
      <c r="AH1672" s="122">
        <v>3452</v>
      </c>
      <c r="AI1672" s="122">
        <v>254460</v>
      </c>
      <c r="AJ1672" s="122">
        <v>231328</v>
      </c>
      <c r="AK1672">
        <v>78</v>
      </c>
      <c r="AL1672" s="122">
        <v>55459</v>
      </c>
      <c r="AM1672" s="122">
        <v>50417</v>
      </c>
      <c r="AN1672" s="122">
        <v>28328</v>
      </c>
      <c r="AO1672" s="122">
        <v>10492</v>
      </c>
      <c r="AP1672" s="122">
        <v>6210</v>
      </c>
      <c r="AQ1672" s="122">
        <v>2300</v>
      </c>
      <c r="AR1672" s="122">
        <v>101082</v>
      </c>
      <c r="AS1672" s="122">
        <v>37438</v>
      </c>
      <c r="AT1672" s="122">
        <v>0</v>
      </c>
      <c r="AU1672" s="122">
        <v>0</v>
      </c>
      <c r="AV1672" s="122">
        <v>331974</v>
      </c>
    </row>
    <row r="1673" spans="2:48" hidden="1">
      <c r="B1673" t="s">
        <v>373</v>
      </c>
      <c r="C1673" t="s">
        <v>60</v>
      </c>
      <c r="D1673" t="s">
        <v>137</v>
      </c>
      <c r="E1673" t="s">
        <v>137</v>
      </c>
      <c r="F1673" s="122">
        <v>21</v>
      </c>
      <c r="G1673" s="122">
        <v>2666</v>
      </c>
      <c r="H1673" s="122">
        <v>7100</v>
      </c>
      <c r="I1673" s="122">
        <v>574620</v>
      </c>
      <c r="J1673" s="122">
        <v>212822</v>
      </c>
      <c r="K1673" s="122">
        <v>100</v>
      </c>
      <c r="L1673" s="122">
        <v>115727</v>
      </c>
      <c r="M1673" s="122">
        <v>98700</v>
      </c>
      <c r="N1673" s="122">
        <v>61527</v>
      </c>
      <c r="O1673" s="122">
        <v>22788</v>
      </c>
      <c r="P1673" s="122">
        <v>1049</v>
      </c>
      <c r="Q1673" s="122">
        <v>389</v>
      </c>
      <c r="R1673" s="122">
        <v>177206</v>
      </c>
      <c r="S1673" s="122">
        <v>65632</v>
      </c>
      <c r="T1673" s="122">
        <v>0</v>
      </c>
      <c r="U1673" s="122">
        <v>0</v>
      </c>
      <c r="V1673" s="122">
        <v>400331</v>
      </c>
      <c r="W1673" s="122">
        <f t="shared" si="52"/>
        <v>400331</v>
      </c>
      <c r="X1673" s="122">
        <f t="shared" si="53"/>
        <v>930129</v>
      </c>
      <c r="AA1673" t="s">
        <v>60</v>
      </c>
      <c r="AB1673" t="s">
        <v>406</v>
      </c>
      <c r="AC1673" t="s">
        <v>427</v>
      </c>
      <c r="AD1673" t="s">
        <v>406</v>
      </c>
      <c r="AE1673" t="s">
        <v>137</v>
      </c>
      <c r="AF1673" s="122">
        <v>1155</v>
      </c>
      <c r="AG1673" s="122">
        <v>139375</v>
      </c>
      <c r="AH1673" s="122">
        <v>388316</v>
      </c>
      <c r="AI1673" s="122">
        <v>29034963</v>
      </c>
      <c r="AJ1673" s="122">
        <v>26395421</v>
      </c>
      <c r="AK1673">
        <v>75</v>
      </c>
      <c r="AL1673" s="122">
        <v>6321355</v>
      </c>
      <c r="AM1673" s="122">
        <v>5746686</v>
      </c>
      <c r="AN1673" s="122">
        <v>3044310</v>
      </c>
      <c r="AO1673" s="122">
        <v>1127522</v>
      </c>
      <c r="AP1673" s="122">
        <v>724824</v>
      </c>
      <c r="AQ1673" s="122">
        <v>268453</v>
      </c>
      <c r="AR1673" s="122">
        <v>5840361</v>
      </c>
      <c r="AS1673" s="122">
        <v>5309419</v>
      </c>
      <c r="AT1673" s="122">
        <v>2909660</v>
      </c>
      <c r="AU1673" s="122">
        <v>1077652</v>
      </c>
      <c r="AV1673" s="122">
        <v>39925153</v>
      </c>
    </row>
    <row r="1674" spans="2:48" hidden="1">
      <c r="B1674" t="s">
        <v>373</v>
      </c>
      <c r="C1674" t="s">
        <v>60</v>
      </c>
      <c r="D1674" t="s">
        <v>137</v>
      </c>
      <c r="E1674" t="s">
        <v>406</v>
      </c>
      <c r="F1674" s="122">
        <v>1</v>
      </c>
      <c r="G1674" s="122">
        <v>138</v>
      </c>
      <c r="H1674" s="122">
        <v>310</v>
      </c>
      <c r="I1674" s="122">
        <v>24408</v>
      </c>
      <c r="J1674" s="122">
        <v>9040</v>
      </c>
      <c r="K1674" s="122">
        <v>100</v>
      </c>
      <c r="L1674" s="122">
        <v>8287</v>
      </c>
      <c r="M1674" s="122">
        <v>7533</v>
      </c>
      <c r="N1674" s="122">
        <v>3272</v>
      </c>
      <c r="O1674" s="122">
        <v>1212</v>
      </c>
      <c r="P1674" s="122">
        <v>0</v>
      </c>
      <c r="Q1674" s="122">
        <v>0</v>
      </c>
      <c r="R1674" s="122">
        <v>3849</v>
      </c>
      <c r="S1674" s="122">
        <v>3499</v>
      </c>
      <c r="T1674" s="122">
        <v>2883</v>
      </c>
      <c r="U1674" s="122">
        <v>1068</v>
      </c>
      <c r="V1674" s="122">
        <v>22352</v>
      </c>
      <c r="W1674" s="122">
        <f t="shared" si="52"/>
        <v>22352</v>
      </c>
      <c r="X1674" s="122">
        <f t="shared" si="53"/>
        <v>42699</v>
      </c>
      <c r="AA1674" t="s">
        <v>60</v>
      </c>
      <c r="AB1674" t="s">
        <v>406</v>
      </c>
      <c r="AC1674" t="s">
        <v>427</v>
      </c>
      <c r="AD1674" t="s">
        <v>406</v>
      </c>
      <c r="AE1674" t="s">
        <v>566</v>
      </c>
      <c r="AF1674">
        <v>639</v>
      </c>
      <c r="AG1674" s="122">
        <v>76072</v>
      </c>
      <c r="AH1674" s="122">
        <v>216139</v>
      </c>
      <c r="AI1674" s="122">
        <v>16208650</v>
      </c>
      <c r="AJ1674" s="122">
        <v>14735136</v>
      </c>
      <c r="AK1674">
        <v>77</v>
      </c>
      <c r="AL1674" s="122">
        <v>3615247</v>
      </c>
      <c r="AM1674" s="122">
        <v>3286588</v>
      </c>
      <c r="AN1674" s="122">
        <v>1581755</v>
      </c>
      <c r="AO1674" s="122">
        <v>585835</v>
      </c>
      <c r="AP1674" s="122">
        <v>403272</v>
      </c>
      <c r="AQ1674" s="122">
        <v>149360</v>
      </c>
      <c r="AR1674" s="122">
        <v>4270158</v>
      </c>
      <c r="AS1674" s="122">
        <v>3881962</v>
      </c>
      <c r="AT1674" s="122">
        <v>0</v>
      </c>
      <c r="AU1674" s="122">
        <v>0</v>
      </c>
      <c r="AV1674" s="122">
        <v>22638882</v>
      </c>
    </row>
    <row r="1675" spans="2:48" hidden="1">
      <c r="B1675" t="s">
        <v>373</v>
      </c>
      <c r="C1675" t="s">
        <v>60</v>
      </c>
      <c r="D1675" t="s">
        <v>406</v>
      </c>
      <c r="E1675" t="s">
        <v>137</v>
      </c>
      <c r="F1675" s="122">
        <v>2</v>
      </c>
      <c r="G1675" s="122">
        <v>146</v>
      </c>
      <c r="H1675" s="122">
        <v>705</v>
      </c>
      <c r="I1675" s="122">
        <v>35493</v>
      </c>
      <c r="J1675" s="122">
        <v>32266</v>
      </c>
      <c r="K1675" s="122">
        <v>85</v>
      </c>
      <c r="L1675" s="122">
        <v>2275</v>
      </c>
      <c r="M1675" s="122">
        <v>2068</v>
      </c>
      <c r="N1675" s="122">
        <v>3132</v>
      </c>
      <c r="O1675" s="122">
        <v>1160</v>
      </c>
      <c r="P1675" s="122">
        <v>1242</v>
      </c>
      <c r="Q1675" s="122">
        <v>460</v>
      </c>
      <c r="R1675" s="122">
        <v>9606</v>
      </c>
      <c r="S1675" s="122">
        <v>3558</v>
      </c>
      <c r="T1675" s="122">
        <v>0</v>
      </c>
      <c r="U1675" s="122">
        <v>0</v>
      </c>
      <c r="V1675" s="122">
        <v>39513</v>
      </c>
      <c r="W1675" s="122">
        <f t="shared" si="52"/>
        <v>39512</v>
      </c>
      <c r="X1675" s="122">
        <f t="shared" si="53"/>
        <v>51748</v>
      </c>
      <c r="AA1675" t="s">
        <v>60</v>
      </c>
      <c r="AB1675" t="s">
        <v>406</v>
      </c>
      <c r="AC1675" t="s">
        <v>427</v>
      </c>
      <c r="AD1675" t="s">
        <v>427</v>
      </c>
      <c r="AE1675" t="s">
        <v>137</v>
      </c>
      <c r="AF1675">
        <v>7</v>
      </c>
      <c r="AG1675" s="122">
        <v>1036</v>
      </c>
      <c r="AH1675" s="122">
        <v>2413</v>
      </c>
      <c r="AI1675" s="122">
        <v>230930</v>
      </c>
      <c r="AJ1675" s="122">
        <v>209936</v>
      </c>
      <c r="AK1675">
        <v>70</v>
      </c>
      <c r="AL1675" s="122">
        <v>48303</v>
      </c>
      <c r="AM1675" s="122">
        <v>43912</v>
      </c>
      <c r="AN1675" s="122">
        <v>23451</v>
      </c>
      <c r="AO1675" s="122">
        <v>8685</v>
      </c>
      <c r="AP1675" s="122">
        <v>4920</v>
      </c>
      <c r="AQ1675" s="122">
        <v>1822</v>
      </c>
      <c r="AR1675" s="122">
        <v>50698</v>
      </c>
      <c r="AS1675" s="122">
        <v>46089</v>
      </c>
      <c r="AT1675" s="122">
        <v>24665</v>
      </c>
      <c r="AU1675" s="122">
        <v>9135</v>
      </c>
      <c r="AV1675" s="122">
        <v>319580</v>
      </c>
    </row>
    <row r="1676" spans="2:48" hidden="1">
      <c r="B1676" t="s">
        <v>373</v>
      </c>
      <c r="C1676" t="s">
        <v>60</v>
      </c>
      <c r="D1676" t="s">
        <v>406</v>
      </c>
      <c r="E1676" t="s">
        <v>406</v>
      </c>
      <c r="F1676" s="122">
        <v>342</v>
      </c>
      <c r="G1676" s="122">
        <v>39959</v>
      </c>
      <c r="H1676" s="122">
        <v>116600</v>
      </c>
      <c r="I1676" s="122">
        <v>8637661</v>
      </c>
      <c r="J1676" s="122">
        <v>7852419</v>
      </c>
      <c r="K1676" s="122">
        <v>77</v>
      </c>
      <c r="L1676" s="122">
        <v>1634861</v>
      </c>
      <c r="M1676" s="122">
        <v>1442669</v>
      </c>
      <c r="N1676" s="122">
        <v>850414</v>
      </c>
      <c r="O1676" s="122">
        <v>314968</v>
      </c>
      <c r="P1676" s="122">
        <v>223324</v>
      </c>
      <c r="Q1676" s="122">
        <v>82713</v>
      </c>
      <c r="R1676" s="122">
        <v>1637003</v>
      </c>
      <c r="S1676" s="122">
        <v>1488184</v>
      </c>
      <c r="T1676" s="122">
        <v>668312</v>
      </c>
      <c r="U1676" s="122">
        <v>247523</v>
      </c>
      <c r="V1676" s="122">
        <v>11428476</v>
      </c>
      <c r="W1676" s="122">
        <f t="shared" si="52"/>
        <v>11428476</v>
      </c>
      <c r="X1676" s="122">
        <f t="shared" si="53"/>
        <v>13651575</v>
      </c>
      <c r="AA1676" t="s">
        <v>60</v>
      </c>
      <c r="AB1676" t="s">
        <v>406</v>
      </c>
      <c r="AC1676" t="s">
        <v>407</v>
      </c>
      <c r="AD1676" t="s">
        <v>406</v>
      </c>
      <c r="AE1676" t="s">
        <v>137</v>
      </c>
      <c r="AF1676">
        <v>38</v>
      </c>
      <c r="AG1676" s="122">
        <v>6693</v>
      </c>
      <c r="AH1676" s="122">
        <v>12944</v>
      </c>
      <c r="AI1676" s="122">
        <v>1462869</v>
      </c>
      <c r="AJ1676" s="122">
        <v>1329881</v>
      </c>
      <c r="AK1676">
        <v>72</v>
      </c>
      <c r="AL1676" s="122">
        <v>369668</v>
      </c>
      <c r="AM1676" s="122">
        <v>336062</v>
      </c>
      <c r="AN1676" s="122">
        <v>155417</v>
      </c>
      <c r="AO1676" s="122">
        <v>57562</v>
      </c>
      <c r="AP1676" s="122">
        <v>23598</v>
      </c>
      <c r="AQ1676" s="122">
        <v>8740</v>
      </c>
      <c r="AR1676" s="122">
        <v>211972</v>
      </c>
      <c r="AS1676" s="122">
        <v>192702</v>
      </c>
      <c r="AT1676" s="122">
        <v>102133</v>
      </c>
      <c r="AU1676" s="122">
        <v>37827</v>
      </c>
      <c r="AV1676" s="122">
        <v>1962774</v>
      </c>
    </row>
    <row r="1677" spans="2:48" hidden="1">
      <c r="B1677" t="s">
        <v>373</v>
      </c>
      <c r="C1677" t="s">
        <v>60</v>
      </c>
      <c r="D1677" t="s">
        <v>406</v>
      </c>
      <c r="E1677" t="s">
        <v>426</v>
      </c>
      <c r="F1677" s="122">
        <v>2</v>
      </c>
      <c r="G1677" s="122">
        <v>298</v>
      </c>
      <c r="H1677" s="122">
        <v>702</v>
      </c>
      <c r="I1677" s="122">
        <v>67285</v>
      </c>
      <c r="J1677" s="122">
        <v>61168</v>
      </c>
      <c r="K1677" s="122">
        <v>74</v>
      </c>
      <c r="L1677" s="122">
        <v>9115</v>
      </c>
      <c r="M1677" s="122">
        <v>8286</v>
      </c>
      <c r="N1677" s="122">
        <v>6745</v>
      </c>
      <c r="O1677" s="122">
        <v>2498</v>
      </c>
      <c r="P1677" s="122">
        <v>1593</v>
      </c>
      <c r="Q1677" s="122">
        <v>590</v>
      </c>
      <c r="R1677" s="122">
        <v>16788</v>
      </c>
      <c r="S1677" s="122">
        <v>15262</v>
      </c>
      <c r="T1677" s="122">
        <v>3481</v>
      </c>
      <c r="U1677" s="122">
        <v>1289</v>
      </c>
      <c r="V1677" s="122">
        <v>89094</v>
      </c>
      <c r="W1677" s="122">
        <f t="shared" si="52"/>
        <v>89093</v>
      </c>
      <c r="X1677" s="122">
        <f t="shared" si="53"/>
        <v>105007</v>
      </c>
      <c r="AA1677" t="s">
        <v>60</v>
      </c>
      <c r="AB1677" t="s">
        <v>406</v>
      </c>
      <c r="AC1677" t="s">
        <v>407</v>
      </c>
      <c r="AD1677" t="s">
        <v>406</v>
      </c>
      <c r="AE1677" t="s">
        <v>566</v>
      </c>
      <c r="AF1677">
        <v>29</v>
      </c>
      <c r="AG1677" s="122">
        <v>4985</v>
      </c>
      <c r="AH1677" s="122">
        <v>9855</v>
      </c>
      <c r="AI1677" s="122">
        <v>1054366</v>
      </c>
      <c r="AJ1677" s="122">
        <v>958515</v>
      </c>
      <c r="AK1677">
        <v>80</v>
      </c>
      <c r="AL1677" s="122">
        <v>315198</v>
      </c>
      <c r="AM1677" s="122">
        <v>286543</v>
      </c>
      <c r="AN1677" s="122">
        <v>109523</v>
      </c>
      <c r="AO1677" s="122">
        <v>40564</v>
      </c>
      <c r="AP1677" s="122">
        <v>19062</v>
      </c>
      <c r="AQ1677" s="122">
        <v>7060</v>
      </c>
      <c r="AR1677" s="122">
        <v>198089</v>
      </c>
      <c r="AS1677" s="122">
        <v>180081</v>
      </c>
      <c r="AT1677" s="122">
        <v>0</v>
      </c>
      <c r="AU1677" s="122">
        <v>0</v>
      </c>
      <c r="AV1677" s="122">
        <v>1472763</v>
      </c>
    </row>
    <row r="1678" spans="2:48" hidden="1">
      <c r="B1678" t="s">
        <v>373</v>
      </c>
      <c r="C1678" t="s">
        <v>60</v>
      </c>
      <c r="D1678" t="s">
        <v>427</v>
      </c>
      <c r="E1678" t="s">
        <v>427</v>
      </c>
      <c r="F1678" s="122">
        <v>5</v>
      </c>
      <c r="G1678" s="122">
        <v>504</v>
      </c>
      <c r="H1678" s="122">
        <v>1799</v>
      </c>
      <c r="I1678" s="122">
        <v>119961</v>
      </c>
      <c r="J1678" s="122">
        <v>109055</v>
      </c>
      <c r="K1678" s="122">
        <v>57</v>
      </c>
      <c r="L1678" s="122">
        <v>16889</v>
      </c>
      <c r="M1678" s="122">
        <v>13167</v>
      </c>
      <c r="N1678" s="122">
        <v>7354</v>
      </c>
      <c r="O1678" s="122">
        <v>2724</v>
      </c>
      <c r="P1678" s="122">
        <v>1755</v>
      </c>
      <c r="Q1678" s="122">
        <v>650</v>
      </c>
      <c r="R1678" s="122">
        <v>27454</v>
      </c>
      <c r="S1678" s="122">
        <v>24958</v>
      </c>
      <c r="T1678" s="122">
        <v>7334</v>
      </c>
      <c r="U1678" s="122">
        <v>2716</v>
      </c>
      <c r="V1678" s="122">
        <v>153271</v>
      </c>
      <c r="W1678" s="122">
        <f t="shared" si="52"/>
        <v>153270</v>
      </c>
      <c r="X1678" s="122">
        <f t="shared" si="53"/>
        <v>180747</v>
      </c>
      <c r="AA1678" t="s">
        <v>60</v>
      </c>
      <c r="AB1678" t="s">
        <v>406</v>
      </c>
      <c r="AC1678" t="s">
        <v>407</v>
      </c>
      <c r="AD1678" t="s">
        <v>407</v>
      </c>
      <c r="AE1678" t="s">
        <v>137</v>
      </c>
      <c r="AF1678">
        <v>1</v>
      </c>
      <c r="AG1678">
        <v>126</v>
      </c>
      <c r="AH1678">
        <v>328</v>
      </c>
      <c r="AI1678" s="122">
        <v>24981</v>
      </c>
      <c r="AJ1678" s="122">
        <v>22710</v>
      </c>
      <c r="AK1678">
        <v>70</v>
      </c>
      <c r="AL1678" s="122">
        <v>4614</v>
      </c>
      <c r="AM1678" s="122">
        <v>4195</v>
      </c>
      <c r="AN1678" s="122">
        <v>2795</v>
      </c>
      <c r="AO1678" s="122">
        <v>1035</v>
      </c>
      <c r="AP1678">
        <v>621</v>
      </c>
      <c r="AQ1678">
        <v>230</v>
      </c>
      <c r="AR1678" s="122">
        <v>5212</v>
      </c>
      <c r="AS1678" s="122">
        <v>4738</v>
      </c>
      <c r="AT1678" s="122">
        <v>3103</v>
      </c>
      <c r="AU1678" s="122">
        <v>1149</v>
      </c>
      <c r="AV1678" s="122">
        <v>34057</v>
      </c>
    </row>
    <row r="1679" spans="2:48" hidden="1">
      <c r="B1679" t="s">
        <v>373</v>
      </c>
      <c r="C1679" t="s">
        <v>60</v>
      </c>
      <c r="D1679" t="s">
        <v>426</v>
      </c>
      <c r="E1679" t="s">
        <v>426</v>
      </c>
      <c r="F1679" s="122">
        <v>50</v>
      </c>
      <c r="G1679" s="122">
        <v>5097</v>
      </c>
      <c r="H1679" s="122">
        <v>17426</v>
      </c>
      <c r="I1679" s="122">
        <v>1082669</v>
      </c>
      <c r="J1679" s="122">
        <v>984245</v>
      </c>
      <c r="K1679" s="122">
        <v>53</v>
      </c>
      <c r="L1679" s="122">
        <v>158514</v>
      </c>
      <c r="M1679" s="122">
        <v>141091</v>
      </c>
      <c r="N1679" s="122">
        <v>109047</v>
      </c>
      <c r="O1679" s="122">
        <v>40388</v>
      </c>
      <c r="P1679" s="122">
        <v>20412</v>
      </c>
      <c r="Q1679" s="122">
        <v>7560</v>
      </c>
      <c r="R1679" s="122">
        <v>296127</v>
      </c>
      <c r="S1679" s="122">
        <v>269206</v>
      </c>
      <c r="T1679" s="122">
        <v>125725</v>
      </c>
      <c r="U1679" s="122">
        <v>46565</v>
      </c>
      <c r="V1679" s="122">
        <v>1489055</v>
      </c>
      <c r="W1679" s="122">
        <f t="shared" si="52"/>
        <v>1489055</v>
      </c>
      <c r="X1679" s="122">
        <f t="shared" si="53"/>
        <v>1792494</v>
      </c>
      <c r="AA1679" t="s">
        <v>60</v>
      </c>
      <c r="AB1679" t="s">
        <v>406</v>
      </c>
      <c r="AC1679" t="s">
        <v>407</v>
      </c>
      <c r="AD1679" t="s">
        <v>407</v>
      </c>
      <c r="AE1679" t="s">
        <v>566</v>
      </c>
      <c r="AF1679">
        <v>1</v>
      </c>
      <c r="AG1679">
        <v>248</v>
      </c>
      <c r="AH1679">
        <v>324</v>
      </c>
      <c r="AI1679" s="122">
        <v>61365</v>
      </c>
      <c r="AJ1679" s="122">
        <v>55786</v>
      </c>
      <c r="AK1679">
        <v>65</v>
      </c>
      <c r="AL1679" s="122">
        <v>4843</v>
      </c>
      <c r="AM1679" s="122">
        <v>4403</v>
      </c>
      <c r="AN1679" s="122">
        <v>6043</v>
      </c>
      <c r="AO1679" s="122">
        <v>2238</v>
      </c>
      <c r="AP1679">
        <v>743</v>
      </c>
      <c r="AQ1679">
        <v>275</v>
      </c>
      <c r="AR1679" s="122">
        <v>7417</v>
      </c>
      <c r="AS1679" s="122">
        <v>6742</v>
      </c>
      <c r="AT1679" s="122">
        <v>0</v>
      </c>
      <c r="AU1679">
        <v>0</v>
      </c>
      <c r="AV1679" s="122">
        <v>69445</v>
      </c>
    </row>
    <row r="1680" spans="2:48" hidden="1">
      <c r="B1680" t="s">
        <v>373</v>
      </c>
      <c r="C1680" t="s">
        <v>60</v>
      </c>
      <c r="D1680" t="s">
        <v>433</v>
      </c>
      <c r="E1680" t="s">
        <v>433</v>
      </c>
      <c r="F1680" s="122">
        <v>1</v>
      </c>
      <c r="G1680" s="122">
        <v>108</v>
      </c>
      <c r="H1680" s="122">
        <v>346</v>
      </c>
      <c r="I1680" s="122">
        <v>20771</v>
      </c>
      <c r="J1680" s="122">
        <v>18883</v>
      </c>
      <c r="K1680" s="122">
        <v>80</v>
      </c>
      <c r="L1680" s="122">
        <v>3357</v>
      </c>
      <c r="M1680" s="122">
        <v>3052</v>
      </c>
      <c r="N1680" s="122">
        <v>2632</v>
      </c>
      <c r="O1680" s="122">
        <v>975</v>
      </c>
      <c r="P1680" s="122">
        <v>351</v>
      </c>
      <c r="Q1680" s="122">
        <v>130</v>
      </c>
      <c r="R1680" s="122">
        <v>5479</v>
      </c>
      <c r="S1680" s="122">
        <v>4981</v>
      </c>
      <c r="T1680" s="122">
        <v>4756</v>
      </c>
      <c r="U1680" s="122">
        <v>1761</v>
      </c>
      <c r="V1680" s="122">
        <v>29782</v>
      </c>
      <c r="W1680" s="122">
        <f t="shared" si="52"/>
        <v>29782</v>
      </c>
      <c r="X1680" s="122">
        <f t="shared" si="53"/>
        <v>37346</v>
      </c>
      <c r="AA1680" t="s">
        <v>60</v>
      </c>
      <c r="AB1680" t="s">
        <v>406</v>
      </c>
      <c r="AC1680" t="s">
        <v>579</v>
      </c>
      <c r="AD1680" t="s">
        <v>425</v>
      </c>
      <c r="AE1680" t="s">
        <v>137</v>
      </c>
      <c r="AF1680">
        <v>1</v>
      </c>
      <c r="AG1680">
        <v>65</v>
      </c>
      <c r="AH1680">
        <v>347</v>
      </c>
      <c r="AI1680" s="122">
        <v>12277</v>
      </c>
      <c r="AJ1680" s="122">
        <v>11161</v>
      </c>
      <c r="AK1680">
        <v>85</v>
      </c>
      <c r="AL1680" s="122">
        <v>2192</v>
      </c>
      <c r="AM1680" s="122">
        <v>1826</v>
      </c>
      <c r="AN1680" s="122">
        <v>1480</v>
      </c>
      <c r="AO1680" s="122">
        <v>548</v>
      </c>
      <c r="AP1680">
        <v>972</v>
      </c>
      <c r="AQ1680">
        <v>360</v>
      </c>
      <c r="AR1680" s="122">
        <v>3382</v>
      </c>
      <c r="AS1680" s="122">
        <v>3075</v>
      </c>
      <c r="AT1680" s="122">
        <v>2227</v>
      </c>
      <c r="AU1680">
        <v>825</v>
      </c>
      <c r="AV1680" s="122">
        <v>17795</v>
      </c>
    </row>
    <row r="1681" spans="2:48" hidden="1">
      <c r="B1681" t="s">
        <v>373</v>
      </c>
      <c r="C1681" t="s">
        <v>60</v>
      </c>
      <c r="D1681" t="s">
        <v>408</v>
      </c>
      <c r="E1681" t="s">
        <v>408</v>
      </c>
      <c r="F1681" s="122">
        <v>2</v>
      </c>
      <c r="G1681" s="122">
        <v>188</v>
      </c>
      <c r="H1681" s="122">
        <v>655</v>
      </c>
      <c r="I1681" s="122">
        <v>44692</v>
      </c>
      <c r="J1681" s="122">
        <v>40630</v>
      </c>
      <c r="K1681" s="122">
        <v>79</v>
      </c>
      <c r="L1681" s="122">
        <v>6261</v>
      </c>
      <c r="M1681" s="122">
        <v>5691</v>
      </c>
      <c r="N1681" s="122">
        <v>4231</v>
      </c>
      <c r="O1681" s="122">
        <v>1567</v>
      </c>
      <c r="P1681" s="122">
        <v>972</v>
      </c>
      <c r="Q1681" s="122">
        <v>360</v>
      </c>
      <c r="R1681" s="122">
        <v>4307</v>
      </c>
      <c r="S1681" s="122">
        <v>3916</v>
      </c>
      <c r="T1681" s="122">
        <v>921</v>
      </c>
      <c r="U1681" s="122">
        <v>341</v>
      </c>
      <c r="V1681" s="122">
        <v>52505</v>
      </c>
      <c r="W1681" s="122">
        <f t="shared" si="52"/>
        <v>52505</v>
      </c>
      <c r="X1681" s="122">
        <f t="shared" si="53"/>
        <v>61384</v>
      </c>
      <c r="AA1681" t="s">
        <v>60</v>
      </c>
      <c r="AB1681" t="s">
        <v>406</v>
      </c>
      <c r="AC1681" t="s">
        <v>579</v>
      </c>
      <c r="AD1681" t="s">
        <v>425</v>
      </c>
      <c r="AE1681" t="s">
        <v>566</v>
      </c>
      <c r="AF1681">
        <v>1</v>
      </c>
      <c r="AG1681" s="122">
        <v>414</v>
      </c>
      <c r="AH1681" s="122">
        <v>346</v>
      </c>
      <c r="AI1681" s="122">
        <v>90338</v>
      </c>
      <c r="AJ1681" s="122">
        <v>82125</v>
      </c>
      <c r="AK1681">
        <v>94</v>
      </c>
      <c r="AL1681" s="122">
        <v>32631</v>
      </c>
      <c r="AM1681" s="122">
        <v>27193</v>
      </c>
      <c r="AN1681" s="122">
        <v>9336</v>
      </c>
      <c r="AO1681" s="122">
        <v>3458</v>
      </c>
      <c r="AP1681" s="122">
        <v>621</v>
      </c>
      <c r="AQ1681" s="122">
        <v>230</v>
      </c>
      <c r="AR1681" s="122">
        <v>10616</v>
      </c>
      <c r="AS1681" s="122">
        <v>9651</v>
      </c>
      <c r="AT1681">
        <v>0</v>
      </c>
      <c r="AU1681">
        <v>0</v>
      </c>
      <c r="AV1681" s="122">
        <v>122657</v>
      </c>
    </row>
    <row r="1682" spans="2:48" hidden="1">
      <c r="B1682" t="s">
        <v>373</v>
      </c>
      <c r="C1682" t="s">
        <v>62</v>
      </c>
      <c r="D1682" t="s">
        <v>405</v>
      </c>
      <c r="E1682" t="s">
        <v>405</v>
      </c>
      <c r="F1682" s="122">
        <v>5</v>
      </c>
      <c r="G1682" s="122">
        <v>877</v>
      </c>
      <c r="H1682" s="122">
        <v>2131</v>
      </c>
      <c r="I1682" s="122">
        <v>254714</v>
      </c>
      <c r="J1682" s="122">
        <v>231559</v>
      </c>
      <c r="K1682" s="122">
        <v>75</v>
      </c>
      <c r="L1682" s="122">
        <v>58586</v>
      </c>
      <c r="M1682" s="122">
        <v>50119</v>
      </c>
      <c r="N1682" s="122">
        <v>18684</v>
      </c>
      <c r="O1682" s="122">
        <v>6920</v>
      </c>
      <c r="P1682" s="122">
        <v>2120</v>
      </c>
      <c r="Q1682" s="122">
        <v>785</v>
      </c>
      <c r="R1682" s="122">
        <v>28896</v>
      </c>
      <c r="S1682" s="122">
        <v>26269</v>
      </c>
      <c r="T1682" s="122">
        <v>13490</v>
      </c>
      <c r="U1682" s="122">
        <v>4996</v>
      </c>
      <c r="V1682" s="122">
        <v>320648</v>
      </c>
      <c r="W1682" s="122">
        <f t="shared" si="52"/>
        <v>320648</v>
      </c>
      <c r="X1682" s="122">
        <f t="shared" si="53"/>
        <v>376490</v>
      </c>
      <c r="AA1682" t="s">
        <v>60</v>
      </c>
      <c r="AB1682" t="s">
        <v>406</v>
      </c>
      <c r="AC1682" t="s">
        <v>579</v>
      </c>
      <c r="AD1682" t="s">
        <v>137</v>
      </c>
      <c r="AE1682" t="s">
        <v>566</v>
      </c>
      <c r="AF1682" s="122">
        <v>13</v>
      </c>
      <c r="AG1682" s="122">
        <v>1935</v>
      </c>
      <c r="AH1682" s="122">
        <v>4591</v>
      </c>
      <c r="AI1682" s="122">
        <v>420084</v>
      </c>
      <c r="AJ1682" s="122">
        <v>381894</v>
      </c>
      <c r="AK1682">
        <v>76</v>
      </c>
      <c r="AL1682" s="122">
        <v>99122</v>
      </c>
      <c r="AM1682" s="122">
        <v>82602</v>
      </c>
      <c r="AN1682" s="122">
        <v>39722</v>
      </c>
      <c r="AO1682" s="122">
        <v>14712</v>
      </c>
      <c r="AP1682" s="122">
        <v>9830</v>
      </c>
      <c r="AQ1682" s="122">
        <v>3641</v>
      </c>
      <c r="AR1682" s="122">
        <v>116565</v>
      </c>
      <c r="AS1682" s="122">
        <v>43172</v>
      </c>
      <c r="AT1682" s="122">
        <v>0</v>
      </c>
      <c r="AU1682" s="122">
        <v>0</v>
      </c>
      <c r="AV1682" s="122">
        <v>526021</v>
      </c>
    </row>
    <row r="1683" spans="2:48" hidden="1">
      <c r="B1683" t="s">
        <v>373</v>
      </c>
      <c r="C1683" t="s">
        <v>62</v>
      </c>
      <c r="D1683" t="s">
        <v>137</v>
      </c>
      <c r="E1683" t="s">
        <v>137</v>
      </c>
      <c r="F1683" s="122">
        <v>11</v>
      </c>
      <c r="G1683" s="122">
        <v>1226</v>
      </c>
      <c r="H1683" s="122">
        <v>4513</v>
      </c>
      <c r="I1683" s="122">
        <v>362590</v>
      </c>
      <c r="J1683" s="122">
        <v>134293</v>
      </c>
      <c r="K1683" s="122">
        <v>114</v>
      </c>
      <c r="L1683" s="122">
        <v>51330</v>
      </c>
      <c r="M1683" s="122">
        <v>42063</v>
      </c>
      <c r="N1683" s="122">
        <v>26794</v>
      </c>
      <c r="O1683" s="122">
        <v>9924</v>
      </c>
      <c r="P1683" s="122">
        <v>351</v>
      </c>
      <c r="Q1683" s="122">
        <v>130</v>
      </c>
      <c r="R1683" s="122">
        <v>74999</v>
      </c>
      <c r="S1683" s="122">
        <v>27778</v>
      </c>
      <c r="T1683" s="122">
        <v>0</v>
      </c>
      <c r="U1683" s="122">
        <v>0</v>
      </c>
      <c r="V1683" s="122">
        <v>214187</v>
      </c>
      <c r="W1683" s="122">
        <f t="shared" si="52"/>
        <v>214188</v>
      </c>
      <c r="X1683" s="122">
        <f t="shared" si="53"/>
        <v>516064</v>
      </c>
      <c r="AA1683" t="s">
        <v>60</v>
      </c>
      <c r="AB1683" t="s">
        <v>406</v>
      </c>
      <c r="AC1683" t="s">
        <v>579</v>
      </c>
      <c r="AD1683" t="s">
        <v>406</v>
      </c>
      <c r="AE1683" t="s">
        <v>137</v>
      </c>
      <c r="AF1683" s="122">
        <v>1383</v>
      </c>
      <c r="AG1683" s="122">
        <v>187200</v>
      </c>
      <c r="AH1683" s="122">
        <v>468668</v>
      </c>
      <c r="AI1683" s="122">
        <v>39825677</v>
      </c>
      <c r="AJ1683" s="122">
        <v>36205161</v>
      </c>
      <c r="AK1683">
        <v>75</v>
      </c>
      <c r="AL1683" s="122">
        <v>9319607</v>
      </c>
      <c r="AM1683" s="122">
        <v>7766339</v>
      </c>
      <c r="AN1683" s="122">
        <v>3920159</v>
      </c>
      <c r="AO1683" s="122">
        <v>1451911</v>
      </c>
      <c r="AP1683" s="122">
        <v>885325</v>
      </c>
      <c r="AQ1683" s="122">
        <v>327898</v>
      </c>
      <c r="AR1683" s="122">
        <v>6897804</v>
      </c>
      <c r="AS1683" s="122">
        <v>6270731</v>
      </c>
      <c r="AT1683" s="122">
        <v>3669251</v>
      </c>
      <c r="AU1683" s="122">
        <v>1358982</v>
      </c>
      <c r="AV1683" s="122">
        <v>53381021</v>
      </c>
    </row>
    <row r="1684" spans="2:48" hidden="1">
      <c r="B1684" t="s">
        <v>373</v>
      </c>
      <c r="C1684" t="s">
        <v>62</v>
      </c>
      <c r="D1684" t="s">
        <v>137</v>
      </c>
      <c r="E1684" t="s">
        <v>426</v>
      </c>
      <c r="F1684" s="122">
        <v>4</v>
      </c>
      <c r="G1684" s="122">
        <v>317</v>
      </c>
      <c r="H1684" s="122">
        <v>1718</v>
      </c>
      <c r="I1684" s="122">
        <v>88354</v>
      </c>
      <c r="J1684" s="122">
        <v>32724</v>
      </c>
      <c r="K1684" s="122">
        <v>100</v>
      </c>
      <c r="L1684" s="122">
        <v>8569</v>
      </c>
      <c r="M1684" s="122">
        <v>7790</v>
      </c>
      <c r="N1684" s="122">
        <v>5637</v>
      </c>
      <c r="O1684" s="122">
        <v>2088</v>
      </c>
      <c r="P1684" s="122">
        <v>0</v>
      </c>
      <c r="Q1684" s="122">
        <v>0</v>
      </c>
      <c r="R1684" s="122">
        <v>28911</v>
      </c>
      <c r="S1684" s="122">
        <v>26282</v>
      </c>
      <c r="T1684" s="122">
        <v>3911</v>
      </c>
      <c r="U1684" s="122">
        <v>1448</v>
      </c>
      <c r="V1684" s="122">
        <v>70332</v>
      </c>
      <c r="W1684" s="122">
        <f t="shared" si="52"/>
        <v>70332</v>
      </c>
      <c r="X1684" s="122">
        <f t="shared" si="53"/>
        <v>135382</v>
      </c>
      <c r="AA1684" t="s">
        <v>60</v>
      </c>
      <c r="AB1684" t="s">
        <v>406</v>
      </c>
      <c r="AC1684" t="s">
        <v>579</v>
      </c>
      <c r="AD1684" t="s">
        <v>406</v>
      </c>
      <c r="AE1684" t="s">
        <v>566</v>
      </c>
      <c r="AF1684">
        <v>549</v>
      </c>
      <c r="AG1684" s="122">
        <v>78174</v>
      </c>
      <c r="AH1684" s="122">
        <v>185422</v>
      </c>
      <c r="AI1684" s="122">
        <v>16930670</v>
      </c>
      <c r="AJ1684" s="122">
        <v>15391518</v>
      </c>
      <c r="AK1684">
        <v>79</v>
      </c>
      <c r="AL1684" s="122">
        <v>4303133</v>
      </c>
      <c r="AM1684" s="122">
        <v>3585944</v>
      </c>
      <c r="AN1684" s="122">
        <v>1649286</v>
      </c>
      <c r="AO1684" s="122">
        <v>610847</v>
      </c>
      <c r="AP1684" s="122">
        <v>353067</v>
      </c>
      <c r="AQ1684" s="122">
        <v>130765</v>
      </c>
      <c r="AR1684" s="122">
        <v>3610720</v>
      </c>
      <c r="AS1684" s="122">
        <v>3282473</v>
      </c>
      <c r="AT1684" s="122">
        <v>0</v>
      </c>
      <c r="AU1684">
        <v>0</v>
      </c>
      <c r="AV1684" s="122">
        <v>23001547</v>
      </c>
    </row>
    <row r="1685" spans="2:48" hidden="1">
      <c r="B1685" t="s">
        <v>373</v>
      </c>
      <c r="C1685" t="s">
        <v>62</v>
      </c>
      <c r="D1685" t="s">
        <v>406</v>
      </c>
      <c r="E1685" t="s">
        <v>137</v>
      </c>
      <c r="F1685" s="122">
        <v>2</v>
      </c>
      <c r="G1685" s="122">
        <v>243</v>
      </c>
      <c r="H1685" s="122">
        <v>833</v>
      </c>
      <c r="I1685" s="122">
        <v>70129</v>
      </c>
      <c r="J1685" s="122">
        <v>63753</v>
      </c>
      <c r="K1685" s="122">
        <v>75</v>
      </c>
      <c r="L1685" s="122">
        <v>9528</v>
      </c>
      <c r="M1685" s="122">
        <v>8662</v>
      </c>
      <c r="N1685" s="122">
        <v>5613</v>
      </c>
      <c r="O1685" s="122">
        <v>2079</v>
      </c>
      <c r="P1685" s="122">
        <v>1242</v>
      </c>
      <c r="Q1685" s="122">
        <v>460</v>
      </c>
      <c r="R1685" s="122">
        <v>12667</v>
      </c>
      <c r="S1685" s="122">
        <v>4691</v>
      </c>
      <c r="T1685" s="122">
        <v>0</v>
      </c>
      <c r="U1685" s="122">
        <v>0</v>
      </c>
      <c r="V1685" s="122">
        <v>79645</v>
      </c>
      <c r="W1685" s="122">
        <f t="shared" si="52"/>
        <v>79645</v>
      </c>
      <c r="X1685" s="122">
        <f t="shared" si="53"/>
        <v>99179</v>
      </c>
      <c r="AA1685" t="s">
        <v>60</v>
      </c>
      <c r="AB1685" t="s">
        <v>406</v>
      </c>
      <c r="AC1685" t="s">
        <v>579</v>
      </c>
      <c r="AD1685" t="s">
        <v>427</v>
      </c>
      <c r="AE1685" t="s">
        <v>137</v>
      </c>
      <c r="AF1685">
        <v>1</v>
      </c>
      <c r="AG1685">
        <v>117</v>
      </c>
      <c r="AH1685">
        <v>364</v>
      </c>
      <c r="AI1685" s="122">
        <v>28416</v>
      </c>
      <c r="AJ1685" s="122">
        <v>25833</v>
      </c>
      <c r="AK1685">
        <v>65</v>
      </c>
      <c r="AL1685" s="122">
        <v>4257</v>
      </c>
      <c r="AM1685" s="122">
        <v>3548</v>
      </c>
      <c r="AN1685" s="122">
        <v>2692</v>
      </c>
      <c r="AO1685" s="122">
        <v>997</v>
      </c>
      <c r="AP1685">
        <v>621</v>
      </c>
      <c r="AQ1685">
        <v>230</v>
      </c>
      <c r="AR1685" s="122">
        <v>4392</v>
      </c>
      <c r="AS1685" s="122">
        <v>3993</v>
      </c>
      <c r="AT1685" s="122">
        <v>2192</v>
      </c>
      <c r="AU1685">
        <v>812</v>
      </c>
      <c r="AV1685" s="122">
        <v>35412</v>
      </c>
    </row>
    <row r="1686" spans="2:48" hidden="1">
      <c r="B1686" t="s">
        <v>373</v>
      </c>
      <c r="C1686" t="s">
        <v>62</v>
      </c>
      <c r="D1686" t="s">
        <v>406</v>
      </c>
      <c r="E1686" t="s">
        <v>406</v>
      </c>
      <c r="F1686" s="122">
        <v>157</v>
      </c>
      <c r="G1686" s="122">
        <v>16575</v>
      </c>
      <c r="H1686" s="122">
        <v>65144</v>
      </c>
      <c r="I1686" s="122">
        <v>4621227</v>
      </c>
      <c r="J1686" s="122">
        <v>4201115</v>
      </c>
      <c r="K1686" s="122">
        <v>77</v>
      </c>
      <c r="L1686" s="122">
        <v>843011</v>
      </c>
      <c r="M1686" s="122">
        <v>759670</v>
      </c>
      <c r="N1686" s="122">
        <v>349166</v>
      </c>
      <c r="O1686" s="122">
        <v>129321</v>
      </c>
      <c r="P1686" s="122">
        <v>101088</v>
      </c>
      <c r="Q1686" s="122">
        <v>37440</v>
      </c>
      <c r="R1686" s="122">
        <v>744001</v>
      </c>
      <c r="S1686" s="122">
        <v>676364</v>
      </c>
      <c r="T1686" s="122">
        <v>292509</v>
      </c>
      <c r="U1686" s="122">
        <v>108337</v>
      </c>
      <c r="V1686" s="122">
        <v>5912247</v>
      </c>
      <c r="W1686" s="122">
        <f t="shared" si="52"/>
        <v>5912247</v>
      </c>
      <c r="X1686" s="122">
        <f t="shared" si="53"/>
        <v>6951002</v>
      </c>
      <c r="AA1686" t="s">
        <v>60</v>
      </c>
      <c r="AB1686" t="s">
        <v>406</v>
      </c>
      <c r="AC1686" t="s">
        <v>579</v>
      </c>
      <c r="AD1686" t="s">
        <v>579</v>
      </c>
      <c r="AE1686" t="s">
        <v>137</v>
      </c>
      <c r="AF1686">
        <v>1</v>
      </c>
      <c r="AG1686" s="122">
        <v>121</v>
      </c>
      <c r="AH1686" s="122">
        <v>321</v>
      </c>
      <c r="AI1686" s="122">
        <v>22531</v>
      </c>
      <c r="AJ1686" s="122">
        <v>20483</v>
      </c>
      <c r="AK1686">
        <v>70</v>
      </c>
      <c r="AL1686" s="122">
        <v>3823</v>
      </c>
      <c r="AM1686" s="122">
        <v>3186</v>
      </c>
      <c r="AN1686" s="122">
        <v>2948</v>
      </c>
      <c r="AO1686" s="122">
        <v>1092</v>
      </c>
      <c r="AP1686" s="122">
        <v>621</v>
      </c>
      <c r="AQ1686" s="122">
        <v>230</v>
      </c>
      <c r="AR1686" s="122">
        <v>8976</v>
      </c>
      <c r="AS1686" s="122">
        <v>7480</v>
      </c>
      <c r="AT1686" s="122">
        <v>0</v>
      </c>
      <c r="AU1686" s="122">
        <v>0</v>
      </c>
      <c r="AV1686" s="122">
        <v>32471</v>
      </c>
    </row>
    <row r="1687" spans="2:48" hidden="1">
      <c r="B1687" t="s">
        <v>373</v>
      </c>
      <c r="C1687" t="s">
        <v>62</v>
      </c>
      <c r="D1687" t="s">
        <v>427</v>
      </c>
      <c r="E1687" t="s">
        <v>427</v>
      </c>
      <c r="F1687" s="122">
        <v>6</v>
      </c>
      <c r="G1687" s="122">
        <v>600</v>
      </c>
      <c r="H1687" s="122">
        <v>2424</v>
      </c>
      <c r="I1687" s="122">
        <v>167883</v>
      </c>
      <c r="J1687" s="122">
        <v>152621</v>
      </c>
      <c r="K1687" s="122">
        <v>54</v>
      </c>
      <c r="L1687" s="122">
        <v>27600</v>
      </c>
      <c r="M1687" s="122">
        <v>25091</v>
      </c>
      <c r="N1687" s="122">
        <v>12941</v>
      </c>
      <c r="O1687" s="122">
        <v>4793</v>
      </c>
      <c r="P1687" s="122">
        <v>2376</v>
      </c>
      <c r="Q1687" s="122">
        <v>880</v>
      </c>
      <c r="R1687" s="122">
        <v>34711</v>
      </c>
      <c r="S1687" s="122">
        <v>31556</v>
      </c>
      <c r="T1687" s="122">
        <v>9875</v>
      </c>
      <c r="U1687" s="122">
        <v>3657</v>
      </c>
      <c r="V1687" s="122">
        <v>218598</v>
      </c>
      <c r="W1687" s="122">
        <f t="shared" si="52"/>
        <v>218598</v>
      </c>
      <c r="X1687" s="122">
        <f t="shared" si="53"/>
        <v>255386</v>
      </c>
      <c r="AA1687" t="s">
        <v>60</v>
      </c>
      <c r="AB1687" t="s">
        <v>406</v>
      </c>
      <c r="AC1687" t="s">
        <v>428</v>
      </c>
      <c r="AD1687" t="s">
        <v>406</v>
      </c>
      <c r="AE1687" t="s">
        <v>137</v>
      </c>
      <c r="AF1687">
        <v>88</v>
      </c>
      <c r="AG1687" s="122">
        <v>9956</v>
      </c>
      <c r="AH1687" s="122">
        <v>29730</v>
      </c>
      <c r="AI1687" s="122">
        <v>2069176</v>
      </c>
      <c r="AJ1687" s="122">
        <v>1881069</v>
      </c>
      <c r="AK1687">
        <v>78</v>
      </c>
      <c r="AL1687" s="122">
        <v>444733</v>
      </c>
      <c r="AM1687" s="122">
        <v>404303</v>
      </c>
      <c r="AN1687" s="122">
        <v>210651</v>
      </c>
      <c r="AO1687" s="122">
        <v>78019</v>
      </c>
      <c r="AP1687" s="122">
        <v>51722</v>
      </c>
      <c r="AQ1687" s="122">
        <v>19156</v>
      </c>
      <c r="AR1687" s="122">
        <v>393774</v>
      </c>
      <c r="AS1687" s="122">
        <v>357976</v>
      </c>
      <c r="AT1687" s="122">
        <v>226695</v>
      </c>
      <c r="AU1687" s="122">
        <v>83961</v>
      </c>
      <c r="AV1687" s="122">
        <v>2824484</v>
      </c>
    </row>
    <row r="1688" spans="2:48" hidden="1">
      <c r="B1688" t="s">
        <v>373</v>
      </c>
      <c r="C1688" t="s">
        <v>62</v>
      </c>
      <c r="D1688" t="s">
        <v>431</v>
      </c>
      <c r="E1688" t="s">
        <v>431</v>
      </c>
      <c r="F1688" s="122">
        <v>1</v>
      </c>
      <c r="G1688" s="122">
        <v>119</v>
      </c>
      <c r="H1688" s="122">
        <v>437</v>
      </c>
      <c r="I1688" s="122">
        <v>34316</v>
      </c>
      <c r="J1688" s="122">
        <v>31197</v>
      </c>
      <c r="K1688" s="122">
        <v>45</v>
      </c>
      <c r="L1688" s="122">
        <v>5719</v>
      </c>
      <c r="M1688" s="122">
        <v>5199</v>
      </c>
      <c r="N1688" s="122">
        <v>2504</v>
      </c>
      <c r="O1688" s="122">
        <v>927</v>
      </c>
      <c r="P1688" s="122">
        <v>351</v>
      </c>
      <c r="Q1688" s="122">
        <v>130</v>
      </c>
      <c r="R1688" s="122">
        <v>9059</v>
      </c>
      <c r="S1688" s="122">
        <v>8235</v>
      </c>
      <c r="T1688" s="122">
        <v>0</v>
      </c>
      <c r="U1688" s="122">
        <v>0</v>
      </c>
      <c r="V1688" s="122">
        <v>45689</v>
      </c>
      <c r="W1688" s="122">
        <f t="shared" si="52"/>
        <v>45688</v>
      </c>
      <c r="X1688" s="122">
        <f t="shared" si="53"/>
        <v>51949</v>
      </c>
      <c r="AA1688" t="s">
        <v>60</v>
      </c>
      <c r="AB1688" t="s">
        <v>406</v>
      </c>
      <c r="AC1688" t="s">
        <v>428</v>
      </c>
      <c r="AD1688" t="s">
        <v>406</v>
      </c>
      <c r="AE1688" t="s">
        <v>566</v>
      </c>
      <c r="AF1688">
        <v>52</v>
      </c>
      <c r="AG1688" s="122">
        <v>5900</v>
      </c>
      <c r="AH1688" s="122">
        <v>17242</v>
      </c>
      <c r="AI1688" s="122">
        <v>1236374</v>
      </c>
      <c r="AJ1688" s="122">
        <v>1123976</v>
      </c>
      <c r="AK1688">
        <v>77</v>
      </c>
      <c r="AL1688" s="122">
        <v>254753</v>
      </c>
      <c r="AM1688" s="122">
        <v>231594</v>
      </c>
      <c r="AN1688" s="122">
        <v>116954</v>
      </c>
      <c r="AO1688" s="122">
        <v>43316</v>
      </c>
      <c r="AP1688" s="122">
        <v>31401</v>
      </c>
      <c r="AQ1688" s="122">
        <v>11630</v>
      </c>
      <c r="AR1688" s="122">
        <v>326219</v>
      </c>
      <c r="AS1688" s="122">
        <v>296563</v>
      </c>
      <c r="AT1688">
        <v>0</v>
      </c>
      <c r="AU1688">
        <v>0</v>
      </c>
      <c r="AV1688" s="122">
        <v>1707079</v>
      </c>
    </row>
    <row r="1689" spans="2:48" hidden="1">
      <c r="B1689" t="s">
        <v>373</v>
      </c>
      <c r="C1689" t="s">
        <v>62</v>
      </c>
      <c r="D1689" t="s">
        <v>426</v>
      </c>
      <c r="E1689" t="s">
        <v>426</v>
      </c>
      <c r="F1689" s="122">
        <v>50</v>
      </c>
      <c r="G1689" s="122">
        <v>4548</v>
      </c>
      <c r="H1689" s="122">
        <v>20650</v>
      </c>
      <c r="I1689" s="122">
        <v>1191985</v>
      </c>
      <c r="J1689" s="122">
        <v>1083623</v>
      </c>
      <c r="K1689" s="122">
        <v>49</v>
      </c>
      <c r="L1689" s="122">
        <v>175864</v>
      </c>
      <c r="M1689" s="122">
        <v>153427</v>
      </c>
      <c r="N1689" s="122">
        <v>93229</v>
      </c>
      <c r="O1689" s="122">
        <v>34529</v>
      </c>
      <c r="P1689" s="122">
        <v>18360</v>
      </c>
      <c r="Q1689" s="122">
        <v>6800</v>
      </c>
      <c r="R1689" s="122">
        <v>315185</v>
      </c>
      <c r="S1689" s="122">
        <v>286532</v>
      </c>
      <c r="T1689" s="122">
        <v>123800</v>
      </c>
      <c r="U1689" s="122">
        <v>45852</v>
      </c>
      <c r="V1689" s="122">
        <v>1610763</v>
      </c>
      <c r="W1689" s="122">
        <f t="shared" si="52"/>
        <v>1610763</v>
      </c>
      <c r="X1689" s="122">
        <f t="shared" si="53"/>
        <v>1918423</v>
      </c>
      <c r="AA1689" t="s">
        <v>60</v>
      </c>
      <c r="AB1689" t="s">
        <v>406</v>
      </c>
      <c r="AC1689" t="s">
        <v>428</v>
      </c>
      <c r="AD1689" t="s">
        <v>431</v>
      </c>
      <c r="AE1689" t="s">
        <v>566</v>
      </c>
      <c r="AF1689">
        <v>1</v>
      </c>
      <c r="AG1689">
        <v>124</v>
      </c>
      <c r="AH1689">
        <v>321</v>
      </c>
      <c r="AI1689" s="122">
        <v>21342</v>
      </c>
      <c r="AJ1689" s="122">
        <v>19402</v>
      </c>
      <c r="AK1689">
        <v>85</v>
      </c>
      <c r="AL1689" s="122">
        <v>4253</v>
      </c>
      <c r="AM1689" s="122">
        <v>3866</v>
      </c>
      <c r="AN1689" s="122">
        <v>1814</v>
      </c>
      <c r="AO1689">
        <v>672</v>
      </c>
      <c r="AP1689">
        <v>621</v>
      </c>
      <c r="AQ1689">
        <v>230</v>
      </c>
      <c r="AR1689" s="122">
        <v>11775</v>
      </c>
      <c r="AS1689" s="122">
        <v>10705</v>
      </c>
      <c r="AT1689" s="122">
        <v>0</v>
      </c>
      <c r="AU1689">
        <v>0</v>
      </c>
      <c r="AV1689" s="122">
        <v>34874</v>
      </c>
    </row>
    <row r="1690" spans="2:48" hidden="1">
      <c r="B1690" t="s">
        <v>373</v>
      </c>
      <c r="C1690" t="s">
        <v>62</v>
      </c>
      <c r="D1690" t="s">
        <v>433</v>
      </c>
      <c r="E1690" t="s">
        <v>433</v>
      </c>
      <c r="F1690" s="122">
        <v>1</v>
      </c>
      <c r="G1690" s="122">
        <v>91</v>
      </c>
      <c r="H1690" s="122">
        <v>428</v>
      </c>
      <c r="I1690" s="122">
        <v>28513</v>
      </c>
      <c r="J1690" s="122">
        <v>25921</v>
      </c>
      <c r="K1690" s="122">
        <v>45</v>
      </c>
      <c r="L1690" s="122">
        <v>2193</v>
      </c>
      <c r="M1690" s="122">
        <v>1994</v>
      </c>
      <c r="N1690" s="122">
        <v>1114</v>
      </c>
      <c r="O1690" s="122">
        <v>412</v>
      </c>
      <c r="P1690" s="122">
        <v>351</v>
      </c>
      <c r="Q1690" s="122">
        <v>130</v>
      </c>
      <c r="R1690" s="122">
        <v>4684</v>
      </c>
      <c r="S1690" s="122">
        <v>4258</v>
      </c>
      <c r="T1690" s="122">
        <v>2227</v>
      </c>
      <c r="U1690" s="122">
        <v>825</v>
      </c>
      <c r="V1690" s="122">
        <v>33540</v>
      </c>
      <c r="W1690" s="122">
        <f t="shared" si="52"/>
        <v>33540</v>
      </c>
      <c r="X1690" s="122">
        <f t="shared" si="53"/>
        <v>39082</v>
      </c>
      <c r="AA1690" t="s">
        <v>60</v>
      </c>
      <c r="AB1690" t="s">
        <v>406</v>
      </c>
      <c r="AC1690" t="s">
        <v>428</v>
      </c>
      <c r="AD1690" t="s">
        <v>426</v>
      </c>
      <c r="AE1690" t="s">
        <v>137</v>
      </c>
      <c r="AF1690">
        <v>1</v>
      </c>
      <c r="AG1690">
        <v>92</v>
      </c>
      <c r="AH1690">
        <v>338</v>
      </c>
      <c r="AI1690" s="122">
        <v>17727</v>
      </c>
      <c r="AJ1690" s="122">
        <v>16115</v>
      </c>
      <c r="AK1690">
        <v>79</v>
      </c>
      <c r="AL1690" s="122">
        <v>4924</v>
      </c>
      <c r="AM1690" s="122">
        <v>4477</v>
      </c>
      <c r="AN1690" s="122">
        <v>1673</v>
      </c>
      <c r="AO1690" s="122">
        <v>620</v>
      </c>
      <c r="AP1690" s="122">
        <v>621</v>
      </c>
      <c r="AQ1690">
        <v>230</v>
      </c>
      <c r="AR1690" s="122">
        <v>3449</v>
      </c>
      <c r="AS1690" s="122">
        <v>3135</v>
      </c>
      <c r="AT1690" s="122">
        <v>2586</v>
      </c>
      <c r="AU1690">
        <v>958</v>
      </c>
      <c r="AV1690" s="122">
        <v>25535</v>
      </c>
    </row>
    <row r="1691" spans="2:48" hidden="1">
      <c r="B1691" t="s">
        <v>373</v>
      </c>
      <c r="C1691" t="s">
        <v>64</v>
      </c>
      <c r="D1691" t="s">
        <v>425</v>
      </c>
      <c r="E1691" t="s">
        <v>425</v>
      </c>
      <c r="F1691" s="122">
        <v>1</v>
      </c>
      <c r="G1691" s="122">
        <v>82</v>
      </c>
      <c r="H1691" s="122">
        <v>673</v>
      </c>
      <c r="I1691" s="122">
        <v>36032</v>
      </c>
      <c r="J1691" s="122">
        <v>32756</v>
      </c>
      <c r="K1691" s="122">
        <v>74</v>
      </c>
      <c r="L1691" s="122">
        <v>9435</v>
      </c>
      <c r="M1691" s="122">
        <v>8577</v>
      </c>
      <c r="N1691" s="122">
        <v>1390</v>
      </c>
      <c r="O1691" s="122">
        <v>515</v>
      </c>
      <c r="P1691" s="122">
        <v>473</v>
      </c>
      <c r="Q1691" s="122">
        <v>175</v>
      </c>
      <c r="R1691" s="122">
        <v>4665</v>
      </c>
      <c r="S1691" s="122">
        <v>4241</v>
      </c>
      <c r="T1691" s="122">
        <v>2899</v>
      </c>
      <c r="U1691" s="122">
        <v>1074</v>
      </c>
      <c r="V1691" s="122">
        <v>47338</v>
      </c>
      <c r="W1691" s="122">
        <f t="shared" si="52"/>
        <v>47338</v>
      </c>
      <c r="X1691" s="122">
        <f t="shared" si="53"/>
        <v>54894</v>
      </c>
      <c r="AA1691" t="s">
        <v>60</v>
      </c>
      <c r="AB1691" t="s">
        <v>406</v>
      </c>
      <c r="AC1691" t="s">
        <v>431</v>
      </c>
      <c r="AD1691" t="s">
        <v>137</v>
      </c>
      <c r="AE1691" t="s">
        <v>566</v>
      </c>
      <c r="AF1691">
        <v>2</v>
      </c>
      <c r="AG1691" s="122">
        <v>201</v>
      </c>
      <c r="AH1691" s="122">
        <v>630</v>
      </c>
      <c r="AI1691" s="122">
        <v>43578</v>
      </c>
      <c r="AJ1691" s="122">
        <v>39617</v>
      </c>
      <c r="AK1691">
        <v>77</v>
      </c>
      <c r="AL1691" s="122">
        <v>5358</v>
      </c>
      <c r="AM1691" s="122">
        <v>4871</v>
      </c>
      <c r="AN1691" s="122">
        <v>4020</v>
      </c>
      <c r="AO1691" s="122">
        <v>1489</v>
      </c>
      <c r="AP1691" s="122">
        <v>1242</v>
      </c>
      <c r="AQ1691" s="122">
        <v>460</v>
      </c>
      <c r="AR1691" s="122">
        <v>8683</v>
      </c>
      <c r="AS1691" s="122">
        <v>3216</v>
      </c>
      <c r="AT1691" s="122">
        <v>0</v>
      </c>
      <c r="AU1691" s="122">
        <v>0</v>
      </c>
      <c r="AV1691" s="122">
        <v>49652</v>
      </c>
    </row>
    <row r="1692" spans="2:48" hidden="1">
      <c r="B1692" t="s">
        <v>373</v>
      </c>
      <c r="C1692" t="s">
        <v>64</v>
      </c>
      <c r="D1692" t="s">
        <v>425</v>
      </c>
      <c r="E1692" t="s">
        <v>406</v>
      </c>
      <c r="F1692" s="122">
        <v>2</v>
      </c>
      <c r="G1692" s="122">
        <v>252</v>
      </c>
      <c r="H1692" s="122">
        <v>1112</v>
      </c>
      <c r="I1692" s="122">
        <v>100102</v>
      </c>
      <c r="J1692" s="122">
        <v>91002</v>
      </c>
      <c r="K1692" s="122">
        <v>60</v>
      </c>
      <c r="L1692" s="122">
        <v>14751</v>
      </c>
      <c r="M1692" s="122">
        <v>13410</v>
      </c>
      <c r="N1692" s="122">
        <v>6138</v>
      </c>
      <c r="O1692" s="122">
        <v>2273</v>
      </c>
      <c r="P1692" s="122">
        <v>1242</v>
      </c>
      <c r="Q1692" s="122">
        <v>460</v>
      </c>
      <c r="R1692" s="122">
        <v>17006</v>
      </c>
      <c r="S1692" s="122">
        <v>15460</v>
      </c>
      <c r="T1692" s="122">
        <v>3021</v>
      </c>
      <c r="U1692" s="122">
        <v>1119</v>
      </c>
      <c r="V1692" s="122">
        <v>123725</v>
      </c>
      <c r="W1692" s="122">
        <f t="shared" si="52"/>
        <v>123724</v>
      </c>
      <c r="X1692" s="122">
        <f t="shared" si="53"/>
        <v>142260</v>
      </c>
      <c r="AA1692" t="s">
        <v>60</v>
      </c>
      <c r="AB1692" t="s">
        <v>406</v>
      </c>
      <c r="AC1692" t="s">
        <v>431</v>
      </c>
      <c r="AD1692" t="s">
        <v>406</v>
      </c>
      <c r="AE1692" t="s">
        <v>137</v>
      </c>
      <c r="AF1692">
        <v>243</v>
      </c>
      <c r="AG1692" s="122">
        <v>27585</v>
      </c>
      <c r="AH1692" s="122">
        <v>82378</v>
      </c>
      <c r="AI1692" s="122">
        <v>5856678</v>
      </c>
      <c r="AJ1692" s="122">
        <v>5324253</v>
      </c>
      <c r="AK1692">
        <v>77</v>
      </c>
      <c r="AL1692" s="122">
        <v>1063832</v>
      </c>
      <c r="AM1692" s="122">
        <v>967120</v>
      </c>
      <c r="AN1692" s="122">
        <v>572360</v>
      </c>
      <c r="AO1692" s="122">
        <v>211985</v>
      </c>
      <c r="AP1692" s="122">
        <v>150494</v>
      </c>
      <c r="AQ1692" s="122">
        <v>55739</v>
      </c>
      <c r="AR1692" s="122">
        <v>1179502</v>
      </c>
      <c r="AS1692" s="122">
        <v>1072274</v>
      </c>
      <c r="AT1692" s="122">
        <v>552814</v>
      </c>
      <c r="AU1692" s="122">
        <v>204746</v>
      </c>
      <c r="AV1692" s="122">
        <v>7836117</v>
      </c>
    </row>
    <row r="1693" spans="2:48" hidden="1">
      <c r="B1693" t="s">
        <v>373</v>
      </c>
      <c r="C1693" t="s">
        <v>64</v>
      </c>
      <c r="D1693" t="s">
        <v>405</v>
      </c>
      <c r="E1693" t="s">
        <v>405</v>
      </c>
      <c r="F1693" s="122">
        <v>2</v>
      </c>
      <c r="G1693" s="122">
        <v>495</v>
      </c>
      <c r="H1693" s="122">
        <v>965</v>
      </c>
      <c r="I1693" s="122">
        <v>164724</v>
      </c>
      <c r="J1693" s="122">
        <v>149749</v>
      </c>
      <c r="K1693" s="122">
        <v>71</v>
      </c>
      <c r="L1693" s="122">
        <v>40143</v>
      </c>
      <c r="M1693" s="122">
        <v>36494</v>
      </c>
      <c r="N1693" s="122">
        <v>11375</v>
      </c>
      <c r="O1693" s="122">
        <v>4213</v>
      </c>
      <c r="P1693" s="122">
        <v>824</v>
      </c>
      <c r="Q1693" s="122">
        <v>305</v>
      </c>
      <c r="R1693" s="122">
        <v>17124</v>
      </c>
      <c r="S1693" s="122">
        <v>15567</v>
      </c>
      <c r="T1693" s="122">
        <v>0</v>
      </c>
      <c r="U1693" s="122">
        <v>0</v>
      </c>
      <c r="V1693" s="122">
        <v>206327</v>
      </c>
      <c r="W1693" s="122">
        <f t="shared" si="52"/>
        <v>206328</v>
      </c>
      <c r="X1693" s="122">
        <f t="shared" si="53"/>
        <v>234190</v>
      </c>
      <c r="AA1693" t="s">
        <v>60</v>
      </c>
      <c r="AB1693" t="s">
        <v>406</v>
      </c>
      <c r="AC1693" t="s">
        <v>431</v>
      </c>
      <c r="AD1693" t="s">
        <v>406</v>
      </c>
      <c r="AE1693" t="s">
        <v>566</v>
      </c>
      <c r="AF1693">
        <v>149</v>
      </c>
      <c r="AG1693" s="122">
        <v>15924</v>
      </c>
      <c r="AH1693" s="122">
        <v>50048</v>
      </c>
      <c r="AI1693" s="122">
        <v>3395641</v>
      </c>
      <c r="AJ1693" s="122">
        <v>3086946</v>
      </c>
      <c r="AK1693">
        <v>77</v>
      </c>
      <c r="AL1693" s="122">
        <v>647769</v>
      </c>
      <c r="AM1693" s="122">
        <v>588881</v>
      </c>
      <c r="AN1693" s="122">
        <v>328069</v>
      </c>
      <c r="AO1693" s="122">
        <v>121507</v>
      </c>
      <c r="AP1693" s="122">
        <v>91827</v>
      </c>
      <c r="AQ1693" s="122">
        <v>34010</v>
      </c>
      <c r="AR1693" s="122">
        <v>929238</v>
      </c>
      <c r="AS1693" s="122">
        <v>844762</v>
      </c>
      <c r="AT1693" s="122">
        <v>0</v>
      </c>
      <c r="AU1693" s="122">
        <v>0</v>
      </c>
      <c r="AV1693" s="122">
        <v>4676106</v>
      </c>
    </row>
    <row r="1694" spans="2:48" hidden="1">
      <c r="B1694" t="s">
        <v>373</v>
      </c>
      <c r="C1694" t="s">
        <v>64</v>
      </c>
      <c r="D1694" t="s">
        <v>137</v>
      </c>
      <c r="E1694" t="s">
        <v>425</v>
      </c>
      <c r="F1694" s="122">
        <v>1</v>
      </c>
      <c r="G1694" s="122">
        <v>73</v>
      </c>
      <c r="H1694" s="122">
        <v>530</v>
      </c>
      <c r="I1694" s="122">
        <v>30001</v>
      </c>
      <c r="J1694" s="122">
        <v>11111</v>
      </c>
      <c r="K1694" s="122">
        <v>100</v>
      </c>
      <c r="L1694" s="122">
        <v>2263</v>
      </c>
      <c r="M1694" s="122">
        <v>2058</v>
      </c>
      <c r="N1694" s="122">
        <v>883</v>
      </c>
      <c r="O1694" s="122">
        <v>327</v>
      </c>
      <c r="P1694" s="122">
        <v>122</v>
      </c>
      <c r="Q1694" s="122">
        <v>45</v>
      </c>
      <c r="R1694" s="122">
        <v>5139</v>
      </c>
      <c r="S1694" s="122">
        <v>4671</v>
      </c>
      <c r="T1694" s="122">
        <v>0</v>
      </c>
      <c r="U1694" s="122">
        <v>0</v>
      </c>
      <c r="V1694" s="122">
        <v>18213</v>
      </c>
      <c r="W1694" s="122">
        <f t="shared" si="52"/>
        <v>18212</v>
      </c>
      <c r="X1694" s="122">
        <f t="shared" si="53"/>
        <v>38408</v>
      </c>
      <c r="AA1694" t="s">
        <v>60</v>
      </c>
      <c r="AB1694" t="s">
        <v>406</v>
      </c>
      <c r="AC1694" t="s">
        <v>431</v>
      </c>
      <c r="AD1694" t="s">
        <v>431</v>
      </c>
      <c r="AE1694" t="s">
        <v>137</v>
      </c>
      <c r="AF1694">
        <v>3</v>
      </c>
      <c r="AG1694">
        <v>292</v>
      </c>
      <c r="AH1694" s="122">
        <v>1017</v>
      </c>
      <c r="AI1694" s="122">
        <v>55979</v>
      </c>
      <c r="AJ1694" s="122">
        <v>50890</v>
      </c>
      <c r="AK1694">
        <v>86</v>
      </c>
      <c r="AL1694" s="122">
        <v>10794</v>
      </c>
      <c r="AM1694" s="122">
        <v>9812</v>
      </c>
      <c r="AN1694" s="122">
        <v>6410</v>
      </c>
      <c r="AO1694" s="122">
        <v>2374</v>
      </c>
      <c r="AP1694" s="122">
        <v>1593</v>
      </c>
      <c r="AQ1694">
        <v>590</v>
      </c>
      <c r="AR1694" s="122">
        <v>18512</v>
      </c>
      <c r="AS1694" s="122">
        <v>16829</v>
      </c>
      <c r="AT1694" s="122">
        <v>5107</v>
      </c>
      <c r="AU1694" s="122">
        <v>1891</v>
      </c>
      <c r="AV1694" s="122">
        <v>82387</v>
      </c>
    </row>
    <row r="1695" spans="2:48" hidden="1">
      <c r="B1695" t="s">
        <v>373</v>
      </c>
      <c r="C1695" t="s">
        <v>64</v>
      </c>
      <c r="D1695" t="s">
        <v>137</v>
      </c>
      <c r="E1695" t="s">
        <v>137</v>
      </c>
      <c r="F1695" s="122">
        <v>80</v>
      </c>
      <c r="G1695" s="122">
        <v>6966</v>
      </c>
      <c r="H1695" s="122">
        <v>64145</v>
      </c>
      <c r="I1695" s="122">
        <v>4009227</v>
      </c>
      <c r="J1695" s="122">
        <v>1484899</v>
      </c>
      <c r="K1695" s="122">
        <v>100</v>
      </c>
      <c r="L1695" s="122">
        <v>603023</v>
      </c>
      <c r="M1695" s="122">
        <v>512569</v>
      </c>
      <c r="N1695" s="122">
        <v>158386</v>
      </c>
      <c r="O1695" s="122">
        <v>58661</v>
      </c>
      <c r="P1695" s="122">
        <v>702</v>
      </c>
      <c r="Q1695" s="122">
        <v>260</v>
      </c>
      <c r="R1695" s="122">
        <v>513863</v>
      </c>
      <c r="S1695" s="122">
        <v>190320</v>
      </c>
      <c r="T1695" s="122">
        <v>2689</v>
      </c>
      <c r="U1695" s="122">
        <v>996</v>
      </c>
      <c r="V1695" s="122">
        <v>2247706</v>
      </c>
      <c r="W1695" s="122">
        <f t="shared" si="52"/>
        <v>2247705</v>
      </c>
      <c r="X1695" s="122">
        <f t="shared" si="53"/>
        <v>5287890</v>
      </c>
      <c r="AA1695" t="s">
        <v>60</v>
      </c>
      <c r="AB1695" t="s">
        <v>406</v>
      </c>
      <c r="AC1695" t="s">
        <v>431</v>
      </c>
      <c r="AD1695" t="s">
        <v>431</v>
      </c>
      <c r="AE1695" t="s">
        <v>566</v>
      </c>
      <c r="AF1695">
        <v>2</v>
      </c>
      <c r="AG1695">
        <v>194</v>
      </c>
      <c r="AH1695">
        <v>683</v>
      </c>
      <c r="AI1695" s="122">
        <v>32685</v>
      </c>
      <c r="AJ1695" s="122">
        <v>29714</v>
      </c>
      <c r="AK1695">
        <v>86</v>
      </c>
      <c r="AL1695" s="122">
        <v>6341</v>
      </c>
      <c r="AM1695" s="122">
        <v>5765</v>
      </c>
      <c r="AN1695" s="122">
        <v>2894</v>
      </c>
      <c r="AO1695" s="122">
        <v>1072</v>
      </c>
      <c r="AP1695" s="122">
        <v>1593</v>
      </c>
      <c r="AQ1695">
        <v>590</v>
      </c>
      <c r="AR1695" s="122">
        <v>23039</v>
      </c>
      <c r="AS1695" s="122">
        <v>20944</v>
      </c>
      <c r="AT1695" s="122">
        <v>0</v>
      </c>
      <c r="AU1695" s="122">
        <v>0</v>
      </c>
      <c r="AV1695" s="122">
        <v>58085</v>
      </c>
    </row>
    <row r="1696" spans="2:48" hidden="1">
      <c r="B1696" t="s">
        <v>373</v>
      </c>
      <c r="C1696" t="s">
        <v>64</v>
      </c>
      <c r="D1696" t="s">
        <v>137</v>
      </c>
      <c r="E1696" t="s">
        <v>406</v>
      </c>
      <c r="F1696" s="122">
        <v>1</v>
      </c>
      <c r="G1696" s="122">
        <v>80</v>
      </c>
      <c r="H1696" s="122">
        <v>480</v>
      </c>
      <c r="I1696" s="122">
        <v>28395</v>
      </c>
      <c r="J1696" s="122">
        <v>10517</v>
      </c>
      <c r="K1696" s="122">
        <v>100</v>
      </c>
      <c r="L1696" s="122">
        <v>2142</v>
      </c>
      <c r="M1696" s="122">
        <v>1948</v>
      </c>
      <c r="N1696" s="122">
        <v>1940</v>
      </c>
      <c r="O1696" s="122">
        <v>718</v>
      </c>
      <c r="P1696" s="122">
        <v>0</v>
      </c>
      <c r="Q1696" s="122">
        <v>0</v>
      </c>
      <c r="R1696" s="122">
        <v>5766</v>
      </c>
      <c r="S1696" s="122">
        <v>5242</v>
      </c>
      <c r="T1696" s="122">
        <v>0</v>
      </c>
      <c r="U1696" s="122">
        <v>0</v>
      </c>
      <c r="V1696" s="122">
        <v>18424</v>
      </c>
      <c r="W1696" s="122">
        <f t="shared" si="52"/>
        <v>18425</v>
      </c>
      <c r="X1696" s="122">
        <f t="shared" si="53"/>
        <v>38243</v>
      </c>
      <c r="AA1696" t="s">
        <v>60</v>
      </c>
      <c r="AB1696" t="s">
        <v>406</v>
      </c>
      <c r="AC1696" t="s">
        <v>426</v>
      </c>
      <c r="AD1696" t="s">
        <v>578</v>
      </c>
      <c r="AE1696" t="s">
        <v>137</v>
      </c>
      <c r="AF1696">
        <v>1</v>
      </c>
      <c r="AG1696">
        <v>197</v>
      </c>
      <c r="AH1696" s="122">
        <v>318</v>
      </c>
      <c r="AI1696" s="122">
        <v>41815</v>
      </c>
      <c r="AJ1696" s="122">
        <v>38013</v>
      </c>
      <c r="AK1696">
        <v>65</v>
      </c>
      <c r="AL1696" s="122">
        <v>4785</v>
      </c>
      <c r="AM1696" s="122">
        <v>4350</v>
      </c>
      <c r="AN1696" s="122">
        <v>4339</v>
      </c>
      <c r="AO1696" s="122">
        <v>1607</v>
      </c>
      <c r="AP1696" s="122">
        <v>621</v>
      </c>
      <c r="AQ1696" s="122">
        <v>230</v>
      </c>
      <c r="AR1696" s="122">
        <v>8000</v>
      </c>
      <c r="AS1696" s="122">
        <v>7272</v>
      </c>
      <c r="AT1696" s="122">
        <v>3047</v>
      </c>
      <c r="AU1696" s="122">
        <v>1129</v>
      </c>
      <c r="AV1696" s="122">
        <v>52602</v>
      </c>
    </row>
    <row r="1697" spans="2:48" hidden="1">
      <c r="B1697" t="s">
        <v>373</v>
      </c>
      <c r="C1697" t="s">
        <v>64</v>
      </c>
      <c r="D1697" t="s">
        <v>137</v>
      </c>
      <c r="E1697" t="s">
        <v>427</v>
      </c>
      <c r="F1697" s="122">
        <v>1</v>
      </c>
      <c r="G1697" s="122">
        <v>61</v>
      </c>
      <c r="H1697" s="122">
        <v>505</v>
      </c>
      <c r="I1697" s="122">
        <v>22634</v>
      </c>
      <c r="J1697" s="122">
        <v>8383</v>
      </c>
      <c r="K1697" s="122">
        <v>100</v>
      </c>
      <c r="L1697" s="122">
        <v>1576</v>
      </c>
      <c r="M1697" s="122">
        <v>1433</v>
      </c>
      <c r="N1697" s="122">
        <v>1412</v>
      </c>
      <c r="O1697" s="122">
        <v>523</v>
      </c>
      <c r="P1697" s="122">
        <v>351</v>
      </c>
      <c r="Q1697" s="122">
        <v>130</v>
      </c>
      <c r="R1697" s="122">
        <v>4835</v>
      </c>
      <c r="S1697" s="122">
        <v>4395</v>
      </c>
      <c r="T1697" s="122">
        <v>0</v>
      </c>
      <c r="U1697" s="122">
        <v>0</v>
      </c>
      <c r="V1697" s="122">
        <v>14864</v>
      </c>
      <c r="W1697" s="122">
        <f t="shared" si="52"/>
        <v>14864</v>
      </c>
      <c r="X1697" s="122">
        <f t="shared" si="53"/>
        <v>30808</v>
      </c>
      <c r="AA1697" t="s">
        <v>60</v>
      </c>
      <c r="AB1697" t="s">
        <v>406</v>
      </c>
      <c r="AC1697" t="s">
        <v>426</v>
      </c>
      <c r="AD1697" t="s">
        <v>425</v>
      </c>
      <c r="AE1697" t="s">
        <v>137</v>
      </c>
      <c r="AF1697">
        <v>5</v>
      </c>
      <c r="AG1697">
        <v>641</v>
      </c>
      <c r="AH1697" s="122">
        <v>1600</v>
      </c>
      <c r="AI1697" s="122">
        <v>127359</v>
      </c>
      <c r="AJ1697" s="122">
        <v>115781</v>
      </c>
      <c r="AK1697">
        <v>71</v>
      </c>
      <c r="AL1697" s="122">
        <v>22131</v>
      </c>
      <c r="AM1697" s="122">
        <v>20119</v>
      </c>
      <c r="AN1697" s="122">
        <v>12772</v>
      </c>
      <c r="AO1697" s="122">
        <v>4730</v>
      </c>
      <c r="AP1697" s="122">
        <v>3456</v>
      </c>
      <c r="AQ1697" s="122">
        <v>1280</v>
      </c>
      <c r="AR1697" s="122">
        <v>27867</v>
      </c>
      <c r="AS1697" s="122">
        <v>25334</v>
      </c>
      <c r="AT1697" s="122">
        <v>11765</v>
      </c>
      <c r="AU1697" s="122">
        <v>4357</v>
      </c>
      <c r="AV1697" s="122">
        <v>171601</v>
      </c>
    </row>
    <row r="1698" spans="2:48" hidden="1">
      <c r="B1698" t="s">
        <v>373</v>
      </c>
      <c r="C1698" t="s">
        <v>64</v>
      </c>
      <c r="D1698" t="s">
        <v>137</v>
      </c>
      <c r="E1698" t="s">
        <v>428</v>
      </c>
      <c r="F1698" s="122">
        <v>1</v>
      </c>
      <c r="G1698" s="122">
        <v>96</v>
      </c>
      <c r="H1698" s="122">
        <v>528</v>
      </c>
      <c r="I1698" s="122">
        <v>32380</v>
      </c>
      <c r="J1698" s="122">
        <v>11993</v>
      </c>
      <c r="K1698" s="122">
        <v>100</v>
      </c>
      <c r="L1698" s="122">
        <v>7329</v>
      </c>
      <c r="M1698" s="122">
        <v>6663</v>
      </c>
      <c r="N1698" s="122">
        <v>1170</v>
      </c>
      <c r="O1698" s="122">
        <v>433</v>
      </c>
      <c r="P1698" s="122">
        <v>0</v>
      </c>
      <c r="Q1698" s="122">
        <v>0</v>
      </c>
      <c r="R1698" s="122">
        <v>7219</v>
      </c>
      <c r="S1698" s="122">
        <v>6563</v>
      </c>
      <c r="T1698" s="122">
        <v>2644</v>
      </c>
      <c r="U1698" s="122">
        <v>979</v>
      </c>
      <c r="V1698" s="122">
        <v>26631</v>
      </c>
      <c r="W1698" s="122">
        <f t="shared" si="52"/>
        <v>26631</v>
      </c>
      <c r="X1698" s="122">
        <f t="shared" si="53"/>
        <v>50742</v>
      </c>
      <c r="AA1698" t="s">
        <v>60</v>
      </c>
      <c r="AB1698" t="s">
        <v>406</v>
      </c>
      <c r="AC1698" t="s">
        <v>426</v>
      </c>
      <c r="AD1698" t="s">
        <v>425</v>
      </c>
      <c r="AE1698" t="s">
        <v>566</v>
      </c>
      <c r="AF1698">
        <v>3</v>
      </c>
      <c r="AG1698">
        <v>408</v>
      </c>
      <c r="AH1698">
        <v>995</v>
      </c>
      <c r="AI1698" s="122">
        <v>90189</v>
      </c>
      <c r="AJ1698" s="122">
        <v>81990</v>
      </c>
      <c r="AK1698">
        <v>75</v>
      </c>
      <c r="AL1698" s="122">
        <v>16192</v>
      </c>
      <c r="AM1698" s="122">
        <v>14720</v>
      </c>
      <c r="AN1698" s="122">
        <v>7546</v>
      </c>
      <c r="AO1698" s="122">
        <v>2795</v>
      </c>
      <c r="AP1698" s="122">
        <v>1863</v>
      </c>
      <c r="AQ1698">
        <v>690</v>
      </c>
      <c r="AR1698" s="122">
        <v>19706</v>
      </c>
      <c r="AS1698" s="122">
        <v>17914</v>
      </c>
      <c r="AT1698">
        <v>0</v>
      </c>
      <c r="AU1698">
        <v>0</v>
      </c>
      <c r="AV1698" s="122">
        <v>118109</v>
      </c>
    </row>
    <row r="1699" spans="2:48" hidden="1">
      <c r="B1699" t="s">
        <v>373</v>
      </c>
      <c r="C1699" t="s">
        <v>64</v>
      </c>
      <c r="D1699" t="s">
        <v>137</v>
      </c>
      <c r="E1699" t="s">
        <v>431</v>
      </c>
      <c r="F1699" s="122">
        <v>1</v>
      </c>
      <c r="G1699" s="122">
        <v>103</v>
      </c>
      <c r="H1699" s="122">
        <v>715</v>
      </c>
      <c r="I1699" s="122">
        <v>55591</v>
      </c>
      <c r="J1699" s="122">
        <v>20589</v>
      </c>
      <c r="K1699" s="122">
        <v>100</v>
      </c>
      <c r="L1699" s="122">
        <v>8388</v>
      </c>
      <c r="M1699" s="122">
        <v>7626</v>
      </c>
      <c r="N1699" s="122">
        <v>2506</v>
      </c>
      <c r="O1699" s="122">
        <v>928</v>
      </c>
      <c r="P1699" s="122">
        <v>0</v>
      </c>
      <c r="Q1699" s="122">
        <v>0</v>
      </c>
      <c r="R1699" s="122">
        <v>7059</v>
      </c>
      <c r="S1699" s="122">
        <v>6417</v>
      </c>
      <c r="T1699" s="122">
        <v>0</v>
      </c>
      <c r="U1699" s="122">
        <v>0</v>
      </c>
      <c r="V1699" s="122">
        <v>35561</v>
      </c>
      <c r="W1699" s="122">
        <f t="shared" si="52"/>
        <v>35560</v>
      </c>
      <c r="X1699" s="122">
        <f t="shared" si="53"/>
        <v>73544</v>
      </c>
      <c r="AA1699" t="s">
        <v>60</v>
      </c>
      <c r="AB1699" t="s">
        <v>406</v>
      </c>
      <c r="AC1699" t="s">
        <v>426</v>
      </c>
      <c r="AD1699" t="s">
        <v>405</v>
      </c>
      <c r="AE1699" t="s">
        <v>566</v>
      </c>
      <c r="AF1699">
        <v>1</v>
      </c>
      <c r="AG1699" s="122">
        <v>434</v>
      </c>
      <c r="AH1699" s="122">
        <v>311</v>
      </c>
      <c r="AI1699" s="122">
        <v>102431</v>
      </c>
      <c r="AJ1699" s="122">
        <v>93119</v>
      </c>
      <c r="AK1699">
        <v>85</v>
      </c>
      <c r="AL1699" s="122">
        <v>14200</v>
      </c>
      <c r="AM1699" s="122">
        <v>12909</v>
      </c>
      <c r="AN1699" s="122">
        <v>9892</v>
      </c>
      <c r="AO1699" s="122">
        <v>3664</v>
      </c>
      <c r="AP1699" s="122">
        <v>621</v>
      </c>
      <c r="AQ1699" s="122">
        <v>230</v>
      </c>
      <c r="AR1699" s="122">
        <v>7936</v>
      </c>
      <c r="AS1699" s="122">
        <v>7214</v>
      </c>
      <c r="AT1699" s="122">
        <v>0</v>
      </c>
      <c r="AU1699" s="122">
        <v>0</v>
      </c>
      <c r="AV1699" s="122">
        <v>117137</v>
      </c>
    </row>
    <row r="1700" spans="2:48" hidden="1">
      <c r="B1700" t="s">
        <v>373</v>
      </c>
      <c r="C1700" t="s">
        <v>64</v>
      </c>
      <c r="D1700" t="s">
        <v>137</v>
      </c>
      <c r="E1700" t="s">
        <v>426</v>
      </c>
      <c r="F1700" s="122">
        <v>7</v>
      </c>
      <c r="G1700" s="122">
        <v>730</v>
      </c>
      <c r="H1700" s="122">
        <v>5270</v>
      </c>
      <c r="I1700" s="122">
        <v>383456</v>
      </c>
      <c r="J1700" s="122">
        <v>142021</v>
      </c>
      <c r="K1700" s="122">
        <v>100</v>
      </c>
      <c r="L1700" s="122">
        <v>59162</v>
      </c>
      <c r="M1700" s="122">
        <v>48389</v>
      </c>
      <c r="N1700" s="122">
        <v>15021</v>
      </c>
      <c r="O1700" s="122">
        <v>5563</v>
      </c>
      <c r="P1700" s="122">
        <v>0</v>
      </c>
      <c r="Q1700" s="122">
        <v>0</v>
      </c>
      <c r="R1700" s="122">
        <v>37281</v>
      </c>
      <c r="S1700" s="122">
        <v>33892</v>
      </c>
      <c r="T1700" s="122">
        <v>10493</v>
      </c>
      <c r="U1700" s="122">
        <v>3886</v>
      </c>
      <c r="V1700" s="122">
        <v>233751</v>
      </c>
      <c r="W1700" s="122">
        <f t="shared" si="52"/>
        <v>233751</v>
      </c>
      <c r="X1700" s="122">
        <f t="shared" si="53"/>
        <v>505413</v>
      </c>
      <c r="AA1700" t="s">
        <v>60</v>
      </c>
      <c r="AB1700" t="s">
        <v>406</v>
      </c>
      <c r="AC1700" t="s">
        <v>426</v>
      </c>
      <c r="AD1700" t="s">
        <v>137</v>
      </c>
      <c r="AE1700" t="s">
        <v>137</v>
      </c>
      <c r="AF1700">
        <v>8</v>
      </c>
      <c r="AG1700" s="122">
        <v>1117</v>
      </c>
      <c r="AH1700" s="122">
        <v>2694</v>
      </c>
      <c r="AI1700" s="122">
        <v>220223</v>
      </c>
      <c r="AJ1700" s="122">
        <v>200203</v>
      </c>
      <c r="AK1700">
        <v>79</v>
      </c>
      <c r="AL1700" s="122">
        <v>38452</v>
      </c>
      <c r="AM1700" s="122">
        <v>34956</v>
      </c>
      <c r="AN1700" s="122">
        <v>21994</v>
      </c>
      <c r="AO1700" s="122">
        <v>8146</v>
      </c>
      <c r="AP1700" s="122">
        <v>4968</v>
      </c>
      <c r="AQ1700" s="122">
        <v>1840</v>
      </c>
      <c r="AR1700" s="122">
        <v>79963</v>
      </c>
      <c r="AS1700" s="122">
        <v>29616</v>
      </c>
      <c r="AT1700" s="122">
        <v>8711</v>
      </c>
      <c r="AU1700" s="122">
        <v>3226</v>
      </c>
      <c r="AV1700" s="122">
        <v>277987</v>
      </c>
    </row>
    <row r="1701" spans="2:48" hidden="1">
      <c r="B1701" t="s">
        <v>373</v>
      </c>
      <c r="C1701" t="s">
        <v>64</v>
      </c>
      <c r="D1701" t="s">
        <v>406</v>
      </c>
      <c r="E1701" t="s">
        <v>425</v>
      </c>
      <c r="F1701" s="122">
        <v>1</v>
      </c>
      <c r="G1701" s="122">
        <v>50</v>
      </c>
      <c r="H1701" s="122">
        <v>608</v>
      </c>
      <c r="I1701" s="122">
        <v>17496</v>
      </c>
      <c r="J1701" s="122">
        <v>15905</v>
      </c>
      <c r="K1701" s="122">
        <v>86</v>
      </c>
      <c r="L1701" s="122">
        <v>2631</v>
      </c>
      <c r="M1701" s="122">
        <v>2392</v>
      </c>
      <c r="N1701" s="122">
        <v>864</v>
      </c>
      <c r="O1701" s="122">
        <v>320</v>
      </c>
      <c r="P1701" s="122">
        <v>621</v>
      </c>
      <c r="Q1701" s="122">
        <v>230</v>
      </c>
      <c r="R1701" s="122">
        <v>4595</v>
      </c>
      <c r="S1701" s="122">
        <v>4177</v>
      </c>
      <c r="T1701" s="122">
        <v>3968</v>
      </c>
      <c r="U1701" s="122">
        <v>1470</v>
      </c>
      <c r="V1701" s="122">
        <v>24494</v>
      </c>
      <c r="W1701" s="122">
        <f t="shared" si="52"/>
        <v>24494</v>
      </c>
      <c r="X1701" s="122">
        <f t="shared" si="53"/>
        <v>30175</v>
      </c>
      <c r="AA1701" t="s">
        <v>60</v>
      </c>
      <c r="AB1701" t="s">
        <v>406</v>
      </c>
      <c r="AC1701" t="s">
        <v>426</v>
      </c>
      <c r="AD1701" t="s">
        <v>137</v>
      </c>
      <c r="AE1701" t="s">
        <v>566</v>
      </c>
      <c r="AF1701" s="122">
        <v>96</v>
      </c>
      <c r="AG1701" s="122">
        <v>11347</v>
      </c>
      <c r="AH1701" s="122">
        <v>32507</v>
      </c>
      <c r="AI1701" s="122">
        <v>2397157</v>
      </c>
      <c r="AJ1701" s="122">
        <v>2179234</v>
      </c>
      <c r="AK1701">
        <v>80</v>
      </c>
      <c r="AL1701" s="122">
        <v>517262</v>
      </c>
      <c r="AM1701" s="122">
        <v>470238</v>
      </c>
      <c r="AN1701" s="122">
        <v>252872</v>
      </c>
      <c r="AO1701" s="122">
        <v>93656</v>
      </c>
      <c r="AP1701" s="122">
        <v>60379</v>
      </c>
      <c r="AQ1701" s="122">
        <v>22363</v>
      </c>
      <c r="AR1701" s="122">
        <v>736780</v>
      </c>
      <c r="AS1701" s="122">
        <v>272881</v>
      </c>
      <c r="AT1701" s="122">
        <v>0</v>
      </c>
      <c r="AU1701" s="122">
        <v>0</v>
      </c>
      <c r="AV1701" s="122">
        <v>3038372</v>
      </c>
    </row>
    <row r="1702" spans="2:48" hidden="1">
      <c r="B1702" t="s">
        <v>373</v>
      </c>
      <c r="C1702" t="s">
        <v>64</v>
      </c>
      <c r="D1702" t="s">
        <v>406</v>
      </c>
      <c r="E1702" t="s">
        <v>137</v>
      </c>
      <c r="F1702" s="122">
        <v>8</v>
      </c>
      <c r="G1702" s="122">
        <v>764</v>
      </c>
      <c r="H1702" s="122">
        <v>4772</v>
      </c>
      <c r="I1702" s="122">
        <v>326646</v>
      </c>
      <c r="J1702" s="122">
        <v>296951</v>
      </c>
      <c r="K1702" s="122">
        <v>73</v>
      </c>
      <c r="L1702" s="122">
        <v>56697</v>
      </c>
      <c r="M1702" s="122">
        <v>51543</v>
      </c>
      <c r="N1702" s="122">
        <v>16719</v>
      </c>
      <c r="O1702" s="122">
        <v>6192</v>
      </c>
      <c r="P1702" s="122">
        <v>4968</v>
      </c>
      <c r="Q1702" s="122">
        <v>1840</v>
      </c>
      <c r="R1702" s="122">
        <v>45577</v>
      </c>
      <c r="S1702" s="122">
        <v>16881</v>
      </c>
      <c r="T1702" s="122">
        <v>0</v>
      </c>
      <c r="U1702" s="122">
        <v>0</v>
      </c>
      <c r="V1702" s="122">
        <v>373406</v>
      </c>
      <c r="W1702" s="122">
        <f t="shared" si="52"/>
        <v>373407</v>
      </c>
      <c r="X1702" s="122">
        <f t="shared" si="53"/>
        <v>450607</v>
      </c>
      <c r="AA1702" t="s">
        <v>60</v>
      </c>
      <c r="AB1702" t="s">
        <v>406</v>
      </c>
      <c r="AC1702" t="s">
        <v>426</v>
      </c>
      <c r="AD1702" t="s">
        <v>406</v>
      </c>
      <c r="AE1702" t="s">
        <v>137</v>
      </c>
      <c r="AF1702" s="122">
        <v>9129</v>
      </c>
      <c r="AG1702" s="122">
        <v>1091279</v>
      </c>
      <c r="AH1702" s="122">
        <v>3083214</v>
      </c>
      <c r="AI1702" s="122">
        <v>232932354</v>
      </c>
      <c r="AJ1702" s="122">
        <v>211756685</v>
      </c>
      <c r="AK1702">
        <v>76</v>
      </c>
      <c r="AL1702" s="122">
        <v>44538380</v>
      </c>
      <c r="AM1702" s="122">
        <v>40489436</v>
      </c>
      <c r="AN1702" s="122">
        <v>23046413</v>
      </c>
      <c r="AO1702" s="122">
        <v>8535708</v>
      </c>
      <c r="AP1702" s="122">
        <v>5985297</v>
      </c>
      <c r="AQ1702" s="122">
        <v>2216777</v>
      </c>
      <c r="AR1702" s="122">
        <v>44027507</v>
      </c>
      <c r="AS1702" s="122">
        <v>40025006</v>
      </c>
      <c r="AT1702" s="122">
        <v>22983114</v>
      </c>
      <c r="AU1702" s="122">
        <v>8512264</v>
      </c>
      <c r="AV1702" s="122">
        <v>311535876</v>
      </c>
    </row>
    <row r="1703" spans="2:48" hidden="1">
      <c r="B1703" t="s">
        <v>373</v>
      </c>
      <c r="C1703" t="s">
        <v>64</v>
      </c>
      <c r="D1703" t="s">
        <v>406</v>
      </c>
      <c r="E1703" t="s">
        <v>406</v>
      </c>
      <c r="F1703" s="122">
        <v>237</v>
      </c>
      <c r="G1703" s="122">
        <v>22891</v>
      </c>
      <c r="H1703" s="122">
        <v>134937</v>
      </c>
      <c r="I1703" s="122">
        <v>8763408</v>
      </c>
      <c r="J1703" s="122">
        <v>7966734</v>
      </c>
      <c r="K1703" s="122">
        <v>73</v>
      </c>
      <c r="L1703" s="122">
        <v>1693340</v>
      </c>
      <c r="M1703" s="122">
        <v>1511994</v>
      </c>
      <c r="N1703" s="122">
        <v>507914</v>
      </c>
      <c r="O1703" s="122">
        <v>188116</v>
      </c>
      <c r="P1703" s="122">
        <v>151308</v>
      </c>
      <c r="Q1703" s="122">
        <v>56040</v>
      </c>
      <c r="R1703" s="122">
        <v>1139700</v>
      </c>
      <c r="S1703" s="122">
        <v>1036091</v>
      </c>
      <c r="T1703" s="122">
        <v>454066</v>
      </c>
      <c r="U1703" s="122">
        <v>168172</v>
      </c>
      <c r="V1703" s="122">
        <v>10927148</v>
      </c>
      <c r="W1703" s="122">
        <f t="shared" si="52"/>
        <v>10927147</v>
      </c>
      <c r="X1703" s="122">
        <f t="shared" si="53"/>
        <v>12709736</v>
      </c>
      <c r="AA1703" t="s">
        <v>60</v>
      </c>
      <c r="AB1703" t="s">
        <v>406</v>
      </c>
      <c r="AC1703" t="s">
        <v>426</v>
      </c>
      <c r="AD1703" t="s">
        <v>406</v>
      </c>
      <c r="AE1703" t="s">
        <v>566</v>
      </c>
      <c r="AF1703" s="122">
        <v>3954</v>
      </c>
      <c r="AG1703" s="122">
        <v>482499</v>
      </c>
      <c r="AH1703" s="122">
        <v>1333573</v>
      </c>
      <c r="AI1703" s="122">
        <v>105611564</v>
      </c>
      <c r="AJ1703" s="122">
        <v>96010512</v>
      </c>
      <c r="AK1703">
        <v>78</v>
      </c>
      <c r="AL1703" s="122">
        <v>21300023</v>
      </c>
      <c r="AM1703" s="122">
        <v>19363657</v>
      </c>
      <c r="AN1703" s="122">
        <v>10108425</v>
      </c>
      <c r="AO1703" s="122">
        <v>3743861</v>
      </c>
      <c r="AP1703" s="122">
        <v>2601806</v>
      </c>
      <c r="AQ1703" s="122">
        <v>963632</v>
      </c>
      <c r="AR1703" s="122">
        <v>25223446</v>
      </c>
      <c r="AS1703" s="122">
        <v>22930406</v>
      </c>
      <c r="AT1703" s="122">
        <v>0</v>
      </c>
      <c r="AU1703" s="122">
        <v>0</v>
      </c>
      <c r="AV1703" s="122">
        <v>143012068</v>
      </c>
    </row>
    <row r="1704" spans="2:48" hidden="1">
      <c r="B1704" t="s">
        <v>373</v>
      </c>
      <c r="C1704" t="s">
        <v>64</v>
      </c>
      <c r="D1704" t="s">
        <v>406</v>
      </c>
      <c r="E1704" t="s">
        <v>427</v>
      </c>
      <c r="F1704" s="122">
        <v>1</v>
      </c>
      <c r="G1704" s="122">
        <v>98</v>
      </c>
      <c r="H1704" s="122">
        <v>467</v>
      </c>
      <c r="I1704" s="122">
        <v>33407</v>
      </c>
      <c r="J1704" s="122">
        <v>30370</v>
      </c>
      <c r="K1704" s="122">
        <v>79</v>
      </c>
      <c r="L1704" s="122">
        <v>4283</v>
      </c>
      <c r="M1704" s="122">
        <v>3894</v>
      </c>
      <c r="N1704" s="122">
        <v>2274</v>
      </c>
      <c r="O1704" s="122">
        <v>842</v>
      </c>
      <c r="P1704" s="122">
        <v>621</v>
      </c>
      <c r="Q1704" s="122">
        <v>230</v>
      </c>
      <c r="R1704" s="122">
        <v>3358</v>
      </c>
      <c r="S1704" s="122">
        <v>3053</v>
      </c>
      <c r="T1704" s="122">
        <v>1960</v>
      </c>
      <c r="U1704" s="122">
        <v>726</v>
      </c>
      <c r="V1704" s="122">
        <v>39115</v>
      </c>
      <c r="W1704" s="122">
        <f t="shared" si="52"/>
        <v>39115</v>
      </c>
      <c r="X1704" s="122">
        <f t="shared" si="53"/>
        <v>45903</v>
      </c>
      <c r="AA1704" t="s">
        <v>60</v>
      </c>
      <c r="AB1704" t="s">
        <v>406</v>
      </c>
      <c r="AC1704" t="s">
        <v>426</v>
      </c>
      <c r="AD1704" t="s">
        <v>427</v>
      </c>
      <c r="AE1704" t="s">
        <v>137</v>
      </c>
      <c r="AF1704">
        <v>4</v>
      </c>
      <c r="AG1704">
        <v>473</v>
      </c>
      <c r="AH1704" s="122">
        <v>1332</v>
      </c>
      <c r="AI1704" s="122">
        <v>96507</v>
      </c>
      <c r="AJ1704" s="122">
        <v>87734</v>
      </c>
      <c r="AK1704">
        <v>68</v>
      </c>
      <c r="AL1704" s="122">
        <v>17862</v>
      </c>
      <c r="AM1704" s="122">
        <v>16238</v>
      </c>
      <c r="AN1704" s="122">
        <v>10636</v>
      </c>
      <c r="AO1704" s="122">
        <v>3939</v>
      </c>
      <c r="AP1704" s="122">
        <v>2484</v>
      </c>
      <c r="AQ1704">
        <v>920</v>
      </c>
      <c r="AR1704" s="122">
        <v>19482</v>
      </c>
      <c r="AS1704" s="122">
        <v>17711</v>
      </c>
      <c r="AT1704" s="122">
        <v>10440</v>
      </c>
      <c r="AU1704" s="122">
        <v>3867</v>
      </c>
      <c r="AV1704" s="122">
        <v>130409</v>
      </c>
    </row>
    <row r="1705" spans="2:48" hidden="1">
      <c r="B1705" t="s">
        <v>373</v>
      </c>
      <c r="C1705" t="s">
        <v>64</v>
      </c>
      <c r="D1705" t="s">
        <v>427</v>
      </c>
      <c r="E1705" t="s">
        <v>137</v>
      </c>
      <c r="F1705" s="122">
        <v>1</v>
      </c>
      <c r="G1705" s="122">
        <v>47</v>
      </c>
      <c r="H1705" s="122">
        <v>1477</v>
      </c>
      <c r="I1705" s="122">
        <v>53142</v>
      </c>
      <c r="J1705" s="122">
        <v>48311</v>
      </c>
      <c r="K1705" s="122">
        <v>30</v>
      </c>
      <c r="L1705" s="122">
        <v>4348</v>
      </c>
      <c r="M1705" s="122">
        <v>1610</v>
      </c>
      <c r="N1705" s="122">
        <v>1145</v>
      </c>
      <c r="O1705" s="122">
        <v>424</v>
      </c>
      <c r="P1705" s="122">
        <v>0</v>
      </c>
      <c r="Q1705" s="122">
        <v>0</v>
      </c>
      <c r="R1705" s="122">
        <v>10794</v>
      </c>
      <c r="S1705" s="122">
        <v>3998</v>
      </c>
      <c r="T1705" s="122">
        <v>0</v>
      </c>
      <c r="U1705" s="122">
        <v>0</v>
      </c>
      <c r="V1705" s="122">
        <v>54343</v>
      </c>
      <c r="W1705" s="122">
        <f t="shared" si="52"/>
        <v>54343</v>
      </c>
      <c r="X1705" s="122">
        <f t="shared" si="53"/>
        <v>69429</v>
      </c>
      <c r="AA1705" t="s">
        <v>60</v>
      </c>
      <c r="AB1705" t="s">
        <v>406</v>
      </c>
      <c r="AC1705" t="s">
        <v>426</v>
      </c>
      <c r="AD1705" t="s">
        <v>427</v>
      </c>
      <c r="AE1705" t="s">
        <v>566</v>
      </c>
      <c r="AF1705">
        <v>2</v>
      </c>
      <c r="AG1705">
        <v>190</v>
      </c>
      <c r="AH1705" s="122">
        <v>674</v>
      </c>
      <c r="AI1705" s="122">
        <v>40164</v>
      </c>
      <c r="AJ1705" s="122">
        <v>36513</v>
      </c>
      <c r="AK1705">
        <v>90</v>
      </c>
      <c r="AL1705" s="122">
        <v>10220</v>
      </c>
      <c r="AM1705" s="122">
        <v>9291</v>
      </c>
      <c r="AN1705" s="122">
        <v>3928</v>
      </c>
      <c r="AO1705" s="122">
        <v>1455</v>
      </c>
      <c r="AP1705" s="122">
        <v>1242</v>
      </c>
      <c r="AQ1705">
        <v>460</v>
      </c>
      <c r="AR1705" s="122">
        <v>8696</v>
      </c>
      <c r="AS1705" s="122">
        <v>7905</v>
      </c>
      <c r="AT1705" s="122">
        <v>0</v>
      </c>
      <c r="AU1705" s="122">
        <v>0</v>
      </c>
      <c r="AV1705" s="122">
        <v>55623</v>
      </c>
    </row>
    <row r="1706" spans="2:48" hidden="1">
      <c r="B1706" t="s">
        <v>373</v>
      </c>
      <c r="C1706" t="s">
        <v>64</v>
      </c>
      <c r="D1706" t="s">
        <v>427</v>
      </c>
      <c r="E1706" t="s">
        <v>427</v>
      </c>
      <c r="F1706" s="122">
        <v>9</v>
      </c>
      <c r="G1706" s="122">
        <v>699</v>
      </c>
      <c r="H1706" s="122">
        <v>6585</v>
      </c>
      <c r="I1706" s="122">
        <v>358803</v>
      </c>
      <c r="J1706" s="122">
        <v>326184</v>
      </c>
      <c r="K1706" s="122">
        <v>53</v>
      </c>
      <c r="L1706" s="122">
        <v>60178</v>
      </c>
      <c r="M1706" s="122">
        <v>38614</v>
      </c>
      <c r="N1706" s="122">
        <v>15889</v>
      </c>
      <c r="O1706" s="122">
        <v>5885</v>
      </c>
      <c r="P1706" s="122">
        <v>1755</v>
      </c>
      <c r="Q1706" s="122">
        <v>650</v>
      </c>
      <c r="R1706" s="122">
        <v>58776</v>
      </c>
      <c r="S1706" s="122">
        <v>53433</v>
      </c>
      <c r="T1706" s="122">
        <v>4931</v>
      </c>
      <c r="U1706" s="122">
        <v>1826</v>
      </c>
      <c r="V1706" s="122">
        <v>426592</v>
      </c>
      <c r="W1706" s="122">
        <f t="shared" si="52"/>
        <v>426592</v>
      </c>
      <c r="X1706" s="122">
        <f t="shared" si="53"/>
        <v>500332</v>
      </c>
      <c r="AA1706" t="s">
        <v>60</v>
      </c>
      <c r="AB1706" t="s">
        <v>406</v>
      </c>
      <c r="AC1706" t="s">
        <v>426</v>
      </c>
      <c r="AD1706" t="s">
        <v>407</v>
      </c>
      <c r="AE1706" t="s">
        <v>137</v>
      </c>
      <c r="AF1706">
        <v>4</v>
      </c>
      <c r="AG1706" s="122">
        <v>826</v>
      </c>
      <c r="AH1706" s="122">
        <v>1331</v>
      </c>
      <c r="AI1706" s="122">
        <v>174145</v>
      </c>
      <c r="AJ1706" s="122">
        <v>158314</v>
      </c>
      <c r="AK1706">
        <v>82</v>
      </c>
      <c r="AL1706" s="122">
        <v>52277</v>
      </c>
      <c r="AM1706" s="122">
        <v>47524</v>
      </c>
      <c r="AN1706" s="122">
        <v>19254</v>
      </c>
      <c r="AO1706" s="122">
        <v>7131</v>
      </c>
      <c r="AP1706" s="122">
        <v>2484</v>
      </c>
      <c r="AQ1706" s="122">
        <v>920</v>
      </c>
      <c r="AR1706" s="122">
        <v>15957</v>
      </c>
      <c r="AS1706" s="122">
        <v>14506</v>
      </c>
      <c r="AT1706" s="122">
        <v>11628</v>
      </c>
      <c r="AU1706" s="122">
        <v>4307</v>
      </c>
      <c r="AV1706" s="122">
        <v>232703</v>
      </c>
    </row>
    <row r="1707" spans="2:48" hidden="1">
      <c r="B1707" t="s">
        <v>373</v>
      </c>
      <c r="C1707" t="s">
        <v>64</v>
      </c>
      <c r="D1707" t="s">
        <v>428</v>
      </c>
      <c r="E1707" t="s">
        <v>428</v>
      </c>
      <c r="F1707" s="122">
        <v>2</v>
      </c>
      <c r="G1707" s="122">
        <v>121</v>
      </c>
      <c r="H1707" s="122">
        <v>1445</v>
      </c>
      <c r="I1707" s="122">
        <v>63785</v>
      </c>
      <c r="J1707" s="122">
        <v>57986</v>
      </c>
      <c r="K1707" s="122">
        <v>60</v>
      </c>
      <c r="L1707" s="122">
        <v>10025</v>
      </c>
      <c r="M1707" s="122">
        <v>3713</v>
      </c>
      <c r="N1707" s="122">
        <v>2522</v>
      </c>
      <c r="O1707" s="122">
        <v>934</v>
      </c>
      <c r="P1707" s="122">
        <v>702</v>
      </c>
      <c r="Q1707" s="122">
        <v>260</v>
      </c>
      <c r="R1707" s="122">
        <v>8027</v>
      </c>
      <c r="S1707" s="122">
        <v>7297</v>
      </c>
      <c r="T1707" s="122">
        <v>4485</v>
      </c>
      <c r="U1707" s="122">
        <v>1661</v>
      </c>
      <c r="V1707" s="122">
        <v>71851</v>
      </c>
      <c r="W1707" s="122">
        <f t="shared" si="52"/>
        <v>71851</v>
      </c>
      <c r="X1707" s="122">
        <f t="shared" si="53"/>
        <v>89546</v>
      </c>
      <c r="AA1707" t="s">
        <v>60</v>
      </c>
      <c r="AB1707" t="s">
        <v>406</v>
      </c>
      <c r="AC1707" t="s">
        <v>426</v>
      </c>
      <c r="AD1707" t="s">
        <v>426</v>
      </c>
      <c r="AE1707" t="s">
        <v>137</v>
      </c>
      <c r="AF1707">
        <v>20</v>
      </c>
      <c r="AG1707" s="122">
        <v>2800</v>
      </c>
      <c r="AH1707" s="122">
        <v>6875</v>
      </c>
      <c r="AI1707" s="122">
        <v>637677</v>
      </c>
      <c r="AJ1707" s="122">
        <v>579706</v>
      </c>
      <c r="AK1707">
        <v>74</v>
      </c>
      <c r="AL1707" s="122">
        <v>84461</v>
      </c>
      <c r="AM1707" s="122">
        <v>76782</v>
      </c>
      <c r="AN1707" s="122">
        <v>57515</v>
      </c>
      <c r="AO1707" s="122">
        <v>21302</v>
      </c>
      <c r="AP1707" s="122">
        <v>14175</v>
      </c>
      <c r="AQ1707" s="122">
        <v>5250</v>
      </c>
      <c r="AR1707" s="122">
        <v>126676</v>
      </c>
      <c r="AS1707" s="122">
        <v>115160</v>
      </c>
      <c r="AT1707" s="122">
        <v>54246</v>
      </c>
      <c r="AU1707" s="122">
        <v>20091</v>
      </c>
      <c r="AV1707" s="122">
        <v>818292</v>
      </c>
    </row>
    <row r="1708" spans="2:48" hidden="1">
      <c r="B1708" t="s">
        <v>373</v>
      </c>
      <c r="C1708" t="s">
        <v>64</v>
      </c>
      <c r="D1708" t="s">
        <v>431</v>
      </c>
      <c r="E1708" t="s">
        <v>431</v>
      </c>
      <c r="F1708" s="122">
        <v>2</v>
      </c>
      <c r="G1708" s="122">
        <v>181</v>
      </c>
      <c r="H1708" s="122">
        <v>1421</v>
      </c>
      <c r="I1708" s="122">
        <v>89312</v>
      </c>
      <c r="J1708" s="122">
        <v>81193</v>
      </c>
      <c r="K1708" s="122">
        <v>53</v>
      </c>
      <c r="L1708" s="122">
        <v>4880</v>
      </c>
      <c r="M1708" s="122">
        <v>4436</v>
      </c>
      <c r="N1708" s="122">
        <v>3840</v>
      </c>
      <c r="O1708" s="122">
        <v>1422</v>
      </c>
      <c r="P1708" s="122">
        <v>351</v>
      </c>
      <c r="Q1708" s="122">
        <v>130</v>
      </c>
      <c r="R1708" s="122">
        <v>14690</v>
      </c>
      <c r="S1708" s="122">
        <v>13355</v>
      </c>
      <c r="T1708" s="122">
        <v>0</v>
      </c>
      <c r="U1708" s="122">
        <v>0</v>
      </c>
      <c r="V1708" s="122">
        <v>100537</v>
      </c>
      <c r="W1708" s="122">
        <f t="shared" si="52"/>
        <v>100536</v>
      </c>
      <c r="X1708" s="122">
        <f t="shared" si="53"/>
        <v>113073</v>
      </c>
      <c r="AA1708" t="s">
        <v>60</v>
      </c>
      <c r="AB1708" t="s">
        <v>406</v>
      </c>
      <c r="AC1708" t="s">
        <v>426</v>
      </c>
      <c r="AD1708" t="s">
        <v>426</v>
      </c>
      <c r="AE1708" t="s">
        <v>566</v>
      </c>
      <c r="AF1708">
        <v>12</v>
      </c>
      <c r="AG1708" s="122">
        <v>1330</v>
      </c>
      <c r="AH1708" s="122">
        <v>4131</v>
      </c>
      <c r="AI1708" s="122">
        <v>274590</v>
      </c>
      <c r="AJ1708" s="122">
        <v>249627</v>
      </c>
      <c r="AK1708">
        <v>78</v>
      </c>
      <c r="AL1708" s="122">
        <v>49070</v>
      </c>
      <c r="AM1708" s="122">
        <v>44609</v>
      </c>
      <c r="AN1708" s="122">
        <v>25312</v>
      </c>
      <c r="AO1708" s="122">
        <v>9375</v>
      </c>
      <c r="AP1708" s="122">
        <v>8154</v>
      </c>
      <c r="AQ1708" s="122">
        <v>3020</v>
      </c>
      <c r="AR1708" s="122">
        <v>104102</v>
      </c>
      <c r="AS1708" s="122">
        <v>94638</v>
      </c>
      <c r="AT1708">
        <v>0</v>
      </c>
      <c r="AU1708">
        <v>0</v>
      </c>
      <c r="AV1708" s="122">
        <v>401270</v>
      </c>
    </row>
    <row r="1709" spans="2:48" hidden="1">
      <c r="B1709" t="s">
        <v>373</v>
      </c>
      <c r="C1709" t="s">
        <v>64</v>
      </c>
      <c r="D1709" t="s">
        <v>426</v>
      </c>
      <c r="E1709" t="s">
        <v>425</v>
      </c>
      <c r="F1709" s="122">
        <v>1</v>
      </c>
      <c r="G1709" s="122">
        <v>87</v>
      </c>
      <c r="H1709" s="122">
        <v>564</v>
      </c>
      <c r="I1709" s="122">
        <v>39537</v>
      </c>
      <c r="J1709" s="122">
        <v>35942</v>
      </c>
      <c r="K1709" s="122">
        <v>60</v>
      </c>
      <c r="L1709" s="122">
        <v>4393</v>
      </c>
      <c r="M1709" s="122">
        <v>3994</v>
      </c>
      <c r="N1709" s="122">
        <v>1471</v>
      </c>
      <c r="O1709" s="122">
        <v>545</v>
      </c>
      <c r="P1709" s="122">
        <v>0</v>
      </c>
      <c r="Q1709" s="122">
        <v>0</v>
      </c>
      <c r="R1709" s="122">
        <v>3622</v>
      </c>
      <c r="S1709" s="122">
        <v>3293</v>
      </c>
      <c r="T1709" s="122">
        <v>0</v>
      </c>
      <c r="U1709" s="122">
        <v>0</v>
      </c>
      <c r="V1709" s="122">
        <v>43774</v>
      </c>
      <c r="W1709" s="122">
        <f t="shared" si="52"/>
        <v>43774</v>
      </c>
      <c r="X1709" s="122">
        <f t="shared" si="53"/>
        <v>49023</v>
      </c>
      <c r="AA1709" t="s">
        <v>60</v>
      </c>
      <c r="AB1709" t="s">
        <v>406</v>
      </c>
      <c r="AC1709" t="s">
        <v>566</v>
      </c>
      <c r="AD1709" t="s">
        <v>137</v>
      </c>
      <c r="AE1709" t="s">
        <v>566</v>
      </c>
      <c r="AF1709">
        <v>10</v>
      </c>
      <c r="AG1709" s="122">
        <v>1032</v>
      </c>
      <c r="AH1709" s="122">
        <v>3373</v>
      </c>
      <c r="AI1709" s="122">
        <v>258204</v>
      </c>
      <c r="AJ1709" s="122">
        <v>234731</v>
      </c>
      <c r="AK1709">
        <v>80</v>
      </c>
      <c r="AL1709">
        <v>0</v>
      </c>
      <c r="AM1709" s="122">
        <v>0</v>
      </c>
      <c r="AN1709" s="122">
        <v>21292</v>
      </c>
      <c r="AO1709" s="122">
        <v>7886</v>
      </c>
      <c r="AP1709" s="122">
        <v>6561</v>
      </c>
      <c r="AQ1709" s="122">
        <v>2430</v>
      </c>
      <c r="AR1709" s="122">
        <v>64194</v>
      </c>
      <c r="AS1709" s="122">
        <v>23776</v>
      </c>
      <c r="AT1709" s="122">
        <v>0</v>
      </c>
      <c r="AU1709" s="122">
        <v>0</v>
      </c>
      <c r="AV1709" s="122">
        <v>268822</v>
      </c>
    </row>
    <row r="1710" spans="2:48" hidden="1">
      <c r="B1710" t="s">
        <v>373</v>
      </c>
      <c r="C1710" t="s">
        <v>64</v>
      </c>
      <c r="D1710" t="s">
        <v>426</v>
      </c>
      <c r="E1710" t="s">
        <v>137</v>
      </c>
      <c r="F1710" s="122">
        <v>33</v>
      </c>
      <c r="G1710" s="122">
        <v>2729</v>
      </c>
      <c r="H1710" s="122">
        <v>75116</v>
      </c>
      <c r="I1710" s="122">
        <v>2412590</v>
      </c>
      <c r="J1710" s="122">
        <v>2193264</v>
      </c>
      <c r="K1710" s="122">
        <v>42</v>
      </c>
      <c r="L1710" s="122">
        <v>3129801</v>
      </c>
      <c r="M1710" s="122">
        <v>2802146</v>
      </c>
      <c r="N1710" s="122">
        <v>61991</v>
      </c>
      <c r="O1710" s="122">
        <v>22960</v>
      </c>
      <c r="P1710" s="122">
        <v>905</v>
      </c>
      <c r="Q1710" s="122">
        <v>335</v>
      </c>
      <c r="R1710" s="122">
        <v>185977</v>
      </c>
      <c r="S1710" s="122">
        <v>68880</v>
      </c>
      <c r="T1710" s="122">
        <v>0</v>
      </c>
      <c r="U1710" s="122">
        <v>0</v>
      </c>
      <c r="V1710" s="122">
        <v>5087585</v>
      </c>
      <c r="W1710" s="122">
        <f t="shared" si="52"/>
        <v>5087585</v>
      </c>
      <c r="X1710" s="122">
        <f t="shared" si="53"/>
        <v>5791264</v>
      </c>
      <c r="AA1710" t="s">
        <v>60</v>
      </c>
      <c r="AB1710" t="s">
        <v>406</v>
      </c>
      <c r="AC1710" t="s">
        <v>566</v>
      </c>
      <c r="AD1710" t="s">
        <v>406</v>
      </c>
      <c r="AE1710" t="s">
        <v>137</v>
      </c>
      <c r="AF1710">
        <v>228</v>
      </c>
      <c r="AG1710" s="122">
        <v>22331</v>
      </c>
      <c r="AH1710" s="122">
        <v>77648</v>
      </c>
      <c r="AI1710" s="122">
        <v>5583570</v>
      </c>
      <c r="AJ1710" s="122">
        <v>5075973</v>
      </c>
      <c r="AK1710">
        <v>76</v>
      </c>
      <c r="AL1710">
        <v>0</v>
      </c>
      <c r="AM1710" s="122">
        <v>62960</v>
      </c>
      <c r="AN1710" s="122">
        <v>475838</v>
      </c>
      <c r="AO1710" s="122">
        <v>176236</v>
      </c>
      <c r="AP1710" s="122">
        <v>140711</v>
      </c>
      <c r="AQ1710" s="122">
        <v>52115</v>
      </c>
      <c r="AR1710" s="122">
        <v>983063</v>
      </c>
      <c r="AS1710" s="122">
        <v>893693</v>
      </c>
      <c r="AT1710" s="122">
        <v>548368</v>
      </c>
      <c r="AU1710" s="122">
        <v>203099</v>
      </c>
      <c r="AV1710" s="122">
        <v>6464077</v>
      </c>
    </row>
    <row r="1711" spans="2:48" hidden="1">
      <c r="B1711" t="s">
        <v>373</v>
      </c>
      <c r="C1711" t="s">
        <v>64</v>
      </c>
      <c r="D1711" t="s">
        <v>426</v>
      </c>
      <c r="E1711" t="s">
        <v>426</v>
      </c>
      <c r="F1711" s="122">
        <v>136</v>
      </c>
      <c r="G1711" s="122">
        <v>11469</v>
      </c>
      <c r="H1711" s="122">
        <v>95053</v>
      </c>
      <c r="I1711" s="122">
        <v>5970874</v>
      </c>
      <c r="J1711" s="122">
        <v>5428067</v>
      </c>
      <c r="K1711" s="122">
        <v>51</v>
      </c>
      <c r="L1711" s="122">
        <v>790075</v>
      </c>
      <c r="M1711" s="122">
        <v>638885</v>
      </c>
      <c r="N1711" s="122">
        <v>257557</v>
      </c>
      <c r="O1711" s="122">
        <v>95391</v>
      </c>
      <c r="P1711" s="122">
        <v>50382</v>
      </c>
      <c r="Q1711" s="122">
        <v>18660</v>
      </c>
      <c r="R1711" s="122">
        <v>781081</v>
      </c>
      <c r="S1711" s="122">
        <v>710073</v>
      </c>
      <c r="T1711" s="122">
        <v>300009</v>
      </c>
      <c r="U1711" s="122">
        <v>111114</v>
      </c>
      <c r="V1711" s="122">
        <v>7002191</v>
      </c>
      <c r="W1711" s="122">
        <f t="shared" si="52"/>
        <v>7002190</v>
      </c>
      <c r="X1711" s="122">
        <f t="shared" si="53"/>
        <v>8149978</v>
      </c>
      <c r="AA1711" t="s">
        <v>60</v>
      </c>
      <c r="AB1711" t="s">
        <v>406</v>
      </c>
      <c r="AC1711" t="s">
        <v>566</v>
      </c>
      <c r="AD1711" t="s">
        <v>406</v>
      </c>
      <c r="AE1711" t="s">
        <v>566</v>
      </c>
      <c r="AF1711">
        <v>114</v>
      </c>
      <c r="AG1711" s="122">
        <v>11264</v>
      </c>
      <c r="AH1711" s="122">
        <v>38755</v>
      </c>
      <c r="AI1711" s="122">
        <v>2874886</v>
      </c>
      <c r="AJ1711" s="122">
        <v>2613533</v>
      </c>
      <c r="AK1711">
        <v>79</v>
      </c>
      <c r="AL1711">
        <v>0</v>
      </c>
      <c r="AM1711" s="122">
        <v>87833</v>
      </c>
      <c r="AN1711" s="122">
        <v>229407</v>
      </c>
      <c r="AO1711" s="122">
        <v>84966</v>
      </c>
      <c r="AP1711" s="122">
        <v>71266</v>
      </c>
      <c r="AQ1711" s="122">
        <v>26395</v>
      </c>
      <c r="AR1711" s="122">
        <v>675901</v>
      </c>
      <c r="AS1711" s="122">
        <v>614455</v>
      </c>
      <c r="AT1711">
        <v>0</v>
      </c>
      <c r="AU1711">
        <v>0</v>
      </c>
      <c r="AV1711" s="122">
        <v>3427182</v>
      </c>
    </row>
    <row r="1712" spans="2:48" hidden="1">
      <c r="B1712" t="s">
        <v>373</v>
      </c>
      <c r="C1712" t="s">
        <v>64</v>
      </c>
      <c r="D1712" t="s">
        <v>433</v>
      </c>
      <c r="E1712" t="s">
        <v>137</v>
      </c>
      <c r="F1712" s="122">
        <v>1</v>
      </c>
      <c r="G1712" s="122">
        <v>67</v>
      </c>
      <c r="H1712" s="122">
        <v>1618</v>
      </c>
      <c r="I1712" s="122">
        <v>102452</v>
      </c>
      <c r="J1712" s="122">
        <v>93138</v>
      </c>
      <c r="K1712" s="122">
        <v>30</v>
      </c>
      <c r="L1712" s="122">
        <v>0</v>
      </c>
      <c r="M1712" s="122">
        <v>0</v>
      </c>
      <c r="N1712" s="122">
        <v>1627</v>
      </c>
      <c r="O1712" s="122">
        <v>603</v>
      </c>
      <c r="P1712" s="122">
        <v>0</v>
      </c>
      <c r="Q1712" s="122">
        <v>0</v>
      </c>
      <c r="R1712" s="122">
        <v>3965</v>
      </c>
      <c r="S1712" s="122">
        <v>1469</v>
      </c>
      <c r="T1712" s="122">
        <v>0</v>
      </c>
      <c r="U1712" s="122">
        <v>0</v>
      </c>
      <c r="V1712" s="122">
        <v>95209</v>
      </c>
      <c r="W1712" s="122">
        <f t="shared" si="52"/>
        <v>95210</v>
      </c>
      <c r="X1712" s="122">
        <f t="shared" si="53"/>
        <v>108044</v>
      </c>
      <c r="AA1712" t="s">
        <v>60</v>
      </c>
      <c r="AB1712" t="s">
        <v>406</v>
      </c>
      <c r="AC1712" t="s">
        <v>566</v>
      </c>
      <c r="AD1712" t="s">
        <v>427</v>
      </c>
      <c r="AE1712" t="s">
        <v>566</v>
      </c>
      <c r="AF1712">
        <v>1</v>
      </c>
      <c r="AG1712">
        <v>147</v>
      </c>
      <c r="AH1712">
        <v>370</v>
      </c>
      <c r="AI1712" s="122">
        <v>53995</v>
      </c>
      <c r="AJ1712" s="122">
        <v>49086</v>
      </c>
      <c r="AK1712">
        <v>55</v>
      </c>
      <c r="AL1712">
        <v>0</v>
      </c>
      <c r="AM1712" s="122">
        <v>0</v>
      </c>
      <c r="AN1712" s="122">
        <v>4912</v>
      </c>
      <c r="AO1712" s="122">
        <v>1819</v>
      </c>
      <c r="AP1712">
        <v>621</v>
      </c>
      <c r="AQ1712">
        <v>230</v>
      </c>
      <c r="AR1712" s="122">
        <v>15095</v>
      </c>
      <c r="AS1712" s="122">
        <v>13723</v>
      </c>
      <c r="AT1712">
        <v>0</v>
      </c>
      <c r="AU1712">
        <v>0</v>
      </c>
      <c r="AV1712" s="122">
        <v>64858</v>
      </c>
    </row>
    <row r="1713" spans="2:48" hidden="1">
      <c r="B1713" t="s">
        <v>373</v>
      </c>
      <c r="C1713" t="s">
        <v>64</v>
      </c>
      <c r="D1713" t="s">
        <v>433</v>
      </c>
      <c r="E1713" t="s">
        <v>433</v>
      </c>
      <c r="F1713" s="122">
        <v>1</v>
      </c>
      <c r="G1713" s="122">
        <v>44</v>
      </c>
      <c r="H1713" s="122">
        <v>1786</v>
      </c>
      <c r="I1713" s="122">
        <v>62226</v>
      </c>
      <c r="J1713" s="122">
        <v>56569</v>
      </c>
      <c r="K1713" s="122">
        <v>30</v>
      </c>
      <c r="L1713" s="122">
        <v>6914</v>
      </c>
      <c r="M1713" s="122">
        <v>6285</v>
      </c>
      <c r="N1713" s="122">
        <v>1077</v>
      </c>
      <c r="O1713" s="122">
        <v>399</v>
      </c>
      <c r="P1713" s="122">
        <v>0</v>
      </c>
      <c r="Q1713" s="122">
        <v>0</v>
      </c>
      <c r="R1713" s="122">
        <v>8728</v>
      </c>
      <c r="S1713" s="122">
        <v>7934</v>
      </c>
      <c r="T1713" s="122">
        <v>0</v>
      </c>
      <c r="U1713" s="122">
        <v>0</v>
      </c>
      <c r="V1713" s="122">
        <v>71188</v>
      </c>
      <c r="W1713" s="122">
        <f t="shared" si="52"/>
        <v>71187</v>
      </c>
      <c r="X1713" s="122">
        <f t="shared" si="53"/>
        <v>78945</v>
      </c>
      <c r="AA1713" t="s">
        <v>60</v>
      </c>
      <c r="AB1713" t="s">
        <v>406</v>
      </c>
      <c r="AC1713" t="s">
        <v>566</v>
      </c>
      <c r="AD1713" t="s">
        <v>426</v>
      </c>
      <c r="AE1713" t="s">
        <v>566</v>
      </c>
      <c r="AF1713">
        <v>1</v>
      </c>
      <c r="AG1713">
        <v>115</v>
      </c>
      <c r="AH1713">
        <v>312</v>
      </c>
      <c r="AI1713" s="122">
        <v>26397</v>
      </c>
      <c r="AJ1713" s="122">
        <v>23997</v>
      </c>
      <c r="AK1713">
        <v>70</v>
      </c>
      <c r="AL1713">
        <v>0</v>
      </c>
      <c r="AM1713" s="122">
        <v>5910</v>
      </c>
      <c r="AN1713" s="122">
        <v>2802</v>
      </c>
      <c r="AO1713" s="122">
        <v>1038</v>
      </c>
      <c r="AP1713">
        <v>621</v>
      </c>
      <c r="AQ1713">
        <v>230</v>
      </c>
      <c r="AR1713" s="122">
        <v>6045</v>
      </c>
      <c r="AS1713" s="122">
        <v>5495</v>
      </c>
      <c r="AT1713">
        <v>0</v>
      </c>
      <c r="AU1713">
        <v>0</v>
      </c>
      <c r="AV1713" s="122">
        <v>36671</v>
      </c>
    </row>
    <row r="1714" spans="2:48" hidden="1">
      <c r="B1714" t="s">
        <v>374</v>
      </c>
      <c r="C1714" t="s">
        <v>48</v>
      </c>
      <c r="F1714" s="122">
        <v>2</v>
      </c>
      <c r="G1714" s="122">
        <v>228</v>
      </c>
      <c r="H1714" s="122">
        <v>146</v>
      </c>
      <c r="I1714" s="122"/>
      <c r="J1714" s="122">
        <v>0</v>
      </c>
      <c r="K1714" s="122"/>
      <c r="L1714" s="122"/>
      <c r="M1714" s="122">
        <v>0</v>
      </c>
      <c r="N1714" s="122">
        <v>2777</v>
      </c>
      <c r="O1714" s="122">
        <v>1028</v>
      </c>
      <c r="P1714" s="122">
        <v>1962</v>
      </c>
      <c r="Q1714" s="122">
        <v>727</v>
      </c>
      <c r="R1714" s="122"/>
      <c r="S1714" s="122">
        <v>0</v>
      </c>
      <c r="T1714" s="122">
        <v>0</v>
      </c>
      <c r="U1714" s="122">
        <v>0</v>
      </c>
      <c r="V1714" s="122">
        <v>1755</v>
      </c>
      <c r="W1714" s="122">
        <f t="shared" si="52"/>
        <v>1755</v>
      </c>
      <c r="X1714" s="122">
        <f t="shared" si="53"/>
        <v>4739</v>
      </c>
      <c r="AA1714" t="s">
        <v>60</v>
      </c>
      <c r="AB1714" t="s">
        <v>406</v>
      </c>
      <c r="AC1714" t="s">
        <v>566</v>
      </c>
      <c r="AD1714" t="s">
        <v>429</v>
      </c>
      <c r="AE1714" t="s">
        <v>566</v>
      </c>
      <c r="AF1714">
        <v>1</v>
      </c>
      <c r="AG1714" s="122">
        <v>128</v>
      </c>
      <c r="AH1714" s="122">
        <v>332</v>
      </c>
      <c r="AI1714" s="122">
        <v>33963</v>
      </c>
      <c r="AJ1714" s="122">
        <v>30875</v>
      </c>
      <c r="AK1714">
        <v>95</v>
      </c>
      <c r="AL1714" s="122">
        <v>0</v>
      </c>
      <c r="AM1714" s="122">
        <v>4761</v>
      </c>
      <c r="AN1714" s="122">
        <v>3109</v>
      </c>
      <c r="AO1714" s="122">
        <v>1151</v>
      </c>
      <c r="AP1714" s="122">
        <v>621</v>
      </c>
      <c r="AQ1714" s="122">
        <v>230</v>
      </c>
      <c r="AR1714" s="122">
        <v>4660</v>
      </c>
      <c r="AS1714" s="122">
        <v>4236</v>
      </c>
      <c r="AT1714" s="122">
        <v>0</v>
      </c>
      <c r="AU1714" s="122">
        <v>0</v>
      </c>
      <c r="AV1714" s="122">
        <v>41254</v>
      </c>
    </row>
    <row r="1715" spans="2:48" hidden="1">
      <c r="B1715" t="s">
        <v>374</v>
      </c>
      <c r="C1715" t="s">
        <v>48</v>
      </c>
      <c r="D1715" t="s">
        <v>405</v>
      </c>
      <c r="E1715" t="s">
        <v>405</v>
      </c>
      <c r="F1715" s="122">
        <v>2</v>
      </c>
      <c r="G1715" s="122">
        <v>913</v>
      </c>
      <c r="H1715" s="122">
        <v>130</v>
      </c>
      <c r="I1715" s="122">
        <v>30410</v>
      </c>
      <c r="J1715" s="122">
        <v>27645</v>
      </c>
      <c r="K1715" s="122">
        <v>92</v>
      </c>
      <c r="L1715" s="122">
        <v>4854</v>
      </c>
      <c r="M1715" s="122">
        <v>4413</v>
      </c>
      <c r="N1715" s="122">
        <v>11119</v>
      </c>
      <c r="O1715" s="122">
        <v>4118</v>
      </c>
      <c r="P1715" s="122">
        <v>10054</v>
      </c>
      <c r="Q1715" s="122">
        <v>3724</v>
      </c>
      <c r="R1715" s="122">
        <v>3460</v>
      </c>
      <c r="S1715" s="122">
        <v>3145</v>
      </c>
      <c r="T1715" s="122">
        <v>357</v>
      </c>
      <c r="U1715" s="122">
        <v>132</v>
      </c>
      <c r="V1715" s="122">
        <v>43178</v>
      </c>
      <c r="W1715" s="122">
        <f t="shared" si="52"/>
        <v>43177</v>
      </c>
      <c r="X1715" s="122">
        <f t="shared" si="53"/>
        <v>60254</v>
      </c>
      <c r="AA1715" t="s">
        <v>60</v>
      </c>
      <c r="AB1715" t="s">
        <v>406</v>
      </c>
      <c r="AC1715" t="s">
        <v>481</v>
      </c>
      <c r="AD1715" t="s">
        <v>406</v>
      </c>
      <c r="AE1715" t="s">
        <v>137</v>
      </c>
      <c r="AF1715">
        <v>15</v>
      </c>
      <c r="AG1715" s="122">
        <v>1732</v>
      </c>
      <c r="AH1715" s="122">
        <v>5094</v>
      </c>
      <c r="AI1715" s="122">
        <v>380570</v>
      </c>
      <c r="AJ1715" s="122">
        <v>345973</v>
      </c>
      <c r="AK1715">
        <v>78</v>
      </c>
      <c r="AL1715" s="122">
        <v>60551</v>
      </c>
      <c r="AM1715" s="122">
        <v>55046</v>
      </c>
      <c r="AN1715" s="122">
        <v>37503</v>
      </c>
      <c r="AO1715" s="122">
        <v>13890</v>
      </c>
      <c r="AP1715" s="122">
        <v>9666</v>
      </c>
      <c r="AQ1715" s="122">
        <v>3580</v>
      </c>
      <c r="AR1715" s="122">
        <v>68876</v>
      </c>
      <c r="AS1715" s="122">
        <v>62615</v>
      </c>
      <c r="AT1715" s="122">
        <v>33943</v>
      </c>
      <c r="AU1715" s="122">
        <v>12572</v>
      </c>
      <c r="AV1715" s="122">
        <v>493675</v>
      </c>
    </row>
    <row r="1716" spans="2:48" hidden="1">
      <c r="B1716" t="s">
        <v>374</v>
      </c>
      <c r="C1716" t="s">
        <v>48</v>
      </c>
      <c r="D1716" t="s">
        <v>137</v>
      </c>
      <c r="E1716" t="s">
        <v>137</v>
      </c>
      <c r="F1716" s="122">
        <v>187</v>
      </c>
      <c r="G1716" s="122">
        <v>41560</v>
      </c>
      <c r="H1716" s="122">
        <v>10446</v>
      </c>
      <c r="I1716" s="122">
        <v>361037</v>
      </c>
      <c r="J1716" s="122">
        <v>133717</v>
      </c>
      <c r="K1716" s="122">
        <v>451</v>
      </c>
      <c r="L1716" s="122">
        <v>101243</v>
      </c>
      <c r="M1716" s="122">
        <v>87672</v>
      </c>
      <c r="N1716" s="122">
        <v>580572</v>
      </c>
      <c r="O1716" s="122">
        <v>215026</v>
      </c>
      <c r="P1716" s="122">
        <v>227942</v>
      </c>
      <c r="Q1716" s="122">
        <v>84423</v>
      </c>
      <c r="R1716" s="122">
        <v>1058860</v>
      </c>
      <c r="S1716" s="122">
        <v>392170</v>
      </c>
      <c r="T1716" s="122">
        <v>5308</v>
      </c>
      <c r="U1716" s="122">
        <v>1966</v>
      </c>
      <c r="V1716" s="122">
        <v>914975</v>
      </c>
      <c r="W1716" s="122">
        <f t="shared" si="52"/>
        <v>914974</v>
      </c>
      <c r="X1716" s="122">
        <f t="shared" si="53"/>
        <v>2334962</v>
      </c>
      <c r="AA1716" t="s">
        <v>60</v>
      </c>
      <c r="AB1716" t="s">
        <v>406</v>
      </c>
      <c r="AC1716" t="s">
        <v>481</v>
      </c>
      <c r="AD1716" t="s">
        <v>406</v>
      </c>
      <c r="AE1716" t="s">
        <v>566</v>
      </c>
      <c r="AF1716">
        <v>6</v>
      </c>
      <c r="AG1716">
        <v>618</v>
      </c>
      <c r="AH1716" s="122">
        <v>2023</v>
      </c>
      <c r="AI1716" s="122">
        <v>119455</v>
      </c>
      <c r="AJ1716" s="122">
        <v>108595</v>
      </c>
      <c r="AK1716">
        <v>73</v>
      </c>
      <c r="AL1716" s="122">
        <v>25933</v>
      </c>
      <c r="AM1716" s="122">
        <v>23575</v>
      </c>
      <c r="AN1716" s="122">
        <v>12500</v>
      </c>
      <c r="AO1716" s="122">
        <v>4630</v>
      </c>
      <c r="AP1716" s="122">
        <v>4077</v>
      </c>
      <c r="AQ1716" s="122">
        <v>1510</v>
      </c>
      <c r="AR1716" s="122">
        <v>46020</v>
      </c>
      <c r="AS1716" s="122">
        <v>41836</v>
      </c>
      <c r="AT1716">
        <v>0</v>
      </c>
      <c r="AU1716">
        <v>0</v>
      </c>
      <c r="AV1716" s="122">
        <v>180146</v>
      </c>
    </row>
    <row r="1717" spans="2:48" hidden="1">
      <c r="B1717" t="s">
        <v>374</v>
      </c>
      <c r="C1717" t="s">
        <v>48</v>
      </c>
      <c r="D1717" t="s">
        <v>137</v>
      </c>
      <c r="E1717" t="s">
        <v>426</v>
      </c>
      <c r="F1717" s="122">
        <v>1</v>
      </c>
      <c r="G1717" s="122">
        <v>186</v>
      </c>
      <c r="H1717" s="122">
        <v>75</v>
      </c>
      <c r="I1717" s="122">
        <v>8471</v>
      </c>
      <c r="J1717" s="122">
        <v>3138</v>
      </c>
      <c r="K1717" s="122">
        <v>410</v>
      </c>
      <c r="L1717" s="122">
        <v>1965</v>
      </c>
      <c r="M1717" s="122">
        <v>1787</v>
      </c>
      <c r="N1717" s="122">
        <v>2269</v>
      </c>
      <c r="O1717" s="122">
        <v>840</v>
      </c>
      <c r="P1717" s="122">
        <v>351</v>
      </c>
      <c r="Q1717" s="122">
        <v>130</v>
      </c>
      <c r="R1717" s="122">
        <v>818</v>
      </c>
      <c r="S1717" s="122">
        <v>744</v>
      </c>
      <c r="T1717" s="122">
        <v>0</v>
      </c>
      <c r="U1717" s="122">
        <v>0</v>
      </c>
      <c r="V1717" s="122">
        <v>6638</v>
      </c>
      <c r="W1717" s="122">
        <f t="shared" si="52"/>
        <v>6639</v>
      </c>
      <c r="X1717" s="122">
        <f t="shared" si="53"/>
        <v>13874</v>
      </c>
      <c r="AA1717" t="s">
        <v>60</v>
      </c>
      <c r="AB1717" t="s">
        <v>406</v>
      </c>
      <c r="AC1717" t="s">
        <v>433</v>
      </c>
      <c r="AD1717" t="s">
        <v>137</v>
      </c>
      <c r="AE1717" t="s">
        <v>137</v>
      </c>
      <c r="AF1717">
        <v>1</v>
      </c>
      <c r="AG1717">
        <v>59</v>
      </c>
      <c r="AH1717" s="122">
        <v>369</v>
      </c>
      <c r="AI1717" s="122">
        <v>8294</v>
      </c>
      <c r="AJ1717" s="122">
        <v>7540</v>
      </c>
      <c r="AK1717">
        <v>86</v>
      </c>
      <c r="AL1717" s="122">
        <v>2494</v>
      </c>
      <c r="AM1717" s="122">
        <v>2268</v>
      </c>
      <c r="AN1717" s="122">
        <v>1445</v>
      </c>
      <c r="AO1717" s="122">
        <v>535</v>
      </c>
      <c r="AP1717" s="122">
        <v>621</v>
      </c>
      <c r="AQ1717">
        <v>230</v>
      </c>
      <c r="AR1717" s="122">
        <v>9043</v>
      </c>
      <c r="AS1717" s="122">
        <v>3349</v>
      </c>
      <c r="AT1717">
        <v>0</v>
      </c>
      <c r="AU1717">
        <v>0</v>
      </c>
      <c r="AV1717" s="122">
        <v>13923</v>
      </c>
    </row>
    <row r="1718" spans="2:48" hidden="1">
      <c r="B1718" t="s">
        <v>374</v>
      </c>
      <c r="C1718" t="s">
        <v>48</v>
      </c>
      <c r="D1718" t="s">
        <v>406</v>
      </c>
      <c r="E1718" t="s">
        <v>137</v>
      </c>
      <c r="F1718" s="122">
        <v>2</v>
      </c>
      <c r="G1718" s="122">
        <v>443</v>
      </c>
      <c r="H1718" s="122">
        <v>127</v>
      </c>
      <c r="I1718" s="122">
        <v>10969</v>
      </c>
      <c r="J1718" s="122">
        <v>9972</v>
      </c>
      <c r="K1718" s="122">
        <v>94</v>
      </c>
      <c r="L1718" s="122">
        <v>1665</v>
      </c>
      <c r="M1718" s="122">
        <v>1513</v>
      </c>
      <c r="N1718" s="122">
        <v>5709</v>
      </c>
      <c r="O1718" s="122">
        <v>2114</v>
      </c>
      <c r="P1718" s="122">
        <v>1242</v>
      </c>
      <c r="Q1718" s="122">
        <v>460</v>
      </c>
      <c r="R1718" s="122">
        <v>8287</v>
      </c>
      <c r="S1718" s="122">
        <v>3069</v>
      </c>
      <c r="T1718" s="122">
        <v>0</v>
      </c>
      <c r="U1718" s="122">
        <v>0</v>
      </c>
      <c r="V1718" s="122">
        <v>17129</v>
      </c>
      <c r="W1718" s="122">
        <f t="shared" si="52"/>
        <v>17128</v>
      </c>
      <c r="X1718" s="122">
        <f t="shared" si="53"/>
        <v>27872</v>
      </c>
      <c r="AA1718" t="s">
        <v>60</v>
      </c>
      <c r="AB1718" t="s">
        <v>406</v>
      </c>
      <c r="AC1718" t="s">
        <v>433</v>
      </c>
      <c r="AD1718" t="s">
        <v>137</v>
      </c>
      <c r="AE1718" t="s">
        <v>566</v>
      </c>
      <c r="AF1718">
        <v>4</v>
      </c>
      <c r="AG1718" s="122">
        <v>484</v>
      </c>
      <c r="AH1718" s="122">
        <v>1296</v>
      </c>
      <c r="AI1718" s="122">
        <v>84974</v>
      </c>
      <c r="AJ1718" s="122">
        <v>77250</v>
      </c>
      <c r="AK1718">
        <v>82</v>
      </c>
      <c r="AL1718" s="122">
        <v>19123</v>
      </c>
      <c r="AM1718" s="122">
        <v>17385</v>
      </c>
      <c r="AN1718" s="122">
        <v>10778</v>
      </c>
      <c r="AO1718" s="122">
        <v>3992</v>
      </c>
      <c r="AP1718" s="122">
        <v>2484</v>
      </c>
      <c r="AQ1718" s="122">
        <v>920</v>
      </c>
      <c r="AR1718" s="122">
        <v>39955</v>
      </c>
      <c r="AS1718" s="122">
        <v>14798</v>
      </c>
      <c r="AT1718" s="122">
        <v>0</v>
      </c>
      <c r="AU1718" s="122">
        <v>0</v>
      </c>
      <c r="AV1718" s="122">
        <v>114344</v>
      </c>
    </row>
    <row r="1719" spans="2:48" hidden="1">
      <c r="B1719" t="s">
        <v>374</v>
      </c>
      <c r="C1719" t="s">
        <v>48</v>
      </c>
      <c r="D1719" t="s">
        <v>406</v>
      </c>
      <c r="E1719" t="s">
        <v>406</v>
      </c>
      <c r="F1719" s="122">
        <v>24</v>
      </c>
      <c r="G1719" s="122">
        <v>5643</v>
      </c>
      <c r="H1719" s="122">
        <v>1483</v>
      </c>
      <c r="I1719" s="122">
        <v>129898</v>
      </c>
      <c r="J1719" s="122">
        <v>118089</v>
      </c>
      <c r="K1719" s="122">
        <v>95</v>
      </c>
      <c r="L1719" s="122">
        <v>24807</v>
      </c>
      <c r="M1719" s="122">
        <v>20469</v>
      </c>
      <c r="N1719" s="122">
        <v>75467</v>
      </c>
      <c r="O1719" s="122">
        <v>27951</v>
      </c>
      <c r="P1719" s="122">
        <v>29100</v>
      </c>
      <c r="Q1719" s="122">
        <v>10778</v>
      </c>
      <c r="R1719" s="122">
        <v>86073</v>
      </c>
      <c r="S1719" s="122">
        <v>78248</v>
      </c>
      <c r="T1719" s="122">
        <v>4072</v>
      </c>
      <c r="U1719" s="122">
        <v>1508</v>
      </c>
      <c r="V1719" s="122">
        <v>257043</v>
      </c>
      <c r="W1719" s="122">
        <f t="shared" si="52"/>
        <v>257043</v>
      </c>
      <c r="X1719" s="122">
        <f t="shared" si="53"/>
        <v>349417</v>
      </c>
      <c r="AA1719" t="s">
        <v>60</v>
      </c>
      <c r="AB1719" t="s">
        <v>406</v>
      </c>
      <c r="AC1719" t="s">
        <v>433</v>
      </c>
      <c r="AD1719" t="s">
        <v>406</v>
      </c>
      <c r="AE1719" t="s">
        <v>137</v>
      </c>
      <c r="AF1719">
        <v>219</v>
      </c>
      <c r="AG1719" s="122">
        <v>27863</v>
      </c>
      <c r="AH1719" s="122">
        <v>74381</v>
      </c>
      <c r="AI1719" s="122">
        <v>6120336</v>
      </c>
      <c r="AJ1719" s="122">
        <v>5563942</v>
      </c>
      <c r="AK1719">
        <v>77</v>
      </c>
      <c r="AL1719" s="122">
        <v>1144306</v>
      </c>
      <c r="AM1719" s="122">
        <v>1040278</v>
      </c>
      <c r="AN1719" s="122">
        <v>566952</v>
      </c>
      <c r="AO1719" s="122">
        <v>209982</v>
      </c>
      <c r="AP1719" s="122">
        <v>139793</v>
      </c>
      <c r="AQ1719" s="122">
        <v>51775</v>
      </c>
      <c r="AR1719" s="122">
        <v>1092415</v>
      </c>
      <c r="AS1719" s="122">
        <v>993104</v>
      </c>
      <c r="AT1719" s="122">
        <v>508563</v>
      </c>
      <c r="AU1719" s="122">
        <v>188357</v>
      </c>
      <c r="AV1719" s="122">
        <v>8047438</v>
      </c>
    </row>
    <row r="1720" spans="2:48" hidden="1">
      <c r="B1720" t="s">
        <v>374</v>
      </c>
      <c r="C1720" t="s">
        <v>48</v>
      </c>
      <c r="D1720" t="s">
        <v>407</v>
      </c>
      <c r="E1720" t="s">
        <v>137</v>
      </c>
      <c r="F1720" s="122">
        <v>6</v>
      </c>
      <c r="G1720" s="122">
        <v>512</v>
      </c>
      <c r="H1720" s="122">
        <v>365</v>
      </c>
      <c r="I1720" s="122">
        <v>6247</v>
      </c>
      <c r="J1720" s="122">
        <v>5679</v>
      </c>
      <c r="K1720" s="122">
        <v>90</v>
      </c>
      <c r="L1720" s="122">
        <v>0</v>
      </c>
      <c r="M1720" s="122">
        <v>0</v>
      </c>
      <c r="N1720" s="122">
        <v>6238</v>
      </c>
      <c r="O1720" s="122">
        <v>2311</v>
      </c>
      <c r="P1720" s="122">
        <v>2835</v>
      </c>
      <c r="Q1720" s="122">
        <v>1050</v>
      </c>
      <c r="R1720" s="122">
        <v>15357</v>
      </c>
      <c r="S1720" s="122">
        <v>5688</v>
      </c>
      <c r="T1720" s="122">
        <v>0</v>
      </c>
      <c r="U1720" s="122">
        <v>0</v>
      </c>
      <c r="V1720" s="122">
        <v>14727</v>
      </c>
      <c r="W1720" s="122">
        <f t="shared" si="52"/>
        <v>14728</v>
      </c>
      <c r="X1720" s="122">
        <f t="shared" si="53"/>
        <v>30677</v>
      </c>
      <c r="AA1720" t="s">
        <v>60</v>
      </c>
      <c r="AB1720" t="s">
        <v>406</v>
      </c>
      <c r="AC1720" t="s">
        <v>433</v>
      </c>
      <c r="AD1720" t="s">
        <v>406</v>
      </c>
      <c r="AE1720" t="s">
        <v>566</v>
      </c>
      <c r="AF1720">
        <v>146</v>
      </c>
      <c r="AG1720" s="122">
        <v>18769</v>
      </c>
      <c r="AH1720" s="122">
        <v>49170</v>
      </c>
      <c r="AI1720" s="122">
        <v>4158912</v>
      </c>
      <c r="AJ1720" s="122">
        <v>3780829</v>
      </c>
      <c r="AK1720">
        <v>79</v>
      </c>
      <c r="AL1720" s="122">
        <v>782530</v>
      </c>
      <c r="AM1720" s="122">
        <v>711391</v>
      </c>
      <c r="AN1720" s="122">
        <v>397481</v>
      </c>
      <c r="AO1720" s="122">
        <v>147215</v>
      </c>
      <c r="AP1720" s="122">
        <v>95807</v>
      </c>
      <c r="AQ1720" s="122">
        <v>35484</v>
      </c>
      <c r="AR1720" s="122">
        <v>919499</v>
      </c>
      <c r="AS1720" s="122">
        <v>835909</v>
      </c>
      <c r="AT1720">
        <v>0</v>
      </c>
      <c r="AU1720">
        <v>0</v>
      </c>
      <c r="AV1720" s="122">
        <v>5510828</v>
      </c>
    </row>
    <row r="1721" spans="2:48" hidden="1">
      <c r="B1721" t="s">
        <v>374</v>
      </c>
      <c r="C1721" t="s">
        <v>48</v>
      </c>
      <c r="D1721" t="s">
        <v>407</v>
      </c>
      <c r="E1721" t="s">
        <v>407</v>
      </c>
      <c r="F1721" s="122">
        <v>50</v>
      </c>
      <c r="G1721" s="122">
        <v>7721</v>
      </c>
      <c r="H1721" s="122">
        <v>3030</v>
      </c>
      <c r="I1721" s="122">
        <v>125663</v>
      </c>
      <c r="J1721" s="122">
        <v>114239</v>
      </c>
      <c r="K1721" s="122">
        <v>91</v>
      </c>
      <c r="L1721" s="122">
        <v>17430</v>
      </c>
      <c r="M1721" s="122">
        <v>15254</v>
      </c>
      <c r="N1721" s="122">
        <v>95186</v>
      </c>
      <c r="O1721" s="122">
        <v>35254</v>
      </c>
      <c r="P1721" s="122">
        <v>28714</v>
      </c>
      <c r="Q1721" s="122">
        <v>10635</v>
      </c>
      <c r="R1721" s="122">
        <v>202535</v>
      </c>
      <c r="S1721" s="122">
        <v>184122</v>
      </c>
      <c r="T1721" s="122">
        <v>0</v>
      </c>
      <c r="U1721" s="122">
        <v>0</v>
      </c>
      <c r="V1721" s="122">
        <v>359504</v>
      </c>
      <c r="W1721" s="122">
        <f t="shared" si="52"/>
        <v>359504</v>
      </c>
      <c r="X1721" s="122">
        <f t="shared" si="53"/>
        <v>469528</v>
      </c>
      <c r="AA1721" t="s">
        <v>60</v>
      </c>
      <c r="AB1721" t="s">
        <v>406</v>
      </c>
      <c r="AC1721" t="s">
        <v>433</v>
      </c>
      <c r="AD1721" t="s">
        <v>433</v>
      </c>
      <c r="AE1721" t="s">
        <v>137</v>
      </c>
      <c r="AF1721">
        <v>1</v>
      </c>
      <c r="AG1721">
        <v>189</v>
      </c>
      <c r="AH1721">
        <v>359</v>
      </c>
      <c r="AI1721" s="122">
        <v>41594</v>
      </c>
      <c r="AJ1721" s="122">
        <v>37813</v>
      </c>
      <c r="AK1721">
        <v>86</v>
      </c>
      <c r="AL1721" s="122">
        <v>12540</v>
      </c>
      <c r="AM1721" s="122">
        <v>11400</v>
      </c>
      <c r="AN1721" s="122">
        <v>2648</v>
      </c>
      <c r="AO1721">
        <v>981</v>
      </c>
      <c r="AP1721">
        <v>621</v>
      </c>
      <c r="AQ1721">
        <v>230</v>
      </c>
      <c r="AR1721" s="122">
        <v>10544</v>
      </c>
      <c r="AS1721" s="122">
        <v>9585</v>
      </c>
      <c r="AT1721">
        <v>0</v>
      </c>
      <c r="AU1721">
        <v>0</v>
      </c>
      <c r="AV1721" s="122">
        <v>60009</v>
      </c>
    </row>
    <row r="1722" spans="2:48" hidden="1">
      <c r="B1722" t="s">
        <v>374</v>
      </c>
      <c r="C1722" t="s">
        <v>48</v>
      </c>
      <c r="D1722" t="s">
        <v>433</v>
      </c>
      <c r="E1722" t="s">
        <v>137</v>
      </c>
      <c r="F1722" s="122">
        <v>1</v>
      </c>
      <c r="G1722" s="122">
        <v>232</v>
      </c>
      <c r="H1722" s="122">
        <v>50</v>
      </c>
      <c r="I1722" s="122">
        <v>285</v>
      </c>
      <c r="J1722" s="122">
        <v>260</v>
      </c>
      <c r="K1722" s="122">
        <v>77</v>
      </c>
      <c r="L1722" s="122">
        <v>0</v>
      </c>
      <c r="M1722" s="122">
        <v>0</v>
      </c>
      <c r="N1722" s="122">
        <v>2829</v>
      </c>
      <c r="O1722" s="122">
        <v>1048</v>
      </c>
      <c r="P1722" s="122">
        <v>1764</v>
      </c>
      <c r="Q1722" s="122">
        <v>653</v>
      </c>
      <c r="R1722" s="122">
        <v>6651</v>
      </c>
      <c r="S1722" s="122">
        <v>2463</v>
      </c>
      <c r="T1722" s="122">
        <v>0</v>
      </c>
      <c r="U1722" s="122">
        <v>0</v>
      </c>
      <c r="V1722" s="122">
        <v>4424</v>
      </c>
      <c r="W1722" s="122">
        <f t="shared" si="52"/>
        <v>4424</v>
      </c>
      <c r="X1722" s="122">
        <f t="shared" si="53"/>
        <v>11529</v>
      </c>
      <c r="AA1722" t="s">
        <v>60</v>
      </c>
      <c r="AB1722" t="s">
        <v>406</v>
      </c>
      <c r="AC1722" t="s">
        <v>433</v>
      </c>
      <c r="AD1722" t="s">
        <v>433</v>
      </c>
      <c r="AE1722" t="s">
        <v>566</v>
      </c>
      <c r="AF1722">
        <v>1</v>
      </c>
      <c r="AG1722">
        <v>99</v>
      </c>
      <c r="AH1722">
        <v>312</v>
      </c>
      <c r="AI1722" s="122">
        <v>13729</v>
      </c>
      <c r="AJ1722" s="122">
        <v>12481</v>
      </c>
      <c r="AK1722">
        <v>86</v>
      </c>
      <c r="AL1722" s="122">
        <v>2753</v>
      </c>
      <c r="AM1722" s="122">
        <v>2502</v>
      </c>
      <c r="AN1722" s="122">
        <v>2362</v>
      </c>
      <c r="AO1722" s="122">
        <v>875</v>
      </c>
      <c r="AP1722" s="122">
        <v>621</v>
      </c>
      <c r="AQ1722">
        <v>230</v>
      </c>
      <c r="AR1722" s="122">
        <v>11578</v>
      </c>
      <c r="AS1722" s="122">
        <v>10525</v>
      </c>
      <c r="AT1722">
        <v>0</v>
      </c>
      <c r="AU1722">
        <v>0</v>
      </c>
      <c r="AV1722" s="122">
        <v>26613</v>
      </c>
    </row>
    <row r="1723" spans="2:48" hidden="1">
      <c r="B1723" t="s">
        <v>374</v>
      </c>
      <c r="C1723" t="s">
        <v>48</v>
      </c>
      <c r="D1723" t="s">
        <v>433</v>
      </c>
      <c r="E1723" t="s">
        <v>433</v>
      </c>
      <c r="F1723" s="122">
        <v>1</v>
      </c>
      <c r="G1723" s="122">
        <v>327</v>
      </c>
      <c r="H1723" s="122">
        <v>53</v>
      </c>
      <c r="I1723" s="122">
        <v>5791</v>
      </c>
      <c r="J1723" s="122">
        <v>5264</v>
      </c>
      <c r="K1723" s="122">
        <v>90</v>
      </c>
      <c r="L1723" s="122">
        <v>643</v>
      </c>
      <c r="M1723" s="122">
        <v>585</v>
      </c>
      <c r="N1723" s="122">
        <v>3979</v>
      </c>
      <c r="O1723" s="122">
        <v>1474</v>
      </c>
      <c r="P1723" s="122">
        <v>3360</v>
      </c>
      <c r="Q1723" s="122">
        <v>1244</v>
      </c>
      <c r="R1723" s="122">
        <v>3470</v>
      </c>
      <c r="S1723" s="122">
        <v>3154</v>
      </c>
      <c r="T1723" s="122">
        <v>0</v>
      </c>
      <c r="U1723" s="122">
        <v>0</v>
      </c>
      <c r="V1723" s="122">
        <v>11721</v>
      </c>
      <c r="W1723" s="122">
        <f t="shared" si="52"/>
        <v>11721</v>
      </c>
      <c r="X1723" s="122">
        <f t="shared" si="53"/>
        <v>17243</v>
      </c>
      <c r="AA1723" t="s">
        <v>60</v>
      </c>
      <c r="AB1723" t="s">
        <v>406</v>
      </c>
      <c r="AC1723" t="s">
        <v>408</v>
      </c>
      <c r="AD1723" t="s">
        <v>406</v>
      </c>
      <c r="AE1723" t="s">
        <v>566</v>
      </c>
      <c r="AF1723">
        <v>1</v>
      </c>
      <c r="AG1723">
        <v>286</v>
      </c>
      <c r="AH1723">
        <v>339</v>
      </c>
      <c r="AI1723" s="122">
        <v>73718</v>
      </c>
      <c r="AJ1723" s="122">
        <v>67016</v>
      </c>
      <c r="AK1723">
        <v>65</v>
      </c>
      <c r="AL1723" s="122">
        <v>8191</v>
      </c>
      <c r="AM1723" s="122">
        <v>7446</v>
      </c>
      <c r="AN1723" s="122">
        <v>5025</v>
      </c>
      <c r="AO1723" s="122">
        <v>1861</v>
      </c>
      <c r="AP1723" s="122">
        <v>1242</v>
      </c>
      <c r="AQ1723">
        <v>460</v>
      </c>
      <c r="AR1723" s="122">
        <v>8979</v>
      </c>
      <c r="AS1723" s="122">
        <v>8162</v>
      </c>
      <c r="AT1723">
        <v>0</v>
      </c>
      <c r="AU1723">
        <v>0</v>
      </c>
      <c r="AV1723" s="122">
        <v>84946</v>
      </c>
    </row>
    <row r="1724" spans="2:48" hidden="1">
      <c r="B1724" t="s">
        <v>374</v>
      </c>
      <c r="C1724" t="s">
        <v>48</v>
      </c>
      <c r="D1724" t="s">
        <v>408</v>
      </c>
      <c r="E1724" t="s">
        <v>408</v>
      </c>
      <c r="F1724" s="122">
        <v>1</v>
      </c>
      <c r="G1724" s="122">
        <v>149</v>
      </c>
      <c r="H1724" s="122">
        <v>65</v>
      </c>
      <c r="I1724" s="122">
        <v>3849</v>
      </c>
      <c r="J1724" s="122">
        <v>3499</v>
      </c>
      <c r="K1724" s="122">
        <v>85</v>
      </c>
      <c r="L1724" s="122">
        <v>586</v>
      </c>
      <c r="M1724" s="122">
        <v>533</v>
      </c>
      <c r="N1724" s="122">
        <v>1818</v>
      </c>
      <c r="O1724" s="122">
        <v>673</v>
      </c>
      <c r="P1724" s="122">
        <v>1654</v>
      </c>
      <c r="Q1724" s="122">
        <v>613</v>
      </c>
      <c r="R1724" s="122">
        <v>1863</v>
      </c>
      <c r="S1724" s="122">
        <v>1694</v>
      </c>
      <c r="T1724" s="122">
        <v>0</v>
      </c>
      <c r="U1724" s="122">
        <v>0</v>
      </c>
      <c r="V1724" s="122">
        <v>7012</v>
      </c>
      <c r="W1724" s="122">
        <f t="shared" si="52"/>
        <v>7012</v>
      </c>
      <c r="X1724" s="122">
        <f t="shared" si="53"/>
        <v>9770</v>
      </c>
      <c r="AA1724" t="s">
        <v>60</v>
      </c>
      <c r="AB1724" t="s">
        <v>406</v>
      </c>
      <c r="AC1724" t="s">
        <v>429</v>
      </c>
      <c r="AD1724" t="s">
        <v>137</v>
      </c>
      <c r="AE1724" t="s">
        <v>566</v>
      </c>
      <c r="AF1724">
        <v>2</v>
      </c>
      <c r="AG1724" s="122">
        <v>381</v>
      </c>
      <c r="AH1724" s="122">
        <v>693</v>
      </c>
      <c r="AI1724" s="122">
        <v>90016</v>
      </c>
      <c r="AJ1724" s="122">
        <v>81832</v>
      </c>
      <c r="AK1724">
        <v>73</v>
      </c>
      <c r="AL1724" s="122">
        <v>10329</v>
      </c>
      <c r="AM1724" s="122">
        <v>9390</v>
      </c>
      <c r="AN1724" s="122">
        <v>6996</v>
      </c>
      <c r="AO1724" s="122">
        <v>2591</v>
      </c>
      <c r="AP1724" s="122">
        <v>1242</v>
      </c>
      <c r="AQ1724" s="122">
        <v>460</v>
      </c>
      <c r="AR1724" s="122">
        <v>20504</v>
      </c>
      <c r="AS1724" s="122">
        <v>7594</v>
      </c>
      <c r="AT1724" s="122">
        <v>0</v>
      </c>
      <c r="AU1724" s="122">
        <v>0</v>
      </c>
      <c r="AV1724" s="122">
        <v>101868</v>
      </c>
    </row>
    <row r="1725" spans="2:48" hidden="1">
      <c r="B1725" t="s">
        <v>374</v>
      </c>
      <c r="C1725" t="s">
        <v>50</v>
      </c>
      <c r="D1725" t="s">
        <v>137</v>
      </c>
      <c r="E1725" t="s">
        <v>137</v>
      </c>
      <c r="F1725" s="122">
        <v>35</v>
      </c>
      <c r="G1725" s="122">
        <v>8537</v>
      </c>
      <c r="H1725" s="122">
        <v>3087</v>
      </c>
      <c r="I1725" s="122">
        <v>268890</v>
      </c>
      <c r="J1725" s="122">
        <v>99589</v>
      </c>
      <c r="K1725" s="122">
        <v>418</v>
      </c>
      <c r="L1725" s="122">
        <v>104320</v>
      </c>
      <c r="M1725" s="122">
        <v>93724</v>
      </c>
      <c r="N1725" s="122">
        <v>151049</v>
      </c>
      <c r="O1725" s="122">
        <v>55944</v>
      </c>
      <c r="P1725" s="122">
        <v>32899</v>
      </c>
      <c r="Q1725" s="122">
        <v>12185</v>
      </c>
      <c r="R1725" s="122">
        <v>198163</v>
      </c>
      <c r="S1725" s="122">
        <v>73394</v>
      </c>
      <c r="T1725" s="122">
        <v>11730</v>
      </c>
      <c r="U1725" s="122">
        <v>4345</v>
      </c>
      <c r="V1725" s="122">
        <v>339180</v>
      </c>
      <c r="W1725" s="122">
        <f t="shared" si="52"/>
        <v>339181</v>
      </c>
      <c r="X1725" s="122">
        <f t="shared" si="53"/>
        <v>767051</v>
      </c>
      <c r="AA1725" t="s">
        <v>60</v>
      </c>
      <c r="AB1725" t="s">
        <v>406</v>
      </c>
      <c r="AC1725" t="s">
        <v>429</v>
      </c>
      <c r="AD1725" t="s">
        <v>406</v>
      </c>
      <c r="AE1725" t="s">
        <v>137</v>
      </c>
      <c r="AF1725">
        <v>11</v>
      </c>
      <c r="AG1725" s="122">
        <v>1429</v>
      </c>
      <c r="AH1725" s="122">
        <v>3741</v>
      </c>
      <c r="AI1725" s="122">
        <v>331986</v>
      </c>
      <c r="AJ1725" s="122">
        <v>301805</v>
      </c>
      <c r="AK1725">
        <v>78</v>
      </c>
      <c r="AL1725" s="122">
        <v>45108</v>
      </c>
      <c r="AM1725" s="122">
        <v>41008</v>
      </c>
      <c r="AN1725" s="122">
        <v>25898</v>
      </c>
      <c r="AO1725" s="122">
        <v>9592</v>
      </c>
      <c r="AP1725" s="122">
        <v>7182</v>
      </c>
      <c r="AQ1725" s="122">
        <v>2660</v>
      </c>
      <c r="AR1725" s="122">
        <v>55282</v>
      </c>
      <c r="AS1725" s="122">
        <v>50256</v>
      </c>
      <c r="AT1725" s="122">
        <v>25947</v>
      </c>
      <c r="AU1725" s="122">
        <v>9610</v>
      </c>
      <c r="AV1725" s="122">
        <v>414931</v>
      </c>
    </row>
    <row r="1726" spans="2:48" hidden="1">
      <c r="B1726" t="s">
        <v>374</v>
      </c>
      <c r="C1726" t="s">
        <v>50</v>
      </c>
      <c r="D1726" t="s">
        <v>406</v>
      </c>
      <c r="E1726" t="s">
        <v>406</v>
      </c>
      <c r="F1726" s="122">
        <v>47</v>
      </c>
      <c r="G1726" s="122">
        <v>11593</v>
      </c>
      <c r="H1726" s="122">
        <v>4250</v>
      </c>
      <c r="I1726" s="122">
        <v>542077</v>
      </c>
      <c r="J1726" s="122">
        <v>492798</v>
      </c>
      <c r="K1726" s="122">
        <v>93</v>
      </c>
      <c r="L1726" s="122">
        <v>103495</v>
      </c>
      <c r="M1726" s="122">
        <v>93959</v>
      </c>
      <c r="N1726" s="122">
        <v>165857</v>
      </c>
      <c r="O1726" s="122">
        <v>61429</v>
      </c>
      <c r="P1726" s="122">
        <v>40946</v>
      </c>
      <c r="Q1726" s="122">
        <v>15165</v>
      </c>
      <c r="R1726" s="122">
        <v>210543</v>
      </c>
      <c r="S1726" s="122">
        <v>191403</v>
      </c>
      <c r="T1726" s="122">
        <v>2621</v>
      </c>
      <c r="U1726" s="122">
        <v>971</v>
      </c>
      <c r="V1726" s="122">
        <v>855724</v>
      </c>
      <c r="W1726" s="122">
        <f t="shared" si="52"/>
        <v>855725</v>
      </c>
      <c r="X1726" s="122">
        <f t="shared" si="53"/>
        <v>1065539</v>
      </c>
      <c r="AA1726" t="s">
        <v>60</v>
      </c>
      <c r="AB1726" t="s">
        <v>406</v>
      </c>
      <c r="AC1726" t="s">
        <v>429</v>
      </c>
      <c r="AD1726" t="s">
        <v>406</v>
      </c>
      <c r="AE1726" t="s">
        <v>566</v>
      </c>
      <c r="AF1726">
        <v>12</v>
      </c>
      <c r="AG1726" s="122">
        <v>1699</v>
      </c>
      <c r="AH1726" s="122">
        <v>3994</v>
      </c>
      <c r="AI1726" s="122">
        <v>421076</v>
      </c>
      <c r="AJ1726" s="122">
        <v>382797</v>
      </c>
      <c r="AK1726">
        <v>76</v>
      </c>
      <c r="AL1726" s="122">
        <v>51820</v>
      </c>
      <c r="AM1726" s="122">
        <v>47109</v>
      </c>
      <c r="AN1726" s="122">
        <v>33872</v>
      </c>
      <c r="AO1726" s="122">
        <v>12545</v>
      </c>
      <c r="AP1726" s="122">
        <v>9828</v>
      </c>
      <c r="AQ1726" s="122">
        <v>3640</v>
      </c>
      <c r="AR1726" s="122">
        <v>81276</v>
      </c>
      <c r="AS1726" s="122">
        <v>73887</v>
      </c>
      <c r="AT1726">
        <v>0</v>
      </c>
      <c r="AU1726">
        <v>0</v>
      </c>
      <c r="AV1726" s="122">
        <v>519978</v>
      </c>
    </row>
    <row r="1727" spans="2:48" hidden="1">
      <c r="B1727" t="s">
        <v>374</v>
      </c>
      <c r="C1727" t="s">
        <v>50</v>
      </c>
      <c r="D1727" t="s">
        <v>407</v>
      </c>
      <c r="E1727" t="s">
        <v>407</v>
      </c>
      <c r="F1727" s="122">
        <v>15</v>
      </c>
      <c r="G1727" s="122">
        <v>3104</v>
      </c>
      <c r="H1727" s="122">
        <v>1381</v>
      </c>
      <c r="I1727" s="122">
        <v>152589</v>
      </c>
      <c r="J1727" s="122">
        <v>138717</v>
      </c>
      <c r="K1727" s="122">
        <v>91</v>
      </c>
      <c r="L1727" s="122">
        <v>27745</v>
      </c>
      <c r="M1727" s="122">
        <v>25055</v>
      </c>
      <c r="N1727" s="122">
        <v>47144</v>
      </c>
      <c r="O1727" s="122">
        <v>17461</v>
      </c>
      <c r="P1727" s="122">
        <v>13058</v>
      </c>
      <c r="Q1727" s="122">
        <v>4836</v>
      </c>
      <c r="R1727" s="122">
        <v>48196</v>
      </c>
      <c r="S1727" s="122">
        <v>43814</v>
      </c>
      <c r="T1727" s="122">
        <v>3486</v>
      </c>
      <c r="U1727" s="122">
        <v>1291</v>
      </c>
      <c r="V1727" s="122">
        <v>231175</v>
      </c>
      <c r="W1727" s="122">
        <f t="shared" si="52"/>
        <v>231174</v>
      </c>
      <c r="X1727" s="122">
        <f t="shared" si="53"/>
        <v>292218</v>
      </c>
      <c r="AA1727" t="s">
        <v>60</v>
      </c>
      <c r="AB1727" t="s">
        <v>427</v>
      </c>
      <c r="AC1727" t="s">
        <v>425</v>
      </c>
      <c r="AD1727" t="s">
        <v>137</v>
      </c>
      <c r="AE1727" t="s">
        <v>566</v>
      </c>
      <c r="AF1727">
        <v>1</v>
      </c>
      <c r="AG1727">
        <v>181</v>
      </c>
      <c r="AH1727">
        <v>348</v>
      </c>
      <c r="AI1727" s="122">
        <v>47015</v>
      </c>
      <c r="AJ1727" s="122">
        <v>42741</v>
      </c>
      <c r="AK1727">
        <v>45</v>
      </c>
      <c r="AL1727" s="122">
        <v>2351</v>
      </c>
      <c r="AM1727" s="122">
        <v>2137</v>
      </c>
      <c r="AN1727" s="122">
        <v>4338</v>
      </c>
      <c r="AO1727" s="122">
        <v>1607</v>
      </c>
      <c r="AP1727">
        <v>351</v>
      </c>
      <c r="AQ1727">
        <v>130</v>
      </c>
      <c r="AR1727" s="122">
        <v>14719</v>
      </c>
      <c r="AS1727" s="122">
        <v>5451</v>
      </c>
      <c r="AT1727" s="122">
        <v>0</v>
      </c>
      <c r="AU1727">
        <v>0</v>
      </c>
      <c r="AV1727" s="122">
        <v>52066</v>
      </c>
    </row>
    <row r="1728" spans="2:48" hidden="1">
      <c r="B1728" t="s">
        <v>374</v>
      </c>
      <c r="C1728" t="s">
        <v>50</v>
      </c>
      <c r="D1728" t="s">
        <v>407</v>
      </c>
      <c r="E1728" t="s">
        <v>433</v>
      </c>
      <c r="F1728" s="122">
        <v>1</v>
      </c>
      <c r="G1728" s="122">
        <v>110</v>
      </c>
      <c r="H1728" s="122">
        <v>95</v>
      </c>
      <c r="I1728" s="122">
        <v>4251</v>
      </c>
      <c r="J1728" s="122">
        <v>3865</v>
      </c>
      <c r="K1728" s="122">
        <v>91</v>
      </c>
      <c r="L1728" s="122">
        <v>1362</v>
      </c>
      <c r="M1728" s="122">
        <v>1238</v>
      </c>
      <c r="N1728" s="122">
        <v>1340</v>
      </c>
      <c r="O1728" s="122">
        <v>496</v>
      </c>
      <c r="P1728" s="122">
        <v>473</v>
      </c>
      <c r="Q1728" s="122">
        <v>175</v>
      </c>
      <c r="R1728" s="122">
        <v>3048</v>
      </c>
      <c r="S1728" s="122">
        <v>2770</v>
      </c>
      <c r="T1728" s="122">
        <v>0</v>
      </c>
      <c r="U1728" s="122">
        <v>0</v>
      </c>
      <c r="V1728" s="122">
        <v>8545</v>
      </c>
      <c r="W1728" s="122">
        <f t="shared" si="52"/>
        <v>8544</v>
      </c>
      <c r="X1728" s="122">
        <f t="shared" si="53"/>
        <v>10474</v>
      </c>
      <c r="AA1728" t="s">
        <v>60</v>
      </c>
      <c r="AB1728" t="s">
        <v>427</v>
      </c>
      <c r="AC1728" t="s">
        <v>425</v>
      </c>
      <c r="AD1728" t="s">
        <v>427</v>
      </c>
      <c r="AE1728" t="s">
        <v>137</v>
      </c>
      <c r="AF1728">
        <v>2</v>
      </c>
      <c r="AG1728">
        <v>214</v>
      </c>
      <c r="AH1728">
        <v>714</v>
      </c>
      <c r="AI1728" s="122">
        <v>57092</v>
      </c>
      <c r="AJ1728" s="122">
        <v>51902</v>
      </c>
      <c r="AK1728">
        <v>55</v>
      </c>
      <c r="AL1728" s="122">
        <v>5319</v>
      </c>
      <c r="AM1728" s="122">
        <v>4836</v>
      </c>
      <c r="AN1728" s="122">
        <v>3376</v>
      </c>
      <c r="AO1728" s="122">
        <v>1250</v>
      </c>
      <c r="AP1728">
        <v>702</v>
      </c>
      <c r="AQ1728">
        <v>260</v>
      </c>
      <c r="AR1728" s="122">
        <v>7818</v>
      </c>
      <c r="AS1728" s="122">
        <v>7107</v>
      </c>
      <c r="AT1728" s="122">
        <v>1946</v>
      </c>
      <c r="AU1728" s="122">
        <v>721</v>
      </c>
      <c r="AV1728" s="122">
        <v>66076</v>
      </c>
    </row>
    <row r="1729" spans="2:48" hidden="1">
      <c r="B1729" t="s">
        <v>374</v>
      </c>
      <c r="C1729" t="s">
        <v>50</v>
      </c>
      <c r="D1729" t="s">
        <v>408</v>
      </c>
      <c r="E1729" t="s">
        <v>408</v>
      </c>
      <c r="F1729" s="122">
        <v>1</v>
      </c>
      <c r="G1729" s="122">
        <v>205</v>
      </c>
      <c r="H1729" s="122">
        <v>94</v>
      </c>
      <c r="I1729" s="122">
        <v>10585</v>
      </c>
      <c r="J1729" s="122">
        <v>9623</v>
      </c>
      <c r="K1729" s="122">
        <v>90</v>
      </c>
      <c r="L1729" s="122">
        <v>1764</v>
      </c>
      <c r="M1729" s="122">
        <v>1604</v>
      </c>
      <c r="N1729" s="122">
        <v>2691</v>
      </c>
      <c r="O1729" s="122">
        <v>997</v>
      </c>
      <c r="P1729" s="122">
        <v>351</v>
      </c>
      <c r="Q1729" s="122">
        <v>130</v>
      </c>
      <c r="R1729" s="122">
        <v>3923</v>
      </c>
      <c r="S1729" s="122">
        <v>3567</v>
      </c>
      <c r="T1729" s="122">
        <v>0</v>
      </c>
      <c r="U1729" s="122">
        <v>0</v>
      </c>
      <c r="V1729" s="122">
        <v>15920</v>
      </c>
      <c r="W1729" s="122">
        <f t="shared" si="52"/>
        <v>15921</v>
      </c>
      <c r="X1729" s="122">
        <f t="shared" si="53"/>
        <v>19314</v>
      </c>
      <c r="AA1729" t="s">
        <v>60</v>
      </c>
      <c r="AB1729" t="s">
        <v>427</v>
      </c>
      <c r="AC1729" t="s">
        <v>405</v>
      </c>
      <c r="AD1729" t="s">
        <v>427</v>
      </c>
      <c r="AE1729" t="s">
        <v>137</v>
      </c>
      <c r="AF1729">
        <v>1</v>
      </c>
      <c r="AG1729">
        <v>101</v>
      </c>
      <c r="AH1729" s="122">
        <v>343</v>
      </c>
      <c r="AI1729" s="122">
        <v>22633</v>
      </c>
      <c r="AJ1729" s="122">
        <v>20576</v>
      </c>
      <c r="AK1729">
        <v>55</v>
      </c>
      <c r="AL1729" s="122">
        <v>2128</v>
      </c>
      <c r="AM1729" s="122">
        <v>1934</v>
      </c>
      <c r="AN1729" s="122">
        <v>1841</v>
      </c>
      <c r="AO1729" s="122">
        <v>682</v>
      </c>
      <c r="AP1729">
        <v>351</v>
      </c>
      <c r="AQ1729">
        <v>130</v>
      </c>
      <c r="AR1729" s="122">
        <v>4884</v>
      </c>
      <c r="AS1729" s="122">
        <v>4440</v>
      </c>
      <c r="AT1729" s="122">
        <v>2704</v>
      </c>
      <c r="AU1729" s="122">
        <v>1002</v>
      </c>
      <c r="AV1729" s="122">
        <v>28764</v>
      </c>
    </row>
    <row r="1730" spans="2:48" hidden="1">
      <c r="B1730" t="s">
        <v>374</v>
      </c>
      <c r="C1730" t="s">
        <v>52</v>
      </c>
      <c r="D1730" t="s">
        <v>425</v>
      </c>
      <c r="E1730" t="s">
        <v>425</v>
      </c>
      <c r="F1730" s="122">
        <v>1</v>
      </c>
      <c r="G1730" s="122">
        <v>283</v>
      </c>
      <c r="H1730" s="122">
        <v>124</v>
      </c>
      <c r="I1730" s="122">
        <v>16004</v>
      </c>
      <c r="J1730" s="122">
        <v>14549</v>
      </c>
      <c r="K1730" s="122">
        <v>90</v>
      </c>
      <c r="L1730" s="122">
        <v>5341</v>
      </c>
      <c r="M1730" s="122">
        <v>4855</v>
      </c>
      <c r="N1730" s="122">
        <v>6900</v>
      </c>
      <c r="O1730" s="122">
        <v>2556</v>
      </c>
      <c r="P1730" s="122">
        <v>473</v>
      </c>
      <c r="Q1730" s="122">
        <v>175</v>
      </c>
      <c r="R1730" s="122">
        <v>6450</v>
      </c>
      <c r="S1730" s="122">
        <v>5863</v>
      </c>
      <c r="T1730" s="122">
        <v>0</v>
      </c>
      <c r="U1730" s="122">
        <v>0</v>
      </c>
      <c r="V1730" s="122">
        <v>27998</v>
      </c>
      <c r="W1730" s="122">
        <f t="shared" si="52"/>
        <v>27998</v>
      </c>
      <c r="X1730" s="122">
        <f t="shared" si="53"/>
        <v>35168</v>
      </c>
      <c r="AA1730" t="s">
        <v>60</v>
      </c>
      <c r="AB1730" t="s">
        <v>427</v>
      </c>
      <c r="AC1730" t="s">
        <v>137</v>
      </c>
      <c r="AD1730" t="s">
        <v>137</v>
      </c>
      <c r="AE1730" t="s">
        <v>566</v>
      </c>
      <c r="AF1730">
        <v>3</v>
      </c>
      <c r="AG1730" s="122">
        <v>262</v>
      </c>
      <c r="AH1730" s="122">
        <v>1031</v>
      </c>
      <c r="AI1730" s="122">
        <v>65549</v>
      </c>
      <c r="AJ1730" s="122">
        <v>59590</v>
      </c>
      <c r="AK1730">
        <v>50</v>
      </c>
      <c r="AL1730" s="122">
        <v>7053</v>
      </c>
      <c r="AM1730" s="122">
        <v>2612</v>
      </c>
      <c r="AN1730" s="122">
        <v>4864</v>
      </c>
      <c r="AO1730" s="122">
        <v>1802</v>
      </c>
      <c r="AP1730" s="122">
        <v>351</v>
      </c>
      <c r="AQ1730" s="122">
        <v>130</v>
      </c>
      <c r="AR1730" s="122">
        <v>13613</v>
      </c>
      <c r="AS1730" s="122">
        <v>5042</v>
      </c>
      <c r="AT1730" s="122">
        <v>0</v>
      </c>
      <c r="AU1730" s="122">
        <v>0</v>
      </c>
      <c r="AV1730" s="122">
        <v>69175</v>
      </c>
    </row>
    <row r="1731" spans="2:48" hidden="1">
      <c r="B1731" t="s">
        <v>374</v>
      </c>
      <c r="C1731" t="s">
        <v>52</v>
      </c>
      <c r="D1731" t="s">
        <v>405</v>
      </c>
      <c r="E1731" t="s">
        <v>405</v>
      </c>
      <c r="F1731" s="122">
        <v>5</v>
      </c>
      <c r="G1731" s="122">
        <v>1263</v>
      </c>
      <c r="H1731" s="122">
        <v>570</v>
      </c>
      <c r="I1731" s="122">
        <v>74140</v>
      </c>
      <c r="J1731" s="122">
        <v>67400</v>
      </c>
      <c r="K1731" s="122">
        <v>91</v>
      </c>
      <c r="L1731" s="122">
        <v>13057</v>
      </c>
      <c r="M1731" s="122">
        <v>11870</v>
      </c>
      <c r="N1731" s="122">
        <v>24006</v>
      </c>
      <c r="O1731" s="122">
        <v>8891</v>
      </c>
      <c r="P1731" s="122">
        <v>4847</v>
      </c>
      <c r="Q1731" s="122">
        <v>1795</v>
      </c>
      <c r="R1731" s="122">
        <v>28655</v>
      </c>
      <c r="S1731" s="122">
        <v>26050</v>
      </c>
      <c r="T1731" s="122">
        <v>0</v>
      </c>
      <c r="U1731" s="122">
        <v>0</v>
      </c>
      <c r="V1731" s="122">
        <v>116006</v>
      </c>
      <c r="W1731" s="122">
        <f t="shared" si="52"/>
        <v>116006</v>
      </c>
      <c r="X1731" s="122">
        <f t="shared" si="53"/>
        <v>144705</v>
      </c>
      <c r="AA1731" t="s">
        <v>60</v>
      </c>
      <c r="AB1731" t="s">
        <v>427</v>
      </c>
      <c r="AC1731" t="s">
        <v>137</v>
      </c>
      <c r="AD1731" t="s">
        <v>427</v>
      </c>
      <c r="AE1731" t="s">
        <v>137</v>
      </c>
      <c r="AF1731">
        <v>28</v>
      </c>
      <c r="AG1731" s="122">
        <v>2929</v>
      </c>
      <c r="AH1731" s="122">
        <v>9745</v>
      </c>
      <c r="AI1731" s="122">
        <v>621634</v>
      </c>
      <c r="AJ1731" s="122">
        <v>565122</v>
      </c>
      <c r="AK1731">
        <v>58</v>
      </c>
      <c r="AL1731" s="122">
        <v>117236</v>
      </c>
      <c r="AM1731" s="122">
        <v>43421</v>
      </c>
      <c r="AN1731" s="122">
        <v>61093</v>
      </c>
      <c r="AO1731" s="122">
        <v>22627</v>
      </c>
      <c r="AP1731" s="122">
        <v>9477</v>
      </c>
      <c r="AQ1731" s="122">
        <v>3510</v>
      </c>
      <c r="AR1731" s="122">
        <v>151215</v>
      </c>
      <c r="AS1731" s="122">
        <v>137468</v>
      </c>
      <c r="AT1731" s="122">
        <v>73436</v>
      </c>
      <c r="AU1731" s="122">
        <v>27198</v>
      </c>
      <c r="AV1731" s="122">
        <v>799346</v>
      </c>
    </row>
    <row r="1732" spans="2:48" hidden="1">
      <c r="B1732" t="s">
        <v>374</v>
      </c>
      <c r="C1732" t="s">
        <v>52</v>
      </c>
      <c r="D1732" t="s">
        <v>137</v>
      </c>
      <c r="E1732" t="s">
        <v>137</v>
      </c>
      <c r="F1732" s="122">
        <v>21</v>
      </c>
      <c r="G1732" s="122">
        <v>5068</v>
      </c>
      <c r="H1732" s="122">
        <v>2347</v>
      </c>
      <c r="I1732" s="122">
        <v>242583</v>
      </c>
      <c r="J1732" s="122">
        <v>89846</v>
      </c>
      <c r="K1732" s="122">
        <v>368</v>
      </c>
      <c r="L1732" s="122">
        <v>69472</v>
      </c>
      <c r="M1732" s="122">
        <v>61566</v>
      </c>
      <c r="N1732" s="122">
        <v>87534</v>
      </c>
      <c r="O1732" s="122">
        <v>32420</v>
      </c>
      <c r="P1732" s="122">
        <v>17442</v>
      </c>
      <c r="Q1732" s="122">
        <v>6460</v>
      </c>
      <c r="R1732" s="122">
        <v>158529</v>
      </c>
      <c r="S1732" s="122">
        <v>58714</v>
      </c>
      <c r="T1732" s="122">
        <v>0</v>
      </c>
      <c r="U1732" s="122">
        <v>0</v>
      </c>
      <c r="V1732" s="122">
        <v>249006</v>
      </c>
      <c r="W1732" s="122">
        <f t="shared" si="52"/>
        <v>249006</v>
      </c>
      <c r="X1732" s="122">
        <f t="shared" si="53"/>
        <v>575560</v>
      </c>
      <c r="AA1732" t="s">
        <v>60</v>
      </c>
      <c r="AB1732" t="s">
        <v>427</v>
      </c>
      <c r="AC1732" t="s">
        <v>137</v>
      </c>
      <c r="AD1732" t="s">
        <v>427</v>
      </c>
      <c r="AE1732" t="s">
        <v>566</v>
      </c>
      <c r="AF1732">
        <v>3</v>
      </c>
      <c r="AG1732" s="122">
        <v>229</v>
      </c>
      <c r="AH1732" s="122">
        <v>1024</v>
      </c>
      <c r="AI1732" s="122">
        <v>63885</v>
      </c>
      <c r="AJ1732" s="122">
        <v>58077</v>
      </c>
      <c r="AK1732">
        <v>58</v>
      </c>
      <c r="AL1732" s="122">
        <v>9922</v>
      </c>
      <c r="AM1732" s="122">
        <v>3675</v>
      </c>
      <c r="AN1732" s="122">
        <v>6071</v>
      </c>
      <c r="AO1732" s="122">
        <v>2249</v>
      </c>
      <c r="AP1732" s="122">
        <v>1053</v>
      </c>
      <c r="AQ1732" s="122">
        <v>390</v>
      </c>
      <c r="AR1732" s="122">
        <v>21453</v>
      </c>
      <c r="AS1732" s="122">
        <v>19503</v>
      </c>
      <c r="AT1732" s="122">
        <v>0</v>
      </c>
      <c r="AU1732" s="122">
        <v>0</v>
      </c>
      <c r="AV1732" s="122">
        <v>83893</v>
      </c>
    </row>
    <row r="1733" spans="2:48" hidden="1">
      <c r="B1733" t="s">
        <v>374</v>
      </c>
      <c r="C1733" t="s">
        <v>52</v>
      </c>
      <c r="D1733" t="s">
        <v>406</v>
      </c>
      <c r="E1733" t="s">
        <v>137</v>
      </c>
      <c r="F1733" s="122">
        <v>1</v>
      </c>
      <c r="G1733" s="122">
        <v>182</v>
      </c>
      <c r="H1733" s="122">
        <v>108</v>
      </c>
      <c r="I1733" s="122">
        <v>9544</v>
      </c>
      <c r="J1733" s="122">
        <v>8676</v>
      </c>
      <c r="K1733" s="122">
        <v>93</v>
      </c>
      <c r="L1733" s="122">
        <v>1516</v>
      </c>
      <c r="M1733" s="122">
        <v>1378</v>
      </c>
      <c r="N1733" s="122">
        <v>4043</v>
      </c>
      <c r="O1733" s="122">
        <v>1497</v>
      </c>
      <c r="P1733" s="122">
        <v>621</v>
      </c>
      <c r="Q1733" s="122">
        <v>230</v>
      </c>
      <c r="R1733" s="122">
        <v>4008</v>
      </c>
      <c r="S1733" s="122">
        <v>1484</v>
      </c>
      <c r="T1733" s="122">
        <v>0</v>
      </c>
      <c r="U1733" s="122">
        <v>0</v>
      </c>
      <c r="V1733" s="122">
        <v>13266</v>
      </c>
      <c r="W1733" s="122">
        <f t="shared" si="52"/>
        <v>13265</v>
      </c>
      <c r="X1733" s="122">
        <f t="shared" si="53"/>
        <v>19732</v>
      </c>
      <c r="AA1733" t="s">
        <v>60</v>
      </c>
      <c r="AB1733" t="s">
        <v>427</v>
      </c>
      <c r="AC1733" t="s">
        <v>580</v>
      </c>
      <c r="AD1733" t="s">
        <v>427</v>
      </c>
      <c r="AE1733" t="s">
        <v>137</v>
      </c>
      <c r="AF1733">
        <v>11</v>
      </c>
      <c r="AG1733" s="122">
        <v>1146</v>
      </c>
      <c r="AH1733" s="122">
        <v>3594</v>
      </c>
      <c r="AI1733" s="122">
        <v>248173</v>
      </c>
      <c r="AJ1733" s="122">
        <v>225612</v>
      </c>
      <c r="AK1733">
        <v>62</v>
      </c>
      <c r="AL1733" s="122">
        <v>26573</v>
      </c>
      <c r="AM1733" s="122">
        <v>24157</v>
      </c>
      <c r="AN1733" s="122">
        <v>23803</v>
      </c>
      <c r="AO1733" s="122">
        <v>8816</v>
      </c>
      <c r="AP1733" s="122">
        <v>6534</v>
      </c>
      <c r="AQ1733" s="122">
        <v>2420</v>
      </c>
      <c r="AR1733" s="122">
        <v>69829</v>
      </c>
      <c r="AS1733" s="122">
        <v>63481</v>
      </c>
      <c r="AT1733" s="122">
        <v>21865</v>
      </c>
      <c r="AU1733" s="122">
        <v>8098</v>
      </c>
      <c r="AV1733" s="122">
        <v>332584</v>
      </c>
    </row>
    <row r="1734" spans="2:48" hidden="1">
      <c r="B1734" t="s">
        <v>374</v>
      </c>
      <c r="C1734" t="s">
        <v>52</v>
      </c>
      <c r="D1734" t="s">
        <v>406</v>
      </c>
      <c r="E1734" t="s">
        <v>406</v>
      </c>
      <c r="F1734" s="122">
        <v>163</v>
      </c>
      <c r="G1734" s="122">
        <v>38128</v>
      </c>
      <c r="H1734" s="122">
        <v>18962</v>
      </c>
      <c r="I1734" s="122">
        <v>2488445</v>
      </c>
      <c r="J1734" s="122">
        <v>2262223</v>
      </c>
      <c r="K1734" s="122">
        <v>92</v>
      </c>
      <c r="L1734" s="122">
        <v>492032</v>
      </c>
      <c r="M1734" s="122">
        <v>447496</v>
      </c>
      <c r="N1734" s="122">
        <v>699762</v>
      </c>
      <c r="O1734" s="122">
        <v>259171</v>
      </c>
      <c r="P1734" s="122">
        <v>115513</v>
      </c>
      <c r="Q1734" s="122">
        <v>42782</v>
      </c>
      <c r="R1734" s="122">
        <v>827202</v>
      </c>
      <c r="S1734" s="122">
        <v>752002</v>
      </c>
      <c r="T1734" s="122">
        <v>59631</v>
      </c>
      <c r="U1734" s="122">
        <v>22086</v>
      </c>
      <c r="V1734" s="122">
        <v>3785760</v>
      </c>
      <c r="W1734" s="122">
        <f t="shared" si="52"/>
        <v>3785760</v>
      </c>
      <c r="X1734" s="122">
        <f t="shared" si="53"/>
        <v>4682585</v>
      </c>
      <c r="AA1734" t="s">
        <v>60</v>
      </c>
      <c r="AB1734" t="s">
        <v>427</v>
      </c>
      <c r="AC1734" t="s">
        <v>580</v>
      </c>
      <c r="AD1734" t="s">
        <v>427</v>
      </c>
      <c r="AE1734" t="s">
        <v>566</v>
      </c>
      <c r="AF1734">
        <v>2</v>
      </c>
      <c r="AG1734">
        <v>257</v>
      </c>
      <c r="AH1734">
        <v>617</v>
      </c>
      <c r="AI1734" s="122">
        <v>59006</v>
      </c>
      <c r="AJ1734" s="122">
        <v>53642</v>
      </c>
      <c r="AK1734">
        <v>55</v>
      </c>
      <c r="AL1734" s="122">
        <v>5686</v>
      </c>
      <c r="AM1734" s="122">
        <v>5169</v>
      </c>
      <c r="AN1734" s="122">
        <v>3860</v>
      </c>
      <c r="AO1734" s="122">
        <v>1430</v>
      </c>
      <c r="AP1734">
        <v>972</v>
      </c>
      <c r="AQ1734">
        <v>360</v>
      </c>
      <c r="AR1734" s="122">
        <v>9713</v>
      </c>
      <c r="AS1734" s="122">
        <v>8830</v>
      </c>
      <c r="AT1734">
        <v>0</v>
      </c>
      <c r="AU1734">
        <v>0</v>
      </c>
      <c r="AV1734" s="122">
        <v>69430</v>
      </c>
    </row>
    <row r="1735" spans="2:48" hidden="1">
      <c r="B1735" t="s">
        <v>374</v>
      </c>
      <c r="C1735" t="s">
        <v>52</v>
      </c>
      <c r="D1735" t="s">
        <v>407</v>
      </c>
      <c r="E1735" t="s">
        <v>137</v>
      </c>
      <c r="F1735" s="122">
        <v>2</v>
      </c>
      <c r="G1735" s="122">
        <v>337</v>
      </c>
      <c r="H1735" s="122">
        <v>228</v>
      </c>
      <c r="I1735" s="122">
        <v>20575</v>
      </c>
      <c r="J1735" s="122">
        <v>18704</v>
      </c>
      <c r="K1735" s="122">
        <v>85</v>
      </c>
      <c r="L1735" s="122">
        <v>2944</v>
      </c>
      <c r="M1735" s="122">
        <v>2510</v>
      </c>
      <c r="N1735" s="122">
        <v>4392</v>
      </c>
      <c r="O1735" s="122">
        <v>1627</v>
      </c>
      <c r="P1735" s="122">
        <v>2040</v>
      </c>
      <c r="Q1735" s="122">
        <v>755</v>
      </c>
      <c r="R1735" s="122">
        <v>8442</v>
      </c>
      <c r="S1735" s="122">
        <v>3127</v>
      </c>
      <c r="T1735" s="122">
        <v>0</v>
      </c>
      <c r="U1735" s="122">
        <v>0</v>
      </c>
      <c r="V1735" s="122">
        <v>26723</v>
      </c>
      <c r="W1735" s="122">
        <f t="shared" ref="W1735:W1798" si="54">SUM(ABS(J1735),ABS(M1735),ABS(O1735),ABS(Q1735),ABS(S1735),ABS(U1735))</f>
        <v>26723</v>
      </c>
      <c r="X1735" s="122">
        <f t="shared" ref="X1735:X1798" si="55">SUM(ABS(I1735),ABS(N1735),ABS(P1735),ABS(R1735),ABS(T1735),ABS(L1735))</f>
        <v>38393</v>
      </c>
      <c r="AA1735" t="s">
        <v>60</v>
      </c>
      <c r="AB1735" t="s">
        <v>427</v>
      </c>
      <c r="AC1735" t="s">
        <v>427</v>
      </c>
      <c r="AD1735" t="s">
        <v>137</v>
      </c>
      <c r="AE1735" t="s">
        <v>137</v>
      </c>
      <c r="AF1735">
        <v>1</v>
      </c>
      <c r="AG1735">
        <v>165</v>
      </c>
      <c r="AH1735" s="122">
        <v>364</v>
      </c>
      <c r="AI1735" s="122">
        <v>38904</v>
      </c>
      <c r="AJ1735" s="122">
        <v>35367</v>
      </c>
      <c r="AK1735">
        <v>30</v>
      </c>
      <c r="AL1735" s="122">
        <v>4107</v>
      </c>
      <c r="AM1735" s="122">
        <v>3733</v>
      </c>
      <c r="AN1735" s="122">
        <v>4012</v>
      </c>
      <c r="AO1735" s="122">
        <v>1486</v>
      </c>
      <c r="AP1735">
        <v>0</v>
      </c>
      <c r="AQ1735">
        <v>0</v>
      </c>
      <c r="AR1735" s="122">
        <v>12973</v>
      </c>
      <c r="AS1735" s="122">
        <v>4805</v>
      </c>
      <c r="AT1735">
        <v>0</v>
      </c>
      <c r="AU1735">
        <v>0</v>
      </c>
      <c r="AV1735" s="122">
        <v>45391</v>
      </c>
    </row>
    <row r="1736" spans="2:48" hidden="1">
      <c r="B1736" t="s">
        <v>374</v>
      </c>
      <c r="C1736" t="s">
        <v>52</v>
      </c>
      <c r="D1736" t="s">
        <v>407</v>
      </c>
      <c r="E1736" t="s">
        <v>407</v>
      </c>
      <c r="F1736" s="122">
        <v>34</v>
      </c>
      <c r="G1736" s="122">
        <v>8109</v>
      </c>
      <c r="H1736" s="122">
        <v>4046</v>
      </c>
      <c r="I1736" s="122">
        <v>531638</v>
      </c>
      <c r="J1736" s="122">
        <v>483307</v>
      </c>
      <c r="K1736" s="122">
        <v>90</v>
      </c>
      <c r="L1736" s="122">
        <v>96986</v>
      </c>
      <c r="M1736" s="122">
        <v>86302</v>
      </c>
      <c r="N1736" s="122">
        <v>139072</v>
      </c>
      <c r="O1736" s="122">
        <v>51508</v>
      </c>
      <c r="P1736" s="122">
        <v>20368</v>
      </c>
      <c r="Q1736" s="122">
        <v>7544</v>
      </c>
      <c r="R1736" s="122">
        <v>179338</v>
      </c>
      <c r="S1736" s="122">
        <v>163034</v>
      </c>
      <c r="T1736" s="122">
        <v>11671</v>
      </c>
      <c r="U1736" s="122">
        <v>4322</v>
      </c>
      <c r="V1736" s="122">
        <v>796017</v>
      </c>
      <c r="W1736" s="122">
        <f t="shared" si="54"/>
        <v>796017</v>
      </c>
      <c r="X1736" s="122">
        <f t="shared" si="55"/>
        <v>979073</v>
      </c>
      <c r="AA1736" t="s">
        <v>60</v>
      </c>
      <c r="AB1736" t="s">
        <v>427</v>
      </c>
      <c r="AC1736" t="s">
        <v>427</v>
      </c>
      <c r="AD1736" t="s">
        <v>137</v>
      </c>
      <c r="AE1736" t="s">
        <v>566</v>
      </c>
      <c r="AF1736">
        <v>3</v>
      </c>
      <c r="AG1736">
        <v>357</v>
      </c>
      <c r="AH1736" s="122">
        <v>1035</v>
      </c>
      <c r="AI1736" s="122">
        <v>68397</v>
      </c>
      <c r="AJ1736" s="122">
        <v>62179</v>
      </c>
      <c r="AK1736">
        <v>60</v>
      </c>
      <c r="AL1736" s="122">
        <v>15173</v>
      </c>
      <c r="AM1736" s="122">
        <v>13794</v>
      </c>
      <c r="AN1736" s="122">
        <v>6703</v>
      </c>
      <c r="AO1736" s="122">
        <v>2483</v>
      </c>
      <c r="AP1736">
        <v>351</v>
      </c>
      <c r="AQ1736">
        <v>130</v>
      </c>
      <c r="AR1736" s="122">
        <v>34303</v>
      </c>
      <c r="AS1736" s="122">
        <v>12705</v>
      </c>
      <c r="AT1736">
        <v>0</v>
      </c>
      <c r="AU1736">
        <v>0</v>
      </c>
      <c r="AV1736" s="122">
        <v>91290</v>
      </c>
    </row>
    <row r="1737" spans="2:48" hidden="1">
      <c r="B1737" t="s">
        <v>374</v>
      </c>
      <c r="C1737" t="s">
        <v>52</v>
      </c>
      <c r="D1737" t="s">
        <v>408</v>
      </c>
      <c r="E1737" t="s">
        <v>408</v>
      </c>
      <c r="F1737" s="122">
        <v>1</v>
      </c>
      <c r="G1737" s="122">
        <v>227</v>
      </c>
      <c r="H1737" s="122">
        <v>122</v>
      </c>
      <c r="I1737" s="122">
        <v>16134</v>
      </c>
      <c r="J1737" s="122">
        <v>14667</v>
      </c>
      <c r="K1737" s="122">
        <v>79</v>
      </c>
      <c r="L1737" s="122">
        <v>2063</v>
      </c>
      <c r="M1737" s="122">
        <v>1875</v>
      </c>
      <c r="N1737" s="122">
        <v>2764</v>
      </c>
      <c r="O1737" s="122">
        <v>1024</v>
      </c>
      <c r="P1737" s="122">
        <v>351</v>
      </c>
      <c r="Q1737" s="122">
        <v>130</v>
      </c>
      <c r="R1737" s="122">
        <v>6454</v>
      </c>
      <c r="S1737" s="122">
        <v>5867</v>
      </c>
      <c r="T1737" s="122">
        <v>0</v>
      </c>
      <c r="U1737" s="122">
        <v>0</v>
      </c>
      <c r="V1737" s="122">
        <v>23564</v>
      </c>
      <c r="W1737" s="122">
        <f t="shared" si="54"/>
        <v>23563</v>
      </c>
      <c r="X1737" s="122">
        <f t="shared" si="55"/>
        <v>27766</v>
      </c>
      <c r="AA1737" t="s">
        <v>60</v>
      </c>
      <c r="AB1737" t="s">
        <v>427</v>
      </c>
      <c r="AC1737" t="s">
        <v>427</v>
      </c>
      <c r="AD1737" t="s">
        <v>406</v>
      </c>
      <c r="AE1737" t="s">
        <v>566</v>
      </c>
      <c r="AF1737">
        <v>1</v>
      </c>
      <c r="AG1737" s="122">
        <v>97</v>
      </c>
      <c r="AH1737" s="122">
        <v>336</v>
      </c>
      <c r="AI1737" s="122">
        <v>18325</v>
      </c>
      <c r="AJ1737" s="122">
        <v>16659</v>
      </c>
      <c r="AK1737">
        <v>79</v>
      </c>
      <c r="AL1737" s="122">
        <v>5090</v>
      </c>
      <c r="AM1737" s="122">
        <v>4627</v>
      </c>
      <c r="AN1737" s="122">
        <v>2229</v>
      </c>
      <c r="AO1737" s="122">
        <v>825</v>
      </c>
      <c r="AP1737" s="122">
        <v>621</v>
      </c>
      <c r="AQ1737" s="122">
        <v>230</v>
      </c>
      <c r="AR1737" s="122">
        <v>6458</v>
      </c>
      <c r="AS1737" s="122">
        <v>5870</v>
      </c>
      <c r="AT1737" s="122">
        <v>0</v>
      </c>
      <c r="AU1737" s="122">
        <v>0</v>
      </c>
      <c r="AV1737" s="122">
        <v>28212</v>
      </c>
    </row>
    <row r="1738" spans="2:48" hidden="1">
      <c r="B1738" t="s">
        <v>374</v>
      </c>
      <c r="C1738" t="s">
        <v>54</v>
      </c>
      <c r="D1738" t="s">
        <v>425</v>
      </c>
      <c r="E1738" t="s">
        <v>425</v>
      </c>
      <c r="F1738" s="122">
        <v>1</v>
      </c>
      <c r="G1738" s="122">
        <v>251</v>
      </c>
      <c r="H1738" s="122">
        <v>131</v>
      </c>
      <c r="I1738" s="122">
        <v>20177</v>
      </c>
      <c r="J1738" s="122">
        <v>18342</v>
      </c>
      <c r="K1738" s="122">
        <v>91</v>
      </c>
      <c r="L1738" s="122">
        <v>6479</v>
      </c>
      <c r="M1738" s="122">
        <v>5890</v>
      </c>
      <c r="N1738" s="122">
        <v>7475</v>
      </c>
      <c r="O1738" s="122">
        <v>2769</v>
      </c>
      <c r="P1738" s="122">
        <v>473</v>
      </c>
      <c r="Q1738" s="122">
        <v>175</v>
      </c>
      <c r="R1738" s="122">
        <v>5487</v>
      </c>
      <c r="S1738" s="122">
        <v>4989</v>
      </c>
      <c r="T1738" s="122">
        <v>0</v>
      </c>
      <c r="U1738" s="122">
        <v>0</v>
      </c>
      <c r="V1738" s="122">
        <v>32165</v>
      </c>
      <c r="W1738" s="122">
        <f t="shared" si="54"/>
        <v>32165</v>
      </c>
      <c r="X1738" s="122">
        <f t="shared" si="55"/>
        <v>40091</v>
      </c>
      <c r="AA1738" t="s">
        <v>60</v>
      </c>
      <c r="AB1738" t="s">
        <v>427</v>
      </c>
      <c r="AC1738" t="s">
        <v>427</v>
      </c>
      <c r="AD1738" t="s">
        <v>427</v>
      </c>
      <c r="AE1738" t="s">
        <v>137</v>
      </c>
      <c r="AF1738">
        <v>54</v>
      </c>
      <c r="AG1738" s="122">
        <v>5852</v>
      </c>
      <c r="AH1738" s="122">
        <v>18510</v>
      </c>
      <c r="AI1738" s="122">
        <v>1208482</v>
      </c>
      <c r="AJ1738" s="122">
        <v>1098620</v>
      </c>
      <c r="AK1738">
        <v>60</v>
      </c>
      <c r="AL1738" s="122">
        <v>238606</v>
      </c>
      <c r="AM1738" s="122">
        <v>216915</v>
      </c>
      <c r="AN1738" s="122">
        <v>122493</v>
      </c>
      <c r="AO1738" s="122">
        <v>45368</v>
      </c>
      <c r="AP1738" s="122">
        <v>19683</v>
      </c>
      <c r="AQ1738" s="122">
        <v>7290</v>
      </c>
      <c r="AR1738" s="122">
        <v>288695</v>
      </c>
      <c r="AS1738" s="122">
        <v>262450</v>
      </c>
      <c r="AT1738" s="122">
        <v>140149</v>
      </c>
      <c r="AU1738" s="122">
        <v>51907</v>
      </c>
      <c r="AV1738" s="122">
        <v>1682549</v>
      </c>
    </row>
    <row r="1739" spans="2:48" hidden="1">
      <c r="B1739" t="s">
        <v>374</v>
      </c>
      <c r="C1739" t="s">
        <v>54</v>
      </c>
      <c r="D1739" t="s">
        <v>405</v>
      </c>
      <c r="E1739" t="s">
        <v>405</v>
      </c>
      <c r="F1739" s="122">
        <v>16</v>
      </c>
      <c r="G1739" s="122">
        <v>3464</v>
      </c>
      <c r="H1739" s="122">
        <v>2237</v>
      </c>
      <c r="I1739" s="122">
        <v>262156</v>
      </c>
      <c r="J1739" s="122">
        <v>238324</v>
      </c>
      <c r="K1739" s="122">
        <v>90</v>
      </c>
      <c r="L1739" s="122">
        <v>59358</v>
      </c>
      <c r="M1739" s="122">
        <v>53961</v>
      </c>
      <c r="N1739" s="122">
        <v>66903</v>
      </c>
      <c r="O1739" s="122">
        <v>24779</v>
      </c>
      <c r="P1739" s="122">
        <v>12661</v>
      </c>
      <c r="Q1739" s="122">
        <v>4689</v>
      </c>
      <c r="R1739" s="122">
        <v>89297</v>
      </c>
      <c r="S1739" s="122">
        <v>81179</v>
      </c>
      <c r="T1739" s="122">
        <v>7439</v>
      </c>
      <c r="U1739" s="122">
        <v>2755</v>
      </c>
      <c r="V1739" s="122">
        <v>405688</v>
      </c>
      <c r="W1739" s="122">
        <f t="shared" si="54"/>
        <v>405687</v>
      </c>
      <c r="X1739" s="122">
        <f t="shared" si="55"/>
        <v>497814</v>
      </c>
      <c r="AA1739" t="s">
        <v>60</v>
      </c>
      <c r="AB1739" t="s">
        <v>427</v>
      </c>
      <c r="AC1739" t="s">
        <v>427</v>
      </c>
      <c r="AD1739" t="s">
        <v>427</v>
      </c>
      <c r="AE1739" t="s">
        <v>566</v>
      </c>
      <c r="AF1739">
        <v>17</v>
      </c>
      <c r="AG1739" s="122">
        <v>1780</v>
      </c>
      <c r="AH1739" s="122">
        <v>5903</v>
      </c>
      <c r="AI1739" s="122">
        <v>381911</v>
      </c>
      <c r="AJ1739" s="122">
        <v>347192</v>
      </c>
      <c r="AK1739">
        <v>60</v>
      </c>
      <c r="AL1739" s="122">
        <v>70420</v>
      </c>
      <c r="AM1739" s="122">
        <v>64018</v>
      </c>
      <c r="AN1739" s="122">
        <v>30977</v>
      </c>
      <c r="AO1739" s="122">
        <v>11473</v>
      </c>
      <c r="AP1739" s="122">
        <v>6588</v>
      </c>
      <c r="AQ1739" s="122">
        <v>2440</v>
      </c>
      <c r="AR1739" s="122">
        <v>126227</v>
      </c>
      <c r="AS1739" s="122">
        <v>114752</v>
      </c>
      <c r="AT1739" s="122">
        <v>0</v>
      </c>
      <c r="AU1739" s="122">
        <v>0</v>
      </c>
      <c r="AV1739" s="122">
        <v>539875</v>
      </c>
    </row>
    <row r="1740" spans="2:48" hidden="1">
      <c r="B1740" t="s">
        <v>374</v>
      </c>
      <c r="C1740" t="s">
        <v>54</v>
      </c>
      <c r="D1740" t="s">
        <v>405</v>
      </c>
      <c r="E1740" t="s">
        <v>137</v>
      </c>
      <c r="F1740" s="122">
        <v>1</v>
      </c>
      <c r="G1740" s="122">
        <v>160</v>
      </c>
      <c r="H1740" s="122">
        <v>139</v>
      </c>
      <c r="I1740" s="122">
        <v>10038</v>
      </c>
      <c r="J1740" s="122">
        <v>9125</v>
      </c>
      <c r="K1740" s="122">
        <v>91</v>
      </c>
      <c r="L1740" s="122">
        <v>1217</v>
      </c>
      <c r="M1740" s="122">
        <v>1106</v>
      </c>
      <c r="N1740" s="122">
        <v>3228</v>
      </c>
      <c r="O1740" s="122">
        <v>1196</v>
      </c>
      <c r="P1740" s="122">
        <v>473</v>
      </c>
      <c r="Q1740" s="122">
        <v>175</v>
      </c>
      <c r="R1740" s="122">
        <v>7192</v>
      </c>
      <c r="S1740" s="122">
        <v>2664</v>
      </c>
      <c r="T1740" s="122">
        <v>0</v>
      </c>
      <c r="U1740" s="122">
        <v>0</v>
      </c>
      <c r="V1740" s="122">
        <v>14266</v>
      </c>
      <c r="W1740" s="122">
        <f t="shared" si="54"/>
        <v>14266</v>
      </c>
      <c r="X1740" s="122">
        <f t="shared" si="55"/>
        <v>22148</v>
      </c>
      <c r="AA1740" t="s">
        <v>60</v>
      </c>
      <c r="AB1740" t="s">
        <v>427</v>
      </c>
      <c r="AC1740" t="s">
        <v>407</v>
      </c>
      <c r="AD1740" t="s">
        <v>427</v>
      </c>
      <c r="AE1740" t="s">
        <v>137</v>
      </c>
      <c r="AF1740">
        <v>1</v>
      </c>
      <c r="AG1740">
        <v>157</v>
      </c>
      <c r="AH1740">
        <v>378</v>
      </c>
      <c r="AI1740" s="122">
        <v>37582</v>
      </c>
      <c r="AJ1740" s="122">
        <v>34165</v>
      </c>
      <c r="AK1740">
        <v>55</v>
      </c>
      <c r="AL1740" s="122">
        <v>4176</v>
      </c>
      <c r="AM1740" s="122">
        <v>3796</v>
      </c>
      <c r="AN1740" s="122">
        <v>3832</v>
      </c>
      <c r="AO1740" s="122">
        <v>1419</v>
      </c>
      <c r="AP1740">
        <v>473</v>
      </c>
      <c r="AQ1740">
        <v>175</v>
      </c>
      <c r="AR1740" s="122">
        <v>8009</v>
      </c>
      <c r="AS1740" s="122">
        <v>7281</v>
      </c>
      <c r="AT1740" s="122">
        <v>5326</v>
      </c>
      <c r="AU1740" s="122">
        <v>1972</v>
      </c>
      <c r="AV1740" s="122">
        <v>48809</v>
      </c>
    </row>
    <row r="1741" spans="2:48" hidden="1">
      <c r="B1741" t="s">
        <v>374</v>
      </c>
      <c r="C1741" t="s">
        <v>54</v>
      </c>
      <c r="D1741" t="s">
        <v>137</v>
      </c>
      <c r="E1741" t="s">
        <v>137</v>
      </c>
      <c r="F1741" s="122">
        <v>21</v>
      </c>
      <c r="G1741" s="122">
        <v>4287</v>
      </c>
      <c r="H1741" s="122">
        <v>2842</v>
      </c>
      <c r="I1741" s="122">
        <v>283152</v>
      </c>
      <c r="J1741" s="122">
        <v>104871</v>
      </c>
      <c r="K1741" s="122">
        <v>294</v>
      </c>
      <c r="L1741" s="122">
        <v>68983</v>
      </c>
      <c r="M1741" s="122">
        <v>62342</v>
      </c>
      <c r="N1741" s="122">
        <v>91728</v>
      </c>
      <c r="O1741" s="122">
        <v>33973</v>
      </c>
      <c r="P1741" s="122">
        <v>9829</v>
      </c>
      <c r="Q1741" s="122">
        <v>3640</v>
      </c>
      <c r="R1741" s="122">
        <v>151672</v>
      </c>
      <c r="S1741" s="122">
        <v>56175</v>
      </c>
      <c r="T1741" s="122">
        <v>0</v>
      </c>
      <c r="U1741" s="122">
        <v>0</v>
      </c>
      <c r="V1741" s="122">
        <v>261001</v>
      </c>
      <c r="W1741" s="122">
        <f t="shared" si="54"/>
        <v>261001</v>
      </c>
      <c r="X1741" s="122">
        <f t="shared" si="55"/>
        <v>605364</v>
      </c>
      <c r="AA1741" t="s">
        <v>60</v>
      </c>
      <c r="AB1741" t="s">
        <v>427</v>
      </c>
      <c r="AC1741" t="s">
        <v>428</v>
      </c>
      <c r="AD1741" t="s">
        <v>427</v>
      </c>
      <c r="AE1741" t="s">
        <v>566</v>
      </c>
      <c r="AF1741">
        <v>1</v>
      </c>
      <c r="AG1741">
        <v>133</v>
      </c>
      <c r="AH1741">
        <v>343</v>
      </c>
      <c r="AI1741" s="122">
        <v>25814</v>
      </c>
      <c r="AJ1741" s="122">
        <v>23467</v>
      </c>
      <c r="AK1741">
        <v>55</v>
      </c>
      <c r="AL1741" s="122">
        <v>5258</v>
      </c>
      <c r="AM1741" s="122">
        <v>4780</v>
      </c>
      <c r="AN1741" s="122">
        <v>2836</v>
      </c>
      <c r="AO1741" s="122">
        <v>1050</v>
      </c>
      <c r="AP1741">
        <v>351</v>
      </c>
      <c r="AQ1741">
        <v>130</v>
      </c>
      <c r="AR1741" s="122">
        <v>11349</v>
      </c>
      <c r="AS1741" s="122">
        <v>10317</v>
      </c>
      <c r="AT1741" s="122">
        <v>0</v>
      </c>
      <c r="AU1741">
        <v>0</v>
      </c>
      <c r="AV1741" s="122">
        <v>39745</v>
      </c>
    </row>
    <row r="1742" spans="2:48" hidden="1">
      <c r="B1742" t="s">
        <v>374</v>
      </c>
      <c r="C1742" t="s">
        <v>54</v>
      </c>
      <c r="D1742" t="s">
        <v>406</v>
      </c>
      <c r="E1742" t="s">
        <v>137</v>
      </c>
      <c r="F1742" s="122">
        <v>3</v>
      </c>
      <c r="G1742" s="122">
        <v>927</v>
      </c>
      <c r="H1742" s="122">
        <v>414</v>
      </c>
      <c r="I1742" s="122">
        <v>79522</v>
      </c>
      <c r="J1742" s="122">
        <v>72292</v>
      </c>
      <c r="K1742" s="122">
        <v>91</v>
      </c>
      <c r="L1742" s="122">
        <v>12294</v>
      </c>
      <c r="M1742" s="122">
        <v>11176</v>
      </c>
      <c r="N1742" s="122">
        <v>17289</v>
      </c>
      <c r="O1742" s="122">
        <v>6403</v>
      </c>
      <c r="P1742" s="122">
        <v>1863</v>
      </c>
      <c r="Q1742" s="122">
        <v>690</v>
      </c>
      <c r="R1742" s="122">
        <v>21265</v>
      </c>
      <c r="S1742" s="122">
        <v>7876</v>
      </c>
      <c r="T1742" s="122">
        <v>0</v>
      </c>
      <c r="U1742" s="122">
        <v>0</v>
      </c>
      <c r="V1742" s="122">
        <v>98438</v>
      </c>
      <c r="W1742" s="122">
        <f t="shared" si="54"/>
        <v>98437</v>
      </c>
      <c r="X1742" s="122">
        <f t="shared" si="55"/>
        <v>132233</v>
      </c>
      <c r="AA1742" t="s">
        <v>60</v>
      </c>
      <c r="AB1742" t="s">
        <v>427</v>
      </c>
      <c r="AC1742" t="s">
        <v>431</v>
      </c>
      <c r="AD1742" t="s">
        <v>427</v>
      </c>
      <c r="AE1742" t="s">
        <v>137</v>
      </c>
      <c r="AF1742">
        <v>1</v>
      </c>
      <c r="AG1742">
        <v>98</v>
      </c>
      <c r="AH1742">
        <v>331</v>
      </c>
      <c r="AI1742" s="122">
        <v>20489</v>
      </c>
      <c r="AJ1742" s="122">
        <v>18626</v>
      </c>
      <c r="AK1742">
        <v>65</v>
      </c>
      <c r="AL1742" s="122">
        <v>4228</v>
      </c>
      <c r="AM1742" s="122">
        <v>3843</v>
      </c>
      <c r="AN1742" s="122">
        <v>1192</v>
      </c>
      <c r="AO1742" s="122">
        <v>441</v>
      </c>
      <c r="AP1742" s="122">
        <v>351</v>
      </c>
      <c r="AQ1742">
        <v>130</v>
      </c>
      <c r="AR1742" s="122">
        <v>3746</v>
      </c>
      <c r="AS1742" s="122">
        <v>3405</v>
      </c>
      <c r="AT1742" s="122">
        <v>2400</v>
      </c>
      <c r="AU1742">
        <v>889</v>
      </c>
      <c r="AV1742" s="122">
        <v>27335</v>
      </c>
    </row>
    <row r="1743" spans="2:48" hidden="1">
      <c r="B1743" t="s">
        <v>374</v>
      </c>
      <c r="C1743" t="s">
        <v>54</v>
      </c>
      <c r="D1743" t="s">
        <v>406</v>
      </c>
      <c r="E1743" t="s">
        <v>406</v>
      </c>
      <c r="F1743" s="122">
        <v>522</v>
      </c>
      <c r="G1743" s="122">
        <v>111545</v>
      </c>
      <c r="H1743" s="122">
        <v>73411</v>
      </c>
      <c r="I1743" s="122">
        <v>9110199</v>
      </c>
      <c r="J1743" s="122">
        <v>8281999</v>
      </c>
      <c r="K1743" s="122">
        <v>89</v>
      </c>
      <c r="L1743" s="122">
        <v>1879955</v>
      </c>
      <c r="M1743" s="122">
        <v>1679331</v>
      </c>
      <c r="N1743" s="122">
        <v>2208896</v>
      </c>
      <c r="O1743" s="122">
        <v>818110</v>
      </c>
      <c r="P1743" s="122">
        <v>362983</v>
      </c>
      <c r="Q1743" s="122">
        <v>134438</v>
      </c>
      <c r="R1743" s="122">
        <v>2815811</v>
      </c>
      <c r="S1743" s="122">
        <v>2559828</v>
      </c>
      <c r="T1743" s="122">
        <v>381778</v>
      </c>
      <c r="U1743" s="122">
        <v>141399</v>
      </c>
      <c r="V1743" s="122">
        <v>13615105</v>
      </c>
      <c r="W1743" s="122">
        <f t="shared" si="54"/>
        <v>13615105</v>
      </c>
      <c r="X1743" s="122">
        <f t="shared" si="55"/>
        <v>16759622</v>
      </c>
      <c r="AA1743" t="s">
        <v>60</v>
      </c>
      <c r="AB1743" t="s">
        <v>427</v>
      </c>
      <c r="AC1743" t="s">
        <v>426</v>
      </c>
      <c r="AD1743" t="s">
        <v>406</v>
      </c>
      <c r="AE1743" t="s">
        <v>137</v>
      </c>
      <c r="AF1743">
        <v>2</v>
      </c>
      <c r="AG1743">
        <v>207</v>
      </c>
      <c r="AH1743">
        <v>719</v>
      </c>
      <c r="AI1743" s="122">
        <v>53143</v>
      </c>
      <c r="AJ1743" s="122">
        <v>48312</v>
      </c>
      <c r="AK1743">
        <v>73</v>
      </c>
      <c r="AL1743" s="122">
        <v>6273</v>
      </c>
      <c r="AM1743" s="122">
        <v>5703</v>
      </c>
      <c r="AN1743" s="122">
        <v>4621</v>
      </c>
      <c r="AO1743" s="122">
        <v>1712</v>
      </c>
      <c r="AP1743" s="122">
        <v>1593</v>
      </c>
      <c r="AQ1743">
        <v>590</v>
      </c>
      <c r="AR1743" s="122">
        <v>6719</v>
      </c>
      <c r="AS1743" s="122">
        <v>6108</v>
      </c>
      <c r="AT1743" s="122">
        <v>2385</v>
      </c>
      <c r="AU1743">
        <v>883</v>
      </c>
      <c r="AV1743" s="122">
        <v>63307</v>
      </c>
    </row>
    <row r="1744" spans="2:48" hidden="1">
      <c r="B1744" t="s">
        <v>374</v>
      </c>
      <c r="C1744" t="s">
        <v>54</v>
      </c>
      <c r="D1744" t="s">
        <v>407</v>
      </c>
      <c r="E1744" t="s">
        <v>407</v>
      </c>
      <c r="F1744" s="122">
        <v>212</v>
      </c>
      <c r="G1744" s="122">
        <v>41369</v>
      </c>
      <c r="H1744" s="122">
        <v>29854</v>
      </c>
      <c r="I1744" s="122">
        <v>3165087</v>
      </c>
      <c r="J1744" s="122">
        <v>2877352</v>
      </c>
      <c r="K1744" s="122">
        <v>89</v>
      </c>
      <c r="L1744" s="122">
        <v>752437</v>
      </c>
      <c r="M1744" s="122">
        <v>653269</v>
      </c>
      <c r="N1744" s="122">
        <v>804011</v>
      </c>
      <c r="O1744" s="122">
        <v>297782</v>
      </c>
      <c r="P1744" s="122">
        <v>118297</v>
      </c>
      <c r="Q1744" s="122">
        <v>43814</v>
      </c>
      <c r="R1744" s="122">
        <v>1154990</v>
      </c>
      <c r="S1744" s="122">
        <v>1049991</v>
      </c>
      <c r="T1744" s="122">
        <v>79734</v>
      </c>
      <c r="U1744" s="122">
        <v>29531</v>
      </c>
      <c r="V1744" s="122">
        <v>4951738</v>
      </c>
      <c r="W1744" s="122">
        <f t="shared" si="54"/>
        <v>4951739</v>
      </c>
      <c r="X1744" s="122">
        <f t="shared" si="55"/>
        <v>6074556</v>
      </c>
      <c r="AA1744" t="s">
        <v>60</v>
      </c>
      <c r="AB1744" t="s">
        <v>427</v>
      </c>
      <c r="AC1744" t="s">
        <v>426</v>
      </c>
      <c r="AD1744" t="s">
        <v>406</v>
      </c>
      <c r="AE1744" t="s">
        <v>566</v>
      </c>
      <c r="AF1744">
        <v>1</v>
      </c>
      <c r="AG1744">
        <v>103</v>
      </c>
      <c r="AH1744">
        <v>332</v>
      </c>
      <c r="AI1744" s="122">
        <v>19842</v>
      </c>
      <c r="AJ1744" s="122">
        <v>18038</v>
      </c>
      <c r="AK1744">
        <v>70</v>
      </c>
      <c r="AL1744" s="122">
        <v>4887</v>
      </c>
      <c r="AM1744" s="122">
        <v>4443</v>
      </c>
      <c r="AN1744" s="122">
        <v>2102</v>
      </c>
      <c r="AO1744" s="122">
        <v>779</v>
      </c>
      <c r="AP1744">
        <v>621</v>
      </c>
      <c r="AQ1744">
        <v>230</v>
      </c>
      <c r="AR1744" s="122">
        <v>6851</v>
      </c>
      <c r="AS1744" s="122">
        <v>6228</v>
      </c>
      <c r="AT1744" s="122">
        <v>0</v>
      </c>
      <c r="AU1744" s="122">
        <v>0</v>
      </c>
      <c r="AV1744" s="122">
        <v>29718</v>
      </c>
    </row>
    <row r="1745" spans="2:48" hidden="1">
      <c r="B1745" t="s">
        <v>374</v>
      </c>
      <c r="C1745" t="s">
        <v>54</v>
      </c>
      <c r="D1745" t="s">
        <v>408</v>
      </c>
      <c r="E1745" t="s">
        <v>408</v>
      </c>
      <c r="F1745" s="122">
        <v>6</v>
      </c>
      <c r="G1745" s="122">
        <v>1317</v>
      </c>
      <c r="H1745" s="122">
        <v>832</v>
      </c>
      <c r="I1745" s="122">
        <v>97305</v>
      </c>
      <c r="J1745" s="122">
        <v>88459</v>
      </c>
      <c r="K1745" s="122">
        <v>87</v>
      </c>
      <c r="L1745" s="122">
        <v>18733</v>
      </c>
      <c r="M1745" s="122">
        <v>17030</v>
      </c>
      <c r="N1745" s="122">
        <v>24444</v>
      </c>
      <c r="O1745" s="122">
        <v>9053</v>
      </c>
      <c r="P1745" s="122">
        <v>3078</v>
      </c>
      <c r="Q1745" s="122">
        <v>1140</v>
      </c>
      <c r="R1745" s="122">
        <v>34727</v>
      </c>
      <c r="S1745" s="122">
        <v>31570</v>
      </c>
      <c r="T1745" s="122">
        <v>3854</v>
      </c>
      <c r="U1745" s="122">
        <v>1427</v>
      </c>
      <c r="V1745" s="122">
        <v>148679</v>
      </c>
      <c r="W1745" s="122">
        <f t="shared" si="54"/>
        <v>148679</v>
      </c>
      <c r="X1745" s="122">
        <f t="shared" si="55"/>
        <v>182141</v>
      </c>
      <c r="AA1745" t="s">
        <v>60</v>
      </c>
      <c r="AB1745" t="s">
        <v>427</v>
      </c>
      <c r="AC1745" t="s">
        <v>426</v>
      </c>
      <c r="AD1745" t="s">
        <v>427</v>
      </c>
      <c r="AE1745" t="s">
        <v>137</v>
      </c>
      <c r="AF1745">
        <v>2</v>
      </c>
      <c r="AG1745">
        <v>194</v>
      </c>
      <c r="AH1745">
        <v>738</v>
      </c>
      <c r="AI1745" s="122">
        <v>46004</v>
      </c>
      <c r="AJ1745" s="122">
        <v>41822</v>
      </c>
      <c r="AK1745">
        <v>55</v>
      </c>
      <c r="AL1745" s="122">
        <v>6324</v>
      </c>
      <c r="AM1745" s="122">
        <v>5749</v>
      </c>
      <c r="AN1745" s="122">
        <v>3084</v>
      </c>
      <c r="AO1745" s="122">
        <v>1142</v>
      </c>
      <c r="AP1745">
        <v>702</v>
      </c>
      <c r="AQ1745">
        <v>260</v>
      </c>
      <c r="AR1745" s="122">
        <v>10265</v>
      </c>
      <c r="AS1745" s="122">
        <v>9332</v>
      </c>
      <c r="AT1745" s="122">
        <v>5033</v>
      </c>
      <c r="AU1745" s="122">
        <v>1864</v>
      </c>
      <c r="AV1745" s="122">
        <v>60169</v>
      </c>
    </row>
    <row r="1746" spans="2:48" hidden="1">
      <c r="B1746" t="s">
        <v>374</v>
      </c>
      <c r="C1746" t="s">
        <v>56</v>
      </c>
      <c r="F1746" s="122">
        <v>1</v>
      </c>
      <c r="G1746" s="122">
        <v>94</v>
      </c>
      <c r="H1746" s="122">
        <v>179</v>
      </c>
      <c r="I1746" s="122"/>
      <c r="J1746" s="122">
        <v>0</v>
      </c>
      <c r="K1746" s="122"/>
      <c r="L1746" s="122"/>
      <c r="M1746" s="122">
        <v>0</v>
      </c>
      <c r="N1746" s="122">
        <v>3441</v>
      </c>
      <c r="O1746" s="122">
        <v>1275</v>
      </c>
      <c r="P1746" s="122">
        <v>621</v>
      </c>
      <c r="Q1746" s="122">
        <v>230</v>
      </c>
      <c r="R1746" s="122"/>
      <c r="S1746" s="122">
        <v>0</v>
      </c>
      <c r="T1746" s="122">
        <v>3688</v>
      </c>
      <c r="U1746" s="122">
        <v>1366</v>
      </c>
      <c r="V1746" s="122">
        <v>2870</v>
      </c>
      <c r="W1746" s="122">
        <f t="shared" si="54"/>
        <v>2871</v>
      </c>
      <c r="X1746" s="122">
        <f t="shared" si="55"/>
        <v>7750</v>
      </c>
      <c r="AA1746" t="s">
        <v>60</v>
      </c>
      <c r="AB1746" t="s">
        <v>427</v>
      </c>
      <c r="AC1746" t="s">
        <v>566</v>
      </c>
      <c r="AD1746" t="s">
        <v>137</v>
      </c>
      <c r="AE1746" t="s">
        <v>137</v>
      </c>
      <c r="AF1746">
        <v>1</v>
      </c>
      <c r="AG1746">
        <v>113</v>
      </c>
      <c r="AH1746">
        <v>332</v>
      </c>
      <c r="AI1746" s="122">
        <v>26726</v>
      </c>
      <c r="AJ1746" s="122">
        <v>24296</v>
      </c>
      <c r="AK1746">
        <v>30</v>
      </c>
      <c r="AL1746">
        <v>0</v>
      </c>
      <c r="AM1746">
        <v>0</v>
      </c>
      <c r="AN1746" s="122">
        <v>2742</v>
      </c>
      <c r="AO1746" s="122">
        <v>1015</v>
      </c>
      <c r="AP1746">
        <v>0</v>
      </c>
      <c r="AQ1746">
        <v>0</v>
      </c>
      <c r="AR1746" s="122">
        <v>5246</v>
      </c>
      <c r="AS1746" s="122">
        <v>1943</v>
      </c>
      <c r="AT1746" s="122">
        <v>2584</v>
      </c>
      <c r="AU1746">
        <v>957</v>
      </c>
      <c r="AV1746" s="122">
        <v>28212</v>
      </c>
    </row>
    <row r="1747" spans="2:48" hidden="1">
      <c r="B1747" t="s">
        <v>374</v>
      </c>
      <c r="C1747" t="s">
        <v>56</v>
      </c>
      <c r="D1747" t="s">
        <v>425</v>
      </c>
      <c r="E1747" t="s">
        <v>425</v>
      </c>
      <c r="F1747" s="122">
        <v>6</v>
      </c>
      <c r="G1747" s="122">
        <v>1488</v>
      </c>
      <c r="H1747" s="122">
        <v>1106</v>
      </c>
      <c r="I1747" s="122">
        <v>157451</v>
      </c>
      <c r="J1747" s="122">
        <v>143137</v>
      </c>
      <c r="K1747" s="122">
        <v>86</v>
      </c>
      <c r="L1747" s="122">
        <v>39720</v>
      </c>
      <c r="M1747" s="122">
        <v>36109</v>
      </c>
      <c r="N1747" s="122">
        <v>31153</v>
      </c>
      <c r="O1747" s="122">
        <v>11538</v>
      </c>
      <c r="P1747" s="122">
        <v>2835</v>
      </c>
      <c r="Q1747" s="122">
        <v>1050</v>
      </c>
      <c r="R1747" s="122">
        <v>35665</v>
      </c>
      <c r="S1747" s="122">
        <v>32423</v>
      </c>
      <c r="T1747" s="122">
        <v>4698</v>
      </c>
      <c r="U1747" s="122">
        <v>1740</v>
      </c>
      <c r="V1747" s="122">
        <v>225998</v>
      </c>
      <c r="W1747" s="122">
        <f t="shared" si="54"/>
        <v>225997</v>
      </c>
      <c r="X1747" s="122">
        <f t="shared" si="55"/>
        <v>271522</v>
      </c>
      <c r="AA1747" t="s">
        <v>60</v>
      </c>
      <c r="AB1747" t="s">
        <v>427</v>
      </c>
      <c r="AC1747" t="s">
        <v>566</v>
      </c>
      <c r="AD1747" t="s">
        <v>137</v>
      </c>
      <c r="AE1747" t="s">
        <v>566</v>
      </c>
      <c r="AF1747">
        <v>2</v>
      </c>
      <c r="AG1747" s="122">
        <v>123</v>
      </c>
      <c r="AH1747" s="122">
        <v>740</v>
      </c>
      <c r="AI1747" s="122">
        <v>31118</v>
      </c>
      <c r="AJ1747" s="122">
        <v>28290</v>
      </c>
      <c r="AK1747">
        <v>60</v>
      </c>
      <c r="AL1747">
        <v>0</v>
      </c>
      <c r="AM1747" s="122">
        <v>0</v>
      </c>
      <c r="AN1747" s="122">
        <v>1582</v>
      </c>
      <c r="AO1747" s="122">
        <v>586</v>
      </c>
      <c r="AP1747" s="122">
        <v>0</v>
      </c>
      <c r="AQ1747" s="122">
        <v>0</v>
      </c>
      <c r="AR1747" s="122">
        <v>12910</v>
      </c>
      <c r="AS1747" s="122">
        <v>4782</v>
      </c>
      <c r="AT1747" s="122">
        <v>0</v>
      </c>
      <c r="AU1747" s="122">
        <v>0</v>
      </c>
      <c r="AV1747" s="122">
        <v>33657</v>
      </c>
    </row>
    <row r="1748" spans="2:48" hidden="1">
      <c r="B1748" t="s">
        <v>374</v>
      </c>
      <c r="C1748" t="s">
        <v>56</v>
      </c>
      <c r="D1748" t="s">
        <v>405</v>
      </c>
      <c r="E1748" t="s">
        <v>425</v>
      </c>
      <c r="F1748" s="122">
        <v>2</v>
      </c>
      <c r="G1748" s="122">
        <v>348</v>
      </c>
      <c r="H1748" s="122">
        <v>435</v>
      </c>
      <c r="I1748" s="122">
        <v>41250</v>
      </c>
      <c r="J1748" s="122">
        <v>37500</v>
      </c>
      <c r="K1748" s="122">
        <v>80</v>
      </c>
      <c r="L1748" s="122">
        <v>9374</v>
      </c>
      <c r="M1748" s="122">
        <v>8522</v>
      </c>
      <c r="N1748" s="122">
        <v>6654</v>
      </c>
      <c r="O1748" s="122">
        <v>2465</v>
      </c>
      <c r="P1748" s="122">
        <v>945</v>
      </c>
      <c r="Q1748" s="122">
        <v>350</v>
      </c>
      <c r="R1748" s="122">
        <v>13559</v>
      </c>
      <c r="S1748" s="122">
        <v>12327</v>
      </c>
      <c r="T1748" s="122">
        <v>4282</v>
      </c>
      <c r="U1748" s="122">
        <v>1586</v>
      </c>
      <c r="V1748" s="122">
        <v>62749</v>
      </c>
      <c r="W1748" s="122">
        <f t="shared" si="54"/>
        <v>62750</v>
      </c>
      <c r="X1748" s="122">
        <f t="shared" si="55"/>
        <v>76064</v>
      </c>
      <c r="AA1748" t="s">
        <v>60</v>
      </c>
      <c r="AB1748" t="s">
        <v>427</v>
      </c>
      <c r="AC1748" t="s">
        <v>566</v>
      </c>
      <c r="AD1748" t="s">
        <v>427</v>
      </c>
      <c r="AE1748" t="s">
        <v>137</v>
      </c>
      <c r="AF1748">
        <v>18</v>
      </c>
      <c r="AG1748" s="122">
        <v>1488</v>
      </c>
      <c r="AH1748" s="122">
        <v>6097</v>
      </c>
      <c r="AI1748" s="122">
        <v>347843</v>
      </c>
      <c r="AJ1748" s="122">
        <v>316221</v>
      </c>
      <c r="AK1748">
        <v>56</v>
      </c>
      <c r="AL1748">
        <v>0</v>
      </c>
      <c r="AM1748" s="122">
        <v>6458</v>
      </c>
      <c r="AN1748" s="122">
        <v>29902</v>
      </c>
      <c r="AO1748" s="122">
        <v>11075</v>
      </c>
      <c r="AP1748" s="122">
        <v>5967</v>
      </c>
      <c r="AQ1748" s="122">
        <v>2210</v>
      </c>
      <c r="AR1748" s="122">
        <v>88708</v>
      </c>
      <c r="AS1748" s="122">
        <v>80644</v>
      </c>
      <c r="AT1748" s="122">
        <v>42675</v>
      </c>
      <c r="AU1748" s="122">
        <v>15805</v>
      </c>
      <c r="AV1748" s="122">
        <v>432413</v>
      </c>
    </row>
    <row r="1749" spans="2:48" hidden="1">
      <c r="B1749" t="s">
        <v>374</v>
      </c>
      <c r="C1749" t="s">
        <v>56</v>
      </c>
      <c r="D1749" t="s">
        <v>405</v>
      </c>
      <c r="E1749" t="s">
        <v>405</v>
      </c>
      <c r="F1749" s="122">
        <v>54</v>
      </c>
      <c r="G1749" s="122">
        <v>9600</v>
      </c>
      <c r="H1749" s="122">
        <v>10118</v>
      </c>
      <c r="I1749" s="122">
        <v>1079065</v>
      </c>
      <c r="J1749" s="122">
        <v>980968</v>
      </c>
      <c r="K1749" s="122">
        <v>86</v>
      </c>
      <c r="L1749" s="122">
        <v>226286</v>
      </c>
      <c r="M1749" s="122">
        <v>210793</v>
      </c>
      <c r="N1749" s="122">
        <v>194524</v>
      </c>
      <c r="O1749" s="122">
        <v>72046</v>
      </c>
      <c r="P1749" s="122">
        <v>28850</v>
      </c>
      <c r="Q1749" s="122">
        <v>10685</v>
      </c>
      <c r="R1749" s="122">
        <v>260485</v>
      </c>
      <c r="S1749" s="122">
        <v>236805</v>
      </c>
      <c r="T1749" s="122">
        <v>44735</v>
      </c>
      <c r="U1749" s="122">
        <v>16568</v>
      </c>
      <c r="V1749" s="122">
        <v>1527865</v>
      </c>
      <c r="W1749" s="122">
        <f t="shared" si="54"/>
        <v>1527865</v>
      </c>
      <c r="X1749" s="122">
        <f t="shared" si="55"/>
        <v>1833945</v>
      </c>
      <c r="AA1749" t="s">
        <v>60</v>
      </c>
      <c r="AB1749" t="s">
        <v>427</v>
      </c>
      <c r="AC1749" t="s">
        <v>566</v>
      </c>
      <c r="AD1749" t="s">
        <v>427</v>
      </c>
      <c r="AE1749" t="s">
        <v>566</v>
      </c>
      <c r="AF1749">
        <v>2</v>
      </c>
      <c r="AG1749">
        <v>171</v>
      </c>
      <c r="AH1749">
        <v>654</v>
      </c>
      <c r="AI1749" s="122">
        <v>40123</v>
      </c>
      <c r="AJ1749" s="122">
        <v>36476</v>
      </c>
      <c r="AK1749">
        <v>65</v>
      </c>
      <c r="AL1749" s="122">
        <v>0</v>
      </c>
      <c r="AM1749" s="122">
        <v>0</v>
      </c>
      <c r="AN1749" s="122">
        <v>3621</v>
      </c>
      <c r="AO1749" s="122">
        <v>1341</v>
      </c>
      <c r="AP1749">
        <v>702</v>
      </c>
      <c r="AQ1749">
        <v>260</v>
      </c>
      <c r="AR1749" s="122">
        <v>12101</v>
      </c>
      <c r="AS1749" s="122">
        <v>11001</v>
      </c>
      <c r="AT1749">
        <v>0</v>
      </c>
      <c r="AU1749">
        <v>0</v>
      </c>
      <c r="AV1749" s="122">
        <v>49078</v>
      </c>
    </row>
    <row r="1750" spans="2:48" hidden="1">
      <c r="B1750" t="s">
        <v>374</v>
      </c>
      <c r="C1750" t="s">
        <v>56</v>
      </c>
      <c r="D1750" t="s">
        <v>405</v>
      </c>
      <c r="E1750" t="s">
        <v>137</v>
      </c>
      <c r="F1750" s="122">
        <v>2</v>
      </c>
      <c r="G1750" s="122">
        <v>312</v>
      </c>
      <c r="H1750" s="122">
        <v>358</v>
      </c>
      <c r="I1750" s="122">
        <v>29606</v>
      </c>
      <c r="J1750" s="122">
        <v>26915</v>
      </c>
      <c r="K1750" s="122">
        <v>100</v>
      </c>
      <c r="L1750" s="122">
        <v>5469</v>
      </c>
      <c r="M1750" s="122">
        <v>4972</v>
      </c>
      <c r="N1750" s="122">
        <v>5270</v>
      </c>
      <c r="O1750" s="122">
        <v>1952</v>
      </c>
      <c r="P1750" s="122">
        <v>2787</v>
      </c>
      <c r="Q1750" s="122">
        <v>1032</v>
      </c>
      <c r="R1750" s="122">
        <v>13169</v>
      </c>
      <c r="S1750" s="122">
        <v>4877</v>
      </c>
      <c r="T1750" s="122">
        <v>0</v>
      </c>
      <c r="U1750" s="122">
        <v>0</v>
      </c>
      <c r="V1750" s="122">
        <v>39747</v>
      </c>
      <c r="W1750" s="122">
        <f t="shared" si="54"/>
        <v>39748</v>
      </c>
      <c r="X1750" s="122">
        <f t="shared" si="55"/>
        <v>56301</v>
      </c>
      <c r="AA1750" t="s">
        <v>60</v>
      </c>
      <c r="AB1750" t="s">
        <v>427</v>
      </c>
      <c r="AC1750" t="s">
        <v>433</v>
      </c>
      <c r="AD1750" t="s">
        <v>407</v>
      </c>
      <c r="AE1750" t="s">
        <v>566</v>
      </c>
      <c r="AF1750">
        <v>1</v>
      </c>
      <c r="AG1750">
        <v>83</v>
      </c>
      <c r="AH1750">
        <v>310</v>
      </c>
      <c r="AI1750" s="122">
        <v>14938</v>
      </c>
      <c r="AJ1750" s="122">
        <v>13580</v>
      </c>
      <c r="AK1750">
        <v>65</v>
      </c>
      <c r="AL1750" s="122">
        <v>3596</v>
      </c>
      <c r="AM1750" s="122">
        <v>3269</v>
      </c>
      <c r="AN1750" s="122">
        <v>1739</v>
      </c>
      <c r="AO1750" s="122">
        <v>644</v>
      </c>
      <c r="AP1750">
        <v>473</v>
      </c>
      <c r="AQ1750">
        <v>175</v>
      </c>
      <c r="AR1750" s="122">
        <v>5012</v>
      </c>
      <c r="AS1750" s="122">
        <v>4556</v>
      </c>
      <c r="AT1750" s="122">
        <v>0</v>
      </c>
      <c r="AU1750" s="122">
        <v>0</v>
      </c>
      <c r="AV1750" s="122">
        <v>22225</v>
      </c>
    </row>
    <row r="1751" spans="2:48" hidden="1">
      <c r="B1751" t="s">
        <v>374</v>
      </c>
      <c r="C1751" t="s">
        <v>56</v>
      </c>
      <c r="D1751" t="s">
        <v>405</v>
      </c>
      <c r="E1751" t="s">
        <v>407</v>
      </c>
      <c r="F1751" s="122">
        <v>1</v>
      </c>
      <c r="G1751" s="122">
        <v>180</v>
      </c>
      <c r="H1751" s="122">
        <v>155</v>
      </c>
      <c r="I1751" s="122">
        <v>15373</v>
      </c>
      <c r="J1751" s="122">
        <v>13975</v>
      </c>
      <c r="K1751" s="122">
        <v>91</v>
      </c>
      <c r="L1751" s="122">
        <v>5158</v>
      </c>
      <c r="M1751" s="122">
        <v>4689</v>
      </c>
      <c r="N1751" s="122">
        <v>3980</v>
      </c>
      <c r="O1751" s="122">
        <v>1474</v>
      </c>
      <c r="P1751" s="122">
        <v>473</v>
      </c>
      <c r="Q1751" s="122">
        <v>175</v>
      </c>
      <c r="R1751" s="122">
        <v>2896</v>
      </c>
      <c r="S1751" s="122">
        <v>2633</v>
      </c>
      <c r="T1751" s="122">
        <v>0</v>
      </c>
      <c r="U1751" s="122">
        <v>0</v>
      </c>
      <c r="V1751" s="122">
        <v>22946</v>
      </c>
      <c r="W1751" s="122">
        <f t="shared" si="54"/>
        <v>22946</v>
      </c>
      <c r="X1751" s="122">
        <f t="shared" si="55"/>
        <v>27880</v>
      </c>
      <c r="AA1751" t="s">
        <v>60</v>
      </c>
      <c r="AB1751" t="s">
        <v>407</v>
      </c>
      <c r="AC1751" t="s">
        <v>578</v>
      </c>
      <c r="AD1751" t="s">
        <v>407</v>
      </c>
      <c r="AE1751" t="s">
        <v>137</v>
      </c>
      <c r="AF1751">
        <v>2</v>
      </c>
      <c r="AG1751">
        <v>231</v>
      </c>
      <c r="AH1751" s="122">
        <v>684</v>
      </c>
      <c r="AI1751" s="122">
        <v>57924</v>
      </c>
      <c r="AJ1751" s="122">
        <v>52658</v>
      </c>
      <c r="AK1751">
        <v>71</v>
      </c>
      <c r="AL1751" s="122">
        <v>14547</v>
      </c>
      <c r="AM1751" s="122">
        <v>13224</v>
      </c>
      <c r="AN1751" s="122">
        <v>6007</v>
      </c>
      <c r="AO1751" s="122">
        <v>2225</v>
      </c>
      <c r="AP1751" s="122">
        <v>945</v>
      </c>
      <c r="AQ1751">
        <v>350</v>
      </c>
      <c r="AR1751" s="122">
        <v>10133</v>
      </c>
      <c r="AS1751" s="122">
        <v>9212</v>
      </c>
      <c r="AT1751" s="122">
        <v>6053</v>
      </c>
      <c r="AU1751" s="122">
        <v>2242</v>
      </c>
      <c r="AV1751" s="122">
        <v>79911</v>
      </c>
    </row>
    <row r="1752" spans="2:48" hidden="1">
      <c r="B1752" t="s">
        <v>374</v>
      </c>
      <c r="C1752" t="s">
        <v>56</v>
      </c>
      <c r="D1752" t="s">
        <v>137</v>
      </c>
      <c r="E1752" t="s">
        <v>137</v>
      </c>
      <c r="F1752" s="122">
        <v>28</v>
      </c>
      <c r="G1752" s="122">
        <v>5574</v>
      </c>
      <c r="H1752" s="122">
        <v>5038</v>
      </c>
      <c r="I1752" s="122">
        <v>534497</v>
      </c>
      <c r="J1752" s="122">
        <v>197962</v>
      </c>
      <c r="K1752" s="122">
        <v>240</v>
      </c>
      <c r="L1752" s="122">
        <v>116452</v>
      </c>
      <c r="M1752" s="122">
        <v>97716</v>
      </c>
      <c r="N1752" s="122">
        <v>113152</v>
      </c>
      <c r="O1752" s="122">
        <v>41908</v>
      </c>
      <c r="P1752" s="122">
        <v>10834</v>
      </c>
      <c r="Q1752" s="122">
        <v>4013</v>
      </c>
      <c r="R1752" s="122">
        <v>273898</v>
      </c>
      <c r="S1752" s="122">
        <v>101444</v>
      </c>
      <c r="T1752" s="122">
        <v>0</v>
      </c>
      <c r="U1752" s="122">
        <v>0</v>
      </c>
      <c r="V1752" s="122">
        <v>443043</v>
      </c>
      <c r="W1752" s="122">
        <f t="shared" si="54"/>
        <v>443043</v>
      </c>
      <c r="X1752" s="122">
        <f t="shared" si="55"/>
        <v>1048833</v>
      </c>
      <c r="AA1752" t="s">
        <v>60</v>
      </c>
      <c r="AB1752" t="s">
        <v>407</v>
      </c>
      <c r="AC1752" t="s">
        <v>578</v>
      </c>
      <c r="AD1752" t="s">
        <v>407</v>
      </c>
      <c r="AE1752" t="s">
        <v>566</v>
      </c>
      <c r="AF1752">
        <v>3</v>
      </c>
      <c r="AG1752">
        <v>751</v>
      </c>
      <c r="AH1752" s="122">
        <v>1001</v>
      </c>
      <c r="AI1752" s="122">
        <v>172780</v>
      </c>
      <c r="AJ1752" s="122">
        <v>157073</v>
      </c>
      <c r="AK1752">
        <v>77</v>
      </c>
      <c r="AL1752" s="122">
        <v>39424</v>
      </c>
      <c r="AM1752" s="122">
        <v>35840</v>
      </c>
      <c r="AN1752" s="122">
        <v>15215</v>
      </c>
      <c r="AO1752" s="122">
        <v>5635</v>
      </c>
      <c r="AP1752" s="122">
        <v>1296</v>
      </c>
      <c r="AQ1752">
        <v>480</v>
      </c>
      <c r="AR1752" s="122">
        <v>22124</v>
      </c>
      <c r="AS1752" s="122">
        <v>20113</v>
      </c>
      <c r="AT1752" s="122">
        <v>0</v>
      </c>
      <c r="AU1752" s="122">
        <v>0</v>
      </c>
      <c r="AV1752" s="122">
        <v>219140</v>
      </c>
    </row>
    <row r="1753" spans="2:48" hidden="1">
      <c r="B1753" t="s">
        <v>374</v>
      </c>
      <c r="C1753" t="s">
        <v>56</v>
      </c>
      <c r="D1753" t="s">
        <v>137</v>
      </c>
      <c r="E1753" t="s">
        <v>426</v>
      </c>
      <c r="F1753" s="122">
        <v>1</v>
      </c>
      <c r="G1753" s="122">
        <v>593</v>
      </c>
      <c r="H1753" s="122">
        <v>207</v>
      </c>
      <c r="I1753" s="122">
        <v>77279</v>
      </c>
      <c r="J1753" s="122">
        <v>28622</v>
      </c>
      <c r="K1753" s="122">
        <v>320</v>
      </c>
      <c r="L1753" s="122">
        <v>18657</v>
      </c>
      <c r="M1753" s="122">
        <v>16961</v>
      </c>
      <c r="N1753" s="122">
        <v>13445</v>
      </c>
      <c r="O1753" s="122">
        <v>4979</v>
      </c>
      <c r="P1753" s="122">
        <v>1674</v>
      </c>
      <c r="Q1753" s="122">
        <v>620</v>
      </c>
      <c r="R1753" s="122">
        <v>7607</v>
      </c>
      <c r="S1753" s="122">
        <v>6916</v>
      </c>
      <c r="T1753" s="122">
        <v>4431</v>
      </c>
      <c r="U1753" s="122">
        <v>1641</v>
      </c>
      <c r="V1753" s="122">
        <v>59739</v>
      </c>
      <c r="W1753" s="122">
        <f t="shared" si="54"/>
        <v>59739</v>
      </c>
      <c r="X1753" s="122">
        <f t="shared" si="55"/>
        <v>123093</v>
      </c>
      <c r="AA1753" t="s">
        <v>60</v>
      </c>
      <c r="AB1753" t="s">
        <v>407</v>
      </c>
      <c r="AC1753" t="s">
        <v>425</v>
      </c>
      <c r="AD1753" t="s">
        <v>407</v>
      </c>
      <c r="AE1753" t="s">
        <v>137</v>
      </c>
      <c r="AF1753">
        <v>1</v>
      </c>
      <c r="AG1753" s="122">
        <v>269</v>
      </c>
      <c r="AH1753" s="122">
        <v>338</v>
      </c>
      <c r="AI1753" s="122">
        <v>60103</v>
      </c>
      <c r="AJ1753" s="122">
        <v>54639</v>
      </c>
      <c r="AK1753">
        <v>78</v>
      </c>
      <c r="AL1753" s="122">
        <v>16495</v>
      </c>
      <c r="AM1753" s="122">
        <v>14995</v>
      </c>
      <c r="AN1753" s="122">
        <v>3276</v>
      </c>
      <c r="AO1753" s="122">
        <v>1213</v>
      </c>
      <c r="AP1753" s="122">
        <v>473</v>
      </c>
      <c r="AQ1753" s="122">
        <v>175</v>
      </c>
      <c r="AR1753" s="122">
        <v>6155</v>
      </c>
      <c r="AS1753" s="122">
        <v>5596</v>
      </c>
      <c r="AT1753" s="122">
        <v>4427</v>
      </c>
      <c r="AU1753" s="122">
        <v>1640</v>
      </c>
      <c r="AV1753" s="122">
        <v>78258</v>
      </c>
    </row>
    <row r="1754" spans="2:48" hidden="1">
      <c r="B1754" t="s">
        <v>374</v>
      </c>
      <c r="C1754" t="s">
        <v>56</v>
      </c>
      <c r="D1754" t="s">
        <v>406</v>
      </c>
      <c r="E1754" t="s">
        <v>137</v>
      </c>
      <c r="F1754" s="122">
        <v>10</v>
      </c>
      <c r="G1754" s="122">
        <v>2250</v>
      </c>
      <c r="H1754" s="122">
        <v>1890</v>
      </c>
      <c r="I1754" s="122">
        <v>282527</v>
      </c>
      <c r="J1754" s="122">
        <v>256843</v>
      </c>
      <c r="K1754" s="122">
        <v>86</v>
      </c>
      <c r="L1754" s="122">
        <v>39381</v>
      </c>
      <c r="M1754" s="122">
        <v>32558</v>
      </c>
      <c r="N1754" s="122">
        <v>44783</v>
      </c>
      <c r="O1754" s="122">
        <v>16586</v>
      </c>
      <c r="P1754" s="122">
        <v>6912</v>
      </c>
      <c r="Q1754" s="122">
        <v>2560</v>
      </c>
      <c r="R1754" s="122">
        <v>72503</v>
      </c>
      <c r="S1754" s="122">
        <v>26853</v>
      </c>
      <c r="T1754" s="122">
        <v>3098</v>
      </c>
      <c r="U1754" s="122">
        <v>1148</v>
      </c>
      <c r="V1754" s="122">
        <v>336547</v>
      </c>
      <c r="W1754" s="122">
        <f t="shared" si="54"/>
        <v>336548</v>
      </c>
      <c r="X1754" s="122">
        <f t="shared" si="55"/>
        <v>449204</v>
      </c>
      <c r="AA1754" t="s">
        <v>60</v>
      </c>
      <c r="AB1754" t="s">
        <v>407</v>
      </c>
      <c r="AC1754" t="s">
        <v>137</v>
      </c>
      <c r="AD1754" t="s">
        <v>407</v>
      </c>
      <c r="AE1754" t="s">
        <v>137</v>
      </c>
      <c r="AF1754">
        <v>52</v>
      </c>
      <c r="AG1754" s="122">
        <v>6105</v>
      </c>
      <c r="AH1754" s="122">
        <v>17502</v>
      </c>
      <c r="AI1754" s="122">
        <v>1217677</v>
      </c>
      <c r="AJ1754" s="122">
        <v>1106979</v>
      </c>
      <c r="AK1754">
        <v>77</v>
      </c>
      <c r="AL1754" s="122">
        <v>331133</v>
      </c>
      <c r="AM1754" s="122">
        <v>122642</v>
      </c>
      <c r="AN1754" s="122">
        <v>128271</v>
      </c>
      <c r="AO1754" s="122">
        <v>47508</v>
      </c>
      <c r="AP1754" s="122">
        <v>24570</v>
      </c>
      <c r="AQ1754" s="122">
        <v>9100</v>
      </c>
      <c r="AR1754" s="122">
        <v>255768</v>
      </c>
      <c r="AS1754" s="122">
        <v>232516</v>
      </c>
      <c r="AT1754" s="122">
        <v>107658</v>
      </c>
      <c r="AU1754" s="122">
        <v>39873</v>
      </c>
      <c r="AV1754" s="122">
        <v>1558618</v>
      </c>
    </row>
    <row r="1755" spans="2:48" hidden="1">
      <c r="B1755" t="s">
        <v>374</v>
      </c>
      <c r="C1755" t="s">
        <v>56</v>
      </c>
      <c r="D1755" t="s">
        <v>406</v>
      </c>
      <c r="E1755" t="s">
        <v>406</v>
      </c>
      <c r="F1755" s="122">
        <v>3104</v>
      </c>
      <c r="G1755" s="122">
        <v>513381</v>
      </c>
      <c r="H1755" s="122">
        <v>596259</v>
      </c>
      <c r="I1755" s="122">
        <v>56511934</v>
      </c>
      <c r="J1755" s="122">
        <v>51374486</v>
      </c>
      <c r="K1755" s="122">
        <v>85</v>
      </c>
      <c r="L1755" s="122">
        <v>12263881</v>
      </c>
      <c r="M1755" s="122">
        <v>10965049</v>
      </c>
      <c r="N1755" s="122">
        <v>10632821</v>
      </c>
      <c r="O1755" s="122">
        <v>3938082</v>
      </c>
      <c r="P1755" s="122">
        <v>2046835</v>
      </c>
      <c r="Q1755" s="122">
        <v>758087</v>
      </c>
      <c r="R1755" s="122">
        <v>16398338</v>
      </c>
      <c r="S1755" s="122">
        <v>14907580</v>
      </c>
      <c r="T1755" s="122">
        <v>4241290</v>
      </c>
      <c r="U1755" s="122">
        <v>1570848</v>
      </c>
      <c r="V1755" s="122">
        <v>83514131</v>
      </c>
      <c r="W1755" s="122">
        <f t="shared" si="54"/>
        <v>83514132</v>
      </c>
      <c r="X1755" s="122">
        <f t="shared" si="55"/>
        <v>102095099</v>
      </c>
      <c r="AA1755" t="s">
        <v>60</v>
      </c>
      <c r="AB1755" t="s">
        <v>407</v>
      </c>
      <c r="AC1755" t="s">
        <v>137</v>
      </c>
      <c r="AD1755" t="s">
        <v>407</v>
      </c>
      <c r="AE1755" t="s">
        <v>566</v>
      </c>
      <c r="AF1755">
        <v>49</v>
      </c>
      <c r="AG1755" s="122">
        <v>5577</v>
      </c>
      <c r="AH1755" s="122">
        <v>16377</v>
      </c>
      <c r="AI1755" s="122">
        <v>1196394</v>
      </c>
      <c r="AJ1755" s="122">
        <v>1087631</v>
      </c>
      <c r="AK1755">
        <v>80</v>
      </c>
      <c r="AL1755" s="122">
        <v>291782</v>
      </c>
      <c r="AM1755" s="122">
        <v>108067</v>
      </c>
      <c r="AN1755" s="122">
        <v>114620</v>
      </c>
      <c r="AO1755" s="122">
        <v>42452</v>
      </c>
      <c r="AP1755" s="122">
        <v>25647</v>
      </c>
      <c r="AQ1755" s="122">
        <v>9499</v>
      </c>
      <c r="AR1755" s="122">
        <v>276656</v>
      </c>
      <c r="AS1755" s="122">
        <v>251505</v>
      </c>
      <c r="AT1755" s="122">
        <v>0</v>
      </c>
      <c r="AU1755" s="122">
        <v>0</v>
      </c>
      <c r="AV1755" s="122">
        <v>1499154</v>
      </c>
    </row>
    <row r="1756" spans="2:48" hidden="1">
      <c r="B1756" t="s">
        <v>374</v>
      </c>
      <c r="C1756" t="s">
        <v>56</v>
      </c>
      <c r="D1756" t="s">
        <v>406</v>
      </c>
      <c r="E1756" t="s">
        <v>427</v>
      </c>
      <c r="F1756" s="122">
        <v>1</v>
      </c>
      <c r="G1756" s="122">
        <v>135</v>
      </c>
      <c r="H1756" s="122">
        <v>203</v>
      </c>
      <c r="I1756" s="122">
        <v>15843</v>
      </c>
      <c r="J1756" s="122">
        <v>14403</v>
      </c>
      <c r="K1756" s="122">
        <v>93</v>
      </c>
      <c r="L1756" s="122">
        <v>2820</v>
      </c>
      <c r="M1756" s="122">
        <v>2350</v>
      </c>
      <c r="N1756" s="122">
        <v>2543</v>
      </c>
      <c r="O1756" s="122">
        <v>942</v>
      </c>
      <c r="P1756" s="122">
        <v>621</v>
      </c>
      <c r="Q1756" s="122">
        <v>230</v>
      </c>
      <c r="R1756" s="122">
        <v>5516</v>
      </c>
      <c r="S1756" s="122">
        <v>5014</v>
      </c>
      <c r="T1756" s="122">
        <v>0</v>
      </c>
      <c r="U1756" s="122">
        <v>0</v>
      </c>
      <c r="V1756" s="122">
        <v>22938</v>
      </c>
      <c r="W1756" s="122">
        <f t="shared" si="54"/>
        <v>22939</v>
      </c>
      <c r="X1756" s="122">
        <f t="shared" si="55"/>
        <v>27343</v>
      </c>
      <c r="AA1756" t="s">
        <v>60</v>
      </c>
      <c r="AB1756" t="s">
        <v>407</v>
      </c>
      <c r="AC1756" t="s">
        <v>580</v>
      </c>
      <c r="AD1756" t="s">
        <v>407</v>
      </c>
      <c r="AE1756" t="s">
        <v>137</v>
      </c>
      <c r="AF1756">
        <v>6</v>
      </c>
      <c r="AG1756" s="122">
        <v>1030</v>
      </c>
      <c r="AH1756" s="122">
        <v>2089</v>
      </c>
      <c r="AI1756" s="122">
        <v>246844</v>
      </c>
      <c r="AJ1756" s="122">
        <v>224403</v>
      </c>
      <c r="AK1756">
        <v>78</v>
      </c>
      <c r="AL1756" s="122">
        <v>34647</v>
      </c>
      <c r="AM1756" s="122">
        <v>31497</v>
      </c>
      <c r="AN1756" s="122">
        <v>22157</v>
      </c>
      <c r="AO1756" s="122">
        <v>8206</v>
      </c>
      <c r="AP1756" s="122">
        <v>3456</v>
      </c>
      <c r="AQ1756" s="122">
        <v>1280</v>
      </c>
      <c r="AR1756" s="122">
        <v>29750</v>
      </c>
      <c r="AS1756" s="122">
        <v>27045</v>
      </c>
      <c r="AT1756" s="122">
        <v>21166</v>
      </c>
      <c r="AU1756" s="122">
        <v>7839</v>
      </c>
      <c r="AV1756" s="122">
        <v>300271</v>
      </c>
    </row>
    <row r="1757" spans="2:48" hidden="1">
      <c r="B1757" t="s">
        <v>374</v>
      </c>
      <c r="C1757" t="s">
        <v>56</v>
      </c>
      <c r="D1757" t="s">
        <v>406</v>
      </c>
      <c r="E1757" t="s">
        <v>407</v>
      </c>
      <c r="F1757" s="122">
        <v>3</v>
      </c>
      <c r="G1757" s="122">
        <v>453</v>
      </c>
      <c r="H1757" s="122">
        <v>541</v>
      </c>
      <c r="I1757" s="122">
        <v>46941</v>
      </c>
      <c r="J1757" s="122">
        <v>42674</v>
      </c>
      <c r="K1757" s="122">
        <v>89</v>
      </c>
      <c r="L1757" s="122">
        <v>11363</v>
      </c>
      <c r="M1757" s="122">
        <v>10330</v>
      </c>
      <c r="N1757" s="122">
        <v>11228</v>
      </c>
      <c r="O1757" s="122">
        <v>4158</v>
      </c>
      <c r="P1757" s="122">
        <v>1863</v>
      </c>
      <c r="Q1757" s="122">
        <v>690</v>
      </c>
      <c r="R1757" s="122">
        <v>16218</v>
      </c>
      <c r="S1757" s="122">
        <v>14744</v>
      </c>
      <c r="T1757" s="122">
        <v>3997</v>
      </c>
      <c r="U1757" s="122">
        <v>1480</v>
      </c>
      <c r="V1757" s="122">
        <v>74077</v>
      </c>
      <c r="W1757" s="122">
        <f t="shared" si="54"/>
        <v>74076</v>
      </c>
      <c r="X1757" s="122">
        <f t="shared" si="55"/>
        <v>91610</v>
      </c>
      <c r="AA1757" t="s">
        <v>60</v>
      </c>
      <c r="AB1757" t="s">
        <v>407</v>
      </c>
      <c r="AC1757" t="s">
        <v>580</v>
      </c>
      <c r="AD1757" t="s">
        <v>407</v>
      </c>
      <c r="AE1757" t="s">
        <v>566</v>
      </c>
      <c r="AF1757">
        <v>3</v>
      </c>
      <c r="AG1757">
        <v>385</v>
      </c>
      <c r="AH1757" s="122">
        <v>1043</v>
      </c>
      <c r="AI1757" s="122">
        <v>108941</v>
      </c>
      <c r="AJ1757" s="122">
        <v>99037</v>
      </c>
      <c r="AK1757">
        <v>79</v>
      </c>
      <c r="AL1757" s="122">
        <v>17912</v>
      </c>
      <c r="AM1757" s="122">
        <v>16284</v>
      </c>
      <c r="AN1757" s="122">
        <v>9491</v>
      </c>
      <c r="AO1757" s="122">
        <v>3515</v>
      </c>
      <c r="AP1757" s="122">
        <v>1688</v>
      </c>
      <c r="AQ1757">
        <v>625</v>
      </c>
      <c r="AR1757" s="122">
        <v>19398</v>
      </c>
      <c r="AS1757" s="122">
        <v>17634</v>
      </c>
      <c r="AT1757">
        <v>0</v>
      </c>
      <c r="AU1757">
        <v>0</v>
      </c>
      <c r="AV1757" s="122">
        <v>137096</v>
      </c>
    </row>
    <row r="1758" spans="2:48" hidden="1">
      <c r="B1758" t="s">
        <v>374</v>
      </c>
      <c r="C1758" t="s">
        <v>56</v>
      </c>
      <c r="D1758" t="s">
        <v>406</v>
      </c>
      <c r="E1758" t="s">
        <v>426</v>
      </c>
      <c r="F1758" s="122">
        <v>4</v>
      </c>
      <c r="G1758" s="122">
        <v>612</v>
      </c>
      <c r="H1758" s="122">
        <v>767</v>
      </c>
      <c r="I1758" s="122">
        <v>65472</v>
      </c>
      <c r="J1758" s="122">
        <v>59520</v>
      </c>
      <c r="K1758" s="122">
        <v>85</v>
      </c>
      <c r="L1758" s="122">
        <v>14252</v>
      </c>
      <c r="M1758" s="122">
        <v>12957</v>
      </c>
      <c r="N1758" s="122">
        <v>11482</v>
      </c>
      <c r="O1758" s="122">
        <v>4253</v>
      </c>
      <c r="P1758" s="122">
        <v>2484</v>
      </c>
      <c r="Q1758" s="122">
        <v>920</v>
      </c>
      <c r="R1758" s="122">
        <v>18745</v>
      </c>
      <c r="S1758" s="122">
        <v>17041</v>
      </c>
      <c r="T1758" s="122">
        <v>3518</v>
      </c>
      <c r="U1758" s="122">
        <v>1303</v>
      </c>
      <c r="V1758" s="122">
        <v>95993</v>
      </c>
      <c r="W1758" s="122">
        <f t="shared" si="54"/>
        <v>95994</v>
      </c>
      <c r="X1758" s="122">
        <f t="shared" si="55"/>
        <v>115953</v>
      </c>
      <c r="AA1758" t="s">
        <v>60</v>
      </c>
      <c r="AB1758" t="s">
        <v>407</v>
      </c>
      <c r="AC1758" t="s">
        <v>427</v>
      </c>
      <c r="AD1758" t="s">
        <v>137</v>
      </c>
      <c r="AE1758" t="s">
        <v>137</v>
      </c>
      <c r="AF1758">
        <v>1</v>
      </c>
      <c r="AG1758">
        <v>80</v>
      </c>
      <c r="AH1758">
        <v>317</v>
      </c>
      <c r="AI1758" s="122">
        <v>8962</v>
      </c>
      <c r="AJ1758" s="122">
        <v>8147</v>
      </c>
      <c r="AK1758">
        <v>90</v>
      </c>
      <c r="AL1758" s="122">
        <v>2838</v>
      </c>
      <c r="AM1758" s="122">
        <v>2580</v>
      </c>
      <c r="AN1758" s="122">
        <v>975</v>
      </c>
      <c r="AO1758" s="122">
        <v>361</v>
      </c>
      <c r="AP1758" s="122">
        <v>473</v>
      </c>
      <c r="AQ1758" s="122">
        <v>175</v>
      </c>
      <c r="AR1758" s="122">
        <v>12130</v>
      </c>
      <c r="AS1758" s="122">
        <v>4492</v>
      </c>
      <c r="AT1758">
        <v>0</v>
      </c>
      <c r="AU1758">
        <v>0</v>
      </c>
      <c r="AV1758" s="122">
        <v>15756</v>
      </c>
    </row>
    <row r="1759" spans="2:48" hidden="1">
      <c r="B1759" t="s">
        <v>374</v>
      </c>
      <c r="C1759" t="s">
        <v>56</v>
      </c>
      <c r="D1759" t="s">
        <v>427</v>
      </c>
      <c r="E1759" t="s">
        <v>406</v>
      </c>
      <c r="F1759" s="122">
        <v>2</v>
      </c>
      <c r="G1759" s="122">
        <v>360</v>
      </c>
      <c r="H1759" s="122">
        <v>399</v>
      </c>
      <c r="I1759" s="122">
        <v>37161</v>
      </c>
      <c r="J1759" s="122">
        <v>33783</v>
      </c>
      <c r="K1759" s="122">
        <v>79</v>
      </c>
      <c r="L1759" s="122">
        <v>8659</v>
      </c>
      <c r="M1759" s="122">
        <v>7712</v>
      </c>
      <c r="N1759" s="122">
        <v>8050</v>
      </c>
      <c r="O1759" s="122">
        <v>2981</v>
      </c>
      <c r="P1759" s="122">
        <v>1242</v>
      </c>
      <c r="Q1759" s="122">
        <v>460</v>
      </c>
      <c r="R1759" s="122">
        <v>13198</v>
      </c>
      <c r="S1759" s="122">
        <v>11998</v>
      </c>
      <c r="T1759" s="122">
        <v>3449</v>
      </c>
      <c r="U1759" s="122">
        <v>1278</v>
      </c>
      <c r="V1759" s="122">
        <v>58211</v>
      </c>
      <c r="W1759" s="122">
        <f t="shared" si="54"/>
        <v>58212</v>
      </c>
      <c r="X1759" s="122">
        <f t="shared" si="55"/>
        <v>71759</v>
      </c>
      <c r="AA1759" t="s">
        <v>60</v>
      </c>
      <c r="AB1759" t="s">
        <v>407</v>
      </c>
      <c r="AC1759" t="s">
        <v>427</v>
      </c>
      <c r="AD1759" t="s">
        <v>137</v>
      </c>
      <c r="AE1759" t="s">
        <v>566</v>
      </c>
      <c r="AF1759">
        <v>1</v>
      </c>
      <c r="AG1759">
        <v>727</v>
      </c>
      <c r="AH1759">
        <v>359</v>
      </c>
      <c r="AI1759" s="122">
        <v>179382</v>
      </c>
      <c r="AJ1759" s="122">
        <v>163074</v>
      </c>
      <c r="AK1759">
        <v>73</v>
      </c>
      <c r="AL1759" s="122">
        <v>46108</v>
      </c>
      <c r="AM1759" s="122">
        <v>41916</v>
      </c>
      <c r="AN1759" s="122">
        <v>11243</v>
      </c>
      <c r="AO1759" s="122">
        <v>4164</v>
      </c>
      <c r="AP1759" s="122">
        <v>13194</v>
      </c>
      <c r="AQ1759" s="122">
        <v>4887</v>
      </c>
      <c r="AR1759" s="122">
        <v>10806</v>
      </c>
      <c r="AS1759" s="122">
        <v>4002</v>
      </c>
      <c r="AT1759">
        <v>0</v>
      </c>
      <c r="AU1759">
        <v>0</v>
      </c>
      <c r="AV1759" s="122">
        <v>218043</v>
      </c>
    </row>
    <row r="1760" spans="2:48" hidden="1">
      <c r="B1760" t="s">
        <v>374</v>
      </c>
      <c r="C1760" t="s">
        <v>56</v>
      </c>
      <c r="D1760" t="s">
        <v>407</v>
      </c>
      <c r="E1760" t="s">
        <v>405</v>
      </c>
      <c r="F1760" s="122">
        <v>1</v>
      </c>
      <c r="G1760" s="122">
        <v>107</v>
      </c>
      <c r="H1760" s="122">
        <v>220</v>
      </c>
      <c r="I1760" s="122">
        <v>9692</v>
      </c>
      <c r="J1760" s="122">
        <v>8811</v>
      </c>
      <c r="K1760" s="122">
        <v>77</v>
      </c>
      <c r="L1760" s="122">
        <v>2617</v>
      </c>
      <c r="M1760" s="122">
        <v>2379</v>
      </c>
      <c r="N1760" s="122">
        <v>2603</v>
      </c>
      <c r="O1760" s="122">
        <v>964</v>
      </c>
      <c r="P1760" s="122">
        <v>473</v>
      </c>
      <c r="Q1760" s="122">
        <v>175</v>
      </c>
      <c r="R1760" s="122">
        <v>4897</v>
      </c>
      <c r="S1760" s="122">
        <v>4452</v>
      </c>
      <c r="T1760" s="122">
        <v>3227</v>
      </c>
      <c r="U1760" s="122">
        <v>1195</v>
      </c>
      <c r="V1760" s="122">
        <v>17976</v>
      </c>
      <c r="W1760" s="122">
        <f t="shared" si="54"/>
        <v>17976</v>
      </c>
      <c r="X1760" s="122">
        <f t="shared" si="55"/>
        <v>23509</v>
      </c>
      <c r="AA1760" t="s">
        <v>60</v>
      </c>
      <c r="AB1760" t="s">
        <v>407</v>
      </c>
      <c r="AC1760" t="s">
        <v>427</v>
      </c>
      <c r="AD1760" t="s">
        <v>427</v>
      </c>
      <c r="AE1760" t="s">
        <v>566</v>
      </c>
      <c r="AF1760">
        <v>1</v>
      </c>
      <c r="AG1760" s="122">
        <v>128</v>
      </c>
      <c r="AH1760" s="122">
        <v>379</v>
      </c>
      <c r="AI1760" s="122">
        <v>36807</v>
      </c>
      <c r="AJ1760" s="122">
        <v>33461</v>
      </c>
      <c r="AK1760">
        <v>78</v>
      </c>
      <c r="AL1760" s="122">
        <v>10101</v>
      </c>
      <c r="AM1760" s="122">
        <v>9183</v>
      </c>
      <c r="AN1760" s="122">
        <v>3567</v>
      </c>
      <c r="AO1760" s="122">
        <v>1321</v>
      </c>
      <c r="AP1760" s="122">
        <v>473</v>
      </c>
      <c r="AQ1760" s="122">
        <v>175</v>
      </c>
      <c r="AR1760" s="122">
        <v>6887</v>
      </c>
      <c r="AS1760" s="122">
        <v>6261</v>
      </c>
      <c r="AT1760" s="122">
        <v>0</v>
      </c>
      <c r="AU1760" s="122">
        <v>0</v>
      </c>
      <c r="AV1760" s="122">
        <v>50401</v>
      </c>
    </row>
    <row r="1761" spans="2:48" hidden="1">
      <c r="B1761" t="s">
        <v>374</v>
      </c>
      <c r="C1761" t="s">
        <v>56</v>
      </c>
      <c r="D1761" t="s">
        <v>407</v>
      </c>
      <c r="E1761" t="s">
        <v>137</v>
      </c>
      <c r="F1761" s="122">
        <v>2</v>
      </c>
      <c r="G1761" s="122">
        <v>341</v>
      </c>
      <c r="H1761" s="122">
        <v>361</v>
      </c>
      <c r="I1761" s="122">
        <v>35470</v>
      </c>
      <c r="J1761" s="122">
        <v>32246</v>
      </c>
      <c r="K1761" s="122">
        <v>91</v>
      </c>
      <c r="L1761" s="122">
        <v>10808</v>
      </c>
      <c r="M1761" s="122">
        <v>6892</v>
      </c>
      <c r="N1761" s="122">
        <v>6227</v>
      </c>
      <c r="O1761" s="122">
        <v>2306</v>
      </c>
      <c r="P1761" s="122">
        <v>945</v>
      </c>
      <c r="Q1761" s="122">
        <v>350</v>
      </c>
      <c r="R1761" s="122">
        <v>12975</v>
      </c>
      <c r="S1761" s="122">
        <v>4806</v>
      </c>
      <c r="T1761" s="122">
        <v>0</v>
      </c>
      <c r="U1761" s="122">
        <v>0</v>
      </c>
      <c r="V1761" s="122">
        <v>46599</v>
      </c>
      <c r="W1761" s="122">
        <f t="shared" si="54"/>
        <v>46600</v>
      </c>
      <c r="X1761" s="122">
        <f t="shared" si="55"/>
        <v>66425</v>
      </c>
      <c r="AA1761" t="s">
        <v>60</v>
      </c>
      <c r="AB1761" t="s">
        <v>407</v>
      </c>
      <c r="AC1761" t="s">
        <v>427</v>
      </c>
      <c r="AD1761" t="s">
        <v>407</v>
      </c>
      <c r="AE1761" t="s">
        <v>137</v>
      </c>
      <c r="AF1761">
        <v>129</v>
      </c>
      <c r="AG1761" s="122">
        <v>15724</v>
      </c>
      <c r="AH1761" s="122">
        <v>43590</v>
      </c>
      <c r="AI1761" s="122">
        <v>3257505</v>
      </c>
      <c r="AJ1761" s="122">
        <v>2961368</v>
      </c>
      <c r="AK1761">
        <v>79</v>
      </c>
      <c r="AL1761" s="122">
        <v>889070</v>
      </c>
      <c r="AM1761" s="122">
        <v>808245</v>
      </c>
      <c r="AN1761" s="122">
        <v>343310</v>
      </c>
      <c r="AO1761" s="122">
        <v>127152</v>
      </c>
      <c r="AP1761" s="122">
        <v>61763</v>
      </c>
      <c r="AQ1761" s="122">
        <v>22875</v>
      </c>
      <c r="AR1761" s="122">
        <v>622327</v>
      </c>
      <c r="AS1761" s="122">
        <v>565752</v>
      </c>
      <c r="AT1761" s="122">
        <v>275082</v>
      </c>
      <c r="AU1761" s="122">
        <v>101882</v>
      </c>
      <c r="AV1761" s="122">
        <v>4587274</v>
      </c>
    </row>
    <row r="1762" spans="2:48" hidden="1">
      <c r="B1762" t="s">
        <v>374</v>
      </c>
      <c r="C1762" t="s">
        <v>56</v>
      </c>
      <c r="D1762" t="s">
        <v>407</v>
      </c>
      <c r="E1762" t="s">
        <v>406</v>
      </c>
      <c r="F1762" s="122">
        <v>3</v>
      </c>
      <c r="G1762" s="122">
        <v>509</v>
      </c>
      <c r="H1762" s="122">
        <v>553</v>
      </c>
      <c r="I1762" s="122">
        <v>50869</v>
      </c>
      <c r="J1762" s="122">
        <v>46245</v>
      </c>
      <c r="K1762" s="122">
        <v>90</v>
      </c>
      <c r="L1762" s="122">
        <v>14044</v>
      </c>
      <c r="M1762" s="122">
        <v>12137</v>
      </c>
      <c r="N1762" s="122">
        <v>11213</v>
      </c>
      <c r="O1762" s="122">
        <v>4153</v>
      </c>
      <c r="P1762" s="122">
        <v>1418</v>
      </c>
      <c r="Q1762" s="122">
        <v>525</v>
      </c>
      <c r="R1762" s="122">
        <v>16600</v>
      </c>
      <c r="S1762" s="122">
        <v>15091</v>
      </c>
      <c r="T1762" s="122">
        <v>2606</v>
      </c>
      <c r="U1762" s="122">
        <v>965</v>
      </c>
      <c r="V1762" s="122">
        <v>79116</v>
      </c>
      <c r="W1762" s="122">
        <f t="shared" si="54"/>
        <v>79116</v>
      </c>
      <c r="X1762" s="122">
        <f t="shared" si="55"/>
        <v>96750</v>
      </c>
      <c r="AA1762" t="s">
        <v>60</v>
      </c>
      <c r="AB1762" t="s">
        <v>407</v>
      </c>
      <c r="AC1762" t="s">
        <v>427</v>
      </c>
      <c r="AD1762" t="s">
        <v>407</v>
      </c>
      <c r="AE1762" t="s">
        <v>566</v>
      </c>
      <c r="AF1762">
        <v>91</v>
      </c>
      <c r="AG1762" s="122">
        <v>11355</v>
      </c>
      <c r="AH1762" s="122">
        <v>30657</v>
      </c>
      <c r="AI1762" s="122">
        <v>2455989</v>
      </c>
      <c r="AJ1762" s="122">
        <v>2232717</v>
      </c>
      <c r="AK1762">
        <v>80</v>
      </c>
      <c r="AL1762" s="122">
        <v>654525</v>
      </c>
      <c r="AM1762" s="122">
        <v>595023</v>
      </c>
      <c r="AN1762" s="122">
        <v>247077</v>
      </c>
      <c r="AO1762" s="122">
        <v>91510</v>
      </c>
      <c r="AP1762" s="122">
        <v>43470</v>
      </c>
      <c r="AQ1762" s="122">
        <v>16100</v>
      </c>
      <c r="AR1762" s="122">
        <v>564047</v>
      </c>
      <c r="AS1762" s="122">
        <v>512770</v>
      </c>
      <c r="AT1762">
        <v>0</v>
      </c>
      <c r="AU1762">
        <v>0</v>
      </c>
      <c r="AV1762" s="122">
        <v>3448120</v>
      </c>
    </row>
    <row r="1763" spans="2:48" hidden="1">
      <c r="B1763" t="s">
        <v>374</v>
      </c>
      <c r="C1763" t="s">
        <v>56</v>
      </c>
      <c r="D1763" t="s">
        <v>407</v>
      </c>
      <c r="E1763" t="s">
        <v>407</v>
      </c>
      <c r="F1763" s="122">
        <v>940</v>
      </c>
      <c r="G1763" s="122">
        <v>154352</v>
      </c>
      <c r="H1763" s="122">
        <v>176623</v>
      </c>
      <c r="I1763" s="122">
        <v>15726136</v>
      </c>
      <c r="J1763" s="122">
        <v>14296488</v>
      </c>
      <c r="K1763" s="122">
        <v>84</v>
      </c>
      <c r="L1763" s="122">
        <v>4140588</v>
      </c>
      <c r="M1763" s="122">
        <v>3617921</v>
      </c>
      <c r="N1763" s="122">
        <v>3200395</v>
      </c>
      <c r="O1763" s="122">
        <v>1185331</v>
      </c>
      <c r="P1763" s="122">
        <v>470577</v>
      </c>
      <c r="Q1763" s="122">
        <v>174288</v>
      </c>
      <c r="R1763" s="122">
        <v>5177029</v>
      </c>
      <c r="S1763" s="122">
        <v>4706390</v>
      </c>
      <c r="T1763" s="122">
        <v>946352</v>
      </c>
      <c r="U1763" s="122">
        <v>350501</v>
      </c>
      <c r="V1763" s="122">
        <v>24330918</v>
      </c>
      <c r="W1763" s="122">
        <f t="shared" si="54"/>
        <v>24330919</v>
      </c>
      <c r="X1763" s="122">
        <f t="shared" si="55"/>
        <v>29661077</v>
      </c>
      <c r="AA1763" t="s">
        <v>60</v>
      </c>
      <c r="AB1763" t="s">
        <v>407</v>
      </c>
      <c r="AC1763" t="s">
        <v>407</v>
      </c>
      <c r="AD1763" t="s">
        <v>137</v>
      </c>
      <c r="AE1763" t="s">
        <v>566</v>
      </c>
      <c r="AF1763">
        <v>3</v>
      </c>
      <c r="AG1763">
        <v>260</v>
      </c>
      <c r="AH1763" s="122">
        <v>1013</v>
      </c>
      <c r="AI1763" s="122">
        <v>53943</v>
      </c>
      <c r="AJ1763" s="122">
        <v>49039</v>
      </c>
      <c r="AK1763">
        <v>80</v>
      </c>
      <c r="AL1763" s="122">
        <v>9430</v>
      </c>
      <c r="AM1763" s="122">
        <v>8573</v>
      </c>
      <c r="AN1763" s="122">
        <v>5102</v>
      </c>
      <c r="AO1763" s="122">
        <v>1890</v>
      </c>
      <c r="AP1763" s="122">
        <v>1296</v>
      </c>
      <c r="AQ1763">
        <v>480</v>
      </c>
      <c r="AR1763" s="122">
        <v>17933</v>
      </c>
      <c r="AS1763" s="122">
        <v>6642</v>
      </c>
      <c r="AT1763">
        <v>0</v>
      </c>
      <c r="AU1763">
        <v>0</v>
      </c>
      <c r="AV1763" s="122">
        <v>66623</v>
      </c>
    </row>
    <row r="1764" spans="2:48" hidden="1">
      <c r="B1764" t="s">
        <v>374</v>
      </c>
      <c r="C1764" t="s">
        <v>56</v>
      </c>
      <c r="D1764" t="s">
        <v>407</v>
      </c>
      <c r="E1764" t="s">
        <v>556</v>
      </c>
      <c r="F1764" s="122">
        <v>1</v>
      </c>
      <c r="G1764" s="122">
        <v>199</v>
      </c>
      <c r="H1764" s="122">
        <v>224</v>
      </c>
      <c r="I1764" s="122">
        <v>31308</v>
      </c>
      <c r="J1764" s="122">
        <v>28462</v>
      </c>
      <c r="K1764" s="122">
        <v>90</v>
      </c>
      <c r="L1764" s="122">
        <v>5235</v>
      </c>
      <c r="M1764" s="122">
        <v>4759</v>
      </c>
      <c r="N1764" s="122">
        <v>3908</v>
      </c>
      <c r="O1764" s="122">
        <v>1447</v>
      </c>
      <c r="P1764" s="122">
        <v>473</v>
      </c>
      <c r="Q1764" s="122">
        <v>175</v>
      </c>
      <c r="R1764" s="122">
        <v>3657</v>
      </c>
      <c r="S1764" s="122">
        <v>3048</v>
      </c>
      <c r="T1764" s="122">
        <v>0</v>
      </c>
      <c r="U1764" s="122">
        <v>0</v>
      </c>
      <c r="V1764" s="122">
        <v>37891</v>
      </c>
      <c r="W1764" s="122">
        <f t="shared" si="54"/>
        <v>37891</v>
      </c>
      <c r="X1764" s="122">
        <f t="shared" si="55"/>
        <v>44581</v>
      </c>
      <c r="AA1764" t="s">
        <v>60</v>
      </c>
      <c r="AB1764" t="s">
        <v>407</v>
      </c>
      <c r="AC1764" t="s">
        <v>407</v>
      </c>
      <c r="AD1764" t="s">
        <v>406</v>
      </c>
      <c r="AE1764" t="s">
        <v>137</v>
      </c>
      <c r="AF1764">
        <v>1</v>
      </c>
      <c r="AG1764" s="122">
        <v>179</v>
      </c>
      <c r="AH1764" s="122">
        <v>374</v>
      </c>
      <c r="AI1764" s="122">
        <v>38283</v>
      </c>
      <c r="AJ1764" s="122">
        <v>34803</v>
      </c>
      <c r="AK1764">
        <v>78</v>
      </c>
      <c r="AL1764" s="122">
        <v>15739</v>
      </c>
      <c r="AM1764" s="122">
        <v>14308</v>
      </c>
      <c r="AN1764" s="122">
        <v>4257</v>
      </c>
      <c r="AO1764" s="122">
        <v>1577</v>
      </c>
      <c r="AP1764" s="122">
        <v>473</v>
      </c>
      <c r="AQ1764" s="122">
        <v>175</v>
      </c>
      <c r="AR1764" s="122">
        <v>8234</v>
      </c>
      <c r="AS1764" s="122">
        <v>7486</v>
      </c>
      <c r="AT1764" s="122">
        <v>0</v>
      </c>
      <c r="AU1764" s="122">
        <v>0</v>
      </c>
      <c r="AV1764" s="122">
        <v>58348</v>
      </c>
    </row>
    <row r="1765" spans="2:48" hidden="1">
      <c r="B1765" t="s">
        <v>374</v>
      </c>
      <c r="C1765" t="s">
        <v>56</v>
      </c>
      <c r="D1765" t="s">
        <v>426</v>
      </c>
      <c r="E1765" t="s">
        <v>406</v>
      </c>
      <c r="F1765" s="122">
        <v>1</v>
      </c>
      <c r="G1765" s="122">
        <v>154</v>
      </c>
      <c r="H1765" s="122">
        <v>212</v>
      </c>
      <c r="I1765" s="122">
        <v>20657</v>
      </c>
      <c r="J1765" s="122">
        <v>18779</v>
      </c>
      <c r="K1765" s="122">
        <v>93</v>
      </c>
      <c r="L1765" s="122">
        <v>3277</v>
      </c>
      <c r="M1765" s="122">
        <v>2979</v>
      </c>
      <c r="N1765" s="122">
        <v>1876</v>
      </c>
      <c r="O1765" s="122">
        <v>695</v>
      </c>
      <c r="P1765" s="122">
        <v>1404</v>
      </c>
      <c r="Q1765" s="122">
        <v>520</v>
      </c>
      <c r="R1765" s="122">
        <v>5403</v>
      </c>
      <c r="S1765" s="122">
        <v>4911</v>
      </c>
      <c r="T1765" s="122">
        <v>0</v>
      </c>
      <c r="U1765" s="122">
        <v>0</v>
      </c>
      <c r="V1765" s="122">
        <v>27884</v>
      </c>
      <c r="W1765" s="122">
        <f t="shared" si="54"/>
        <v>27884</v>
      </c>
      <c r="X1765" s="122">
        <f t="shared" si="55"/>
        <v>32617</v>
      </c>
      <c r="AA1765" t="s">
        <v>60</v>
      </c>
      <c r="AB1765" t="s">
        <v>407</v>
      </c>
      <c r="AC1765" t="s">
        <v>407</v>
      </c>
      <c r="AD1765" t="s">
        <v>407</v>
      </c>
      <c r="AE1765" t="s">
        <v>137</v>
      </c>
      <c r="AF1765">
        <v>523</v>
      </c>
      <c r="AG1765" s="122">
        <v>68268</v>
      </c>
      <c r="AH1765" s="122">
        <v>177030</v>
      </c>
      <c r="AI1765" s="122">
        <v>13929136</v>
      </c>
      <c r="AJ1765" s="122">
        <v>12662851</v>
      </c>
      <c r="AK1765">
        <v>76</v>
      </c>
      <c r="AL1765" s="122">
        <v>3859921</v>
      </c>
      <c r="AM1765" s="122">
        <v>3509019</v>
      </c>
      <c r="AN1765" s="122">
        <v>1475199</v>
      </c>
      <c r="AO1765" s="122">
        <v>546370</v>
      </c>
      <c r="AP1765" s="122">
        <v>247666</v>
      </c>
      <c r="AQ1765" s="122">
        <v>91728</v>
      </c>
      <c r="AR1765" s="122">
        <v>2533559</v>
      </c>
      <c r="AS1765" s="122">
        <v>2303235</v>
      </c>
      <c r="AT1765" s="122">
        <v>1375875</v>
      </c>
      <c r="AU1765" s="122">
        <v>509583</v>
      </c>
      <c r="AV1765" s="122">
        <v>19622787</v>
      </c>
    </row>
    <row r="1766" spans="2:48" hidden="1">
      <c r="B1766" t="s">
        <v>374</v>
      </c>
      <c r="C1766" t="s">
        <v>56</v>
      </c>
      <c r="D1766" t="s">
        <v>426</v>
      </c>
      <c r="E1766" t="s">
        <v>426</v>
      </c>
      <c r="F1766" s="122">
        <v>11</v>
      </c>
      <c r="G1766" s="122">
        <v>1630</v>
      </c>
      <c r="H1766" s="122">
        <v>2318</v>
      </c>
      <c r="I1766" s="122">
        <v>197358</v>
      </c>
      <c r="J1766" s="122">
        <v>179416</v>
      </c>
      <c r="K1766" s="122">
        <v>68</v>
      </c>
      <c r="L1766" s="122">
        <v>32541</v>
      </c>
      <c r="M1766" s="122">
        <v>29583</v>
      </c>
      <c r="N1766" s="122">
        <v>34241</v>
      </c>
      <c r="O1766" s="122">
        <v>12682</v>
      </c>
      <c r="P1766" s="122">
        <v>4334</v>
      </c>
      <c r="Q1766" s="122">
        <v>1605</v>
      </c>
      <c r="R1766" s="122">
        <v>53015</v>
      </c>
      <c r="S1766" s="122">
        <v>48196</v>
      </c>
      <c r="T1766" s="122">
        <v>24539</v>
      </c>
      <c r="U1766" s="122">
        <v>9088</v>
      </c>
      <c r="V1766" s="122">
        <v>280570</v>
      </c>
      <c r="W1766" s="122">
        <f t="shared" si="54"/>
        <v>280570</v>
      </c>
      <c r="X1766" s="122">
        <f t="shared" si="55"/>
        <v>346028</v>
      </c>
      <c r="AA1766" t="s">
        <v>60</v>
      </c>
      <c r="AB1766" t="s">
        <v>407</v>
      </c>
      <c r="AC1766" t="s">
        <v>407</v>
      </c>
      <c r="AD1766" t="s">
        <v>407</v>
      </c>
      <c r="AE1766" t="s">
        <v>566</v>
      </c>
      <c r="AF1766">
        <v>432</v>
      </c>
      <c r="AG1766" s="122">
        <v>62973</v>
      </c>
      <c r="AH1766" s="122">
        <v>145142</v>
      </c>
      <c r="AI1766" s="122">
        <v>13142085</v>
      </c>
      <c r="AJ1766" s="122">
        <v>11947350</v>
      </c>
      <c r="AK1766">
        <v>81</v>
      </c>
      <c r="AL1766" s="122">
        <v>4164336</v>
      </c>
      <c r="AM1766" s="122">
        <v>3785760</v>
      </c>
      <c r="AN1766" s="122">
        <v>1354174</v>
      </c>
      <c r="AO1766" s="122">
        <v>501546</v>
      </c>
      <c r="AP1766" s="122">
        <v>207590</v>
      </c>
      <c r="AQ1766" s="122">
        <v>76885</v>
      </c>
      <c r="AR1766" s="122">
        <v>2709943</v>
      </c>
      <c r="AS1766" s="122">
        <v>2463584</v>
      </c>
      <c r="AT1766">
        <v>0</v>
      </c>
      <c r="AU1766">
        <v>0</v>
      </c>
      <c r="AV1766" s="122">
        <v>18775125</v>
      </c>
    </row>
    <row r="1767" spans="2:48" hidden="1">
      <c r="B1767" t="s">
        <v>374</v>
      </c>
      <c r="C1767" t="s">
        <v>56</v>
      </c>
      <c r="D1767" t="s">
        <v>433</v>
      </c>
      <c r="E1767" t="s">
        <v>137</v>
      </c>
      <c r="F1767" s="122">
        <v>1</v>
      </c>
      <c r="G1767" s="122">
        <v>167</v>
      </c>
      <c r="H1767" s="122">
        <v>172</v>
      </c>
      <c r="I1767" s="122">
        <v>16249</v>
      </c>
      <c r="J1767" s="122">
        <v>14772</v>
      </c>
      <c r="K1767" s="122">
        <v>75</v>
      </c>
      <c r="L1767" s="122">
        <v>3324</v>
      </c>
      <c r="M1767" s="122">
        <v>1231</v>
      </c>
      <c r="N1767" s="122">
        <v>2037</v>
      </c>
      <c r="O1767" s="122">
        <v>754</v>
      </c>
      <c r="P1767" s="122">
        <v>0</v>
      </c>
      <c r="Q1767" s="122">
        <v>0</v>
      </c>
      <c r="R1767" s="122">
        <v>7101</v>
      </c>
      <c r="S1767" s="122">
        <v>2630</v>
      </c>
      <c r="T1767" s="122">
        <v>0</v>
      </c>
      <c r="U1767" s="122">
        <v>0</v>
      </c>
      <c r="V1767" s="122">
        <v>19387</v>
      </c>
      <c r="W1767" s="122">
        <f t="shared" si="54"/>
        <v>19387</v>
      </c>
      <c r="X1767" s="122">
        <f t="shared" si="55"/>
        <v>28711</v>
      </c>
      <c r="AA1767" t="s">
        <v>60</v>
      </c>
      <c r="AB1767" t="s">
        <v>407</v>
      </c>
      <c r="AC1767" t="s">
        <v>407</v>
      </c>
      <c r="AD1767" t="s">
        <v>579</v>
      </c>
      <c r="AE1767" t="s">
        <v>566</v>
      </c>
      <c r="AF1767">
        <v>1</v>
      </c>
      <c r="AG1767">
        <v>61</v>
      </c>
      <c r="AH1767">
        <v>312</v>
      </c>
      <c r="AI1767" s="122">
        <v>12739</v>
      </c>
      <c r="AJ1767" s="122">
        <v>11581</v>
      </c>
      <c r="AK1767">
        <v>78</v>
      </c>
      <c r="AL1767" s="122">
        <v>1758</v>
      </c>
      <c r="AM1767" s="122">
        <v>1598</v>
      </c>
      <c r="AN1767" s="122">
        <v>1494</v>
      </c>
      <c r="AO1767" s="122">
        <v>553</v>
      </c>
      <c r="AP1767">
        <v>473</v>
      </c>
      <c r="AQ1767">
        <v>175</v>
      </c>
      <c r="AR1767" s="122">
        <v>2646</v>
      </c>
      <c r="AS1767" s="122">
        <v>2205</v>
      </c>
      <c r="AT1767">
        <v>0</v>
      </c>
      <c r="AU1767">
        <v>0</v>
      </c>
      <c r="AV1767" s="122">
        <v>16112</v>
      </c>
    </row>
    <row r="1768" spans="2:48" hidden="1">
      <c r="B1768" t="s">
        <v>374</v>
      </c>
      <c r="C1768" t="s">
        <v>56</v>
      </c>
      <c r="D1768" t="s">
        <v>408</v>
      </c>
      <c r="E1768" t="s">
        <v>408</v>
      </c>
      <c r="F1768" s="122">
        <v>10</v>
      </c>
      <c r="G1768" s="122">
        <v>1415</v>
      </c>
      <c r="H1768" s="122">
        <v>1940</v>
      </c>
      <c r="I1768" s="122">
        <v>166864</v>
      </c>
      <c r="J1768" s="122">
        <v>151694</v>
      </c>
      <c r="K1768" s="122">
        <v>72</v>
      </c>
      <c r="L1768" s="122">
        <v>25547</v>
      </c>
      <c r="M1768" s="122">
        <v>20919</v>
      </c>
      <c r="N1768" s="122">
        <v>25837</v>
      </c>
      <c r="O1768" s="122">
        <v>9569</v>
      </c>
      <c r="P1768" s="122">
        <v>4752</v>
      </c>
      <c r="Q1768" s="122">
        <v>1760</v>
      </c>
      <c r="R1768" s="122">
        <v>41883</v>
      </c>
      <c r="S1768" s="122">
        <v>38076</v>
      </c>
      <c r="T1768" s="122">
        <v>3705</v>
      </c>
      <c r="U1768" s="122">
        <v>1372</v>
      </c>
      <c r="V1768" s="122">
        <v>223391</v>
      </c>
      <c r="W1768" s="122">
        <f t="shared" si="54"/>
        <v>223390</v>
      </c>
      <c r="X1768" s="122">
        <f t="shared" si="55"/>
        <v>268588</v>
      </c>
      <c r="AA1768" t="s">
        <v>60</v>
      </c>
      <c r="AB1768" t="s">
        <v>407</v>
      </c>
      <c r="AC1768" t="s">
        <v>579</v>
      </c>
      <c r="AD1768" t="s">
        <v>137</v>
      </c>
      <c r="AE1768" t="s">
        <v>566</v>
      </c>
      <c r="AF1768">
        <v>2</v>
      </c>
      <c r="AG1768">
        <v>490</v>
      </c>
      <c r="AH1768">
        <v>706</v>
      </c>
      <c r="AI1768" s="122">
        <v>132943</v>
      </c>
      <c r="AJ1768" s="122">
        <v>120857</v>
      </c>
      <c r="AK1768">
        <v>72</v>
      </c>
      <c r="AL1768" s="122">
        <v>28465</v>
      </c>
      <c r="AM1768" s="122">
        <v>23721</v>
      </c>
      <c r="AN1768" s="122">
        <v>9918</v>
      </c>
      <c r="AO1768" s="122">
        <v>3673</v>
      </c>
      <c r="AP1768">
        <v>945</v>
      </c>
      <c r="AQ1768">
        <v>350</v>
      </c>
      <c r="AR1768" s="122">
        <v>14079</v>
      </c>
      <c r="AS1768" s="122">
        <v>5214</v>
      </c>
      <c r="AT1768">
        <v>0</v>
      </c>
      <c r="AU1768">
        <v>0</v>
      </c>
      <c r="AV1768" s="122">
        <v>153816</v>
      </c>
    </row>
    <row r="1769" spans="2:48" hidden="1">
      <c r="B1769" t="s">
        <v>374</v>
      </c>
      <c r="C1769" t="s">
        <v>56</v>
      </c>
      <c r="D1769" t="s">
        <v>429</v>
      </c>
      <c r="E1769" t="s">
        <v>429</v>
      </c>
      <c r="F1769" s="122">
        <v>1</v>
      </c>
      <c r="G1769" s="122">
        <v>147</v>
      </c>
      <c r="H1769" s="122">
        <v>156</v>
      </c>
      <c r="I1769" s="122">
        <v>12764</v>
      </c>
      <c r="J1769" s="122">
        <v>11604</v>
      </c>
      <c r="K1769" s="122">
        <v>87</v>
      </c>
      <c r="L1769" s="122">
        <v>1556</v>
      </c>
      <c r="M1769" s="122">
        <v>1415</v>
      </c>
      <c r="N1769" s="122">
        <v>2690</v>
      </c>
      <c r="O1769" s="122">
        <v>996</v>
      </c>
      <c r="P1769" s="122">
        <v>972</v>
      </c>
      <c r="Q1769" s="122">
        <v>360</v>
      </c>
      <c r="R1769" s="122">
        <v>5030</v>
      </c>
      <c r="S1769" s="122">
        <v>4573</v>
      </c>
      <c r="T1769" s="122">
        <v>0</v>
      </c>
      <c r="U1769" s="122">
        <v>0</v>
      </c>
      <c r="V1769" s="122">
        <v>18948</v>
      </c>
      <c r="W1769" s="122">
        <f t="shared" si="54"/>
        <v>18948</v>
      </c>
      <c r="X1769" s="122">
        <f t="shared" si="55"/>
        <v>23012</v>
      </c>
      <c r="AA1769" t="s">
        <v>60</v>
      </c>
      <c r="AB1769" t="s">
        <v>407</v>
      </c>
      <c r="AC1769" t="s">
        <v>579</v>
      </c>
      <c r="AD1769" t="s">
        <v>406</v>
      </c>
      <c r="AE1769" t="s">
        <v>566</v>
      </c>
      <c r="AF1769">
        <v>1</v>
      </c>
      <c r="AG1769" s="122">
        <v>186</v>
      </c>
      <c r="AH1769" s="122">
        <v>336</v>
      </c>
      <c r="AI1769" s="122">
        <v>36467</v>
      </c>
      <c r="AJ1769" s="122">
        <v>33152</v>
      </c>
      <c r="AK1769">
        <v>90</v>
      </c>
      <c r="AL1769" s="122">
        <v>12657</v>
      </c>
      <c r="AM1769" s="122">
        <v>10547</v>
      </c>
      <c r="AN1769" s="122">
        <v>4525</v>
      </c>
      <c r="AO1769" s="122">
        <v>1676</v>
      </c>
      <c r="AP1769" s="122">
        <v>473</v>
      </c>
      <c r="AQ1769" s="122">
        <v>175</v>
      </c>
      <c r="AR1769" s="122">
        <v>8291</v>
      </c>
      <c r="AS1769" s="122">
        <v>7537</v>
      </c>
      <c r="AT1769" s="122">
        <v>0</v>
      </c>
      <c r="AU1769" s="122">
        <v>0</v>
      </c>
      <c r="AV1769" s="122">
        <v>53087</v>
      </c>
    </row>
    <row r="1770" spans="2:48" hidden="1">
      <c r="B1770" t="s">
        <v>374</v>
      </c>
      <c r="C1770" t="s">
        <v>58</v>
      </c>
      <c r="F1770" s="122">
        <v>1</v>
      </c>
      <c r="G1770" s="122">
        <v>122</v>
      </c>
      <c r="H1770" s="122">
        <v>299</v>
      </c>
      <c r="I1770" s="122"/>
      <c r="J1770" s="122">
        <v>0</v>
      </c>
      <c r="K1770" s="122"/>
      <c r="L1770" s="122"/>
      <c r="M1770" s="122">
        <v>0</v>
      </c>
      <c r="N1770" s="122">
        <v>2532</v>
      </c>
      <c r="O1770" s="122">
        <v>938</v>
      </c>
      <c r="P1770" s="122">
        <v>621</v>
      </c>
      <c r="Q1770" s="122">
        <v>230</v>
      </c>
      <c r="R1770" s="122"/>
      <c r="S1770" s="122">
        <v>0</v>
      </c>
      <c r="T1770" s="122">
        <v>0</v>
      </c>
      <c r="U1770" s="122">
        <v>0</v>
      </c>
      <c r="V1770" s="122">
        <v>1168</v>
      </c>
      <c r="W1770" s="122">
        <f t="shared" si="54"/>
        <v>1168</v>
      </c>
      <c r="X1770" s="122">
        <f t="shared" si="55"/>
        <v>3153</v>
      </c>
      <c r="AA1770" t="s">
        <v>60</v>
      </c>
      <c r="AB1770" t="s">
        <v>407</v>
      </c>
      <c r="AC1770" t="s">
        <v>579</v>
      </c>
      <c r="AD1770" t="s">
        <v>407</v>
      </c>
      <c r="AE1770" t="s">
        <v>137</v>
      </c>
      <c r="AF1770">
        <v>440</v>
      </c>
      <c r="AG1770" s="122">
        <v>58128</v>
      </c>
      <c r="AH1770" s="122">
        <v>149168</v>
      </c>
      <c r="AI1770" s="122">
        <v>12020273</v>
      </c>
      <c r="AJ1770" s="122">
        <v>10927521</v>
      </c>
      <c r="AK1770">
        <v>78</v>
      </c>
      <c r="AL1770" s="122">
        <v>3337317</v>
      </c>
      <c r="AM1770" s="122">
        <v>2781098</v>
      </c>
      <c r="AN1770" s="122">
        <v>1257164</v>
      </c>
      <c r="AO1770" s="122">
        <v>465616</v>
      </c>
      <c r="AP1770" s="122">
        <v>208305</v>
      </c>
      <c r="AQ1770" s="122">
        <v>77150</v>
      </c>
      <c r="AR1770" s="122">
        <v>2073656</v>
      </c>
      <c r="AS1770" s="122">
        <v>1885142</v>
      </c>
      <c r="AT1770" s="122">
        <v>1173757</v>
      </c>
      <c r="AU1770" s="122">
        <v>434725</v>
      </c>
      <c r="AV1770" s="122">
        <v>16571251</v>
      </c>
    </row>
    <row r="1771" spans="2:48" hidden="1">
      <c r="B1771" t="s">
        <v>374</v>
      </c>
      <c r="C1771" t="s">
        <v>58</v>
      </c>
      <c r="D1771" t="s">
        <v>425</v>
      </c>
      <c r="E1771" t="s">
        <v>425</v>
      </c>
      <c r="F1771" s="122">
        <v>4</v>
      </c>
      <c r="G1771" s="122">
        <v>340</v>
      </c>
      <c r="H1771" s="122">
        <v>1024</v>
      </c>
      <c r="I1771" s="122">
        <v>56591</v>
      </c>
      <c r="J1771" s="122">
        <v>51446</v>
      </c>
      <c r="K1771" s="122">
        <v>75</v>
      </c>
      <c r="L1771" s="122">
        <v>13528</v>
      </c>
      <c r="M1771" s="122">
        <v>10089</v>
      </c>
      <c r="N1771" s="122">
        <v>7125</v>
      </c>
      <c r="O1771" s="122">
        <v>2639</v>
      </c>
      <c r="P1771" s="122">
        <v>1890</v>
      </c>
      <c r="Q1771" s="122">
        <v>700</v>
      </c>
      <c r="R1771" s="122">
        <v>18157</v>
      </c>
      <c r="S1771" s="122">
        <v>16506</v>
      </c>
      <c r="T1771" s="122">
        <v>0</v>
      </c>
      <c r="U1771" s="122">
        <v>0</v>
      </c>
      <c r="V1771" s="122">
        <v>81380</v>
      </c>
      <c r="W1771" s="122">
        <f t="shared" si="54"/>
        <v>81380</v>
      </c>
      <c r="X1771" s="122">
        <f t="shared" si="55"/>
        <v>97291</v>
      </c>
      <c r="AA1771" t="s">
        <v>60</v>
      </c>
      <c r="AB1771" t="s">
        <v>407</v>
      </c>
      <c r="AC1771" t="s">
        <v>579</v>
      </c>
      <c r="AD1771" t="s">
        <v>407</v>
      </c>
      <c r="AE1771" t="s">
        <v>566</v>
      </c>
      <c r="AF1771">
        <v>426</v>
      </c>
      <c r="AG1771" s="122">
        <v>61009</v>
      </c>
      <c r="AH1771" s="122">
        <v>143243</v>
      </c>
      <c r="AI1771" s="122">
        <v>13196911</v>
      </c>
      <c r="AJ1771" s="122">
        <v>11997192</v>
      </c>
      <c r="AK1771">
        <v>83</v>
      </c>
      <c r="AL1771" s="122">
        <v>3956034</v>
      </c>
      <c r="AM1771" s="122">
        <v>3296695</v>
      </c>
      <c r="AN1771" s="122">
        <v>1308633</v>
      </c>
      <c r="AO1771" s="122">
        <v>484679</v>
      </c>
      <c r="AP1771" s="122">
        <v>209291</v>
      </c>
      <c r="AQ1771" s="122">
        <v>77515</v>
      </c>
      <c r="AR1771" s="122">
        <v>2500071</v>
      </c>
      <c r="AS1771" s="122">
        <v>2272792</v>
      </c>
      <c r="AT1771" s="122">
        <v>0</v>
      </c>
      <c r="AU1771" s="122">
        <v>0</v>
      </c>
      <c r="AV1771" s="122">
        <v>18128872</v>
      </c>
    </row>
    <row r="1772" spans="2:48" hidden="1">
      <c r="B1772" t="s">
        <v>374</v>
      </c>
      <c r="C1772" t="s">
        <v>58</v>
      </c>
      <c r="D1772" t="s">
        <v>425</v>
      </c>
      <c r="E1772" t="s">
        <v>405</v>
      </c>
      <c r="F1772" s="122">
        <v>1</v>
      </c>
      <c r="G1772" s="122">
        <v>102</v>
      </c>
      <c r="H1772" s="122">
        <v>253</v>
      </c>
      <c r="I1772" s="122">
        <v>16898</v>
      </c>
      <c r="J1772" s="122">
        <v>15362</v>
      </c>
      <c r="K1772" s="122">
        <v>72</v>
      </c>
      <c r="L1772" s="122">
        <v>4281</v>
      </c>
      <c r="M1772" s="122">
        <v>3892</v>
      </c>
      <c r="N1772" s="122">
        <v>3290</v>
      </c>
      <c r="O1772" s="122">
        <v>1219</v>
      </c>
      <c r="P1772" s="122">
        <v>473</v>
      </c>
      <c r="Q1772" s="122">
        <v>175</v>
      </c>
      <c r="R1772" s="122">
        <v>5625</v>
      </c>
      <c r="S1772" s="122">
        <v>5114</v>
      </c>
      <c r="T1772" s="122">
        <v>3565</v>
      </c>
      <c r="U1772" s="122">
        <v>1320</v>
      </c>
      <c r="V1772" s="122">
        <v>27082</v>
      </c>
      <c r="W1772" s="122">
        <f t="shared" si="54"/>
        <v>27082</v>
      </c>
      <c r="X1772" s="122">
        <f t="shared" si="55"/>
        <v>34132</v>
      </c>
      <c r="AA1772" t="s">
        <v>60</v>
      </c>
      <c r="AB1772" t="s">
        <v>407</v>
      </c>
      <c r="AC1772" t="s">
        <v>428</v>
      </c>
      <c r="AD1772" t="s">
        <v>407</v>
      </c>
      <c r="AE1772" t="s">
        <v>137</v>
      </c>
      <c r="AF1772">
        <v>8</v>
      </c>
      <c r="AG1772" s="122">
        <v>1237</v>
      </c>
      <c r="AH1772" s="122">
        <v>2827</v>
      </c>
      <c r="AI1772" s="122">
        <v>295393</v>
      </c>
      <c r="AJ1772" s="122">
        <v>268539</v>
      </c>
      <c r="AK1772">
        <v>78</v>
      </c>
      <c r="AL1772" s="122">
        <v>64096</v>
      </c>
      <c r="AM1772" s="122">
        <v>58269</v>
      </c>
      <c r="AN1772" s="122">
        <v>23483</v>
      </c>
      <c r="AO1772" s="122">
        <v>8697</v>
      </c>
      <c r="AP1772" s="122">
        <v>3659</v>
      </c>
      <c r="AQ1772" s="122">
        <v>1355</v>
      </c>
      <c r="AR1772" s="122">
        <v>41252</v>
      </c>
      <c r="AS1772" s="122">
        <v>37502</v>
      </c>
      <c r="AT1772" s="122">
        <v>24337</v>
      </c>
      <c r="AU1772" s="122">
        <v>9014</v>
      </c>
      <c r="AV1772" s="122">
        <v>383376</v>
      </c>
    </row>
    <row r="1773" spans="2:48" hidden="1">
      <c r="B1773" t="s">
        <v>374</v>
      </c>
      <c r="C1773" t="s">
        <v>58</v>
      </c>
      <c r="D1773" t="s">
        <v>425</v>
      </c>
      <c r="E1773" t="s">
        <v>406</v>
      </c>
      <c r="F1773" s="122">
        <v>2</v>
      </c>
      <c r="G1773" s="122">
        <v>269</v>
      </c>
      <c r="H1773" s="122">
        <v>509</v>
      </c>
      <c r="I1773" s="122">
        <v>41474</v>
      </c>
      <c r="J1773" s="122">
        <v>37704</v>
      </c>
      <c r="K1773" s="122">
        <v>84</v>
      </c>
      <c r="L1773" s="122">
        <v>9195</v>
      </c>
      <c r="M1773" s="122">
        <v>8359</v>
      </c>
      <c r="N1773" s="122">
        <v>5341</v>
      </c>
      <c r="O1773" s="122">
        <v>1978</v>
      </c>
      <c r="P1773" s="122">
        <v>1242</v>
      </c>
      <c r="Q1773" s="122">
        <v>460</v>
      </c>
      <c r="R1773" s="122">
        <v>10422</v>
      </c>
      <c r="S1773" s="122">
        <v>9474</v>
      </c>
      <c r="T1773" s="122">
        <v>0</v>
      </c>
      <c r="U1773" s="122">
        <v>0</v>
      </c>
      <c r="V1773" s="122">
        <v>57975</v>
      </c>
      <c r="W1773" s="122">
        <f t="shared" si="54"/>
        <v>57975</v>
      </c>
      <c r="X1773" s="122">
        <f t="shared" si="55"/>
        <v>67674</v>
      </c>
      <c r="AA1773" t="s">
        <v>60</v>
      </c>
      <c r="AB1773" t="s">
        <v>407</v>
      </c>
      <c r="AC1773" t="s">
        <v>428</v>
      </c>
      <c r="AD1773" t="s">
        <v>407</v>
      </c>
      <c r="AE1773" t="s">
        <v>566</v>
      </c>
      <c r="AF1773">
        <v>6</v>
      </c>
      <c r="AG1773">
        <v>635</v>
      </c>
      <c r="AH1773" s="122">
        <v>1944</v>
      </c>
      <c r="AI1773" s="122">
        <v>117653</v>
      </c>
      <c r="AJ1773" s="122">
        <v>106957</v>
      </c>
      <c r="AK1773">
        <v>82</v>
      </c>
      <c r="AL1773" s="122">
        <v>35428</v>
      </c>
      <c r="AM1773" s="122">
        <v>32207</v>
      </c>
      <c r="AN1773" s="122">
        <v>14424</v>
      </c>
      <c r="AO1773" s="122">
        <v>5342</v>
      </c>
      <c r="AP1773" s="122">
        <v>2835</v>
      </c>
      <c r="AQ1773" s="122">
        <v>1050</v>
      </c>
      <c r="AR1773" s="122">
        <v>34594</v>
      </c>
      <c r="AS1773" s="122">
        <v>31449</v>
      </c>
      <c r="AT1773">
        <v>0</v>
      </c>
      <c r="AU1773">
        <v>0</v>
      </c>
      <c r="AV1773" s="122">
        <v>177006</v>
      </c>
    </row>
    <row r="1774" spans="2:48" hidden="1">
      <c r="B1774" t="s">
        <v>374</v>
      </c>
      <c r="C1774" t="s">
        <v>58</v>
      </c>
      <c r="D1774" t="s">
        <v>405</v>
      </c>
      <c r="E1774" t="s">
        <v>425</v>
      </c>
      <c r="F1774" s="122">
        <v>1</v>
      </c>
      <c r="G1774" s="122">
        <v>154</v>
      </c>
      <c r="H1774" s="122">
        <v>259</v>
      </c>
      <c r="I1774" s="122">
        <v>23778</v>
      </c>
      <c r="J1774" s="122">
        <v>21616</v>
      </c>
      <c r="K1774" s="122">
        <v>90</v>
      </c>
      <c r="L1774" s="122">
        <v>4117</v>
      </c>
      <c r="M1774" s="122">
        <v>3431</v>
      </c>
      <c r="N1774" s="122">
        <v>3763</v>
      </c>
      <c r="O1774" s="122">
        <v>1394</v>
      </c>
      <c r="P1774" s="122">
        <v>351</v>
      </c>
      <c r="Q1774" s="122">
        <v>130</v>
      </c>
      <c r="R1774" s="122">
        <v>4440</v>
      </c>
      <c r="S1774" s="122">
        <v>4037</v>
      </c>
      <c r="T1774" s="122">
        <v>3513</v>
      </c>
      <c r="U1774" s="122">
        <v>1301</v>
      </c>
      <c r="V1774" s="122">
        <v>31908</v>
      </c>
      <c r="W1774" s="122">
        <f t="shared" si="54"/>
        <v>31909</v>
      </c>
      <c r="X1774" s="122">
        <f t="shared" si="55"/>
        <v>39962</v>
      </c>
      <c r="AA1774" t="s">
        <v>60</v>
      </c>
      <c r="AB1774" t="s">
        <v>407</v>
      </c>
      <c r="AC1774" t="s">
        <v>426</v>
      </c>
      <c r="AD1774" t="s">
        <v>405</v>
      </c>
      <c r="AE1774" t="s">
        <v>566</v>
      </c>
      <c r="AF1774">
        <v>1</v>
      </c>
      <c r="AG1774">
        <v>118</v>
      </c>
      <c r="AH1774">
        <v>319</v>
      </c>
      <c r="AI1774" s="122">
        <v>22147</v>
      </c>
      <c r="AJ1774" s="122">
        <v>20134</v>
      </c>
      <c r="AK1774">
        <v>78</v>
      </c>
      <c r="AL1774" s="122">
        <v>6415</v>
      </c>
      <c r="AM1774" s="122">
        <v>5831</v>
      </c>
      <c r="AN1774" s="122">
        <v>2444</v>
      </c>
      <c r="AO1774" s="122">
        <v>905</v>
      </c>
      <c r="AP1774">
        <v>473</v>
      </c>
      <c r="AQ1774">
        <v>175</v>
      </c>
      <c r="AR1774" s="122">
        <v>6098</v>
      </c>
      <c r="AS1774" s="122">
        <v>5544</v>
      </c>
      <c r="AT1774">
        <v>0</v>
      </c>
      <c r="AU1774">
        <v>0</v>
      </c>
      <c r="AV1774" s="122">
        <v>32590</v>
      </c>
    </row>
    <row r="1775" spans="2:48" hidden="1">
      <c r="B1775" t="s">
        <v>374</v>
      </c>
      <c r="C1775" t="s">
        <v>58</v>
      </c>
      <c r="D1775" t="s">
        <v>405</v>
      </c>
      <c r="E1775" t="s">
        <v>405</v>
      </c>
      <c r="F1775" s="122">
        <v>38</v>
      </c>
      <c r="G1775" s="122">
        <v>5446</v>
      </c>
      <c r="H1775" s="122">
        <v>9508</v>
      </c>
      <c r="I1775" s="122">
        <v>860939</v>
      </c>
      <c r="J1775" s="122">
        <v>782672</v>
      </c>
      <c r="K1775" s="122">
        <v>82</v>
      </c>
      <c r="L1775" s="122">
        <v>162389</v>
      </c>
      <c r="M1775" s="122">
        <v>142986</v>
      </c>
      <c r="N1775" s="122">
        <v>106528</v>
      </c>
      <c r="O1775" s="122">
        <v>39455</v>
      </c>
      <c r="P1775" s="122">
        <v>18063</v>
      </c>
      <c r="Q1775" s="122">
        <v>6690</v>
      </c>
      <c r="R1775" s="122">
        <v>188602</v>
      </c>
      <c r="S1775" s="122">
        <v>171456</v>
      </c>
      <c r="T1775" s="122">
        <v>30507</v>
      </c>
      <c r="U1775" s="122">
        <v>11299</v>
      </c>
      <c r="V1775" s="122">
        <v>1154558</v>
      </c>
      <c r="W1775" s="122">
        <f t="shared" si="54"/>
        <v>1154558</v>
      </c>
      <c r="X1775" s="122">
        <f t="shared" si="55"/>
        <v>1367028</v>
      </c>
      <c r="AA1775" t="s">
        <v>60</v>
      </c>
      <c r="AB1775" t="s">
        <v>407</v>
      </c>
      <c r="AC1775" t="s">
        <v>426</v>
      </c>
      <c r="AD1775" t="s">
        <v>137</v>
      </c>
      <c r="AE1775" t="s">
        <v>566</v>
      </c>
      <c r="AF1775">
        <v>1</v>
      </c>
      <c r="AG1775" s="122">
        <v>119</v>
      </c>
      <c r="AH1775" s="122">
        <v>324</v>
      </c>
      <c r="AI1775" s="122">
        <v>23547</v>
      </c>
      <c r="AJ1775" s="122">
        <v>21406</v>
      </c>
      <c r="AK1775">
        <v>80</v>
      </c>
      <c r="AL1775" s="122">
        <v>3314</v>
      </c>
      <c r="AM1775" s="122">
        <v>3013</v>
      </c>
      <c r="AN1775" s="122">
        <v>2910</v>
      </c>
      <c r="AO1775" s="122">
        <v>1078</v>
      </c>
      <c r="AP1775" s="122">
        <v>473</v>
      </c>
      <c r="AQ1775" s="122">
        <v>175</v>
      </c>
      <c r="AR1775" s="122">
        <v>8491</v>
      </c>
      <c r="AS1775" s="122">
        <v>3145</v>
      </c>
      <c r="AT1775" s="122">
        <v>0</v>
      </c>
      <c r="AU1775" s="122">
        <v>0</v>
      </c>
      <c r="AV1775" s="122">
        <v>28817</v>
      </c>
    </row>
    <row r="1776" spans="2:48" hidden="1">
      <c r="B1776" t="s">
        <v>374</v>
      </c>
      <c r="C1776" t="s">
        <v>58</v>
      </c>
      <c r="D1776" t="s">
        <v>137</v>
      </c>
      <c r="E1776" t="s">
        <v>137</v>
      </c>
      <c r="F1776" s="122">
        <v>24</v>
      </c>
      <c r="G1776" s="122">
        <v>4026</v>
      </c>
      <c r="H1776" s="122">
        <v>6441</v>
      </c>
      <c r="I1776" s="122">
        <v>698602</v>
      </c>
      <c r="J1776" s="122">
        <v>258742</v>
      </c>
      <c r="K1776" s="122">
        <v>106</v>
      </c>
      <c r="L1776" s="122">
        <v>111334</v>
      </c>
      <c r="M1776" s="122">
        <v>93776</v>
      </c>
      <c r="N1776" s="122">
        <v>90575</v>
      </c>
      <c r="O1776" s="122">
        <v>33546</v>
      </c>
      <c r="P1776" s="122">
        <v>1855</v>
      </c>
      <c r="Q1776" s="122">
        <v>687</v>
      </c>
      <c r="R1776" s="122">
        <v>200547</v>
      </c>
      <c r="S1776" s="122">
        <v>74277</v>
      </c>
      <c r="T1776" s="122">
        <v>0</v>
      </c>
      <c r="U1776" s="122">
        <v>0</v>
      </c>
      <c r="V1776" s="122">
        <v>461028</v>
      </c>
      <c r="W1776" s="122">
        <f t="shared" si="54"/>
        <v>461028</v>
      </c>
      <c r="X1776" s="122">
        <f t="shared" si="55"/>
        <v>1102913</v>
      </c>
      <c r="AA1776" t="s">
        <v>60</v>
      </c>
      <c r="AB1776" t="s">
        <v>407</v>
      </c>
      <c r="AC1776" t="s">
        <v>426</v>
      </c>
      <c r="AD1776" t="s">
        <v>407</v>
      </c>
      <c r="AE1776" t="s">
        <v>137</v>
      </c>
      <c r="AF1776">
        <v>255</v>
      </c>
      <c r="AG1776" s="122">
        <v>30543</v>
      </c>
      <c r="AH1776" s="122">
        <v>86216</v>
      </c>
      <c r="AI1776" s="122">
        <v>6412675</v>
      </c>
      <c r="AJ1776" s="122">
        <v>5829705</v>
      </c>
      <c r="AK1776">
        <v>76</v>
      </c>
      <c r="AL1776" s="122">
        <v>1560207</v>
      </c>
      <c r="AM1776" s="122">
        <v>1418370</v>
      </c>
      <c r="AN1776" s="122">
        <v>679745</v>
      </c>
      <c r="AO1776" s="122">
        <v>251758</v>
      </c>
      <c r="AP1776" s="122">
        <v>119900</v>
      </c>
      <c r="AQ1776" s="122">
        <v>44408</v>
      </c>
      <c r="AR1776" s="122">
        <v>1266513</v>
      </c>
      <c r="AS1776" s="122">
        <v>1151376</v>
      </c>
      <c r="AT1776" s="122">
        <v>640363</v>
      </c>
      <c r="AU1776" s="122">
        <v>237171</v>
      </c>
      <c r="AV1776" s="122">
        <v>8932787</v>
      </c>
    </row>
    <row r="1777" spans="2:48" hidden="1">
      <c r="B1777" t="s">
        <v>374</v>
      </c>
      <c r="C1777" t="s">
        <v>58</v>
      </c>
      <c r="D1777" t="s">
        <v>137</v>
      </c>
      <c r="E1777" t="s">
        <v>426</v>
      </c>
      <c r="F1777" s="122">
        <v>1</v>
      </c>
      <c r="G1777" s="122">
        <v>148</v>
      </c>
      <c r="H1777" s="122">
        <v>231</v>
      </c>
      <c r="I1777" s="122">
        <v>20128</v>
      </c>
      <c r="J1777" s="122">
        <v>7455</v>
      </c>
      <c r="K1777" s="122">
        <v>100</v>
      </c>
      <c r="L1777" s="122">
        <v>1283</v>
      </c>
      <c r="M1777" s="122">
        <v>1167</v>
      </c>
      <c r="N1777" s="122">
        <v>3436</v>
      </c>
      <c r="O1777" s="122">
        <v>1273</v>
      </c>
      <c r="P1777" s="122">
        <v>351</v>
      </c>
      <c r="Q1777" s="122">
        <v>130</v>
      </c>
      <c r="R1777" s="122">
        <v>6150</v>
      </c>
      <c r="S1777" s="122">
        <v>5591</v>
      </c>
      <c r="T1777" s="122">
        <v>3002</v>
      </c>
      <c r="U1777" s="122">
        <v>1112</v>
      </c>
      <c r="V1777" s="122">
        <v>16727</v>
      </c>
      <c r="W1777" s="122">
        <f t="shared" si="54"/>
        <v>16728</v>
      </c>
      <c r="X1777" s="122">
        <f t="shared" si="55"/>
        <v>34350</v>
      </c>
      <c r="AA1777" t="s">
        <v>60</v>
      </c>
      <c r="AB1777" t="s">
        <v>407</v>
      </c>
      <c r="AC1777" t="s">
        <v>426</v>
      </c>
      <c r="AD1777" t="s">
        <v>407</v>
      </c>
      <c r="AE1777" t="s">
        <v>566</v>
      </c>
      <c r="AF1777">
        <v>196</v>
      </c>
      <c r="AG1777" s="122">
        <v>27333</v>
      </c>
      <c r="AH1777" s="122">
        <v>65849</v>
      </c>
      <c r="AI1777" s="122">
        <v>6011504</v>
      </c>
      <c r="AJ1777" s="122">
        <v>5465004</v>
      </c>
      <c r="AK1777">
        <v>81</v>
      </c>
      <c r="AL1777" s="122">
        <v>1566545</v>
      </c>
      <c r="AM1777" s="122">
        <v>1424132</v>
      </c>
      <c r="AN1777" s="122">
        <v>606372</v>
      </c>
      <c r="AO1777" s="122">
        <v>224582</v>
      </c>
      <c r="AP1777" s="122">
        <v>98590</v>
      </c>
      <c r="AQ1777" s="122">
        <v>36515</v>
      </c>
      <c r="AR1777" s="122">
        <v>1180695</v>
      </c>
      <c r="AS1777" s="122">
        <v>1073359</v>
      </c>
      <c r="AT1777" s="122">
        <v>0</v>
      </c>
      <c r="AU1777">
        <v>0</v>
      </c>
      <c r="AV1777" s="122">
        <v>8223591</v>
      </c>
    </row>
    <row r="1778" spans="2:48" hidden="1">
      <c r="B1778" t="s">
        <v>374</v>
      </c>
      <c r="C1778" t="s">
        <v>58</v>
      </c>
      <c r="D1778" t="s">
        <v>406</v>
      </c>
      <c r="E1778" t="s">
        <v>425</v>
      </c>
      <c r="F1778" s="122">
        <v>5</v>
      </c>
      <c r="G1778" s="122">
        <v>784</v>
      </c>
      <c r="H1778" s="122">
        <v>1269</v>
      </c>
      <c r="I1778" s="122">
        <v>121002</v>
      </c>
      <c r="J1778" s="122">
        <v>110002</v>
      </c>
      <c r="K1778" s="122">
        <v>71</v>
      </c>
      <c r="L1778" s="122">
        <v>23312</v>
      </c>
      <c r="M1778" s="122">
        <v>21193</v>
      </c>
      <c r="N1778" s="122">
        <v>13698</v>
      </c>
      <c r="O1778" s="122">
        <v>5073</v>
      </c>
      <c r="P1778" s="122">
        <v>3456</v>
      </c>
      <c r="Q1778" s="122">
        <v>1280</v>
      </c>
      <c r="R1778" s="122">
        <v>26236</v>
      </c>
      <c r="S1778" s="122">
        <v>23851</v>
      </c>
      <c r="T1778" s="122">
        <v>9561</v>
      </c>
      <c r="U1778" s="122">
        <v>3541</v>
      </c>
      <c r="V1778" s="122">
        <v>164940</v>
      </c>
      <c r="W1778" s="122">
        <f t="shared" si="54"/>
        <v>164940</v>
      </c>
      <c r="X1778" s="122">
        <f t="shared" si="55"/>
        <v>197265</v>
      </c>
      <c r="AA1778" t="s">
        <v>60</v>
      </c>
      <c r="AB1778" t="s">
        <v>407</v>
      </c>
      <c r="AC1778" t="s">
        <v>426</v>
      </c>
      <c r="AD1778" t="s">
        <v>426</v>
      </c>
      <c r="AE1778" t="s">
        <v>137</v>
      </c>
      <c r="AF1778">
        <v>2</v>
      </c>
      <c r="AG1778">
        <v>225</v>
      </c>
      <c r="AH1778">
        <v>683</v>
      </c>
      <c r="AI1778" s="122">
        <v>49004</v>
      </c>
      <c r="AJ1778" s="122">
        <v>44549</v>
      </c>
      <c r="AK1778">
        <v>76</v>
      </c>
      <c r="AL1778" s="122">
        <v>13211</v>
      </c>
      <c r="AM1778" s="122">
        <v>12010</v>
      </c>
      <c r="AN1778" s="122">
        <v>2746</v>
      </c>
      <c r="AO1778" s="122">
        <v>1017</v>
      </c>
      <c r="AP1778">
        <v>945</v>
      </c>
      <c r="AQ1778">
        <v>350</v>
      </c>
      <c r="AR1778" s="122">
        <v>9682</v>
      </c>
      <c r="AS1778" s="122">
        <v>8802</v>
      </c>
      <c r="AT1778" s="122">
        <v>2309</v>
      </c>
      <c r="AU1778">
        <v>855</v>
      </c>
      <c r="AV1778" s="122">
        <v>67584</v>
      </c>
    </row>
    <row r="1779" spans="2:48" hidden="1">
      <c r="B1779" t="s">
        <v>374</v>
      </c>
      <c r="C1779" t="s">
        <v>58</v>
      </c>
      <c r="D1779" t="s">
        <v>406</v>
      </c>
      <c r="E1779" t="s">
        <v>137</v>
      </c>
      <c r="F1779" s="122">
        <v>6</v>
      </c>
      <c r="G1779" s="122">
        <v>624</v>
      </c>
      <c r="H1779" s="122">
        <v>1564</v>
      </c>
      <c r="I1779" s="122">
        <v>83794</v>
      </c>
      <c r="J1779" s="122">
        <v>76176</v>
      </c>
      <c r="K1779" s="122">
        <v>82</v>
      </c>
      <c r="L1779" s="122">
        <v>20079</v>
      </c>
      <c r="M1779" s="122">
        <v>18253</v>
      </c>
      <c r="N1779" s="122">
        <v>10932</v>
      </c>
      <c r="O1779" s="122">
        <v>4049</v>
      </c>
      <c r="P1779" s="122">
        <v>3726</v>
      </c>
      <c r="Q1779" s="122">
        <v>1380</v>
      </c>
      <c r="R1779" s="122">
        <v>49555</v>
      </c>
      <c r="S1779" s="122">
        <v>18354</v>
      </c>
      <c r="T1779" s="122">
        <v>3143</v>
      </c>
      <c r="U1779" s="122">
        <v>1164</v>
      </c>
      <c r="V1779" s="122">
        <v>119376</v>
      </c>
      <c r="W1779" s="122">
        <f t="shared" si="54"/>
        <v>119376</v>
      </c>
      <c r="X1779" s="122">
        <f t="shared" si="55"/>
        <v>171229</v>
      </c>
      <c r="AA1779" t="s">
        <v>60</v>
      </c>
      <c r="AB1779" t="s">
        <v>407</v>
      </c>
      <c r="AC1779" t="s">
        <v>566</v>
      </c>
      <c r="AD1779" t="s">
        <v>137</v>
      </c>
      <c r="AE1779" t="s">
        <v>566</v>
      </c>
      <c r="AF1779">
        <v>1</v>
      </c>
      <c r="AG1779" s="122">
        <v>49</v>
      </c>
      <c r="AH1779" s="122">
        <v>336</v>
      </c>
      <c r="AI1779" s="122">
        <v>7653</v>
      </c>
      <c r="AJ1779" s="122">
        <v>6957</v>
      </c>
      <c r="AK1779">
        <v>75</v>
      </c>
      <c r="AL1779">
        <v>0</v>
      </c>
      <c r="AM1779" s="122">
        <v>0</v>
      </c>
      <c r="AN1779" s="122">
        <v>895</v>
      </c>
      <c r="AO1779" s="122">
        <v>331</v>
      </c>
      <c r="AP1779" s="122">
        <v>473</v>
      </c>
      <c r="AQ1779" s="122">
        <v>175</v>
      </c>
      <c r="AR1779" s="122">
        <v>7407</v>
      </c>
      <c r="AS1779" s="122">
        <v>2743</v>
      </c>
      <c r="AT1779" s="122">
        <v>0</v>
      </c>
      <c r="AU1779" s="122">
        <v>0</v>
      </c>
      <c r="AV1779" s="122">
        <v>10206</v>
      </c>
    </row>
    <row r="1780" spans="2:48" hidden="1">
      <c r="B1780" t="s">
        <v>374</v>
      </c>
      <c r="C1780" t="s">
        <v>58</v>
      </c>
      <c r="D1780" t="s">
        <v>406</v>
      </c>
      <c r="E1780" t="s">
        <v>406</v>
      </c>
      <c r="F1780" s="122">
        <v>2499</v>
      </c>
      <c r="G1780" s="122">
        <v>327800</v>
      </c>
      <c r="H1780" s="122">
        <v>654204</v>
      </c>
      <c r="I1780" s="122">
        <v>50332122</v>
      </c>
      <c r="J1780" s="122">
        <v>45756475</v>
      </c>
      <c r="K1780" s="122">
        <v>80</v>
      </c>
      <c r="L1780" s="122">
        <v>10431240</v>
      </c>
      <c r="M1780" s="122">
        <v>9256073</v>
      </c>
      <c r="N1780" s="122">
        <v>6794373</v>
      </c>
      <c r="O1780" s="122">
        <v>2516434</v>
      </c>
      <c r="P1780" s="122">
        <v>1634427</v>
      </c>
      <c r="Q1780" s="122">
        <v>605343</v>
      </c>
      <c r="R1780" s="122">
        <v>13174737</v>
      </c>
      <c r="S1780" s="122">
        <v>11977034</v>
      </c>
      <c r="T1780" s="122">
        <v>4488319</v>
      </c>
      <c r="U1780" s="122">
        <v>1662340</v>
      </c>
      <c r="V1780" s="122">
        <v>71773699</v>
      </c>
      <c r="W1780" s="122">
        <f t="shared" si="54"/>
        <v>71773699</v>
      </c>
      <c r="X1780" s="122">
        <f t="shared" si="55"/>
        <v>86855218</v>
      </c>
      <c r="AA1780" t="s">
        <v>60</v>
      </c>
      <c r="AB1780" t="s">
        <v>407</v>
      </c>
      <c r="AC1780" t="s">
        <v>566</v>
      </c>
      <c r="AD1780" t="s">
        <v>407</v>
      </c>
      <c r="AE1780" t="s">
        <v>137</v>
      </c>
      <c r="AF1780">
        <v>57</v>
      </c>
      <c r="AG1780" s="122">
        <v>5630</v>
      </c>
      <c r="AH1780" s="122">
        <v>19311</v>
      </c>
      <c r="AI1780" s="122">
        <v>1428118</v>
      </c>
      <c r="AJ1780" s="122">
        <v>1298289</v>
      </c>
      <c r="AK1780">
        <v>77</v>
      </c>
      <c r="AL1780">
        <v>0</v>
      </c>
      <c r="AM1780" s="122">
        <v>105020</v>
      </c>
      <c r="AN1780" s="122">
        <v>118762</v>
      </c>
      <c r="AO1780" s="122">
        <v>43986</v>
      </c>
      <c r="AP1780" s="122">
        <v>26811</v>
      </c>
      <c r="AQ1780" s="122">
        <v>9930</v>
      </c>
      <c r="AR1780" s="122">
        <v>248278</v>
      </c>
      <c r="AS1780" s="122">
        <v>225707</v>
      </c>
      <c r="AT1780" s="122">
        <v>134905</v>
      </c>
      <c r="AU1780" s="122">
        <v>49965</v>
      </c>
      <c r="AV1780" s="122">
        <v>1732896</v>
      </c>
    </row>
    <row r="1781" spans="2:48" hidden="1">
      <c r="B1781" t="s">
        <v>374</v>
      </c>
      <c r="C1781" t="s">
        <v>58</v>
      </c>
      <c r="D1781" t="s">
        <v>406</v>
      </c>
      <c r="E1781" t="s">
        <v>427</v>
      </c>
      <c r="F1781" s="122">
        <v>2</v>
      </c>
      <c r="G1781" s="122">
        <v>317</v>
      </c>
      <c r="H1781" s="122">
        <v>481</v>
      </c>
      <c r="I1781" s="122">
        <v>54156</v>
      </c>
      <c r="J1781" s="122">
        <v>49233</v>
      </c>
      <c r="K1781" s="122">
        <v>75</v>
      </c>
      <c r="L1781" s="122">
        <v>10741</v>
      </c>
      <c r="M1781" s="122">
        <v>9764</v>
      </c>
      <c r="N1781" s="122">
        <v>7881</v>
      </c>
      <c r="O1781" s="122">
        <v>2919</v>
      </c>
      <c r="P1781" s="122">
        <v>1242</v>
      </c>
      <c r="Q1781" s="122">
        <v>460</v>
      </c>
      <c r="R1781" s="122">
        <v>8729</v>
      </c>
      <c r="S1781" s="122">
        <v>7936</v>
      </c>
      <c r="T1781" s="122">
        <v>3149</v>
      </c>
      <c r="U1781" s="122">
        <v>1166</v>
      </c>
      <c r="V1781" s="122">
        <v>71477</v>
      </c>
      <c r="W1781" s="122">
        <f t="shared" si="54"/>
        <v>71478</v>
      </c>
      <c r="X1781" s="122">
        <f t="shared" si="55"/>
        <v>85898</v>
      </c>
      <c r="AA1781" t="s">
        <v>60</v>
      </c>
      <c r="AB1781" t="s">
        <v>407</v>
      </c>
      <c r="AC1781" t="s">
        <v>566</v>
      </c>
      <c r="AD1781" t="s">
        <v>407</v>
      </c>
      <c r="AE1781" t="s">
        <v>566</v>
      </c>
      <c r="AF1781">
        <v>39</v>
      </c>
      <c r="AG1781" s="122">
        <v>3470</v>
      </c>
      <c r="AH1781" s="122">
        <v>12909</v>
      </c>
      <c r="AI1781" s="122">
        <v>906774</v>
      </c>
      <c r="AJ1781" s="122">
        <v>824340</v>
      </c>
      <c r="AK1781">
        <v>80</v>
      </c>
      <c r="AL1781" s="122">
        <v>0</v>
      </c>
      <c r="AM1781" s="122">
        <v>11134</v>
      </c>
      <c r="AN1781" s="122">
        <v>77379</v>
      </c>
      <c r="AO1781" s="122">
        <v>28659</v>
      </c>
      <c r="AP1781" s="122">
        <v>18063</v>
      </c>
      <c r="AQ1781" s="122">
        <v>6690</v>
      </c>
      <c r="AR1781" s="122">
        <v>197051</v>
      </c>
      <c r="AS1781" s="122">
        <v>179137</v>
      </c>
      <c r="AT1781">
        <v>0</v>
      </c>
      <c r="AU1781">
        <v>0</v>
      </c>
      <c r="AV1781" s="122">
        <v>1049960</v>
      </c>
    </row>
    <row r="1782" spans="2:48" hidden="1">
      <c r="B1782" t="s">
        <v>374</v>
      </c>
      <c r="C1782" t="s">
        <v>58</v>
      </c>
      <c r="D1782" t="s">
        <v>406</v>
      </c>
      <c r="E1782" t="s">
        <v>407</v>
      </c>
      <c r="F1782" s="122">
        <v>3</v>
      </c>
      <c r="G1782" s="122">
        <v>381</v>
      </c>
      <c r="H1782" s="122">
        <v>762</v>
      </c>
      <c r="I1782" s="122">
        <v>49784</v>
      </c>
      <c r="J1782" s="122">
        <v>45258</v>
      </c>
      <c r="K1782" s="122">
        <v>86</v>
      </c>
      <c r="L1782" s="122">
        <v>13299</v>
      </c>
      <c r="M1782" s="122">
        <v>11864</v>
      </c>
      <c r="N1782" s="122">
        <v>9162</v>
      </c>
      <c r="O1782" s="122">
        <v>3393</v>
      </c>
      <c r="P1782" s="122">
        <v>1863</v>
      </c>
      <c r="Q1782" s="122">
        <v>690</v>
      </c>
      <c r="R1782" s="122">
        <v>17931</v>
      </c>
      <c r="S1782" s="122">
        <v>16301</v>
      </c>
      <c r="T1782" s="122">
        <v>5097</v>
      </c>
      <c r="U1782" s="122">
        <v>1888</v>
      </c>
      <c r="V1782" s="122">
        <v>79395</v>
      </c>
      <c r="W1782" s="122">
        <f t="shared" si="54"/>
        <v>79394</v>
      </c>
      <c r="X1782" s="122">
        <f t="shared" si="55"/>
        <v>97136</v>
      </c>
      <c r="AA1782" t="s">
        <v>60</v>
      </c>
      <c r="AB1782" t="s">
        <v>407</v>
      </c>
      <c r="AC1782" t="s">
        <v>433</v>
      </c>
      <c r="AD1782" t="s">
        <v>137</v>
      </c>
      <c r="AE1782" t="s">
        <v>566</v>
      </c>
      <c r="AF1782">
        <v>1</v>
      </c>
      <c r="AG1782" s="122">
        <v>96</v>
      </c>
      <c r="AH1782" s="122">
        <v>372</v>
      </c>
      <c r="AI1782" s="122">
        <v>32480</v>
      </c>
      <c r="AJ1782" s="122">
        <v>29527</v>
      </c>
      <c r="AK1782">
        <v>78</v>
      </c>
      <c r="AL1782" s="122">
        <v>8926</v>
      </c>
      <c r="AM1782" s="122">
        <v>8114</v>
      </c>
      <c r="AN1782" s="122">
        <v>1735</v>
      </c>
      <c r="AO1782" s="122">
        <v>643</v>
      </c>
      <c r="AP1782" s="122">
        <v>473</v>
      </c>
      <c r="AQ1782" s="122">
        <v>175</v>
      </c>
      <c r="AR1782" s="122">
        <v>9365</v>
      </c>
      <c r="AS1782" s="122">
        <v>3468</v>
      </c>
      <c r="AT1782" s="122">
        <v>0</v>
      </c>
      <c r="AU1782" s="122">
        <v>0</v>
      </c>
      <c r="AV1782" s="122">
        <v>41927</v>
      </c>
    </row>
    <row r="1783" spans="2:48" hidden="1">
      <c r="B1783" t="s">
        <v>374</v>
      </c>
      <c r="C1783" t="s">
        <v>58</v>
      </c>
      <c r="D1783" t="s">
        <v>406</v>
      </c>
      <c r="E1783" t="s">
        <v>426</v>
      </c>
      <c r="F1783" s="122">
        <v>5</v>
      </c>
      <c r="G1783" s="122">
        <v>877</v>
      </c>
      <c r="H1783" s="122">
        <v>1330</v>
      </c>
      <c r="I1783" s="122">
        <v>129542</v>
      </c>
      <c r="J1783" s="122">
        <v>117765</v>
      </c>
      <c r="K1783" s="122">
        <v>78</v>
      </c>
      <c r="L1783" s="122">
        <v>30929</v>
      </c>
      <c r="M1783" s="122">
        <v>24924</v>
      </c>
      <c r="N1783" s="122">
        <v>17574</v>
      </c>
      <c r="O1783" s="122">
        <v>6509</v>
      </c>
      <c r="P1783" s="122">
        <v>3105</v>
      </c>
      <c r="Q1783" s="122">
        <v>1150</v>
      </c>
      <c r="R1783" s="122">
        <v>41948</v>
      </c>
      <c r="S1783" s="122">
        <v>38135</v>
      </c>
      <c r="T1783" s="122">
        <v>6567</v>
      </c>
      <c r="U1783" s="122">
        <v>2432</v>
      </c>
      <c r="V1783" s="122">
        <v>190915</v>
      </c>
      <c r="W1783" s="122">
        <f t="shared" si="54"/>
        <v>190915</v>
      </c>
      <c r="X1783" s="122">
        <f t="shared" si="55"/>
        <v>229665</v>
      </c>
      <c r="AA1783" t="s">
        <v>60</v>
      </c>
      <c r="AB1783" t="s">
        <v>407</v>
      </c>
      <c r="AC1783" t="s">
        <v>433</v>
      </c>
      <c r="AD1783" t="s">
        <v>407</v>
      </c>
      <c r="AE1783" t="s">
        <v>137</v>
      </c>
      <c r="AF1783">
        <v>11</v>
      </c>
      <c r="AG1783" s="122">
        <v>1322</v>
      </c>
      <c r="AH1783" s="122">
        <v>3735</v>
      </c>
      <c r="AI1783" s="122">
        <v>310476</v>
      </c>
      <c r="AJ1783" s="122">
        <v>282251</v>
      </c>
      <c r="AK1783">
        <v>78</v>
      </c>
      <c r="AL1783" s="122">
        <v>62710</v>
      </c>
      <c r="AM1783" s="122">
        <v>57009</v>
      </c>
      <c r="AN1783" s="122">
        <v>28211</v>
      </c>
      <c r="AO1783" s="122">
        <v>10449</v>
      </c>
      <c r="AP1783" s="122">
        <v>4847</v>
      </c>
      <c r="AQ1783" s="122">
        <v>1795</v>
      </c>
      <c r="AR1783" s="122">
        <v>50132</v>
      </c>
      <c r="AS1783" s="122">
        <v>45575</v>
      </c>
      <c r="AT1783" s="122">
        <v>24278</v>
      </c>
      <c r="AU1783" s="122">
        <v>8992</v>
      </c>
      <c r="AV1783" s="122">
        <v>406070</v>
      </c>
    </row>
    <row r="1784" spans="2:48" hidden="1">
      <c r="B1784" t="s">
        <v>374</v>
      </c>
      <c r="C1784" t="s">
        <v>58</v>
      </c>
      <c r="D1784" t="s">
        <v>427</v>
      </c>
      <c r="E1784" t="s">
        <v>427</v>
      </c>
      <c r="F1784" s="122">
        <v>13</v>
      </c>
      <c r="G1784" s="122">
        <v>1490</v>
      </c>
      <c r="H1784" s="122">
        <v>3673</v>
      </c>
      <c r="I1784" s="122">
        <v>252740</v>
      </c>
      <c r="J1784" s="122">
        <v>229763</v>
      </c>
      <c r="K1784" s="122">
        <v>62</v>
      </c>
      <c r="L1784" s="122">
        <v>38242</v>
      </c>
      <c r="M1784" s="122">
        <v>28767</v>
      </c>
      <c r="N1784" s="122">
        <v>30764</v>
      </c>
      <c r="O1784" s="122">
        <v>11394</v>
      </c>
      <c r="P1784" s="122">
        <v>4212</v>
      </c>
      <c r="Q1784" s="122">
        <v>1560</v>
      </c>
      <c r="R1784" s="122">
        <v>69417</v>
      </c>
      <c r="S1784" s="122">
        <v>63107</v>
      </c>
      <c r="T1784" s="122">
        <v>29305</v>
      </c>
      <c r="U1784" s="122">
        <v>10854</v>
      </c>
      <c r="V1784" s="122">
        <v>345445</v>
      </c>
      <c r="W1784" s="122">
        <f t="shared" si="54"/>
        <v>345445</v>
      </c>
      <c r="X1784" s="122">
        <f t="shared" si="55"/>
        <v>424680</v>
      </c>
      <c r="AA1784" t="s">
        <v>60</v>
      </c>
      <c r="AB1784" t="s">
        <v>407</v>
      </c>
      <c r="AC1784" t="s">
        <v>433</v>
      </c>
      <c r="AD1784" t="s">
        <v>407</v>
      </c>
      <c r="AE1784" t="s">
        <v>566</v>
      </c>
      <c r="AF1784">
        <v>17</v>
      </c>
      <c r="AG1784" s="122">
        <v>2422</v>
      </c>
      <c r="AH1784" s="122">
        <v>5805</v>
      </c>
      <c r="AI1784" s="122">
        <v>550348</v>
      </c>
      <c r="AJ1784" s="122">
        <v>500316</v>
      </c>
      <c r="AK1784">
        <v>84</v>
      </c>
      <c r="AL1784" s="122">
        <v>131948</v>
      </c>
      <c r="AM1784" s="122">
        <v>119953</v>
      </c>
      <c r="AN1784" s="122">
        <v>52070</v>
      </c>
      <c r="AO1784" s="122">
        <v>19285</v>
      </c>
      <c r="AP1784" s="122">
        <v>8262</v>
      </c>
      <c r="AQ1784" s="122">
        <v>3060</v>
      </c>
      <c r="AR1784" s="122">
        <v>100237</v>
      </c>
      <c r="AS1784" s="122">
        <v>91125</v>
      </c>
      <c r="AT1784" s="122">
        <v>0</v>
      </c>
      <c r="AU1784" s="122">
        <v>0</v>
      </c>
      <c r="AV1784" s="122">
        <v>733739</v>
      </c>
    </row>
    <row r="1785" spans="2:48" hidden="1">
      <c r="B1785" t="s">
        <v>374</v>
      </c>
      <c r="C1785" t="s">
        <v>58</v>
      </c>
      <c r="D1785" t="s">
        <v>407</v>
      </c>
      <c r="E1785" t="s">
        <v>405</v>
      </c>
      <c r="F1785" s="122">
        <v>1</v>
      </c>
      <c r="G1785" s="122">
        <v>97</v>
      </c>
      <c r="H1785" s="122">
        <v>299</v>
      </c>
      <c r="I1785" s="122">
        <v>15874</v>
      </c>
      <c r="J1785" s="122">
        <v>14431</v>
      </c>
      <c r="K1785" s="122">
        <v>90</v>
      </c>
      <c r="L1785" s="122">
        <v>5510</v>
      </c>
      <c r="M1785" s="122">
        <v>4591</v>
      </c>
      <c r="N1785" s="122">
        <v>2369</v>
      </c>
      <c r="O1785" s="122">
        <v>877</v>
      </c>
      <c r="P1785" s="122">
        <v>473</v>
      </c>
      <c r="Q1785" s="122">
        <v>175</v>
      </c>
      <c r="R1785" s="122">
        <v>4809</v>
      </c>
      <c r="S1785" s="122">
        <v>4372</v>
      </c>
      <c r="T1785" s="122">
        <v>0</v>
      </c>
      <c r="U1785" s="122">
        <v>0</v>
      </c>
      <c r="V1785" s="122">
        <v>24447</v>
      </c>
      <c r="W1785" s="122">
        <f t="shared" si="54"/>
        <v>24446</v>
      </c>
      <c r="X1785" s="122">
        <f t="shared" si="55"/>
        <v>29035</v>
      </c>
      <c r="AA1785" t="s">
        <v>60</v>
      </c>
      <c r="AB1785" t="s">
        <v>407</v>
      </c>
      <c r="AC1785" t="s">
        <v>429</v>
      </c>
      <c r="AD1785" t="s">
        <v>407</v>
      </c>
      <c r="AE1785" t="s">
        <v>137</v>
      </c>
      <c r="AF1785">
        <v>1</v>
      </c>
      <c r="AG1785">
        <v>110</v>
      </c>
      <c r="AH1785">
        <v>337</v>
      </c>
      <c r="AI1785" s="122">
        <v>23682</v>
      </c>
      <c r="AJ1785" s="122">
        <v>21529</v>
      </c>
      <c r="AK1785">
        <v>78</v>
      </c>
      <c r="AL1785" s="122">
        <v>3900</v>
      </c>
      <c r="AM1785" s="122">
        <v>3545</v>
      </c>
      <c r="AN1785" s="122">
        <v>1632</v>
      </c>
      <c r="AO1785" s="122">
        <v>604</v>
      </c>
      <c r="AP1785">
        <v>473</v>
      </c>
      <c r="AQ1785">
        <v>175</v>
      </c>
      <c r="AR1785" s="122">
        <v>4458</v>
      </c>
      <c r="AS1785" s="122">
        <v>4053</v>
      </c>
      <c r="AT1785" s="122">
        <v>2907</v>
      </c>
      <c r="AU1785" s="122">
        <v>1077</v>
      </c>
      <c r="AV1785" s="122">
        <v>30983</v>
      </c>
    </row>
    <row r="1786" spans="2:48" hidden="1">
      <c r="B1786" t="s">
        <v>374</v>
      </c>
      <c r="C1786" t="s">
        <v>58</v>
      </c>
      <c r="D1786" t="s">
        <v>407</v>
      </c>
      <c r="E1786" t="s">
        <v>137</v>
      </c>
      <c r="F1786" s="122">
        <v>2</v>
      </c>
      <c r="G1786" s="122">
        <v>215</v>
      </c>
      <c r="H1786" s="122">
        <v>540</v>
      </c>
      <c r="I1786" s="122">
        <v>36154</v>
      </c>
      <c r="J1786" s="122">
        <v>32867</v>
      </c>
      <c r="K1786" s="122">
        <v>77</v>
      </c>
      <c r="L1786" s="122">
        <v>7169</v>
      </c>
      <c r="M1786" s="122">
        <v>6518</v>
      </c>
      <c r="N1786" s="122">
        <v>5463</v>
      </c>
      <c r="O1786" s="122">
        <v>2023</v>
      </c>
      <c r="P1786" s="122">
        <v>945</v>
      </c>
      <c r="Q1786" s="122">
        <v>350</v>
      </c>
      <c r="R1786" s="122">
        <v>16389</v>
      </c>
      <c r="S1786" s="122">
        <v>6070</v>
      </c>
      <c r="T1786" s="122">
        <v>0</v>
      </c>
      <c r="U1786" s="122">
        <v>0</v>
      </c>
      <c r="V1786" s="122">
        <v>47828</v>
      </c>
      <c r="W1786" s="122">
        <f t="shared" si="54"/>
        <v>47828</v>
      </c>
      <c r="X1786" s="122">
        <f t="shared" si="55"/>
        <v>66120</v>
      </c>
      <c r="AA1786" t="s">
        <v>60</v>
      </c>
      <c r="AB1786" t="s">
        <v>407</v>
      </c>
      <c r="AC1786" t="s">
        <v>429</v>
      </c>
      <c r="AD1786" t="s">
        <v>407</v>
      </c>
      <c r="AE1786" t="s">
        <v>566</v>
      </c>
      <c r="AF1786">
        <v>1</v>
      </c>
      <c r="AG1786">
        <v>147</v>
      </c>
      <c r="AH1786">
        <v>347</v>
      </c>
      <c r="AI1786" s="122">
        <v>35541</v>
      </c>
      <c r="AJ1786" s="122">
        <v>32310</v>
      </c>
      <c r="AK1786">
        <v>65</v>
      </c>
      <c r="AL1786" s="122">
        <v>3755</v>
      </c>
      <c r="AM1786" s="122">
        <v>3413</v>
      </c>
      <c r="AN1786" s="122">
        <v>3585</v>
      </c>
      <c r="AO1786" s="122">
        <v>1328</v>
      </c>
      <c r="AP1786">
        <v>473</v>
      </c>
      <c r="AQ1786">
        <v>175</v>
      </c>
      <c r="AR1786" s="122">
        <v>7675</v>
      </c>
      <c r="AS1786" s="122">
        <v>6977</v>
      </c>
      <c r="AT1786" s="122">
        <v>0</v>
      </c>
      <c r="AU1786" s="122">
        <v>0</v>
      </c>
      <c r="AV1786" s="122">
        <v>44203</v>
      </c>
    </row>
    <row r="1787" spans="2:48" hidden="1">
      <c r="B1787" t="s">
        <v>374</v>
      </c>
      <c r="C1787" t="s">
        <v>58</v>
      </c>
      <c r="D1787" t="s">
        <v>407</v>
      </c>
      <c r="E1787" t="s">
        <v>407</v>
      </c>
      <c r="F1787" s="122">
        <v>431</v>
      </c>
      <c r="G1787" s="122">
        <v>56407</v>
      </c>
      <c r="H1787" s="122">
        <v>111171</v>
      </c>
      <c r="I1787" s="122">
        <v>8121929</v>
      </c>
      <c r="J1787" s="122">
        <v>7383572</v>
      </c>
      <c r="K1787" s="122">
        <v>79</v>
      </c>
      <c r="L1787" s="122">
        <v>2188193</v>
      </c>
      <c r="M1787" s="122">
        <v>1886446</v>
      </c>
      <c r="N1787" s="122">
        <v>1189330</v>
      </c>
      <c r="O1787" s="122">
        <v>440493</v>
      </c>
      <c r="P1787" s="122">
        <v>210354</v>
      </c>
      <c r="Q1787" s="122">
        <v>77909</v>
      </c>
      <c r="R1787" s="122">
        <v>2267057</v>
      </c>
      <c r="S1787" s="122">
        <v>2060961</v>
      </c>
      <c r="T1787" s="122">
        <v>725656</v>
      </c>
      <c r="U1787" s="122">
        <v>268762</v>
      </c>
      <c r="V1787" s="122">
        <v>12118141</v>
      </c>
      <c r="W1787" s="122">
        <f t="shared" si="54"/>
        <v>12118143</v>
      </c>
      <c r="X1787" s="122">
        <f t="shared" si="55"/>
        <v>14702519</v>
      </c>
      <c r="AA1787" t="s">
        <v>60</v>
      </c>
      <c r="AB1787" t="s">
        <v>579</v>
      </c>
      <c r="AC1787" t="s">
        <v>405</v>
      </c>
      <c r="AD1787" t="s">
        <v>579</v>
      </c>
      <c r="AE1787" t="s">
        <v>137</v>
      </c>
      <c r="AF1787">
        <v>1</v>
      </c>
      <c r="AG1787">
        <v>146</v>
      </c>
      <c r="AH1787">
        <v>330</v>
      </c>
      <c r="AI1787" s="122">
        <v>31809</v>
      </c>
      <c r="AJ1787" s="122">
        <v>26507</v>
      </c>
      <c r="AK1787">
        <v>65</v>
      </c>
      <c r="AL1787" s="122">
        <v>3240</v>
      </c>
      <c r="AM1787" s="122">
        <v>2945</v>
      </c>
      <c r="AN1787" s="122">
        <v>3347</v>
      </c>
      <c r="AO1787" s="122">
        <v>1240</v>
      </c>
      <c r="AP1787">
        <v>824</v>
      </c>
      <c r="AQ1787">
        <v>305</v>
      </c>
      <c r="AR1787" s="122">
        <v>5827</v>
      </c>
      <c r="AS1787" s="122">
        <v>4856</v>
      </c>
      <c r="AT1787" s="122">
        <v>3110</v>
      </c>
      <c r="AU1787" s="122">
        <v>1152</v>
      </c>
      <c r="AV1787" s="122">
        <v>37005</v>
      </c>
    </row>
    <row r="1788" spans="2:48" hidden="1">
      <c r="B1788" t="s">
        <v>374</v>
      </c>
      <c r="C1788" t="s">
        <v>58</v>
      </c>
      <c r="D1788" t="s">
        <v>407</v>
      </c>
      <c r="E1788" t="s">
        <v>426</v>
      </c>
      <c r="F1788" s="122">
        <v>2</v>
      </c>
      <c r="G1788" s="122">
        <v>293</v>
      </c>
      <c r="H1788" s="122">
        <v>552</v>
      </c>
      <c r="I1788" s="122">
        <v>44156</v>
      </c>
      <c r="J1788" s="122">
        <v>40141</v>
      </c>
      <c r="K1788" s="122">
        <v>76</v>
      </c>
      <c r="L1788" s="122">
        <v>11771</v>
      </c>
      <c r="M1788" s="122">
        <v>10701</v>
      </c>
      <c r="N1788" s="122">
        <v>7150</v>
      </c>
      <c r="O1788" s="122">
        <v>2648</v>
      </c>
      <c r="P1788" s="122">
        <v>945</v>
      </c>
      <c r="Q1788" s="122">
        <v>350</v>
      </c>
      <c r="R1788" s="122">
        <v>13336</v>
      </c>
      <c r="S1788" s="122">
        <v>12123</v>
      </c>
      <c r="T1788" s="122">
        <v>3748</v>
      </c>
      <c r="U1788" s="122">
        <v>1388</v>
      </c>
      <c r="V1788" s="122">
        <v>67352</v>
      </c>
      <c r="W1788" s="122">
        <f t="shared" si="54"/>
        <v>67351</v>
      </c>
      <c r="X1788" s="122">
        <f t="shared" si="55"/>
        <v>81106</v>
      </c>
      <c r="AA1788" t="s">
        <v>60</v>
      </c>
      <c r="AB1788" t="s">
        <v>579</v>
      </c>
      <c r="AC1788" t="s">
        <v>137</v>
      </c>
      <c r="AD1788" t="s">
        <v>137</v>
      </c>
      <c r="AE1788" t="s">
        <v>566</v>
      </c>
      <c r="AF1788">
        <v>2</v>
      </c>
      <c r="AG1788">
        <v>142</v>
      </c>
      <c r="AH1788" s="122">
        <v>697</v>
      </c>
      <c r="AI1788" s="122">
        <v>25069</v>
      </c>
      <c r="AJ1788" s="122">
        <v>20891</v>
      </c>
      <c r="AK1788">
        <v>63</v>
      </c>
      <c r="AL1788" s="122">
        <v>3938</v>
      </c>
      <c r="AM1788" s="122">
        <v>1459</v>
      </c>
      <c r="AN1788" s="122">
        <v>3171</v>
      </c>
      <c r="AO1788" s="122">
        <v>1175</v>
      </c>
      <c r="AP1788" s="122">
        <v>351</v>
      </c>
      <c r="AQ1788" s="122">
        <v>130</v>
      </c>
      <c r="AR1788" s="122">
        <v>16680</v>
      </c>
      <c r="AS1788" s="122">
        <v>6178</v>
      </c>
      <c r="AT1788" s="122">
        <v>0</v>
      </c>
      <c r="AU1788" s="122">
        <v>0</v>
      </c>
      <c r="AV1788" s="122">
        <v>29831</v>
      </c>
    </row>
    <row r="1789" spans="2:48" hidden="1">
      <c r="B1789" t="s">
        <v>374</v>
      </c>
      <c r="C1789" t="s">
        <v>58</v>
      </c>
      <c r="D1789" t="s">
        <v>556</v>
      </c>
      <c r="E1789" t="s">
        <v>556</v>
      </c>
      <c r="F1789" s="122">
        <v>3</v>
      </c>
      <c r="G1789" s="122">
        <v>418</v>
      </c>
      <c r="H1789" s="122">
        <v>838</v>
      </c>
      <c r="I1789" s="122">
        <v>71417</v>
      </c>
      <c r="J1789" s="122">
        <v>59514</v>
      </c>
      <c r="K1789" s="122">
        <v>58</v>
      </c>
      <c r="L1789" s="122">
        <v>6858</v>
      </c>
      <c r="M1789" s="122">
        <v>5048</v>
      </c>
      <c r="N1789" s="122">
        <v>10195</v>
      </c>
      <c r="O1789" s="122">
        <v>3776</v>
      </c>
      <c r="P1789" s="122">
        <v>1323</v>
      </c>
      <c r="Q1789" s="122">
        <v>490</v>
      </c>
      <c r="R1789" s="122">
        <v>22370</v>
      </c>
      <c r="S1789" s="122">
        <v>18641</v>
      </c>
      <c r="T1789" s="122">
        <v>4419</v>
      </c>
      <c r="U1789" s="122">
        <v>1637</v>
      </c>
      <c r="V1789" s="122">
        <v>89106</v>
      </c>
      <c r="W1789" s="122">
        <f t="shared" si="54"/>
        <v>89106</v>
      </c>
      <c r="X1789" s="122">
        <f t="shared" si="55"/>
        <v>116582</v>
      </c>
      <c r="AA1789" t="s">
        <v>60</v>
      </c>
      <c r="AB1789" t="s">
        <v>579</v>
      </c>
      <c r="AC1789" t="s">
        <v>137</v>
      </c>
      <c r="AD1789" t="s">
        <v>579</v>
      </c>
      <c r="AE1789" t="s">
        <v>137</v>
      </c>
      <c r="AF1789">
        <v>9</v>
      </c>
      <c r="AG1789">
        <v>922</v>
      </c>
      <c r="AH1789" s="122">
        <v>3253</v>
      </c>
      <c r="AI1789" s="122">
        <v>201777</v>
      </c>
      <c r="AJ1789" s="122">
        <v>168148</v>
      </c>
      <c r="AK1789">
        <v>61</v>
      </c>
      <c r="AL1789" s="122">
        <v>35833</v>
      </c>
      <c r="AM1789" s="122">
        <v>13271</v>
      </c>
      <c r="AN1789" s="122">
        <v>19172</v>
      </c>
      <c r="AO1789" s="122">
        <v>7101</v>
      </c>
      <c r="AP1789" s="122">
        <v>3509</v>
      </c>
      <c r="AQ1789" s="122">
        <v>1300</v>
      </c>
      <c r="AR1789" s="122">
        <v>48029</v>
      </c>
      <c r="AS1789" s="122">
        <v>40024</v>
      </c>
      <c r="AT1789" s="122">
        <v>24031</v>
      </c>
      <c r="AU1789" s="122">
        <v>8901</v>
      </c>
      <c r="AV1789" s="122">
        <v>238744</v>
      </c>
    </row>
    <row r="1790" spans="2:48" hidden="1">
      <c r="B1790" t="s">
        <v>374</v>
      </c>
      <c r="C1790" t="s">
        <v>58</v>
      </c>
      <c r="D1790" t="s">
        <v>426</v>
      </c>
      <c r="E1790" t="s">
        <v>137</v>
      </c>
      <c r="F1790" s="122">
        <v>4</v>
      </c>
      <c r="G1790" s="122">
        <v>291</v>
      </c>
      <c r="H1790" s="122">
        <v>1160</v>
      </c>
      <c r="I1790" s="122">
        <v>41874</v>
      </c>
      <c r="J1790" s="122">
        <v>38067</v>
      </c>
      <c r="K1790" s="122">
        <v>69</v>
      </c>
      <c r="L1790" s="122">
        <v>7465</v>
      </c>
      <c r="M1790" s="122">
        <v>2765</v>
      </c>
      <c r="N1790" s="122">
        <v>4583</v>
      </c>
      <c r="O1790" s="122">
        <v>1697</v>
      </c>
      <c r="P1790" s="122">
        <v>1053</v>
      </c>
      <c r="Q1790" s="122">
        <v>390</v>
      </c>
      <c r="R1790" s="122">
        <v>29188</v>
      </c>
      <c r="S1790" s="122">
        <v>10810</v>
      </c>
      <c r="T1790" s="122">
        <v>0</v>
      </c>
      <c r="U1790" s="122">
        <v>0</v>
      </c>
      <c r="V1790" s="122">
        <v>53730</v>
      </c>
      <c r="W1790" s="122">
        <f t="shared" si="54"/>
        <v>53729</v>
      </c>
      <c r="X1790" s="122">
        <f t="shared" si="55"/>
        <v>84163</v>
      </c>
      <c r="AA1790" t="s">
        <v>60</v>
      </c>
      <c r="AB1790" t="s">
        <v>579</v>
      </c>
      <c r="AC1790" t="s">
        <v>137</v>
      </c>
      <c r="AD1790" t="s">
        <v>579</v>
      </c>
      <c r="AE1790" t="s">
        <v>566</v>
      </c>
      <c r="AF1790">
        <v>3</v>
      </c>
      <c r="AG1790" s="122">
        <v>292</v>
      </c>
      <c r="AH1790" s="122">
        <v>1110</v>
      </c>
      <c r="AI1790" s="122">
        <v>64728</v>
      </c>
      <c r="AJ1790" s="122">
        <v>53940</v>
      </c>
      <c r="AK1790">
        <v>68</v>
      </c>
      <c r="AL1790" s="122">
        <v>18979</v>
      </c>
      <c r="AM1790" s="122">
        <v>7029</v>
      </c>
      <c r="AN1790" s="122">
        <v>5996</v>
      </c>
      <c r="AO1790" s="122">
        <v>2221</v>
      </c>
      <c r="AP1790" s="122">
        <v>1815</v>
      </c>
      <c r="AQ1790" s="122">
        <v>672</v>
      </c>
      <c r="AR1790" s="122">
        <v>16387</v>
      </c>
      <c r="AS1790" s="122">
        <v>13656</v>
      </c>
      <c r="AT1790" s="122">
        <v>0</v>
      </c>
      <c r="AU1790" s="122">
        <v>0</v>
      </c>
      <c r="AV1790" s="122">
        <v>77519</v>
      </c>
    </row>
    <row r="1791" spans="2:48" hidden="1">
      <c r="B1791" t="s">
        <v>374</v>
      </c>
      <c r="C1791" t="s">
        <v>58</v>
      </c>
      <c r="D1791" t="s">
        <v>426</v>
      </c>
      <c r="E1791" t="s">
        <v>426</v>
      </c>
      <c r="F1791" s="122">
        <v>51</v>
      </c>
      <c r="G1791" s="122">
        <v>6159</v>
      </c>
      <c r="H1791" s="122">
        <v>14192</v>
      </c>
      <c r="I1791" s="122">
        <v>1090809</v>
      </c>
      <c r="J1791" s="122">
        <v>991645</v>
      </c>
      <c r="K1791" s="122">
        <v>64</v>
      </c>
      <c r="L1791" s="122">
        <v>151430</v>
      </c>
      <c r="M1791" s="122">
        <v>122536</v>
      </c>
      <c r="N1791" s="122">
        <v>114842</v>
      </c>
      <c r="O1791" s="122">
        <v>42534</v>
      </c>
      <c r="P1791" s="122">
        <v>22725</v>
      </c>
      <c r="Q1791" s="122">
        <v>8417</v>
      </c>
      <c r="R1791" s="122">
        <v>254271</v>
      </c>
      <c r="S1791" s="122">
        <v>231155</v>
      </c>
      <c r="T1791" s="122">
        <v>109016</v>
      </c>
      <c r="U1791" s="122">
        <v>40376</v>
      </c>
      <c r="V1791" s="122">
        <v>1436663</v>
      </c>
      <c r="W1791" s="122">
        <f t="shared" si="54"/>
        <v>1436663</v>
      </c>
      <c r="X1791" s="122">
        <f t="shared" si="55"/>
        <v>1743093</v>
      </c>
      <c r="AA1791" t="s">
        <v>60</v>
      </c>
      <c r="AB1791" t="s">
        <v>579</v>
      </c>
      <c r="AC1791" t="s">
        <v>580</v>
      </c>
      <c r="AD1791" t="s">
        <v>579</v>
      </c>
      <c r="AE1791" t="s">
        <v>137</v>
      </c>
      <c r="AF1791">
        <v>27</v>
      </c>
      <c r="AG1791" s="122">
        <v>3697</v>
      </c>
      <c r="AH1791" s="122">
        <v>8993</v>
      </c>
      <c r="AI1791" s="122">
        <v>825765</v>
      </c>
      <c r="AJ1791" s="122">
        <v>688138</v>
      </c>
      <c r="AK1791">
        <v>59</v>
      </c>
      <c r="AL1791" s="122">
        <v>72417</v>
      </c>
      <c r="AM1791" s="122">
        <v>65834</v>
      </c>
      <c r="AN1791" s="122">
        <v>78223</v>
      </c>
      <c r="AO1791" s="122">
        <v>28971</v>
      </c>
      <c r="AP1791" s="122">
        <v>17793</v>
      </c>
      <c r="AQ1791" s="122">
        <v>6590</v>
      </c>
      <c r="AR1791" s="122">
        <v>162878</v>
      </c>
      <c r="AS1791" s="122">
        <v>135732</v>
      </c>
      <c r="AT1791" s="122">
        <v>75865</v>
      </c>
      <c r="AU1791" s="122">
        <v>28098</v>
      </c>
      <c r="AV1791" s="122">
        <v>953363</v>
      </c>
    </row>
    <row r="1792" spans="2:48" hidden="1">
      <c r="B1792" t="s">
        <v>374</v>
      </c>
      <c r="C1792" t="s">
        <v>58</v>
      </c>
      <c r="D1792" t="s">
        <v>433</v>
      </c>
      <c r="E1792" t="s">
        <v>433</v>
      </c>
      <c r="F1792" s="122">
        <v>4</v>
      </c>
      <c r="G1792" s="122">
        <v>333</v>
      </c>
      <c r="H1792" s="122">
        <v>1119</v>
      </c>
      <c r="I1792" s="122">
        <v>61603</v>
      </c>
      <c r="J1792" s="122">
        <v>56002</v>
      </c>
      <c r="K1792" s="122">
        <v>60</v>
      </c>
      <c r="L1792" s="122">
        <v>10567</v>
      </c>
      <c r="M1792" s="122">
        <v>9606</v>
      </c>
      <c r="N1792" s="122">
        <v>8106</v>
      </c>
      <c r="O1792" s="122">
        <v>3002</v>
      </c>
      <c r="P1792" s="122">
        <v>1404</v>
      </c>
      <c r="Q1792" s="122">
        <v>520</v>
      </c>
      <c r="R1792" s="122">
        <v>11640</v>
      </c>
      <c r="S1792" s="122">
        <v>10582</v>
      </c>
      <c r="T1792" s="122">
        <v>0</v>
      </c>
      <c r="U1792" s="122">
        <v>0</v>
      </c>
      <c r="V1792" s="122">
        <v>79713</v>
      </c>
      <c r="W1792" s="122">
        <f t="shared" si="54"/>
        <v>79712</v>
      </c>
      <c r="X1792" s="122">
        <f t="shared" si="55"/>
        <v>93320</v>
      </c>
      <c r="AA1792" t="s">
        <v>60</v>
      </c>
      <c r="AB1792" t="s">
        <v>579</v>
      </c>
      <c r="AC1792" t="s">
        <v>580</v>
      </c>
      <c r="AD1792" t="s">
        <v>579</v>
      </c>
      <c r="AE1792" t="s">
        <v>566</v>
      </c>
      <c r="AF1792">
        <v>1</v>
      </c>
      <c r="AG1792">
        <v>147</v>
      </c>
      <c r="AH1792">
        <v>324</v>
      </c>
      <c r="AI1792" s="122">
        <v>32418</v>
      </c>
      <c r="AJ1792" s="122">
        <v>27015</v>
      </c>
      <c r="AK1792">
        <v>65</v>
      </c>
      <c r="AL1792" s="122">
        <v>3066</v>
      </c>
      <c r="AM1792" s="122">
        <v>2787</v>
      </c>
      <c r="AN1792" s="122">
        <v>2643</v>
      </c>
      <c r="AO1792">
        <v>979</v>
      </c>
      <c r="AP1792">
        <v>621</v>
      </c>
      <c r="AQ1792">
        <v>230</v>
      </c>
      <c r="AR1792" s="122">
        <v>8708</v>
      </c>
      <c r="AS1792" s="122">
        <v>7257</v>
      </c>
      <c r="AT1792">
        <v>0</v>
      </c>
      <c r="AU1792">
        <v>0</v>
      </c>
      <c r="AV1792" s="122">
        <v>38268</v>
      </c>
    </row>
    <row r="1793" spans="2:48" hidden="1">
      <c r="B1793" t="s">
        <v>374</v>
      </c>
      <c r="C1793" t="s">
        <v>58</v>
      </c>
      <c r="D1793" t="s">
        <v>408</v>
      </c>
      <c r="E1793" t="s">
        <v>408</v>
      </c>
      <c r="F1793" s="122">
        <v>3</v>
      </c>
      <c r="G1793" s="122">
        <v>444</v>
      </c>
      <c r="H1793" s="122">
        <v>735</v>
      </c>
      <c r="I1793" s="122">
        <v>61487</v>
      </c>
      <c r="J1793" s="122">
        <v>55897</v>
      </c>
      <c r="K1793" s="122">
        <v>71</v>
      </c>
      <c r="L1793" s="122">
        <v>18073</v>
      </c>
      <c r="M1793" s="122">
        <v>13886</v>
      </c>
      <c r="N1793" s="122">
        <v>8095</v>
      </c>
      <c r="O1793" s="122">
        <v>2998</v>
      </c>
      <c r="P1793" s="122">
        <v>1053</v>
      </c>
      <c r="Q1793" s="122">
        <v>390</v>
      </c>
      <c r="R1793" s="122">
        <v>20503</v>
      </c>
      <c r="S1793" s="122">
        <v>18639</v>
      </c>
      <c r="T1793" s="122">
        <v>0</v>
      </c>
      <c r="U1793" s="122">
        <v>0</v>
      </c>
      <c r="V1793" s="122">
        <v>91811</v>
      </c>
      <c r="W1793" s="122">
        <f t="shared" si="54"/>
        <v>91810</v>
      </c>
      <c r="X1793" s="122">
        <f t="shared" si="55"/>
        <v>109211</v>
      </c>
      <c r="AA1793" t="s">
        <v>60</v>
      </c>
      <c r="AB1793" t="s">
        <v>579</v>
      </c>
      <c r="AC1793" t="s">
        <v>579</v>
      </c>
      <c r="AD1793" t="s">
        <v>137</v>
      </c>
      <c r="AE1793" t="s">
        <v>566</v>
      </c>
      <c r="AF1793">
        <v>1</v>
      </c>
      <c r="AG1793" s="122">
        <v>56</v>
      </c>
      <c r="AH1793" s="122">
        <v>378</v>
      </c>
      <c r="AI1793" s="122">
        <v>11086</v>
      </c>
      <c r="AJ1793" s="122">
        <v>9238</v>
      </c>
      <c r="AK1793">
        <v>65</v>
      </c>
      <c r="AL1793" s="122">
        <v>3002</v>
      </c>
      <c r="AM1793" s="122">
        <v>2502</v>
      </c>
      <c r="AN1793" s="122">
        <v>1356</v>
      </c>
      <c r="AO1793" s="122">
        <v>502</v>
      </c>
      <c r="AP1793" s="122">
        <v>351</v>
      </c>
      <c r="AQ1793" s="122">
        <v>130</v>
      </c>
      <c r="AR1793" s="122">
        <v>5270</v>
      </c>
      <c r="AS1793" s="122">
        <v>1952</v>
      </c>
      <c r="AT1793" s="122">
        <v>0</v>
      </c>
      <c r="AU1793" s="122">
        <v>0</v>
      </c>
      <c r="AV1793" s="122">
        <v>14324</v>
      </c>
    </row>
    <row r="1794" spans="2:48" hidden="1">
      <c r="B1794" t="s">
        <v>374</v>
      </c>
      <c r="C1794" t="s">
        <v>58</v>
      </c>
      <c r="D1794" t="s">
        <v>408</v>
      </c>
      <c r="E1794" t="s">
        <v>429</v>
      </c>
      <c r="F1794" s="122">
        <v>3</v>
      </c>
      <c r="G1794" s="122">
        <v>444</v>
      </c>
      <c r="H1794" s="122">
        <v>763</v>
      </c>
      <c r="I1794" s="122">
        <v>75852</v>
      </c>
      <c r="J1794" s="122">
        <v>68957</v>
      </c>
      <c r="K1794" s="122">
        <v>74</v>
      </c>
      <c r="L1794" s="122">
        <v>15650</v>
      </c>
      <c r="M1794" s="122">
        <v>14228</v>
      </c>
      <c r="N1794" s="122">
        <v>8660</v>
      </c>
      <c r="O1794" s="122">
        <v>3208</v>
      </c>
      <c r="P1794" s="122">
        <v>1053</v>
      </c>
      <c r="Q1794" s="122">
        <v>390</v>
      </c>
      <c r="R1794" s="122">
        <v>17715</v>
      </c>
      <c r="S1794" s="122">
        <v>16104</v>
      </c>
      <c r="T1794" s="122">
        <v>2586</v>
      </c>
      <c r="U1794" s="122">
        <v>958</v>
      </c>
      <c r="V1794" s="122">
        <v>103844</v>
      </c>
      <c r="W1794" s="122">
        <f t="shared" si="54"/>
        <v>103845</v>
      </c>
      <c r="X1794" s="122">
        <f t="shared" si="55"/>
        <v>121516</v>
      </c>
      <c r="AA1794" t="s">
        <v>60</v>
      </c>
      <c r="AB1794" t="s">
        <v>579</v>
      </c>
      <c r="AC1794" t="s">
        <v>579</v>
      </c>
      <c r="AD1794" t="s">
        <v>579</v>
      </c>
      <c r="AE1794" t="s">
        <v>137</v>
      </c>
      <c r="AF1794">
        <v>39</v>
      </c>
      <c r="AG1794" s="122">
        <v>4361</v>
      </c>
      <c r="AH1794" s="122">
        <v>13456</v>
      </c>
      <c r="AI1794" s="122">
        <v>946170</v>
      </c>
      <c r="AJ1794" s="122">
        <v>788475</v>
      </c>
      <c r="AK1794">
        <v>62</v>
      </c>
      <c r="AL1794" s="122">
        <v>165272</v>
      </c>
      <c r="AM1794" s="122">
        <v>137727</v>
      </c>
      <c r="AN1794" s="122">
        <v>89159</v>
      </c>
      <c r="AO1794" s="122">
        <v>33022</v>
      </c>
      <c r="AP1794" s="122">
        <v>14931</v>
      </c>
      <c r="AQ1794" s="122">
        <v>5530</v>
      </c>
      <c r="AR1794" s="122">
        <v>223165</v>
      </c>
      <c r="AS1794" s="122">
        <v>185971</v>
      </c>
      <c r="AT1794" s="122">
        <v>104842</v>
      </c>
      <c r="AU1794" s="122">
        <v>38831</v>
      </c>
      <c r="AV1794" s="122">
        <v>1189555</v>
      </c>
    </row>
    <row r="1795" spans="2:48" hidden="1">
      <c r="B1795" t="s">
        <v>374</v>
      </c>
      <c r="C1795" t="s">
        <v>58</v>
      </c>
      <c r="D1795" t="s">
        <v>429</v>
      </c>
      <c r="E1795" t="s">
        <v>429</v>
      </c>
      <c r="F1795" s="122">
        <v>4</v>
      </c>
      <c r="G1795" s="122">
        <v>477</v>
      </c>
      <c r="H1795" s="122">
        <v>1007</v>
      </c>
      <c r="I1795" s="122">
        <v>78338</v>
      </c>
      <c r="J1795" s="122">
        <v>71216</v>
      </c>
      <c r="K1795" s="122">
        <v>71</v>
      </c>
      <c r="L1795" s="122">
        <v>8357</v>
      </c>
      <c r="M1795" s="122">
        <v>7597</v>
      </c>
      <c r="N1795" s="122">
        <v>9810</v>
      </c>
      <c r="O1795" s="122">
        <v>3634</v>
      </c>
      <c r="P1795" s="122">
        <v>1404</v>
      </c>
      <c r="Q1795" s="122">
        <v>520</v>
      </c>
      <c r="R1795" s="122">
        <v>17965</v>
      </c>
      <c r="S1795" s="122">
        <v>16332</v>
      </c>
      <c r="T1795" s="122">
        <v>4085</v>
      </c>
      <c r="U1795" s="122">
        <v>1513</v>
      </c>
      <c r="V1795" s="122">
        <v>100811</v>
      </c>
      <c r="W1795" s="122">
        <f t="shared" si="54"/>
        <v>100812</v>
      </c>
      <c r="X1795" s="122">
        <f t="shared" si="55"/>
        <v>119959</v>
      </c>
      <c r="AA1795" t="s">
        <v>60</v>
      </c>
      <c r="AB1795" t="s">
        <v>579</v>
      </c>
      <c r="AC1795" t="s">
        <v>426</v>
      </c>
      <c r="AD1795" t="s">
        <v>579</v>
      </c>
      <c r="AE1795" t="s">
        <v>137</v>
      </c>
      <c r="AF1795">
        <v>3</v>
      </c>
      <c r="AG1795">
        <v>296</v>
      </c>
      <c r="AH1795" s="122">
        <v>1024</v>
      </c>
      <c r="AI1795" s="122">
        <v>61551</v>
      </c>
      <c r="AJ1795" s="122">
        <v>51293</v>
      </c>
      <c r="AK1795">
        <v>71</v>
      </c>
      <c r="AL1795" s="122">
        <v>12252</v>
      </c>
      <c r="AM1795" s="122">
        <v>11138</v>
      </c>
      <c r="AN1795" s="122">
        <v>5414</v>
      </c>
      <c r="AO1795" s="122">
        <v>2005</v>
      </c>
      <c r="AP1795" s="122">
        <v>1053</v>
      </c>
      <c r="AQ1795">
        <v>390</v>
      </c>
      <c r="AR1795" s="122">
        <v>13934</v>
      </c>
      <c r="AS1795" s="122">
        <v>11612</v>
      </c>
      <c r="AT1795" s="122">
        <v>7765</v>
      </c>
      <c r="AU1795" s="122">
        <v>2876</v>
      </c>
      <c r="AV1795" s="122">
        <v>79314</v>
      </c>
    </row>
    <row r="1796" spans="2:48" hidden="1">
      <c r="B1796" t="s">
        <v>374</v>
      </c>
      <c r="C1796" t="s">
        <v>60</v>
      </c>
      <c r="D1796" t="s">
        <v>555</v>
      </c>
      <c r="E1796" t="s">
        <v>555</v>
      </c>
      <c r="F1796" s="122">
        <v>1</v>
      </c>
      <c r="G1796" s="122">
        <v>75</v>
      </c>
      <c r="H1796" s="122">
        <v>325</v>
      </c>
      <c r="I1796" s="122">
        <v>14052</v>
      </c>
      <c r="J1796" s="122">
        <v>12774</v>
      </c>
      <c r="K1796" s="122">
        <v>65</v>
      </c>
      <c r="L1796" s="122">
        <v>2491</v>
      </c>
      <c r="M1796" s="122">
        <v>923</v>
      </c>
      <c r="N1796" s="122">
        <v>1372</v>
      </c>
      <c r="O1796" s="122">
        <v>508</v>
      </c>
      <c r="P1796" s="122">
        <v>351</v>
      </c>
      <c r="Q1796" s="122">
        <v>130</v>
      </c>
      <c r="R1796" s="122">
        <v>4054</v>
      </c>
      <c r="S1796" s="122">
        <v>3686</v>
      </c>
      <c r="T1796" s="122">
        <v>2099</v>
      </c>
      <c r="U1796" s="122">
        <v>777</v>
      </c>
      <c r="V1796" s="122">
        <v>18798</v>
      </c>
      <c r="W1796" s="122">
        <f t="shared" si="54"/>
        <v>18798</v>
      </c>
      <c r="X1796" s="122">
        <f t="shared" si="55"/>
        <v>24419</v>
      </c>
      <c r="AA1796" t="s">
        <v>60</v>
      </c>
      <c r="AB1796" t="s">
        <v>579</v>
      </c>
      <c r="AC1796" t="s">
        <v>566</v>
      </c>
      <c r="AD1796" t="s">
        <v>137</v>
      </c>
      <c r="AE1796" t="s">
        <v>137</v>
      </c>
      <c r="AF1796">
        <v>2</v>
      </c>
      <c r="AG1796">
        <v>179</v>
      </c>
      <c r="AH1796">
        <v>688</v>
      </c>
      <c r="AI1796" s="122">
        <v>28140</v>
      </c>
      <c r="AJ1796" s="122">
        <v>23450</v>
      </c>
      <c r="AK1796">
        <v>65</v>
      </c>
      <c r="AL1796">
        <v>0</v>
      </c>
      <c r="AM1796">
        <v>0</v>
      </c>
      <c r="AN1796" s="122">
        <v>3710</v>
      </c>
      <c r="AO1796" s="122">
        <v>1374</v>
      </c>
      <c r="AP1796">
        <v>702</v>
      </c>
      <c r="AQ1796">
        <v>260</v>
      </c>
      <c r="AR1796" s="122">
        <v>23315</v>
      </c>
      <c r="AS1796" s="122">
        <v>8635</v>
      </c>
      <c r="AT1796" s="122">
        <v>5290</v>
      </c>
      <c r="AU1796" s="122">
        <v>1959</v>
      </c>
      <c r="AV1796" s="122">
        <v>35679</v>
      </c>
    </row>
    <row r="1797" spans="2:48" hidden="1">
      <c r="B1797" t="s">
        <v>374</v>
      </c>
      <c r="C1797" t="s">
        <v>60</v>
      </c>
      <c r="D1797" t="s">
        <v>425</v>
      </c>
      <c r="E1797" t="s">
        <v>425</v>
      </c>
      <c r="F1797" s="122">
        <v>1</v>
      </c>
      <c r="G1797" s="122">
        <v>104</v>
      </c>
      <c r="H1797" s="122">
        <v>348</v>
      </c>
      <c r="I1797" s="122">
        <v>24148</v>
      </c>
      <c r="J1797" s="122">
        <v>21953</v>
      </c>
      <c r="K1797" s="122">
        <v>91</v>
      </c>
      <c r="L1797" s="122">
        <v>3688</v>
      </c>
      <c r="M1797" s="122">
        <v>3353</v>
      </c>
      <c r="N1797" s="122">
        <v>2144</v>
      </c>
      <c r="O1797" s="122">
        <v>794</v>
      </c>
      <c r="P1797" s="122">
        <v>473</v>
      </c>
      <c r="Q1797" s="122">
        <v>175</v>
      </c>
      <c r="R1797" s="122">
        <v>5579</v>
      </c>
      <c r="S1797" s="122">
        <v>5072</v>
      </c>
      <c r="T1797" s="122">
        <v>0</v>
      </c>
      <c r="U1797" s="122">
        <v>0</v>
      </c>
      <c r="V1797" s="122">
        <v>31347</v>
      </c>
      <c r="W1797" s="122">
        <f t="shared" si="54"/>
        <v>31347</v>
      </c>
      <c r="X1797" s="122">
        <f t="shared" si="55"/>
        <v>36032</v>
      </c>
      <c r="AA1797" t="s">
        <v>60</v>
      </c>
      <c r="AB1797" t="s">
        <v>579</v>
      </c>
      <c r="AC1797" t="s">
        <v>566</v>
      </c>
      <c r="AD1797" t="s">
        <v>137</v>
      </c>
      <c r="AE1797" t="s">
        <v>566</v>
      </c>
      <c r="AF1797">
        <v>1</v>
      </c>
      <c r="AG1797" s="122">
        <v>296</v>
      </c>
      <c r="AH1797" s="122">
        <v>323</v>
      </c>
      <c r="AI1797" s="122">
        <v>82224</v>
      </c>
      <c r="AJ1797" s="122">
        <v>68520</v>
      </c>
      <c r="AK1797">
        <v>30</v>
      </c>
      <c r="AL1797">
        <v>0</v>
      </c>
      <c r="AM1797">
        <v>0</v>
      </c>
      <c r="AN1797" s="122">
        <v>3607</v>
      </c>
      <c r="AO1797" s="122">
        <v>1336</v>
      </c>
      <c r="AP1797" s="122">
        <v>0</v>
      </c>
      <c r="AQ1797" s="122">
        <v>0</v>
      </c>
      <c r="AR1797" s="122">
        <v>9776</v>
      </c>
      <c r="AS1797" s="122">
        <v>3621</v>
      </c>
      <c r="AT1797" s="122">
        <v>0</v>
      </c>
      <c r="AU1797" s="122">
        <v>0</v>
      </c>
      <c r="AV1797" s="122">
        <v>73477</v>
      </c>
    </row>
    <row r="1798" spans="2:48" hidden="1">
      <c r="B1798" t="s">
        <v>374</v>
      </c>
      <c r="C1798" t="s">
        <v>60</v>
      </c>
      <c r="D1798" t="s">
        <v>425</v>
      </c>
      <c r="E1798" t="s">
        <v>406</v>
      </c>
      <c r="F1798" s="122">
        <v>1</v>
      </c>
      <c r="G1798" s="122">
        <v>135</v>
      </c>
      <c r="H1798" s="122">
        <v>376</v>
      </c>
      <c r="I1798" s="122">
        <v>32200</v>
      </c>
      <c r="J1798" s="122">
        <v>29273</v>
      </c>
      <c r="K1798" s="122">
        <v>65</v>
      </c>
      <c r="L1798" s="122">
        <v>7370</v>
      </c>
      <c r="M1798" s="122">
        <v>6700</v>
      </c>
      <c r="N1798" s="122">
        <v>3290</v>
      </c>
      <c r="O1798" s="122">
        <v>1218</v>
      </c>
      <c r="P1798" s="122">
        <v>621</v>
      </c>
      <c r="Q1798" s="122">
        <v>230</v>
      </c>
      <c r="R1798" s="122">
        <v>4381</v>
      </c>
      <c r="S1798" s="122">
        <v>3982</v>
      </c>
      <c r="T1798" s="122">
        <v>2851</v>
      </c>
      <c r="U1798" s="122">
        <v>1056</v>
      </c>
      <c r="V1798" s="122">
        <v>42460</v>
      </c>
      <c r="W1798" s="122">
        <f t="shared" si="54"/>
        <v>42459</v>
      </c>
      <c r="X1798" s="122">
        <f t="shared" si="55"/>
        <v>50713</v>
      </c>
      <c r="AA1798" t="s">
        <v>60</v>
      </c>
      <c r="AB1798" t="s">
        <v>579</v>
      </c>
      <c r="AC1798" t="s">
        <v>566</v>
      </c>
      <c r="AD1798" t="s">
        <v>579</v>
      </c>
      <c r="AE1798" t="s">
        <v>137</v>
      </c>
      <c r="AF1798">
        <v>23</v>
      </c>
      <c r="AG1798" s="122">
        <v>1732</v>
      </c>
      <c r="AH1798" s="122">
        <v>7961</v>
      </c>
      <c r="AI1798" s="122">
        <v>417368</v>
      </c>
      <c r="AJ1798" s="122">
        <v>347807</v>
      </c>
      <c r="AK1798">
        <v>61</v>
      </c>
      <c r="AL1798" s="122">
        <v>0</v>
      </c>
      <c r="AM1798" s="122">
        <v>0</v>
      </c>
      <c r="AN1798" s="122">
        <v>34289</v>
      </c>
      <c r="AO1798" s="122">
        <v>12700</v>
      </c>
      <c r="AP1798" s="122">
        <v>7722</v>
      </c>
      <c r="AQ1798" s="122">
        <v>2860</v>
      </c>
      <c r="AR1798" s="122">
        <v>116447</v>
      </c>
      <c r="AS1798" s="122">
        <v>97039</v>
      </c>
      <c r="AT1798" s="122">
        <v>52321</v>
      </c>
      <c r="AU1798" s="122">
        <v>19378</v>
      </c>
      <c r="AV1798" s="122">
        <v>479783</v>
      </c>
    </row>
    <row r="1799" spans="2:48" hidden="1">
      <c r="B1799" t="s">
        <v>374</v>
      </c>
      <c r="C1799" t="s">
        <v>60</v>
      </c>
      <c r="D1799" t="s">
        <v>405</v>
      </c>
      <c r="E1799" t="s">
        <v>405</v>
      </c>
      <c r="F1799" s="122">
        <v>24</v>
      </c>
      <c r="G1799" s="122">
        <v>2816</v>
      </c>
      <c r="H1799" s="122">
        <v>8145</v>
      </c>
      <c r="I1799" s="122">
        <v>624046</v>
      </c>
      <c r="J1799" s="122">
        <v>567314</v>
      </c>
      <c r="K1799" s="122">
        <v>76</v>
      </c>
      <c r="L1799" s="122">
        <v>101222</v>
      </c>
      <c r="M1799" s="122">
        <v>91274</v>
      </c>
      <c r="N1799" s="122">
        <v>59919</v>
      </c>
      <c r="O1799" s="122">
        <v>22192</v>
      </c>
      <c r="P1799" s="122">
        <v>11597</v>
      </c>
      <c r="Q1799" s="122">
        <v>4295</v>
      </c>
      <c r="R1799" s="122">
        <v>116347</v>
      </c>
      <c r="S1799" s="122">
        <v>105770</v>
      </c>
      <c r="T1799" s="122">
        <v>34856</v>
      </c>
      <c r="U1799" s="122">
        <v>12909</v>
      </c>
      <c r="V1799" s="122">
        <v>803755</v>
      </c>
      <c r="W1799" s="122">
        <f t="shared" ref="W1799:W1862" si="56">SUM(ABS(J1799),ABS(M1799),ABS(O1799),ABS(Q1799),ABS(S1799),ABS(U1799))</f>
        <v>803754</v>
      </c>
      <c r="X1799" s="122">
        <f t="shared" ref="X1799:X1862" si="57">SUM(ABS(I1799),ABS(N1799),ABS(P1799),ABS(R1799),ABS(T1799),ABS(L1799))</f>
        <v>947987</v>
      </c>
      <c r="AA1799" t="s">
        <v>60</v>
      </c>
      <c r="AB1799" t="s">
        <v>428</v>
      </c>
      <c r="AC1799" t="s">
        <v>405</v>
      </c>
      <c r="AD1799" t="s">
        <v>428</v>
      </c>
      <c r="AE1799" t="s">
        <v>137</v>
      </c>
      <c r="AF1799">
        <v>1</v>
      </c>
      <c r="AG1799">
        <v>123</v>
      </c>
      <c r="AH1799">
        <v>308</v>
      </c>
      <c r="AI1799" s="122">
        <v>20267</v>
      </c>
      <c r="AJ1799" s="122">
        <v>18424</v>
      </c>
      <c r="AK1799">
        <v>76</v>
      </c>
      <c r="AL1799" s="122">
        <v>8501</v>
      </c>
      <c r="AM1799" s="122">
        <v>7728</v>
      </c>
      <c r="AN1799" s="122">
        <v>2768</v>
      </c>
      <c r="AO1799" s="122">
        <v>1025</v>
      </c>
      <c r="AP1799">
        <v>351</v>
      </c>
      <c r="AQ1799">
        <v>130</v>
      </c>
      <c r="AR1799" s="122">
        <v>3417</v>
      </c>
      <c r="AS1799" s="122">
        <v>3106</v>
      </c>
      <c r="AT1799" s="122">
        <v>2575</v>
      </c>
      <c r="AU1799" s="122">
        <v>954</v>
      </c>
      <c r="AV1799" s="122">
        <v>31367</v>
      </c>
    </row>
    <row r="1800" spans="2:48" hidden="1">
      <c r="B1800" t="s">
        <v>374</v>
      </c>
      <c r="C1800" t="s">
        <v>60</v>
      </c>
      <c r="D1800" t="s">
        <v>137</v>
      </c>
      <c r="E1800" t="s">
        <v>137</v>
      </c>
      <c r="F1800" s="122">
        <v>36</v>
      </c>
      <c r="G1800" s="122">
        <v>3577</v>
      </c>
      <c r="H1800" s="122">
        <v>12568</v>
      </c>
      <c r="I1800" s="122">
        <v>796198</v>
      </c>
      <c r="J1800" s="122">
        <v>294888</v>
      </c>
      <c r="K1800" s="122">
        <v>100</v>
      </c>
      <c r="L1800" s="122">
        <v>104531</v>
      </c>
      <c r="M1800" s="122">
        <v>87573</v>
      </c>
      <c r="N1800" s="122">
        <v>74624</v>
      </c>
      <c r="O1800" s="122">
        <v>27638</v>
      </c>
      <c r="P1800" s="122">
        <v>1053</v>
      </c>
      <c r="Q1800" s="122">
        <v>390</v>
      </c>
      <c r="R1800" s="122">
        <v>263752</v>
      </c>
      <c r="S1800" s="122">
        <v>97686</v>
      </c>
      <c r="T1800" s="122">
        <v>0</v>
      </c>
      <c r="U1800" s="122">
        <v>0</v>
      </c>
      <c r="V1800" s="122">
        <v>508175</v>
      </c>
      <c r="W1800" s="122">
        <f t="shared" si="56"/>
        <v>508175</v>
      </c>
      <c r="X1800" s="122">
        <f t="shared" si="57"/>
        <v>1240158</v>
      </c>
      <c r="AA1800" t="s">
        <v>60</v>
      </c>
      <c r="AB1800" t="s">
        <v>428</v>
      </c>
      <c r="AC1800" t="s">
        <v>137</v>
      </c>
      <c r="AD1800" t="s">
        <v>428</v>
      </c>
      <c r="AE1800" t="s">
        <v>137</v>
      </c>
      <c r="AF1800">
        <v>2</v>
      </c>
      <c r="AG1800">
        <v>177</v>
      </c>
      <c r="AH1800">
        <v>690</v>
      </c>
      <c r="AI1800" s="122">
        <v>33518</v>
      </c>
      <c r="AJ1800" s="122">
        <v>30471</v>
      </c>
      <c r="AK1800">
        <v>55</v>
      </c>
      <c r="AL1800" s="122">
        <v>9037</v>
      </c>
      <c r="AM1800" s="122">
        <v>3347</v>
      </c>
      <c r="AN1800" s="122">
        <v>3878</v>
      </c>
      <c r="AO1800" s="122">
        <v>1436</v>
      </c>
      <c r="AP1800">
        <v>0</v>
      </c>
      <c r="AQ1800">
        <v>0</v>
      </c>
      <c r="AR1800" s="122">
        <v>10531</v>
      </c>
      <c r="AS1800" s="122">
        <v>9574</v>
      </c>
      <c r="AT1800" s="122">
        <v>4555</v>
      </c>
      <c r="AU1800" s="122">
        <v>1687</v>
      </c>
      <c r="AV1800" s="122">
        <v>46515</v>
      </c>
    </row>
    <row r="1801" spans="2:48" hidden="1">
      <c r="B1801" t="s">
        <v>374</v>
      </c>
      <c r="C1801" t="s">
        <v>60</v>
      </c>
      <c r="D1801" t="s">
        <v>137</v>
      </c>
      <c r="E1801" t="s">
        <v>406</v>
      </c>
      <c r="F1801" s="122">
        <v>2</v>
      </c>
      <c r="G1801" s="122">
        <v>268</v>
      </c>
      <c r="H1801" s="122">
        <v>646</v>
      </c>
      <c r="I1801" s="122">
        <v>59133</v>
      </c>
      <c r="J1801" s="122">
        <v>21901</v>
      </c>
      <c r="K1801" s="122">
        <v>100</v>
      </c>
      <c r="L1801" s="122">
        <v>5539</v>
      </c>
      <c r="M1801" s="122">
        <v>5035</v>
      </c>
      <c r="N1801" s="122">
        <v>5912</v>
      </c>
      <c r="O1801" s="122">
        <v>2190</v>
      </c>
      <c r="P1801" s="122">
        <v>270</v>
      </c>
      <c r="Q1801" s="122">
        <v>100</v>
      </c>
      <c r="R1801" s="122">
        <v>9472</v>
      </c>
      <c r="S1801" s="122">
        <v>8611</v>
      </c>
      <c r="T1801" s="122">
        <v>6121</v>
      </c>
      <c r="U1801" s="122">
        <v>2267</v>
      </c>
      <c r="V1801" s="122">
        <v>40104</v>
      </c>
      <c r="W1801" s="122">
        <f t="shared" si="56"/>
        <v>40104</v>
      </c>
      <c r="X1801" s="122">
        <f t="shared" si="57"/>
        <v>86447</v>
      </c>
      <c r="AA1801" t="s">
        <v>60</v>
      </c>
      <c r="AB1801" t="s">
        <v>428</v>
      </c>
      <c r="AC1801" t="s">
        <v>427</v>
      </c>
      <c r="AD1801" t="s">
        <v>428</v>
      </c>
      <c r="AE1801" t="s">
        <v>137</v>
      </c>
      <c r="AF1801">
        <v>1</v>
      </c>
      <c r="AG1801">
        <v>76</v>
      </c>
      <c r="AH1801">
        <v>349</v>
      </c>
      <c r="AI1801" s="122">
        <v>14954</v>
      </c>
      <c r="AJ1801" s="122">
        <v>13595</v>
      </c>
      <c r="AK1801">
        <v>65</v>
      </c>
      <c r="AL1801" s="122">
        <v>3600</v>
      </c>
      <c r="AM1801" s="122">
        <v>3273</v>
      </c>
      <c r="AN1801" s="122">
        <v>1852</v>
      </c>
      <c r="AO1801">
        <v>686</v>
      </c>
      <c r="AP1801">
        <v>351</v>
      </c>
      <c r="AQ1801">
        <v>130</v>
      </c>
      <c r="AR1801" s="122">
        <v>3549</v>
      </c>
      <c r="AS1801" s="122">
        <v>3226</v>
      </c>
      <c r="AT1801" s="122">
        <v>2245</v>
      </c>
      <c r="AU1801">
        <v>832</v>
      </c>
      <c r="AV1801" s="122">
        <v>21742</v>
      </c>
    </row>
    <row r="1802" spans="2:48" hidden="1">
      <c r="B1802" t="s">
        <v>374</v>
      </c>
      <c r="C1802" t="s">
        <v>60</v>
      </c>
      <c r="D1802" t="s">
        <v>137</v>
      </c>
      <c r="E1802" t="s">
        <v>426</v>
      </c>
      <c r="F1802" s="122">
        <v>1</v>
      </c>
      <c r="G1802" s="122">
        <v>61</v>
      </c>
      <c r="H1802" s="122">
        <v>379</v>
      </c>
      <c r="I1802" s="122">
        <v>14736</v>
      </c>
      <c r="J1802" s="122">
        <v>5458</v>
      </c>
      <c r="K1802" s="122">
        <v>100</v>
      </c>
      <c r="L1802" s="122">
        <v>981</v>
      </c>
      <c r="M1802" s="122">
        <v>892</v>
      </c>
      <c r="N1802" s="122">
        <v>1043</v>
      </c>
      <c r="O1802" s="122">
        <v>386</v>
      </c>
      <c r="P1802" s="122">
        <v>0</v>
      </c>
      <c r="Q1802" s="122">
        <v>0</v>
      </c>
      <c r="R1802" s="122">
        <v>6232</v>
      </c>
      <c r="S1802" s="122">
        <v>5666</v>
      </c>
      <c r="T1802" s="122">
        <v>0</v>
      </c>
      <c r="U1802" s="122">
        <v>0</v>
      </c>
      <c r="V1802" s="122">
        <v>12402</v>
      </c>
      <c r="W1802" s="122">
        <f t="shared" si="56"/>
        <v>12402</v>
      </c>
      <c r="X1802" s="122">
        <f t="shared" si="57"/>
        <v>22992</v>
      </c>
      <c r="AA1802" t="s">
        <v>60</v>
      </c>
      <c r="AB1802" t="s">
        <v>428</v>
      </c>
      <c r="AC1802" t="s">
        <v>427</v>
      </c>
      <c r="AD1802" t="s">
        <v>428</v>
      </c>
      <c r="AE1802" t="s">
        <v>566</v>
      </c>
      <c r="AF1802">
        <v>1</v>
      </c>
      <c r="AG1802">
        <v>68</v>
      </c>
      <c r="AH1802" s="122">
        <v>325</v>
      </c>
      <c r="AI1802" s="122">
        <v>12510</v>
      </c>
      <c r="AJ1802" s="122">
        <v>11373</v>
      </c>
      <c r="AK1802">
        <v>60</v>
      </c>
      <c r="AL1802" s="122">
        <v>2780</v>
      </c>
      <c r="AM1802" s="122">
        <v>2527</v>
      </c>
      <c r="AN1802" s="122">
        <v>987</v>
      </c>
      <c r="AO1802" s="122">
        <v>366</v>
      </c>
      <c r="AP1802" s="122">
        <v>351</v>
      </c>
      <c r="AQ1802" s="122">
        <v>130</v>
      </c>
      <c r="AR1802" s="122">
        <v>5315</v>
      </c>
      <c r="AS1802" s="122">
        <v>4831</v>
      </c>
      <c r="AT1802" s="122">
        <v>0</v>
      </c>
      <c r="AU1802" s="122">
        <v>0</v>
      </c>
      <c r="AV1802" s="122">
        <v>19228</v>
      </c>
    </row>
    <row r="1803" spans="2:48" hidden="1">
      <c r="B1803" t="s">
        <v>374</v>
      </c>
      <c r="C1803" t="s">
        <v>60</v>
      </c>
      <c r="D1803" t="s">
        <v>406</v>
      </c>
      <c r="E1803" t="s">
        <v>425</v>
      </c>
      <c r="F1803" s="122">
        <v>1</v>
      </c>
      <c r="G1803" s="122">
        <v>65</v>
      </c>
      <c r="H1803" s="122">
        <v>347</v>
      </c>
      <c r="I1803" s="122">
        <v>12277</v>
      </c>
      <c r="J1803" s="122">
        <v>11161</v>
      </c>
      <c r="K1803" s="122">
        <v>85</v>
      </c>
      <c r="L1803" s="122">
        <v>2192</v>
      </c>
      <c r="M1803" s="122">
        <v>1826</v>
      </c>
      <c r="N1803" s="122">
        <v>1480</v>
      </c>
      <c r="O1803" s="122">
        <v>548</v>
      </c>
      <c r="P1803" s="122">
        <v>972</v>
      </c>
      <c r="Q1803" s="122">
        <v>360</v>
      </c>
      <c r="R1803" s="122">
        <v>3382</v>
      </c>
      <c r="S1803" s="122">
        <v>3075</v>
      </c>
      <c r="T1803" s="122">
        <v>2227</v>
      </c>
      <c r="U1803" s="122">
        <v>825</v>
      </c>
      <c r="V1803" s="122">
        <v>17795</v>
      </c>
      <c r="W1803" s="122">
        <f t="shared" si="56"/>
        <v>17795</v>
      </c>
      <c r="X1803" s="122">
        <f t="shared" si="57"/>
        <v>22530</v>
      </c>
      <c r="AA1803" t="s">
        <v>60</v>
      </c>
      <c r="AB1803" t="s">
        <v>428</v>
      </c>
      <c r="AC1803" t="s">
        <v>428</v>
      </c>
      <c r="AD1803" t="s">
        <v>428</v>
      </c>
      <c r="AE1803" t="s">
        <v>137</v>
      </c>
      <c r="AF1803">
        <v>7</v>
      </c>
      <c r="AG1803">
        <v>763</v>
      </c>
      <c r="AH1803" s="122">
        <v>2384</v>
      </c>
      <c r="AI1803" s="122">
        <v>160605</v>
      </c>
      <c r="AJ1803" s="122">
        <v>146005</v>
      </c>
      <c r="AK1803">
        <v>60</v>
      </c>
      <c r="AL1803" s="122">
        <v>27284</v>
      </c>
      <c r="AM1803" s="122">
        <v>24804</v>
      </c>
      <c r="AN1803" s="122">
        <v>18175</v>
      </c>
      <c r="AO1803" s="122">
        <v>6732</v>
      </c>
      <c r="AP1803" s="122">
        <v>3429</v>
      </c>
      <c r="AQ1803" s="122">
        <v>1270</v>
      </c>
      <c r="AR1803" s="122">
        <v>38142</v>
      </c>
      <c r="AS1803" s="122">
        <v>34675</v>
      </c>
      <c r="AT1803" s="122">
        <v>20170</v>
      </c>
      <c r="AU1803" s="122">
        <v>7470</v>
      </c>
      <c r="AV1803" s="122">
        <v>220956</v>
      </c>
    </row>
    <row r="1804" spans="2:48" hidden="1">
      <c r="B1804" t="s">
        <v>374</v>
      </c>
      <c r="C1804" t="s">
        <v>60</v>
      </c>
      <c r="D1804" t="s">
        <v>406</v>
      </c>
      <c r="E1804" t="s">
        <v>137</v>
      </c>
      <c r="F1804" s="122">
        <v>2</v>
      </c>
      <c r="G1804" s="122">
        <v>200</v>
      </c>
      <c r="H1804" s="122">
        <v>648</v>
      </c>
      <c r="I1804" s="122">
        <v>51323</v>
      </c>
      <c r="J1804" s="122">
        <v>46657</v>
      </c>
      <c r="K1804" s="122">
        <v>75</v>
      </c>
      <c r="L1804" s="122">
        <v>9650</v>
      </c>
      <c r="M1804" s="122">
        <v>8773</v>
      </c>
      <c r="N1804" s="122">
        <v>6216</v>
      </c>
      <c r="O1804" s="122">
        <v>2302</v>
      </c>
      <c r="P1804" s="122">
        <v>1242</v>
      </c>
      <c r="Q1804" s="122">
        <v>460</v>
      </c>
      <c r="R1804" s="122">
        <v>18320</v>
      </c>
      <c r="S1804" s="122">
        <v>6785</v>
      </c>
      <c r="T1804" s="122">
        <v>0</v>
      </c>
      <c r="U1804" s="122">
        <v>0</v>
      </c>
      <c r="V1804" s="122">
        <v>64977</v>
      </c>
      <c r="W1804" s="122">
        <f t="shared" si="56"/>
        <v>64977</v>
      </c>
      <c r="X1804" s="122">
        <f t="shared" si="57"/>
        <v>86751</v>
      </c>
      <c r="AA1804" t="s">
        <v>60</v>
      </c>
      <c r="AB1804" t="s">
        <v>428</v>
      </c>
      <c r="AC1804" t="s">
        <v>428</v>
      </c>
      <c r="AD1804" t="s">
        <v>428</v>
      </c>
      <c r="AE1804" t="s">
        <v>566</v>
      </c>
      <c r="AF1804">
        <v>2</v>
      </c>
      <c r="AG1804">
        <v>216</v>
      </c>
      <c r="AH1804">
        <v>704</v>
      </c>
      <c r="AI1804" s="122">
        <v>46338</v>
      </c>
      <c r="AJ1804" s="122">
        <v>42125</v>
      </c>
      <c r="AK1804">
        <v>60</v>
      </c>
      <c r="AL1804" s="122">
        <v>7726</v>
      </c>
      <c r="AM1804" s="122">
        <v>7024</v>
      </c>
      <c r="AN1804" s="122">
        <v>3617</v>
      </c>
      <c r="AO1804" s="122">
        <v>1340</v>
      </c>
      <c r="AP1804">
        <v>702</v>
      </c>
      <c r="AQ1804">
        <v>260</v>
      </c>
      <c r="AR1804" s="122">
        <v>18091</v>
      </c>
      <c r="AS1804" s="122">
        <v>16447</v>
      </c>
      <c r="AT1804" s="122">
        <v>0</v>
      </c>
      <c r="AU1804" s="122">
        <v>0</v>
      </c>
      <c r="AV1804" s="122">
        <v>67195</v>
      </c>
    </row>
    <row r="1805" spans="2:48" hidden="1">
      <c r="B1805" t="s">
        <v>374</v>
      </c>
      <c r="C1805" t="s">
        <v>60</v>
      </c>
      <c r="D1805" t="s">
        <v>406</v>
      </c>
      <c r="E1805" t="s">
        <v>406</v>
      </c>
      <c r="F1805" s="122">
        <v>960</v>
      </c>
      <c r="G1805" s="122">
        <v>114210</v>
      </c>
      <c r="H1805" s="122">
        <v>324237</v>
      </c>
      <c r="I1805" s="122">
        <v>24369700</v>
      </c>
      <c r="J1805" s="122">
        <v>22154273</v>
      </c>
      <c r="K1805" s="122">
        <v>76</v>
      </c>
      <c r="L1805" s="122">
        <v>4795914</v>
      </c>
      <c r="M1805" s="122">
        <v>4234714</v>
      </c>
      <c r="N1805" s="122">
        <v>2421212</v>
      </c>
      <c r="O1805" s="122">
        <v>896745</v>
      </c>
      <c r="P1805" s="122">
        <v>630300</v>
      </c>
      <c r="Q1805" s="122">
        <v>233444</v>
      </c>
      <c r="R1805" s="122">
        <v>5160164</v>
      </c>
      <c r="S1805" s="122">
        <v>4691059</v>
      </c>
      <c r="T1805" s="122">
        <v>1751716</v>
      </c>
      <c r="U1805" s="122">
        <v>648784</v>
      </c>
      <c r="V1805" s="122">
        <v>32859018</v>
      </c>
      <c r="W1805" s="122">
        <f t="shared" si="56"/>
        <v>32859019</v>
      </c>
      <c r="X1805" s="122">
        <f t="shared" si="57"/>
        <v>39129006</v>
      </c>
      <c r="AA1805" t="s">
        <v>60</v>
      </c>
      <c r="AB1805" t="s">
        <v>428</v>
      </c>
      <c r="AC1805" t="s">
        <v>431</v>
      </c>
      <c r="AD1805" t="s">
        <v>428</v>
      </c>
      <c r="AE1805" t="s">
        <v>137</v>
      </c>
      <c r="AF1805">
        <v>1</v>
      </c>
      <c r="AG1805">
        <v>118</v>
      </c>
      <c r="AH1805">
        <v>342</v>
      </c>
      <c r="AI1805" s="122">
        <v>23893</v>
      </c>
      <c r="AJ1805" s="122">
        <v>21721</v>
      </c>
      <c r="AK1805">
        <v>60</v>
      </c>
      <c r="AL1805" s="122">
        <v>5309</v>
      </c>
      <c r="AM1805" s="122">
        <v>4827</v>
      </c>
      <c r="AN1805" s="122">
        <v>2263</v>
      </c>
      <c r="AO1805" s="122">
        <v>838</v>
      </c>
      <c r="AP1805">
        <v>351</v>
      </c>
      <c r="AQ1805">
        <v>130</v>
      </c>
      <c r="AR1805" s="122">
        <v>5514</v>
      </c>
      <c r="AS1805" s="122">
        <v>5012</v>
      </c>
      <c r="AT1805" s="122">
        <v>2912</v>
      </c>
      <c r="AU1805" s="122">
        <v>1079</v>
      </c>
      <c r="AV1805" s="122">
        <v>33607</v>
      </c>
    </row>
    <row r="1806" spans="2:48" hidden="1">
      <c r="B1806" t="s">
        <v>374</v>
      </c>
      <c r="C1806" t="s">
        <v>60</v>
      </c>
      <c r="D1806" t="s">
        <v>406</v>
      </c>
      <c r="E1806" t="s">
        <v>427</v>
      </c>
      <c r="F1806" s="122">
        <v>2</v>
      </c>
      <c r="G1806" s="122">
        <v>362</v>
      </c>
      <c r="H1806" s="122">
        <v>697</v>
      </c>
      <c r="I1806" s="122">
        <v>79603</v>
      </c>
      <c r="J1806" s="122">
        <v>72366</v>
      </c>
      <c r="K1806" s="122">
        <v>68</v>
      </c>
      <c r="L1806" s="122">
        <v>24037</v>
      </c>
      <c r="M1806" s="122">
        <v>21852</v>
      </c>
      <c r="N1806" s="122">
        <v>9074</v>
      </c>
      <c r="O1806" s="122">
        <v>3361</v>
      </c>
      <c r="P1806" s="122">
        <v>1242</v>
      </c>
      <c r="Q1806" s="122">
        <v>460</v>
      </c>
      <c r="R1806" s="122">
        <v>16174</v>
      </c>
      <c r="S1806" s="122">
        <v>14704</v>
      </c>
      <c r="T1806" s="122">
        <v>9349</v>
      </c>
      <c r="U1806" s="122">
        <v>3463</v>
      </c>
      <c r="V1806" s="122">
        <v>116205</v>
      </c>
      <c r="W1806" s="122">
        <f t="shared" si="56"/>
        <v>116206</v>
      </c>
      <c r="X1806" s="122">
        <f t="shared" si="57"/>
        <v>139479</v>
      </c>
      <c r="AA1806" t="s">
        <v>60</v>
      </c>
      <c r="AB1806" t="s">
        <v>431</v>
      </c>
      <c r="AC1806" t="s">
        <v>137</v>
      </c>
      <c r="AD1806" t="s">
        <v>137</v>
      </c>
      <c r="AE1806" t="s">
        <v>566</v>
      </c>
      <c r="AF1806">
        <v>2</v>
      </c>
      <c r="AG1806">
        <v>426</v>
      </c>
      <c r="AH1806" s="122">
        <v>687</v>
      </c>
      <c r="AI1806" s="122">
        <v>102751</v>
      </c>
      <c r="AJ1806" s="122">
        <v>93410</v>
      </c>
      <c r="AK1806">
        <v>45</v>
      </c>
      <c r="AL1806" s="122">
        <v>11596</v>
      </c>
      <c r="AM1806" s="122">
        <v>4295</v>
      </c>
      <c r="AN1806" s="122">
        <v>10150</v>
      </c>
      <c r="AO1806" s="122">
        <v>3759</v>
      </c>
      <c r="AP1806" s="122">
        <v>0</v>
      </c>
      <c r="AQ1806">
        <v>0</v>
      </c>
      <c r="AR1806" s="122">
        <v>22498</v>
      </c>
      <c r="AS1806" s="122">
        <v>8333</v>
      </c>
      <c r="AT1806" s="122">
        <v>0</v>
      </c>
      <c r="AU1806" s="122">
        <v>0</v>
      </c>
      <c r="AV1806" s="122">
        <v>109796</v>
      </c>
    </row>
    <row r="1807" spans="2:48" hidden="1">
      <c r="B1807" t="s">
        <v>374</v>
      </c>
      <c r="C1807" t="s">
        <v>60</v>
      </c>
      <c r="D1807" t="s">
        <v>406</v>
      </c>
      <c r="E1807" t="s">
        <v>426</v>
      </c>
      <c r="F1807" s="122">
        <v>4</v>
      </c>
      <c r="G1807" s="122">
        <v>384</v>
      </c>
      <c r="H1807" s="122">
        <v>1368</v>
      </c>
      <c r="I1807" s="122">
        <v>80447</v>
      </c>
      <c r="J1807" s="122">
        <v>73134</v>
      </c>
      <c r="K1807" s="122">
        <v>71</v>
      </c>
      <c r="L1807" s="122">
        <v>11691</v>
      </c>
      <c r="M1807" s="122">
        <v>9802</v>
      </c>
      <c r="N1807" s="122">
        <v>8203</v>
      </c>
      <c r="O1807" s="122">
        <v>3038</v>
      </c>
      <c r="P1807" s="122">
        <v>2835</v>
      </c>
      <c r="Q1807" s="122">
        <v>1050</v>
      </c>
      <c r="R1807" s="122">
        <v>17996</v>
      </c>
      <c r="S1807" s="122">
        <v>16360</v>
      </c>
      <c r="T1807" s="122">
        <v>7625</v>
      </c>
      <c r="U1807" s="122">
        <v>2824</v>
      </c>
      <c r="V1807" s="122">
        <v>106208</v>
      </c>
      <c r="W1807" s="122">
        <f t="shared" si="56"/>
        <v>106208</v>
      </c>
      <c r="X1807" s="122">
        <f t="shared" si="57"/>
        <v>128797</v>
      </c>
      <c r="AA1807" t="s">
        <v>60</v>
      </c>
      <c r="AB1807" t="s">
        <v>431</v>
      </c>
      <c r="AC1807" t="s">
        <v>137</v>
      </c>
      <c r="AD1807" t="s">
        <v>431</v>
      </c>
      <c r="AE1807" t="s">
        <v>137</v>
      </c>
      <c r="AF1807">
        <v>7</v>
      </c>
      <c r="AG1807">
        <v>685</v>
      </c>
      <c r="AH1807" s="122">
        <v>2324</v>
      </c>
      <c r="AI1807" s="122">
        <v>129628</v>
      </c>
      <c r="AJ1807" s="122">
        <v>117844</v>
      </c>
      <c r="AK1807">
        <v>62</v>
      </c>
      <c r="AL1807" s="122">
        <v>32144</v>
      </c>
      <c r="AM1807" s="122">
        <v>11905</v>
      </c>
      <c r="AN1807" s="122">
        <v>13570</v>
      </c>
      <c r="AO1807" s="122">
        <v>5026</v>
      </c>
      <c r="AP1807" s="122">
        <v>2376</v>
      </c>
      <c r="AQ1807">
        <v>880</v>
      </c>
      <c r="AR1807" s="122">
        <v>36791</v>
      </c>
      <c r="AS1807" s="122">
        <v>33447</v>
      </c>
      <c r="AT1807" s="122">
        <v>22049</v>
      </c>
      <c r="AU1807" s="122">
        <v>8166</v>
      </c>
      <c r="AV1807" s="122">
        <v>177268</v>
      </c>
    </row>
    <row r="1808" spans="2:48" hidden="1">
      <c r="B1808" t="s">
        <v>374</v>
      </c>
      <c r="C1808" t="s">
        <v>60</v>
      </c>
      <c r="D1808" t="s">
        <v>427</v>
      </c>
      <c r="E1808" t="s">
        <v>427</v>
      </c>
      <c r="F1808" s="122">
        <v>13</v>
      </c>
      <c r="G1808" s="122">
        <v>1399</v>
      </c>
      <c r="H1808" s="122">
        <v>4421</v>
      </c>
      <c r="I1808" s="122">
        <v>300520</v>
      </c>
      <c r="J1808" s="122">
        <v>273200</v>
      </c>
      <c r="K1808" s="122">
        <v>61</v>
      </c>
      <c r="L1808" s="122">
        <v>43619</v>
      </c>
      <c r="M1808" s="122">
        <v>30430</v>
      </c>
      <c r="N1808" s="122">
        <v>31633</v>
      </c>
      <c r="O1808" s="122">
        <v>11716</v>
      </c>
      <c r="P1808" s="122">
        <v>4833</v>
      </c>
      <c r="Q1808" s="122">
        <v>1790</v>
      </c>
      <c r="R1808" s="122">
        <v>73410</v>
      </c>
      <c r="S1808" s="122">
        <v>66736</v>
      </c>
      <c r="T1808" s="122">
        <v>30940</v>
      </c>
      <c r="U1808" s="122">
        <v>11459</v>
      </c>
      <c r="V1808" s="122">
        <v>395331</v>
      </c>
      <c r="W1808" s="122">
        <f t="shared" si="56"/>
        <v>395331</v>
      </c>
      <c r="X1808" s="122">
        <f t="shared" si="57"/>
        <v>484955</v>
      </c>
      <c r="AA1808" t="s">
        <v>60</v>
      </c>
      <c r="AB1808" t="s">
        <v>431</v>
      </c>
      <c r="AC1808" t="s">
        <v>137</v>
      </c>
      <c r="AD1808" t="s">
        <v>431</v>
      </c>
      <c r="AE1808" t="s">
        <v>566</v>
      </c>
      <c r="AF1808">
        <v>2</v>
      </c>
      <c r="AG1808" s="122">
        <v>124</v>
      </c>
      <c r="AH1808" s="122">
        <v>715</v>
      </c>
      <c r="AI1808" s="122">
        <v>23599</v>
      </c>
      <c r="AJ1808" s="122">
        <v>21453</v>
      </c>
      <c r="AK1808">
        <v>60</v>
      </c>
      <c r="AL1808" s="122">
        <v>3816</v>
      </c>
      <c r="AM1808" s="122">
        <v>1413</v>
      </c>
      <c r="AN1808" s="122">
        <v>2200</v>
      </c>
      <c r="AO1808" s="122">
        <v>815</v>
      </c>
      <c r="AP1808" s="122">
        <v>702</v>
      </c>
      <c r="AQ1808" s="122">
        <v>260</v>
      </c>
      <c r="AR1808" s="122">
        <v>13814</v>
      </c>
      <c r="AS1808" s="122">
        <v>12558</v>
      </c>
      <c r="AT1808" s="122">
        <v>0</v>
      </c>
      <c r="AU1808" s="122">
        <v>0</v>
      </c>
      <c r="AV1808" s="122">
        <v>36499</v>
      </c>
    </row>
    <row r="1809" spans="2:48" hidden="1">
      <c r="B1809" t="s">
        <v>374</v>
      </c>
      <c r="C1809" t="s">
        <v>60</v>
      </c>
      <c r="D1809" t="s">
        <v>407</v>
      </c>
      <c r="E1809" t="s">
        <v>407</v>
      </c>
      <c r="F1809" s="122">
        <v>85</v>
      </c>
      <c r="G1809" s="122">
        <v>10469</v>
      </c>
      <c r="H1809" s="122">
        <v>28272</v>
      </c>
      <c r="I1809" s="122">
        <v>2177894</v>
      </c>
      <c r="J1809" s="122">
        <v>1979904</v>
      </c>
      <c r="K1809" s="122">
        <v>78</v>
      </c>
      <c r="L1809" s="122">
        <v>537129</v>
      </c>
      <c r="M1809" s="122">
        <v>464238</v>
      </c>
      <c r="N1809" s="122">
        <v>222402</v>
      </c>
      <c r="O1809" s="122">
        <v>82371</v>
      </c>
      <c r="P1809" s="122">
        <v>41567</v>
      </c>
      <c r="Q1809" s="122">
        <v>15395</v>
      </c>
      <c r="R1809" s="122">
        <v>467335</v>
      </c>
      <c r="S1809" s="122">
        <v>424850</v>
      </c>
      <c r="T1809" s="122">
        <v>114425</v>
      </c>
      <c r="U1809" s="122">
        <v>42380</v>
      </c>
      <c r="V1809" s="122">
        <v>3009137</v>
      </c>
      <c r="W1809" s="122">
        <f t="shared" si="56"/>
        <v>3009138</v>
      </c>
      <c r="X1809" s="122">
        <f t="shared" si="57"/>
        <v>3560752</v>
      </c>
      <c r="AA1809" t="s">
        <v>60</v>
      </c>
      <c r="AB1809" t="s">
        <v>431</v>
      </c>
      <c r="AC1809" t="s">
        <v>580</v>
      </c>
      <c r="AD1809" t="s">
        <v>431</v>
      </c>
      <c r="AE1809" t="s">
        <v>137</v>
      </c>
      <c r="AF1809">
        <v>10</v>
      </c>
      <c r="AG1809" s="122">
        <v>1269</v>
      </c>
      <c r="AH1809" s="122">
        <v>3406</v>
      </c>
      <c r="AI1809" s="122">
        <v>291889</v>
      </c>
      <c r="AJ1809" s="122">
        <v>265354</v>
      </c>
      <c r="AK1809">
        <v>57</v>
      </c>
      <c r="AL1809" s="122">
        <v>26942</v>
      </c>
      <c r="AM1809" s="122">
        <v>24493</v>
      </c>
      <c r="AN1809" s="122">
        <v>25324</v>
      </c>
      <c r="AO1809" s="122">
        <v>9379</v>
      </c>
      <c r="AP1809" s="122">
        <v>6021</v>
      </c>
      <c r="AQ1809" s="122">
        <v>2230</v>
      </c>
      <c r="AR1809" s="122">
        <v>55566</v>
      </c>
      <c r="AS1809" s="122">
        <v>50515</v>
      </c>
      <c r="AT1809" s="122">
        <v>28566</v>
      </c>
      <c r="AU1809" s="122">
        <v>10580</v>
      </c>
      <c r="AV1809" s="122">
        <v>362550</v>
      </c>
    </row>
    <row r="1810" spans="2:48" hidden="1">
      <c r="B1810" t="s">
        <v>374</v>
      </c>
      <c r="C1810" t="s">
        <v>60</v>
      </c>
      <c r="D1810" t="s">
        <v>407</v>
      </c>
      <c r="E1810" t="s">
        <v>556</v>
      </c>
      <c r="F1810" s="122">
        <v>1</v>
      </c>
      <c r="G1810" s="122">
        <v>61</v>
      </c>
      <c r="H1810" s="122">
        <v>312</v>
      </c>
      <c r="I1810" s="122">
        <v>12739</v>
      </c>
      <c r="J1810" s="122">
        <v>11581</v>
      </c>
      <c r="K1810" s="122">
        <v>78</v>
      </c>
      <c r="L1810" s="122">
        <v>1758</v>
      </c>
      <c r="M1810" s="122">
        <v>1598</v>
      </c>
      <c r="N1810" s="122">
        <v>1494</v>
      </c>
      <c r="O1810" s="122">
        <v>553</v>
      </c>
      <c r="P1810" s="122">
        <v>473</v>
      </c>
      <c r="Q1810" s="122">
        <v>175</v>
      </c>
      <c r="R1810" s="122">
        <v>2646</v>
      </c>
      <c r="S1810" s="122">
        <v>2205</v>
      </c>
      <c r="T1810" s="122">
        <v>0</v>
      </c>
      <c r="U1810" s="122">
        <v>0</v>
      </c>
      <c r="V1810" s="122">
        <v>16112</v>
      </c>
      <c r="W1810" s="122">
        <f t="shared" si="56"/>
        <v>16112</v>
      </c>
      <c r="X1810" s="122">
        <f t="shared" si="57"/>
        <v>19110</v>
      </c>
      <c r="AA1810" t="s">
        <v>60</v>
      </c>
      <c r="AB1810" t="s">
        <v>431</v>
      </c>
      <c r="AC1810" t="s">
        <v>580</v>
      </c>
      <c r="AD1810" t="s">
        <v>431</v>
      </c>
      <c r="AE1810" t="s">
        <v>566</v>
      </c>
      <c r="AF1810">
        <v>2</v>
      </c>
      <c r="AG1810">
        <v>215</v>
      </c>
      <c r="AH1810" s="122">
        <v>620</v>
      </c>
      <c r="AI1810" s="122">
        <v>46585</v>
      </c>
      <c r="AJ1810" s="122">
        <v>42350</v>
      </c>
      <c r="AK1810">
        <v>68</v>
      </c>
      <c r="AL1810" s="122">
        <v>4910</v>
      </c>
      <c r="AM1810" s="122">
        <v>4464</v>
      </c>
      <c r="AN1810" s="122">
        <v>3362</v>
      </c>
      <c r="AO1810" s="122">
        <v>1245</v>
      </c>
      <c r="AP1810">
        <v>972</v>
      </c>
      <c r="AQ1810">
        <v>360</v>
      </c>
      <c r="AR1810" s="122">
        <v>11072</v>
      </c>
      <c r="AS1810" s="122">
        <v>10065</v>
      </c>
      <c r="AT1810" s="122">
        <v>0</v>
      </c>
      <c r="AU1810" s="122">
        <v>0</v>
      </c>
      <c r="AV1810" s="122">
        <v>58485</v>
      </c>
    </row>
    <row r="1811" spans="2:48" hidden="1">
      <c r="B1811" t="s">
        <v>374</v>
      </c>
      <c r="C1811" t="s">
        <v>60</v>
      </c>
      <c r="D1811" t="s">
        <v>556</v>
      </c>
      <c r="E1811" t="s">
        <v>556</v>
      </c>
      <c r="F1811" s="122">
        <v>13</v>
      </c>
      <c r="G1811" s="122">
        <v>1543</v>
      </c>
      <c r="H1811" s="122">
        <v>4524</v>
      </c>
      <c r="I1811" s="122">
        <v>349488</v>
      </c>
      <c r="J1811" s="122">
        <v>291240</v>
      </c>
      <c r="K1811" s="122">
        <v>56</v>
      </c>
      <c r="L1811" s="122">
        <v>28229</v>
      </c>
      <c r="M1811" s="122">
        <v>24700</v>
      </c>
      <c r="N1811" s="122">
        <v>35747</v>
      </c>
      <c r="O1811" s="122">
        <v>13240</v>
      </c>
      <c r="P1811" s="122">
        <v>5643</v>
      </c>
      <c r="Q1811" s="122">
        <v>2090</v>
      </c>
      <c r="R1811" s="122">
        <v>79818</v>
      </c>
      <c r="S1811" s="122">
        <v>66515</v>
      </c>
      <c r="T1811" s="122">
        <v>34192</v>
      </c>
      <c r="U1811" s="122">
        <v>12664</v>
      </c>
      <c r="V1811" s="122">
        <v>410449</v>
      </c>
      <c r="W1811" s="122">
        <f t="shared" si="56"/>
        <v>410449</v>
      </c>
      <c r="X1811" s="122">
        <f t="shared" si="57"/>
        <v>533117</v>
      </c>
      <c r="AA1811" t="s">
        <v>60</v>
      </c>
      <c r="AB1811" t="s">
        <v>431</v>
      </c>
      <c r="AC1811" t="s">
        <v>427</v>
      </c>
      <c r="AD1811" t="s">
        <v>431</v>
      </c>
      <c r="AE1811" t="s">
        <v>137</v>
      </c>
      <c r="AF1811">
        <v>3</v>
      </c>
      <c r="AG1811">
        <v>300</v>
      </c>
      <c r="AH1811" s="122">
        <v>1058</v>
      </c>
      <c r="AI1811" s="122">
        <v>65550</v>
      </c>
      <c r="AJ1811" s="122">
        <v>59591</v>
      </c>
      <c r="AK1811">
        <v>52</v>
      </c>
      <c r="AL1811" s="122">
        <v>5664</v>
      </c>
      <c r="AM1811" s="122">
        <v>5149</v>
      </c>
      <c r="AN1811" s="122">
        <v>7309</v>
      </c>
      <c r="AO1811" s="122">
        <v>2707</v>
      </c>
      <c r="AP1811">
        <v>702</v>
      </c>
      <c r="AQ1811">
        <v>260</v>
      </c>
      <c r="AR1811" s="122">
        <v>20555</v>
      </c>
      <c r="AS1811" s="122">
        <v>18686</v>
      </c>
      <c r="AT1811" s="122">
        <v>5594</v>
      </c>
      <c r="AU1811" s="122">
        <v>2072</v>
      </c>
      <c r="AV1811" s="122">
        <v>88465</v>
      </c>
    </row>
    <row r="1812" spans="2:48" hidden="1">
      <c r="B1812" t="s">
        <v>374</v>
      </c>
      <c r="C1812" t="s">
        <v>60</v>
      </c>
      <c r="D1812" t="s">
        <v>431</v>
      </c>
      <c r="E1812" t="s">
        <v>431</v>
      </c>
      <c r="F1812" s="122">
        <v>2</v>
      </c>
      <c r="G1812" s="122">
        <v>178</v>
      </c>
      <c r="H1812" s="122">
        <v>665</v>
      </c>
      <c r="I1812" s="122">
        <v>39242</v>
      </c>
      <c r="J1812" s="122">
        <v>35674</v>
      </c>
      <c r="K1812" s="122">
        <v>68</v>
      </c>
      <c r="L1812" s="122">
        <v>3306</v>
      </c>
      <c r="M1812" s="122">
        <v>3006</v>
      </c>
      <c r="N1812" s="122">
        <v>3891</v>
      </c>
      <c r="O1812" s="122">
        <v>1441</v>
      </c>
      <c r="P1812" s="122">
        <v>702</v>
      </c>
      <c r="Q1812" s="122">
        <v>260</v>
      </c>
      <c r="R1812" s="122">
        <v>8518</v>
      </c>
      <c r="S1812" s="122">
        <v>7744</v>
      </c>
      <c r="T1812" s="122">
        <v>4814</v>
      </c>
      <c r="U1812" s="122">
        <v>1783</v>
      </c>
      <c r="V1812" s="122">
        <v>49908</v>
      </c>
      <c r="W1812" s="122">
        <f t="shared" si="56"/>
        <v>49908</v>
      </c>
      <c r="X1812" s="122">
        <f t="shared" si="57"/>
        <v>60473</v>
      </c>
      <c r="AA1812" t="s">
        <v>60</v>
      </c>
      <c r="AB1812" t="s">
        <v>431</v>
      </c>
      <c r="AC1812" t="s">
        <v>431</v>
      </c>
      <c r="AD1812" t="s">
        <v>428</v>
      </c>
      <c r="AE1812" t="s">
        <v>137</v>
      </c>
      <c r="AF1812">
        <v>1</v>
      </c>
      <c r="AG1812" s="122">
        <v>130</v>
      </c>
      <c r="AH1812" s="122">
        <v>324</v>
      </c>
      <c r="AI1812" s="122">
        <v>37631</v>
      </c>
      <c r="AJ1812" s="122">
        <v>34210</v>
      </c>
      <c r="AK1812">
        <v>45</v>
      </c>
      <c r="AL1812" s="122">
        <v>6272</v>
      </c>
      <c r="AM1812" s="122">
        <v>5702</v>
      </c>
      <c r="AN1812" s="122">
        <v>3251</v>
      </c>
      <c r="AO1812" s="122">
        <v>1204</v>
      </c>
      <c r="AP1812" s="122">
        <v>621</v>
      </c>
      <c r="AQ1812" s="122">
        <v>230</v>
      </c>
      <c r="AR1812" s="122">
        <v>8553</v>
      </c>
      <c r="AS1812" s="122">
        <v>7775</v>
      </c>
      <c r="AT1812" s="122">
        <v>4110</v>
      </c>
      <c r="AU1812" s="122">
        <v>1522</v>
      </c>
      <c r="AV1812" s="122">
        <v>50644</v>
      </c>
    </row>
    <row r="1813" spans="2:48" hidden="1">
      <c r="B1813" t="s">
        <v>374</v>
      </c>
      <c r="C1813" t="s">
        <v>60</v>
      </c>
      <c r="D1813" t="s">
        <v>426</v>
      </c>
      <c r="E1813" t="s">
        <v>137</v>
      </c>
      <c r="F1813" s="122">
        <v>3</v>
      </c>
      <c r="G1813" s="122">
        <v>177</v>
      </c>
      <c r="H1813" s="122">
        <v>1054</v>
      </c>
      <c r="I1813" s="122">
        <v>39559</v>
      </c>
      <c r="J1813" s="122">
        <v>35963</v>
      </c>
      <c r="K1813" s="122">
        <v>63</v>
      </c>
      <c r="L1813" s="122">
        <v>8435</v>
      </c>
      <c r="M1813" s="122">
        <v>6425</v>
      </c>
      <c r="N1813" s="122">
        <v>4306</v>
      </c>
      <c r="O1813" s="122">
        <v>1595</v>
      </c>
      <c r="P1813" s="122">
        <v>351</v>
      </c>
      <c r="Q1813" s="122">
        <v>130</v>
      </c>
      <c r="R1813" s="122">
        <v>19543</v>
      </c>
      <c r="S1813" s="122">
        <v>7238</v>
      </c>
      <c r="T1813" s="122">
        <v>0</v>
      </c>
      <c r="U1813" s="122">
        <v>0</v>
      </c>
      <c r="V1813" s="122">
        <v>51350</v>
      </c>
      <c r="W1813" s="122">
        <f t="shared" si="56"/>
        <v>51351</v>
      </c>
      <c r="X1813" s="122">
        <f t="shared" si="57"/>
        <v>72194</v>
      </c>
      <c r="AA1813" t="s">
        <v>60</v>
      </c>
      <c r="AB1813" t="s">
        <v>431</v>
      </c>
      <c r="AC1813" t="s">
        <v>431</v>
      </c>
      <c r="AD1813" t="s">
        <v>431</v>
      </c>
      <c r="AE1813" t="s">
        <v>137</v>
      </c>
      <c r="AF1813">
        <v>57</v>
      </c>
      <c r="AG1813" s="122">
        <v>6961</v>
      </c>
      <c r="AH1813" s="122">
        <v>19445</v>
      </c>
      <c r="AI1813" s="122">
        <v>1542066</v>
      </c>
      <c r="AJ1813" s="122">
        <v>1401878</v>
      </c>
      <c r="AK1813">
        <v>58</v>
      </c>
      <c r="AL1813" s="122">
        <v>271759</v>
      </c>
      <c r="AM1813" s="122">
        <v>247054</v>
      </c>
      <c r="AN1813" s="122">
        <v>145512</v>
      </c>
      <c r="AO1813" s="122">
        <v>53893</v>
      </c>
      <c r="AP1813" s="122">
        <v>21600</v>
      </c>
      <c r="AQ1813" s="122">
        <v>8000</v>
      </c>
      <c r="AR1813" s="122">
        <v>325827</v>
      </c>
      <c r="AS1813" s="122">
        <v>296207</v>
      </c>
      <c r="AT1813" s="122">
        <v>151421</v>
      </c>
      <c r="AU1813" s="122">
        <v>56082</v>
      </c>
      <c r="AV1813" s="122">
        <v>2063114</v>
      </c>
    </row>
    <row r="1814" spans="2:48" hidden="1">
      <c r="B1814" t="s">
        <v>374</v>
      </c>
      <c r="C1814" t="s">
        <v>60</v>
      </c>
      <c r="D1814" t="s">
        <v>426</v>
      </c>
      <c r="E1814" t="s">
        <v>426</v>
      </c>
      <c r="F1814" s="122">
        <v>107</v>
      </c>
      <c r="G1814" s="122">
        <v>11215</v>
      </c>
      <c r="H1814" s="122">
        <v>36375</v>
      </c>
      <c r="I1814" s="122">
        <v>2351706</v>
      </c>
      <c r="J1814" s="122">
        <v>2137914</v>
      </c>
      <c r="K1814" s="122">
        <v>60</v>
      </c>
      <c r="L1814" s="122">
        <v>343696</v>
      </c>
      <c r="M1814" s="122">
        <v>291136</v>
      </c>
      <c r="N1814" s="122">
        <v>229387</v>
      </c>
      <c r="O1814" s="122">
        <v>84958</v>
      </c>
      <c r="P1814" s="122">
        <v>43173</v>
      </c>
      <c r="Q1814" s="122">
        <v>15990</v>
      </c>
      <c r="R1814" s="122">
        <v>580584</v>
      </c>
      <c r="S1814" s="122">
        <v>527804</v>
      </c>
      <c r="T1814" s="122">
        <v>251042</v>
      </c>
      <c r="U1814" s="122">
        <v>92979</v>
      </c>
      <c r="V1814" s="122">
        <v>3150780</v>
      </c>
      <c r="W1814" s="122">
        <f t="shared" si="56"/>
        <v>3150781</v>
      </c>
      <c r="X1814" s="122">
        <f t="shared" si="57"/>
        <v>3799588</v>
      </c>
      <c r="AA1814" t="s">
        <v>60</v>
      </c>
      <c r="AB1814" t="s">
        <v>431</v>
      </c>
      <c r="AC1814" t="s">
        <v>431</v>
      </c>
      <c r="AD1814" t="s">
        <v>431</v>
      </c>
      <c r="AE1814" t="s">
        <v>566</v>
      </c>
      <c r="AF1814">
        <v>17</v>
      </c>
      <c r="AG1814" s="122">
        <v>1874</v>
      </c>
      <c r="AH1814" s="122">
        <v>5862</v>
      </c>
      <c r="AI1814" s="122">
        <v>419870</v>
      </c>
      <c r="AJ1814" s="122">
        <v>381700</v>
      </c>
      <c r="AK1814">
        <v>56</v>
      </c>
      <c r="AL1814" s="122">
        <v>77903</v>
      </c>
      <c r="AM1814" s="122">
        <v>70821</v>
      </c>
      <c r="AN1814" s="122">
        <v>35183</v>
      </c>
      <c r="AO1814" s="122">
        <v>13031</v>
      </c>
      <c r="AP1814" s="122">
        <v>5616</v>
      </c>
      <c r="AQ1814" s="122">
        <v>2080</v>
      </c>
      <c r="AR1814" s="122">
        <v>138567</v>
      </c>
      <c r="AS1814" s="122">
        <v>125970</v>
      </c>
      <c r="AT1814" s="122">
        <v>0</v>
      </c>
      <c r="AU1814" s="122">
        <v>0</v>
      </c>
      <c r="AV1814" s="122">
        <v>593601</v>
      </c>
    </row>
    <row r="1815" spans="2:48" hidden="1">
      <c r="B1815" t="s">
        <v>374</v>
      </c>
      <c r="C1815" t="s">
        <v>60</v>
      </c>
      <c r="D1815" t="s">
        <v>433</v>
      </c>
      <c r="E1815" t="s">
        <v>433</v>
      </c>
      <c r="F1815" s="122">
        <v>4</v>
      </c>
      <c r="G1815" s="122">
        <v>466</v>
      </c>
      <c r="H1815" s="122">
        <v>1345</v>
      </c>
      <c r="I1815" s="122">
        <v>87871</v>
      </c>
      <c r="J1815" s="122">
        <v>79883</v>
      </c>
      <c r="K1815" s="122">
        <v>61</v>
      </c>
      <c r="L1815" s="122">
        <v>21270</v>
      </c>
      <c r="M1815" s="122">
        <v>14561</v>
      </c>
      <c r="N1815" s="122">
        <v>10943</v>
      </c>
      <c r="O1815" s="122">
        <v>4053</v>
      </c>
      <c r="P1815" s="122">
        <v>1053</v>
      </c>
      <c r="Q1815" s="122">
        <v>390</v>
      </c>
      <c r="R1815" s="122">
        <v>23968</v>
      </c>
      <c r="S1815" s="122">
        <v>21789</v>
      </c>
      <c r="T1815" s="122">
        <v>10330</v>
      </c>
      <c r="U1815" s="122">
        <v>3826</v>
      </c>
      <c r="V1815" s="122">
        <v>124501</v>
      </c>
      <c r="W1815" s="122">
        <f t="shared" si="56"/>
        <v>124502</v>
      </c>
      <c r="X1815" s="122">
        <f t="shared" si="57"/>
        <v>155435</v>
      </c>
      <c r="AA1815" t="s">
        <v>60</v>
      </c>
      <c r="AB1815" t="s">
        <v>431</v>
      </c>
      <c r="AC1815" t="s">
        <v>566</v>
      </c>
      <c r="AD1815" t="s">
        <v>431</v>
      </c>
      <c r="AE1815" t="s">
        <v>137</v>
      </c>
      <c r="AF1815">
        <v>11</v>
      </c>
      <c r="AG1815">
        <v>996</v>
      </c>
      <c r="AH1815" s="122">
        <v>3682</v>
      </c>
      <c r="AI1815" s="122">
        <v>238571</v>
      </c>
      <c r="AJ1815" s="122">
        <v>216883</v>
      </c>
      <c r="AK1815">
        <v>60</v>
      </c>
      <c r="AL1815">
        <v>0</v>
      </c>
      <c r="AM1815" s="122">
        <v>0</v>
      </c>
      <c r="AN1815" s="122">
        <v>18639</v>
      </c>
      <c r="AO1815" s="122">
        <v>6903</v>
      </c>
      <c r="AP1815" s="122">
        <v>3510</v>
      </c>
      <c r="AQ1815" s="122">
        <v>1300</v>
      </c>
      <c r="AR1815" s="122">
        <v>53694</v>
      </c>
      <c r="AS1815" s="122">
        <v>48813</v>
      </c>
      <c r="AT1815" s="122">
        <v>21178</v>
      </c>
      <c r="AU1815" s="122">
        <v>7844</v>
      </c>
      <c r="AV1815" s="122">
        <v>281743</v>
      </c>
    </row>
    <row r="1816" spans="2:48" hidden="1">
      <c r="B1816" t="s">
        <v>374</v>
      </c>
      <c r="C1816" t="s">
        <v>60</v>
      </c>
      <c r="D1816" t="s">
        <v>408</v>
      </c>
      <c r="E1816" t="s">
        <v>408</v>
      </c>
      <c r="F1816" s="122">
        <v>2</v>
      </c>
      <c r="G1816" s="122">
        <v>232</v>
      </c>
      <c r="H1816" s="122">
        <v>635</v>
      </c>
      <c r="I1816" s="122">
        <v>47184</v>
      </c>
      <c r="J1816" s="122">
        <v>42895</v>
      </c>
      <c r="K1816" s="122">
        <v>65</v>
      </c>
      <c r="L1816" s="122">
        <v>6606</v>
      </c>
      <c r="M1816" s="122">
        <v>6005</v>
      </c>
      <c r="N1816" s="122">
        <v>4514</v>
      </c>
      <c r="O1816" s="122">
        <v>1672</v>
      </c>
      <c r="P1816" s="122">
        <v>702</v>
      </c>
      <c r="Q1816" s="122">
        <v>260</v>
      </c>
      <c r="R1816" s="122">
        <v>14384</v>
      </c>
      <c r="S1816" s="122">
        <v>13076</v>
      </c>
      <c r="T1816" s="122">
        <v>0</v>
      </c>
      <c r="U1816" s="122">
        <v>0</v>
      </c>
      <c r="V1816" s="122">
        <v>63908</v>
      </c>
      <c r="W1816" s="122">
        <f t="shared" si="56"/>
        <v>63908</v>
      </c>
      <c r="X1816" s="122">
        <f t="shared" si="57"/>
        <v>73390</v>
      </c>
      <c r="AA1816" t="s">
        <v>60</v>
      </c>
      <c r="AB1816" t="s">
        <v>431</v>
      </c>
      <c r="AC1816" t="s">
        <v>566</v>
      </c>
      <c r="AD1816" t="s">
        <v>431</v>
      </c>
      <c r="AE1816" t="s">
        <v>566</v>
      </c>
      <c r="AF1816">
        <v>3</v>
      </c>
      <c r="AG1816">
        <v>242</v>
      </c>
      <c r="AH1816" s="122">
        <v>1009</v>
      </c>
      <c r="AI1816" s="122">
        <v>58938</v>
      </c>
      <c r="AJ1816" s="122">
        <v>53580</v>
      </c>
      <c r="AK1816">
        <v>60</v>
      </c>
      <c r="AL1816" s="122">
        <v>0</v>
      </c>
      <c r="AM1816" s="122">
        <v>2901</v>
      </c>
      <c r="AN1816" s="122">
        <v>3663</v>
      </c>
      <c r="AO1816" s="122">
        <v>1357</v>
      </c>
      <c r="AP1816" s="122">
        <v>1053</v>
      </c>
      <c r="AQ1816">
        <v>390</v>
      </c>
      <c r="AR1816" s="122">
        <v>17744</v>
      </c>
      <c r="AS1816" s="122">
        <v>16131</v>
      </c>
      <c r="AT1816">
        <v>0</v>
      </c>
      <c r="AU1816">
        <v>0</v>
      </c>
      <c r="AV1816" s="122">
        <v>74359</v>
      </c>
    </row>
    <row r="1817" spans="2:48" hidden="1">
      <c r="B1817" t="s">
        <v>374</v>
      </c>
      <c r="C1817" t="s">
        <v>62</v>
      </c>
      <c r="F1817" s="122">
        <v>1</v>
      </c>
      <c r="G1817" s="122">
        <v>674</v>
      </c>
      <c r="H1817" s="122">
        <v>413</v>
      </c>
      <c r="I1817" s="122"/>
      <c r="J1817" s="122">
        <v>0</v>
      </c>
      <c r="K1817" s="122"/>
      <c r="L1817" s="122"/>
      <c r="M1817" s="122">
        <v>0</v>
      </c>
      <c r="N1817" s="122">
        <v>15108</v>
      </c>
      <c r="O1817" s="122">
        <v>5596</v>
      </c>
      <c r="P1817" s="122">
        <v>0</v>
      </c>
      <c r="Q1817" s="122">
        <v>0</v>
      </c>
      <c r="R1817" s="122"/>
      <c r="S1817" s="122">
        <v>0</v>
      </c>
      <c r="T1817" s="122">
        <v>0</v>
      </c>
      <c r="U1817" s="122">
        <v>0</v>
      </c>
      <c r="V1817" s="122">
        <v>5596</v>
      </c>
      <c r="W1817" s="122">
        <f t="shared" si="56"/>
        <v>5596</v>
      </c>
      <c r="X1817" s="122">
        <f t="shared" si="57"/>
        <v>15108</v>
      </c>
      <c r="AA1817" t="s">
        <v>60</v>
      </c>
      <c r="AB1817" t="s">
        <v>426</v>
      </c>
      <c r="AC1817" t="s">
        <v>578</v>
      </c>
      <c r="AD1817" t="s">
        <v>426</v>
      </c>
      <c r="AE1817" t="s">
        <v>566</v>
      </c>
      <c r="AF1817">
        <v>1</v>
      </c>
      <c r="AG1817">
        <v>115</v>
      </c>
      <c r="AH1817" s="122">
        <v>338</v>
      </c>
      <c r="AI1817" s="122">
        <v>22278</v>
      </c>
      <c r="AJ1817" s="122">
        <v>20253</v>
      </c>
      <c r="AK1817">
        <v>55</v>
      </c>
      <c r="AL1817" s="122">
        <v>4538</v>
      </c>
      <c r="AM1817" s="122">
        <v>4126</v>
      </c>
      <c r="AN1817" s="122">
        <v>2517</v>
      </c>
      <c r="AO1817" s="122">
        <v>932</v>
      </c>
      <c r="AP1817" s="122">
        <v>351</v>
      </c>
      <c r="AQ1817">
        <v>130</v>
      </c>
      <c r="AR1817" s="122">
        <v>9102</v>
      </c>
      <c r="AS1817" s="122">
        <v>8275</v>
      </c>
      <c r="AT1817" s="122">
        <v>0</v>
      </c>
      <c r="AU1817" s="122">
        <v>0</v>
      </c>
      <c r="AV1817" s="122">
        <v>33716</v>
      </c>
    </row>
    <row r="1818" spans="2:48" hidden="1">
      <c r="B1818" t="s">
        <v>374</v>
      </c>
      <c r="C1818" t="s">
        <v>62</v>
      </c>
      <c r="D1818" t="s">
        <v>405</v>
      </c>
      <c r="E1818" t="s">
        <v>405</v>
      </c>
      <c r="F1818" s="122">
        <v>4</v>
      </c>
      <c r="G1818" s="122">
        <v>459</v>
      </c>
      <c r="H1818" s="122">
        <v>1622</v>
      </c>
      <c r="I1818" s="122">
        <v>115993</v>
      </c>
      <c r="J1818" s="122">
        <v>105448</v>
      </c>
      <c r="K1818" s="122">
        <v>65</v>
      </c>
      <c r="L1818" s="122">
        <v>21296</v>
      </c>
      <c r="M1818" s="122">
        <v>19360</v>
      </c>
      <c r="N1818" s="122">
        <v>9600</v>
      </c>
      <c r="O1818" s="122">
        <v>3556</v>
      </c>
      <c r="P1818" s="122">
        <v>1769</v>
      </c>
      <c r="Q1818" s="122">
        <v>655</v>
      </c>
      <c r="R1818" s="122">
        <v>25846</v>
      </c>
      <c r="S1818" s="122">
        <v>23496</v>
      </c>
      <c r="T1818" s="122">
        <v>8889</v>
      </c>
      <c r="U1818" s="122">
        <v>3292</v>
      </c>
      <c r="V1818" s="122">
        <v>155807</v>
      </c>
      <c r="W1818" s="122">
        <f t="shared" si="56"/>
        <v>155807</v>
      </c>
      <c r="X1818" s="122">
        <f t="shared" si="57"/>
        <v>183393</v>
      </c>
      <c r="AA1818" t="s">
        <v>60</v>
      </c>
      <c r="AB1818" t="s">
        <v>426</v>
      </c>
      <c r="AC1818" t="s">
        <v>425</v>
      </c>
      <c r="AD1818" t="s">
        <v>426</v>
      </c>
      <c r="AE1818" t="s">
        <v>137</v>
      </c>
      <c r="AF1818">
        <v>5</v>
      </c>
      <c r="AG1818">
        <v>534</v>
      </c>
      <c r="AH1818" s="122">
        <v>1766</v>
      </c>
      <c r="AI1818" s="122">
        <v>143133</v>
      </c>
      <c r="AJ1818" s="122">
        <v>130121</v>
      </c>
      <c r="AK1818">
        <v>57</v>
      </c>
      <c r="AL1818" s="122">
        <v>16087</v>
      </c>
      <c r="AM1818" s="122">
        <v>14625</v>
      </c>
      <c r="AN1818" s="122">
        <v>14415</v>
      </c>
      <c r="AO1818" s="122">
        <v>5339</v>
      </c>
      <c r="AP1818" s="122">
        <v>1755</v>
      </c>
      <c r="AQ1818">
        <v>650</v>
      </c>
      <c r="AR1818" s="122">
        <v>28823</v>
      </c>
      <c r="AS1818" s="122">
        <v>26202</v>
      </c>
      <c r="AT1818" s="122">
        <v>13592</v>
      </c>
      <c r="AU1818" s="122">
        <v>5034</v>
      </c>
      <c r="AV1818" s="122">
        <v>181971</v>
      </c>
    </row>
    <row r="1819" spans="2:48" hidden="1">
      <c r="B1819" t="s">
        <v>374</v>
      </c>
      <c r="C1819" t="s">
        <v>62</v>
      </c>
      <c r="D1819" t="s">
        <v>137</v>
      </c>
      <c r="E1819" t="s">
        <v>137</v>
      </c>
      <c r="F1819" s="122">
        <v>32</v>
      </c>
      <c r="G1819" s="122">
        <v>2684</v>
      </c>
      <c r="H1819" s="122">
        <v>13456</v>
      </c>
      <c r="I1819" s="122">
        <v>709104</v>
      </c>
      <c r="J1819" s="122">
        <v>262631</v>
      </c>
      <c r="K1819" s="122">
        <v>100</v>
      </c>
      <c r="L1819" s="122">
        <v>129374</v>
      </c>
      <c r="M1819" s="122">
        <v>87129</v>
      </c>
      <c r="N1819" s="122">
        <v>60860</v>
      </c>
      <c r="O1819" s="122">
        <v>22541</v>
      </c>
      <c r="P1819" s="122">
        <v>1053</v>
      </c>
      <c r="Q1819" s="122">
        <v>390</v>
      </c>
      <c r="R1819" s="122">
        <v>234204</v>
      </c>
      <c r="S1819" s="122">
        <v>86742</v>
      </c>
      <c r="T1819" s="122">
        <v>0</v>
      </c>
      <c r="U1819" s="122">
        <v>0</v>
      </c>
      <c r="V1819" s="122">
        <v>459432</v>
      </c>
      <c r="W1819" s="122">
        <f t="shared" si="56"/>
        <v>459433</v>
      </c>
      <c r="X1819" s="122">
        <f t="shared" si="57"/>
        <v>1134595</v>
      </c>
      <c r="AA1819" t="s">
        <v>60</v>
      </c>
      <c r="AB1819" t="s">
        <v>426</v>
      </c>
      <c r="AC1819" t="s">
        <v>425</v>
      </c>
      <c r="AD1819" t="s">
        <v>426</v>
      </c>
      <c r="AE1819" t="s">
        <v>566</v>
      </c>
      <c r="AF1819">
        <v>1</v>
      </c>
      <c r="AG1819">
        <v>132</v>
      </c>
      <c r="AH1819" s="122">
        <v>313</v>
      </c>
      <c r="AI1819" s="122">
        <v>26212</v>
      </c>
      <c r="AJ1819" s="122">
        <v>23829</v>
      </c>
      <c r="AK1819">
        <v>55</v>
      </c>
      <c r="AL1819" s="122">
        <v>2543</v>
      </c>
      <c r="AM1819" s="122">
        <v>2311</v>
      </c>
      <c r="AN1819" s="122">
        <v>1614</v>
      </c>
      <c r="AO1819" s="122">
        <v>598</v>
      </c>
      <c r="AP1819" s="122">
        <v>351</v>
      </c>
      <c r="AQ1819">
        <v>130</v>
      </c>
      <c r="AR1819" s="122">
        <v>10774</v>
      </c>
      <c r="AS1819" s="122">
        <v>9795</v>
      </c>
      <c r="AT1819" s="122">
        <v>0</v>
      </c>
      <c r="AU1819" s="122">
        <v>0</v>
      </c>
      <c r="AV1819" s="122">
        <v>36663</v>
      </c>
    </row>
    <row r="1820" spans="2:48" hidden="1">
      <c r="B1820" t="s">
        <v>374</v>
      </c>
      <c r="C1820" t="s">
        <v>62</v>
      </c>
      <c r="D1820" t="s">
        <v>137</v>
      </c>
      <c r="E1820" t="s">
        <v>406</v>
      </c>
      <c r="F1820" s="122">
        <v>1</v>
      </c>
      <c r="G1820" s="122">
        <v>178</v>
      </c>
      <c r="H1820" s="122">
        <v>446</v>
      </c>
      <c r="I1820" s="122">
        <v>54845</v>
      </c>
      <c r="J1820" s="122">
        <v>20313</v>
      </c>
      <c r="K1820" s="122">
        <v>100</v>
      </c>
      <c r="L1820" s="122">
        <v>9310</v>
      </c>
      <c r="M1820" s="122">
        <v>8464</v>
      </c>
      <c r="N1820" s="122">
        <v>3981</v>
      </c>
      <c r="O1820" s="122">
        <v>1475</v>
      </c>
      <c r="P1820" s="122">
        <v>0</v>
      </c>
      <c r="Q1820" s="122">
        <v>0</v>
      </c>
      <c r="R1820" s="122">
        <v>7042</v>
      </c>
      <c r="S1820" s="122">
        <v>6402</v>
      </c>
      <c r="T1820" s="122">
        <v>4021</v>
      </c>
      <c r="U1820" s="122">
        <v>1489</v>
      </c>
      <c r="V1820" s="122">
        <v>38142</v>
      </c>
      <c r="W1820" s="122">
        <f t="shared" si="56"/>
        <v>38143</v>
      </c>
      <c r="X1820" s="122">
        <f t="shared" si="57"/>
        <v>79199</v>
      </c>
      <c r="AA1820" t="s">
        <v>60</v>
      </c>
      <c r="AB1820" t="s">
        <v>426</v>
      </c>
      <c r="AC1820" t="s">
        <v>405</v>
      </c>
      <c r="AD1820" t="s">
        <v>426</v>
      </c>
      <c r="AE1820" t="s">
        <v>137</v>
      </c>
      <c r="AF1820">
        <v>3</v>
      </c>
      <c r="AG1820">
        <v>398</v>
      </c>
      <c r="AH1820" s="122">
        <v>1039</v>
      </c>
      <c r="AI1820" s="122">
        <v>92086</v>
      </c>
      <c r="AJ1820" s="122">
        <v>83715</v>
      </c>
      <c r="AK1820">
        <v>62</v>
      </c>
      <c r="AL1820" s="122">
        <v>9693</v>
      </c>
      <c r="AM1820" s="122">
        <v>8812</v>
      </c>
      <c r="AN1820" s="122">
        <v>7913</v>
      </c>
      <c r="AO1820" s="122">
        <v>2931</v>
      </c>
      <c r="AP1820" s="122">
        <v>1877</v>
      </c>
      <c r="AQ1820">
        <v>695</v>
      </c>
      <c r="AR1820" s="122">
        <v>16893</v>
      </c>
      <c r="AS1820" s="122">
        <v>15358</v>
      </c>
      <c r="AT1820" s="122">
        <v>9223</v>
      </c>
      <c r="AU1820" s="122">
        <v>3416</v>
      </c>
      <c r="AV1820" s="122">
        <v>114926</v>
      </c>
    </row>
    <row r="1821" spans="2:48" hidden="1">
      <c r="B1821" t="s">
        <v>374</v>
      </c>
      <c r="C1821" t="s">
        <v>62</v>
      </c>
      <c r="D1821" t="s">
        <v>137</v>
      </c>
      <c r="E1821" t="s">
        <v>426</v>
      </c>
      <c r="F1821" s="122">
        <v>1</v>
      </c>
      <c r="G1821" s="122">
        <v>82</v>
      </c>
      <c r="H1821" s="122">
        <v>427</v>
      </c>
      <c r="I1821" s="122">
        <v>28556</v>
      </c>
      <c r="J1821" s="122">
        <v>10576</v>
      </c>
      <c r="K1821" s="122">
        <v>100</v>
      </c>
      <c r="L1821" s="122">
        <v>1989</v>
      </c>
      <c r="M1821" s="122">
        <v>1808</v>
      </c>
      <c r="N1821" s="122">
        <v>1863</v>
      </c>
      <c r="O1821" s="122">
        <v>690</v>
      </c>
      <c r="P1821" s="122">
        <v>0</v>
      </c>
      <c r="Q1821" s="122">
        <v>0</v>
      </c>
      <c r="R1821" s="122">
        <v>2710</v>
      </c>
      <c r="S1821" s="122">
        <v>2464</v>
      </c>
      <c r="T1821" s="122">
        <v>0</v>
      </c>
      <c r="U1821" s="122">
        <v>0</v>
      </c>
      <c r="V1821" s="122">
        <v>15538</v>
      </c>
      <c r="W1821" s="122">
        <f t="shared" si="56"/>
        <v>15538</v>
      </c>
      <c r="X1821" s="122">
        <f t="shared" si="57"/>
        <v>35118</v>
      </c>
      <c r="AA1821" t="s">
        <v>60</v>
      </c>
      <c r="AB1821" t="s">
        <v>426</v>
      </c>
      <c r="AC1821" t="s">
        <v>405</v>
      </c>
      <c r="AD1821" t="s">
        <v>426</v>
      </c>
      <c r="AE1821" t="s">
        <v>566</v>
      </c>
      <c r="AF1821">
        <v>1</v>
      </c>
      <c r="AG1821">
        <v>84</v>
      </c>
      <c r="AH1821">
        <v>343</v>
      </c>
      <c r="AI1821" s="122">
        <v>18409</v>
      </c>
      <c r="AJ1821" s="122">
        <v>16735</v>
      </c>
      <c r="AK1821">
        <v>65</v>
      </c>
      <c r="AL1821" s="122">
        <v>2045</v>
      </c>
      <c r="AM1821" s="122">
        <v>1860</v>
      </c>
      <c r="AN1821" s="122">
        <v>1479</v>
      </c>
      <c r="AO1821">
        <v>548</v>
      </c>
      <c r="AP1821">
        <v>473</v>
      </c>
      <c r="AQ1821">
        <v>175</v>
      </c>
      <c r="AR1821" s="122">
        <v>6541</v>
      </c>
      <c r="AS1821" s="122">
        <v>5947</v>
      </c>
      <c r="AT1821">
        <v>0</v>
      </c>
      <c r="AU1821">
        <v>0</v>
      </c>
      <c r="AV1821" s="122">
        <v>25264</v>
      </c>
    </row>
    <row r="1822" spans="2:48" hidden="1">
      <c r="B1822" t="s">
        <v>374</v>
      </c>
      <c r="C1822" t="s">
        <v>62</v>
      </c>
      <c r="D1822" t="s">
        <v>406</v>
      </c>
      <c r="E1822" t="s">
        <v>137</v>
      </c>
      <c r="F1822" s="122">
        <v>6</v>
      </c>
      <c r="G1822" s="122">
        <v>615</v>
      </c>
      <c r="H1822" s="122">
        <v>2561</v>
      </c>
      <c r="I1822" s="122">
        <v>177617</v>
      </c>
      <c r="J1822" s="122">
        <v>161470</v>
      </c>
      <c r="K1822" s="122">
        <v>72</v>
      </c>
      <c r="L1822" s="122">
        <v>34551</v>
      </c>
      <c r="M1822" s="122">
        <v>26430</v>
      </c>
      <c r="N1822" s="122">
        <v>14140</v>
      </c>
      <c r="O1822" s="122">
        <v>5237</v>
      </c>
      <c r="P1822" s="122">
        <v>3726</v>
      </c>
      <c r="Q1822" s="122">
        <v>1380</v>
      </c>
      <c r="R1822" s="122">
        <v>39736</v>
      </c>
      <c r="S1822" s="122">
        <v>14717</v>
      </c>
      <c r="T1822" s="122">
        <v>0</v>
      </c>
      <c r="U1822" s="122">
        <v>0</v>
      </c>
      <c r="V1822" s="122">
        <v>209234</v>
      </c>
      <c r="W1822" s="122">
        <f t="shared" si="56"/>
        <v>209234</v>
      </c>
      <c r="X1822" s="122">
        <f t="shared" si="57"/>
        <v>269770</v>
      </c>
      <c r="AA1822" t="s">
        <v>60</v>
      </c>
      <c r="AB1822" t="s">
        <v>426</v>
      </c>
      <c r="AC1822" t="s">
        <v>137</v>
      </c>
      <c r="AD1822" t="s">
        <v>425</v>
      </c>
      <c r="AE1822" t="s">
        <v>566</v>
      </c>
      <c r="AF1822">
        <v>1</v>
      </c>
      <c r="AG1822" s="122">
        <v>65</v>
      </c>
      <c r="AH1822" s="122">
        <v>344</v>
      </c>
      <c r="AI1822" s="122">
        <v>15292</v>
      </c>
      <c r="AJ1822" s="122">
        <v>13901</v>
      </c>
      <c r="AK1822">
        <v>60</v>
      </c>
      <c r="AL1822" s="122">
        <v>2502</v>
      </c>
      <c r="AM1822" s="122">
        <v>927</v>
      </c>
      <c r="AN1822" s="122">
        <v>1578</v>
      </c>
      <c r="AO1822" s="122">
        <v>584</v>
      </c>
      <c r="AP1822">
        <v>0</v>
      </c>
      <c r="AQ1822">
        <v>0</v>
      </c>
      <c r="AR1822" s="122">
        <v>2871</v>
      </c>
      <c r="AS1822" s="122">
        <v>2610</v>
      </c>
      <c r="AT1822">
        <v>0</v>
      </c>
      <c r="AU1822">
        <v>0</v>
      </c>
      <c r="AV1822" s="122">
        <v>18022</v>
      </c>
    </row>
    <row r="1823" spans="2:48" hidden="1">
      <c r="B1823" t="s">
        <v>374</v>
      </c>
      <c r="C1823" t="s">
        <v>62</v>
      </c>
      <c r="D1823" t="s">
        <v>406</v>
      </c>
      <c r="E1823" t="s">
        <v>406</v>
      </c>
      <c r="F1823" s="122">
        <v>460</v>
      </c>
      <c r="G1823" s="122">
        <v>52098</v>
      </c>
      <c r="H1823" s="122">
        <v>191265</v>
      </c>
      <c r="I1823" s="122">
        <v>14597830</v>
      </c>
      <c r="J1823" s="122">
        <v>13270754</v>
      </c>
      <c r="K1823" s="122">
        <v>75</v>
      </c>
      <c r="L1823" s="122">
        <v>2823739</v>
      </c>
      <c r="M1823" s="122">
        <v>2488604</v>
      </c>
      <c r="N1823" s="122">
        <v>1130121</v>
      </c>
      <c r="O1823" s="122">
        <v>418563</v>
      </c>
      <c r="P1823" s="122">
        <v>299534</v>
      </c>
      <c r="Q1823" s="122">
        <v>110938</v>
      </c>
      <c r="R1823" s="122">
        <v>2409592</v>
      </c>
      <c r="S1823" s="122">
        <v>2190538</v>
      </c>
      <c r="T1823" s="122">
        <v>839390</v>
      </c>
      <c r="U1823" s="122">
        <v>310885</v>
      </c>
      <c r="V1823" s="122">
        <v>18790283</v>
      </c>
      <c r="W1823" s="122">
        <f t="shared" si="56"/>
        <v>18790282</v>
      </c>
      <c r="X1823" s="122">
        <f t="shared" si="57"/>
        <v>22100206</v>
      </c>
      <c r="AA1823" t="s">
        <v>60</v>
      </c>
      <c r="AB1823" t="s">
        <v>426</v>
      </c>
      <c r="AC1823" t="s">
        <v>137</v>
      </c>
      <c r="AD1823" t="s">
        <v>137</v>
      </c>
      <c r="AE1823" t="s">
        <v>566</v>
      </c>
      <c r="AF1823">
        <v>38</v>
      </c>
      <c r="AG1823" s="122">
        <v>4177</v>
      </c>
      <c r="AH1823" s="122">
        <v>13323</v>
      </c>
      <c r="AI1823" s="122">
        <v>974176</v>
      </c>
      <c r="AJ1823" s="122">
        <v>885614</v>
      </c>
      <c r="AK1823">
        <v>52</v>
      </c>
      <c r="AL1823" s="122">
        <v>152899</v>
      </c>
      <c r="AM1823" s="122">
        <v>56629</v>
      </c>
      <c r="AN1823" s="122">
        <v>92231</v>
      </c>
      <c r="AO1823" s="122">
        <v>34160</v>
      </c>
      <c r="AP1823">
        <v>702</v>
      </c>
      <c r="AQ1823">
        <v>260</v>
      </c>
      <c r="AR1823" s="122">
        <v>281776</v>
      </c>
      <c r="AS1823" s="122">
        <v>104361</v>
      </c>
      <c r="AT1823" s="122">
        <v>0</v>
      </c>
      <c r="AU1823" s="122">
        <v>0</v>
      </c>
      <c r="AV1823" s="122">
        <v>1081025</v>
      </c>
    </row>
    <row r="1824" spans="2:48" hidden="1">
      <c r="B1824" t="s">
        <v>374</v>
      </c>
      <c r="C1824" t="s">
        <v>62</v>
      </c>
      <c r="D1824" t="s">
        <v>427</v>
      </c>
      <c r="E1824" t="s">
        <v>137</v>
      </c>
      <c r="F1824" s="122">
        <v>3</v>
      </c>
      <c r="G1824" s="122">
        <v>229</v>
      </c>
      <c r="H1824" s="122">
        <v>1271</v>
      </c>
      <c r="I1824" s="122">
        <v>54246</v>
      </c>
      <c r="J1824" s="122">
        <v>49314</v>
      </c>
      <c r="K1824" s="122">
        <v>63</v>
      </c>
      <c r="L1824" s="122">
        <v>10436</v>
      </c>
      <c r="M1824" s="122">
        <v>6225</v>
      </c>
      <c r="N1824" s="122">
        <v>4694</v>
      </c>
      <c r="O1824" s="122">
        <v>1739</v>
      </c>
      <c r="P1824" s="122">
        <v>702</v>
      </c>
      <c r="Q1824" s="122">
        <v>260</v>
      </c>
      <c r="R1824" s="122">
        <v>26071</v>
      </c>
      <c r="S1824" s="122">
        <v>9656</v>
      </c>
      <c r="T1824" s="122">
        <v>0</v>
      </c>
      <c r="U1824" s="122">
        <v>0</v>
      </c>
      <c r="V1824" s="122">
        <v>67194</v>
      </c>
      <c r="W1824" s="122">
        <f t="shared" si="56"/>
        <v>67194</v>
      </c>
      <c r="X1824" s="122">
        <f t="shared" si="57"/>
        <v>96149</v>
      </c>
      <c r="AA1824" t="s">
        <v>60</v>
      </c>
      <c r="AB1824" t="s">
        <v>426</v>
      </c>
      <c r="AC1824" t="s">
        <v>137</v>
      </c>
      <c r="AD1824" t="s">
        <v>406</v>
      </c>
      <c r="AE1824" t="s">
        <v>137</v>
      </c>
      <c r="AF1824">
        <v>1</v>
      </c>
      <c r="AG1824">
        <v>71</v>
      </c>
      <c r="AH1824">
        <v>316</v>
      </c>
      <c r="AI1824" s="122">
        <v>24427</v>
      </c>
      <c r="AJ1824" s="122">
        <v>22207</v>
      </c>
      <c r="AK1824">
        <v>65</v>
      </c>
      <c r="AL1824" s="122">
        <v>4330</v>
      </c>
      <c r="AM1824" s="122">
        <v>1604</v>
      </c>
      <c r="AN1824" s="122">
        <v>2501</v>
      </c>
      <c r="AO1824">
        <v>926</v>
      </c>
      <c r="AP1824">
        <v>0</v>
      </c>
      <c r="AQ1824">
        <v>0</v>
      </c>
      <c r="AR1824" s="122">
        <v>4832</v>
      </c>
      <c r="AS1824" s="122">
        <v>4393</v>
      </c>
      <c r="AT1824" s="122">
        <v>2710</v>
      </c>
      <c r="AU1824" s="122">
        <v>1004</v>
      </c>
      <c r="AV1824" s="122">
        <v>30134</v>
      </c>
    </row>
    <row r="1825" spans="2:48" hidden="1">
      <c r="B1825" t="s">
        <v>374</v>
      </c>
      <c r="C1825" t="s">
        <v>62</v>
      </c>
      <c r="D1825" t="s">
        <v>427</v>
      </c>
      <c r="E1825" t="s">
        <v>427</v>
      </c>
      <c r="F1825" s="122">
        <v>16</v>
      </c>
      <c r="G1825" s="122">
        <v>1497</v>
      </c>
      <c r="H1825" s="122">
        <v>6651</v>
      </c>
      <c r="I1825" s="122">
        <v>418077</v>
      </c>
      <c r="J1825" s="122">
        <v>380070</v>
      </c>
      <c r="K1825" s="122">
        <v>57</v>
      </c>
      <c r="L1825" s="122">
        <v>62479</v>
      </c>
      <c r="M1825" s="122">
        <v>48223</v>
      </c>
      <c r="N1825" s="122">
        <v>29432</v>
      </c>
      <c r="O1825" s="122">
        <v>10901</v>
      </c>
      <c r="P1825" s="122">
        <v>5535</v>
      </c>
      <c r="Q1825" s="122">
        <v>2050</v>
      </c>
      <c r="R1825" s="122">
        <v>90863</v>
      </c>
      <c r="S1825" s="122">
        <v>82603</v>
      </c>
      <c r="T1825" s="122">
        <v>35914</v>
      </c>
      <c r="U1825" s="122">
        <v>13301</v>
      </c>
      <c r="V1825" s="122">
        <v>537148</v>
      </c>
      <c r="W1825" s="122">
        <f t="shared" si="56"/>
        <v>537148</v>
      </c>
      <c r="X1825" s="122">
        <f t="shared" si="57"/>
        <v>642300</v>
      </c>
      <c r="AA1825" t="s">
        <v>60</v>
      </c>
      <c r="AB1825" t="s">
        <v>426</v>
      </c>
      <c r="AC1825" t="s">
        <v>137</v>
      </c>
      <c r="AD1825" t="s">
        <v>406</v>
      </c>
      <c r="AE1825" t="s">
        <v>566</v>
      </c>
      <c r="AF1825">
        <v>1</v>
      </c>
      <c r="AG1825" s="122">
        <v>68</v>
      </c>
      <c r="AH1825" s="122">
        <v>360</v>
      </c>
      <c r="AI1825" s="122">
        <v>13871</v>
      </c>
      <c r="AJ1825" s="122">
        <v>12610</v>
      </c>
      <c r="AK1825">
        <v>65</v>
      </c>
      <c r="AL1825" s="122">
        <v>2459</v>
      </c>
      <c r="AM1825" s="122">
        <v>911</v>
      </c>
      <c r="AN1825" s="122">
        <v>1243</v>
      </c>
      <c r="AO1825" s="122">
        <v>460</v>
      </c>
      <c r="AP1825" s="122">
        <v>351</v>
      </c>
      <c r="AQ1825" s="122">
        <v>130</v>
      </c>
      <c r="AR1825" s="122">
        <v>6544</v>
      </c>
      <c r="AS1825" s="122">
        <v>5950</v>
      </c>
      <c r="AT1825" s="122">
        <v>0</v>
      </c>
      <c r="AU1825" s="122">
        <v>0</v>
      </c>
      <c r="AV1825" s="122">
        <v>20060</v>
      </c>
    </row>
    <row r="1826" spans="2:48" hidden="1">
      <c r="B1826" t="s">
        <v>374</v>
      </c>
      <c r="C1826" t="s">
        <v>62</v>
      </c>
      <c r="D1826" t="s">
        <v>407</v>
      </c>
      <c r="E1826" t="s">
        <v>407</v>
      </c>
      <c r="F1826" s="122">
        <v>36</v>
      </c>
      <c r="G1826" s="122">
        <v>4536</v>
      </c>
      <c r="H1826" s="122">
        <v>14746</v>
      </c>
      <c r="I1826" s="122">
        <v>1190431</v>
      </c>
      <c r="J1826" s="122">
        <v>1082210</v>
      </c>
      <c r="K1826" s="122">
        <v>78</v>
      </c>
      <c r="L1826" s="122">
        <v>308042</v>
      </c>
      <c r="M1826" s="122">
        <v>265969</v>
      </c>
      <c r="N1826" s="122">
        <v>100897</v>
      </c>
      <c r="O1826" s="122">
        <v>37369</v>
      </c>
      <c r="P1826" s="122">
        <v>17483</v>
      </c>
      <c r="Q1826" s="122">
        <v>6475</v>
      </c>
      <c r="R1826" s="122">
        <v>201739</v>
      </c>
      <c r="S1826" s="122">
        <v>183400</v>
      </c>
      <c r="T1826" s="122">
        <v>53733</v>
      </c>
      <c r="U1826" s="122">
        <v>19901</v>
      </c>
      <c r="V1826" s="122">
        <v>1595324</v>
      </c>
      <c r="W1826" s="122">
        <f t="shared" si="56"/>
        <v>1595324</v>
      </c>
      <c r="X1826" s="122">
        <f t="shared" si="57"/>
        <v>1872325</v>
      </c>
      <c r="AA1826" t="s">
        <v>60</v>
      </c>
      <c r="AB1826" t="s">
        <v>426</v>
      </c>
      <c r="AC1826" t="s">
        <v>137</v>
      </c>
      <c r="AD1826" t="s">
        <v>426</v>
      </c>
      <c r="AE1826" t="s">
        <v>137</v>
      </c>
      <c r="AF1826">
        <v>174</v>
      </c>
      <c r="AG1826" s="122">
        <v>16352</v>
      </c>
      <c r="AH1826" s="122">
        <v>59579</v>
      </c>
      <c r="AI1826" s="122">
        <v>3376471</v>
      </c>
      <c r="AJ1826" s="122">
        <v>3069519</v>
      </c>
      <c r="AK1826">
        <v>59</v>
      </c>
      <c r="AL1826" s="122">
        <v>684565</v>
      </c>
      <c r="AM1826" s="122">
        <v>253543</v>
      </c>
      <c r="AN1826" s="122">
        <v>319587</v>
      </c>
      <c r="AO1826" s="122">
        <v>118365</v>
      </c>
      <c r="AP1826" s="122">
        <v>55562</v>
      </c>
      <c r="AQ1826" s="122">
        <v>20579</v>
      </c>
      <c r="AR1826" s="122">
        <v>910654</v>
      </c>
      <c r="AS1826" s="122">
        <v>827867</v>
      </c>
      <c r="AT1826" s="122">
        <v>406014</v>
      </c>
      <c r="AU1826" s="122">
        <v>150376</v>
      </c>
      <c r="AV1826" s="122">
        <v>4440248</v>
      </c>
    </row>
    <row r="1827" spans="2:48" hidden="1">
      <c r="B1827" t="s">
        <v>374</v>
      </c>
      <c r="C1827" t="s">
        <v>62</v>
      </c>
      <c r="D1827" t="s">
        <v>556</v>
      </c>
      <c r="E1827" t="s">
        <v>556</v>
      </c>
      <c r="F1827" s="122">
        <v>26</v>
      </c>
      <c r="G1827" s="122">
        <v>1984</v>
      </c>
      <c r="H1827" s="122">
        <v>10434</v>
      </c>
      <c r="I1827" s="122">
        <v>525656</v>
      </c>
      <c r="J1827" s="122">
        <v>438046</v>
      </c>
      <c r="K1827" s="122">
        <v>59</v>
      </c>
      <c r="L1827" s="122">
        <v>35444</v>
      </c>
      <c r="M1827" s="122">
        <v>25893</v>
      </c>
      <c r="N1827" s="122">
        <v>45280</v>
      </c>
      <c r="O1827" s="122">
        <v>16770</v>
      </c>
      <c r="P1827" s="122">
        <v>9396</v>
      </c>
      <c r="Q1827" s="122">
        <v>3480</v>
      </c>
      <c r="R1827" s="122">
        <v>132161</v>
      </c>
      <c r="S1827" s="122">
        <v>110134</v>
      </c>
      <c r="T1827" s="122">
        <v>55163</v>
      </c>
      <c r="U1827" s="122">
        <v>20431</v>
      </c>
      <c r="V1827" s="122">
        <v>614754</v>
      </c>
      <c r="W1827" s="122">
        <f t="shared" si="56"/>
        <v>614754</v>
      </c>
      <c r="X1827" s="122">
        <f t="shared" si="57"/>
        <v>803100</v>
      </c>
      <c r="AA1827" t="s">
        <v>60</v>
      </c>
      <c r="AB1827" t="s">
        <v>426</v>
      </c>
      <c r="AC1827" t="s">
        <v>137</v>
      </c>
      <c r="AD1827" t="s">
        <v>426</v>
      </c>
      <c r="AE1827" t="s">
        <v>566</v>
      </c>
      <c r="AF1827">
        <v>27</v>
      </c>
      <c r="AG1827" s="122">
        <v>2374</v>
      </c>
      <c r="AH1827" s="122">
        <v>9260</v>
      </c>
      <c r="AI1827" s="122">
        <v>476438</v>
      </c>
      <c r="AJ1827" s="122">
        <v>433126</v>
      </c>
      <c r="AK1827">
        <v>61</v>
      </c>
      <c r="AL1827" s="122">
        <v>103932</v>
      </c>
      <c r="AM1827" s="122">
        <v>38493</v>
      </c>
      <c r="AN1827" s="122">
        <v>47358</v>
      </c>
      <c r="AO1827" s="122">
        <v>17540</v>
      </c>
      <c r="AP1827" s="122">
        <v>10535</v>
      </c>
      <c r="AQ1827" s="122">
        <v>3902</v>
      </c>
      <c r="AR1827" s="122">
        <v>206124</v>
      </c>
      <c r="AS1827" s="122">
        <v>187386</v>
      </c>
      <c r="AT1827" s="122">
        <v>0</v>
      </c>
      <c r="AU1827" s="122">
        <v>0</v>
      </c>
      <c r="AV1827" s="122">
        <v>680446</v>
      </c>
    </row>
    <row r="1828" spans="2:48" hidden="1">
      <c r="B1828" t="s">
        <v>374</v>
      </c>
      <c r="C1828" t="s">
        <v>62</v>
      </c>
      <c r="D1828" t="s">
        <v>426</v>
      </c>
      <c r="E1828" t="s">
        <v>137</v>
      </c>
      <c r="F1828" s="122">
        <v>4</v>
      </c>
      <c r="G1828" s="122">
        <v>448</v>
      </c>
      <c r="H1828" s="122">
        <v>1682</v>
      </c>
      <c r="I1828" s="122">
        <v>127381</v>
      </c>
      <c r="J1828" s="122">
        <v>115801</v>
      </c>
      <c r="K1828" s="122">
        <v>55</v>
      </c>
      <c r="L1828" s="122">
        <v>11862</v>
      </c>
      <c r="M1828" s="122">
        <v>8205</v>
      </c>
      <c r="N1828" s="122">
        <v>9348</v>
      </c>
      <c r="O1828" s="122">
        <v>3462</v>
      </c>
      <c r="P1828" s="122">
        <v>702</v>
      </c>
      <c r="Q1828" s="122">
        <v>260</v>
      </c>
      <c r="R1828" s="122">
        <v>37657</v>
      </c>
      <c r="S1828" s="122">
        <v>13947</v>
      </c>
      <c r="T1828" s="122">
        <v>3356</v>
      </c>
      <c r="U1828" s="122">
        <v>1243</v>
      </c>
      <c r="V1828" s="122">
        <v>142919</v>
      </c>
      <c r="W1828" s="122">
        <f t="shared" si="56"/>
        <v>142918</v>
      </c>
      <c r="X1828" s="122">
        <f t="shared" si="57"/>
        <v>190306</v>
      </c>
      <c r="AA1828" t="s">
        <v>60</v>
      </c>
      <c r="AB1828" t="s">
        <v>426</v>
      </c>
      <c r="AC1828" t="s">
        <v>580</v>
      </c>
      <c r="AD1828" t="s">
        <v>406</v>
      </c>
      <c r="AE1828" t="s">
        <v>137</v>
      </c>
      <c r="AF1828">
        <v>2</v>
      </c>
      <c r="AG1828">
        <v>259</v>
      </c>
      <c r="AH1828">
        <v>731</v>
      </c>
      <c r="AI1828" s="122">
        <v>67065</v>
      </c>
      <c r="AJ1828" s="122">
        <v>60968</v>
      </c>
      <c r="AK1828">
        <v>65</v>
      </c>
      <c r="AL1828" s="122">
        <v>7868</v>
      </c>
      <c r="AM1828" s="122">
        <v>7153</v>
      </c>
      <c r="AN1828" s="122">
        <v>3760</v>
      </c>
      <c r="AO1828" s="122">
        <v>1392</v>
      </c>
      <c r="AP1828" s="122">
        <v>972</v>
      </c>
      <c r="AQ1828">
        <v>360</v>
      </c>
      <c r="AR1828" s="122">
        <v>9147</v>
      </c>
      <c r="AS1828" s="122">
        <v>8316</v>
      </c>
      <c r="AT1828" s="122">
        <v>5570</v>
      </c>
      <c r="AU1828" s="122">
        <v>2063</v>
      </c>
      <c r="AV1828" s="122">
        <v>80252</v>
      </c>
    </row>
    <row r="1829" spans="2:48" hidden="1">
      <c r="B1829" t="s">
        <v>374</v>
      </c>
      <c r="C1829" t="s">
        <v>62</v>
      </c>
      <c r="D1829" t="s">
        <v>426</v>
      </c>
      <c r="E1829" t="s">
        <v>426</v>
      </c>
      <c r="F1829" s="122">
        <v>76</v>
      </c>
      <c r="G1829" s="122">
        <v>6964</v>
      </c>
      <c r="H1829" s="122">
        <v>31492</v>
      </c>
      <c r="I1829" s="122">
        <v>1847224</v>
      </c>
      <c r="J1829" s="122">
        <v>1679295</v>
      </c>
      <c r="K1829" s="122">
        <v>58</v>
      </c>
      <c r="L1829" s="122">
        <v>295775</v>
      </c>
      <c r="M1829" s="122">
        <v>228185</v>
      </c>
      <c r="N1829" s="122">
        <v>138374</v>
      </c>
      <c r="O1829" s="122">
        <v>51250</v>
      </c>
      <c r="P1829" s="122">
        <v>27468</v>
      </c>
      <c r="Q1829" s="122">
        <v>10173</v>
      </c>
      <c r="R1829" s="122">
        <v>440389</v>
      </c>
      <c r="S1829" s="122">
        <v>400354</v>
      </c>
      <c r="T1829" s="122">
        <v>151870</v>
      </c>
      <c r="U1829" s="122">
        <v>56248</v>
      </c>
      <c r="V1829" s="122">
        <v>2425505</v>
      </c>
      <c r="W1829" s="122">
        <f t="shared" si="56"/>
        <v>2425505</v>
      </c>
      <c r="X1829" s="122">
        <f t="shared" si="57"/>
        <v>2901100</v>
      </c>
      <c r="AA1829" t="s">
        <v>60</v>
      </c>
      <c r="AB1829" t="s">
        <v>426</v>
      </c>
      <c r="AC1829" t="s">
        <v>580</v>
      </c>
      <c r="AD1829" t="s">
        <v>579</v>
      </c>
      <c r="AE1829" t="s">
        <v>137</v>
      </c>
      <c r="AF1829">
        <v>1</v>
      </c>
      <c r="AG1829" s="122">
        <v>340</v>
      </c>
      <c r="AH1829" s="122">
        <v>346</v>
      </c>
      <c r="AI1829" s="122">
        <v>82191</v>
      </c>
      <c r="AJ1829" s="122">
        <v>74719</v>
      </c>
      <c r="AK1829">
        <v>65</v>
      </c>
      <c r="AL1829" s="122">
        <v>7514</v>
      </c>
      <c r="AM1829" s="122">
        <v>6831</v>
      </c>
      <c r="AN1829" s="122">
        <v>7824</v>
      </c>
      <c r="AO1829" s="122">
        <v>2898</v>
      </c>
      <c r="AP1829" s="122">
        <v>1323</v>
      </c>
      <c r="AQ1829" s="122">
        <v>490</v>
      </c>
      <c r="AR1829" s="122">
        <v>11495</v>
      </c>
      <c r="AS1829" s="122">
        <v>9579</v>
      </c>
      <c r="AT1829" s="122">
        <v>7193</v>
      </c>
      <c r="AU1829" s="122">
        <v>2664</v>
      </c>
      <c r="AV1829" s="122">
        <v>97181</v>
      </c>
    </row>
    <row r="1830" spans="2:48" hidden="1">
      <c r="B1830" t="s">
        <v>374</v>
      </c>
      <c r="C1830" t="s">
        <v>62</v>
      </c>
      <c r="D1830" t="s">
        <v>433</v>
      </c>
      <c r="E1830" t="s">
        <v>433</v>
      </c>
      <c r="F1830" s="122">
        <v>1</v>
      </c>
      <c r="G1830" s="122">
        <v>131</v>
      </c>
      <c r="H1830" s="122">
        <v>428</v>
      </c>
      <c r="I1830" s="122">
        <v>34994</v>
      </c>
      <c r="J1830" s="122">
        <v>31813</v>
      </c>
      <c r="K1830" s="122">
        <v>60</v>
      </c>
      <c r="L1830" s="122">
        <v>3888</v>
      </c>
      <c r="M1830" s="122">
        <v>3535</v>
      </c>
      <c r="N1830" s="122">
        <v>3181</v>
      </c>
      <c r="O1830" s="122">
        <v>1178</v>
      </c>
      <c r="P1830" s="122">
        <v>351</v>
      </c>
      <c r="Q1830" s="122">
        <v>130</v>
      </c>
      <c r="R1830" s="122">
        <v>8429</v>
      </c>
      <c r="S1830" s="122">
        <v>7663</v>
      </c>
      <c r="T1830" s="122">
        <v>5027</v>
      </c>
      <c r="U1830" s="122">
        <v>1862</v>
      </c>
      <c r="V1830" s="122">
        <v>46180</v>
      </c>
      <c r="W1830" s="122">
        <f t="shared" si="56"/>
        <v>46181</v>
      </c>
      <c r="X1830" s="122">
        <f t="shared" si="57"/>
        <v>55870</v>
      </c>
      <c r="AA1830" t="s">
        <v>60</v>
      </c>
      <c r="AB1830" t="s">
        <v>426</v>
      </c>
      <c r="AC1830" t="s">
        <v>580</v>
      </c>
      <c r="AD1830" t="s">
        <v>426</v>
      </c>
      <c r="AE1830" t="s">
        <v>137</v>
      </c>
      <c r="AF1830">
        <v>251</v>
      </c>
      <c r="AG1830" s="122">
        <v>30166</v>
      </c>
      <c r="AH1830" s="122">
        <v>84606</v>
      </c>
      <c r="AI1830" s="122">
        <v>6761386</v>
      </c>
      <c r="AJ1830" s="122">
        <v>6146715</v>
      </c>
      <c r="AK1830">
        <v>62</v>
      </c>
      <c r="AL1830" s="122">
        <v>687048</v>
      </c>
      <c r="AM1830" s="122">
        <v>624589</v>
      </c>
      <c r="AN1830" s="122">
        <v>625499</v>
      </c>
      <c r="AO1830" s="122">
        <v>231666</v>
      </c>
      <c r="AP1830" s="122">
        <v>172341</v>
      </c>
      <c r="AQ1830" s="122">
        <v>63830</v>
      </c>
      <c r="AR1830" s="122">
        <v>1323675</v>
      </c>
      <c r="AS1830" s="122">
        <v>1203341</v>
      </c>
      <c r="AT1830" s="122">
        <v>682366</v>
      </c>
      <c r="AU1830" s="122">
        <v>252728</v>
      </c>
      <c r="AV1830" s="122">
        <v>8522870</v>
      </c>
    </row>
    <row r="1831" spans="2:48" hidden="1">
      <c r="B1831" t="s">
        <v>374</v>
      </c>
      <c r="C1831" t="s">
        <v>62</v>
      </c>
      <c r="D1831" t="s">
        <v>408</v>
      </c>
      <c r="E1831" t="s">
        <v>408</v>
      </c>
      <c r="F1831" s="122">
        <v>1</v>
      </c>
      <c r="G1831" s="122">
        <v>119</v>
      </c>
      <c r="H1831" s="122">
        <v>384</v>
      </c>
      <c r="I1831" s="122">
        <v>33288</v>
      </c>
      <c r="J1831" s="122">
        <v>30262</v>
      </c>
      <c r="K1831" s="122">
        <v>86</v>
      </c>
      <c r="L1831" s="122">
        <v>4877</v>
      </c>
      <c r="M1831" s="122">
        <v>4433</v>
      </c>
      <c r="N1831" s="122">
        <v>2535</v>
      </c>
      <c r="O1831" s="122">
        <v>939</v>
      </c>
      <c r="P1831" s="122">
        <v>621</v>
      </c>
      <c r="Q1831" s="122">
        <v>230</v>
      </c>
      <c r="R1831" s="122">
        <v>4297</v>
      </c>
      <c r="S1831" s="122">
        <v>3906</v>
      </c>
      <c r="T1831" s="122">
        <v>0</v>
      </c>
      <c r="U1831" s="122">
        <v>0</v>
      </c>
      <c r="V1831" s="122">
        <v>39770</v>
      </c>
      <c r="W1831" s="122">
        <f t="shared" si="56"/>
        <v>39770</v>
      </c>
      <c r="X1831" s="122">
        <f t="shared" si="57"/>
        <v>45618</v>
      </c>
      <c r="AA1831" t="s">
        <v>60</v>
      </c>
      <c r="AB1831" t="s">
        <v>426</v>
      </c>
      <c r="AC1831" t="s">
        <v>580</v>
      </c>
      <c r="AD1831" t="s">
        <v>426</v>
      </c>
      <c r="AE1831" t="s">
        <v>566</v>
      </c>
      <c r="AF1831">
        <v>18</v>
      </c>
      <c r="AG1831" s="122">
        <v>2407</v>
      </c>
      <c r="AH1831" s="122">
        <v>5902</v>
      </c>
      <c r="AI1831" s="122">
        <v>567642</v>
      </c>
      <c r="AJ1831" s="122">
        <v>516038</v>
      </c>
      <c r="AK1831">
        <v>64</v>
      </c>
      <c r="AL1831" s="122">
        <v>61430</v>
      </c>
      <c r="AM1831" s="122">
        <v>55846</v>
      </c>
      <c r="AN1831" s="122">
        <v>49441</v>
      </c>
      <c r="AO1831" s="122">
        <v>18311</v>
      </c>
      <c r="AP1831" s="122">
        <v>12312</v>
      </c>
      <c r="AQ1831" s="122">
        <v>4560</v>
      </c>
      <c r="AR1831" s="122">
        <v>122444</v>
      </c>
      <c r="AS1831" s="122">
        <v>111313</v>
      </c>
      <c r="AT1831" s="122">
        <v>0</v>
      </c>
      <c r="AU1831" s="122">
        <v>0</v>
      </c>
      <c r="AV1831" s="122">
        <v>706068</v>
      </c>
    </row>
    <row r="1832" spans="2:48" hidden="1">
      <c r="B1832" t="s">
        <v>374</v>
      </c>
      <c r="C1832" t="s">
        <v>64</v>
      </c>
      <c r="F1832" s="122">
        <v>1</v>
      </c>
      <c r="G1832" s="122">
        <v>65</v>
      </c>
      <c r="H1832" s="122">
        <v>620</v>
      </c>
      <c r="I1832" s="122"/>
      <c r="J1832" s="122">
        <v>0</v>
      </c>
      <c r="K1832" s="122"/>
      <c r="L1832" s="122"/>
      <c r="M1832" s="122">
        <v>0</v>
      </c>
      <c r="N1832" s="122">
        <v>1419</v>
      </c>
      <c r="O1832" s="122">
        <v>525</v>
      </c>
      <c r="P1832" s="122">
        <v>0</v>
      </c>
      <c r="Q1832" s="122">
        <v>0</v>
      </c>
      <c r="R1832" s="122"/>
      <c r="S1832" s="122">
        <v>0</v>
      </c>
      <c r="T1832" s="122">
        <v>0</v>
      </c>
      <c r="U1832" s="122">
        <v>0</v>
      </c>
      <c r="V1832" s="122">
        <v>525</v>
      </c>
      <c r="W1832" s="122">
        <f t="shared" si="56"/>
        <v>525</v>
      </c>
      <c r="X1832" s="122">
        <f t="shared" si="57"/>
        <v>1419</v>
      </c>
      <c r="AA1832" t="s">
        <v>60</v>
      </c>
      <c r="AB1832" t="s">
        <v>426</v>
      </c>
      <c r="AC1832" t="s">
        <v>427</v>
      </c>
      <c r="AD1832" t="s">
        <v>426</v>
      </c>
      <c r="AE1832" t="s">
        <v>137</v>
      </c>
      <c r="AF1832">
        <v>21</v>
      </c>
      <c r="AG1832" s="122">
        <v>2166</v>
      </c>
      <c r="AH1832" s="122">
        <v>7408</v>
      </c>
      <c r="AI1832" s="122">
        <v>451406</v>
      </c>
      <c r="AJ1832" s="122">
        <v>410370</v>
      </c>
      <c r="AK1832">
        <v>57</v>
      </c>
      <c r="AL1832" s="122">
        <v>86510</v>
      </c>
      <c r="AM1832" s="122">
        <v>78646</v>
      </c>
      <c r="AN1832" s="122">
        <v>45577</v>
      </c>
      <c r="AO1832" s="122">
        <v>16880</v>
      </c>
      <c r="AP1832" s="122">
        <v>7911</v>
      </c>
      <c r="AQ1832" s="122">
        <v>2930</v>
      </c>
      <c r="AR1832" s="122">
        <v>118380</v>
      </c>
      <c r="AS1832" s="122">
        <v>107618</v>
      </c>
      <c r="AT1832" s="122">
        <v>47236</v>
      </c>
      <c r="AU1832" s="122">
        <v>17495</v>
      </c>
      <c r="AV1832" s="122">
        <v>633939</v>
      </c>
    </row>
    <row r="1833" spans="2:48" hidden="1">
      <c r="B1833" t="s">
        <v>374</v>
      </c>
      <c r="C1833" t="s">
        <v>64</v>
      </c>
      <c r="D1833" t="s">
        <v>425</v>
      </c>
      <c r="E1833" t="s">
        <v>137</v>
      </c>
      <c r="F1833" s="122">
        <v>1</v>
      </c>
      <c r="G1833" s="122">
        <v>67</v>
      </c>
      <c r="H1833" s="122">
        <v>766</v>
      </c>
      <c r="I1833" s="122">
        <v>33531</v>
      </c>
      <c r="J1833" s="122">
        <v>30482</v>
      </c>
      <c r="K1833" s="122">
        <v>50</v>
      </c>
      <c r="L1833" s="122">
        <v>6209</v>
      </c>
      <c r="M1833" s="122">
        <v>5645</v>
      </c>
      <c r="N1833" s="122">
        <v>1642</v>
      </c>
      <c r="O1833" s="122">
        <v>608</v>
      </c>
      <c r="P1833" s="122">
        <v>351</v>
      </c>
      <c r="Q1833" s="122">
        <v>130</v>
      </c>
      <c r="R1833" s="122">
        <v>9875</v>
      </c>
      <c r="S1833" s="122">
        <v>3657</v>
      </c>
      <c r="T1833" s="122">
        <v>0</v>
      </c>
      <c r="U1833" s="122">
        <v>0</v>
      </c>
      <c r="V1833" s="122">
        <v>40523</v>
      </c>
      <c r="W1833" s="122">
        <f t="shared" si="56"/>
        <v>40522</v>
      </c>
      <c r="X1833" s="122">
        <f t="shared" si="57"/>
        <v>51608</v>
      </c>
      <c r="AA1833" t="s">
        <v>60</v>
      </c>
      <c r="AB1833" t="s">
        <v>426</v>
      </c>
      <c r="AC1833" t="s">
        <v>427</v>
      </c>
      <c r="AD1833" t="s">
        <v>426</v>
      </c>
      <c r="AE1833" t="s">
        <v>566</v>
      </c>
      <c r="AF1833">
        <v>2</v>
      </c>
      <c r="AG1833">
        <v>211</v>
      </c>
      <c r="AH1833">
        <v>655</v>
      </c>
      <c r="AI1833" s="122">
        <v>44151</v>
      </c>
      <c r="AJ1833" s="122">
        <v>40137</v>
      </c>
      <c r="AK1833">
        <v>68</v>
      </c>
      <c r="AL1833" s="122">
        <v>11122</v>
      </c>
      <c r="AM1833" s="122">
        <v>10111</v>
      </c>
      <c r="AN1833" s="122">
        <v>4377</v>
      </c>
      <c r="AO1833" s="122">
        <v>1621</v>
      </c>
      <c r="AP1833">
        <v>972</v>
      </c>
      <c r="AQ1833">
        <v>360</v>
      </c>
      <c r="AR1833" s="122">
        <v>8465</v>
      </c>
      <c r="AS1833" s="122">
        <v>7695</v>
      </c>
      <c r="AT1833">
        <v>0</v>
      </c>
      <c r="AU1833">
        <v>0</v>
      </c>
      <c r="AV1833" s="122">
        <v>59924</v>
      </c>
    </row>
    <row r="1834" spans="2:48" hidden="1">
      <c r="B1834" t="s">
        <v>374</v>
      </c>
      <c r="C1834" t="s">
        <v>64</v>
      </c>
      <c r="D1834" t="s">
        <v>425</v>
      </c>
      <c r="E1834" t="s">
        <v>406</v>
      </c>
      <c r="F1834" s="122">
        <v>1</v>
      </c>
      <c r="G1834" s="122">
        <v>327</v>
      </c>
      <c r="H1834" s="122">
        <v>484</v>
      </c>
      <c r="I1834" s="122">
        <v>110797</v>
      </c>
      <c r="J1834" s="122">
        <v>100724</v>
      </c>
      <c r="K1834" s="122">
        <v>65</v>
      </c>
      <c r="L1834" s="122">
        <v>27666</v>
      </c>
      <c r="M1834" s="122">
        <v>23055</v>
      </c>
      <c r="N1834" s="122">
        <v>7247</v>
      </c>
      <c r="O1834" s="122">
        <v>2684</v>
      </c>
      <c r="P1834" s="122">
        <v>621</v>
      </c>
      <c r="Q1834" s="122">
        <v>230</v>
      </c>
      <c r="R1834" s="122">
        <v>7352</v>
      </c>
      <c r="S1834" s="122">
        <v>6683</v>
      </c>
      <c r="T1834" s="122">
        <v>4401</v>
      </c>
      <c r="U1834" s="122">
        <v>1630</v>
      </c>
      <c r="V1834" s="122">
        <v>135007</v>
      </c>
      <c r="W1834" s="122">
        <f t="shared" si="56"/>
        <v>135006</v>
      </c>
      <c r="X1834" s="122">
        <f t="shared" si="57"/>
        <v>158084</v>
      </c>
      <c r="AA1834" t="s">
        <v>60</v>
      </c>
      <c r="AB1834" t="s">
        <v>426</v>
      </c>
      <c r="AC1834" t="s">
        <v>407</v>
      </c>
      <c r="AD1834" t="s">
        <v>426</v>
      </c>
      <c r="AE1834" t="s">
        <v>566</v>
      </c>
      <c r="AF1834">
        <v>1</v>
      </c>
      <c r="AG1834">
        <v>229</v>
      </c>
      <c r="AH1834">
        <v>348</v>
      </c>
      <c r="AI1834" s="122">
        <v>52796</v>
      </c>
      <c r="AJ1834" s="122">
        <v>47996</v>
      </c>
      <c r="AK1834">
        <v>45</v>
      </c>
      <c r="AL1834" s="122">
        <v>13199</v>
      </c>
      <c r="AM1834" s="122">
        <v>11999</v>
      </c>
      <c r="AN1834" s="122">
        <v>4386</v>
      </c>
      <c r="AO1834" s="122">
        <v>1625</v>
      </c>
      <c r="AP1834">
        <v>351</v>
      </c>
      <c r="AQ1834">
        <v>130</v>
      </c>
      <c r="AR1834" s="122">
        <v>9069</v>
      </c>
      <c r="AS1834" s="122">
        <v>8244</v>
      </c>
      <c r="AT1834">
        <v>0</v>
      </c>
      <c r="AU1834">
        <v>0</v>
      </c>
      <c r="AV1834" s="122">
        <v>69994</v>
      </c>
    </row>
    <row r="1835" spans="2:48" hidden="1">
      <c r="B1835" t="s">
        <v>374</v>
      </c>
      <c r="C1835" t="s">
        <v>64</v>
      </c>
      <c r="D1835" t="s">
        <v>405</v>
      </c>
      <c r="E1835" t="s">
        <v>405</v>
      </c>
      <c r="F1835" s="122">
        <v>1</v>
      </c>
      <c r="G1835" s="122">
        <v>118</v>
      </c>
      <c r="H1835" s="122">
        <v>606</v>
      </c>
      <c r="I1835" s="122">
        <v>48260</v>
      </c>
      <c r="J1835" s="122">
        <v>43873</v>
      </c>
      <c r="K1835" s="122">
        <v>78</v>
      </c>
      <c r="L1835" s="122">
        <v>13245</v>
      </c>
      <c r="M1835" s="122">
        <v>12041</v>
      </c>
      <c r="N1835" s="122">
        <v>2882</v>
      </c>
      <c r="O1835" s="122">
        <v>1067</v>
      </c>
      <c r="P1835" s="122">
        <v>473</v>
      </c>
      <c r="Q1835" s="122">
        <v>175</v>
      </c>
      <c r="R1835" s="122">
        <v>4177</v>
      </c>
      <c r="S1835" s="122">
        <v>3797</v>
      </c>
      <c r="T1835" s="122">
        <v>2655</v>
      </c>
      <c r="U1835" s="122">
        <v>983</v>
      </c>
      <c r="V1835" s="122">
        <v>61936</v>
      </c>
      <c r="W1835" s="122">
        <f t="shared" si="56"/>
        <v>61936</v>
      </c>
      <c r="X1835" s="122">
        <f t="shared" si="57"/>
        <v>71692</v>
      </c>
      <c r="AA1835" t="s">
        <v>60</v>
      </c>
      <c r="AB1835" t="s">
        <v>426</v>
      </c>
      <c r="AC1835" t="s">
        <v>579</v>
      </c>
      <c r="AD1835" t="s">
        <v>426</v>
      </c>
      <c r="AE1835" t="s">
        <v>566</v>
      </c>
      <c r="AF1835">
        <v>1</v>
      </c>
      <c r="AG1835">
        <v>113</v>
      </c>
      <c r="AH1835" s="122">
        <v>322</v>
      </c>
      <c r="AI1835" s="122">
        <v>23191</v>
      </c>
      <c r="AJ1835" s="122">
        <v>21083</v>
      </c>
      <c r="AK1835">
        <v>65</v>
      </c>
      <c r="AL1835" s="122">
        <v>2811</v>
      </c>
      <c r="AM1835" s="122">
        <v>2343</v>
      </c>
      <c r="AN1835" s="122">
        <v>2430</v>
      </c>
      <c r="AO1835" s="122">
        <v>900</v>
      </c>
      <c r="AP1835" s="122">
        <v>351</v>
      </c>
      <c r="AQ1835">
        <v>130</v>
      </c>
      <c r="AR1835" s="122">
        <v>7668</v>
      </c>
      <c r="AS1835" s="122">
        <v>6971</v>
      </c>
      <c r="AT1835" s="122">
        <v>0</v>
      </c>
      <c r="AU1835" s="122">
        <v>0</v>
      </c>
      <c r="AV1835" s="122">
        <v>31427</v>
      </c>
    </row>
    <row r="1836" spans="2:48" hidden="1">
      <c r="B1836" t="s">
        <v>374</v>
      </c>
      <c r="C1836" t="s">
        <v>64</v>
      </c>
      <c r="D1836" t="s">
        <v>137</v>
      </c>
      <c r="E1836" t="s">
        <v>137</v>
      </c>
      <c r="F1836" s="122">
        <v>218</v>
      </c>
      <c r="G1836" s="122">
        <v>17090</v>
      </c>
      <c r="H1836" s="122">
        <v>166149</v>
      </c>
      <c r="I1836" s="122">
        <v>9436892</v>
      </c>
      <c r="J1836" s="122">
        <v>3495145</v>
      </c>
      <c r="K1836" s="122">
        <v>100</v>
      </c>
      <c r="L1836" s="122">
        <v>1512931</v>
      </c>
      <c r="M1836" s="122">
        <v>1286648</v>
      </c>
      <c r="N1836" s="122">
        <v>394904</v>
      </c>
      <c r="O1836" s="122">
        <v>146261</v>
      </c>
      <c r="P1836" s="122">
        <v>11487</v>
      </c>
      <c r="Q1836" s="122">
        <v>4254</v>
      </c>
      <c r="R1836" s="122">
        <v>1398768</v>
      </c>
      <c r="S1836" s="122">
        <v>518062</v>
      </c>
      <c r="T1836" s="122">
        <v>8643</v>
      </c>
      <c r="U1836" s="122">
        <v>3201</v>
      </c>
      <c r="V1836" s="122">
        <v>5453572</v>
      </c>
      <c r="W1836" s="122">
        <f t="shared" si="56"/>
        <v>5453571</v>
      </c>
      <c r="X1836" s="122">
        <f t="shared" si="57"/>
        <v>12763625</v>
      </c>
      <c r="AA1836" t="s">
        <v>60</v>
      </c>
      <c r="AB1836" t="s">
        <v>426</v>
      </c>
      <c r="AC1836" t="s">
        <v>431</v>
      </c>
      <c r="AD1836" t="s">
        <v>426</v>
      </c>
      <c r="AE1836" t="s">
        <v>137</v>
      </c>
      <c r="AF1836">
        <v>3</v>
      </c>
      <c r="AG1836">
        <v>277</v>
      </c>
      <c r="AH1836" s="122">
        <v>1036</v>
      </c>
      <c r="AI1836" s="122">
        <v>52589</v>
      </c>
      <c r="AJ1836" s="122">
        <v>47809</v>
      </c>
      <c r="AK1836">
        <v>62</v>
      </c>
      <c r="AL1836" s="122">
        <v>10161</v>
      </c>
      <c r="AM1836" s="122">
        <v>9237</v>
      </c>
      <c r="AN1836" s="122">
        <v>5469</v>
      </c>
      <c r="AO1836" s="122">
        <v>2026</v>
      </c>
      <c r="AP1836" s="122">
        <v>1053</v>
      </c>
      <c r="AQ1836">
        <v>390</v>
      </c>
      <c r="AR1836" s="122">
        <v>17067</v>
      </c>
      <c r="AS1836" s="122">
        <v>15515</v>
      </c>
      <c r="AT1836" s="122">
        <v>9563</v>
      </c>
      <c r="AU1836" s="122">
        <v>3542</v>
      </c>
      <c r="AV1836" s="122">
        <v>78518</v>
      </c>
    </row>
    <row r="1837" spans="2:48" hidden="1">
      <c r="B1837" t="s">
        <v>374</v>
      </c>
      <c r="C1837" t="s">
        <v>64</v>
      </c>
      <c r="D1837" t="s">
        <v>137</v>
      </c>
      <c r="E1837" t="s">
        <v>406</v>
      </c>
      <c r="F1837" s="122">
        <v>3</v>
      </c>
      <c r="G1837" s="122">
        <v>426</v>
      </c>
      <c r="H1837" s="122">
        <v>2244</v>
      </c>
      <c r="I1837" s="122">
        <v>246919</v>
      </c>
      <c r="J1837" s="122">
        <v>91452</v>
      </c>
      <c r="K1837" s="122">
        <v>100</v>
      </c>
      <c r="L1837" s="122">
        <v>31808</v>
      </c>
      <c r="M1837" s="122">
        <v>28916</v>
      </c>
      <c r="N1837" s="122">
        <v>9702</v>
      </c>
      <c r="O1837" s="122">
        <v>3593</v>
      </c>
      <c r="P1837" s="122">
        <v>1161</v>
      </c>
      <c r="Q1837" s="122">
        <v>430</v>
      </c>
      <c r="R1837" s="122">
        <v>20364</v>
      </c>
      <c r="S1837" s="122">
        <v>18513</v>
      </c>
      <c r="T1837" s="122">
        <v>11853</v>
      </c>
      <c r="U1837" s="122">
        <v>4390</v>
      </c>
      <c r="V1837" s="122">
        <v>147294</v>
      </c>
      <c r="W1837" s="122">
        <f t="shared" si="56"/>
        <v>147294</v>
      </c>
      <c r="X1837" s="122">
        <f t="shared" si="57"/>
        <v>321807</v>
      </c>
      <c r="AA1837" t="s">
        <v>60</v>
      </c>
      <c r="AB1837" t="s">
        <v>426</v>
      </c>
      <c r="AC1837" t="s">
        <v>431</v>
      </c>
      <c r="AD1837" t="s">
        <v>426</v>
      </c>
      <c r="AE1837" t="s">
        <v>566</v>
      </c>
      <c r="AF1837">
        <v>1</v>
      </c>
      <c r="AG1837">
        <v>114</v>
      </c>
      <c r="AH1837">
        <v>324</v>
      </c>
      <c r="AI1837" s="122">
        <v>19043</v>
      </c>
      <c r="AJ1837" s="122">
        <v>17312</v>
      </c>
      <c r="AK1837">
        <v>65</v>
      </c>
      <c r="AL1837" s="122">
        <v>4584</v>
      </c>
      <c r="AM1837" s="122">
        <v>4168</v>
      </c>
      <c r="AN1837" s="122">
        <v>1662</v>
      </c>
      <c r="AO1837" s="122">
        <v>616</v>
      </c>
      <c r="AP1837">
        <v>351</v>
      </c>
      <c r="AQ1837">
        <v>130</v>
      </c>
      <c r="AR1837" s="122">
        <v>11231</v>
      </c>
      <c r="AS1837" s="122">
        <v>10210</v>
      </c>
      <c r="AT1837">
        <v>0</v>
      </c>
      <c r="AU1837">
        <v>0</v>
      </c>
      <c r="AV1837" s="122">
        <v>32435</v>
      </c>
    </row>
    <row r="1838" spans="2:48" hidden="1">
      <c r="B1838" t="s">
        <v>374</v>
      </c>
      <c r="C1838" t="s">
        <v>64</v>
      </c>
      <c r="D1838" t="s">
        <v>137</v>
      </c>
      <c r="E1838" t="s">
        <v>427</v>
      </c>
      <c r="F1838" s="122">
        <v>3</v>
      </c>
      <c r="G1838" s="122">
        <v>359</v>
      </c>
      <c r="H1838" s="122">
        <v>1916</v>
      </c>
      <c r="I1838" s="122">
        <v>179173</v>
      </c>
      <c r="J1838" s="122">
        <v>66361</v>
      </c>
      <c r="K1838" s="122">
        <v>100</v>
      </c>
      <c r="L1838" s="122">
        <v>14672</v>
      </c>
      <c r="M1838" s="122">
        <v>13338</v>
      </c>
      <c r="N1838" s="122">
        <v>7397</v>
      </c>
      <c r="O1838" s="122">
        <v>2740</v>
      </c>
      <c r="P1838" s="122">
        <v>351</v>
      </c>
      <c r="Q1838" s="122">
        <v>130</v>
      </c>
      <c r="R1838" s="122">
        <v>18199</v>
      </c>
      <c r="S1838" s="122">
        <v>16544</v>
      </c>
      <c r="T1838" s="122">
        <v>8499</v>
      </c>
      <c r="U1838" s="122">
        <v>3148</v>
      </c>
      <c r="V1838" s="122">
        <v>102261</v>
      </c>
      <c r="W1838" s="122">
        <f t="shared" si="56"/>
        <v>102261</v>
      </c>
      <c r="X1838" s="122">
        <f t="shared" si="57"/>
        <v>228291</v>
      </c>
      <c r="AA1838" t="s">
        <v>60</v>
      </c>
      <c r="AB1838" t="s">
        <v>426</v>
      </c>
      <c r="AC1838" t="s">
        <v>426</v>
      </c>
      <c r="AD1838" t="s">
        <v>425</v>
      </c>
      <c r="AE1838" t="s">
        <v>566</v>
      </c>
      <c r="AF1838">
        <v>1</v>
      </c>
      <c r="AG1838">
        <v>120</v>
      </c>
      <c r="AH1838" s="122">
        <v>306</v>
      </c>
      <c r="AI1838" s="122">
        <v>26081</v>
      </c>
      <c r="AJ1838" s="122">
        <v>23710</v>
      </c>
      <c r="AK1838">
        <v>65</v>
      </c>
      <c r="AL1838" s="122">
        <v>3139</v>
      </c>
      <c r="AM1838" s="122">
        <v>2854</v>
      </c>
      <c r="AN1838" s="122">
        <v>2922</v>
      </c>
      <c r="AO1838" s="122">
        <v>1082</v>
      </c>
      <c r="AP1838" s="122">
        <v>351</v>
      </c>
      <c r="AQ1838">
        <v>130</v>
      </c>
      <c r="AR1838" s="122">
        <v>4232</v>
      </c>
      <c r="AS1838" s="122">
        <v>3848</v>
      </c>
      <c r="AT1838" s="122">
        <v>0</v>
      </c>
      <c r="AU1838" s="122">
        <v>0</v>
      </c>
      <c r="AV1838" s="122">
        <v>31624</v>
      </c>
    </row>
    <row r="1839" spans="2:48" hidden="1">
      <c r="B1839" t="s">
        <v>374</v>
      </c>
      <c r="C1839" t="s">
        <v>64</v>
      </c>
      <c r="D1839" t="s">
        <v>137</v>
      </c>
      <c r="E1839" t="s">
        <v>556</v>
      </c>
      <c r="F1839" s="122">
        <v>1</v>
      </c>
      <c r="G1839" s="122">
        <v>70</v>
      </c>
      <c r="H1839" s="122">
        <v>705</v>
      </c>
      <c r="I1839" s="122">
        <v>37039</v>
      </c>
      <c r="J1839" s="122">
        <v>13718</v>
      </c>
      <c r="K1839" s="122">
        <v>100</v>
      </c>
      <c r="L1839" s="122">
        <v>3658</v>
      </c>
      <c r="M1839" s="122">
        <v>3048</v>
      </c>
      <c r="N1839" s="122">
        <v>1716</v>
      </c>
      <c r="O1839" s="122">
        <v>636</v>
      </c>
      <c r="P1839" s="122">
        <v>0</v>
      </c>
      <c r="Q1839" s="122">
        <v>0</v>
      </c>
      <c r="R1839" s="122">
        <v>7212</v>
      </c>
      <c r="S1839" s="122">
        <v>6010</v>
      </c>
      <c r="T1839" s="122">
        <v>0</v>
      </c>
      <c r="U1839" s="122">
        <v>0</v>
      </c>
      <c r="V1839" s="122">
        <v>23412</v>
      </c>
      <c r="W1839" s="122">
        <f t="shared" si="56"/>
        <v>23412</v>
      </c>
      <c r="X1839" s="122">
        <f t="shared" si="57"/>
        <v>49625</v>
      </c>
      <c r="AA1839" t="s">
        <v>60</v>
      </c>
      <c r="AB1839" t="s">
        <v>426</v>
      </c>
      <c r="AC1839" t="s">
        <v>426</v>
      </c>
      <c r="AD1839" t="s">
        <v>137</v>
      </c>
      <c r="AE1839" t="s">
        <v>137</v>
      </c>
      <c r="AF1839">
        <v>5</v>
      </c>
      <c r="AG1839" s="122">
        <v>712</v>
      </c>
      <c r="AH1839" s="122">
        <v>1766</v>
      </c>
      <c r="AI1839" s="122">
        <v>157706</v>
      </c>
      <c r="AJ1839" s="122">
        <v>143369</v>
      </c>
      <c r="AK1839">
        <v>58</v>
      </c>
      <c r="AL1839" s="122">
        <v>20724</v>
      </c>
      <c r="AM1839" s="122">
        <v>18840</v>
      </c>
      <c r="AN1839" s="122">
        <v>13739</v>
      </c>
      <c r="AO1839" s="122">
        <v>5088</v>
      </c>
      <c r="AP1839" s="122">
        <v>1404</v>
      </c>
      <c r="AQ1839">
        <v>520</v>
      </c>
      <c r="AR1839" s="122">
        <v>45462</v>
      </c>
      <c r="AS1839" s="122">
        <v>16838</v>
      </c>
      <c r="AT1839" s="122">
        <v>9664</v>
      </c>
      <c r="AU1839" s="122">
        <v>3579</v>
      </c>
      <c r="AV1839" s="122">
        <v>188234</v>
      </c>
    </row>
    <row r="1840" spans="2:48" hidden="1">
      <c r="B1840" t="s">
        <v>374</v>
      </c>
      <c r="C1840" t="s">
        <v>64</v>
      </c>
      <c r="D1840" t="s">
        <v>137</v>
      </c>
      <c r="E1840" t="s">
        <v>426</v>
      </c>
      <c r="F1840" s="122">
        <v>13</v>
      </c>
      <c r="G1840" s="122">
        <v>1113</v>
      </c>
      <c r="H1840" s="122">
        <v>9759</v>
      </c>
      <c r="I1840" s="122">
        <v>591711</v>
      </c>
      <c r="J1840" s="122">
        <v>219152</v>
      </c>
      <c r="K1840" s="122">
        <v>100</v>
      </c>
      <c r="L1840" s="122">
        <v>88520</v>
      </c>
      <c r="M1840" s="122">
        <v>74364</v>
      </c>
      <c r="N1840" s="122">
        <v>24041</v>
      </c>
      <c r="O1840" s="122">
        <v>8904</v>
      </c>
      <c r="P1840" s="122">
        <v>1053</v>
      </c>
      <c r="Q1840" s="122">
        <v>390</v>
      </c>
      <c r="R1840" s="122">
        <v>78985</v>
      </c>
      <c r="S1840" s="122">
        <v>71804</v>
      </c>
      <c r="T1840" s="122">
        <v>15490</v>
      </c>
      <c r="U1840" s="122">
        <v>5737</v>
      </c>
      <c r="V1840" s="122">
        <v>380352</v>
      </c>
      <c r="W1840" s="122">
        <f t="shared" si="56"/>
        <v>380351</v>
      </c>
      <c r="X1840" s="122">
        <f t="shared" si="57"/>
        <v>799800</v>
      </c>
      <c r="AA1840" t="s">
        <v>60</v>
      </c>
      <c r="AB1840" t="s">
        <v>426</v>
      </c>
      <c r="AC1840" t="s">
        <v>426</v>
      </c>
      <c r="AD1840" t="s">
        <v>137</v>
      </c>
      <c r="AE1840" t="s">
        <v>566</v>
      </c>
      <c r="AF1840">
        <v>16</v>
      </c>
      <c r="AG1840" s="122">
        <v>1524</v>
      </c>
      <c r="AH1840" s="122">
        <v>5519</v>
      </c>
      <c r="AI1840" s="122">
        <v>336619</v>
      </c>
      <c r="AJ1840" s="122">
        <v>306018</v>
      </c>
      <c r="AK1840">
        <v>61</v>
      </c>
      <c r="AL1840" s="122">
        <v>64792</v>
      </c>
      <c r="AM1840" s="122">
        <v>58902</v>
      </c>
      <c r="AN1840" s="122">
        <v>32458</v>
      </c>
      <c r="AO1840" s="122">
        <v>12022</v>
      </c>
      <c r="AP1840" s="122">
        <v>1404</v>
      </c>
      <c r="AQ1840">
        <v>520</v>
      </c>
      <c r="AR1840" s="122">
        <v>122552</v>
      </c>
      <c r="AS1840" s="122">
        <v>45390</v>
      </c>
      <c r="AT1840" s="122">
        <v>0</v>
      </c>
      <c r="AU1840" s="122">
        <v>0</v>
      </c>
      <c r="AV1840" s="122">
        <v>422851</v>
      </c>
    </row>
    <row r="1841" spans="2:48" hidden="1">
      <c r="B1841" t="s">
        <v>374</v>
      </c>
      <c r="C1841" t="s">
        <v>64</v>
      </c>
      <c r="D1841" t="s">
        <v>406</v>
      </c>
      <c r="E1841" t="s">
        <v>137</v>
      </c>
      <c r="F1841" s="122">
        <v>10</v>
      </c>
      <c r="G1841" s="122">
        <v>652</v>
      </c>
      <c r="H1841" s="122">
        <v>6490</v>
      </c>
      <c r="I1841" s="122">
        <v>272021</v>
      </c>
      <c r="J1841" s="122">
        <v>247292</v>
      </c>
      <c r="K1841" s="122">
        <v>76</v>
      </c>
      <c r="L1841" s="122">
        <v>66352</v>
      </c>
      <c r="M1841" s="122">
        <v>59702</v>
      </c>
      <c r="N1841" s="122">
        <v>14984</v>
      </c>
      <c r="O1841" s="122">
        <v>5550</v>
      </c>
      <c r="P1841" s="122">
        <v>6210</v>
      </c>
      <c r="Q1841" s="122">
        <v>2300</v>
      </c>
      <c r="R1841" s="122">
        <v>54255</v>
      </c>
      <c r="S1841" s="122">
        <v>20095</v>
      </c>
      <c r="T1841" s="122">
        <v>0</v>
      </c>
      <c r="U1841" s="122">
        <v>0</v>
      </c>
      <c r="V1841" s="122">
        <v>334938</v>
      </c>
      <c r="W1841" s="122">
        <f t="shared" si="56"/>
        <v>334939</v>
      </c>
      <c r="X1841" s="122">
        <f t="shared" si="57"/>
        <v>413822</v>
      </c>
      <c r="AA1841" t="s">
        <v>60</v>
      </c>
      <c r="AB1841" t="s">
        <v>426</v>
      </c>
      <c r="AC1841" t="s">
        <v>426</v>
      </c>
      <c r="AD1841" t="s">
        <v>406</v>
      </c>
      <c r="AE1841" t="s">
        <v>137</v>
      </c>
      <c r="AF1841">
        <v>1</v>
      </c>
      <c r="AG1841">
        <v>247</v>
      </c>
      <c r="AH1841">
        <v>378</v>
      </c>
      <c r="AI1841" s="122">
        <v>62187</v>
      </c>
      <c r="AJ1841" s="122">
        <v>56533</v>
      </c>
      <c r="AK1841">
        <v>60</v>
      </c>
      <c r="AL1841" s="122">
        <v>13819</v>
      </c>
      <c r="AM1841" s="122">
        <v>12563</v>
      </c>
      <c r="AN1841" s="122">
        <v>5572</v>
      </c>
      <c r="AO1841" s="122">
        <v>2064</v>
      </c>
      <c r="AP1841">
        <v>621</v>
      </c>
      <c r="AQ1841">
        <v>230</v>
      </c>
      <c r="AR1841" s="122">
        <v>7082</v>
      </c>
      <c r="AS1841" s="122">
        <v>6439</v>
      </c>
      <c r="AT1841" s="122">
        <v>4050</v>
      </c>
      <c r="AU1841" s="122">
        <v>1500</v>
      </c>
      <c r="AV1841" s="122">
        <v>79329</v>
      </c>
    </row>
    <row r="1842" spans="2:48" hidden="1">
      <c r="B1842" t="s">
        <v>374</v>
      </c>
      <c r="C1842" t="s">
        <v>64</v>
      </c>
      <c r="D1842" t="s">
        <v>406</v>
      </c>
      <c r="E1842" t="s">
        <v>406</v>
      </c>
      <c r="F1842" s="122">
        <v>552</v>
      </c>
      <c r="G1842" s="122">
        <v>53544</v>
      </c>
      <c r="H1842" s="122">
        <v>305830</v>
      </c>
      <c r="I1842" s="122">
        <v>20184424</v>
      </c>
      <c r="J1842" s="122">
        <v>18349476</v>
      </c>
      <c r="K1842" s="122">
        <v>71</v>
      </c>
      <c r="L1842" s="122">
        <v>4100573</v>
      </c>
      <c r="M1842" s="122">
        <v>3618973</v>
      </c>
      <c r="N1842" s="122">
        <v>1186705</v>
      </c>
      <c r="O1842" s="122">
        <v>439520</v>
      </c>
      <c r="P1842" s="122">
        <v>351235</v>
      </c>
      <c r="Q1842" s="122">
        <v>130087</v>
      </c>
      <c r="R1842" s="122">
        <v>2822116</v>
      </c>
      <c r="S1842" s="122">
        <v>2565560</v>
      </c>
      <c r="T1842" s="122">
        <v>952160</v>
      </c>
      <c r="U1842" s="122">
        <v>352652</v>
      </c>
      <c r="V1842" s="122">
        <v>25456269</v>
      </c>
      <c r="W1842" s="122">
        <f t="shared" si="56"/>
        <v>25456268</v>
      </c>
      <c r="X1842" s="122">
        <f t="shared" si="57"/>
        <v>29597213</v>
      </c>
      <c r="AA1842" t="s">
        <v>60</v>
      </c>
      <c r="AB1842" t="s">
        <v>426</v>
      </c>
      <c r="AC1842" t="s">
        <v>426</v>
      </c>
      <c r="AD1842" t="s">
        <v>406</v>
      </c>
      <c r="AE1842" t="s">
        <v>566</v>
      </c>
      <c r="AF1842" s="122">
        <v>1</v>
      </c>
      <c r="AG1842" s="122">
        <v>136</v>
      </c>
      <c r="AH1842" s="122">
        <v>333</v>
      </c>
      <c r="AI1842" s="122">
        <v>24950</v>
      </c>
      <c r="AJ1842" s="122">
        <v>22681</v>
      </c>
      <c r="AK1842">
        <v>55</v>
      </c>
      <c r="AL1842" s="122">
        <v>5082</v>
      </c>
      <c r="AM1842" s="122">
        <v>4620</v>
      </c>
      <c r="AN1842" s="122">
        <v>2146</v>
      </c>
      <c r="AO1842" s="122">
        <v>795</v>
      </c>
      <c r="AP1842" s="122">
        <v>351</v>
      </c>
      <c r="AQ1842" s="122">
        <v>130</v>
      </c>
      <c r="AR1842" s="122">
        <v>12634</v>
      </c>
      <c r="AS1842" s="122">
        <v>11485</v>
      </c>
      <c r="AT1842" s="122">
        <v>0</v>
      </c>
      <c r="AU1842" s="122">
        <v>0</v>
      </c>
      <c r="AV1842" s="122">
        <v>39712</v>
      </c>
    </row>
    <row r="1843" spans="2:48" hidden="1">
      <c r="B1843" t="s">
        <v>374</v>
      </c>
      <c r="C1843" t="s">
        <v>64</v>
      </c>
      <c r="D1843" t="s">
        <v>406</v>
      </c>
      <c r="E1843" t="s">
        <v>427</v>
      </c>
      <c r="F1843" s="122">
        <v>1</v>
      </c>
      <c r="G1843" s="122">
        <v>119</v>
      </c>
      <c r="H1843" s="122">
        <v>711</v>
      </c>
      <c r="I1843" s="122">
        <v>59118</v>
      </c>
      <c r="J1843" s="122">
        <v>53744</v>
      </c>
      <c r="K1843" s="122">
        <v>65</v>
      </c>
      <c r="L1843" s="122">
        <v>13531</v>
      </c>
      <c r="M1843" s="122">
        <v>12301</v>
      </c>
      <c r="N1843" s="122">
        <v>2585</v>
      </c>
      <c r="O1843" s="122">
        <v>958</v>
      </c>
      <c r="P1843" s="122">
        <v>621</v>
      </c>
      <c r="Q1843" s="122">
        <v>230</v>
      </c>
      <c r="R1843" s="122">
        <v>8377</v>
      </c>
      <c r="S1843" s="122">
        <v>7616</v>
      </c>
      <c r="T1843" s="122">
        <v>0</v>
      </c>
      <c r="U1843" s="122">
        <v>0</v>
      </c>
      <c r="V1843" s="122">
        <v>74848</v>
      </c>
      <c r="W1843" s="122">
        <f t="shared" si="56"/>
        <v>74849</v>
      </c>
      <c r="X1843" s="122">
        <f t="shared" si="57"/>
        <v>84232</v>
      </c>
      <c r="AA1843" t="s">
        <v>60</v>
      </c>
      <c r="AB1843" t="s">
        <v>426</v>
      </c>
      <c r="AC1843" t="s">
        <v>426</v>
      </c>
      <c r="AD1843" t="s">
        <v>426</v>
      </c>
      <c r="AE1843" t="s">
        <v>137</v>
      </c>
      <c r="AF1843" s="122">
        <v>1074</v>
      </c>
      <c r="AG1843" s="122">
        <v>116545</v>
      </c>
      <c r="AH1843" s="122">
        <v>369872</v>
      </c>
      <c r="AI1843" s="122">
        <v>25011905</v>
      </c>
      <c r="AJ1843" s="122">
        <v>22738095</v>
      </c>
      <c r="AK1843">
        <v>57</v>
      </c>
      <c r="AL1843" s="122">
        <v>4306215</v>
      </c>
      <c r="AM1843" s="122">
        <v>3914741</v>
      </c>
      <c r="AN1843" s="122">
        <v>2309363</v>
      </c>
      <c r="AO1843" s="122">
        <v>855319</v>
      </c>
      <c r="AP1843" s="122">
        <v>396655</v>
      </c>
      <c r="AQ1843" s="122">
        <v>146909</v>
      </c>
      <c r="AR1843" s="122">
        <v>6042998</v>
      </c>
      <c r="AS1843" s="122">
        <v>5493635</v>
      </c>
      <c r="AT1843" s="122">
        <v>2742212</v>
      </c>
      <c r="AU1843" s="122">
        <v>1015634</v>
      </c>
      <c r="AV1843" s="122">
        <v>34164334</v>
      </c>
    </row>
    <row r="1844" spans="2:48" hidden="1">
      <c r="B1844" t="s">
        <v>374</v>
      </c>
      <c r="C1844" t="s">
        <v>64</v>
      </c>
      <c r="D1844" t="s">
        <v>406</v>
      </c>
      <c r="E1844" t="s">
        <v>556</v>
      </c>
      <c r="F1844" s="122">
        <v>1</v>
      </c>
      <c r="G1844" s="122">
        <v>56</v>
      </c>
      <c r="H1844" s="122">
        <v>505</v>
      </c>
      <c r="I1844" s="122">
        <v>15484</v>
      </c>
      <c r="J1844" s="122">
        <v>14076</v>
      </c>
      <c r="K1844" s="122">
        <v>85</v>
      </c>
      <c r="L1844" s="122">
        <v>5068</v>
      </c>
      <c r="M1844" s="122">
        <v>4223</v>
      </c>
      <c r="N1844" s="122">
        <v>1191</v>
      </c>
      <c r="O1844" s="122">
        <v>441</v>
      </c>
      <c r="P1844" s="122">
        <v>621</v>
      </c>
      <c r="Q1844" s="122">
        <v>230</v>
      </c>
      <c r="R1844" s="122">
        <v>4462</v>
      </c>
      <c r="S1844" s="122">
        <v>3719</v>
      </c>
      <c r="T1844" s="122">
        <v>1386</v>
      </c>
      <c r="U1844" s="122">
        <v>513</v>
      </c>
      <c r="V1844" s="122">
        <v>23202</v>
      </c>
      <c r="W1844" s="122">
        <f t="shared" si="56"/>
        <v>23202</v>
      </c>
      <c r="X1844" s="122">
        <f t="shared" si="57"/>
        <v>28212</v>
      </c>
      <c r="AA1844" t="s">
        <v>60</v>
      </c>
      <c r="AB1844" t="s">
        <v>426</v>
      </c>
      <c r="AC1844" t="s">
        <v>426</v>
      </c>
      <c r="AD1844" t="s">
        <v>426</v>
      </c>
      <c r="AE1844" t="s">
        <v>566</v>
      </c>
      <c r="AF1844">
        <v>135</v>
      </c>
      <c r="AG1844" s="122">
        <v>15009</v>
      </c>
      <c r="AH1844" s="122">
        <v>46541</v>
      </c>
      <c r="AI1844" s="122">
        <v>3249863</v>
      </c>
      <c r="AJ1844" s="122">
        <v>2954421</v>
      </c>
      <c r="AK1844">
        <v>59</v>
      </c>
      <c r="AL1844" s="122">
        <v>583009</v>
      </c>
      <c r="AM1844" s="122">
        <v>530008</v>
      </c>
      <c r="AN1844" s="122">
        <v>297679</v>
      </c>
      <c r="AO1844" s="122">
        <v>110252</v>
      </c>
      <c r="AP1844" s="122">
        <v>53561</v>
      </c>
      <c r="AQ1844" s="122">
        <v>19837</v>
      </c>
      <c r="AR1844" s="122">
        <v>1040362</v>
      </c>
      <c r="AS1844" s="122">
        <v>945784</v>
      </c>
      <c r="AT1844">
        <v>0</v>
      </c>
      <c r="AU1844">
        <v>0</v>
      </c>
      <c r="AV1844" s="122">
        <v>4560302</v>
      </c>
    </row>
    <row r="1845" spans="2:48" hidden="1">
      <c r="B1845" t="s">
        <v>374</v>
      </c>
      <c r="C1845" t="s">
        <v>64</v>
      </c>
      <c r="D1845" t="s">
        <v>406</v>
      </c>
      <c r="E1845" t="s">
        <v>426</v>
      </c>
      <c r="F1845" s="122">
        <v>2</v>
      </c>
      <c r="G1845" s="122">
        <v>198</v>
      </c>
      <c r="H1845" s="122">
        <v>1579</v>
      </c>
      <c r="I1845" s="122">
        <v>105935</v>
      </c>
      <c r="J1845" s="122">
        <v>96305</v>
      </c>
      <c r="K1845" s="122">
        <v>65</v>
      </c>
      <c r="L1845" s="122">
        <v>24244</v>
      </c>
      <c r="M1845" s="122">
        <v>22040</v>
      </c>
      <c r="N1845" s="122">
        <v>3438</v>
      </c>
      <c r="O1845" s="122">
        <v>1273</v>
      </c>
      <c r="P1845" s="122">
        <v>1242</v>
      </c>
      <c r="Q1845" s="122">
        <v>460</v>
      </c>
      <c r="R1845" s="122">
        <v>12735</v>
      </c>
      <c r="S1845" s="122">
        <v>11577</v>
      </c>
      <c r="T1845" s="122">
        <v>6602</v>
      </c>
      <c r="U1845" s="122">
        <v>2445</v>
      </c>
      <c r="V1845" s="122">
        <v>134100</v>
      </c>
      <c r="W1845" s="122">
        <f t="shared" si="56"/>
        <v>134100</v>
      </c>
      <c r="X1845" s="122">
        <f t="shared" si="57"/>
        <v>154196</v>
      </c>
      <c r="AA1845" t="s">
        <v>60</v>
      </c>
      <c r="AB1845" t="s">
        <v>426</v>
      </c>
      <c r="AC1845" t="s">
        <v>426</v>
      </c>
      <c r="AD1845" t="s">
        <v>481</v>
      </c>
      <c r="AE1845" t="s">
        <v>566</v>
      </c>
      <c r="AF1845">
        <v>1</v>
      </c>
      <c r="AG1845">
        <v>86</v>
      </c>
      <c r="AH1845">
        <v>354</v>
      </c>
      <c r="AI1845" s="122">
        <v>21199</v>
      </c>
      <c r="AJ1845" s="122">
        <v>19272</v>
      </c>
      <c r="AK1845">
        <v>55</v>
      </c>
      <c r="AL1845" s="122">
        <v>2355</v>
      </c>
      <c r="AM1845" s="122">
        <v>2141</v>
      </c>
      <c r="AN1845" s="122">
        <v>1051</v>
      </c>
      <c r="AO1845">
        <v>389</v>
      </c>
      <c r="AP1845">
        <v>351</v>
      </c>
      <c r="AQ1845">
        <v>130</v>
      </c>
      <c r="AR1845" s="122">
        <v>5568</v>
      </c>
      <c r="AS1845" s="122">
        <v>5062</v>
      </c>
      <c r="AT1845">
        <v>0</v>
      </c>
      <c r="AU1845">
        <v>0</v>
      </c>
      <c r="AV1845" s="122">
        <v>26995</v>
      </c>
    </row>
    <row r="1846" spans="2:48" hidden="1">
      <c r="B1846" t="s">
        <v>374</v>
      </c>
      <c r="C1846" t="s">
        <v>64</v>
      </c>
      <c r="D1846" t="s">
        <v>427</v>
      </c>
      <c r="E1846" t="s">
        <v>137</v>
      </c>
      <c r="F1846" s="122">
        <v>8</v>
      </c>
      <c r="G1846" s="122">
        <v>787</v>
      </c>
      <c r="H1846" s="122">
        <v>9812</v>
      </c>
      <c r="I1846" s="122">
        <v>769267</v>
      </c>
      <c r="J1846" s="122">
        <v>699334</v>
      </c>
      <c r="K1846" s="122">
        <v>37</v>
      </c>
      <c r="L1846" s="122">
        <v>62523</v>
      </c>
      <c r="M1846" s="122">
        <v>38257</v>
      </c>
      <c r="N1846" s="122">
        <v>17956</v>
      </c>
      <c r="O1846" s="122">
        <v>6650</v>
      </c>
      <c r="P1846" s="122">
        <v>702</v>
      </c>
      <c r="Q1846" s="122">
        <v>260</v>
      </c>
      <c r="R1846" s="122">
        <v>46966</v>
      </c>
      <c r="S1846" s="122">
        <v>17395</v>
      </c>
      <c r="T1846" s="122">
        <v>0</v>
      </c>
      <c r="U1846" s="122">
        <v>0</v>
      </c>
      <c r="V1846" s="122">
        <v>761896</v>
      </c>
      <c r="W1846" s="122">
        <f t="shared" si="56"/>
        <v>761896</v>
      </c>
      <c r="X1846" s="122">
        <f t="shared" si="57"/>
        <v>897414</v>
      </c>
      <c r="AA1846" t="s">
        <v>60</v>
      </c>
      <c r="AB1846" t="s">
        <v>426</v>
      </c>
      <c r="AC1846" t="s">
        <v>566</v>
      </c>
      <c r="AD1846" t="s">
        <v>137</v>
      </c>
      <c r="AE1846" t="s">
        <v>137</v>
      </c>
      <c r="AF1846">
        <v>1</v>
      </c>
      <c r="AG1846" s="122">
        <v>103</v>
      </c>
      <c r="AH1846" s="122">
        <v>312</v>
      </c>
      <c r="AI1846" s="122">
        <v>17828</v>
      </c>
      <c r="AJ1846" s="122">
        <v>16207</v>
      </c>
      <c r="AK1846">
        <v>65</v>
      </c>
      <c r="AL1846">
        <v>0</v>
      </c>
      <c r="AM1846" s="122">
        <v>3902</v>
      </c>
      <c r="AN1846" s="122">
        <v>2520</v>
      </c>
      <c r="AO1846" s="122">
        <v>933</v>
      </c>
      <c r="AP1846" s="122">
        <v>351</v>
      </c>
      <c r="AQ1846">
        <v>130</v>
      </c>
      <c r="AR1846" s="122">
        <v>11518</v>
      </c>
      <c r="AS1846" s="122">
        <v>4266</v>
      </c>
      <c r="AT1846">
        <v>0</v>
      </c>
      <c r="AU1846">
        <v>0</v>
      </c>
      <c r="AV1846" s="122">
        <v>25438</v>
      </c>
    </row>
    <row r="1847" spans="2:48" hidden="1">
      <c r="B1847" t="s">
        <v>374</v>
      </c>
      <c r="C1847" t="s">
        <v>64</v>
      </c>
      <c r="D1847" t="s">
        <v>427</v>
      </c>
      <c r="E1847" t="s">
        <v>406</v>
      </c>
      <c r="F1847" s="122">
        <v>1</v>
      </c>
      <c r="G1847" s="122">
        <v>82</v>
      </c>
      <c r="H1847" s="122">
        <v>505</v>
      </c>
      <c r="I1847" s="122">
        <v>26606</v>
      </c>
      <c r="J1847" s="122">
        <v>24187</v>
      </c>
      <c r="K1847" s="122">
        <v>45</v>
      </c>
      <c r="L1847" s="122">
        <v>4434</v>
      </c>
      <c r="M1847" s="122">
        <v>4031</v>
      </c>
      <c r="N1847" s="122">
        <v>1500</v>
      </c>
      <c r="O1847" s="122">
        <v>556</v>
      </c>
      <c r="P1847" s="122">
        <v>351</v>
      </c>
      <c r="Q1847" s="122">
        <v>130</v>
      </c>
      <c r="R1847" s="122">
        <v>6277</v>
      </c>
      <c r="S1847" s="122">
        <v>5706</v>
      </c>
      <c r="T1847" s="122">
        <v>2328</v>
      </c>
      <c r="U1847" s="122">
        <v>862</v>
      </c>
      <c r="V1847" s="122">
        <v>35473</v>
      </c>
      <c r="W1847" s="122">
        <f t="shared" si="56"/>
        <v>35472</v>
      </c>
      <c r="X1847" s="122">
        <f t="shared" si="57"/>
        <v>41496</v>
      </c>
      <c r="AA1847" t="s">
        <v>60</v>
      </c>
      <c r="AB1847" t="s">
        <v>426</v>
      </c>
      <c r="AC1847" t="s">
        <v>566</v>
      </c>
      <c r="AD1847" t="s">
        <v>137</v>
      </c>
      <c r="AE1847" t="s">
        <v>566</v>
      </c>
      <c r="AF1847">
        <v>10</v>
      </c>
      <c r="AG1847" s="122">
        <v>1011</v>
      </c>
      <c r="AH1847" s="122">
        <v>3560</v>
      </c>
      <c r="AI1847" s="122">
        <v>251343</v>
      </c>
      <c r="AJ1847" s="122">
        <v>228494</v>
      </c>
      <c r="AK1847">
        <v>58</v>
      </c>
      <c r="AL1847">
        <v>0</v>
      </c>
      <c r="AM1847" s="122">
        <v>10646</v>
      </c>
      <c r="AN1847" s="122">
        <v>18896</v>
      </c>
      <c r="AO1847" s="122">
        <v>6999</v>
      </c>
      <c r="AP1847" s="122">
        <v>1053</v>
      </c>
      <c r="AQ1847" s="122">
        <v>390</v>
      </c>
      <c r="AR1847" s="122">
        <v>83423</v>
      </c>
      <c r="AS1847" s="122">
        <v>30898</v>
      </c>
      <c r="AT1847" s="122">
        <v>0</v>
      </c>
      <c r="AU1847" s="122">
        <v>0</v>
      </c>
      <c r="AV1847" s="122">
        <v>277426</v>
      </c>
    </row>
    <row r="1848" spans="2:48" hidden="1">
      <c r="B1848" t="s">
        <v>374</v>
      </c>
      <c r="C1848" t="s">
        <v>64</v>
      </c>
      <c r="D1848" t="s">
        <v>427</v>
      </c>
      <c r="E1848" t="s">
        <v>427</v>
      </c>
      <c r="F1848" s="122">
        <v>34</v>
      </c>
      <c r="G1848" s="122">
        <v>2784</v>
      </c>
      <c r="H1848" s="122">
        <v>20534</v>
      </c>
      <c r="I1848" s="122">
        <v>1200421</v>
      </c>
      <c r="J1848" s="122">
        <v>1091292</v>
      </c>
      <c r="K1848" s="122">
        <v>56</v>
      </c>
      <c r="L1848" s="122">
        <v>214961</v>
      </c>
      <c r="M1848" s="122">
        <v>152099</v>
      </c>
      <c r="N1848" s="122">
        <v>62578</v>
      </c>
      <c r="O1848" s="122">
        <v>23177</v>
      </c>
      <c r="P1848" s="122">
        <v>10881</v>
      </c>
      <c r="Q1848" s="122">
        <v>4030</v>
      </c>
      <c r="R1848" s="122">
        <v>192071</v>
      </c>
      <c r="S1848" s="122">
        <v>174610</v>
      </c>
      <c r="T1848" s="122">
        <v>47162</v>
      </c>
      <c r="U1848" s="122">
        <v>17467</v>
      </c>
      <c r="V1848" s="122">
        <v>1462676</v>
      </c>
      <c r="W1848" s="122">
        <f t="shared" si="56"/>
        <v>1462675</v>
      </c>
      <c r="X1848" s="122">
        <f t="shared" si="57"/>
        <v>1728074</v>
      </c>
      <c r="AA1848" t="s">
        <v>60</v>
      </c>
      <c r="AB1848" t="s">
        <v>426</v>
      </c>
      <c r="AC1848" t="s">
        <v>566</v>
      </c>
      <c r="AD1848" t="s">
        <v>426</v>
      </c>
      <c r="AE1848" t="s">
        <v>137</v>
      </c>
      <c r="AF1848">
        <v>319</v>
      </c>
      <c r="AG1848" s="122">
        <v>26558</v>
      </c>
      <c r="AH1848" s="122">
        <v>108631</v>
      </c>
      <c r="AI1848" s="122">
        <v>6185521</v>
      </c>
      <c r="AJ1848" s="122">
        <v>5623201</v>
      </c>
      <c r="AK1848">
        <v>59</v>
      </c>
      <c r="AL1848">
        <v>0</v>
      </c>
      <c r="AM1848" s="122">
        <v>45121</v>
      </c>
      <c r="AN1848" s="122">
        <v>530840</v>
      </c>
      <c r="AO1848" s="122">
        <v>196608</v>
      </c>
      <c r="AP1848" s="122">
        <v>112978</v>
      </c>
      <c r="AQ1848" s="122">
        <v>41844</v>
      </c>
      <c r="AR1848" s="122">
        <v>1537641</v>
      </c>
      <c r="AS1848" s="122">
        <v>1397855</v>
      </c>
      <c r="AT1848" s="122">
        <v>722165</v>
      </c>
      <c r="AU1848" s="122">
        <v>267469</v>
      </c>
      <c r="AV1848" s="122">
        <v>7572097</v>
      </c>
    </row>
    <row r="1849" spans="2:48" hidden="1">
      <c r="B1849" t="s">
        <v>374</v>
      </c>
      <c r="C1849" t="s">
        <v>64</v>
      </c>
      <c r="D1849" t="s">
        <v>407</v>
      </c>
      <c r="E1849" t="s">
        <v>407</v>
      </c>
      <c r="F1849" s="122">
        <v>25</v>
      </c>
      <c r="G1849" s="122">
        <v>2484</v>
      </c>
      <c r="H1849" s="122">
        <v>13396</v>
      </c>
      <c r="I1849" s="122">
        <v>870555</v>
      </c>
      <c r="J1849" s="122">
        <v>791414</v>
      </c>
      <c r="K1849" s="122">
        <v>73</v>
      </c>
      <c r="L1849" s="122">
        <v>235830</v>
      </c>
      <c r="M1849" s="122">
        <v>185597</v>
      </c>
      <c r="N1849" s="122">
        <v>51360</v>
      </c>
      <c r="O1849" s="122">
        <v>19022</v>
      </c>
      <c r="P1849" s="122">
        <v>11691</v>
      </c>
      <c r="Q1849" s="122">
        <v>4330</v>
      </c>
      <c r="R1849" s="122">
        <v>133292</v>
      </c>
      <c r="S1849" s="122">
        <v>121175</v>
      </c>
      <c r="T1849" s="122">
        <v>37718</v>
      </c>
      <c r="U1849" s="122">
        <v>13969</v>
      </c>
      <c r="V1849" s="122">
        <v>1135507</v>
      </c>
      <c r="W1849" s="122">
        <f t="shared" si="56"/>
        <v>1135507</v>
      </c>
      <c r="X1849" s="122">
        <f t="shared" si="57"/>
        <v>1340446</v>
      </c>
      <c r="AA1849" t="s">
        <v>60</v>
      </c>
      <c r="AB1849" t="s">
        <v>426</v>
      </c>
      <c r="AC1849" t="s">
        <v>566</v>
      </c>
      <c r="AD1849" t="s">
        <v>426</v>
      </c>
      <c r="AE1849" t="s">
        <v>566</v>
      </c>
      <c r="AF1849">
        <v>18</v>
      </c>
      <c r="AG1849" s="122">
        <v>1666</v>
      </c>
      <c r="AH1849" s="122">
        <v>6181</v>
      </c>
      <c r="AI1849" s="122">
        <v>397452</v>
      </c>
      <c r="AJ1849" s="122">
        <v>361320</v>
      </c>
      <c r="AK1849">
        <v>60</v>
      </c>
      <c r="AL1849" s="122">
        <v>0</v>
      </c>
      <c r="AM1849" s="122">
        <v>18622</v>
      </c>
      <c r="AN1849" s="122">
        <v>31891</v>
      </c>
      <c r="AO1849" s="122">
        <v>11811</v>
      </c>
      <c r="AP1849" s="122">
        <v>6858</v>
      </c>
      <c r="AQ1849" s="122">
        <v>2540</v>
      </c>
      <c r="AR1849" s="122">
        <v>131367</v>
      </c>
      <c r="AS1849" s="122">
        <v>119425</v>
      </c>
      <c r="AT1849" s="122">
        <v>0</v>
      </c>
      <c r="AU1849" s="122">
        <v>0</v>
      </c>
      <c r="AV1849" s="122">
        <v>513719</v>
      </c>
    </row>
    <row r="1850" spans="2:48" hidden="1">
      <c r="B1850" t="s">
        <v>374</v>
      </c>
      <c r="C1850" t="s">
        <v>64</v>
      </c>
      <c r="D1850" t="s">
        <v>556</v>
      </c>
      <c r="E1850" t="s">
        <v>137</v>
      </c>
      <c r="F1850" s="122">
        <v>5</v>
      </c>
      <c r="G1850" s="122">
        <v>438</v>
      </c>
      <c r="H1850" s="122">
        <v>6815</v>
      </c>
      <c r="I1850" s="122">
        <v>494776</v>
      </c>
      <c r="J1850" s="122">
        <v>412314</v>
      </c>
      <c r="K1850" s="122">
        <v>35</v>
      </c>
      <c r="L1850" s="122">
        <v>38606</v>
      </c>
      <c r="M1850" s="122">
        <v>20207</v>
      </c>
      <c r="N1850" s="122">
        <v>9977</v>
      </c>
      <c r="O1850" s="122">
        <v>3695</v>
      </c>
      <c r="P1850" s="122">
        <v>351</v>
      </c>
      <c r="Q1850" s="122">
        <v>130</v>
      </c>
      <c r="R1850" s="122">
        <v>38819</v>
      </c>
      <c r="S1850" s="122">
        <v>14378</v>
      </c>
      <c r="T1850" s="122">
        <v>0</v>
      </c>
      <c r="U1850" s="122">
        <v>0</v>
      </c>
      <c r="V1850" s="122">
        <v>450724</v>
      </c>
      <c r="W1850" s="122">
        <f t="shared" si="56"/>
        <v>450724</v>
      </c>
      <c r="X1850" s="122">
        <f t="shared" si="57"/>
        <v>582529</v>
      </c>
      <c r="AA1850" t="s">
        <v>60</v>
      </c>
      <c r="AB1850" t="s">
        <v>426</v>
      </c>
      <c r="AC1850" t="s">
        <v>481</v>
      </c>
      <c r="AD1850" t="s">
        <v>426</v>
      </c>
      <c r="AE1850" t="s">
        <v>137</v>
      </c>
      <c r="AF1850">
        <v>3</v>
      </c>
      <c r="AG1850">
        <v>290</v>
      </c>
      <c r="AH1850" s="122">
        <v>1114</v>
      </c>
      <c r="AI1850" s="122">
        <v>63021</v>
      </c>
      <c r="AJ1850" s="122">
        <v>57292</v>
      </c>
      <c r="AK1850">
        <v>48</v>
      </c>
      <c r="AL1850" s="122">
        <v>11118</v>
      </c>
      <c r="AM1850" s="122">
        <v>10107</v>
      </c>
      <c r="AN1850" s="122">
        <v>5305</v>
      </c>
      <c r="AO1850" s="122">
        <v>1965</v>
      </c>
      <c r="AP1850" s="122">
        <v>1053</v>
      </c>
      <c r="AQ1850">
        <v>390</v>
      </c>
      <c r="AR1850" s="122">
        <v>19336</v>
      </c>
      <c r="AS1850" s="122">
        <v>17578</v>
      </c>
      <c r="AT1850" s="122">
        <v>7940</v>
      </c>
      <c r="AU1850" s="122">
        <v>2941</v>
      </c>
      <c r="AV1850" s="122">
        <v>90272</v>
      </c>
    </row>
    <row r="1851" spans="2:48" hidden="1">
      <c r="B1851" t="s">
        <v>374</v>
      </c>
      <c r="C1851" t="s">
        <v>64</v>
      </c>
      <c r="D1851" t="s">
        <v>556</v>
      </c>
      <c r="E1851" t="s">
        <v>556</v>
      </c>
      <c r="F1851" s="122">
        <v>13</v>
      </c>
      <c r="G1851" s="122">
        <v>888</v>
      </c>
      <c r="H1851" s="122">
        <v>9381</v>
      </c>
      <c r="I1851" s="122">
        <v>527761</v>
      </c>
      <c r="J1851" s="122">
        <v>439801</v>
      </c>
      <c r="K1851" s="122">
        <v>49</v>
      </c>
      <c r="L1851" s="122">
        <v>45588</v>
      </c>
      <c r="M1851" s="122">
        <v>34458</v>
      </c>
      <c r="N1851" s="122">
        <v>19547</v>
      </c>
      <c r="O1851" s="122">
        <v>7240</v>
      </c>
      <c r="P1851" s="122">
        <v>4482</v>
      </c>
      <c r="Q1851" s="122">
        <v>1660</v>
      </c>
      <c r="R1851" s="122">
        <v>78896</v>
      </c>
      <c r="S1851" s="122">
        <v>65747</v>
      </c>
      <c r="T1851" s="122">
        <v>21919</v>
      </c>
      <c r="U1851" s="122">
        <v>8118</v>
      </c>
      <c r="V1851" s="122">
        <v>557023</v>
      </c>
      <c r="W1851" s="122">
        <f t="shared" si="56"/>
        <v>557024</v>
      </c>
      <c r="X1851" s="122">
        <f t="shared" si="57"/>
        <v>698193</v>
      </c>
      <c r="AA1851" t="s">
        <v>60</v>
      </c>
      <c r="AB1851" t="s">
        <v>426</v>
      </c>
      <c r="AC1851" t="s">
        <v>481</v>
      </c>
      <c r="AD1851" t="s">
        <v>481</v>
      </c>
      <c r="AE1851" t="s">
        <v>137</v>
      </c>
      <c r="AF1851">
        <v>1</v>
      </c>
      <c r="AG1851">
        <v>149</v>
      </c>
      <c r="AH1851">
        <v>311</v>
      </c>
      <c r="AI1851" s="122">
        <v>26870</v>
      </c>
      <c r="AJ1851" s="122">
        <v>24427</v>
      </c>
      <c r="AK1851">
        <v>60</v>
      </c>
      <c r="AL1851" s="122">
        <v>5971</v>
      </c>
      <c r="AM1851" s="122">
        <v>5428</v>
      </c>
      <c r="AN1851" s="122">
        <v>3514</v>
      </c>
      <c r="AO1851" s="122">
        <v>1301</v>
      </c>
      <c r="AP1851">
        <v>351</v>
      </c>
      <c r="AQ1851">
        <v>130</v>
      </c>
      <c r="AR1851" s="122">
        <v>6267</v>
      </c>
      <c r="AS1851" s="122">
        <v>5697</v>
      </c>
      <c r="AT1851" s="122">
        <v>3459</v>
      </c>
      <c r="AU1851" s="122">
        <v>1281</v>
      </c>
      <c r="AV1851" s="122">
        <v>38265</v>
      </c>
    </row>
    <row r="1852" spans="2:48" hidden="1">
      <c r="B1852" t="s">
        <v>374</v>
      </c>
      <c r="C1852" t="s">
        <v>64</v>
      </c>
      <c r="D1852" t="s">
        <v>556</v>
      </c>
      <c r="E1852" t="s">
        <v>426</v>
      </c>
      <c r="F1852" s="122">
        <v>1</v>
      </c>
      <c r="G1852" s="122">
        <v>37</v>
      </c>
      <c r="H1852" s="122">
        <v>851</v>
      </c>
      <c r="I1852" s="122">
        <v>24425</v>
      </c>
      <c r="J1852" s="122">
        <v>20354</v>
      </c>
      <c r="K1852" s="122">
        <v>55</v>
      </c>
      <c r="L1852" s="122">
        <v>0</v>
      </c>
      <c r="M1852" s="122">
        <v>0</v>
      </c>
      <c r="N1852" s="122">
        <v>893</v>
      </c>
      <c r="O1852" s="122">
        <v>331</v>
      </c>
      <c r="P1852" s="122">
        <v>351</v>
      </c>
      <c r="Q1852" s="122">
        <v>130</v>
      </c>
      <c r="R1852" s="122">
        <v>3965</v>
      </c>
      <c r="S1852" s="122">
        <v>3604</v>
      </c>
      <c r="T1852" s="122">
        <v>1549</v>
      </c>
      <c r="U1852" s="122">
        <v>574</v>
      </c>
      <c r="V1852" s="122">
        <v>24993</v>
      </c>
      <c r="W1852" s="122">
        <f t="shared" si="56"/>
        <v>24993</v>
      </c>
      <c r="X1852" s="122">
        <f t="shared" si="57"/>
        <v>31183</v>
      </c>
      <c r="AA1852" t="s">
        <v>60</v>
      </c>
      <c r="AB1852" t="s">
        <v>426</v>
      </c>
      <c r="AC1852" t="s">
        <v>433</v>
      </c>
      <c r="AD1852" t="s">
        <v>426</v>
      </c>
      <c r="AE1852" t="s">
        <v>566</v>
      </c>
      <c r="AF1852">
        <v>1</v>
      </c>
      <c r="AG1852">
        <v>61</v>
      </c>
      <c r="AH1852">
        <v>323</v>
      </c>
      <c r="AI1852" s="122">
        <v>10964</v>
      </c>
      <c r="AJ1852" s="122">
        <v>9967</v>
      </c>
      <c r="AK1852">
        <v>72</v>
      </c>
      <c r="AL1852" s="122">
        <v>1282</v>
      </c>
      <c r="AM1852" s="122">
        <v>1165</v>
      </c>
      <c r="AN1852" s="122">
        <v>1189</v>
      </c>
      <c r="AO1852">
        <v>440</v>
      </c>
      <c r="AP1852">
        <v>621</v>
      </c>
      <c r="AQ1852">
        <v>230</v>
      </c>
      <c r="AR1852" s="122">
        <v>5640</v>
      </c>
      <c r="AS1852" s="122">
        <v>5127</v>
      </c>
      <c r="AT1852">
        <v>0</v>
      </c>
      <c r="AU1852">
        <v>0</v>
      </c>
      <c r="AV1852" s="122">
        <v>16930</v>
      </c>
    </row>
    <row r="1853" spans="2:48" hidden="1">
      <c r="B1853" t="s">
        <v>374</v>
      </c>
      <c r="C1853" t="s">
        <v>64</v>
      </c>
      <c r="D1853" t="s">
        <v>431</v>
      </c>
      <c r="E1853" t="s">
        <v>405</v>
      </c>
      <c r="F1853" s="122">
        <v>1</v>
      </c>
      <c r="G1853" s="122">
        <v>57</v>
      </c>
      <c r="H1853" s="122">
        <v>1491</v>
      </c>
      <c r="I1853" s="122">
        <v>71744</v>
      </c>
      <c r="J1853" s="122">
        <v>65222</v>
      </c>
      <c r="K1853" s="122">
        <v>30</v>
      </c>
      <c r="L1853" s="122">
        <v>7573</v>
      </c>
      <c r="M1853" s="122">
        <v>6885</v>
      </c>
      <c r="N1853" s="122">
        <v>1169</v>
      </c>
      <c r="O1853" s="122">
        <v>433</v>
      </c>
      <c r="P1853" s="122">
        <v>0</v>
      </c>
      <c r="Q1853" s="122">
        <v>0</v>
      </c>
      <c r="R1853" s="122">
        <v>5185</v>
      </c>
      <c r="S1853" s="122">
        <v>4714</v>
      </c>
      <c r="T1853" s="122">
        <v>0</v>
      </c>
      <c r="U1853" s="122">
        <v>0</v>
      </c>
      <c r="V1853" s="122">
        <v>77253</v>
      </c>
      <c r="W1853" s="122">
        <f t="shared" si="56"/>
        <v>77254</v>
      </c>
      <c r="X1853" s="122">
        <f t="shared" si="57"/>
        <v>85671</v>
      </c>
      <c r="AA1853" t="s">
        <v>60</v>
      </c>
      <c r="AB1853" t="s">
        <v>433</v>
      </c>
      <c r="AC1853" t="s">
        <v>405</v>
      </c>
      <c r="AD1853" t="s">
        <v>433</v>
      </c>
      <c r="AE1853" t="s">
        <v>137</v>
      </c>
      <c r="AF1853">
        <v>1</v>
      </c>
      <c r="AG1853">
        <v>103</v>
      </c>
      <c r="AH1853">
        <v>364</v>
      </c>
      <c r="AI1853" s="122">
        <v>26910</v>
      </c>
      <c r="AJ1853" s="122">
        <v>24464</v>
      </c>
      <c r="AK1853">
        <v>65</v>
      </c>
      <c r="AL1853" s="122">
        <v>2776</v>
      </c>
      <c r="AM1853" s="122">
        <v>2524</v>
      </c>
      <c r="AN1853" s="122">
        <v>2447</v>
      </c>
      <c r="AO1853">
        <v>906</v>
      </c>
      <c r="AP1853">
        <v>621</v>
      </c>
      <c r="AQ1853">
        <v>230</v>
      </c>
      <c r="AR1853" s="122">
        <v>4717</v>
      </c>
      <c r="AS1853" s="122">
        <v>4288</v>
      </c>
      <c r="AT1853">
        <v>0</v>
      </c>
      <c r="AU1853">
        <v>0</v>
      </c>
      <c r="AV1853" s="122">
        <v>32412</v>
      </c>
    </row>
    <row r="1854" spans="2:48" hidden="1">
      <c r="B1854" t="s">
        <v>374</v>
      </c>
      <c r="C1854" t="s">
        <v>64</v>
      </c>
      <c r="D1854" t="s">
        <v>431</v>
      </c>
      <c r="E1854" t="s">
        <v>137</v>
      </c>
      <c r="F1854" s="122">
        <v>1</v>
      </c>
      <c r="G1854" s="122">
        <v>49</v>
      </c>
      <c r="H1854" s="122">
        <v>2017</v>
      </c>
      <c r="I1854" s="122">
        <v>92813</v>
      </c>
      <c r="J1854" s="122">
        <v>84375</v>
      </c>
      <c r="K1854" s="122">
        <v>30</v>
      </c>
      <c r="L1854" s="122">
        <v>0</v>
      </c>
      <c r="M1854" s="122">
        <v>2813</v>
      </c>
      <c r="N1854" s="122">
        <v>1201</v>
      </c>
      <c r="O1854" s="122">
        <v>445</v>
      </c>
      <c r="P1854" s="122">
        <v>0</v>
      </c>
      <c r="Q1854" s="122">
        <v>0</v>
      </c>
      <c r="R1854" s="122">
        <v>5350</v>
      </c>
      <c r="S1854" s="122">
        <v>1981</v>
      </c>
      <c r="T1854" s="122">
        <v>0</v>
      </c>
      <c r="U1854" s="122">
        <v>0</v>
      </c>
      <c r="V1854" s="122">
        <v>89614</v>
      </c>
      <c r="W1854" s="122">
        <f t="shared" si="56"/>
        <v>89614</v>
      </c>
      <c r="X1854" s="122">
        <f t="shared" si="57"/>
        <v>99364</v>
      </c>
      <c r="AA1854" t="s">
        <v>60</v>
      </c>
      <c r="AB1854" t="s">
        <v>433</v>
      </c>
      <c r="AC1854" t="s">
        <v>137</v>
      </c>
      <c r="AD1854" t="s">
        <v>137</v>
      </c>
      <c r="AE1854" t="s">
        <v>137</v>
      </c>
      <c r="AF1854">
        <v>1</v>
      </c>
      <c r="AG1854">
        <v>79</v>
      </c>
      <c r="AH1854" s="122">
        <v>314</v>
      </c>
      <c r="AI1854" s="122">
        <v>18148</v>
      </c>
      <c r="AJ1854" s="122">
        <v>16498</v>
      </c>
      <c r="AK1854">
        <v>65</v>
      </c>
      <c r="AL1854" s="122">
        <v>292</v>
      </c>
      <c r="AM1854" s="122">
        <v>108</v>
      </c>
      <c r="AN1854" s="122">
        <v>966</v>
      </c>
      <c r="AO1854" s="122">
        <v>358</v>
      </c>
      <c r="AP1854">
        <v>0</v>
      </c>
      <c r="AQ1854">
        <v>0</v>
      </c>
      <c r="AR1854" s="122">
        <v>5486</v>
      </c>
      <c r="AS1854" s="122">
        <v>2032</v>
      </c>
      <c r="AT1854">
        <v>0</v>
      </c>
      <c r="AU1854">
        <v>0</v>
      </c>
      <c r="AV1854" s="122">
        <v>18996</v>
      </c>
    </row>
    <row r="1855" spans="2:48" hidden="1">
      <c r="B1855" t="s">
        <v>374</v>
      </c>
      <c r="C1855" t="s">
        <v>64</v>
      </c>
      <c r="D1855" t="s">
        <v>431</v>
      </c>
      <c r="E1855" t="s">
        <v>431</v>
      </c>
      <c r="F1855" s="122">
        <v>2</v>
      </c>
      <c r="G1855" s="122">
        <v>238</v>
      </c>
      <c r="H1855" s="122">
        <v>1192</v>
      </c>
      <c r="I1855" s="122">
        <v>95491</v>
      </c>
      <c r="J1855" s="122">
        <v>86810</v>
      </c>
      <c r="K1855" s="122">
        <v>53</v>
      </c>
      <c r="L1855" s="122">
        <v>22266</v>
      </c>
      <c r="M1855" s="122">
        <v>13991</v>
      </c>
      <c r="N1855" s="122">
        <v>5797</v>
      </c>
      <c r="O1855" s="122">
        <v>2147</v>
      </c>
      <c r="P1855" s="122">
        <v>702</v>
      </c>
      <c r="Q1855" s="122">
        <v>260</v>
      </c>
      <c r="R1855" s="122">
        <v>11964</v>
      </c>
      <c r="S1855" s="122">
        <v>10876</v>
      </c>
      <c r="T1855" s="122">
        <v>5770</v>
      </c>
      <c r="U1855" s="122">
        <v>2137</v>
      </c>
      <c r="V1855" s="122">
        <v>116221</v>
      </c>
      <c r="W1855" s="122">
        <f t="shared" si="56"/>
        <v>116221</v>
      </c>
      <c r="X1855" s="122">
        <f t="shared" si="57"/>
        <v>141990</v>
      </c>
      <c r="AA1855" t="s">
        <v>60</v>
      </c>
      <c r="AB1855" t="s">
        <v>433</v>
      </c>
      <c r="AC1855" t="s">
        <v>137</v>
      </c>
      <c r="AD1855" t="s">
        <v>137</v>
      </c>
      <c r="AE1855" t="s">
        <v>566</v>
      </c>
      <c r="AF1855">
        <v>3</v>
      </c>
      <c r="AG1855">
        <v>203</v>
      </c>
      <c r="AH1855" s="122">
        <v>1056</v>
      </c>
      <c r="AI1855" s="122">
        <v>46644</v>
      </c>
      <c r="AJ1855" s="122">
        <v>42404</v>
      </c>
      <c r="AK1855">
        <v>60</v>
      </c>
      <c r="AL1855" s="122">
        <v>9953</v>
      </c>
      <c r="AM1855" s="122">
        <v>3686</v>
      </c>
      <c r="AN1855" s="122">
        <v>4981</v>
      </c>
      <c r="AO1855" s="122">
        <v>1845</v>
      </c>
      <c r="AP1855">
        <v>351</v>
      </c>
      <c r="AQ1855">
        <v>130</v>
      </c>
      <c r="AR1855" s="122">
        <v>23360</v>
      </c>
      <c r="AS1855" s="122">
        <v>8652</v>
      </c>
      <c r="AT1855" s="122">
        <v>0</v>
      </c>
      <c r="AU1855" s="122">
        <v>0</v>
      </c>
      <c r="AV1855" s="122">
        <v>56717</v>
      </c>
    </row>
    <row r="1856" spans="2:48" hidden="1">
      <c r="B1856" t="s">
        <v>374</v>
      </c>
      <c r="C1856" t="s">
        <v>64</v>
      </c>
      <c r="D1856" t="s">
        <v>426</v>
      </c>
      <c r="E1856" t="s">
        <v>137</v>
      </c>
      <c r="F1856" s="122">
        <v>89</v>
      </c>
      <c r="G1856" s="122">
        <v>7282</v>
      </c>
      <c r="H1856" s="122">
        <v>95736</v>
      </c>
      <c r="I1856" s="122">
        <v>6045639</v>
      </c>
      <c r="J1856" s="122">
        <v>5496035</v>
      </c>
      <c r="K1856" s="122">
        <v>43</v>
      </c>
      <c r="L1856" s="122">
        <v>610949</v>
      </c>
      <c r="M1856" s="122">
        <v>358423</v>
      </c>
      <c r="N1856" s="122">
        <v>166765</v>
      </c>
      <c r="O1856" s="122">
        <v>61765</v>
      </c>
      <c r="P1856" s="122">
        <v>8073</v>
      </c>
      <c r="Q1856" s="122">
        <v>2990</v>
      </c>
      <c r="R1856" s="122">
        <v>622349</v>
      </c>
      <c r="S1856" s="122">
        <v>230500</v>
      </c>
      <c r="T1856" s="122">
        <v>6108</v>
      </c>
      <c r="U1856" s="122">
        <v>2262</v>
      </c>
      <c r="V1856" s="122">
        <v>6151975</v>
      </c>
      <c r="W1856" s="122">
        <f t="shared" si="56"/>
        <v>6151975</v>
      </c>
      <c r="X1856" s="122">
        <f t="shared" si="57"/>
        <v>7459883</v>
      </c>
      <c r="AA1856" t="s">
        <v>60</v>
      </c>
      <c r="AB1856" t="s">
        <v>433</v>
      </c>
      <c r="AC1856" t="s">
        <v>137</v>
      </c>
      <c r="AD1856" t="s">
        <v>433</v>
      </c>
      <c r="AE1856" t="s">
        <v>137</v>
      </c>
      <c r="AF1856">
        <v>1</v>
      </c>
      <c r="AG1856">
        <v>132</v>
      </c>
      <c r="AH1856">
        <v>321</v>
      </c>
      <c r="AI1856" s="122">
        <v>27104</v>
      </c>
      <c r="AJ1856" s="122">
        <v>24640</v>
      </c>
      <c r="AK1856">
        <v>65</v>
      </c>
      <c r="AL1856" s="122">
        <v>4805</v>
      </c>
      <c r="AM1856" s="122">
        <v>1780</v>
      </c>
      <c r="AN1856" s="122">
        <v>2261</v>
      </c>
      <c r="AO1856" s="122">
        <v>837</v>
      </c>
      <c r="AP1856">
        <v>351</v>
      </c>
      <c r="AQ1856">
        <v>130</v>
      </c>
      <c r="AR1856" s="122">
        <v>4962</v>
      </c>
      <c r="AS1856" s="122">
        <v>4511</v>
      </c>
      <c r="AT1856" s="122">
        <v>2812</v>
      </c>
      <c r="AU1856" s="122">
        <v>1041</v>
      </c>
      <c r="AV1856" s="122">
        <v>32939</v>
      </c>
    </row>
    <row r="1857" spans="2:48" hidden="1">
      <c r="B1857" t="s">
        <v>374</v>
      </c>
      <c r="C1857" t="s">
        <v>64</v>
      </c>
      <c r="D1857" t="s">
        <v>426</v>
      </c>
      <c r="E1857" t="s">
        <v>426</v>
      </c>
      <c r="F1857" s="122">
        <v>215</v>
      </c>
      <c r="G1857" s="122">
        <v>18005</v>
      </c>
      <c r="H1857" s="122">
        <v>150659</v>
      </c>
      <c r="I1857" s="122">
        <v>9071470</v>
      </c>
      <c r="J1857" s="122">
        <v>8246791</v>
      </c>
      <c r="K1857" s="122">
        <v>54</v>
      </c>
      <c r="L1857" s="122">
        <v>1409247</v>
      </c>
      <c r="M1857" s="122">
        <v>1080985</v>
      </c>
      <c r="N1857" s="122">
        <v>380600</v>
      </c>
      <c r="O1857" s="122">
        <v>140963</v>
      </c>
      <c r="P1857" s="122">
        <v>70071</v>
      </c>
      <c r="Q1857" s="122">
        <v>25952</v>
      </c>
      <c r="R1857" s="122">
        <v>1269653</v>
      </c>
      <c r="S1857" s="122">
        <v>1154230</v>
      </c>
      <c r="T1857" s="122">
        <v>402385</v>
      </c>
      <c r="U1857" s="122">
        <v>149032</v>
      </c>
      <c r="V1857" s="122">
        <v>10797952</v>
      </c>
      <c r="W1857" s="122">
        <f t="shared" si="56"/>
        <v>10797953</v>
      </c>
      <c r="X1857" s="122">
        <f t="shared" si="57"/>
        <v>12603426</v>
      </c>
      <c r="AA1857" t="s">
        <v>60</v>
      </c>
      <c r="AB1857" t="s">
        <v>433</v>
      </c>
      <c r="AC1857" t="s">
        <v>137</v>
      </c>
      <c r="AD1857" t="s">
        <v>433</v>
      </c>
      <c r="AE1857" t="s">
        <v>566</v>
      </c>
      <c r="AF1857">
        <v>3</v>
      </c>
      <c r="AG1857">
        <v>323</v>
      </c>
      <c r="AH1857" s="122">
        <v>964</v>
      </c>
      <c r="AI1857" s="122">
        <v>59744</v>
      </c>
      <c r="AJ1857" s="122">
        <v>54313</v>
      </c>
      <c r="AK1857">
        <v>62</v>
      </c>
      <c r="AL1857" s="122">
        <v>14741</v>
      </c>
      <c r="AM1857" s="122">
        <v>5460</v>
      </c>
      <c r="AN1857" s="122">
        <v>6610</v>
      </c>
      <c r="AO1857" s="122">
        <v>2448</v>
      </c>
      <c r="AP1857" s="122">
        <v>702</v>
      </c>
      <c r="AQ1857">
        <v>260</v>
      </c>
      <c r="AR1857" s="122">
        <v>22022</v>
      </c>
      <c r="AS1857" s="122">
        <v>20020</v>
      </c>
      <c r="AT1857" s="122">
        <v>0</v>
      </c>
      <c r="AU1857" s="122">
        <v>0</v>
      </c>
      <c r="AV1857" s="122">
        <v>82501</v>
      </c>
    </row>
    <row r="1858" spans="2:48" hidden="1">
      <c r="B1858" t="s">
        <v>374</v>
      </c>
      <c r="C1858" t="s">
        <v>64</v>
      </c>
      <c r="D1858" t="s">
        <v>433</v>
      </c>
      <c r="E1858" t="s">
        <v>137</v>
      </c>
      <c r="F1858" s="122">
        <v>1</v>
      </c>
      <c r="G1858" s="122">
        <v>92</v>
      </c>
      <c r="H1858" s="122">
        <v>645</v>
      </c>
      <c r="I1858" s="122">
        <v>47303</v>
      </c>
      <c r="J1858" s="122">
        <v>43003</v>
      </c>
      <c r="K1858" s="122">
        <v>60</v>
      </c>
      <c r="L1858" s="122">
        <v>0</v>
      </c>
      <c r="M1858" s="122">
        <v>0</v>
      </c>
      <c r="N1858" s="122">
        <v>2239</v>
      </c>
      <c r="O1858" s="122">
        <v>829</v>
      </c>
      <c r="P1858" s="122">
        <v>0</v>
      </c>
      <c r="Q1858" s="122">
        <v>0</v>
      </c>
      <c r="R1858" s="122">
        <v>9741</v>
      </c>
      <c r="S1858" s="122">
        <v>3608</v>
      </c>
      <c r="T1858" s="122">
        <v>0</v>
      </c>
      <c r="U1858" s="122">
        <v>0</v>
      </c>
      <c r="V1858" s="122">
        <v>47440</v>
      </c>
      <c r="W1858" s="122">
        <f t="shared" si="56"/>
        <v>47440</v>
      </c>
      <c r="X1858" s="122">
        <f t="shared" si="57"/>
        <v>59283</v>
      </c>
      <c r="AA1858" t="s">
        <v>60</v>
      </c>
      <c r="AB1858" t="s">
        <v>433</v>
      </c>
      <c r="AC1858" t="s">
        <v>580</v>
      </c>
      <c r="AD1858" t="s">
        <v>433</v>
      </c>
      <c r="AE1858" t="s">
        <v>137</v>
      </c>
      <c r="AF1858">
        <v>3</v>
      </c>
      <c r="AG1858">
        <v>351</v>
      </c>
      <c r="AH1858" s="122">
        <v>1005</v>
      </c>
      <c r="AI1858" s="122">
        <v>78327</v>
      </c>
      <c r="AJ1858" s="122">
        <v>71206</v>
      </c>
      <c r="AK1858">
        <v>58</v>
      </c>
      <c r="AL1858" s="122">
        <v>8251</v>
      </c>
      <c r="AM1858" s="122">
        <v>7501</v>
      </c>
      <c r="AN1858" s="122">
        <v>7173</v>
      </c>
      <c r="AO1858" s="122">
        <v>2657</v>
      </c>
      <c r="AP1858" s="122">
        <v>1404</v>
      </c>
      <c r="AQ1858">
        <v>520</v>
      </c>
      <c r="AR1858" s="122">
        <v>16791</v>
      </c>
      <c r="AS1858" s="122">
        <v>15265</v>
      </c>
      <c r="AT1858" s="122">
        <v>5816</v>
      </c>
      <c r="AU1858" s="122">
        <v>2154</v>
      </c>
      <c r="AV1858" s="122">
        <v>99303</v>
      </c>
    </row>
    <row r="1859" spans="2:48" hidden="1">
      <c r="B1859" t="s">
        <v>374</v>
      </c>
      <c r="C1859" t="s">
        <v>64</v>
      </c>
      <c r="D1859" t="s">
        <v>433</v>
      </c>
      <c r="E1859" t="s">
        <v>433</v>
      </c>
      <c r="F1859" s="122">
        <v>6</v>
      </c>
      <c r="G1859" s="122">
        <v>457</v>
      </c>
      <c r="H1859" s="122">
        <v>4681</v>
      </c>
      <c r="I1859" s="122">
        <v>245331</v>
      </c>
      <c r="J1859" s="122">
        <v>223028</v>
      </c>
      <c r="K1859" s="122">
        <v>48</v>
      </c>
      <c r="L1859" s="122">
        <v>33540</v>
      </c>
      <c r="M1859" s="122">
        <v>24824</v>
      </c>
      <c r="N1859" s="122">
        <v>10332</v>
      </c>
      <c r="O1859" s="122">
        <v>3827</v>
      </c>
      <c r="P1859" s="122">
        <v>1404</v>
      </c>
      <c r="Q1859" s="122">
        <v>520</v>
      </c>
      <c r="R1859" s="122">
        <v>36036</v>
      </c>
      <c r="S1859" s="122">
        <v>32760</v>
      </c>
      <c r="T1859" s="122">
        <v>5739</v>
      </c>
      <c r="U1859" s="122">
        <v>2126</v>
      </c>
      <c r="V1859" s="122">
        <v>287085</v>
      </c>
      <c r="W1859" s="122">
        <f t="shared" si="56"/>
        <v>287085</v>
      </c>
      <c r="X1859" s="122">
        <f t="shared" si="57"/>
        <v>332382</v>
      </c>
      <c r="AA1859" t="s">
        <v>60</v>
      </c>
      <c r="AB1859" t="s">
        <v>433</v>
      </c>
      <c r="AC1859" t="s">
        <v>580</v>
      </c>
      <c r="AD1859" t="s">
        <v>433</v>
      </c>
      <c r="AE1859" t="s">
        <v>566</v>
      </c>
      <c r="AF1859">
        <v>2</v>
      </c>
      <c r="AG1859">
        <v>398</v>
      </c>
      <c r="AH1859" s="122">
        <v>640</v>
      </c>
      <c r="AI1859" s="122">
        <v>100125</v>
      </c>
      <c r="AJ1859" s="122">
        <v>91023</v>
      </c>
      <c r="AK1859">
        <v>60</v>
      </c>
      <c r="AL1859" s="122">
        <v>11292</v>
      </c>
      <c r="AM1859" s="122">
        <v>10265</v>
      </c>
      <c r="AN1859" s="122">
        <v>7595</v>
      </c>
      <c r="AO1859" s="122">
        <v>2813</v>
      </c>
      <c r="AP1859" s="122">
        <v>1242</v>
      </c>
      <c r="AQ1859">
        <v>460</v>
      </c>
      <c r="AR1859" s="122">
        <v>11299</v>
      </c>
      <c r="AS1859" s="122">
        <v>10272</v>
      </c>
      <c r="AT1859" s="122">
        <v>0</v>
      </c>
      <c r="AU1859" s="122">
        <v>0</v>
      </c>
      <c r="AV1859" s="122">
        <v>114833</v>
      </c>
    </row>
    <row r="1860" spans="2:48" hidden="1">
      <c r="B1860" t="s">
        <v>375</v>
      </c>
      <c r="C1860" t="s">
        <v>48</v>
      </c>
      <c r="D1860" t="s">
        <v>137</v>
      </c>
      <c r="E1860" t="s">
        <v>137</v>
      </c>
      <c r="F1860" s="122">
        <v>20</v>
      </c>
      <c r="G1860" s="122">
        <v>4816</v>
      </c>
      <c r="H1860" s="122">
        <v>1103</v>
      </c>
      <c r="I1860" s="122">
        <v>44251</v>
      </c>
      <c r="J1860" s="122">
        <v>16389</v>
      </c>
      <c r="K1860" s="122">
        <v>471</v>
      </c>
      <c r="L1860" s="122">
        <v>3339</v>
      </c>
      <c r="M1860" s="122">
        <v>3035</v>
      </c>
      <c r="N1860" s="122">
        <v>68116</v>
      </c>
      <c r="O1860" s="122">
        <v>25228</v>
      </c>
      <c r="P1860" s="122">
        <v>40606</v>
      </c>
      <c r="Q1860" s="122">
        <v>15039</v>
      </c>
      <c r="R1860" s="122">
        <v>109745</v>
      </c>
      <c r="S1860" s="122">
        <v>40646</v>
      </c>
      <c r="T1860" s="122">
        <v>0</v>
      </c>
      <c r="U1860" s="122">
        <v>0</v>
      </c>
      <c r="V1860" s="122">
        <v>100338</v>
      </c>
      <c r="W1860" s="122">
        <f t="shared" si="56"/>
        <v>100337</v>
      </c>
      <c r="X1860" s="122">
        <f t="shared" si="57"/>
        <v>266057</v>
      </c>
      <c r="AA1860" t="s">
        <v>60</v>
      </c>
      <c r="AB1860" t="s">
        <v>433</v>
      </c>
      <c r="AC1860" t="s">
        <v>427</v>
      </c>
      <c r="AD1860" t="s">
        <v>433</v>
      </c>
      <c r="AE1860" t="s">
        <v>137</v>
      </c>
      <c r="AF1860">
        <v>5</v>
      </c>
      <c r="AG1860">
        <v>704</v>
      </c>
      <c r="AH1860" s="122">
        <v>1688</v>
      </c>
      <c r="AI1860" s="122">
        <v>152176</v>
      </c>
      <c r="AJ1860" s="122">
        <v>138342</v>
      </c>
      <c r="AK1860">
        <v>59</v>
      </c>
      <c r="AL1860" s="122">
        <v>31052</v>
      </c>
      <c r="AM1860" s="122">
        <v>28229</v>
      </c>
      <c r="AN1860" s="122">
        <v>11847</v>
      </c>
      <c r="AO1860" s="122">
        <v>4388</v>
      </c>
      <c r="AP1860" s="122">
        <v>1755</v>
      </c>
      <c r="AQ1860">
        <v>650</v>
      </c>
      <c r="AR1860" s="122">
        <v>27099</v>
      </c>
      <c r="AS1860" s="122">
        <v>24635</v>
      </c>
      <c r="AT1860" s="122">
        <v>14419</v>
      </c>
      <c r="AU1860" s="122">
        <v>5340</v>
      </c>
      <c r="AV1860" s="122">
        <v>201585</v>
      </c>
    </row>
    <row r="1861" spans="2:48" hidden="1">
      <c r="B1861" t="s">
        <v>375</v>
      </c>
      <c r="C1861" t="s">
        <v>48</v>
      </c>
      <c r="D1861" t="s">
        <v>406</v>
      </c>
      <c r="E1861" t="s">
        <v>406</v>
      </c>
      <c r="F1861" s="122">
        <v>4</v>
      </c>
      <c r="G1861" s="122">
        <v>840</v>
      </c>
      <c r="H1861" s="122">
        <v>279</v>
      </c>
      <c r="I1861" s="122">
        <v>21844</v>
      </c>
      <c r="J1861" s="122">
        <v>19858</v>
      </c>
      <c r="K1861" s="122">
        <v>97</v>
      </c>
      <c r="L1861" s="122">
        <v>3388</v>
      </c>
      <c r="M1861" s="122">
        <v>3080</v>
      </c>
      <c r="N1861" s="122">
        <v>11830</v>
      </c>
      <c r="O1861" s="122">
        <v>4382</v>
      </c>
      <c r="P1861" s="122">
        <v>4239</v>
      </c>
      <c r="Q1861" s="122">
        <v>1570</v>
      </c>
      <c r="R1861" s="122">
        <v>17468</v>
      </c>
      <c r="S1861" s="122">
        <v>15880</v>
      </c>
      <c r="T1861" s="122">
        <v>0</v>
      </c>
      <c r="U1861" s="122">
        <v>0</v>
      </c>
      <c r="V1861" s="122">
        <v>44769</v>
      </c>
      <c r="W1861" s="122">
        <f t="shared" si="56"/>
        <v>44770</v>
      </c>
      <c r="X1861" s="122">
        <f t="shared" si="57"/>
        <v>58769</v>
      </c>
      <c r="AA1861" t="s">
        <v>60</v>
      </c>
      <c r="AB1861" t="s">
        <v>433</v>
      </c>
      <c r="AC1861" t="s">
        <v>427</v>
      </c>
      <c r="AD1861" t="s">
        <v>433</v>
      </c>
      <c r="AE1861" t="s">
        <v>566</v>
      </c>
      <c r="AF1861">
        <v>5</v>
      </c>
      <c r="AG1861">
        <v>550</v>
      </c>
      <c r="AH1861" s="122">
        <v>1758</v>
      </c>
      <c r="AI1861" s="122">
        <v>122303</v>
      </c>
      <c r="AJ1861" s="122">
        <v>111185</v>
      </c>
      <c r="AK1861">
        <v>57</v>
      </c>
      <c r="AL1861" s="122">
        <v>20846</v>
      </c>
      <c r="AM1861" s="122">
        <v>18951</v>
      </c>
      <c r="AN1861" s="122">
        <v>11223</v>
      </c>
      <c r="AO1861" s="122">
        <v>4157</v>
      </c>
      <c r="AP1861" s="122">
        <v>2565</v>
      </c>
      <c r="AQ1861">
        <v>950</v>
      </c>
      <c r="AR1861" s="122">
        <v>38072</v>
      </c>
      <c r="AS1861" s="122">
        <v>34611</v>
      </c>
      <c r="AT1861" s="122">
        <v>0</v>
      </c>
      <c r="AU1861">
        <v>0</v>
      </c>
      <c r="AV1861" s="122">
        <v>169854</v>
      </c>
    </row>
    <row r="1862" spans="2:48" hidden="1">
      <c r="B1862" t="s">
        <v>375</v>
      </c>
      <c r="C1862" t="s">
        <v>48</v>
      </c>
      <c r="D1862" t="s">
        <v>408</v>
      </c>
      <c r="E1862" t="s">
        <v>408</v>
      </c>
      <c r="F1862" s="122">
        <v>4</v>
      </c>
      <c r="G1862" s="122">
        <v>520</v>
      </c>
      <c r="H1862" s="122">
        <v>298</v>
      </c>
      <c r="I1862" s="122">
        <v>23213</v>
      </c>
      <c r="J1862" s="122">
        <v>21103</v>
      </c>
      <c r="K1862" s="122">
        <v>90</v>
      </c>
      <c r="L1862" s="122">
        <v>0</v>
      </c>
      <c r="M1862" s="122">
        <v>0</v>
      </c>
      <c r="N1862" s="122">
        <v>6336</v>
      </c>
      <c r="O1862" s="122">
        <v>2347</v>
      </c>
      <c r="P1862" s="122">
        <v>1404</v>
      </c>
      <c r="Q1862" s="122">
        <v>520</v>
      </c>
      <c r="R1862" s="122">
        <v>7833</v>
      </c>
      <c r="S1862" s="122">
        <v>7121</v>
      </c>
      <c r="T1862" s="122">
        <v>0</v>
      </c>
      <c r="U1862" s="122">
        <v>0</v>
      </c>
      <c r="V1862" s="122">
        <v>31090</v>
      </c>
      <c r="W1862" s="122">
        <f t="shared" si="56"/>
        <v>31091</v>
      </c>
      <c r="X1862" s="122">
        <f t="shared" si="57"/>
        <v>38786</v>
      </c>
      <c r="AA1862" t="s">
        <v>60</v>
      </c>
      <c r="AB1862" t="s">
        <v>433</v>
      </c>
      <c r="AC1862" t="s">
        <v>431</v>
      </c>
      <c r="AD1862" t="s">
        <v>433</v>
      </c>
      <c r="AE1862" t="s">
        <v>137</v>
      </c>
      <c r="AF1862">
        <v>1</v>
      </c>
      <c r="AG1862">
        <v>93</v>
      </c>
      <c r="AH1862">
        <v>362</v>
      </c>
      <c r="AI1862" s="122">
        <v>20267</v>
      </c>
      <c r="AJ1862" s="122">
        <v>18425</v>
      </c>
      <c r="AK1862">
        <v>60</v>
      </c>
      <c r="AL1862" s="122">
        <v>4504</v>
      </c>
      <c r="AM1862" s="122">
        <v>4094</v>
      </c>
      <c r="AN1862" s="122">
        <v>1570</v>
      </c>
      <c r="AO1862">
        <v>582</v>
      </c>
      <c r="AP1862">
        <v>351</v>
      </c>
      <c r="AQ1862">
        <v>130</v>
      </c>
      <c r="AR1862" s="122">
        <v>4728</v>
      </c>
      <c r="AS1862" s="122">
        <v>4298</v>
      </c>
      <c r="AT1862" s="122">
        <v>2343</v>
      </c>
      <c r="AU1862">
        <v>868</v>
      </c>
      <c r="AV1862" s="122">
        <v>28397</v>
      </c>
    </row>
    <row r="1863" spans="2:48" hidden="1">
      <c r="B1863" t="s">
        <v>375</v>
      </c>
      <c r="C1863" t="s">
        <v>50</v>
      </c>
      <c r="D1863" t="s">
        <v>137</v>
      </c>
      <c r="E1863" t="s">
        <v>137</v>
      </c>
      <c r="F1863" s="122">
        <v>10</v>
      </c>
      <c r="G1863" s="122">
        <v>2505</v>
      </c>
      <c r="H1863" s="122">
        <v>845</v>
      </c>
      <c r="I1863" s="122">
        <v>77656</v>
      </c>
      <c r="J1863" s="122">
        <v>28761</v>
      </c>
      <c r="K1863" s="122">
        <v>366</v>
      </c>
      <c r="L1863" s="122">
        <v>20974</v>
      </c>
      <c r="M1863" s="122">
        <v>19067</v>
      </c>
      <c r="N1863" s="122">
        <v>47711</v>
      </c>
      <c r="O1863" s="122">
        <v>17671</v>
      </c>
      <c r="P1863" s="122">
        <v>10319</v>
      </c>
      <c r="Q1863" s="122">
        <v>3822</v>
      </c>
      <c r="R1863" s="122">
        <v>63245</v>
      </c>
      <c r="S1863" s="122">
        <v>23424</v>
      </c>
      <c r="T1863" s="122">
        <v>0</v>
      </c>
      <c r="U1863" s="122">
        <v>0</v>
      </c>
      <c r="V1863" s="122">
        <v>92746</v>
      </c>
      <c r="W1863" s="122">
        <f t="shared" ref="W1863:W1889" si="58">SUM(ABS(J1863),ABS(M1863),ABS(O1863),ABS(Q1863),ABS(S1863),ABS(U1863))</f>
        <v>92745</v>
      </c>
      <c r="X1863" s="122">
        <f t="shared" ref="X1863:X1889" si="59">SUM(ABS(I1863),ABS(N1863),ABS(P1863),ABS(R1863),ABS(T1863),ABS(L1863))</f>
        <v>219905</v>
      </c>
      <c r="AA1863" t="s">
        <v>60</v>
      </c>
      <c r="AB1863" t="s">
        <v>433</v>
      </c>
      <c r="AC1863" t="s">
        <v>426</v>
      </c>
      <c r="AD1863" t="s">
        <v>137</v>
      </c>
      <c r="AE1863" t="s">
        <v>566</v>
      </c>
      <c r="AF1863">
        <v>1</v>
      </c>
      <c r="AG1863">
        <v>115</v>
      </c>
      <c r="AH1863">
        <v>352</v>
      </c>
      <c r="AI1863" s="122">
        <v>26279</v>
      </c>
      <c r="AJ1863" s="122">
        <v>23890</v>
      </c>
      <c r="AK1863">
        <v>60</v>
      </c>
      <c r="AL1863" s="122">
        <v>2920</v>
      </c>
      <c r="AM1863" s="122">
        <v>2654</v>
      </c>
      <c r="AN1863" s="122">
        <v>2298</v>
      </c>
      <c r="AO1863" s="122">
        <v>851</v>
      </c>
      <c r="AP1863">
        <v>0</v>
      </c>
      <c r="AQ1863">
        <v>0</v>
      </c>
      <c r="AR1863" s="122">
        <v>8975</v>
      </c>
      <c r="AS1863" s="122">
        <v>3324</v>
      </c>
      <c r="AT1863">
        <v>0</v>
      </c>
      <c r="AU1863">
        <v>0</v>
      </c>
      <c r="AV1863" s="122">
        <v>30719</v>
      </c>
    </row>
    <row r="1864" spans="2:48" hidden="1">
      <c r="B1864" t="s">
        <v>375</v>
      </c>
      <c r="C1864" t="s">
        <v>50</v>
      </c>
      <c r="D1864" t="s">
        <v>406</v>
      </c>
      <c r="E1864" t="s">
        <v>137</v>
      </c>
      <c r="F1864" s="122">
        <v>1</v>
      </c>
      <c r="G1864" s="122">
        <v>269</v>
      </c>
      <c r="H1864" s="122">
        <v>82</v>
      </c>
      <c r="I1864" s="122">
        <v>9558</v>
      </c>
      <c r="J1864" s="122">
        <v>8689</v>
      </c>
      <c r="K1864" s="122">
        <v>97</v>
      </c>
      <c r="L1864" s="122">
        <v>1397</v>
      </c>
      <c r="M1864" s="122">
        <v>1270</v>
      </c>
      <c r="N1864" s="122">
        <v>3274</v>
      </c>
      <c r="O1864" s="122">
        <v>1213</v>
      </c>
      <c r="P1864" s="122">
        <v>2997</v>
      </c>
      <c r="Q1864" s="122">
        <v>1110</v>
      </c>
      <c r="R1864" s="122">
        <v>4799</v>
      </c>
      <c r="S1864" s="122">
        <v>1778</v>
      </c>
      <c r="T1864" s="122">
        <v>0</v>
      </c>
      <c r="U1864" s="122">
        <v>0</v>
      </c>
      <c r="V1864" s="122">
        <v>14059</v>
      </c>
      <c r="W1864" s="122">
        <f t="shared" si="58"/>
        <v>14060</v>
      </c>
      <c r="X1864" s="122">
        <f t="shared" si="59"/>
        <v>22025</v>
      </c>
      <c r="AA1864" t="s">
        <v>60</v>
      </c>
      <c r="AB1864" t="s">
        <v>433</v>
      </c>
      <c r="AC1864" t="s">
        <v>426</v>
      </c>
      <c r="AD1864" t="s">
        <v>406</v>
      </c>
      <c r="AE1864" t="s">
        <v>566</v>
      </c>
      <c r="AF1864">
        <v>1</v>
      </c>
      <c r="AG1864">
        <v>211</v>
      </c>
      <c r="AH1864" s="122">
        <v>348</v>
      </c>
      <c r="AI1864" s="122">
        <v>57354</v>
      </c>
      <c r="AJ1864" s="122">
        <v>52140</v>
      </c>
      <c r="AK1864">
        <v>60</v>
      </c>
      <c r="AL1864" s="122">
        <v>12745</v>
      </c>
      <c r="AM1864" s="122">
        <v>11587</v>
      </c>
      <c r="AN1864" s="122">
        <v>5516</v>
      </c>
      <c r="AO1864" s="122">
        <v>2043</v>
      </c>
      <c r="AP1864" s="122">
        <v>351</v>
      </c>
      <c r="AQ1864" s="122">
        <v>130</v>
      </c>
      <c r="AR1864" s="122">
        <v>7309</v>
      </c>
      <c r="AS1864" s="122">
        <v>6645</v>
      </c>
      <c r="AT1864" s="122">
        <v>0</v>
      </c>
      <c r="AU1864" s="122">
        <v>0</v>
      </c>
      <c r="AV1864" s="122">
        <v>72544</v>
      </c>
    </row>
    <row r="1865" spans="2:48" hidden="1">
      <c r="B1865" t="s">
        <v>375</v>
      </c>
      <c r="C1865" t="s">
        <v>50</v>
      </c>
      <c r="D1865" t="s">
        <v>406</v>
      </c>
      <c r="E1865" t="s">
        <v>406</v>
      </c>
      <c r="F1865" s="122">
        <v>28</v>
      </c>
      <c r="G1865" s="122">
        <v>6502</v>
      </c>
      <c r="H1865" s="122">
        <v>2537</v>
      </c>
      <c r="I1865" s="122">
        <v>298871</v>
      </c>
      <c r="J1865" s="122">
        <v>271701</v>
      </c>
      <c r="K1865" s="122">
        <v>94</v>
      </c>
      <c r="L1865" s="122">
        <v>56119</v>
      </c>
      <c r="M1865" s="122">
        <v>50723</v>
      </c>
      <c r="N1865" s="122">
        <v>87434</v>
      </c>
      <c r="O1865" s="122">
        <v>32383</v>
      </c>
      <c r="P1865" s="122">
        <v>25206</v>
      </c>
      <c r="Q1865" s="122">
        <v>9336</v>
      </c>
      <c r="R1865" s="122">
        <v>128297</v>
      </c>
      <c r="S1865" s="122">
        <v>116633</v>
      </c>
      <c r="T1865" s="122">
        <v>0</v>
      </c>
      <c r="U1865" s="122">
        <v>0</v>
      </c>
      <c r="V1865" s="122">
        <v>480777</v>
      </c>
      <c r="W1865" s="122">
        <f t="shared" si="58"/>
        <v>480776</v>
      </c>
      <c r="X1865" s="122">
        <f t="shared" si="59"/>
        <v>595927</v>
      </c>
      <c r="AA1865" t="s">
        <v>60</v>
      </c>
      <c r="AB1865" t="s">
        <v>433</v>
      </c>
      <c r="AC1865" t="s">
        <v>426</v>
      </c>
      <c r="AD1865" t="s">
        <v>433</v>
      </c>
      <c r="AE1865" t="s">
        <v>137</v>
      </c>
      <c r="AF1865">
        <v>8</v>
      </c>
      <c r="AG1865">
        <v>917</v>
      </c>
      <c r="AH1865" s="122">
        <v>2710</v>
      </c>
      <c r="AI1865" s="122">
        <v>190117</v>
      </c>
      <c r="AJ1865" s="122">
        <v>172834</v>
      </c>
      <c r="AK1865">
        <v>63</v>
      </c>
      <c r="AL1865" s="122">
        <v>34159</v>
      </c>
      <c r="AM1865" s="122">
        <v>31054</v>
      </c>
      <c r="AN1865" s="122">
        <v>17989</v>
      </c>
      <c r="AO1865" s="122">
        <v>6663</v>
      </c>
      <c r="AP1865" s="122">
        <v>2808</v>
      </c>
      <c r="AQ1865" s="122">
        <v>1040</v>
      </c>
      <c r="AR1865" s="122">
        <v>41751</v>
      </c>
      <c r="AS1865" s="122">
        <v>37956</v>
      </c>
      <c r="AT1865" s="122">
        <v>22382</v>
      </c>
      <c r="AU1865" s="122">
        <v>8290</v>
      </c>
      <c r="AV1865" s="122">
        <v>257836</v>
      </c>
    </row>
    <row r="1866" spans="2:48" hidden="1">
      <c r="B1866" t="s">
        <v>375</v>
      </c>
      <c r="C1866" t="s">
        <v>50</v>
      </c>
      <c r="D1866" t="s">
        <v>433</v>
      </c>
      <c r="E1866" t="s">
        <v>433</v>
      </c>
      <c r="F1866" s="122">
        <v>1</v>
      </c>
      <c r="G1866" s="122">
        <v>285</v>
      </c>
      <c r="H1866" s="122">
        <v>79</v>
      </c>
      <c r="I1866" s="122">
        <v>7738</v>
      </c>
      <c r="J1866" s="122">
        <v>7035</v>
      </c>
      <c r="K1866" s="122">
        <v>80</v>
      </c>
      <c r="L1866" s="122">
        <v>988</v>
      </c>
      <c r="M1866" s="122">
        <v>898</v>
      </c>
      <c r="N1866" s="122">
        <v>3467</v>
      </c>
      <c r="O1866" s="122">
        <v>1284</v>
      </c>
      <c r="P1866" s="122">
        <v>2835</v>
      </c>
      <c r="Q1866" s="122">
        <v>1050</v>
      </c>
      <c r="R1866" s="122">
        <v>7447</v>
      </c>
      <c r="S1866" s="122">
        <v>6770</v>
      </c>
      <c r="T1866" s="122">
        <v>0</v>
      </c>
      <c r="U1866" s="122">
        <v>0</v>
      </c>
      <c r="V1866" s="122">
        <v>17036</v>
      </c>
      <c r="W1866" s="122">
        <f t="shared" si="58"/>
        <v>17037</v>
      </c>
      <c r="X1866" s="122">
        <f t="shared" si="59"/>
        <v>22475</v>
      </c>
      <c r="AA1866" t="s">
        <v>60</v>
      </c>
      <c r="AB1866" t="s">
        <v>433</v>
      </c>
      <c r="AC1866" t="s">
        <v>566</v>
      </c>
      <c r="AD1866" t="s">
        <v>137</v>
      </c>
      <c r="AE1866" t="s">
        <v>137</v>
      </c>
      <c r="AF1866">
        <v>1</v>
      </c>
      <c r="AG1866">
        <v>30</v>
      </c>
      <c r="AH1866">
        <v>309</v>
      </c>
      <c r="AI1866" s="122">
        <v>6676</v>
      </c>
      <c r="AJ1866" s="122">
        <v>6069</v>
      </c>
      <c r="AK1866">
        <v>60</v>
      </c>
      <c r="AL1866">
        <v>0</v>
      </c>
      <c r="AM1866">
        <v>0</v>
      </c>
      <c r="AN1866" s="122">
        <v>366</v>
      </c>
      <c r="AO1866">
        <v>136</v>
      </c>
      <c r="AP1866">
        <v>0</v>
      </c>
      <c r="AQ1866">
        <v>0</v>
      </c>
      <c r="AR1866" s="122">
        <v>2234</v>
      </c>
      <c r="AS1866" s="122">
        <v>827</v>
      </c>
      <c r="AT1866">
        <v>0</v>
      </c>
      <c r="AU1866">
        <v>0</v>
      </c>
      <c r="AV1866" s="122">
        <v>7032</v>
      </c>
    </row>
    <row r="1867" spans="2:48" hidden="1">
      <c r="B1867" t="s">
        <v>375</v>
      </c>
      <c r="C1867" t="s">
        <v>50</v>
      </c>
      <c r="D1867" t="s">
        <v>408</v>
      </c>
      <c r="E1867" t="s">
        <v>408</v>
      </c>
      <c r="F1867" s="122">
        <v>1</v>
      </c>
      <c r="G1867" s="122">
        <v>124</v>
      </c>
      <c r="H1867" s="122">
        <v>89</v>
      </c>
      <c r="I1867" s="122">
        <v>6063</v>
      </c>
      <c r="J1867" s="122">
        <v>5512</v>
      </c>
      <c r="K1867" s="122">
        <v>90</v>
      </c>
      <c r="L1867" s="122">
        <v>0</v>
      </c>
      <c r="M1867" s="122">
        <v>0</v>
      </c>
      <c r="N1867" s="122">
        <v>1511</v>
      </c>
      <c r="O1867" s="122">
        <v>560</v>
      </c>
      <c r="P1867" s="122">
        <v>351</v>
      </c>
      <c r="Q1867" s="122">
        <v>130</v>
      </c>
      <c r="R1867" s="122">
        <v>3098</v>
      </c>
      <c r="S1867" s="122">
        <v>2816</v>
      </c>
      <c r="T1867" s="122">
        <v>0</v>
      </c>
      <c r="U1867" s="122">
        <v>0</v>
      </c>
      <c r="V1867" s="122">
        <v>9017</v>
      </c>
      <c r="W1867" s="122">
        <f t="shared" si="58"/>
        <v>9018</v>
      </c>
      <c r="X1867" s="122">
        <f t="shared" si="59"/>
        <v>11023</v>
      </c>
      <c r="AA1867" t="s">
        <v>60</v>
      </c>
      <c r="AB1867" t="s">
        <v>433</v>
      </c>
      <c r="AC1867" t="s">
        <v>566</v>
      </c>
      <c r="AD1867" t="s">
        <v>137</v>
      </c>
      <c r="AE1867" t="s">
        <v>566</v>
      </c>
      <c r="AF1867">
        <v>1</v>
      </c>
      <c r="AG1867" s="122">
        <v>83</v>
      </c>
      <c r="AH1867" s="122">
        <v>364</v>
      </c>
      <c r="AI1867" s="122">
        <v>24455</v>
      </c>
      <c r="AJ1867" s="122">
        <v>22231</v>
      </c>
      <c r="AK1867">
        <v>60</v>
      </c>
      <c r="AL1867">
        <v>0</v>
      </c>
      <c r="AM1867" s="122">
        <v>0</v>
      </c>
      <c r="AN1867" s="122">
        <v>1393</v>
      </c>
      <c r="AO1867" s="122">
        <v>516</v>
      </c>
      <c r="AP1867" s="122">
        <v>0</v>
      </c>
      <c r="AQ1867" s="122">
        <v>0</v>
      </c>
      <c r="AR1867" s="122">
        <v>4550</v>
      </c>
      <c r="AS1867" s="122">
        <v>1685</v>
      </c>
      <c r="AT1867" s="122">
        <v>0</v>
      </c>
      <c r="AU1867" s="122">
        <v>0</v>
      </c>
      <c r="AV1867" s="122">
        <v>24432</v>
      </c>
    </row>
    <row r="1868" spans="2:48" hidden="1">
      <c r="B1868" t="s">
        <v>375</v>
      </c>
      <c r="C1868" t="s">
        <v>52</v>
      </c>
      <c r="D1868" t="s">
        <v>137</v>
      </c>
      <c r="E1868" t="s">
        <v>137</v>
      </c>
      <c r="F1868" s="122">
        <v>5</v>
      </c>
      <c r="G1868" s="122">
        <v>1168</v>
      </c>
      <c r="H1868" s="122">
        <v>571</v>
      </c>
      <c r="I1868" s="122">
        <v>58971</v>
      </c>
      <c r="J1868" s="122">
        <v>21841</v>
      </c>
      <c r="K1868" s="122">
        <v>320</v>
      </c>
      <c r="L1868" s="122">
        <v>17507</v>
      </c>
      <c r="M1868" s="122">
        <v>15915</v>
      </c>
      <c r="N1868" s="122">
        <v>21148</v>
      </c>
      <c r="O1868" s="122">
        <v>7833</v>
      </c>
      <c r="P1868" s="122">
        <v>2457</v>
      </c>
      <c r="Q1868" s="122">
        <v>910</v>
      </c>
      <c r="R1868" s="122">
        <v>35354</v>
      </c>
      <c r="S1868" s="122">
        <v>13094</v>
      </c>
      <c r="T1868" s="122">
        <v>0</v>
      </c>
      <c r="U1868" s="122">
        <v>0</v>
      </c>
      <c r="V1868" s="122">
        <v>59593</v>
      </c>
      <c r="W1868" s="122">
        <f t="shared" si="58"/>
        <v>59593</v>
      </c>
      <c r="X1868" s="122">
        <f t="shared" si="59"/>
        <v>135437</v>
      </c>
      <c r="AA1868" t="s">
        <v>60</v>
      </c>
      <c r="AB1868" t="s">
        <v>433</v>
      </c>
      <c r="AC1868" t="s">
        <v>566</v>
      </c>
      <c r="AD1868" t="s">
        <v>433</v>
      </c>
      <c r="AE1868" t="s">
        <v>137</v>
      </c>
      <c r="AF1868">
        <v>11</v>
      </c>
      <c r="AG1868" s="122">
        <v>1314</v>
      </c>
      <c r="AH1868" s="122">
        <v>3731</v>
      </c>
      <c r="AI1868" s="122">
        <v>344554</v>
      </c>
      <c r="AJ1868" s="122">
        <v>313231</v>
      </c>
      <c r="AK1868">
        <v>60</v>
      </c>
      <c r="AL1868" s="122">
        <v>0</v>
      </c>
      <c r="AM1868" s="122">
        <v>8766</v>
      </c>
      <c r="AN1868" s="122">
        <v>21974</v>
      </c>
      <c r="AO1868" s="122">
        <v>8138</v>
      </c>
      <c r="AP1868" s="122">
        <v>3510</v>
      </c>
      <c r="AQ1868" s="122">
        <v>1300</v>
      </c>
      <c r="AR1868" s="122">
        <v>64465</v>
      </c>
      <c r="AS1868" s="122">
        <v>58605</v>
      </c>
      <c r="AT1868" s="122">
        <v>23026</v>
      </c>
      <c r="AU1868" s="122">
        <v>8528</v>
      </c>
      <c r="AV1868" s="122">
        <v>398569</v>
      </c>
    </row>
    <row r="1869" spans="2:48" hidden="1">
      <c r="B1869" t="s">
        <v>375</v>
      </c>
      <c r="C1869" t="s">
        <v>52</v>
      </c>
      <c r="D1869" t="s">
        <v>137</v>
      </c>
      <c r="E1869" t="s">
        <v>406</v>
      </c>
      <c r="F1869" s="122">
        <v>1</v>
      </c>
      <c r="G1869" s="122">
        <v>276</v>
      </c>
      <c r="H1869" s="122">
        <v>121</v>
      </c>
      <c r="I1869" s="122">
        <v>14489</v>
      </c>
      <c r="J1869" s="122">
        <v>5366</v>
      </c>
      <c r="K1869" s="122">
        <v>320</v>
      </c>
      <c r="L1869" s="122">
        <v>3498</v>
      </c>
      <c r="M1869" s="122">
        <v>3180</v>
      </c>
      <c r="N1869" s="122">
        <v>6427</v>
      </c>
      <c r="O1869" s="122">
        <v>2380</v>
      </c>
      <c r="P1869" s="122">
        <v>1674</v>
      </c>
      <c r="Q1869" s="122">
        <v>620</v>
      </c>
      <c r="R1869" s="122">
        <v>7217</v>
      </c>
      <c r="S1869" s="122">
        <v>6561</v>
      </c>
      <c r="T1869" s="122">
        <v>0</v>
      </c>
      <c r="U1869" s="122">
        <v>0</v>
      </c>
      <c r="V1869" s="122">
        <v>18107</v>
      </c>
      <c r="W1869" s="122">
        <f t="shared" si="58"/>
        <v>18107</v>
      </c>
      <c r="X1869" s="122">
        <f t="shared" si="59"/>
        <v>33305</v>
      </c>
      <c r="AA1869" t="s">
        <v>60</v>
      </c>
      <c r="AB1869" t="s">
        <v>433</v>
      </c>
      <c r="AC1869" t="s">
        <v>433</v>
      </c>
      <c r="AD1869" t="s">
        <v>433</v>
      </c>
      <c r="AE1869" t="s">
        <v>137</v>
      </c>
      <c r="AF1869">
        <v>14</v>
      </c>
      <c r="AG1869" s="122">
        <v>1810</v>
      </c>
      <c r="AH1869" s="122">
        <v>4834</v>
      </c>
      <c r="AI1869" s="122">
        <v>406665</v>
      </c>
      <c r="AJ1869" s="122">
        <v>369695</v>
      </c>
      <c r="AK1869">
        <v>64</v>
      </c>
      <c r="AL1869" s="122">
        <v>63200</v>
      </c>
      <c r="AM1869" s="122">
        <v>57454</v>
      </c>
      <c r="AN1869" s="122">
        <v>37306</v>
      </c>
      <c r="AO1869" s="122">
        <v>13817</v>
      </c>
      <c r="AP1869" s="122">
        <v>5265</v>
      </c>
      <c r="AQ1869" s="122">
        <v>1950</v>
      </c>
      <c r="AR1869" s="122">
        <v>74645</v>
      </c>
      <c r="AS1869" s="122">
        <v>67859</v>
      </c>
      <c r="AT1869" s="122">
        <v>36167</v>
      </c>
      <c r="AU1869" s="122">
        <v>13395</v>
      </c>
      <c r="AV1869" s="122">
        <v>524171</v>
      </c>
    </row>
    <row r="1870" spans="2:48" hidden="1">
      <c r="B1870" t="s">
        <v>375</v>
      </c>
      <c r="C1870" t="s">
        <v>52</v>
      </c>
      <c r="D1870" t="s">
        <v>406</v>
      </c>
      <c r="E1870" t="s">
        <v>406</v>
      </c>
      <c r="F1870" s="122">
        <v>77</v>
      </c>
      <c r="G1870" s="122">
        <v>15564</v>
      </c>
      <c r="H1870" s="122">
        <v>9016</v>
      </c>
      <c r="I1870" s="122">
        <v>955198</v>
      </c>
      <c r="J1870" s="122">
        <v>868362</v>
      </c>
      <c r="K1870" s="122">
        <v>91</v>
      </c>
      <c r="L1870" s="122">
        <v>188411</v>
      </c>
      <c r="M1870" s="122">
        <v>170785</v>
      </c>
      <c r="N1870" s="122">
        <v>279339</v>
      </c>
      <c r="O1870" s="122">
        <v>103459</v>
      </c>
      <c r="P1870" s="122">
        <v>56876</v>
      </c>
      <c r="Q1870" s="122">
        <v>21065</v>
      </c>
      <c r="R1870" s="122">
        <v>393976</v>
      </c>
      <c r="S1870" s="122">
        <v>358160</v>
      </c>
      <c r="T1870" s="122">
        <v>4342</v>
      </c>
      <c r="U1870" s="122">
        <v>1608</v>
      </c>
      <c r="V1870" s="122">
        <v>1523438</v>
      </c>
      <c r="W1870" s="122">
        <f t="shared" si="58"/>
        <v>1523439</v>
      </c>
      <c r="X1870" s="122">
        <f t="shared" si="59"/>
        <v>1878142</v>
      </c>
      <c r="AA1870" t="s">
        <v>60</v>
      </c>
      <c r="AB1870" t="s">
        <v>433</v>
      </c>
      <c r="AC1870" t="s">
        <v>433</v>
      </c>
      <c r="AD1870" t="s">
        <v>433</v>
      </c>
      <c r="AE1870" t="s">
        <v>566</v>
      </c>
      <c r="AF1870">
        <v>4</v>
      </c>
      <c r="AG1870">
        <v>466</v>
      </c>
      <c r="AH1870" s="122">
        <v>1465</v>
      </c>
      <c r="AI1870" s="122">
        <v>124290</v>
      </c>
      <c r="AJ1870" s="122">
        <v>112991</v>
      </c>
      <c r="AK1870">
        <v>60</v>
      </c>
      <c r="AL1870" s="122">
        <v>15149</v>
      </c>
      <c r="AM1870" s="122">
        <v>13772</v>
      </c>
      <c r="AN1870" s="122">
        <v>8707</v>
      </c>
      <c r="AO1870" s="122">
        <v>3225</v>
      </c>
      <c r="AP1870" s="122">
        <v>1404</v>
      </c>
      <c r="AQ1870">
        <v>520</v>
      </c>
      <c r="AR1870" s="122">
        <v>28253</v>
      </c>
      <c r="AS1870" s="122">
        <v>25685</v>
      </c>
      <c r="AT1870" s="122">
        <v>0</v>
      </c>
      <c r="AU1870">
        <v>0</v>
      </c>
      <c r="AV1870" s="122">
        <v>156192</v>
      </c>
    </row>
    <row r="1871" spans="2:48" hidden="1">
      <c r="B1871" t="s">
        <v>375</v>
      </c>
      <c r="C1871" t="s">
        <v>52</v>
      </c>
      <c r="D1871" t="s">
        <v>407</v>
      </c>
      <c r="E1871" t="s">
        <v>407</v>
      </c>
      <c r="F1871" s="122">
        <v>1</v>
      </c>
      <c r="G1871" s="122">
        <v>153</v>
      </c>
      <c r="H1871" s="122">
        <v>124</v>
      </c>
      <c r="I1871" s="122">
        <v>9523</v>
      </c>
      <c r="J1871" s="122">
        <v>8658</v>
      </c>
      <c r="K1871" s="122">
        <v>91</v>
      </c>
      <c r="L1871" s="122">
        <v>1374</v>
      </c>
      <c r="M1871" s="122">
        <v>1249</v>
      </c>
      <c r="N1871" s="122">
        <v>2053</v>
      </c>
      <c r="O1871" s="122">
        <v>760</v>
      </c>
      <c r="P1871" s="122">
        <v>473</v>
      </c>
      <c r="Q1871" s="122">
        <v>175</v>
      </c>
      <c r="R1871" s="122">
        <v>5625</v>
      </c>
      <c r="S1871" s="122">
        <v>5113</v>
      </c>
      <c r="T1871" s="122">
        <v>0</v>
      </c>
      <c r="U1871" s="122">
        <v>0</v>
      </c>
      <c r="V1871" s="122">
        <v>15955</v>
      </c>
      <c r="W1871" s="122">
        <f t="shared" si="58"/>
        <v>15955</v>
      </c>
      <c r="X1871" s="122">
        <f t="shared" si="59"/>
        <v>19048</v>
      </c>
      <c r="AA1871" t="s">
        <v>60</v>
      </c>
      <c r="AB1871" t="s">
        <v>408</v>
      </c>
      <c r="AC1871" t="s">
        <v>137</v>
      </c>
      <c r="AD1871" t="s">
        <v>408</v>
      </c>
      <c r="AE1871" t="s">
        <v>137</v>
      </c>
      <c r="AF1871">
        <v>1</v>
      </c>
      <c r="AG1871">
        <v>81</v>
      </c>
      <c r="AH1871">
        <v>363</v>
      </c>
      <c r="AI1871" s="122">
        <v>18217</v>
      </c>
      <c r="AJ1871" s="122">
        <v>16561</v>
      </c>
      <c r="AK1871">
        <v>65</v>
      </c>
      <c r="AL1871" s="122">
        <v>3229</v>
      </c>
      <c r="AM1871" s="122">
        <v>1196</v>
      </c>
      <c r="AN1871" s="122">
        <v>987</v>
      </c>
      <c r="AO1871">
        <v>366</v>
      </c>
      <c r="AP1871">
        <v>351</v>
      </c>
      <c r="AQ1871">
        <v>130</v>
      </c>
      <c r="AR1871" s="122">
        <v>4327</v>
      </c>
      <c r="AS1871" s="122">
        <v>3934</v>
      </c>
      <c r="AT1871" s="122">
        <v>2314</v>
      </c>
      <c r="AU1871">
        <v>857</v>
      </c>
      <c r="AV1871" s="122">
        <v>23043</v>
      </c>
    </row>
    <row r="1872" spans="2:48" hidden="1">
      <c r="B1872" t="s">
        <v>375</v>
      </c>
      <c r="C1872" t="s">
        <v>52</v>
      </c>
      <c r="D1872" t="s">
        <v>408</v>
      </c>
      <c r="E1872" t="s">
        <v>408</v>
      </c>
      <c r="F1872" s="122">
        <v>1</v>
      </c>
      <c r="G1872" s="122">
        <v>131</v>
      </c>
      <c r="H1872" s="122">
        <v>110</v>
      </c>
      <c r="I1872" s="122">
        <v>8003</v>
      </c>
      <c r="J1872" s="122">
        <v>7275</v>
      </c>
      <c r="K1872" s="122">
        <v>93</v>
      </c>
      <c r="L1872" s="122">
        <v>0</v>
      </c>
      <c r="M1872" s="122">
        <v>0</v>
      </c>
      <c r="N1872" s="122">
        <v>1594</v>
      </c>
      <c r="O1872" s="122">
        <v>590</v>
      </c>
      <c r="P1872" s="122">
        <v>351</v>
      </c>
      <c r="Q1872" s="122">
        <v>130</v>
      </c>
      <c r="R1872" s="122">
        <v>4442</v>
      </c>
      <c r="S1872" s="122">
        <v>4038</v>
      </c>
      <c r="T1872" s="122">
        <v>0</v>
      </c>
      <c r="U1872" s="122">
        <v>0</v>
      </c>
      <c r="V1872" s="122">
        <v>12034</v>
      </c>
      <c r="W1872" s="122">
        <f t="shared" si="58"/>
        <v>12033</v>
      </c>
      <c r="X1872" s="122">
        <f t="shared" si="59"/>
        <v>14390</v>
      </c>
      <c r="AA1872" t="s">
        <v>60</v>
      </c>
      <c r="AB1872" t="s">
        <v>408</v>
      </c>
      <c r="AC1872" t="s">
        <v>137</v>
      </c>
      <c r="AD1872" t="s">
        <v>408</v>
      </c>
      <c r="AE1872" t="s">
        <v>566</v>
      </c>
      <c r="AF1872">
        <v>1</v>
      </c>
      <c r="AG1872">
        <v>115</v>
      </c>
      <c r="AH1872">
        <v>353</v>
      </c>
      <c r="AI1872" s="122">
        <v>27823</v>
      </c>
      <c r="AJ1872" s="122">
        <v>25294</v>
      </c>
      <c r="AK1872">
        <v>73</v>
      </c>
      <c r="AL1872" s="122">
        <v>5539</v>
      </c>
      <c r="AM1872" s="122">
        <v>2052</v>
      </c>
      <c r="AN1872" s="122">
        <v>1397</v>
      </c>
      <c r="AO1872" s="122">
        <v>518</v>
      </c>
      <c r="AP1872" s="122">
        <v>351</v>
      </c>
      <c r="AQ1872">
        <v>130</v>
      </c>
      <c r="AR1872" s="122">
        <v>5334</v>
      </c>
      <c r="AS1872" s="122">
        <v>4849</v>
      </c>
      <c r="AT1872" s="122">
        <v>0</v>
      </c>
      <c r="AU1872" s="122">
        <v>0</v>
      </c>
      <c r="AV1872" s="122">
        <v>32842</v>
      </c>
    </row>
    <row r="1873" spans="2:48" hidden="1">
      <c r="B1873" t="s">
        <v>375</v>
      </c>
      <c r="C1873" t="s">
        <v>54</v>
      </c>
      <c r="D1873" t="s">
        <v>405</v>
      </c>
      <c r="E1873" t="s">
        <v>405</v>
      </c>
      <c r="F1873" s="122">
        <v>5</v>
      </c>
      <c r="G1873" s="122">
        <v>1061</v>
      </c>
      <c r="H1873" s="122">
        <v>725</v>
      </c>
      <c r="I1873" s="122">
        <v>84015</v>
      </c>
      <c r="J1873" s="122">
        <v>76377</v>
      </c>
      <c r="K1873" s="122">
        <v>87</v>
      </c>
      <c r="L1873" s="122">
        <v>20065</v>
      </c>
      <c r="M1873" s="122">
        <v>18056</v>
      </c>
      <c r="N1873" s="122">
        <v>17475</v>
      </c>
      <c r="O1873" s="122">
        <v>6472</v>
      </c>
      <c r="P1873" s="122">
        <v>4908</v>
      </c>
      <c r="Q1873" s="122">
        <v>1818</v>
      </c>
      <c r="R1873" s="122">
        <v>27458</v>
      </c>
      <c r="S1873" s="122">
        <v>24962</v>
      </c>
      <c r="T1873" s="122">
        <v>0</v>
      </c>
      <c r="U1873" s="122">
        <v>0</v>
      </c>
      <c r="V1873" s="122">
        <v>127686</v>
      </c>
      <c r="W1873" s="122">
        <f t="shared" si="58"/>
        <v>127685</v>
      </c>
      <c r="X1873" s="122">
        <f t="shared" si="59"/>
        <v>153921</v>
      </c>
      <c r="AA1873" t="s">
        <v>60</v>
      </c>
      <c r="AB1873" t="s">
        <v>408</v>
      </c>
      <c r="AC1873" t="s">
        <v>580</v>
      </c>
      <c r="AD1873" t="s">
        <v>408</v>
      </c>
      <c r="AE1873" t="s">
        <v>137</v>
      </c>
      <c r="AF1873">
        <v>2</v>
      </c>
      <c r="AG1873">
        <v>407</v>
      </c>
      <c r="AH1873">
        <v>662</v>
      </c>
      <c r="AI1873" s="122">
        <v>98459</v>
      </c>
      <c r="AJ1873" s="122">
        <v>89508</v>
      </c>
      <c r="AK1873">
        <v>65</v>
      </c>
      <c r="AL1873" s="122">
        <v>9747</v>
      </c>
      <c r="AM1873" s="122">
        <v>8861</v>
      </c>
      <c r="AN1873" s="122">
        <v>7564</v>
      </c>
      <c r="AO1873" s="122">
        <v>2801</v>
      </c>
      <c r="AP1873" s="122">
        <v>1593</v>
      </c>
      <c r="AQ1873">
        <v>590</v>
      </c>
      <c r="AR1873" s="122">
        <v>11023</v>
      </c>
      <c r="AS1873" s="122">
        <v>10021</v>
      </c>
      <c r="AT1873" s="122">
        <v>6326</v>
      </c>
      <c r="AU1873" s="122">
        <v>2343</v>
      </c>
      <c r="AV1873" s="122">
        <v>114124</v>
      </c>
    </row>
    <row r="1874" spans="2:48" hidden="1">
      <c r="B1874" t="s">
        <v>375</v>
      </c>
      <c r="C1874" t="s">
        <v>54</v>
      </c>
      <c r="D1874" t="s">
        <v>137</v>
      </c>
      <c r="E1874" t="s">
        <v>137</v>
      </c>
      <c r="F1874" s="122">
        <v>13</v>
      </c>
      <c r="G1874" s="122">
        <v>1516</v>
      </c>
      <c r="H1874" s="122">
        <v>1796</v>
      </c>
      <c r="I1874" s="122">
        <v>81656</v>
      </c>
      <c r="J1874" s="122">
        <v>30243</v>
      </c>
      <c r="K1874" s="122">
        <v>321</v>
      </c>
      <c r="L1874" s="122">
        <v>19222</v>
      </c>
      <c r="M1874" s="122">
        <v>17475</v>
      </c>
      <c r="N1874" s="122">
        <v>27293</v>
      </c>
      <c r="O1874" s="122">
        <v>10108</v>
      </c>
      <c r="P1874" s="122">
        <v>11595</v>
      </c>
      <c r="Q1874" s="122">
        <v>4294</v>
      </c>
      <c r="R1874" s="122">
        <v>67062</v>
      </c>
      <c r="S1874" s="122">
        <v>24838</v>
      </c>
      <c r="T1874" s="122">
        <v>0</v>
      </c>
      <c r="U1874" s="122">
        <v>0</v>
      </c>
      <c r="V1874" s="122">
        <v>86958</v>
      </c>
      <c r="W1874" s="122">
        <f t="shared" si="58"/>
        <v>86958</v>
      </c>
      <c r="X1874" s="122">
        <f t="shared" si="59"/>
        <v>206828</v>
      </c>
      <c r="AA1874" t="s">
        <v>60</v>
      </c>
      <c r="AB1874" t="s">
        <v>408</v>
      </c>
      <c r="AC1874" t="s">
        <v>580</v>
      </c>
      <c r="AD1874" t="s">
        <v>408</v>
      </c>
      <c r="AE1874" t="s">
        <v>566</v>
      </c>
      <c r="AF1874">
        <v>2</v>
      </c>
      <c r="AG1874">
        <v>377</v>
      </c>
      <c r="AH1874">
        <v>650</v>
      </c>
      <c r="AI1874" s="122">
        <v>88562</v>
      </c>
      <c r="AJ1874" s="122">
        <v>80511</v>
      </c>
      <c r="AK1874">
        <v>74</v>
      </c>
      <c r="AL1874" s="122">
        <v>10811</v>
      </c>
      <c r="AM1874" s="122">
        <v>9828</v>
      </c>
      <c r="AN1874" s="122">
        <v>8793</v>
      </c>
      <c r="AO1874" s="122">
        <v>3257</v>
      </c>
      <c r="AP1874" s="122">
        <v>1593</v>
      </c>
      <c r="AQ1874">
        <v>590</v>
      </c>
      <c r="AR1874" s="122">
        <v>12510</v>
      </c>
      <c r="AS1874" s="122">
        <v>11372</v>
      </c>
      <c r="AT1874" s="122">
        <v>0</v>
      </c>
      <c r="AU1874">
        <v>0</v>
      </c>
      <c r="AV1874" s="122">
        <v>105558</v>
      </c>
    </row>
    <row r="1875" spans="2:48" hidden="1">
      <c r="B1875" t="s">
        <v>375</v>
      </c>
      <c r="C1875" t="s">
        <v>54</v>
      </c>
      <c r="D1875" t="s">
        <v>406</v>
      </c>
      <c r="E1875" t="s">
        <v>406</v>
      </c>
      <c r="F1875" s="122">
        <v>229</v>
      </c>
      <c r="G1875" s="122">
        <v>45053</v>
      </c>
      <c r="H1875" s="122">
        <v>32047</v>
      </c>
      <c r="I1875" s="122">
        <v>3314806</v>
      </c>
      <c r="J1875" s="122">
        <v>3013460</v>
      </c>
      <c r="K1875" s="122">
        <v>89</v>
      </c>
      <c r="L1875" s="122">
        <v>732734</v>
      </c>
      <c r="M1875" s="122">
        <v>664878</v>
      </c>
      <c r="N1875" s="122">
        <v>875708</v>
      </c>
      <c r="O1875" s="122">
        <v>324336</v>
      </c>
      <c r="P1875" s="122">
        <v>163862</v>
      </c>
      <c r="Q1875" s="122">
        <v>60690</v>
      </c>
      <c r="R1875" s="122">
        <v>1274506</v>
      </c>
      <c r="S1875" s="122">
        <v>1158642</v>
      </c>
      <c r="T1875" s="122">
        <v>56016</v>
      </c>
      <c r="U1875" s="122">
        <v>20747</v>
      </c>
      <c r="V1875" s="122">
        <v>5242753</v>
      </c>
      <c r="W1875" s="122">
        <f t="shared" si="58"/>
        <v>5242753</v>
      </c>
      <c r="X1875" s="122">
        <f t="shared" si="59"/>
        <v>6417632</v>
      </c>
      <c r="AA1875" t="s">
        <v>60</v>
      </c>
      <c r="AB1875" t="s">
        <v>408</v>
      </c>
      <c r="AC1875" t="s">
        <v>427</v>
      </c>
      <c r="AD1875" t="s">
        <v>408</v>
      </c>
      <c r="AE1875" t="s">
        <v>137</v>
      </c>
      <c r="AF1875">
        <v>1</v>
      </c>
      <c r="AG1875">
        <v>188</v>
      </c>
      <c r="AH1875">
        <v>337</v>
      </c>
      <c r="AI1875" s="122">
        <v>47290</v>
      </c>
      <c r="AJ1875" s="122">
        <v>42991</v>
      </c>
      <c r="AK1875">
        <v>65</v>
      </c>
      <c r="AL1875" s="122">
        <v>6831</v>
      </c>
      <c r="AM1875" s="122">
        <v>6210</v>
      </c>
      <c r="AN1875" s="122">
        <v>3898</v>
      </c>
      <c r="AO1875" s="122">
        <v>1444</v>
      </c>
      <c r="AP1875">
        <v>621</v>
      </c>
      <c r="AQ1875">
        <v>230</v>
      </c>
      <c r="AR1875" s="122">
        <v>3546</v>
      </c>
      <c r="AS1875" s="122">
        <v>3224</v>
      </c>
      <c r="AT1875" s="122">
        <v>1152</v>
      </c>
      <c r="AU1875">
        <v>427</v>
      </c>
      <c r="AV1875" s="122">
        <v>54525</v>
      </c>
    </row>
    <row r="1876" spans="2:48" hidden="1">
      <c r="B1876" t="s">
        <v>375</v>
      </c>
      <c r="C1876" t="s">
        <v>54</v>
      </c>
      <c r="D1876" t="s">
        <v>406</v>
      </c>
      <c r="E1876" t="s">
        <v>427</v>
      </c>
      <c r="F1876" s="122">
        <v>1</v>
      </c>
      <c r="G1876" s="122">
        <v>208</v>
      </c>
      <c r="H1876" s="122">
        <v>131</v>
      </c>
      <c r="I1876" s="122">
        <v>14813</v>
      </c>
      <c r="J1876" s="122">
        <v>13466</v>
      </c>
      <c r="K1876" s="122">
        <v>93</v>
      </c>
      <c r="L1876" s="122">
        <v>2365</v>
      </c>
      <c r="M1876" s="122">
        <v>2150</v>
      </c>
      <c r="N1876" s="122">
        <v>2534</v>
      </c>
      <c r="O1876" s="122">
        <v>939</v>
      </c>
      <c r="P1876" s="122">
        <v>621</v>
      </c>
      <c r="Q1876" s="122">
        <v>230</v>
      </c>
      <c r="R1876" s="122">
        <v>3389</v>
      </c>
      <c r="S1876" s="122">
        <v>3081</v>
      </c>
      <c r="T1876" s="122">
        <v>3506</v>
      </c>
      <c r="U1876" s="122">
        <v>1299</v>
      </c>
      <c r="V1876" s="122">
        <v>21164</v>
      </c>
      <c r="W1876" s="122">
        <f t="shared" si="58"/>
        <v>21165</v>
      </c>
      <c r="X1876" s="122">
        <f t="shared" si="59"/>
        <v>27228</v>
      </c>
      <c r="AA1876" t="s">
        <v>60</v>
      </c>
      <c r="AB1876" t="s">
        <v>408</v>
      </c>
      <c r="AC1876" t="s">
        <v>427</v>
      </c>
      <c r="AD1876" t="s">
        <v>408</v>
      </c>
      <c r="AE1876" t="s">
        <v>566</v>
      </c>
      <c r="AF1876">
        <v>1</v>
      </c>
      <c r="AG1876">
        <v>110</v>
      </c>
      <c r="AH1876">
        <v>303</v>
      </c>
      <c r="AI1876" s="122">
        <v>18928</v>
      </c>
      <c r="AJ1876" s="122">
        <v>17207</v>
      </c>
      <c r="AK1876">
        <v>85</v>
      </c>
      <c r="AL1876" s="122">
        <v>5952</v>
      </c>
      <c r="AM1876" s="122">
        <v>5411</v>
      </c>
      <c r="AN1876" s="122">
        <v>1671</v>
      </c>
      <c r="AO1876" s="122">
        <v>619</v>
      </c>
      <c r="AP1876">
        <v>351</v>
      </c>
      <c r="AQ1876">
        <v>130</v>
      </c>
      <c r="AR1876" s="122">
        <v>6324</v>
      </c>
      <c r="AS1876" s="122">
        <v>5750</v>
      </c>
      <c r="AT1876">
        <v>0</v>
      </c>
      <c r="AU1876">
        <v>0</v>
      </c>
      <c r="AV1876" s="122">
        <v>29116</v>
      </c>
    </row>
    <row r="1877" spans="2:48" hidden="1">
      <c r="B1877" t="s">
        <v>375</v>
      </c>
      <c r="C1877" t="s">
        <v>54</v>
      </c>
      <c r="D1877" t="s">
        <v>407</v>
      </c>
      <c r="E1877" t="s">
        <v>407</v>
      </c>
      <c r="F1877" s="122">
        <v>3</v>
      </c>
      <c r="G1877" s="122">
        <v>747</v>
      </c>
      <c r="H1877" s="122">
        <v>424</v>
      </c>
      <c r="I1877" s="122">
        <v>67130</v>
      </c>
      <c r="J1877" s="122">
        <v>61027</v>
      </c>
      <c r="K1877" s="122">
        <v>78</v>
      </c>
      <c r="L1877" s="122">
        <v>1251</v>
      </c>
      <c r="M1877" s="122">
        <v>1137</v>
      </c>
      <c r="N1877" s="122">
        <v>13602</v>
      </c>
      <c r="O1877" s="122">
        <v>5038</v>
      </c>
      <c r="P1877" s="122">
        <v>1418</v>
      </c>
      <c r="Q1877" s="122">
        <v>525</v>
      </c>
      <c r="R1877" s="122">
        <v>20862</v>
      </c>
      <c r="S1877" s="122">
        <v>18966</v>
      </c>
      <c r="T1877" s="122">
        <v>0</v>
      </c>
      <c r="U1877" s="122">
        <v>0</v>
      </c>
      <c r="V1877" s="122">
        <v>86692</v>
      </c>
      <c r="W1877" s="122">
        <f t="shared" si="58"/>
        <v>86693</v>
      </c>
      <c r="X1877" s="122">
        <f t="shared" si="59"/>
        <v>104263</v>
      </c>
      <c r="AA1877" t="s">
        <v>60</v>
      </c>
      <c r="AB1877" t="s">
        <v>408</v>
      </c>
      <c r="AC1877" t="s">
        <v>426</v>
      </c>
      <c r="AD1877" t="s">
        <v>137</v>
      </c>
      <c r="AE1877" t="s">
        <v>566</v>
      </c>
      <c r="AF1877">
        <v>1</v>
      </c>
      <c r="AG1877" s="122">
        <v>195</v>
      </c>
      <c r="AH1877" s="122">
        <v>344</v>
      </c>
      <c r="AI1877" s="122">
        <v>46523</v>
      </c>
      <c r="AJ1877" s="122">
        <v>42293</v>
      </c>
      <c r="AK1877">
        <v>65</v>
      </c>
      <c r="AL1877" s="122">
        <v>5600</v>
      </c>
      <c r="AM1877" s="122">
        <v>5091</v>
      </c>
      <c r="AN1877" s="122">
        <v>3910</v>
      </c>
      <c r="AO1877" s="122">
        <v>1448</v>
      </c>
      <c r="AP1877" s="122">
        <v>351</v>
      </c>
      <c r="AQ1877" s="122">
        <v>130</v>
      </c>
      <c r="AR1877" s="122">
        <v>10522</v>
      </c>
      <c r="AS1877" s="122">
        <v>3897</v>
      </c>
      <c r="AT1877" s="122">
        <v>0</v>
      </c>
      <c r="AU1877" s="122">
        <v>0</v>
      </c>
      <c r="AV1877" s="122">
        <v>52860</v>
      </c>
    </row>
    <row r="1878" spans="2:48" hidden="1">
      <c r="B1878" t="s">
        <v>375</v>
      </c>
      <c r="C1878" t="s">
        <v>54</v>
      </c>
      <c r="D1878" t="s">
        <v>426</v>
      </c>
      <c r="E1878" t="s">
        <v>137</v>
      </c>
      <c r="F1878" s="122">
        <v>1</v>
      </c>
      <c r="G1878" s="122">
        <v>303</v>
      </c>
      <c r="H1878" s="122">
        <v>146</v>
      </c>
      <c r="I1878" s="122">
        <v>31573</v>
      </c>
      <c r="J1878" s="122">
        <v>28703</v>
      </c>
      <c r="K1878" s="122">
        <v>55</v>
      </c>
      <c r="L1878" s="122">
        <v>3216</v>
      </c>
      <c r="M1878" s="122">
        <v>2923</v>
      </c>
      <c r="N1878" s="122">
        <v>3686</v>
      </c>
      <c r="O1878" s="122">
        <v>1365</v>
      </c>
      <c r="P1878" s="122">
        <v>351</v>
      </c>
      <c r="Q1878" s="122">
        <v>130</v>
      </c>
      <c r="R1878" s="122">
        <v>5269</v>
      </c>
      <c r="S1878" s="122">
        <v>1952</v>
      </c>
      <c r="T1878" s="122">
        <v>0</v>
      </c>
      <c r="U1878" s="122">
        <v>0</v>
      </c>
      <c r="V1878" s="122">
        <v>35073</v>
      </c>
      <c r="W1878" s="122">
        <f t="shared" si="58"/>
        <v>35073</v>
      </c>
      <c r="X1878" s="122">
        <f t="shared" si="59"/>
        <v>44095</v>
      </c>
      <c r="AA1878" t="s">
        <v>60</v>
      </c>
      <c r="AB1878" t="s">
        <v>408</v>
      </c>
      <c r="AC1878" t="s">
        <v>426</v>
      </c>
      <c r="AD1878" t="s">
        <v>408</v>
      </c>
      <c r="AE1878" t="s">
        <v>137</v>
      </c>
      <c r="AF1878">
        <v>10</v>
      </c>
      <c r="AG1878" s="122">
        <v>1099</v>
      </c>
      <c r="AH1878" s="122">
        <v>3371</v>
      </c>
      <c r="AI1878" s="122">
        <v>283519</v>
      </c>
      <c r="AJ1878" s="122">
        <v>257745</v>
      </c>
      <c r="AK1878">
        <v>73</v>
      </c>
      <c r="AL1878" s="122">
        <v>41745</v>
      </c>
      <c r="AM1878" s="122">
        <v>37950</v>
      </c>
      <c r="AN1878" s="122">
        <v>21256</v>
      </c>
      <c r="AO1878" s="122">
        <v>7873</v>
      </c>
      <c r="AP1878" s="122">
        <v>3780</v>
      </c>
      <c r="AQ1878" s="122">
        <v>1400</v>
      </c>
      <c r="AR1878" s="122">
        <v>38362</v>
      </c>
      <c r="AS1878" s="122">
        <v>34875</v>
      </c>
      <c r="AT1878" s="122">
        <v>15210</v>
      </c>
      <c r="AU1878" s="122">
        <v>5633</v>
      </c>
      <c r="AV1878" s="122">
        <v>345476</v>
      </c>
    </row>
    <row r="1879" spans="2:48" hidden="1">
      <c r="B1879" t="s">
        <v>375</v>
      </c>
      <c r="C1879" t="s">
        <v>54</v>
      </c>
      <c r="D1879" t="s">
        <v>408</v>
      </c>
      <c r="E1879" t="s">
        <v>408</v>
      </c>
      <c r="F1879" s="122">
        <v>7</v>
      </c>
      <c r="G1879" s="122">
        <v>956</v>
      </c>
      <c r="H1879" s="122">
        <v>986</v>
      </c>
      <c r="I1879" s="122">
        <v>74443</v>
      </c>
      <c r="J1879" s="122">
        <v>67676</v>
      </c>
      <c r="K1879" s="122">
        <v>89</v>
      </c>
      <c r="L1879" s="122">
        <v>10916</v>
      </c>
      <c r="M1879" s="122">
        <v>9924</v>
      </c>
      <c r="N1879" s="122">
        <v>19236</v>
      </c>
      <c r="O1879" s="122">
        <v>7124</v>
      </c>
      <c r="P1879" s="122">
        <v>2457</v>
      </c>
      <c r="Q1879" s="122">
        <v>910</v>
      </c>
      <c r="R1879" s="122">
        <v>26876</v>
      </c>
      <c r="S1879" s="122">
        <v>24433</v>
      </c>
      <c r="T1879" s="122">
        <v>0</v>
      </c>
      <c r="U1879" s="122">
        <v>0</v>
      </c>
      <c r="V1879" s="122">
        <v>110066</v>
      </c>
      <c r="W1879" s="122">
        <f t="shared" si="58"/>
        <v>110067</v>
      </c>
      <c r="X1879" s="122">
        <f t="shared" si="59"/>
        <v>133928</v>
      </c>
      <c r="AA1879" t="s">
        <v>60</v>
      </c>
      <c r="AB1879" t="s">
        <v>408</v>
      </c>
      <c r="AC1879" t="s">
        <v>426</v>
      </c>
      <c r="AD1879" t="s">
        <v>408</v>
      </c>
      <c r="AE1879" t="s">
        <v>566</v>
      </c>
      <c r="AF1879">
        <v>9</v>
      </c>
      <c r="AG1879" s="122">
        <v>1590</v>
      </c>
      <c r="AH1879" s="122">
        <v>3052</v>
      </c>
      <c r="AI1879" s="122">
        <v>385737</v>
      </c>
      <c r="AJ1879" s="122">
        <v>350670</v>
      </c>
      <c r="AK1879">
        <v>76</v>
      </c>
      <c r="AL1879" s="122">
        <v>65245</v>
      </c>
      <c r="AM1879" s="122">
        <v>59314</v>
      </c>
      <c r="AN1879" s="122">
        <v>26481</v>
      </c>
      <c r="AO1879" s="122">
        <v>9808</v>
      </c>
      <c r="AP1879" s="122">
        <v>3902</v>
      </c>
      <c r="AQ1879" s="122">
        <v>1445</v>
      </c>
      <c r="AR1879" s="122">
        <v>57205</v>
      </c>
      <c r="AS1879" s="122">
        <v>52004</v>
      </c>
      <c r="AT1879" s="122">
        <v>0</v>
      </c>
      <c r="AU1879" s="122">
        <v>0</v>
      </c>
      <c r="AV1879" s="122">
        <v>473241</v>
      </c>
    </row>
    <row r="1880" spans="2:48" hidden="1">
      <c r="B1880" t="s">
        <v>375</v>
      </c>
      <c r="C1880" t="s">
        <v>56</v>
      </c>
      <c r="D1880" t="s">
        <v>425</v>
      </c>
      <c r="E1880" t="s">
        <v>425</v>
      </c>
      <c r="F1880" s="122">
        <v>8</v>
      </c>
      <c r="G1880" s="122">
        <v>1292</v>
      </c>
      <c r="H1880" s="122">
        <v>1417</v>
      </c>
      <c r="I1880" s="122">
        <v>132065</v>
      </c>
      <c r="J1880" s="122">
        <v>120059</v>
      </c>
      <c r="K1880" s="122">
        <v>80</v>
      </c>
      <c r="L1880" s="122">
        <v>21478</v>
      </c>
      <c r="M1880" s="122">
        <v>19526</v>
      </c>
      <c r="N1880" s="122">
        <v>24755</v>
      </c>
      <c r="O1880" s="122">
        <v>9168</v>
      </c>
      <c r="P1880" s="122">
        <v>3929</v>
      </c>
      <c r="Q1880" s="122">
        <v>1455</v>
      </c>
      <c r="R1880" s="122">
        <v>46673</v>
      </c>
      <c r="S1880" s="122">
        <v>42430</v>
      </c>
      <c r="T1880" s="122">
        <v>6751</v>
      </c>
      <c r="U1880" s="122">
        <v>2500</v>
      </c>
      <c r="V1880" s="122">
        <v>195139</v>
      </c>
      <c r="W1880" s="122">
        <f t="shared" si="58"/>
        <v>195138</v>
      </c>
      <c r="X1880" s="122">
        <f t="shared" si="59"/>
        <v>235651</v>
      </c>
      <c r="AA1880" t="s">
        <v>60</v>
      </c>
      <c r="AB1880" t="s">
        <v>408</v>
      </c>
      <c r="AC1880" t="s">
        <v>426</v>
      </c>
      <c r="AD1880" t="s">
        <v>429</v>
      </c>
      <c r="AE1880" t="s">
        <v>137</v>
      </c>
      <c r="AF1880">
        <v>1</v>
      </c>
      <c r="AG1880">
        <v>133</v>
      </c>
      <c r="AH1880">
        <v>311</v>
      </c>
      <c r="AI1880" s="122">
        <v>27335</v>
      </c>
      <c r="AJ1880" s="122">
        <v>24850</v>
      </c>
      <c r="AK1880">
        <v>65</v>
      </c>
      <c r="AL1880" s="122">
        <v>3037</v>
      </c>
      <c r="AM1880" s="122">
        <v>2761</v>
      </c>
      <c r="AN1880" s="122">
        <v>2915</v>
      </c>
      <c r="AO1880" s="122">
        <v>1080</v>
      </c>
      <c r="AP1880">
        <v>351</v>
      </c>
      <c r="AQ1880">
        <v>130</v>
      </c>
      <c r="AR1880" s="122">
        <v>4925</v>
      </c>
      <c r="AS1880" s="122">
        <v>4477</v>
      </c>
      <c r="AT1880" s="122">
        <v>2783</v>
      </c>
      <c r="AU1880" s="122">
        <v>1031</v>
      </c>
      <c r="AV1880" s="122">
        <v>34329</v>
      </c>
    </row>
    <row r="1881" spans="2:48" hidden="1">
      <c r="B1881" t="s">
        <v>375</v>
      </c>
      <c r="C1881" t="s">
        <v>56</v>
      </c>
      <c r="D1881" t="s">
        <v>405</v>
      </c>
      <c r="E1881" t="s">
        <v>405</v>
      </c>
      <c r="F1881" s="122">
        <v>76</v>
      </c>
      <c r="G1881" s="122">
        <v>11256</v>
      </c>
      <c r="H1881" s="122">
        <v>14146</v>
      </c>
      <c r="I1881" s="122">
        <v>1093948</v>
      </c>
      <c r="J1881" s="122">
        <v>994498</v>
      </c>
      <c r="K1881" s="122">
        <v>81</v>
      </c>
      <c r="L1881" s="122">
        <v>287137</v>
      </c>
      <c r="M1881" s="122">
        <v>259715</v>
      </c>
      <c r="N1881" s="122">
        <v>227600</v>
      </c>
      <c r="O1881" s="122">
        <v>84296</v>
      </c>
      <c r="P1881" s="122">
        <v>36194</v>
      </c>
      <c r="Q1881" s="122">
        <v>13405</v>
      </c>
      <c r="R1881" s="122">
        <v>444280</v>
      </c>
      <c r="S1881" s="122">
        <v>403891</v>
      </c>
      <c r="T1881" s="122">
        <v>31433</v>
      </c>
      <c r="U1881" s="122">
        <v>11642</v>
      </c>
      <c r="V1881" s="122">
        <v>1767447</v>
      </c>
      <c r="W1881" s="122">
        <f t="shared" si="58"/>
        <v>1767447</v>
      </c>
      <c r="X1881" s="122">
        <f t="shared" si="59"/>
        <v>2120592</v>
      </c>
      <c r="AA1881" t="s">
        <v>60</v>
      </c>
      <c r="AB1881" t="s">
        <v>408</v>
      </c>
      <c r="AC1881" t="s">
        <v>566</v>
      </c>
      <c r="AD1881" t="s">
        <v>137</v>
      </c>
      <c r="AE1881" t="s">
        <v>566</v>
      </c>
      <c r="AF1881">
        <v>2</v>
      </c>
      <c r="AG1881">
        <v>111</v>
      </c>
      <c r="AH1881" s="122">
        <v>707</v>
      </c>
      <c r="AI1881" s="122">
        <v>28503</v>
      </c>
      <c r="AJ1881" s="122">
        <v>25911</v>
      </c>
      <c r="AK1881">
        <v>65</v>
      </c>
      <c r="AL1881">
        <v>0</v>
      </c>
      <c r="AM1881">
        <v>0</v>
      </c>
      <c r="AN1881" s="122">
        <v>2261</v>
      </c>
      <c r="AO1881" s="122">
        <v>837</v>
      </c>
      <c r="AP1881" s="122">
        <v>351</v>
      </c>
      <c r="AQ1881">
        <v>130</v>
      </c>
      <c r="AR1881" s="122">
        <v>8078</v>
      </c>
      <c r="AS1881" s="122">
        <v>2992</v>
      </c>
      <c r="AT1881" s="122">
        <v>0</v>
      </c>
      <c r="AU1881" s="122">
        <v>0</v>
      </c>
      <c r="AV1881" s="122">
        <v>29871</v>
      </c>
    </row>
    <row r="1882" spans="2:48" hidden="1">
      <c r="B1882" t="s">
        <v>375</v>
      </c>
      <c r="C1882" t="s">
        <v>56</v>
      </c>
      <c r="D1882" t="s">
        <v>405</v>
      </c>
      <c r="E1882" t="s">
        <v>137</v>
      </c>
      <c r="F1882" s="122">
        <v>2</v>
      </c>
      <c r="G1882" s="122">
        <v>319</v>
      </c>
      <c r="H1882" s="122">
        <v>383</v>
      </c>
      <c r="I1882" s="122">
        <v>30643</v>
      </c>
      <c r="J1882" s="122">
        <v>27857</v>
      </c>
      <c r="K1882" s="122">
        <v>73</v>
      </c>
      <c r="L1882" s="122">
        <v>7876</v>
      </c>
      <c r="M1882" s="122">
        <v>7160</v>
      </c>
      <c r="N1882" s="122">
        <v>7778</v>
      </c>
      <c r="O1882" s="122">
        <v>2881</v>
      </c>
      <c r="P1882" s="122">
        <v>945</v>
      </c>
      <c r="Q1882" s="122">
        <v>350</v>
      </c>
      <c r="R1882" s="122">
        <v>13795</v>
      </c>
      <c r="S1882" s="122">
        <v>5109</v>
      </c>
      <c r="T1882" s="122">
        <v>0</v>
      </c>
      <c r="U1882" s="122">
        <v>0</v>
      </c>
      <c r="V1882" s="122">
        <v>43358</v>
      </c>
      <c r="W1882" s="122">
        <f t="shared" si="58"/>
        <v>43357</v>
      </c>
      <c r="X1882" s="122">
        <f t="shared" si="59"/>
        <v>61037</v>
      </c>
      <c r="AA1882" t="s">
        <v>60</v>
      </c>
      <c r="AB1882" t="s">
        <v>408</v>
      </c>
      <c r="AC1882" t="s">
        <v>566</v>
      </c>
      <c r="AD1882" t="s">
        <v>408</v>
      </c>
      <c r="AE1882" t="s">
        <v>137</v>
      </c>
      <c r="AF1882">
        <v>3</v>
      </c>
      <c r="AG1882">
        <v>398</v>
      </c>
      <c r="AH1882" s="122">
        <v>1046</v>
      </c>
      <c r="AI1882" s="122">
        <v>108487</v>
      </c>
      <c r="AJ1882" s="122">
        <v>98624</v>
      </c>
      <c r="AK1882">
        <v>72</v>
      </c>
      <c r="AL1882" s="122">
        <v>0</v>
      </c>
      <c r="AM1882" s="122">
        <v>0</v>
      </c>
      <c r="AN1882" s="122">
        <v>9205</v>
      </c>
      <c r="AO1882" s="122">
        <v>3409</v>
      </c>
      <c r="AP1882" s="122">
        <v>1053</v>
      </c>
      <c r="AQ1882" s="122">
        <v>390</v>
      </c>
      <c r="AR1882" s="122">
        <v>15179</v>
      </c>
      <c r="AS1882" s="122">
        <v>13799</v>
      </c>
      <c r="AT1882" s="122">
        <v>6248</v>
      </c>
      <c r="AU1882" s="122">
        <v>2314</v>
      </c>
      <c r="AV1882" s="122">
        <v>118536</v>
      </c>
    </row>
    <row r="1883" spans="2:48" hidden="1">
      <c r="B1883" t="s">
        <v>375</v>
      </c>
      <c r="C1883" t="s">
        <v>56</v>
      </c>
      <c r="D1883" t="s">
        <v>137</v>
      </c>
      <c r="E1883" t="s">
        <v>137</v>
      </c>
      <c r="F1883" s="122">
        <v>16</v>
      </c>
      <c r="G1883" s="122">
        <v>2471</v>
      </c>
      <c r="H1883" s="122">
        <v>2911</v>
      </c>
      <c r="I1883" s="122">
        <v>236860</v>
      </c>
      <c r="J1883" s="122">
        <v>87726</v>
      </c>
      <c r="K1883" s="122">
        <v>267</v>
      </c>
      <c r="L1883" s="122">
        <v>56404</v>
      </c>
      <c r="M1883" s="122">
        <v>49629</v>
      </c>
      <c r="N1883" s="122">
        <v>50830</v>
      </c>
      <c r="O1883" s="122">
        <v>18826</v>
      </c>
      <c r="P1883" s="122">
        <v>6669</v>
      </c>
      <c r="Q1883" s="122">
        <v>2470</v>
      </c>
      <c r="R1883" s="122">
        <v>103647</v>
      </c>
      <c r="S1883" s="122">
        <v>38388</v>
      </c>
      <c r="T1883" s="122">
        <v>0</v>
      </c>
      <c r="U1883" s="122">
        <v>0</v>
      </c>
      <c r="V1883" s="122">
        <v>197039</v>
      </c>
      <c r="W1883" s="122">
        <f t="shared" si="58"/>
        <v>197039</v>
      </c>
      <c r="X1883" s="122">
        <f t="shared" si="59"/>
        <v>454410</v>
      </c>
      <c r="AA1883" t="s">
        <v>60</v>
      </c>
      <c r="AB1883" t="s">
        <v>408</v>
      </c>
      <c r="AC1883" t="s">
        <v>429</v>
      </c>
      <c r="AD1883" t="s">
        <v>408</v>
      </c>
      <c r="AE1883" t="s">
        <v>137</v>
      </c>
      <c r="AF1883">
        <v>3</v>
      </c>
      <c r="AG1883">
        <v>439</v>
      </c>
      <c r="AH1883" s="122">
        <v>1030</v>
      </c>
      <c r="AI1883" s="122">
        <v>107988</v>
      </c>
      <c r="AJ1883" s="122">
        <v>98171</v>
      </c>
      <c r="AK1883">
        <v>73</v>
      </c>
      <c r="AL1883" s="122">
        <v>14032</v>
      </c>
      <c r="AM1883" s="122">
        <v>12756</v>
      </c>
      <c r="AN1883" s="122">
        <v>9091</v>
      </c>
      <c r="AO1883" s="122">
        <v>3367</v>
      </c>
      <c r="AP1883" s="122">
        <v>2727</v>
      </c>
      <c r="AQ1883" s="122">
        <v>1010</v>
      </c>
      <c r="AR1883" s="122">
        <v>10492</v>
      </c>
      <c r="AS1883" s="122">
        <v>9538</v>
      </c>
      <c r="AT1883" s="122">
        <v>5845</v>
      </c>
      <c r="AU1883" s="122">
        <v>2165</v>
      </c>
      <c r="AV1883" s="122">
        <v>127008</v>
      </c>
    </row>
    <row r="1884" spans="2:48" hidden="1">
      <c r="B1884" t="s">
        <v>375</v>
      </c>
      <c r="C1884" t="s">
        <v>56</v>
      </c>
      <c r="D1884" t="s">
        <v>406</v>
      </c>
      <c r="E1884" t="s">
        <v>137</v>
      </c>
      <c r="F1884" s="122">
        <v>4</v>
      </c>
      <c r="G1884" s="122">
        <v>716</v>
      </c>
      <c r="H1884" s="122">
        <v>799</v>
      </c>
      <c r="I1884" s="122">
        <v>80995</v>
      </c>
      <c r="J1884" s="122">
        <v>73632</v>
      </c>
      <c r="K1884" s="122">
        <v>78</v>
      </c>
      <c r="L1884" s="122">
        <v>14992</v>
      </c>
      <c r="M1884" s="122">
        <v>13629</v>
      </c>
      <c r="N1884" s="122">
        <v>14389</v>
      </c>
      <c r="O1884" s="122">
        <v>5329</v>
      </c>
      <c r="P1884" s="122">
        <v>2484</v>
      </c>
      <c r="Q1884" s="122">
        <v>920</v>
      </c>
      <c r="R1884" s="122">
        <v>30178</v>
      </c>
      <c r="S1884" s="122">
        <v>11177</v>
      </c>
      <c r="T1884" s="122">
        <v>0</v>
      </c>
      <c r="U1884" s="122">
        <v>0</v>
      </c>
      <c r="V1884" s="122">
        <v>104688</v>
      </c>
      <c r="W1884" s="122">
        <f t="shared" si="58"/>
        <v>104687</v>
      </c>
      <c r="X1884" s="122">
        <f t="shared" si="59"/>
        <v>143038</v>
      </c>
      <c r="AA1884" t="s">
        <v>60</v>
      </c>
      <c r="AB1884" t="s">
        <v>408</v>
      </c>
      <c r="AC1884" t="s">
        <v>429</v>
      </c>
      <c r="AD1884" t="s">
        <v>408</v>
      </c>
      <c r="AE1884" t="s">
        <v>566</v>
      </c>
      <c r="AF1884">
        <v>1</v>
      </c>
      <c r="AG1884">
        <v>124</v>
      </c>
      <c r="AH1884">
        <v>358</v>
      </c>
      <c r="AI1884" s="122">
        <v>31471</v>
      </c>
      <c r="AJ1884" s="122">
        <v>28610</v>
      </c>
      <c r="AK1884">
        <v>65</v>
      </c>
      <c r="AL1884" s="122">
        <v>3497</v>
      </c>
      <c r="AM1884" s="122">
        <v>3179</v>
      </c>
      <c r="AN1884" s="122">
        <v>1657</v>
      </c>
      <c r="AO1884">
        <v>614</v>
      </c>
      <c r="AP1884">
        <v>351</v>
      </c>
      <c r="AQ1884">
        <v>130</v>
      </c>
      <c r="AR1884" s="122">
        <v>7227</v>
      </c>
      <c r="AS1884" s="122">
        <v>6570</v>
      </c>
      <c r="AT1884">
        <v>0</v>
      </c>
      <c r="AU1884">
        <v>0</v>
      </c>
      <c r="AV1884" s="122">
        <v>39103</v>
      </c>
    </row>
    <row r="1885" spans="2:48" hidden="1">
      <c r="B1885" t="s">
        <v>375</v>
      </c>
      <c r="C1885" t="s">
        <v>56</v>
      </c>
      <c r="D1885" t="s">
        <v>406</v>
      </c>
      <c r="E1885" t="s">
        <v>406</v>
      </c>
      <c r="F1885" s="122">
        <v>1083</v>
      </c>
      <c r="G1885" s="122">
        <v>175861</v>
      </c>
      <c r="H1885" s="122">
        <v>204739</v>
      </c>
      <c r="I1885" s="122">
        <v>18207649</v>
      </c>
      <c r="J1885" s="122">
        <v>16552408</v>
      </c>
      <c r="K1885" s="122">
        <v>85</v>
      </c>
      <c r="L1885" s="122">
        <v>3951159</v>
      </c>
      <c r="M1885" s="122">
        <v>3555138</v>
      </c>
      <c r="N1885" s="122">
        <v>3598566</v>
      </c>
      <c r="O1885" s="122">
        <v>1332802</v>
      </c>
      <c r="P1885" s="122">
        <v>719897</v>
      </c>
      <c r="Q1885" s="122">
        <v>266628</v>
      </c>
      <c r="R1885" s="122">
        <v>5866822</v>
      </c>
      <c r="S1885" s="122">
        <v>5333474</v>
      </c>
      <c r="T1885" s="122">
        <v>1326583</v>
      </c>
      <c r="U1885" s="122">
        <v>491327</v>
      </c>
      <c r="V1885" s="122">
        <v>27531777</v>
      </c>
      <c r="W1885" s="122">
        <f t="shared" si="58"/>
        <v>27531777</v>
      </c>
      <c r="X1885" s="122">
        <f t="shared" si="59"/>
        <v>33670676</v>
      </c>
      <c r="AA1885" t="s">
        <v>60</v>
      </c>
      <c r="AB1885" t="s">
        <v>429</v>
      </c>
      <c r="AC1885" t="s">
        <v>579</v>
      </c>
      <c r="AD1885" t="s">
        <v>429</v>
      </c>
      <c r="AE1885" t="s">
        <v>566</v>
      </c>
      <c r="AF1885">
        <v>1</v>
      </c>
      <c r="AG1885">
        <v>105</v>
      </c>
      <c r="AH1885" s="122">
        <v>374</v>
      </c>
      <c r="AI1885" s="122">
        <v>26650</v>
      </c>
      <c r="AJ1885" s="122">
        <v>24227</v>
      </c>
      <c r="AK1885">
        <v>65</v>
      </c>
      <c r="AL1885" s="122">
        <v>3500</v>
      </c>
      <c r="AM1885" s="122">
        <v>2916</v>
      </c>
      <c r="AN1885" s="122">
        <v>1703</v>
      </c>
      <c r="AO1885" s="122">
        <v>631</v>
      </c>
      <c r="AP1885" s="122">
        <v>351</v>
      </c>
      <c r="AQ1885">
        <v>130</v>
      </c>
      <c r="AR1885" s="122">
        <v>7051</v>
      </c>
      <c r="AS1885" s="122">
        <v>6410</v>
      </c>
      <c r="AT1885" s="122">
        <v>0</v>
      </c>
      <c r="AU1885" s="122">
        <v>0</v>
      </c>
      <c r="AV1885" s="122">
        <v>34314</v>
      </c>
    </row>
    <row r="1886" spans="2:48" hidden="1">
      <c r="B1886" t="s">
        <v>375</v>
      </c>
      <c r="C1886" t="s">
        <v>56</v>
      </c>
      <c r="D1886" t="s">
        <v>406</v>
      </c>
      <c r="E1886" t="s">
        <v>428</v>
      </c>
      <c r="F1886" s="122">
        <v>1</v>
      </c>
      <c r="G1886" s="122">
        <v>142</v>
      </c>
      <c r="H1886" s="122">
        <v>184</v>
      </c>
      <c r="I1886" s="122">
        <v>11760</v>
      </c>
      <c r="J1886" s="122">
        <v>10691</v>
      </c>
      <c r="K1886" s="122">
        <v>79</v>
      </c>
      <c r="L1886" s="122">
        <v>3267</v>
      </c>
      <c r="M1886" s="122">
        <v>2970</v>
      </c>
      <c r="N1886" s="122">
        <v>2828</v>
      </c>
      <c r="O1886" s="122">
        <v>1047</v>
      </c>
      <c r="P1886" s="122">
        <v>621</v>
      </c>
      <c r="Q1886" s="122">
        <v>230</v>
      </c>
      <c r="R1886" s="122">
        <v>4570</v>
      </c>
      <c r="S1886" s="122">
        <v>4154</v>
      </c>
      <c r="T1886" s="122">
        <v>3059</v>
      </c>
      <c r="U1886" s="122">
        <v>1133</v>
      </c>
      <c r="V1886" s="122">
        <v>20226</v>
      </c>
      <c r="W1886" s="122">
        <f t="shared" si="58"/>
        <v>20225</v>
      </c>
      <c r="X1886" s="122">
        <f t="shared" si="59"/>
        <v>26105</v>
      </c>
      <c r="AA1886" t="s">
        <v>60</v>
      </c>
      <c r="AB1886" t="s">
        <v>429</v>
      </c>
      <c r="AC1886" t="s">
        <v>426</v>
      </c>
      <c r="AD1886" t="s">
        <v>429</v>
      </c>
      <c r="AE1886" t="s">
        <v>137</v>
      </c>
      <c r="AF1886">
        <v>4</v>
      </c>
      <c r="AG1886">
        <v>539</v>
      </c>
      <c r="AH1886" s="122">
        <v>1358</v>
      </c>
      <c r="AI1886" s="122">
        <v>121012</v>
      </c>
      <c r="AJ1886" s="122">
        <v>110011</v>
      </c>
      <c r="AK1886">
        <v>79</v>
      </c>
      <c r="AL1886" s="122">
        <v>21672</v>
      </c>
      <c r="AM1886" s="122">
        <v>19702</v>
      </c>
      <c r="AN1886" s="122">
        <v>9777</v>
      </c>
      <c r="AO1886" s="122">
        <v>3621</v>
      </c>
      <c r="AP1886" s="122">
        <v>1755</v>
      </c>
      <c r="AQ1886">
        <v>650</v>
      </c>
      <c r="AR1886" s="122">
        <v>19720</v>
      </c>
      <c r="AS1886" s="122">
        <v>17928</v>
      </c>
      <c r="AT1886" s="122">
        <v>8657</v>
      </c>
      <c r="AU1886" s="122">
        <v>3206</v>
      </c>
      <c r="AV1886" s="122">
        <v>155117</v>
      </c>
    </row>
    <row r="1887" spans="2:48" hidden="1">
      <c r="B1887" t="s">
        <v>375</v>
      </c>
      <c r="C1887" t="s">
        <v>56</v>
      </c>
      <c r="D1887" t="s">
        <v>407</v>
      </c>
      <c r="E1887" t="s">
        <v>405</v>
      </c>
      <c r="F1887" s="122">
        <v>1</v>
      </c>
      <c r="G1887" s="122">
        <v>83</v>
      </c>
      <c r="H1887" s="122">
        <v>213</v>
      </c>
      <c r="I1887" s="122">
        <v>8626</v>
      </c>
      <c r="J1887" s="122">
        <v>7842</v>
      </c>
      <c r="K1887" s="122">
        <v>92</v>
      </c>
      <c r="L1887" s="122">
        <v>2930</v>
      </c>
      <c r="M1887" s="122">
        <v>2663</v>
      </c>
      <c r="N1887" s="122">
        <v>2031</v>
      </c>
      <c r="O1887" s="122">
        <v>752</v>
      </c>
      <c r="P1887" s="122">
        <v>473</v>
      </c>
      <c r="Q1887" s="122">
        <v>175</v>
      </c>
      <c r="R1887" s="122">
        <v>3708</v>
      </c>
      <c r="S1887" s="122">
        <v>3371</v>
      </c>
      <c r="T1887" s="122">
        <v>0</v>
      </c>
      <c r="U1887" s="122">
        <v>0</v>
      </c>
      <c r="V1887" s="122">
        <v>14804</v>
      </c>
      <c r="W1887" s="122">
        <f t="shared" si="58"/>
        <v>14803</v>
      </c>
      <c r="X1887" s="122">
        <f t="shared" si="59"/>
        <v>17768</v>
      </c>
      <c r="AA1887" t="s">
        <v>60</v>
      </c>
      <c r="AB1887" t="s">
        <v>429</v>
      </c>
      <c r="AC1887" t="s">
        <v>426</v>
      </c>
      <c r="AD1887" t="s">
        <v>429</v>
      </c>
      <c r="AE1887" t="s">
        <v>566</v>
      </c>
      <c r="AF1887">
        <v>2</v>
      </c>
      <c r="AG1887">
        <v>367</v>
      </c>
      <c r="AH1887">
        <v>659</v>
      </c>
      <c r="AI1887" s="122">
        <v>77489</v>
      </c>
      <c r="AJ1887" s="122">
        <v>70445</v>
      </c>
      <c r="AK1887">
        <v>75</v>
      </c>
      <c r="AL1887" s="122">
        <v>20333</v>
      </c>
      <c r="AM1887" s="122">
        <v>18484</v>
      </c>
      <c r="AN1887" s="122">
        <v>7049</v>
      </c>
      <c r="AO1887" s="122">
        <v>2611</v>
      </c>
      <c r="AP1887">
        <v>972</v>
      </c>
      <c r="AQ1887">
        <v>360</v>
      </c>
      <c r="AR1887" s="122">
        <v>14177</v>
      </c>
      <c r="AS1887" s="122">
        <v>12889</v>
      </c>
      <c r="AT1887" s="122">
        <v>0</v>
      </c>
      <c r="AU1887">
        <v>0</v>
      </c>
      <c r="AV1887" s="122">
        <v>104789</v>
      </c>
    </row>
    <row r="1888" spans="2:48" hidden="1">
      <c r="B1888" t="s">
        <v>375</v>
      </c>
      <c r="C1888" t="s">
        <v>56</v>
      </c>
      <c r="D1888" t="s">
        <v>407</v>
      </c>
      <c r="E1888" t="s">
        <v>137</v>
      </c>
      <c r="F1888" s="122">
        <v>1</v>
      </c>
      <c r="G1888" s="122">
        <v>142</v>
      </c>
      <c r="H1888" s="122">
        <v>207</v>
      </c>
      <c r="I1888" s="122">
        <v>14656</v>
      </c>
      <c r="J1888" s="122">
        <v>13324</v>
      </c>
      <c r="K1888" s="122">
        <v>78</v>
      </c>
      <c r="L1888" s="122">
        <v>4388</v>
      </c>
      <c r="M1888" s="122">
        <v>3657</v>
      </c>
      <c r="N1888" s="122">
        <v>3465</v>
      </c>
      <c r="O1888" s="122">
        <v>1283</v>
      </c>
      <c r="P1888" s="122">
        <v>473</v>
      </c>
      <c r="Q1888" s="122">
        <v>175</v>
      </c>
      <c r="R1888" s="122">
        <v>6408</v>
      </c>
      <c r="S1888" s="122">
        <v>2373</v>
      </c>
      <c r="T1888" s="122">
        <v>0</v>
      </c>
      <c r="U1888" s="122">
        <v>0</v>
      </c>
      <c r="V1888" s="122">
        <v>20813</v>
      </c>
      <c r="W1888" s="122">
        <f t="shared" si="58"/>
        <v>20812</v>
      </c>
      <c r="X1888" s="122">
        <f t="shared" si="59"/>
        <v>29390</v>
      </c>
      <c r="AA1888" t="s">
        <v>60</v>
      </c>
      <c r="AB1888" t="s">
        <v>429</v>
      </c>
      <c r="AC1888" t="s">
        <v>566</v>
      </c>
      <c r="AD1888" t="s">
        <v>429</v>
      </c>
      <c r="AE1888" t="s">
        <v>137</v>
      </c>
      <c r="AF1888">
        <v>1</v>
      </c>
      <c r="AG1888" s="122">
        <v>77</v>
      </c>
      <c r="AH1888" s="122">
        <v>331</v>
      </c>
      <c r="AI1888" s="122">
        <v>17408</v>
      </c>
      <c r="AJ1888" s="122">
        <v>15826</v>
      </c>
      <c r="AK1888">
        <v>65</v>
      </c>
      <c r="AL1888">
        <v>0</v>
      </c>
      <c r="AM1888">
        <v>0</v>
      </c>
      <c r="AN1888" s="122">
        <v>938</v>
      </c>
      <c r="AO1888" s="122">
        <v>347</v>
      </c>
      <c r="AP1888" s="122">
        <v>351</v>
      </c>
      <c r="AQ1888" s="122">
        <v>130</v>
      </c>
      <c r="AR1888" s="122">
        <v>4428</v>
      </c>
      <c r="AS1888" s="122">
        <v>4026</v>
      </c>
      <c r="AT1888" s="122">
        <v>2393</v>
      </c>
      <c r="AU1888" s="122">
        <v>886</v>
      </c>
      <c r="AV1888" s="122">
        <v>21215</v>
      </c>
    </row>
    <row r="1889" spans="2:48" hidden="1">
      <c r="B1889" t="s">
        <v>375</v>
      </c>
      <c r="C1889" t="s">
        <v>56</v>
      </c>
      <c r="D1889" t="s">
        <v>407</v>
      </c>
      <c r="E1889" t="s">
        <v>407</v>
      </c>
      <c r="F1889" s="122">
        <v>41</v>
      </c>
      <c r="G1889" s="122">
        <v>6328</v>
      </c>
      <c r="H1889" s="122">
        <v>7658</v>
      </c>
      <c r="I1889" s="122">
        <v>605453</v>
      </c>
      <c r="J1889" s="122">
        <v>550412</v>
      </c>
      <c r="K1889" s="122">
        <v>80</v>
      </c>
      <c r="L1889" s="122">
        <v>159598</v>
      </c>
      <c r="M1889" s="122">
        <v>143209</v>
      </c>
      <c r="N1889" s="122">
        <v>126348</v>
      </c>
      <c r="O1889" s="122">
        <v>46796</v>
      </c>
      <c r="P1889" s="122">
        <v>19724</v>
      </c>
      <c r="Q1889" s="122">
        <v>7305</v>
      </c>
      <c r="R1889" s="122">
        <v>227895</v>
      </c>
      <c r="S1889" s="122">
        <v>207177</v>
      </c>
      <c r="T1889" s="122">
        <v>46185</v>
      </c>
      <c r="U1889" s="122">
        <v>17105</v>
      </c>
      <c r="V1889" s="122">
        <v>972004</v>
      </c>
      <c r="W1889" s="122">
        <f t="shared" si="58"/>
        <v>972004</v>
      </c>
      <c r="X1889" s="122">
        <f t="shared" si="59"/>
        <v>1185203</v>
      </c>
      <c r="AA1889" t="s">
        <v>62</v>
      </c>
      <c r="AC1889" t="s">
        <v>566</v>
      </c>
      <c r="AE1889" t="s">
        <v>566</v>
      </c>
      <c r="AF1889">
        <v>11</v>
      </c>
      <c r="AG1889" s="122">
        <v>1852</v>
      </c>
      <c r="AH1889" s="122">
        <v>4592</v>
      </c>
      <c r="AI1889" s="122"/>
      <c r="AJ1889" s="122">
        <v>0</v>
      </c>
      <c r="AL1889" s="122"/>
      <c r="AM1889" s="122">
        <v>0</v>
      </c>
      <c r="AN1889" s="122">
        <v>41201</v>
      </c>
      <c r="AO1889" s="122">
        <v>15259</v>
      </c>
      <c r="AP1889" s="122">
        <v>3456</v>
      </c>
      <c r="AQ1889" s="122">
        <v>1280</v>
      </c>
      <c r="AR1889" s="122"/>
      <c r="AS1889" s="122">
        <v>0</v>
      </c>
      <c r="AT1889" s="122">
        <v>8419</v>
      </c>
      <c r="AU1889" s="122">
        <v>3118</v>
      </c>
      <c r="AV1889" s="122">
        <v>19658</v>
      </c>
    </row>
    <row r="1890" spans="2:48" hidden="1">
      <c r="B1890" t="s">
        <v>375</v>
      </c>
      <c r="C1890" t="s">
        <v>56</v>
      </c>
      <c r="D1890" t="s">
        <v>426</v>
      </c>
      <c r="E1890" t="s">
        <v>426</v>
      </c>
      <c r="F1890" s="122">
        <v>8</v>
      </c>
      <c r="G1890" s="122">
        <v>1412</v>
      </c>
      <c r="H1890" s="122">
        <v>1711</v>
      </c>
      <c r="I1890" s="122">
        <v>194496</v>
      </c>
      <c r="J1890" s="122">
        <v>176815</v>
      </c>
      <c r="K1890" s="122">
        <v>67</v>
      </c>
      <c r="L1890" s="122">
        <v>19105</v>
      </c>
      <c r="M1890" s="122">
        <v>17368</v>
      </c>
      <c r="N1890" s="122">
        <v>28242</v>
      </c>
      <c r="O1890" s="122">
        <v>10460</v>
      </c>
      <c r="P1890" s="122">
        <v>6804</v>
      </c>
      <c r="Q1890" s="122">
        <v>2520</v>
      </c>
      <c r="R1890" s="122">
        <v>46354</v>
      </c>
      <c r="S1890" s="122">
        <v>42140</v>
      </c>
      <c r="T1890" s="122">
        <v>23784</v>
      </c>
      <c r="U1890" s="122">
        <v>8809</v>
      </c>
      <c r="V1890" s="122">
        <v>258111</v>
      </c>
      <c r="W1890" s="122">
        <f t="shared" ref="W1890:W1953" si="60">SUM(ABS(J1890),ABS(M1890),ABS(O1890),ABS(Q1890),ABS(S1890),ABS(U1890))</f>
        <v>258112</v>
      </c>
      <c r="X1890" s="122">
        <f t="shared" ref="X1890:X1953" si="61">SUM(ABS(I1890),ABS(N1890),ABS(P1890),ABS(R1890),ABS(T1890),ABS(L1890))</f>
        <v>318785</v>
      </c>
      <c r="AA1890" t="s">
        <v>62</v>
      </c>
      <c r="AB1890" t="s">
        <v>578</v>
      </c>
      <c r="AC1890" t="s">
        <v>427</v>
      </c>
      <c r="AD1890" t="s">
        <v>578</v>
      </c>
      <c r="AE1890" t="s">
        <v>137</v>
      </c>
      <c r="AF1890">
        <v>1</v>
      </c>
      <c r="AG1890">
        <v>91</v>
      </c>
      <c r="AH1890">
        <v>435</v>
      </c>
      <c r="AI1890" s="122">
        <v>27136</v>
      </c>
      <c r="AJ1890" s="122">
        <v>24669</v>
      </c>
      <c r="AK1890">
        <v>45</v>
      </c>
      <c r="AL1890" s="122">
        <v>2467</v>
      </c>
      <c r="AM1890" s="122">
        <v>2243</v>
      </c>
      <c r="AN1890" s="122">
        <v>2227</v>
      </c>
      <c r="AO1890">
        <v>825</v>
      </c>
      <c r="AP1890">
        <v>351</v>
      </c>
      <c r="AQ1890">
        <v>130</v>
      </c>
      <c r="AR1890" s="122">
        <v>5257</v>
      </c>
      <c r="AS1890" s="122">
        <v>4779</v>
      </c>
      <c r="AT1890" s="122">
        <v>2317</v>
      </c>
      <c r="AU1890" s="122">
        <v>858</v>
      </c>
      <c r="AV1890" s="122">
        <v>33503</v>
      </c>
    </row>
    <row r="1891" spans="2:48" hidden="1">
      <c r="B1891" t="s">
        <v>375</v>
      </c>
      <c r="C1891" t="s">
        <v>56</v>
      </c>
      <c r="D1891" t="s">
        <v>408</v>
      </c>
      <c r="E1891" t="s">
        <v>408</v>
      </c>
      <c r="F1891" s="122">
        <v>9</v>
      </c>
      <c r="G1891" s="122">
        <v>1855</v>
      </c>
      <c r="H1891" s="122">
        <v>1622</v>
      </c>
      <c r="I1891" s="122">
        <v>207610</v>
      </c>
      <c r="J1891" s="122">
        <v>188736</v>
      </c>
      <c r="K1891" s="122">
        <v>76</v>
      </c>
      <c r="L1891" s="122">
        <v>39018</v>
      </c>
      <c r="M1891" s="122">
        <v>35303</v>
      </c>
      <c r="N1891" s="122">
        <v>43684</v>
      </c>
      <c r="O1891" s="122">
        <v>16179</v>
      </c>
      <c r="P1891" s="122">
        <v>4482</v>
      </c>
      <c r="Q1891" s="122">
        <v>1660</v>
      </c>
      <c r="R1891" s="122">
        <v>61819</v>
      </c>
      <c r="S1891" s="122">
        <v>56199</v>
      </c>
      <c r="T1891" s="122">
        <v>0</v>
      </c>
      <c r="U1891" s="122">
        <v>0</v>
      </c>
      <c r="V1891" s="122">
        <v>298077</v>
      </c>
      <c r="W1891" s="122">
        <f t="shared" si="60"/>
        <v>298077</v>
      </c>
      <c r="X1891" s="122">
        <f t="shared" si="61"/>
        <v>356613</v>
      </c>
      <c r="AA1891" t="s">
        <v>62</v>
      </c>
      <c r="AB1891" t="s">
        <v>578</v>
      </c>
      <c r="AC1891" t="s">
        <v>579</v>
      </c>
      <c r="AD1891" t="s">
        <v>578</v>
      </c>
      <c r="AE1891" t="s">
        <v>137</v>
      </c>
      <c r="AF1891">
        <v>1</v>
      </c>
      <c r="AG1891">
        <v>85</v>
      </c>
      <c r="AH1891">
        <v>390</v>
      </c>
      <c r="AI1891" s="122">
        <v>18392</v>
      </c>
      <c r="AJ1891" s="122">
        <v>16720</v>
      </c>
      <c r="AK1891">
        <v>60</v>
      </c>
      <c r="AL1891" s="122">
        <v>4459</v>
      </c>
      <c r="AM1891" s="122">
        <v>3716</v>
      </c>
      <c r="AN1891" s="122">
        <v>1344</v>
      </c>
      <c r="AO1891">
        <v>498</v>
      </c>
      <c r="AP1891">
        <v>351</v>
      </c>
      <c r="AQ1891">
        <v>130</v>
      </c>
      <c r="AR1891" s="122">
        <v>5556</v>
      </c>
      <c r="AS1891" s="122">
        <v>5051</v>
      </c>
      <c r="AT1891" s="122">
        <v>2944</v>
      </c>
      <c r="AU1891" s="122">
        <v>1090</v>
      </c>
      <c r="AV1891" s="122">
        <v>27205</v>
      </c>
    </row>
    <row r="1892" spans="2:48" hidden="1">
      <c r="B1892" t="s">
        <v>375</v>
      </c>
      <c r="C1892" t="s">
        <v>56</v>
      </c>
      <c r="D1892" t="s">
        <v>408</v>
      </c>
      <c r="E1892" t="s">
        <v>429</v>
      </c>
      <c r="F1892" s="122">
        <v>1</v>
      </c>
      <c r="G1892" s="122">
        <v>161</v>
      </c>
      <c r="H1892" s="122">
        <v>184</v>
      </c>
      <c r="I1892" s="122">
        <v>14823</v>
      </c>
      <c r="J1892" s="122">
        <v>13475</v>
      </c>
      <c r="K1892" s="122">
        <v>86</v>
      </c>
      <c r="L1892" s="122">
        <v>4694</v>
      </c>
      <c r="M1892" s="122">
        <v>4267</v>
      </c>
      <c r="N1892" s="122">
        <v>3794</v>
      </c>
      <c r="O1892" s="122">
        <v>1405</v>
      </c>
      <c r="P1892" s="122">
        <v>1053</v>
      </c>
      <c r="Q1892" s="122">
        <v>390</v>
      </c>
      <c r="R1892" s="122">
        <v>5319</v>
      </c>
      <c r="S1892" s="122">
        <v>4836</v>
      </c>
      <c r="T1892" s="122">
        <v>0</v>
      </c>
      <c r="U1892" s="122">
        <v>0</v>
      </c>
      <c r="V1892" s="122">
        <v>24373</v>
      </c>
      <c r="W1892" s="122">
        <f t="shared" si="60"/>
        <v>24373</v>
      </c>
      <c r="X1892" s="122">
        <f t="shared" si="61"/>
        <v>29683</v>
      </c>
      <c r="AA1892" t="s">
        <v>62</v>
      </c>
      <c r="AB1892" t="s">
        <v>578</v>
      </c>
      <c r="AC1892" t="s">
        <v>566</v>
      </c>
      <c r="AD1892" t="s">
        <v>578</v>
      </c>
      <c r="AE1892" t="s">
        <v>137</v>
      </c>
      <c r="AF1892">
        <v>1</v>
      </c>
      <c r="AG1892">
        <v>59</v>
      </c>
      <c r="AH1892">
        <v>423</v>
      </c>
      <c r="AI1892" s="122">
        <v>18345</v>
      </c>
      <c r="AJ1892" s="122">
        <v>16678</v>
      </c>
      <c r="AK1892">
        <v>60</v>
      </c>
      <c r="AL1892" s="122">
        <v>0</v>
      </c>
      <c r="AM1892" s="122">
        <v>0</v>
      </c>
      <c r="AN1892" s="122">
        <v>718</v>
      </c>
      <c r="AO1892" s="122">
        <v>266</v>
      </c>
      <c r="AP1892">
        <v>351</v>
      </c>
      <c r="AQ1892">
        <v>130</v>
      </c>
      <c r="AR1892" s="122">
        <v>3518</v>
      </c>
      <c r="AS1892" s="122">
        <v>3198</v>
      </c>
      <c r="AT1892" s="122">
        <v>2008</v>
      </c>
      <c r="AU1892">
        <v>744</v>
      </c>
      <c r="AV1892" s="122">
        <v>21015</v>
      </c>
    </row>
    <row r="1893" spans="2:48" hidden="1">
      <c r="B1893" t="s">
        <v>375</v>
      </c>
      <c r="C1893" t="s">
        <v>56</v>
      </c>
      <c r="D1893" t="s">
        <v>429</v>
      </c>
      <c r="E1893" t="s">
        <v>429</v>
      </c>
      <c r="F1893" s="122">
        <v>1</v>
      </c>
      <c r="G1893" s="122">
        <v>149</v>
      </c>
      <c r="H1893" s="122">
        <v>190</v>
      </c>
      <c r="I1893" s="122">
        <v>19392</v>
      </c>
      <c r="J1893" s="122">
        <v>17629</v>
      </c>
      <c r="K1893" s="122">
        <v>85</v>
      </c>
      <c r="L1893" s="122">
        <v>0</v>
      </c>
      <c r="M1893" s="122">
        <v>0</v>
      </c>
      <c r="N1893" s="122">
        <v>2776</v>
      </c>
      <c r="O1893" s="122">
        <v>1028</v>
      </c>
      <c r="P1893" s="122">
        <v>351</v>
      </c>
      <c r="Q1893" s="122">
        <v>130</v>
      </c>
      <c r="R1893" s="122">
        <v>5840</v>
      </c>
      <c r="S1893" s="122">
        <v>5309</v>
      </c>
      <c r="T1893" s="122">
        <v>0</v>
      </c>
      <c r="U1893" s="122">
        <v>0</v>
      </c>
      <c r="V1893" s="122">
        <v>24096</v>
      </c>
      <c r="W1893" s="122">
        <f t="shared" si="60"/>
        <v>24096</v>
      </c>
      <c r="X1893" s="122">
        <f t="shared" si="61"/>
        <v>28359</v>
      </c>
      <c r="AA1893" t="s">
        <v>62</v>
      </c>
      <c r="AB1893" t="s">
        <v>425</v>
      </c>
      <c r="AC1893" t="s">
        <v>578</v>
      </c>
      <c r="AD1893" t="s">
        <v>425</v>
      </c>
      <c r="AE1893" t="s">
        <v>566</v>
      </c>
      <c r="AF1893">
        <v>1</v>
      </c>
      <c r="AG1893">
        <v>131</v>
      </c>
      <c r="AH1893">
        <v>412</v>
      </c>
      <c r="AI1893" s="122">
        <v>39760</v>
      </c>
      <c r="AJ1893" s="122">
        <v>36145</v>
      </c>
      <c r="AK1893">
        <v>83</v>
      </c>
      <c r="AL1893" s="122">
        <v>5802</v>
      </c>
      <c r="AM1893" s="122">
        <v>5275</v>
      </c>
      <c r="AN1893" s="122">
        <v>3112</v>
      </c>
      <c r="AO1893" s="122">
        <v>1153</v>
      </c>
      <c r="AP1893">
        <v>621</v>
      </c>
      <c r="AQ1893">
        <v>230</v>
      </c>
      <c r="AR1893" s="122">
        <v>4755</v>
      </c>
      <c r="AS1893" s="122">
        <v>4322</v>
      </c>
      <c r="AT1893" s="122">
        <v>0</v>
      </c>
      <c r="AU1893" s="122">
        <v>0</v>
      </c>
      <c r="AV1893" s="122">
        <v>47125</v>
      </c>
    </row>
    <row r="1894" spans="2:48" hidden="1">
      <c r="B1894" t="s">
        <v>375</v>
      </c>
      <c r="C1894" t="s">
        <v>58</v>
      </c>
      <c r="F1894" s="122">
        <v>2</v>
      </c>
      <c r="G1894" s="122">
        <v>263</v>
      </c>
      <c r="H1894" s="122">
        <v>503</v>
      </c>
      <c r="I1894" s="122"/>
      <c r="J1894" s="122">
        <v>0</v>
      </c>
      <c r="K1894" s="122"/>
      <c r="L1894" s="122"/>
      <c r="M1894" s="122">
        <v>0</v>
      </c>
      <c r="N1894" s="122">
        <v>5729</v>
      </c>
      <c r="O1894" s="122">
        <v>2122</v>
      </c>
      <c r="P1894" s="122">
        <v>0</v>
      </c>
      <c r="Q1894" s="122">
        <v>0</v>
      </c>
      <c r="R1894" s="122"/>
      <c r="S1894" s="122">
        <v>0</v>
      </c>
      <c r="T1894" s="122">
        <v>0</v>
      </c>
      <c r="U1894" s="122">
        <v>0</v>
      </c>
      <c r="V1894" s="122">
        <v>2122</v>
      </c>
      <c r="W1894" s="122">
        <f t="shared" si="60"/>
        <v>2122</v>
      </c>
      <c r="X1894" s="122">
        <f t="shared" si="61"/>
        <v>5729</v>
      </c>
      <c r="AA1894" t="s">
        <v>62</v>
      </c>
      <c r="AB1894" t="s">
        <v>425</v>
      </c>
      <c r="AC1894" t="s">
        <v>578</v>
      </c>
      <c r="AD1894" t="s">
        <v>406</v>
      </c>
      <c r="AE1894" t="s">
        <v>137</v>
      </c>
      <c r="AF1894">
        <v>1</v>
      </c>
      <c r="AG1894">
        <v>94</v>
      </c>
      <c r="AH1894">
        <v>438</v>
      </c>
      <c r="AI1894" s="122">
        <v>24817</v>
      </c>
      <c r="AJ1894" s="122">
        <v>22561</v>
      </c>
      <c r="AK1894">
        <v>79</v>
      </c>
      <c r="AL1894" s="122">
        <v>6894</v>
      </c>
      <c r="AM1894" s="122">
        <v>6267</v>
      </c>
      <c r="AN1894" s="122">
        <v>1527</v>
      </c>
      <c r="AO1894">
        <v>565</v>
      </c>
      <c r="AP1894">
        <v>621</v>
      </c>
      <c r="AQ1894">
        <v>230</v>
      </c>
      <c r="AR1894" s="122">
        <v>4273</v>
      </c>
      <c r="AS1894" s="122">
        <v>3884</v>
      </c>
      <c r="AT1894" s="122">
        <v>2790</v>
      </c>
      <c r="AU1894" s="122">
        <v>1033</v>
      </c>
      <c r="AV1894" s="122">
        <v>34541</v>
      </c>
    </row>
    <row r="1895" spans="2:48" hidden="1">
      <c r="B1895" t="s">
        <v>375</v>
      </c>
      <c r="C1895" t="s">
        <v>58</v>
      </c>
      <c r="D1895" t="s">
        <v>425</v>
      </c>
      <c r="E1895" t="s">
        <v>425</v>
      </c>
      <c r="F1895" s="122">
        <v>3</v>
      </c>
      <c r="G1895" s="122">
        <v>328</v>
      </c>
      <c r="H1895" s="122">
        <v>768</v>
      </c>
      <c r="I1895" s="122">
        <v>49123</v>
      </c>
      <c r="J1895" s="122">
        <v>44657</v>
      </c>
      <c r="K1895" s="122">
        <v>84</v>
      </c>
      <c r="L1895" s="122">
        <v>12063</v>
      </c>
      <c r="M1895" s="122">
        <v>10967</v>
      </c>
      <c r="N1895" s="122">
        <v>5775</v>
      </c>
      <c r="O1895" s="122">
        <v>2139</v>
      </c>
      <c r="P1895" s="122">
        <v>1418</v>
      </c>
      <c r="Q1895" s="122">
        <v>525</v>
      </c>
      <c r="R1895" s="122">
        <v>14906</v>
      </c>
      <c r="S1895" s="122">
        <v>13551</v>
      </c>
      <c r="T1895" s="122">
        <v>0</v>
      </c>
      <c r="U1895" s="122">
        <v>0</v>
      </c>
      <c r="V1895" s="122">
        <v>71839</v>
      </c>
      <c r="W1895" s="122">
        <f t="shared" si="60"/>
        <v>71839</v>
      </c>
      <c r="X1895" s="122">
        <f t="shared" si="61"/>
        <v>83285</v>
      </c>
      <c r="AA1895" t="s">
        <v>62</v>
      </c>
      <c r="AB1895" t="s">
        <v>425</v>
      </c>
      <c r="AC1895" t="s">
        <v>425</v>
      </c>
      <c r="AD1895" t="s">
        <v>425</v>
      </c>
      <c r="AE1895" t="s">
        <v>137</v>
      </c>
      <c r="AF1895">
        <v>1</v>
      </c>
      <c r="AG1895">
        <v>100</v>
      </c>
      <c r="AH1895">
        <v>389</v>
      </c>
      <c r="AI1895" s="122">
        <v>24163</v>
      </c>
      <c r="AJ1895" s="122">
        <v>21967</v>
      </c>
      <c r="AK1895">
        <v>75</v>
      </c>
      <c r="AL1895" s="122">
        <v>4806</v>
      </c>
      <c r="AM1895" s="122">
        <v>4369</v>
      </c>
      <c r="AN1895" s="122">
        <v>2271</v>
      </c>
      <c r="AO1895" s="122">
        <v>841</v>
      </c>
      <c r="AP1895">
        <v>473</v>
      </c>
      <c r="AQ1895">
        <v>175</v>
      </c>
      <c r="AR1895" s="122">
        <v>7075</v>
      </c>
      <c r="AS1895" s="122">
        <v>6432</v>
      </c>
      <c r="AT1895" s="122">
        <v>0</v>
      </c>
      <c r="AU1895" s="122">
        <v>0</v>
      </c>
      <c r="AV1895" s="122">
        <v>33783</v>
      </c>
    </row>
    <row r="1896" spans="2:48" hidden="1">
      <c r="B1896" t="s">
        <v>375</v>
      </c>
      <c r="C1896" t="s">
        <v>58</v>
      </c>
      <c r="D1896" t="s">
        <v>405</v>
      </c>
      <c r="E1896" t="s">
        <v>405</v>
      </c>
      <c r="F1896" s="122">
        <v>23</v>
      </c>
      <c r="G1896" s="122">
        <v>3259</v>
      </c>
      <c r="H1896" s="122">
        <v>5737</v>
      </c>
      <c r="I1896" s="122">
        <v>474851</v>
      </c>
      <c r="J1896" s="122">
        <v>431683</v>
      </c>
      <c r="K1896" s="122">
        <v>76</v>
      </c>
      <c r="L1896" s="122">
        <v>93642</v>
      </c>
      <c r="M1896" s="122">
        <v>82491</v>
      </c>
      <c r="N1896" s="122">
        <v>71562</v>
      </c>
      <c r="O1896" s="122">
        <v>26504</v>
      </c>
      <c r="P1896" s="122">
        <v>12087</v>
      </c>
      <c r="Q1896" s="122">
        <v>4477</v>
      </c>
      <c r="R1896" s="122">
        <v>123228</v>
      </c>
      <c r="S1896" s="122">
        <v>112026</v>
      </c>
      <c r="T1896" s="122">
        <v>50399</v>
      </c>
      <c r="U1896" s="122">
        <v>18666</v>
      </c>
      <c r="V1896" s="122">
        <v>675847</v>
      </c>
      <c r="W1896" s="122">
        <f t="shared" si="60"/>
        <v>675847</v>
      </c>
      <c r="X1896" s="122">
        <f t="shared" si="61"/>
        <v>825769</v>
      </c>
      <c r="AA1896" t="s">
        <v>62</v>
      </c>
      <c r="AB1896" t="s">
        <v>425</v>
      </c>
      <c r="AC1896" t="s">
        <v>137</v>
      </c>
      <c r="AD1896" t="s">
        <v>425</v>
      </c>
      <c r="AE1896" t="s">
        <v>137</v>
      </c>
      <c r="AF1896">
        <v>2</v>
      </c>
      <c r="AG1896">
        <v>309</v>
      </c>
      <c r="AH1896">
        <v>828</v>
      </c>
      <c r="AI1896" s="122">
        <v>79574</v>
      </c>
      <c r="AJ1896" s="122">
        <v>72340</v>
      </c>
      <c r="AK1896">
        <v>71</v>
      </c>
      <c r="AL1896" s="122">
        <v>22653</v>
      </c>
      <c r="AM1896" s="122">
        <v>8390</v>
      </c>
      <c r="AN1896" s="122">
        <v>7338</v>
      </c>
      <c r="AO1896" s="122">
        <v>2718</v>
      </c>
      <c r="AP1896">
        <v>824</v>
      </c>
      <c r="AQ1896">
        <v>305</v>
      </c>
      <c r="AR1896" s="122">
        <v>10607</v>
      </c>
      <c r="AS1896" s="122">
        <v>9643</v>
      </c>
      <c r="AT1896" s="122">
        <v>7207</v>
      </c>
      <c r="AU1896" s="122">
        <v>2669</v>
      </c>
      <c r="AV1896" s="122">
        <v>96065</v>
      </c>
    </row>
    <row r="1897" spans="2:48" hidden="1">
      <c r="B1897" t="s">
        <v>375</v>
      </c>
      <c r="C1897" t="s">
        <v>58</v>
      </c>
      <c r="D1897" t="s">
        <v>137</v>
      </c>
      <c r="E1897" t="s">
        <v>137</v>
      </c>
      <c r="F1897" s="122">
        <v>30</v>
      </c>
      <c r="G1897" s="122">
        <v>3811</v>
      </c>
      <c r="H1897" s="122">
        <v>7649</v>
      </c>
      <c r="I1897" s="122">
        <v>537195</v>
      </c>
      <c r="J1897" s="122">
        <v>198961</v>
      </c>
      <c r="K1897" s="122">
        <v>100</v>
      </c>
      <c r="L1897" s="122">
        <v>110560</v>
      </c>
      <c r="M1897" s="122">
        <v>96296</v>
      </c>
      <c r="N1897" s="122">
        <v>89215</v>
      </c>
      <c r="O1897" s="122">
        <v>33042</v>
      </c>
      <c r="P1897" s="122">
        <v>0</v>
      </c>
      <c r="Q1897" s="122">
        <v>0</v>
      </c>
      <c r="R1897" s="122">
        <v>225445</v>
      </c>
      <c r="S1897" s="122">
        <v>83498</v>
      </c>
      <c r="T1897" s="122">
        <v>0</v>
      </c>
      <c r="U1897" s="122">
        <v>0</v>
      </c>
      <c r="V1897" s="122">
        <v>411798</v>
      </c>
      <c r="W1897" s="122">
        <f t="shared" si="60"/>
        <v>411797</v>
      </c>
      <c r="X1897" s="122">
        <f t="shared" si="61"/>
        <v>962415</v>
      </c>
      <c r="AA1897" t="s">
        <v>62</v>
      </c>
      <c r="AB1897" t="s">
        <v>425</v>
      </c>
      <c r="AC1897" t="s">
        <v>580</v>
      </c>
      <c r="AD1897" t="s">
        <v>425</v>
      </c>
      <c r="AE1897" t="s">
        <v>137</v>
      </c>
      <c r="AF1897">
        <v>1</v>
      </c>
      <c r="AG1897">
        <v>93</v>
      </c>
      <c r="AH1897">
        <v>423</v>
      </c>
      <c r="AI1897" s="122">
        <v>30451</v>
      </c>
      <c r="AJ1897" s="122">
        <v>27683</v>
      </c>
      <c r="AK1897">
        <v>68</v>
      </c>
      <c r="AL1897" s="122">
        <v>3122</v>
      </c>
      <c r="AM1897" s="122">
        <v>2839</v>
      </c>
      <c r="AN1897" s="122">
        <v>1651</v>
      </c>
      <c r="AO1897" s="122">
        <v>612</v>
      </c>
      <c r="AP1897">
        <v>621</v>
      </c>
      <c r="AQ1897">
        <v>230</v>
      </c>
      <c r="AR1897" s="122">
        <v>3645</v>
      </c>
      <c r="AS1897" s="122">
        <v>3313</v>
      </c>
      <c r="AT1897">
        <v>0</v>
      </c>
      <c r="AU1897">
        <v>0</v>
      </c>
      <c r="AV1897" s="122">
        <v>34676</v>
      </c>
    </row>
    <row r="1898" spans="2:48" hidden="1">
      <c r="B1898" t="s">
        <v>375</v>
      </c>
      <c r="C1898" t="s">
        <v>58</v>
      </c>
      <c r="D1898" t="s">
        <v>406</v>
      </c>
      <c r="E1898" t="s">
        <v>137</v>
      </c>
      <c r="F1898" s="122">
        <v>2</v>
      </c>
      <c r="G1898" s="122">
        <v>262</v>
      </c>
      <c r="H1898" s="122">
        <v>574</v>
      </c>
      <c r="I1898" s="122">
        <v>47734</v>
      </c>
      <c r="J1898" s="122">
        <v>43394</v>
      </c>
      <c r="K1898" s="122">
        <v>73</v>
      </c>
      <c r="L1898" s="122">
        <v>9051</v>
      </c>
      <c r="M1898" s="122">
        <v>8228</v>
      </c>
      <c r="N1898" s="122">
        <v>4751</v>
      </c>
      <c r="O1898" s="122">
        <v>1760</v>
      </c>
      <c r="P1898" s="122">
        <v>1242</v>
      </c>
      <c r="Q1898" s="122">
        <v>460</v>
      </c>
      <c r="R1898" s="122">
        <v>11996</v>
      </c>
      <c r="S1898" s="122">
        <v>4443</v>
      </c>
      <c r="T1898" s="122">
        <v>0</v>
      </c>
      <c r="U1898" s="122">
        <v>0</v>
      </c>
      <c r="V1898" s="122">
        <v>58285</v>
      </c>
      <c r="W1898" s="122">
        <f t="shared" si="60"/>
        <v>58285</v>
      </c>
      <c r="X1898" s="122">
        <f t="shared" si="61"/>
        <v>74774</v>
      </c>
      <c r="AA1898" t="s">
        <v>62</v>
      </c>
      <c r="AB1898" t="s">
        <v>425</v>
      </c>
      <c r="AC1898" t="s">
        <v>427</v>
      </c>
      <c r="AD1898" t="s">
        <v>425</v>
      </c>
      <c r="AE1898" t="s">
        <v>137</v>
      </c>
      <c r="AF1898">
        <v>1</v>
      </c>
      <c r="AG1898">
        <v>264</v>
      </c>
      <c r="AH1898">
        <v>422</v>
      </c>
      <c r="AI1898" s="122">
        <v>79058</v>
      </c>
      <c r="AJ1898" s="122">
        <v>71871</v>
      </c>
      <c r="AK1898">
        <v>55</v>
      </c>
      <c r="AL1898" s="122">
        <v>15285</v>
      </c>
      <c r="AM1898" s="122">
        <v>13895</v>
      </c>
      <c r="AN1898" s="122">
        <v>4759</v>
      </c>
      <c r="AO1898" s="122">
        <v>1763</v>
      </c>
      <c r="AP1898">
        <v>473</v>
      </c>
      <c r="AQ1898">
        <v>175</v>
      </c>
      <c r="AR1898" s="122">
        <v>11897</v>
      </c>
      <c r="AS1898" s="122">
        <v>10815</v>
      </c>
      <c r="AT1898">
        <v>0</v>
      </c>
      <c r="AU1898">
        <v>0</v>
      </c>
      <c r="AV1898" s="122">
        <v>98519</v>
      </c>
    </row>
    <row r="1899" spans="2:48" hidden="1">
      <c r="B1899" t="s">
        <v>375</v>
      </c>
      <c r="C1899" t="s">
        <v>58</v>
      </c>
      <c r="D1899" t="s">
        <v>406</v>
      </c>
      <c r="E1899" t="s">
        <v>406</v>
      </c>
      <c r="F1899" s="122">
        <v>696</v>
      </c>
      <c r="G1899" s="122">
        <v>90310</v>
      </c>
      <c r="H1899" s="122">
        <v>179724</v>
      </c>
      <c r="I1899" s="122">
        <v>13514979</v>
      </c>
      <c r="J1899" s="122">
        <v>12286344</v>
      </c>
      <c r="K1899" s="122">
        <v>80</v>
      </c>
      <c r="L1899" s="122">
        <v>2675204</v>
      </c>
      <c r="M1899" s="122">
        <v>2381005</v>
      </c>
      <c r="N1899" s="122">
        <v>1870302</v>
      </c>
      <c r="O1899" s="122">
        <v>692704</v>
      </c>
      <c r="P1899" s="122">
        <v>467621</v>
      </c>
      <c r="Q1899" s="122">
        <v>173193</v>
      </c>
      <c r="R1899" s="122">
        <v>3451072</v>
      </c>
      <c r="S1899" s="122">
        <v>3137339</v>
      </c>
      <c r="T1899" s="122">
        <v>1504794</v>
      </c>
      <c r="U1899" s="122">
        <v>557331</v>
      </c>
      <c r="V1899" s="122">
        <v>19227916</v>
      </c>
      <c r="W1899" s="122">
        <f t="shared" si="60"/>
        <v>19227916</v>
      </c>
      <c r="X1899" s="122">
        <f t="shared" si="61"/>
        <v>23483972</v>
      </c>
      <c r="AA1899" t="s">
        <v>62</v>
      </c>
      <c r="AB1899" t="s">
        <v>425</v>
      </c>
      <c r="AC1899" t="s">
        <v>427</v>
      </c>
      <c r="AD1899" t="s">
        <v>425</v>
      </c>
      <c r="AE1899" t="s">
        <v>566</v>
      </c>
      <c r="AF1899">
        <v>1</v>
      </c>
      <c r="AG1899">
        <v>74</v>
      </c>
      <c r="AH1899">
        <v>386</v>
      </c>
      <c r="AI1899" s="122">
        <v>13756</v>
      </c>
      <c r="AJ1899" s="122">
        <v>12506</v>
      </c>
      <c r="AK1899">
        <v>81</v>
      </c>
      <c r="AL1899" s="122">
        <v>3928</v>
      </c>
      <c r="AM1899" s="122">
        <v>3571</v>
      </c>
      <c r="AN1899" s="122">
        <v>1681</v>
      </c>
      <c r="AO1899" s="122">
        <v>623</v>
      </c>
      <c r="AP1899">
        <v>473</v>
      </c>
      <c r="AQ1899">
        <v>175</v>
      </c>
      <c r="AR1899" s="122">
        <v>8636</v>
      </c>
      <c r="AS1899" s="122">
        <v>7851</v>
      </c>
      <c r="AT1899" s="122">
        <v>0</v>
      </c>
      <c r="AU1899" s="122">
        <v>0</v>
      </c>
      <c r="AV1899" s="122">
        <v>24726</v>
      </c>
    </row>
    <row r="1900" spans="2:48" hidden="1">
      <c r="B1900" t="s">
        <v>375</v>
      </c>
      <c r="C1900" t="s">
        <v>58</v>
      </c>
      <c r="D1900" t="s">
        <v>406</v>
      </c>
      <c r="E1900" t="s">
        <v>431</v>
      </c>
      <c r="F1900" s="122">
        <v>1</v>
      </c>
      <c r="G1900" s="122">
        <v>117</v>
      </c>
      <c r="H1900" s="122">
        <v>258</v>
      </c>
      <c r="I1900" s="122">
        <v>18011</v>
      </c>
      <c r="J1900" s="122">
        <v>16374</v>
      </c>
      <c r="K1900" s="122">
        <v>85</v>
      </c>
      <c r="L1900" s="122">
        <v>2936</v>
      </c>
      <c r="M1900" s="122">
        <v>2669</v>
      </c>
      <c r="N1900" s="122">
        <v>2708</v>
      </c>
      <c r="O1900" s="122">
        <v>1003</v>
      </c>
      <c r="P1900" s="122">
        <v>621</v>
      </c>
      <c r="Q1900" s="122">
        <v>230</v>
      </c>
      <c r="R1900" s="122">
        <v>5941</v>
      </c>
      <c r="S1900" s="122">
        <v>5401</v>
      </c>
      <c r="T1900" s="122">
        <v>0</v>
      </c>
      <c r="U1900" s="122">
        <v>0</v>
      </c>
      <c r="V1900" s="122">
        <v>25677</v>
      </c>
      <c r="W1900" s="122">
        <f t="shared" si="60"/>
        <v>25677</v>
      </c>
      <c r="X1900" s="122">
        <f t="shared" si="61"/>
        <v>30217</v>
      </c>
      <c r="AA1900" t="s">
        <v>62</v>
      </c>
      <c r="AB1900" t="s">
        <v>425</v>
      </c>
      <c r="AC1900" t="s">
        <v>579</v>
      </c>
      <c r="AD1900" t="s">
        <v>425</v>
      </c>
      <c r="AE1900" t="s">
        <v>137</v>
      </c>
      <c r="AF1900">
        <v>2</v>
      </c>
      <c r="AG1900">
        <v>186</v>
      </c>
      <c r="AH1900">
        <v>881</v>
      </c>
      <c r="AI1900" s="122">
        <v>54010</v>
      </c>
      <c r="AJ1900" s="122">
        <v>49100</v>
      </c>
      <c r="AK1900">
        <v>78</v>
      </c>
      <c r="AL1900" s="122">
        <v>11110</v>
      </c>
      <c r="AM1900" s="122">
        <v>9258</v>
      </c>
      <c r="AN1900" s="122">
        <v>3890</v>
      </c>
      <c r="AO1900" s="122">
        <v>1441</v>
      </c>
      <c r="AP1900" s="122">
        <v>824</v>
      </c>
      <c r="AQ1900">
        <v>305</v>
      </c>
      <c r="AR1900" s="122">
        <v>7346</v>
      </c>
      <c r="AS1900" s="122">
        <v>6678</v>
      </c>
      <c r="AT1900" s="122">
        <v>4947</v>
      </c>
      <c r="AU1900" s="122">
        <v>1832</v>
      </c>
      <c r="AV1900" s="122">
        <v>68615</v>
      </c>
    </row>
    <row r="1901" spans="2:48" hidden="1">
      <c r="B1901" t="s">
        <v>375</v>
      </c>
      <c r="C1901" t="s">
        <v>58</v>
      </c>
      <c r="D1901" t="s">
        <v>406</v>
      </c>
      <c r="E1901" t="s">
        <v>426</v>
      </c>
      <c r="F1901" s="122">
        <v>1</v>
      </c>
      <c r="G1901" s="122">
        <v>202</v>
      </c>
      <c r="H1901" s="122">
        <v>243</v>
      </c>
      <c r="I1901" s="122">
        <v>32838</v>
      </c>
      <c r="J1901" s="122">
        <v>29852</v>
      </c>
      <c r="K1901" s="122">
        <v>65</v>
      </c>
      <c r="L1901" s="122">
        <v>3469</v>
      </c>
      <c r="M1901" s="122">
        <v>3154</v>
      </c>
      <c r="N1901" s="122">
        <v>2512</v>
      </c>
      <c r="O1901" s="122">
        <v>930</v>
      </c>
      <c r="P1901" s="122">
        <v>621</v>
      </c>
      <c r="Q1901" s="122">
        <v>230</v>
      </c>
      <c r="R1901" s="122">
        <v>6201</v>
      </c>
      <c r="S1901" s="122">
        <v>5637</v>
      </c>
      <c r="T1901" s="122">
        <v>3542</v>
      </c>
      <c r="U1901" s="122">
        <v>1312</v>
      </c>
      <c r="V1901" s="122">
        <v>41116</v>
      </c>
      <c r="W1901" s="122">
        <f t="shared" si="60"/>
        <v>41115</v>
      </c>
      <c r="X1901" s="122">
        <f t="shared" si="61"/>
        <v>49183</v>
      </c>
      <c r="AA1901" t="s">
        <v>62</v>
      </c>
      <c r="AB1901" t="s">
        <v>425</v>
      </c>
      <c r="AC1901" t="s">
        <v>579</v>
      </c>
      <c r="AD1901" t="s">
        <v>425</v>
      </c>
      <c r="AE1901" t="s">
        <v>566</v>
      </c>
      <c r="AF1901">
        <v>2</v>
      </c>
      <c r="AG1901">
        <v>265</v>
      </c>
      <c r="AH1901" s="122">
        <v>846</v>
      </c>
      <c r="AI1901" s="122">
        <v>70147</v>
      </c>
      <c r="AJ1901" s="122">
        <v>63770</v>
      </c>
      <c r="AK1901">
        <v>73</v>
      </c>
      <c r="AL1901" s="122">
        <v>19670</v>
      </c>
      <c r="AM1901" s="122">
        <v>16391</v>
      </c>
      <c r="AN1901" s="122">
        <v>5045</v>
      </c>
      <c r="AO1901" s="122">
        <v>1868</v>
      </c>
      <c r="AP1901" s="122">
        <v>1296</v>
      </c>
      <c r="AQ1901" s="122">
        <v>480</v>
      </c>
      <c r="AR1901" s="122">
        <v>14842</v>
      </c>
      <c r="AS1901" s="122">
        <v>13493</v>
      </c>
      <c r="AT1901" s="122">
        <v>0</v>
      </c>
      <c r="AU1901" s="122">
        <v>0</v>
      </c>
      <c r="AV1901" s="122">
        <v>96003</v>
      </c>
    </row>
    <row r="1902" spans="2:48" hidden="1">
      <c r="B1902" t="s">
        <v>375</v>
      </c>
      <c r="C1902" t="s">
        <v>58</v>
      </c>
      <c r="D1902" t="s">
        <v>427</v>
      </c>
      <c r="E1902" t="s">
        <v>427</v>
      </c>
      <c r="F1902" s="122">
        <v>1</v>
      </c>
      <c r="G1902" s="122">
        <v>130</v>
      </c>
      <c r="H1902" s="122">
        <v>287</v>
      </c>
      <c r="I1902" s="122">
        <v>22981</v>
      </c>
      <c r="J1902" s="122">
        <v>20891</v>
      </c>
      <c r="K1902" s="122">
        <v>60</v>
      </c>
      <c r="L1902" s="122">
        <v>2786</v>
      </c>
      <c r="M1902" s="122">
        <v>2532</v>
      </c>
      <c r="N1902" s="122">
        <v>2455</v>
      </c>
      <c r="O1902" s="122">
        <v>909</v>
      </c>
      <c r="P1902" s="122">
        <v>351</v>
      </c>
      <c r="Q1902" s="122">
        <v>130</v>
      </c>
      <c r="R1902" s="122">
        <v>5718</v>
      </c>
      <c r="S1902" s="122">
        <v>5199</v>
      </c>
      <c r="T1902" s="122">
        <v>3061</v>
      </c>
      <c r="U1902" s="122">
        <v>1134</v>
      </c>
      <c r="V1902" s="122">
        <v>30795</v>
      </c>
      <c r="W1902" s="122">
        <f t="shared" si="60"/>
        <v>30795</v>
      </c>
      <c r="X1902" s="122">
        <f t="shared" si="61"/>
        <v>37352</v>
      </c>
      <c r="AA1902" t="s">
        <v>62</v>
      </c>
      <c r="AB1902" t="s">
        <v>425</v>
      </c>
      <c r="AC1902" t="s">
        <v>426</v>
      </c>
      <c r="AD1902" t="s">
        <v>425</v>
      </c>
      <c r="AE1902" t="s">
        <v>137</v>
      </c>
      <c r="AF1902">
        <v>5</v>
      </c>
      <c r="AG1902">
        <v>454</v>
      </c>
      <c r="AH1902" s="122">
        <v>2118</v>
      </c>
      <c r="AI1902" s="122">
        <v>128529</v>
      </c>
      <c r="AJ1902" s="122">
        <v>116845</v>
      </c>
      <c r="AK1902">
        <v>70</v>
      </c>
      <c r="AL1902" s="122">
        <v>17301</v>
      </c>
      <c r="AM1902" s="122">
        <v>15728</v>
      </c>
      <c r="AN1902" s="122">
        <v>10367</v>
      </c>
      <c r="AO1902" s="122">
        <v>3840</v>
      </c>
      <c r="AP1902" s="122">
        <v>2714</v>
      </c>
      <c r="AQ1902" s="122">
        <v>1005</v>
      </c>
      <c r="AR1902" s="122">
        <v>23853</v>
      </c>
      <c r="AS1902" s="122">
        <v>21685</v>
      </c>
      <c r="AT1902" s="122">
        <v>10856</v>
      </c>
      <c r="AU1902" s="122">
        <v>4021</v>
      </c>
      <c r="AV1902" s="122">
        <v>163123</v>
      </c>
    </row>
    <row r="1903" spans="2:48" hidden="1">
      <c r="B1903" t="s">
        <v>375</v>
      </c>
      <c r="C1903" t="s">
        <v>58</v>
      </c>
      <c r="D1903" t="s">
        <v>407</v>
      </c>
      <c r="E1903" t="s">
        <v>407</v>
      </c>
      <c r="F1903" s="122">
        <v>4</v>
      </c>
      <c r="G1903" s="122">
        <v>471</v>
      </c>
      <c r="H1903" s="122">
        <v>985</v>
      </c>
      <c r="I1903" s="122">
        <v>62728</v>
      </c>
      <c r="J1903" s="122">
        <v>57025</v>
      </c>
      <c r="K1903" s="122">
        <v>80</v>
      </c>
      <c r="L1903" s="122">
        <v>16835</v>
      </c>
      <c r="M1903" s="122">
        <v>11896</v>
      </c>
      <c r="N1903" s="122">
        <v>9919</v>
      </c>
      <c r="O1903" s="122">
        <v>3674</v>
      </c>
      <c r="P1903" s="122">
        <v>1890</v>
      </c>
      <c r="Q1903" s="122">
        <v>700</v>
      </c>
      <c r="R1903" s="122">
        <v>19475</v>
      </c>
      <c r="S1903" s="122">
        <v>17705</v>
      </c>
      <c r="T1903" s="122">
        <v>5590</v>
      </c>
      <c r="U1903" s="122">
        <v>2070</v>
      </c>
      <c r="V1903" s="122">
        <v>93069</v>
      </c>
      <c r="W1903" s="122">
        <f t="shared" si="60"/>
        <v>93070</v>
      </c>
      <c r="X1903" s="122">
        <f t="shared" si="61"/>
        <v>116437</v>
      </c>
      <c r="AA1903" t="s">
        <v>62</v>
      </c>
      <c r="AB1903" t="s">
        <v>425</v>
      </c>
      <c r="AC1903" t="s">
        <v>426</v>
      </c>
      <c r="AD1903" t="s">
        <v>425</v>
      </c>
      <c r="AE1903" t="s">
        <v>566</v>
      </c>
      <c r="AF1903">
        <v>4</v>
      </c>
      <c r="AG1903">
        <v>314</v>
      </c>
      <c r="AH1903" s="122">
        <v>1575</v>
      </c>
      <c r="AI1903" s="122">
        <v>88128</v>
      </c>
      <c r="AJ1903" s="122">
        <v>80116</v>
      </c>
      <c r="AK1903">
        <v>79</v>
      </c>
      <c r="AL1903" s="122">
        <v>12252</v>
      </c>
      <c r="AM1903" s="122">
        <v>11138</v>
      </c>
      <c r="AN1903" s="122">
        <v>6413</v>
      </c>
      <c r="AO1903" s="122">
        <v>2375</v>
      </c>
      <c r="AP1903" s="122">
        <v>1647</v>
      </c>
      <c r="AQ1903">
        <v>610</v>
      </c>
      <c r="AR1903" s="122">
        <v>15272</v>
      </c>
      <c r="AS1903" s="122">
        <v>13884</v>
      </c>
      <c r="AT1903" s="122">
        <v>0</v>
      </c>
      <c r="AU1903" s="122">
        <v>0</v>
      </c>
      <c r="AV1903" s="122">
        <v>108123</v>
      </c>
    </row>
    <row r="1904" spans="2:48" hidden="1">
      <c r="B1904" t="s">
        <v>375</v>
      </c>
      <c r="C1904" t="s">
        <v>58</v>
      </c>
      <c r="D1904" t="s">
        <v>431</v>
      </c>
      <c r="E1904" t="s">
        <v>431</v>
      </c>
      <c r="F1904" s="122">
        <v>2</v>
      </c>
      <c r="G1904" s="122">
        <v>228</v>
      </c>
      <c r="H1904" s="122">
        <v>528</v>
      </c>
      <c r="I1904" s="122">
        <v>35351</v>
      </c>
      <c r="J1904" s="122">
        <v>32137</v>
      </c>
      <c r="K1904" s="122">
        <v>65</v>
      </c>
      <c r="L1904" s="122">
        <v>8510</v>
      </c>
      <c r="M1904" s="122">
        <v>7737</v>
      </c>
      <c r="N1904" s="122">
        <v>3881</v>
      </c>
      <c r="O1904" s="122">
        <v>1437</v>
      </c>
      <c r="P1904" s="122">
        <v>702</v>
      </c>
      <c r="Q1904" s="122">
        <v>260</v>
      </c>
      <c r="R1904" s="122">
        <v>7581</v>
      </c>
      <c r="S1904" s="122">
        <v>6892</v>
      </c>
      <c r="T1904" s="122">
        <v>5093</v>
      </c>
      <c r="U1904" s="122">
        <v>1886</v>
      </c>
      <c r="V1904" s="122">
        <v>50350</v>
      </c>
      <c r="W1904" s="122">
        <f t="shared" si="60"/>
        <v>50349</v>
      </c>
      <c r="X1904" s="122">
        <f t="shared" si="61"/>
        <v>61118</v>
      </c>
      <c r="AA1904" t="s">
        <v>62</v>
      </c>
      <c r="AB1904" t="s">
        <v>425</v>
      </c>
      <c r="AC1904" t="s">
        <v>426</v>
      </c>
      <c r="AD1904" t="s">
        <v>406</v>
      </c>
      <c r="AE1904" t="s">
        <v>137</v>
      </c>
      <c r="AF1904">
        <v>1</v>
      </c>
      <c r="AG1904">
        <v>70</v>
      </c>
      <c r="AH1904">
        <v>428</v>
      </c>
      <c r="AI1904" s="122">
        <v>16296</v>
      </c>
      <c r="AJ1904" s="122">
        <v>14815</v>
      </c>
      <c r="AK1904">
        <v>86</v>
      </c>
      <c r="AL1904" s="122">
        <v>2014</v>
      </c>
      <c r="AM1904" s="122">
        <v>1831</v>
      </c>
      <c r="AN1904" s="122">
        <v>1430</v>
      </c>
      <c r="AO1904" s="122">
        <v>530</v>
      </c>
      <c r="AP1904" s="122">
        <v>621</v>
      </c>
      <c r="AQ1904">
        <v>230</v>
      </c>
      <c r="AR1904" s="122">
        <v>5447</v>
      </c>
      <c r="AS1904" s="122">
        <v>4951</v>
      </c>
      <c r="AT1904" s="122">
        <v>4261</v>
      </c>
      <c r="AU1904" s="122">
        <v>1578</v>
      </c>
      <c r="AV1904" s="122">
        <v>23935</v>
      </c>
    </row>
    <row r="1905" spans="2:48" hidden="1">
      <c r="B1905" t="s">
        <v>375</v>
      </c>
      <c r="C1905" t="s">
        <v>58</v>
      </c>
      <c r="D1905" t="s">
        <v>426</v>
      </c>
      <c r="E1905" t="s">
        <v>426</v>
      </c>
      <c r="F1905" s="122">
        <v>35</v>
      </c>
      <c r="G1905" s="122">
        <v>4445</v>
      </c>
      <c r="H1905" s="122">
        <v>9555</v>
      </c>
      <c r="I1905" s="122">
        <v>784123</v>
      </c>
      <c r="J1905" s="122">
        <v>712839</v>
      </c>
      <c r="K1905" s="122">
        <v>63</v>
      </c>
      <c r="L1905" s="122">
        <v>77828</v>
      </c>
      <c r="M1905" s="122">
        <v>66019</v>
      </c>
      <c r="N1905" s="122">
        <v>88486</v>
      </c>
      <c r="O1905" s="122">
        <v>32773</v>
      </c>
      <c r="P1905" s="122">
        <v>22802</v>
      </c>
      <c r="Q1905" s="122">
        <v>8445</v>
      </c>
      <c r="R1905" s="122">
        <v>185112</v>
      </c>
      <c r="S1905" s="122">
        <v>168283</v>
      </c>
      <c r="T1905" s="122">
        <v>86751</v>
      </c>
      <c r="U1905" s="122">
        <v>32130</v>
      </c>
      <c r="V1905" s="122">
        <v>1020488</v>
      </c>
      <c r="W1905" s="122">
        <f t="shared" si="60"/>
        <v>1020489</v>
      </c>
      <c r="X1905" s="122">
        <f t="shared" si="61"/>
        <v>1245102</v>
      </c>
      <c r="AA1905" t="s">
        <v>62</v>
      </c>
      <c r="AB1905" t="s">
        <v>425</v>
      </c>
      <c r="AC1905" t="s">
        <v>426</v>
      </c>
      <c r="AD1905" t="s">
        <v>406</v>
      </c>
      <c r="AE1905" t="s">
        <v>566</v>
      </c>
      <c r="AF1905">
        <v>2</v>
      </c>
      <c r="AG1905">
        <v>224</v>
      </c>
      <c r="AH1905">
        <v>772</v>
      </c>
      <c r="AI1905" s="122">
        <v>56906</v>
      </c>
      <c r="AJ1905" s="122">
        <v>51733</v>
      </c>
      <c r="AK1905">
        <v>78</v>
      </c>
      <c r="AL1905" s="122">
        <v>12210</v>
      </c>
      <c r="AM1905" s="122">
        <v>11100</v>
      </c>
      <c r="AN1905" s="122">
        <v>4732</v>
      </c>
      <c r="AO1905" s="122">
        <v>1753</v>
      </c>
      <c r="AP1905" s="122">
        <v>1242</v>
      </c>
      <c r="AQ1905">
        <v>460</v>
      </c>
      <c r="AR1905" s="122">
        <v>11420</v>
      </c>
      <c r="AS1905" s="122">
        <v>10382</v>
      </c>
      <c r="AT1905" s="122">
        <v>0</v>
      </c>
      <c r="AU1905" s="122">
        <v>0</v>
      </c>
      <c r="AV1905" s="122">
        <v>75427</v>
      </c>
    </row>
    <row r="1906" spans="2:48" hidden="1">
      <c r="B1906" t="s">
        <v>375</v>
      </c>
      <c r="C1906" t="s">
        <v>58</v>
      </c>
      <c r="D1906" t="s">
        <v>408</v>
      </c>
      <c r="E1906" t="s">
        <v>408</v>
      </c>
      <c r="F1906" s="122">
        <v>1</v>
      </c>
      <c r="G1906" s="122">
        <v>157</v>
      </c>
      <c r="H1906" s="122">
        <v>245</v>
      </c>
      <c r="I1906" s="122">
        <v>24317</v>
      </c>
      <c r="J1906" s="122">
        <v>22106</v>
      </c>
      <c r="K1906" s="122">
        <v>65</v>
      </c>
      <c r="L1906" s="122">
        <v>2406</v>
      </c>
      <c r="M1906" s="122">
        <v>2187</v>
      </c>
      <c r="N1906" s="122">
        <v>3343</v>
      </c>
      <c r="O1906" s="122">
        <v>1238</v>
      </c>
      <c r="P1906" s="122">
        <v>473</v>
      </c>
      <c r="Q1906" s="122">
        <v>175</v>
      </c>
      <c r="R1906" s="122">
        <v>7941</v>
      </c>
      <c r="S1906" s="122">
        <v>7219</v>
      </c>
      <c r="T1906" s="122">
        <v>0</v>
      </c>
      <c r="U1906" s="122">
        <v>0</v>
      </c>
      <c r="V1906" s="122">
        <v>32925</v>
      </c>
      <c r="W1906" s="122">
        <f t="shared" si="60"/>
        <v>32925</v>
      </c>
      <c r="X1906" s="122">
        <f t="shared" si="61"/>
        <v>38480</v>
      </c>
      <c r="AA1906" t="s">
        <v>62</v>
      </c>
      <c r="AB1906" t="s">
        <v>425</v>
      </c>
      <c r="AC1906" t="s">
        <v>566</v>
      </c>
      <c r="AD1906" t="s">
        <v>425</v>
      </c>
      <c r="AE1906" t="s">
        <v>137</v>
      </c>
      <c r="AF1906">
        <v>1</v>
      </c>
      <c r="AG1906">
        <v>90</v>
      </c>
      <c r="AH1906">
        <v>445</v>
      </c>
      <c r="AI1906" s="122">
        <v>54375</v>
      </c>
      <c r="AJ1906" s="122">
        <v>49432</v>
      </c>
      <c r="AK1906">
        <v>65</v>
      </c>
      <c r="AL1906">
        <v>0</v>
      </c>
      <c r="AM1906" s="122">
        <v>6789</v>
      </c>
      <c r="AN1906" s="122">
        <v>2552</v>
      </c>
      <c r="AO1906" s="122">
        <v>945</v>
      </c>
      <c r="AP1906">
        <v>473</v>
      </c>
      <c r="AQ1906">
        <v>175</v>
      </c>
      <c r="AR1906" s="122">
        <v>5854</v>
      </c>
      <c r="AS1906" s="122">
        <v>5322</v>
      </c>
      <c r="AT1906" s="122">
        <v>3283</v>
      </c>
      <c r="AU1906" s="122">
        <v>1216</v>
      </c>
      <c r="AV1906" s="122">
        <v>63879</v>
      </c>
    </row>
    <row r="1907" spans="2:48" hidden="1">
      <c r="B1907" t="s">
        <v>375</v>
      </c>
      <c r="C1907" t="s">
        <v>58</v>
      </c>
      <c r="D1907" t="s">
        <v>429</v>
      </c>
      <c r="E1907" t="s">
        <v>429</v>
      </c>
      <c r="F1907" s="122">
        <v>1</v>
      </c>
      <c r="G1907" s="122">
        <v>157</v>
      </c>
      <c r="H1907" s="122">
        <v>237</v>
      </c>
      <c r="I1907" s="122">
        <v>20051</v>
      </c>
      <c r="J1907" s="122">
        <v>18228</v>
      </c>
      <c r="K1907" s="122">
        <v>85</v>
      </c>
      <c r="L1907" s="122">
        <v>6327</v>
      </c>
      <c r="M1907" s="122">
        <v>5752</v>
      </c>
      <c r="N1907" s="122">
        <v>2520</v>
      </c>
      <c r="O1907" s="122">
        <v>933</v>
      </c>
      <c r="P1907" s="122">
        <v>351</v>
      </c>
      <c r="Q1907" s="122">
        <v>130</v>
      </c>
      <c r="R1907" s="122">
        <v>4403</v>
      </c>
      <c r="S1907" s="122">
        <v>4003</v>
      </c>
      <c r="T1907" s="122">
        <v>3448</v>
      </c>
      <c r="U1907" s="122">
        <v>1277</v>
      </c>
      <c r="V1907" s="122">
        <v>30323</v>
      </c>
      <c r="W1907" s="122">
        <f t="shared" si="60"/>
        <v>30323</v>
      </c>
      <c r="X1907" s="122">
        <f t="shared" si="61"/>
        <v>37100</v>
      </c>
      <c r="AA1907" t="s">
        <v>62</v>
      </c>
      <c r="AB1907" t="s">
        <v>425</v>
      </c>
      <c r="AC1907" t="s">
        <v>566</v>
      </c>
      <c r="AD1907" t="s">
        <v>425</v>
      </c>
      <c r="AE1907" t="s">
        <v>566</v>
      </c>
      <c r="AF1907">
        <v>2</v>
      </c>
      <c r="AG1907">
        <v>144</v>
      </c>
      <c r="AH1907">
        <v>842</v>
      </c>
      <c r="AI1907" s="122">
        <v>44940</v>
      </c>
      <c r="AJ1907" s="122">
        <v>40855</v>
      </c>
      <c r="AK1907">
        <v>73</v>
      </c>
      <c r="AL1907" s="122">
        <v>0</v>
      </c>
      <c r="AM1907" s="122">
        <v>13633</v>
      </c>
      <c r="AN1907" s="122">
        <v>3521</v>
      </c>
      <c r="AO1907" s="122">
        <v>1304</v>
      </c>
      <c r="AP1907">
        <v>945</v>
      </c>
      <c r="AQ1907">
        <v>350</v>
      </c>
      <c r="AR1907" s="122">
        <v>11640</v>
      </c>
      <c r="AS1907" s="122">
        <v>10582</v>
      </c>
      <c r="AT1907">
        <v>0</v>
      </c>
      <c r="AU1907">
        <v>0</v>
      </c>
      <c r="AV1907" s="122">
        <v>66724</v>
      </c>
    </row>
    <row r="1908" spans="2:48" hidden="1">
      <c r="B1908" t="s">
        <v>375</v>
      </c>
      <c r="C1908" t="s">
        <v>60</v>
      </c>
      <c r="F1908" s="122">
        <v>1</v>
      </c>
      <c r="G1908" s="122">
        <v>48</v>
      </c>
      <c r="H1908" s="122">
        <v>320</v>
      </c>
      <c r="I1908" s="122"/>
      <c r="J1908" s="122">
        <v>0</v>
      </c>
      <c r="K1908" s="122"/>
      <c r="L1908" s="122"/>
      <c r="M1908" s="122">
        <v>0</v>
      </c>
      <c r="N1908" s="122">
        <v>1182</v>
      </c>
      <c r="O1908" s="122">
        <v>438</v>
      </c>
      <c r="P1908" s="122">
        <v>0</v>
      </c>
      <c r="Q1908" s="122">
        <v>0</v>
      </c>
      <c r="R1908" s="122"/>
      <c r="S1908" s="122">
        <v>0</v>
      </c>
      <c r="T1908" s="122">
        <v>0</v>
      </c>
      <c r="U1908" s="122">
        <v>0</v>
      </c>
      <c r="V1908" s="122">
        <v>438</v>
      </c>
      <c r="W1908" s="122">
        <f t="shared" si="60"/>
        <v>438</v>
      </c>
      <c r="X1908" s="122">
        <f t="shared" si="61"/>
        <v>1182</v>
      </c>
      <c r="AA1908" t="s">
        <v>62</v>
      </c>
      <c r="AB1908" t="s">
        <v>425</v>
      </c>
      <c r="AC1908" t="s">
        <v>433</v>
      </c>
      <c r="AD1908" t="s">
        <v>425</v>
      </c>
      <c r="AE1908" t="s">
        <v>566</v>
      </c>
      <c r="AF1908">
        <v>1</v>
      </c>
      <c r="AG1908" s="122">
        <v>80</v>
      </c>
      <c r="AH1908" s="122">
        <v>408</v>
      </c>
      <c r="AI1908" s="122">
        <v>18665</v>
      </c>
      <c r="AJ1908" s="122">
        <v>16968</v>
      </c>
      <c r="AK1908">
        <v>92</v>
      </c>
      <c r="AL1908" s="122">
        <v>6042</v>
      </c>
      <c r="AM1908" s="122">
        <v>5493</v>
      </c>
      <c r="AN1908" s="122">
        <v>1949</v>
      </c>
      <c r="AO1908" s="122">
        <v>722</v>
      </c>
      <c r="AP1908" s="122">
        <v>351</v>
      </c>
      <c r="AQ1908" s="122">
        <v>130</v>
      </c>
      <c r="AR1908" s="122">
        <v>5602</v>
      </c>
      <c r="AS1908" s="122">
        <v>5093</v>
      </c>
      <c r="AT1908" s="122">
        <v>0</v>
      </c>
      <c r="AU1908" s="122">
        <v>0</v>
      </c>
      <c r="AV1908" s="122">
        <v>28405</v>
      </c>
    </row>
    <row r="1909" spans="2:48" hidden="1">
      <c r="B1909" t="s">
        <v>375</v>
      </c>
      <c r="C1909" t="s">
        <v>60</v>
      </c>
      <c r="D1909" t="s">
        <v>425</v>
      </c>
      <c r="E1909" t="s">
        <v>425</v>
      </c>
      <c r="F1909" s="122">
        <v>1</v>
      </c>
      <c r="G1909" s="122">
        <v>116</v>
      </c>
      <c r="H1909" s="122">
        <v>310</v>
      </c>
      <c r="I1909" s="122">
        <v>22781</v>
      </c>
      <c r="J1909" s="122">
        <v>20710</v>
      </c>
      <c r="K1909" s="122">
        <v>73</v>
      </c>
      <c r="L1909" s="122">
        <v>2542</v>
      </c>
      <c r="M1909" s="122">
        <v>2311</v>
      </c>
      <c r="N1909" s="122">
        <v>2728</v>
      </c>
      <c r="O1909" s="122">
        <v>1011</v>
      </c>
      <c r="P1909" s="122">
        <v>824</v>
      </c>
      <c r="Q1909" s="122">
        <v>305</v>
      </c>
      <c r="R1909" s="122">
        <v>4430</v>
      </c>
      <c r="S1909" s="122">
        <v>4027</v>
      </c>
      <c r="T1909" s="122">
        <v>2627</v>
      </c>
      <c r="U1909" s="122">
        <v>973</v>
      </c>
      <c r="V1909" s="122">
        <v>29337</v>
      </c>
      <c r="W1909" s="122">
        <f t="shared" si="60"/>
        <v>29337</v>
      </c>
      <c r="X1909" s="122">
        <f t="shared" si="61"/>
        <v>35932</v>
      </c>
      <c r="AA1909" t="s">
        <v>62</v>
      </c>
      <c r="AB1909" t="s">
        <v>405</v>
      </c>
      <c r="AC1909" t="s">
        <v>405</v>
      </c>
      <c r="AD1909" t="s">
        <v>405</v>
      </c>
      <c r="AE1909" t="s">
        <v>137</v>
      </c>
      <c r="AF1909">
        <v>12</v>
      </c>
      <c r="AG1909" s="122">
        <v>1394</v>
      </c>
      <c r="AH1909" s="122">
        <v>4958</v>
      </c>
      <c r="AI1909" s="122">
        <v>374363</v>
      </c>
      <c r="AJ1909" s="122">
        <v>340330</v>
      </c>
      <c r="AK1909">
        <v>69</v>
      </c>
      <c r="AL1909" s="122">
        <v>72637</v>
      </c>
      <c r="AM1909" s="122">
        <v>66033</v>
      </c>
      <c r="AN1909" s="122">
        <v>29405</v>
      </c>
      <c r="AO1909" s="122">
        <v>10891</v>
      </c>
      <c r="AP1909" s="122">
        <v>5184</v>
      </c>
      <c r="AQ1909" s="122">
        <v>1920</v>
      </c>
      <c r="AR1909" s="122">
        <v>64149</v>
      </c>
      <c r="AS1909" s="122">
        <v>58317</v>
      </c>
      <c r="AT1909" s="122">
        <v>26574</v>
      </c>
      <c r="AU1909" s="122">
        <v>9842</v>
      </c>
      <c r="AV1909" s="122">
        <v>487333</v>
      </c>
    </row>
    <row r="1910" spans="2:48" hidden="1">
      <c r="B1910" t="s">
        <v>375</v>
      </c>
      <c r="C1910" t="s">
        <v>60</v>
      </c>
      <c r="D1910" t="s">
        <v>405</v>
      </c>
      <c r="E1910" t="s">
        <v>405</v>
      </c>
      <c r="F1910" s="122">
        <v>7</v>
      </c>
      <c r="G1910" s="122">
        <v>874</v>
      </c>
      <c r="H1910" s="122">
        <v>2201</v>
      </c>
      <c r="I1910" s="122">
        <v>159151</v>
      </c>
      <c r="J1910" s="122">
        <v>144683</v>
      </c>
      <c r="K1910" s="122">
        <v>68</v>
      </c>
      <c r="L1910" s="122">
        <v>33501</v>
      </c>
      <c r="M1910" s="122">
        <v>30455</v>
      </c>
      <c r="N1910" s="122">
        <v>18791</v>
      </c>
      <c r="O1910" s="122">
        <v>6960</v>
      </c>
      <c r="P1910" s="122">
        <v>3308</v>
      </c>
      <c r="Q1910" s="122">
        <v>1225</v>
      </c>
      <c r="R1910" s="122">
        <v>36980</v>
      </c>
      <c r="S1910" s="122">
        <v>33618</v>
      </c>
      <c r="T1910" s="122">
        <v>21604</v>
      </c>
      <c r="U1910" s="122">
        <v>8001</v>
      </c>
      <c r="V1910" s="122">
        <v>224942</v>
      </c>
      <c r="W1910" s="122">
        <f t="shared" si="60"/>
        <v>224942</v>
      </c>
      <c r="X1910" s="122">
        <f t="shared" si="61"/>
        <v>273335</v>
      </c>
      <c r="AA1910" t="s">
        <v>62</v>
      </c>
      <c r="AB1910" t="s">
        <v>405</v>
      </c>
      <c r="AC1910" t="s">
        <v>405</v>
      </c>
      <c r="AD1910" t="s">
        <v>405</v>
      </c>
      <c r="AE1910" t="s">
        <v>566</v>
      </c>
      <c r="AF1910">
        <v>8</v>
      </c>
      <c r="AG1910">
        <v>920</v>
      </c>
      <c r="AH1910" s="122">
        <v>3198</v>
      </c>
      <c r="AI1910" s="122">
        <v>245739</v>
      </c>
      <c r="AJ1910" s="122">
        <v>223399</v>
      </c>
      <c r="AK1910">
        <v>87</v>
      </c>
      <c r="AL1910" s="122">
        <v>69239</v>
      </c>
      <c r="AM1910" s="122">
        <v>62945</v>
      </c>
      <c r="AN1910" s="122">
        <v>19659</v>
      </c>
      <c r="AO1910" s="122">
        <v>7281</v>
      </c>
      <c r="AP1910" s="122">
        <v>3659</v>
      </c>
      <c r="AQ1910" s="122">
        <v>1355</v>
      </c>
      <c r="AR1910" s="122">
        <v>31739</v>
      </c>
      <c r="AS1910" s="122">
        <v>28854</v>
      </c>
      <c r="AT1910" s="122">
        <v>0</v>
      </c>
      <c r="AU1910" s="122">
        <v>0</v>
      </c>
      <c r="AV1910" s="122">
        <v>323834</v>
      </c>
    </row>
    <row r="1911" spans="2:48" hidden="1">
      <c r="B1911" t="s">
        <v>375</v>
      </c>
      <c r="C1911" t="s">
        <v>60</v>
      </c>
      <c r="D1911" t="s">
        <v>137</v>
      </c>
      <c r="E1911" t="s">
        <v>137</v>
      </c>
      <c r="F1911" s="122">
        <v>45</v>
      </c>
      <c r="G1911" s="122">
        <v>4855</v>
      </c>
      <c r="H1911" s="122">
        <v>15126</v>
      </c>
      <c r="I1911" s="122">
        <v>1035891</v>
      </c>
      <c r="J1911" s="122">
        <v>383663</v>
      </c>
      <c r="K1911" s="122">
        <v>100</v>
      </c>
      <c r="L1911" s="122">
        <v>147475</v>
      </c>
      <c r="M1911" s="122">
        <v>130227</v>
      </c>
      <c r="N1911" s="122">
        <v>101253</v>
      </c>
      <c r="O1911" s="122">
        <v>37501</v>
      </c>
      <c r="P1911" s="122">
        <v>0</v>
      </c>
      <c r="Q1911" s="122">
        <v>0</v>
      </c>
      <c r="R1911" s="122">
        <v>350608</v>
      </c>
      <c r="S1911" s="122">
        <v>129855</v>
      </c>
      <c r="T1911" s="122">
        <v>0</v>
      </c>
      <c r="U1911" s="122">
        <v>0</v>
      </c>
      <c r="V1911" s="122">
        <v>681246</v>
      </c>
      <c r="W1911" s="122">
        <f t="shared" si="60"/>
        <v>681246</v>
      </c>
      <c r="X1911" s="122">
        <f t="shared" si="61"/>
        <v>1635227</v>
      </c>
      <c r="AA1911" t="s">
        <v>62</v>
      </c>
      <c r="AB1911" t="s">
        <v>405</v>
      </c>
      <c r="AC1911" t="s">
        <v>137</v>
      </c>
      <c r="AD1911" t="s">
        <v>405</v>
      </c>
      <c r="AE1911" t="s">
        <v>137</v>
      </c>
      <c r="AF1911">
        <v>4</v>
      </c>
      <c r="AG1911">
        <v>287</v>
      </c>
      <c r="AH1911" s="122">
        <v>1726</v>
      </c>
      <c r="AI1911" s="122">
        <v>67541</v>
      </c>
      <c r="AJ1911" s="122">
        <v>61401</v>
      </c>
      <c r="AK1911">
        <v>75</v>
      </c>
      <c r="AL1911" s="122">
        <v>19900</v>
      </c>
      <c r="AM1911" s="122">
        <v>7370</v>
      </c>
      <c r="AN1911" s="122">
        <v>4943</v>
      </c>
      <c r="AO1911" s="122">
        <v>1831</v>
      </c>
      <c r="AP1911" s="122">
        <v>1769</v>
      </c>
      <c r="AQ1911">
        <v>655</v>
      </c>
      <c r="AR1911" s="122">
        <v>22585</v>
      </c>
      <c r="AS1911" s="122">
        <v>20531</v>
      </c>
      <c r="AT1911" s="122">
        <v>7030</v>
      </c>
      <c r="AU1911" s="122">
        <v>2604</v>
      </c>
      <c r="AV1911" s="122">
        <v>94392</v>
      </c>
    </row>
    <row r="1912" spans="2:48" hidden="1">
      <c r="B1912" t="s">
        <v>375</v>
      </c>
      <c r="C1912" t="s">
        <v>60</v>
      </c>
      <c r="D1912" t="s">
        <v>137</v>
      </c>
      <c r="E1912" t="s">
        <v>426</v>
      </c>
      <c r="F1912" s="122">
        <v>1</v>
      </c>
      <c r="G1912" s="122">
        <v>149</v>
      </c>
      <c r="H1912" s="122">
        <v>328</v>
      </c>
      <c r="I1912" s="122">
        <v>28895</v>
      </c>
      <c r="J1912" s="122">
        <v>10702</v>
      </c>
      <c r="K1912" s="122">
        <v>100</v>
      </c>
      <c r="L1912" s="122">
        <v>3196</v>
      </c>
      <c r="M1912" s="122">
        <v>2905</v>
      </c>
      <c r="N1912" s="122">
        <v>3642</v>
      </c>
      <c r="O1912" s="122">
        <v>1349</v>
      </c>
      <c r="P1912" s="122">
        <v>0</v>
      </c>
      <c r="Q1912" s="122">
        <v>0</v>
      </c>
      <c r="R1912" s="122">
        <v>8053</v>
      </c>
      <c r="S1912" s="122">
        <v>7321</v>
      </c>
      <c r="T1912" s="122">
        <v>5241</v>
      </c>
      <c r="U1912" s="122">
        <v>1941</v>
      </c>
      <c r="V1912" s="122">
        <v>24218</v>
      </c>
      <c r="W1912" s="122">
        <f t="shared" si="60"/>
        <v>24218</v>
      </c>
      <c r="X1912" s="122">
        <f t="shared" si="61"/>
        <v>49027</v>
      </c>
      <c r="AA1912" t="s">
        <v>62</v>
      </c>
      <c r="AB1912" t="s">
        <v>405</v>
      </c>
      <c r="AC1912" t="s">
        <v>137</v>
      </c>
      <c r="AD1912" t="s">
        <v>405</v>
      </c>
      <c r="AE1912" t="s">
        <v>566</v>
      </c>
      <c r="AF1912">
        <v>3</v>
      </c>
      <c r="AG1912">
        <v>443</v>
      </c>
      <c r="AH1912" s="122">
        <v>1258</v>
      </c>
      <c r="AI1912" s="122">
        <v>114773</v>
      </c>
      <c r="AJ1912" s="122">
        <v>104339</v>
      </c>
      <c r="AK1912">
        <v>83</v>
      </c>
      <c r="AL1912" s="122">
        <v>40701</v>
      </c>
      <c r="AM1912" s="122">
        <v>15075</v>
      </c>
      <c r="AN1912" s="122">
        <v>10133</v>
      </c>
      <c r="AO1912" s="122">
        <v>3753</v>
      </c>
      <c r="AP1912" s="122">
        <v>1296</v>
      </c>
      <c r="AQ1912">
        <v>480</v>
      </c>
      <c r="AR1912" s="122">
        <v>19287</v>
      </c>
      <c r="AS1912" s="122">
        <v>17534</v>
      </c>
      <c r="AT1912" s="122">
        <v>0</v>
      </c>
      <c r="AU1912" s="122">
        <v>0</v>
      </c>
      <c r="AV1912" s="122">
        <v>141180</v>
      </c>
    </row>
    <row r="1913" spans="2:48" hidden="1">
      <c r="B1913" t="s">
        <v>375</v>
      </c>
      <c r="C1913" t="s">
        <v>60</v>
      </c>
      <c r="D1913" t="s">
        <v>406</v>
      </c>
      <c r="E1913" t="s">
        <v>555</v>
      </c>
      <c r="F1913" s="122">
        <v>1</v>
      </c>
      <c r="G1913" s="122">
        <v>197</v>
      </c>
      <c r="H1913" s="122">
        <v>318</v>
      </c>
      <c r="I1913" s="122">
        <v>41815</v>
      </c>
      <c r="J1913" s="122">
        <v>38013</v>
      </c>
      <c r="K1913" s="122">
        <v>65</v>
      </c>
      <c r="L1913" s="122">
        <v>4785</v>
      </c>
      <c r="M1913" s="122">
        <v>4350</v>
      </c>
      <c r="N1913" s="122">
        <v>4339</v>
      </c>
      <c r="O1913" s="122">
        <v>1607</v>
      </c>
      <c r="P1913" s="122">
        <v>621</v>
      </c>
      <c r="Q1913" s="122">
        <v>230</v>
      </c>
      <c r="R1913" s="122">
        <v>8000</v>
      </c>
      <c r="S1913" s="122">
        <v>7272</v>
      </c>
      <c r="T1913" s="122">
        <v>3047</v>
      </c>
      <c r="U1913" s="122">
        <v>1129</v>
      </c>
      <c r="V1913" s="122">
        <v>52602</v>
      </c>
      <c r="W1913" s="122">
        <f t="shared" si="60"/>
        <v>52601</v>
      </c>
      <c r="X1913" s="122">
        <f t="shared" si="61"/>
        <v>62607</v>
      </c>
      <c r="AA1913" t="s">
        <v>62</v>
      </c>
      <c r="AB1913" t="s">
        <v>405</v>
      </c>
      <c r="AC1913" t="s">
        <v>580</v>
      </c>
      <c r="AD1913" t="s">
        <v>405</v>
      </c>
      <c r="AE1913" t="s">
        <v>137</v>
      </c>
      <c r="AF1913">
        <v>2</v>
      </c>
      <c r="AG1913">
        <v>545</v>
      </c>
      <c r="AH1913">
        <v>865</v>
      </c>
      <c r="AI1913" s="122">
        <v>177691</v>
      </c>
      <c r="AJ1913" s="122">
        <v>161537</v>
      </c>
      <c r="AK1913">
        <v>69</v>
      </c>
      <c r="AL1913" s="122">
        <v>20313</v>
      </c>
      <c r="AM1913" s="122">
        <v>18466</v>
      </c>
      <c r="AN1913" s="122">
        <v>13270</v>
      </c>
      <c r="AO1913" s="122">
        <v>4915</v>
      </c>
      <c r="AP1913" s="122">
        <v>1094</v>
      </c>
      <c r="AQ1913">
        <v>405</v>
      </c>
      <c r="AR1913" s="122">
        <v>14305</v>
      </c>
      <c r="AS1913" s="122">
        <v>13004</v>
      </c>
      <c r="AT1913" s="122">
        <v>9161</v>
      </c>
      <c r="AU1913" s="122">
        <v>3393</v>
      </c>
      <c r="AV1913" s="122">
        <v>201721</v>
      </c>
    </row>
    <row r="1914" spans="2:48" hidden="1">
      <c r="B1914" t="s">
        <v>375</v>
      </c>
      <c r="C1914" t="s">
        <v>60</v>
      </c>
      <c r="D1914" t="s">
        <v>406</v>
      </c>
      <c r="E1914" t="s">
        <v>137</v>
      </c>
      <c r="F1914" s="122">
        <v>6</v>
      </c>
      <c r="G1914" s="122">
        <v>698</v>
      </c>
      <c r="H1914" s="122">
        <v>1970</v>
      </c>
      <c r="I1914" s="122">
        <v>149085</v>
      </c>
      <c r="J1914" s="122">
        <v>135531</v>
      </c>
      <c r="K1914" s="122">
        <v>80</v>
      </c>
      <c r="L1914" s="122">
        <v>22173</v>
      </c>
      <c r="M1914" s="122">
        <v>20157</v>
      </c>
      <c r="N1914" s="122">
        <v>15838</v>
      </c>
      <c r="O1914" s="122">
        <v>5866</v>
      </c>
      <c r="P1914" s="122">
        <v>3726</v>
      </c>
      <c r="Q1914" s="122">
        <v>1380</v>
      </c>
      <c r="R1914" s="122">
        <v>41993</v>
      </c>
      <c r="S1914" s="122">
        <v>15553</v>
      </c>
      <c r="T1914" s="122">
        <v>0</v>
      </c>
      <c r="U1914" s="122">
        <v>0</v>
      </c>
      <c r="V1914" s="122">
        <v>178488</v>
      </c>
      <c r="W1914" s="122">
        <f t="shared" si="60"/>
        <v>178487</v>
      </c>
      <c r="X1914" s="122">
        <f t="shared" si="61"/>
        <v>232815</v>
      </c>
      <c r="AA1914" t="s">
        <v>62</v>
      </c>
      <c r="AB1914" t="s">
        <v>405</v>
      </c>
      <c r="AC1914" t="s">
        <v>580</v>
      </c>
      <c r="AD1914" t="s">
        <v>405</v>
      </c>
      <c r="AE1914" t="s">
        <v>566</v>
      </c>
      <c r="AF1914">
        <v>1</v>
      </c>
      <c r="AG1914" s="122">
        <v>69</v>
      </c>
      <c r="AH1914" s="122">
        <v>404</v>
      </c>
      <c r="AI1914" s="122">
        <v>20150</v>
      </c>
      <c r="AJ1914" s="122">
        <v>18318</v>
      </c>
      <c r="AK1914">
        <v>91</v>
      </c>
      <c r="AL1914" s="122">
        <v>3713</v>
      </c>
      <c r="AM1914" s="122">
        <v>3375</v>
      </c>
      <c r="AN1914" s="122">
        <v>1307</v>
      </c>
      <c r="AO1914" s="122">
        <v>484</v>
      </c>
      <c r="AP1914" s="122">
        <v>473</v>
      </c>
      <c r="AQ1914" s="122">
        <v>175</v>
      </c>
      <c r="AR1914" s="122">
        <v>2121</v>
      </c>
      <c r="AS1914" s="122">
        <v>1929</v>
      </c>
      <c r="AT1914" s="122">
        <v>0</v>
      </c>
      <c r="AU1914" s="122">
        <v>0</v>
      </c>
      <c r="AV1914" s="122">
        <v>24281</v>
      </c>
    </row>
    <row r="1915" spans="2:48" hidden="1">
      <c r="B1915" t="s">
        <v>375</v>
      </c>
      <c r="C1915" t="s">
        <v>60</v>
      </c>
      <c r="D1915" t="s">
        <v>406</v>
      </c>
      <c r="E1915" t="s">
        <v>406</v>
      </c>
      <c r="F1915" s="122">
        <v>271</v>
      </c>
      <c r="G1915" s="122">
        <v>32642</v>
      </c>
      <c r="H1915" s="122">
        <v>91105</v>
      </c>
      <c r="I1915" s="122">
        <v>6855954</v>
      </c>
      <c r="J1915" s="122">
        <v>6232686</v>
      </c>
      <c r="K1915" s="122">
        <v>77</v>
      </c>
      <c r="L1915" s="122">
        <v>1278572</v>
      </c>
      <c r="M1915" s="122">
        <v>1152601</v>
      </c>
      <c r="N1915" s="122">
        <v>693139</v>
      </c>
      <c r="O1915" s="122">
        <v>256718</v>
      </c>
      <c r="P1915" s="122">
        <v>180954</v>
      </c>
      <c r="Q1915" s="122">
        <v>67020</v>
      </c>
      <c r="R1915" s="122">
        <v>1367015</v>
      </c>
      <c r="S1915" s="122">
        <v>1242741</v>
      </c>
      <c r="T1915" s="122">
        <v>622392</v>
      </c>
      <c r="U1915" s="122">
        <v>230515</v>
      </c>
      <c r="V1915" s="122">
        <v>9182281</v>
      </c>
      <c r="W1915" s="122">
        <f t="shared" si="60"/>
        <v>9182281</v>
      </c>
      <c r="X1915" s="122">
        <f t="shared" si="61"/>
        <v>10998026</v>
      </c>
      <c r="AA1915" t="s">
        <v>62</v>
      </c>
      <c r="AB1915" t="s">
        <v>405</v>
      </c>
      <c r="AC1915" t="s">
        <v>427</v>
      </c>
      <c r="AD1915" t="s">
        <v>405</v>
      </c>
      <c r="AE1915" t="s">
        <v>137</v>
      </c>
      <c r="AF1915">
        <v>8</v>
      </c>
      <c r="AG1915" s="122">
        <v>1091</v>
      </c>
      <c r="AH1915" s="122">
        <v>3320</v>
      </c>
      <c r="AI1915" s="122">
        <v>296154</v>
      </c>
      <c r="AJ1915" s="122">
        <v>269231</v>
      </c>
      <c r="AK1915">
        <v>81</v>
      </c>
      <c r="AL1915" s="122">
        <v>66839</v>
      </c>
      <c r="AM1915" s="122">
        <v>60763</v>
      </c>
      <c r="AN1915" s="122">
        <v>24771</v>
      </c>
      <c r="AO1915" s="122">
        <v>9174</v>
      </c>
      <c r="AP1915" s="122">
        <v>4010</v>
      </c>
      <c r="AQ1915" s="122">
        <v>1485</v>
      </c>
      <c r="AR1915" s="122">
        <v>37570</v>
      </c>
      <c r="AS1915" s="122">
        <v>34155</v>
      </c>
      <c r="AT1915" s="122">
        <v>24912</v>
      </c>
      <c r="AU1915" s="122">
        <v>9227</v>
      </c>
      <c r="AV1915" s="122">
        <v>384035</v>
      </c>
    </row>
    <row r="1916" spans="2:48" hidden="1">
      <c r="B1916" t="s">
        <v>375</v>
      </c>
      <c r="C1916" t="s">
        <v>60</v>
      </c>
      <c r="D1916" t="s">
        <v>427</v>
      </c>
      <c r="E1916" t="s">
        <v>406</v>
      </c>
      <c r="F1916" s="122">
        <v>1</v>
      </c>
      <c r="G1916" s="122">
        <v>96</v>
      </c>
      <c r="H1916" s="122">
        <v>345</v>
      </c>
      <c r="I1916" s="122">
        <v>21051</v>
      </c>
      <c r="J1916" s="122">
        <v>19137</v>
      </c>
      <c r="K1916" s="122">
        <v>85</v>
      </c>
      <c r="L1916" s="122">
        <v>3146</v>
      </c>
      <c r="M1916" s="122">
        <v>2860</v>
      </c>
      <c r="N1916" s="122">
        <v>2253</v>
      </c>
      <c r="O1916" s="122">
        <v>834</v>
      </c>
      <c r="P1916" s="122">
        <v>621</v>
      </c>
      <c r="Q1916" s="122">
        <v>230</v>
      </c>
      <c r="R1916" s="122">
        <v>3689</v>
      </c>
      <c r="S1916" s="122">
        <v>3353</v>
      </c>
      <c r="T1916" s="122">
        <v>2514</v>
      </c>
      <c r="U1916" s="122">
        <v>931</v>
      </c>
      <c r="V1916" s="122">
        <v>27346</v>
      </c>
      <c r="W1916" s="122">
        <f t="shared" si="60"/>
        <v>27345</v>
      </c>
      <c r="X1916" s="122">
        <f t="shared" si="61"/>
        <v>33274</v>
      </c>
      <c r="AA1916" t="s">
        <v>62</v>
      </c>
      <c r="AB1916" t="s">
        <v>405</v>
      </c>
      <c r="AC1916" t="s">
        <v>427</v>
      </c>
      <c r="AD1916" t="s">
        <v>405</v>
      </c>
      <c r="AE1916" t="s">
        <v>566</v>
      </c>
      <c r="AF1916">
        <v>1</v>
      </c>
      <c r="AG1916">
        <v>71</v>
      </c>
      <c r="AH1916">
        <v>436</v>
      </c>
      <c r="AI1916" s="122">
        <v>23159</v>
      </c>
      <c r="AJ1916" s="122">
        <v>21054</v>
      </c>
      <c r="AK1916">
        <v>81</v>
      </c>
      <c r="AL1916" s="122">
        <v>3285</v>
      </c>
      <c r="AM1916" s="122">
        <v>2987</v>
      </c>
      <c r="AN1916" s="122">
        <v>1627</v>
      </c>
      <c r="AO1916">
        <v>602</v>
      </c>
      <c r="AP1916">
        <v>473</v>
      </c>
      <c r="AQ1916">
        <v>175</v>
      </c>
      <c r="AR1916" s="122">
        <v>2585</v>
      </c>
      <c r="AS1916" s="122">
        <v>2350</v>
      </c>
      <c r="AT1916">
        <v>0</v>
      </c>
      <c r="AU1916">
        <v>0</v>
      </c>
      <c r="AV1916" s="122">
        <v>27168</v>
      </c>
    </row>
    <row r="1917" spans="2:48" hidden="1">
      <c r="B1917" t="s">
        <v>375</v>
      </c>
      <c r="C1917" t="s">
        <v>60</v>
      </c>
      <c r="D1917" t="s">
        <v>427</v>
      </c>
      <c r="E1917" t="s">
        <v>427</v>
      </c>
      <c r="F1917" s="122">
        <v>3</v>
      </c>
      <c r="G1917" s="122">
        <v>375</v>
      </c>
      <c r="H1917" s="122">
        <v>981</v>
      </c>
      <c r="I1917" s="122">
        <v>76608</v>
      </c>
      <c r="J1917" s="122">
        <v>69644</v>
      </c>
      <c r="K1917" s="122">
        <v>62</v>
      </c>
      <c r="L1917" s="122">
        <v>13707</v>
      </c>
      <c r="M1917" s="122">
        <v>12461</v>
      </c>
      <c r="N1917" s="122">
        <v>6965</v>
      </c>
      <c r="O1917" s="122">
        <v>2580</v>
      </c>
      <c r="P1917" s="122">
        <v>1323</v>
      </c>
      <c r="Q1917" s="122">
        <v>490</v>
      </c>
      <c r="R1917" s="122">
        <v>17927</v>
      </c>
      <c r="S1917" s="122">
        <v>16297</v>
      </c>
      <c r="T1917" s="122">
        <v>6050</v>
      </c>
      <c r="U1917" s="122">
        <v>2241</v>
      </c>
      <c r="V1917" s="122">
        <v>103712</v>
      </c>
      <c r="W1917" s="122">
        <f t="shared" si="60"/>
        <v>103713</v>
      </c>
      <c r="X1917" s="122">
        <f t="shared" si="61"/>
        <v>122580</v>
      </c>
      <c r="AA1917" t="s">
        <v>62</v>
      </c>
      <c r="AB1917" t="s">
        <v>405</v>
      </c>
      <c r="AC1917" t="s">
        <v>427</v>
      </c>
      <c r="AD1917" t="s">
        <v>137</v>
      </c>
      <c r="AE1917" t="s">
        <v>566</v>
      </c>
      <c r="AF1917">
        <v>1</v>
      </c>
      <c r="AG1917">
        <v>89</v>
      </c>
      <c r="AH1917" s="122">
        <v>429</v>
      </c>
      <c r="AI1917" s="122">
        <v>24711</v>
      </c>
      <c r="AJ1917" s="122">
        <v>22465</v>
      </c>
      <c r="AK1917">
        <v>82</v>
      </c>
      <c r="AL1917" s="122">
        <v>4104</v>
      </c>
      <c r="AM1917" s="122">
        <v>3730</v>
      </c>
      <c r="AN1917" s="122">
        <v>1193</v>
      </c>
      <c r="AO1917" s="122">
        <v>442</v>
      </c>
      <c r="AP1917" s="122">
        <v>473</v>
      </c>
      <c r="AQ1917">
        <v>175</v>
      </c>
      <c r="AR1917" s="122">
        <v>7736</v>
      </c>
      <c r="AS1917" s="122">
        <v>2865</v>
      </c>
      <c r="AT1917" s="122">
        <v>0</v>
      </c>
      <c r="AU1917" s="122">
        <v>0</v>
      </c>
      <c r="AV1917" s="122">
        <v>29677</v>
      </c>
    </row>
    <row r="1918" spans="2:48" hidden="1">
      <c r="B1918" t="s">
        <v>375</v>
      </c>
      <c r="C1918" t="s">
        <v>60</v>
      </c>
      <c r="D1918" t="s">
        <v>431</v>
      </c>
      <c r="E1918" t="s">
        <v>431</v>
      </c>
      <c r="F1918" s="122">
        <v>6</v>
      </c>
      <c r="G1918" s="122">
        <v>740</v>
      </c>
      <c r="H1918" s="122">
        <v>2122</v>
      </c>
      <c r="I1918" s="122">
        <v>164450</v>
      </c>
      <c r="J1918" s="122">
        <v>149500</v>
      </c>
      <c r="K1918" s="122">
        <v>50</v>
      </c>
      <c r="L1918" s="122">
        <v>22641</v>
      </c>
      <c r="M1918" s="122">
        <v>20582</v>
      </c>
      <c r="N1918" s="122">
        <v>14804</v>
      </c>
      <c r="O1918" s="122">
        <v>5483</v>
      </c>
      <c r="P1918" s="122">
        <v>2376</v>
      </c>
      <c r="Q1918" s="122">
        <v>880</v>
      </c>
      <c r="R1918" s="122">
        <v>45627</v>
      </c>
      <c r="S1918" s="122">
        <v>41479</v>
      </c>
      <c r="T1918" s="122">
        <v>11671</v>
      </c>
      <c r="U1918" s="122">
        <v>4322</v>
      </c>
      <c r="V1918" s="122">
        <v>222247</v>
      </c>
      <c r="W1918" s="122">
        <f t="shared" si="60"/>
        <v>222246</v>
      </c>
      <c r="X1918" s="122">
        <f t="shared" si="61"/>
        <v>261569</v>
      </c>
      <c r="AA1918" t="s">
        <v>62</v>
      </c>
      <c r="AB1918" t="s">
        <v>405</v>
      </c>
      <c r="AC1918" t="s">
        <v>579</v>
      </c>
      <c r="AD1918" t="s">
        <v>405</v>
      </c>
      <c r="AE1918" t="s">
        <v>137</v>
      </c>
      <c r="AF1918">
        <v>3</v>
      </c>
      <c r="AG1918">
        <v>426</v>
      </c>
      <c r="AH1918" s="122">
        <v>1285</v>
      </c>
      <c r="AI1918" s="122">
        <v>116979</v>
      </c>
      <c r="AJ1918" s="122">
        <v>106344</v>
      </c>
      <c r="AK1918">
        <v>80</v>
      </c>
      <c r="AL1918" s="122">
        <v>30794</v>
      </c>
      <c r="AM1918" s="122">
        <v>25661</v>
      </c>
      <c r="AN1918" s="122">
        <v>9039</v>
      </c>
      <c r="AO1918" s="122">
        <v>3348</v>
      </c>
      <c r="AP1918" s="122">
        <v>1769</v>
      </c>
      <c r="AQ1918">
        <v>655</v>
      </c>
      <c r="AR1918" s="122">
        <v>14563</v>
      </c>
      <c r="AS1918" s="122">
        <v>13239</v>
      </c>
      <c r="AT1918" s="122">
        <v>10031</v>
      </c>
      <c r="AU1918" s="122">
        <v>3715</v>
      </c>
      <c r="AV1918" s="122">
        <v>152963</v>
      </c>
    </row>
    <row r="1919" spans="2:48" hidden="1">
      <c r="B1919" t="s">
        <v>375</v>
      </c>
      <c r="C1919" t="s">
        <v>60</v>
      </c>
      <c r="D1919" t="s">
        <v>426</v>
      </c>
      <c r="E1919" t="s">
        <v>137</v>
      </c>
      <c r="F1919" s="122">
        <v>2</v>
      </c>
      <c r="G1919" s="122">
        <v>246</v>
      </c>
      <c r="H1919" s="122">
        <v>694</v>
      </c>
      <c r="I1919" s="122">
        <v>60033</v>
      </c>
      <c r="J1919" s="122">
        <v>54576</v>
      </c>
      <c r="K1919" s="122">
        <v>45</v>
      </c>
      <c r="L1919" s="122">
        <v>6601</v>
      </c>
      <c r="M1919" s="122">
        <v>3885</v>
      </c>
      <c r="N1919" s="122">
        <v>5931</v>
      </c>
      <c r="O1919" s="122">
        <v>2197</v>
      </c>
      <c r="P1919" s="122">
        <v>0</v>
      </c>
      <c r="Q1919" s="122">
        <v>0</v>
      </c>
      <c r="R1919" s="122">
        <v>13306</v>
      </c>
      <c r="S1919" s="122">
        <v>4928</v>
      </c>
      <c r="T1919" s="122">
        <v>0</v>
      </c>
      <c r="U1919" s="122">
        <v>0</v>
      </c>
      <c r="V1919" s="122">
        <v>65586</v>
      </c>
      <c r="W1919" s="122">
        <f t="shared" si="60"/>
        <v>65586</v>
      </c>
      <c r="X1919" s="122">
        <f t="shared" si="61"/>
        <v>85871</v>
      </c>
      <c r="AA1919" t="s">
        <v>62</v>
      </c>
      <c r="AB1919" t="s">
        <v>405</v>
      </c>
      <c r="AC1919" t="s">
        <v>579</v>
      </c>
      <c r="AD1919" t="s">
        <v>405</v>
      </c>
      <c r="AE1919" t="s">
        <v>566</v>
      </c>
      <c r="AF1919">
        <v>3</v>
      </c>
      <c r="AG1919">
        <v>738</v>
      </c>
      <c r="AH1919" s="122">
        <v>1289</v>
      </c>
      <c r="AI1919" s="122">
        <v>227462</v>
      </c>
      <c r="AJ1919" s="122">
        <v>206783</v>
      </c>
      <c r="AK1919">
        <v>82</v>
      </c>
      <c r="AL1919" s="122">
        <v>75888</v>
      </c>
      <c r="AM1919" s="122">
        <v>63240</v>
      </c>
      <c r="AN1919" s="122">
        <v>18267</v>
      </c>
      <c r="AO1919" s="122">
        <v>6765</v>
      </c>
      <c r="AP1919" s="122">
        <v>2471</v>
      </c>
      <c r="AQ1919">
        <v>915</v>
      </c>
      <c r="AR1919" s="122">
        <v>22657</v>
      </c>
      <c r="AS1919" s="122">
        <v>20598</v>
      </c>
      <c r="AT1919" s="122">
        <v>0</v>
      </c>
      <c r="AU1919">
        <v>0</v>
      </c>
      <c r="AV1919" s="122">
        <v>298301</v>
      </c>
    </row>
    <row r="1920" spans="2:48" hidden="1">
      <c r="B1920" t="s">
        <v>375</v>
      </c>
      <c r="C1920" t="s">
        <v>60</v>
      </c>
      <c r="D1920" t="s">
        <v>426</v>
      </c>
      <c r="E1920" t="s">
        <v>426</v>
      </c>
      <c r="F1920" s="122">
        <v>52</v>
      </c>
      <c r="G1920" s="122">
        <v>5754</v>
      </c>
      <c r="H1920" s="122">
        <v>18146</v>
      </c>
      <c r="I1920" s="122">
        <v>1243933</v>
      </c>
      <c r="J1920" s="122">
        <v>1130848</v>
      </c>
      <c r="K1920" s="122">
        <v>55</v>
      </c>
      <c r="L1920" s="122">
        <v>171307</v>
      </c>
      <c r="M1920" s="122">
        <v>151188</v>
      </c>
      <c r="N1920" s="122">
        <v>113754</v>
      </c>
      <c r="O1920" s="122">
        <v>42131</v>
      </c>
      <c r="P1920" s="122">
        <v>25542</v>
      </c>
      <c r="Q1920" s="122">
        <v>9460</v>
      </c>
      <c r="R1920" s="122">
        <v>319768</v>
      </c>
      <c r="S1920" s="122">
        <v>290698</v>
      </c>
      <c r="T1920" s="122">
        <v>124903</v>
      </c>
      <c r="U1920" s="122">
        <v>46260</v>
      </c>
      <c r="V1920" s="122">
        <v>1670586</v>
      </c>
      <c r="W1920" s="122">
        <f t="shared" si="60"/>
        <v>1670585</v>
      </c>
      <c r="X1920" s="122">
        <f t="shared" si="61"/>
        <v>1999207</v>
      </c>
      <c r="AA1920" t="s">
        <v>62</v>
      </c>
      <c r="AB1920" t="s">
        <v>405</v>
      </c>
      <c r="AC1920" t="s">
        <v>431</v>
      </c>
      <c r="AD1920" t="s">
        <v>405</v>
      </c>
      <c r="AE1920" t="s">
        <v>137</v>
      </c>
      <c r="AF1920">
        <v>1</v>
      </c>
      <c r="AG1920">
        <v>109</v>
      </c>
      <c r="AH1920">
        <v>446</v>
      </c>
      <c r="AI1920" s="122">
        <v>32461</v>
      </c>
      <c r="AJ1920" s="122">
        <v>29510</v>
      </c>
      <c r="AK1920">
        <v>65</v>
      </c>
      <c r="AL1920" s="122">
        <v>7430</v>
      </c>
      <c r="AM1920" s="122">
        <v>6754</v>
      </c>
      <c r="AN1920" s="122">
        <v>2664</v>
      </c>
      <c r="AO1920" s="122">
        <v>987</v>
      </c>
      <c r="AP1920">
        <v>473</v>
      </c>
      <c r="AQ1920">
        <v>175</v>
      </c>
      <c r="AR1920" s="122">
        <v>3289</v>
      </c>
      <c r="AS1920" s="122">
        <v>2990</v>
      </c>
      <c r="AT1920" s="122">
        <v>2455</v>
      </c>
      <c r="AU1920" s="122">
        <v>909</v>
      </c>
      <c r="AV1920" s="122">
        <v>41326</v>
      </c>
    </row>
    <row r="1921" spans="2:48" hidden="1">
      <c r="B1921" t="s">
        <v>375</v>
      </c>
      <c r="C1921" t="s">
        <v>60</v>
      </c>
      <c r="D1921" t="s">
        <v>433</v>
      </c>
      <c r="E1921" t="s">
        <v>433</v>
      </c>
      <c r="F1921" s="122">
        <v>2</v>
      </c>
      <c r="G1921" s="122">
        <v>143</v>
      </c>
      <c r="H1921" s="122">
        <v>674</v>
      </c>
      <c r="I1921" s="122">
        <v>29702</v>
      </c>
      <c r="J1921" s="122">
        <v>27002</v>
      </c>
      <c r="K1921" s="122">
        <v>60</v>
      </c>
      <c r="L1921" s="122">
        <v>4326</v>
      </c>
      <c r="M1921" s="122">
        <v>3932</v>
      </c>
      <c r="N1921" s="122">
        <v>2245</v>
      </c>
      <c r="O1921" s="122">
        <v>831</v>
      </c>
      <c r="P1921" s="122">
        <v>702</v>
      </c>
      <c r="Q1921" s="122">
        <v>260</v>
      </c>
      <c r="R1921" s="122">
        <v>9884</v>
      </c>
      <c r="S1921" s="122">
        <v>8985</v>
      </c>
      <c r="T1921" s="122">
        <v>2154</v>
      </c>
      <c r="U1921" s="122">
        <v>798</v>
      </c>
      <c r="V1921" s="122">
        <v>41809</v>
      </c>
      <c r="W1921" s="122">
        <f t="shared" si="60"/>
        <v>41808</v>
      </c>
      <c r="X1921" s="122">
        <f t="shared" si="61"/>
        <v>49013</v>
      </c>
      <c r="AA1921" t="s">
        <v>62</v>
      </c>
      <c r="AB1921" t="s">
        <v>405</v>
      </c>
      <c r="AC1921" t="s">
        <v>426</v>
      </c>
      <c r="AD1921" t="s">
        <v>425</v>
      </c>
      <c r="AE1921" t="s">
        <v>137</v>
      </c>
      <c r="AF1921">
        <v>1</v>
      </c>
      <c r="AG1921" s="122">
        <v>130</v>
      </c>
      <c r="AH1921" s="122">
        <v>417</v>
      </c>
      <c r="AI1921" s="122">
        <v>38670</v>
      </c>
      <c r="AJ1921" s="122">
        <v>35155</v>
      </c>
      <c r="AK1921">
        <v>80</v>
      </c>
      <c r="AL1921" s="122">
        <v>5736</v>
      </c>
      <c r="AM1921" s="122">
        <v>5215</v>
      </c>
      <c r="AN1921" s="122">
        <v>2901</v>
      </c>
      <c r="AO1921" s="122">
        <v>1074</v>
      </c>
      <c r="AP1921" s="122">
        <v>473</v>
      </c>
      <c r="AQ1921" s="122">
        <v>175</v>
      </c>
      <c r="AR1921" s="122">
        <v>3585</v>
      </c>
      <c r="AS1921" s="122">
        <v>3259</v>
      </c>
      <c r="AT1921" s="122">
        <v>2928</v>
      </c>
      <c r="AU1921" s="122">
        <v>1085</v>
      </c>
      <c r="AV1921" s="122">
        <v>45963</v>
      </c>
    </row>
    <row r="1922" spans="2:48" hidden="1">
      <c r="B1922" t="s">
        <v>375</v>
      </c>
      <c r="C1922" t="s">
        <v>60</v>
      </c>
      <c r="D1922" t="s">
        <v>408</v>
      </c>
      <c r="E1922" t="s">
        <v>408</v>
      </c>
      <c r="F1922" s="122">
        <v>2</v>
      </c>
      <c r="G1922" s="122">
        <v>162</v>
      </c>
      <c r="H1922" s="122">
        <v>730</v>
      </c>
      <c r="I1922" s="122">
        <v>37029</v>
      </c>
      <c r="J1922" s="122">
        <v>33663</v>
      </c>
      <c r="K1922" s="122">
        <v>65</v>
      </c>
      <c r="L1922" s="122">
        <v>6959</v>
      </c>
      <c r="M1922" s="122">
        <v>6327</v>
      </c>
      <c r="N1922" s="122">
        <v>2382</v>
      </c>
      <c r="O1922" s="122">
        <v>882</v>
      </c>
      <c r="P1922" s="122">
        <v>702</v>
      </c>
      <c r="Q1922" s="122">
        <v>260</v>
      </c>
      <c r="R1922" s="122">
        <v>9435</v>
      </c>
      <c r="S1922" s="122">
        <v>8577</v>
      </c>
      <c r="T1922" s="122">
        <v>2397</v>
      </c>
      <c r="U1922" s="122">
        <v>888</v>
      </c>
      <c r="V1922" s="122">
        <v>50597</v>
      </c>
      <c r="W1922" s="122">
        <f t="shared" si="60"/>
        <v>50597</v>
      </c>
      <c r="X1922" s="122">
        <f t="shared" si="61"/>
        <v>58904</v>
      </c>
      <c r="AA1922" t="s">
        <v>62</v>
      </c>
      <c r="AB1922" t="s">
        <v>405</v>
      </c>
      <c r="AC1922" t="s">
        <v>426</v>
      </c>
      <c r="AD1922" t="s">
        <v>405</v>
      </c>
      <c r="AE1922" t="s">
        <v>137</v>
      </c>
      <c r="AF1922">
        <v>36</v>
      </c>
      <c r="AG1922" s="122">
        <v>4830</v>
      </c>
      <c r="AH1922" s="122">
        <v>14830</v>
      </c>
      <c r="AI1922" s="122">
        <v>1291470</v>
      </c>
      <c r="AJ1922" s="122">
        <v>1174064</v>
      </c>
      <c r="AK1922">
        <v>75</v>
      </c>
      <c r="AL1922" s="122">
        <v>312085</v>
      </c>
      <c r="AM1922" s="122">
        <v>283714</v>
      </c>
      <c r="AN1922" s="122">
        <v>113068</v>
      </c>
      <c r="AO1922" s="122">
        <v>41877</v>
      </c>
      <c r="AP1922" s="122">
        <v>18873</v>
      </c>
      <c r="AQ1922" s="122">
        <v>6990</v>
      </c>
      <c r="AR1922" s="122">
        <v>182584</v>
      </c>
      <c r="AS1922" s="122">
        <v>165986</v>
      </c>
      <c r="AT1922" s="122">
        <v>83645</v>
      </c>
      <c r="AU1922" s="122">
        <v>30980</v>
      </c>
      <c r="AV1922" s="122">
        <v>1703610</v>
      </c>
    </row>
    <row r="1923" spans="2:48" hidden="1">
      <c r="B1923" t="s">
        <v>375</v>
      </c>
      <c r="C1923" t="s">
        <v>62</v>
      </c>
      <c r="D1923" t="s">
        <v>405</v>
      </c>
      <c r="E1923" t="s">
        <v>405</v>
      </c>
      <c r="F1923" s="122">
        <v>3</v>
      </c>
      <c r="G1923" s="122">
        <v>288</v>
      </c>
      <c r="H1923" s="122">
        <v>1184</v>
      </c>
      <c r="I1923" s="122">
        <v>76629</v>
      </c>
      <c r="J1923" s="122">
        <v>69663</v>
      </c>
      <c r="K1923" s="122">
        <v>73</v>
      </c>
      <c r="L1923" s="122">
        <v>12806</v>
      </c>
      <c r="M1923" s="122">
        <v>11642</v>
      </c>
      <c r="N1923" s="122">
        <v>6209</v>
      </c>
      <c r="O1923" s="122">
        <v>2300</v>
      </c>
      <c r="P1923" s="122">
        <v>1647</v>
      </c>
      <c r="Q1923" s="122">
        <v>610</v>
      </c>
      <c r="R1923" s="122">
        <v>11470</v>
      </c>
      <c r="S1923" s="122">
        <v>10427</v>
      </c>
      <c r="T1923" s="122">
        <v>4699</v>
      </c>
      <c r="U1923" s="122">
        <v>1740</v>
      </c>
      <c r="V1923" s="122">
        <v>96382</v>
      </c>
      <c r="W1923" s="122">
        <f t="shared" si="60"/>
        <v>96382</v>
      </c>
      <c r="X1923" s="122">
        <f t="shared" si="61"/>
        <v>113460</v>
      </c>
      <c r="AA1923" t="s">
        <v>62</v>
      </c>
      <c r="AB1923" t="s">
        <v>405</v>
      </c>
      <c r="AC1923" t="s">
        <v>426</v>
      </c>
      <c r="AD1923" t="s">
        <v>405</v>
      </c>
      <c r="AE1923" t="s">
        <v>566</v>
      </c>
      <c r="AF1923">
        <v>35</v>
      </c>
      <c r="AG1923" s="122">
        <v>3861</v>
      </c>
      <c r="AH1923" s="122">
        <v>14331</v>
      </c>
      <c r="AI1923" s="122">
        <v>1109554</v>
      </c>
      <c r="AJ1923" s="122">
        <v>1008686</v>
      </c>
      <c r="AK1923">
        <v>82</v>
      </c>
      <c r="AL1923" s="122">
        <v>242355</v>
      </c>
      <c r="AM1923" s="122">
        <v>220323</v>
      </c>
      <c r="AN1923" s="122">
        <v>83012</v>
      </c>
      <c r="AO1923" s="122">
        <v>30745</v>
      </c>
      <c r="AP1923" s="122">
        <v>17699</v>
      </c>
      <c r="AQ1923" s="122">
        <v>6555</v>
      </c>
      <c r="AR1923" s="122">
        <v>166095</v>
      </c>
      <c r="AS1923" s="122">
        <v>150996</v>
      </c>
      <c r="AT1923" s="122">
        <v>0</v>
      </c>
      <c r="AU1923" s="122">
        <v>0</v>
      </c>
      <c r="AV1923" s="122">
        <v>1417304</v>
      </c>
    </row>
    <row r="1924" spans="2:48" hidden="1">
      <c r="B1924" t="s">
        <v>375</v>
      </c>
      <c r="C1924" t="s">
        <v>62</v>
      </c>
      <c r="D1924" t="s">
        <v>137</v>
      </c>
      <c r="E1924" t="s">
        <v>137</v>
      </c>
      <c r="F1924" s="122">
        <v>13</v>
      </c>
      <c r="G1924" s="122">
        <v>825</v>
      </c>
      <c r="H1924" s="122">
        <v>5240</v>
      </c>
      <c r="I1924" s="122">
        <v>207328</v>
      </c>
      <c r="J1924" s="122">
        <v>76788</v>
      </c>
      <c r="K1924" s="122">
        <v>100</v>
      </c>
      <c r="L1924" s="122">
        <v>35040</v>
      </c>
      <c r="M1924" s="122">
        <v>30338</v>
      </c>
      <c r="N1924" s="122">
        <v>14354</v>
      </c>
      <c r="O1924" s="122">
        <v>5316</v>
      </c>
      <c r="P1924" s="122">
        <v>0</v>
      </c>
      <c r="Q1924" s="122">
        <v>0</v>
      </c>
      <c r="R1924" s="122">
        <v>77796</v>
      </c>
      <c r="S1924" s="122">
        <v>28813</v>
      </c>
      <c r="T1924" s="122">
        <v>0</v>
      </c>
      <c r="U1924" s="122">
        <v>0</v>
      </c>
      <c r="V1924" s="122">
        <v>141256</v>
      </c>
      <c r="W1924" s="122">
        <f t="shared" si="60"/>
        <v>141255</v>
      </c>
      <c r="X1924" s="122">
        <f t="shared" si="61"/>
        <v>334518</v>
      </c>
      <c r="AA1924" t="s">
        <v>62</v>
      </c>
      <c r="AB1924" t="s">
        <v>405</v>
      </c>
      <c r="AC1924" t="s">
        <v>426</v>
      </c>
      <c r="AD1924" t="s">
        <v>406</v>
      </c>
      <c r="AE1924" t="s">
        <v>137</v>
      </c>
      <c r="AF1924">
        <v>1</v>
      </c>
      <c r="AG1924">
        <v>128</v>
      </c>
      <c r="AH1924" s="122">
        <v>399</v>
      </c>
      <c r="AI1924" s="122">
        <v>36293</v>
      </c>
      <c r="AJ1924" s="122">
        <v>32994</v>
      </c>
      <c r="AK1924">
        <v>85</v>
      </c>
      <c r="AL1924" s="122">
        <v>10848</v>
      </c>
      <c r="AM1924" s="122">
        <v>9861</v>
      </c>
      <c r="AN1924" s="122">
        <v>2659</v>
      </c>
      <c r="AO1924" s="122">
        <v>985</v>
      </c>
      <c r="AP1924" s="122">
        <v>621</v>
      </c>
      <c r="AQ1924">
        <v>230</v>
      </c>
      <c r="AR1924" s="122">
        <v>4429</v>
      </c>
      <c r="AS1924" s="122">
        <v>4027</v>
      </c>
      <c r="AT1924" s="122">
        <v>3237</v>
      </c>
      <c r="AU1924" s="122">
        <v>1199</v>
      </c>
      <c r="AV1924" s="122">
        <v>49296</v>
      </c>
    </row>
    <row r="1925" spans="2:48" hidden="1">
      <c r="B1925" t="s">
        <v>375</v>
      </c>
      <c r="C1925" t="s">
        <v>62</v>
      </c>
      <c r="D1925" t="s">
        <v>137</v>
      </c>
      <c r="E1925" t="s">
        <v>426</v>
      </c>
      <c r="F1925" s="122">
        <v>1</v>
      </c>
      <c r="G1925" s="122">
        <v>66</v>
      </c>
      <c r="H1925" s="122">
        <v>417</v>
      </c>
      <c r="I1925" s="122">
        <v>16783</v>
      </c>
      <c r="J1925" s="122">
        <v>6216</v>
      </c>
      <c r="K1925" s="122">
        <v>100</v>
      </c>
      <c r="L1925" s="122">
        <v>1688</v>
      </c>
      <c r="M1925" s="122">
        <v>1535</v>
      </c>
      <c r="N1925" s="122">
        <v>1063</v>
      </c>
      <c r="O1925" s="122">
        <v>394</v>
      </c>
      <c r="P1925" s="122">
        <v>473</v>
      </c>
      <c r="Q1925" s="122">
        <v>175</v>
      </c>
      <c r="R1925" s="122">
        <v>5454</v>
      </c>
      <c r="S1925" s="122">
        <v>4958</v>
      </c>
      <c r="T1925" s="122">
        <v>1880</v>
      </c>
      <c r="U1925" s="122">
        <v>696</v>
      </c>
      <c r="V1925" s="122">
        <v>13974</v>
      </c>
      <c r="W1925" s="122">
        <f t="shared" si="60"/>
        <v>13974</v>
      </c>
      <c r="X1925" s="122">
        <f t="shared" si="61"/>
        <v>27341</v>
      </c>
      <c r="AA1925" t="s">
        <v>62</v>
      </c>
      <c r="AB1925" t="s">
        <v>405</v>
      </c>
      <c r="AC1925" t="s">
        <v>566</v>
      </c>
      <c r="AD1925" t="s">
        <v>405</v>
      </c>
      <c r="AE1925" t="s">
        <v>137</v>
      </c>
      <c r="AF1925">
        <v>3</v>
      </c>
      <c r="AG1925">
        <v>300</v>
      </c>
      <c r="AH1925" s="122">
        <v>1217</v>
      </c>
      <c r="AI1925" s="122">
        <v>93353</v>
      </c>
      <c r="AJ1925" s="122">
        <v>84867</v>
      </c>
      <c r="AK1925">
        <v>73</v>
      </c>
      <c r="AL1925">
        <v>0</v>
      </c>
      <c r="AM1925">
        <v>0</v>
      </c>
      <c r="AN1925" s="122">
        <v>7121</v>
      </c>
      <c r="AO1925" s="122">
        <v>2637</v>
      </c>
      <c r="AP1925" s="122">
        <v>1418</v>
      </c>
      <c r="AQ1925" s="122">
        <v>525</v>
      </c>
      <c r="AR1925" s="122">
        <v>18353</v>
      </c>
      <c r="AS1925" s="122">
        <v>16685</v>
      </c>
      <c r="AT1925">
        <v>0</v>
      </c>
      <c r="AU1925">
        <v>0</v>
      </c>
      <c r="AV1925" s="122">
        <v>104714</v>
      </c>
    </row>
    <row r="1926" spans="2:48" hidden="1">
      <c r="B1926" t="s">
        <v>375</v>
      </c>
      <c r="C1926" t="s">
        <v>62</v>
      </c>
      <c r="D1926" t="s">
        <v>406</v>
      </c>
      <c r="E1926" t="s">
        <v>137</v>
      </c>
      <c r="F1926" s="122">
        <v>3</v>
      </c>
      <c r="G1926" s="122">
        <v>370</v>
      </c>
      <c r="H1926" s="122">
        <v>1312</v>
      </c>
      <c r="I1926" s="122">
        <v>120066</v>
      </c>
      <c r="J1926" s="122">
        <v>109151</v>
      </c>
      <c r="K1926" s="122">
        <v>73</v>
      </c>
      <c r="L1926" s="122">
        <v>11825</v>
      </c>
      <c r="M1926" s="122">
        <v>17148</v>
      </c>
      <c r="N1926" s="122">
        <v>7763</v>
      </c>
      <c r="O1926" s="122">
        <v>2875</v>
      </c>
      <c r="P1926" s="122">
        <v>1863</v>
      </c>
      <c r="Q1926" s="122">
        <v>690</v>
      </c>
      <c r="R1926" s="122">
        <v>20687</v>
      </c>
      <c r="S1926" s="122">
        <v>7662</v>
      </c>
      <c r="T1926" s="122">
        <v>0</v>
      </c>
      <c r="U1926" s="122">
        <v>0</v>
      </c>
      <c r="V1926" s="122">
        <v>137526</v>
      </c>
      <c r="W1926" s="122">
        <f t="shared" si="60"/>
        <v>137526</v>
      </c>
      <c r="X1926" s="122">
        <f t="shared" si="61"/>
        <v>162204</v>
      </c>
      <c r="AA1926" t="s">
        <v>62</v>
      </c>
      <c r="AB1926" t="s">
        <v>405</v>
      </c>
      <c r="AC1926" t="s">
        <v>566</v>
      </c>
      <c r="AD1926" t="s">
        <v>405</v>
      </c>
      <c r="AE1926" t="s">
        <v>566</v>
      </c>
      <c r="AF1926">
        <v>3</v>
      </c>
      <c r="AG1926">
        <v>545</v>
      </c>
      <c r="AH1926" s="122">
        <v>1278</v>
      </c>
      <c r="AI1926" s="122">
        <v>194320</v>
      </c>
      <c r="AJ1926" s="122">
        <v>176654</v>
      </c>
      <c r="AK1926">
        <v>77</v>
      </c>
      <c r="AL1926">
        <v>0</v>
      </c>
      <c r="AM1926">
        <v>0</v>
      </c>
      <c r="AN1926" s="122">
        <v>13154</v>
      </c>
      <c r="AO1926" s="122">
        <v>4872</v>
      </c>
      <c r="AP1926" s="122">
        <v>2889</v>
      </c>
      <c r="AQ1926" s="122">
        <v>1070</v>
      </c>
      <c r="AR1926" s="122">
        <v>22098</v>
      </c>
      <c r="AS1926" s="122">
        <v>20089</v>
      </c>
      <c r="AT1926">
        <v>0</v>
      </c>
      <c r="AU1926">
        <v>0</v>
      </c>
      <c r="AV1926" s="122">
        <v>202686</v>
      </c>
    </row>
    <row r="1927" spans="2:48" hidden="1">
      <c r="B1927" t="s">
        <v>375</v>
      </c>
      <c r="C1927" t="s">
        <v>62</v>
      </c>
      <c r="D1927" t="s">
        <v>406</v>
      </c>
      <c r="E1927" t="s">
        <v>406</v>
      </c>
      <c r="F1927" s="122">
        <v>150</v>
      </c>
      <c r="G1927" s="122">
        <v>16956</v>
      </c>
      <c r="H1927" s="122">
        <v>62144</v>
      </c>
      <c r="I1927" s="122">
        <v>4659951</v>
      </c>
      <c r="J1927" s="122">
        <v>4236319</v>
      </c>
      <c r="K1927" s="122">
        <v>77</v>
      </c>
      <c r="L1927" s="122">
        <v>857966</v>
      </c>
      <c r="M1927" s="122">
        <v>768502</v>
      </c>
      <c r="N1927" s="122">
        <v>347235</v>
      </c>
      <c r="O1927" s="122">
        <v>128605</v>
      </c>
      <c r="P1927" s="122">
        <v>98537</v>
      </c>
      <c r="Q1927" s="122">
        <v>36495</v>
      </c>
      <c r="R1927" s="122">
        <v>707920</v>
      </c>
      <c r="S1927" s="122">
        <v>643564</v>
      </c>
      <c r="T1927" s="122">
        <v>340210</v>
      </c>
      <c r="U1927" s="122">
        <v>126004</v>
      </c>
      <c r="V1927" s="122">
        <v>5939488</v>
      </c>
      <c r="W1927" s="122">
        <f t="shared" si="60"/>
        <v>5939489</v>
      </c>
      <c r="X1927" s="122">
        <f t="shared" si="61"/>
        <v>7011819</v>
      </c>
      <c r="AA1927" t="s">
        <v>62</v>
      </c>
      <c r="AB1927" t="s">
        <v>405</v>
      </c>
      <c r="AC1927" t="s">
        <v>566</v>
      </c>
      <c r="AD1927" t="s">
        <v>137</v>
      </c>
      <c r="AE1927" t="s">
        <v>137</v>
      </c>
      <c r="AF1927">
        <v>1</v>
      </c>
      <c r="AG1927">
        <v>171</v>
      </c>
      <c r="AH1927">
        <v>434</v>
      </c>
      <c r="AI1927" s="122">
        <v>63751</v>
      </c>
      <c r="AJ1927" s="122">
        <v>57955</v>
      </c>
      <c r="AK1927">
        <v>83</v>
      </c>
      <c r="AL1927" s="122">
        <v>0</v>
      </c>
      <c r="AM1927" s="122">
        <v>0</v>
      </c>
      <c r="AN1927" s="122">
        <v>2355</v>
      </c>
      <c r="AO1927" s="122">
        <v>872</v>
      </c>
      <c r="AP1927">
        <v>473</v>
      </c>
      <c r="AQ1927">
        <v>175</v>
      </c>
      <c r="AR1927" s="122">
        <v>7583</v>
      </c>
      <c r="AS1927" s="122">
        <v>2808</v>
      </c>
      <c r="AT1927">
        <v>0</v>
      </c>
      <c r="AU1927">
        <v>0</v>
      </c>
      <c r="AV1927" s="122">
        <v>61811</v>
      </c>
    </row>
    <row r="1928" spans="2:48" hidden="1">
      <c r="B1928" t="s">
        <v>375</v>
      </c>
      <c r="C1928" t="s">
        <v>62</v>
      </c>
      <c r="D1928" t="s">
        <v>427</v>
      </c>
      <c r="E1928" t="s">
        <v>427</v>
      </c>
      <c r="F1928" s="122">
        <v>1</v>
      </c>
      <c r="G1928" s="122">
        <v>109</v>
      </c>
      <c r="H1928" s="122">
        <v>391</v>
      </c>
      <c r="I1928" s="122">
        <v>32409</v>
      </c>
      <c r="J1928" s="122">
        <v>29463</v>
      </c>
      <c r="K1928" s="122">
        <v>65</v>
      </c>
      <c r="L1928" s="122">
        <v>5201</v>
      </c>
      <c r="M1928" s="122">
        <v>4729</v>
      </c>
      <c r="N1928" s="122">
        <v>2412</v>
      </c>
      <c r="O1928" s="122">
        <v>893</v>
      </c>
      <c r="P1928" s="122">
        <v>702</v>
      </c>
      <c r="Q1928" s="122">
        <v>260</v>
      </c>
      <c r="R1928" s="122">
        <v>4232</v>
      </c>
      <c r="S1928" s="122">
        <v>3847</v>
      </c>
      <c r="T1928" s="122">
        <v>2238</v>
      </c>
      <c r="U1928" s="122">
        <v>829</v>
      </c>
      <c r="V1928" s="122">
        <v>40020</v>
      </c>
      <c r="W1928" s="122">
        <f t="shared" si="60"/>
        <v>40021</v>
      </c>
      <c r="X1928" s="122">
        <f t="shared" si="61"/>
        <v>47194</v>
      </c>
      <c r="AA1928" t="s">
        <v>62</v>
      </c>
      <c r="AB1928" t="s">
        <v>405</v>
      </c>
      <c r="AC1928" t="s">
        <v>433</v>
      </c>
      <c r="AD1928" t="s">
        <v>405</v>
      </c>
      <c r="AE1928" t="s">
        <v>566</v>
      </c>
      <c r="AF1928">
        <v>1</v>
      </c>
      <c r="AG1928">
        <v>162</v>
      </c>
      <c r="AH1928">
        <v>416</v>
      </c>
      <c r="AI1928" s="122">
        <v>47968</v>
      </c>
      <c r="AJ1928" s="122">
        <v>43608</v>
      </c>
      <c r="AK1928">
        <v>65</v>
      </c>
      <c r="AL1928" s="122">
        <v>5490</v>
      </c>
      <c r="AM1928" s="122">
        <v>4991</v>
      </c>
      <c r="AN1928" s="122">
        <v>3761</v>
      </c>
      <c r="AO1928" s="122">
        <v>1393</v>
      </c>
      <c r="AP1928">
        <v>473</v>
      </c>
      <c r="AQ1928">
        <v>175</v>
      </c>
      <c r="AR1928" s="122">
        <v>9903</v>
      </c>
      <c r="AS1928" s="122">
        <v>9003</v>
      </c>
      <c r="AT1928" s="122">
        <v>0</v>
      </c>
      <c r="AU1928">
        <v>0</v>
      </c>
      <c r="AV1928" s="122">
        <v>59169</v>
      </c>
    </row>
    <row r="1929" spans="2:48" hidden="1">
      <c r="B1929" t="s">
        <v>375</v>
      </c>
      <c r="C1929" t="s">
        <v>62</v>
      </c>
      <c r="D1929" t="s">
        <v>428</v>
      </c>
      <c r="E1929" t="s">
        <v>428</v>
      </c>
      <c r="F1929" s="122">
        <v>2</v>
      </c>
      <c r="G1929" s="122">
        <v>300</v>
      </c>
      <c r="H1929" s="122">
        <v>840</v>
      </c>
      <c r="I1929" s="122">
        <v>92942</v>
      </c>
      <c r="J1929" s="122">
        <v>84493</v>
      </c>
      <c r="K1929" s="122">
        <v>65</v>
      </c>
      <c r="L1929" s="122">
        <v>10327</v>
      </c>
      <c r="M1929" s="122">
        <v>9388</v>
      </c>
      <c r="N1929" s="122">
        <v>6404</v>
      </c>
      <c r="O1929" s="122">
        <v>2372</v>
      </c>
      <c r="P1929" s="122">
        <v>1242</v>
      </c>
      <c r="Q1929" s="122">
        <v>460</v>
      </c>
      <c r="R1929" s="122">
        <v>12399</v>
      </c>
      <c r="S1929" s="122">
        <v>11272</v>
      </c>
      <c r="T1929" s="122">
        <v>2662</v>
      </c>
      <c r="U1929" s="122">
        <v>986</v>
      </c>
      <c r="V1929" s="122">
        <v>108971</v>
      </c>
      <c r="W1929" s="122">
        <f t="shared" si="60"/>
        <v>108971</v>
      </c>
      <c r="X1929" s="122">
        <f t="shared" si="61"/>
        <v>125976</v>
      </c>
      <c r="AA1929" t="s">
        <v>62</v>
      </c>
      <c r="AB1929" t="s">
        <v>137</v>
      </c>
      <c r="AC1929" t="s">
        <v>425</v>
      </c>
      <c r="AD1929" t="s">
        <v>137</v>
      </c>
      <c r="AE1929" t="s">
        <v>137</v>
      </c>
      <c r="AF1929">
        <v>2</v>
      </c>
      <c r="AG1929" s="122">
        <v>171</v>
      </c>
      <c r="AH1929" s="122">
        <v>827</v>
      </c>
      <c r="AI1929" s="122">
        <v>39698</v>
      </c>
      <c r="AJ1929" s="122">
        <v>14703</v>
      </c>
      <c r="AK1929">
        <v>100</v>
      </c>
      <c r="AL1929" s="122">
        <v>14743</v>
      </c>
      <c r="AM1929" s="122">
        <v>13403</v>
      </c>
      <c r="AN1929" s="122">
        <v>3106</v>
      </c>
      <c r="AO1929" s="122">
        <v>1150</v>
      </c>
      <c r="AP1929">
        <v>0</v>
      </c>
      <c r="AQ1929">
        <v>0</v>
      </c>
      <c r="AR1929" s="122">
        <v>11258</v>
      </c>
      <c r="AS1929" s="122">
        <v>4170</v>
      </c>
      <c r="AT1929" s="122">
        <v>2177</v>
      </c>
      <c r="AU1929">
        <v>806</v>
      </c>
      <c r="AV1929" s="122">
        <v>34232</v>
      </c>
    </row>
    <row r="1930" spans="2:48" hidden="1">
      <c r="B1930" t="s">
        <v>375</v>
      </c>
      <c r="C1930" t="s">
        <v>62</v>
      </c>
      <c r="D1930" t="s">
        <v>431</v>
      </c>
      <c r="E1930" t="s">
        <v>137</v>
      </c>
      <c r="F1930" s="122">
        <v>1</v>
      </c>
      <c r="G1930" s="122">
        <v>122</v>
      </c>
      <c r="H1930" s="122">
        <v>399</v>
      </c>
      <c r="I1930" s="122">
        <v>39886</v>
      </c>
      <c r="J1930" s="122">
        <v>36260</v>
      </c>
      <c r="K1930" s="122">
        <v>30</v>
      </c>
      <c r="L1930" s="122">
        <v>0</v>
      </c>
      <c r="M1930" s="122">
        <v>0</v>
      </c>
      <c r="N1930" s="122">
        <v>2975</v>
      </c>
      <c r="O1930" s="122">
        <v>1102</v>
      </c>
      <c r="P1930" s="122">
        <v>0</v>
      </c>
      <c r="Q1930" s="122">
        <v>0</v>
      </c>
      <c r="R1930" s="122">
        <v>5808</v>
      </c>
      <c r="S1930" s="122">
        <v>2151</v>
      </c>
      <c r="T1930" s="122">
        <v>0</v>
      </c>
      <c r="U1930" s="122">
        <v>0</v>
      </c>
      <c r="V1930" s="122">
        <v>39513</v>
      </c>
      <c r="W1930" s="122">
        <f t="shared" si="60"/>
        <v>39513</v>
      </c>
      <c r="X1930" s="122">
        <f t="shared" si="61"/>
        <v>48669</v>
      </c>
      <c r="AA1930" t="s">
        <v>62</v>
      </c>
      <c r="AB1930" t="s">
        <v>137</v>
      </c>
      <c r="AC1930" t="s">
        <v>425</v>
      </c>
      <c r="AD1930" t="s">
        <v>137</v>
      </c>
      <c r="AE1930" t="s">
        <v>566</v>
      </c>
      <c r="AF1930">
        <v>11</v>
      </c>
      <c r="AG1930" s="122">
        <v>1113</v>
      </c>
      <c r="AH1930" s="122">
        <v>4642</v>
      </c>
      <c r="AI1930" s="122">
        <v>341486</v>
      </c>
      <c r="AJ1930" s="122">
        <v>126476</v>
      </c>
      <c r="AK1930">
        <v>100</v>
      </c>
      <c r="AL1930" s="122">
        <v>41827</v>
      </c>
      <c r="AM1930" s="122">
        <v>38025</v>
      </c>
      <c r="AN1930" s="122">
        <v>25383</v>
      </c>
      <c r="AO1930" s="122">
        <v>9401</v>
      </c>
      <c r="AP1930">
        <v>0</v>
      </c>
      <c r="AQ1930">
        <v>0</v>
      </c>
      <c r="AR1930" s="122">
        <v>90007</v>
      </c>
      <c r="AS1930" s="122">
        <v>33336</v>
      </c>
      <c r="AT1930">
        <v>0</v>
      </c>
      <c r="AU1930">
        <v>0</v>
      </c>
      <c r="AV1930" s="122">
        <v>207238</v>
      </c>
    </row>
    <row r="1931" spans="2:48" hidden="1">
      <c r="B1931" t="s">
        <v>375</v>
      </c>
      <c r="C1931" t="s">
        <v>62</v>
      </c>
      <c r="D1931" t="s">
        <v>431</v>
      </c>
      <c r="E1931" t="s">
        <v>431</v>
      </c>
      <c r="F1931" s="122">
        <v>2</v>
      </c>
      <c r="G1931" s="122">
        <v>158</v>
      </c>
      <c r="H1931" s="122">
        <v>877</v>
      </c>
      <c r="I1931" s="122">
        <v>46709</v>
      </c>
      <c r="J1931" s="122">
        <v>42463</v>
      </c>
      <c r="K1931" s="122">
        <v>55</v>
      </c>
      <c r="L1931" s="122">
        <v>4679</v>
      </c>
      <c r="M1931" s="122">
        <v>4253</v>
      </c>
      <c r="N1931" s="122">
        <v>2838</v>
      </c>
      <c r="O1931" s="122">
        <v>1051</v>
      </c>
      <c r="P1931" s="122">
        <v>702</v>
      </c>
      <c r="Q1931" s="122">
        <v>260</v>
      </c>
      <c r="R1931" s="122">
        <v>9702</v>
      </c>
      <c r="S1931" s="122">
        <v>8820</v>
      </c>
      <c r="T1931" s="122">
        <v>4610</v>
      </c>
      <c r="U1931" s="122">
        <v>1708</v>
      </c>
      <c r="V1931" s="122">
        <v>58555</v>
      </c>
      <c r="W1931" s="122">
        <f t="shared" si="60"/>
        <v>58555</v>
      </c>
      <c r="X1931" s="122">
        <f t="shared" si="61"/>
        <v>69240</v>
      </c>
      <c r="AA1931" t="s">
        <v>62</v>
      </c>
      <c r="AB1931" t="s">
        <v>137</v>
      </c>
      <c r="AC1931" t="s">
        <v>405</v>
      </c>
      <c r="AD1931" t="s">
        <v>137</v>
      </c>
      <c r="AE1931" t="s">
        <v>137</v>
      </c>
      <c r="AF1931">
        <v>1</v>
      </c>
      <c r="AG1931">
        <v>176</v>
      </c>
      <c r="AH1931">
        <v>392</v>
      </c>
      <c r="AI1931" s="122">
        <v>50491</v>
      </c>
      <c r="AJ1931" s="122">
        <v>18700</v>
      </c>
      <c r="AK1931">
        <v>100</v>
      </c>
      <c r="AL1931" s="122">
        <v>3628</v>
      </c>
      <c r="AM1931" s="122">
        <v>3298</v>
      </c>
      <c r="AN1931" s="122">
        <v>4181</v>
      </c>
      <c r="AO1931" s="122">
        <v>1549</v>
      </c>
      <c r="AP1931">
        <v>473</v>
      </c>
      <c r="AQ1931">
        <v>175</v>
      </c>
      <c r="AR1931" s="122">
        <v>10248</v>
      </c>
      <c r="AS1931" s="122">
        <v>3795</v>
      </c>
      <c r="AT1931">
        <v>0</v>
      </c>
      <c r="AU1931">
        <v>0</v>
      </c>
      <c r="AV1931" s="122">
        <v>27518</v>
      </c>
    </row>
    <row r="1932" spans="2:48" hidden="1">
      <c r="B1932" t="s">
        <v>375</v>
      </c>
      <c r="C1932" t="s">
        <v>62</v>
      </c>
      <c r="D1932" t="s">
        <v>426</v>
      </c>
      <c r="E1932" t="s">
        <v>137</v>
      </c>
      <c r="F1932" s="122">
        <v>1</v>
      </c>
      <c r="G1932" s="122">
        <v>113</v>
      </c>
      <c r="H1932" s="122">
        <v>447</v>
      </c>
      <c r="I1932" s="122">
        <v>34574</v>
      </c>
      <c r="J1932" s="122">
        <v>31431</v>
      </c>
      <c r="K1932" s="122">
        <v>60</v>
      </c>
      <c r="L1932" s="122">
        <v>5658</v>
      </c>
      <c r="M1932" s="122">
        <v>2095</v>
      </c>
      <c r="N1932" s="122">
        <v>1983</v>
      </c>
      <c r="O1932" s="122">
        <v>734</v>
      </c>
      <c r="P1932" s="122">
        <v>0</v>
      </c>
      <c r="Q1932" s="122">
        <v>0</v>
      </c>
      <c r="R1932" s="122">
        <v>8255</v>
      </c>
      <c r="S1932" s="122">
        <v>3057</v>
      </c>
      <c r="T1932" s="122">
        <v>0</v>
      </c>
      <c r="U1932" s="122">
        <v>0</v>
      </c>
      <c r="V1932" s="122">
        <v>37318</v>
      </c>
      <c r="W1932" s="122">
        <f t="shared" si="60"/>
        <v>37317</v>
      </c>
      <c r="X1932" s="122">
        <f t="shared" si="61"/>
        <v>50470</v>
      </c>
      <c r="AA1932" t="s">
        <v>62</v>
      </c>
      <c r="AB1932" t="s">
        <v>137</v>
      </c>
      <c r="AC1932" t="s">
        <v>405</v>
      </c>
      <c r="AD1932" t="s">
        <v>137</v>
      </c>
      <c r="AE1932" t="s">
        <v>566</v>
      </c>
      <c r="AF1932">
        <v>1</v>
      </c>
      <c r="AG1932" s="122">
        <v>69</v>
      </c>
      <c r="AH1932" s="122">
        <v>443</v>
      </c>
      <c r="AI1932" s="122">
        <v>21330</v>
      </c>
      <c r="AJ1932" s="122">
        <v>7900</v>
      </c>
      <c r="AK1932">
        <v>100</v>
      </c>
      <c r="AL1932" s="122">
        <v>1533</v>
      </c>
      <c r="AM1932" s="122">
        <v>1393</v>
      </c>
      <c r="AN1932" s="122">
        <v>1669</v>
      </c>
      <c r="AO1932" s="122">
        <v>618</v>
      </c>
      <c r="AP1932">
        <v>0</v>
      </c>
      <c r="AQ1932">
        <v>0</v>
      </c>
      <c r="AR1932" s="122">
        <v>5818</v>
      </c>
      <c r="AS1932" s="122">
        <v>2155</v>
      </c>
      <c r="AT1932" s="122">
        <v>0</v>
      </c>
      <c r="AU1932">
        <v>0</v>
      </c>
      <c r="AV1932" s="122">
        <v>12066</v>
      </c>
    </row>
    <row r="1933" spans="2:48" hidden="1">
      <c r="B1933" t="s">
        <v>375</v>
      </c>
      <c r="C1933" t="s">
        <v>62</v>
      </c>
      <c r="D1933" t="s">
        <v>426</v>
      </c>
      <c r="E1933" t="s">
        <v>426</v>
      </c>
      <c r="F1933" s="122">
        <v>102</v>
      </c>
      <c r="G1933" s="122">
        <v>9295</v>
      </c>
      <c r="H1933" s="122">
        <v>42696</v>
      </c>
      <c r="I1933" s="122">
        <v>2418841</v>
      </c>
      <c r="J1933" s="122">
        <v>2198947</v>
      </c>
      <c r="K1933" s="122">
        <v>48</v>
      </c>
      <c r="L1933" s="122">
        <v>371309</v>
      </c>
      <c r="M1933" s="122">
        <v>337879</v>
      </c>
      <c r="N1933" s="122">
        <v>195505</v>
      </c>
      <c r="O1933" s="122">
        <v>72409</v>
      </c>
      <c r="P1933" s="122">
        <v>38826</v>
      </c>
      <c r="Q1933" s="122">
        <v>14380</v>
      </c>
      <c r="R1933" s="122">
        <v>629410</v>
      </c>
      <c r="S1933" s="122">
        <v>572191</v>
      </c>
      <c r="T1933" s="122">
        <v>237292</v>
      </c>
      <c r="U1933" s="122">
        <v>87886</v>
      </c>
      <c r="V1933" s="122">
        <v>3283692</v>
      </c>
      <c r="W1933" s="122">
        <f t="shared" si="60"/>
        <v>3283692</v>
      </c>
      <c r="X1933" s="122">
        <f t="shared" si="61"/>
        <v>3891183</v>
      </c>
      <c r="AA1933" t="s">
        <v>62</v>
      </c>
      <c r="AB1933" t="s">
        <v>137</v>
      </c>
      <c r="AC1933" t="s">
        <v>137</v>
      </c>
      <c r="AD1933" t="s">
        <v>137</v>
      </c>
      <c r="AE1933" t="s">
        <v>137</v>
      </c>
      <c r="AF1933">
        <v>23</v>
      </c>
      <c r="AG1933" s="122">
        <v>1703</v>
      </c>
      <c r="AH1933" s="122">
        <v>9668</v>
      </c>
      <c r="AI1933" s="122">
        <v>434759</v>
      </c>
      <c r="AJ1933" s="122">
        <v>161022</v>
      </c>
      <c r="AK1933">
        <v>100</v>
      </c>
      <c r="AL1933" s="122">
        <v>75728</v>
      </c>
      <c r="AM1933" s="122">
        <v>28048</v>
      </c>
      <c r="AN1933" s="122">
        <v>34622</v>
      </c>
      <c r="AO1933" s="122">
        <v>12823</v>
      </c>
      <c r="AP1933" s="122">
        <v>0</v>
      </c>
      <c r="AQ1933">
        <v>0</v>
      </c>
      <c r="AR1933" s="122">
        <v>166952</v>
      </c>
      <c r="AS1933" s="122">
        <v>61834</v>
      </c>
      <c r="AT1933" s="122">
        <v>2409</v>
      </c>
      <c r="AU1933">
        <v>892</v>
      </c>
      <c r="AV1933" s="122">
        <v>264619</v>
      </c>
    </row>
    <row r="1934" spans="2:48" hidden="1">
      <c r="B1934" t="s">
        <v>375</v>
      </c>
      <c r="C1934" t="s">
        <v>62</v>
      </c>
      <c r="D1934" t="s">
        <v>433</v>
      </c>
      <c r="E1934" t="s">
        <v>433</v>
      </c>
      <c r="F1934" s="122">
        <v>1</v>
      </c>
      <c r="G1934" s="122">
        <v>86</v>
      </c>
      <c r="H1934" s="122">
        <v>416</v>
      </c>
      <c r="I1934" s="122">
        <v>22430</v>
      </c>
      <c r="J1934" s="122">
        <v>20391</v>
      </c>
      <c r="K1934" s="122">
        <v>45</v>
      </c>
      <c r="L1934" s="122">
        <v>3738</v>
      </c>
      <c r="M1934" s="122">
        <v>3398</v>
      </c>
      <c r="N1934" s="122">
        <v>1831</v>
      </c>
      <c r="O1934" s="122">
        <v>678</v>
      </c>
      <c r="P1934" s="122">
        <v>351</v>
      </c>
      <c r="Q1934" s="122">
        <v>130</v>
      </c>
      <c r="R1934" s="122">
        <v>5124</v>
      </c>
      <c r="S1934" s="122">
        <v>4658</v>
      </c>
      <c r="T1934" s="122">
        <v>2244</v>
      </c>
      <c r="U1934" s="122">
        <v>831</v>
      </c>
      <c r="V1934" s="122">
        <v>30087</v>
      </c>
      <c r="W1934" s="122">
        <f t="shared" si="60"/>
        <v>30086</v>
      </c>
      <c r="X1934" s="122">
        <f t="shared" si="61"/>
        <v>35718</v>
      </c>
      <c r="AA1934" t="s">
        <v>62</v>
      </c>
      <c r="AB1934" t="s">
        <v>137</v>
      </c>
      <c r="AC1934" t="s">
        <v>137</v>
      </c>
      <c r="AD1934" t="s">
        <v>137</v>
      </c>
      <c r="AE1934" t="s">
        <v>566</v>
      </c>
      <c r="AF1934">
        <v>165</v>
      </c>
      <c r="AG1934" s="122">
        <v>14680</v>
      </c>
      <c r="AH1934" s="122">
        <v>68025</v>
      </c>
      <c r="AI1934" s="122">
        <v>4004085</v>
      </c>
      <c r="AJ1934" s="122">
        <v>1482995</v>
      </c>
      <c r="AK1934">
        <v>100</v>
      </c>
      <c r="AL1934" s="122">
        <v>872597</v>
      </c>
      <c r="AM1934" s="122">
        <v>323184</v>
      </c>
      <c r="AN1934" s="122">
        <v>337601</v>
      </c>
      <c r="AO1934" s="122">
        <v>125037</v>
      </c>
      <c r="AP1934" s="122">
        <v>1344</v>
      </c>
      <c r="AQ1934">
        <v>498</v>
      </c>
      <c r="AR1934" s="122">
        <v>1206530</v>
      </c>
      <c r="AS1934" s="122">
        <v>446863</v>
      </c>
      <c r="AT1934" s="122">
        <v>0</v>
      </c>
      <c r="AU1934" s="122">
        <v>0</v>
      </c>
      <c r="AV1934" s="122">
        <v>2378577</v>
      </c>
    </row>
    <row r="1935" spans="2:48" hidden="1">
      <c r="B1935" t="s">
        <v>375</v>
      </c>
      <c r="C1935" t="s">
        <v>62</v>
      </c>
      <c r="D1935" t="s">
        <v>429</v>
      </c>
      <c r="E1935" t="s">
        <v>429</v>
      </c>
      <c r="F1935" s="122">
        <v>1</v>
      </c>
      <c r="G1935" s="122">
        <v>93</v>
      </c>
      <c r="H1935" s="122">
        <v>387</v>
      </c>
      <c r="I1935" s="122">
        <v>22282</v>
      </c>
      <c r="J1935" s="122">
        <v>20257</v>
      </c>
      <c r="K1935" s="122">
        <v>85</v>
      </c>
      <c r="L1935" s="122">
        <v>6974</v>
      </c>
      <c r="M1935" s="122">
        <v>6340</v>
      </c>
      <c r="N1935" s="122">
        <v>2273</v>
      </c>
      <c r="O1935" s="122">
        <v>842</v>
      </c>
      <c r="P1935" s="122">
        <v>351</v>
      </c>
      <c r="Q1935" s="122">
        <v>130</v>
      </c>
      <c r="R1935" s="122">
        <v>4214</v>
      </c>
      <c r="S1935" s="122">
        <v>3831</v>
      </c>
      <c r="T1935" s="122">
        <v>0</v>
      </c>
      <c r="U1935" s="122">
        <v>0</v>
      </c>
      <c r="V1935" s="122">
        <v>31399</v>
      </c>
      <c r="W1935" s="122">
        <f t="shared" si="60"/>
        <v>31400</v>
      </c>
      <c r="X1935" s="122">
        <f t="shared" si="61"/>
        <v>36094</v>
      </c>
      <c r="AA1935" t="s">
        <v>62</v>
      </c>
      <c r="AB1935" t="s">
        <v>137</v>
      </c>
      <c r="AC1935" t="s">
        <v>137</v>
      </c>
      <c r="AD1935" t="s">
        <v>406</v>
      </c>
      <c r="AE1935" t="s">
        <v>137</v>
      </c>
      <c r="AF1935">
        <v>1</v>
      </c>
      <c r="AG1935">
        <v>488</v>
      </c>
      <c r="AH1935">
        <v>441</v>
      </c>
      <c r="AI1935" s="122">
        <v>151714</v>
      </c>
      <c r="AJ1935" s="122">
        <v>56190</v>
      </c>
      <c r="AK1935">
        <v>100</v>
      </c>
      <c r="AL1935" s="122">
        <v>37928</v>
      </c>
      <c r="AM1935" s="122">
        <v>14048</v>
      </c>
      <c r="AN1935" s="122">
        <v>11777</v>
      </c>
      <c r="AO1935" s="122">
        <v>4362</v>
      </c>
      <c r="AP1935">
        <v>0</v>
      </c>
      <c r="AQ1935">
        <v>0</v>
      </c>
      <c r="AR1935" s="122">
        <v>8215</v>
      </c>
      <c r="AS1935" s="122">
        <v>7468</v>
      </c>
      <c r="AT1935" s="122">
        <v>5589</v>
      </c>
      <c r="AU1935" s="122">
        <v>2070</v>
      </c>
      <c r="AV1935" s="122">
        <v>84138</v>
      </c>
    </row>
    <row r="1936" spans="2:48" hidden="1">
      <c r="B1936" t="s">
        <v>375</v>
      </c>
      <c r="C1936" t="s">
        <v>64</v>
      </c>
      <c r="D1936" t="s">
        <v>425</v>
      </c>
      <c r="E1936" t="s">
        <v>425</v>
      </c>
      <c r="F1936" s="122">
        <v>1</v>
      </c>
      <c r="G1936" s="122">
        <v>191</v>
      </c>
      <c r="H1936" s="122">
        <v>539</v>
      </c>
      <c r="I1936" s="122">
        <v>74978</v>
      </c>
      <c r="J1936" s="122">
        <v>68162</v>
      </c>
      <c r="K1936" s="122">
        <v>65</v>
      </c>
      <c r="L1936" s="122">
        <v>11441</v>
      </c>
      <c r="M1936" s="122">
        <v>10401</v>
      </c>
      <c r="N1936" s="122">
        <v>4645</v>
      </c>
      <c r="O1936" s="122">
        <v>1721</v>
      </c>
      <c r="P1936" s="122">
        <v>473</v>
      </c>
      <c r="Q1936" s="122">
        <v>175</v>
      </c>
      <c r="R1936" s="122">
        <v>7013</v>
      </c>
      <c r="S1936" s="122">
        <v>6376</v>
      </c>
      <c r="T1936" s="122">
        <v>4148</v>
      </c>
      <c r="U1936" s="122">
        <v>1536</v>
      </c>
      <c r="V1936" s="122">
        <v>88370</v>
      </c>
      <c r="W1936" s="122">
        <f t="shared" si="60"/>
        <v>88371</v>
      </c>
      <c r="X1936" s="122">
        <f t="shared" si="61"/>
        <v>102698</v>
      </c>
      <c r="AA1936" t="s">
        <v>62</v>
      </c>
      <c r="AB1936" t="s">
        <v>137</v>
      </c>
      <c r="AC1936" t="s">
        <v>137</v>
      </c>
      <c r="AD1936" t="s">
        <v>426</v>
      </c>
      <c r="AE1936" t="s">
        <v>137</v>
      </c>
      <c r="AF1936">
        <v>1</v>
      </c>
      <c r="AG1936">
        <v>127</v>
      </c>
      <c r="AH1936">
        <v>389</v>
      </c>
      <c r="AI1936" s="122">
        <v>31269</v>
      </c>
      <c r="AJ1936" s="122">
        <v>11581</v>
      </c>
      <c r="AK1936">
        <v>100</v>
      </c>
      <c r="AL1936" s="122">
        <v>5518</v>
      </c>
      <c r="AM1936" s="122">
        <v>2044</v>
      </c>
      <c r="AN1936" s="122">
        <v>2867</v>
      </c>
      <c r="AO1936" s="122">
        <v>1062</v>
      </c>
      <c r="AP1936">
        <v>0</v>
      </c>
      <c r="AQ1936">
        <v>0</v>
      </c>
      <c r="AR1936" s="122">
        <v>7073</v>
      </c>
      <c r="AS1936" s="122">
        <v>6430</v>
      </c>
      <c r="AT1936" s="122">
        <v>2761</v>
      </c>
      <c r="AU1936" s="122">
        <v>1022</v>
      </c>
      <c r="AV1936" s="122">
        <v>22139</v>
      </c>
    </row>
    <row r="1937" spans="2:48" hidden="1">
      <c r="B1937" t="s">
        <v>375</v>
      </c>
      <c r="C1937" t="s">
        <v>64</v>
      </c>
      <c r="D1937" t="s">
        <v>405</v>
      </c>
      <c r="E1937" t="s">
        <v>405</v>
      </c>
      <c r="F1937" s="122">
        <v>1</v>
      </c>
      <c r="G1937" s="122">
        <v>77</v>
      </c>
      <c r="H1937" s="122">
        <v>508</v>
      </c>
      <c r="I1937" s="122">
        <v>26961</v>
      </c>
      <c r="J1937" s="122">
        <v>24510</v>
      </c>
      <c r="K1937" s="122">
        <v>90</v>
      </c>
      <c r="L1937" s="122">
        <v>5712</v>
      </c>
      <c r="M1937" s="122">
        <v>5193</v>
      </c>
      <c r="N1937" s="122">
        <v>1045</v>
      </c>
      <c r="O1937" s="122">
        <v>387</v>
      </c>
      <c r="P1937" s="122">
        <v>824</v>
      </c>
      <c r="Q1937" s="122">
        <v>305</v>
      </c>
      <c r="R1937" s="122">
        <v>2662</v>
      </c>
      <c r="S1937" s="122">
        <v>2420</v>
      </c>
      <c r="T1937" s="122">
        <v>1674</v>
      </c>
      <c r="U1937" s="122">
        <v>620</v>
      </c>
      <c r="V1937" s="122">
        <v>33435</v>
      </c>
      <c r="W1937" s="122">
        <f t="shared" si="60"/>
        <v>33435</v>
      </c>
      <c r="X1937" s="122">
        <f t="shared" si="61"/>
        <v>38878</v>
      </c>
      <c r="AA1937" t="s">
        <v>62</v>
      </c>
      <c r="AB1937" t="s">
        <v>137</v>
      </c>
      <c r="AC1937" t="s">
        <v>137</v>
      </c>
      <c r="AD1937" t="s">
        <v>426</v>
      </c>
      <c r="AE1937" t="s">
        <v>566</v>
      </c>
      <c r="AF1937">
        <v>1</v>
      </c>
      <c r="AG1937">
        <v>58</v>
      </c>
      <c r="AH1937">
        <v>396</v>
      </c>
      <c r="AI1937" s="122">
        <v>16269</v>
      </c>
      <c r="AJ1937" s="122">
        <v>6025</v>
      </c>
      <c r="AK1937">
        <v>100</v>
      </c>
      <c r="AL1937" s="122">
        <v>4067</v>
      </c>
      <c r="AM1937" s="122">
        <v>1506</v>
      </c>
      <c r="AN1937" s="122">
        <v>1228</v>
      </c>
      <c r="AO1937">
        <v>455</v>
      </c>
      <c r="AP1937">
        <v>0</v>
      </c>
      <c r="AQ1937">
        <v>0</v>
      </c>
      <c r="AR1937" s="122">
        <v>1490</v>
      </c>
      <c r="AS1937" s="122">
        <v>1354</v>
      </c>
      <c r="AT1937">
        <v>0</v>
      </c>
      <c r="AU1937">
        <v>0</v>
      </c>
      <c r="AV1937" s="122">
        <v>9341</v>
      </c>
    </row>
    <row r="1938" spans="2:48" hidden="1">
      <c r="B1938" t="s">
        <v>375</v>
      </c>
      <c r="C1938" t="s">
        <v>64</v>
      </c>
      <c r="D1938" t="s">
        <v>137</v>
      </c>
      <c r="E1938" t="s">
        <v>137</v>
      </c>
      <c r="F1938" s="122">
        <v>49</v>
      </c>
      <c r="G1938" s="122">
        <v>4649</v>
      </c>
      <c r="H1938" s="122">
        <v>35914</v>
      </c>
      <c r="I1938" s="122">
        <v>2506434</v>
      </c>
      <c r="J1938" s="122">
        <v>928309</v>
      </c>
      <c r="K1938" s="122">
        <v>100</v>
      </c>
      <c r="L1938" s="122">
        <v>334536</v>
      </c>
      <c r="M1938" s="122">
        <v>289924</v>
      </c>
      <c r="N1938" s="122">
        <v>99917</v>
      </c>
      <c r="O1938" s="122">
        <v>37006</v>
      </c>
      <c r="P1938" s="122">
        <v>0</v>
      </c>
      <c r="Q1938" s="122">
        <v>0</v>
      </c>
      <c r="R1938" s="122">
        <v>308987</v>
      </c>
      <c r="S1938" s="122">
        <v>114440</v>
      </c>
      <c r="T1938" s="122">
        <v>0</v>
      </c>
      <c r="U1938" s="122">
        <v>0</v>
      </c>
      <c r="V1938" s="122">
        <v>1369679</v>
      </c>
      <c r="W1938" s="122">
        <f t="shared" si="60"/>
        <v>1369679</v>
      </c>
      <c r="X1938" s="122">
        <f t="shared" si="61"/>
        <v>3249874</v>
      </c>
      <c r="AA1938" t="s">
        <v>62</v>
      </c>
      <c r="AB1938" t="s">
        <v>137</v>
      </c>
      <c r="AC1938" t="s">
        <v>580</v>
      </c>
      <c r="AD1938" t="s">
        <v>137</v>
      </c>
      <c r="AE1938" t="s">
        <v>137</v>
      </c>
      <c r="AF1938">
        <v>1</v>
      </c>
      <c r="AG1938">
        <v>89</v>
      </c>
      <c r="AH1938">
        <v>419</v>
      </c>
      <c r="AI1938" s="122">
        <v>26663</v>
      </c>
      <c r="AJ1938" s="122">
        <v>9875</v>
      </c>
      <c r="AK1938">
        <v>100</v>
      </c>
      <c r="AL1938" s="122">
        <v>1857</v>
      </c>
      <c r="AM1938" s="122">
        <v>1688</v>
      </c>
      <c r="AN1938" s="122">
        <v>1398</v>
      </c>
      <c r="AO1938">
        <v>518</v>
      </c>
      <c r="AP1938">
        <v>0</v>
      </c>
      <c r="AQ1938">
        <v>0</v>
      </c>
      <c r="AR1938" s="122">
        <v>7328</v>
      </c>
      <c r="AS1938" s="122">
        <v>2714</v>
      </c>
      <c r="AT1938">
        <v>0</v>
      </c>
      <c r="AU1938">
        <v>0</v>
      </c>
      <c r="AV1938" s="122">
        <v>14795</v>
      </c>
    </row>
    <row r="1939" spans="2:48" hidden="1">
      <c r="B1939" t="s">
        <v>375</v>
      </c>
      <c r="C1939" t="s">
        <v>64</v>
      </c>
      <c r="D1939" t="s">
        <v>137</v>
      </c>
      <c r="E1939" t="s">
        <v>426</v>
      </c>
      <c r="F1939" s="122">
        <v>16</v>
      </c>
      <c r="G1939" s="122">
        <v>1551</v>
      </c>
      <c r="H1939" s="122">
        <v>11942</v>
      </c>
      <c r="I1939" s="122">
        <v>872275</v>
      </c>
      <c r="J1939" s="122">
        <v>323065</v>
      </c>
      <c r="K1939" s="122">
        <v>100</v>
      </c>
      <c r="L1939" s="122">
        <v>92128</v>
      </c>
      <c r="M1939" s="122">
        <v>83753</v>
      </c>
      <c r="N1939" s="122">
        <v>35049</v>
      </c>
      <c r="O1939" s="122">
        <v>12981</v>
      </c>
      <c r="P1939" s="122">
        <v>351</v>
      </c>
      <c r="Q1939" s="122">
        <v>130</v>
      </c>
      <c r="R1939" s="122">
        <v>92486</v>
      </c>
      <c r="S1939" s="122">
        <v>84078</v>
      </c>
      <c r="T1939" s="122">
        <v>34621</v>
      </c>
      <c r="U1939" s="122">
        <v>12822</v>
      </c>
      <c r="V1939" s="122">
        <v>516829</v>
      </c>
      <c r="W1939" s="122">
        <f t="shared" si="60"/>
        <v>516829</v>
      </c>
      <c r="X1939" s="122">
        <f t="shared" si="61"/>
        <v>1126910</v>
      </c>
      <c r="AA1939" t="s">
        <v>62</v>
      </c>
      <c r="AB1939" t="s">
        <v>137</v>
      </c>
      <c r="AC1939" t="s">
        <v>580</v>
      </c>
      <c r="AD1939" t="s">
        <v>137</v>
      </c>
      <c r="AE1939" t="s">
        <v>566</v>
      </c>
      <c r="AF1939">
        <v>1</v>
      </c>
      <c r="AG1939">
        <v>70</v>
      </c>
      <c r="AH1939" s="122">
        <v>422</v>
      </c>
      <c r="AI1939" s="122">
        <v>19293</v>
      </c>
      <c r="AJ1939" s="122">
        <v>7146</v>
      </c>
      <c r="AK1939">
        <v>100</v>
      </c>
      <c r="AL1939" s="122">
        <v>1248</v>
      </c>
      <c r="AM1939" s="122">
        <v>1134</v>
      </c>
      <c r="AN1939" s="122">
        <v>1706</v>
      </c>
      <c r="AO1939" s="122">
        <v>632</v>
      </c>
      <c r="AP1939">
        <v>351</v>
      </c>
      <c r="AQ1939">
        <v>130</v>
      </c>
      <c r="AR1939" s="122">
        <v>6961</v>
      </c>
      <c r="AS1939" s="122">
        <v>2578</v>
      </c>
      <c r="AT1939" s="122">
        <v>0</v>
      </c>
      <c r="AU1939" s="122">
        <v>0</v>
      </c>
      <c r="AV1939" s="122">
        <v>11620</v>
      </c>
    </row>
    <row r="1940" spans="2:48" hidden="1">
      <c r="B1940" t="s">
        <v>375</v>
      </c>
      <c r="C1940" t="s">
        <v>64</v>
      </c>
      <c r="D1940" t="s">
        <v>406</v>
      </c>
      <c r="E1940" t="s">
        <v>137</v>
      </c>
      <c r="F1940" s="122">
        <v>4</v>
      </c>
      <c r="G1940" s="122">
        <v>320</v>
      </c>
      <c r="H1940" s="122">
        <v>2572</v>
      </c>
      <c r="I1940" s="122">
        <v>143328</v>
      </c>
      <c r="J1940" s="122">
        <v>130298</v>
      </c>
      <c r="K1940" s="122">
        <v>76</v>
      </c>
      <c r="L1940" s="122">
        <v>32882</v>
      </c>
      <c r="M1940" s="122">
        <v>29892</v>
      </c>
      <c r="N1940" s="122">
        <v>7056</v>
      </c>
      <c r="O1940" s="122">
        <v>2613</v>
      </c>
      <c r="P1940" s="122">
        <v>2484</v>
      </c>
      <c r="Q1940" s="122">
        <v>920</v>
      </c>
      <c r="R1940" s="122">
        <v>18378</v>
      </c>
      <c r="S1940" s="122">
        <v>6807</v>
      </c>
      <c r="T1940" s="122">
        <v>0</v>
      </c>
      <c r="U1940" s="122">
        <v>0</v>
      </c>
      <c r="V1940" s="122">
        <v>170531</v>
      </c>
      <c r="W1940" s="122">
        <f t="shared" si="60"/>
        <v>170530</v>
      </c>
      <c r="X1940" s="122">
        <f t="shared" si="61"/>
        <v>204128</v>
      </c>
      <c r="AA1940" t="s">
        <v>62</v>
      </c>
      <c r="AB1940" t="s">
        <v>137</v>
      </c>
      <c r="AC1940" t="s">
        <v>580</v>
      </c>
      <c r="AD1940" t="s">
        <v>406</v>
      </c>
      <c r="AE1940" t="s">
        <v>137</v>
      </c>
      <c r="AF1940">
        <v>3</v>
      </c>
      <c r="AG1940" s="122">
        <v>607</v>
      </c>
      <c r="AH1940" s="122">
        <v>1207</v>
      </c>
      <c r="AI1940" s="122">
        <v>175988</v>
      </c>
      <c r="AJ1940" s="122">
        <v>65181</v>
      </c>
      <c r="AK1940">
        <v>100</v>
      </c>
      <c r="AL1940" s="122">
        <v>22624</v>
      </c>
      <c r="AM1940" s="122">
        <v>20567</v>
      </c>
      <c r="AN1940" s="122">
        <v>12399</v>
      </c>
      <c r="AO1940" s="122">
        <v>4592</v>
      </c>
      <c r="AP1940">
        <v>270</v>
      </c>
      <c r="AQ1940">
        <v>100</v>
      </c>
      <c r="AR1940" s="122">
        <v>19577</v>
      </c>
      <c r="AS1940" s="122">
        <v>17797</v>
      </c>
      <c r="AT1940" s="122">
        <v>11868</v>
      </c>
      <c r="AU1940" s="122">
        <v>4396</v>
      </c>
      <c r="AV1940" s="122">
        <v>112633</v>
      </c>
    </row>
    <row r="1941" spans="2:48" hidden="1">
      <c r="B1941" t="s">
        <v>375</v>
      </c>
      <c r="C1941" t="s">
        <v>64</v>
      </c>
      <c r="D1941" t="s">
        <v>406</v>
      </c>
      <c r="E1941" t="s">
        <v>406</v>
      </c>
      <c r="F1941" s="122">
        <v>164</v>
      </c>
      <c r="G1941" s="122">
        <v>16134</v>
      </c>
      <c r="H1941" s="122">
        <v>90930</v>
      </c>
      <c r="I1941" s="122">
        <v>6073125</v>
      </c>
      <c r="J1941" s="122">
        <v>5521023</v>
      </c>
      <c r="K1941" s="122">
        <v>72</v>
      </c>
      <c r="L1941" s="122">
        <v>1146551</v>
      </c>
      <c r="M1941" s="122">
        <v>1026443</v>
      </c>
      <c r="N1941" s="122">
        <v>356804</v>
      </c>
      <c r="O1941" s="122">
        <v>132150</v>
      </c>
      <c r="P1941" s="122">
        <v>104301</v>
      </c>
      <c r="Q1941" s="122">
        <v>38630</v>
      </c>
      <c r="R1941" s="122">
        <v>779193</v>
      </c>
      <c r="S1941" s="122">
        <v>708358</v>
      </c>
      <c r="T1941" s="122">
        <v>387749</v>
      </c>
      <c r="U1941" s="122">
        <v>143611</v>
      </c>
      <c r="V1941" s="122">
        <v>7570214</v>
      </c>
      <c r="W1941" s="122">
        <f t="shared" si="60"/>
        <v>7570215</v>
      </c>
      <c r="X1941" s="122">
        <f t="shared" si="61"/>
        <v>8847723</v>
      </c>
      <c r="AA1941" t="s">
        <v>62</v>
      </c>
      <c r="AB1941" t="s">
        <v>137</v>
      </c>
      <c r="AC1941" t="s">
        <v>427</v>
      </c>
      <c r="AD1941" t="s">
        <v>137</v>
      </c>
      <c r="AE1941" t="s">
        <v>137</v>
      </c>
      <c r="AF1941">
        <v>15</v>
      </c>
      <c r="AG1941" s="122">
        <v>1163</v>
      </c>
      <c r="AH1941" s="122">
        <v>6398</v>
      </c>
      <c r="AI1941" s="122">
        <v>338395</v>
      </c>
      <c r="AJ1941" s="122">
        <v>125332</v>
      </c>
      <c r="AK1941">
        <v>100</v>
      </c>
      <c r="AL1941" s="122">
        <v>45304</v>
      </c>
      <c r="AM1941" s="122">
        <v>41186</v>
      </c>
      <c r="AN1941" s="122">
        <v>20297</v>
      </c>
      <c r="AO1941" s="122">
        <v>7517</v>
      </c>
      <c r="AP1941" s="122">
        <v>0</v>
      </c>
      <c r="AQ1941" s="122">
        <v>0</v>
      </c>
      <c r="AR1941" s="122">
        <v>86716</v>
      </c>
      <c r="AS1941" s="122">
        <v>32117</v>
      </c>
      <c r="AT1941" s="122">
        <v>2778</v>
      </c>
      <c r="AU1941" s="122">
        <v>1029</v>
      </c>
      <c r="AV1941" s="122">
        <v>207181</v>
      </c>
    </row>
    <row r="1942" spans="2:48" hidden="1">
      <c r="B1942" t="s">
        <v>375</v>
      </c>
      <c r="C1942" t="s">
        <v>64</v>
      </c>
      <c r="D1942" t="s">
        <v>427</v>
      </c>
      <c r="E1942" t="s">
        <v>427</v>
      </c>
      <c r="F1942" s="122">
        <v>2</v>
      </c>
      <c r="G1942" s="122">
        <v>455</v>
      </c>
      <c r="H1942" s="122">
        <v>1727</v>
      </c>
      <c r="I1942" s="122">
        <v>338794</v>
      </c>
      <c r="J1942" s="122">
        <v>307995</v>
      </c>
      <c r="K1942" s="122">
        <v>48</v>
      </c>
      <c r="L1942" s="122">
        <v>36114</v>
      </c>
      <c r="M1942" s="122">
        <v>32831</v>
      </c>
      <c r="N1942" s="122">
        <v>10770</v>
      </c>
      <c r="O1942" s="122">
        <v>3989</v>
      </c>
      <c r="P1942" s="122">
        <v>351</v>
      </c>
      <c r="Q1942" s="122">
        <v>130</v>
      </c>
      <c r="R1942" s="122">
        <v>13089</v>
      </c>
      <c r="S1942" s="122">
        <v>11899</v>
      </c>
      <c r="T1942" s="122">
        <v>3527</v>
      </c>
      <c r="U1942" s="122">
        <v>1306</v>
      </c>
      <c r="V1942" s="122">
        <v>358150</v>
      </c>
      <c r="W1942" s="122">
        <f t="shared" si="60"/>
        <v>358150</v>
      </c>
      <c r="X1942" s="122">
        <f t="shared" si="61"/>
        <v>402645</v>
      </c>
      <c r="AA1942" t="s">
        <v>62</v>
      </c>
      <c r="AB1942" t="s">
        <v>137</v>
      </c>
      <c r="AC1942" t="s">
        <v>427</v>
      </c>
      <c r="AD1942" t="s">
        <v>137</v>
      </c>
      <c r="AE1942" t="s">
        <v>566</v>
      </c>
      <c r="AF1942">
        <v>63</v>
      </c>
      <c r="AG1942" s="122">
        <v>6557</v>
      </c>
      <c r="AH1942" s="122">
        <v>26383</v>
      </c>
      <c r="AI1942" s="122">
        <v>1857608</v>
      </c>
      <c r="AJ1942" s="122">
        <v>688003</v>
      </c>
      <c r="AK1942">
        <v>102</v>
      </c>
      <c r="AL1942" s="122">
        <v>287514</v>
      </c>
      <c r="AM1942" s="122">
        <v>261376</v>
      </c>
      <c r="AN1942" s="122">
        <v>145488</v>
      </c>
      <c r="AO1942" s="122">
        <v>53884</v>
      </c>
      <c r="AP1942" s="122">
        <v>3410</v>
      </c>
      <c r="AQ1942" s="122">
        <v>1263</v>
      </c>
      <c r="AR1942" s="122">
        <v>520678</v>
      </c>
      <c r="AS1942" s="122">
        <v>192844</v>
      </c>
      <c r="AT1942" s="122">
        <v>0</v>
      </c>
      <c r="AU1942" s="122">
        <v>0</v>
      </c>
      <c r="AV1942" s="122">
        <v>1197370</v>
      </c>
    </row>
    <row r="1943" spans="2:48" hidden="1">
      <c r="B1943" t="s">
        <v>375</v>
      </c>
      <c r="C1943" t="s">
        <v>64</v>
      </c>
      <c r="D1943" t="s">
        <v>556</v>
      </c>
      <c r="E1943" t="s">
        <v>556</v>
      </c>
      <c r="F1943" s="122">
        <v>1</v>
      </c>
      <c r="G1943" s="122">
        <v>66</v>
      </c>
      <c r="H1943" s="122">
        <v>673</v>
      </c>
      <c r="I1943" s="122">
        <v>29232</v>
      </c>
      <c r="J1943" s="122">
        <v>24360</v>
      </c>
      <c r="K1943" s="122">
        <v>65</v>
      </c>
      <c r="L1943" s="122">
        <v>7037</v>
      </c>
      <c r="M1943" s="122">
        <v>5864</v>
      </c>
      <c r="N1943" s="122">
        <v>1205</v>
      </c>
      <c r="O1943" s="122">
        <v>446</v>
      </c>
      <c r="P1943" s="122">
        <v>351</v>
      </c>
      <c r="Q1943" s="122">
        <v>130</v>
      </c>
      <c r="R1943" s="122">
        <v>4434</v>
      </c>
      <c r="S1943" s="122">
        <v>3695</v>
      </c>
      <c r="T1943" s="122">
        <v>2107</v>
      </c>
      <c r="U1943" s="122">
        <v>780</v>
      </c>
      <c r="V1943" s="122">
        <v>35276</v>
      </c>
      <c r="W1943" s="122">
        <f t="shared" si="60"/>
        <v>35275</v>
      </c>
      <c r="X1943" s="122">
        <f t="shared" si="61"/>
        <v>44366</v>
      </c>
      <c r="AA1943" t="s">
        <v>62</v>
      </c>
      <c r="AB1943" t="s">
        <v>137</v>
      </c>
      <c r="AC1943" t="s">
        <v>427</v>
      </c>
      <c r="AD1943" t="s">
        <v>427</v>
      </c>
      <c r="AE1943" t="s">
        <v>137</v>
      </c>
      <c r="AF1943">
        <v>5</v>
      </c>
      <c r="AG1943">
        <v>640</v>
      </c>
      <c r="AH1943" s="122">
        <v>2037</v>
      </c>
      <c r="AI1943" s="122">
        <v>189662</v>
      </c>
      <c r="AJ1943" s="122">
        <v>70245</v>
      </c>
      <c r="AK1943">
        <v>100</v>
      </c>
      <c r="AL1943" s="122">
        <v>17704</v>
      </c>
      <c r="AM1943" s="122">
        <v>16094</v>
      </c>
      <c r="AN1943" s="122">
        <v>12642</v>
      </c>
      <c r="AO1943" s="122">
        <v>4682</v>
      </c>
      <c r="AP1943">
        <v>702</v>
      </c>
      <c r="AQ1943">
        <v>260</v>
      </c>
      <c r="AR1943" s="122">
        <v>29566</v>
      </c>
      <c r="AS1943" s="122">
        <v>26878</v>
      </c>
      <c r="AT1943" s="122">
        <v>13906</v>
      </c>
      <c r="AU1943" s="122">
        <v>5150</v>
      </c>
      <c r="AV1943" s="122">
        <v>123310</v>
      </c>
    </row>
    <row r="1944" spans="2:48" hidden="1">
      <c r="B1944" t="s">
        <v>375</v>
      </c>
      <c r="C1944" t="s">
        <v>64</v>
      </c>
      <c r="D1944" t="s">
        <v>428</v>
      </c>
      <c r="E1944" t="s">
        <v>428</v>
      </c>
      <c r="F1944" s="122">
        <v>1</v>
      </c>
      <c r="G1944" s="122">
        <v>108</v>
      </c>
      <c r="H1944" s="122">
        <v>512</v>
      </c>
      <c r="I1944" s="122">
        <v>37663</v>
      </c>
      <c r="J1944" s="122">
        <v>34239</v>
      </c>
      <c r="K1944" s="122">
        <v>45</v>
      </c>
      <c r="L1944" s="122">
        <v>6277</v>
      </c>
      <c r="M1944" s="122">
        <v>5706</v>
      </c>
      <c r="N1944" s="122">
        <v>1913</v>
      </c>
      <c r="O1944" s="122">
        <v>708</v>
      </c>
      <c r="P1944" s="122">
        <v>351</v>
      </c>
      <c r="Q1944" s="122">
        <v>130</v>
      </c>
      <c r="R1944" s="122">
        <v>6652</v>
      </c>
      <c r="S1944" s="122">
        <v>6047</v>
      </c>
      <c r="T1944" s="122">
        <v>2532</v>
      </c>
      <c r="U1944" s="122">
        <v>938</v>
      </c>
      <c r="V1944" s="122">
        <v>47768</v>
      </c>
      <c r="W1944" s="122">
        <f t="shared" si="60"/>
        <v>47768</v>
      </c>
      <c r="X1944" s="122">
        <f t="shared" si="61"/>
        <v>55388</v>
      </c>
      <c r="AA1944" t="s">
        <v>62</v>
      </c>
      <c r="AB1944" t="s">
        <v>137</v>
      </c>
      <c r="AC1944" t="s">
        <v>407</v>
      </c>
      <c r="AD1944" t="s">
        <v>137</v>
      </c>
      <c r="AE1944" t="s">
        <v>566</v>
      </c>
      <c r="AF1944">
        <v>2</v>
      </c>
      <c r="AG1944">
        <v>305</v>
      </c>
      <c r="AH1944" s="122">
        <v>864</v>
      </c>
      <c r="AI1944" s="122">
        <v>103896</v>
      </c>
      <c r="AJ1944" s="122">
        <v>38480</v>
      </c>
      <c r="AK1944">
        <v>100</v>
      </c>
      <c r="AL1944" s="122">
        <v>19487</v>
      </c>
      <c r="AM1944" s="122">
        <v>17715</v>
      </c>
      <c r="AN1944" s="122">
        <v>8188</v>
      </c>
      <c r="AO1944" s="122">
        <v>3033</v>
      </c>
      <c r="AP1944">
        <v>0</v>
      </c>
      <c r="AQ1944">
        <v>0</v>
      </c>
      <c r="AR1944" s="122">
        <v>19530</v>
      </c>
      <c r="AS1944" s="122">
        <v>7233</v>
      </c>
      <c r="AT1944">
        <v>0</v>
      </c>
      <c r="AU1944">
        <v>0</v>
      </c>
      <c r="AV1944" s="122">
        <v>66461</v>
      </c>
    </row>
    <row r="1945" spans="2:48" hidden="1">
      <c r="B1945" t="s">
        <v>375</v>
      </c>
      <c r="C1945" t="s">
        <v>64</v>
      </c>
      <c r="D1945" t="s">
        <v>431</v>
      </c>
      <c r="E1945" t="s">
        <v>137</v>
      </c>
      <c r="F1945" s="122">
        <v>1</v>
      </c>
      <c r="G1945" s="122">
        <v>47</v>
      </c>
      <c r="H1945" s="122">
        <v>1755</v>
      </c>
      <c r="I1945" s="122">
        <v>70368</v>
      </c>
      <c r="J1945" s="122">
        <v>63971</v>
      </c>
      <c r="K1945" s="122">
        <v>30</v>
      </c>
      <c r="L1945" s="122">
        <v>7819</v>
      </c>
      <c r="M1945" s="122">
        <v>7108</v>
      </c>
      <c r="N1945" s="122">
        <v>1146</v>
      </c>
      <c r="O1945" s="122">
        <v>425</v>
      </c>
      <c r="P1945" s="122">
        <v>0</v>
      </c>
      <c r="Q1945" s="122">
        <v>0</v>
      </c>
      <c r="R1945" s="122">
        <v>3241</v>
      </c>
      <c r="S1945" s="122">
        <v>1200</v>
      </c>
      <c r="T1945" s="122">
        <v>0</v>
      </c>
      <c r="U1945" s="122">
        <v>0</v>
      </c>
      <c r="V1945" s="122">
        <v>72704</v>
      </c>
      <c r="W1945" s="122">
        <f t="shared" si="60"/>
        <v>72704</v>
      </c>
      <c r="X1945" s="122">
        <f t="shared" si="61"/>
        <v>82574</v>
      </c>
      <c r="AA1945" t="s">
        <v>62</v>
      </c>
      <c r="AB1945" t="s">
        <v>137</v>
      </c>
      <c r="AC1945" t="s">
        <v>579</v>
      </c>
      <c r="AD1945" t="s">
        <v>137</v>
      </c>
      <c r="AE1945" t="s">
        <v>137</v>
      </c>
      <c r="AF1945">
        <v>3</v>
      </c>
      <c r="AG1945" s="122">
        <v>403</v>
      </c>
      <c r="AH1945" s="122">
        <v>1178</v>
      </c>
      <c r="AI1945" s="122">
        <v>106944</v>
      </c>
      <c r="AJ1945" s="122">
        <v>39609</v>
      </c>
      <c r="AK1945">
        <v>100</v>
      </c>
      <c r="AL1945" s="122">
        <v>15463</v>
      </c>
      <c r="AM1945" s="122">
        <v>12886</v>
      </c>
      <c r="AN1945" s="122">
        <v>9811</v>
      </c>
      <c r="AO1945" s="122">
        <v>3634</v>
      </c>
      <c r="AP1945" s="122">
        <v>0</v>
      </c>
      <c r="AQ1945">
        <v>0</v>
      </c>
      <c r="AR1945" s="122">
        <v>26596</v>
      </c>
      <c r="AS1945" s="122">
        <v>9851</v>
      </c>
      <c r="AT1945">
        <v>0</v>
      </c>
      <c r="AU1945">
        <v>0</v>
      </c>
      <c r="AV1945" s="122">
        <v>65979</v>
      </c>
    </row>
    <row r="1946" spans="2:48" hidden="1">
      <c r="B1946" t="s">
        <v>375</v>
      </c>
      <c r="C1946" t="s">
        <v>64</v>
      </c>
      <c r="D1946" t="s">
        <v>431</v>
      </c>
      <c r="E1946" t="s">
        <v>431</v>
      </c>
      <c r="F1946" s="122">
        <v>12</v>
      </c>
      <c r="G1946" s="122">
        <v>1324</v>
      </c>
      <c r="H1946" s="122">
        <v>7391</v>
      </c>
      <c r="I1946" s="122">
        <v>623335</v>
      </c>
      <c r="J1946" s="122">
        <v>566668</v>
      </c>
      <c r="K1946" s="122">
        <v>47</v>
      </c>
      <c r="L1946" s="122">
        <v>72449</v>
      </c>
      <c r="M1946" s="122">
        <v>63284</v>
      </c>
      <c r="N1946" s="122">
        <v>28672</v>
      </c>
      <c r="O1946" s="122">
        <v>10619</v>
      </c>
      <c r="P1946" s="122">
        <v>4212</v>
      </c>
      <c r="Q1946" s="122">
        <v>1560</v>
      </c>
      <c r="R1946" s="122">
        <v>93574</v>
      </c>
      <c r="S1946" s="122">
        <v>85067</v>
      </c>
      <c r="T1946" s="122">
        <v>24342</v>
      </c>
      <c r="U1946" s="122">
        <v>9015</v>
      </c>
      <c r="V1946" s="122">
        <v>736214</v>
      </c>
      <c r="W1946" s="122">
        <f t="shared" si="60"/>
        <v>736213</v>
      </c>
      <c r="X1946" s="122">
        <f t="shared" si="61"/>
        <v>846584</v>
      </c>
      <c r="AA1946" t="s">
        <v>62</v>
      </c>
      <c r="AB1946" t="s">
        <v>137</v>
      </c>
      <c r="AC1946" t="s">
        <v>579</v>
      </c>
      <c r="AD1946" t="s">
        <v>137</v>
      </c>
      <c r="AE1946" t="s">
        <v>566</v>
      </c>
      <c r="AF1946">
        <v>53</v>
      </c>
      <c r="AG1946" s="122">
        <v>6520</v>
      </c>
      <c r="AH1946" s="122">
        <v>22062</v>
      </c>
      <c r="AI1946" s="122">
        <v>1783456</v>
      </c>
      <c r="AJ1946" s="122">
        <v>660539</v>
      </c>
      <c r="AK1946">
        <v>104</v>
      </c>
      <c r="AL1946" s="122">
        <v>348964</v>
      </c>
      <c r="AM1946" s="122">
        <v>290803</v>
      </c>
      <c r="AN1946" s="122">
        <v>140601</v>
      </c>
      <c r="AO1946" s="122">
        <v>52074</v>
      </c>
      <c r="AP1946" s="122">
        <v>1755</v>
      </c>
      <c r="AQ1946">
        <v>650</v>
      </c>
      <c r="AR1946" s="122">
        <v>442266</v>
      </c>
      <c r="AS1946" s="122">
        <v>163802</v>
      </c>
      <c r="AT1946" s="122">
        <v>0</v>
      </c>
      <c r="AU1946">
        <v>0</v>
      </c>
      <c r="AV1946" s="122">
        <v>1167869</v>
      </c>
    </row>
    <row r="1947" spans="2:48" hidden="1">
      <c r="B1947" t="s">
        <v>375</v>
      </c>
      <c r="C1947" t="s">
        <v>64</v>
      </c>
      <c r="D1947" t="s">
        <v>426</v>
      </c>
      <c r="E1947" t="s">
        <v>137</v>
      </c>
      <c r="F1947" s="122">
        <v>24</v>
      </c>
      <c r="G1947" s="122">
        <v>2077</v>
      </c>
      <c r="H1947" s="122">
        <v>26219</v>
      </c>
      <c r="I1947" s="122">
        <v>1755217</v>
      </c>
      <c r="J1947" s="122">
        <v>1595652</v>
      </c>
      <c r="K1947" s="122">
        <v>38</v>
      </c>
      <c r="L1947" s="122">
        <v>148987</v>
      </c>
      <c r="M1947" s="122">
        <v>90625</v>
      </c>
      <c r="N1947" s="122">
        <v>49303</v>
      </c>
      <c r="O1947" s="122">
        <v>18260</v>
      </c>
      <c r="P1947" s="122">
        <v>351</v>
      </c>
      <c r="Q1947" s="122">
        <v>130</v>
      </c>
      <c r="R1947" s="122">
        <v>136477</v>
      </c>
      <c r="S1947" s="122">
        <v>50547</v>
      </c>
      <c r="T1947" s="122">
        <v>0</v>
      </c>
      <c r="U1947" s="122">
        <v>0</v>
      </c>
      <c r="V1947" s="122">
        <v>1755214</v>
      </c>
      <c r="W1947" s="122">
        <f t="shared" si="60"/>
        <v>1755214</v>
      </c>
      <c r="X1947" s="122">
        <f t="shared" si="61"/>
        <v>2090335</v>
      </c>
      <c r="AA1947" t="s">
        <v>62</v>
      </c>
      <c r="AB1947" t="s">
        <v>137</v>
      </c>
      <c r="AC1947" t="s">
        <v>579</v>
      </c>
      <c r="AD1947" t="s">
        <v>579</v>
      </c>
      <c r="AE1947" t="s">
        <v>137</v>
      </c>
      <c r="AF1947">
        <v>1</v>
      </c>
      <c r="AG1947">
        <v>77</v>
      </c>
      <c r="AH1947">
        <v>422</v>
      </c>
      <c r="AI1947" s="122">
        <v>21880</v>
      </c>
      <c r="AJ1947" s="122">
        <v>8104</v>
      </c>
      <c r="AK1947">
        <v>100</v>
      </c>
      <c r="AL1947" s="122">
        <v>3740</v>
      </c>
      <c r="AM1947" s="122">
        <v>3117</v>
      </c>
      <c r="AN1947" s="122">
        <v>1481</v>
      </c>
      <c r="AO1947" s="122">
        <v>548</v>
      </c>
      <c r="AP1947">
        <v>0</v>
      </c>
      <c r="AQ1947">
        <v>0</v>
      </c>
      <c r="AR1947" s="122">
        <v>3849</v>
      </c>
      <c r="AS1947" s="122">
        <v>3207</v>
      </c>
      <c r="AT1947" s="122">
        <v>1686</v>
      </c>
      <c r="AU1947" s="122">
        <v>624</v>
      </c>
      <c r="AV1947" s="122">
        <v>15600</v>
      </c>
    </row>
    <row r="1948" spans="2:48" hidden="1">
      <c r="B1948" t="s">
        <v>375</v>
      </c>
      <c r="C1948" t="s">
        <v>64</v>
      </c>
      <c r="D1948" t="s">
        <v>426</v>
      </c>
      <c r="E1948" t="s">
        <v>426</v>
      </c>
      <c r="F1948" s="122">
        <v>169</v>
      </c>
      <c r="G1948" s="122">
        <v>14929</v>
      </c>
      <c r="H1948" s="122">
        <v>114746</v>
      </c>
      <c r="I1948" s="122">
        <v>7345870</v>
      </c>
      <c r="J1948" s="122">
        <v>6678063</v>
      </c>
      <c r="K1948" s="122">
        <v>49</v>
      </c>
      <c r="L1948" s="122">
        <v>986474</v>
      </c>
      <c r="M1948" s="122">
        <v>855257</v>
      </c>
      <c r="N1948" s="122">
        <v>322855</v>
      </c>
      <c r="O1948" s="122">
        <v>119576</v>
      </c>
      <c r="P1948" s="122">
        <v>61664</v>
      </c>
      <c r="Q1948" s="122">
        <v>22839</v>
      </c>
      <c r="R1948" s="122">
        <v>1029060</v>
      </c>
      <c r="S1948" s="122">
        <v>935509</v>
      </c>
      <c r="T1948" s="122">
        <v>373124</v>
      </c>
      <c r="U1948" s="122">
        <v>138194</v>
      </c>
      <c r="V1948" s="122">
        <v>8749437</v>
      </c>
      <c r="W1948" s="122">
        <f t="shared" si="60"/>
        <v>8749438</v>
      </c>
      <c r="X1948" s="122">
        <f t="shared" si="61"/>
        <v>10119047</v>
      </c>
      <c r="AA1948" t="s">
        <v>62</v>
      </c>
      <c r="AB1948" t="s">
        <v>137</v>
      </c>
      <c r="AC1948" t="s">
        <v>428</v>
      </c>
      <c r="AD1948" t="s">
        <v>137</v>
      </c>
      <c r="AE1948" t="s">
        <v>137</v>
      </c>
      <c r="AF1948">
        <v>2</v>
      </c>
      <c r="AG1948">
        <v>228</v>
      </c>
      <c r="AH1948" s="122">
        <v>869</v>
      </c>
      <c r="AI1948" s="122">
        <v>62932</v>
      </c>
      <c r="AJ1948" s="122">
        <v>23308</v>
      </c>
      <c r="AK1948">
        <v>100</v>
      </c>
      <c r="AL1948" s="122">
        <v>5373</v>
      </c>
      <c r="AM1948" s="122">
        <v>4884</v>
      </c>
      <c r="AN1948" s="122">
        <v>4835</v>
      </c>
      <c r="AO1948" s="122">
        <v>1791</v>
      </c>
      <c r="AP1948">
        <v>351</v>
      </c>
      <c r="AQ1948">
        <v>130</v>
      </c>
      <c r="AR1948" s="122">
        <v>17732</v>
      </c>
      <c r="AS1948" s="122">
        <v>6567</v>
      </c>
      <c r="AT1948" s="122">
        <v>7326</v>
      </c>
      <c r="AU1948" s="122">
        <v>2713</v>
      </c>
      <c r="AV1948" s="122">
        <v>39394</v>
      </c>
    </row>
    <row r="1949" spans="2:48" hidden="1">
      <c r="B1949" t="s">
        <v>375</v>
      </c>
      <c r="C1949" t="s">
        <v>64</v>
      </c>
      <c r="D1949" t="s">
        <v>433</v>
      </c>
      <c r="E1949" t="s">
        <v>433</v>
      </c>
      <c r="F1949" s="122">
        <v>1</v>
      </c>
      <c r="G1949" s="122">
        <v>166</v>
      </c>
      <c r="H1949" s="122">
        <v>460</v>
      </c>
      <c r="I1949" s="122">
        <v>53067</v>
      </c>
      <c r="J1949" s="122">
        <v>48242</v>
      </c>
      <c r="K1949" s="122">
        <v>45</v>
      </c>
      <c r="L1949" s="122">
        <v>8844</v>
      </c>
      <c r="M1949" s="122">
        <v>8040</v>
      </c>
      <c r="N1949" s="122">
        <v>3030</v>
      </c>
      <c r="O1949" s="122">
        <v>1122</v>
      </c>
      <c r="P1949" s="122">
        <v>351</v>
      </c>
      <c r="Q1949" s="122">
        <v>130</v>
      </c>
      <c r="R1949" s="122">
        <v>7859</v>
      </c>
      <c r="S1949" s="122">
        <v>7144</v>
      </c>
      <c r="T1949" s="122">
        <v>3188</v>
      </c>
      <c r="U1949" s="122">
        <v>1181</v>
      </c>
      <c r="V1949" s="122">
        <v>65860</v>
      </c>
      <c r="W1949" s="122">
        <f t="shared" si="60"/>
        <v>65859</v>
      </c>
      <c r="X1949" s="122">
        <f t="shared" si="61"/>
        <v>76339</v>
      </c>
      <c r="AA1949" t="s">
        <v>62</v>
      </c>
      <c r="AB1949" t="s">
        <v>137</v>
      </c>
      <c r="AC1949" t="s">
        <v>428</v>
      </c>
      <c r="AD1949" t="s">
        <v>137</v>
      </c>
      <c r="AE1949" t="s">
        <v>566</v>
      </c>
      <c r="AF1949">
        <v>7</v>
      </c>
      <c r="AG1949">
        <v>546</v>
      </c>
      <c r="AH1949" s="122">
        <v>2830</v>
      </c>
      <c r="AI1949" s="122">
        <v>151350</v>
      </c>
      <c r="AJ1949" s="122">
        <v>56056</v>
      </c>
      <c r="AK1949">
        <v>100</v>
      </c>
      <c r="AL1949" s="122">
        <v>21919</v>
      </c>
      <c r="AM1949" s="122">
        <v>19927</v>
      </c>
      <c r="AN1949" s="122">
        <v>9740</v>
      </c>
      <c r="AO1949" s="122">
        <v>3607</v>
      </c>
      <c r="AP1949">
        <v>0</v>
      </c>
      <c r="AQ1949">
        <v>0</v>
      </c>
      <c r="AR1949" s="122">
        <v>47963</v>
      </c>
      <c r="AS1949" s="122">
        <v>17764</v>
      </c>
      <c r="AT1949">
        <v>0</v>
      </c>
      <c r="AU1949">
        <v>0</v>
      </c>
      <c r="AV1949" s="122">
        <v>97354</v>
      </c>
    </row>
    <row r="1950" spans="2:48" hidden="1">
      <c r="B1950" t="s">
        <v>376</v>
      </c>
      <c r="C1950" t="s">
        <v>48</v>
      </c>
      <c r="F1950" s="122">
        <v>20</v>
      </c>
      <c r="G1950" s="122">
        <v>3107</v>
      </c>
      <c r="H1950" s="122">
        <v>1126</v>
      </c>
      <c r="I1950" s="122"/>
      <c r="J1950" s="122">
        <v>0</v>
      </c>
      <c r="K1950" s="122"/>
      <c r="L1950" s="122"/>
      <c r="M1950" s="122">
        <v>0</v>
      </c>
      <c r="N1950" s="122">
        <v>37849</v>
      </c>
      <c r="O1950" s="122">
        <v>14018</v>
      </c>
      <c r="P1950" s="122">
        <v>3510</v>
      </c>
      <c r="Q1950" s="122">
        <v>1300</v>
      </c>
      <c r="R1950" s="122"/>
      <c r="S1950" s="122">
        <v>0</v>
      </c>
      <c r="T1950" s="122">
        <v>0</v>
      </c>
      <c r="U1950" s="122">
        <v>0</v>
      </c>
      <c r="V1950" s="122">
        <v>15318</v>
      </c>
      <c r="W1950" s="122">
        <f t="shared" si="60"/>
        <v>15318</v>
      </c>
      <c r="X1950" s="122">
        <f t="shared" si="61"/>
        <v>41359</v>
      </c>
      <c r="AA1950" t="s">
        <v>62</v>
      </c>
      <c r="AB1950" t="s">
        <v>137</v>
      </c>
      <c r="AC1950" t="s">
        <v>431</v>
      </c>
      <c r="AD1950" t="s">
        <v>137</v>
      </c>
      <c r="AE1950" t="s">
        <v>566</v>
      </c>
      <c r="AF1950">
        <v>7</v>
      </c>
      <c r="AG1950">
        <v>741</v>
      </c>
      <c r="AH1950" s="122">
        <v>2898</v>
      </c>
      <c r="AI1950" s="122">
        <v>213598</v>
      </c>
      <c r="AJ1950" s="122">
        <v>79110</v>
      </c>
      <c r="AK1950">
        <v>100</v>
      </c>
      <c r="AL1950" s="122">
        <v>28303</v>
      </c>
      <c r="AM1950" s="122">
        <v>25730</v>
      </c>
      <c r="AN1950" s="122">
        <v>15255</v>
      </c>
      <c r="AO1950" s="122">
        <v>5650</v>
      </c>
      <c r="AP1950">
        <v>0</v>
      </c>
      <c r="AQ1950">
        <v>0</v>
      </c>
      <c r="AR1950" s="122">
        <v>48349</v>
      </c>
      <c r="AS1950" s="122">
        <v>17907</v>
      </c>
      <c r="AT1950" s="122">
        <v>0</v>
      </c>
      <c r="AU1950" s="122">
        <v>0</v>
      </c>
      <c r="AV1950" s="122">
        <v>128398</v>
      </c>
    </row>
    <row r="1951" spans="2:48" hidden="1">
      <c r="B1951" t="s">
        <v>376</v>
      </c>
      <c r="C1951" t="s">
        <v>48</v>
      </c>
      <c r="D1951" t="s">
        <v>405</v>
      </c>
      <c r="E1951" t="s">
        <v>405</v>
      </c>
      <c r="F1951" s="122">
        <v>1</v>
      </c>
      <c r="G1951" s="122">
        <v>216</v>
      </c>
      <c r="H1951" s="122">
        <v>50</v>
      </c>
      <c r="I1951" s="122">
        <v>1436</v>
      </c>
      <c r="J1951" s="122">
        <v>1306</v>
      </c>
      <c r="K1951" s="122">
        <v>93</v>
      </c>
      <c r="L1951" s="122">
        <v>214</v>
      </c>
      <c r="M1951" s="122">
        <v>195</v>
      </c>
      <c r="N1951" s="122">
        <v>2636</v>
      </c>
      <c r="O1951" s="122">
        <v>976</v>
      </c>
      <c r="P1951" s="122">
        <v>2353</v>
      </c>
      <c r="Q1951" s="122">
        <v>872</v>
      </c>
      <c r="R1951" s="122">
        <v>4145</v>
      </c>
      <c r="S1951" s="122">
        <v>3768</v>
      </c>
      <c r="T1951" s="122">
        <v>0</v>
      </c>
      <c r="U1951" s="122">
        <v>0</v>
      </c>
      <c r="V1951" s="122">
        <v>7117</v>
      </c>
      <c r="W1951" s="122">
        <f t="shared" si="60"/>
        <v>7117</v>
      </c>
      <c r="X1951" s="122">
        <f t="shared" si="61"/>
        <v>10784</v>
      </c>
      <c r="AA1951" t="s">
        <v>62</v>
      </c>
      <c r="AB1951" t="s">
        <v>137</v>
      </c>
      <c r="AC1951" t="s">
        <v>431</v>
      </c>
      <c r="AD1951" t="s">
        <v>431</v>
      </c>
      <c r="AE1951" t="s">
        <v>137</v>
      </c>
      <c r="AF1951">
        <v>3</v>
      </c>
      <c r="AG1951">
        <v>234</v>
      </c>
      <c r="AH1951" s="122">
        <v>1261</v>
      </c>
      <c r="AI1951" s="122">
        <v>56563</v>
      </c>
      <c r="AJ1951" s="122">
        <v>20949</v>
      </c>
      <c r="AK1951">
        <v>100</v>
      </c>
      <c r="AL1951" s="122">
        <v>13022</v>
      </c>
      <c r="AM1951" s="122">
        <v>11839</v>
      </c>
      <c r="AN1951" s="122">
        <v>3997</v>
      </c>
      <c r="AO1951" s="122">
        <v>1480</v>
      </c>
      <c r="AP1951">
        <v>0</v>
      </c>
      <c r="AQ1951">
        <v>0</v>
      </c>
      <c r="AR1951" s="122">
        <v>17779</v>
      </c>
      <c r="AS1951" s="122">
        <v>16163</v>
      </c>
      <c r="AT1951" s="122">
        <v>6411</v>
      </c>
      <c r="AU1951" s="122">
        <v>2375</v>
      </c>
      <c r="AV1951" s="122">
        <v>52806</v>
      </c>
    </row>
    <row r="1952" spans="2:48" hidden="1">
      <c r="B1952" t="s">
        <v>376</v>
      </c>
      <c r="C1952" t="s">
        <v>48</v>
      </c>
      <c r="D1952" t="s">
        <v>137</v>
      </c>
      <c r="E1952" t="s">
        <v>137</v>
      </c>
      <c r="F1952" s="122">
        <v>216</v>
      </c>
      <c r="G1952" s="122">
        <v>47760</v>
      </c>
      <c r="H1952" s="122">
        <v>11837</v>
      </c>
      <c r="I1952" s="122">
        <v>329179</v>
      </c>
      <c r="J1952" s="122">
        <v>121918</v>
      </c>
      <c r="K1952" s="122">
        <v>472</v>
      </c>
      <c r="L1952" s="122">
        <v>93391</v>
      </c>
      <c r="M1952" s="122">
        <v>84151</v>
      </c>
      <c r="N1952" s="122">
        <v>617438</v>
      </c>
      <c r="O1952" s="122">
        <v>228681</v>
      </c>
      <c r="P1952" s="122">
        <v>305431</v>
      </c>
      <c r="Q1952" s="122">
        <v>113123</v>
      </c>
      <c r="R1952" s="122">
        <v>1265244</v>
      </c>
      <c r="S1952" s="122">
        <v>468609</v>
      </c>
      <c r="T1952" s="122">
        <v>0</v>
      </c>
      <c r="U1952" s="122">
        <v>0</v>
      </c>
      <c r="V1952" s="122">
        <v>1016481</v>
      </c>
      <c r="W1952" s="122">
        <f t="shared" si="60"/>
        <v>1016482</v>
      </c>
      <c r="X1952" s="122">
        <f t="shared" si="61"/>
        <v>2610683</v>
      </c>
      <c r="AA1952" t="s">
        <v>62</v>
      </c>
      <c r="AB1952" t="s">
        <v>137</v>
      </c>
      <c r="AC1952" t="s">
        <v>431</v>
      </c>
      <c r="AD1952" t="s">
        <v>431</v>
      </c>
      <c r="AE1952" t="s">
        <v>566</v>
      </c>
      <c r="AF1952">
        <v>1</v>
      </c>
      <c r="AG1952" s="122">
        <v>62</v>
      </c>
      <c r="AH1952" s="122">
        <v>433</v>
      </c>
      <c r="AI1952" s="122">
        <v>17499</v>
      </c>
      <c r="AJ1952" s="122">
        <v>6481</v>
      </c>
      <c r="AK1952">
        <v>100</v>
      </c>
      <c r="AL1952" s="122">
        <v>1320</v>
      </c>
      <c r="AM1952" s="122">
        <v>1200</v>
      </c>
      <c r="AN1952" s="122">
        <v>1426</v>
      </c>
      <c r="AO1952" s="122">
        <v>528</v>
      </c>
      <c r="AP1952">
        <v>351</v>
      </c>
      <c r="AQ1952">
        <v>130</v>
      </c>
      <c r="AR1952" s="122">
        <v>6214</v>
      </c>
      <c r="AS1952" s="122">
        <v>5649</v>
      </c>
      <c r="AT1952" s="122">
        <v>0</v>
      </c>
      <c r="AU1952" s="122">
        <v>0</v>
      </c>
      <c r="AV1952" s="122">
        <v>13989</v>
      </c>
    </row>
    <row r="1953" spans="2:48" hidden="1">
      <c r="B1953" t="s">
        <v>376</v>
      </c>
      <c r="C1953" t="s">
        <v>48</v>
      </c>
      <c r="D1953" t="s">
        <v>406</v>
      </c>
      <c r="E1953" t="s">
        <v>137</v>
      </c>
      <c r="F1953" s="122">
        <v>3</v>
      </c>
      <c r="G1953" s="122">
        <v>726</v>
      </c>
      <c r="H1953" s="122">
        <v>155</v>
      </c>
      <c r="I1953" s="122">
        <v>9835</v>
      </c>
      <c r="J1953" s="122">
        <v>8941</v>
      </c>
      <c r="K1953" s="122">
        <v>89</v>
      </c>
      <c r="L1953" s="122">
        <v>1292</v>
      </c>
      <c r="M1953" s="122">
        <v>1174</v>
      </c>
      <c r="N1953" s="122">
        <v>9809</v>
      </c>
      <c r="O1953" s="122">
        <v>3633</v>
      </c>
      <c r="P1953" s="122">
        <v>5981</v>
      </c>
      <c r="Q1953" s="122">
        <v>2215</v>
      </c>
      <c r="R1953" s="122">
        <v>10817</v>
      </c>
      <c r="S1953" s="122">
        <v>4006</v>
      </c>
      <c r="T1953" s="122">
        <v>0</v>
      </c>
      <c r="U1953" s="122">
        <v>0</v>
      </c>
      <c r="V1953" s="122">
        <v>19969</v>
      </c>
      <c r="W1953" s="122">
        <f t="shared" si="60"/>
        <v>19969</v>
      </c>
      <c r="X1953" s="122">
        <f t="shared" si="61"/>
        <v>37734</v>
      </c>
      <c r="AA1953" t="s">
        <v>62</v>
      </c>
      <c r="AB1953" t="s">
        <v>137</v>
      </c>
      <c r="AC1953" t="s">
        <v>426</v>
      </c>
      <c r="AD1953" t="s">
        <v>137</v>
      </c>
      <c r="AE1953" t="s">
        <v>137</v>
      </c>
      <c r="AF1953">
        <v>23</v>
      </c>
      <c r="AG1953" s="122">
        <v>2322</v>
      </c>
      <c r="AH1953" s="122">
        <v>9459</v>
      </c>
      <c r="AI1953" s="122">
        <v>658462</v>
      </c>
      <c r="AJ1953" s="122">
        <v>243875</v>
      </c>
      <c r="AK1953">
        <v>100</v>
      </c>
      <c r="AL1953" s="122">
        <v>108761</v>
      </c>
      <c r="AM1953" s="122">
        <v>98874</v>
      </c>
      <c r="AN1953" s="122">
        <v>53446</v>
      </c>
      <c r="AO1953" s="122">
        <v>19795</v>
      </c>
      <c r="AP1953" s="122">
        <v>351</v>
      </c>
      <c r="AQ1953" s="122">
        <v>130</v>
      </c>
      <c r="AR1953" s="122">
        <v>196995</v>
      </c>
      <c r="AS1953" s="122">
        <v>72961</v>
      </c>
      <c r="AT1953" s="122">
        <v>3193</v>
      </c>
      <c r="AU1953" s="122">
        <v>1183</v>
      </c>
      <c r="AV1953" s="122">
        <v>436817</v>
      </c>
    </row>
    <row r="1954" spans="2:48" hidden="1">
      <c r="B1954" t="s">
        <v>376</v>
      </c>
      <c r="C1954" t="s">
        <v>48</v>
      </c>
      <c r="D1954" t="s">
        <v>406</v>
      </c>
      <c r="E1954" t="s">
        <v>406</v>
      </c>
      <c r="F1954" s="122">
        <v>27</v>
      </c>
      <c r="G1954" s="122">
        <v>6006</v>
      </c>
      <c r="H1954" s="122">
        <v>1531</v>
      </c>
      <c r="I1954" s="122">
        <v>102436</v>
      </c>
      <c r="J1954" s="122">
        <v>93124</v>
      </c>
      <c r="K1954" s="122">
        <v>95</v>
      </c>
      <c r="L1954" s="122">
        <v>12420</v>
      </c>
      <c r="M1954" s="122">
        <v>11291</v>
      </c>
      <c r="N1954" s="122">
        <v>76914</v>
      </c>
      <c r="O1954" s="122">
        <v>28487</v>
      </c>
      <c r="P1954" s="122">
        <v>39518</v>
      </c>
      <c r="Q1954" s="122">
        <v>14636</v>
      </c>
      <c r="R1954" s="122">
        <v>106864</v>
      </c>
      <c r="S1954" s="122">
        <v>97149</v>
      </c>
      <c r="T1954" s="122">
        <v>1813</v>
      </c>
      <c r="U1954" s="122">
        <v>671</v>
      </c>
      <c r="V1954" s="122">
        <v>245357</v>
      </c>
      <c r="W1954" s="122">
        <f t="shared" ref="W1954:W2017" si="62">SUM(ABS(J1954),ABS(M1954),ABS(O1954),ABS(Q1954),ABS(S1954),ABS(U1954))</f>
        <v>245358</v>
      </c>
      <c r="X1954" s="122">
        <f t="shared" ref="X1954:X2017" si="63">SUM(ABS(I1954),ABS(N1954),ABS(P1954),ABS(R1954),ABS(T1954),ABS(L1954))</f>
        <v>339965</v>
      </c>
      <c r="AA1954" t="s">
        <v>62</v>
      </c>
      <c r="AB1954" t="s">
        <v>137</v>
      </c>
      <c r="AC1954" t="s">
        <v>426</v>
      </c>
      <c r="AD1954" t="s">
        <v>137</v>
      </c>
      <c r="AE1954" t="s">
        <v>566</v>
      </c>
      <c r="AF1954">
        <v>434</v>
      </c>
      <c r="AG1954" s="122">
        <v>44433</v>
      </c>
      <c r="AH1954" s="122">
        <v>180609</v>
      </c>
      <c r="AI1954" s="122">
        <v>12762147</v>
      </c>
      <c r="AJ1954" s="122">
        <v>4726721</v>
      </c>
      <c r="AK1954">
        <v>101</v>
      </c>
      <c r="AL1954" s="122">
        <v>2014909</v>
      </c>
      <c r="AM1954" s="122">
        <v>1831735</v>
      </c>
      <c r="AN1954" s="122">
        <v>990463</v>
      </c>
      <c r="AO1954" s="122">
        <v>366838</v>
      </c>
      <c r="AP1954" s="122">
        <v>12119</v>
      </c>
      <c r="AQ1954" s="122">
        <v>4489</v>
      </c>
      <c r="AR1954" s="122">
        <v>3337085</v>
      </c>
      <c r="AS1954" s="122">
        <v>1235957</v>
      </c>
      <c r="AT1954" s="122">
        <v>0</v>
      </c>
      <c r="AU1954" s="122">
        <v>0</v>
      </c>
      <c r="AV1954" s="122">
        <v>8165740</v>
      </c>
    </row>
    <row r="1955" spans="2:48" hidden="1">
      <c r="B1955" t="s">
        <v>376</v>
      </c>
      <c r="C1955" t="s">
        <v>48</v>
      </c>
      <c r="D1955" t="s">
        <v>407</v>
      </c>
      <c r="E1955" t="s">
        <v>137</v>
      </c>
      <c r="F1955" s="122">
        <v>1</v>
      </c>
      <c r="G1955" s="122">
        <v>298</v>
      </c>
      <c r="H1955" s="122">
        <v>46</v>
      </c>
      <c r="I1955" s="122">
        <v>4809</v>
      </c>
      <c r="J1955" s="122">
        <v>4372</v>
      </c>
      <c r="K1955" s="122">
        <v>91</v>
      </c>
      <c r="L1955" s="122">
        <v>606</v>
      </c>
      <c r="M1955" s="122">
        <v>551</v>
      </c>
      <c r="N1955" s="122">
        <v>3634</v>
      </c>
      <c r="O1955" s="122">
        <v>1346</v>
      </c>
      <c r="P1955" s="122">
        <v>473</v>
      </c>
      <c r="Q1955" s="122">
        <v>175</v>
      </c>
      <c r="R1955" s="122">
        <v>4191</v>
      </c>
      <c r="S1955" s="122">
        <v>1552</v>
      </c>
      <c r="T1955" s="122">
        <v>0</v>
      </c>
      <c r="U1955" s="122">
        <v>0</v>
      </c>
      <c r="V1955" s="122">
        <v>7996</v>
      </c>
      <c r="W1955" s="122">
        <f t="shared" si="62"/>
        <v>7996</v>
      </c>
      <c r="X1955" s="122">
        <f t="shared" si="63"/>
        <v>13713</v>
      </c>
      <c r="AA1955" t="s">
        <v>62</v>
      </c>
      <c r="AB1955" t="s">
        <v>137</v>
      </c>
      <c r="AC1955" t="s">
        <v>426</v>
      </c>
      <c r="AD1955" t="s">
        <v>406</v>
      </c>
      <c r="AE1955" t="s">
        <v>137</v>
      </c>
      <c r="AF1955">
        <v>3</v>
      </c>
      <c r="AG1955">
        <v>457</v>
      </c>
      <c r="AH1955" s="122">
        <v>1240</v>
      </c>
      <c r="AI1955" s="122">
        <v>133895</v>
      </c>
      <c r="AJ1955" s="122">
        <v>49591</v>
      </c>
      <c r="AK1955">
        <v>100</v>
      </c>
      <c r="AL1955" s="122">
        <v>15182</v>
      </c>
      <c r="AM1955" s="122">
        <v>13802</v>
      </c>
      <c r="AN1955" s="122">
        <v>9586</v>
      </c>
      <c r="AO1955" s="122">
        <v>3550</v>
      </c>
      <c r="AP1955">
        <v>810</v>
      </c>
      <c r="AQ1955">
        <v>300</v>
      </c>
      <c r="AR1955" s="122">
        <v>18838</v>
      </c>
      <c r="AS1955" s="122">
        <v>17126</v>
      </c>
      <c r="AT1955" s="122">
        <v>10260</v>
      </c>
      <c r="AU1955" s="122">
        <v>3800</v>
      </c>
      <c r="AV1955" s="122">
        <v>88169</v>
      </c>
    </row>
    <row r="1956" spans="2:48" hidden="1">
      <c r="B1956" t="s">
        <v>376</v>
      </c>
      <c r="C1956" t="s">
        <v>48</v>
      </c>
      <c r="D1956" t="s">
        <v>407</v>
      </c>
      <c r="E1956" t="s">
        <v>407</v>
      </c>
      <c r="F1956" s="122">
        <v>100</v>
      </c>
      <c r="G1956" s="122">
        <v>15373</v>
      </c>
      <c r="H1956" s="122">
        <v>5783</v>
      </c>
      <c r="I1956" s="122">
        <v>196150</v>
      </c>
      <c r="J1956" s="122">
        <v>178318</v>
      </c>
      <c r="K1956" s="122">
        <v>91</v>
      </c>
      <c r="L1956" s="122">
        <v>13047</v>
      </c>
      <c r="M1956" s="122">
        <v>11462</v>
      </c>
      <c r="N1956" s="122">
        <v>203158</v>
      </c>
      <c r="O1956" s="122">
        <v>75244</v>
      </c>
      <c r="P1956" s="122">
        <v>67672</v>
      </c>
      <c r="Q1956" s="122">
        <v>25064</v>
      </c>
      <c r="R1956" s="122">
        <v>406784</v>
      </c>
      <c r="S1956" s="122">
        <v>369804</v>
      </c>
      <c r="T1956" s="122">
        <v>0</v>
      </c>
      <c r="U1956" s="122">
        <v>0</v>
      </c>
      <c r="V1956" s="122">
        <v>659890</v>
      </c>
      <c r="W1956" s="122">
        <f t="shared" si="62"/>
        <v>659892</v>
      </c>
      <c r="X1956" s="122">
        <f t="shared" si="63"/>
        <v>886811</v>
      </c>
      <c r="AA1956" t="s">
        <v>62</v>
      </c>
      <c r="AB1956" t="s">
        <v>137</v>
      </c>
      <c r="AC1956" t="s">
        <v>426</v>
      </c>
      <c r="AD1956" t="s">
        <v>406</v>
      </c>
      <c r="AE1956" t="s">
        <v>566</v>
      </c>
      <c r="AF1956">
        <v>1</v>
      </c>
      <c r="AG1956" s="122">
        <v>183</v>
      </c>
      <c r="AH1956" s="122">
        <v>417</v>
      </c>
      <c r="AI1956" s="122">
        <v>60543</v>
      </c>
      <c r="AJ1956" s="122">
        <v>22423</v>
      </c>
      <c r="AK1956">
        <v>100</v>
      </c>
      <c r="AL1956" s="122">
        <v>3477</v>
      </c>
      <c r="AM1956" s="122">
        <v>3161</v>
      </c>
      <c r="AN1956" s="122">
        <v>3527</v>
      </c>
      <c r="AO1956" s="122">
        <v>1306</v>
      </c>
      <c r="AP1956" s="122">
        <v>621</v>
      </c>
      <c r="AQ1956" s="122">
        <v>230</v>
      </c>
      <c r="AR1956" s="122">
        <v>8242</v>
      </c>
      <c r="AS1956" s="122">
        <v>7493</v>
      </c>
      <c r="AT1956" s="122">
        <v>0</v>
      </c>
      <c r="AU1956" s="122">
        <v>0</v>
      </c>
      <c r="AV1956" s="122">
        <v>34613</v>
      </c>
    </row>
    <row r="1957" spans="2:48" hidden="1">
      <c r="B1957" t="s">
        <v>376</v>
      </c>
      <c r="C1957" t="s">
        <v>48</v>
      </c>
      <c r="D1957" t="s">
        <v>408</v>
      </c>
      <c r="E1957" t="s">
        <v>408</v>
      </c>
      <c r="F1957" s="122">
        <v>1</v>
      </c>
      <c r="G1957" s="122">
        <v>260</v>
      </c>
      <c r="H1957" s="122">
        <v>74</v>
      </c>
      <c r="I1957" s="122">
        <v>7608</v>
      </c>
      <c r="J1957" s="122">
        <v>6916</v>
      </c>
      <c r="K1957" s="122">
        <v>92</v>
      </c>
      <c r="L1957" s="122">
        <v>988</v>
      </c>
      <c r="M1957" s="122">
        <v>898</v>
      </c>
      <c r="N1957" s="122">
        <v>4181</v>
      </c>
      <c r="O1957" s="122">
        <v>1548</v>
      </c>
      <c r="P1957" s="122">
        <v>2773</v>
      </c>
      <c r="Q1957" s="122">
        <v>1027</v>
      </c>
      <c r="R1957" s="122">
        <v>3761</v>
      </c>
      <c r="S1957" s="122">
        <v>3419</v>
      </c>
      <c r="T1957" s="122">
        <v>0</v>
      </c>
      <c r="U1957" s="122">
        <v>0</v>
      </c>
      <c r="V1957" s="122">
        <v>13809</v>
      </c>
      <c r="W1957" s="122">
        <f t="shared" si="62"/>
        <v>13808</v>
      </c>
      <c r="X1957" s="122">
        <f t="shared" si="63"/>
        <v>19311</v>
      </c>
      <c r="AA1957" t="s">
        <v>62</v>
      </c>
      <c r="AB1957" t="s">
        <v>137</v>
      </c>
      <c r="AC1957" t="s">
        <v>426</v>
      </c>
      <c r="AD1957" t="s">
        <v>426</v>
      </c>
      <c r="AE1957" t="s">
        <v>137</v>
      </c>
      <c r="AF1957">
        <v>40</v>
      </c>
      <c r="AG1957" s="122">
        <v>3348</v>
      </c>
      <c r="AH1957" s="122">
        <v>16792</v>
      </c>
      <c r="AI1957" s="122">
        <v>897722</v>
      </c>
      <c r="AJ1957" s="122">
        <v>332490</v>
      </c>
      <c r="AK1957">
        <v>100</v>
      </c>
      <c r="AL1957" s="122">
        <v>119790</v>
      </c>
      <c r="AM1957" s="122">
        <v>108900</v>
      </c>
      <c r="AN1957" s="122">
        <v>66370</v>
      </c>
      <c r="AO1957" s="122">
        <v>24582</v>
      </c>
      <c r="AP1957" s="122">
        <v>3281</v>
      </c>
      <c r="AQ1957" s="122">
        <v>1215</v>
      </c>
      <c r="AR1957" s="122">
        <v>221374</v>
      </c>
      <c r="AS1957" s="122">
        <v>201249</v>
      </c>
      <c r="AT1957" s="122">
        <v>90831</v>
      </c>
      <c r="AU1957" s="122">
        <v>33641</v>
      </c>
      <c r="AV1957" s="122">
        <v>702076</v>
      </c>
    </row>
    <row r="1958" spans="2:48" hidden="1">
      <c r="B1958" t="s">
        <v>376</v>
      </c>
      <c r="C1958" t="s">
        <v>48</v>
      </c>
      <c r="D1958" t="s">
        <v>429</v>
      </c>
      <c r="E1958" t="s">
        <v>429</v>
      </c>
      <c r="F1958" s="122">
        <v>1</v>
      </c>
      <c r="G1958" s="122">
        <v>269</v>
      </c>
      <c r="H1958" s="122">
        <v>44</v>
      </c>
      <c r="I1958" s="122">
        <v>-289</v>
      </c>
      <c r="J1958" s="122">
        <v>-263</v>
      </c>
      <c r="K1958" s="122">
        <v>93</v>
      </c>
      <c r="L1958" s="122">
        <v>-36</v>
      </c>
      <c r="M1958" s="122">
        <v>-32</v>
      </c>
      <c r="N1958" s="122">
        <v>3280</v>
      </c>
      <c r="O1958" s="122">
        <v>1215</v>
      </c>
      <c r="P1958" s="122">
        <v>2694</v>
      </c>
      <c r="Q1958" s="122">
        <v>998</v>
      </c>
      <c r="R1958" s="122">
        <v>6215</v>
      </c>
      <c r="S1958" s="122">
        <v>5650</v>
      </c>
      <c r="T1958" s="122">
        <v>0</v>
      </c>
      <c r="U1958" s="122">
        <v>0</v>
      </c>
      <c r="V1958" s="122">
        <v>7567</v>
      </c>
      <c r="W1958" s="122">
        <f t="shared" si="62"/>
        <v>8158</v>
      </c>
      <c r="X1958" s="122">
        <f t="shared" si="63"/>
        <v>12514</v>
      </c>
      <c r="AA1958" t="s">
        <v>62</v>
      </c>
      <c r="AB1958" t="s">
        <v>137</v>
      </c>
      <c r="AC1958" t="s">
        <v>426</v>
      </c>
      <c r="AD1958" t="s">
        <v>426</v>
      </c>
      <c r="AE1958" t="s">
        <v>566</v>
      </c>
      <c r="AF1958">
        <v>15</v>
      </c>
      <c r="AG1958" s="122">
        <v>1368</v>
      </c>
      <c r="AH1958" s="122">
        <v>6345</v>
      </c>
      <c r="AI1958" s="122">
        <v>390505</v>
      </c>
      <c r="AJ1958" s="122">
        <v>144632</v>
      </c>
      <c r="AK1958">
        <v>100</v>
      </c>
      <c r="AL1958" s="122">
        <v>37238</v>
      </c>
      <c r="AM1958" s="122">
        <v>33853</v>
      </c>
      <c r="AN1958" s="122">
        <v>27523</v>
      </c>
      <c r="AO1958" s="122">
        <v>10194</v>
      </c>
      <c r="AP1958">
        <v>351</v>
      </c>
      <c r="AQ1958">
        <v>130</v>
      </c>
      <c r="AR1958" s="122">
        <v>126765</v>
      </c>
      <c r="AS1958" s="122">
        <v>115241</v>
      </c>
      <c r="AT1958" s="122">
        <v>0</v>
      </c>
      <c r="AU1958">
        <v>0</v>
      </c>
      <c r="AV1958" s="122">
        <v>304049</v>
      </c>
    </row>
    <row r="1959" spans="2:48" hidden="1">
      <c r="B1959" t="s">
        <v>376</v>
      </c>
      <c r="C1959" t="s">
        <v>50</v>
      </c>
      <c r="F1959" s="122">
        <v>2</v>
      </c>
      <c r="G1959" s="122">
        <v>312</v>
      </c>
      <c r="H1959" s="122">
        <v>157</v>
      </c>
      <c r="I1959" s="122"/>
      <c r="J1959" s="122">
        <v>0</v>
      </c>
      <c r="K1959" s="122"/>
      <c r="L1959" s="122"/>
      <c r="M1959" s="122">
        <v>0</v>
      </c>
      <c r="N1959" s="122">
        <v>4946</v>
      </c>
      <c r="O1959" s="122">
        <v>1832</v>
      </c>
      <c r="P1959" s="122">
        <v>0</v>
      </c>
      <c r="Q1959" s="122">
        <v>0</v>
      </c>
      <c r="R1959" s="122"/>
      <c r="S1959" s="122">
        <v>0</v>
      </c>
      <c r="T1959" s="122">
        <v>0</v>
      </c>
      <c r="U1959" s="122">
        <v>0</v>
      </c>
      <c r="V1959" s="122">
        <v>1832</v>
      </c>
      <c r="W1959" s="122">
        <f t="shared" si="62"/>
        <v>1832</v>
      </c>
      <c r="X1959" s="122">
        <f t="shared" si="63"/>
        <v>4946</v>
      </c>
      <c r="AA1959" t="s">
        <v>62</v>
      </c>
      <c r="AB1959" t="s">
        <v>137</v>
      </c>
      <c r="AC1959" t="s">
        <v>566</v>
      </c>
      <c r="AD1959" t="s">
        <v>137</v>
      </c>
      <c r="AE1959" t="s">
        <v>137</v>
      </c>
      <c r="AF1959">
        <v>1</v>
      </c>
      <c r="AG1959" s="122">
        <v>115</v>
      </c>
      <c r="AH1959" s="122">
        <v>400</v>
      </c>
      <c r="AI1959" s="122">
        <v>36857</v>
      </c>
      <c r="AJ1959" s="122">
        <v>13651</v>
      </c>
      <c r="AK1959">
        <v>100</v>
      </c>
      <c r="AL1959">
        <v>0</v>
      </c>
      <c r="AM1959" s="122">
        <v>5056</v>
      </c>
      <c r="AN1959" s="122">
        <v>1401</v>
      </c>
      <c r="AO1959" s="122">
        <v>519</v>
      </c>
      <c r="AP1959" s="122">
        <v>351</v>
      </c>
      <c r="AQ1959" s="122">
        <v>130</v>
      </c>
      <c r="AR1959" s="122">
        <v>4946</v>
      </c>
      <c r="AS1959" s="122">
        <v>1832</v>
      </c>
      <c r="AT1959" s="122">
        <v>2436</v>
      </c>
      <c r="AU1959">
        <v>902</v>
      </c>
      <c r="AV1959" s="122">
        <v>22089</v>
      </c>
    </row>
    <row r="1960" spans="2:48" hidden="1">
      <c r="B1960" t="s">
        <v>376</v>
      </c>
      <c r="C1960" t="s">
        <v>50</v>
      </c>
      <c r="D1960" t="s">
        <v>137</v>
      </c>
      <c r="E1960" t="s">
        <v>137</v>
      </c>
      <c r="F1960" s="122">
        <v>36</v>
      </c>
      <c r="G1960" s="122">
        <v>8221</v>
      </c>
      <c r="H1960" s="122">
        <v>3241</v>
      </c>
      <c r="I1960" s="122">
        <v>281155</v>
      </c>
      <c r="J1960" s="122">
        <v>104131</v>
      </c>
      <c r="K1960" s="122">
        <v>370</v>
      </c>
      <c r="L1960" s="122">
        <v>75223</v>
      </c>
      <c r="M1960" s="122">
        <v>64924</v>
      </c>
      <c r="N1960" s="122">
        <v>145209</v>
      </c>
      <c r="O1960" s="122">
        <v>53781</v>
      </c>
      <c r="P1960" s="122">
        <v>26409</v>
      </c>
      <c r="Q1960" s="122">
        <v>9781</v>
      </c>
      <c r="R1960" s="122">
        <v>226769</v>
      </c>
      <c r="S1960" s="122">
        <v>83989</v>
      </c>
      <c r="T1960" s="122">
        <v>0</v>
      </c>
      <c r="U1960" s="122">
        <v>0</v>
      </c>
      <c r="V1960" s="122">
        <v>316606</v>
      </c>
      <c r="W1960" s="122">
        <f t="shared" si="62"/>
        <v>316606</v>
      </c>
      <c r="X1960" s="122">
        <f t="shared" si="63"/>
        <v>754765</v>
      </c>
      <c r="AA1960" t="s">
        <v>62</v>
      </c>
      <c r="AB1960" t="s">
        <v>137</v>
      </c>
      <c r="AC1960" t="s">
        <v>566</v>
      </c>
      <c r="AD1960" t="s">
        <v>137</v>
      </c>
      <c r="AE1960" t="s">
        <v>566</v>
      </c>
      <c r="AF1960">
        <v>68</v>
      </c>
      <c r="AG1960" s="122">
        <v>5565</v>
      </c>
      <c r="AH1960" s="122">
        <v>27931</v>
      </c>
      <c r="AI1960" s="122">
        <v>1793715</v>
      </c>
      <c r="AJ1960" s="122">
        <v>664339</v>
      </c>
      <c r="AK1960">
        <v>100</v>
      </c>
      <c r="AL1960" s="122">
        <v>0</v>
      </c>
      <c r="AM1960" s="122">
        <v>18136</v>
      </c>
      <c r="AN1960" s="122">
        <v>119421</v>
      </c>
      <c r="AO1960" s="122">
        <v>44230</v>
      </c>
      <c r="AP1960" s="122">
        <v>5591</v>
      </c>
      <c r="AQ1960" s="122">
        <v>2071</v>
      </c>
      <c r="AR1960" s="122">
        <v>431682</v>
      </c>
      <c r="AS1960" s="122">
        <v>159882</v>
      </c>
      <c r="AT1960">
        <v>0</v>
      </c>
      <c r="AU1960">
        <v>0</v>
      </c>
      <c r="AV1960" s="122">
        <v>888658</v>
      </c>
    </row>
    <row r="1961" spans="2:48" hidden="1">
      <c r="B1961" t="s">
        <v>376</v>
      </c>
      <c r="C1961" t="s">
        <v>50</v>
      </c>
      <c r="D1961" t="s">
        <v>406</v>
      </c>
      <c r="E1961" t="s">
        <v>406</v>
      </c>
      <c r="F1961" s="122">
        <v>43</v>
      </c>
      <c r="G1961" s="122">
        <v>10951</v>
      </c>
      <c r="H1961" s="122">
        <v>3950</v>
      </c>
      <c r="I1961" s="122">
        <v>526420</v>
      </c>
      <c r="J1961" s="122">
        <v>478564</v>
      </c>
      <c r="K1961" s="122">
        <v>94</v>
      </c>
      <c r="L1961" s="122">
        <v>94165</v>
      </c>
      <c r="M1961" s="122">
        <v>84864</v>
      </c>
      <c r="N1961" s="122">
        <v>172583</v>
      </c>
      <c r="O1961" s="122">
        <v>63920</v>
      </c>
      <c r="P1961" s="122">
        <v>41259</v>
      </c>
      <c r="Q1961" s="122">
        <v>15281</v>
      </c>
      <c r="R1961" s="122">
        <v>199921</v>
      </c>
      <c r="S1961" s="122">
        <v>181746</v>
      </c>
      <c r="T1961" s="122">
        <v>1996</v>
      </c>
      <c r="U1961" s="122">
        <v>739</v>
      </c>
      <c r="V1961" s="122">
        <v>825114</v>
      </c>
      <c r="W1961" s="122">
        <f t="shared" si="62"/>
        <v>825114</v>
      </c>
      <c r="X1961" s="122">
        <f t="shared" si="63"/>
        <v>1036344</v>
      </c>
      <c r="AA1961" t="s">
        <v>62</v>
      </c>
      <c r="AB1961" t="s">
        <v>137</v>
      </c>
      <c r="AC1961" t="s">
        <v>433</v>
      </c>
      <c r="AD1961" t="s">
        <v>137</v>
      </c>
      <c r="AE1961" t="s">
        <v>137</v>
      </c>
      <c r="AF1961">
        <v>2</v>
      </c>
      <c r="AG1961">
        <v>196</v>
      </c>
      <c r="AH1961" s="122">
        <v>806</v>
      </c>
      <c r="AI1961" s="122">
        <v>55456</v>
      </c>
      <c r="AJ1961" s="122">
        <v>20539</v>
      </c>
      <c r="AK1961">
        <v>100</v>
      </c>
      <c r="AL1961" s="122">
        <v>6340</v>
      </c>
      <c r="AM1961" s="122">
        <v>5764</v>
      </c>
      <c r="AN1961" s="122">
        <v>3429</v>
      </c>
      <c r="AO1961" s="122">
        <v>1270</v>
      </c>
      <c r="AP1961">
        <v>0</v>
      </c>
      <c r="AQ1961">
        <v>0</v>
      </c>
      <c r="AR1961" s="122">
        <v>13875</v>
      </c>
      <c r="AS1961" s="122">
        <v>5139</v>
      </c>
      <c r="AT1961">
        <v>0</v>
      </c>
      <c r="AU1961">
        <v>0</v>
      </c>
      <c r="AV1961" s="122">
        <v>32712</v>
      </c>
    </row>
    <row r="1962" spans="2:48" hidden="1">
      <c r="B1962" t="s">
        <v>376</v>
      </c>
      <c r="C1962" t="s">
        <v>50</v>
      </c>
      <c r="D1962" t="s">
        <v>407</v>
      </c>
      <c r="E1962" t="s">
        <v>137</v>
      </c>
      <c r="F1962" s="122">
        <v>1</v>
      </c>
      <c r="G1962" s="122">
        <v>147</v>
      </c>
      <c r="H1962" s="122">
        <v>78</v>
      </c>
      <c r="I1962" s="122">
        <v>4339</v>
      </c>
      <c r="J1962" s="122">
        <v>3945</v>
      </c>
      <c r="K1962" s="122">
        <v>90</v>
      </c>
      <c r="L1962" s="122">
        <v>0</v>
      </c>
      <c r="M1962" s="122">
        <v>0</v>
      </c>
      <c r="N1962" s="122">
        <v>1796</v>
      </c>
      <c r="O1962" s="122">
        <v>665</v>
      </c>
      <c r="P1962" s="122">
        <v>1827</v>
      </c>
      <c r="Q1962" s="122">
        <v>677</v>
      </c>
      <c r="R1962" s="122">
        <v>3598</v>
      </c>
      <c r="S1962" s="122">
        <v>1332</v>
      </c>
      <c r="T1962" s="122">
        <v>0</v>
      </c>
      <c r="U1962" s="122">
        <v>0</v>
      </c>
      <c r="V1962" s="122">
        <v>6619</v>
      </c>
      <c r="W1962" s="122">
        <f t="shared" si="62"/>
        <v>6619</v>
      </c>
      <c r="X1962" s="122">
        <f t="shared" si="63"/>
        <v>11560</v>
      </c>
      <c r="AA1962" t="s">
        <v>62</v>
      </c>
      <c r="AB1962" t="s">
        <v>137</v>
      </c>
      <c r="AC1962" t="s">
        <v>433</v>
      </c>
      <c r="AD1962" t="s">
        <v>137</v>
      </c>
      <c r="AE1962" t="s">
        <v>566</v>
      </c>
      <c r="AF1962">
        <v>10</v>
      </c>
      <c r="AG1962">
        <v>962</v>
      </c>
      <c r="AH1962" s="122">
        <v>4097</v>
      </c>
      <c r="AI1962" s="122">
        <v>260942</v>
      </c>
      <c r="AJ1962" s="122">
        <v>96645</v>
      </c>
      <c r="AK1962">
        <v>100</v>
      </c>
      <c r="AL1962" s="122">
        <v>46990</v>
      </c>
      <c r="AM1962" s="122">
        <v>42718</v>
      </c>
      <c r="AN1962" s="122">
        <v>21301</v>
      </c>
      <c r="AO1962" s="122">
        <v>7889</v>
      </c>
      <c r="AP1962">
        <v>351</v>
      </c>
      <c r="AQ1962">
        <v>130</v>
      </c>
      <c r="AR1962" s="122">
        <v>80003</v>
      </c>
      <c r="AS1962" s="122">
        <v>29631</v>
      </c>
      <c r="AT1962" s="122">
        <v>0</v>
      </c>
      <c r="AU1962">
        <v>0</v>
      </c>
      <c r="AV1962" s="122">
        <v>177013</v>
      </c>
    </row>
    <row r="1963" spans="2:48" hidden="1">
      <c r="B1963" t="s">
        <v>376</v>
      </c>
      <c r="C1963" t="s">
        <v>50</v>
      </c>
      <c r="D1963" t="s">
        <v>407</v>
      </c>
      <c r="E1963" t="s">
        <v>407</v>
      </c>
      <c r="F1963" s="122">
        <v>28</v>
      </c>
      <c r="G1963" s="122">
        <v>4568</v>
      </c>
      <c r="H1963" s="122">
        <v>2638</v>
      </c>
      <c r="I1963" s="122">
        <v>221668</v>
      </c>
      <c r="J1963" s="122">
        <v>201516</v>
      </c>
      <c r="K1963" s="122">
        <v>90</v>
      </c>
      <c r="L1963" s="122">
        <v>29982</v>
      </c>
      <c r="M1963" s="122">
        <v>27134</v>
      </c>
      <c r="N1963" s="122">
        <v>61904</v>
      </c>
      <c r="O1963" s="122">
        <v>22928</v>
      </c>
      <c r="P1963" s="122">
        <v>22462</v>
      </c>
      <c r="Q1963" s="122">
        <v>8319</v>
      </c>
      <c r="R1963" s="122">
        <v>93412</v>
      </c>
      <c r="S1963" s="122">
        <v>84920</v>
      </c>
      <c r="T1963" s="122">
        <v>0</v>
      </c>
      <c r="U1963" s="122">
        <v>0</v>
      </c>
      <c r="V1963" s="122">
        <v>344817</v>
      </c>
      <c r="W1963" s="122">
        <f t="shared" si="62"/>
        <v>344817</v>
      </c>
      <c r="X1963" s="122">
        <f t="shared" si="63"/>
        <v>429428</v>
      </c>
      <c r="AA1963" t="s">
        <v>62</v>
      </c>
      <c r="AB1963" t="s">
        <v>137</v>
      </c>
      <c r="AC1963" t="s">
        <v>433</v>
      </c>
      <c r="AD1963" t="s">
        <v>433</v>
      </c>
      <c r="AE1963" t="s">
        <v>137</v>
      </c>
      <c r="AF1963">
        <v>1</v>
      </c>
      <c r="AG1963">
        <v>84</v>
      </c>
      <c r="AH1963">
        <v>440</v>
      </c>
      <c r="AI1963" s="122">
        <v>24640</v>
      </c>
      <c r="AJ1963" s="122">
        <v>9126</v>
      </c>
      <c r="AK1963">
        <v>100</v>
      </c>
      <c r="AL1963" s="122">
        <v>3718</v>
      </c>
      <c r="AM1963" s="122">
        <v>3380</v>
      </c>
      <c r="AN1963" s="122">
        <v>2046</v>
      </c>
      <c r="AO1963" s="122">
        <v>758</v>
      </c>
      <c r="AP1963">
        <v>0</v>
      </c>
      <c r="AQ1963">
        <v>0</v>
      </c>
      <c r="AR1963" s="122">
        <v>4732</v>
      </c>
      <c r="AS1963" s="122">
        <v>4302</v>
      </c>
      <c r="AT1963" s="122">
        <v>1773</v>
      </c>
      <c r="AU1963">
        <v>657</v>
      </c>
      <c r="AV1963" s="122">
        <v>18222</v>
      </c>
    </row>
    <row r="1964" spans="2:48" hidden="1">
      <c r="B1964" t="s">
        <v>376</v>
      </c>
      <c r="C1964" t="s">
        <v>52</v>
      </c>
      <c r="F1964" s="122">
        <v>1</v>
      </c>
      <c r="G1964" s="122">
        <v>174</v>
      </c>
      <c r="H1964" s="122">
        <v>111</v>
      </c>
      <c r="I1964" s="122"/>
      <c r="J1964" s="122">
        <v>0</v>
      </c>
      <c r="K1964" s="122"/>
      <c r="L1964" s="122"/>
      <c r="M1964" s="122">
        <v>0</v>
      </c>
      <c r="N1964" s="122">
        <v>3341</v>
      </c>
      <c r="O1964" s="122">
        <v>1237</v>
      </c>
      <c r="P1964" s="122">
        <v>351</v>
      </c>
      <c r="Q1964" s="122">
        <v>130</v>
      </c>
      <c r="R1964" s="122"/>
      <c r="S1964" s="122">
        <v>0</v>
      </c>
      <c r="T1964" s="122">
        <v>0</v>
      </c>
      <c r="U1964" s="122">
        <v>0</v>
      </c>
      <c r="V1964" s="122">
        <v>1367</v>
      </c>
      <c r="W1964" s="122">
        <f t="shared" si="62"/>
        <v>1367</v>
      </c>
      <c r="X1964" s="122">
        <f t="shared" si="63"/>
        <v>3692</v>
      </c>
      <c r="AA1964" t="s">
        <v>62</v>
      </c>
      <c r="AB1964" t="s">
        <v>406</v>
      </c>
      <c r="AC1964" t="s">
        <v>578</v>
      </c>
      <c r="AD1964" t="s">
        <v>578</v>
      </c>
      <c r="AE1964" t="s">
        <v>566</v>
      </c>
      <c r="AF1964">
        <v>1</v>
      </c>
      <c r="AG1964">
        <v>197</v>
      </c>
      <c r="AH1964" s="122">
        <v>435</v>
      </c>
      <c r="AI1964" s="122">
        <v>58885</v>
      </c>
      <c r="AJ1964" s="122">
        <v>53532</v>
      </c>
      <c r="AK1964">
        <v>70</v>
      </c>
      <c r="AL1964" s="122">
        <v>7911</v>
      </c>
      <c r="AM1964" s="122">
        <v>7192</v>
      </c>
      <c r="AN1964" s="122">
        <v>4804</v>
      </c>
      <c r="AO1964" s="122">
        <v>1779</v>
      </c>
      <c r="AP1964" s="122">
        <v>621</v>
      </c>
      <c r="AQ1964" s="122">
        <v>230</v>
      </c>
      <c r="AR1964" s="122">
        <v>13568</v>
      </c>
      <c r="AS1964" s="122">
        <v>12334</v>
      </c>
      <c r="AT1964" s="122">
        <v>0</v>
      </c>
      <c r="AU1964" s="122">
        <v>0</v>
      </c>
      <c r="AV1964" s="122">
        <v>75067</v>
      </c>
    </row>
    <row r="1965" spans="2:48" hidden="1">
      <c r="B1965" t="s">
        <v>376</v>
      </c>
      <c r="C1965" t="s">
        <v>52</v>
      </c>
      <c r="D1965" t="s">
        <v>425</v>
      </c>
      <c r="E1965" t="s">
        <v>425</v>
      </c>
      <c r="F1965" s="122">
        <v>1</v>
      </c>
      <c r="G1965" s="122">
        <v>247</v>
      </c>
      <c r="H1965" s="122">
        <v>123</v>
      </c>
      <c r="I1965" s="122">
        <v>17511</v>
      </c>
      <c r="J1965" s="122">
        <v>15919</v>
      </c>
      <c r="K1965" s="122">
        <v>91</v>
      </c>
      <c r="L1965" s="122">
        <v>2792</v>
      </c>
      <c r="M1965" s="122">
        <v>2538</v>
      </c>
      <c r="N1965" s="122">
        <v>6019</v>
      </c>
      <c r="O1965" s="122">
        <v>2229</v>
      </c>
      <c r="P1965" s="122">
        <v>473</v>
      </c>
      <c r="Q1965" s="122">
        <v>175</v>
      </c>
      <c r="R1965" s="122">
        <v>3621</v>
      </c>
      <c r="S1965" s="122">
        <v>3292</v>
      </c>
      <c r="T1965" s="122">
        <v>0</v>
      </c>
      <c r="U1965" s="122">
        <v>0</v>
      </c>
      <c r="V1965" s="122">
        <v>24154</v>
      </c>
      <c r="W1965" s="122">
        <f t="shared" si="62"/>
        <v>24153</v>
      </c>
      <c r="X1965" s="122">
        <f t="shared" si="63"/>
        <v>30416</v>
      </c>
      <c r="AA1965" t="s">
        <v>62</v>
      </c>
      <c r="AB1965" t="s">
        <v>406</v>
      </c>
      <c r="AC1965" t="s">
        <v>578</v>
      </c>
      <c r="AD1965" t="s">
        <v>406</v>
      </c>
      <c r="AE1965" t="s">
        <v>137</v>
      </c>
      <c r="AF1965">
        <v>7</v>
      </c>
      <c r="AG1965">
        <v>750</v>
      </c>
      <c r="AH1965" s="122">
        <v>2893</v>
      </c>
      <c r="AI1965" s="122">
        <v>200711</v>
      </c>
      <c r="AJ1965" s="122">
        <v>182465</v>
      </c>
      <c r="AK1965">
        <v>74</v>
      </c>
      <c r="AL1965" s="122">
        <v>44318</v>
      </c>
      <c r="AM1965" s="122">
        <v>40289</v>
      </c>
      <c r="AN1965" s="122">
        <v>14133</v>
      </c>
      <c r="AO1965" s="122">
        <v>5234</v>
      </c>
      <c r="AP1965" s="122">
        <v>5049</v>
      </c>
      <c r="AQ1965" s="122">
        <v>1870</v>
      </c>
      <c r="AR1965" s="122">
        <v>28357</v>
      </c>
      <c r="AS1965" s="122">
        <v>25779</v>
      </c>
      <c r="AT1965" s="122">
        <v>15983</v>
      </c>
      <c r="AU1965" s="122">
        <v>5920</v>
      </c>
      <c r="AV1965" s="122">
        <v>261557</v>
      </c>
    </row>
    <row r="1966" spans="2:48" hidden="1">
      <c r="B1966" t="s">
        <v>376</v>
      </c>
      <c r="C1966" t="s">
        <v>52</v>
      </c>
      <c r="D1966" t="s">
        <v>405</v>
      </c>
      <c r="E1966" t="s">
        <v>405</v>
      </c>
      <c r="F1966" s="122">
        <v>4</v>
      </c>
      <c r="G1966" s="122">
        <v>524</v>
      </c>
      <c r="H1966" s="122">
        <v>481</v>
      </c>
      <c r="I1966" s="122">
        <v>25615</v>
      </c>
      <c r="J1966" s="122">
        <v>23287</v>
      </c>
      <c r="K1966" s="122">
        <v>91</v>
      </c>
      <c r="L1966" s="122">
        <v>3460</v>
      </c>
      <c r="M1966" s="122">
        <v>3145</v>
      </c>
      <c r="N1966" s="122">
        <v>11777</v>
      </c>
      <c r="O1966" s="122">
        <v>4362</v>
      </c>
      <c r="P1966" s="122">
        <v>4053</v>
      </c>
      <c r="Q1966" s="122">
        <v>1501</v>
      </c>
      <c r="R1966" s="122">
        <v>17276</v>
      </c>
      <c r="S1966" s="122">
        <v>15705</v>
      </c>
      <c r="T1966" s="122">
        <v>0</v>
      </c>
      <c r="U1966" s="122">
        <v>0</v>
      </c>
      <c r="V1966" s="122">
        <v>48000</v>
      </c>
      <c r="W1966" s="122">
        <f t="shared" si="62"/>
        <v>48000</v>
      </c>
      <c r="X1966" s="122">
        <f t="shared" si="63"/>
        <v>62181</v>
      </c>
      <c r="AA1966" t="s">
        <v>62</v>
      </c>
      <c r="AB1966" t="s">
        <v>406</v>
      </c>
      <c r="AC1966" t="s">
        <v>578</v>
      </c>
      <c r="AD1966" t="s">
        <v>406</v>
      </c>
      <c r="AE1966" t="s">
        <v>566</v>
      </c>
      <c r="AF1966">
        <v>1</v>
      </c>
      <c r="AG1966">
        <v>71</v>
      </c>
      <c r="AH1966">
        <v>424</v>
      </c>
      <c r="AI1966" s="122">
        <v>20707</v>
      </c>
      <c r="AJ1966" s="122">
        <v>18824</v>
      </c>
      <c r="AK1966">
        <v>86</v>
      </c>
      <c r="AL1966" s="122">
        <v>3114</v>
      </c>
      <c r="AM1966" s="122">
        <v>2831</v>
      </c>
      <c r="AN1966" s="122">
        <v>871</v>
      </c>
      <c r="AO1966">
        <v>322</v>
      </c>
      <c r="AP1966">
        <v>621</v>
      </c>
      <c r="AQ1966">
        <v>230</v>
      </c>
      <c r="AR1966" s="122">
        <v>4971</v>
      </c>
      <c r="AS1966" s="122">
        <v>4519</v>
      </c>
      <c r="AT1966">
        <v>0</v>
      </c>
      <c r="AU1966">
        <v>0</v>
      </c>
      <c r="AV1966" s="122">
        <v>26726</v>
      </c>
    </row>
    <row r="1967" spans="2:48" hidden="1">
      <c r="B1967" t="s">
        <v>376</v>
      </c>
      <c r="C1967" t="s">
        <v>52</v>
      </c>
      <c r="D1967" t="s">
        <v>137</v>
      </c>
      <c r="E1967" t="s">
        <v>137</v>
      </c>
      <c r="F1967" s="122">
        <v>29</v>
      </c>
      <c r="G1967" s="122">
        <v>7474</v>
      </c>
      <c r="H1967" s="122">
        <v>3274</v>
      </c>
      <c r="I1967" s="122">
        <v>362594</v>
      </c>
      <c r="J1967" s="122">
        <v>134294</v>
      </c>
      <c r="K1967" s="122">
        <v>336</v>
      </c>
      <c r="L1967" s="122">
        <v>108000</v>
      </c>
      <c r="M1967" s="122">
        <v>96186</v>
      </c>
      <c r="N1967" s="122">
        <v>149039</v>
      </c>
      <c r="O1967" s="122">
        <v>55200</v>
      </c>
      <c r="P1967" s="122">
        <v>20949</v>
      </c>
      <c r="Q1967" s="122">
        <v>7759</v>
      </c>
      <c r="R1967" s="122">
        <v>222558</v>
      </c>
      <c r="S1967" s="122">
        <v>82429</v>
      </c>
      <c r="T1967" s="122">
        <v>0</v>
      </c>
      <c r="U1967" s="122">
        <v>0</v>
      </c>
      <c r="V1967" s="122">
        <v>375867</v>
      </c>
      <c r="W1967" s="122">
        <f t="shared" si="62"/>
        <v>375868</v>
      </c>
      <c r="X1967" s="122">
        <f t="shared" si="63"/>
        <v>863140</v>
      </c>
      <c r="AA1967" t="s">
        <v>62</v>
      </c>
      <c r="AB1967" t="s">
        <v>406</v>
      </c>
      <c r="AC1967" t="s">
        <v>425</v>
      </c>
      <c r="AD1967" t="s">
        <v>137</v>
      </c>
      <c r="AE1967" t="s">
        <v>566</v>
      </c>
      <c r="AF1967">
        <v>1</v>
      </c>
      <c r="AG1967" s="122">
        <v>82</v>
      </c>
      <c r="AH1967" s="122">
        <v>431</v>
      </c>
      <c r="AI1967" s="122">
        <v>23212</v>
      </c>
      <c r="AJ1967" s="122">
        <v>21102</v>
      </c>
      <c r="AK1967">
        <v>86</v>
      </c>
      <c r="AL1967" s="122">
        <v>5236</v>
      </c>
      <c r="AM1967" s="122">
        <v>4760</v>
      </c>
      <c r="AN1967" s="122">
        <v>2010</v>
      </c>
      <c r="AO1967" s="122">
        <v>744</v>
      </c>
      <c r="AP1967" s="122">
        <v>621</v>
      </c>
      <c r="AQ1967" s="122">
        <v>230</v>
      </c>
      <c r="AR1967" s="122">
        <v>4517</v>
      </c>
      <c r="AS1967" s="122">
        <v>1673</v>
      </c>
      <c r="AT1967" s="122">
        <v>0</v>
      </c>
      <c r="AU1967" s="122">
        <v>0</v>
      </c>
      <c r="AV1967" s="122">
        <v>28509</v>
      </c>
    </row>
    <row r="1968" spans="2:48" hidden="1">
      <c r="B1968" t="s">
        <v>376</v>
      </c>
      <c r="C1968" t="s">
        <v>52</v>
      </c>
      <c r="D1968" t="s">
        <v>406</v>
      </c>
      <c r="E1968" t="s">
        <v>406</v>
      </c>
      <c r="F1968" s="122">
        <v>125</v>
      </c>
      <c r="G1968" s="122">
        <v>30971</v>
      </c>
      <c r="H1968" s="122">
        <v>14482</v>
      </c>
      <c r="I1968" s="122">
        <v>2050349</v>
      </c>
      <c r="J1968" s="122">
        <v>1863953</v>
      </c>
      <c r="K1968" s="122">
        <v>92</v>
      </c>
      <c r="L1968" s="122">
        <v>389471</v>
      </c>
      <c r="M1968" s="122">
        <v>356943</v>
      </c>
      <c r="N1968" s="122">
        <v>560227</v>
      </c>
      <c r="O1968" s="122">
        <v>207492</v>
      </c>
      <c r="P1968" s="122">
        <v>99477</v>
      </c>
      <c r="Q1968" s="122">
        <v>36843</v>
      </c>
      <c r="R1968" s="122">
        <v>650982</v>
      </c>
      <c r="S1968" s="122">
        <v>591802</v>
      </c>
      <c r="T1968" s="122">
        <v>4993</v>
      </c>
      <c r="U1968" s="122">
        <v>1849</v>
      </c>
      <c r="V1968" s="122">
        <v>3058882</v>
      </c>
      <c r="W1968" s="122">
        <f t="shared" si="62"/>
        <v>3058882</v>
      </c>
      <c r="X1968" s="122">
        <f t="shared" si="63"/>
        <v>3755499</v>
      </c>
      <c r="AA1968" t="s">
        <v>62</v>
      </c>
      <c r="AB1968" t="s">
        <v>406</v>
      </c>
      <c r="AC1968" t="s">
        <v>425</v>
      </c>
      <c r="AD1968" t="s">
        <v>406</v>
      </c>
      <c r="AE1968" t="s">
        <v>137</v>
      </c>
      <c r="AF1968">
        <v>81</v>
      </c>
      <c r="AG1968" s="122">
        <v>11095</v>
      </c>
      <c r="AH1968" s="122">
        <v>33209</v>
      </c>
      <c r="AI1968" s="122">
        <v>2849069</v>
      </c>
      <c r="AJ1968" s="122">
        <v>2590062</v>
      </c>
      <c r="AK1968">
        <v>73</v>
      </c>
      <c r="AL1968" s="122">
        <v>799535</v>
      </c>
      <c r="AM1968" s="122">
        <v>726850</v>
      </c>
      <c r="AN1968" s="122">
        <v>243116</v>
      </c>
      <c r="AO1968" s="122">
        <v>90043</v>
      </c>
      <c r="AP1968" s="122">
        <v>51435</v>
      </c>
      <c r="AQ1968" s="122">
        <v>19050</v>
      </c>
      <c r="AR1968" s="122">
        <v>432758</v>
      </c>
      <c r="AS1968" s="122">
        <v>393416</v>
      </c>
      <c r="AT1968" s="122">
        <v>231721</v>
      </c>
      <c r="AU1968" s="122">
        <v>85823</v>
      </c>
      <c r="AV1968" s="122">
        <v>3905244</v>
      </c>
    </row>
    <row r="1969" spans="2:48" hidden="1">
      <c r="B1969" t="s">
        <v>376</v>
      </c>
      <c r="C1969" t="s">
        <v>52</v>
      </c>
      <c r="D1969" t="s">
        <v>407</v>
      </c>
      <c r="E1969" t="s">
        <v>407</v>
      </c>
      <c r="F1969" s="122">
        <v>92</v>
      </c>
      <c r="G1969" s="122">
        <v>15514</v>
      </c>
      <c r="H1969" s="122">
        <v>10759</v>
      </c>
      <c r="I1969" s="122">
        <v>959180</v>
      </c>
      <c r="J1969" s="122">
        <v>871982</v>
      </c>
      <c r="K1969" s="122">
        <v>90</v>
      </c>
      <c r="L1969" s="122">
        <v>175464</v>
      </c>
      <c r="M1969" s="122">
        <v>176672</v>
      </c>
      <c r="N1969" s="122">
        <v>254538</v>
      </c>
      <c r="O1969" s="122">
        <v>94273</v>
      </c>
      <c r="P1969" s="122">
        <v>48733</v>
      </c>
      <c r="Q1969" s="122">
        <v>18049</v>
      </c>
      <c r="R1969" s="122">
        <v>401243</v>
      </c>
      <c r="S1969" s="122">
        <v>364766</v>
      </c>
      <c r="T1969" s="122">
        <v>0</v>
      </c>
      <c r="U1969" s="122">
        <v>0</v>
      </c>
      <c r="V1969" s="122">
        <v>1525742</v>
      </c>
      <c r="W1969" s="122">
        <f t="shared" si="62"/>
        <v>1525742</v>
      </c>
      <c r="X1969" s="122">
        <f t="shared" si="63"/>
        <v>1839158</v>
      </c>
      <c r="AA1969" t="s">
        <v>62</v>
      </c>
      <c r="AB1969" t="s">
        <v>406</v>
      </c>
      <c r="AC1969" t="s">
        <v>425</v>
      </c>
      <c r="AD1969" t="s">
        <v>406</v>
      </c>
      <c r="AE1969" t="s">
        <v>566</v>
      </c>
      <c r="AF1969">
        <v>37</v>
      </c>
      <c r="AG1969" s="122">
        <v>5614</v>
      </c>
      <c r="AH1969" s="122">
        <v>15326</v>
      </c>
      <c r="AI1969" s="122">
        <v>1457723</v>
      </c>
      <c r="AJ1969" s="122">
        <v>1325202</v>
      </c>
      <c r="AK1969">
        <v>76</v>
      </c>
      <c r="AL1969" s="122">
        <v>497086</v>
      </c>
      <c r="AM1969" s="122">
        <v>451896</v>
      </c>
      <c r="AN1969" s="122">
        <v>117184</v>
      </c>
      <c r="AO1969" s="122">
        <v>43402</v>
      </c>
      <c r="AP1969" s="122">
        <v>22707</v>
      </c>
      <c r="AQ1969" s="122">
        <v>8410</v>
      </c>
      <c r="AR1969" s="122">
        <v>261473</v>
      </c>
      <c r="AS1969" s="122">
        <v>237703</v>
      </c>
      <c r="AT1969" s="122">
        <v>0</v>
      </c>
      <c r="AU1969" s="122">
        <v>0</v>
      </c>
      <c r="AV1969" s="122">
        <v>2066613</v>
      </c>
    </row>
    <row r="1970" spans="2:48" hidden="1">
      <c r="B1970" t="s">
        <v>376</v>
      </c>
      <c r="C1970" t="s">
        <v>52</v>
      </c>
      <c r="D1970" t="s">
        <v>433</v>
      </c>
      <c r="E1970" t="s">
        <v>433</v>
      </c>
      <c r="F1970" s="122">
        <v>1</v>
      </c>
      <c r="G1970" s="122">
        <v>223</v>
      </c>
      <c r="H1970" s="122">
        <v>111</v>
      </c>
      <c r="I1970" s="122">
        <v>12079</v>
      </c>
      <c r="J1970" s="122">
        <v>10981</v>
      </c>
      <c r="K1970" s="122">
        <v>90</v>
      </c>
      <c r="L1970" s="122">
        <v>0</v>
      </c>
      <c r="M1970" s="122">
        <v>0</v>
      </c>
      <c r="N1970" s="122">
        <v>2874</v>
      </c>
      <c r="O1970" s="122">
        <v>1064</v>
      </c>
      <c r="P1970" s="122">
        <v>2709</v>
      </c>
      <c r="Q1970" s="122">
        <v>1003</v>
      </c>
      <c r="R1970" s="122">
        <v>3420</v>
      </c>
      <c r="S1970" s="122">
        <v>3109</v>
      </c>
      <c r="T1970" s="122">
        <v>3721</v>
      </c>
      <c r="U1970" s="122">
        <v>1378</v>
      </c>
      <c r="V1970" s="122">
        <v>17536</v>
      </c>
      <c r="W1970" s="122">
        <f t="shared" si="62"/>
        <v>17535</v>
      </c>
      <c r="X1970" s="122">
        <f t="shared" si="63"/>
        <v>24803</v>
      </c>
      <c r="AA1970" t="s">
        <v>62</v>
      </c>
      <c r="AB1970" t="s">
        <v>406</v>
      </c>
      <c r="AC1970" t="s">
        <v>405</v>
      </c>
      <c r="AD1970" t="s">
        <v>406</v>
      </c>
      <c r="AE1970" t="s">
        <v>137</v>
      </c>
      <c r="AF1970">
        <v>6</v>
      </c>
      <c r="AG1970">
        <v>884</v>
      </c>
      <c r="AH1970" s="122">
        <v>2436</v>
      </c>
      <c r="AI1970" s="122">
        <v>279468</v>
      </c>
      <c r="AJ1970" s="122">
        <v>254062</v>
      </c>
      <c r="AK1970">
        <v>80</v>
      </c>
      <c r="AL1970" s="122">
        <v>56582</v>
      </c>
      <c r="AM1970" s="122">
        <v>51438</v>
      </c>
      <c r="AN1970" s="122">
        <v>19681</v>
      </c>
      <c r="AO1970" s="122">
        <v>7289</v>
      </c>
      <c r="AP1970" s="122">
        <v>4199</v>
      </c>
      <c r="AQ1970" s="122">
        <v>1555</v>
      </c>
      <c r="AR1970" s="122">
        <v>33914</v>
      </c>
      <c r="AS1970" s="122">
        <v>30831</v>
      </c>
      <c r="AT1970" s="122">
        <v>10279</v>
      </c>
      <c r="AU1970" s="122">
        <v>3807</v>
      </c>
      <c r="AV1970" s="122">
        <v>348982</v>
      </c>
    </row>
    <row r="1971" spans="2:48" hidden="1">
      <c r="B1971" t="s">
        <v>376</v>
      </c>
      <c r="C1971" t="s">
        <v>52</v>
      </c>
      <c r="D1971" t="s">
        <v>408</v>
      </c>
      <c r="E1971" t="s">
        <v>408</v>
      </c>
      <c r="F1971" s="122">
        <v>1</v>
      </c>
      <c r="G1971" s="122">
        <v>225</v>
      </c>
      <c r="H1971" s="122">
        <v>125</v>
      </c>
      <c r="I1971" s="122">
        <v>15440</v>
      </c>
      <c r="J1971" s="122">
        <v>14037</v>
      </c>
      <c r="K1971" s="122">
        <v>93</v>
      </c>
      <c r="L1971" s="122">
        <v>2659</v>
      </c>
      <c r="M1971" s="122">
        <v>2417</v>
      </c>
      <c r="N1971" s="122">
        <v>2744</v>
      </c>
      <c r="O1971" s="122">
        <v>1016</v>
      </c>
      <c r="P1971" s="122">
        <v>351</v>
      </c>
      <c r="Q1971" s="122">
        <v>130</v>
      </c>
      <c r="R1971" s="122">
        <v>3416</v>
      </c>
      <c r="S1971" s="122">
        <v>3106</v>
      </c>
      <c r="T1971" s="122">
        <v>3520</v>
      </c>
      <c r="U1971" s="122">
        <v>1304</v>
      </c>
      <c r="V1971" s="122">
        <v>22010</v>
      </c>
      <c r="W1971" s="122">
        <f t="shared" si="62"/>
        <v>22010</v>
      </c>
      <c r="X1971" s="122">
        <f t="shared" si="63"/>
        <v>28130</v>
      </c>
      <c r="AA1971" t="s">
        <v>62</v>
      </c>
      <c r="AB1971" t="s">
        <v>406</v>
      </c>
      <c r="AC1971" t="s">
        <v>405</v>
      </c>
      <c r="AD1971" t="s">
        <v>406</v>
      </c>
      <c r="AE1971" t="s">
        <v>566</v>
      </c>
      <c r="AF1971">
        <v>4</v>
      </c>
      <c r="AG1971">
        <v>782</v>
      </c>
      <c r="AH1971" s="122">
        <v>1625</v>
      </c>
      <c r="AI1971" s="122">
        <v>196434</v>
      </c>
      <c r="AJ1971" s="122">
        <v>178577</v>
      </c>
      <c r="AK1971">
        <v>63</v>
      </c>
      <c r="AL1971" s="122">
        <v>55902</v>
      </c>
      <c r="AM1971" s="122">
        <v>50820</v>
      </c>
      <c r="AN1971" s="122">
        <v>17278</v>
      </c>
      <c r="AO1971" s="122">
        <v>6399</v>
      </c>
      <c r="AP1971" s="122">
        <v>2484</v>
      </c>
      <c r="AQ1971">
        <v>920</v>
      </c>
      <c r="AR1971" s="122">
        <v>42960</v>
      </c>
      <c r="AS1971" s="122">
        <v>39054</v>
      </c>
      <c r="AT1971" s="122">
        <v>0</v>
      </c>
      <c r="AU1971" s="122">
        <v>0</v>
      </c>
      <c r="AV1971" s="122">
        <v>275770</v>
      </c>
    </row>
    <row r="1972" spans="2:48" hidden="1">
      <c r="B1972" t="s">
        <v>376</v>
      </c>
      <c r="C1972" t="s">
        <v>54</v>
      </c>
      <c r="F1972" s="122">
        <v>4</v>
      </c>
      <c r="G1972" s="122">
        <v>587</v>
      </c>
      <c r="H1972" s="122">
        <v>568</v>
      </c>
      <c r="I1972" s="122"/>
      <c r="J1972" s="122">
        <v>0</v>
      </c>
      <c r="K1972" s="122"/>
      <c r="L1972" s="122"/>
      <c r="M1972" s="122">
        <v>0</v>
      </c>
      <c r="N1972" s="122">
        <v>8930</v>
      </c>
      <c r="O1972" s="122">
        <v>3307</v>
      </c>
      <c r="P1972" s="122">
        <v>1404</v>
      </c>
      <c r="Q1972" s="122">
        <v>520</v>
      </c>
      <c r="R1972" s="122"/>
      <c r="S1972" s="122">
        <v>0</v>
      </c>
      <c r="T1972" s="122">
        <v>0</v>
      </c>
      <c r="U1972" s="122">
        <v>0</v>
      </c>
      <c r="V1972" s="122">
        <v>3827</v>
      </c>
      <c r="W1972" s="122">
        <f t="shared" si="62"/>
        <v>3827</v>
      </c>
      <c r="X1972" s="122">
        <f t="shared" si="63"/>
        <v>10334</v>
      </c>
      <c r="AA1972" t="s">
        <v>62</v>
      </c>
      <c r="AB1972" t="s">
        <v>406</v>
      </c>
      <c r="AC1972" t="s">
        <v>137</v>
      </c>
      <c r="AD1972" t="s">
        <v>137</v>
      </c>
      <c r="AE1972" t="s">
        <v>137</v>
      </c>
      <c r="AF1972">
        <v>1</v>
      </c>
      <c r="AG1972">
        <v>197</v>
      </c>
      <c r="AH1972" s="122">
        <v>396</v>
      </c>
      <c r="AI1972" s="122">
        <v>42759</v>
      </c>
      <c r="AJ1972" s="122">
        <v>38872</v>
      </c>
      <c r="AK1972">
        <v>60</v>
      </c>
      <c r="AL1972" s="122">
        <v>10557</v>
      </c>
      <c r="AM1972" s="122">
        <v>3910</v>
      </c>
      <c r="AN1972" s="122">
        <v>3596</v>
      </c>
      <c r="AO1972" s="122">
        <v>1332</v>
      </c>
      <c r="AP1972" s="122">
        <v>621</v>
      </c>
      <c r="AQ1972">
        <v>230</v>
      </c>
      <c r="AR1972" s="122">
        <v>16791</v>
      </c>
      <c r="AS1972" s="122">
        <v>6219</v>
      </c>
      <c r="AT1972" s="122">
        <v>3627</v>
      </c>
      <c r="AU1972" s="122">
        <v>1343</v>
      </c>
      <c r="AV1972" s="122">
        <v>51906</v>
      </c>
    </row>
    <row r="1973" spans="2:48" hidden="1">
      <c r="B1973" t="s">
        <v>376</v>
      </c>
      <c r="C1973" t="s">
        <v>54</v>
      </c>
      <c r="D1973" t="s">
        <v>405</v>
      </c>
      <c r="E1973" t="s">
        <v>405</v>
      </c>
      <c r="F1973" s="122">
        <v>11</v>
      </c>
      <c r="G1973" s="122">
        <v>2246</v>
      </c>
      <c r="H1973" s="122">
        <v>1550</v>
      </c>
      <c r="I1973" s="122">
        <v>196513</v>
      </c>
      <c r="J1973" s="122">
        <v>178649</v>
      </c>
      <c r="K1973" s="122">
        <v>90</v>
      </c>
      <c r="L1973" s="122">
        <v>40843</v>
      </c>
      <c r="M1973" s="122">
        <v>37130</v>
      </c>
      <c r="N1973" s="122">
        <v>44885</v>
      </c>
      <c r="O1973" s="122">
        <v>16624</v>
      </c>
      <c r="P1973" s="122">
        <v>8680</v>
      </c>
      <c r="Q1973" s="122">
        <v>3215</v>
      </c>
      <c r="R1973" s="122">
        <v>51264</v>
      </c>
      <c r="S1973" s="122">
        <v>46604</v>
      </c>
      <c r="T1973" s="122">
        <v>5874</v>
      </c>
      <c r="U1973" s="122">
        <v>2176</v>
      </c>
      <c r="V1973" s="122">
        <v>284397</v>
      </c>
      <c r="W1973" s="122">
        <f t="shared" si="62"/>
        <v>284398</v>
      </c>
      <c r="X1973" s="122">
        <f t="shared" si="63"/>
        <v>348059</v>
      </c>
      <c r="AA1973" t="s">
        <v>62</v>
      </c>
      <c r="AB1973" t="s">
        <v>406</v>
      </c>
      <c r="AC1973" t="s">
        <v>137</v>
      </c>
      <c r="AD1973" t="s">
        <v>137</v>
      </c>
      <c r="AE1973" t="s">
        <v>566</v>
      </c>
      <c r="AF1973">
        <v>3</v>
      </c>
      <c r="AG1973" s="122">
        <v>365</v>
      </c>
      <c r="AH1973" s="122">
        <v>1235</v>
      </c>
      <c r="AI1973" s="122">
        <v>113247</v>
      </c>
      <c r="AJ1973" s="122">
        <v>102952</v>
      </c>
      <c r="AK1973">
        <v>79</v>
      </c>
      <c r="AL1973" s="122">
        <v>22158</v>
      </c>
      <c r="AM1973" s="122">
        <v>8206</v>
      </c>
      <c r="AN1973" s="122">
        <v>9531</v>
      </c>
      <c r="AO1973" s="122">
        <v>3530</v>
      </c>
      <c r="AP1973" s="122">
        <v>1863</v>
      </c>
      <c r="AQ1973" s="122">
        <v>690</v>
      </c>
      <c r="AR1973" s="122">
        <v>21581</v>
      </c>
      <c r="AS1973" s="122">
        <v>7993</v>
      </c>
      <c r="AT1973" s="122">
        <v>0</v>
      </c>
      <c r="AU1973" s="122">
        <v>0</v>
      </c>
      <c r="AV1973" s="122">
        <v>123371</v>
      </c>
    </row>
    <row r="1974" spans="2:48" hidden="1">
      <c r="B1974" t="s">
        <v>376</v>
      </c>
      <c r="C1974" t="s">
        <v>54</v>
      </c>
      <c r="D1974" t="s">
        <v>137</v>
      </c>
      <c r="E1974" t="s">
        <v>137</v>
      </c>
      <c r="F1974" s="122">
        <v>18</v>
      </c>
      <c r="G1974" s="122">
        <v>3585</v>
      </c>
      <c r="H1974" s="122">
        <v>2499</v>
      </c>
      <c r="I1974" s="122">
        <v>245113</v>
      </c>
      <c r="J1974" s="122">
        <v>90783</v>
      </c>
      <c r="K1974" s="122">
        <v>300</v>
      </c>
      <c r="L1974" s="122">
        <v>76407</v>
      </c>
      <c r="M1974" s="122">
        <v>69461</v>
      </c>
      <c r="N1974" s="122">
        <v>71807</v>
      </c>
      <c r="O1974" s="122">
        <v>26595</v>
      </c>
      <c r="P1974" s="122">
        <v>10782</v>
      </c>
      <c r="Q1974" s="122">
        <v>3993</v>
      </c>
      <c r="R1974" s="122">
        <v>109714</v>
      </c>
      <c r="S1974" s="122">
        <v>40635</v>
      </c>
      <c r="T1974" s="122">
        <v>0</v>
      </c>
      <c r="U1974" s="122">
        <v>0</v>
      </c>
      <c r="V1974" s="122">
        <v>231467</v>
      </c>
      <c r="W1974" s="122">
        <f t="shared" si="62"/>
        <v>231467</v>
      </c>
      <c r="X1974" s="122">
        <f t="shared" si="63"/>
        <v>513823</v>
      </c>
      <c r="AA1974" t="s">
        <v>62</v>
      </c>
      <c r="AB1974" t="s">
        <v>406</v>
      </c>
      <c r="AC1974" t="s">
        <v>137</v>
      </c>
      <c r="AD1974" t="s">
        <v>406</v>
      </c>
      <c r="AE1974" t="s">
        <v>137</v>
      </c>
      <c r="AF1974">
        <v>210</v>
      </c>
      <c r="AG1974" s="122">
        <v>24048</v>
      </c>
      <c r="AH1974" s="122">
        <v>86870</v>
      </c>
      <c r="AI1974" s="122">
        <v>6367530</v>
      </c>
      <c r="AJ1974" s="122">
        <v>5788664</v>
      </c>
      <c r="AK1974">
        <v>75</v>
      </c>
      <c r="AL1974" s="122">
        <v>1510975</v>
      </c>
      <c r="AM1974" s="122">
        <v>559620</v>
      </c>
      <c r="AN1974" s="122">
        <v>512013</v>
      </c>
      <c r="AO1974" s="122">
        <v>189634</v>
      </c>
      <c r="AP1974" s="122">
        <v>130761</v>
      </c>
      <c r="AQ1974" s="122">
        <v>48430</v>
      </c>
      <c r="AR1974" s="122">
        <v>1027008</v>
      </c>
      <c r="AS1974" s="122">
        <v>933643</v>
      </c>
      <c r="AT1974" s="122">
        <v>499834</v>
      </c>
      <c r="AU1974" s="122">
        <v>185124</v>
      </c>
      <c r="AV1974" s="122">
        <v>7705115</v>
      </c>
    </row>
    <row r="1975" spans="2:48" hidden="1">
      <c r="B1975" t="s">
        <v>376</v>
      </c>
      <c r="C1975" t="s">
        <v>54</v>
      </c>
      <c r="D1975" t="s">
        <v>137</v>
      </c>
      <c r="E1975" t="s">
        <v>406</v>
      </c>
      <c r="F1975" s="122">
        <v>1</v>
      </c>
      <c r="G1975" s="122">
        <v>205</v>
      </c>
      <c r="H1975" s="122">
        <v>148</v>
      </c>
      <c r="I1975" s="122">
        <v>16714</v>
      </c>
      <c r="J1975" s="122">
        <v>6190</v>
      </c>
      <c r="K1975" s="122">
        <v>94</v>
      </c>
      <c r="L1975" s="122">
        <v>2381</v>
      </c>
      <c r="M1975" s="122">
        <v>2164</v>
      </c>
      <c r="N1975" s="122">
        <v>2498</v>
      </c>
      <c r="O1975" s="122">
        <v>925</v>
      </c>
      <c r="P1975" s="122">
        <v>2658</v>
      </c>
      <c r="Q1975" s="122">
        <v>984</v>
      </c>
      <c r="R1975" s="122">
        <v>2997</v>
      </c>
      <c r="S1975" s="122">
        <v>2725</v>
      </c>
      <c r="T1975" s="122">
        <v>3100</v>
      </c>
      <c r="U1975" s="122">
        <v>1148</v>
      </c>
      <c r="V1975" s="122">
        <v>14137</v>
      </c>
      <c r="W1975" s="122">
        <f t="shared" si="62"/>
        <v>14136</v>
      </c>
      <c r="X1975" s="122">
        <f t="shared" si="63"/>
        <v>30348</v>
      </c>
      <c r="AA1975" t="s">
        <v>62</v>
      </c>
      <c r="AB1975" t="s">
        <v>406</v>
      </c>
      <c r="AC1975" t="s">
        <v>137</v>
      </c>
      <c r="AD1975" t="s">
        <v>406</v>
      </c>
      <c r="AE1975" t="s">
        <v>566</v>
      </c>
      <c r="AF1975">
        <v>98</v>
      </c>
      <c r="AG1975" s="122">
        <v>10370</v>
      </c>
      <c r="AH1975" s="122">
        <v>40803</v>
      </c>
      <c r="AI1975" s="122">
        <v>2850293</v>
      </c>
      <c r="AJ1975" s="122">
        <v>2591175</v>
      </c>
      <c r="AK1975">
        <v>76</v>
      </c>
      <c r="AL1975" s="122">
        <v>711504</v>
      </c>
      <c r="AM1975" s="122">
        <v>263520</v>
      </c>
      <c r="AN1975" s="122">
        <v>220202</v>
      </c>
      <c r="AO1975" s="122">
        <v>81556</v>
      </c>
      <c r="AP1975" s="122">
        <v>64430</v>
      </c>
      <c r="AQ1975" s="122">
        <v>23863</v>
      </c>
      <c r="AR1975" s="122">
        <v>613818</v>
      </c>
      <c r="AS1975" s="122">
        <v>558016</v>
      </c>
      <c r="AT1975" s="122">
        <v>0</v>
      </c>
      <c r="AU1975" s="122">
        <v>0</v>
      </c>
      <c r="AV1975" s="122">
        <v>3518131</v>
      </c>
    </row>
    <row r="1976" spans="2:48" hidden="1">
      <c r="B1976" t="s">
        <v>376</v>
      </c>
      <c r="C1976" t="s">
        <v>54</v>
      </c>
      <c r="D1976" t="s">
        <v>406</v>
      </c>
      <c r="E1976" t="s">
        <v>137</v>
      </c>
      <c r="F1976" s="122">
        <v>1</v>
      </c>
      <c r="G1976" s="122">
        <v>242</v>
      </c>
      <c r="H1976" s="122">
        <v>147</v>
      </c>
      <c r="I1976" s="122">
        <v>22116</v>
      </c>
      <c r="J1976" s="122">
        <v>20105</v>
      </c>
      <c r="K1976" s="122">
        <v>79</v>
      </c>
      <c r="L1976" s="122">
        <v>6471</v>
      </c>
      <c r="M1976" s="122">
        <v>5883</v>
      </c>
      <c r="N1976" s="122">
        <v>3326</v>
      </c>
      <c r="O1976" s="122">
        <v>1232</v>
      </c>
      <c r="P1976" s="122">
        <v>621</v>
      </c>
      <c r="Q1976" s="122">
        <v>230</v>
      </c>
      <c r="R1976" s="122">
        <v>2947</v>
      </c>
      <c r="S1976" s="122">
        <v>1092</v>
      </c>
      <c r="T1976" s="122">
        <v>0</v>
      </c>
      <c r="U1976" s="122">
        <v>0</v>
      </c>
      <c r="V1976" s="122">
        <v>28541</v>
      </c>
      <c r="W1976" s="122">
        <f t="shared" si="62"/>
        <v>28542</v>
      </c>
      <c r="X1976" s="122">
        <f t="shared" si="63"/>
        <v>35481</v>
      </c>
      <c r="AA1976" t="s">
        <v>62</v>
      </c>
      <c r="AB1976" t="s">
        <v>406</v>
      </c>
      <c r="AC1976" t="s">
        <v>137</v>
      </c>
      <c r="AD1976" t="s">
        <v>407</v>
      </c>
      <c r="AE1976" t="s">
        <v>137</v>
      </c>
      <c r="AF1976">
        <v>1</v>
      </c>
      <c r="AG1976">
        <v>155</v>
      </c>
      <c r="AH1976">
        <v>410</v>
      </c>
      <c r="AI1976" s="122">
        <v>42184</v>
      </c>
      <c r="AJ1976" s="122">
        <v>38349</v>
      </c>
      <c r="AK1976">
        <v>65</v>
      </c>
      <c r="AL1976" s="122">
        <v>7110</v>
      </c>
      <c r="AM1976" s="122">
        <v>2633</v>
      </c>
      <c r="AN1976" s="122">
        <v>3245</v>
      </c>
      <c r="AO1976" s="122">
        <v>1202</v>
      </c>
      <c r="AP1976">
        <v>621</v>
      </c>
      <c r="AQ1976">
        <v>230</v>
      </c>
      <c r="AR1976" s="122">
        <v>6527</v>
      </c>
      <c r="AS1976" s="122">
        <v>5933</v>
      </c>
      <c r="AT1976" s="122">
        <v>3785</v>
      </c>
      <c r="AU1976" s="122">
        <v>1402</v>
      </c>
      <c r="AV1976" s="122">
        <v>49750</v>
      </c>
    </row>
    <row r="1977" spans="2:48" hidden="1">
      <c r="B1977" t="s">
        <v>376</v>
      </c>
      <c r="C1977" t="s">
        <v>54</v>
      </c>
      <c r="D1977" t="s">
        <v>406</v>
      </c>
      <c r="E1977" t="s">
        <v>406</v>
      </c>
      <c r="F1977" s="122">
        <v>290</v>
      </c>
      <c r="G1977" s="122">
        <v>65617</v>
      </c>
      <c r="H1977" s="122">
        <v>40516</v>
      </c>
      <c r="I1977" s="122">
        <v>5260724</v>
      </c>
      <c r="J1977" s="122">
        <v>4782477</v>
      </c>
      <c r="K1977" s="122">
        <v>90</v>
      </c>
      <c r="L1977" s="122">
        <v>1103619</v>
      </c>
      <c r="M1977" s="122">
        <v>981844</v>
      </c>
      <c r="N1977" s="122">
        <v>1310097</v>
      </c>
      <c r="O1977" s="122">
        <v>485221</v>
      </c>
      <c r="P1977" s="122">
        <v>198271</v>
      </c>
      <c r="Q1977" s="122">
        <v>73434</v>
      </c>
      <c r="R1977" s="122">
        <v>1627679</v>
      </c>
      <c r="S1977" s="122">
        <v>1479708</v>
      </c>
      <c r="T1977" s="122">
        <v>89287</v>
      </c>
      <c r="U1977" s="122">
        <v>33069</v>
      </c>
      <c r="V1977" s="122">
        <v>7835753</v>
      </c>
      <c r="W1977" s="122">
        <f t="shared" si="62"/>
        <v>7835753</v>
      </c>
      <c r="X1977" s="122">
        <f t="shared" si="63"/>
        <v>9589677</v>
      </c>
      <c r="AA1977" t="s">
        <v>62</v>
      </c>
      <c r="AB1977" t="s">
        <v>406</v>
      </c>
      <c r="AC1977" t="s">
        <v>137</v>
      </c>
      <c r="AD1977" t="s">
        <v>431</v>
      </c>
      <c r="AE1977" t="s">
        <v>137</v>
      </c>
      <c r="AF1977">
        <v>1</v>
      </c>
      <c r="AG1977">
        <v>151</v>
      </c>
      <c r="AH1977">
        <v>407</v>
      </c>
      <c r="AI1977" s="122">
        <v>68109</v>
      </c>
      <c r="AJ1977" s="122">
        <v>61917</v>
      </c>
      <c r="AK1977">
        <v>73</v>
      </c>
      <c r="AL1977" s="122">
        <v>12891</v>
      </c>
      <c r="AM1977" s="122">
        <v>4774</v>
      </c>
      <c r="AN1977" s="122">
        <v>6082</v>
      </c>
      <c r="AO1977" s="122">
        <v>2253</v>
      </c>
      <c r="AP1977">
        <v>621</v>
      </c>
      <c r="AQ1977">
        <v>230</v>
      </c>
      <c r="AR1977" s="122">
        <v>14318</v>
      </c>
      <c r="AS1977" s="122">
        <v>13017</v>
      </c>
      <c r="AT1977">
        <v>0</v>
      </c>
      <c r="AU1977">
        <v>0</v>
      </c>
      <c r="AV1977" s="122">
        <v>82191</v>
      </c>
    </row>
    <row r="1978" spans="2:48" hidden="1">
      <c r="B1978" t="s">
        <v>376</v>
      </c>
      <c r="C1978" t="s">
        <v>54</v>
      </c>
      <c r="D1978" t="s">
        <v>407</v>
      </c>
      <c r="E1978" t="s">
        <v>407</v>
      </c>
      <c r="F1978" s="122">
        <v>281</v>
      </c>
      <c r="G1978" s="122">
        <v>45075</v>
      </c>
      <c r="H1978" s="122">
        <v>39597</v>
      </c>
      <c r="I1978" s="122">
        <v>3359694</v>
      </c>
      <c r="J1978" s="122">
        <v>3054267</v>
      </c>
      <c r="K1978" s="122">
        <v>88</v>
      </c>
      <c r="L1978" s="122">
        <v>733130</v>
      </c>
      <c r="M1978" s="122">
        <v>667128</v>
      </c>
      <c r="N1978" s="122">
        <v>841795</v>
      </c>
      <c r="O1978" s="122">
        <v>311776</v>
      </c>
      <c r="P1978" s="122">
        <v>137192</v>
      </c>
      <c r="Q1978" s="122">
        <v>50812</v>
      </c>
      <c r="R1978" s="122">
        <v>1392305</v>
      </c>
      <c r="S1978" s="122">
        <v>1265731</v>
      </c>
      <c r="T1978" s="122">
        <v>35383</v>
      </c>
      <c r="U1978" s="122">
        <v>13105</v>
      </c>
      <c r="V1978" s="122">
        <v>5362819</v>
      </c>
      <c r="W1978" s="122">
        <f t="shared" si="62"/>
        <v>5362819</v>
      </c>
      <c r="X1978" s="122">
        <f t="shared" si="63"/>
        <v>6499499</v>
      </c>
      <c r="AA1978" t="s">
        <v>62</v>
      </c>
      <c r="AB1978" t="s">
        <v>406</v>
      </c>
      <c r="AC1978" t="s">
        <v>137</v>
      </c>
      <c r="AD1978" t="s">
        <v>426</v>
      </c>
      <c r="AE1978" t="s">
        <v>566</v>
      </c>
      <c r="AF1978">
        <v>1</v>
      </c>
      <c r="AG1978">
        <v>57</v>
      </c>
      <c r="AH1978">
        <v>436</v>
      </c>
      <c r="AI1978" s="122">
        <v>16199</v>
      </c>
      <c r="AJ1978" s="122">
        <v>14726</v>
      </c>
      <c r="AK1978">
        <v>65</v>
      </c>
      <c r="AL1978" s="122">
        <v>4550</v>
      </c>
      <c r="AM1978" s="122">
        <v>1685</v>
      </c>
      <c r="AN1978" s="122">
        <v>1069</v>
      </c>
      <c r="AO1978" s="122">
        <v>396</v>
      </c>
      <c r="AP1978" s="122">
        <v>621</v>
      </c>
      <c r="AQ1978">
        <v>230</v>
      </c>
      <c r="AR1978" s="122">
        <v>2219</v>
      </c>
      <c r="AS1978" s="122">
        <v>2017</v>
      </c>
      <c r="AT1978">
        <v>0</v>
      </c>
      <c r="AU1978">
        <v>0</v>
      </c>
      <c r="AV1978" s="122">
        <v>19055</v>
      </c>
    </row>
    <row r="1979" spans="2:48" hidden="1">
      <c r="B1979" t="s">
        <v>376</v>
      </c>
      <c r="C1979" t="s">
        <v>54</v>
      </c>
      <c r="D1979" t="s">
        <v>408</v>
      </c>
      <c r="E1979" t="s">
        <v>408</v>
      </c>
      <c r="F1979" s="122">
        <v>5</v>
      </c>
      <c r="G1979" s="122">
        <v>1428</v>
      </c>
      <c r="H1979" s="122">
        <v>708</v>
      </c>
      <c r="I1979" s="122">
        <v>119513</v>
      </c>
      <c r="J1979" s="122">
        <v>108648</v>
      </c>
      <c r="K1979" s="122">
        <v>88</v>
      </c>
      <c r="L1979" s="122">
        <v>23639</v>
      </c>
      <c r="M1979" s="122">
        <v>21490</v>
      </c>
      <c r="N1979" s="122">
        <v>27094</v>
      </c>
      <c r="O1979" s="122">
        <v>10035</v>
      </c>
      <c r="P1979" s="122">
        <v>2295</v>
      </c>
      <c r="Q1979" s="122">
        <v>850</v>
      </c>
      <c r="R1979" s="122">
        <v>29503</v>
      </c>
      <c r="S1979" s="122">
        <v>26821</v>
      </c>
      <c r="T1979" s="122">
        <v>0</v>
      </c>
      <c r="U1979" s="122">
        <v>0</v>
      </c>
      <c r="V1979" s="122">
        <v>167844</v>
      </c>
      <c r="W1979" s="122">
        <f t="shared" si="62"/>
        <v>167844</v>
      </c>
      <c r="X1979" s="122">
        <f t="shared" si="63"/>
        <v>202044</v>
      </c>
      <c r="AA1979" t="s">
        <v>62</v>
      </c>
      <c r="AB1979" t="s">
        <v>406</v>
      </c>
      <c r="AC1979" t="s">
        <v>580</v>
      </c>
      <c r="AD1979" t="s">
        <v>137</v>
      </c>
      <c r="AE1979" t="s">
        <v>137</v>
      </c>
      <c r="AF1979">
        <v>1</v>
      </c>
      <c r="AG1979">
        <v>280</v>
      </c>
      <c r="AH1979" s="122">
        <v>427</v>
      </c>
      <c r="AI1979" s="122">
        <v>85751</v>
      </c>
      <c r="AJ1979" s="122">
        <v>77955</v>
      </c>
      <c r="AK1979">
        <v>93</v>
      </c>
      <c r="AL1979" s="122">
        <v>13974</v>
      </c>
      <c r="AM1979" s="122">
        <v>12704</v>
      </c>
      <c r="AN1979" s="122">
        <v>6184</v>
      </c>
      <c r="AO1979" s="122">
        <v>2291</v>
      </c>
      <c r="AP1979" s="122">
        <v>1242</v>
      </c>
      <c r="AQ1979">
        <v>460</v>
      </c>
      <c r="AR1979" s="122">
        <v>12748</v>
      </c>
      <c r="AS1979" s="122">
        <v>4721</v>
      </c>
      <c r="AT1979">
        <v>0</v>
      </c>
      <c r="AU1979">
        <v>0</v>
      </c>
      <c r="AV1979" s="122">
        <v>98131</v>
      </c>
    </row>
    <row r="1980" spans="2:48" hidden="1">
      <c r="B1980" t="s">
        <v>376</v>
      </c>
      <c r="C1980" t="s">
        <v>56</v>
      </c>
      <c r="D1980" t="s">
        <v>425</v>
      </c>
      <c r="E1980" t="s">
        <v>425</v>
      </c>
      <c r="F1980" s="122">
        <v>2</v>
      </c>
      <c r="G1980" s="122">
        <v>605</v>
      </c>
      <c r="H1980" s="122">
        <v>328</v>
      </c>
      <c r="I1980" s="122">
        <v>55133</v>
      </c>
      <c r="J1980" s="122">
        <v>50121</v>
      </c>
      <c r="K1980" s="122">
        <v>81</v>
      </c>
      <c r="L1980" s="122">
        <v>11223</v>
      </c>
      <c r="M1980" s="122">
        <v>10202</v>
      </c>
      <c r="N1980" s="122">
        <v>12186</v>
      </c>
      <c r="O1980" s="122">
        <v>4513</v>
      </c>
      <c r="P1980" s="122">
        <v>4582</v>
      </c>
      <c r="Q1980" s="122">
        <v>1697</v>
      </c>
      <c r="R1980" s="122">
        <v>15154</v>
      </c>
      <c r="S1980" s="122">
        <v>13776</v>
      </c>
      <c r="T1980" s="122">
        <v>0</v>
      </c>
      <c r="U1980" s="122">
        <v>0</v>
      </c>
      <c r="V1980" s="122">
        <v>80309</v>
      </c>
      <c r="W1980" s="122">
        <f t="shared" si="62"/>
        <v>80309</v>
      </c>
      <c r="X1980" s="122">
        <f t="shared" si="63"/>
        <v>98278</v>
      </c>
      <c r="AA1980" t="s">
        <v>62</v>
      </c>
      <c r="AB1980" t="s">
        <v>406</v>
      </c>
      <c r="AC1980" t="s">
        <v>580</v>
      </c>
      <c r="AD1980" t="s">
        <v>137</v>
      </c>
      <c r="AE1980" t="s">
        <v>566</v>
      </c>
      <c r="AF1980">
        <v>4</v>
      </c>
      <c r="AG1980" s="122">
        <v>387</v>
      </c>
      <c r="AH1980" s="122">
        <v>1621</v>
      </c>
      <c r="AI1980" s="122">
        <v>90899</v>
      </c>
      <c r="AJ1980" s="122">
        <v>82636</v>
      </c>
      <c r="AK1980">
        <v>77</v>
      </c>
      <c r="AL1980" s="122">
        <v>16837</v>
      </c>
      <c r="AM1980" s="122">
        <v>15307</v>
      </c>
      <c r="AN1980" s="122">
        <v>7205</v>
      </c>
      <c r="AO1980" s="122">
        <v>2668</v>
      </c>
      <c r="AP1980" s="122">
        <v>2484</v>
      </c>
      <c r="AQ1980" s="122">
        <v>920</v>
      </c>
      <c r="AR1980" s="122">
        <v>37914</v>
      </c>
      <c r="AS1980" s="122">
        <v>14042</v>
      </c>
      <c r="AT1980" s="122">
        <v>0</v>
      </c>
      <c r="AU1980" s="122">
        <v>0</v>
      </c>
      <c r="AV1980" s="122">
        <v>115573</v>
      </c>
    </row>
    <row r="1981" spans="2:48" hidden="1">
      <c r="B1981" t="s">
        <v>376</v>
      </c>
      <c r="C1981" t="s">
        <v>56</v>
      </c>
      <c r="D1981" t="s">
        <v>405</v>
      </c>
      <c r="E1981" t="s">
        <v>405</v>
      </c>
      <c r="F1981" s="122">
        <v>39</v>
      </c>
      <c r="G1981" s="122">
        <v>6496</v>
      </c>
      <c r="H1981" s="122">
        <v>7350</v>
      </c>
      <c r="I1981" s="122">
        <v>704007</v>
      </c>
      <c r="J1981" s="122">
        <v>640007</v>
      </c>
      <c r="K1981" s="122">
        <v>85</v>
      </c>
      <c r="L1981" s="122">
        <v>172403</v>
      </c>
      <c r="M1981" s="122">
        <v>149508</v>
      </c>
      <c r="N1981" s="122">
        <v>143323</v>
      </c>
      <c r="O1981" s="122">
        <v>53082</v>
      </c>
      <c r="P1981" s="122">
        <v>19305</v>
      </c>
      <c r="Q1981" s="122">
        <v>7150</v>
      </c>
      <c r="R1981" s="122">
        <v>224127</v>
      </c>
      <c r="S1981" s="122">
        <v>203752</v>
      </c>
      <c r="T1981" s="122">
        <v>9721</v>
      </c>
      <c r="U1981" s="122">
        <v>3601</v>
      </c>
      <c r="V1981" s="122">
        <v>1057100</v>
      </c>
      <c r="W1981" s="122">
        <f t="shared" si="62"/>
        <v>1057100</v>
      </c>
      <c r="X1981" s="122">
        <f t="shared" si="63"/>
        <v>1272886</v>
      </c>
      <c r="AA1981" t="s">
        <v>62</v>
      </c>
      <c r="AB1981" t="s">
        <v>406</v>
      </c>
      <c r="AC1981" t="s">
        <v>580</v>
      </c>
      <c r="AD1981" t="s">
        <v>406</v>
      </c>
      <c r="AE1981" t="s">
        <v>137</v>
      </c>
      <c r="AF1981">
        <v>202</v>
      </c>
      <c r="AG1981" s="122">
        <v>26816</v>
      </c>
      <c r="AH1981" s="122">
        <v>83766</v>
      </c>
      <c r="AI1981" s="122">
        <v>7941873</v>
      </c>
      <c r="AJ1981" s="122">
        <v>7219885</v>
      </c>
      <c r="AK1981">
        <v>75</v>
      </c>
      <c r="AL1981" s="122">
        <v>1066574</v>
      </c>
      <c r="AM1981" s="122">
        <v>969612</v>
      </c>
      <c r="AN1981" s="122">
        <v>575403</v>
      </c>
      <c r="AO1981" s="122">
        <v>213112</v>
      </c>
      <c r="AP1981" s="122">
        <v>149081</v>
      </c>
      <c r="AQ1981" s="122">
        <v>55215</v>
      </c>
      <c r="AR1981" s="122">
        <v>997414</v>
      </c>
      <c r="AS1981" s="122">
        <v>906740</v>
      </c>
      <c r="AT1981" s="122">
        <v>524605</v>
      </c>
      <c r="AU1981" s="122">
        <v>194298</v>
      </c>
      <c r="AV1981" s="122">
        <v>9558863</v>
      </c>
    </row>
    <row r="1982" spans="2:48" hidden="1">
      <c r="B1982" t="s">
        <v>376</v>
      </c>
      <c r="C1982" t="s">
        <v>56</v>
      </c>
      <c r="D1982" t="s">
        <v>137</v>
      </c>
      <c r="E1982" t="s">
        <v>137</v>
      </c>
      <c r="F1982" s="122">
        <v>19</v>
      </c>
      <c r="G1982" s="122">
        <v>3179</v>
      </c>
      <c r="H1982" s="122">
        <v>3574</v>
      </c>
      <c r="I1982" s="122">
        <v>343094</v>
      </c>
      <c r="J1982" s="122">
        <v>127072</v>
      </c>
      <c r="K1982" s="122">
        <v>224</v>
      </c>
      <c r="L1982" s="122">
        <v>69390</v>
      </c>
      <c r="M1982" s="122">
        <v>62624</v>
      </c>
      <c r="N1982" s="122">
        <v>63094</v>
      </c>
      <c r="O1982" s="122">
        <v>23368</v>
      </c>
      <c r="P1982" s="122">
        <v>9867</v>
      </c>
      <c r="Q1982" s="122">
        <v>3654</v>
      </c>
      <c r="R1982" s="122">
        <v>113929</v>
      </c>
      <c r="S1982" s="122">
        <v>42196</v>
      </c>
      <c r="T1982" s="122">
        <v>0</v>
      </c>
      <c r="U1982" s="122">
        <v>0</v>
      </c>
      <c r="V1982" s="122">
        <v>258914</v>
      </c>
      <c r="W1982" s="122">
        <f t="shared" si="62"/>
        <v>258914</v>
      </c>
      <c r="X1982" s="122">
        <f t="shared" si="63"/>
        <v>599374</v>
      </c>
      <c r="AA1982" t="s">
        <v>62</v>
      </c>
      <c r="AB1982" t="s">
        <v>406</v>
      </c>
      <c r="AC1982" t="s">
        <v>580</v>
      </c>
      <c r="AD1982" t="s">
        <v>406</v>
      </c>
      <c r="AE1982" t="s">
        <v>566</v>
      </c>
      <c r="AF1982">
        <v>93</v>
      </c>
      <c r="AG1982" s="122">
        <v>11627</v>
      </c>
      <c r="AH1982" s="122">
        <v>38154</v>
      </c>
      <c r="AI1982" s="122">
        <v>3417291</v>
      </c>
      <c r="AJ1982" s="122">
        <v>3106629</v>
      </c>
      <c r="AK1982">
        <v>74</v>
      </c>
      <c r="AL1982" s="122">
        <v>434642</v>
      </c>
      <c r="AM1982" s="122">
        <v>395129</v>
      </c>
      <c r="AN1982" s="122">
        <v>245236</v>
      </c>
      <c r="AO1982" s="122">
        <v>90828</v>
      </c>
      <c r="AP1982" s="122">
        <v>67149</v>
      </c>
      <c r="AQ1982" s="122">
        <v>24870</v>
      </c>
      <c r="AR1982" s="122">
        <v>639080</v>
      </c>
      <c r="AS1982" s="122">
        <v>580982</v>
      </c>
      <c r="AT1982" s="122">
        <v>0</v>
      </c>
      <c r="AU1982" s="122">
        <v>0</v>
      </c>
      <c r="AV1982" s="122">
        <v>4198438</v>
      </c>
    </row>
    <row r="1983" spans="2:48" hidden="1">
      <c r="B1983" t="s">
        <v>376</v>
      </c>
      <c r="C1983" t="s">
        <v>56</v>
      </c>
      <c r="D1983" t="s">
        <v>406</v>
      </c>
      <c r="E1983" t="s">
        <v>425</v>
      </c>
      <c r="F1983" s="122">
        <v>2</v>
      </c>
      <c r="G1983" s="122">
        <v>449</v>
      </c>
      <c r="H1983" s="122">
        <v>354</v>
      </c>
      <c r="I1983" s="122">
        <v>45569</v>
      </c>
      <c r="J1983" s="122">
        <v>41426</v>
      </c>
      <c r="K1983" s="122">
        <v>94</v>
      </c>
      <c r="L1983" s="122">
        <v>10753</v>
      </c>
      <c r="M1983" s="122">
        <v>9776</v>
      </c>
      <c r="N1983" s="122">
        <v>8397</v>
      </c>
      <c r="O1983" s="122">
        <v>3110</v>
      </c>
      <c r="P1983" s="122">
        <v>1242</v>
      </c>
      <c r="Q1983" s="122">
        <v>460</v>
      </c>
      <c r="R1983" s="122">
        <v>10238</v>
      </c>
      <c r="S1983" s="122">
        <v>9307</v>
      </c>
      <c r="T1983" s="122">
        <v>3742</v>
      </c>
      <c r="U1983" s="122">
        <v>1386</v>
      </c>
      <c r="V1983" s="122">
        <v>65465</v>
      </c>
      <c r="W1983" s="122">
        <f t="shared" si="62"/>
        <v>65465</v>
      </c>
      <c r="X1983" s="122">
        <f t="shared" si="63"/>
        <v>79941</v>
      </c>
      <c r="AA1983" t="s">
        <v>62</v>
      </c>
      <c r="AB1983" t="s">
        <v>406</v>
      </c>
      <c r="AC1983" t="s">
        <v>580</v>
      </c>
      <c r="AD1983" t="s">
        <v>427</v>
      </c>
      <c r="AE1983" t="s">
        <v>137</v>
      </c>
      <c r="AF1983">
        <v>2</v>
      </c>
      <c r="AG1983">
        <v>199</v>
      </c>
      <c r="AH1983">
        <v>842</v>
      </c>
      <c r="AI1983" s="122">
        <v>52438</v>
      </c>
      <c r="AJ1983" s="122">
        <v>47671</v>
      </c>
      <c r="AK1983">
        <v>73</v>
      </c>
      <c r="AL1983" s="122">
        <v>13358</v>
      </c>
      <c r="AM1983" s="122">
        <v>12143</v>
      </c>
      <c r="AN1983" s="122">
        <v>4631</v>
      </c>
      <c r="AO1983" s="122">
        <v>1715</v>
      </c>
      <c r="AP1983">
        <v>972</v>
      </c>
      <c r="AQ1983">
        <v>360</v>
      </c>
      <c r="AR1983" s="122">
        <v>7887</v>
      </c>
      <c r="AS1983" s="122">
        <v>7170</v>
      </c>
      <c r="AT1983" s="122">
        <v>4396</v>
      </c>
      <c r="AU1983" s="122">
        <v>1628</v>
      </c>
      <c r="AV1983" s="122">
        <v>70688</v>
      </c>
    </row>
    <row r="1984" spans="2:48" hidden="1">
      <c r="B1984" t="s">
        <v>376</v>
      </c>
      <c r="C1984" t="s">
        <v>56</v>
      </c>
      <c r="D1984" t="s">
        <v>406</v>
      </c>
      <c r="E1984" t="s">
        <v>137</v>
      </c>
      <c r="F1984" s="122">
        <v>5</v>
      </c>
      <c r="G1984" s="122">
        <v>1080</v>
      </c>
      <c r="H1984" s="122">
        <v>936</v>
      </c>
      <c r="I1984" s="122">
        <v>107362</v>
      </c>
      <c r="J1984" s="122">
        <v>97602</v>
      </c>
      <c r="K1984" s="122">
        <v>82</v>
      </c>
      <c r="L1984" s="122">
        <v>22416</v>
      </c>
      <c r="M1984" s="122">
        <v>19079</v>
      </c>
      <c r="N1984" s="122">
        <v>22272</v>
      </c>
      <c r="O1984" s="122">
        <v>8249</v>
      </c>
      <c r="P1984" s="122">
        <v>3105</v>
      </c>
      <c r="Q1984" s="122">
        <v>1150</v>
      </c>
      <c r="R1984" s="122">
        <v>46082</v>
      </c>
      <c r="S1984" s="122">
        <v>17068</v>
      </c>
      <c r="T1984" s="122">
        <v>0</v>
      </c>
      <c r="U1984" s="122">
        <v>0</v>
      </c>
      <c r="V1984" s="122">
        <v>143147</v>
      </c>
      <c r="W1984" s="122">
        <f t="shared" si="62"/>
        <v>143148</v>
      </c>
      <c r="X1984" s="122">
        <f t="shared" si="63"/>
        <v>201237</v>
      </c>
      <c r="AA1984" t="s">
        <v>62</v>
      </c>
      <c r="AB1984" t="s">
        <v>406</v>
      </c>
      <c r="AC1984" t="s">
        <v>580</v>
      </c>
      <c r="AD1984" t="s">
        <v>426</v>
      </c>
      <c r="AE1984" t="s">
        <v>137</v>
      </c>
      <c r="AF1984">
        <v>2</v>
      </c>
      <c r="AG1984" s="122">
        <v>179</v>
      </c>
      <c r="AH1984" s="122">
        <v>818</v>
      </c>
      <c r="AI1984" s="122">
        <v>35709</v>
      </c>
      <c r="AJ1984" s="122">
        <v>32462</v>
      </c>
      <c r="AK1984">
        <v>67</v>
      </c>
      <c r="AL1984" s="122">
        <v>8620</v>
      </c>
      <c r="AM1984" s="122">
        <v>7837</v>
      </c>
      <c r="AN1984" s="122">
        <v>3856</v>
      </c>
      <c r="AO1984" s="122">
        <v>1428</v>
      </c>
      <c r="AP1984" s="122">
        <v>972</v>
      </c>
      <c r="AQ1984" s="122">
        <v>360</v>
      </c>
      <c r="AR1984" s="122">
        <v>14568</v>
      </c>
      <c r="AS1984" s="122">
        <v>13243</v>
      </c>
      <c r="AT1984" s="122">
        <v>9035</v>
      </c>
      <c r="AU1984" s="122">
        <v>3346</v>
      </c>
      <c r="AV1984" s="122">
        <v>58677</v>
      </c>
    </row>
    <row r="1985" spans="2:48" hidden="1">
      <c r="B1985" t="s">
        <v>376</v>
      </c>
      <c r="C1985" t="s">
        <v>56</v>
      </c>
      <c r="D1985" t="s">
        <v>406</v>
      </c>
      <c r="E1985" t="s">
        <v>406</v>
      </c>
      <c r="F1985" s="122">
        <v>1421</v>
      </c>
      <c r="G1985" s="122">
        <v>260926</v>
      </c>
      <c r="H1985" s="122">
        <v>270711</v>
      </c>
      <c r="I1985" s="122">
        <v>29011199</v>
      </c>
      <c r="J1985" s="122">
        <v>26373817</v>
      </c>
      <c r="K1985" s="122">
        <v>85</v>
      </c>
      <c r="L1985" s="122">
        <v>6645015</v>
      </c>
      <c r="M1985" s="122">
        <v>5852149</v>
      </c>
      <c r="N1985" s="122">
        <v>5487899</v>
      </c>
      <c r="O1985" s="122">
        <v>2032555</v>
      </c>
      <c r="P1985" s="122">
        <v>939102</v>
      </c>
      <c r="Q1985" s="122">
        <v>347816</v>
      </c>
      <c r="R1985" s="122">
        <v>8012947</v>
      </c>
      <c r="S1985" s="122">
        <v>7284497</v>
      </c>
      <c r="T1985" s="122">
        <v>1353225</v>
      </c>
      <c r="U1985" s="122">
        <v>501194</v>
      </c>
      <c r="V1985" s="122">
        <v>42392028</v>
      </c>
      <c r="W1985" s="122">
        <f t="shared" si="62"/>
        <v>42392028</v>
      </c>
      <c r="X1985" s="122">
        <f t="shared" si="63"/>
        <v>51449387</v>
      </c>
      <c r="AA1985" t="s">
        <v>62</v>
      </c>
      <c r="AB1985" t="s">
        <v>406</v>
      </c>
      <c r="AC1985" t="s">
        <v>427</v>
      </c>
      <c r="AD1985" t="s">
        <v>137</v>
      </c>
      <c r="AE1985" t="s">
        <v>566</v>
      </c>
      <c r="AF1985">
        <v>7</v>
      </c>
      <c r="AG1985" s="122">
        <v>1052</v>
      </c>
      <c r="AH1985" s="122">
        <v>2910</v>
      </c>
      <c r="AI1985" s="122">
        <v>292881</v>
      </c>
      <c r="AJ1985" s="122">
        <v>266256</v>
      </c>
      <c r="AK1985">
        <v>75</v>
      </c>
      <c r="AL1985" s="122">
        <v>78596</v>
      </c>
      <c r="AM1985" s="122">
        <v>71451</v>
      </c>
      <c r="AN1985" s="122">
        <v>26018</v>
      </c>
      <c r="AO1985" s="122">
        <v>9636</v>
      </c>
      <c r="AP1985" s="122">
        <v>5049</v>
      </c>
      <c r="AQ1985" s="122">
        <v>1870</v>
      </c>
      <c r="AR1985" s="122">
        <v>68361</v>
      </c>
      <c r="AS1985" s="122">
        <v>25319</v>
      </c>
      <c r="AT1985" s="122">
        <v>0</v>
      </c>
      <c r="AU1985" s="122">
        <v>0</v>
      </c>
      <c r="AV1985" s="122">
        <v>374531</v>
      </c>
    </row>
    <row r="1986" spans="2:48" hidden="1">
      <c r="B1986" t="s">
        <v>376</v>
      </c>
      <c r="C1986" t="s">
        <v>56</v>
      </c>
      <c r="D1986" t="s">
        <v>406</v>
      </c>
      <c r="E1986" t="s">
        <v>427</v>
      </c>
      <c r="F1986" s="122">
        <v>2</v>
      </c>
      <c r="G1986" s="122">
        <v>505</v>
      </c>
      <c r="H1986" s="122">
        <v>419</v>
      </c>
      <c r="I1986" s="122">
        <v>77378</v>
      </c>
      <c r="J1986" s="122">
        <v>70344</v>
      </c>
      <c r="K1986" s="122">
        <v>73</v>
      </c>
      <c r="L1986" s="122">
        <v>19998</v>
      </c>
      <c r="M1986" s="122">
        <v>18180</v>
      </c>
      <c r="N1986" s="122">
        <v>15516</v>
      </c>
      <c r="O1986" s="122">
        <v>5747</v>
      </c>
      <c r="P1986" s="122">
        <v>1242</v>
      </c>
      <c r="Q1986" s="122">
        <v>460</v>
      </c>
      <c r="R1986" s="122">
        <v>16268</v>
      </c>
      <c r="S1986" s="122">
        <v>14789</v>
      </c>
      <c r="T1986" s="122">
        <v>4565</v>
      </c>
      <c r="U1986" s="122">
        <v>1691</v>
      </c>
      <c r="V1986" s="122">
        <v>111210</v>
      </c>
      <c r="W1986" s="122">
        <f t="shared" si="62"/>
        <v>111211</v>
      </c>
      <c r="X1986" s="122">
        <f t="shared" si="63"/>
        <v>134967</v>
      </c>
      <c r="AA1986" t="s">
        <v>62</v>
      </c>
      <c r="AB1986" t="s">
        <v>406</v>
      </c>
      <c r="AC1986" t="s">
        <v>427</v>
      </c>
      <c r="AD1986" t="s">
        <v>406</v>
      </c>
      <c r="AE1986" t="s">
        <v>137</v>
      </c>
      <c r="AF1986">
        <v>502</v>
      </c>
      <c r="AG1986" s="122">
        <v>57786</v>
      </c>
      <c r="AH1986" s="122">
        <v>208302</v>
      </c>
      <c r="AI1986" s="122">
        <v>15741767</v>
      </c>
      <c r="AJ1986" s="122">
        <v>14310697</v>
      </c>
      <c r="AK1986">
        <v>75</v>
      </c>
      <c r="AL1986" s="122">
        <v>3403456</v>
      </c>
      <c r="AM1986" s="122">
        <v>3094051</v>
      </c>
      <c r="AN1986" s="122">
        <v>1239192</v>
      </c>
      <c r="AO1986" s="122">
        <v>458960</v>
      </c>
      <c r="AP1986" s="122">
        <v>315941</v>
      </c>
      <c r="AQ1986" s="122">
        <v>117015</v>
      </c>
      <c r="AR1986" s="122">
        <v>2439645</v>
      </c>
      <c r="AS1986" s="122">
        <v>2217859</v>
      </c>
      <c r="AT1986" s="122">
        <v>1224887</v>
      </c>
      <c r="AU1986" s="122">
        <v>453662</v>
      </c>
      <c r="AV1986" s="122">
        <v>20652244</v>
      </c>
    </row>
    <row r="1987" spans="2:48" hidden="1">
      <c r="B1987" t="s">
        <v>376</v>
      </c>
      <c r="C1987" t="s">
        <v>56</v>
      </c>
      <c r="D1987" t="s">
        <v>407</v>
      </c>
      <c r="E1987" t="s">
        <v>137</v>
      </c>
      <c r="F1987" s="122">
        <v>3</v>
      </c>
      <c r="G1987" s="122">
        <v>636</v>
      </c>
      <c r="H1987" s="122">
        <v>566</v>
      </c>
      <c r="I1987" s="122">
        <v>79935</v>
      </c>
      <c r="J1987" s="122">
        <v>72668</v>
      </c>
      <c r="K1987" s="122">
        <v>91</v>
      </c>
      <c r="L1987" s="122">
        <v>15203</v>
      </c>
      <c r="M1987" s="122">
        <v>12926</v>
      </c>
      <c r="N1987" s="122">
        <v>11513</v>
      </c>
      <c r="O1987" s="122">
        <v>4264</v>
      </c>
      <c r="P1987" s="122">
        <v>1418</v>
      </c>
      <c r="Q1987" s="122">
        <v>525</v>
      </c>
      <c r="R1987" s="122">
        <v>15273</v>
      </c>
      <c r="S1987" s="122">
        <v>5657</v>
      </c>
      <c r="T1987" s="122">
        <v>0</v>
      </c>
      <c r="U1987" s="122">
        <v>0</v>
      </c>
      <c r="V1987" s="122">
        <v>96040</v>
      </c>
      <c r="W1987" s="122">
        <f t="shared" si="62"/>
        <v>96040</v>
      </c>
      <c r="X1987" s="122">
        <f t="shared" si="63"/>
        <v>123342</v>
      </c>
      <c r="AA1987" t="s">
        <v>62</v>
      </c>
      <c r="AB1987" t="s">
        <v>406</v>
      </c>
      <c r="AC1987" t="s">
        <v>427</v>
      </c>
      <c r="AD1987" t="s">
        <v>406</v>
      </c>
      <c r="AE1987" t="s">
        <v>566</v>
      </c>
      <c r="AF1987">
        <v>281</v>
      </c>
      <c r="AG1987" s="122">
        <v>33717</v>
      </c>
      <c r="AH1987" s="122">
        <v>115734</v>
      </c>
      <c r="AI1987" s="122">
        <v>9229866</v>
      </c>
      <c r="AJ1987" s="122">
        <v>8390787</v>
      </c>
      <c r="AK1987">
        <v>77</v>
      </c>
      <c r="AL1987" s="122">
        <v>2151717</v>
      </c>
      <c r="AM1987" s="122">
        <v>1956106</v>
      </c>
      <c r="AN1987" s="122">
        <v>721717</v>
      </c>
      <c r="AO1987" s="122">
        <v>267302</v>
      </c>
      <c r="AP1987" s="122">
        <v>179550</v>
      </c>
      <c r="AQ1987" s="122">
        <v>66500</v>
      </c>
      <c r="AR1987" s="122">
        <v>1853733</v>
      </c>
      <c r="AS1987" s="122">
        <v>1685212</v>
      </c>
      <c r="AT1987" s="122">
        <v>0</v>
      </c>
      <c r="AU1987" s="122">
        <v>0</v>
      </c>
      <c r="AV1987" s="122">
        <v>12365908</v>
      </c>
    </row>
    <row r="1988" spans="2:48" hidden="1">
      <c r="B1988" t="s">
        <v>376</v>
      </c>
      <c r="C1988" t="s">
        <v>56</v>
      </c>
      <c r="D1988" t="s">
        <v>407</v>
      </c>
      <c r="E1988" t="s">
        <v>407</v>
      </c>
      <c r="F1988" s="122">
        <v>1254</v>
      </c>
      <c r="G1988" s="122">
        <v>185264</v>
      </c>
      <c r="H1988" s="122">
        <v>232205</v>
      </c>
      <c r="I1988" s="122">
        <v>18207085</v>
      </c>
      <c r="J1988" s="122">
        <v>16551895</v>
      </c>
      <c r="K1988" s="122">
        <v>85</v>
      </c>
      <c r="L1988" s="122">
        <v>5120002</v>
      </c>
      <c r="M1988" s="122">
        <v>4489000</v>
      </c>
      <c r="N1988" s="122">
        <v>3723779</v>
      </c>
      <c r="O1988" s="122">
        <v>1379178</v>
      </c>
      <c r="P1988" s="122">
        <v>614819</v>
      </c>
      <c r="Q1988" s="122">
        <v>227711</v>
      </c>
      <c r="R1988" s="122">
        <v>6719217</v>
      </c>
      <c r="S1988" s="122">
        <v>6108379</v>
      </c>
      <c r="T1988" s="122">
        <v>428105</v>
      </c>
      <c r="U1988" s="122">
        <v>158558</v>
      </c>
      <c r="V1988" s="122">
        <v>28914719</v>
      </c>
      <c r="W1988" s="122">
        <f t="shared" si="62"/>
        <v>28914721</v>
      </c>
      <c r="X1988" s="122">
        <f t="shared" si="63"/>
        <v>34813007</v>
      </c>
      <c r="AA1988" t="s">
        <v>62</v>
      </c>
      <c r="AB1988" t="s">
        <v>406</v>
      </c>
      <c r="AC1988" t="s">
        <v>427</v>
      </c>
      <c r="AD1988" t="s">
        <v>427</v>
      </c>
      <c r="AE1988" t="s">
        <v>137</v>
      </c>
      <c r="AF1988">
        <v>1</v>
      </c>
      <c r="AG1988">
        <v>115</v>
      </c>
      <c r="AH1988">
        <v>438</v>
      </c>
      <c r="AI1988" s="122">
        <v>26934</v>
      </c>
      <c r="AJ1988" s="122">
        <v>24485</v>
      </c>
      <c r="AK1988">
        <v>60</v>
      </c>
      <c r="AL1988" s="122">
        <v>5686</v>
      </c>
      <c r="AM1988" s="122">
        <v>5169</v>
      </c>
      <c r="AN1988" s="122">
        <v>2795</v>
      </c>
      <c r="AO1988" s="122">
        <v>1035</v>
      </c>
      <c r="AP1988">
        <v>621</v>
      </c>
      <c r="AQ1988">
        <v>230</v>
      </c>
      <c r="AR1988" s="122">
        <v>9381</v>
      </c>
      <c r="AS1988" s="122">
        <v>8528</v>
      </c>
      <c r="AT1988" s="122">
        <v>4839</v>
      </c>
      <c r="AU1988" s="122">
        <v>1792</v>
      </c>
      <c r="AV1988" s="122">
        <v>41240</v>
      </c>
    </row>
    <row r="1989" spans="2:48" hidden="1">
      <c r="B1989" t="s">
        <v>376</v>
      </c>
      <c r="C1989" t="s">
        <v>56</v>
      </c>
      <c r="D1989" t="s">
        <v>407</v>
      </c>
      <c r="E1989" t="s">
        <v>556</v>
      </c>
      <c r="F1989" s="122">
        <v>1</v>
      </c>
      <c r="G1989" s="122">
        <v>180</v>
      </c>
      <c r="H1989" s="122">
        <v>204</v>
      </c>
      <c r="I1989" s="122">
        <v>18539</v>
      </c>
      <c r="J1989" s="122">
        <v>16853</v>
      </c>
      <c r="K1989" s="122">
        <v>78</v>
      </c>
      <c r="L1989" s="122">
        <v>5095</v>
      </c>
      <c r="M1989" s="122">
        <v>4632</v>
      </c>
      <c r="N1989" s="122">
        <v>4386</v>
      </c>
      <c r="O1989" s="122">
        <v>1624</v>
      </c>
      <c r="P1989" s="122">
        <v>473</v>
      </c>
      <c r="Q1989" s="122">
        <v>175</v>
      </c>
      <c r="R1989" s="122">
        <v>8264</v>
      </c>
      <c r="S1989" s="122">
        <v>6887</v>
      </c>
      <c r="T1989" s="122">
        <v>0</v>
      </c>
      <c r="U1989" s="122">
        <v>0</v>
      </c>
      <c r="V1989" s="122">
        <v>30171</v>
      </c>
      <c r="W1989" s="122">
        <f t="shared" si="62"/>
        <v>30171</v>
      </c>
      <c r="X1989" s="122">
        <f t="shared" si="63"/>
        <v>36757</v>
      </c>
      <c r="AA1989" t="s">
        <v>62</v>
      </c>
      <c r="AB1989" t="s">
        <v>406</v>
      </c>
      <c r="AC1989" t="s">
        <v>427</v>
      </c>
      <c r="AD1989" t="s">
        <v>427</v>
      </c>
      <c r="AE1989" t="s">
        <v>566</v>
      </c>
      <c r="AF1989">
        <v>1</v>
      </c>
      <c r="AG1989">
        <v>80</v>
      </c>
      <c r="AH1989">
        <v>387</v>
      </c>
      <c r="AI1989" s="122">
        <v>20884</v>
      </c>
      <c r="AJ1989" s="122">
        <v>18985</v>
      </c>
      <c r="AK1989">
        <v>86</v>
      </c>
      <c r="AL1989" s="122">
        <v>3148</v>
      </c>
      <c r="AM1989" s="122">
        <v>2862</v>
      </c>
      <c r="AN1989" s="122">
        <v>1939</v>
      </c>
      <c r="AO1989">
        <v>718</v>
      </c>
      <c r="AP1989">
        <v>621</v>
      </c>
      <c r="AQ1989">
        <v>230</v>
      </c>
      <c r="AR1989" s="122">
        <v>4248</v>
      </c>
      <c r="AS1989" s="122">
        <v>3862</v>
      </c>
      <c r="AT1989" s="122">
        <v>0</v>
      </c>
      <c r="AU1989" s="122">
        <v>0</v>
      </c>
      <c r="AV1989" s="122">
        <v>26658</v>
      </c>
    </row>
    <row r="1990" spans="2:48" hidden="1">
      <c r="B1990" t="s">
        <v>376</v>
      </c>
      <c r="C1990" t="s">
        <v>56</v>
      </c>
      <c r="D1990" t="s">
        <v>408</v>
      </c>
      <c r="E1990" t="s">
        <v>408</v>
      </c>
      <c r="F1990" s="122">
        <v>13</v>
      </c>
      <c r="G1990" s="122">
        <v>2714</v>
      </c>
      <c r="H1990" s="122">
        <v>2414</v>
      </c>
      <c r="I1990" s="122">
        <v>319338</v>
      </c>
      <c r="J1990" s="122">
        <v>290307</v>
      </c>
      <c r="K1990" s="122">
        <v>74</v>
      </c>
      <c r="L1990" s="122">
        <v>57406</v>
      </c>
      <c r="M1990" s="122">
        <v>50022</v>
      </c>
      <c r="N1990" s="122">
        <v>51278</v>
      </c>
      <c r="O1990" s="122">
        <v>18992</v>
      </c>
      <c r="P1990" s="122">
        <v>5805</v>
      </c>
      <c r="Q1990" s="122">
        <v>2150</v>
      </c>
      <c r="R1990" s="122">
        <v>82559</v>
      </c>
      <c r="S1990" s="122">
        <v>75053</v>
      </c>
      <c r="T1990" s="122">
        <v>0</v>
      </c>
      <c r="U1990" s="122">
        <v>0</v>
      </c>
      <c r="V1990" s="122">
        <v>436525</v>
      </c>
      <c r="W1990" s="122">
        <f t="shared" si="62"/>
        <v>436524</v>
      </c>
      <c r="X1990" s="122">
        <f t="shared" si="63"/>
        <v>516386</v>
      </c>
      <c r="AA1990" t="s">
        <v>62</v>
      </c>
      <c r="AB1990" t="s">
        <v>406</v>
      </c>
      <c r="AC1990" t="s">
        <v>427</v>
      </c>
      <c r="AD1990" t="s">
        <v>407</v>
      </c>
      <c r="AE1990" t="s">
        <v>137</v>
      </c>
      <c r="AF1990">
        <v>1</v>
      </c>
      <c r="AG1990">
        <v>76</v>
      </c>
      <c r="AH1990">
        <v>398</v>
      </c>
      <c r="AI1990" s="122">
        <v>16208</v>
      </c>
      <c r="AJ1990" s="122">
        <v>14735</v>
      </c>
      <c r="AK1990">
        <v>85</v>
      </c>
      <c r="AL1990" s="122">
        <v>4844</v>
      </c>
      <c r="AM1990" s="122">
        <v>4404</v>
      </c>
      <c r="AN1990" s="122">
        <v>1858</v>
      </c>
      <c r="AO1990" s="122">
        <v>688</v>
      </c>
      <c r="AP1990">
        <v>621</v>
      </c>
      <c r="AQ1990">
        <v>230</v>
      </c>
      <c r="AR1990" s="122">
        <v>4010</v>
      </c>
      <c r="AS1990" s="122">
        <v>3646</v>
      </c>
      <c r="AT1990" s="122">
        <v>2828</v>
      </c>
      <c r="AU1990" s="122">
        <v>1047</v>
      </c>
      <c r="AV1990" s="122">
        <v>24750</v>
      </c>
    </row>
    <row r="1991" spans="2:48" hidden="1">
      <c r="B1991" t="s">
        <v>376</v>
      </c>
      <c r="C1991" t="s">
        <v>56</v>
      </c>
      <c r="D1991" t="s">
        <v>429</v>
      </c>
      <c r="E1991" t="s">
        <v>429</v>
      </c>
      <c r="F1991" s="122">
        <v>1</v>
      </c>
      <c r="G1991" s="122">
        <v>71</v>
      </c>
      <c r="H1991" s="122">
        <v>215</v>
      </c>
      <c r="I1991" s="122">
        <v>10164</v>
      </c>
      <c r="J1991" s="122">
        <v>9240</v>
      </c>
      <c r="K1991" s="122">
        <v>85</v>
      </c>
      <c r="L1991" s="122">
        <v>0</v>
      </c>
      <c r="M1991" s="122">
        <v>0</v>
      </c>
      <c r="N1991" s="122">
        <v>968</v>
      </c>
      <c r="O1991" s="122">
        <v>359</v>
      </c>
      <c r="P1991" s="122">
        <v>351</v>
      </c>
      <c r="Q1991" s="122">
        <v>130</v>
      </c>
      <c r="R1991" s="122">
        <v>3779</v>
      </c>
      <c r="S1991" s="122">
        <v>3436</v>
      </c>
      <c r="T1991" s="122">
        <v>0</v>
      </c>
      <c r="U1991" s="122">
        <v>0</v>
      </c>
      <c r="V1991" s="122">
        <v>13165</v>
      </c>
      <c r="W1991" s="122">
        <f t="shared" si="62"/>
        <v>13165</v>
      </c>
      <c r="X1991" s="122">
        <f t="shared" si="63"/>
        <v>15262</v>
      </c>
      <c r="AA1991" t="s">
        <v>62</v>
      </c>
      <c r="AB1991" t="s">
        <v>406</v>
      </c>
      <c r="AC1991" t="s">
        <v>427</v>
      </c>
      <c r="AD1991" t="s">
        <v>407</v>
      </c>
      <c r="AE1991" t="s">
        <v>566</v>
      </c>
      <c r="AF1991">
        <v>1</v>
      </c>
      <c r="AG1991" s="122">
        <v>120</v>
      </c>
      <c r="AH1991" s="122">
        <v>444</v>
      </c>
      <c r="AI1991" s="122">
        <v>36309</v>
      </c>
      <c r="AJ1991" s="122">
        <v>33009</v>
      </c>
      <c r="AK1991">
        <v>65</v>
      </c>
      <c r="AL1991" s="122">
        <v>4768</v>
      </c>
      <c r="AM1991" s="122">
        <v>4334</v>
      </c>
      <c r="AN1991" s="122">
        <v>2914</v>
      </c>
      <c r="AO1991" s="122">
        <v>1079</v>
      </c>
      <c r="AP1991" s="122">
        <v>621</v>
      </c>
      <c r="AQ1991" s="122">
        <v>230</v>
      </c>
      <c r="AR1991" s="122">
        <v>8490</v>
      </c>
      <c r="AS1991" s="122">
        <v>7719</v>
      </c>
      <c r="AT1991" s="122">
        <v>0</v>
      </c>
      <c r="AU1991" s="122">
        <v>0</v>
      </c>
      <c r="AV1991" s="122">
        <v>46371</v>
      </c>
    </row>
    <row r="1992" spans="2:48" hidden="1">
      <c r="B1992" t="s">
        <v>376</v>
      </c>
      <c r="C1992" t="s">
        <v>58</v>
      </c>
      <c r="D1992" t="s">
        <v>425</v>
      </c>
      <c r="E1992" t="s">
        <v>405</v>
      </c>
      <c r="F1992" s="122">
        <v>1</v>
      </c>
      <c r="G1992" s="122">
        <v>185</v>
      </c>
      <c r="H1992" s="122">
        <v>254</v>
      </c>
      <c r="I1992" s="122">
        <v>30844</v>
      </c>
      <c r="J1992" s="122">
        <v>28040</v>
      </c>
      <c r="K1992" s="122">
        <v>78</v>
      </c>
      <c r="L1992" s="122">
        <v>3273</v>
      </c>
      <c r="M1992" s="122">
        <v>2976</v>
      </c>
      <c r="N1992" s="122">
        <v>4449</v>
      </c>
      <c r="O1992" s="122">
        <v>1648</v>
      </c>
      <c r="P1992" s="122">
        <v>473</v>
      </c>
      <c r="Q1992" s="122">
        <v>175</v>
      </c>
      <c r="R1992" s="122">
        <v>8003</v>
      </c>
      <c r="S1992" s="122">
        <v>7276</v>
      </c>
      <c r="T1992" s="122">
        <v>0</v>
      </c>
      <c r="U1992" s="122">
        <v>0</v>
      </c>
      <c r="V1992" s="122">
        <v>40115</v>
      </c>
      <c r="W1992" s="122">
        <f t="shared" si="62"/>
        <v>40115</v>
      </c>
      <c r="X1992" s="122">
        <f t="shared" si="63"/>
        <v>47042</v>
      </c>
      <c r="AA1992" t="s">
        <v>62</v>
      </c>
      <c r="AB1992" t="s">
        <v>406</v>
      </c>
      <c r="AC1992" t="s">
        <v>407</v>
      </c>
      <c r="AD1992" t="s">
        <v>406</v>
      </c>
      <c r="AE1992" t="s">
        <v>137</v>
      </c>
      <c r="AF1992">
        <v>28</v>
      </c>
      <c r="AG1992" s="122">
        <v>4175</v>
      </c>
      <c r="AH1992" s="122">
        <v>11726</v>
      </c>
      <c r="AI1992" s="122">
        <v>1145824</v>
      </c>
      <c r="AJ1992" s="122">
        <v>1041658</v>
      </c>
      <c r="AK1992">
        <v>74</v>
      </c>
      <c r="AL1992" s="122">
        <v>299854</v>
      </c>
      <c r="AM1992" s="122">
        <v>272594</v>
      </c>
      <c r="AN1992" s="122">
        <v>93589</v>
      </c>
      <c r="AO1992" s="122">
        <v>34663</v>
      </c>
      <c r="AP1992" s="122">
        <v>17388</v>
      </c>
      <c r="AQ1992" s="122">
        <v>6440</v>
      </c>
      <c r="AR1992" s="122">
        <v>160139</v>
      </c>
      <c r="AS1992" s="122">
        <v>145581</v>
      </c>
      <c r="AT1992" s="122">
        <v>87656</v>
      </c>
      <c r="AU1992" s="122">
        <v>32465</v>
      </c>
      <c r="AV1992" s="122">
        <v>1533402</v>
      </c>
    </row>
    <row r="1993" spans="2:48" hidden="1">
      <c r="B1993" t="s">
        <v>376</v>
      </c>
      <c r="C1993" t="s">
        <v>58</v>
      </c>
      <c r="D1993" t="s">
        <v>405</v>
      </c>
      <c r="E1993" t="s">
        <v>405</v>
      </c>
      <c r="F1993" s="122">
        <v>9</v>
      </c>
      <c r="G1993" s="122">
        <v>1362</v>
      </c>
      <c r="H1993" s="122">
        <v>2258</v>
      </c>
      <c r="I1993" s="122">
        <v>202030</v>
      </c>
      <c r="J1993" s="122">
        <v>183663</v>
      </c>
      <c r="K1993" s="122">
        <v>81</v>
      </c>
      <c r="L1993" s="122">
        <v>47480</v>
      </c>
      <c r="M1993" s="122">
        <v>42534</v>
      </c>
      <c r="N1993" s="122">
        <v>29059</v>
      </c>
      <c r="O1993" s="122">
        <v>10762</v>
      </c>
      <c r="P1993" s="122">
        <v>4253</v>
      </c>
      <c r="Q1993" s="122">
        <v>1575</v>
      </c>
      <c r="R1993" s="122">
        <v>43506</v>
      </c>
      <c r="S1993" s="122">
        <v>39551</v>
      </c>
      <c r="T1993" s="122">
        <v>11889</v>
      </c>
      <c r="U1993" s="122">
        <v>4403</v>
      </c>
      <c r="V1993" s="122">
        <v>282488</v>
      </c>
      <c r="W1993" s="122">
        <f t="shared" si="62"/>
        <v>282488</v>
      </c>
      <c r="X1993" s="122">
        <f t="shared" si="63"/>
        <v>338217</v>
      </c>
      <c r="AA1993" t="s">
        <v>62</v>
      </c>
      <c r="AB1993" t="s">
        <v>406</v>
      </c>
      <c r="AC1993" t="s">
        <v>407</v>
      </c>
      <c r="AD1993" t="s">
        <v>406</v>
      </c>
      <c r="AE1993" t="s">
        <v>566</v>
      </c>
      <c r="AF1993">
        <v>17</v>
      </c>
      <c r="AG1993" s="122">
        <v>2847</v>
      </c>
      <c r="AH1993" s="122">
        <v>7131</v>
      </c>
      <c r="AI1993" s="122">
        <v>787045</v>
      </c>
      <c r="AJ1993" s="122">
        <v>715496</v>
      </c>
      <c r="AK1993">
        <v>74</v>
      </c>
      <c r="AL1993" s="122">
        <v>213074</v>
      </c>
      <c r="AM1993" s="122">
        <v>193704</v>
      </c>
      <c r="AN1993" s="122">
        <v>62808</v>
      </c>
      <c r="AO1993" s="122">
        <v>23262</v>
      </c>
      <c r="AP1993" s="122">
        <v>10557</v>
      </c>
      <c r="AQ1993" s="122">
        <v>3910</v>
      </c>
      <c r="AR1993" s="122">
        <v>138990</v>
      </c>
      <c r="AS1993" s="122">
        <v>126354</v>
      </c>
      <c r="AT1993">
        <v>0</v>
      </c>
      <c r="AU1993">
        <v>0</v>
      </c>
      <c r="AV1993" s="122">
        <v>1062726</v>
      </c>
    </row>
    <row r="1994" spans="2:48" hidden="1">
      <c r="B1994" t="s">
        <v>376</v>
      </c>
      <c r="C1994" t="s">
        <v>58</v>
      </c>
      <c r="D1994" t="s">
        <v>405</v>
      </c>
      <c r="E1994" t="s">
        <v>137</v>
      </c>
      <c r="F1994" s="122">
        <v>1</v>
      </c>
      <c r="G1994" s="122">
        <v>167</v>
      </c>
      <c r="H1994" s="122">
        <v>257</v>
      </c>
      <c r="I1994" s="122">
        <v>25541</v>
      </c>
      <c r="J1994" s="122">
        <v>23219</v>
      </c>
      <c r="K1994" s="122">
        <v>76</v>
      </c>
      <c r="L1994" s="122">
        <v>3008</v>
      </c>
      <c r="M1994" s="122">
        <v>2735</v>
      </c>
      <c r="N1994" s="122">
        <v>3811</v>
      </c>
      <c r="O1994" s="122">
        <v>1411</v>
      </c>
      <c r="P1994" s="122">
        <v>122</v>
      </c>
      <c r="Q1994" s="122">
        <v>45</v>
      </c>
      <c r="R1994" s="122">
        <v>10517</v>
      </c>
      <c r="S1994" s="122">
        <v>3895</v>
      </c>
      <c r="T1994" s="122">
        <v>0</v>
      </c>
      <c r="U1994" s="122">
        <v>0</v>
      </c>
      <c r="V1994" s="122">
        <v>31305</v>
      </c>
      <c r="W1994" s="122">
        <f t="shared" si="62"/>
        <v>31305</v>
      </c>
      <c r="X1994" s="122">
        <f t="shared" si="63"/>
        <v>42999</v>
      </c>
      <c r="AA1994" t="s">
        <v>62</v>
      </c>
      <c r="AB1994" t="s">
        <v>406</v>
      </c>
      <c r="AC1994" t="s">
        <v>407</v>
      </c>
      <c r="AD1994" t="s">
        <v>407</v>
      </c>
      <c r="AE1994" t="s">
        <v>137</v>
      </c>
      <c r="AF1994">
        <v>1</v>
      </c>
      <c r="AG1994">
        <v>290</v>
      </c>
      <c r="AH1994" s="122">
        <v>387</v>
      </c>
      <c r="AI1994" s="122">
        <v>66934</v>
      </c>
      <c r="AJ1994" s="122">
        <v>60849</v>
      </c>
      <c r="AK1994">
        <v>85</v>
      </c>
      <c r="AL1994" s="122">
        <v>31608</v>
      </c>
      <c r="AM1994" s="122">
        <v>28734</v>
      </c>
      <c r="AN1994" s="122">
        <v>4236</v>
      </c>
      <c r="AO1994" s="122">
        <v>1569</v>
      </c>
      <c r="AP1994" s="122">
        <v>621</v>
      </c>
      <c r="AQ1994" s="122">
        <v>230</v>
      </c>
      <c r="AR1994" s="122">
        <v>8719</v>
      </c>
      <c r="AS1994" s="122">
        <v>7927</v>
      </c>
      <c r="AT1994">
        <v>0</v>
      </c>
      <c r="AU1994">
        <v>0</v>
      </c>
      <c r="AV1994" s="122">
        <v>99308</v>
      </c>
    </row>
    <row r="1995" spans="2:48" hidden="1">
      <c r="B1995" t="s">
        <v>376</v>
      </c>
      <c r="C1995" t="s">
        <v>58</v>
      </c>
      <c r="D1995" t="s">
        <v>137</v>
      </c>
      <c r="E1995" t="s">
        <v>137</v>
      </c>
      <c r="F1995" s="122">
        <v>11</v>
      </c>
      <c r="G1995" s="122">
        <v>2392</v>
      </c>
      <c r="H1995" s="122">
        <v>2815</v>
      </c>
      <c r="I1995" s="122">
        <v>393695</v>
      </c>
      <c r="J1995" s="122">
        <v>145813</v>
      </c>
      <c r="K1995" s="122">
        <v>114</v>
      </c>
      <c r="L1995" s="122">
        <v>53053</v>
      </c>
      <c r="M1995" s="122">
        <v>43813</v>
      </c>
      <c r="N1995" s="122">
        <v>56084</v>
      </c>
      <c r="O1995" s="122">
        <v>20772</v>
      </c>
      <c r="P1995" s="122">
        <v>702</v>
      </c>
      <c r="Q1995" s="122">
        <v>260</v>
      </c>
      <c r="R1995" s="122">
        <v>106537</v>
      </c>
      <c r="S1995" s="122">
        <v>39458</v>
      </c>
      <c r="T1995" s="122">
        <v>0</v>
      </c>
      <c r="U1995" s="122">
        <v>0</v>
      </c>
      <c r="V1995" s="122">
        <v>250116</v>
      </c>
      <c r="W1995" s="122">
        <f t="shared" si="62"/>
        <v>250116</v>
      </c>
      <c r="X1995" s="122">
        <f t="shared" si="63"/>
        <v>610071</v>
      </c>
      <c r="AA1995" t="s">
        <v>62</v>
      </c>
      <c r="AB1995" t="s">
        <v>406</v>
      </c>
      <c r="AC1995" t="s">
        <v>579</v>
      </c>
      <c r="AD1995" t="s">
        <v>137</v>
      </c>
      <c r="AE1995" t="s">
        <v>566</v>
      </c>
      <c r="AF1995">
        <v>8</v>
      </c>
      <c r="AG1995" s="122">
        <v>961</v>
      </c>
      <c r="AH1995" s="122">
        <v>3328</v>
      </c>
      <c r="AI1995" s="122">
        <v>250614</v>
      </c>
      <c r="AJ1995" s="122">
        <v>227831</v>
      </c>
      <c r="AK1995">
        <v>77</v>
      </c>
      <c r="AL1995" s="122">
        <v>67473</v>
      </c>
      <c r="AM1995" s="122">
        <v>56227</v>
      </c>
      <c r="AN1995" s="122">
        <v>20568</v>
      </c>
      <c r="AO1995" s="122">
        <v>7618</v>
      </c>
      <c r="AP1995" s="122">
        <v>4617</v>
      </c>
      <c r="AQ1995" s="122">
        <v>1710</v>
      </c>
      <c r="AR1995" s="122">
        <v>54254</v>
      </c>
      <c r="AS1995" s="122">
        <v>20094</v>
      </c>
      <c r="AT1995" s="122">
        <v>0</v>
      </c>
      <c r="AU1995" s="122">
        <v>0</v>
      </c>
      <c r="AV1995" s="122">
        <v>313480</v>
      </c>
    </row>
    <row r="1996" spans="2:48" hidden="1">
      <c r="B1996" t="s">
        <v>376</v>
      </c>
      <c r="C1996" t="s">
        <v>58</v>
      </c>
      <c r="D1996" t="s">
        <v>406</v>
      </c>
      <c r="E1996" t="s">
        <v>425</v>
      </c>
      <c r="F1996" s="122">
        <v>1</v>
      </c>
      <c r="G1996" s="122">
        <v>127</v>
      </c>
      <c r="H1996" s="122">
        <v>284</v>
      </c>
      <c r="I1996" s="122">
        <v>20075</v>
      </c>
      <c r="J1996" s="122">
        <v>18250</v>
      </c>
      <c r="K1996" s="122">
        <v>65</v>
      </c>
      <c r="L1996" s="122">
        <v>4595</v>
      </c>
      <c r="M1996" s="122">
        <v>4177</v>
      </c>
      <c r="N1996" s="122">
        <v>2962</v>
      </c>
      <c r="O1996" s="122">
        <v>1097</v>
      </c>
      <c r="P1996" s="122">
        <v>621</v>
      </c>
      <c r="Q1996" s="122">
        <v>230</v>
      </c>
      <c r="R1996" s="122">
        <v>7679</v>
      </c>
      <c r="S1996" s="122">
        <v>6981</v>
      </c>
      <c r="T1996" s="122">
        <v>0</v>
      </c>
      <c r="U1996" s="122">
        <v>0</v>
      </c>
      <c r="V1996" s="122">
        <v>30735</v>
      </c>
      <c r="W1996" s="122">
        <f t="shared" si="62"/>
        <v>30735</v>
      </c>
      <c r="X1996" s="122">
        <f t="shared" si="63"/>
        <v>35932</v>
      </c>
      <c r="AA1996" t="s">
        <v>62</v>
      </c>
      <c r="AB1996" t="s">
        <v>406</v>
      </c>
      <c r="AC1996" t="s">
        <v>579</v>
      </c>
      <c r="AD1996" t="s">
        <v>406</v>
      </c>
      <c r="AE1996" t="s">
        <v>137</v>
      </c>
      <c r="AF1996">
        <v>655</v>
      </c>
      <c r="AG1996" s="122">
        <v>92134</v>
      </c>
      <c r="AH1996" s="122">
        <v>272909</v>
      </c>
      <c r="AI1996" s="122">
        <v>25383619</v>
      </c>
      <c r="AJ1996" s="122">
        <v>23076018</v>
      </c>
      <c r="AK1996">
        <v>75</v>
      </c>
      <c r="AL1996" s="122">
        <v>6190374</v>
      </c>
      <c r="AM1996" s="122">
        <v>5158645</v>
      </c>
      <c r="AN1996" s="122">
        <v>1983259</v>
      </c>
      <c r="AO1996" s="122">
        <v>734540</v>
      </c>
      <c r="AP1996" s="122">
        <v>417245</v>
      </c>
      <c r="AQ1996" s="122">
        <v>154535</v>
      </c>
      <c r="AR1996" s="122">
        <v>3271151</v>
      </c>
      <c r="AS1996" s="122">
        <v>2973773</v>
      </c>
      <c r="AT1996" s="122">
        <v>1817630</v>
      </c>
      <c r="AU1996" s="122">
        <v>673196</v>
      </c>
      <c r="AV1996" s="122">
        <v>32770708</v>
      </c>
    </row>
    <row r="1997" spans="2:48" hidden="1">
      <c r="B1997" t="s">
        <v>376</v>
      </c>
      <c r="C1997" t="s">
        <v>58</v>
      </c>
      <c r="D1997" t="s">
        <v>406</v>
      </c>
      <c r="E1997" t="s">
        <v>137</v>
      </c>
      <c r="F1997" s="122">
        <v>2</v>
      </c>
      <c r="G1997" s="122">
        <v>417</v>
      </c>
      <c r="H1997" s="122">
        <v>493</v>
      </c>
      <c r="I1997" s="122">
        <v>58878</v>
      </c>
      <c r="J1997" s="122">
        <v>53525</v>
      </c>
      <c r="K1997" s="122">
        <v>78</v>
      </c>
      <c r="L1997" s="122">
        <v>14480</v>
      </c>
      <c r="M1997" s="122">
        <v>13164</v>
      </c>
      <c r="N1997" s="122">
        <v>8364</v>
      </c>
      <c r="O1997" s="122">
        <v>3098</v>
      </c>
      <c r="P1997" s="122">
        <v>1242</v>
      </c>
      <c r="Q1997" s="122">
        <v>460</v>
      </c>
      <c r="R1997" s="122">
        <v>20559</v>
      </c>
      <c r="S1997" s="122">
        <v>7614</v>
      </c>
      <c r="T1997" s="122">
        <v>0</v>
      </c>
      <c r="U1997" s="122">
        <v>0</v>
      </c>
      <c r="V1997" s="122">
        <v>77861</v>
      </c>
      <c r="W1997" s="122">
        <f t="shared" si="62"/>
        <v>77861</v>
      </c>
      <c r="X1997" s="122">
        <f t="shared" si="63"/>
        <v>103523</v>
      </c>
      <c r="AA1997" t="s">
        <v>62</v>
      </c>
      <c r="AB1997" t="s">
        <v>406</v>
      </c>
      <c r="AC1997" t="s">
        <v>579</v>
      </c>
      <c r="AD1997" t="s">
        <v>406</v>
      </c>
      <c r="AE1997" t="s">
        <v>566</v>
      </c>
      <c r="AF1997">
        <v>225</v>
      </c>
      <c r="AG1997" s="122">
        <v>31078</v>
      </c>
      <c r="AH1997" s="122">
        <v>93809</v>
      </c>
      <c r="AI1997" s="122">
        <v>8743493</v>
      </c>
      <c r="AJ1997" s="122">
        <v>7948630</v>
      </c>
      <c r="AK1997">
        <v>76</v>
      </c>
      <c r="AL1997" s="122">
        <v>2138899</v>
      </c>
      <c r="AM1997" s="122">
        <v>1782416</v>
      </c>
      <c r="AN1997" s="122">
        <v>659353</v>
      </c>
      <c r="AO1997" s="122">
        <v>244205</v>
      </c>
      <c r="AP1997" s="122">
        <v>145362</v>
      </c>
      <c r="AQ1997" s="122">
        <v>53838</v>
      </c>
      <c r="AR1997" s="122">
        <v>1556415</v>
      </c>
      <c r="AS1997" s="122">
        <v>1414923</v>
      </c>
      <c r="AT1997" s="122">
        <v>0</v>
      </c>
      <c r="AU1997" s="122">
        <v>0</v>
      </c>
      <c r="AV1997" s="122">
        <v>11444011</v>
      </c>
    </row>
    <row r="1998" spans="2:48" hidden="1">
      <c r="B1998" t="s">
        <v>376</v>
      </c>
      <c r="C1998" t="s">
        <v>58</v>
      </c>
      <c r="D1998" t="s">
        <v>406</v>
      </c>
      <c r="E1998" t="s">
        <v>406</v>
      </c>
      <c r="F1998" s="122">
        <v>1032</v>
      </c>
      <c r="G1998" s="122">
        <v>152072</v>
      </c>
      <c r="H1998" s="122">
        <v>270796</v>
      </c>
      <c r="I1998" s="122">
        <v>24038841</v>
      </c>
      <c r="J1998" s="122">
        <v>21853492</v>
      </c>
      <c r="K1998" s="122">
        <v>79</v>
      </c>
      <c r="L1998" s="122">
        <v>5410543</v>
      </c>
      <c r="M1998" s="122">
        <v>4681688</v>
      </c>
      <c r="N1998" s="122">
        <v>3179790</v>
      </c>
      <c r="O1998" s="122">
        <v>1177700</v>
      </c>
      <c r="P1998" s="122">
        <v>657033</v>
      </c>
      <c r="Q1998" s="122">
        <v>243346</v>
      </c>
      <c r="R1998" s="122">
        <v>5707814</v>
      </c>
      <c r="S1998" s="122">
        <v>5188921</v>
      </c>
      <c r="T1998" s="122">
        <v>1700377</v>
      </c>
      <c r="U1998" s="122">
        <v>629769</v>
      </c>
      <c r="V1998" s="122">
        <v>33774916</v>
      </c>
      <c r="W1998" s="122">
        <f t="shared" si="62"/>
        <v>33774916</v>
      </c>
      <c r="X1998" s="122">
        <f t="shared" si="63"/>
        <v>40694398</v>
      </c>
      <c r="AA1998" t="s">
        <v>62</v>
      </c>
      <c r="AB1998" t="s">
        <v>406</v>
      </c>
      <c r="AC1998" t="s">
        <v>579</v>
      </c>
      <c r="AD1998" t="s">
        <v>579</v>
      </c>
      <c r="AE1998" t="s">
        <v>137</v>
      </c>
      <c r="AF1998">
        <v>1</v>
      </c>
      <c r="AG1998" s="122">
        <v>134</v>
      </c>
      <c r="AH1998" s="122">
        <v>443</v>
      </c>
      <c r="AI1998" s="122">
        <v>36233</v>
      </c>
      <c r="AJ1998" s="122">
        <v>32939</v>
      </c>
      <c r="AK1998">
        <v>65</v>
      </c>
      <c r="AL1998" s="122">
        <v>9047</v>
      </c>
      <c r="AM1998" s="122">
        <v>7539</v>
      </c>
      <c r="AN1998" s="122">
        <v>3086</v>
      </c>
      <c r="AO1998" s="122">
        <v>1143</v>
      </c>
      <c r="AP1998" s="122">
        <v>621</v>
      </c>
      <c r="AQ1998" s="122">
        <v>230</v>
      </c>
      <c r="AR1998" s="122">
        <v>6780</v>
      </c>
      <c r="AS1998" s="122">
        <v>5650</v>
      </c>
      <c r="AT1998" s="122">
        <v>3553</v>
      </c>
      <c r="AU1998" s="122">
        <v>1316</v>
      </c>
      <c r="AV1998" s="122">
        <v>48818</v>
      </c>
    </row>
    <row r="1999" spans="2:48" hidden="1">
      <c r="B1999" t="s">
        <v>376</v>
      </c>
      <c r="C1999" t="s">
        <v>58</v>
      </c>
      <c r="D1999" t="s">
        <v>406</v>
      </c>
      <c r="E1999" t="s">
        <v>407</v>
      </c>
      <c r="F1999" s="122">
        <v>2</v>
      </c>
      <c r="G1999" s="122">
        <v>335</v>
      </c>
      <c r="H1999" s="122">
        <v>491</v>
      </c>
      <c r="I1999" s="122">
        <v>44899</v>
      </c>
      <c r="J1999" s="122">
        <v>40817</v>
      </c>
      <c r="K1999" s="122">
        <v>70</v>
      </c>
      <c r="L1999" s="122">
        <v>13964</v>
      </c>
      <c r="M1999" s="122">
        <v>12267</v>
      </c>
      <c r="N1999" s="122">
        <v>6509</v>
      </c>
      <c r="O1999" s="122">
        <v>2411</v>
      </c>
      <c r="P1999" s="122">
        <v>1242</v>
      </c>
      <c r="Q1999" s="122">
        <v>460</v>
      </c>
      <c r="R1999" s="122">
        <v>10093</v>
      </c>
      <c r="S1999" s="122">
        <v>9175</v>
      </c>
      <c r="T1999" s="122">
        <v>5380</v>
      </c>
      <c r="U1999" s="122">
        <v>1993</v>
      </c>
      <c r="V1999" s="122">
        <v>67123</v>
      </c>
      <c r="W1999" s="122">
        <f t="shared" si="62"/>
        <v>67123</v>
      </c>
      <c r="X1999" s="122">
        <f t="shared" si="63"/>
        <v>82087</v>
      </c>
      <c r="AA1999" t="s">
        <v>62</v>
      </c>
      <c r="AB1999" t="s">
        <v>406</v>
      </c>
      <c r="AC1999" t="s">
        <v>428</v>
      </c>
      <c r="AD1999" t="s">
        <v>406</v>
      </c>
      <c r="AE1999" t="s">
        <v>137</v>
      </c>
      <c r="AF1999">
        <v>44</v>
      </c>
      <c r="AG1999" s="122">
        <v>4764</v>
      </c>
      <c r="AH1999" s="122">
        <v>18273</v>
      </c>
      <c r="AI1999" s="122">
        <v>1232737</v>
      </c>
      <c r="AJ1999" s="122">
        <v>1120670</v>
      </c>
      <c r="AK1999">
        <v>72</v>
      </c>
      <c r="AL1999" s="122">
        <v>259973</v>
      </c>
      <c r="AM1999" s="122">
        <v>236339</v>
      </c>
      <c r="AN1999" s="122">
        <v>103707</v>
      </c>
      <c r="AO1999" s="122">
        <v>38410</v>
      </c>
      <c r="AP1999" s="122">
        <v>27216</v>
      </c>
      <c r="AQ1999" s="122">
        <v>10080</v>
      </c>
      <c r="AR1999" s="122">
        <v>229113</v>
      </c>
      <c r="AS1999" s="122">
        <v>208284</v>
      </c>
      <c r="AT1999" s="122">
        <v>123239</v>
      </c>
      <c r="AU1999" s="122">
        <v>45644</v>
      </c>
      <c r="AV1999" s="122">
        <v>1659428</v>
      </c>
    </row>
    <row r="2000" spans="2:48" hidden="1">
      <c r="B2000" t="s">
        <v>376</v>
      </c>
      <c r="C2000" t="s">
        <v>58</v>
      </c>
      <c r="D2000" t="s">
        <v>427</v>
      </c>
      <c r="E2000" t="s">
        <v>137</v>
      </c>
      <c r="F2000" s="122">
        <v>1</v>
      </c>
      <c r="G2000" s="122">
        <v>204</v>
      </c>
      <c r="H2000" s="122">
        <v>286</v>
      </c>
      <c r="I2000" s="122">
        <v>37920</v>
      </c>
      <c r="J2000" s="122">
        <v>34473</v>
      </c>
      <c r="K2000" s="122">
        <v>50</v>
      </c>
      <c r="L2000" s="122">
        <v>7022</v>
      </c>
      <c r="M2000" s="122">
        <v>6384</v>
      </c>
      <c r="N2000" s="122">
        <v>4964</v>
      </c>
      <c r="O2000" s="122">
        <v>1838</v>
      </c>
      <c r="P2000" s="122">
        <v>351</v>
      </c>
      <c r="Q2000" s="122">
        <v>130</v>
      </c>
      <c r="R2000" s="122">
        <v>8013</v>
      </c>
      <c r="S2000" s="122">
        <v>2968</v>
      </c>
      <c r="T2000" s="122">
        <v>0</v>
      </c>
      <c r="U2000" s="122">
        <v>0</v>
      </c>
      <c r="V2000" s="122">
        <v>45793</v>
      </c>
      <c r="W2000" s="122">
        <f t="shared" si="62"/>
        <v>45793</v>
      </c>
      <c r="X2000" s="122">
        <f t="shared" si="63"/>
        <v>58270</v>
      </c>
      <c r="AA2000" t="s">
        <v>62</v>
      </c>
      <c r="AB2000" t="s">
        <v>406</v>
      </c>
      <c r="AC2000" t="s">
        <v>428</v>
      </c>
      <c r="AD2000" t="s">
        <v>406</v>
      </c>
      <c r="AE2000" t="s">
        <v>566</v>
      </c>
      <c r="AF2000">
        <v>29</v>
      </c>
      <c r="AG2000" s="122">
        <v>3202</v>
      </c>
      <c r="AH2000" s="122">
        <v>12271</v>
      </c>
      <c r="AI2000" s="122">
        <v>882461</v>
      </c>
      <c r="AJ2000" s="122">
        <v>802238</v>
      </c>
      <c r="AK2000">
        <v>78</v>
      </c>
      <c r="AL2000" s="122">
        <v>201766</v>
      </c>
      <c r="AM2000" s="122">
        <v>183424</v>
      </c>
      <c r="AN2000" s="122">
        <v>67984</v>
      </c>
      <c r="AO2000" s="122">
        <v>25179</v>
      </c>
      <c r="AP2000" s="122">
        <v>17118</v>
      </c>
      <c r="AQ2000" s="122">
        <v>6340</v>
      </c>
      <c r="AR2000" s="122">
        <v>186563</v>
      </c>
      <c r="AS2000" s="122">
        <v>169603</v>
      </c>
      <c r="AT2000">
        <v>0</v>
      </c>
      <c r="AU2000">
        <v>0</v>
      </c>
      <c r="AV2000" s="122">
        <v>1186783</v>
      </c>
    </row>
    <row r="2001" spans="2:48" hidden="1">
      <c r="B2001" t="s">
        <v>376</v>
      </c>
      <c r="C2001" t="s">
        <v>58</v>
      </c>
      <c r="D2001" t="s">
        <v>407</v>
      </c>
      <c r="E2001" t="s">
        <v>406</v>
      </c>
      <c r="F2001" s="122">
        <v>1</v>
      </c>
      <c r="G2001" s="122">
        <v>181</v>
      </c>
      <c r="H2001" s="122">
        <v>276</v>
      </c>
      <c r="I2001" s="122">
        <v>25041</v>
      </c>
      <c r="J2001" s="122">
        <v>22765</v>
      </c>
      <c r="K2001" s="122">
        <v>70</v>
      </c>
      <c r="L2001" s="122">
        <v>10092</v>
      </c>
      <c r="M2001" s="122">
        <v>8410</v>
      </c>
      <c r="N2001" s="122">
        <v>4146</v>
      </c>
      <c r="O2001" s="122">
        <v>1536</v>
      </c>
      <c r="P2001" s="122">
        <v>743</v>
      </c>
      <c r="Q2001" s="122">
        <v>275</v>
      </c>
      <c r="R2001" s="122">
        <v>6064</v>
      </c>
      <c r="S2001" s="122">
        <v>5512</v>
      </c>
      <c r="T2001" s="122">
        <v>3788</v>
      </c>
      <c r="U2001" s="122">
        <v>1403</v>
      </c>
      <c r="V2001" s="122">
        <v>39901</v>
      </c>
      <c r="W2001" s="122">
        <f t="shared" si="62"/>
        <v>39901</v>
      </c>
      <c r="X2001" s="122">
        <f t="shared" si="63"/>
        <v>49874</v>
      </c>
      <c r="AA2001" t="s">
        <v>62</v>
      </c>
      <c r="AB2001" t="s">
        <v>406</v>
      </c>
      <c r="AC2001" t="s">
        <v>431</v>
      </c>
      <c r="AD2001" t="s">
        <v>137</v>
      </c>
      <c r="AE2001" t="s">
        <v>566</v>
      </c>
      <c r="AF2001">
        <v>2</v>
      </c>
      <c r="AG2001" s="122">
        <v>340</v>
      </c>
      <c r="AH2001" s="122">
        <v>794</v>
      </c>
      <c r="AI2001" s="122">
        <v>92553</v>
      </c>
      <c r="AJ2001" s="122">
        <v>84139</v>
      </c>
      <c r="AK2001">
        <v>75</v>
      </c>
      <c r="AL2001" s="122">
        <v>12619</v>
      </c>
      <c r="AM2001" s="122">
        <v>11472</v>
      </c>
      <c r="AN2001" s="122">
        <v>7846</v>
      </c>
      <c r="AO2001" s="122">
        <v>2906</v>
      </c>
      <c r="AP2001" s="122">
        <v>1242</v>
      </c>
      <c r="AQ2001" s="122">
        <v>460</v>
      </c>
      <c r="AR2001" s="122">
        <v>20419</v>
      </c>
      <c r="AS2001" s="122">
        <v>7563</v>
      </c>
      <c r="AT2001" s="122">
        <v>0</v>
      </c>
      <c r="AU2001" s="122">
        <v>0</v>
      </c>
      <c r="AV2001" s="122">
        <v>106540</v>
      </c>
    </row>
    <row r="2002" spans="2:48" hidden="1">
      <c r="B2002" t="s">
        <v>376</v>
      </c>
      <c r="C2002" t="s">
        <v>58</v>
      </c>
      <c r="D2002" t="s">
        <v>407</v>
      </c>
      <c r="E2002" t="s">
        <v>407</v>
      </c>
      <c r="F2002" s="122">
        <v>412</v>
      </c>
      <c r="G2002" s="122">
        <v>52368</v>
      </c>
      <c r="H2002" s="122">
        <v>105581</v>
      </c>
      <c r="I2002" s="122">
        <v>7395396</v>
      </c>
      <c r="J2002" s="122">
        <v>6723088</v>
      </c>
      <c r="K2002" s="122">
        <v>79</v>
      </c>
      <c r="L2002" s="122">
        <v>2250827</v>
      </c>
      <c r="M2002" s="122">
        <v>1967955</v>
      </c>
      <c r="N2002" s="122">
        <v>1068087</v>
      </c>
      <c r="O2002" s="122">
        <v>395588</v>
      </c>
      <c r="P2002" s="122">
        <v>199625</v>
      </c>
      <c r="Q2002" s="122">
        <v>73935</v>
      </c>
      <c r="R2002" s="122">
        <v>2232390</v>
      </c>
      <c r="S2002" s="122">
        <v>2029445</v>
      </c>
      <c r="T2002" s="122">
        <v>461095</v>
      </c>
      <c r="U2002" s="122">
        <v>170776</v>
      </c>
      <c r="V2002" s="122">
        <v>11360787</v>
      </c>
      <c r="W2002" s="122">
        <f t="shared" si="62"/>
        <v>11360787</v>
      </c>
      <c r="X2002" s="122">
        <f t="shared" si="63"/>
        <v>13607420</v>
      </c>
      <c r="AA2002" t="s">
        <v>62</v>
      </c>
      <c r="AB2002" t="s">
        <v>406</v>
      </c>
      <c r="AC2002" t="s">
        <v>431</v>
      </c>
      <c r="AD2002" t="s">
        <v>406</v>
      </c>
      <c r="AE2002" t="s">
        <v>137</v>
      </c>
      <c r="AF2002">
        <v>117</v>
      </c>
      <c r="AG2002" s="122">
        <v>12682</v>
      </c>
      <c r="AH2002" s="122">
        <v>48617</v>
      </c>
      <c r="AI2002" s="122">
        <v>3464577</v>
      </c>
      <c r="AJ2002" s="122">
        <v>3149615</v>
      </c>
      <c r="AK2002">
        <v>77</v>
      </c>
      <c r="AL2002" s="122">
        <v>691753</v>
      </c>
      <c r="AM2002" s="122">
        <v>628866</v>
      </c>
      <c r="AN2002" s="122">
        <v>263875</v>
      </c>
      <c r="AO2002" s="122">
        <v>97731</v>
      </c>
      <c r="AP2002" s="122">
        <v>75509</v>
      </c>
      <c r="AQ2002" s="122">
        <v>27966</v>
      </c>
      <c r="AR2002" s="122">
        <v>550602</v>
      </c>
      <c r="AS2002" s="122">
        <v>500547</v>
      </c>
      <c r="AT2002" s="122">
        <v>265502</v>
      </c>
      <c r="AU2002" s="122">
        <v>98334</v>
      </c>
      <c r="AV2002" s="122">
        <v>4503061</v>
      </c>
    </row>
    <row r="2003" spans="2:48" hidden="1">
      <c r="B2003" t="s">
        <v>376</v>
      </c>
      <c r="C2003" t="s">
        <v>58</v>
      </c>
      <c r="D2003" t="s">
        <v>426</v>
      </c>
      <c r="E2003" t="s">
        <v>426</v>
      </c>
      <c r="F2003" s="122">
        <v>6</v>
      </c>
      <c r="G2003" s="122">
        <v>911</v>
      </c>
      <c r="H2003" s="122">
        <v>1630</v>
      </c>
      <c r="I2003" s="122">
        <v>148110</v>
      </c>
      <c r="J2003" s="122">
        <v>134645</v>
      </c>
      <c r="K2003" s="122">
        <v>65</v>
      </c>
      <c r="L2003" s="122">
        <v>25133</v>
      </c>
      <c r="M2003" s="122">
        <v>19966</v>
      </c>
      <c r="N2003" s="122">
        <v>17231</v>
      </c>
      <c r="O2003" s="122">
        <v>6382</v>
      </c>
      <c r="P2003" s="122">
        <v>3078</v>
      </c>
      <c r="Q2003" s="122">
        <v>1140</v>
      </c>
      <c r="R2003" s="122">
        <v>32322</v>
      </c>
      <c r="S2003" s="122">
        <v>29384</v>
      </c>
      <c r="T2003" s="122">
        <v>18877</v>
      </c>
      <c r="U2003" s="122">
        <v>6992</v>
      </c>
      <c r="V2003" s="122">
        <v>198509</v>
      </c>
      <c r="W2003" s="122">
        <f t="shared" si="62"/>
        <v>198509</v>
      </c>
      <c r="X2003" s="122">
        <f t="shared" si="63"/>
        <v>244751</v>
      </c>
      <c r="AA2003" t="s">
        <v>62</v>
      </c>
      <c r="AB2003" t="s">
        <v>406</v>
      </c>
      <c r="AC2003" t="s">
        <v>431</v>
      </c>
      <c r="AD2003" t="s">
        <v>406</v>
      </c>
      <c r="AE2003" t="s">
        <v>566</v>
      </c>
      <c r="AF2003">
        <v>56</v>
      </c>
      <c r="AG2003" s="122">
        <v>6197</v>
      </c>
      <c r="AH2003" s="122">
        <v>23358</v>
      </c>
      <c r="AI2003" s="122">
        <v>1779071</v>
      </c>
      <c r="AJ2003" s="122">
        <v>1617337</v>
      </c>
      <c r="AK2003">
        <v>77</v>
      </c>
      <c r="AL2003" s="122">
        <v>334990</v>
      </c>
      <c r="AM2003" s="122">
        <v>304537</v>
      </c>
      <c r="AN2003" s="122">
        <v>126751</v>
      </c>
      <c r="AO2003" s="122">
        <v>46945</v>
      </c>
      <c r="AP2003" s="122">
        <v>38718</v>
      </c>
      <c r="AQ2003" s="122">
        <v>14340</v>
      </c>
      <c r="AR2003" s="122">
        <v>333809</v>
      </c>
      <c r="AS2003" s="122">
        <v>303462</v>
      </c>
      <c r="AT2003" s="122">
        <v>0</v>
      </c>
      <c r="AU2003">
        <v>0</v>
      </c>
      <c r="AV2003" s="122">
        <v>2286621</v>
      </c>
    </row>
    <row r="2004" spans="2:48" hidden="1">
      <c r="B2004" t="s">
        <v>376</v>
      </c>
      <c r="C2004" t="s">
        <v>58</v>
      </c>
      <c r="D2004" t="s">
        <v>433</v>
      </c>
      <c r="E2004" t="s">
        <v>433</v>
      </c>
      <c r="F2004" s="122">
        <v>1</v>
      </c>
      <c r="G2004" s="122">
        <v>211</v>
      </c>
      <c r="H2004" s="122">
        <v>260</v>
      </c>
      <c r="I2004" s="122">
        <v>39192</v>
      </c>
      <c r="J2004" s="122">
        <v>35629</v>
      </c>
      <c r="K2004" s="122">
        <v>65</v>
      </c>
      <c r="L2004" s="122">
        <v>6290</v>
      </c>
      <c r="M2004" s="122">
        <v>5718</v>
      </c>
      <c r="N2004" s="122">
        <v>3084</v>
      </c>
      <c r="O2004" s="122">
        <v>1142</v>
      </c>
      <c r="P2004" s="122">
        <v>351</v>
      </c>
      <c r="Q2004" s="122">
        <v>130</v>
      </c>
      <c r="R2004" s="122">
        <v>5865</v>
      </c>
      <c r="S2004" s="122">
        <v>5332</v>
      </c>
      <c r="T2004" s="122">
        <v>0</v>
      </c>
      <c r="U2004" s="122">
        <v>0</v>
      </c>
      <c r="V2004" s="122">
        <v>47951</v>
      </c>
      <c r="W2004" s="122">
        <f t="shared" si="62"/>
        <v>47951</v>
      </c>
      <c r="X2004" s="122">
        <f t="shared" si="63"/>
        <v>54782</v>
      </c>
      <c r="AA2004" t="s">
        <v>62</v>
      </c>
      <c r="AB2004" t="s">
        <v>406</v>
      </c>
      <c r="AC2004" t="s">
        <v>431</v>
      </c>
      <c r="AD2004" t="s">
        <v>431</v>
      </c>
      <c r="AE2004" t="s">
        <v>137</v>
      </c>
      <c r="AF2004">
        <v>1</v>
      </c>
      <c r="AG2004">
        <v>108</v>
      </c>
      <c r="AH2004" s="122">
        <v>445</v>
      </c>
      <c r="AI2004" s="122">
        <v>28838</v>
      </c>
      <c r="AJ2004" s="122">
        <v>26217</v>
      </c>
      <c r="AK2004">
        <v>65</v>
      </c>
      <c r="AL2004" s="122">
        <v>6601</v>
      </c>
      <c r="AM2004" s="122">
        <v>6001</v>
      </c>
      <c r="AN2004" s="122">
        <v>2620</v>
      </c>
      <c r="AO2004" s="122">
        <v>971</v>
      </c>
      <c r="AP2004" s="122">
        <v>621</v>
      </c>
      <c r="AQ2004">
        <v>230</v>
      </c>
      <c r="AR2004" s="122">
        <v>6634</v>
      </c>
      <c r="AS2004" s="122">
        <v>6031</v>
      </c>
      <c r="AT2004" s="122">
        <v>2522</v>
      </c>
      <c r="AU2004">
        <v>934</v>
      </c>
      <c r="AV2004" s="122">
        <v>40384</v>
      </c>
    </row>
    <row r="2005" spans="2:48" hidden="1">
      <c r="B2005" t="s">
        <v>376</v>
      </c>
      <c r="C2005" t="s">
        <v>58</v>
      </c>
      <c r="D2005" t="s">
        <v>408</v>
      </c>
      <c r="E2005" t="s">
        <v>408</v>
      </c>
      <c r="F2005" s="122">
        <v>3</v>
      </c>
      <c r="G2005" s="122">
        <v>532</v>
      </c>
      <c r="H2005" s="122">
        <v>846</v>
      </c>
      <c r="I2005" s="122">
        <v>104888</v>
      </c>
      <c r="J2005" s="122">
        <v>95353</v>
      </c>
      <c r="K2005" s="122">
        <v>66</v>
      </c>
      <c r="L2005" s="122">
        <v>13258</v>
      </c>
      <c r="M2005" s="122">
        <v>12053</v>
      </c>
      <c r="N2005" s="122">
        <v>11764</v>
      </c>
      <c r="O2005" s="122">
        <v>4357</v>
      </c>
      <c r="P2005" s="122">
        <v>1404</v>
      </c>
      <c r="Q2005" s="122">
        <v>520</v>
      </c>
      <c r="R2005" s="122">
        <v>20584</v>
      </c>
      <c r="S2005" s="122">
        <v>18713</v>
      </c>
      <c r="T2005" s="122">
        <v>7848</v>
      </c>
      <c r="U2005" s="122">
        <v>2907</v>
      </c>
      <c r="V2005" s="122">
        <v>133902</v>
      </c>
      <c r="W2005" s="122">
        <f t="shared" si="62"/>
        <v>133903</v>
      </c>
      <c r="X2005" s="122">
        <f t="shared" si="63"/>
        <v>159746</v>
      </c>
      <c r="AA2005" t="s">
        <v>62</v>
      </c>
      <c r="AB2005" t="s">
        <v>406</v>
      </c>
      <c r="AC2005" t="s">
        <v>431</v>
      </c>
      <c r="AD2005" t="s">
        <v>431</v>
      </c>
      <c r="AE2005" t="s">
        <v>566</v>
      </c>
      <c r="AF2005">
        <v>3</v>
      </c>
      <c r="AG2005">
        <v>269</v>
      </c>
      <c r="AH2005" s="122">
        <v>1186</v>
      </c>
      <c r="AI2005" s="122">
        <v>59734</v>
      </c>
      <c r="AJ2005" s="122">
        <v>54303</v>
      </c>
      <c r="AK2005">
        <v>73</v>
      </c>
      <c r="AL2005" s="122">
        <v>10260</v>
      </c>
      <c r="AM2005" s="122">
        <v>9327</v>
      </c>
      <c r="AN2005" s="122">
        <v>5432</v>
      </c>
      <c r="AO2005" s="122">
        <v>2012</v>
      </c>
      <c r="AP2005" s="122">
        <v>1863</v>
      </c>
      <c r="AQ2005">
        <v>690</v>
      </c>
      <c r="AR2005" s="122">
        <v>28946</v>
      </c>
      <c r="AS2005" s="122">
        <v>26314</v>
      </c>
      <c r="AT2005">
        <v>0</v>
      </c>
      <c r="AU2005">
        <v>0</v>
      </c>
      <c r="AV2005" s="122">
        <v>92647</v>
      </c>
    </row>
    <row r="2006" spans="2:48" hidden="1">
      <c r="B2006" t="s">
        <v>376</v>
      </c>
      <c r="C2006" t="s">
        <v>58</v>
      </c>
      <c r="D2006" t="s">
        <v>429</v>
      </c>
      <c r="E2006" t="s">
        <v>429</v>
      </c>
      <c r="F2006" s="122">
        <v>2</v>
      </c>
      <c r="G2006" s="122">
        <v>285</v>
      </c>
      <c r="H2006" s="122">
        <v>546</v>
      </c>
      <c r="I2006" s="122">
        <v>54075</v>
      </c>
      <c r="J2006" s="122">
        <v>49159</v>
      </c>
      <c r="K2006" s="122">
        <v>83</v>
      </c>
      <c r="L2006" s="122">
        <v>8271</v>
      </c>
      <c r="M2006" s="122">
        <v>7519</v>
      </c>
      <c r="N2006" s="122">
        <v>4089</v>
      </c>
      <c r="O2006" s="122">
        <v>1515</v>
      </c>
      <c r="P2006" s="122">
        <v>702</v>
      </c>
      <c r="Q2006" s="122">
        <v>260</v>
      </c>
      <c r="R2006" s="122">
        <v>9163</v>
      </c>
      <c r="S2006" s="122">
        <v>8330</v>
      </c>
      <c r="T2006" s="122">
        <v>0</v>
      </c>
      <c r="U2006" s="122">
        <v>0</v>
      </c>
      <c r="V2006" s="122">
        <v>66783</v>
      </c>
      <c r="W2006" s="122">
        <f t="shared" si="62"/>
        <v>66783</v>
      </c>
      <c r="X2006" s="122">
        <f t="shared" si="63"/>
        <v>76300</v>
      </c>
      <c r="AA2006" t="s">
        <v>62</v>
      </c>
      <c r="AB2006" t="s">
        <v>406</v>
      </c>
      <c r="AC2006" t="s">
        <v>426</v>
      </c>
      <c r="AD2006" t="s">
        <v>578</v>
      </c>
      <c r="AE2006" t="s">
        <v>566</v>
      </c>
      <c r="AF2006">
        <v>1</v>
      </c>
      <c r="AG2006">
        <v>109</v>
      </c>
      <c r="AH2006" s="122">
        <v>429</v>
      </c>
      <c r="AI2006" s="122">
        <v>29253</v>
      </c>
      <c r="AJ2006" s="122">
        <v>26594</v>
      </c>
      <c r="AK2006">
        <v>65</v>
      </c>
      <c r="AL2006" s="122">
        <v>6696</v>
      </c>
      <c r="AM2006" s="122">
        <v>6087</v>
      </c>
      <c r="AN2006" s="122">
        <v>2513</v>
      </c>
      <c r="AO2006" s="122">
        <v>931</v>
      </c>
      <c r="AP2006" s="122">
        <v>621</v>
      </c>
      <c r="AQ2006" s="122">
        <v>230</v>
      </c>
      <c r="AR2006" s="122">
        <v>7509</v>
      </c>
      <c r="AS2006" s="122">
        <v>6826</v>
      </c>
      <c r="AT2006" s="122">
        <v>0</v>
      </c>
      <c r="AU2006" s="122">
        <v>0</v>
      </c>
      <c r="AV2006" s="122">
        <v>40668</v>
      </c>
    </row>
    <row r="2007" spans="2:48" hidden="1">
      <c r="B2007" t="s">
        <v>376</v>
      </c>
      <c r="C2007" t="s">
        <v>60</v>
      </c>
      <c r="D2007" t="s">
        <v>405</v>
      </c>
      <c r="E2007" t="s">
        <v>405</v>
      </c>
      <c r="F2007" s="122">
        <v>7</v>
      </c>
      <c r="G2007" s="122">
        <v>1139</v>
      </c>
      <c r="H2007" s="122">
        <v>2265</v>
      </c>
      <c r="I2007" s="122">
        <v>219722</v>
      </c>
      <c r="J2007" s="122">
        <v>199747</v>
      </c>
      <c r="K2007" s="122">
        <v>83</v>
      </c>
      <c r="L2007" s="122">
        <v>69959</v>
      </c>
      <c r="M2007" s="122">
        <v>61523</v>
      </c>
      <c r="N2007" s="122">
        <v>23800</v>
      </c>
      <c r="O2007" s="122">
        <v>8815</v>
      </c>
      <c r="P2007" s="122">
        <v>3308</v>
      </c>
      <c r="Q2007" s="122">
        <v>1225</v>
      </c>
      <c r="R2007" s="122">
        <v>47658</v>
      </c>
      <c r="S2007" s="122">
        <v>43325</v>
      </c>
      <c r="T2007" s="122">
        <v>5168</v>
      </c>
      <c r="U2007" s="122">
        <v>1914</v>
      </c>
      <c r="V2007" s="122">
        <v>316550</v>
      </c>
      <c r="W2007" s="122">
        <f t="shared" si="62"/>
        <v>316549</v>
      </c>
      <c r="X2007" s="122">
        <f t="shared" si="63"/>
        <v>369615</v>
      </c>
      <c r="AA2007" t="s">
        <v>62</v>
      </c>
      <c r="AB2007" t="s">
        <v>406</v>
      </c>
      <c r="AC2007" t="s">
        <v>426</v>
      </c>
      <c r="AD2007" t="s">
        <v>425</v>
      </c>
      <c r="AE2007" t="s">
        <v>137</v>
      </c>
      <c r="AF2007">
        <v>4</v>
      </c>
      <c r="AG2007">
        <v>538</v>
      </c>
      <c r="AH2007" s="122">
        <v>1653</v>
      </c>
      <c r="AI2007" s="122">
        <v>154385</v>
      </c>
      <c r="AJ2007" s="122">
        <v>140350</v>
      </c>
      <c r="AK2007">
        <v>68</v>
      </c>
      <c r="AL2007" s="122">
        <v>26690</v>
      </c>
      <c r="AM2007" s="122">
        <v>24263</v>
      </c>
      <c r="AN2007" s="122">
        <v>9949</v>
      </c>
      <c r="AO2007" s="122">
        <v>3685</v>
      </c>
      <c r="AP2007" s="122">
        <v>3186</v>
      </c>
      <c r="AQ2007" s="122">
        <v>1180</v>
      </c>
      <c r="AR2007" s="122">
        <v>18864</v>
      </c>
      <c r="AS2007" s="122">
        <v>17150</v>
      </c>
      <c r="AT2007" s="122">
        <v>9450</v>
      </c>
      <c r="AU2007" s="122">
        <v>3500</v>
      </c>
      <c r="AV2007" s="122">
        <v>190128</v>
      </c>
    </row>
    <row r="2008" spans="2:48" hidden="1">
      <c r="B2008" t="s">
        <v>376</v>
      </c>
      <c r="C2008" t="s">
        <v>60</v>
      </c>
      <c r="D2008" t="s">
        <v>137</v>
      </c>
      <c r="E2008" t="s">
        <v>137</v>
      </c>
      <c r="F2008" s="122">
        <v>7</v>
      </c>
      <c r="G2008" s="122">
        <v>955</v>
      </c>
      <c r="H2008" s="122">
        <v>2420</v>
      </c>
      <c r="I2008" s="122">
        <v>228308</v>
      </c>
      <c r="J2008" s="122">
        <v>84558</v>
      </c>
      <c r="K2008" s="122">
        <v>108</v>
      </c>
      <c r="L2008" s="122">
        <v>30252</v>
      </c>
      <c r="M2008" s="122">
        <v>18614</v>
      </c>
      <c r="N2008" s="122">
        <v>20443</v>
      </c>
      <c r="O2008" s="122">
        <v>7572</v>
      </c>
      <c r="P2008" s="122">
        <v>351</v>
      </c>
      <c r="Q2008" s="122">
        <v>130</v>
      </c>
      <c r="R2008" s="122">
        <v>57747</v>
      </c>
      <c r="S2008" s="122">
        <v>21388</v>
      </c>
      <c r="T2008" s="122">
        <v>0</v>
      </c>
      <c r="U2008" s="122">
        <v>0</v>
      </c>
      <c r="V2008" s="122">
        <v>132261</v>
      </c>
      <c r="W2008" s="122">
        <f t="shared" si="62"/>
        <v>132262</v>
      </c>
      <c r="X2008" s="122">
        <f t="shared" si="63"/>
        <v>337101</v>
      </c>
      <c r="AA2008" t="s">
        <v>62</v>
      </c>
      <c r="AB2008" t="s">
        <v>406</v>
      </c>
      <c r="AC2008" t="s">
        <v>426</v>
      </c>
      <c r="AD2008" t="s">
        <v>425</v>
      </c>
      <c r="AE2008" t="s">
        <v>566</v>
      </c>
      <c r="AF2008">
        <v>2</v>
      </c>
      <c r="AG2008">
        <v>193</v>
      </c>
      <c r="AH2008" s="122">
        <v>824</v>
      </c>
      <c r="AI2008" s="122">
        <v>51154</v>
      </c>
      <c r="AJ2008" s="122">
        <v>46503</v>
      </c>
      <c r="AK2008">
        <v>72</v>
      </c>
      <c r="AL2008" s="122">
        <v>13114</v>
      </c>
      <c r="AM2008" s="122">
        <v>11922</v>
      </c>
      <c r="AN2008" s="122">
        <v>4623</v>
      </c>
      <c r="AO2008" s="122">
        <v>1712</v>
      </c>
      <c r="AP2008" s="122">
        <v>1242</v>
      </c>
      <c r="AQ2008">
        <v>460</v>
      </c>
      <c r="AR2008" s="122">
        <v>9730</v>
      </c>
      <c r="AS2008" s="122">
        <v>8845</v>
      </c>
      <c r="AT2008">
        <v>0</v>
      </c>
      <c r="AU2008">
        <v>0</v>
      </c>
      <c r="AV2008" s="122">
        <v>69443</v>
      </c>
    </row>
    <row r="2009" spans="2:48" hidden="1">
      <c r="B2009" t="s">
        <v>376</v>
      </c>
      <c r="C2009" t="s">
        <v>60</v>
      </c>
      <c r="D2009" t="s">
        <v>406</v>
      </c>
      <c r="E2009" t="s">
        <v>137</v>
      </c>
      <c r="F2009" s="122">
        <v>2</v>
      </c>
      <c r="G2009" s="122">
        <v>204</v>
      </c>
      <c r="H2009" s="122">
        <v>677</v>
      </c>
      <c r="I2009" s="122">
        <v>44462</v>
      </c>
      <c r="J2009" s="122">
        <v>40420</v>
      </c>
      <c r="K2009" s="122">
        <v>78</v>
      </c>
      <c r="L2009" s="122">
        <v>6346</v>
      </c>
      <c r="M2009" s="122">
        <v>5362</v>
      </c>
      <c r="N2009" s="122">
        <v>4841</v>
      </c>
      <c r="O2009" s="122">
        <v>1793</v>
      </c>
      <c r="P2009" s="122">
        <v>1242</v>
      </c>
      <c r="Q2009" s="122">
        <v>460</v>
      </c>
      <c r="R2009" s="122">
        <v>9896</v>
      </c>
      <c r="S2009" s="122">
        <v>3665</v>
      </c>
      <c r="T2009" s="122">
        <v>0</v>
      </c>
      <c r="U2009" s="122">
        <v>0</v>
      </c>
      <c r="V2009" s="122">
        <v>51700</v>
      </c>
      <c r="W2009" s="122">
        <f t="shared" si="62"/>
        <v>51700</v>
      </c>
      <c r="X2009" s="122">
        <f t="shared" si="63"/>
        <v>66787</v>
      </c>
      <c r="AA2009" t="s">
        <v>62</v>
      </c>
      <c r="AB2009" t="s">
        <v>406</v>
      </c>
      <c r="AC2009" t="s">
        <v>426</v>
      </c>
      <c r="AD2009" t="s">
        <v>137</v>
      </c>
      <c r="AE2009" t="s">
        <v>137</v>
      </c>
      <c r="AF2009">
        <v>3</v>
      </c>
      <c r="AG2009" s="122">
        <v>457</v>
      </c>
      <c r="AH2009" s="122">
        <v>1306</v>
      </c>
      <c r="AI2009" s="122">
        <v>140979</v>
      </c>
      <c r="AJ2009" s="122">
        <v>128162</v>
      </c>
      <c r="AK2009">
        <v>63</v>
      </c>
      <c r="AL2009" s="122">
        <v>28336</v>
      </c>
      <c r="AM2009" s="122">
        <v>25760</v>
      </c>
      <c r="AN2009" s="122">
        <v>8772</v>
      </c>
      <c r="AO2009" s="122">
        <v>3249</v>
      </c>
      <c r="AP2009" s="122">
        <v>2214</v>
      </c>
      <c r="AQ2009" s="122">
        <v>820</v>
      </c>
      <c r="AR2009" s="122">
        <v>19311</v>
      </c>
      <c r="AS2009" s="122">
        <v>7152</v>
      </c>
      <c r="AT2009">
        <v>0</v>
      </c>
      <c r="AU2009">
        <v>0</v>
      </c>
      <c r="AV2009" s="122">
        <v>165144</v>
      </c>
    </row>
    <row r="2010" spans="2:48" hidden="1">
      <c r="B2010" t="s">
        <v>376</v>
      </c>
      <c r="C2010" t="s">
        <v>60</v>
      </c>
      <c r="D2010" t="s">
        <v>406</v>
      </c>
      <c r="E2010" t="s">
        <v>406</v>
      </c>
      <c r="F2010" s="122">
        <v>554</v>
      </c>
      <c r="G2010" s="122">
        <v>70308</v>
      </c>
      <c r="H2010" s="122">
        <v>186653</v>
      </c>
      <c r="I2010" s="122">
        <v>14938239</v>
      </c>
      <c r="J2010" s="122">
        <v>13580217</v>
      </c>
      <c r="K2010" s="122">
        <v>74</v>
      </c>
      <c r="L2010" s="122">
        <v>3143985</v>
      </c>
      <c r="M2010" s="122">
        <v>2750421</v>
      </c>
      <c r="N2010" s="122">
        <v>1485488</v>
      </c>
      <c r="O2010" s="122">
        <v>550181</v>
      </c>
      <c r="P2010" s="122">
        <v>351257</v>
      </c>
      <c r="Q2010" s="122">
        <v>130095</v>
      </c>
      <c r="R2010" s="122">
        <v>3034113</v>
      </c>
      <c r="S2010" s="122">
        <v>2758284</v>
      </c>
      <c r="T2010" s="122">
        <v>1102212</v>
      </c>
      <c r="U2010" s="122">
        <v>408227</v>
      </c>
      <c r="V2010" s="122">
        <v>20177425</v>
      </c>
      <c r="W2010" s="122">
        <f t="shared" si="62"/>
        <v>20177425</v>
      </c>
      <c r="X2010" s="122">
        <f t="shared" si="63"/>
        <v>24055294</v>
      </c>
      <c r="AA2010" t="s">
        <v>62</v>
      </c>
      <c r="AB2010" t="s">
        <v>406</v>
      </c>
      <c r="AC2010" t="s">
        <v>426</v>
      </c>
      <c r="AD2010" t="s">
        <v>137</v>
      </c>
      <c r="AE2010" t="s">
        <v>566</v>
      </c>
      <c r="AF2010" s="122">
        <v>53</v>
      </c>
      <c r="AG2010" s="122">
        <v>6061</v>
      </c>
      <c r="AH2010" s="122">
        <v>22074</v>
      </c>
      <c r="AI2010" s="122">
        <v>1689536</v>
      </c>
      <c r="AJ2010" s="122">
        <v>1535942</v>
      </c>
      <c r="AK2010">
        <v>77</v>
      </c>
      <c r="AL2010" s="122">
        <v>341545</v>
      </c>
      <c r="AM2010" s="122">
        <v>310495</v>
      </c>
      <c r="AN2010" s="122">
        <v>133726</v>
      </c>
      <c r="AO2010" s="122">
        <v>49528</v>
      </c>
      <c r="AP2010" s="122">
        <v>33966</v>
      </c>
      <c r="AQ2010" s="122">
        <v>12580</v>
      </c>
      <c r="AR2010" s="122">
        <v>347850</v>
      </c>
      <c r="AS2010" s="122">
        <v>128833</v>
      </c>
      <c r="AT2010" s="122">
        <v>0</v>
      </c>
      <c r="AU2010" s="122">
        <v>0</v>
      </c>
      <c r="AV2010" s="122">
        <v>2037378</v>
      </c>
    </row>
    <row r="2011" spans="2:48" hidden="1">
      <c r="B2011" t="s">
        <v>376</v>
      </c>
      <c r="C2011" t="s">
        <v>60</v>
      </c>
      <c r="D2011" t="s">
        <v>406</v>
      </c>
      <c r="E2011" t="s">
        <v>427</v>
      </c>
      <c r="F2011" s="122">
        <v>1</v>
      </c>
      <c r="G2011" s="122">
        <v>202</v>
      </c>
      <c r="H2011" s="122">
        <v>372</v>
      </c>
      <c r="I2011" s="122">
        <v>49229</v>
      </c>
      <c r="J2011" s="122">
        <v>44754</v>
      </c>
      <c r="K2011" s="122">
        <v>65</v>
      </c>
      <c r="L2011" s="122">
        <v>5634</v>
      </c>
      <c r="M2011" s="122">
        <v>5122</v>
      </c>
      <c r="N2011" s="122">
        <v>4040</v>
      </c>
      <c r="O2011" s="122">
        <v>1496</v>
      </c>
      <c r="P2011" s="122">
        <v>621</v>
      </c>
      <c r="Q2011" s="122">
        <v>230</v>
      </c>
      <c r="R2011" s="122">
        <v>9952</v>
      </c>
      <c r="S2011" s="122">
        <v>9047</v>
      </c>
      <c r="T2011" s="122">
        <v>5771</v>
      </c>
      <c r="U2011" s="122">
        <v>2137</v>
      </c>
      <c r="V2011" s="122">
        <v>62787</v>
      </c>
      <c r="W2011" s="122">
        <f t="shared" si="62"/>
        <v>62786</v>
      </c>
      <c r="X2011" s="122">
        <f t="shared" si="63"/>
        <v>75247</v>
      </c>
      <c r="AA2011" t="s">
        <v>62</v>
      </c>
      <c r="AB2011" t="s">
        <v>406</v>
      </c>
      <c r="AC2011" t="s">
        <v>426</v>
      </c>
      <c r="AD2011" t="s">
        <v>406</v>
      </c>
      <c r="AE2011" t="s">
        <v>137</v>
      </c>
      <c r="AF2011" s="122">
        <v>4455</v>
      </c>
      <c r="AG2011" s="122">
        <v>512806</v>
      </c>
      <c r="AH2011" s="122">
        <v>1848670</v>
      </c>
      <c r="AI2011" s="122">
        <v>141648883</v>
      </c>
      <c r="AJ2011" s="122">
        <v>128771711</v>
      </c>
      <c r="AK2011">
        <v>75</v>
      </c>
      <c r="AL2011" s="122">
        <v>27707791</v>
      </c>
      <c r="AM2011" s="122">
        <v>25188900</v>
      </c>
      <c r="AN2011" s="122">
        <v>10967447</v>
      </c>
      <c r="AO2011" s="122">
        <v>4062017</v>
      </c>
      <c r="AP2011" s="122">
        <v>2889170</v>
      </c>
      <c r="AQ2011" s="122">
        <v>1070063</v>
      </c>
      <c r="AR2011" s="122">
        <v>20921142</v>
      </c>
      <c r="AS2011" s="122">
        <v>19019220</v>
      </c>
      <c r="AT2011" s="122">
        <v>11113260</v>
      </c>
      <c r="AU2011" s="122">
        <v>4116022</v>
      </c>
      <c r="AV2011" s="122">
        <v>182227935</v>
      </c>
    </row>
    <row r="2012" spans="2:48" hidden="1">
      <c r="B2012" t="s">
        <v>376</v>
      </c>
      <c r="C2012" t="s">
        <v>60</v>
      </c>
      <c r="D2012" t="s">
        <v>427</v>
      </c>
      <c r="E2012" t="s">
        <v>427</v>
      </c>
      <c r="F2012" s="122">
        <v>4</v>
      </c>
      <c r="G2012" s="122">
        <v>431</v>
      </c>
      <c r="H2012" s="122">
        <v>1368</v>
      </c>
      <c r="I2012" s="122">
        <v>97262</v>
      </c>
      <c r="J2012" s="122">
        <v>88420</v>
      </c>
      <c r="K2012" s="122">
        <v>59</v>
      </c>
      <c r="L2012" s="122">
        <v>5189</v>
      </c>
      <c r="M2012" s="122">
        <v>11176</v>
      </c>
      <c r="N2012" s="122">
        <v>9528</v>
      </c>
      <c r="O2012" s="122">
        <v>3529</v>
      </c>
      <c r="P2012" s="122">
        <v>2025</v>
      </c>
      <c r="Q2012" s="122">
        <v>750</v>
      </c>
      <c r="R2012" s="122">
        <v>22613</v>
      </c>
      <c r="S2012" s="122">
        <v>20558</v>
      </c>
      <c r="T2012" s="122">
        <v>11343</v>
      </c>
      <c r="U2012" s="122">
        <v>4201</v>
      </c>
      <c r="V2012" s="122">
        <v>128633</v>
      </c>
      <c r="W2012" s="122">
        <f t="shared" si="62"/>
        <v>128634</v>
      </c>
      <c r="X2012" s="122">
        <f t="shared" si="63"/>
        <v>147960</v>
      </c>
      <c r="AA2012" t="s">
        <v>62</v>
      </c>
      <c r="AB2012" t="s">
        <v>406</v>
      </c>
      <c r="AC2012" t="s">
        <v>426</v>
      </c>
      <c r="AD2012" t="s">
        <v>406</v>
      </c>
      <c r="AE2012" t="s">
        <v>566</v>
      </c>
      <c r="AF2012" s="122">
        <v>1621</v>
      </c>
      <c r="AG2012" s="122">
        <v>184162</v>
      </c>
      <c r="AH2012" s="122">
        <v>670815</v>
      </c>
      <c r="AI2012" s="122">
        <v>51703413</v>
      </c>
      <c r="AJ2012" s="122">
        <v>47003103</v>
      </c>
      <c r="AK2012">
        <v>77</v>
      </c>
      <c r="AL2012" s="122">
        <v>10552274</v>
      </c>
      <c r="AM2012" s="122">
        <v>9592977</v>
      </c>
      <c r="AN2012" s="122">
        <v>3976749</v>
      </c>
      <c r="AO2012" s="122">
        <v>1472870</v>
      </c>
      <c r="AP2012" s="122">
        <v>1058312</v>
      </c>
      <c r="AQ2012" s="122">
        <v>391968</v>
      </c>
      <c r="AR2012" s="122">
        <v>10194128</v>
      </c>
      <c r="AS2012" s="122">
        <v>9267389</v>
      </c>
      <c r="AT2012" s="122">
        <v>0</v>
      </c>
      <c r="AU2012" s="122">
        <v>0</v>
      </c>
      <c r="AV2012" s="122">
        <v>67728306</v>
      </c>
    </row>
    <row r="2013" spans="2:48" hidden="1">
      <c r="B2013" t="s">
        <v>376</v>
      </c>
      <c r="C2013" t="s">
        <v>60</v>
      </c>
      <c r="D2013" t="s">
        <v>407</v>
      </c>
      <c r="E2013" t="s">
        <v>407</v>
      </c>
      <c r="F2013" s="122">
        <v>66</v>
      </c>
      <c r="G2013" s="122">
        <v>7782</v>
      </c>
      <c r="H2013" s="122">
        <v>21969</v>
      </c>
      <c r="I2013" s="122">
        <v>1536502</v>
      </c>
      <c r="J2013" s="122">
        <v>1396820</v>
      </c>
      <c r="K2013" s="122">
        <v>79</v>
      </c>
      <c r="L2013" s="122">
        <v>447144</v>
      </c>
      <c r="M2013" s="122">
        <v>390058</v>
      </c>
      <c r="N2013" s="122">
        <v>165481</v>
      </c>
      <c r="O2013" s="122">
        <v>61289</v>
      </c>
      <c r="P2013" s="122">
        <v>31185</v>
      </c>
      <c r="Q2013" s="122">
        <v>11550</v>
      </c>
      <c r="R2013" s="122">
        <v>336506</v>
      </c>
      <c r="S2013" s="122">
        <v>305915</v>
      </c>
      <c r="T2013" s="122">
        <v>94291</v>
      </c>
      <c r="U2013" s="122">
        <v>34922</v>
      </c>
      <c r="V2013" s="122">
        <v>2200554</v>
      </c>
      <c r="W2013" s="122">
        <f t="shared" si="62"/>
        <v>2200554</v>
      </c>
      <c r="X2013" s="122">
        <f t="shared" si="63"/>
        <v>2611109</v>
      </c>
      <c r="AA2013" t="s">
        <v>62</v>
      </c>
      <c r="AB2013" t="s">
        <v>406</v>
      </c>
      <c r="AC2013" t="s">
        <v>426</v>
      </c>
      <c r="AD2013" t="s">
        <v>427</v>
      </c>
      <c r="AE2013" t="s">
        <v>137</v>
      </c>
      <c r="AF2013">
        <v>2</v>
      </c>
      <c r="AG2013">
        <v>150</v>
      </c>
      <c r="AH2013">
        <v>812</v>
      </c>
      <c r="AI2013" s="122">
        <v>36857</v>
      </c>
      <c r="AJ2013" s="122">
        <v>33506</v>
      </c>
      <c r="AK2013">
        <v>87</v>
      </c>
      <c r="AL2013" s="122">
        <v>8939</v>
      </c>
      <c r="AM2013" s="122">
        <v>8127</v>
      </c>
      <c r="AN2013" s="122">
        <v>2820</v>
      </c>
      <c r="AO2013" s="122">
        <v>1045</v>
      </c>
      <c r="AP2013" s="122">
        <v>1593</v>
      </c>
      <c r="AQ2013">
        <v>590</v>
      </c>
      <c r="AR2013" s="122">
        <v>8072</v>
      </c>
      <c r="AS2013" s="122">
        <v>7339</v>
      </c>
      <c r="AT2013" s="122">
        <v>2727</v>
      </c>
      <c r="AU2013" s="122">
        <v>1010</v>
      </c>
      <c r="AV2013" s="122">
        <v>51616</v>
      </c>
    </row>
    <row r="2014" spans="2:48" hidden="1">
      <c r="B2014" t="s">
        <v>376</v>
      </c>
      <c r="C2014" t="s">
        <v>60</v>
      </c>
      <c r="D2014" t="s">
        <v>556</v>
      </c>
      <c r="E2014" t="s">
        <v>556</v>
      </c>
      <c r="F2014" s="122">
        <v>3</v>
      </c>
      <c r="G2014" s="122">
        <v>294</v>
      </c>
      <c r="H2014" s="122">
        <v>1002</v>
      </c>
      <c r="I2014" s="122">
        <v>80430</v>
      </c>
      <c r="J2014" s="122">
        <v>67025</v>
      </c>
      <c r="K2014" s="122">
        <v>63</v>
      </c>
      <c r="L2014" s="122">
        <v>2903</v>
      </c>
      <c r="M2014" s="122">
        <v>2419</v>
      </c>
      <c r="N2014" s="122">
        <v>6216</v>
      </c>
      <c r="O2014" s="122">
        <v>2302</v>
      </c>
      <c r="P2014" s="122">
        <v>702</v>
      </c>
      <c r="Q2014" s="122">
        <v>260</v>
      </c>
      <c r="R2014" s="122">
        <v>18470</v>
      </c>
      <c r="S2014" s="122">
        <v>15391</v>
      </c>
      <c r="T2014" s="122">
        <v>9394</v>
      </c>
      <c r="U2014" s="122">
        <v>3479</v>
      </c>
      <c r="V2014" s="122">
        <v>90877</v>
      </c>
      <c r="W2014" s="122">
        <f t="shared" si="62"/>
        <v>90876</v>
      </c>
      <c r="X2014" s="122">
        <f t="shared" si="63"/>
        <v>118115</v>
      </c>
      <c r="AA2014" t="s">
        <v>62</v>
      </c>
      <c r="AB2014" t="s">
        <v>406</v>
      </c>
      <c r="AC2014" t="s">
        <v>426</v>
      </c>
      <c r="AD2014" t="s">
        <v>407</v>
      </c>
      <c r="AE2014" t="s">
        <v>137</v>
      </c>
      <c r="AF2014">
        <v>1</v>
      </c>
      <c r="AG2014" s="122">
        <v>78</v>
      </c>
      <c r="AH2014">
        <v>408</v>
      </c>
      <c r="AI2014" s="122">
        <v>18693</v>
      </c>
      <c r="AJ2014" s="122">
        <v>16993</v>
      </c>
      <c r="AK2014">
        <v>79</v>
      </c>
      <c r="AL2014" s="122">
        <v>5192</v>
      </c>
      <c r="AM2014" s="122">
        <v>4720</v>
      </c>
      <c r="AN2014" s="122">
        <v>946</v>
      </c>
      <c r="AO2014" s="122">
        <v>350</v>
      </c>
      <c r="AP2014" s="122">
        <v>621</v>
      </c>
      <c r="AQ2014">
        <v>230</v>
      </c>
      <c r="AR2014" s="122">
        <v>3845</v>
      </c>
      <c r="AS2014" s="122">
        <v>3495</v>
      </c>
      <c r="AT2014" s="122">
        <v>2401</v>
      </c>
      <c r="AU2014">
        <v>889</v>
      </c>
      <c r="AV2014" s="122">
        <v>26678</v>
      </c>
    </row>
    <row r="2015" spans="2:48" hidden="1">
      <c r="B2015" t="s">
        <v>376</v>
      </c>
      <c r="C2015" t="s">
        <v>60</v>
      </c>
      <c r="D2015" t="s">
        <v>426</v>
      </c>
      <c r="E2015" t="s">
        <v>426</v>
      </c>
      <c r="F2015" s="122">
        <v>6</v>
      </c>
      <c r="G2015" s="122">
        <v>665</v>
      </c>
      <c r="H2015" s="122">
        <v>2034</v>
      </c>
      <c r="I2015" s="122">
        <v>140839</v>
      </c>
      <c r="J2015" s="122">
        <v>128035</v>
      </c>
      <c r="K2015" s="122">
        <v>63</v>
      </c>
      <c r="L2015" s="122">
        <v>18197</v>
      </c>
      <c r="M2015" s="122">
        <v>14626</v>
      </c>
      <c r="N2015" s="122">
        <v>14508</v>
      </c>
      <c r="O2015" s="122">
        <v>5373</v>
      </c>
      <c r="P2015" s="122">
        <v>2916</v>
      </c>
      <c r="Q2015" s="122">
        <v>1080</v>
      </c>
      <c r="R2015" s="122">
        <v>36645</v>
      </c>
      <c r="S2015" s="122">
        <v>33314</v>
      </c>
      <c r="T2015" s="122">
        <v>13529</v>
      </c>
      <c r="U2015" s="122">
        <v>5011</v>
      </c>
      <c r="V2015" s="122">
        <v>187439</v>
      </c>
      <c r="W2015" s="122">
        <f t="shared" si="62"/>
        <v>187439</v>
      </c>
      <c r="X2015" s="122">
        <f t="shared" si="63"/>
        <v>226634</v>
      </c>
      <c r="AA2015" t="s">
        <v>62</v>
      </c>
      <c r="AB2015" t="s">
        <v>406</v>
      </c>
      <c r="AC2015" t="s">
        <v>426</v>
      </c>
      <c r="AD2015" t="s">
        <v>407</v>
      </c>
      <c r="AE2015" t="s">
        <v>566</v>
      </c>
      <c r="AF2015">
        <v>2</v>
      </c>
      <c r="AG2015" s="122">
        <v>1089</v>
      </c>
      <c r="AH2015">
        <v>818</v>
      </c>
      <c r="AI2015" s="122">
        <v>308526</v>
      </c>
      <c r="AJ2015" s="122">
        <v>280478</v>
      </c>
      <c r="AK2015">
        <v>82</v>
      </c>
      <c r="AL2015" s="122">
        <v>77031</v>
      </c>
      <c r="AM2015" s="122">
        <v>70028</v>
      </c>
      <c r="AN2015" s="122">
        <v>26536</v>
      </c>
      <c r="AO2015" s="122">
        <v>9828</v>
      </c>
      <c r="AP2015" s="122">
        <v>1364</v>
      </c>
      <c r="AQ2015">
        <v>505</v>
      </c>
      <c r="AR2015" s="122">
        <v>16746</v>
      </c>
      <c r="AS2015" s="122">
        <v>15224</v>
      </c>
      <c r="AT2015" s="122">
        <v>0</v>
      </c>
      <c r="AU2015" s="122">
        <v>0</v>
      </c>
      <c r="AV2015" s="122">
        <v>376064</v>
      </c>
    </row>
    <row r="2016" spans="2:48" hidden="1">
      <c r="B2016" t="s">
        <v>376</v>
      </c>
      <c r="C2016" t="s">
        <v>60</v>
      </c>
      <c r="D2016" t="s">
        <v>408</v>
      </c>
      <c r="E2016" t="s">
        <v>408</v>
      </c>
      <c r="F2016" s="122">
        <v>1</v>
      </c>
      <c r="G2016" s="122">
        <v>156</v>
      </c>
      <c r="H2016" s="122">
        <v>311</v>
      </c>
      <c r="I2016" s="122">
        <v>35449</v>
      </c>
      <c r="J2016" s="122">
        <v>32227</v>
      </c>
      <c r="K2016" s="122">
        <v>65</v>
      </c>
      <c r="L2016" s="122">
        <v>4267</v>
      </c>
      <c r="M2016" s="122">
        <v>3879</v>
      </c>
      <c r="N2016" s="122">
        <v>2274</v>
      </c>
      <c r="O2016" s="122">
        <v>842</v>
      </c>
      <c r="P2016" s="122">
        <v>351</v>
      </c>
      <c r="Q2016" s="122">
        <v>130</v>
      </c>
      <c r="R2016" s="122">
        <v>3971</v>
      </c>
      <c r="S2016" s="122">
        <v>3610</v>
      </c>
      <c r="T2016" s="122">
        <v>2070</v>
      </c>
      <c r="U2016" s="122">
        <v>766</v>
      </c>
      <c r="V2016" s="122">
        <v>41455</v>
      </c>
      <c r="W2016" s="122">
        <f t="shared" si="62"/>
        <v>41454</v>
      </c>
      <c r="X2016" s="122">
        <f t="shared" si="63"/>
        <v>48382</v>
      </c>
      <c r="AA2016" t="s">
        <v>62</v>
      </c>
      <c r="AB2016" t="s">
        <v>406</v>
      </c>
      <c r="AC2016" t="s">
        <v>426</v>
      </c>
      <c r="AD2016" t="s">
        <v>579</v>
      </c>
      <c r="AE2016" t="s">
        <v>137</v>
      </c>
      <c r="AF2016">
        <v>2</v>
      </c>
      <c r="AG2016">
        <v>249</v>
      </c>
      <c r="AH2016">
        <v>807</v>
      </c>
      <c r="AI2016" s="122">
        <v>67405</v>
      </c>
      <c r="AJ2016" s="122">
        <v>61277</v>
      </c>
      <c r="AK2016">
        <v>82</v>
      </c>
      <c r="AL2016" s="122">
        <v>12681</v>
      </c>
      <c r="AM2016" s="122">
        <v>11528</v>
      </c>
      <c r="AN2016" s="122">
        <v>5500</v>
      </c>
      <c r="AO2016" s="122">
        <v>2037</v>
      </c>
      <c r="AP2016" s="122">
        <v>1242</v>
      </c>
      <c r="AQ2016">
        <v>460</v>
      </c>
      <c r="AR2016" s="122">
        <v>8833</v>
      </c>
      <c r="AS2016" s="122">
        <v>7361</v>
      </c>
      <c r="AT2016" s="122">
        <v>5442</v>
      </c>
      <c r="AU2016" s="122">
        <v>2016</v>
      </c>
      <c r="AV2016" s="122">
        <v>84679</v>
      </c>
    </row>
    <row r="2017" spans="2:48" hidden="1">
      <c r="B2017" t="s">
        <v>376</v>
      </c>
      <c r="C2017" t="s">
        <v>60</v>
      </c>
      <c r="D2017" t="s">
        <v>429</v>
      </c>
      <c r="E2017" t="s">
        <v>429</v>
      </c>
      <c r="F2017" s="122">
        <v>3</v>
      </c>
      <c r="G2017" s="122">
        <v>377</v>
      </c>
      <c r="H2017" s="122">
        <v>1037</v>
      </c>
      <c r="I2017" s="122">
        <v>87216</v>
      </c>
      <c r="J2017" s="122">
        <v>79287</v>
      </c>
      <c r="K2017" s="122">
        <v>76</v>
      </c>
      <c r="L2017" s="122">
        <v>16205</v>
      </c>
      <c r="M2017" s="122">
        <v>14466</v>
      </c>
      <c r="N2017" s="122">
        <v>6018</v>
      </c>
      <c r="O2017" s="122">
        <v>2229</v>
      </c>
      <c r="P2017" s="122">
        <v>1323</v>
      </c>
      <c r="Q2017" s="122">
        <v>490</v>
      </c>
      <c r="R2017" s="122">
        <v>18438</v>
      </c>
      <c r="S2017" s="122">
        <v>16762</v>
      </c>
      <c r="T2017" s="122">
        <v>0</v>
      </c>
      <c r="U2017" s="122">
        <v>0</v>
      </c>
      <c r="V2017" s="122">
        <v>113234</v>
      </c>
      <c r="W2017" s="122">
        <f t="shared" si="62"/>
        <v>113234</v>
      </c>
      <c r="X2017" s="122">
        <f t="shared" si="63"/>
        <v>129200</v>
      </c>
      <c r="AA2017" t="s">
        <v>62</v>
      </c>
      <c r="AB2017" t="s">
        <v>406</v>
      </c>
      <c r="AC2017" t="s">
        <v>426</v>
      </c>
      <c r="AD2017" t="s">
        <v>579</v>
      </c>
      <c r="AE2017" t="s">
        <v>566</v>
      </c>
      <c r="AF2017">
        <v>1</v>
      </c>
      <c r="AG2017" s="122">
        <v>114</v>
      </c>
      <c r="AH2017" s="122">
        <v>390</v>
      </c>
      <c r="AI2017" s="122">
        <v>27605</v>
      </c>
      <c r="AJ2017" s="122">
        <v>25095</v>
      </c>
      <c r="AK2017">
        <v>65</v>
      </c>
      <c r="AL2017" s="122">
        <v>6318</v>
      </c>
      <c r="AM2017" s="122">
        <v>5744</v>
      </c>
      <c r="AN2017" s="122">
        <v>2614</v>
      </c>
      <c r="AO2017" s="122">
        <v>968</v>
      </c>
      <c r="AP2017" s="122">
        <v>621</v>
      </c>
      <c r="AQ2017" s="122">
        <v>230</v>
      </c>
      <c r="AR2017" s="122">
        <v>7062</v>
      </c>
      <c r="AS2017" s="122">
        <v>5885</v>
      </c>
      <c r="AT2017" s="122">
        <v>0</v>
      </c>
      <c r="AU2017" s="122">
        <v>0</v>
      </c>
      <c r="AV2017" s="122">
        <v>37922</v>
      </c>
    </row>
    <row r="2018" spans="2:48" hidden="1">
      <c r="B2018" t="s">
        <v>376</v>
      </c>
      <c r="C2018" t="s">
        <v>62</v>
      </c>
      <c r="D2018" t="s">
        <v>405</v>
      </c>
      <c r="E2018" t="s">
        <v>405</v>
      </c>
      <c r="F2018" s="122">
        <v>1</v>
      </c>
      <c r="G2018" s="122">
        <v>156</v>
      </c>
      <c r="H2018" s="122">
        <v>394</v>
      </c>
      <c r="I2018" s="122">
        <v>50180</v>
      </c>
      <c r="J2018" s="122">
        <v>45618</v>
      </c>
      <c r="K2018" s="122">
        <v>81</v>
      </c>
      <c r="L2018" s="122">
        <v>0</v>
      </c>
      <c r="M2018" s="122">
        <v>0</v>
      </c>
      <c r="N2018" s="122">
        <v>3678</v>
      </c>
      <c r="O2018" s="122">
        <v>1362</v>
      </c>
      <c r="P2018" s="122">
        <v>473</v>
      </c>
      <c r="Q2018" s="122">
        <v>175</v>
      </c>
      <c r="R2018" s="122">
        <v>6918</v>
      </c>
      <c r="S2018" s="122">
        <v>6289</v>
      </c>
      <c r="T2018" s="122">
        <v>0</v>
      </c>
      <c r="U2018" s="122">
        <v>0</v>
      </c>
      <c r="V2018" s="122">
        <v>53444</v>
      </c>
      <c r="W2018" s="122">
        <f t="shared" ref="W2018:W2081" si="64">SUM(ABS(J2018),ABS(M2018),ABS(O2018),ABS(Q2018),ABS(S2018),ABS(U2018))</f>
        <v>53444</v>
      </c>
      <c r="X2018" s="122">
        <f t="shared" ref="X2018:X2081" si="65">SUM(ABS(I2018),ABS(N2018),ABS(P2018),ABS(R2018),ABS(T2018),ABS(L2018))</f>
        <v>61249</v>
      </c>
      <c r="AA2018" t="s">
        <v>62</v>
      </c>
      <c r="AB2018" t="s">
        <v>406</v>
      </c>
      <c r="AC2018" t="s">
        <v>426</v>
      </c>
      <c r="AD2018" t="s">
        <v>426</v>
      </c>
      <c r="AE2018" t="s">
        <v>137</v>
      </c>
      <c r="AF2018">
        <v>11</v>
      </c>
      <c r="AG2018" s="122">
        <v>1188</v>
      </c>
      <c r="AH2018" s="122">
        <v>4570</v>
      </c>
      <c r="AI2018" s="122">
        <v>314708</v>
      </c>
      <c r="AJ2018" s="122">
        <v>286098</v>
      </c>
      <c r="AK2018">
        <v>76</v>
      </c>
      <c r="AL2018" s="122">
        <v>58426</v>
      </c>
      <c r="AM2018" s="122">
        <v>53114</v>
      </c>
      <c r="AN2018" s="122">
        <v>23871</v>
      </c>
      <c r="AO2018" s="122">
        <v>8841</v>
      </c>
      <c r="AP2018" s="122">
        <v>7182</v>
      </c>
      <c r="AQ2018" s="122">
        <v>2660</v>
      </c>
      <c r="AR2018" s="122">
        <v>66905</v>
      </c>
      <c r="AS2018" s="122">
        <v>60823</v>
      </c>
      <c r="AT2018" s="122">
        <v>23125</v>
      </c>
      <c r="AU2018" s="122">
        <v>8565</v>
      </c>
      <c r="AV2018" s="122">
        <v>420101</v>
      </c>
    </row>
    <row r="2019" spans="2:48" hidden="1">
      <c r="B2019" t="s">
        <v>376</v>
      </c>
      <c r="C2019" t="s">
        <v>62</v>
      </c>
      <c r="D2019" t="s">
        <v>137</v>
      </c>
      <c r="E2019" t="s">
        <v>137</v>
      </c>
      <c r="F2019" s="122">
        <v>9</v>
      </c>
      <c r="G2019" s="122">
        <v>958</v>
      </c>
      <c r="H2019" s="122">
        <v>3836</v>
      </c>
      <c r="I2019" s="122">
        <v>264058</v>
      </c>
      <c r="J2019" s="122">
        <v>97799</v>
      </c>
      <c r="K2019" s="122">
        <v>100</v>
      </c>
      <c r="L2019" s="122">
        <v>56062</v>
      </c>
      <c r="M2019" s="122">
        <v>41660</v>
      </c>
      <c r="N2019" s="122">
        <v>20137</v>
      </c>
      <c r="O2019" s="122">
        <v>7458</v>
      </c>
      <c r="P2019" s="122">
        <v>351</v>
      </c>
      <c r="Q2019" s="122">
        <v>130</v>
      </c>
      <c r="R2019" s="122">
        <v>69882</v>
      </c>
      <c r="S2019" s="122">
        <v>25882</v>
      </c>
      <c r="T2019" s="122">
        <v>0</v>
      </c>
      <c r="U2019" s="122">
        <v>0</v>
      </c>
      <c r="V2019" s="122">
        <v>172929</v>
      </c>
      <c r="W2019" s="122">
        <f t="shared" si="64"/>
        <v>172929</v>
      </c>
      <c r="X2019" s="122">
        <f t="shared" si="65"/>
        <v>410490</v>
      </c>
      <c r="AA2019" t="s">
        <v>62</v>
      </c>
      <c r="AB2019" t="s">
        <v>406</v>
      </c>
      <c r="AC2019" t="s">
        <v>426</v>
      </c>
      <c r="AD2019" t="s">
        <v>426</v>
      </c>
      <c r="AE2019" t="s">
        <v>566</v>
      </c>
      <c r="AF2019">
        <v>4</v>
      </c>
      <c r="AG2019">
        <v>622</v>
      </c>
      <c r="AH2019" s="122">
        <v>1708</v>
      </c>
      <c r="AI2019" s="122">
        <v>187939</v>
      </c>
      <c r="AJ2019" s="122">
        <v>170854</v>
      </c>
      <c r="AK2019">
        <v>77</v>
      </c>
      <c r="AL2019" s="122">
        <v>35479</v>
      </c>
      <c r="AM2019" s="122">
        <v>32254</v>
      </c>
      <c r="AN2019" s="122">
        <v>13681</v>
      </c>
      <c r="AO2019" s="122">
        <v>5067</v>
      </c>
      <c r="AP2019" s="122">
        <v>2484</v>
      </c>
      <c r="AQ2019">
        <v>920</v>
      </c>
      <c r="AR2019" s="122">
        <v>37374</v>
      </c>
      <c r="AS2019" s="122">
        <v>33976</v>
      </c>
      <c r="AT2019" s="122">
        <v>0</v>
      </c>
      <c r="AU2019">
        <v>0</v>
      </c>
      <c r="AV2019" s="122">
        <v>243071</v>
      </c>
    </row>
    <row r="2020" spans="2:48" hidden="1">
      <c r="B2020" t="s">
        <v>376</v>
      </c>
      <c r="C2020" t="s">
        <v>62</v>
      </c>
      <c r="D2020" t="s">
        <v>137</v>
      </c>
      <c r="E2020" t="s">
        <v>431</v>
      </c>
      <c r="F2020" s="122">
        <v>1</v>
      </c>
      <c r="G2020" s="122">
        <v>62</v>
      </c>
      <c r="H2020" s="122">
        <v>433</v>
      </c>
      <c r="I2020" s="122">
        <v>17499</v>
      </c>
      <c r="J2020" s="122">
        <v>6481</v>
      </c>
      <c r="K2020" s="122">
        <v>100</v>
      </c>
      <c r="L2020" s="122">
        <v>1320</v>
      </c>
      <c r="M2020" s="122">
        <v>1200</v>
      </c>
      <c r="N2020" s="122">
        <v>1426</v>
      </c>
      <c r="O2020" s="122">
        <v>528</v>
      </c>
      <c r="P2020" s="122">
        <v>351</v>
      </c>
      <c r="Q2020" s="122">
        <v>130</v>
      </c>
      <c r="R2020" s="122">
        <v>6214</v>
      </c>
      <c r="S2020" s="122">
        <v>5649</v>
      </c>
      <c r="T2020" s="122">
        <v>0</v>
      </c>
      <c r="U2020" s="122">
        <v>0</v>
      </c>
      <c r="V2020" s="122">
        <v>13989</v>
      </c>
      <c r="W2020" s="122">
        <f t="shared" si="64"/>
        <v>13988</v>
      </c>
      <c r="X2020" s="122">
        <f t="shared" si="65"/>
        <v>26810</v>
      </c>
      <c r="AA2020" t="s">
        <v>62</v>
      </c>
      <c r="AB2020" t="s">
        <v>406</v>
      </c>
      <c r="AC2020" t="s">
        <v>566</v>
      </c>
      <c r="AD2020" t="s">
        <v>137</v>
      </c>
      <c r="AE2020" t="s">
        <v>137</v>
      </c>
      <c r="AF2020">
        <v>1</v>
      </c>
      <c r="AG2020" s="122">
        <v>80</v>
      </c>
      <c r="AH2020" s="122">
        <v>440</v>
      </c>
      <c r="AI2020" s="122">
        <v>32448</v>
      </c>
      <c r="AJ2020" s="122">
        <v>29499</v>
      </c>
      <c r="AK2020">
        <v>79</v>
      </c>
      <c r="AL2020">
        <v>0</v>
      </c>
      <c r="AM2020" s="122">
        <v>0</v>
      </c>
      <c r="AN2020" s="122">
        <v>2362</v>
      </c>
      <c r="AO2020" s="122">
        <v>875</v>
      </c>
      <c r="AP2020" s="122">
        <v>621</v>
      </c>
      <c r="AQ2020" s="122">
        <v>230</v>
      </c>
      <c r="AR2020" s="122">
        <v>5255</v>
      </c>
      <c r="AS2020" s="122">
        <v>1946</v>
      </c>
      <c r="AT2020" s="122">
        <v>1943</v>
      </c>
      <c r="AU2020">
        <v>719</v>
      </c>
      <c r="AV2020" s="122">
        <v>33269</v>
      </c>
    </row>
    <row r="2021" spans="2:48" hidden="1">
      <c r="B2021" t="s">
        <v>376</v>
      </c>
      <c r="C2021" t="s">
        <v>62</v>
      </c>
      <c r="D2021" t="s">
        <v>406</v>
      </c>
      <c r="E2021" t="s">
        <v>406</v>
      </c>
      <c r="F2021" s="122">
        <v>242</v>
      </c>
      <c r="G2021" s="122">
        <v>30402</v>
      </c>
      <c r="H2021" s="122">
        <v>99887</v>
      </c>
      <c r="I2021" s="122">
        <v>8321738</v>
      </c>
      <c r="J2021" s="122">
        <v>7565216</v>
      </c>
      <c r="K2021" s="122">
        <v>75</v>
      </c>
      <c r="L2021" s="122">
        <v>1804773</v>
      </c>
      <c r="M2021" s="122">
        <v>1535135</v>
      </c>
      <c r="N2021" s="122">
        <v>649259</v>
      </c>
      <c r="O2021" s="122">
        <v>240466</v>
      </c>
      <c r="P2021" s="122">
        <v>153954</v>
      </c>
      <c r="Q2021" s="122">
        <v>57020</v>
      </c>
      <c r="R2021" s="122">
        <v>1287095</v>
      </c>
      <c r="S2021" s="122">
        <v>1170086</v>
      </c>
      <c r="T2021" s="122">
        <v>479344</v>
      </c>
      <c r="U2021" s="122">
        <v>177535</v>
      </c>
      <c r="V2021" s="122">
        <v>10745459</v>
      </c>
      <c r="W2021" s="122">
        <f t="shared" si="64"/>
        <v>10745458</v>
      </c>
      <c r="X2021" s="122">
        <f t="shared" si="65"/>
        <v>12696163</v>
      </c>
      <c r="AA2021" t="s">
        <v>62</v>
      </c>
      <c r="AB2021" t="s">
        <v>406</v>
      </c>
      <c r="AC2021" t="s">
        <v>566</v>
      </c>
      <c r="AD2021" t="s">
        <v>137</v>
      </c>
      <c r="AE2021" t="s">
        <v>566</v>
      </c>
      <c r="AF2021">
        <v>13</v>
      </c>
      <c r="AG2021" s="122">
        <v>1473</v>
      </c>
      <c r="AH2021" s="122">
        <v>5363</v>
      </c>
      <c r="AI2021" s="122">
        <v>478632</v>
      </c>
      <c r="AJ2021" s="122">
        <v>435120</v>
      </c>
      <c r="AK2021">
        <v>76</v>
      </c>
      <c r="AL2021">
        <v>0</v>
      </c>
      <c r="AM2021" s="122">
        <v>9984</v>
      </c>
      <c r="AN2021" s="122">
        <v>31638</v>
      </c>
      <c r="AO2021" s="122">
        <v>11718</v>
      </c>
      <c r="AP2021" s="122">
        <v>7304</v>
      </c>
      <c r="AQ2021" s="122">
        <v>2705</v>
      </c>
      <c r="AR2021" s="122">
        <v>94586</v>
      </c>
      <c r="AS2021" s="122">
        <v>35032</v>
      </c>
      <c r="AT2021" s="122">
        <v>0</v>
      </c>
      <c r="AU2021" s="122">
        <v>0</v>
      </c>
      <c r="AV2021" s="122">
        <v>494559</v>
      </c>
    </row>
    <row r="2022" spans="2:48" hidden="1">
      <c r="B2022" t="s">
        <v>376</v>
      </c>
      <c r="C2022" t="s">
        <v>62</v>
      </c>
      <c r="D2022" t="s">
        <v>406</v>
      </c>
      <c r="E2022" t="s">
        <v>427</v>
      </c>
      <c r="F2022" s="122">
        <v>1</v>
      </c>
      <c r="G2022" s="122">
        <v>69</v>
      </c>
      <c r="H2022" s="122">
        <v>398</v>
      </c>
      <c r="I2022" s="122">
        <v>16349</v>
      </c>
      <c r="J2022" s="122">
        <v>14863</v>
      </c>
      <c r="K2022" s="122">
        <v>79</v>
      </c>
      <c r="L2022" s="122">
        <v>2096</v>
      </c>
      <c r="M2022" s="122">
        <v>1906</v>
      </c>
      <c r="N2022" s="122">
        <v>1091</v>
      </c>
      <c r="O2022" s="122">
        <v>404</v>
      </c>
      <c r="P2022" s="122">
        <v>972</v>
      </c>
      <c r="Q2022" s="122">
        <v>360</v>
      </c>
      <c r="R2022" s="122">
        <v>4204</v>
      </c>
      <c r="S2022" s="122">
        <v>3822</v>
      </c>
      <c r="T2022" s="122">
        <v>2727</v>
      </c>
      <c r="U2022" s="122">
        <v>1010</v>
      </c>
      <c r="V2022" s="122">
        <v>22365</v>
      </c>
      <c r="W2022" s="122">
        <f t="shared" si="64"/>
        <v>22365</v>
      </c>
      <c r="X2022" s="122">
        <f t="shared" si="65"/>
        <v>27439</v>
      </c>
      <c r="AA2022" t="s">
        <v>62</v>
      </c>
      <c r="AB2022" t="s">
        <v>406</v>
      </c>
      <c r="AC2022" t="s">
        <v>566</v>
      </c>
      <c r="AD2022" t="s">
        <v>406</v>
      </c>
      <c r="AE2022" t="s">
        <v>137</v>
      </c>
      <c r="AF2022">
        <v>151</v>
      </c>
      <c r="AG2022" s="122">
        <v>14524</v>
      </c>
      <c r="AH2022" s="122">
        <v>62927</v>
      </c>
      <c r="AI2022" s="122">
        <v>4731781</v>
      </c>
      <c r="AJ2022" s="122">
        <v>4301619</v>
      </c>
      <c r="AK2022">
        <v>73</v>
      </c>
      <c r="AL2022">
        <v>0</v>
      </c>
      <c r="AM2022" s="122">
        <v>466757</v>
      </c>
      <c r="AN2022" s="122">
        <v>310112</v>
      </c>
      <c r="AO2022" s="122">
        <v>114856</v>
      </c>
      <c r="AP2022" s="122">
        <v>92961</v>
      </c>
      <c r="AQ2022" s="122">
        <v>34430</v>
      </c>
      <c r="AR2022" s="122">
        <v>692286</v>
      </c>
      <c r="AS2022" s="122">
        <v>629350</v>
      </c>
      <c r="AT2022" s="122">
        <v>369382</v>
      </c>
      <c r="AU2022" s="122">
        <v>136808</v>
      </c>
      <c r="AV2022" s="122">
        <v>5683821</v>
      </c>
    </row>
    <row r="2023" spans="2:48" hidden="1">
      <c r="B2023" t="s">
        <v>376</v>
      </c>
      <c r="C2023" t="s">
        <v>62</v>
      </c>
      <c r="D2023" t="s">
        <v>406</v>
      </c>
      <c r="E2023" t="s">
        <v>556</v>
      </c>
      <c r="F2023" s="122">
        <v>2</v>
      </c>
      <c r="G2023" s="122">
        <v>248</v>
      </c>
      <c r="H2023" s="122">
        <v>832</v>
      </c>
      <c r="I2023" s="122">
        <v>63838</v>
      </c>
      <c r="J2023" s="122">
        <v>58034</v>
      </c>
      <c r="K2023" s="122">
        <v>65</v>
      </c>
      <c r="L2023" s="122">
        <v>15366</v>
      </c>
      <c r="M2023" s="122">
        <v>13283</v>
      </c>
      <c r="N2023" s="122">
        <v>5699</v>
      </c>
      <c r="O2023" s="122">
        <v>2111</v>
      </c>
      <c r="P2023" s="122">
        <v>1242</v>
      </c>
      <c r="Q2023" s="122">
        <v>460</v>
      </c>
      <c r="R2023" s="122">
        <v>13842</v>
      </c>
      <c r="S2023" s="122">
        <v>11535</v>
      </c>
      <c r="T2023" s="122">
        <v>3553</v>
      </c>
      <c r="U2023" s="122">
        <v>1316</v>
      </c>
      <c r="V2023" s="122">
        <v>86740</v>
      </c>
      <c r="W2023" s="122">
        <f t="shared" si="64"/>
        <v>86739</v>
      </c>
      <c r="X2023" s="122">
        <f t="shared" si="65"/>
        <v>103540</v>
      </c>
      <c r="AA2023" t="s">
        <v>62</v>
      </c>
      <c r="AB2023" t="s">
        <v>406</v>
      </c>
      <c r="AC2023" t="s">
        <v>566</v>
      </c>
      <c r="AD2023" t="s">
        <v>406</v>
      </c>
      <c r="AE2023" t="s">
        <v>566</v>
      </c>
      <c r="AF2023">
        <v>62</v>
      </c>
      <c r="AG2023" s="122">
        <v>5637</v>
      </c>
      <c r="AH2023" s="122">
        <v>25435</v>
      </c>
      <c r="AI2023" s="122">
        <v>1783081</v>
      </c>
      <c r="AJ2023" s="122">
        <v>1620983</v>
      </c>
      <c r="AK2023">
        <v>75</v>
      </c>
      <c r="AL2023">
        <v>0</v>
      </c>
      <c r="AM2023" s="122">
        <v>21564</v>
      </c>
      <c r="AN2023" s="122">
        <v>114706</v>
      </c>
      <c r="AO2023" s="122">
        <v>42484</v>
      </c>
      <c r="AP2023" s="122">
        <v>39407</v>
      </c>
      <c r="AQ2023" s="122">
        <v>14595</v>
      </c>
      <c r="AR2023" s="122">
        <v>373519</v>
      </c>
      <c r="AS2023" s="122">
        <v>339563</v>
      </c>
      <c r="AT2023" s="122">
        <v>0</v>
      </c>
      <c r="AU2023" s="122">
        <v>0</v>
      </c>
      <c r="AV2023" s="122">
        <v>2039189</v>
      </c>
    </row>
    <row r="2024" spans="2:48" hidden="1">
      <c r="B2024" t="s">
        <v>376</v>
      </c>
      <c r="C2024" t="s">
        <v>62</v>
      </c>
      <c r="D2024" t="s">
        <v>427</v>
      </c>
      <c r="E2024" t="s">
        <v>137</v>
      </c>
      <c r="F2024" s="122">
        <v>2</v>
      </c>
      <c r="G2024" s="122">
        <v>188</v>
      </c>
      <c r="H2024" s="122">
        <v>866</v>
      </c>
      <c r="I2024" s="122">
        <v>56285</v>
      </c>
      <c r="J2024" s="122">
        <v>51168</v>
      </c>
      <c r="K2024" s="122">
        <v>55</v>
      </c>
      <c r="L2024" s="122">
        <v>5500</v>
      </c>
      <c r="M2024" s="122">
        <v>5000</v>
      </c>
      <c r="N2024" s="122">
        <v>4275</v>
      </c>
      <c r="O2024" s="122">
        <v>1583</v>
      </c>
      <c r="P2024" s="122">
        <v>702</v>
      </c>
      <c r="Q2024" s="122">
        <v>260</v>
      </c>
      <c r="R2024" s="122">
        <v>14689</v>
      </c>
      <c r="S2024" s="122">
        <v>5440</v>
      </c>
      <c r="T2024" s="122">
        <v>0</v>
      </c>
      <c r="U2024" s="122">
        <v>0</v>
      </c>
      <c r="V2024" s="122">
        <v>63452</v>
      </c>
      <c r="W2024" s="122">
        <f t="shared" si="64"/>
        <v>63451</v>
      </c>
      <c r="X2024" s="122">
        <f t="shared" si="65"/>
        <v>81451</v>
      </c>
      <c r="AA2024" t="s">
        <v>62</v>
      </c>
      <c r="AB2024" t="s">
        <v>406</v>
      </c>
      <c r="AC2024" t="s">
        <v>566</v>
      </c>
      <c r="AD2024" t="s">
        <v>426</v>
      </c>
      <c r="AE2024" t="s">
        <v>137</v>
      </c>
      <c r="AF2024">
        <v>1</v>
      </c>
      <c r="AG2024">
        <v>85</v>
      </c>
      <c r="AH2024" s="122">
        <v>439</v>
      </c>
      <c r="AI2024" s="122">
        <v>25242</v>
      </c>
      <c r="AJ2024" s="122">
        <v>22947</v>
      </c>
      <c r="AK2024">
        <v>79</v>
      </c>
      <c r="AL2024" s="122">
        <v>0</v>
      </c>
      <c r="AM2024" s="122">
        <v>6374</v>
      </c>
      <c r="AN2024" s="122">
        <v>2071</v>
      </c>
      <c r="AO2024" s="122">
        <v>767</v>
      </c>
      <c r="AP2024" s="122">
        <v>621</v>
      </c>
      <c r="AQ2024" s="122">
        <v>230</v>
      </c>
      <c r="AR2024" s="122">
        <v>5219</v>
      </c>
      <c r="AS2024" s="122">
        <v>4745</v>
      </c>
      <c r="AT2024" s="122">
        <v>4192</v>
      </c>
      <c r="AU2024" s="122">
        <v>1553</v>
      </c>
      <c r="AV2024" s="122">
        <v>36616</v>
      </c>
    </row>
    <row r="2025" spans="2:48" hidden="1">
      <c r="B2025" t="s">
        <v>376</v>
      </c>
      <c r="C2025" t="s">
        <v>62</v>
      </c>
      <c r="D2025" t="s">
        <v>427</v>
      </c>
      <c r="E2025" t="s">
        <v>427</v>
      </c>
      <c r="F2025" s="122">
        <v>2</v>
      </c>
      <c r="G2025" s="122">
        <v>255</v>
      </c>
      <c r="H2025" s="122">
        <v>879</v>
      </c>
      <c r="I2025" s="122">
        <v>78046</v>
      </c>
      <c r="J2025" s="122">
        <v>70951</v>
      </c>
      <c r="K2025" s="122">
        <v>55</v>
      </c>
      <c r="L2025" s="122">
        <v>8693</v>
      </c>
      <c r="M2025" s="122">
        <v>7903</v>
      </c>
      <c r="N2025" s="122">
        <v>5108</v>
      </c>
      <c r="O2025" s="122">
        <v>1892</v>
      </c>
      <c r="P2025" s="122">
        <v>1323</v>
      </c>
      <c r="Q2025" s="122">
        <v>490</v>
      </c>
      <c r="R2025" s="122">
        <v>15798</v>
      </c>
      <c r="S2025" s="122">
        <v>14362</v>
      </c>
      <c r="T2025" s="122">
        <v>3023</v>
      </c>
      <c r="U2025" s="122">
        <v>1120</v>
      </c>
      <c r="V2025" s="122">
        <v>96717</v>
      </c>
      <c r="W2025" s="122">
        <f t="shared" si="64"/>
        <v>96718</v>
      </c>
      <c r="X2025" s="122">
        <f t="shared" si="65"/>
        <v>111991</v>
      </c>
      <c r="AA2025" t="s">
        <v>62</v>
      </c>
      <c r="AB2025" t="s">
        <v>406</v>
      </c>
      <c r="AC2025" t="s">
        <v>481</v>
      </c>
      <c r="AD2025" t="s">
        <v>406</v>
      </c>
      <c r="AE2025" t="s">
        <v>137</v>
      </c>
      <c r="AF2025">
        <v>8</v>
      </c>
      <c r="AG2025">
        <v>971</v>
      </c>
      <c r="AH2025" s="122">
        <v>3336</v>
      </c>
      <c r="AI2025" s="122">
        <v>264545</v>
      </c>
      <c r="AJ2025" s="122">
        <v>240496</v>
      </c>
      <c r="AK2025">
        <v>70</v>
      </c>
      <c r="AL2025" s="122">
        <v>51604</v>
      </c>
      <c r="AM2025" s="122">
        <v>46912</v>
      </c>
      <c r="AN2025" s="122">
        <v>21778</v>
      </c>
      <c r="AO2025" s="122">
        <v>8066</v>
      </c>
      <c r="AP2025" s="122">
        <v>5319</v>
      </c>
      <c r="AQ2025" s="122">
        <v>1970</v>
      </c>
      <c r="AR2025" s="122">
        <v>42698</v>
      </c>
      <c r="AS2025" s="122">
        <v>38817</v>
      </c>
      <c r="AT2025" s="122">
        <v>21811</v>
      </c>
      <c r="AU2025" s="122">
        <v>8078</v>
      </c>
      <c r="AV2025" s="122">
        <v>344339</v>
      </c>
    </row>
    <row r="2026" spans="2:48" hidden="1">
      <c r="B2026" t="s">
        <v>376</v>
      </c>
      <c r="C2026" t="s">
        <v>62</v>
      </c>
      <c r="D2026" t="s">
        <v>407</v>
      </c>
      <c r="E2026" t="s">
        <v>407</v>
      </c>
      <c r="F2026" s="122">
        <v>21</v>
      </c>
      <c r="G2026" s="122">
        <v>2710</v>
      </c>
      <c r="H2026" s="122">
        <v>8628</v>
      </c>
      <c r="I2026" s="122">
        <v>717707</v>
      </c>
      <c r="J2026" s="122">
        <v>652461</v>
      </c>
      <c r="K2026" s="122">
        <v>80</v>
      </c>
      <c r="L2026" s="122">
        <v>210503</v>
      </c>
      <c r="M2026" s="122">
        <v>187620</v>
      </c>
      <c r="N2026" s="122">
        <v>58699</v>
      </c>
      <c r="O2026" s="122">
        <v>21740</v>
      </c>
      <c r="P2026" s="122">
        <v>10773</v>
      </c>
      <c r="Q2026" s="122">
        <v>3990</v>
      </c>
      <c r="R2026" s="122">
        <v>101570</v>
      </c>
      <c r="S2026" s="122">
        <v>92336</v>
      </c>
      <c r="T2026" s="122">
        <v>37246</v>
      </c>
      <c r="U2026" s="122">
        <v>13795</v>
      </c>
      <c r="V2026" s="122">
        <v>971943</v>
      </c>
      <c r="W2026" s="122">
        <f t="shared" si="64"/>
        <v>971942</v>
      </c>
      <c r="X2026" s="122">
        <f t="shared" si="65"/>
        <v>1136498</v>
      </c>
      <c r="AA2026" t="s">
        <v>62</v>
      </c>
      <c r="AB2026" t="s">
        <v>406</v>
      </c>
      <c r="AC2026" t="s">
        <v>481</v>
      </c>
      <c r="AD2026" t="s">
        <v>406</v>
      </c>
      <c r="AE2026" t="s">
        <v>566</v>
      </c>
      <c r="AF2026">
        <v>2</v>
      </c>
      <c r="AG2026">
        <v>162</v>
      </c>
      <c r="AH2026">
        <v>839</v>
      </c>
      <c r="AI2026" s="122">
        <v>44802</v>
      </c>
      <c r="AJ2026" s="122">
        <v>40729</v>
      </c>
      <c r="AK2026">
        <v>75</v>
      </c>
      <c r="AL2026" s="122">
        <v>6493</v>
      </c>
      <c r="AM2026" s="122">
        <v>5903</v>
      </c>
      <c r="AN2026" s="122">
        <v>3830</v>
      </c>
      <c r="AO2026" s="122">
        <v>1419</v>
      </c>
      <c r="AP2026" s="122">
        <v>1593</v>
      </c>
      <c r="AQ2026">
        <v>590</v>
      </c>
      <c r="AR2026" s="122">
        <v>10515</v>
      </c>
      <c r="AS2026" s="122">
        <v>9559</v>
      </c>
      <c r="AT2026">
        <v>0</v>
      </c>
      <c r="AU2026">
        <v>0</v>
      </c>
      <c r="AV2026" s="122">
        <v>58200</v>
      </c>
    </row>
    <row r="2027" spans="2:48" hidden="1">
      <c r="B2027" t="s">
        <v>376</v>
      </c>
      <c r="C2027" t="s">
        <v>62</v>
      </c>
      <c r="D2027" t="s">
        <v>556</v>
      </c>
      <c r="E2027" t="s">
        <v>137</v>
      </c>
      <c r="F2027" s="122">
        <v>1</v>
      </c>
      <c r="G2027" s="122">
        <v>128</v>
      </c>
      <c r="H2027" s="122">
        <v>428</v>
      </c>
      <c r="I2027" s="122">
        <v>35655</v>
      </c>
      <c r="J2027" s="122">
        <v>29713</v>
      </c>
      <c r="K2027" s="122">
        <v>45</v>
      </c>
      <c r="L2027" s="122">
        <v>5943</v>
      </c>
      <c r="M2027" s="122">
        <v>4952</v>
      </c>
      <c r="N2027" s="122">
        <v>2970</v>
      </c>
      <c r="O2027" s="122">
        <v>1100</v>
      </c>
      <c r="P2027" s="122">
        <v>351</v>
      </c>
      <c r="Q2027" s="122">
        <v>130</v>
      </c>
      <c r="R2027" s="122">
        <v>9731</v>
      </c>
      <c r="S2027" s="122">
        <v>3604</v>
      </c>
      <c r="T2027" s="122">
        <v>0</v>
      </c>
      <c r="U2027" s="122">
        <v>0</v>
      </c>
      <c r="V2027" s="122">
        <v>39499</v>
      </c>
      <c r="W2027" s="122">
        <f t="shared" si="64"/>
        <v>39499</v>
      </c>
      <c r="X2027" s="122">
        <f t="shared" si="65"/>
        <v>54650</v>
      </c>
      <c r="AA2027" t="s">
        <v>62</v>
      </c>
      <c r="AB2027" t="s">
        <v>406</v>
      </c>
      <c r="AC2027" t="s">
        <v>433</v>
      </c>
      <c r="AD2027" t="s">
        <v>137</v>
      </c>
      <c r="AE2027" t="s">
        <v>566</v>
      </c>
      <c r="AF2027">
        <v>2</v>
      </c>
      <c r="AG2027" s="122">
        <v>246</v>
      </c>
      <c r="AH2027" s="122">
        <v>866</v>
      </c>
      <c r="AI2027" s="122">
        <v>76164</v>
      </c>
      <c r="AJ2027" s="122">
        <v>69240</v>
      </c>
      <c r="AK2027">
        <v>65</v>
      </c>
      <c r="AL2027" s="122">
        <v>12284</v>
      </c>
      <c r="AM2027" s="122">
        <v>11168</v>
      </c>
      <c r="AN2027" s="122">
        <v>6642</v>
      </c>
      <c r="AO2027" s="122">
        <v>2460</v>
      </c>
      <c r="AP2027" s="122">
        <v>1242</v>
      </c>
      <c r="AQ2027" s="122">
        <v>460</v>
      </c>
      <c r="AR2027" s="122">
        <v>21534</v>
      </c>
      <c r="AS2027" s="122">
        <v>7976</v>
      </c>
      <c r="AT2027" s="122">
        <v>0</v>
      </c>
      <c r="AU2027" s="122">
        <v>0</v>
      </c>
      <c r="AV2027" s="122">
        <v>91304</v>
      </c>
    </row>
    <row r="2028" spans="2:48" hidden="1">
      <c r="B2028" t="s">
        <v>376</v>
      </c>
      <c r="C2028" t="s">
        <v>62</v>
      </c>
      <c r="D2028" t="s">
        <v>556</v>
      </c>
      <c r="E2028" t="s">
        <v>556</v>
      </c>
      <c r="F2028" s="122">
        <v>4</v>
      </c>
      <c r="G2028" s="122">
        <v>411</v>
      </c>
      <c r="H2028" s="122">
        <v>1717</v>
      </c>
      <c r="I2028" s="122">
        <v>116428</v>
      </c>
      <c r="J2028" s="122">
        <v>97024</v>
      </c>
      <c r="K2028" s="122">
        <v>58</v>
      </c>
      <c r="L2028" s="122">
        <v>15655</v>
      </c>
      <c r="M2028" s="122">
        <v>13463</v>
      </c>
      <c r="N2028" s="122">
        <v>9178</v>
      </c>
      <c r="O2028" s="122">
        <v>3399</v>
      </c>
      <c r="P2028" s="122">
        <v>1323</v>
      </c>
      <c r="Q2028" s="122">
        <v>490</v>
      </c>
      <c r="R2028" s="122">
        <v>25969</v>
      </c>
      <c r="S2028" s="122">
        <v>21641</v>
      </c>
      <c r="T2028" s="122">
        <v>8097</v>
      </c>
      <c r="U2028" s="122">
        <v>2999</v>
      </c>
      <c r="V2028" s="122">
        <v>139015</v>
      </c>
      <c r="W2028" s="122">
        <f t="shared" si="64"/>
        <v>139016</v>
      </c>
      <c r="X2028" s="122">
        <f t="shared" si="65"/>
        <v>176650</v>
      </c>
      <c r="AA2028" t="s">
        <v>62</v>
      </c>
      <c r="AB2028" t="s">
        <v>406</v>
      </c>
      <c r="AC2028" t="s">
        <v>433</v>
      </c>
      <c r="AD2028" t="s">
        <v>406</v>
      </c>
      <c r="AE2028" t="s">
        <v>137</v>
      </c>
      <c r="AF2028">
        <v>80</v>
      </c>
      <c r="AG2028" s="122">
        <v>10503</v>
      </c>
      <c r="AH2028" s="122">
        <v>33075</v>
      </c>
      <c r="AI2028" s="122">
        <v>3031181</v>
      </c>
      <c r="AJ2028" s="122">
        <v>2755619</v>
      </c>
      <c r="AK2028">
        <v>76</v>
      </c>
      <c r="AL2028" s="122">
        <v>511453</v>
      </c>
      <c r="AM2028" s="122">
        <v>464957</v>
      </c>
      <c r="AN2028" s="122">
        <v>224805</v>
      </c>
      <c r="AO2028" s="122">
        <v>83261</v>
      </c>
      <c r="AP2028" s="122">
        <v>50396</v>
      </c>
      <c r="AQ2028" s="122">
        <v>18665</v>
      </c>
      <c r="AR2028" s="122">
        <v>405289</v>
      </c>
      <c r="AS2028" s="122">
        <v>368444</v>
      </c>
      <c r="AT2028" s="122">
        <v>197865</v>
      </c>
      <c r="AU2028" s="122">
        <v>73284</v>
      </c>
      <c r="AV2028" s="122">
        <v>3764230</v>
      </c>
    </row>
    <row r="2029" spans="2:48" hidden="1">
      <c r="B2029" t="s">
        <v>376</v>
      </c>
      <c r="C2029" t="s">
        <v>62</v>
      </c>
      <c r="D2029" t="s">
        <v>426</v>
      </c>
      <c r="E2029" t="s">
        <v>426</v>
      </c>
      <c r="F2029" s="122">
        <v>6</v>
      </c>
      <c r="G2029" s="122">
        <v>537</v>
      </c>
      <c r="H2029" s="122">
        <v>2538</v>
      </c>
      <c r="I2029" s="122">
        <v>140615</v>
      </c>
      <c r="J2029" s="122">
        <v>127831</v>
      </c>
      <c r="K2029" s="122">
        <v>58</v>
      </c>
      <c r="L2029" s="122">
        <v>30173</v>
      </c>
      <c r="M2029" s="122">
        <v>23176</v>
      </c>
      <c r="N2029" s="122">
        <v>10540</v>
      </c>
      <c r="O2029" s="122">
        <v>3904</v>
      </c>
      <c r="P2029" s="122">
        <v>2106</v>
      </c>
      <c r="Q2029" s="122">
        <v>780</v>
      </c>
      <c r="R2029" s="122">
        <v>30237</v>
      </c>
      <c r="S2029" s="122">
        <v>27488</v>
      </c>
      <c r="T2029" s="122">
        <v>14221</v>
      </c>
      <c r="U2029" s="122">
        <v>5267</v>
      </c>
      <c r="V2029" s="122">
        <v>188446</v>
      </c>
      <c r="W2029" s="122">
        <f t="shared" si="64"/>
        <v>188446</v>
      </c>
      <c r="X2029" s="122">
        <f t="shared" si="65"/>
        <v>227892</v>
      </c>
      <c r="AA2029" t="s">
        <v>62</v>
      </c>
      <c r="AB2029" t="s">
        <v>406</v>
      </c>
      <c r="AC2029" t="s">
        <v>433</v>
      </c>
      <c r="AD2029" t="s">
        <v>406</v>
      </c>
      <c r="AE2029" t="s">
        <v>566</v>
      </c>
      <c r="AF2029">
        <v>39</v>
      </c>
      <c r="AG2029" s="122">
        <v>4752</v>
      </c>
      <c r="AH2029" s="122">
        <v>16185</v>
      </c>
      <c r="AI2029" s="122">
        <v>1356555</v>
      </c>
      <c r="AJ2029" s="122">
        <v>1233232</v>
      </c>
      <c r="AK2029">
        <v>76</v>
      </c>
      <c r="AL2029" s="122">
        <v>228718</v>
      </c>
      <c r="AM2029" s="122">
        <v>207925</v>
      </c>
      <c r="AN2029" s="122">
        <v>99027</v>
      </c>
      <c r="AO2029" s="122">
        <v>36677</v>
      </c>
      <c r="AP2029" s="122">
        <v>25394</v>
      </c>
      <c r="AQ2029" s="122">
        <v>9405</v>
      </c>
      <c r="AR2029" s="122">
        <v>255509</v>
      </c>
      <c r="AS2029" s="122">
        <v>232281</v>
      </c>
      <c r="AT2029" s="122">
        <v>0</v>
      </c>
      <c r="AU2029" s="122">
        <v>0</v>
      </c>
      <c r="AV2029" s="122">
        <v>1719520</v>
      </c>
    </row>
    <row r="2030" spans="2:48" hidden="1">
      <c r="B2030" t="s">
        <v>376</v>
      </c>
      <c r="C2030" t="s">
        <v>62</v>
      </c>
      <c r="D2030" t="s">
        <v>429</v>
      </c>
      <c r="E2030" t="s">
        <v>429</v>
      </c>
      <c r="F2030" s="122">
        <v>1</v>
      </c>
      <c r="G2030" s="122">
        <v>79</v>
      </c>
      <c r="H2030" s="122">
        <v>395</v>
      </c>
      <c r="I2030" s="122">
        <v>21785</v>
      </c>
      <c r="J2030" s="122">
        <v>19805</v>
      </c>
      <c r="K2030" s="122">
        <v>85</v>
      </c>
      <c r="L2030" s="122">
        <v>3409</v>
      </c>
      <c r="M2030" s="122">
        <v>3099</v>
      </c>
      <c r="N2030" s="122">
        <v>1664</v>
      </c>
      <c r="O2030" s="122">
        <v>616</v>
      </c>
      <c r="P2030" s="122">
        <v>351</v>
      </c>
      <c r="Q2030" s="122">
        <v>130</v>
      </c>
      <c r="R2030" s="122">
        <v>3937</v>
      </c>
      <c r="S2030" s="122">
        <v>3579</v>
      </c>
      <c r="T2030" s="122">
        <v>0</v>
      </c>
      <c r="U2030" s="122">
        <v>0</v>
      </c>
      <c r="V2030" s="122">
        <v>27229</v>
      </c>
      <c r="W2030" s="122">
        <f t="shared" si="64"/>
        <v>27229</v>
      </c>
      <c r="X2030" s="122">
        <f t="shared" si="65"/>
        <v>31146</v>
      </c>
      <c r="AA2030" t="s">
        <v>62</v>
      </c>
      <c r="AB2030" t="s">
        <v>406</v>
      </c>
      <c r="AC2030" t="s">
        <v>408</v>
      </c>
      <c r="AD2030" t="s">
        <v>406</v>
      </c>
      <c r="AE2030" t="s">
        <v>137</v>
      </c>
      <c r="AF2030">
        <v>1</v>
      </c>
      <c r="AG2030">
        <v>394</v>
      </c>
      <c r="AH2030" s="122">
        <v>389</v>
      </c>
      <c r="AI2030" s="122">
        <v>117514</v>
      </c>
      <c r="AJ2030" s="122">
        <v>106830</v>
      </c>
      <c r="AK2030">
        <v>79</v>
      </c>
      <c r="AL2030" s="122">
        <v>15066</v>
      </c>
      <c r="AM2030" s="122">
        <v>13696</v>
      </c>
      <c r="AN2030" s="122">
        <v>8636</v>
      </c>
      <c r="AO2030" s="122">
        <v>3199</v>
      </c>
      <c r="AP2030" s="122">
        <v>1593</v>
      </c>
      <c r="AQ2030" s="122">
        <v>590</v>
      </c>
      <c r="AR2030" s="122">
        <v>5983</v>
      </c>
      <c r="AS2030" s="122">
        <v>5439</v>
      </c>
      <c r="AT2030" s="122">
        <v>4342</v>
      </c>
      <c r="AU2030" s="122">
        <v>1608</v>
      </c>
      <c r="AV2030" s="122">
        <v>131363</v>
      </c>
    </row>
    <row r="2031" spans="2:48" hidden="1">
      <c r="B2031" t="s">
        <v>376</v>
      </c>
      <c r="C2031" t="s">
        <v>64</v>
      </c>
      <c r="D2031" t="s">
        <v>405</v>
      </c>
      <c r="E2031" t="s">
        <v>405</v>
      </c>
      <c r="F2031" s="122">
        <v>1</v>
      </c>
      <c r="G2031" s="122">
        <v>71</v>
      </c>
      <c r="H2031" s="122">
        <v>666</v>
      </c>
      <c r="I2031" s="122">
        <v>38638</v>
      </c>
      <c r="J2031" s="122">
        <v>35125</v>
      </c>
      <c r="K2031" s="122">
        <v>63</v>
      </c>
      <c r="L2031" s="122">
        <v>0</v>
      </c>
      <c r="M2031" s="122">
        <v>0</v>
      </c>
      <c r="N2031" s="122">
        <v>1633</v>
      </c>
      <c r="O2031" s="122">
        <v>605</v>
      </c>
      <c r="P2031" s="122">
        <v>351</v>
      </c>
      <c r="Q2031" s="122">
        <v>130</v>
      </c>
      <c r="R2031" s="122">
        <v>4318</v>
      </c>
      <c r="S2031" s="122">
        <v>3925</v>
      </c>
      <c r="T2031" s="122">
        <v>2037</v>
      </c>
      <c r="U2031" s="122">
        <v>755</v>
      </c>
      <c r="V2031" s="122">
        <v>40540</v>
      </c>
      <c r="W2031" s="122">
        <f t="shared" si="64"/>
        <v>40540</v>
      </c>
      <c r="X2031" s="122">
        <f t="shared" si="65"/>
        <v>46977</v>
      </c>
      <c r="AA2031" t="s">
        <v>62</v>
      </c>
      <c r="AB2031" t="s">
        <v>406</v>
      </c>
      <c r="AC2031" t="s">
        <v>429</v>
      </c>
      <c r="AD2031" t="s">
        <v>406</v>
      </c>
      <c r="AE2031" t="s">
        <v>137</v>
      </c>
      <c r="AF2031">
        <v>5</v>
      </c>
      <c r="AG2031">
        <v>742</v>
      </c>
      <c r="AH2031" s="122">
        <v>2122</v>
      </c>
      <c r="AI2031" s="122">
        <v>269542</v>
      </c>
      <c r="AJ2031" s="122">
        <v>245038</v>
      </c>
      <c r="AK2031">
        <v>69</v>
      </c>
      <c r="AL2031" s="122">
        <v>27641</v>
      </c>
      <c r="AM2031" s="122">
        <v>25128</v>
      </c>
      <c r="AN2031" s="122">
        <v>19018</v>
      </c>
      <c r="AO2031" s="122">
        <v>7044</v>
      </c>
      <c r="AP2031" s="122">
        <v>3105</v>
      </c>
      <c r="AQ2031" s="122">
        <v>1150</v>
      </c>
      <c r="AR2031" s="122">
        <v>31740</v>
      </c>
      <c r="AS2031" s="122">
        <v>28854</v>
      </c>
      <c r="AT2031" s="122">
        <v>9825</v>
      </c>
      <c r="AU2031" s="122">
        <v>3639</v>
      </c>
      <c r="AV2031" s="122">
        <v>310853</v>
      </c>
    </row>
    <row r="2032" spans="2:48" hidden="1">
      <c r="B2032" t="s">
        <v>376</v>
      </c>
      <c r="C2032" t="s">
        <v>64</v>
      </c>
      <c r="D2032" t="s">
        <v>405</v>
      </c>
      <c r="E2032" t="s">
        <v>137</v>
      </c>
      <c r="F2032" s="122">
        <v>1</v>
      </c>
      <c r="G2032" s="122">
        <v>64</v>
      </c>
      <c r="H2032" s="122">
        <v>498</v>
      </c>
      <c r="I2032" s="122">
        <v>21775</v>
      </c>
      <c r="J2032" s="122">
        <v>19795</v>
      </c>
      <c r="K2032" s="122">
        <v>65</v>
      </c>
      <c r="L2032" s="122">
        <v>3738</v>
      </c>
      <c r="M2032" s="122">
        <v>3398</v>
      </c>
      <c r="N2032" s="122">
        <v>1406</v>
      </c>
      <c r="O2032" s="122">
        <v>521</v>
      </c>
      <c r="P2032" s="122">
        <v>473</v>
      </c>
      <c r="Q2032" s="122">
        <v>175</v>
      </c>
      <c r="R2032" s="122">
        <v>4553</v>
      </c>
      <c r="S2032" s="122">
        <v>1686</v>
      </c>
      <c r="T2032" s="122">
        <v>0</v>
      </c>
      <c r="U2032" s="122">
        <v>0</v>
      </c>
      <c r="V2032" s="122">
        <v>25576</v>
      </c>
      <c r="W2032" s="122">
        <f t="shared" si="64"/>
        <v>25575</v>
      </c>
      <c r="X2032" s="122">
        <f t="shared" si="65"/>
        <v>31945</v>
      </c>
      <c r="AA2032" t="s">
        <v>62</v>
      </c>
      <c r="AB2032" t="s">
        <v>406</v>
      </c>
      <c r="AC2032" t="s">
        <v>429</v>
      </c>
      <c r="AD2032" t="s">
        <v>406</v>
      </c>
      <c r="AE2032" t="s">
        <v>566</v>
      </c>
      <c r="AF2032">
        <v>3</v>
      </c>
      <c r="AG2032">
        <v>265</v>
      </c>
      <c r="AH2032" s="122">
        <v>1233</v>
      </c>
      <c r="AI2032" s="122">
        <v>68851</v>
      </c>
      <c r="AJ2032" s="122">
        <v>62592</v>
      </c>
      <c r="AK2032">
        <v>68</v>
      </c>
      <c r="AL2032" s="122">
        <v>7119</v>
      </c>
      <c r="AM2032" s="122">
        <v>6472</v>
      </c>
      <c r="AN2032" s="122">
        <v>5102</v>
      </c>
      <c r="AO2032" s="122">
        <v>1890</v>
      </c>
      <c r="AP2032" s="122">
        <v>1863</v>
      </c>
      <c r="AQ2032">
        <v>690</v>
      </c>
      <c r="AR2032" s="122">
        <v>25981</v>
      </c>
      <c r="AS2032" s="122">
        <v>23619</v>
      </c>
      <c r="AT2032">
        <v>0</v>
      </c>
      <c r="AU2032">
        <v>0</v>
      </c>
      <c r="AV2032" s="122">
        <v>95262</v>
      </c>
    </row>
    <row r="2033" spans="2:48" hidden="1">
      <c r="B2033" t="s">
        <v>376</v>
      </c>
      <c r="C2033" t="s">
        <v>64</v>
      </c>
      <c r="D2033" t="s">
        <v>137</v>
      </c>
      <c r="E2033" t="s">
        <v>137</v>
      </c>
      <c r="F2033" s="122">
        <v>74</v>
      </c>
      <c r="G2033" s="122">
        <v>6840</v>
      </c>
      <c r="H2033" s="122">
        <v>57764</v>
      </c>
      <c r="I2033" s="122">
        <v>3817793</v>
      </c>
      <c r="J2033" s="122">
        <v>1413997</v>
      </c>
      <c r="K2033" s="122">
        <v>100</v>
      </c>
      <c r="L2033" s="122">
        <v>624600</v>
      </c>
      <c r="M2033" s="122">
        <v>518488</v>
      </c>
      <c r="N2033" s="122">
        <v>152172</v>
      </c>
      <c r="O2033" s="122">
        <v>56360</v>
      </c>
      <c r="P2033" s="122">
        <v>2727</v>
      </c>
      <c r="Q2033" s="122">
        <v>1010</v>
      </c>
      <c r="R2033" s="122">
        <v>487618</v>
      </c>
      <c r="S2033" s="122">
        <v>180599</v>
      </c>
      <c r="T2033" s="122">
        <v>4756</v>
      </c>
      <c r="U2033" s="122">
        <v>1761</v>
      </c>
      <c r="V2033" s="122">
        <v>2172215</v>
      </c>
      <c r="W2033" s="122">
        <f t="shared" si="64"/>
        <v>2172215</v>
      </c>
      <c r="X2033" s="122">
        <f t="shared" si="65"/>
        <v>5089666</v>
      </c>
      <c r="AA2033" t="s">
        <v>62</v>
      </c>
      <c r="AB2033" t="s">
        <v>427</v>
      </c>
      <c r="AC2033" t="s">
        <v>137</v>
      </c>
      <c r="AD2033" t="s">
        <v>137</v>
      </c>
      <c r="AE2033" t="s">
        <v>566</v>
      </c>
      <c r="AF2033">
        <v>2</v>
      </c>
      <c r="AG2033">
        <v>138</v>
      </c>
      <c r="AH2033">
        <v>882</v>
      </c>
      <c r="AI2033" s="122">
        <v>36052</v>
      </c>
      <c r="AJ2033" s="122">
        <v>32775</v>
      </c>
      <c r="AK2033">
        <v>63</v>
      </c>
      <c r="AL2033" s="122">
        <v>6056</v>
      </c>
      <c r="AM2033" s="122">
        <v>2243</v>
      </c>
      <c r="AN2033" s="122">
        <v>2474</v>
      </c>
      <c r="AO2033">
        <v>916</v>
      </c>
      <c r="AP2033">
        <v>351</v>
      </c>
      <c r="AQ2033">
        <v>130</v>
      </c>
      <c r="AR2033" s="122">
        <v>15766</v>
      </c>
      <c r="AS2033" s="122">
        <v>5839</v>
      </c>
      <c r="AT2033">
        <v>0</v>
      </c>
      <c r="AU2033">
        <v>0</v>
      </c>
      <c r="AV2033" s="122">
        <v>41903</v>
      </c>
    </row>
    <row r="2034" spans="2:48" hidden="1">
      <c r="B2034" t="s">
        <v>376</v>
      </c>
      <c r="C2034" t="s">
        <v>64</v>
      </c>
      <c r="D2034" t="s">
        <v>137</v>
      </c>
      <c r="E2034" t="s">
        <v>406</v>
      </c>
      <c r="F2034" s="122">
        <v>1</v>
      </c>
      <c r="G2034" s="122">
        <v>189</v>
      </c>
      <c r="H2034" s="122">
        <v>747</v>
      </c>
      <c r="I2034" s="122">
        <v>110635</v>
      </c>
      <c r="J2034" s="122">
        <v>40976</v>
      </c>
      <c r="K2034" s="122">
        <v>100</v>
      </c>
      <c r="L2034" s="122">
        <v>16694</v>
      </c>
      <c r="M2034" s="122">
        <v>15176</v>
      </c>
      <c r="N2034" s="122">
        <v>4043</v>
      </c>
      <c r="O2034" s="122">
        <v>1497</v>
      </c>
      <c r="P2034" s="122">
        <v>270</v>
      </c>
      <c r="Q2034" s="122">
        <v>100</v>
      </c>
      <c r="R2034" s="122">
        <v>9198</v>
      </c>
      <c r="S2034" s="122">
        <v>8362</v>
      </c>
      <c r="T2034" s="122">
        <v>0</v>
      </c>
      <c r="U2034" s="122">
        <v>0</v>
      </c>
      <c r="V2034" s="122">
        <v>66111</v>
      </c>
      <c r="W2034" s="122">
        <f t="shared" si="64"/>
        <v>66111</v>
      </c>
      <c r="X2034" s="122">
        <f t="shared" si="65"/>
        <v>140840</v>
      </c>
      <c r="AA2034" t="s">
        <v>62</v>
      </c>
      <c r="AB2034" t="s">
        <v>427</v>
      </c>
      <c r="AC2034" t="s">
        <v>137</v>
      </c>
      <c r="AD2034" t="s">
        <v>406</v>
      </c>
      <c r="AE2034" t="s">
        <v>566</v>
      </c>
      <c r="AF2034">
        <v>1</v>
      </c>
      <c r="AG2034" s="122">
        <v>118</v>
      </c>
      <c r="AH2034" s="122">
        <v>432</v>
      </c>
      <c r="AI2034" s="122">
        <v>29302</v>
      </c>
      <c r="AJ2034" s="122">
        <v>26638</v>
      </c>
      <c r="AK2034">
        <v>74</v>
      </c>
      <c r="AL2034" s="122">
        <v>13306</v>
      </c>
      <c r="AM2034" s="122">
        <v>4928</v>
      </c>
      <c r="AN2034" s="122">
        <v>2505</v>
      </c>
      <c r="AO2034" s="122">
        <v>928</v>
      </c>
      <c r="AP2034" s="122">
        <v>621</v>
      </c>
      <c r="AQ2034" s="122">
        <v>230</v>
      </c>
      <c r="AR2034" s="122">
        <v>4983</v>
      </c>
      <c r="AS2034" s="122">
        <v>4530</v>
      </c>
      <c r="AT2034" s="122">
        <v>0</v>
      </c>
      <c r="AU2034" s="122">
        <v>0</v>
      </c>
      <c r="AV2034" s="122">
        <v>37254</v>
      </c>
    </row>
    <row r="2035" spans="2:48" hidden="1">
      <c r="B2035" t="s">
        <v>376</v>
      </c>
      <c r="C2035" t="s">
        <v>64</v>
      </c>
      <c r="D2035" t="s">
        <v>137</v>
      </c>
      <c r="E2035" t="s">
        <v>556</v>
      </c>
      <c r="F2035" s="122">
        <v>1</v>
      </c>
      <c r="G2035" s="122">
        <v>68</v>
      </c>
      <c r="H2035" s="122">
        <v>946</v>
      </c>
      <c r="I2035" s="122">
        <v>47764</v>
      </c>
      <c r="J2035" s="122">
        <v>17690</v>
      </c>
      <c r="K2035" s="122">
        <v>100</v>
      </c>
      <c r="L2035" s="122">
        <v>8325</v>
      </c>
      <c r="M2035" s="122">
        <v>6937</v>
      </c>
      <c r="N2035" s="122">
        <v>1341</v>
      </c>
      <c r="O2035" s="122">
        <v>497</v>
      </c>
      <c r="P2035" s="122">
        <v>0</v>
      </c>
      <c r="Q2035" s="122">
        <v>0</v>
      </c>
      <c r="R2035" s="122">
        <v>5299</v>
      </c>
      <c r="S2035" s="122">
        <v>4416</v>
      </c>
      <c r="T2035" s="122">
        <v>1556</v>
      </c>
      <c r="U2035" s="122">
        <v>576</v>
      </c>
      <c r="V2035" s="122">
        <v>30117</v>
      </c>
      <c r="W2035" s="122">
        <f t="shared" si="64"/>
        <v>30116</v>
      </c>
      <c r="X2035" s="122">
        <f t="shared" si="65"/>
        <v>64285</v>
      </c>
      <c r="AA2035" t="s">
        <v>62</v>
      </c>
      <c r="AB2035" t="s">
        <v>427</v>
      </c>
      <c r="AC2035" t="s">
        <v>137</v>
      </c>
      <c r="AD2035" t="s">
        <v>427</v>
      </c>
      <c r="AE2035" t="s">
        <v>137</v>
      </c>
      <c r="AF2035">
        <v>16</v>
      </c>
      <c r="AG2035" s="122">
        <v>1342</v>
      </c>
      <c r="AH2035" s="122">
        <v>6628</v>
      </c>
      <c r="AI2035" s="122">
        <v>330701</v>
      </c>
      <c r="AJ2035" s="122">
        <v>300638</v>
      </c>
      <c r="AK2035">
        <v>57</v>
      </c>
      <c r="AL2035" s="122">
        <v>62402</v>
      </c>
      <c r="AM2035" s="122">
        <v>23112</v>
      </c>
      <c r="AN2035" s="122">
        <v>26590</v>
      </c>
      <c r="AO2035" s="122">
        <v>9848</v>
      </c>
      <c r="AP2035" s="122">
        <v>5265</v>
      </c>
      <c r="AQ2035" s="122">
        <v>1950</v>
      </c>
      <c r="AR2035" s="122">
        <v>89067</v>
      </c>
      <c r="AS2035" s="122">
        <v>80970</v>
      </c>
      <c r="AT2035" s="122">
        <v>41178</v>
      </c>
      <c r="AU2035" s="122">
        <v>15251</v>
      </c>
      <c r="AV2035" s="122">
        <v>431769</v>
      </c>
    </row>
    <row r="2036" spans="2:48" hidden="1">
      <c r="B2036" t="s">
        <v>376</v>
      </c>
      <c r="C2036" t="s">
        <v>64</v>
      </c>
      <c r="D2036" t="s">
        <v>137</v>
      </c>
      <c r="E2036" t="s">
        <v>426</v>
      </c>
      <c r="F2036" s="122">
        <v>2</v>
      </c>
      <c r="G2036" s="122">
        <v>164</v>
      </c>
      <c r="H2036" s="122">
        <v>1345</v>
      </c>
      <c r="I2036" s="122">
        <v>72647</v>
      </c>
      <c r="J2036" s="122">
        <v>26906</v>
      </c>
      <c r="K2036" s="122">
        <v>100</v>
      </c>
      <c r="L2036" s="122">
        <v>6953</v>
      </c>
      <c r="M2036" s="122">
        <v>6321</v>
      </c>
      <c r="N2036" s="122">
        <v>3321</v>
      </c>
      <c r="O2036" s="122">
        <v>1230</v>
      </c>
      <c r="P2036" s="122">
        <v>0</v>
      </c>
      <c r="Q2036" s="122">
        <v>0</v>
      </c>
      <c r="R2036" s="122">
        <v>12701</v>
      </c>
      <c r="S2036" s="122">
        <v>11546</v>
      </c>
      <c r="T2036" s="122">
        <v>2576</v>
      </c>
      <c r="U2036" s="122">
        <v>954</v>
      </c>
      <c r="V2036" s="122">
        <v>46958</v>
      </c>
      <c r="W2036" s="122">
        <f t="shared" si="64"/>
        <v>46957</v>
      </c>
      <c r="X2036" s="122">
        <f t="shared" si="65"/>
        <v>98198</v>
      </c>
      <c r="AA2036" t="s">
        <v>62</v>
      </c>
      <c r="AB2036" t="s">
        <v>427</v>
      </c>
      <c r="AC2036" t="s">
        <v>137</v>
      </c>
      <c r="AD2036" t="s">
        <v>427</v>
      </c>
      <c r="AE2036" t="s">
        <v>566</v>
      </c>
      <c r="AF2036">
        <v>5</v>
      </c>
      <c r="AG2036">
        <v>362</v>
      </c>
      <c r="AH2036" s="122">
        <v>2058</v>
      </c>
      <c r="AI2036" s="122">
        <v>83360</v>
      </c>
      <c r="AJ2036" s="122">
        <v>75782</v>
      </c>
      <c r="AK2036">
        <v>59</v>
      </c>
      <c r="AL2036" s="122">
        <v>13202</v>
      </c>
      <c r="AM2036" s="122">
        <v>4890</v>
      </c>
      <c r="AN2036" s="122">
        <v>6879</v>
      </c>
      <c r="AO2036" s="122">
        <v>2548</v>
      </c>
      <c r="AP2036" s="122">
        <v>1877</v>
      </c>
      <c r="AQ2036">
        <v>695</v>
      </c>
      <c r="AR2036" s="122">
        <v>43090</v>
      </c>
      <c r="AS2036" s="122">
        <v>39173</v>
      </c>
      <c r="AT2036" s="122">
        <v>0</v>
      </c>
      <c r="AU2036">
        <v>0</v>
      </c>
      <c r="AV2036" s="122">
        <v>123087</v>
      </c>
    </row>
    <row r="2037" spans="2:48" hidden="1">
      <c r="B2037" t="s">
        <v>376</v>
      </c>
      <c r="C2037" t="s">
        <v>64</v>
      </c>
      <c r="D2037" t="s">
        <v>406</v>
      </c>
      <c r="E2037" t="s">
        <v>137</v>
      </c>
      <c r="F2037" s="122">
        <v>9</v>
      </c>
      <c r="G2037" s="122">
        <v>964</v>
      </c>
      <c r="H2037" s="122">
        <v>5706</v>
      </c>
      <c r="I2037" s="122">
        <v>383472</v>
      </c>
      <c r="J2037" s="122">
        <v>348611</v>
      </c>
      <c r="K2037" s="122">
        <v>72</v>
      </c>
      <c r="L2037" s="122">
        <v>99908</v>
      </c>
      <c r="M2037" s="122">
        <v>89289</v>
      </c>
      <c r="N2037" s="122">
        <v>22932</v>
      </c>
      <c r="O2037" s="122">
        <v>8493</v>
      </c>
      <c r="P2037" s="122">
        <v>4968</v>
      </c>
      <c r="Q2037" s="122">
        <v>1840</v>
      </c>
      <c r="R2037" s="122">
        <v>57660</v>
      </c>
      <c r="S2037" s="122">
        <v>21356</v>
      </c>
      <c r="T2037" s="122">
        <v>0</v>
      </c>
      <c r="U2037" s="122">
        <v>0</v>
      </c>
      <c r="V2037" s="122">
        <v>469588</v>
      </c>
      <c r="W2037" s="122">
        <f t="shared" si="64"/>
        <v>469589</v>
      </c>
      <c r="X2037" s="122">
        <f t="shared" si="65"/>
        <v>568940</v>
      </c>
      <c r="AA2037" t="s">
        <v>62</v>
      </c>
      <c r="AB2037" t="s">
        <v>427</v>
      </c>
      <c r="AC2037" t="s">
        <v>580</v>
      </c>
      <c r="AD2037" t="s">
        <v>406</v>
      </c>
      <c r="AE2037" t="s">
        <v>137</v>
      </c>
      <c r="AF2037">
        <v>1</v>
      </c>
      <c r="AG2037">
        <v>82</v>
      </c>
      <c r="AH2037" s="122">
        <v>389</v>
      </c>
      <c r="AI2037" s="122">
        <v>18843</v>
      </c>
      <c r="AJ2037" s="122">
        <v>17130</v>
      </c>
      <c r="AK2037">
        <v>65</v>
      </c>
      <c r="AL2037" s="122">
        <v>4536</v>
      </c>
      <c r="AM2037" s="122">
        <v>4124</v>
      </c>
      <c r="AN2037" s="122">
        <v>1629</v>
      </c>
      <c r="AO2037" s="122">
        <v>603</v>
      </c>
      <c r="AP2037" s="122">
        <v>351</v>
      </c>
      <c r="AQ2037" s="122">
        <v>130</v>
      </c>
      <c r="AR2037" s="122">
        <v>4165</v>
      </c>
      <c r="AS2037" s="122">
        <v>3787</v>
      </c>
      <c r="AT2037" s="122">
        <v>2186</v>
      </c>
      <c r="AU2037" s="122">
        <v>810</v>
      </c>
      <c r="AV2037" s="122">
        <v>26584</v>
      </c>
    </row>
    <row r="2038" spans="2:48" hidden="1">
      <c r="B2038" t="s">
        <v>376</v>
      </c>
      <c r="C2038" t="s">
        <v>64</v>
      </c>
      <c r="D2038" t="s">
        <v>406</v>
      </c>
      <c r="E2038" t="s">
        <v>406</v>
      </c>
      <c r="F2038" s="122">
        <v>315</v>
      </c>
      <c r="G2038" s="122">
        <v>31850</v>
      </c>
      <c r="H2038" s="122">
        <v>182600</v>
      </c>
      <c r="I2038" s="122">
        <v>12050766</v>
      </c>
      <c r="J2038" s="122">
        <v>10955242</v>
      </c>
      <c r="K2038" s="122">
        <v>72</v>
      </c>
      <c r="L2038" s="122">
        <v>3166728</v>
      </c>
      <c r="M2038" s="122">
        <v>2785821</v>
      </c>
      <c r="N2038" s="122">
        <v>701604</v>
      </c>
      <c r="O2038" s="122">
        <v>259853</v>
      </c>
      <c r="P2038" s="122">
        <v>199287</v>
      </c>
      <c r="Q2038" s="122">
        <v>73810</v>
      </c>
      <c r="R2038" s="122">
        <v>1615659</v>
      </c>
      <c r="S2038" s="122">
        <v>1468781</v>
      </c>
      <c r="T2038" s="122">
        <v>618031</v>
      </c>
      <c r="U2038" s="122">
        <v>228900</v>
      </c>
      <c r="V2038" s="122">
        <v>15772407</v>
      </c>
      <c r="W2038" s="122">
        <f t="shared" si="64"/>
        <v>15772407</v>
      </c>
      <c r="X2038" s="122">
        <f t="shared" si="65"/>
        <v>18352075</v>
      </c>
      <c r="AA2038" t="s">
        <v>62</v>
      </c>
      <c r="AB2038" t="s">
        <v>427</v>
      </c>
      <c r="AC2038" t="s">
        <v>580</v>
      </c>
      <c r="AD2038" t="s">
        <v>427</v>
      </c>
      <c r="AE2038" t="s">
        <v>137</v>
      </c>
      <c r="AF2038">
        <v>6</v>
      </c>
      <c r="AG2038">
        <v>584</v>
      </c>
      <c r="AH2038" s="122">
        <v>2507</v>
      </c>
      <c r="AI2038" s="122">
        <v>162458</v>
      </c>
      <c r="AJ2038" s="122">
        <v>147689</v>
      </c>
      <c r="AK2038">
        <v>55</v>
      </c>
      <c r="AL2038" s="122">
        <v>15070</v>
      </c>
      <c r="AM2038" s="122">
        <v>13700</v>
      </c>
      <c r="AN2038" s="122">
        <v>12452</v>
      </c>
      <c r="AO2038" s="122">
        <v>4612</v>
      </c>
      <c r="AP2038" s="122">
        <v>2997</v>
      </c>
      <c r="AQ2038" s="122">
        <v>1110</v>
      </c>
      <c r="AR2038" s="122">
        <v>35681</v>
      </c>
      <c r="AS2038" s="122">
        <v>32437</v>
      </c>
      <c r="AT2038" s="122">
        <v>16910</v>
      </c>
      <c r="AU2038" s="122">
        <v>6263</v>
      </c>
      <c r="AV2038" s="122">
        <v>205811</v>
      </c>
    </row>
    <row r="2039" spans="2:48" hidden="1">
      <c r="B2039" t="s">
        <v>376</v>
      </c>
      <c r="C2039" t="s">
        <v>64</v>
      </c>
      <c r="D2039" t="s">
        <v>427</v>
      </c>
      <c r="E2039" t="s">
        <v>137</v>
      </c>
      <c r="F2039" s="122">
        <v>14</v>
      </c>
      <c r="G2039" s="122">
        <v>1221</v>
      </c>
      <c r="H2039" s="122">
        <v>16844</v>
      </c>
      <c r="I2039" s="122">
        <v>1234822</v>
      </c>
      <c r="J2039" s="122">
        <v>1122566</v>
      </c>
      <c r="K2039" s="122">
        <v>34</v>
      </c>
      <c r="L2039" s="122">
        <v>72382</v>
      </c>
      <c r="M2039" s="122">
        <v>34584</v>
      </c>
      <c r="N2039" s="122">
        <v>27386</v>
      </c>
      <c r="O2039" s="122">
        <v>10143</v>
      </c>
      <c r="P2039" s="122">
        <v>1053</v>
      </c>
      <c r="Q2039" s="122">
        <v>390</v>
      </c>
      <c r="R2039" s="122">
        <v>73517</v>
      </c>
      <c r="S2039" s="122">
        <v>27228</v>
      </c>
      <c r="T2039" s="122">
        <v>2152</v>
      </c>
      <c r="U2039" s="122">
        <v>797</v>
      </c>
      <c r="V2039" s="122">
        <v>1195708</v>
      </c>
      <c r="W2039" s="122">
        <f t="shared" si="64"/>
        <v>1195708</v>
      </c>
      <c r="X2039" s="122">
        <f t="shared" si="65"/>
        <v>1411312</v>
      </c>
      <c r="AA2039" t="s">
        <v>62</v>
      </c>
      <c r="AB2039" t="s">
        <v>427</v>
      </c>
      <c r="AC2039" t="s">
        <v>580</v>
      </c>
      <c r="AD2039" t="s">
        <v>427</v>
      </c>
      <c r="AE2039" t="s">
        <v>566</v>
      </c>
      <c r="AF2039">
        <v>1</v>
      </c>
      <c r="AG2039">
        <v>124</v>
      </c>
      <c r="AH2039" s="122">
        <v>442</v>
      </c>
      <c r="AI2039" s="122">
        <v>41708</v>
      </c>
      <c r="AJ2039" s="122">
        <v>37916</v>
      </c>
      <c r="AK2039">
        <v>55</v>
      </c>
      <c r="AL2039" s="122">
        <v>4248</v>
      </c>
      <c r="AM2039" s="122">
        <v>3862</v>
      </c>
      <c r="AN2039" s="122">
        <v>3017</v>
      </c>
      <c r="AO2039" s="122">
        <v>1117</v>
      </c>
      <c r="AP2039" s="122">
        <v>621</v>
      </c>
      <c r="AQ2039">
        <v>230</v>
      </c>
      <c r="AR2039" s="122">
        <v>5099</v>
      </c>
      <c r="AS2039" s="122">
        <v>4636</v>
      </c>
      <c r="AT2039">
        <v>0</v>
      </c>
      <c r="AU2039">
        <v>0</v>
      </c>
      <c r="AV2039" s="122">
        <v>47761</v>
      </c>
    </row>
    <row r="2040" spans="2:48" hidden="1">
      <c r="B2040" t="s">
        <v>376</v>
      </c>
      <c r="C2040" t="s">
        <v>64</v>
      </c>
      <c r="D2040" t="s">
        <v>427</v>
      </c>
      <c r="E2040" t="s">
        <v>406</v>
      </c>
      <c r="F2040" s="122">
        <v>1</v>
      </c>
      <c r="G2040" s="122">
        <v>116</v>
      </c>
      <c r="H2040" s="122">
        <v>1181</v>
      </c>
      <c r="I2040" s="122">
        <v>121251</v>
      </c>
      <c r="J2040" s="122">
        <v>110228</v>
      </c>
      <c r="K2040" s="122">
        <v>30</v>
      </c>
      <c r="L2040" s="122">
        <v>6736</v>
      </c>
      <c r="M2040" s="122">
        <v>6124</v>
      </c>
      <c r="N2040" s="122">
        <v>2765</v>
      </c>
      <c r="O2040" s="122">
        <v>1024</v>
      </c>
      <c r="P2040" s="122">
        <v>0</v>
      </c>
      <c r="Q2040" s="122">
        <v>0</v>
      </c>
      <c r="R2040" s="122">
        <v>4512</v>
      </c>
      <c r="S2040" s="122">
        <v>4102</v>
      </c>
      <c r="T2040" s="122">
        <v>2186</v>
      </c>
      <c r="U2040" s="122">
        <v>810</v>
      </c>
      <c r="V2040" s="122">
        <v>122288</v>
      </c>
      <c r="W2040" s="122">
        <f t="shared" si="64"/>
        <v>122288</v>
      </c>
      <c r="X2040" s="122">
        <f t="shared" si="65"/>
        <v>137450</v>
      </c>
      <c r="AA2040" t="s">
        <v>62</v>
      </c>
      <c r="AB2040" t="s">
        <v>427</v>
      </c>
      <c r="AC2040" t="s">
        <v>427</v>
      </c>
      <c r="AD2040" t="s">
        <v>137</v>
      </c>
      <c r="AE2040" t="s">
        <v>566</v>
      </c>
      <c r="AF2040">
        <v>6</v>
      </c>
      <c r="AG2040" s="122">
        <v>533</v>
      </c>
      <c r="AH2040" s="122">
        <v>2437</v>
      </c>
      <c r="AI2040" s="122">
        <v>132223</v>
      </c>
      <c r="AJ2040" s="122">
        <v>120203</v>
      </c>
      <c r="AK2040">
        <v>59</v>
      </c>
      <c r="AL2040" s="122">
        <v>28922</v>
      </c>
      <c r="AM2040" s="122">
        <v>26292</v>
      </c>
      <c r="AN2040" s="122">
        <v>12286</v>
      </c>
      <c r="AO2040" s="122">
        <v>4550</v>
      </c>
      <c r="AP2040" s="122">
        <v>1755</v>
      </c>
      <c r="AQ2040" s="122">
        <v>650</v>
      </c>
      <c r="AR2040" s="122">
        <v>50481</v>
      </c>
      <c r="AS2040" s="122">
        <v>18697</v>
      </c>
      <c r="AT2040" s="122">
        <v>0</v>
      </c>
      <c r="AU2040" s="122">
        <v>0</v>
      </c>
      <c r="AV2040" s="122">
        <v>170393</v>
      </c>
    </row>
    <row r="2041" spans="2:48" hidden="1">
      <c r="B2041" t="s">
        <v>376</v>
      </c>
      <c r="C2041" t="s">
        <v>64</v>
      </c>
      <c r="D2041" t="s">
        <v>427</v>
      </c>
      <c r="E2041" t="s">
        <v>427</v>
      </c>
      <c r="F2041" s="122">
        <v>10</v>
      </c>
      <c r="G2041" s="122">
        <v>932</v>
      </c>
      <c r="H2041" s="122">
        <v>6836</v>
      </c>
      <c r="I2041" s="122">
        <v>454125</v>
      </c>
      <c r="J2041" s="122">
        <v>412841</v>
      </c>
      <c r="K2041" s="122">
        <v>55</v>
      </c>
      <c r="L2041" s="122">
        <v>77072</v>
      </c>
      <c r="M2041" s="122">
        <v>65450</v>
      </c>
      <c r="N2041" s="122">
        <v>20846</v>
      </c>
      <c r="O2041" s="122">
        <v>7721</v>
      </c>
      <c r="P2041" s="122">
        <v>3510</v>
      </c>
      <c r="Q2041" s="122">
        <v>1300</v>
      </c>
      <c r="R2041" s="122">
        <v>59060</v>
      </c>
      <c r="S2041" s="122">
        <v>53691</v>
      </c>
      <c r="T2041" s="122">
        <v>17594</v>
      </c>
      <c r="U2041" s="122">
        <v>6516</v>
      </c>
      <c r="V2041" s="122">
        <v>547519</v>
      </c>
      <c r="W2041" s="122">
        <f t="shared" si="64"/>
        <v>547519</v>
      </c>
      <c r="X2041" s="122">
        <f t="shared" si="65"/>
        <v>632207</v>
      </c>
      <c r="AA2041" t="s">
        <v>62</v>
      </c>
      <c r="AB2041" t="s">
        <v>427</v>
      </c>
      <c r="AC2041" t="s">
        <v>427</v>
      </c>
      <c r="AD2041" t="s">
        <v>427</v>
      </c>
      <c r="AE2041" t="s">
        <v>137</v>
      </c>
      <c r="AF2041">
        <v>64</v>
      </c>
      <c r="AG2041" s="122">
        <v>6707</v>
      </c>
      <c r="AH2041" s="122">
        <v>26435</v>
      </c>
      <c r="AI2041" s="122">
        <v>1866949</v>
      </c>
      <c r="AJ2041" s="122">
        <v>1697227</v>
      </c>
      <c r="AK2041">
        <v>55</v>
      </c>
      <c r="AL2041" s="122">
        <v>327577</v>
      </c>
      <c r="AM2041" s="122">
        <v>297797</v>
      </c>
      <c r="AN2041" s="122">
        <v>143397</v>
      </c>
      <c r="AO2041" s="122">
        <v>53110</v>
      </c>
      <c r="AP2041" s="122">
        <v>23231</v>
      </c>
      <c r="AQ2041" s="122">
        <v>8604</v>
      </c>
      <c r="AR2041" s="122">
        <v>400665</v>
      </c>
      <c r="AS2041" s="122">
        <v>364241</v>
      </c>
      <c r="AT2041" s="122">
        <v>155391</v>
      </c>
      <c r="AU2041" s="122">
        <v>57552</v>
      </c>
      <c r="AV2041" s="122">
        <v>2478531</v>
      </c>
    </row>
    <row r="2042" spans="2:48" hidden="1">
      <c r="B2042" t="s">
        <v>376</v>
      </c>
      <c r="C2042" t="s">
        <v>64</v>
      </c>
      <c r="D2042" t="s">
        <v>407</v>
      </c>
      <c r="E2042" t="s">
        <v>137</v>
      </c>
      <c r="F2042" s="122">
        <v>1</v>
      </c>
      <c r="G2042" s="122">
        <v>76</v>
      </c>
      <c r="H2042" s="122">
        <v>496</v>
      </c>
      <c r="I2042" s="122">
        <v>31632</v>
      </c>
      <c r="J2042" s="122">
        <v>28757</v>
      </c>
      <c r="K2042" s="122">
        <v>68</v>
      </c>
      <c r="L2042" s="122">
        <v>0</v>
      </c>
      <c r="M2042" s="122">
        <v>0</v>
      </c>
      <c r="N2042" s="122">
        <v>922</v>
      </c>
      <c r="O2042" s="122">
        <v>341</v>
      </c>
      <c r="P2042" s="122">
        <v>473</v>
      </c>
      <c r="Q2042" s="122">
        <v>175</v>
      </c>
      <c r="R2042" s="122">
        <v>4504</v>
      </c>
      <c r="S2042" s="122">
        <v>1668</v>
      </c>
      <c r="T2042" s="122">
        <v>0</v>
      </c>
      <c r="U2042" s="122">
        <v>0</v>
      </c>
      <c r="V2042" s="122">
        <v>30941</v>
      </c>
      <c r="W2042" s="122">
        <f t="shared" si="64"/>
        <v>30941</v>
      </c>
      <c r="X2042" s="122">
        <f t="shared" si="65"/>
        <v>37531</v>
      </c>
      <c r="AA2042" t="s">
        <v>62</v>
      </c>
      <c r="AB2042" t="s">
        <v>427</v>
      </c>
      <c r="AC2042" t="s">
        <v>427</v>
      </c>
      <c r="AD2042" t="s">
        <v>427</v>
      </c>
      <c r="AE2042" t="s">
        <v>566</v>
      </c>
      <c r="AF2042">
        <v>14</v>
      </c>
      <c r="AG2042" s="122">
        <v>1303</v>
      </c>
      <c r="AH2042" s="122">
        <v>5853</v>
      </c>
      <c r="AI2042" s="122">
        <v>355598</v>
      </c>
      <c r="AJ2042" s="122">
        <v>323271</v>
      </c>
      <c r="AK2042">
        <v>56</v>
      </c>
      <c r="AL2042" s="122">
        <v>60086</v>
      </c>
      <c r="AM2042" s="122">
        <v>54624</v>
      </c>
      <c r="AN2042" s="122">
        <v>24907</v>
      </c>
      <c r="AO2042" s="122">
        <v>9225</v>
      </c>
      <c r="AP2042" s="122">
        <v>4482</v>
      </c>
      <c r="AQ2042" s="122">
        <v>1660</v>
      </c>
      <c r="AR2042" s="122">
        <v>116491</v>
      </c>
      <c r="AS2042" s="122">
        <v>105901</v>
      </c>
      <c r="AT2042" s="122">
        <v>0</v>
      </c>
      <c r="AU2042" s="122">
        <v>0</v>
      </c>
      <c r="AV2042" s="122">
        <v>494680</v>
      </c>
    </row>
    <row r="2043" spans="2:48" hidden="1">
      <c r="B2043" t="s">
        <v>376</v>
      </c>
      <c r="C2043" t="s">
        <v>64</v>
      </c>
      <c r="D2043" t="s">
        <v>407</v>
      </c>
      <c r="E2043" t="s">
        <v>407</v>
      </c>
      <c r="F2043" s="122">
        <v>24</v>
      </c>
      <c r="G2043" s="122">
        <v>2577</v>
      </c>
      <c r="H2043" s="122">
        <v>12921</v>
      </c>
      <c r="I2043" s="122">
        <v>919560</v>
      </c>
      <c r="J2043" s="122">
        <v>835963</v>
      </c>
      <c r="K2043" s="122">
        <v>75</v>
      </c>
      <c r="L2043" s="122">
        <v>233483</v>
      </c>
      <c r="M2043" s="122">
        <v>193244</v>
      </c>
      <c r="N2043" s="122">
        <v>54953</v>
      </c>
      <c r="O2043" s="122">
        <v>20353</v>
      </c>
      <c r="P2043" s="122">
        <v>11219</v>
      </c>
      <c r="Q2043" s="122">
        <v>4155</v>
      </c>
      <c r="R2043" s="122">
        <v>124359</v>
      </c>
      <c r="S2043" s="122">
        <v>113054</v>
      </c>
      <c r="T2043" s="122">
        <v>36244</v>
      </c>
      <c r="U2043" s="122">
        <v>13424</v>
      </c>
      <c r="V2043" s="122">
        <v>1180192</v>
      </c>
      <c r="W2043" s="122">
        <f t="shared" si="64"/>
        <v>1180193</v>
      </c>
      <c r="X2043" s="122">
        <f t="shared" si="65"/>
        <v>1379818</v>
      </c>
      <c r="AA2043" t="s">
        <v>62</v>
      </c>
      <c r="AB2043" t="s">
        <v>427</v>
      </c>
      <c r="AC2043" t="s">
        <v>431</v>
      </c>
      <c r="AD2043" t="s">
        <v>427</v>
      </c>
      <c r="AE2043" t="s">
        <v>137</v>
      </c>
      <c r="AF2043">
        <v>1</v>
      </c>
      <c r="AG2043">
        <v>89</v>
      </c>
      <c r="AH2043">
        <v>444</v>
      </c>
      <c r="AI2043" s="122">
        <v>23788</v>
      </c>
      <c r="AJ2043" s="122">
        <v>21626</v>
      </c>
      <c r="AK2043">
        <v>65</v>
      </c>
      <c r="AL2043" s="122">
        <v>5727</v>
      </c>
      <c r="AM2043" s="122">
        <v>5206</v>
      </c>
      <c r="AN2043" s="122">
        <v>1968</v>
      </c>
      <c r="AO2043">
        <v>729</v>
      </c>
      <c r="AP2043">
        <v>351</v>
      </c>
      <c r="AQ2043">
        <v>130</v>
      </c>
      <c r="AR2043" s="122">
        <v>4854</v>
      </c>
      <c r="AS2043" s="122">
        <v>4413</v>
      </c>
      <c r="AT2043" s="122">
        <v>2728</v>
      </c>
      <c r="AU2043" s="122">
        <v>1010</v>
      </c>
      <c r="AV2043" s="122">
        <v>33114</v>
      </c>
    </row>
    <row r="2044" spans="2:48" hidden="1">
      <c r="B2044" t="s">
        <v>376</v>
      </c>
      <c r="C2044" t="s">
        <v>64</v>
      </c>
      <c r="D2044" t="s">
        <v>556</v>
      </c>
      <c r="E2044" t="s">
        <v>137</v>
      </c>
      <c r="F2044" s="122">
        <v>2</v>
      </c>
      <c r="G2044" s="122">
        <v>123</v>
      </c>
      <c r="H2044" s="122">
        <v>3701</v>
      </c>
      <c r="I2044" s="122">
        <v>200644</v>
      </c>
      <c r="J2044" s="122">
        <v>167204</v>
      </c>
      <c r="K2044" s="122">
        <v>30</v>
      </c>
      <c r="L2044" s="122">
        <v>15048</v>
      </c>
      <c r="M2044" s="122">
        <v>5573</v>
      </c>
      <c r="N2044" s="122">
        <v>2987</v>
      </c>
      <c r="O2044" s="122">
        <v>1106</v>
      </c>
      <c r="P2044" s="122">
        <v>0</v>
      </c>
      <c r="Q2044" s="122">
        <v>0</v>
      </c>
      <c r="R2044" s="122">
        <v>8137</v>
      </c>
      <c r="S2044" s="122">
        <v>3014</v>
      </c>
      <c r="T2044" s="122">
        <v>0</v>
      </c>
      <c r="U2044" s="122">
        <v>0</v>
      </c>
      <c r="V2044" s="122">
        <v>176897</v>
      </c>
      <c r="W2044" s="122">
        <f t="shared" si="64"/>
        <v>176897</v>
      </c>
      <c r="X2044" s="122">
        <f t="shared" si="65"/>
        <v>226816</v>
      </c>
      <c r="AA2044" t="s">
        <v>62</v>
      </c>
      <c r="AB2044" t="s">
        <v>427</v>
      </c>
      <c r="AC2044" t="s">
        <v>426</v>
      </c>
      <c r="AD2044" t="s">
        <v>406</v>
      </c>
      <c r="AE2044" t="s">
        <v>137</v>
      </c>
      <c r="AF2044">
        <v>1</v>
      </c>
      <c r="AG2044">
        <v>117</v>
      </c>
      <c r="AH2044" s="122">
        <v>448</v>
      </c>
      <c r="AI2044" s="122">
        <v>36586</v>
      </c>
      <c r="AJ2044" s="122">
        <v>33260</v>
      </c>
      <c r="AK2044">
        <v>86</v>
      </c>
      <c r="AL2044" s="122">
        <v>7335</v>
      </c>
      <c r="AM2044" s="122">
        <v>6668</v>
      </c>
      <c r="AN2044" s="122">
        <v>2235</v>
      </c>
      <c r="AO2044" s="122">
        <v>828</v>
      </c>
      <c r="AP2044" s="122">
        <v>621</v>
      </c>
      <c r="AQ2044">
        <v>230</v>
      </c>
      <c r="AR2044" s="122">
        <v>3339</v>
      </c>
      <c r="AS2044" s="122">
        <v>3035</v>
      </c>
      <c r="AT2044" s="122">
        <v>2191</v>
      </c>
      <c r="AU2044" s="122">
        <v>812</v>
      </c>
      <c r="AV2044" s="122">
        <v>44833</v>
      </c>
    </row>
    <row r="2045" spans="2:48" hidden="1">
      <c r="B2045" t="s">
        <v>376</v>
      </c>
      <c r="C2045" t="s">
        <v>64</v>
      </c>
      <c r="D2045" t="s">
        <v>556</v>
      </c>
      <c r="E2045" t="s">
        <v>556</v>
      </c>
      <c r="F2045" s="122">
        <v>10</v>
      </c>
      <c r="G2045" s="122">
        <v>992</v>
      </c>
      <c r="H2045" s="122">
        <v>7012</v>
      </c>
      <c r="I2045" s="122">
        <v>511876</v>
      </c>
      <c r="J2045" s="122">
        <v>426563</v>
      </c>
      <c r="K2045" s="122">
        <v>57</v>
      </c>
      <c r="L2045" s="122">
        <v>44608</v>
      </c>
      <c r="M2045" s="122">
        <v>30123</v>
      </c>
      <c r="N2045" s="122">
        <v>20904</v>
      </c>
      <c r="O2045" s="122">
        <v>7742</v>
      </c>
      <c r="P2045" s="122">
        <v>3159</v>
      </c>
      <c r="Q2045" s="122">
        <v>1170</v>
      </c>
      <c r="R2045" s="122">
        <v>64883</v>
      </c>
      <c r="S2045" s="122">
        <v>54069</v>
      </c>
      <c r="T2045" s="122">
        <v>19429</v>
      </c>
      <c r="U2045" s="122">
        <v>7196</v>
      </c>
      <c r="V2045" s="122">
        <v>526863</v>
      </c>
      <c r="W2045" s="122">
        <f t="shared" si="64"/>
        <v>526863</v>
      </c>
      <c r="X2045" s="122">
        <f t="shared" si="65"/>
        <v>664859</v>
      </c>
      <c r="AA2045" t="s">
        <v>62</v>
      </c>
      <c r="AB2045" t="s">
        <v>427</v>
      </c>
      <c r="AC2045" t="s">
        <v>426</v>
      </c>
      <c r="AD2045" t="s">
        <v>427</v>
      </c>
      <c r="AE2045" t="s">
        <v>137</v>
      </c>
      <c r="AF2045">
        <v>3</v>
      </c>
      <c r="AG2045">
        <v>273</v>
      </c>
      <c r="AH2045" s="122">
        <v>1231</v>
      </c>
      <c r="AI2045" s="122">
        <v>74626</v>
      </c>
      <c r="AJ2045" s="122">
        <v>67842</v>
      </c>
      <c r="AK2045">
        <v>58</v>
      </c>
      <c r="AL2045" s="122">
        <v>9649</v>
      </c>
      <c r="AM2045" s="122">
        <v>8771</v>
      </c>
      <c r="AN2045" s="122">
        <v>6260</v>
      </c>
      <c r="AO2045" s="122">
        <v>2319</v>
      </c>
      <c r="AP2045" s="122">
        <v>1053</v>
      </c>
      <c r="AQ2045">
        <v>390</v>
      </c>
      <c r="AR2045" s="122">
        <v>15576</v>
      </c>
      <c r="AS2045" s="122">
        <v>14160</v>
      </c>
      <c r="AT2045" s="122">
        <v>4836</v>
      </c>
      <c r="AU2045" s="122">
        <v>1791</v>
      </c>
      <c r="AV2045" s="122">
        <v>95273</v>
      </c>
    </row>
    <row r="2046" spans="2:48" hidden="1">
      <c r="B2046" t="s">
        <v>376</v>
      </c>
      <c r="C2046" t="s">
        <v>64</v>
      </c>
      <c r="D2046" t="s">
        <v>426</v>
      </c>
      <c r="E2046" t="s">
        <v>137</v>
      </c>
      <c r="F2046" s="122">
        <v>20</v>
      </c>
      <c r="G2046" s="122">
        <v>1450</v>
      </c>
      <c r="H2046" s="122">
        <v>26549</v>
      </c>
      <c r="I2046" s="122">
        <v>1576786</v>
      </c>
      <c r="J2046" s="122">
        <v>1433442</v>
      </c>
      <c r="K2046" s="122">
        <v>35</v>
      </c>
      <c r="L2046" s="122">
        <v>121958</v>
      </c>
      <c r="M2046" s="122">
        <v>71593</v>
      </c>
      <c r="N2046" s="122">
        <v>32658</v>
      </c>
      <c r="O2046" s="122">
        <v>12096</v>
      </c>
      <c r="P2046" s="122">
        <v>702</v>
      </c>
      <c r="Q2046" s="122">
        <v>260</v>
      </c>
      <c r="R2046" s="122">
        <v>121319</v>
      </c>
      <c r="S2046" s="122">
        <v>44933</v>
      </c>
      <c r="T2046" s="122">
        <v>0</v>
      </c>
      <c r="U2046" s="122">
        <v>0</v>
      </c>
      <c r="V2046" s="122">
        <v>1562323</v>
      </c>
      <c r="W2046" s="122">
        <f t="shared" si="64"/>
        <v>1562324</v>
      </c>
      <c r="X2046" s="122">
        <f t="shared" si="65"/>
        <v>1853423</v>
      </c>
      <c r="AA2046" t="s">
        <v>62</v>
      </c>
      <c r="AB2046" t="s">
        <v>427</v>
      </c>
      <c r="AC2046" t="s">
        <v>566</v>
      </c>
      <c r="AD2046" t="s">
        <v>137</v>
      </c>
      <c r="AE2046" t="s">
        <v>566</v>
      </c>
      <c r="AF2046">
        <v>4</v>
      </c>
      <c r="AG2046" s="122">
        <v>579</v>
      </c>
      <c r="AH2046" s="122">
        <v>1679</v>
      </c>
      <c r="AI2046" s="122">
        <v>189534</v>
      </c>
      <c r="AJ2046" s="122">
        <v>172304</v>
      </c>
      <c r="AK2046">
        <v>53</v>
      </c>
      <c r="AL2046">
        <v>0</v>
      </c>
      <c r="AM2046" s="122">
        <v>9246</v>
      </c>
      <c r="AN2046" s="122">
        <v>9890</v>
      </c>
      <c r="AO2046" s="122">
        <v>3663</v>
      </c>
      <c r="AP2046" s="122">
        <v>351</v>
      </c>
      <c r="AQ2046" s="122">
        <v>130</v>
      </c>
      <c r="AR2046" s="122">
        <v>38296</v>
      </c>
      <c r="AS2046" s="122">
        <v>14184</v>
      </c>
      <c r="AT2046" s="122">
        <v>0</v>
      </c>
      <c r="AU2046" s="122">
        <v>0</v>
      </c>
      <c r="AV2046" s="122">
        <v>199527</v>
      </c>
    </row>
    <row r="2047" spans="2:48" hidden="1">
      <c r="B2047" t="s">
        <v>376</v>
      </c>
      <c r="C2047" t="s">
        <v>64</v>
      </c>
      <c r="D2047" t="s">
        <v>426</v>
      </c>
      <c r="E2047" t="s">
        <v>426</v>
      </c>
      <c r="F2047" s="122">
        <v>30</v>
      </c>
      <c r="G2047" s="122">
        <v>2655</v>
      </c>
      <c r="H2047" s="122">
        <v>23670</v>
      </c>
      <c r="I2047" s="122">
        <v>1427098</v>
      </c>
      <c r="J2047" s="122">
        <v>1297362</v>
      </c>
      <c r="K2047" s="122">
        <v>52</v>
      </c>
      <c r="L2047" s="122">
        <v>236335</v>
      </c>
      <c r="M2047" s="122">
        <v>181158</v>
      </c>
      <c r="N2047" s="122">
        <v>54622</v>
      </c>
      <c r="O2047" s="122">
        <v>20230</v>
      </c>
      <c r="P2047" s="122">
        <v>7722</v>
      </c>
      <c r="Q2047" s="122">
        <v>2860</v>
      </c>
      <c r="R2047" s="122">
        <v>171967</v>
      </c>
      <c r="S2047" s="122">
        <v>156334</v>
      </c>
      <c r="T2047" s="122">
        <v>65719</v>
      </c>
      <c r="U2047" s="122">
        <v>24340</v>
      </c>
      <c r="V2047" s="122">
        <v>1682285</v>
      </c>
      <c r="W2047" s="122">
        <f t="shared" si="64"/>
        <v>1682284</v>
      </c>
      <c r="X2047" s="122">
        <f t="shared" si="65"/>
        <v>1963463</v>
      </c>
      <c r="AA2047" t="s">
        <v>62</v>
      </c>
      <c r="AB2047" t="s">
        <v>427</v>
      </c>
      <c r="AC2047" t="s">
        <v>566</v>
      </c>
      <c r="AD2047" t="s">
        <v>427</v>
      </c>
      <c r="AE2047" t="s">
        <v>137</v>
      </c>
      <c r="AF2047">
        <v>30</v>
      </c>
      <c r="AG2047" s="122">
        <v>2371</v>
      </c>
      <c r="AH2047" s="122">
        <v>12330</v>
      </c>
      <c r="AI2047" s="122">
        <v>685966</v>
      </c>
      <c r="AJ2047" s="122">
        <v>623605</v>
      </c>
      <c r="AK2047">
        <v>53</v>
      </c>
      <c r="AL2047">
        <v>0</v>
      </c>
      <c r="AM2047" s="122">
        <v>8567</v>
      </c>
      <c r="AN2047" s="122">
        <v>50721</v>
      </c>
      <c r="AO2047" s="122">
        <v>18786</v>
      </c>
      <c r="AP2047" s="122">
        <v>10179</v>
      </c>
      <c r="AQ2047" s="122">
        <v>3770</v>
      </c>
      <c r="AR2047" s="122">
        <v>154464</v>
      </c>
      <c r="AS2047" s="122">
        <v>140422</v>
      </c>
      <c r="AT2047" s="122">
        <v>71225</v>
      </c>
      <c r="AU2047" s="122">
        <v>26380</v>
      </c>
      <c r="AV2047" s="122">
        <v>821529</v>
      </c>
    </row>
    <row r="2048" spans="2:48" hidden="1">
      <c r="B2048" t="s">
        <v>376</v>
      </c>
      <c r="C2048" t="s">
        <v>64</v>
      </c>
      <c r="D2048" t="s">
        <v>426</v>
      </c>
      <c r="E2048" t="s">
        <v>481</v>
      </c>
      <c r="F2048" s="122">
        <v>1</v>
      </c>
      <c r="G2048" s="122">
        <v>77</v>
      </c>
      <c r="H2048" s="122">
        <v>565</v>
      </c>
      <c r="I2048" s="122">
        <v>28610</v>
      </c>
      <c r="J2048" s="122">
        <v>26009</v>
      </c>
      <c r="K2048" s="122">
        <v>65</v>
      </c>
      <c r="L2048" s="122">
        <v>6888</v>
      </c>
      <c r="M2048" s="122">
        <v>6262</v>
      </c>
      <c r="N2048" s="122">
        <v>1268</v>
      </c>
      <c r="O2048" s="122">
        <v>469</v>
      </c>
      <c r="P2048" s="122">
        <v>351</v>
      </c>
      <c r="Q2048" s="122">
        <v>130</v>
      </c>
      <c r="R2048" s="122">
        <v>6089</v>
      </c>
      <c r="S2048" s="122">
        <v>5535</v>
      </c>
      <c r="T2048" s="122">
        <v>0</v>
      </c>
      <c r="U2048" s="122">
        <v>0</v>
      </c>
      <c r="V2048" s="122">
        <v>38406</v>
      </c>
      <c r="W2048" s="122">
        <f t="shared" si="64"/>
        <v>38405</v>
      </c>
      <c r="X2048" s="122">
        <f t="shared" si="65"/>
        <v>43206</v>
      </c>
      <c r="AA2048" t="s">
        <v>62</v>
      </c>
      <c r="AB2048" t="s">
        <v>427</v>
      </c>
      <c r="AC2048" t="s">
        <v>566</v>
      </c>
      <c r="AD2048" t="s">
        <v>427</v>
      </c>
      <c r="AE2048" t="s">
        <v>566</v>
      </c>
      <c r="AF2048">
        <v>3</v>
      </c>
      <c r="AG2048">
        <v>167</v>
      </c>
      <c r="AH2048" s="122">
        <v>1271</v>
      </c>
      <c r="AI2048" s="122">
        <v>80932</v>
      </c>
      <c r="AJ2048" s="122">
        <v>73575</v>
      </c>
      <c r="AK2048">
        <v>62</v>
      </c>
      <c r="AL2048" s="122">
        <v>0</v>
      </c>
      <c r="AM2048" s="122">
        <v>0</v>
      </c>
      <c r="AN2048" s="122">
        <v>4999</v>
      </c>
      <c r="AO2048" s="122">
        <v>1851</v>
      </c>
      <c r="AP2048">
        <v>702</v>
      </c>
      <c r="AQ2048">
        <v>260</v>
      </c>
      <c r="AR2048" s="122">
        <v>20377</v>
      </c>
      <c r="AS2048" s="122">
        <v>18525</v>
      </c>
      <c r="AT2048" s="122">
        <v>0</v>
      </c>
      <c r="AU2048" s="122">
        <v>0</v>
      </c>
      <c r="AV2048" s="122">
        <v>94211</v>
      </c>
    </row>
    <row r="2049" spans="2:48" hidden="1">
      <c r="B2049" t="s">
        <v>376</v>
      </c>
      <c r="C2049" t="s">
        <v>64</v>
      </c>
      <c r="D2049" t="s">
        <v>408</v>
      </c>
      <c r="E2049" t="s">
        <v>408</v>
      </c>
      <c r="F2049" s="122">
        <v>1</v>
      </c>
      <c r="G2049" s="122">
        <v>125</v>
      </c>
      <c r="H2049" s="122">
        <v>668</v>
      </c>
      <c r="I2049" s="122">
        <v>56785</v>
      </c>
      <c r="J2049" s="122">
        <v>51623</v>
      </c>
      <c r="K2049" s="122">
        <v>65</v>
      </c>
      <c r="L2049" s="122">
        <v>14913</v>
      </c>
      <c r="M2049" s="122">
        <v>12428</v>
      </c>
      <c r="N2049" s="122">
        <v>3039</v>
      </c>
      <c r="O2049" s="122">
        <v>1125</v>
      </c>
      <c r="P2049" s="122">
        <v>351</v>
      </c>
      <c r="Q2049" s="122">
        <v>130</v>
      </c>
      <c r="R2049" s="122">
        <v>5199</v>
      </c>
      <c r="S2049" s="122">
        <v>4726</v>
      </c>
      <c r="T2049" s="122">
        <v>2998</v>
      </c>
      <c r="U2049" s="122">
        <v>1111</v>
      </c>
      <c r="V2049" s="122">
        <v>71143</v>
      </c>
      <c r="W2049" s="122">
        <f t="shared" si="64"/>
        <v>71143</v>
      </c>
      <c r="X2049" s="122">
        <f t="shared" si="65"/>
        <v>83285</v>
      </c>
      <c r="AA2049" t="s">
        <v>62</v>
      </c>
      <c r="AB2049" t="s">
        <v>427</v>
      </c>
      <c r="AC2049" t="s">
        <v>481</v>
      </c>
      <c r="AD2049" t="s">
        <v>406</v>
      </c>
      <c r="AE2049" t="s">
        <v>137</v>
      </c>
      <c r="AF2049">
        <v>1</v>
      </c>
      <c r="AG2049">
        <v>205</v>
      </c>
      <c r="AH2049">
        <v>435</v>
      </c>
      <c r="AI2049" s="122">
        <v>59724</v>
      </c>
      <c r="AJ2049" s="122">
        <v>54295</v>
      </c>
      <c r="AK2049">
        <v>65</v>
      </c>
      <c r="AL2049" s="122">
        <v>13670</v>
      </c>
      <c r="AM2049" s="122">
        <v>12427</v>
      </c>
      <c r="AN2049" s="122">
        <v>5004</v>
      </c>
      <c r="AO2049" s="122">
        <v>1853</v>
      </c>
      <c r="AP2049">
        <v>621</v>
      </c>
      <c r="AQ2049">
        <v>230</v>
      </c>
      <c r="AR2049" s="122">
        <v>6479</v>
      </c>
      <c r="AS2049" s="122">
        <v>5890</v>
      </c>
      <c r="AT2049" s="122">
        <v>3750</v>
      </c>
      <c r="AU2049" s="122">
        <v>1389</v>
      </c>
      <c r="AV2049" s="122">
        <v>76085</v>
      </c>
    </row>
    <row r="2050" spans="2:48" hidden="1">
      <c r="B2050" t="s">
        <v>377</v>
      </c>
      <c r="C2050" t="s">
        <v>48</v>
      </c>
      <c r="D2050" t="s">
        <v>425</v>
      </c>
      <c r="E2050" t="s">
        <v>425</v>
      </c>
      <c r="F2050" s="122">
        <v>1</v>
      </c>
      <c r="G2050" s="122">
        <v>281</v>
      </c>
      <c r="H2050" s="122">
        <v>71</v>
      </c>
      <c r="I2050" s="122">
        <v>7452</v>
      </c>
      <c r="J2050" s="122">
        <v>6775</v>
      </c>
      <c r="K2050" s="122">
        <v>92</v>
      </c>
      <c r="L2050" s="122">
        <v>1167</v>
      </c>
      <c r="M2050" s="122">
        <v>1061</v>
      </c>
      <c r="N2050" s="122">
        <v>5138</v>
      </c>
      <c r="O2050" s="122">
        <v>1903</v>
      </c>
      <c r="P2050" s="122">
        <v>2964</v>
      </c>
      <c r="Q2050" s="122">
        <v>1098</v>
      </c>
      <c r="R2050" s="122">
        <v>3325</v>
      </c>
      <c r="S2050" s="122">
        <v>3022</v>
      </c>
      <c r="T2050" s="122">
        <v>0</v>
      </c>
      <c r="U2050" s="122">
        <v>0</v>
      </c>
      <c r="V2050" s="122">
        <v>13858</v>
      </c>
      <c r="W2050" s="122">
        <f t="shared" si="64"/>
        <v>13859</v>
      </c>
      <c r="X2050" s="122">
        <f t="shared" si="65"/>
        <v>20046</v>
      </c>
      <c r="AA2050" t="s">
        <v>62</v>
      </c>
      <c r="AB2050" t="s">
        <v>407</v>
      </c>
      <c r="AC2050" t="s">
        <v>425</v>
      </c>
      <c r="AD2050" t="s">
        <v>407</v>
      </c>
      <c r="AE2050" t="s">
        <v>566</v>
      </c>
      <c r="AF2050">
        <v>1</v>
      </c>
      <c r="AG2050">
        <v>206</v>
      </c>
      <c r="AH2050">
        <v>389</v>
      </c>
      <c r="AI2050" s="122">
        <v>46428</v>
      </c>
      <c r="AJ2050" s="122">
        <v>42207</v>
      </c>
      <c r="AK2050">
        <v>90</v>
      </c>
      <c r="AL2050" s="122">
        <v>22079</v>
      </c>
      <c r="AM2050" s="122">
        <v>20072</v>
      </c>
      <c r="AN2050" s="122">
        <v>4693</v>
      </c>
      <c r="AO2050" s="122">
        <v>1738</v>
      </c>
      <c r="AP2050">
        <v>473</v>
      </c>
      <c r="AQ2050">
        <v>175</v>
      </c>
      <c r="AR2050" s="122">
        <v>6458</v>
      </c>
      <c r="AS2050" s="122">
        <v>5871</v>
      </c>
      <c r="AT2050">
        <v>0</v>
      </c>
      <c r="AU2050">
        <v>0</v>
      </c>
      <c r="AV2050" s="122">
        <v>70062</v>
      </c>
    </row>
    <row r="2051" spans="2:48" hidden="1">
      <c r="B2051" t="s">
        <v>377</v>
      </c>
      <c r="C2051" t="s">
        <v>48</v>
      </c>
      <c r="D2051" t="s">
        <v>405</v>
      </c>
      <c r="E2051" t="s">
        <v>405</v>
      </c>
      <c r="F2051" s="122">
        <v>4</v>
      </c>
      <c r="G2051" s="122">
        <v>532</v>
      </c>
      <c r="H2051" s="122">
        <v>287</v>
      </c>
      <c r="I2051" s="122">
        <v>16545</v>
      </c>
      <c r="J2051" s="122">
        <v>15041</v>
      </c>
      <c r="K2051" s="122">
        <v>90</v>
      </c>
      <c r="L2051" s="122">
        <v>2681</v>
      </c>
      <c r="M2051" s="122">
        <v>2437</v>
      </c>
      <c r="N2051" s="122">
        <v>6479</v>
      </c>
      <c r="O2051" s="122">
        <v>2400</v>
      </c>
      <c r="P2051" s="122">
        <v>1890</v>
      </c>
      <c r="Q2051" s="122">
        <v>700</v>
      </c>
      <c r="R2051" s="122">
        <v>10447</v>
      </c>
      <c r="S2051" s="122">
        <v>9498</v>
      </c>
      <c r="T2051" s="122">
        <v>0</v>
      </c>
      <c r="U2051" s="122">
        <v>0</v>
      </c>
      <c r="V2051" s="122">
        <v>30075</v>
      </c>
      <c r="W2051" s="122">
        <f t="shared" si="64"/>
        <v>30076</v>
      </c>
      <c r="X2051" s="122">
        <f t="shared" si="65"/>
        <v>38042</v>
      </c>
      <c r="AA2051" t="s">
        <v>62</v>
      </c>
      <c r="AB2051" t="s">
        <v>407</v>
      </c>
      <c r="AC2051" t="s">
        <v>137</v>
      </c>
      <c r="AD2051" t="s">
        <v>137</v>
      </c>
      <c r="AE2051" t="s">
        <v>566</v>
      </c>
      <c r="AF2051">
        <v>2</v>
      </c>
      <c r="AG2051" s="122">
        <v>327</v>
      </c>
      <c r="AH2051" s="122">
        <v>843</v>
      </c>
      <c r="AI2051" s="122">
        <v>98332</v>
      </c>
      <c r="AJ2051" s="122">
        <v>89393</v>
      </c>
      <c r="AK2051">
        <v>79</v>
      </c>
      <c r="AL2051" s="122">
        <v>20118</v>
      </c>
      <c r="AM2051" s="122">
        <v>7451</v>
      </c>
      <c r="AN2051" s="122">
        <v>5939</v>
      </c>
      <c r="AO2051" s="122">
        <v>2199</v>
      </c>
      <c r="AP2051" s="122">
        <v>945</v>
      </c>
      <c r="AQ2051" s="122">
        <v>350</v>
      </c>
      <c r="AR2051" s="122">
        <v>27342</v>
      </c>
      <c r="AS2051" s="122">
        <v>10127</v>
      </c>
      <c r="AT2051" s="122">
        <v>0</v>
      </c>
      <c r="AU2051" s="122">
        <v>0</v>
      </c>
      <c r="AV2051" s="122">
        <v>109520</v>
      </c>
    </row>
    <row r="2052" spans="2:48" hidden="1">
      <c r="B2052" t="s">
        <v>377</v>
      </c>
      <c r="C2052" t="s">
        <v>48</v>
      </c>
      <c r="D2052" t="s">
        <v>137</v>
      </c>
      <c r="E2052" t="s">
        <v>137</v>
      </c>
      <c r="F2052" s="122">
        <v>183</v>
      </c>
      <c r="G2052" s="122">
        <v>42719</v>
      </c>
      <c r="H2052" s="122">
        <v>9645</v>
      </c>
      <c r="I2052" s="122">
        <v>238046</v>
      </c>
      <c r="J2052" s="122">
        <v>88165</v>
      </c>
      <c r="K2052" s="122">
        <v>472</v>
      </c>
      <c r="L2052" s="122">
        <v>54460</v>
      </c>
      <c r="M2052" s="122">
        <v>47979</v>
      </c>
      <c r="N2052" s="122">
        <v>583697</v>
      </c>
      <c r="O2052" s="122">
        <v>216184</v>
      </c>
      <c r="P2052" s="122">
        <v>354847</v>
      </c>
      <c r="Q2052" s="122">
        <v>131425</v>
      </c>
      <c r="R2052" s="122">
        <v>982279</v>
      </c>
      <c r="S2052" s="122">
        <v>363807</v>
      </c>
      <c r="T2052" s="122">
        <v>4495</v>
      </c>
      <c r="U2052" s="122">
        <v>1665</v>
      </c>
      <c r="V2052" s="122">
        <v>849225</v>
      </c>
      <c r="W2052" s="122">
        <f t="shared" si="64"/>
        <v>849225</v>
      </c>
      <c r="X2052" s="122">
        <f t="shared" si="65"/>
        <v>2217824</v>
      </c>
      <c r="AA2052" t="s">
        <v>62</v>
      </c>
      <c r="AB2052" t="s">
        <v>407</v>
      </c>
      <c r="AC2052" t="s">
        <v>137</v>
      </c>
      <c r="AD2052" t="s">
        <v>407</v>
      </c>
      <c r="AE2052" t="s">
        <v>137</v>
      </c>
      <c r="AF2052">
        <v>37</v>
      </c>
      <c r="AG2052" s="122">
        <v>3639</v>
      </c>
      <c r="AH2052" s="122">
        <v>15487</v>
      </c>
      <c r="AI2052" s="122">
        <v>942903</v>
      </c>
      <c r="AJ2052" s="122">
        <v>857184</v>
      </c>
      <c r="AK2052">
        <v>78</v>
      </c>
      <c r="AL2052" s="122">
        <v>245999</v>
      </c>
      <c r="AM2052" s="122">
        <v>91111</v>
      </c>
      <c r="AN2052" s="122">
        <v>75778</v>
      </c>
      <c r="AO2052" s="122">
        <v>28066</v>
      </c>
      <c r="AP2052" s="122">
        <v>17240</v>
      </c>
      <c r="AQ2052" s="122">
        <v>6385</v>
      </c>
      <c r="AR2052" s="122">
        <v>175885</v>
      </c>
      <c r="AS2052" s="122">
        <v>159895</v>
      </c>
      <c r="AT2052" s="122">
        <v>81726</v>
      </c>
      <c r="AU2052" s="122">
        <v>30269</v>
      </c>
      <c r="AV2052" s="122">
        <v>1172911</v>
      </c>
    </row>
    <row r="2053" spans="2:48" hidden="1">
      <c r="B2053" t="s">
        <v>377</v>
      </c>
      <c r="C2053" t="s">
        <v>48</v>
      </c>
      <c r="D2053" t="s">
        <v>406</v>
      </c>
      <c r="E2053" t="s">
        <v>137</v>
      </c>
      <c r="F2053" s="122">
        <v>4</v>
      </c>
      <c r="G2053" s="122">
        <v>847</v>
      </c>
      <c r="H2053" s="122">
        <v>241</v>
      </c>
      <c r="I2053" s="122">
        <v>5706</v>
      </c>
      <c r="J2053" s="122">
        <v>5187</v>
      </c>
      <c r="K2053" s="122">
        <v>95</v>
      </c>
      <c r="L2053" s="122">
        <v>938</v>
      </c>
      <c r="M2053" s="122">
        <v>853</v>
      </c>
      <c r="N2053" s="122">
        <v>10316</v>
      </c>
      <c r="O2053" s="122">
        <v>3821</v>
      </c>
      <c r="P2053" s="122">
        <v>7629</v>
      </c>
      <c r="Q2053" s="122">
        <v>2826</v>
      </c>
      <c r="R2053" s="122">
        <v>25585</v>
      </c>
      <c r="S2053" s="122">
        <v>9476</v>
      </c>
      <c r="T2053" s="122">
        <v>0</v>
      </c>
      <c r="U2053" s="122">
        <v>0</v>
      </c>
      <c r="V2053" s="122">
        <v>22162</v>
      </c>
      <c r="W2053" s="122">
        <f t="shared" si="64"/>
        <v>22163</v>
      </c>
      <c r="X2053" s="122">
        <f t="shared" si="65"/>
        <v>50174</v>
      </c>
      <c r="AA2053" t="s">
        <v>62</v>
      </c>
      <c r="AB2053" t="s">
        <v>407</v>
      </c>
      <c r="AC2053" t="s">
        <v>137</v>
      </c>
      <c r="AD2053" t="s">
        <v>407</v>
      </c>
      <c r="AE2053" t="s">
        <v>566</v>
      </c>
      <c r="AF2053">
        <v>21</v>
      </c>
      <c r="AG2053" s="122">
        <v>2052</v>
      </c>
      <c r="AH2053" s="122">
        <v>8615</v>
      </c>
      <c r="AI2053" s="122">
        <v>533392</v>
      </c>
      <c r="AJ2053" s="122">
        <v>484902</v>
      </c>
      <c r="AK2053">
        <v>79</v>
      </c>
      <c r="AL2053" s="122">
        <v>134243</v>
      </c>
      <c r="AM2053" s="122">
        <v>49720</v>
      </c>
      <c r="AN2053" s="122">
        <v>43178</v>
      </c>
      <c r="AO2053" s="122">
        <v>15992</v>
      </c>
      <c r="AP2053" s="122">
        <v>8978</v>
      </c>
      <c r="AQ2053" s="122">
        <v>3325</v>
      </c>
      <c r="AR2053" s="122">
        <v>123708</v>
      </c>
      <c r="AS2053" s="122">
        <v>112462</v>
      </c>
      <c r="AT2053" s="122">
        <v>0</v>
      </c>
      <c r="AU2053" s="122">
        <v>0</v>
      </c>
      <c r="AV2053" s="122">
        <v>666401</v>
      </c>
    </row>
    <row r="2054" spans="2:48" hidden="1">
      <c r="B2054" t="s">
        <v>377</v>
      </c>
      <c r="C2054" t="s">
        <v>48</v>
      </c>
      <c r="D2054" t="s">
        <v>406</v>
      </c>
      <c r="E2054" t="s">
        <v>406</v>
      </c>
      <c r="F2054" s="122">
        <v>76</v>
      </c>
      <c r="G2054" s="122">
        <v>16504</v>
      </c>
      <c r="H2054" s="122">
        <v>4317</v>
      </c>
      <c r="I2054" s="122">
        <v>250282</v>
      </c>
      <c r="J2054" s="122">
        <v>227529</v>
      </c>
      <c r="K2054" s="122">
        <v>98</v>
      </c>
      <c r="L2054" s="122">
        <v>42362</v>
      </c>
      <c r="M2054" s="122">
        <v>43138</v>
      </c>
      <c r="N2054" s="122">
        <v>221631</v>
      </c>
      <c r="O2054" s="122">
        <v>82086</v>
      </c>
      <c r="P2054" s="122">
        <v>143901</v>
      </c>
      <c r="Q2054" s="122">
        <v>53297</v>
      </c>
      <c r="R2054" s="122">
        <v>280713</v>
      </c>
      <c r="S2054" s="122">
        <v>255193</v>
      </c>
      <c r="T2054" s="122">
        <v>2160</v>
      </c>
      <c r="U2054" s="122">
        <v>800</v>
      </c>
      <c r="V2054" s="122">
        <v>662043</v>
      </c>
      <c r="W2054" s="122">
        <f t="shared" si="64"/>
        <v>662043</v>
      </c>
      <c r="X2054" s="122">
        <f t="shared" si="65"/>
        <v>941049</v>
      </c>
      <c r="AA2054" t="s">
        <v>62</v>
      </c>
      <c r="AB2054" t="s">
        <v>407</v>
      </c>
      <c r="AC2054" t="s">
        <v>580</v>
      </c>
      <c r="AD2054" t="s">
        <v>406</v>
      </c>
      <c r="AE2054" t="s">
        <v>137</v>
      </c>
      <c r="AF2054">
        <v>1</v>
      </c>
      <c r="AG2054">
        <v>290</v>
      </c>
      <c r="AH2054">
        <v>410</v>
      </c>
      <c r="AI2054" s="122">
        <v>88966</v>
      </c>
      <c r="AJ2054" s="122">
        <v>80878</v>
      </c>
      <c r="AK2054">
        <v>73</v>
      </c>
      <c r="AL2054" s="122">
        <v>9800</v>
      </c>
      <c r="AM2054" s="122">
        <v>8909</v>
      </c>
      <c r="AN2054" s="122">
        <v>6360</v>
      </c>
      <c r="AO2054" s="122">
        <v>2356</v>
      </c>
      <c r="AP2054">
        <v>972</v>
      </c>
      <c r="AQ2054">
        <v>360</v>
      </c>
      <c r="AR2054" s="122">
        <v>7691</v>
      </c>
      <c r="AS2054" s="122">
        <v>6992</v>
      </c>
      <c r="AT2054" s="122">
        <v>5096</v>
      </c>
      <c r="AU2054" s="122">
        <v>1888</v>
      </c>
      <c r="AV2054" s="122">
        <v>101383</v>
      </c>
    </row>
    <row r="2055" spans="2:48" hidden="1">
      <c r="B2055" t="s">
        <v>377</v>
      </c>
      <c r="C2055" t="s">
        <v>48</v>
      </c>
      <c r="D2055" t="s">
        <v>407</v>
      </c>
      <c r="E2055" t="s">
        <v>137</v>
      </c>
      <c r="F2055" s="122">
        <v>1</v>
      </c>
      <c r="G2055" s="122">
        <v>258</v>
      </c>
      <c r="H2055" s="122">
        <v>52</v>
      </c>
      <c r="I2055" s="122">
        <v>3799</v>
      </c>
      <c r="J2055" s="122">
        <v>3454</v>
      </c>
      <c r="K2055" s="122">
        <v>90</v>
      </c>
      <c r="L2055" s="122">
        <v>556</v>
      </c>
      <c r="M2055" s="122">
        <v>505</v>
      </c>
      <c r="N2055" s="122">
        <v>3140</v>
      </c>
      <c r="O2055" s="122">
        <v>1163</v>
      </c>
      <c r="P2055" s="122">
        <v>473</v>
      </c>
      <c r="Q2055" s="122">
        <v>175</v>
      </c>
      <c r="R2055" s="122">
        <v>5466</v>
      </c>
      <c r="S2055" s="122">
        <v>2024</v>
      </c>
      <c r="T2055" s="122">
        <v>0</v>
      </c>
      <c r="U2055" s="122">
        <v>0</v>
      </c>
      <c r="V2055" s="122">
        <v>7322</v>
      </c>
      <c r="W2055" s="122">
        <f t="shared" si="64"/>
        <v>7321</v>
      </c>
      <c r="X2055" s="122">
        <f t="shared" si="65"/>
        <v>13434</v>
      </c>
      <c r="AA2055" t="s">
        <v>62</v>
      </c>
      <c r="AB2055" t="s">
        <v>407</v>
      </c>
      <c r="AC2055" t="s">
        <v>580</v>
      </c>
      <c r="AD2055" t="s">
        <v>407</v>
      </c>
      <c r="AE2055" t="s">
        <v>137</v>
      </c>
      <c r="AF2055">
        <v>2</v>
      </c>
      <c r="AG2055">
        <v>261</v>
      </c>
      <c r="AH2055" s="122">
        <v>842</v>
      </c>
      <c r="AI2055" s="122">
        <v>75070</v>
      </c>
      <c r="AJ2055" s="122">
        <v>68245</v>
      </c>
      <c r="AK2055">
        <v>78</v>
      </c>
      <c r="AL2055" s="122">
        <v>15560</v>
      </c>
      <c r="AM2055" s="122">
        <v>14146</v>
      </c>
      <c r="AN2055" s="122">
        <v>4904</v>
      </c>
      <c r="AO2055" s="122">
        <v>1816</v>
      </c>
      <c r="AP2055" s="122">
        <v>945</v>
      </c>
      <c r="AQ2055">
        <v>350</v>
      </c>
      <c r="AR2055" s="122">
        <v>8602</v>
      </c>
      <c r="AS2055" s="122">
        <v>7820</v>
      </c>
      <c r="AT2055" s="122">
        <v>5541</v>
      </c>
      <c r="AU2055" s="122">
        <v>2052</v>
      </c>
      <c r="AV2055" s="122">
        <v>94430</v>
      </c>
    </row>
    <row r="2056" spans="2:48" hidden="1">
      <c r="B2056" t="s">
        <v>377</v>
      </c>
      <c r="C2056" t="s">
        <v>48</v>
      </c>
      <c r="D2056" t="s">
        <v>407</v>
      </c>
      <c r="E2056" t="s">
        <v>407</v>
      </c>
      <c r="F2056" s="122">
        <v>17</v>
      </c>
      <c r="G2056" s="122">
        <v>2569</v>
      </c>
      <c r="H2056" s="122">
        <v>999</v>
      </c>
      <c r="I2056" s="122">
        <v>62977</v>
      </c>
      <c r="J2056" s="122">
        <v>57252</v>
      </c>
      <c r="K2056" s="122">
        <v>90</v>
      </c>
      <c r="L2056" s="122">
        <v>7468</v>
      </c>
      <c r="M2056" s="122">
        <v>7313</v>
      </c>
      <c r="N2056" s="122">
        <v>31391</v>
      </c>
      <c r="O2056" s="122">
        <v>11626</v>
      </c>
      <c r="P2056" s="122">
        <v>11126</v>
      </c>
      <c r="Q2056" s="122">
        <v>4121</v>
      </c>
      <c r="R2056" s="122">
        <v>37937</v>
      </c>
      <c r="S2056" s="122">
        <v>34488</v>
      </c>
      <c r="T2056" s="122">
        <v>0</v>
      </c>
      <c r="U2056" s="122">
        <v>0</v>
      </c>
      <c r="V2056" s="122">
        <v>114800</v>
      </c>
      <c r="W2056" s="122">
        <f t="shared" si="64"/>
        <v>114800</v>
      </c>
      <c r="X2056" s="122">
        <f t="shared" si="65"/>
        <v>150899</v>
      </c>
      <c r="AA2056" t="s">
        <v>62</v>
      </c>
      <c r="AB2056" t="s">
        <v>407</v>
      </c>
      <c r="AC2056" t="s">
        <v>580</v>
      </c>
      <c r="AD2056" t="s">
        <v>407</v>
      </c>
      <c r="AE2056" t="s">
        <v>566</v>
      </c>
      <c r="AF2056">
        <v>3</v>
      </c>
      <c r="AG2056">
        <v>460</v>
      </c>
      <c r="AH2056" s="122">
        <v>1250</v>
      </c>
      <c r="AI2056" s="122">
        <v>138852</v>
      </c>
      <c r="AJ2056" s="122">
        <v>126229</v>
      </c>
      <c r="AK2056">
        <v>78</v>
      </c>
      <c r="AL2056" s="122">
        <v>20006</v>
      </c>
      <c r="AM2056" s="122">
        <v>18187</v>
      </c>
      <c r="AN2056" s="122">
        <v>10310</v>
      </c>
      <c r="AO2056" s="122">
        <v>3819</v>
      </c>
      <c r="AP2056" s="122">
        <v>1418</v>
      </c>
      <c r="AQ2056">
        <v>525</v>
      </c>
      <c r="AR2056" s="122">
        <v>20957</v>
      </c>
      <c r="AS2056" s="122">
        <v>19052</v>
      </c>
      <c r="AT2056">
        <v>0</v>
      </c>
      <c r="AU2056">
        <v>0</v>
      </c>
      <c r="AV2056" s="122">
        <v>167812</v>
      </c>
    </row>
    <row r="2057" spans="2:48" hidden="1">
      <c r="B2057" t="s">
        <v>377</v>
      </c>
      <c r="C2057" t="s">
        <v>48</v>
      </c>
      <c r="D2057" t="s">
        <v>433</v>
      </c>
      <c r="E2057" t="s">
        <v>433</v>
      </c>
      <c r="F2057" s="122">
        <v>1</v>
      </c>
      <c r="G2057" s="122">
        <v>197</v>
      </c>
      <c r="H2057" s="122">
        <v>68</v>
      </c>
      <c r="I2057" s="122">
        <v>3992</v>
      </c>
      <c r="J2057" s="122">
        <v>3629</v>
      </c>
      <c r="K2057" s="122">
        <v>83</v>
      </c>
      <c r="L2057" s="122">
        <v>611</v>
      </c>
      <c r="M2057" s="122">
        <v>556</v>
      </c>
      <c r="N2057" s="122">
        <v>2400</v>
      </c>
      <c r="O2057" s="122">
        <v>889</v>
      </c>
      <c r="P2057" s="122">
        <v>1973</v>
      </c>
      <c r="Q2057" s="122">
        <v>731</v>
      </c>
      <c r="R2057" s="122">
        <v>4345</v>
      </c>
      <c r="S2057" s="122">
        <v>3950</v>
      </c>
      <c r="T2057" s="122">
        <v>0</v>
      </c>
      <c r="U2057" s="122">
        <v>0</v>
      </c>
      <c r="V2057" s="122">
        <v>9755</v>
      </c>
      <c r="W2057" s="122">
        <f t="shared" si="64"/>
        <v>9755</v>
      </c>
      <c r="X2057" s="122">
        <f t="shared" si="65"/>
        <v>13321</v>
      </c>
      <c r="AA2057" t="s">
        <v>62</v>
      </c>
      <c r="AB2057" t="s">
        <v>407</v>
      </c>
      <c r="AC2057" t="s">
        <v>427</v>
      </c>
      <c r="AD2057" t="s">
        <v>137</v>
      </c>
      <c r="AE2057" t="s">
        <v>566</v>
      </c>
      <c r="AF2057">
        <v>2</v>
      </c>
      <c r="AG2057" s="122">
        <v>196</v>
      </c>
      <c r="AH2057" s="122">
        <v>794</v>
      </c>
      <c r="AI2057" s="122">
        <v>40519</v>
      </c>
      <c r="AJ2057" s="122">
        <v>36836</v>
      </c>
      <c r="AK2057">
        <v>70</v>
      </c>
      <c r="AL2057" s="122">
        <v>10153</v>
      </c>
      <c r="AM2057" s="122">
        <v>9230</v>
      </c>
      <c r="AN2057" s="122">
        <v>4491</v>
      </c>
      <c r="AO2057" s="122">
        <v>1663</v>
      </c>
      <c r="AP2057" s="122">
        <v>473</v>
      </c>
      <c r="AQ2057" s="122">
        <v>175</v>
      </c>
      <c r="AR2057" s="122">
        <v>22023</v>
      </c>
      <c r="AS2057" s="122">
        <v>8157</v>
      </c>
      <c r="AT2057" s="122">
        <v>0</v>
      </c>
      <c r="AU2057" s="122">
        <v>0</v>
      </c>
      <c r="AV2057" s="122">
        <v>56060</v>
      </c>
    </row>
    <row r="2058" spans="2:48" hidden="1">
      <c r="B2058" t="s">
        <v>377</v>
      </c>
      <c r="C2058" t="s">
        <v>48</v>
      </c>
      <c r="D2058" t="s">
        <v>408</v>
      </c>
      <c r="E2058" t="s">
        <v>408</v>
      </c>
      <c r="F2058" s="122">
        <v>1</v>
      </c>
      <c r="G2058" s="122">
        <v>240</v>
      </c>
      <c r="H2058" s="122">
        <v>56</v>
      </c>
      <c r="I2058" s="122">
        <v>2540</v>
      </c>
      <c r="J2058" s="122">
        <v>2309</v>
      </c>
      <c r="K2058" s="122">
        <v>90</v>
      </c>
      <c r="L2058" s="122">
        <v>389</v>
      </c>
      <c r="M2058" s="122">
        <v>353</v>
      </c>
      <c r="N2058" s="122">
        <v>2924</v>
      </c>
      <c r="O2058" s="122">
        <v>1083</v>
      </c>
      <c r="P2058" s="122">
        <v>2525</v>
      </c>
      <c r="Q2058" s="122">
        <v>935</v>
      </c>
      <c r="R2058" s="122">
        <v>5155</v>
      </c>
      <c r="S2058" s="122">
        <v>4686</v>
      </c>
      <c r="T2058" s="122">
        <v>0</v>
      </c>
      <c r="U2058" s="122">
        <v>0</v>
      </c>
      <c r="V2058" s="122">
        <v>9366</v>
      </c>
      <c r="W2058" s="122">
        <f t="shared" si="64"/>
        <v>9366</v>
      </c>
      <c r="X2058" s="122">
        <f t="shared" si="65"/>
        <v>13533</v>
      </c>
      <c r="AA2058" t="s">
        <v>62</v>
      </c>
      <c r="AB2058" t="s">
        <v>407</v>
      </c>
      <c r="AC2058" t="s">
        <v>427</v>
      </c>
      <c r="AD2058" t="s">
        <v>407</v>
      </c>
      <c r="AE2058" t="s">
        <v>137</v>
      </c>
      <c r="AF2058">
        <v>33</v>
      </c>
      <c r="AG2058" s="122">
        <v>3247</v>
      </c>
      <c r="AH2058" s="122">
        <v>13728</v>
      </c>
      <c r="AI2058" s="122">
        <v>857696</v>
      </c>
      <c r="AJ2058" s="122">
        <v>779723</v>
      </c>
      <c r="AK2058">
        <v>77</v>
      </c>
      <c r="AL2058" s="122">
        <v>222979</v>
      </c>
      <c r="AM2058" s="122">
        <v>202709</v>
      </c>
      <c r="AN2058" s="122">
        <v>72140</v>
      </c>
      <c r="AO2058" s="122">
        <v>26719</v>
      </c>
      <c r="AP2058" s="122">
        <v>16295</v>
      </c>
      <c r="AQ2058" s="122">
        <v>6035</v>
      </c>
      <c r="AR2058" s="122">
        <v>151833</v>
      </c>
      <c r="AS2058" s="122">
        <v>138030</v>
      </c>
      <c r="AT2058" s="122">
        <v>79578</v>
      </c>
      <c r="AU2058" s="122">
        <v>29473</v>
      </c>
      <c r="AV2058" s="122">
        <v>1182689</v>
      </c>
    </row>
    <row r="2059" spans="2:48" hidden="1">
      <c r="B2059" t="s">
        <v>377</v>
      </c>
      <c r="C2059" t="s">
        <v>50</v>
      </c>
      <c r="D2059" t="s">
        <v>405</v>
      </c>
      <c r="E2059" t="s">
        <v>405</v>
      </c>
      <c r="F2059" s="122">
        <v>4</v>
      </c>
      <c r="G2059" s="122">
        <v>523</v>
      </c>
      <c r="H2059" s="122">
        <v>348</v>
      </c>
      <c r="I2059" s="122">
        <v>33183</v>
      </c>
      <c r="J2059" s="122">
        <v>30166</v>
      </c>
      <c r="K2059" s="122">
        <v>90</v>
      </c>
      <c r="L2059" s="122">
        <v>4773</v>
      </c>
      <c r="M2059" s="122">
        <v>4340</v>
      </c>
      <c r="N2059" s="122">
        <v>7782</v>
      </c>
      <c r="O2059" s="122">
        <v>2882</v>
      </c>
      <c r="P2059" s="122">
        <v>1890</v>
      </c>
      <c r="Q2059" s="122">
        <v>700</v>
      </c>
      <c r="R2059" s="122">
        <v>10155</v>
      </c>
      <c r="S2059" s="122">
        <v>9232</v>
      </c>
      <c r="T2059" s="122">
        <v>0</v>
      </c>
      <c r="U2059" s="122">
        <v>0</v>
      </c>
      <c r="V2059" s="122">
        <v>47319</v>
      </c>
      <c r="W2059" s="122">
        <f t="shared" si="64"/>
        <v>47320</v>
      </c>
      <c r="X2059" s="122">
        <f t="shared" si="65"/>
        <v>57783</v>
      </c>
      <c r="AA2059" t="s">
        <v>62</v>
      </c>
      <c r="AB2059" t="s">
        <v>407</v>
      </c>
      <c r="AC2059" t="s">
        <v>427</v>
      </c>
      <c r="AD2059" t="s">
        <v>407</v>
      </c>
      <c r="AE2059" t="s">
        <v>566</v>
      </c>
      <c r="AF2059">
        <v>31</v>
      </c>
      <c r="AG2059" s="122">
        <v>4377</v>
      </c>
      <c r="AH2059" s="122">
        <v>12710</v>
      </c>
      <c r="AI2059" s="122">
        <v>1223924</v>
      </c>
      <c r="AJ2059" s="122">
        <v>1112658</v>
      </c>
      <c r="AK2059">
        <v>76</v>
      </c>
      <c r="AL2059" s="122">
        <v>307142</v>
      </c>
      <c r="AM2059" s="122">
        <v>279220</v>
      </c>
      <c r="AN2059" s="122">
        <v>100524</v>
      </c>
      <c r="AO2059" s="122">
        <v>37231</v>
      </c>
      <c r="AP2059" s="122">
        <v>14413</v>
      </c>
      <c r="AQ2059" s="122">
        <v>5338</v>
      </c>
      <c r="AR2059" s="122">
        <v>223136</v>
      </c>
      <c r="AS2059" s="122">
        <v>202851</v>
      </c>
      <c r="AT2059">
        <v>0</v>
      </c>
      <c r="AU2059">
        <v>0</v>
      </c>
      <c r="AV2059" s="122">
        <v>1637298</v>
      </c>
    </row>
    <row r="2060" spans="2:48" hidden="1">
      <c r="B2060" t="s">
        <v>377</v>
      </c>
      <c r="C2060" t="s">
        <v>50</v>
      </c>
      <c r="D2060" t="s">
        <v>405</v>
      </c>
      <c r="E2060" t="s">
        <v>137</v>
      </c>
      <c r="F2060" s="122">
        <v>1</v>
      </c>
      <c r="G2060" s="122">
        <v>177</v>
      </c>
      <c r="H2060" s="122">
        <v>90</v>
      </c>
      <c r="I2060" s="122">
        <v>8587</v>
      </c>
      <c r="J2060" s="122">
        <v>7807</v>
      </c>
      <c r="K2060" s="122">
        <v>90</v>
      </c>
      <c r="L2060" s="122">
        <v>1106</v>
      </c>
      <c r="M2060" s="122">
        <v>1005</v>
      </c>
      <c r="N2060" s="122">
        <v>2151</v>
      </c>
      <c r="O2060" s="122">
        <v>797</v>
      </c>
      <c r="P2060" s="122">
        <v>1877</v>
      </c>
      <c r="Q2060" s="122">
        <v>695</v>
      </c>
      <c r="R2060" s="122">
        <v>2206</v>
      </c>
      <c r="S2060" s="122">
        <v>817</v>
      </c>
      <c r="T2060" s="122">
        <v>0</v>
      </c>
      <c r="U2060" s="122">
        <v>0</v>
      </c>
      <c r="V2060" s="122">
        <v>11121</v>
      </c>
      <c r="W2060" s="122">
        <f t="shared" si="64"/>
        <v>11121</v>
      </c>
      <c r="X2060" s="122">
        <f t="shared" si="65"/>
        <v>15927</v>
      </c>
      <c r="AA2060" t="s">
        <v>62</v>
      </c>
      <c r="AB2060" t="s">
        <v>407</v>
      </c>
      <c r="AC2060" t="s">
        <v>407</v>
      </c>
      <c r="AD2060" t="s">
        <v>137</v>
      </c>
      <c r="AE2060" t="s">
        <v>566</v>
      </c>
      <c r="AF2060">
        <v>2</v>
      </c>
      <c r="AG2060">
        <v>167</v>
      </c>
      <c r="AH2060">
        <v>798</v>
      </c>
      <c r="AI2060" s="122">
        <v>40102</v>
      </c>
      <c r="AJ2060" s="122">
        <v>36457</v>
      </c>
      <c r="AK2060">
        <v>67</v>
      </c>
      <c r="AL2060" s="122">
        <v>4726</v>
      </c>
      <c r="AM2060" s="122">
        <v>4296</v>
      </c>
      <c r="AN2060" s="122">
        <v>3527</v>
      </c>
      <c r="AO2060" s="122">
        <v>1306</v>
      </c>
      <c r="AP2060">
        <v>862</v>
      </c>
      <c r="AQ2060">
        <v>319</v>
      </c>
      <c r="AR2060" s="122">
        <v>17061</v>
      </c>
      <c r="AS2060" s="122">
        <v>6319</v>
      </c>
      <c r="AT2060">
        <v>0</v>
      </c>
      <c r="AU2060">
        <v>0</v>
      </c>
      <c r="AV2060" s="122">
        <v>48697</v>
      </c>
    </row>
    <row r="2061" spans="2:48" hidden="1">
      <c r="B2061" t="s">
        <v>377</v>
      </c>
      <c r="C2061" t="s">
        <v>50</v>
      </c>
      <c r="D2061" t="s">
        <v>137</v>
      </c>
      <c r="E2061" t="s">
        <v>137</v>
      </c>
      <c r="F2061" s="122">
        <v>40</v>
      </c>
      <c r="G2061" s="122">
        <v>8821</v>
      </c>
      <c r="H2061" s="122">
        <v>3563</v>
      </c>
      <c r="I2061" s="122">
        <v>341119</v>
      </c>
      <c r="J2061" s="122">
        <v>126340</v>
      </c>
      <c r="K2061" s="122">
        <v>353</v>
      </c>
      <c r="L2061" s="122">
        <v>80696</v>
      </c>
      <c r="M2061" s="122">
        <v>73083</v>
      </c>
      <c r="N2061" s="122">
        <v>152227</v>
      </c>
      <c r="O2061" s="122">
        <v>56381</v>
      </c>
      <c r="P2061" s="122">
        <v>35229</v>
      </c>
      <c r="Q2061" s="122">
        <v>13048</v>
      </c>
      <c r="R2061" s="122">
        <v>257055</v>
      </c>
      <c r="S2061" s="122">
        <v>95206</v>
      </c>
      <c r="T2061" s="122">
        <v>3452</v>
      </c>
      <c r="U2061" s="122">
        <v>1279</v>
      </c>
      <c r="V2061" s="122">
        <v>365336</v>
      </c>
      <c r="W2061" s="122">
        <f t="shared" si="64"/>
        <v>365337</v>
      </c>
      <c r="X2061" s="122">
        <f t="shared" si="65"/>
        <v>869778</v>
      </c>
      <c r="AA2061" t="s">
        <v>62</v>
      </c>
      <c r="AB2061" t="s">
        <v>407</v>
      </c>
      <c r="AC2061" t="s">
        <v>407</v>
      </c>
      <c r="AD2061" t="s">
        <v>406</v>
      </c>
      <c r="AE2061" t="s">
        <v>566</v>
      </c>
      <c r="AF2061">
        <v>1</v>
      </c>
      <c r="AG2061" s="122">
        <v>207</v>
      </c>
      <c r="AH2061" s="122">
        <v>430</v>
      </c>
      <c r="AI2061" s="122">
        <v>66797</v>
      </c>
      <c r="AJ2061" s="122">
        <v>60724</v>
      </c>
      <c r="AK2061">
        <v>65</v>
      </c>
      <c r="AL2061" s="122">
        <v>9173</v>
      </c>
      <c r="AM2061" s="122">
        <v>8339</v>
      </c>
      <c r="AN2061" s="122">
        <v>4819</v>
      </c>
      <c r="AO2061" s="122">
        <v>1785</v>
      </c>
      <c r="AP2061" s="122">
        <v>473</v>
      </c>
      <c r="AQ2061" s="122">
        <v>175</v>
      </c>
      <c r="AR2061" s="122">
        <v>7813</v>
      </c>
      <c r="AS2061" s="122">
        <v>7103</v>
      </c>
      <c r="AT2061" s="122">
        <v>0</v>
      </c>
      <c r="AU2061" s="122">
        <v>0</v>
      </c>
      <c r="AV2061" s="122">
        <v>78127</v>
      </c>
    </row>
    <row r="2062" spans="2:48" hidden="1">
      <c r="B2062" t="s">
        <v>377</v>
      </c>
      <c r="C2062" t="s">
        <v>50</v>
      </c>
      <c r="D2062" t="s">
        <v>430</v>
      </c>
      <c r="E2062" t="s">
        <v>430</v>
      </c>
      <c r="F2062" s="122">
        <v>1</v>
      </c>
      <c r="G2062" s="122">
        <v>183</v>
      </c>
      <c r="H2062" s="122">
        <v>99</v>
      </c>
      <c r="I2062" s="122">
        <v>6679</v>
      </c>
      <c r="J2062" s="122">
        <v>2474</v>
      </c>
      <c r="K2062" s="122">
        <v>250</v>
      </c>
      <c r="L2062" s="122">
        <v>1260</v>
      </c>
      <c r="M2062" s="122">
        <v>1145</v>
      </c>
      <c r="N2062" s="122">
        <v>2452</v>
      </c>
      <c r="O2062" s="122">
        <v>908</v>
      </c>
      <c r="P2062" s="122">
        <v>1905</v>
      </c>
      <c r="Q2062" s="122">
        <v>705</v>
      </c>
      <c r="R2062" s="122">
        <v>5725</v>
      </c>
      <c r="S2062" s="122">
        <v>2121</v>
      </c>
      <c r="T2062" s="122">
        <v>0</v>
      </c>
      <c r="U2062" s="122">
        <v>0</v>
      </c>
      <c r="V2062" s="122">
        <v>7353</v>
      </c>
      <c r="W2062" s="122">
        <f t="shared" si="64"/>
        <v>7353</v>
      </c>
      <c r="X2062" s="122">
        <f t="shared" si="65"/>
        <v>18021</v>
      </c>
      <c r="AA2062" t="s">
        <v>62</v>
      </c>
      <c r="AB2062" t="s">
        <v>407</v>
      </c>
      <c r="AC2062" t="s">
        <v>407</v>
      </c>
      <c r="AD2062" t="s">
        <v>407</v>
      </c>
      <c r="AE2062" t="s">
        <v>137</v>
      </c>
      <c r="AF2062">
        <v>209</v>
      </c>
      <c r="AG2062" s="122">
        <v>27271</v>
      </c>
      <c r="AH2062" s="122">
        <v>86773</v>
      </c>
      <c r="AI2062" s="122">
        <v>7338174</v>
      </c>
      <c r="AJ2062" s="122">
        <v>6671067</v>
      </c>
      <c r="AK2062">
        <v>75</v>
      </c>
      <c r="AL2062" s="122">
        <v>1909154</v>
      </c>
      <c r="AM2062" s="122">
        <v>1735595</v>
      </c>
      <c r="AN2062" s="122">
        <v>604953</v>
      </c>
      <c r="AO2062" s="122">
        <v>224057</v>
      </c>
      <c r="AP2062" s="122">
        <v>99590</v>
      </c>
      <c r="AQ2062" s="122">
        <v>36885</v>
      </c>
      <c r="AR2062" s="122">
        <v>1040642</v>
      </c>
      <c r="AS2062" s="122">
        <v>946038</v>
      </c>
      <c r="AT2062" s="122">
        <v>576446</v>
      </c>
      <c r="AU2062" s="122">
        <v>213499</v>
      </c>
      <c r="AV2062" s="122">
        <v>9827140</v>
      </c>
    </row>
    <row r="2063" spans="2:48" hidden="1">
      <c r="B2063" t="s">
        <v>377</v>
      </c>
      <c r="C2063" t="s">
        <v>50</v>
      </c>
      <c r="D2063" t="s">
        <v>406</v>
      </c>
      <c r="E2063" t="s">
        <v>406</v>
      </c>
      <c r="F2063" s="122">
        <v>58</v>
      </c>
      <c r="G2063" s="122">
        <v>13418</v>
      </c>
      <c r="H2063" s="122">
        <v>5150</v>
      </c>
      <c r="I2063" s="122">
        <v>570157</v>
      </c>
      <c r="J2063" s="122">
        <v>518324</v>
      </c>
      <c r="K2063" s="122">
        <v>95</v>
      </c>
      <c r="L2063" s="122">
        <v>97176</v>
      </c>
      <c r="M2063" s="122">
        <v>85506</v>
      </c>
      <c r="N2063" s="122">
        <v>197573</v>
      </c>
      <c r="O2063" s="122">
        <v>73175</v>
      </c>
      <c r="P2063" s="122">
        <v>70863</v>
      </c>
      <c r="Q2063" s="122">
        <v>26245</v>
      </c>
      <c r="R2063" s="122">
        <v>266296</v>
      </c>
      <c r="S2063" s="122">
        <v>242087</v>
      </c>
      <c r="T2063" s="122">
        <v>9638</v>
      </c>
      <c r="U2063" s="122">
        <v>3570</v>
      </c>
      <c r="V2063" s="122">
        <v>948907</v>
      </c>
      <c r="W2063" s="122">
        <f t="shared" si="64"/>
        <v>948907</v>
      </c>
      <c r="X2063" s="122">
        <f t="shared" si="65"/>
        <v>1211703</v>
      </c>
      <c r="AA2063" t="s">
        <v>62</v>
      </c>
      <c r="AB2063" t="s">
        <v>407</v>
      </c>
      <c r="AC2063" t="s">
        <v>407</v>
      </c>
      <c r="AD2063" t="s">
        <v>407</v>
      </c>
      <c r="AE2063" t="s">
        <v>566</v>
      </c>
      <c r="AF2063">
        <v>130</v>
      </c>
      <c r="AG2063" s="122">
        <v>18165</v>
      </c>
      <c r="AH2063" s="122">
        <v>53795</v>
      </c>
      <c r="AI2063" s="122">
        <v>4936039</v>
      </c>
      <c r="AJ2063" s="122">
        <v>4487308</v>
      </c>
      <c r="AK2063">
        <v>77</v>
      </c>
      <c r="AL2063" s="122">
        <v>1368264</v>
      </c>
      <c r="AM2063" s="122">
        <v>1243876</v>
      </c>
      <c r="AN2063" s="122">
        <v>400865</v>
      </c>
      <c r="AO2063" s="122">
        <v>148469</v>
      </c>
      <c r="AP2063" s="122">
        <v>62114</v>
      </c>
      <c r="AQ2063" s="122">
        <v>23005</v>
      </c>
      <c r="AR2063" s="122">
        <v>899222</v>
      </c>
      <c r="AS2063" s="122">
        <v>817475</v>
      </c>
      <c r="AT2063">
        <v>0</v>
      </c>
      <c r="AU2063">
        <v>0</v>
      </c>
      <c r="AV2063" s="122">
        <v>6720133</v>
      </c>
    </row>
    <row r="2064" spans="2:48" hidden="1">
      <c r="B2064" t="s">
        <v>377</v>
      </c>
      <c r="C2064" t="s">
        <v>50</v>
      </c>
      <c r="D2064" t="s">
        <v>407</v>
      </c>
      <c r="E2064" t="s">
        <v>407</v>
      </c>
      <c r="F2064" s="122">
        <v>5</v>
      </c>
      <c r="G2064" s="122">
        <v>718</v>
      </c>
      <c r="H2064" s="122">
        <v>446</v>
      </c>
      <c r="I2064" s="122">
        <v>31799</v>
      </c>
      <c r="J2064" s="122">
        <v>28908</v>
      </c>
      <c r="K2064" s="122">
        <v>91</v>
      </c>
      <c r="L2064" s="122">
        <v>5109</v>
      </c>
      <c r="M2064" s="122">
        <v>4644</v>
      </c>
      <c r="N2064" s="122">
        <v>9429</v>
      </c>
      <c r="O2064" s="122">
        <v>3492</v>
      </c>
      <c r="P2064" s="122">
        <v>2714</v>
      </c>
      <c r="Q2064" s="122">
        <v>1005</v>
      </c>
      <c r="R2064" s="122">
        <v>11518</v>
      </c>
      <c r="S2064" s="122">
        <v>10470</v>
      </c>
      <c r="T2064" s="122">
        <v>4962</v>
      </c>
      <c r="U2064" s="122">
        <v>1838</v>
      </c>
      <c r="V2064" s="122">
        <v>50358</v>
      </c>
      <c r="W2064" s="122">
        <f t="shared" si="64"/>
        <v>50357</v>
      </c>
      <c r="X2064" s="122">
        <f t="shared" si="65"/>
        <v>65531</v>
      </c>
      <c r="AA2064" t="s">
        <v>62</v>
      </c>
      <c r="AB2064" t="s">
        <v>407</v>
      </c>
      <c r="AC2064" t="s">
        <v>579</v>
      </c>
      <c r="AD2064" t="s">
        <v>137</v>
      </c>
      <c r="AE2064" t="s">
        <v>566</v>
      </c>
      <c r="AF2064">
        <v>5</v>
      </c>
      <c r="AG2064" s="122">
        <v>575</v>
      </c>
      <c r="AH2064" s="122">
        <v>2057</v>
      </c>
      <c r="AI2064" s="122">
        <v>142857</v>
      </c>
      <c r="AJ2064" s="122">
        <v>129870</v>
      </c>
      <c r="AK2064">
        <v>80</v>
      </c>
      <c r="AL2064" s="122">
        <v>46632</v>
      </c>
      <c r="AM2064" s="122">
        <v>38860</v>
      </c>
      <c r="AN2064" s="122">
        <v>9457</v>
      </c>
      <c r="AO2064" s="122">
        <v>3503</v>
      </c>
      <c r="AP2064" s="122">
        <v>2363</v>
      </c>
      <c r="AQ2064" s="122">
        <v>875</v>
      </c>
      <c r="AR2064" s="122">
        <v>34936</v>
      </c>
      <c r="AS2064" s="122">
        <v>12939</v>
      </c>
      <c r="AT2064" s="122">
        <v>0</v>
      </c>
      <c r="AU2064" s="122">
        <v>0</v>
      </c>
      <c r="AV2064" s="122">
        <v>186047</v>
      </c>
    </row>
    <row r="2065" spans="2:48" hidden="1">
      <c r="B2065" t="s">
        <v>377</v>
      </c>
      <c r="C2065" t="s">
        <v>50</v>
      </c>
      <c r="D2065" t="s">
        <v>426</v>
      </c>
      <c r="E2065" t="s">
        <v>426</v>
      </c>
      <c r="F2065" s="122">
        <v>1</v>
      </c>
      <c r="G2065" s="122">
        <v>232</v>
      </c>
      <c r="H2065" s="122">
        <v>86</v>
      </c>
      <c r="I2065" s="122">
        <v>9841</v>
      </c>
      <c r="J2065" s="122">
        <v>8946</v>
      </c>
      <c r="K2065" s="122">
        <v>76</v>
      </c>
      <c r="L2065" s="122">
        <v>1108</v>
      </c>
      <c r="M2065" s="122">
        <v>1007</v>
      </c>
      <c r="N2065" s="122">
        <v>2824</v>
      </c>
      <c r="O2065" s="122">
        <v>1046</v>
      </c>
      <c r="P2065" s="122">
        <v>2672</v>
      </c>
      <c r="Q2065" s="122">
        <v>990</v>
      </c>
      <c r="R2065" s="122">
        <v>3525</v>
      </c>
      <c r="S2065" s="122">
        <v>3204</v>
      </c>
      <c r="T2065" s="122">
        <v>0</v>
      </c>
      <c r="U2065" s="122">
        <v>0</v>
      </c>
      <c r="V2065" s="122">
        <v>15193</v>
      </c>
      <c r="W2065" s="122">
        <f t="shared" si="64"/>
        <v>15193</v>
      </c>
      <c r="X2065" s="122">
        <f t="shared" si="65"/>
        <v>19970</v>
      </c>
      <c r="AA2065" t="s">
        <v>62</v>
      </c>
      <c r="AB2065" t="s">
        <v>407</v>
      </c>
      <c r="AC2065" t="s">
        <v>579</v>
      </c>
      <c r="AD2065" t="s">
        <v>407</v>
      </c>
      <c r="AE2065" t="s">
        <v>137</v>
      </c>
      <c r="AF2065">
        <v>200</v>
      </c>
      <c r="AG2065" s="122">
        <v>28872</v>
      </c>
      <c r="AH2065" s="122">
        <v>82744</v>
      </c>
      <c r="AI2065" s="122">
        <v>7652408</v>
      </c>
      <c r="AJ2065" s="122">
        <v>6956735</v>
      </c>
      <c r="AK2065">
        <v>78</v>
      </c>
      <c r="AL2065" s="122">
        <v>2146895</v>
      </c>
      <c r="AM2065" s="122">
        <v>1789079</v>
      </c>
      <c r="AN2065" s="122">
        <v>620519</v>
      </c>
      <c r="AO2065" s="122">
        <v>229822</v>
      </c>
      <c r="AP2065" s="122">
        <v>93866</v>
      </c>
      <c r="AQ2065" s="122">
        <v>34765</v>
      </c>
      <c r="AR2065" s="122">
        <v>987675</v>
      </c>
      <c r="AS2065" s="122">
        <v>897886</v>
      </c>
      <c r="AT2065" s="122">
        <v>544460</v>
      </c>
      <c r="AU2065" s="122">
        <v>201652</v>
      </c>
      <c r="AV2065" s="122">
        <v>10109939</v>
      </c>
    </row>
    <row r="2066" spans="2:48" hidden="1">
      <c r="B2066" t="s">
        <v>377</v>
      </c>
      <c r="C2066" t="s">
        <v>50</v>
      </c>
      <c r="D2066" t="s">
        <v>408</v>
      </c>
      <c r="E2066" t="s">
        <v>408</v>
      </c>
      <c r="F2066" s="122">
        <v>1</v>
      </c>
      <c r="G2066" s="122">
        <v>235</v>
      </c>
      <c r="H2066" s="122">
        <v>80</v>
      </c>
      <c r="I2066" s="122">
        <v>9258</v>
      </c>
      <c r="J2066" s="122">
        <v>8416</v>
      </c>
      <c r="K2066" s="122">
        <v>90</v>
      </c>
      <c r="L2066" s="122">
        <v>1251</v>
      </c>
      <c r="M2066" s="122">
        <v>1137</v>
      </c>
      <c r="N2066" s="122">
        <v>2867</v>
      </c>
      <c r="O2066" s="122">
        <v>1062</v>
      </c>
      <c r="P2066" s="122">
        <v>2554</v>
      </c>
      <c r="Q2066" s="122">
        <v>946</v>
      </c>
      <c r="R2066" s="122">
        <v>2832</v>
      </c>
      <c r="S2066" s="122">
        <v>2575</v>
      </c>
      <c r="T2066" s="122">
        <v>0</v>
      </c>
      <c r="U2066" s="122">
        <v>0</v>
      </c>
      <c r="V2066" s="122">
        <v>14137</v>
      </c>
      <c r="W2066" s="122">
        <f t="shared" si="64"/>
        <v>14136</v>
      </c>
      <c r="X2066" s="122">
        <f t="shared" si="65"/>
        <v>18762</v>
      </c>
      <c r="AA2066" t="s">
        <v>62</v>
      </c>
      <c r="AB2066" t="s">
        <v>407</v>
      </c>
      <c r="AC2066" t="s">
        <v>579</v>
      </c>
      <c r="AD2066" t="s">
        <v>407</v>
      </c>
      <c r="AE2066" t="s">
        <v>566</v>
      </c>
      <c r="AF2066">
        <v>155</v>
      </c>
      <c r="AG2066" s="122">
        <v>22525</v>
      </c>
      <c r="AH2066" s="122">
        <v>64313</v>
      </c>
      <c r="AI2066" s="122">
        <v>6178499</v>
      </c>
      <c r="AJ2066" s="122">
        <v>5616817</v>
      </c>
      <c r="AK2066">
        <v>80</v>
      </c>
      <c r="AL2066" s="122">
        <v>1748791</v>
      </c>
      <c r="AM2066" s="122">
        <v>1457325</v>
      </c>
      <c r="AN2066" s="122">
        <v>487567</v>
      </c>
      <c r="AO2066" s="122">
        <v>180580</v>
      </c>
      <c r="AP2066" s="122">
        <v>74669</v>
      </c>
      <c r="AQ2066" s="122">
        <v>27655</v>
      </c>
      <c r="AR2066" s="122">
        <v>998681</v>
      </c>
      <c r="AS2066" s="122">
        <v>907892</v>
      </c>
      <c r="AT2066" s="122">
        <v>0</v>
      </c>
      <c r="AU2066" s="122">
        <v>0</v>
      </c>
      <c r="AV2066" s="122">
        <v>8190270</v>
      </c>
    </row>
    <row r="2067" spans="2:48" hidden="1">
      <c r="B2067" t="s">
        <v>377</v>
      </c>
      <c r="C2067" t="s">
        <v>52</v>
      </c>
      <c r="D2067" t="s">
        <v>425</v>
      </c>
      <c r="E2067" t="s">
        <v>425</v>
      </c>
      <c r="F2067" s="122">
        <v>1</v>
      </c>
      <c r="G2067" s="122">
        <v>240</v>
      </c>
      <c r="H2067" s="122">
        <v>117</v>
      </c>
      <c r="I2067" s="122">
        <v>15871</v>
      </c>
      <c r="J2067" s="122">
        <v>14428</v>
      </c>
      <c r="K2067" s="122">
        <v>91</v>
      </c>
      <c r="L2067" s="122">
        <v>0</v>
      </c>
      <c r="M2067" s="122">
        <v>0</v>
      </c>
      <c r="N2067" s="122">
        <v>5849</v>
      </c>
      <c r="O2067" s="122">
        <v>2166</v>
      </c>
      <c r="P2067" s="122">
        <v>473</v>
      </c>
      <c r="Q2067" s="122">
        <v>175</v>
      </c>
      <c r="R2067" s="122">
        <v>6010</v>
      </c>
      <c r="S2067" s="122">
        <v>5464</v>
      </c>
      <c r="T2067" s="122">
        <v>0</v>
      </c>
      <c r="U2067" s="122">
        <v>0</v>
      </c>
      <c r="V2067" s="122">
        <v>22233</v>
      </c>
      <c r="W2067" s="122">
        <f t="shared" si="64"/>
        <v>22233</v>
      </c>
      <c r="X2067" s="122">
        <f t="shared" si="65"/>
        <v>28203</v>
      </c>
      <c r="AA2067" t="s">
        <v>62</v>
      </c>
      <c r="AB2067" t="s">
        <v>407</v>
      </c>
      <c r="AC2067" t="s">
        <v>428</v>
      </c>
      <c r="AD2067" t="s">
        <v>407</v>
      </c>
      <c r="AE2067" t="s">
        <v>137</v>
      </c>
      <c r="AF2067">
        <v>4</v>
      </c>
      <c r="AG2067">
        <v>440</v>
      </c>
      <c r="AH2067" s="122">
        <v>1700</v>
      </c>
      <c r="AI2067" s="122">
        <v>117567</v>
      </c>
      <c r="AJ2067" s="122">
        <v>106879</v>
      </c>
      <c r="AK2067">
        <v>80</v>
      </c>
      <c r="AL2067" s="122">
        <v>27875</v>
      </c>
      <c r="AM2067" s="122">
        <v>25341</v>
      </c>
      <c r="AN2067" s="122">
        <v>9675</v>
      </c>
      <c r="AO2067" s="122">
        <v>3583</v>
      </c>
      <c r="AP2067" s="122">
        <v>1890</v>
      </c>
      <c r="AQ2067">
        <v>700</v>
      </c>
      <c r="AR2067" s="122">
        <v>17506</v>
      </c>
      <c r="AS2067" s="122">
        <v>15914</v>
      </c>
      <c r="AT2067" s="122">
        <v>12225</v>
      </c>
      <c r="AU2067" s="122">
        <v>4528</v>
      </c>
      <c r="AV2067" s="122">
        <v>156946</v>
      </c>
    </row>
    <row r="2068" spans="2:48" hidden="1">
      <c r="B2068" t="s">
        <v>377</v>
      </c>
      <c r="C2068" t="s">
        <v>52</v>
      </c>
      <c r="D2068" t="s">
        <v>405</v>
      </c>
      <c r="E2068" t="s">
        <v>405</v>
      </c>
      <c r="F2068" s="122">
        <v>14</v>
      </c>
      <c r="G2068" s="122">
        <v>2961</v>
      </c>
      <c r="H2068" s="122">
        <v>1540</v>
      </c>
      <c r="I2068" s="122">
        <v>165858</v>
      </c>
      <c r="J2068" s="122">
        <v>150780</v>
      </c>
      <c r="K2068" s="122">
        <v>91</v>
      </c>
      <c r="L2068" s="122">
        <v>42484</v>
      </c>
      <c r="M2068" s="122">
        <v>38621</v>
      </c>
      <c r="N2068" s="122">
        <v>46871</v>
      </c>
      <c r="O2068" s="122">
        <v>17360</v>
      </c>
      <c r="P2068" s="122">
        <v>6494</v>
      </c>
      <c r="Q2068" s="122">
        <v>2405</v>
      </c>
      <c r="R2068" s="122">
        <v>64007</v>
      </c>
      <c r="S2068" s="122">
        <v>58188</v>
      </c>
      <c r="T2068" s="122">
        <v>3849</v>
      </c>
      <c r="U2068" s="122">
        <v>1425</v>
      </c>
      <c r="V2068" s="122">
        <v>268780</v>
      </c>
      <c r="W2068" s="122">
        <f t="shared" si="64"/>
        <v>268779</v>
      </c>
      <c r="X2068" s="122">
        <f t="shared" si="65"/>
        <v>329563</v>
      </c>
      <c r="AA2068" t="s">
        <v>62</v>
      </c>
      <c r="AB2068" t="s">
        <v>407</v>
      </c>
      <c r="AC2068" t="s">
        <v>431</v>
      </c>
      <c r="AD2068" t="s">
        <v>407</v>
      </c>
      <c r="AE2068" t="s">
        <v>137</v>
      </c>
      <c r="AF2068">
        <v>1</v>
      </c>
      <c r="AG2068">
        <v>111</v>
      </c>
      <c r="AH2068">
        <v>398</v>
      </c>
      <c r="AI2068" s="122">
        <v>31215</v>
      </c>
      <c r="AJ2068" s="122">
        <v>28378</v>
      </c>
      <c r="AK2068">
        <v>78</v>
      </c>
      <c r="AL2068" s="122">
        <v>3954</v>
      </c>
      <c r="AM2068" s="122">
        <v>3595</v>
      </c>
      <c r="AN2068" s="122">
        <v>2696</v>
      </c>
      <c r="AO2068" s="122">
        <v>999</v>
      </c>
      <c r="AP2068">
        <v>824</v>
      </c>
      <c r="AQ2068">
        <v>305</v>
      </c>
      <c r="AR2068" s="122">
        <v>5335</v>
      </c>
      <c r="AS2068" s="122">
        <v>4850</v>
      </c>
      <c r="AT2068">
        <v>0</v>
      </c>
      <c r="AU2068">
        <v>0</v>
      </c>
      <c r="AV2068" s="122">
        <v>38126</v>
      </c>
    </row>
    <row r="2069" spans="2:48" hidden="1">
      <c r="B2069" t="s">
        <v>377</v>
      </c>
      <c r="C2069" t="s">
        <v>52</v>
      </c>
      <c r="D2069" t="s">
        <v>137</v>
      </c>
      <c r="E2069" t="s">
        <v>137</v>
      </c>
      <c r="F2069" s="122">
        <v>35</v>
      </c>
      <c r="G2069" s="122">
        <v>7955</v>
      </c>
      <c r="H2069" s="122">
        <v>4008</v>
      </c>
      <c r="I2069" s="122">
        <v>419362</v>
      </c>
      <c r="J2069" s="122">
        <v>155319</v>
      </c>
      <c r="K2069" s="122">
        <v>320</v>
      </c>
      <c r="L2069" s="122">
        <v>100771</v>
      </c>
      <c r="M2069" s="122">
        <v>90311</v>
      </c>
      <c r="N2069" s="122">
        <v>155371</v>
      </c>
      <c r="O2069" s="122">
        <v>57545</v>
      </c>
      <c r="P2069" s="122">
        <v>39242</v>
      </c>
      <c r="Q2069" s="122">
        <v>14534</v>
      </c>
      <c r="R2069" s="122">
        <v>239535</v>
      </c>
      <c r="S2069" s="122">
        <v>88717</v>
      </c>
      <c r="T2069" s="122">
        <v>3393</v>
      </c>
      <c r="U2069" s="122">
        <v>1257</v>
      </c>
      <c r="V2069" s="122">
        <v>407683</v>
      </c>
      <c r="W2069" s="122">
        <f t="shared" si="64"/>
        <v>407683</v>
      </c>
      <c r="X2069" s="122">
        <f t="shared" si="65"/>
        <v>957674</v>
      </c>
      <c r="AA2069" t="s">
        <v>62</v>
      </c>
      <c r="AB2069" t="s">
        <v>407</v>
      </c>
      <c r="AC2069" t="s">
        <v>426</v>
      </c>
      <c r="AD2069" t="s">
        <v>137</v>
      </c>
      <c r="AE2069" t="s">
        <v>566</v>
      </c>
      <c r="AF2069">
        <v>1</v>
      </c>
      <c r="AG2069" s="122">
        <v>194</v>
      </c>
      <c r="AH2069" s="122">
        <v>403</v>
      </c>
      <c r="AI2069" s="122">
        <v>47556</v>
      </c>
      <c r="AJ2069" s="122">
        <v>43233</v>
      </c>
      <c r="AK2069">
        <v>78</v>
      </c>
      <c r="AL2069" s="122">
        <v>13051</v>
      </c>
      <c r="AM2069" s="122">
        <v>11865</v>
      </c>
      <c r="AN2069" s="122">
        <v>4615</v>
      </c>
      <c r="AO2069" s="122">
        <v>1709</v>
      </c>
      <c r="AP2069" s="122">
        <v>473</v>
      </c>
      <c r="AQ2069" s="122">
        <v>175</v>
      </c>
      <c r="AR2069" s="122">
        <v>12674</v>
      </c>
      <c r="AS2069" s="122">
        <v>4694</v>
      </c>
      <c r="AT2069" s="122">
        <v>0</v>
      </c>
      <c r="AU2069" s="122">
        <v>0</v>
      </c>
      <c r="AV2069" s="122">
        <v>61676</v>
      </c>
    </row>
    <row r="2070" spans="2:48" hidden="1">
      <c r="B2070" t="s">
        <v>377</v>
      </c>
      <c r="C2070" t="s">
        <v>52</v>
      </c>
      <c r="D2070" t="s">
        <v>137</v>
      </c>
      <c r="E2070" t="s">
        <v>406</v>
      </c>
      <c r="F2070" s="122">
        <v>1</v>
      </c>
      <c r="G2070" s="122">
        <v>284</v>
      </c>
      <c r="H2070" s="122">
        <v>123</v>
      </c>
      <c r="I2070" s="122">
        <v>22772</v>
      </c>
      <c r="J2070" s="122">
        <v>8434</v>
      </c>
      <c r="K2070" s="122">
        <v>320</v>
      </c>
      <c r="L2070" s="122">
        <v>2694</v>
      </c>
      <c r="M2070" s="122">
        <v>2449</v>
      </c>
      <c r="N2070" s="122">
        <v>4222</v>
      </c>
      <c r="O2070" s="122">
        <v>1564</v>
      </c>
      <c r="P2070" s="122">
        <v>621</v>
      </c>
      <c r="Q2070" s="122">
        <v>230</v>
      </c>
      <c r="R2070" s="122">
        <v>4613</v>
      </c>
      <c r="S2070" s="122">
        <v>4194</v>
      </c>
      <c r="T2070" s="122">
        <v>0</v>
      </c>
      <c r="U2070" s="122">
        <v>0</v>
      </c>
      <c r="V2070" s="122">
        <v>16871</v>
      </c>
      <c r="W2070" s="122">
        <f t="shared" si="64"/>
        <v>16871</v>
      </c>
      <c r="X2070" s="122">
        <f t="shared" si="65"/>
        <v>34922</v>
      </c>
      <c r="AA2070" t="s">
        <v>62</v>
      </c>
      <c r="AB2070" t="s">
        <v>407</v>
      </c>
      <c r="AC2070" t="s">
        <v>426</v>
      </c>
      <c r="AD2070" t="s">
        <v>407</v>
      </c>
      <c r="AE2070" t="s">
        <v>137</v>
      </c>
      <c r="AF2070">
        <v>102</v>
      </c>
      <c r="AG2070" s="122">
        <v>12361</v>
      </c>
      <c r="AH2070" s="122">
        <v>42667</v>
      </c>
      <c r="AI2070" s="122">
        <v>3343600</v>
      </c>
      <c r="AJ2070" s="122">
        <v>3039637</v>
      </c>
      <c r="AK2070">
        <v>75</v>
      </c>
      <c r="AL2070" s="122">
        <v>815982</v>
      </c>
      <c r="AM2070" s="122">
        <v>741802</v>
      </c>
      <c r="AN2070" s="122">
        <v>276716</v>
      </c>
      <c r="AO2070" s="122">
        <v>102487</v>
      </c>
      <c r="AP2070" s="122">
        <v>47831</v>
      </c>
      <c r="AQ2070" s="122">
        <v>17715</v>
      </c>
      <c r="AR2070" s="122">
        <v>512641</v>
      </c>
      <c r="AS2070" s="122">
        <v>466037</v>
      </c>
      <c r="AT2070" s="122">
        <v>252403</v>
      </c>
      <c r="AU2070" s="122">
        <v>93483</v>
      </c>
      <c r="AV2070" s="122">
        <v>4461161</v>
      </c>
    </row>
    <row r="2071" spans="2:48" hidden="1">
      <c r="B2071" t="s">
        <v>377</v>
      </c>
      <c r="C2071" t="s">
        <v>52</v>
      </c>
      <c r="D2071" t="s">
        <v>406</v>
      </c>
      <c r="E2071" t="s">
        <v>137</v>
      </c>
      <c r="F2071" s="122">
        <v>1</v>
      </c>
      <c r="G2071" s="122">
        <v>131</v>
      </c>
      <c r="H2071" s="122">
        <v>109</v>
      </c>
      <c r="I2071" s="122">
        <v>13819</v>
      </c>
      <c r="J2071" s="122">
        <v>12563</v>
      </c>
      <c r="K2071" s="122">
        <v>95</v>
      </c>
      <c r="L2071" s="122">
        <v>2244</v>
      </c>
      <c r="M2071" s="122">
        <v>2040</v>
      </c>
      <c r="N2071" s="122">
        <v>3720</v>
      </c>
      <c r="O2071" s="122">
        <v>1378</v>
      </c>
      <c r="P2071" s="122">
        <v>621</v>
      </c>
      <c r="Q2071" s="122">
        <v>230</v>
      </c>
      <c r="R2071" s="122">
        <v>4989</v>
      </c>
      <c r="S2071" s="122">
        <v>1848</v>
      </c>
      <c r="T2071" s="122">
        <v>0</v>
      </c>
      <c r="U2071" s="122">
        <v>0</v>
      </c>
      <c r="V2071" s="122">
        <v>18059</v>
      </c>
      <c r="W2071" s="122">
        <f t="shared" si="64"/>
        <v>18059</v>
      </c>
      <c r="X2071" s="122">
        <f t="shared" si="65"/>
        <v>25393</v>
      </c>
      <c r="AA2071" t="s">
        <v>62</v>
      </c>
      <c r="AB2071" t="s">
        <v>407</v>
      </c>
      <c r="AC2071" t="s">
        <v>426</v>
      </c>
      <c r="AD2071" t="s">
        <v>407</v>
      </c>
      <c r="AE2071" t="s">
        <v>566</v>
      </c>
      <c r="AF2071">
        <v>77</v>
      </c>
      <c r="AG2071" s="122">
        <v>9305</v>
      </c>
      <c r="AH2071" s="122">
        <v>32039</v>
      </c>
      <c r="AI2071" s="122">
        <v>2569565</v>
      </c>
      <c r="AJ2071" s="122">
        <v>2335968</v>
      </c>
      <c r="AK2071">
        <v>77</v>
      </c>
      <c r="AL2071" s="122">
        <v>636734</v>
      </c>
      <c r="AM2071" s="122">
        <v>578849</v>
      </c>
      <c r="AN2071" s="122">
        <v>202647</v>
      </c>
      <c r="AO2071" s="122">
        <v>75054</v>
      </c>
      <c r="AP2071" s="122">
        <v>37292</v>
      </c>
      <c r="AQ2071" s="122">
        <v>13812</v>
      </c>
      <c r="AR2071" s="122">
        <v>491594</v>
      </c>
      <c r="AS2071" s="122">
        <v>446904</v>
      </c>
      <c r="AT2071">
        <v>0</v>
      </c>
      <c r="AU2071">
        <v>0</v>
      </c>
      <c r="AV2071" s="122">
        <v>3450587</v>
      </c>
    </row>
    <row r="2072" spans="2:48" hidden="1">
      <c r="B2072" t="s">
        <v>377</v>
      </c>
      <c r="C2072" t="s">
        <v>52</v>
      </c>
      <c r="D2072" t="s">
        <v>406</v>
      </c>
      <c r="E2072" t="s">
        <v>406</v>
      </c>
      <c r="F2072" s="122">
        <v>162</v>
      </c>
      <c r="G2072" s="122">
        <v>36286</v>
      </c>
      <c r="H2072" s="122">
        <v>18789</v>
      </c>
      <c r="I2072" s="122">
        <v>2491492</v>
      </c>
      <c r="J2072" s="122">
        <v>2264993</v>
      </c>
      <c r="K2072" s="122">
        <v>93</v>
      </c>
      <c r="L2072" s="122">
        <v>443609</v>
      </c>
      <c r="M2072" s="122">
        <v>398716</v>
      </c>
      <c r="N2072" s="122">
        <v>651132</v>
      </c>
      <c r="O2072" s="122">
        <v>241160</v>
      </c>
      <c r="P2072" s="122">
        <v>143649</v>
      </c>
      <c r="Q2072" s="122">
        <v>53203</v>
      </c>
      <c r="R2072" s="122">
        <v>805000</v>
      </c>
      <c r="S2072" s="122">
        <v>731818</v>
      </c>
      <c r="T2072" s="122">
        <v>55134</v>
      </c>
      <c r="U2072" s="122">
        <v>20420</v>
      </c>
      <c r="V2072" s="122">
        <v>3710310</v>
      </c>
      <c r="W2072" s="122">
        <f t="shared" si="64"/>
        <v>3710310</v>
      </c>
      <c r="X2072" s="122">
        <f t="shared" si="65"/>
        <v>4590016</v>
      </c>
      <c r="AA2072" t="s">
        <v>62</v>
      </c>
      <c r="AB2072" t="s">
        <v>407</v>
      </c>
      <c r="AC2072" t="s">
        <v>566</v>
      </c>
      <c r="AD2072" t="s">
        <v>137</v>
      </c>
      <c r="AE2072" t="s">
        <v>566</v>
      </c>
      <c r="AF2072">
        <v>3</v>
      </c>
      <c r="AG2072" s="122">
        <v>348</v>
      </c>
      <c r="AH2072" s="122">
        <v>1249</v>
      </c>
      <c r="AI2072" s="122">
        <v>110910</v>
      </c>
      <c r="AJ2072" s="122">
        <v>100827</v>
      </c>
      <c r="AK2072">
        <v>76</v>
      </c>
      <c r="AL2072">
        <v>0</v>
      </c>
      <c r="AM2072" s="122">
        <v>2794</v>
      </c>
      <c r="AN2072" s="122">
        <v>6420</v>
      </c>
      <c r="AO2072" s="122">
        <v>2378</v>
      </c>
      <c r="AP2072" s="122">
        <v>1418</v>
      </c>
      <c r="AQ2072" s="122">
        <v>525</v>
      </c>
      <c r="AR2072" s="122">
        <v>26879</v>
      </c>
      <c r="AS2072" s="122">
        <v>9955</v>
      </c>
      <c r="AT2072" s="122">
        <v>0</v>
      </c>
      <c r="AU2072" s="122">
        <v>0</v>
      </c>
      <c r="AV2072" s="122">
        <v>116479</v>
      </c>
    </row>
    <row r="2073" spans="2:48" hidden="1">
      <c r="B2073" t="s">
        <v>377</v>
      </c>
      <c r="C2073" t="s">
        <v>52</v>
      </c>
      <c r="D2073" t="s">
        <v>407</v>
      </c>
      <c r="E2073" t="s">
        <v>407</v>
      </c>
      <c r="F2073" s="122">
        <v>10</v>
      </c>
      <c r="G2073" s="122">
        <v>1723</v>
      </c>
      <c r="H2073" s="122">
        <v>1120</v>
      </c>
      <c r="I2073" s="122">
        <v>99042</v>
      </c>
      <c r="J2073" s="122">
        <v>90038</v>
      </c>
      <c r="K2073" s="122">
        <v>91</v>
      </c>
      <c r="L2073" s="122">
        <v>21956</v>
      </c>
      <c r="M2073" s="122">
        <v>18348</v>
      </c>
      <c r="N2073" s="122">
        <v>26628</v>
      </c>
      <c r="O2073" s="122">
        <v>9862</v>
      </c>
      <c r="P2073" s="122">
        <v>6390</v>
      </c>
      <c r="Q2073" s="122">
        <v>2367</v>
      </c>
      <c r="R2073" s="122">
        <v>35667</v>
      </c>
      <c r="S2073" s="122">
        <v>32424</v>
      </c>
      <c r="T2073" s="122">
        <v>10513</v>
      </c>
      <c r="U2073" s="122">
        <v>3894</v>
      </c>
      <c r="V2073" s="122">
        <v>156933</v>
      </c>
      <c r="W2073" s="122">
        <f t="shared" si="64"/>
        <v>156933</v>
      </c>
      <c r="X2073" s="122">
        <f t="shared" si="65"/>
        <v>200196</v>
      </c>
      <c r="AA2073" t="s">
        <v>62</v>
      </c>
      <c r="AB2073" t="s">
        <v>407</v>
      </c>
      <c r="AC2073" t="s">
        <v>566</v>
      </c>
      <c r="AD2073" t="s">
        <v>407</v>
      </c>
      <c r="AE2073" t="s">
        <v>137</v>
      </c>
      <c r="AF2073">
        <v>17</v>
      </c>
      <c r="AG2073" s="122">
        <v>1513</v>
      </c>
      <c r="AH2073" s="122">
        <v>7146</v>
      </c>
      <c r="AI2073" s="122">
        <v>488825</v>
      </c>
      <c r="AJ2073" s="122">
        <v>444386</v>
      </c>
      <c r="AK2073">
        <v>75</v>
      </c>
      <c r="AL2073">
        <v>0</v>
      </c>
      <c r="AM2073" s="122">
        <v>5557</v>
      </c>
      <c r="AN2073" s="122">
        <v>33124</v>
      </c>
      <c r="AO2073" s="122">
        <v>12268</v>
      </c>
      <c r="AP2073" s="122">
        <v>8033</v>
      </c>
      <c r="AQ2073" s="122">
        <v>2975</v>
      </c>
      <c r="AR2073" s="122">
        <v>71160</v>
      </c>
      <c r="AS2073" s="122">
        <v>64691</v>
      </c>
      <c r="AT2073" s="122">
        <v>38345</v>
      </c>
      <c r="AU2073" s="122">
        <v>14202</v>
      </c>
      <c r="AV2073" s="122">
        <v>544078</v>
      </c>
    </row>
    <row r="2074" spans="2:48" hidden="1">
      <c r="B2074" t="s">
        <v>377</v>
      </c>
      <c r="C2074" t="s">
        <v>52</v>
      </c>
      <c r="D2074" t="s">
        <v>426</v>
      </c>
      <c r="E2074" t="s">
        <v>405</v>
      </c>
      <c r="F2074" s="122">
        <v>1</v>
      </c>
      <c r="G2074" s="122">
        <v>252</v>
      </c>
      <c r="H2074" s="122">
        <v>120</v>
      </c>
      <c r="I2074" s="122">
        <v>14486</v>
      </c>
      <c r="J2074" s="122">
        <v>13169</v>
      </c>
      <c r="K2074" s="122">
        <v>91</v>
      </c>
      <c r="L2074" s="122">
        <v>2323</v>
      </c>
      <c r="M2074" s="122">
        <v>2112</v>
      </c>
      <c r="N2074" s="122">
        <v>6068</v>
      </c>
      <c r="O2074" s="122">
        <v>2247</v>
      </c>
      <c r="P2074" s="122">
        <v>3240</v>
      </c>
      <c r="Q2074" s="122">
        <v>1200</v>
      </c>
      <c r="R2074" s="122">
        <v>4078</v>
      </c>
      <c r="S2074" s="122">
        <v>3707</v>
      </c>
      <c r="T2074" s="122">
        <v>0</v>
      </c>
      <c r="U2074" s="122">
        <v>0</v>
      </c>
      <c r="V2074" s="122">
        <v>22436</v>
      </c>
      <c r="W2074" s="122">
        <f t="shared" si="64"/>
        <v>22435</v>
      </c>
      <c r="X2074" s="122">
        <f t="shared" si="65"/>
        <v>30195</v>
      </c>
      <c r="AA2074" t="s">
        <v>62</v>
      </c>
      <c r="AB2074" t="s">
        <v>407</v>
      </c>
      <c r="AC2074" t="s">
        <v>566</v>
      </c>
      <c r="AD2074" t="s">
        <v>407</v>
      </c>
      <c r="AE2074" t="s">
        <v>566</v>
      </c>
      <c r="AF2074">
        <v>16</v>
      </c>
      <c r="AG2074" s="122">
        <v>1229</v>
      </c>
      <c r="AH2074" s="122">
        <v>6632</v>
      </c>
      <c r="AI2074" s="122">
        <v>377504</v>
      </c>
      <c r="AJ2074" s="122">
        <v>343186</v>
      </c>
      <c r="AK2074">
        <v>76</v>
      </c>
      <c r="AL2074" s="122">
        <v>0</v>
      </c>
      <c r="AM2074" s="122">
        <v>12414</v>
      </c>
      <c r="AN2074" s="122">
        <v>27041</v>
      </c>
      <c r="AO2074" s="122">
        <v>10015</v>
      </c>
      <c r="AP2074" s="122">
        <v>7439</v>
      </c>
      <c r="AQ2074" s="122">
        <v>2755</v>
      </c>
      <c r="AR2074" s="122">
        <v>98554</v>
      </c>
      <c r="AS2074" s="122">
        <v>89595</v>
      </c>
      <c r="AT2074" s="122">
        <v>0</v>
      </c>
      <c r="AU2074" s="122">
        <v>0</v>
      </c>
      <c r="AV2074" s="122">
        <v>457965</v>
      </c>
    </row>
    <row r="2075" spans="2:48" hidden="1">
      <c r="B2075" t="s">
        <v>377</v>
      </c>
      <c r="C2075" t="s">
        <v>52</v>
      </c>
      <c r="D2075" t="s">
        <v>426</v>
      </c>
      <c r="E2075" t="s">
        <v>426</v>
      </c>
      <c r="F2075" s="122">
        <v>1</v>
      </c>
      <c r="G2075" s="122">
        <v>129</v>
      </c>
      <c r="H2075" s="122">
        <v>125</v>
      </c>
      <c r="I2075" s="122">
        <v>12035</v>
      </c>
      <c r="J2075" s="122">
        <v>10941</v>
      </c>
      <c r="K2075" s="122">
        <v>70</v>
      </c>
      <c r="L2075" s="122">
        <v>1270</v>
      </c>
      <c r="M2075" s="122">
        <v>1154</v>
      </c>
      <c r="N2075" s="122">
        <v>5197</v>
      </c>
      <c r="O2075" s="122">
        <v>1925</v>
      </c>
      <c r="P2075" s="122">
        <v>351</v>
      </c>
      <c r="Q2075" s="122">
        <v>130</v>
      </c>
      <c r="R2075" s="122">
        <v>9139</v>
      </c>
      <c r="S2075" s="122">
        <v>8308</v>
      </c>
      <c r="T2075" s="122">
        <v>0</v>
      </c>
      <c r="U2075" s="122">
        <v>0</v>
      </c>
      <c r="V2075" s="122">
        <v>22458</v>
      </c>
      <c r="W2075" s="122">
        <f t="shared" si="64"/>
        <v>22458</v>
      </c>
      <c r="X2075" s="122">
        <f t="shared" si="65"/>
        <v>27992</v>
      </c>
      <c r="AA2075" t="s">
        <v>62</v>
      </c>
      <c r="AB2075" t="s">
        <v>407</v>
      </c>
      <c r="AC2075" t="s">
        <v>433</v>
      </c>
      <c r="AD2075" t="s">
        <v>407</v>
      </c>
      <c r="AE2075" t="s">
        <v>137</v>
      </c>
      <c r="AF2075">
        <v>2</v>
      </c>
      <c r="AG2075">
        <v>515</v>
      </c>
      <c r="AH2075" s="122">
        <v>822</v>
      </c>
      <c r="AI2075" s="122">
        <v>148996</v>
      </c>
      <c r="AJ2075" s="122">
        <v>135451</v>
      </c>
      <c r="AK2075">
        <v>71</v>
      </c>
      <c r="AL2075" s="122">
        <v>31639</v>
      </c>
      <c r="AM2075" s="122">
        <v>28763</v>
      </c>
      <c r="AN2075" s="122">
        <v>12162</v>
      </c>
      <c r="AO2075" s="122">
        <v>4504</v>
      </c>
      <c r="AP2075" s="122">
        <v>945</v>
      </c>
      <c r="AQ2075" s="122">
        <v>350</v>
      </c>
      <c r="AR2075" s="122">
        <v>12287</v>
      </c>
      <c r="AS2075" s="122">
        <v>11170</v>
      </c>
      <c r="AT2075" s="122">
        <v>7757</v>
      </c>
      <c r="AU2075" s="122">
        <v>2873</v>
      </c>
      <c r="AV2075" s="122">
        <v>183111</v>
      </c>
    </row>
    <row r="2076" spans="2:48" hidden="1">
      <c r="B2076" t="s">
        <v>377</v>
      </c>
      <c r="C2076" t="s">
        <v>52</v>
      </c>
      <c r="D2076" t="s">
        <v>408</v>
      </c>
      <c r="E2076" t="s">
        <v>408</v>
      </c>
      <c r="F2076" s="122">
        <v>1</v>
      </c>
      <c r="G2076" s="122">
        <v>276</v>
      </c>
      <c r="H2076" s="122">
        <v>117</v>
      </c>
      <c r="I2076" s="122">
        <v>21231</v>
      </c>
      <c r="J2076" s="122">
        <v>19301</v>
      </c>
      <c r="K2076" s="122">
        <v>86</v>
      </c>
      <c r="L2076" s="122">
        <v>307</v>
      </c>
      <c r="M2076" s="122">
        <v>279</v>
      </c>
      <c r="N2076" s="122">
        <v>4040</v>
      </c>
      <c r="O2076" s="122">
        <v>1496</v>
      </c>
      <c r="P2076" s="122">
        <v>621</v>
      </c>
      <c r="Q2076" s="122">
        <v>230</v>
      </c>
      <c r="R2076" s="122">
        <v>6247</v>
      </c>
      <c r="S2076" s="122">
        <v>5679</v>
      </c>
      <c r="T2076" s="122">
        <v>0</v>
      </c>
      <c r="U2076" s="122">
        <v>0</v>
      </c>
      <c r="V2076" s="122">
        <v>26986</v>
      </c>
      <c r="W2076" s="122">
        <f t="shared" si="64"/>
        <v>26985</v>
      </c>
      <c r="X2076" s="122">
        <f t="shared" si="65"/>
        <v>32446</v>
      </c>
      <c r="AA2076" t="s">
        <v>62</v>
      </c>
      <c r="AB2076" t="s">
        <v>407</v>
      </c>
      <c r="AC2076" t="s">
        <v>433</v>
      </c>
      <c r="AD2076" t="s">
        <v>407</v>
      </c>
      <c r="AE2076" t="s">
        <v>566</v>
      </c>
      <c r="AF2076">
        <v>7</v>
      </c>
      <c r="AG2076">
        <v>962</v>
      </c>
      <c r="AH2076" s="122">
        <v>2966</v>
      </c>
      <c r="AI2076" s="122">
        <v>285044</v>
      </c>
      <c r="AJ2076" s="122">
        <v>259131</v>
      </c>
      <c r="AK2076">
        <v>79</v>
      </c>
      <c r="AL2076" s="122">
        <v>72680</v>
      </c>
      <c r="AM2076" s="122">
        <v>66072</v>
      </c>
      <c r="AN2076" s="122">
        <v>23795</v>
      </c>
      <c r="AO2076" s="122">
        <v>8813</v>
      </c>
      <c r="AP2076" s="122">
        <v>3308</v>
      </c>
      <c r="AQ2076" s="122">
        <v>1225</v>
      </c>
      <c r="AR2076" s="122">
        <v>39105</v>
      </c>
      <c r="AS2076" s="122">
        <v>35550</v>
      </c>
      <c r="AT2076">
        <v>0</v>
      </c>
      <c r="AU2076">
        <v>0</v>
      </c>
      <c r="AV2076" s="122">
        <v>370791</v>
      </c>
    </row>
    <row r="2077" spans="2:48" hidden="1">
      <c r="B2077" t="s">
        <v>377</v>
      </c>
      <c r="C2077" t="s">
        <v>54</v>
      </c>
      <c r="D2077" t="s">
        <v>405</v>
      </c>
      <c r="E2077" t="s">
        <v>405</v>
      </c>
      <c r="F2077" s="122">
        <v>27</v>
      </c>
      <c r="G2077" s="122">
        <v>5056</v>
      </c>
      <c r="H2077" s="122">
        <v>3829</v>
      </c>
      <c r="I2077" s="122">
        <v>442521</v>
      </c>
      <c r="J2077" s="122">
        <v>402292</v>
      </c>
      <c r="K2077" s="122">
        <v>90</v>
      </c>
      <c r="L2077" s="122">
        <v>91329</v>
      </c>
      <c r="M2077" s="122">
        <v>84811</v>
      </c>
      <c r="N2077" s="122">
        <v>92039</v>
      </c>
      <c r="O2077" s="122">
        <v>34089</v>
      </c>
      <c r="P2077" s="122">
        <v>18394</v>
      </c>
      <c r="Q2077" s="122">
        <v>6813</v>
      </c>
      <c r="R2077" s="122">
        <v>146854</v>
      </c>
      <c r="S2077" s="122">
        <v>133504</v>
      </c>
      <c r="T2077" s="122">
        <v>13502</v>
      </c>
      <c r="U2077" s="122">
        <v>5001</v>
      </c>
      <c r="V2077" s="122">
        <v>666508</v>
      </c>
      <c r="W2077" s="122">
        <f t="shared" si="64"/>
        <v>666510</v>
      </c>
      <c r="X2077" s="122">
        <f t="shared" si="65"/>
        <v>804639</v>
      </c>
      <c r="AA2077" t="s">
        <v>62</v>
      </c>
      <c r="AB2077" t="s">
        <v>579</v>
      </c>
      <c r="AC2077" t="s">
        <v>137</v>
      </c>
      <c r="AD2077" t="s">
        <v>137</v>
      </c>
      <c r="AE2077" t="s">
        <v>566</v>
      </c>
      <c r="AF2077">
        <v>1</v>
      </c>
      <c r="AG2077">
        <v>106</v>
      </c>
      <c r="AH2077" s="122">
        <v>430</v>
      </c>
      <c r="AI2077" s="122">
        <v>32821</v>
      </c>
      <c r="AJ2077" s="122">
        <v>27351</v>
      </c>
      <c r="AK2077">
        <v>60</v>
      </c>
      <c r="AL2077" s="122">
        <v>4923</v>
      </c>
      <c r="AM2077" s="122">
        <v>1823</v>
      </c>
      <c r="AN2077" s="122">
        <v>2583</v>
      </c>
      <c r="AO2077" s="122">
        <v>957</v>
      </c>
      <c r="AP2077" s="122">
        <v>0</v>
      </c>
      <c r="AQ2077" s="122">
        <v>0</v>
      </c>
      <c r="AR2077" s="122">
        <v>5301</v>
      </c>
      <c r="AS2077" s="122">
        <v>1963</v>
      </c>
      <c r="AT2077" s="122">
        <v>0</v>
      </c>
      <c r="AU2077" s="122">
        <v>0</v>
      </c>
      <c r="AV2077" s="122">
        <v>32095</v>
      </c>
    </row>
    <row r="2078" spans="2:48" hidden="1">
      <c r="B2078" t="s">
        <v>377</v>
      </c>
      <c r="C2078" t="s">
        <v>54</v>
      </c>
      <c r="D2078" t="s">
        <v>137</v>
      </c>
      <c r="E2078" t="s">
        <v>137</v>
      </c>
      <c r="F2078" s="122">
        <v>24</v>
      </c>
      <c r="G2078" s="122">
        <v>4693</v>
      </c>
      <c r="H2078" s="122">
        <v>3364</v>
      </c>
      <c r="I2078" s="122">
        <v>335532</v>
      </c>
      <c r="J2078" s="122">
        <v>124271</v>
      </c>
      <c r="K2078" s="122">
        <v>304</v>
      </c>
      <c r="L2078" s="122">
        <v>82764</v>
      </c>
      <c r="M2078" s="122">
        <v>73831</v>
      </c>
      <c r="N2078" s="122">
        <v>94627</v>
      </c>
      <c r="O2078" s="122">
        <v>35047</v>
      </c>
      <c r="P2078" s="122">
        <v>20788</v>
      </c>
      <c r="Q2078" s="122">
        <v>7699</v>
      </c>
      <c r="R2078" s="122">
        <v>194973</v>
      </c>
      <c r="S2078" s="122">
        <v>72212</v>
      </c>
      <c r="T2078" s="122">
        <v>0</v>
      </c>
      <c r="U2078" s="122">
        <v>0</v>
      </c>
      <c r="V2078" s="122">
        <v>313061</v>
      </c>
      <c r="W2078" s="122">
        <f t="shared" si="64"/>
        <v>313060</v>
      </c>
      <c r="X2078" s="122">
        <f t="shared" si="65"/>
        <v>728684</v>
      </c>
      <c r="AA2078" t="s">
        <v>62</v>
      </c>
      <c r="AB2078" t="s">
        <v>579</v>
      </c>
      <c r="AC2078" t="s">
        <v>137</v>
      </c>
      <c r="AD2078" t="s">
        <v>579</v>
      </c>
      <c r="AE2078" t="s">
        <v>137</v>
      </c>
      <c r="AF2078">
        <v>9</v>
      </c>
      <c r="AG2078">
        <v>860</v>
      </c>
      <c r="AH2078" s="122">
        <v>3784</v>
      </c>
      <c r="AI2078" s="122">
        <v>239121</v>
      </c>
      <c r="AJ2078" s="122">
        <v>199267</v>
      </c>
      <c r="AK2078">
        <v>59</v>
      </c>
      <c r="AL2078" s="122">
        <v>35599</v>
      </c>
      <c r="AM2078" s="122">
        <v>13185</v>
      </c>
      <c r="AN2078" s="122">
        <v>16915</v>
      </c>
      <c r="AO2078" s="122">
        <v>6265</v>
      </c>
      <c r="AP2078" s="122">
        <v>3159</v>
      </c>
      <c r="AQ2078" s="122">
        <v>1170</v>
      </c>
      <c r="AR2078" s="122">
        <v>50536</v>
      </c>
      <c r="AS2078" s="122">
        <v>42114</v>
      </c>
      <c r="AT2078" s="122">
        <v>23324</v>
      </c>
      <c r="AU2078" s="122">
        <v>8639</v>
      </c>
      <c r="AV2078" s="122">
        <v>270639</v>
      </c>
    </row>
    <row r="2079" spans="2:48" hidden="1">
      <c r="B2079" t="s">
        <v>377</v>
      </c>
      <c r="C2079" t="s">
        <v>54</v>
      </c>
      <c r="D2079" t="s">
        <v>483</v>
      </c>
      <c r="E2079" t="s">
        <v>483</v>
      </c>
      <c r="F2079" s="122">
        <v>1</v>
      </c>
      <c r="G2079" s="122">
        <v>119</v>
      </c>
      <c r="H2079" s="122">
        <v>134</v>
      </c>
      <c r="I2079" s="122">
        <v>7586</v>
      </c>
      <c r="J2079" s="122">
        <v>2810</v>
      </c>
      <c r="K2079" s="122">
        <v>250</v>
      </c>
      <c r="L2079" s="122">
        <v>1431</v>
      </c>
      <c r="M2079" s="122">
        <v>1301</v>
      </c>
      <c r="N2079" s="122">
        <v>1590</v>
      </c>
      <c r="O2079" s="122">
        <v>589</v>
      </c>
      <c r="P2079" s="122">
        <v>1847</v>
      </c>
      <c r="Q2079" s="122">
        <v>684</v>
      </c>
      <c r="R2079" s="122">
        <v>3481</v>
      </c>
      <c r="S2079" s="122">
        <v>1289</v>
      </c>
      <c r="T2079" s="122">
        <v>0</v>
      </c>
      <c r="U2079" s="122">
        <v>0</v>
      </c>
      <c r="V2079" s="122">
        <v>6673</v>
      </c>
      <c r="W2079" s="122">
        <f t="shared" si="64"/>
        <v>6673</v>
      </c>
      <c r="X2079" s="122">
        <f t="shared" si="65"/>
        <v>15935</v>
      </c>
      <c r="AA2079" t="s">
        <v>62</v>
      </c>
      <c r="AB2079" t="s">
        <v>579</v>
      </c>
      <c r="AC2079" t="s">
        <v>137</v>
      </c>
      <c r="AD2079" t="s">
        <v>579</v>
      </c>
      <c r="AE2079" t="s">
        <v>566</v>
      </c>
      <c r="AF2079">
        <v>3</v>
      </c>
      <c r="AG2079" s="122">
        <v>274</v>
      </c>
      <c r="AH2079" s="122">
        <v>1257</v>
      </c>
      <c r="AI2079" s="122">
        <v>75306</v>
      </c>
      <c r="AJ2079" s="122">
        <v>62755</v>
      </c>
      <c r="AK2079">
        <v>53</v>
      </c>
      <c r="AL2079" s="122">
        <v>11892</v>
      </c>
      <c r="AM2079" s="122">
        <v>4404</v>
      </c>
      <c r="AN2079" s="122">
        <v>5706</v>
      </c>
      <c r="AO2079" s="122">
        <v>2113</v>
      </c>
      <c r="AP2079" s="122">
        <v>351</v>
      </c>
      <c r="AQ2079" s="122">
        <v>130</v>
      </c>
      <c r="AR2079" s="122">
        <v>22513</v>
      </c>
      <c r="AS2079" s="122">
        <v>18761</v>
      </c>
      <c r="AT2079" s="122">
        <v>0</v>
      </c>
      <c r="AU2079" s="122">
        <v>0</v>
      </c>
      <c r="AV2079" s="122">
        <v>88164</v>
      </c>
    </row>
    <row r="2080" spans="2:48" hidden="1">
      <c r="B2080" t="s">
        <v>377</v>
      </c>
      <c r="C2080" t="s">
        <v>54</v>
      </c>
      <c r="D2080" t="s">
        <v>406</v>
      </c>
      <c r="E2080" t="s">
        <v>137</v>
      </c>
      <c r="F2080" s="122">
        <v>3</v>
      </c>
      <c r="G2080" s="122">
        <v>490</v>
      </c>
      <c r="H2080" s="122">
        <v>407</v>
      </c>
      <c r="I2080" s="122">
        <v>38635</v>
      </c>
      <c r="J2080" s="122">
        <v>35123</v>
      </c>
      <c r="K2080" s="122">
        <v>88</v>
      </c>
      <c r="L2080" s="122">
        <v>7994</v>
      </c>
      <c r="M2080" s="122">
        <v>7267</v>
      </c>
      <c r="N2080" s="122">
        <v>7386</v>
      </c>
      <c r="O2080" s="122">
        <v>2736</v>
      </c>
      <c r="P2080" s="122">
        <v>1863</v>
      </c>
      <c r="Q2080" s="122">
        <v>690</v>
      </c>
      <c r="R2080" s="122">
        <v>12914</v>
      </c>
      <c r="S2080" s="122">
        <v>4783</v>
      </c>
      <c r="T2080" s="122">
        <v>0</v>
      </c>
      <c r="U2080" s="122">
        <v>0</v>
      </c>
      <c r="V2080" s="122">
        <v>50598</v>
      </c>
      <c r="W2080" s="122">
        <f t="shared" si="64"/>
        <v>50599</v>
      </c>
      <c r="X2080" s="122">
        <f t="shared" si="65"/>
        <v>68792</v>
      </c>
      <c r="AA2080" t="s">
        <v>62</v>
      </c>
      <c r="AB2080" t="s">
        <v>579</v>
      </c>
      <c r="AC2080" t="s">
        <v>580</v>
      </c>
      <c r="AD2080" t="s">
        <v>579</v>
      </c>
      <c r="AE2080" t="s">
        <v>137</v>
      </c>
      <c r="AF2080">
        <v>13</v>
      </c>
      <c r="AG2080" s="122">
        <v>1675</v>
      </c>
      <c r="AH2080" s="122">
        <v>5471</v>
      </c>
      <c r="AI2080" s="122">
        <v>504812</v>
      </c>
      <c r="AJ2080" s="122">
        <v>420676</v>
      </c>
      <c r="AK2080">
        <v>59</v>
      </c>
      <c r="AL2080" s="122">
        <v>44595</v>
      </c>
      <c r="AM2080" s="122">
        <v>40541</v>
      </c>
      <c r="AN2080" s="122">
        <v>32553</v>
      </c>
      <c r="AO2080" s="122">
        <v>12057</v>
      </c>
      <c r="AP2080" s="122">
        <v>7155</v>
      </c>
      <c r="AQ2080" s="122">
        <v>2650</v>
      </c>
      <c r="AR2080" s="122">
        <v>76418</v>
      </c>
      <c r="AS2080" s="122">
        <v>63682</v>
      </c>
      <c r="AT2080" s="122">
        <v>36617</v>
      </c>
      <c r="AU2080" s="122">
        <v>13562</v>
      </c>
      <c r="AV2080" s="122">
        <v>553168</v>
      </c>
    </row>
    <row r="2081" spans="2:48" hidden="1">
      <c r="B2081" t="s">
        <v>377</v>
      </c>
      <c r="C2081" t="s">
        <v>54</v>
      </c>
      <c r="D2081" t="s">
        <v>406</v>
      </c>
      <c r="E2081" t="s">
        <v>406</v>
      </c>
      <c r="F2081" s="122">
        <v>622</v>
      </c>
      <c r="G2081" s="122">
        <v>123790</v>
      </c>
      <c r="H2081" s="122">
        <v>87512</v>
      </c>
      <c r="I2081" s="122">
        <v>10420344</v>
      </c>
      <c r="J2081" s="122">
        <v>9473040</v>
      </c>
      <c r="K2081" s="122">
        <v>90</v>
      </c>
      <c r="L2081" s="122">
        <v>1973403</v>
      </c>
      <c r="M2081" s="122">
        <v>1772490</v>
      </c>
      <c r="N2081" s="122">
        <v>2522530</v>
      </c>
      <c r="O2081" s="122">
        <v>934270</v>
      </c>
      <c r="P2081" s="122">
        <v>471093</v>
      </c>
      <c r="Q2081" s="122">
        <v>174479</v>
      </c>
      <c r="R2081" s="122">
        <v>3341772</v>
      </c>
      <c r="S2081" s="122">
        <v>3037974</v>
      </c>
      <c r="T2081" s="122">
        <v>409084</v>
      </c>
      <c r="U2081" s="122">
        <v>151513</v>
      </c>
      <c r="V2081" s="122">
        <v>15543766</v>
      </c>
      <c r="W2081" s="122">
        <f t="shared" si="64"/>
        <v>15543766</v>
      </c>
      <c r="X2081" s="122">
        <f t="shared" si="65"/>
        <v>19138226</v>
      </c>
      <c r="AA2081" t="s">
        <v>62</v>
      </c>
      <c r="AB2081" t="s">
        <v>579</v>
      </c>
      <c r="AC2081" t="s">
        <v>427</v>
      </c>
      <c r="AD2081" t="s">
        <v>579</v>
      </c>
      <c r="AE2081" t="s">
        <v>566</v>
      </c>
      <c r="AF2081">
        <v>1</v>
      </c>
      <c r="AG2081">
        <v>93</v>
      </c>
      <c r="AH2081">
        <v>380</v>
      </c>
      <c r="AI2081" s="122">
        <v>23804</v>
      </c>
      <c r="AJ2081" s="122">
        <v>19837</v>
      </c>
      <c r="AK2081">
        <v>65</v>
      </c>
      <c r="AL2081" s="122">
        <v>2627</v>
      </c>
      <c r="AM2081" s="122">
        <v>2388</v>
      </c>
      <c r="AN2081" s="122">
        <v>1533</v>
      </c>
      <c r="AO2081" s="122">
        <v>568</v>
      </c>
      <c r="AP2081">
        <v>351</v>
      </c>
      <c r="AQ2081">
        <v>130</v>
      </c>
      <c r="AR2081" s="122">
        <v>7101</v>
      </c>
      <c r="AS2081" s="122">
        <v>5918</v>
      </c>
      <c r="AT2081" s="122">
        <v>0</v>
      </c>
      <c r="AU2081" s="122">
        <v>0</v>
      </c>
      <c r="AV2081" s="122">
        <v>28840</v>
      </c>
    </row>
    <row r="2082" spans="2:48" hidden="1">
      <c r="B2082" t="s">
        <v>377</v>
      </c>
      <c r="C2082" t="s">
        <v>54</v>
      </c>
      <c r="D2082" t="s">
        <v>406</v>
      </c>
      <c r="E2082" t="s">
        <v>407</v>
      </c>
      <c r="F2082" s="122">
        <v>1</v>
      </c>
      <c r="G2082" s="122">
        <v>215</v>
      </c>
      <c r="H2082" s="122">
        <v>142</v>
      </c>
      <c r="I2082" s="122">
        <v>17836</v>
      </c>
      <c r="J2082" s="122">
        <v>16215</v>
      </c>
      <c r="K2082" s="122">
        <v>95</v>
      </c>
      <c r="L2082" s="122">
        <v>2759</v>
      </c>
      <c r="M2082" s="122">
        <v>2508</v>
      </c>
      <c r="N2082" s="122">
        <v>2619</v>
      </c>
      <c r="O2082" s="122">
        <v>970</v>
      </c>
      <c r="P2082" s="122">
        <v>1323</v>
      </c>
      <c r="Q2082" s="122">
        <v>490</v>
      </c>
      <c r="R2082" s="122">
        <v>5934</v>
      </c>
      <c r="S2082" s="122">
        <v>5395</v>
      </c>
      <c r="T2082" s="122">
        <v>0</v>
      </c>
      <c r="U2082" s="122">
        <v>0</v>
      </c>
      <c r="V2082" s="122">
        <v>25578</v>
      </c>
      <c r="W2082" s="122">
        <f t="shared" ref="W2082:W2145" si="66">SUM(ABS(J2082),ABS(M2082),ABS(O2082),ABS(Q2082),ABS(S2082),ABS(U2082))</f>
        <v>25578</v>
      </c>
      <c r="X2082" s="122">
        <f t="shared" ref="X2082:X2145" si="67">SUM(ABS(I2082),ABS(N2082),ABS(P2082),ABS(R2082),ABS(T2082),ABS(L2082))</f>
        <v>30471</v>
      </c>
      <c r="AA2082" t="s">
        <v>62</v>
      </c>
      <c r="AB2082" t="s">
        <v>579</v>
      </c>
      <c r="AC2082" t="s">
        <v>407</v>
      </c>
      <c r="AD2082" t="s">
        <v>579</v>
      </c>
      <c r="AE2082" t="s">
        <v>137</v>
      </c>
      <c r="AF2082">
        <v>1</v>
      </c>
      <c r="AG2082">
        <v>140</v>
      </c>
      <c r="AH2082">
        <v>385</v>
      </c>
      <c r="AI2082" s="122">
        <v>31158</v>
      </c>
      <c r="AJ2082" s="122">
        <v>25965</v>
      </c>
      <c r="AK2082">
        <v>65</v>
      </c>
      <c r="AL2082" s="122">
        <v>10314</v>
      </c>
      <c r="AM2082" s="122">
        <v>9376</v>
      </c>
      <c r="AN2082" s="122">
        <v>3202</v>
      </c>
      <c r="AO2082" s="122">
        <v>1186</v>
      </c>
      <c r="AP2082">
        <v>351</v>
      </c>
      <c r="AQ2082">
        <v>130</v>
      </c>
      <c r="AR2082" s="122">
        <v>5729</v>
      </c>
      <c r="AS2082" s="122">
        <v>4774</v>
      </c>
      <c r="AT2082" s="122">
        <v>3040</v>
      </c>
      <c r="AU2082" s="122">
        <v>1126</v>
      </c>
      <c r="AV2082" s="122">
        <v>42558</v>
      </c>
    </row>
    <row r="2083" spans="2:48" hidden="1">
      <c r="B2083" t="s">
        <v>377</v>
      </c>
      <c r="C2083" t="s">
        <v>54</v>
      </c>
      <c r="D2083" t="s">
        <v>406</v>
      </c>
      <c r="E2083" t="s">
        <v>431</v>
      </c>
      <c r="F2083" s="122">
        <v>1</v>
      </c>
      <c r="G2083" s="122">
        <v>151</v>
      </c>
      <c r="H2083" s="122">
        <v>145</v>
      </c>
      <c r="I2083" s="122">
        <v>21430</v>
      </c>
      <c r="J2083" s="122">
        <v>19482</v>
      </c>
      <c r="K2083" s="122">
        <v>86</v>
      </c>
      <c r="L2083" s="122">
        <v>2982</v>
      </c>
      <c r="M2083" s="122">
        <v>2711</v>
      </c>
      <c r="N2083" s="122">
        <v>3107</v>
      </c>
      <c r="O2083" s="122">
        <v>1151</v>
      </c>
      <c r="P2083" s="122">
        <v>621</v>
      </c>
      <c r="Q2083" s="122">
        <v>230</v>
      </c>
      <c r="R2083" s="122">
        <v>6686</v>
      </c>
      <c r="S2083" s="122">
        <v>6079</v>
      </c>
      <c r="T2083" s="122">
        <v>0</v>
      </c>
      <c r="U2083" s="122">
        <v>0</v>
      </c>
      <c r="V2083" s="122">
        <v>29652</v>
      </c>
      <c r="W2083" s="122">
        <f t="shared" si="66"/>
        <v>29653</v>
      </c>
      <c r="X2083" s="122">
        <f t="shared" si="67"/>
        <v>34826</v>
      </c>
      <c r="AA2083" t="s">
        <v>62</v>
      </c>
      <c r="AB2083" t="s">
        <v>579</v>
      </c>
      <c r="AC2083" t="s">
        <v>579</v>
      </c>
      <c r="AD2083" t="s">
        <v>137</v>
      </c>
      <c r="AE2083" t="s">
        <v>566</v>
      </c>
      <c r="AF2083">
        <v>1</v>
      </c>
      <c r="AG2083" s="122">
        <v>128</v>
      </c>
      <c r="AH2083" s="122">
        <v>428</v>
      </c>
      <c r="AI2083" s="122">
        <v>35655</v>
      </c>
      <c r="AJ2083" s="122">
        <v>29713</v>
      </c>
      <c r="AK2083">
        <v>45</v>
      </c>
      <c r="AL2083" s="122">
        <v>5943</v>
      </c>
      <c r="AM2083" s="122">
        <v>4952</v>
      </c>
      <c r="AN2083" s="122">
        <v>2970</v>
      </c>
      <c r="AO2083" s="122">
        <v>1100</v>
      </c>
      <c r="AP2083" s="122">
        <v>351</v>
      </c>
      <c r="AQ2083" s="122">
        <v>130</v>
      </c>
      <c r="AR2083" s="122">
        <v>9731</v>
      </c>
      <c r="AS2083" s="122">
        <v>3604</v>
      </c>
      <c r="AT2083" s="122">
        <v>0</v>
      </c>
      <c r="AU2083" s="122">
        <v>0</v>
      </c>
      <c r="AV2083" s="122">
        <v>39499</v>
      </c>
    </row>
    <row r="2084" spans="2:48" hidden="1">
      <c r="B2084" t="s">
        <v>377</v>
      </c>
      <c r="C2084" t="s">
        <v>54</v>
      </c>
      <c r="D2084" t="s">
        <v>406</v>
      </c>
      <c r="E2084" t="s">
        <v>433</v>
      </c>
      <c r="F2084" s="122">
        <v>1</v>
      </c>
      <c r="G2084" s="122">
        <v>213</v>
      </c>
      <c r="H2084" s="122">
        <v>147</v>
      </c>
      <c r="I2084" s="122">
        <v>17471</v>
      </c>
      <c r="J2084" s="122">
        <v>15883</v>
      </c>
      <c r="K2084" s="122">
        <v>86</v>
      </c>
      <c r="L2084" s="122">
        <v>2201</v>
      </c>
      <c r="M2084" s="122">
        <v>2001</v>
      </c>
      <c r="N2084" s="122">
        <v>2591</v>
      </c>
      <c r="O2084" s="122">
        <v>960</v>
      </c>
      <c r="P2084" s="122">
        <v>621</v>
      </c>
      <c r="Q2084" s="122">
        <v>230</v>
      </c>
      <c r="R2084" s="122">
        <v>4754</v>
      </c>
      <c r="S2084" s="122">
        <v>4322</v>
      </c>
      <c r="T2084" s="122">
        <v>3592</v>
      </c>
      <c r="U2084" s="122">
        <v>1330</v>
      </c>
      <c r="V2084" s="122">
        <v>24725</v>
      </c>
      <c r="W2084" s="122">
        <f t="shared" si="66"/>
        <v>24726</v>
      </c>
      <c r="X2084" s="122">
        <f t="shared" si="67"/>
        <v>31230</v>
      </c>
      <c r="AA2084" t="s">
        <v>62</v>
      </c>
      <c r="AB2084" t="s">
        <v>579</v>
      </c>
      <c r="AC2084" t="s">
        <v>579</v>
      </c>
      <c r="AD2084" t="s">
        <v>579</v>
      </c>
      <c r="AE2084" t="s">
        <v>137</v>
      </c>
      <c r="AF2084">
        <v>38</v>
      </c>
      <c r="AG2084" s="122">
        <v>3730</v>
      </c>
      <c r="AH2084" s="122">
        <v>15799</v>
      </c>
      <c r="AI2084" s="122">
        <v>960600</v>
      </c>
      <c r="AJ2084" s="122">
        <v>800500</v>
      </c>
      <c r="AK2084">
        <v>54</v>
      </c>
      <c r="AL2084" s="122">
        <v>177081</v>
      </c>
      <c r="AM2084" s="122">
        <v>147568</v>
      </c>
      <c r="AN2084" s="122">
        <v>76864</v>
      </c>
      <c r="AO2084" s="122">
        <v>28468</v>
      </c>
      <c r="AP2084" s="122">
        <v>12987</v>
      </c>
      <c r="AQ2084" s="122">
        <v>4810</v>
      </c>
      <c r="AR2084" s="122">
        <v>234448</v>
      </c>
      <c r="AS2084" s="122">
        <v>195373</v>
      </c>
      <c r="AT2084" s="122">
        <v>85938</v>
      </c>
      <c r="AU2084" s="122">
        <v>31829</v>
      </c>
      <c r="AV2084" s="122">
        <v>1208548</v>
      </c>
    </row>
    <row r="2085" spans="2:48" hidden="1">
      <c r="B2085" t="s">
        <v>377</v>
      </c>
      <c r="C2085" t="s">
        <v>54</v>
      </c>
      <c r="D2085" t="s">
        <v>407</v>
      </c>
      <c r="E2085" t="s">
        <v>407</v>
      </c>
      <c r="F2085" s="122">
        <v>9</v>
      </c>
      <c r="G2085" s="122">
        <v>1467</v>
      </c>
      <c r="H2085" s="122">
        <v>1239</v>
      </c>
      <c r="I2085" s="122">
        <v>109904</v>
      </c>
      <c r="J2085" s="122">
        <v>99913</v>
      </c>
      <c r="K2085" s="122">
        <v>90</v>
      </c>
      <c r="L2085" s="122">
        <v>13856</v>
      </c>
      <c r="M2085" s="122">
        <v>12596</v>
      </c>
      <c r="N2085" s="122">
        <v>31077</v>
      </c>
      <c r="O2085" s="122">
        <v>11510</v>
      </c>
      <c r="P2085" s="122">
        <v>5990</v>
      </c>
      <c r="Q2085" s="122">
        <v>2218</v>
      </c>
      <c r="R2085" s="122">
        <v>39178</v>
      </c>
      <c r="S2085" s="122">
        <v>35617</v>
      </c>
      <c r="T2085" s="122">
        <v>2680</v>
      </c>
      <c r="U2085" s="122">
        <v>993</v>
      </c>
      <c r="V2085" s="122">
        <v>162847</v>
      </c>
      <c r="W2085" s="122">
        <f t="shared" si="66"/>
        <v>162847</v>
      </c>
      <c r="X2085" s="122">
        <f t="shared" si="67"/>
        <v>202685</v>
      </c>
      <c r="AA2085" t="s">
        <v>62</v>
      </c>
      <c r="AB2085" t="s">
        <v>579</v>
      </c>
      <c r="AC2085" t="s">
        <v>579</v>
      </c>
      <c r="AD2085" t="s">
        <v>579</v>
      </c>
      <c r="AE2085" t="s">
        <v>566</v>
      </c>
      <c r="AF2085">
        <v>5</v>
      </c>
      <c r="AG2085" s="122">
        <v>476</v>
      </c>
      <c r="AH2085" s="122">
        <v>2068</v>
      </c>
      <c r="AI2085" s="122">
        <v>122316</v>
      </c>
      <c r="AJ2085" s="122">
        <v>101930</v>
      </c>
      <c r="AK2085">
        <v>58</v>
      </c>
      <c r="AL2085" s="122">
        <v>21135</v>
      </c>
      <c r="AM2085" s="122">
        <v>17613</v>
      </c>
      <c r="AN2085" s="122">
        <v>9443</v>
      </c>
      <c r="AO2085" s="122">
        <v>3497</v>
      </c>
      <c r="AP2085" s="122">
        <v>2025</v>
      </c>
      <c r="AQ2085" s="122">
        <v>750</v>
      </c>
      <c r="AR2085" s="122">
        <v>41452</v>
      </c>
      <c r="AS2085" s="122">
        <v>34544</v>
      </c>
      <c r="AT2085" s="122">
        <v>0</v>
      </c>
      <c r="AU2085" s="122">
        <v>0</v>
      </c>
      <c r="AV2085" s="122">
        <v>158334</v>
      </c>
    </row>
    <row r="2086" spans="2:48" hidden="1">
      <c r="B2086" t="s">
        <v>377</v>
      </c>
      <c r="C2086" t="s">
        <v>54</v>
      </c>
      <c r="D2086" t="s">
        <v>426</v>
      </c>
      <c r="E2086" t="s">
        <v>426</v>
      </c>
      <c r="F2086" s="122">
        <v>1</v>
      </c>
      <c r="G2086" s="122">
        <v>372</v>
      </c>
      <c r="H2086" s="122">
        <v>144</v>
      </c>
      <c r="I2086" s="122">
        <v>42285</v>
      </c>
      <c r="J2086" s="122">
        <v>38441</v>
      </c>
      <c r="K2086" s="122">
        <v>78</v>
      </c>
      <c r="L2086" s="122">
        <v>0</v>
      </c>
      <c r="M2086" s="122">
        <v>0</v>
      </c>
      <c r="N2086" s="122">
        <v>5897</v>
      </c>
      <c r="O2086" s="122">
        <v>2184</v>
      </c>
      <c r="P2086" s="122">
        <v>1404</v>
      </c>
      <c r="Q2086" s="122">
        <v>520</v>
      </c>
      <c r="R2086" s="122">
        <v>4131</v>
      </c>
      <c r="S2086" s="122">
        <v>3756</v>
      </c>
      <c r="T2086" s="122">
        <v>0</v>
      </c>
      <c r="U2086" s="122">
        <v>0</v>
      </c>
      <c r="V2086" s="122">
        <v>44901</v>
      </c>
      <c r="W2086" s="122">
        <f t="shared" si="66"/>
        <v>44901</v>
      </c>
      <c r="X2086" s="122">
        <f t="shared" si="67"/>
        <v>53717</v>
      </c>
      <c r="AA2086" t="s">
        <v>62</v>
      </c>
      <c r="AB2086" t="s">
        <v>579</v>
      </c>
      <c r="AC2086" t="s">
        <v>566</v>
      </c>
      <c r="AD2086" t="s">
        <v>579</v>
      </c>
      <c r="AE2086" t="s">
        <v>137</v>
      </c>
      <c r="AF2086">
        <v>42</v>
      </c>
      <c r="AG2086" s="122">
        <v>3189</v>
      </c>
      <c r="AH2086" s="122">
        <v>17185</v>
      </c>
      <c r="AI2086" s="122">
        <v>910416</v>
      </c>
      <c r="AJ2086" s="122">
        <v>758680</v>
      </c>
      <c r="AK2086">
        <v>56</v>
      </c>
      <c r="AL2086">
        <v>0</v>
      </c>
      <c r="AM2086" s="122">
        <v>9544</v>
      </c>
      <c r="AN2086" s="122">
        <v>65621</v>
      </c>
      <c r="AO2086" s="122">
        <v>24304</v>
      </c>
      <c r="AP2086" s="122">
        <v>14742</v>
      </c>
      <c r="AQ2086" s="122">
        <v>5460</v>
      </c>
      <c r="AR2086" s="122">
        <v>229448</v>
      </c>
      <c r="AS2086" s="122">
        <v>191207</v>
      </c>
      <c r="AT2086" s="122">
        <v>83911</v>
      </c>
      <c r="AU2086" s="122">
        <v>31078</v>
      </c>
      <c r="AV2086" s="122">
        <v>1020273</v>
      </c>
    </row>
    <row r="2087" spans="2:48" hidden="1">
      <c r="B2087" t="s">
        <v>377</v>
      </c>
      <c r="C2087" t="s">
        <v>54</v>
      </c>
      <c r="D2087" t="s">
        <v>433</v>
      </c>
      <c r="E2087" t="s">
        <v>433</v>
      </c>
      <c r="F2087" s="122">
        <v>1</v>
      </c>
      <c r="G2087" s="122">
        <v>258</v>
      </c>
      <c r="H2087" s="122">
        <v>131</v>
      </c>
      <c r="I2087" s="122">
        <v>19703</v>
      </c>
      <c r="J2087" s="122">
        <v>17912</v>
      </c>
      <c r="K2087" s="122">
        <v>86</v>
      </c>
      <c r="L2087" s="122">
        <v>0</v>
      </c>
      <c r="M2087" s="122">
        <v>0</v>
      </c>
      <c r="N2087" s="122">
        <v>3148</v>
      </c>
      <c r="O2087" s="122">
        <v>1166</v>
      </c>
      <c r="P2087" s="122">
        <v>4442</v>
      </c>
      <c r="Q2087" s="122">
        <v>1645</v>
      </c>
      <c r="R2087" s="122">
        <v>3863</v>
      </c>
      <c r="S2087" s="122">
        <v>3512</v>
      </c>
      <c r="T2087" s="122">
        <v>2717</v>
      </c>
      <c r="U2087" s="122">
        <v>1006</v>
      </c>
      <c r="V2087" s="122">
        <v>25242</v>
      </c>
      <c r="W2087" s="122">
        <f t="shared" si="66"/>
        <v>25241</v>
      </c>
      <c r="X2087" s="122">
        <f t="shared" si="67"/>
        <v>33873</v>
      </c>
      <c r="AA2087" t="s">
        <v>62</v>
      </c>
      <c r="AB2087" t="s">
        <v>579</v>
      </c>
      <c r="AC2087" t="s">
        <v>566</v>
      </c>
      <c r="AD2087" t="s">
        <v>579</v>
      </c>
      <c r="AE2087" t="s">
        <v>566</v>
      </c>
      <c r="AF2087">
        <v>2</v>
      </c>
      <c r="AG2087">
        <v>225</v>
      </c>
      <c r="AH2087">
        <v>887</v>
      </c>
      <c r="AI2087" s="122">
        <v>84088</v>
      </c>
      <c r="AJ2087" s="122">
        <v>70073</v>
      </c>
      <c r="AK2087">
        <v>70</v>
      </c>
      <c r="AL2087" s="122">
        <v>0</v>
      </c>
      <c r="AM2087" s="122">
        <v>3237</v>
      </c>
      <c r="AN2087" s="122">
        <v>3374</v>
      </c>
      <c r="AO2087" s="122">
        <v>1250</v>
      </c>
      <c r="AP2087">
        <v>702</v>
      </c>
      <c r="AQ2087">
        <v>260</v>
      </c>
      <c r="AR2087" s="122">
        <v>10951</v>
      </c>
      <c r="AS2087" s="122">
        <v>9126</v>
      </c>
      <c r="AT2087" s="122">
        <v>0</v>
      </c>
      <c r="AU2087" s="122">
        <v>0</v>
      </c>
      <c r="AV2087" s="122">
        <v>83946</v>
      </c>
    </row>
    <row r="2088" spans="2:48" hidden="1">
      <c r="B2088" t="s">
        <v>377</v>
      </c>
      <c r="C2088" t="s">
        <v>54</v>
      </c>
      <c r="D2088" t="s">
        <v>408</v>
      </c>
      <c r="E2088" t="s">
        <v>408</v>
      </c>
      <c r="F2088" s="122">
        <v>8</v>
      </c>
      <c r="G2088" s="122">
        <v>1717</v>
      </c>
      <c r="H2088" s="122">
        <v>1127</v>
      </c>
      <c r="I2088" s="122">
        <v>173781</v>
      </c>
      <c r="J2088" s="122">
        <v>157983</v>
      </c>
      <c r="K2088" s="122">
        <v>79</v>
      </c>
      <c r="L2088" s="122">
        <v>21369</v>
      </c>
      <c r="M2088" s="122">
        <v>19426</v>
      </c>
      <c r="N2088" s="122">
        <v>31115</v>
      </c>
      <c r="O2088" s="122">
        <v>11524</v>
      </c>
      <c r="P2088" s="122">
        <v>11188</v>
      </c>
      <c r="Q2088" s="122">
        <v>4144</v>
      </c>
      <c r="R2088" s="122">
        <v>35424</v>
      </c>
      <c r="S2088" s="122">
        <v>32203</v>
      </c>
      <c r="T2088" s="122">
        <v>0</v>
      </c>
      <c r="U2088" s="122">
        <v>0</v>
      </c>
      <c r="V2088" s="122">
        <v>225280</v>
      </c>
      <c r="W2088" s="122">
        <f t="shared" si="66"/>
        <v>225280</v>
      </c>
      <c r="X2088" s="122">
        <f t="shared" si="67"/>
        <v>272877</v>
      </c>
      <c r="AA2088" t="s">
        <v>62</v>
      </c>
      <c r="AB2088" t="s">
        <v>428</v>
      </c>
      <c r="AC2088" t="s">
        <v>137</v>
      </c>
      <c r="AD2088" t="s">
        <v>428</v>
      </c>
      <c r="AE2088" t="s">
        <v>137</v>
      </c>
      <c r="AF2088">
        <v>1</v>
      </c>
      <c r="AG2088">
        <v>115</v>
      </c>
      <c r="AH2088">
        <v>416</v>
      </c>
      <c r="AI2088" s="122">
        <v>30257</v>
      </c>
      <c r="AJ2088" s="122">
        <v>27507</v>
      </c>
      <c r="AK2088">
        <v>55</v>
      </c>
      <c r="AL2088" s="122">
        <v>4539</v>
      </c>
      <c r="AM2088" s="122">
        <v>1681</v>
      </c>
      <c r="AN2088" s="122">
        <v>2655</v>
      </c>
      <c r="AO2088">
        <v>983</v>
      </c>
      <c r="AP2088">
        <v>351</v>
      </c>
      <c r="AQ2088">
        <v>130</v>
      </c>
      <c r="AR2088" s="122">
        <v>6633</v>
      </c>
      <c r="AS2088" s="122">
        <v>6030</v>
      </c>
      <c r="AT2088" s="122">
        <v>3323</v>
      </c>
      <c r="AU2088" s="122">
        <v>1231</v>
      </c>
      <c r="AV2088" s="122">
        <v>37562</v>
      </c>
    </row>
    <row r="2089" spans="2:48" hidden="1">
      <c r="B2089" t="s">
        <v>377</v>
      </c>
      <c r="C2089" t="s">
        <v>56</v>
      </c>
      <c r="F2089" s="122">
        <v>2</v>
      </c>
      <c r="G2089" s="122">
        <v>449</v>
      </c>
      <c r="H2089" s="122">
        <v>323</v>
      </c>
      <c r="I2089" s="122"/>
      <c r="J2089" s="122">
        <v>0</v>
      </c>
      <c r="K2089" s="122"/>
      <c r="L2089" s="122"/>
      <c r="M2089" s="122">
        <v>0</v>
      </c>
      <c r="N2089" s="122">
        <v>7328</v>
      </c>
      <c r="O2089" s="122">
        <v>2714</v>
      </c>
      <c r="P2089" s="122">
        <v>2997</v>
      </c>
      <c r="Q2089" s="122">
        <v>1110</v>
      </c>
      <c r="R2089" s="122"/>
      <c r="S2089" s="122">
        <v>0</v>
      </c>
      <c r="T2089" s="122">
        <v>0</v>
      </c>
      <c r="U2089" s="122">
        <v>0</v>
      </c>
      <c r="V2089" s="122">
        <v>3824</v>
      </c>
      <c r="W2089" s="122">
        <f t="shared" si="66"/>
        <v>3824</v>
      </c>
      <c r="X2089" s="122">
        <f t="shared" si="67"/>
        <v>10325</v>
      </c>
      <c r="AA2089" t="s">
        <v>62</v>
      </c>
      <c r="AB2089" t="s">
        <v>428</v>
      </c>
      <c r="AC2089" t="s">
        <v>137</v>
      </c>
      <c r="AD2089" t="s">
        <v>428</v>
      </c>
      <c r="AE2089" t="s">
        <v>566</v>
      </c>
      <c r="AF2089">
        <v>1</v>
      </c>
      <c r="AG2089">
        <v>68</v>
      </c>
      <c r="AH2089">
        <v>400</v>
      </c>
      <c r="AI2089" s="122">
        <v>15765</v>
      </c>
      <c r="AJ2089" s="122">
        <v>14331</v>
      </c>
      <c r="AK2089">
        <v>55</v>
      </c>
      <c r="AL2089" s="122">
        <v>2365</v>
      </c>
      <c r="AM2089" s="122">
        <v>876</v>
      </c>
      <c r="AN2089" s="122">
        <v>1195</v>
      </c>
      <c r="AO2089" s="122">
        <v>442</v>
      </c>
      <c r="AP2089" s="122">
        <v>351</v>
      </c>
      <c r="AQ2089">
        <v>130</v>
      </c>
      <c r="AR2089" s="122">
        <v>7537</v>
      </c>
      <c r="AS2089" s="122">
        <v>6851</v>
      </c>
      <c r="AT2089" s="122">
        <v>0</v>
      </c>
      <c r="AU2089">
        <v>0</v>
      </c>
      <c r="AV2089" s="122">
        <v>22631</v>
      </c>
    </row>
    <row r="2090" spans="2:48" hidden="1">
      <c r="B2090" t="s">
        <v>377</v>
      </c>
      <c r="C2090" t="s">
        <v>56</v>
      </c>
      <c r="D2090" t="s">
        <v>425</v>
      </c>
      <c r="E2090" t="s">
        <v>425</v>
      </c>
      <c r="F2090" s="122">
        <v>12</v>
      </c>
      <c r="G2090" s="122">
        <v>1845</v>
      </c>
      <c r="H2090" s="122">
        <v>2335</v>
      </c>
      <c r="I2090" s="122">
        <v>232942</v>
      </c>
      <c r="J2090" s="122">
        <v>211765</v>
      </c>
      <c r="K2090" s="122">
        <v>81</v>
      </c>
      <c r="L2090" s="122">
        <v>43909</v>
      </c>
      <c r="M2090" s="122">
        <v>39917</v>
      </c>
      <c r="N2090" s="122">
        <v>39210</v>
      </c>
      <c r="O2090" s="122">
        <v>14522</v>
      </c>
      <c r="P2090" s="122">
        <v>6866</v>
      </c>
      <c r="Q2090" s="122">
        <v>2543</v>
      </c>
      <c r="R2090" s="122">
        <v>64465</v>
      </c>
      <c r="S2090" s="122">
        <v>58604</v>
      </c>
      <c r="T2090" s="122">
        <v>7312</v>
      </c>
      <c r="U2090" s="122">
        <v>2708</v>
      </c>
      <c r="V2090" s="122">
        <v>330060</v>
      </c>
      <c r="W2090" s="122">
        <f t="shared" si="66"/>
        <v>330059</v>
      </c>
      <c r="X2090" s="122">
        <f t="shared" si="67"/>
        <v>394704</v>
      </c>
      <c r="AA2090" t="s">
        <v>62</v>
      </c>
      <c r="AB2090" t="s">
        <v>428</v>
      </c>
      <c r="AC2090" t="s">
        <v>580</v>
      </c>
      <c r="AD2090" t="s">
        <v>428</v>
      </c>
      <c r="AE2090" t="s">
        <v>137</v>
      </c>
      <c r="AF2090">
        <v>2</v>
      </c>
      <c r="AG2090">
        <v>300</v>
      </c>
      <c r="AH2090">
        <v>840</v>
      </c>
      <c r="AI2090" s="122">
        <v>92942</v>
      </c>
      <c r="AJ2090" s="122">
        <v>84493</v>
      </c>
      <c r="AK2090">
        <v>65</v>
      </c>
      <c r="AL2090" s="122">
        <v>10327</v>
      </c>
      <c r="AM2090" s="122">
        <v>9388</v>
      </c>
      <c r="AN2090" s="122">
        <v>6404</v>
      </c>
      <c r="AO2090" s="122">
        <v>2372</v>
      </c>
      <c r="AP2090" s="122">
        <v>1242</v>
      </c>
      <c r="AQ2090">
        <v>460</v>
      </c>
      <c r="AR2090" s="122">
        <v>12399</v>
      </c>
      <c r="AS2090" s="122">
        <v>11272</v>
      </c>
      <c r="AT2090" s="122">
        <v>2662</v>
      </c>
      <c r="AU2090">
        <v>986</v>
      </c>
      <c r="AV2090" s="122">
        <v>108971</v>
      </c>
    </row>
    <row r="2091" spans="2:48" hidden="1">
      <c r="B2091" t="s">
        <v>377</v>
      </c>
      <c r="C2091" t="s">
        <v>56</v>
      </c>
      <c r="D2091" t="s">
        <v>405</v>
      </c>
      <c r="E2091" t="s">
        <v>405</v>
      </c>
      <c r="F2091" s="122">
        <v>130</v>
      </c>
      <c r="G2091" s="122">
        <v>20749</v>
      </c>
      <c r="H2091" s="122">
        <v>24315</v>
      </c>
      <c r="I2091" s="122">
        <v>2330769</v>
      </c>
      <c r="J2091" s="122">
        <v>2118881</v>
      </c>
      <c r="K2091" s="122">
        <v>87</v>
      </c>
      <c r="L2091" s="122">
        <v>506466</v>
      </c>
      <c r="M2091" s="122">
        <v>448090</v>
      </c>
      <c r="N2091" s="122">
        <v>416499</v>
      </c>
      <c r="O2091" s="122">
        <v>154259</v>
      </c>
      <c r="P2091" s="122">
        <v>68810</v>
      </c>
      <c r="Q2091" s="122">
        <v>25485</v>
      </c>
      <c r="R2091" s="122">
        <v>657962</v>
      </c>
      <c r="S2091" s="122">
        <v>598147</v>
      </c>
      <c r="T2091" s="122">
        <v>59365</v>
      </c>
      <c r="U2091" s="122">
        <v>21987</v>
      </c>
      <c r="V2091" s="122">
        <v>3366849</v>
      </c>
      <c r="W2091" s="122">
        <f t="shared" si="66"/>
        <v>3366849</v>
      </c>
      <c r="X2091" s="122">
        <f t="shared" si="67"/>
        <v>4039871</v>
      </c>
      <c r="AA2091" t="s">
        <v>62</v>
      </c>
      <c r="AB2091" t="s">
        <v>428</v>
      </c>
      <c r="AC2091" t="s">
        <v>428</v>
      </c>
      <c r="AD2091" t="s">
        <v>137</v>
      </c>
      <c r="AE2091" t="s">
        <v>566</v>
      </c>
      <c r="AF2091">
        <v>1</v>
      </c>
      <c r="AG2091">
        <v>120</v>
      </c>
      <c r="AH2091" s="122">
        <v>446</v>
      </c>
      <c r="AI2091" s="122">
        <v>35038</v>
      </c>
      <c r="AJ2091" s="122">
        <v>31853</v>
      </c>
      <c r="AK2091">
        <v>65</v>
      </c>
      <c r="AL2091" s="122">
        <v>8435</v>
      </c>
      <c r="AM2091" s="122">
        <v>7668</v>
      </c>
      <c r="AN2091" s="122">
        <v>2753</v>
      </c>
      <c r="AO2091" s="122">
        <v>1020</v>
      </c>
      <c r="AP2091" s="122">
        <v>351</v>
      </c>
      <c r="AQ2091">
        <v>130</v>
      </c>
      <c r="AR2091" s="122">
        <v>6741</v>
      </c>
      <c r="AS2091" s="122">
        <v>2496</v>
      </c>
      <c r="AT2091" s="122">
        <v>0</v>
      </c>
      <c r="AU2091" s="122">
        <v>0</v>
      </c>
      <c r="AV2091" s="122">
        <v>43167</v>
      </c>
    </row>
    <row r="2092" spans="2:48" hidden="1">
      <c r="B2092" t="s">
        <v>377</v>
      </c>
      <c r="C2092" t="s">
        <v>56</v>
      </c>
      <c r="D2092" t="s">
        <v>405</v>
      </c>
      <c r="E2092" t="s">
        <v>407</v>
      </c>
      <c r="F2092" s="122">
        <v>2</v>
      </c>
      <c r="G2092" s="122">
        <v>284</v>
      </c>
      <c r="H2092" s="122">
        <v>409</v>
      </c>
      <c r="I2092" s="122">
        <v>33806</v>
      </c>
      <c r="J2092" s="122">
        <v>30733</v>
      </c>
      <c r="K2092" s="122">
        <v>88</v>
      </c>
      <c r="L2092" s="122">
        <v>7204</v>
      </c>
      <c r="M2092" s="122">
        <v>6549</v>
      </c>
      <c r="N2092" s="122">
        <v>4421</v>
      </c>
      <c r="O2092" s="122">
        <v>1638</v>
      </c>
      <c r="P2092" s="122">
        <v>824</v>
      </c>
      <c r="Q2092" s="122">
        <v>305</v>
      </c>
      <c r="R2092" s="122">
        <v>11545</v>
      </c>
      <c r="S2092" s="122">
        <v>10496</v>
      </c>
      <c r="T2092" s="122">
        <v>0</v>
      </c>
      <c r="U2092" s="122">
        <v>0</v>
      </c>
      <c r="V2092" s="122">
        <v>49720</v>
      </c>
      <c r="W2092" s="122">
        <f t="shared" si="66"/>
        <v>49721</v>
      </c>
      <c r="X2092" s="122">
        <f t="shared" si="67"/>
        <v>57800</v>
      </c>
      <c r="AA2092" t="s">
        <v>62</v>
      </c>
      <c r="AB2092" t="s">
        <v>428</v>
      </c>
      <c r="AC2092" t="s">
        <v>428</v>
      </c>
      <c r="AD2092" t="s">
        <v>428</v>
      </c>
      <c r="AE2092" t="s">
        <v>137</v>
      </c>
      <c r="AF2092">
        <v>7</v>
      </c>
      <c r="AG2092">
        <v>807</v>
      </c>
      <c r="AH2092" s="122">
        <v>2948</v>
      </c>
      <c r="AI2092" s="122">
        <v>221450</v>
      </c>
      <c r="AJ2092" s="122">
        <v>201318</v>
      </c>
      <c r="AK2092">
        <v>54</v>
      </c>
      <c r="AL2092" s="122">
        <v>40105</v>
      </c>
      <c r="AM2092" s="122">
        <v>36459</v>
      </c>
      <c r="AN2092" s="122">
        <v>16307</v>
      </c>
      <c r="AO2092" s="122">
        <v>6040</v>
      </c>
      <c r="AP2092" s="122">
        <v>2106</v>
      </c>
      <c r="AQ2092">
        <v>780</v>
      </c>
      <c r="AR2092" s="122">
        <v>41775</v>
      </c>
      <c r="AS2092" s="122">
        <v>37977</v>
      </c>
      <c r="AT2092" s="122">
        <v>19508</v>
      </c>
      <c r="AU2092" s="122">
        <v>7225</v>
      </c>
      <c r="AV2092" s="122">
        <v>289800</v>
      </c>
    </row>
    <row r="2093" spans="2:48" hidden="1">
      <c r="B2093" t="s">
        <v>377</v>
      </c>
      <c r="C2093" t="s">
        <v>56</v>
      </c>
      <c r="D2093" t="s">
        <v>137</v>
      </c>
      <c r="E2093" t="s">
        <v>405</v>
      </c>
      <c r="F2093" s="122">
        <v>1</v>
      </c>
      <c r="G2093" s="122">
        <v>352</v>
      </c>
      <c r="H2093" s="122">
        <v>200</v>
      </c>
      <c r="I2093" s="122">
        <v>48934</v>
      </c>
      <c r="J2093" s="122">
        <v>18124</v>
      </c>
      <c r="K2093" s="122">
        <v>320</v>
      </c>
      <c r="L2093" s="122">
        <v>7655</v>
      </c>
      <c r="M2093" s="122">
        <v>6959</v>
      </c>
      <c r="N2093" s="122">
        <v>4285</v>
      </c>
      <c r="O2093" s="122">
        <v>1587</v>
      </c>
      <c r="P2093" s="122">
        <v>4263</v>
      </c>
      <c r="Q2093" s="122">
        <v>1579</v>
      </c>
      <c r="R2093" s="122">
        <v>5139</v>
      </c>
      <c r="S2093" s="122">
        <v>4672</v>
      </c>
      <c r="T2093" s="122">
        <v>0</v>
      </c>
      <c r="U2093" s="122">
        <v>0</v>
      </c>
      <c r="V2093" s="122">
        <v>32920</v>
      </c>
      <c r="W2093" s="122">
        <f t="shared" si="66"/>
        <v>32921</v>
      </c>
      <c r="X2093" s="122">
        <f t="shared" si="67"/>
        <v>70276</v>
      </c>
      <c r="AA2093" t="s">
        <v>62</v>
      </c>
      <c r="AB2093" t="s">
        <v>428</v>
      </c>
      <c r="AC2093" t="s">
        <v>428</v>
      </c>
      <c r="AD2093" t="s">
        <v>428</v>
      </c>
      <c r="AE2093" t="s">
        <v>566</v>
      </c>
      <c r="AF2093">
        <v>6</v>
      </c>
      <c r="AG2093">
        <v>648</v>
      </c>
      <c r="AH2093" s="122">
        <v>2564</v>
      </c>
      <c r="AI2093" s="122">
        <v>193818</v>
      </c>
      <c r="AJ2093" s="122">
        <v>176199</v>
      </c>
      <c r="AK2093">
        <v>52</v>
      </c>
      <c r="AL2093" s="122">
        <v>35517</v>
      </c>
      <c r="AM2093" s="122">
        <v>32288</v>
      </c>
      <c r="AN2093" s="122">
        <v>15496</v>
      </c>
      <c r="AO2093" s="122">
        <v>5739</v>
      </c>
      <c r="AP2093" s="122">
        <v>2228</v>
      </c>
      <c r="AQ2093">
        <v>825</v>
      </c>
      <c r="AR2093" s="122">
        <v>57053</v>
      </c>
      <c r="AS2093" s="122">
        <v>51867</v>
      </c>
      <c r="AT2093" s="122">
        <v>0</v>
      </c>
      <c r="AU2093" s="122">
        <v>0</v>
      </c>
      <c r="AV2093" s="122">
        <v>266917</v>
      </c>
    </row>
    <row r="2094" spans="2:48" hidden="1">
      <c r="B2094" t="s">
        <v>377</v>
      </c>
      <c r="C2094" t="s">
        <v>56</v>
      </c>
      <c r="D2094" t="s">
        <v>137</v>
      </c>
      <c r="E2094" t="s">
        <v>137</v>
      </c>
      <c r="F2094" s="122">
        <v>27</v>
      </c>
      <c r="G2094" s="122">
        <v>4626</v>
      </c>
      <c r="H2094" s="122">
        <v>4908</v>
      </c>
      <c r="I2094" s="122">
        <v>433219</v>
      </c>
      <c r="J2094" s="122">
        <v>160451</v>
      </c>
      <c r="K2094" s="122">
        <v>235</v>
      </c>
      <c r="L2094" s="122">
        <v>72720</v>
      </c>
      <c r="M2094" s="122">
        <v>60120</v>
      </c>
      <c r="N2094" s="122">
        <v>101730</v>
      </c>
      <c r="O2094" s="122">
        <v>37678</v>
      </c>
      <c r="P2094" s="122">
        <v>11368</v>
      </c>
      <c r="Q2094" s="122">
        <v>4211</v>
      </c>
      <c r="R2094" s="122">
        <v>239893</v>
      </c>
      <c r="S2094" s="122">
        <v>88849</v>
      </c>
      <c r="T2094" s="122">
        <v>0</v>
      </c>
      <c r="U2094" s="122">
        <v>0</v>
      </c>
      <c r="V2094" s="122">
        <v>351309</v>
      </c>
      <c r="W2094" s="122">
        <f t="shared" si="66"/>
        <v>351309</v>
      </c>
      <c r="X2094" s="122">
        <f t="shared" si="67"/>
        <v>858930</v>
      </c>
      <c r="AA2094" t="s">
        <v>62</v>
      </c>
      <c r="AB2094" t="s">
        <v>428</v>
      </c>
      <c r="AC2094" t="s">
        <v>566</v>
      </c>
      <c r="AD2094" t="s">
        <v>428</v>
      </c>
      <c r="AE2094" t="s">
        <v>137</v>
      </c>
      <c r="AF2094">
        <v>2</v>
      </c>
      <c r="AG2094">
        <v>149</v>
      </c>
      <c r="AH2094">
        <v>874</v>
      </c>
      <c r="AI2094" s="122">
        <v>49944</v>
      </c>
      <c r="AJ2094" s="122">
        <v>45404</v>
      </c>
      <c r="AK2094">
        <v>63</v>
      </c>
      <c r="AL2094">
        <v>0</v>
      </c>
      <c r="AM2094" s="122">
        <v>3206</v>
      </c>
      <c r="AN2094" s="122">
        <v>2729</v>
      </c>
      <c r="AO2094" s="122">
        <v>1011</v>
      </c>
      <c r="AP2094">
        <v>702</v>
      </c>
      <c r="AQ2094">
        <v>260</v>
      </c>
      <c r="AR2094" s="122">
        <v>7694</v>
      </c>
      <c r="AS2094" s="122">
        <v>6995</v>
      </c>
      <c r="AT2094" s="122">
        <v>4178</v>
      </c>
      <c r="AU2094" s="122">
        <v>1547</v>
      </c>
      <c r="AV2094" s="122">
        <v>58423</v>
      </c>
    </row>
    <row r="2095" spans="2:48" hidden="1">
      <c r="B2095" t="s">
        <v>377</v>
      </c>
      <c r="C2095" t="s">
        <v>56</v>
      </c>
      <c r="D2095" t="s">
        <v>137</v>
      </c>
      <c r="E2095" t="s">
        <v>406</v>
      </c>
      <c r="F2095" s="122">
        <v>1</v>
      </c>
      <c r="G2095" s="122">
        <v>233</v>
      </c>
      <c r="H2095" s="122">
        <v>207</v>
      </c>
      <c r="I2095" s="122">
        <v>33791</v>
      </c>
      <c r="J2095" s="122">
        <v>12515</v>
      </c>
      <c r="K2095" s="122">
        <v>100</v>
      </c>
      <c r="L2095" s="122">
        <v>5099</v>
      </c>
      <c r="M2095" s="122">
        <v>4635</v>
      </c>
      <c r="N2095" s="122">
        <v>5672</v>
      </c>
      <c r="O2095" s="122">
        <v>2101</v>
      </c>
      <c r="P2095" s="122">
        <v>0</v>
      </c>
      <c r="Q2095" s="122">
        <v>0</v>
      </c>
      <c r="R2095" s="122">
        <v>3525</v>
      </c>
      <c r="S2095" s="122">
        <v>3205</v>
      </c>
      <c r="T2095" s="122">
        <v>0</v>
      </c>
      <c r="U2095" s="122">
        <v>0</v>
      </c>
      <c r="V2095" s="122">
        <v>22456</v>
      </c>
      <c r="W2095" s="122">
        <f t="shared" si="66"/>
        <v>22456</v>
      </c>
      <c r="X2095" s="122">
        <f t="shared" si="67"/>
        <v>48087</v>
      </c>
      <c r="AA2095" t="s">
        <v>62</v>
      </c>
      <c r="AB2095" t="s">
        <v>428</v>
      </c>
      <c r="AC2095" t="s">
        <v>566</v>
      </c>
      <c r="AD2095" t="s">
        <v>428</v>
      </c>
      <c r="AE2095" t="s">
        <v>566</v>
      </c>
      <c r="AF2095">
        <v>1</v>
      </c>
      <c r="AG2095">
        <v>90</v>
      </c>
      <c r="AH2095">
        <v>422</v>
      </c>
      <c r="AI2095" s="122">
        <v>26015</v>
      </c>
      <c r="AJ2095" s="122">
        <v>23650</v>
      </c>
      <c r="AK2095">
        <v>55</v>
      </c>
      <c r="AL2095" s="122">
        <v>0</v>
      </c>
      <c r="AM2095" s="122">
        <v>0</v>
      </c>
      <c r="AN2095" s="122">
        <v>2204</v>
      </c>
      <c r="AO2095">
        <v>816</v>
      </c>
      <c r="AP2095">
        <v>351</v>
      </c>
      <c r="AQ2095">
        <v>130</v>
      </c>
      <c r="AR2095" s="122">
        <v>9612</v>
      </c>
      <c r="AS2095" s="122">
        <v>8738</v>
      </c>
      <c r="AT2095" s="122">
        <v>0</v>
      </c>
      <c r="AU2095">
        <v>0</v>
      </c>
      <c r="AV2095" s="122">
        <v>33335</v>
      </c>
    </row>
    <row r="2096" spans="2:48" hidden="1">
      <c r="B2096" t="s">
        <v>377</v>
      </c>
      <c r="C2096" t="s">
        <v>56</v>
      </c>
      <c r="D2096" t="s">
        <v>137</v>
      </c>
      <c r="E2096" t="s">
        <v>426</v>
      </c>
      <c r="F2096" s="122">
        <v>1</v>
      </c>
      <c r="G2096" s="122">
        <v>167</v>
      </c>
      <c r="H2096" s="122">
        <v>166</v>
      </c>
      <c r="I2096" s="122">
        <v>13985</v>
      </c>
      <c r="J2096" s="122">
        <v>5180</v>
      </c>
      <c r="K2096" s="122">
        <v>100</v>
      </c>
      <c r="L2096" s="122">
        <v>2191</v>
      </c>
      <c r="M2096" s="122">
        <v>1992</v>
      </c>
      <c r="N2096" s="122">
        <v>2173</v>
      </c>
      <c r="O2096" s="122">
        <v>805</v>
      </c>
      <c r="P2096" s="122">
        <v>351</v>
      </c>
      <c r="Q2096" s="122">
        <v>130</v>
      </c>
      <c r="R2096" s="122">
        <v>5622</v>
      </c>
      <c r="S2096" s="122">
        <v>5111</v>
      </c>
      <c r="T2096" s="122">
        <v>3331</v>
      </c>
      <c r="U2096" s="122">
        <v>1234</v>
      </c>
      <c r="V2096" s="122">
        <v>14451</v>
      </c>
      <c r="W2096" s="122">
        <f t="shared" si="66"/>
        <v>14452</v>
      </c>
      <c r="X2096" s="122">
        <f t="shared" si="67"/>
        <v>27653</v>
      </c>
      <c r="AA2096" t="s">
        <v>62</v>
      </c>
      <c r="AB2096" t="s">
        <v>431</v>
      </c>
      <c r="AC2096" t="s">
        <v>137</v>
      </c>
      <c r="AD2096" t="s">
        <v>137</v>
      </c>
      <c r="AE2096" t="s">
        <v>137</v>
      </c>
      <c r="AF2096">
        <v>1</v>
      </c>
      <c r="AG2096">
        <v>78</v>
      </c>
      <c r="AH2096" s="122">
        <v>426</v>
      </c>
      <c r="AI2096" s="122">
        <v>21441</v>
      </c>
      <c r="AJ2096" s="122">
        <v>19492</v>
      </c>
      <c r="AK2096">
        <v>55</v>
      </c>
      <c r="AL2096" s="122">
        <v>3216</v>
      </c>
      <c r="AM2096" s="122">
        <v>1191</v>
      </c>
      <c r="AN2096" s="122">
        <v>1910</v>
      </c>
      <c r="AO2096" s="122">
        <v>708</v>
      </c>
      <c r="AP2096">
        <v>351</v>
      </c>
      <c r="AQ2096">
        <v>130</v>
      </c>
      <c r="AR2096" s="122">
        <v>4354</v>
      </c>
      <c r="AS2096" s="122">
        <v>1612</v>
      </c>
      <c r="AT2096" s="122">
        <v>2144</v>
      </c>
      <c r="AU2096" s="122">
        <v>794</v>
      </c>
      <c r="AV2096" s="122">
        <v>23927</v>
      </c>
    </row>
    <row r="2097" spans="2:48" hidden="1">
      <c r="B2097" t="s">
        <v>377</v>
      </c>
      <c r="C2097" t="s">
        <v>56</v>
      </c>
      <c r="D2097" t="s">
        <v>406</v>
      </c>
      <c r="E2097" t="s">
        <v>555</v>
      </c>
      <c r="F2097" s="122">
        <v>1</v>
      </c>
      <c r="G2097" s="122">
        <v>139</v>
      </c>
      <c r="H2097" s="122">
        <v>206</v>
      </c>
      <c r="I2097" s="122">
        <v>17727</v>
      </c>
      <c r="J2097" s="122">
        <v>16116</v>
      </c>
      <c r="K2097" s="122">
        <v>79</v>
      </c>
      <c r="L2097" s="122">
        <v>2462</v>
      </c>
      <c r="M2097" s="122">
        <v>2238</v>
      </c>
      <c r="N2097" s="122">
        <v>1691</v>
      </c>
      <c r="O2097" s="122">
        <v>626</v>
      </c>
      <c r="P2097" s="122">
        <v>972</v>
      </c>
      <c r="Q2097" s="122">
        <v>360</v>
      </c>
      <c r="R2097" s="122">
        <v>5729</v>
      </c>
      <c r="S2097" s="122">
        <v>5209</v>
      </c>
      <c r="T2097" s="122">
        <v>0</v>
      </c>
      <c r="U2097" s="122">
        <v>0</v>
      </c>
      <c r="V2097" s="122">
        <v>24549</v>
      </c>
      <c r="W2097" s="122">
        <f t="shared" si="66"/>
        <v>24549</v>
      </c>
      <c r="X2097" s="122">
        <f t="shared" si="67"/>
        <v>28581</v>
      </c>
      <c r="AA2097" t="s">
        <v>62</v>
      </c>
      <c r="AB2097" t="s">
        <v>431</v>
      </c>
      <c r="AC2097" t="s">
        <v>137</v>
      </c>
      <c r="AD2097" t="s">
        <v>431</v>
      </c>
      <c r="AE2097" t="s">
        <v>137</v>
      </c>
      <c r="AF2097">
        <v>3</v>
      </c>
      <c r="AG2097">
        <v>241</v>
      </c>
      <c r="AH2097" s="122">
        <v>1283</v>
      </c>
      <c r="AI2097" s="122">
        <v>60206</v>
      </c>
      <c r="AJ2097" s="122">
        <v>54733</v>
      </c>
      <c r="AK2097">
        <v>52</v>
      </c>
      <c r="AL2097" s="122">
        <v>14917</v>
      </c>
      <c r="AM2097" s="122">
        <v>5525</v>
      </c>
      <c r="AN2097" s="122">
        <v>4693</v>
      </c>
      <c r="AO2097" s="122">
        <v>1738</v>
      </c>
      <c r="AP2097">
        <v>702</v>
      </c>
      <c r="AQ2097">
        <v>260</v>
      </c>
      <c r="AR2097" s="122">
        <v>17824</v>
      </c>
      <c r="AS2097" s="122">
        <v>16203</v>
      </c>
      <c r="AT2097" s="122">
        <v>4942</v>
      </c>
      <c r="AU2097" s="122">
        <v>1831</v>
      </c>
      <c r="AV2097" s="122">
        <v>80290</v>
      </c>
    </row>
    <row r="2098" spans="2:48" hidden="1">
      <c r="B2098" t="s">
        <v>377</v>
      </c>
      <c r="C2098" t="s">
        <v>56</v>
      </c>
      <c r="D2098" t="s">
        <v>406</v>
      </c>
      <c r="E2098" t="s">
        <v>425</v>
      </c>
      <c r="F2098" s="122">
        <v>4</v>
      </c>
      <c r="G2098" s="122">
        <v>680</v>
      </c>
      <c r="H2098" s="122">
        <v>763</v>
      </c>
      <c r="I2098" s="122">
        <v>80303</v>
      </c>
      <c r="J2098" s="122">
        <v>73003</v>
      </c>
      <c r="K2098" s="122">
        <v>85</v>
      </c>
      <c r="L2098" s="122">
        <v>16872</v>
      </c>
      <c r="M2098" s="122">
        <v>15156</v>
      </c>
      <c r="N2098" s="122">
        <v>15203</v>
      </c>
      <c r="O2098" s="122">
        <v>5631</v>
      </c>
      <c r="P2098" s="122">
        <v>2484</v>
      </c>
      <c r="Q2098" s="122">
        <v>920</v>
      </c>
      <c r="R2098" s="122">
        <v>23687</v>
      </c>
      <c r="S2098" s="122">
        <v>21533</v>
      </c>
      <c r="T2098" s="122">
        <v>3480</v>
      </c>
      <c r="U2098" s="122">
        <v>1289</v>
      </c>
      <c r="V2098" s="122">
        <v>117531</v>
      </c>
      <c r="W2098" s="122">
        <f t="shared" si="66"/>
        <v>117532</v>
      </c>
      <c r="X2098" s="122">
        <f t="shared" si="67"/>
        <v>142029</v>
      </c>
      <c r="AA2098" t="s">
        <v>62</v>
      </c>
      <c r="AB2098" t="s">
        <v>431</v>
      </c>
      <c r="AC2098" t="s">
        <v>137</v>
      </c>
      <c r="AD2098" t="s">
        <v>431</v>
      </c>
      <c r="AE2098" t="s">
        <v>566</v>
      </c>
      <c r="AF2098">
        <v>3</v>
      </c>
      <c r="AG2098">
        <v>182</v>
      </c>
      <c r="AH2098" s="122">
        <v>1241</v>
      </c>
      <c r="AI2098" s="122">
        <v>40354</v>
      </c>
      <c r="AJ2098" s="122">
        <v>36685</v>
      </c>
      <c r="AK2098">
        <v>58</v>
      </c>
      <c r="AL2098" s="122">
        <v>9279</v>
      </c>
      <c r="AM2098" s="122">
        <v>3437</v>
      </c>
      <c r="AN2098" s="122">
        <v>2618</v>
      </c>
      <c r="AO2098" s="122">
        <v>970</v>
      </c>
      <c r="AP2098" s="122">
        <v>702</v>
      </c>
      <c r="AQ2098">
        <v>260</v>
      </c>
      <c r="AR2098" s="122">
        <v>22432</v>
      </c>
      <c r="AS2098" s="122">
        <v>20393</v>
      </c>
      <c r="AT2098" s="122">
        <v>0</v>
      </c>
      <c r="AU2098" s="122">
        <v>0</v>
      </c>
      <c r="AV2098" s="122">
        <v>61744</v>
      </c>
    </row>
    <row r="2099" spans="2:48" hidden="1">
      <c r="B2099" t="s">
        <v>377</v>
      </c>
      <c r="C2099" t="s">
        <v>56</v>
      </c>
      <c r="D2099" t="s">
        <v>406</v>
      </c>
      <c r="E2099" t="s">
        <v>137</v>
      </c>
      <c r="F2099" s="122">
        <v>7</v>
      </c>
      <c r="G2099" s="122">
        <v>1150</v>
      </c>
      <c r="H2099" s="122">
        <v>1464</v>
      </c>
      <c r="I2099" s="122">
        <v>128261</v>
      </c>
      <c r="J2099" s="122">
        <v>116601</v>
      </c>
      <c r="K2099" s="122">
        <v>88</v>
      </c>
      <c r="L2099" s="122">
        <v>36568</v>
      </c>
      <c r="M2099" s="122">
        <v>33244</v>
      </c>
      <c r="N2099" s="122">
        <v>26242</v>
      </c>
      <c r="O2099" s="122">
        <v>9719</v>
      </c>
      <c r="P2099" s="122">
        <v>4428</v>
      </c>
      <c r="Q2099" s="122">
        <v>1640</v>
      </c>
      <c r="R2099" s="122">
        <v>63908</v>
      </c>
      <c r="S2099" s="122">
        <v>23670</v>
      </c>
      <c r="T2099" s="122">
        <v>0</v>
      </c>
      <c r="U2099" s="122">
        <v>0</v>
      </c>
      <c r="V2099" s="122">
        <v>184874</v>
      </c>
      <c r="W2099" s="122">
        <f t="shared" si="66"/>
        <v>184874</v>
      </c>
      <c r="X2099" s="122">
        <f t="shared" si="67"/>
        <v>259407</v>
      </c>
      <c r="AA2099" t="s">
        <v>62</v>
      </c>
      <c r="AB2099" t="s">
        <v>431</v>
      </c>
      <c r="AC2099" t="s">
        <v>580</v>
      </c>
      <c r="AD2099" t="s">
        <v>431</v>
      </c>
      <c r="AE2099" t="s">
        <v>137</v>
      </c>
      <c r="AF2099">
        <v>4</v>
      </c>
      <c r="AG2099">
        <v>445</v>
      </c>
      <c r="AH2099" s="122">
        <v>1687</v>
      </c>
      <c r="AI2099" s="122">
        <v>128524</v>
      </c>
      <c r="AJ2099" s="122">
        <v>116840</v>
      </c>
      <c r="AK2099">
        <v>58</v>
      </c>
      <c r="AL2099" s="122">
        <v>11513</v>
      </c>
      <c r="AM2099" s="122">
        <v>10467</v>
      </c>
      <c r="AN2099" s="122">
        <v>9331</v>
      </c>
      <c r="AO2099" s="122">
        <v>3456</v>
      </c>
      <c r="AP2099" s="122">
        <v>1944</v>
      </c>
      <c r="AQ2099">
        <v>720</v>
      </c>
      <c r="AR2099" s="122">
        <v>25759</v>
      </c>
      <c r="AS2099" s="122">
        <v>23417</v>
      </c>
      <c r="AT2099" s="122">
        <v>10024</v>
      </c>
      <c r="AU2099" s="122">
        <v>3713</v>
      </c>
      <c r="AV2099" s="122">
        <v>158612</v>
      </c>
    </row>
    <row r="2100" spans="2:48" hidden="1">
      <c r="B2100" t="s">
        <v>377</v>
      </c>
      <c r="C2100" t="s">
        <v>56</v>
      </c>
      <c r="D2100" t="s">
        <v>406</v>
      </c>
      <c r="E2100" t="s">
        <v>406</v>
      </c>
      <c r="F2100" s="122">
        <v>4086</v>
      </c>
      <c r="G2100" s="122">
        <v>652572</v>
      </c>
      <c r="H2100" s="122">
        <v>786582</v>
      </c>
      <c r="I2100" s="122">
        <v>73938437</v>
      </c>
      <c r="J2100" s="122">
        <v>67216761</v>
      </c>
      <c r="K2100" s="122">
        <v>85</v>
      </c>
      <c r="L2100" s="122">
        <v>15059888</v>
      </c>
      <c r="M2100" s="122">
        <v>13505288</v>
      </c>
      <c r="N2100" s="122">
        <v>13891254</v>
      </c>
      <c r="O2100" s="122">
        <v>5144909</v>
      </c>
      <c r="P2100" s="122">
        <v>2735027</v>
      </c>
      <c r="Q2100" s="122">
        <v>1012973</v>
      </c>
      <c r="R2100" s="122">
        <v>21998971</v>
      </c>
      <c r="S2100" s="122">
        <v>19999064</v>
      </c>
      <c r="T2100" s="122">
        <v>5359035</v>
      </c>
      <c r="U2100" s="122">
        <v>1984828</v>
      </c>
      <c r="V2100" s="122">
        <v>108863823</v>
      </c>
      <c r="W2100" s="122">
        <f t="shared" si="66"/>
        <v>108863823</v>
      </c>
      <c r="X2100" s="122">
        <f t="shared" si="67"/>
        <v>132982612</v>
      </c>
      <c r="AA2100" t="s">
        <v>62</v>
      </c>
      <c r="AB2100" t="s">
        <v>431</v>
      </c>
      <c r="AC2100" t="s">
        <v>427</v>
      </c>
      <c r="AD2100" t="s">
        <v>427</v>
      </c>
      <c r="AE2100" t="s">
        <v>137</v>
      </c>
      <c r="AF2100">
        <v>1</v>
      </c>
      <c r="AG2100">
        <v>116</v>
      </c>
      <c r="AH2100">
        <v>444</v>
      </c>
      <c r="AI2100" s="122">
        <v>36181</v>
      </c>
      <c r="AJ2100" s="122">
        <v>32892</v>
      </c>
      <c r="AK2100">
        <v>55</v>
      </c>
      <c r="AL2100" s="122">
        <v>6317</v>
      </c>
      <c r="AM2100" s="122">
        <v>5743</v>
      </c>
      <c r="AN2100" s="122">
        <v>1772</v>
      </c>
      <c r="AO2100">
        <v>656</v>
      </c>
      <c r="AP2100">
        <v>351</v>
      </c>
      <c r="AQ2100">
        <v>130</v>
      </c>
      <c r="AR2100" s="122">
        <v>4440</v>
      </c>
      <c r="AS2100" s="122">
        <v>4036</v>
      </c>
      <c r="AT2100" s="122">
        <v>2631</v>
      </c>
      <c r="AU2100">
        <v>975</v>
      </c>
      <c r="AV2100" s="122">
        <v>44432</v>
      </c>
    </row>
    <row r="2101" spans="2:48" hidden="1">
      <c r="B2101" t="s">
        <v>377</v>
      </c>
      <c r="C2101" t="s">
        <v>56</v>
      </c>
      <c r="D2101" t="s">
        <v>406</v>
      </c>
      <c r="E2101" t="s">
        <v>427</v>
      </c>
      <c r="F2101" s="122">
        <v>3</v>
      </c>
      <c r="G2101" s="122">
        <v>400</v>
      </c>
      <c r="H2101" s="122">
        <v>614</v>
      </c>
      <c r="I2101" s="122">
        <v>45461</v>
      </c>
      <c r="J2101" s="122">
        <v>41329</v>
      </c>
      <c r="K2101" s="122">
        <v>86</v>
      </c>
      <c r="L2101" s="122">
        <v>8670</v>
      </c>
      <c r="M2101" s="122">
        <v>7510</v>
      </c>
      <c r="N2101" s="122">
        <v>6837</v>
      </c>
      <c r="O2101" s="122">
        <v>2532</v>
      </c>
      <c r="P2101" s="122">
        <v>1863</v>
      </c>
      <c r="Q2101" s="122">
        <v>690</v>
      </c>
      <c r="R2101" s="122">
        <v>15695</v>
      </c>
      <c r="S2101" s="122">
        <v>14268</v>
      </c>
      <c r="T2101" s="122">
        <v>3153</v>
      </c>
      <c r="U2101" s="122">
        <v>1168</v>
      </c>
      <c r="V2101" s="122">
        <v>67497</v>
      </c>
      <c r="W2101" s="122">
        <f t="shared" si="66"/>
        <v>67497</v>
      </c>
      <c r="X2101" s="122">
        <f t="shared" si="67"/>
        <v>81679</v>
      </c>
      <c r="AA2101" t="s">
        <v>62</v>
      </c>
      <c r="AB2101" t="s">
        <v>431</v>
      </c>
      <c r="AC2101" t="s">
        <v>431</v>
      </c>
      <c r="AD2101" t="s">
        <v>137</v>
      </c>
      <c r="AE2101" t="s">
        <v>566</v>
      </c>
      <c r="AF2101">
        <v>1</v>
      </c>
      <c r="AG2101" s="122">
        <v>101</v>
      </c>
      <c r="AH2101" s="122">
        <v>419</v>
      </c>
      <c r="AI2101" s="122">
        <v>28338</v>
      </c>
      <c r="AJ2101" s="122">
        <v>25762</v>
      </c>
      <c r="AK2101">
        <v>60</v>
      </c>
      <c r="AL2101" s="122">
        <v>6297</v>
      </c>
      <c r="AM2101" s="122">
        <v>5725</v>
      </c>
      <c r="AN2101" s="122">
        <v>2456</v>
      </c>
      <c r="AO2101" s="122">
        <v>910</v>
      </c>
      <c r="AP2101" s="122">
        <v>0</v>
      </c>
      <c r="AQ2101" s="122">
        <v>0</v>
      </c>
      <c r="AR2101" s="122">
        <v>5132</v>
      </c>
      <c r="AS2101" s="122">
        <v>1901</v>
      </c>
      <c r="AT2101" s="122">
        <v>0</v>
      </c>
      <c r="AU2101" s="122">
        <v>0</v>
      </c>
      <c r="AV2101" s="122">
        <v>34297</v>
      </c>
    </row>
    <row r="2102" spans="2:48" hidden="1">
      <c r="B2102" t="s">
        <v>377</v>
      </c>
      <c r="C2102" t="s">
        <v>56</v>
      </c>
      <c r="D2102" t="s">
        <v>406</v>
      </c>
      <c r="E2102" t="s">
        <v>431</v>
      </c>
      <c r="F2102" s="122">
        <v>2</v>
      </c>
      <c r="G2102" s="122">
        <v>333</v>
      </c>
      <c r="H2102" s="122">
        <v>389</v>
      </c>
      <c r="I2102" s="122">
        <v>46837</v>
      </c>
      <c r="J2102" s="122">
        <v>42579</v>
      </c>
      <c r="K2102" s="122">
        <v>78</v>
      </c>
      <c r="L2102" s="122">
        <v>8364</v>
      </c>
      <c r="M2102" s="122">
        <v>4844</v>
      </c>
      <c r="N2102" s="122">
        <v>5410</v>
      </c>
      <c r="O2102" s="122">
        <v>2004</v>
      </c>
      <c r="P2102" s="122">
        <v>1242</v>
      </c>
      <c r="Q2102" s="122">
        <v>460</v>
      </c>
      <c r="R2102" s="122">
        <v>11421</v>
      </c>
      <c r="S2102" s="122">
        <v>10383</v>
      </c>
      <c r="T2102" s="122">
        <v>0</v>
      </c>
      <c r="U2102" s="122">
        <v>0</v>
      </c>
      <c r="V2102" s="122">
        <v>60270</v>
      </c>
      <c r="W2102" s="122">
        <f t="shared" si="66"/>
        <v>60270</v>
      </c>
      <c r="X2102" s="122">
        <f t="shared" si="67"/>
        <v>73274</v>
      </c>
      <c r="AA2102" t="s">
        <v>62</v>
      </c>
      <c r="AB2102" t="s">
        <v>431</v>
      </c>
      <c r="AC2102" t="s">
        <v>431</v>
      </c>
      <c r="AD2102" t="s">
        <v>431</v>
      </c>
      <c r="AE2102" t="s">
        <v>137</v>
      </c>
      <c r="AF2102">
        <v>76</v>
      </c>
      <c r="AG2102" s="122">
        <v>8112</v>
      </c>
      <c r="AH2102" s="122">
        <v>31361</v>
      </c>
      <c r="AI2102" s="122">
        <v>2170902</v>
      </c>
      <c r="AJ2102" s="122">
        <v>1973547</v>
      </c>
      <c r="AK2102">
        <v>51</v>
      </c>
      <c r="AL2102" s="122">
        <v>342032</v>
      </c>
      <c r="AM2102" s="122">
        <v>310938</v>
      </c>
      <c r="AN2102" s="122">
        <v>162657</v>
      </c>
      <c r="AO2102" s="122">
        <v>60243</v>
      </c>
      <c r="AP2102" s="122">
        <v>28809</v>
      </c>
      <c r="AQ2102" s="122">
        <v>10670</v>
      </c>
      <c r="AR2102" s="122">
        <v>477510</v>
      </c>
      <c r="AS2102" s="122">
        <v>434100</v>
      </c>
      <c r="AT2102" s="122">
        <v>196145</v>
      </c>
      <c r="AU2102" s="122">
        <v>72646</v>
      </c>
      <c r="AV2102" s="122">
        <v>2862145</v>
      </c>
    </row>
    <row r="2103" spans="2:48" hidden="1">
      <c r="B2103" t="s">
        <v>377</v>
      </c>
      <c r="C2103" t="s">
        <v>56</v>
      </c>
      <c r="D2103" t="s">
        <v>406</v>
      </c>
      <c r="E2103" t="s">
        <v>426</v>
      </c>
      <c r="F2103" s="122">
        <v>1</v>
      </c>
      <c r="G2103" s="122">
        <v>220</v>
      </c>
      <c r="H2103" s="122">
        <v>194</v>
      </c>
      <c r="I2103" s="122">
        <v>26347</v>
      </c>
      <c r="J2103" s="122">
        <v>23952</v>
      </c>
      <c r="K2103" s="122">
        <v>85</v>
      </c>
      <c r="L2103" s="122">
        <v>3937</v>
      </c>
      <c r="M2103" s="122">
        <v>3580</v>
      </c>
      <c r="N2103" s="122">
        <v>4207</v>
      </c>
      <c r="O2103" s="122">
        <v>1558</v>
      </c>
      <c r="P2103" s="122">
        <v>621</v>
      </c>
      <c r="Q2103" s="122">
        <v>230</v>
      </c>
      <c r="R2103" s="122">
        <v>7521</v>
      </c>
      <c r="S2103" s="122">
        <v>6837</v>
      </c>
      <c r="T2103" s="122">
        <v>0</v>
      </c>
      <c r="U2103" s="122">
        <v>0</v>
      </c>
      <c r="V2103" s="122">
        <v>36157</v>
      </c>
      <c r="W2103" s="122">
        <f t="shared" si="66"/>
        <v>36157</v>
      </c>
      <c r="X2103" s="122">
        <f t="shared" si="67"/>
        <v>42633</v>
      </c>
      <c r="AA2103" t="s">
        <v>62</v>
      </c>
      <c r="AB2103" t="s">
        <v>431</v>
      </c>
      <c r="AC2103" t="s">
        <v>431</v>
      </c>
      <c r="AD2103" t="s">
        <v>431</v>
      </c>
      <c r="AE2103" t="s">
        <v>566</v>
      </c>
      <c r="AF2103">
        <v>14</v>
      </c>
      <c r="AG2103" s="122">
        <v>1565</v>
      </c>
      <c r="AH2103" s="122">
        <v>5877</v>
      </c>
      <c r="AI2103" s="122">
        <v>442493</v>
      </c>
      <c r="AJ2103" s="122">
        <v>402266</v>
      </c>
      <c r="AK2103">
        <v>51</v>
      </c>
      <c r="AL2103" s="122">
        <v>65961</v>
      </c>
      <c r="AM2103" s="122">
        <v>59965</v>
      </c>
      <c r="AN2103" s="122">
        <v>31138</v>
      </c>
      <c r="AO2103" s="122">
        <v>11532</v>
      </c>
      <c r="AP2103" s="122">
        <v>4914</v>
      </c>
      <c r="AQ2103" s="122">
        <v>1820</v>
      </c>
      <c r="AR2103" s="122">
        <v>112585</v>
      </c>
      <c r="AS2103" s="122">
        <v>102350</v>
      </c>
      <c r="AT2103" s="122">
        <v>0</v>
      </c>
      <c r="AU2103" s="122">
        <v>0</v>
      </c>
      <c r="AV2103" s="122">
        <v>577933</v>
      </c>
    </row>
    <row r="2104" spans="2:48" hidden="1">
      <c r="B2104" t="s">
        <v>377</v>
      </c>
      <c r="C2104" t="s">
        <v>56</v>
      </c>
      <c r="D2104" t="s">
        <v>427</v>
      </c>
      <c r="E2104" t="s">
        <v>406</v>
      </c>
      <c r="F2104" s="122">
        <v>1</v>
      </c>
      <c r="G2104" s="122">
        <v>240</v>
      </c>
      <c r="H2104" s="122">
        <v>199</v>
      </c>
      <c r="I2104" s="122">
        <v>25587</v>
      </c>
      <c r="J2104" s="122">
        <v>23261</v>
      </c>
      <c r="K2104" s="122">
        <v>86</v>
      </c>
      <c r="L2104" s="122">
        <v>7714</v>
      </c>
      <c r="M2104" s="122">
        <v>7013</v>
      </c>
      <c r="N2104" s="122">
        <v>4561</v>
      </c>
      <c r="O2104" s="122">
        <v>1689</v>
      </c>
      <c r="P2104" s="122">
        <v>621</v>
      </c>
      <c r="Q2104" s="122">
        <v>230</v>
      </c>
      <c r="R2104" s="122">
        <v>5163</v>
      </c>
      <c r="S2104" s="122">
        <v>4694</v>
      </c>
      <c r="T2104" s="122">
        <v>3995</v>
      </c>
      <c r="U2104" s="122">
        <v>1480</v>
      </c>
      <c r="V2104" s="122">
        <v>38366</v>
      </c>
      <c r="W2104" s="122">
        <f t="shared" si="66"/>
        <v>38367</v>
      </c>
      <c r="X2104" s="122">
        <f t="shared" si="67"/>
        <v>47641</v>
      </c>
      <c r="AA2104" t="s">
        <v>62</v>
      </c>
      <c r="AB2104" t="s">
        <v>431</v>
      </c>
      <c r="AC2104" t="s">
        <v>426</v>
      </c>
      <c r="AD2104" t="s">
        <v>431</v>
      </c>
      <c r="AE2104" t="s">
        <v>137</v>
      </c>
      <c r="AF2104">
        <v>2</v>
      </c>
      <c r="AG2104">
        <v>237</v>
      </c>
      <c r="AH2104">
        <v>848</v>
      </c>
      <c r="AI2104" s="122">
        <v>65043</v>
      </c>
      <c r="AJ2104" s="122">
        <v>59130</v>
      </c>
      <c r="AK2104">
        <v>50</v>
      </c>
      <c r="AL2104" s="122">
        <v>12019</v>
      </c>
      <c r="AM2104" s="122">
        <v>10926</v>
      </c>
      <c r="AN2104" s="122">
        <v>4627</v>
      </c>
      <c r="AO2104" s="122">
        <v>1714</v>
      </c>
      <c r="AP2104">
        <v>702</v>
      </c>
      <c r="AQ2104">
        <v>260</v>
      </c>
      <c r="AR2104" s="122">
        <v>12497</v>
      </c>
      <c r="AS2104" s="122">
        <v>11361</v>
      </c>
      <c r="AT2104" s="122">
        <v>5309</v>
      </c>
      <c r="AU2104" s="122">
        <v>1966</v>
      </c>
      <c r="AV2104" s="122">
        <v>85357</v>
      </c>
    </row>
    <row r="2105" spans="2:48" hidden="1">
      <c r="B2105" t="s">
        <v>377</v>
      </c>
      <c r="C2105" t="s">
        <v>56</v>
      </c>
      <c r="D2105" t="s">
        <v>407</v>
      </c>
      <c r="E2105" t="s">
        <v>405</v>
      </c>
      <c r="F2105" s="122">
        <v>1</v>
      </c>
      <c r="G2105" s="122">
        <v>143</v>
      </c>
      <c r="H2105" s="122">
        <v>207</v>
      </c>
      <c r="I2105" s="122">
        <v>17413</v>
      </c>
      <c r="J2105" s="122">
        <v>15830</v>
      </c>
      <c r="K2105" s="122">
        <v>86</v>
      </c>
      <c r="L2105" s="122">
        <v>3517</v>
      </c>
      <c r="M2105" s="122">
        <v>3197</v>
      </c>
      <c r="N2105" s="122">
        <v>2260</v>
      </c>
      <c r="O2105" s="122">
        <v>837</v>
      </c>
      <c r="P2105" s="122">
        <v>473</v>
      </c>
      <c r="Q2105" s="122">
        <v>175</v>
      </c>
      <c r="R2105" s="122">
        <v>2972</v>
      </c>
      <c r="S2105" s="122">
        <v>2702</v>
      </c>
      <c r="T2105" s="122">
        <v>2939</v>
      </c>
      <c r="U2105" s="122">
        <v>1088</v>
      </c>
      <c r="V2105" s="122">
        <v>23829</v>
      </c>
      <c r="W2105" s="122">
        <f t="shared" si="66"/>
        <v>23829</v>
      </c>
      <c r="X2105" s="122">
        <f t="shared" si="67"/>
        <v>29574</v>
      </c>
      <c r="AA2105" t="s">
        <v>62</v>
      </c>
      <c r="AB2105" t="s">
        <v>431</v>
      </c>
      <c r="AC2105" t="s">
        <v>426</v>
      </c>
      <c r="AD2105" t="s">
        <v>431</v>
      </c>
      <c r="AE2105" t="s">
        <v>566</v>
      </c>
      <c r="AF2105">
        <v>1</v>
      </c>
      <c r="AG2105">
        <v>100</v>
      </c>
      <c r="AH2105">
        <v>439</v>
      </c>
      <c r="AI2105" s="122">
        <v>36397</v>
      </c>
      <c r="AJ2105" s="122">
        <v>33088</v>
      </c>
      <c r="AK2105">
        <v>70</v>
      </c>
      <c r="AL2105">
        <v>0</v>
      </c>
      <c r="AM2105">
        <v>0</v>
      </c>
      <c r="AN2105" s="122">
        <v>1958</v>
      </c>
      <c r="AO2105" s="122">
        <v>725</v>
      </c>
      <c r="AP2105">
        <v>351</v>
      </c>
      <c r="AQ2105">
        <v>130</v>
      </c>
      <c r="AR2105" s="122">
        <v>5422</v>
      </c>
      <c r="AS2105" s="122">
        <v>4930</v>
      </c>
      <c r="AT2105">
        <v>0</v>
      </c>
      <c r="AU2105">
        <v>0</v>
      </c>
      <c r="AV2105" s="122">
        <v>38873</v>
      </c>
    </row>
    <row r="2106" spans="2:48" hidden="1">
      <c r="B2106" t="s">
        <v>377</v>
      </c>
      <c r="C2106" t="s">
        <v>56</v>
      </c>
      <c r="D2106" t="s">
        <v>407</v>
      </c>
      <c r="E2106" t="s">
        <v>407</v>
      </c>
      <c r="F2106" s="122">
        <v>65</v>
      </c>
      <c r="G2106" s="122">
        <v>9610</v>
      </c>
      <c r="H2106" s="122">
        <v>12354</v>
      </c>
      <c r="I2106" s="122">
        <v>1065056</v>
      </c>
      <c r="J2106" s="122">
        <v>968233</v>
      </c>
      <c r="K2106" s="122">
        <v>84</v>
      </c>
      <c r="L2106" s="122">
        <v>221599</v>
      </c>
      <c r="M2106" s="122">
        <v>199068</v>
      </c>
      <c r="N2106" s="122">
        <v>198290</v>
      </c>
      <c r="O2106" s="122">
        <v>73441</v>
      </c>
      <c r="P2106" s="122">
        <v>33264</v>
      </c>
      <c r="Q2106" s="122">
        <v>12320</v>
      </c>
      <c r="R2106" s="122">
        <v>287196</v>
      </c>
      <c r="S2106" s="122">
        <v>261088</v>
      </c>
      <c r="T2106" s="122">
        <v>43385</v>
      </c>
      <c r="U2106" s="122">
        <v>16069</v>
      </c>
      <c r="V2106" s="122">
        <v>1530219</v>
      </c>
      <c r="W2106" s="122">
        <f t="shared" si="66"/>
        <v>1530219</v>
      </c>
      <c r="X2106" s="122">
        <f t="shared" si="67"/>
        <v>1848790</v>
      </c>
      <c r="AA2106" t="s">
        <v>62</v>
      </c>
      <c r="AB2106" t="s">
        <v>431</v>
      </c>
      <c r="AC2106" t="s">
        <v>566</v>
      </c>
      <c r="AD2106" t="s">
        <v>137</v>
      </c>
      <c r="AE2106" t="s">
        <v>566</v>
      </c>
      <c r="AF2106">
        <v>1</v>
      </c>
      <c r="AG2106">
        <v>122</v>
      </c>
      <c r="AH2106" s="122">
        <v>399</v>
      </c>
      <c r="AI2106" s="122">
        <v>39886</v>
      </c>
      <c r="AJ2106" s="122">
        <v>36260</v>
      </c>
      <c r="AK2106">
        <v>30</v>
      </c>
      <c r="AL2106">
        <v>0</v>
      </c>
      <c r="AM2106">
        <v>0</v>
      </c>
      <c r="AN2106" s="122">
        <v>2975</v>
      </c>
      <c r="AO2106" s="122">
        <v>1102</v>
      </c>
      <c r="AP2106" s="122">
        <v>0</v>
      </c>
      <c r="AQ2106">
        <v>0</v>
      </c>
      <c r="AR2106" s="122">
        <v>5808</v>
      </c>
      <c r="AS2106" s="122">
        <v>2151</v>
      </c>
      <c r="AT2106" s="122">
        <v>0</v>
      </c>
      <c r="AU2106" s="122">
        <v>0</v>
      </c>
      <c r="AV2106" s="122">
        <v>39513</v>
      </c>
    </row>
    <row r="2107" spans="2:48" hidden="1">
      <c r="B2107" t="s">
        <v>377</v>
      </c>
      <c r="C2107" t="s">
        <v>56</v>
      </c>
      <c r="D2107" t="s">
        <v>431</v>
      </c>
      <c r="E2107" t="s">
        <v>431</v>
      </c>
      <c r="F2107" s="122">
        <v>2</v>
      </c>
      <c r="G2107" s="122">
        <v>522</v>
      </c>
      <c r="H2107" s="122">
        <v>385</v>
      </c>
      <c r="I2107" s="122">
        <v>56990</v>
      </c>
      <c r="J2107" s="122">
        <v>51809</v>
      </c>
      <c r="K2107" s="122">
        <v>65</v>
      </c>
      <c r="L2107" s="122">
        <v>11834</v>
      </c>
      <c r="M2107" s="122">
        <v>7921</v>
      </c>
      <c r="N2107" s="122">
        <v>10067</v>
      </c>
      <c r="O2107" s="122">
        <v>3729</v>
      </c>
      <c r="P2107" s="122">
        <v>702</v>
      </c>
      <c r="Q2107" s="122">
        <v>260</v>
      </c>
      <c r="R2107" s="122">
        <v>12344</v>
      </c>
      <c r="S2107" s="122">
        <v>11222</v>
      </c>
      <c r="T2107" s="122">
        <v>7526</v>
      </c>
      <c r="U2107" s="122">
        <v>2787</v>
      </c>
      <c r="V2107" s="122">
        <v>77728</v>
      </c>
      <c r="W2107" s="122">
        <f t="shared" si="66"/>
        <v>77728</v>
      </c>
      <c r="X2107" s="122">
        <f t="shared" si="67"/>
        <v>99463</v>
      </c>
      <c r="AA2107" t="s">
        <v>62</v>
      </c>
      <c r="AB2107" t="s">
        <v>431</v>
      </c>
      <c r="AC2107" t="s">
        <v>566</v>
      </c>
      <c r="AD2107" t="s">
        <v>431</v>
      </c>
      <c r="AE2107" t="s">
        <v>137</v>
      </c>
      <c r="AF2107">
        <v>6</v>
      </c>
      <c r="AG2107">
        <v>414</v>
      </c>
      <c r="AH2107" s="122">
        <v>2575</v>
      </c>
      <c r="AI2107" s="122">
        <v>127127</v>
      </c>
      <c r="AJ2107" s="122">
        <v>115570</v>
      </c>
      <c r="AK2107">
        <v>55</v>
      </c>
      <c r="AL2107">
        <v>0</v>
      </c>
      <c r="AM2107">
        <v>0</v>
      </c>
      <c r="AN2107" s="122">
        <v>8060</v>
      </c>
      <c r="AO2107" s="122">
        <v>2985</v>
      </c>
      <c r="AP2107" s="122">
        <v>1755</v>
      </c>
      <c r="AQ2107">
        <v>650</v>
      </c>
      <c r="AR2107" s="122">
        <v>28560</v>
      </c>
      <c r="AS2107" s="122">
        <v>25963</v>
      </c>
      <c r="AT2107" s="122">
        <v>13319</v>
      </c>
      <c r="AU2107" s="122">
        <v>4933</v>
      </c>
      <c r="AV2107" s="122">
        <v>150101</v>
      </c>
    </row>
    <row r="2108" spans="2:48" hidden="1">
      <c r="B2108" t="s">
        <v>377</v>
      </c>
      <c r="C2108" t="s">
        <v>56</v>
      </c>
      <c r="D2108" t="s">
        <v>426</v>
      </c>
      <c r="E2108" t="s">
        <v>405</v>
      </c>
      <c r="F2108" s="122">
        <v>1</v>
      </c>
      <c r="G2108" s="122">
        <v>135</v>
      </c>
      <c r="H2108" s="122">
        <v>170</v>
      </c>
      <c r="I2108" s="122">
        <v>24085</v>
      </c>
      <c r="J2108" s="122">
        <v>21895</v>
      </c>
      <c r="K2108" s="122">
        <v>76</v>
      </c>
      <c r="L2108" s="122">
        <v>2768</v>
      </c>
      <c r="M2108" s="122">
        <v>2516</v>
      </c>
      <c r="N2108" s="122">
        <v>2925</v>
      </c>
      <c r="O2108" s="122">
        <v>1083</v>
      </c>
      <c r="P2108" s="122">
        <v>351</v>
      </c>
      <c r="Q2108" s="122">
        <v>130</v>
      </c>
      <c r="R2108" s="122">
        <v>5426</v>
      </c>
      <c r="S2108" s="122">
        <v>4932</v>
      </c>
      <c r="T2108" s="122">
        <v>0</v>
      </c>
      <c r="U2108" s="122">
        <v>0</v>
      </c>
      <c r="V2108" s="122">
        <v>30557</v>
      </c>
      <c r="W2108" s="122">
        <f t="shared" si="66"/>
        <v>30556</v>
      </c>
      <c r="X2108" s="122">
        <f t="shared" si="67"/>
        <v>35555</v>
      </c>
      <c r="AA2108" t="s">
        <v>62</v>
      </c>
      <c r="AB2108" t="s">
        <v>431</v>
      </c>
      <c r="AC2108" t="s">
        <v>566</v>
      </c>
      <c r="AD2108" t="s">
        <v>431</v>
      </c>
      <c r="AE2108" t="s">
        <v>566</v>
      </c>
      <c r="AF2108">
        <v>1</v>
      </c>
      <c r="AG2108">
        <v>105</v>
      </c>
      <c r="AH2108">
        <v>429</v>
      </c>
      <c r="AI2108" s="122">
        <v>33363</v>
      </c>
      <c r="AJ2108" s="122">
        <v>30330</v>
      </c>
      <c r="AK2108">
        <v>55</v>
      </c>
      <c r="AL2108">
        <v>0</v>
      </c>
      <c r="AM2108">
        <v>0</v>
      </c>
      <c r="AN2108" s="122">
        <v>2548</v>
      </c>
      <c r="AO2108" s="122">
        <v>944</v>
      </c>
      <c r="AP2108">
        <v>351</v>
      </c>
      <c r="AQ2108">
        <v>130</v>
      </c>
      <c r="AR2108" s="122">
        <v>8619</v>
      </c>
      <c r="AS2108" s="122">
        <v>7835</v>
      </c>
      <c r="AT2108">
        <v>0</v>
      </c>
      <c r="AU2108">
        <v>0</v>
      </c>
      <c r="AV2108" s="122">
        <v>39239</v>
      </c>
    </row>
    <row r="2109" spans="2:48" hidden="1">
      <c r="B2109" t="s">
        <v>377</v>
      </c>
      <c r="C2109" t="s">
        <v>56</v>
      </c>
      <c r="D2109" t="s">
        <v>426</v>
      </c>
      <c r="E2109" t="s">
        <v>426</v>
      </c>
      <c r="F2109" s="122">
        <v>20</v>
      </c>
      <c r="G2109" s="122">
        <v>3115</v>
      </c>
      <c r="H2109" s="122">
        <v>4048</v>
      </c>
      <c r="I2109" s="122">
        <v>437357</v>
      </c>
      <c r="J2109" s="122">
        <v>397597</v>
      </c>
      <c r="K2109" s="122">
        <v>66</v>
      </c>
      <c r="L2109" s="122">
        <v>44950</v>
      </c>
      <c r="M2109" s="122">
        <v>36307</v>
      </c>
      <c r="N2109" s="122">
        <v>63940</v>
      </c>
      <c r="O2109" s="122">
        <v>23681</v>
      </c>
      <c r="P2109" s="122">
        <v>13662</v>
      </c>
      <c r="Q2109" s="122">
        <v>5060</v>
      </c>
      <c r="R2109" s="122">
        <v>119286</v>
      </c>
      <c r="S2109" s="122">
        <v>108441</v>
      </c>
      <c r="T2109" s="122">
        <v>29991</v>
      </c>
      <c r="U2109" s="122">
        <v>11108</v>
      </c>
      <c r="V2109" s="122">
        <v>582195</v>
      </c>
      <c r="W2109" s="122">
        <f t="shared" si="66"/>
        <v>582194</v>
      </c>
      <c r="X2109" s="122">
        <f t="shared" si="67"/>
        <v>709186</v>
      </c>
      <c r="AA2109" t="s">
        <v>62</v>
      </c>
      <c r="AB2109" t="s">
        <v>431</v>
      </c>
      <c r="AC2109" t="s">
        <v>433</v>
      </c>
      <c r="AD2109" t="s">
        <v>431</v>
      </c>
      <c r="AE2109" t="s">
        <v>566</v>
      </c>
      <c r="AF2109">
        <v>1</v>
      </c>
      <c r="AG2109">
        <v>120</v>
      </c>
      <c r="AH2109" s="122">
        <v>418</v>
      </c>
      <c r="AI2109" s="122">
        <v>35871</v>
      </c>
      <c r="AJ2109" s="122">
        <v>32610</v>
      </c>
      <c r="AK2109">
        <v>45</v>
      </c>
      <c r="AL2109" s="122">
        <v>0</v>
      </c>
      <c r="AM2109" s="122">
        <v>0</v>
      </c>
      <c r="AN2109" s="122">
        <v>2923</v>
      </c>
      <c r="AO2109" s="122">
        <v>1083</v>
      </c>
      <c r="AP2109" s="122">
        <v>351</v>
      </c>
      <c r="AQ2109">
        <v>130</v>
      </c>
      <c r="AR2109" s="122">
        <v>11054</v>
      </c>
      <c r="AS2109" s="122">
        <v>10049</v>
      </c>
      <c r="AT2109" s="122">
        <v>0</v>
      </c>
      <c r="AU2109" s="122">
        <v>0</v>
      </c>
      <c r="AV2109" s="122">
        <v>43872</v>
      </c>
    </row>
    <row r="2110" spans="2:48" hidden="1">
      <c r="B2110" t="s">
        <v>377</v>
      </c>
      <c r="C2110" t="s">
        <v>56</v>
      </c>
      <c r="D2110" t="s">
        <v>433</v>
      </c>
      <c r="E2110" t="s">
        <v>406</v>
      </c>
      <c r="F2110" s="122">
        <v>1</v>
      </c>
      <c r="G2110" s="122">
        <v>169</v>
      </c>
      <c r="H2110" s="122">
        <v>155</v>
      </c>
      <c r="I2110" s="122">
        <v>13299</v>
      </c>
      <c r="J2110" s="122">
        <v>12090</v>
      </c>
      <c r="K2110" s="122">
        <v>95</v>
      </c>
      <c r="L2110" s="122">
        <v>2221</v>
      </c>
      <c r="M2110" s="122">
        <v>2020</v>
      </c>
      <c r="N2110" s="122">
        <v>4122</v>
      </c>
      <c r="O2110" s="122">
        <v>1527</v>
      </c>
      <c r="P2110" s="122">
        <v>621</v>
      </c>
      <c r="Q2110" s="122">
        <v>230</v>
      </c>
      <c r="R2110" s="122">
        <v>5897</v>
      </c>
      <c r="S2110" s="122">
        <v>5361</v>
      </c>
      <c r="T2110" s="122">
        <v>0</v>
      </c>
      <c r="U2110" s="122">
        <v>0</v>
      </c>
      <c r="V2110" s="122">
        <v>21227</v>
      </c>
      <c r="W2110" s="122">
        <f t="shared" si="66"/>
        <v>21228</v>
      </c>
      <c r="X2110" s="122">
        <f t="shared" si="67"/>
        <v>26160</v>
      </c>
      <c r="AA2110" t="s">
        <v>62</v>
      </c>
      <c r="AB2110" t="s">
        <v>426</v>
      </c>
      <c r="AC2110" t="s">
        <v>425</v>
      </c>
      <c r="AD2110" t="s">
        <v>426</v>
      </c>
      <c r="AE2110" t="s">
        <v>137</v>
      </c>
      <c r="AF2110">
        <v>4</v>
      </c>
      <c r="AG2110">
        <v>442</v>
      </c>
      <c r="AH2110" s="122">
        <v>1649</v>
      </c>
      <c r="AI2110" s="122">
        <v>107329</v>
      </c>
      <c r="AJ2110" s="122">
        <v>97572</v>
      </c>
      <c r="AK2110">
        <v>50</v>
      </c>
      <c r="AL2110" s="122">
        <v>21674</v>
      </c>
      <c r="AM2110" s="122">
        <v>19704</v>
      </c>
      <c r="AN2110" s="122">
        <v>9811</v>
      </c>
      <c r="AO2110" s="122">
        <v>3634</v>
      </c>
      <c r="AP2110" s="122">
        <v>1404</v>
      </c>
      <c r="AQ2110">
        <v>520</v>
      </c>
      <c r="AR2110" s="122">
        <v>29118</v>
      </c>
      <c r="AS2110" s="122">
        <v>26471</v>
      </c>
      <c r="AT2110" s="122">
        <v>12703</v>
      </c>
      <c r="AU2110" s="122">
        <v>4705</v>
      </c>
      <c r="AV2110" s="122">
        <v>152604</v>
      </c>
    </row>
    <row r="2111" spans="2:48" hidden="1">
      <c r="B2111" t="s">
        <v>377</v>
      </c>
      <c r="C2111" t="s">
        <v>56</v>
      </c>
      <c r="D2111" t="s">
        <v>433</v>
      </c>
      <c r="E2111" t="s">
        <v>433</v>
      </c>
      <c r="F2111" s="122">
        <v>4</v>
      </c>
      <c r="G2111" s="122">
        <v>892</v>
      </c>
      <c r="H2111" s="122">
        <v>762</v>
      </c>
      <c r="I2111" s="122">
        <v>119766</v>
      </c>
      <c r="J2111" s="122">
        <v>108879</v>
      </c>
      <c r="K2111" s="122">
        <v>73</v>
      </c>
      <c r="L2111" s="122">
        <v>22710</v>
      </c>
      <c r="M2111" s="122">
        <v>20646</v>
      </c>
      <c r="N2111" s="122">
        <v>18926</v>
      </c>
      <c r="O2111" s="122">
        <v>7010</v>
      </c>
      <c r="P2111" s="122">
        <v>2376</v>
      </c>
      <c r="Q2111" s="122">
        <v>880</v>
      </c>
      <c r="R2111" s="122">
        <v>24626</v>
      </c>
      <c r="S2111" s="122">
        <v>22387</v>
      </c>
      <c r="T2111" s="122">
        <v>6903</v>
      </c>
      <c r="U2111" s="122">
        <v>2557</v>
      </c>
      <c r="V2111" s="122">
        <v>162358</v>
      </c>
      <c r="W2111" s="122">
        <f t="shared" si="66"/>
        <v>162359</v>
      </c>
      <c r="X2111" s="122">
        <f t="shared" si="67"/>
        <v>195307</v>
      </c>
      <c r="AA2111" t="s">
        <v>62</v>
      </c>
      <c r="AB2111" t="s">
        <v>426</v>
      </c>
      <c r="AC2111" t="s">
        <v>405</v>
      </c>
      <c r="AD2111" t="s">
        <v>426</v>
      </c>
      <c r="AE2111" t="s">
        <v>137</v>
      </c>
      <c r="AF2111">
        <v>3</v>
      </c>
      <c r="AG2111">
        <v>424</v>
      </c>
      <c r="AH2111" s="122">
        <v>1256</v>
      </c>
      <c r="AI2111" s="122">
        <v>124908</v>
      </c>
      <c r="AJ2111" s="122">
        <v>113553</v>
      </c>
      <c r="AK2111">
        <v>58</v>
      </c>
      <c r="AL2111" s="122">
        <v>17528</v>
      </c>
      <c r="AM2111" s="122">
        <v>15935</v>
      </c>
      <c r="AN2111" s="122">
        <v>8912</v>
      </c>
      <c r="AO2111" s="122">
        <v>3301</v>
      </c>
      <c r="AP2111" s="122">
        <v>1175</v>
      </c>
      <c r="AQ2111">
        <v>435</v>
      </c>
      <c r="AR2111" s="122">
        <v>17067</v>
      </c>
      <c r="AS2111" s="122">
        <v>15516</v>
      </c>
      <c r="AT2111" s="122">
        <v>8371</v>
      </c>
      <c r="AU2111" s="122">
        <v>3100</v>
      </c>
      <c r="AV2111" s="122">
        <v>151840</v>
      </c>
    </row>
    <row r="2112" spans="2:48" hidden="1">
      <c r="B2112" t="s">
        <v>377</v>
      </c>
      <c r="C2112" t="s">
        <v>56</v>
      </c>
      <c r="D2112" t="s">
        <v>408</v>
      </c>
      <c r="E2112" t="s">
        <v>408</v>
      </c>
      <c r="F2112" s="122">
        <v>24</v>
      </c>
      <c r="G2112" s="122">
        <v>4894</v>
      </c>
      <c r="H2112" s="122">
        <v>4564</v>
      </c>
      <c r="I2112" s="122">
        <v>625717</v>
      </c>
      <c r="J2112" s="122">
        <v>568834</v>
      </c>
      <c r="K2112" s="122">
        <v>75</v>
      </c>
      <c r="L2112" s="122">
        <v>93042</v>
      </c>
      <c r="M2112" s="122">
        <v>84331</v>
      </c>
      <c r="N2112" s="122">
        <v>99797</v>
      </c>
      <c r="O2112" s="122">
        <v>36962</v>
      </c>
      <c r="P2112" s="122">
        <v>15662</v>
      </c>
      <c r="Q2112" s="122">
        <v>5801</v>
      </c>
      <c r="R2112" s="122">
        <v>131587</v>
      </c>
      <c r="S2112" s="122">
        <v>119625</v>
      </c>
      <c r="T2112" s="122">
        <v>22354</v>
      </c>
      <c r="U2112" s="122">
        <v>8279</v>
      </c>
      <c r="V2112" s="122">
        <v>823831</v>
      </c>
      <c r="W2112" s="122">
        <f t="shared" si="66"/>
        <v>823832</v>
      </c>
      <c r="X2112" s="122">
        <f t="shared" si="67"/>
        <v>988159</v>
      </c>
      <c r="AA2112" t="s">
        <v>62</v>
      </c>
      <c r="AB2112" t="s">
        <v>426</v>
      </c>
      <c r="AC2112" t="s">
        <v>137</v>
      </c>
      <c r="AD2112" t="s">
        <v>137</v>
      </c>
      <c r="AE2112" t="s">
        <v>137</v>
      </c>
      <c r="AF2112">
        <v>1</v>
      </c>
      <c r="AG2112" s="122">
        <v>93</v>
      </c>
      <c r="AH2112" s="122">
        <v>416</v>
      </c>
      <c r="AI2112" s="122">
        <v>24417</v>
      </c>
      <c r="AJ2112" s="122">
        <v>22197</v>
      </c>
      <c r="AK2112">
        <v>55</v>
      </c>
      <c r="AL2112" s="122">
        <v>3663</v>
      </c>
      <c r="AM2112" s="122">
        <v>1356</v>
      </c>
      <c r="AN2112" s="122">
        <v>1136</v>
      </c>
      <c r="AO2112" s="122">
        <v>421</v>
      </c>
      <c r="AP2112" s="122">
        <v>351</v>
      </c>
      <c r="AQ2112">
        <v>130</v>
      </c>
      <c r="AR2112" s="122">
        <v>9253</v>
      </c>
      <c r="AS2112" s="122">
        <v>3427</v>
      </c>
      <c r="AT2112">
        <v>0</v>
      </c>
      <c r="AU2112">
        <v>0</v>
      </c>
      <c r="AV2112" s="122">
        <v>27531</v>
      </c>
    </row>
    <row r="2113" spans="2:48" hidden="1">
      <c r="B2113" t="s">
        <v>377</v>
      </c>
      <c r="C2113" t="s">
        <v>56</v>
      </c>
      <c r="D2113" t="s">
        <v>429</v>
      </c>
      <c r="E2113" t="s">
        <v>429</v>
      </c>
      <c r="F2113" s="122">
        <v>2</v>
      </c>
      <c r="G2113" s="122">
        <v>380</v>
      </c>
      <c r="H2113" s="122">
        <v>398</v>
      </c>
      <c r="I2113" s="122">
        <v>49568</v>
      </c>
      <c r="J2113" s="122">
        <v>45062</v>
      </c>
      <c r="K2113" s="122">
        <v>63</v>
      </c>
      <c r="L2113" s="122">
        <v>2452</v>
      </c>
      <c r="M2113" s="122">
        <v>908</v>
      </c>
      <c r="N2113" s="122">
        <v>9628</v>
      </c>
      <c r="O2113" s="122">
        <v>3566</v>
      </c>
      <c r="P2113" s="122">
        <v>3866</v>
      </c>
      <c r="Q2113" s="122">
        <v>1432</v>
      </c>
      <c r="R2113" s="122">
        <v>13004</v>
      </c>
      <c r="S2113" s="122">
        <v>11822</v>
      </c>
      <c r="T2113" s="122">
        <v>3307</v>
      </c>
      <c r="U2113" s="122">
        <v>1225</v>
      </c>
      <c r="V2113" s="122">
        <v>64015</v>
      </c>
      <c r="W2113" s="122">
        <f t="shared" si="66"/>
        <v>64015</v>
      </c>
      <c r="X2113" s="122">
        <f t="shared" si="67"/>
        <v>81825</v>
      </c>
      <c r="AA2113" t="s">
        <v>62</v>
      </c>
      <c r="AB2113" t="s">
        <v>426</v>
      </c>
      <c r="AC2113" t="s">
        <v>137</v>
      </c>
      <c r="AD2113" t="s">
        <v>137</v>
      </c>
      <c r="AE2113" t="s">
        <v>566</v>
      </c>
      <c r="AF2113">
        <v>32</v>
      </c>
      <c r="AG2113" s="122">
        <v>3174</v>
      </c>
      <c r="AH2113" s="122">
        <v>13268</v>
      </c>
      <c r="AI2113" s="122">
        <v>858163</v>
      </c>
      <c r="AJ2113" s="122">
        <v>780148</v>
      </c>
      <c r="AK2113">
        <v>55</v>
      </c>
      <c r="AL2113" s="122">
        <v>152889</v>
      </c>
      <c r="AM2113" s="122">
        <v>56626</v>
      </c>
      <c r="AN2113" s="122">
        <v>64349</v>
      </c>
      <c r="AO2113" s="122">
        <v>23833</v>
      </c>
      <c r="AP2113" s="122">
        <v>2106</v>
      </c>
      <c r="AQ2113">
        <v>780</v>
      </c>
      <c r="AR2113" s="122">
        <v>239325</v>
      </c>
      <c r="AS2113" s="122">
        <v>88639</v>
      </c>
      <c r="AT2113">
        <v>0</v>
      </c>
      <c r="AU2113">
        <v>0</v>
      </c>
      <c r="AV2113" s="122">
        <v>950025</v>
      </c>
    </row>
    <row r="2114" spans="2:48" hidden="1">
      <c r="B2114" t="s">
        <v>377</v>
      </c>
      <c r="C2114" t="s">
        <v>58</v>
      </c>
      <c r="F2114" s="122">
        <v>1</v>
      </c>
      <c r="G2114" s="122">
        <v>106</v>
      </c>
      <c r="H2114" s="122">
        <v>236</v>
      </c>
      <c r="I2114" s="122"/>
      <c r="J2114" s="122">
        <v>0</v>
      </c>
      <c r="K2114" s="122"/>
      <c r="L2114" s="122"/>
      <c r="M2114" s="122">
        <v>0</v>
      </c>
      <c r="N2114" s="122">
        <v>1419</v>
      </c>
      <c r="O2114" s="122">
        <v>526</v>
      </c>
      <c r="P2114" s="122">
        <v>621</v>
      </c>
      <c r="Q2114" s="122">
        <v>230</v>
      </c>
      <c r="R2114" s="122"/>
      <c r="S2114" s="122">
        <v>0</v>
      </c>
      <c r="T2114" s="122">
        <v>0</v>
      </c>
      <c r="U2114" s="122">
        <v>0</v>
      </c>
      <c r="V2114" s="122">
        <v>756</v>
      </c>
      <c r="W2114" s="122">
        <f t="shared" si="66"/>
        <v>756</v>
      </c>
      <c r="X2114" s="122">
        <f t="shared" si="67"/>
        <v>2040</v>
      </c>
      <c r="AA2114" t="s">
        <v>62</v>
      </c>
      <c r="AB2114" t="s">
        <v>426</v>
      </c>
      <c r="AC2114" t="s">
        <v>137</v>
      </c>
      <c r="AD2114" t="s">
        <v>406</v>
      </c>
      <c r="AE2114" t="s">
        <v>137</v>
      </c>
      <c r="AF2114">
        <v>1</v>
      </c>
      <c r="AG2114">
        <v>126</v>
      </c>
      <c r="AH2114">
        <v>444</v>
      </c>
      <c r="AI2114" s="122">
        <v>31885</v>
      </c>
      <c r="AJ2114" s="122">
        <v>28986</v>
      </c>
      <c r="AK2114">
        <v>45</v>
      </c>
      <c r="AL2114" s="122">
        <v>9283</v>
      </c>
      <c r="AM2114" s="122">
        <v>3438</v>
      </c>
      <c r="AN2114" s="122">
        <v>2301</v>
      </c>
      <c r="AO2114">
        <v>852</v>
      </c>
      <c r="AP2114">
        <v>621</v>
      </c>
      <c r="AQ2114">
        <v>230</v>
      </c>
      <c r="AR2114" s="122">
        <v>11841</v>
      </c>
      <c r="AS2114" s="122">
        <v>10764</v>
      </c>
      <c r="AT2114">
        <v>0</v>
      </c>
      <c r="AU2114">
        <v>0</v>
      </c>
      <c r="AV2114" s="122">
        <v>44271</v>
      </c>
    </row>
    <row r="2115" spans="2:48" hidden="1">
      <c r="B2115" t="s">
        <v>377</v>
      </c>
      <c r="C2115" t="s">
        <v>58</v>
      </c>
      <c r="D2115" t="s">
        <v>425</v>
      </c>
      <c r="E2115" t="s">
        <v>425</v>
      </c>
      <c r="F2115" s="122">
        <v>5</v>
      </c>
      <c r="G2115" s="122">
        <v>574</v>
      </c>
      <c r="H2115" s="122">
        <v>1358</v>
      </c>
      <c r="I2115" s="122">
        <v>94975</v>
      </c>
      <c r="J2115" s="122">
        <v>86341</v>
      </c>
      <c r="K2115" s="122">
        <v>78</v>
      </c>
      <c r="L2115" s="122">
        <v>13952</v>
      </c>
      <c r="M2115" s="122">
        <v>12684</v>
      </c>
      <c r="N2115" s="122">
        <v>11287</v>
      </c>
      <c r="O2115" s="122">
        <v>4180</v>
      </c>
      <c r="P2115" s="122">
        <v>2268</v>
      </c>
      <c r="Q2115" s="122">
        <v>840</v>
      </c>
      <c r="R2115" s="122">
        <v>24806</v>
      </c>
      <c r="S2115" s="122">
        <v>22551</v>
      </c>
      <c r="T2115" s="122">
        <v>8218</v>
      </c>
      <c r="U2115" s="122">
        <v>3044</v>
      </c>
      <c r="V2115" s="122">
        <v>129639</v>
      </c>
      <c r="W2115" s="122">
        <f t="shared" si="66"/>
        <v>129640</v>
      </c>
      <c r="X2115" s="122">
        <f t="shared" si="67"/>
        <v>155506</v>
      </c>
      <c r="AA2115" t="s">
        <v>62</v>
      </c>
      <c r="AB2115" t="s">
        <v>426</v>
      </c>
      <c r="AC2115" t="s">
        <v>137</v>
      </c>
      <c r="AD2115" t="s">
        <v>406</v>
      </c>
      <c r="AE2115" t="s">
        <v>566</v>
      </c>
      <c r="AF2115">
        <v>1</v>
      </c>
      <c r="AG2115" s="122">
        <v>121</v>
      </c>
      <c r="AH2115" s="122">
        <v>402</v>
      </c>
      <c r="AI2115" s="122">
        <v>33879</v>
      </c>
      <c r="AJ2115" s="122">
        <v>30799</v>
      </c>
      <c r="AK2115">
        <v>65</v>
      </c>
      <c r="AL2115" s="122">
        <v>6006</v>
      </c>
      <c r="AM2115" s="122">
        <v>2224</v>
      </c>
      <c r="AN2115" s="122">
        <v>2067</v>
      </c>
      <c r="AO2115" s="122">
        <v>766</v>
      </c>
      <c r="AP2115" s="122">
        <v>351</v>
      </c>
      <c r="AQ2115" s="122">
        <v>130</v>
      </c>
      <c r="AR2115" s="122">
        <v>6428</v>
      </c>
      <c r="AS2115" s="122">
        <v>5844</v>
      </c>
      <c r="AT2115" s="122">
        <v>0</v>
      </c>
      <c r="AU2115" s="122">
        <v>0</v>
      </c>
      <c r="AV2115" s="122">
        <v>39763</v>
      </c>
    </row>
    <row r="2116" spans="2:48" hidden="1">
      <c r="B2116" t="s">
        <v>377</v>
      </c>
      <c r="C2116" t="s">
        <v>58</v>
      </c>
      <c r="D2116" t="s">
        <v>405</v>
      </c>
      <c r="E2116" t="s">
        <v>405</v>
      </c>
      <c r="F2116" s="122">
        <v>46</v>
      </c>
      <c r="G2116" s="122">
        <v>6403</v>
      </c>
      <c r="H2116" s="122">
        <v>11871</v>
      </c>
      <c r="I2116" s="122">
        <v>1021755</v>
      </c>
      <c r="J2116" s="122">
        <v>928868</v>
      </c>
      <c r="K2116" s="122">
        <v>82</v>
      </c>
      <c r="L2116" s="122">
        <v>226896</v>
      </c>
      <c r="M2116" s="122">
        <v>208843</v>
      </c>
      <c r="N2116" s="122">
        <v>132580</v>
      </c>
      <c r="O2116" s="122">
        <v>49104</v>
      </c>
      <c r="P2116" s="122">
        <v>22734</v>
      </c>
      <c r="Q2116" s="122">
        <v>8420</v>
      </c>
      <c r="R2116" s="122">
        <v>251657</v>
      </c>
      <c r="S2116" s="122">
        <v>228779</v>
      </c>
      <c r="T2116" s="122">
        <v>34661</v>
      </c>
      <c r="U2116" s="122">
        <v>12837</v>
      </c>
      <c r="V2116" s="122">
        <v>1436851</v>
      </c>
      <c r="W2116" s="122">
        <f t="shared" si="66"/>
        <v>1436851</v>
      </c>
      <c r="X2116" s="122">
        <f t="shared" si="67"/>
        <v>1690283</v>
      </c>
      <c r="AA2116" t="s">
        <v>62</v>
      </c>
      <c r="AB2116" t="s">
        <v>426</v>
      </c>
      <c r="AC2116" t="s">
        <v>137</v>
      </c>
      <c r="AD2116" t="s">
        <v>426</v>
      </c>
      <c r="AE2116" t="s">
        <v>137</v>
      </c>
      <c r="AF2116">
        <v>169</v>
      </c>
      <c r="AG2116" s="122">
        <v>14757</v>
      </c>
      <c r="AH2116" s="122">
        <v>70425</v>
      </c>
      <c r="AI2116" s="122">
        <v>3868964</v>
      </c>
      <c r="AJ2116" s="122">
        <v>3517240</v>
      </c>
      <c r="AK2116">
        <v>56</v>
      </c>
      <c r="AL2116" s="122">
        <v>716626</v>
      </c>
      <c r="AM2116" s="122">
        <v>265417</v>
      </c>
      <c r="AN2116" s="122">
        <v>308590</v>
      </c>
      <c r="AO2116" s="122">
        <v>114293</v>
      </c>
      <c r="AP2116" s="122">
        <v>56619</v>
      </c>
      <c r="AQ2116" s="122">
        <v>20970</v>
      </c>
      <c r="AR2116" s="122">
        <v>912056</v>
      </c>
      <c r="AS2116" s="122">
        <v>829142</v>
      </c>
      <c r="AT2116" s="122">
        <v>385327</v>
      </c>
      <c r="AU2116" s="122">
        <v>142714</v>
      </c>
      <c r="AV2116" s="122">
        <v>4889776</v>
      </c>
    </row>
    <row r="2117" spans="2:48" hidden="1">
      <c r="B2117" t="s">
        <v>377</v>
      </c>
      <c r="C2117" t="s">
        <v>58</v>
      </c>
      <c r="D2117" t="s">
        <v>405</v>
      </c>
      <c r="E2117" t="s">
        <v>137</v>
      </c>
      <c r="F2117" s="122">
        <v>1</v>
      </c>
      <c r="G2117" s="122">
        <v>125</v>
      </c>
      <c r="H2117" s="122">
        <v>278</v>
      </c>
      <c r="I2117" s="122">
        <v>18134</v>
      </c>
      <c r="J2117" s="122">
        <v>16485</v>
      </c>
      <c r="K2117" s="122">
        <v>90</v>
      </c>
      <c r="L2117" s="122">
        <v>2277</v>
      </c>
      <c r="M2117" s="122">
        <v>2070</v>
      </c>
      <c r="N2117" s="122">
        <v>3056</v>
      </c>
      <c r="O2117" s="122">
        <v>1132</v>
      </c>
      <c r="P2117" s="122">
        <v>351</v>
      </c>
      <c r="Q2117" s="122">
        <v>130</v>
      </c>
      <c r="R2117" s="122">
        <v>11001</v>
      </c>
      <c r="S2117" s="122">
        <v>4075</v>
      </c>
      <c r="T2117" s="122">
        <v>0</v>
      </c>
      <c r="U2117" s="122">
        <v>0</v>
      </c>
      <c r="V2117" s="122">
        <v>23892</v>
      </c>
      <c r="W2117" s="122">
        <f t="shared" si="66"/>
        <v>23892</v>
      </c>
      <c r="X2117" s="122">
        <f t="shared" si="67"/>
        <v>34819</v>
      </c>
      <c r="AA2117" t="s">
        <v>62</v>
      </c>
      <c r="AB2117" t="s">
        <v>426</v>
      </c>
      <c r="AC2117" t="s">
        <v>137</v>
      </c>
      <c r="AD2117" t="s">
        <v>426</v>
      </c>
      <c r="AE2117" t="s">
        <v>566</v>
      </c>
      <c r="AF2117">
        <v>20</v>
      </c>
      <c r="AG2117" s="122">
        <v>1883</v>
      </c>
      <c r="AH2117" s="122">
        <v>8324</v>
      </c>
      <c r="AI2117" s="122">
        <v>537260</v>
      </c>
      <c r="AJ2117" s="122">
        <v>488418</v>
      </c>
      <c r="AK2117">
        <v>57</v>
      </c>
      <c r="AL2117" s="122">
        <v>96968</v>
      </c>
      <c r="AM2117" s="122">
        <v>35914</v>
      </c>
      <c r="AN2117" s="122">
        <v>41191</v>
      </c>
      <c r="AO2117" s="122">
        <v>15256</v>
      </c>
      <c r="AP2117" s="122">
        <v>5886</v>
      </c>
      <c r="AQ2117" s="122">
        <v>2180</v>
      </c>
      <c r="AR2117" s="122">
        <v>158404</v>
      </c>
      <c r="AS2117" s="122">
        <v>144004</v>
      </c>
      <c r="AT2117" s="122">
        <v>0</v>
      </c>
      <c r="AU2117" s="122">
        <v>0</v>
      </c>
      <c r="AV2117" s="122">
        <v>685772</v>
      </c>
    </row>
    <row r="2118" spans="2:48" hidden="1">
      <c r="B2118" t="s">
        <v>377</v>
      </c>
      <c r="C2118" t="s">
        <v>58</v>
      </c>
      <c r="D2118" t="s">
        <v>405</v>
      </c>
      <c r="E2118" t="s">
        <v>406</v>
      </c>
      <c r="F2118" s="122">
        <v>1</v>
      </c>
      <c r="G2118" s="122">
        <v>348</v>
      </c>
      <c r="H2118" s="122">
        <v>237</v>
      </c>
      <c r="I2118" s="122">
        <v>61117</v>
      </c>
      <c r="J2118" s="122">
        <v>55561</v>
      </c>
      <c r="K2118" s="122">
        <v>91</v>
      </c>
      <c r="L2118" s="122">
        <v>8985</v>
      </c>
      <c r="M2118" s="122">
        <v>8168</v>
      </c>
      <c r="N2118" s="122">
        <v>7882</v>
      </c>
      <c r="O2118" s="122">
        <v>2919</v>
      </c>
      <c r="P2118" s="122">
        <v>824</v>
      </c>
      <c r="Q2118" s="122">
        <v>305</v>
      </c>
      <c r="R2118" s="122">
        <v>3479</v>
      </c>
      <c r="S2118" s="122">
        <v>3163</v>
      </c>
      <c r="T2118" s="122">
        <v>0</v>
      </c>
      <c r="U2118" s="122">
        <v>0</v>
      </c>
      <c r="V2118" s="122">
        <v>70116</v>
      </c>
      <c r="W2118" s="122">
        <f t="shared" si="66"/>
        <v>70116</v>
      </c>
      <c r="X2118" s="122">
        <f t="shared" si="67"/>
        <v>82287</v>
      </c>
      <c r="AA2118" t="s">
        <v>62</v>
      </c>
      <c r="AB2118" t="s">
        <v>426</v>
      </c>
      <c r="AC2118" t="s">
        <v>580</v>
      </c>
      <c r="AD2118" t="s">
        <v>406</v>
      </c>
      <c r="AE2118" t="s">
        <v>137</v>
      </c>
      <c r="AF2118">
        <v>1</v>
      </c>
      <c r="AG2118" s="122">
        <v>161</v>
      </c>
      <c r="AH2118" s="122">
        <v>420</v>
      </c>
      <c r="AI2118" s="122">
        <v>49442</v>
      </c>
      <c r="AJ2118" s="122">
        <v>44948</v>
      </c>
      <c r="AK2118">
        <v>65</v>
      </c>
      <c r="AL2118" s="122">
        <v>4761</v>
      </c>
      <c r="AM2118" s="122">
        <v>4328</v>
      </c>
      <c r="AN2118" s="122">
        <v>3525</v>
      </c>
      <c r="AO2118" s="122">
        <v>1305</v>
      </c>
      <c r="AP2118" s="122">
        <v>972</v>
      </c>
      <c r="AQ2118" s="122">
        <v>360</v>
      </c>
      <c r="AR2118" s="122">
        <v>5698</v>
      </c>
      <c r="AS2118" s="122">
        <v>5180</v>
      </c>
      <c r="AT2118" s="122">
        <v>3046</v>
      </c>
      <c r="AU2118" s="122">
        <v>1128</v>
      </c>
      <c r="AV2118" s="122">
        <v>57250</v>
      </c>
    </row>
    <row r="2119" spans="2:48" hidden="1">
      <c r="B2119" t="s">
        <v>377</v>
      </c>
      <c r="C2119" t="s">
        <v>58</v>
      </c>
      <c r="D2119" t="s">
        <v>405</v>
      </c>
      <c r="E2119" t="s">
        <v>407</v>
      </c>
      <c r="F2119" s="122">
        <v>1</v>
      </c>
      <c r="G2119" s="122">
        <v>115</v>
      </c>
      <c r="H2119" s="122">
        <v>279</v>
      </c>
      <c r="I2119" s="122">
        <v>20537</v>
      </c>
      <c r="J2119" s="122">
        <v>18670</v>
      </c>
      <c r="K2119" s="122">
        <v>73</v>
      </c>
      <c r="L2119" s="122">
        <v>2639</v>
      </c>
      <c r="M2119" s="122">
        <v>2399</v>
      </c>
      <c r="N2119" s="122">
        <v>2102</v>
      </c>
      <c r="O2119" s="122">
        <v>779</v>
      </c>
      <c r="P2119" s="122">
        <v>621</v>
      </c>
      <c r="Q2119" s="122">
        <v>230</v>
      </c>
      <c r="R2119" s="122">
        <v>3619</v>
      </c>
      <c r="S2119" s="122">
        <v>3290</v>
      </c>
      <c r="T2119" s="122">
        <v>2615</v>
      </c>
      <c r="U2119" s="122">
        <v>969</v>
      </c>
      <c r="V2119" s="122">
        <v>26336</v>
      </c>
      <c r="W2119" s="122">
        <f t="shared" si="66"/>
        <v>26337</v>
      </c>
      <c r="X2119" s="122">
        <f t="shared" si="67"/>
        <v>32133</v>
      </c>
      <c r="AA2119" t="s">
        <v>62</v>
      </c>
      <c r="AB2119" t="s">
        <v>426</v>
      </c>
      <c r="AC2119" t="s">
        <v>580</v>
      </c>
      <c r="AD2119" t="s">
        <v>426</v>
      </c>
      <c r="AE2119" t="s">
        <v>137</v>
      </c>
      <c r="AF2119">
        <v>101</v>
      </c>
      <c r="AG2119" s="122">
        <v>12383</v>
      </c>
      <c r="AH2119" s="122">
        <v>42175</v>
      </c>
      <c r="AI2119" s="122">
        <v>3672761</v>
      </c>
      <c r="AJ2119" s="122">
        <v>3338874</v>
      </c>
      <c r="AK2119">
        <v>61</v>
      </c>
      <c r="AL2119" s="122">
        <v>373181</v>
      </c>
      <c r="AM2119" s="122">
        <v>339255</v>
      </c>
      <c r="AN2119" s="122">
        <v>259027</v>
      </c>
      <c r="AO2119" s="122">
        <v>95936</v>
      </c>
      <c r="AP2119" s="122">
        <v>68742</v>
      </c>
      <c r="AQ2119" s="122">
        <v>25460</v>
      </c>
      <c r="AR2119" s="122">
        <v>550870</v>
      </c>
      <c r="AS2119" s="122">
        <v>500790</v>
      </c>
      <c r="AT2119" s="122">
        <v>272014</v>
      </c>
      <c r="AU2119" s="122">
        <v>100746</v>
      </c>
      <c r="AV2119" s="122">
        <v>4401061</v>
      </c>
    </row>
    <row r="2120" spans="2:48" hidden="1">
      <c r="B2120" t="s">
        <v>377</v>
      </c>
      <c r="C2120" t="s">
        <v>58</v>
      </c>
      <c r="D2120" t="s">
        <v>137</v>
      </c>
      <c r="E2120" t="s">
        <v>137</v>
      </c>
      <c r="F2120" s="122">
        <v>48</v>
      </c>
      <c r="G2120" s="122">
        <v>6954</v>
      </c>
      <c r="H2120" s="122">
        <v>12966</v>
      </c>
      <c r="I2120" s="122">
        <v>1253643</v>
      </c>
      <c r="J2120" s="122">
        <v>464312</v>
      </c>
      <c r="K2120" s="122">
        <v>109</v>
      </c>
      <c r="L2120" s="122">
        <v>171961</v>
      </c>
      <c r="M2120" s="122">
        <v>126131</v>
      </c>
      <c r="N2120" s="122">
        <v>165585</v>
      </c>
      <c r="O2120" s="122">
        <v>61328</v>
      </c>
      <c r="P2120" s="122">
        <v>3078</v>
      </c>
      <c r="Q2120" s="122">
        <v>1140</v>
      </c>
      <c r="R2120" s="122">
        <v>413128</v>
      </c>
      <c r="S2120" s="122">
        <v>153010</v>
      </c>
      <c r="T2120" s="122">
        <v>0</v>
      </c>
      <c r="U2120" s="122">
        <v>0</v>
      </c>
      <c r="V2120" s="122">
        <v>805922</v>
      </c>
      <c r="W2120" s="122">
        <f t="shared" si="66"/>
        <v>805921</v>
      </c>
      <c r="X2120" s="122">
        <f t="shared" si="67"/>
        <v>2007395</v>
      </c>
      <c r="AA2120" t="s">
        <v>62</v>
      </c>
      <c r="AB2120" t="s">
        <v>426</v>
      </c>
      <c r="AC2120" t="s">
        <v>580</v>
      </c>
      <c r="AD2120" t="s">
        <v>426</v>
      </c>
      <c r="AE2120" t="s">
        <v>566</v>
      </c>
      <c r="AF2120">
        <v>7</v>
      </c>
      <c r="AG2120" s="122">
        <v>875</v>
      </c>
      <c r="AH2120" s="122">
        <v>2889</v>
      </c>
      <c r="AI2120" s="122">
        <v>255720</v>
      </c>
      <c r="AJ2120" s="122">
        <v>232473</v>
      </c>
      <c r="AK2120">
        <v>59</v>
      </c>
      <c r="AL2120" s="122">
        <v>26649</v>
      </c>
      <c r="AM2120" s="122">
        <v>24227</v>
      </c>
      <c r="AN2120" s="122">
        <v>18803</v>
      </c>
      <c r="AO2120" s="122">
        <v>6964</v>
      </c>
      <c r="AP2120" s="122">
        <v>5130</v>
      </c>
      <c r="AQ2120" s="122">
        <v>1900</v>
      </c>
      <c r="AR2120" s="122">
        <v>57655</v>
      </c>
      <c r="AS2120" s="122">
        <v>52413</v>
      </c>
      <c r="AT2120" s="122">
        <v>0</v>
      </c>
      <c r="AU2120" s="122">
        <v>0</v>
      </c>
      <c r="AV2120" s="122">
        <v>317977</v>
      </c>
    </row>
    <row r="2121" spans="2:48" hidden="1">
      <c r="B2121" t="s">
        <v>377</v>
      </c>
      <c r="C2121" t="s">
        <v>58</v>
      </c>
      <c r="D2121" t="s">
        <v>406</v>
      </c>
      <c r="E2121" t="s">
        <v>425</v>
      </c>
      <c r="F2121" s="122">
        <v>2</v>
      </c>
      <c r="G2121" s="122">
        <v>281</v>
      </c>
      <c r="H2121" s="122">
        <v>523</v>
      </c>
      <c r="I2121" s="122">
        <v>52847</v>
      </c>
      <c r="J2121" s="122">
        <v>48043</v>
      </c>
      <c r="K2121" s="122">
        <v>75</v>
      </c>
      <c r="L2121" s="122">
        <v>8969</v>
      </c>
      <c r="M2121" s="122">
        <v>8154</v>
      </c>
      <c r="N2121" s="122">
        <v>6923</v>
      </c>
      <c r="O2121" s="122">
        <v>2564</v>
      </c>
      <c r="P2121" s="122">
        <v>1512</v>
      </c>
      <c r="Q2121" s="122">
        <v>560</v>
      </c>
      <c r="R2121" s="122">
        <v>13512</v>
      </c>
      <c r="S2121" s="122">
        <v>12284</v>
      </c>
      <c r="T2121" s="122">
        <v>3410</v>
      </c>
      <c r="U2121" s="122">
        <v>1263</v>
      </c>
      <c r="V2121" s="122">
        <v>72868</v>
      </c>
      <c r="W2121" s="122">
        <f t="shared" si="66"/>
        <v>72868</v>
      </c>
      <c r="X2121" s="122">
        <f t="shared" si="67"/>
        <v>87173</v>
      </c>
      <c r="AA2121" t="s">
        <v>62</v>
      </c>
      <c r="AB2121" t="s">
        <v>426</v>
      </c>
      <c r="AC2121" t="s">
        <v>427</v>
      </c>
      <c r="AD2121" t="s">
        <v>426</v>
      </c>
      <c r="AE2121" t="s">
        <v>137</v>
      </c>
      <c r="AF2121">
        <v>13</v>
      </c>
      <c r="AG2121" s="122">
        <v>1232</v>
      </c>
      <c r="AH2121" s="122">
        <v>5227</v>
      </c>
      <c r="AI2121" s="122">
        <v>299975</v>
      </c>
      <c r="AJ2121" s="122">
        <v>272705</v>
      </c>
      <c r="AK2121">
        <v>53</v>
      </c>
      <c r="AL2121" s="122">
        <v>54959</v>
      </c>
      <c r="AM2121" s="122">
        <v>49963</v>
      </c>
      <c r="AN2121" s="122">
        <v>25785</v>
      </c>
      <c r="AO2121" s="122">
        <v>9550</v>
      </c>
      <c r="AP2121" s="122">
        <v>5373</v>
      </c>
      <c r="AQ2121" s="122">
        <v>1990</v>
      </c>
      <c r="AR2121" s="122">
        <v>75084</v>
      </c>
      <c r="AS2121" s="122">
        <v>68258</v>
      </c>
      <c r="AT2121" s="122">
        <v>32279</v>
      </c>
      <c r="AU2121" s="122">
        <v>11955</v>
      </c>
      <c r="AV2121" s="122">
        <v>414421</v>
      </c>
    </row>
    <row r="2122" spans="2:48" hidden="1">
      <c r="B2122" t="s">
        <v>377</v>
      </c>
      <c r="C2122" t="s">
        <v>58</v>
      </c>
      <c r="D2122" t="s">
        <v>406</v>
      </c>
      <c r="E2122" t="s">
        <v>137</v>
      </c>
      <c r="F2122" s="122">
        <v>8</v>
      </c>
      <c r="G2122" s="122">
        <v>1084</v>
      </c>
      <c r="H2122" s="122">
        <v>2097</v>
      </c>
      <c r="I2122" s="122">
        <v>174433</v>
      </c>
      <c r="J2122" s="122">
        <v>158575</v>
      </c>
      <c r="K2122" s="122">
        <v>77</v>
      </c>
      <c r="L2122" s="122">
        <v>28293</v>
      </c>
      <c r="M2122" s="122">
        <v>23363</v>
      </c>
      <c r="N2122" s="122">
        <v>22490</v>
      </c>
      <c r="O2122" s="122">
        <v>8329</v>
      </c>
      <c r="P2122" s="122">
        <v>5268</v>
      </c>
      <c r="Q2122" s="122">
        <v>1951</v>
      </c>
      <c r="R2122" s="122">
        <v>53598</v>
      </c>
      <c r="S2122" s="122">
        <v>19851</v>
      </c>
      <c r="T2122" s="122">
        <v>0</v>
      </c>
      <c r="U2122" s="122">
        <v>0</v>
      </c>
      <c r="V2122" s="122">
        <v>212070</v>
      </c>
      <c r="W2122" s="122">
        <f t="shared" si="66"/>
        <v>212069</v>
      </c>
      <c r="X2122" s="122">
        <f t="shared" si="67"/>
        <v>284082</v>
      </c>
      <c r="AA2122" t="s">
        <v>62</v>
      </c>
      <c r="AB2122" t="s">
        <v>426</v>
      </c>
      <c r="AC2122" t="s">
        <v>427</v>
      </c>
      <c r="AD2122" t="s">
        <v>426</v>
      </c>
      <c r="AE2122" t="s">
        <v>566</v>
      </c>
      <c r="AF2122">
        <v>4</v>
      </c>
      <c r="AG2122">
        <v>517</v>
      </c>
      <c r="AH2122" s="122">
        <v>1683</v>
      </c>
      <c r="AI2122" s="122">
        <v>139590</v>
      </c>
      <c r="AJ2122" s="122">
        <v>126900</v>
      </c>
      <c r="AK2122">
        <v>51</v>
      </c>
      <c r="AL2122" s="122">
        <v>26480</v>
      </c>
      <c r="AM2122" s="122">
        <v>24073</v>
      </c>
      <c r="AN2122" s="122">
        <v>10153</v>
      </c>
      <c r="AO2122" s="122">
        <v>3760</v>
      </c>
      <c r="AP2122" s="122">
        <v>1053</v>
      </c>
      <c r="AQ2122">
        <v>390</v>
      </c>
      <c r="AR2122" s="122">
        <v>36572</v>
      </c>
      <c r="AS2122" s="122">
        <v>33247</v>
      </c>
      <c r="AT2122" s="122">
        <v>0</v>
      </c>
      <c r="AU2122">
        <v>0</v>
      </c>
      <c r="AV2122" s="122">
        <v>188371</v>
      </c>
    </row>
    <row r="2123" spans="2:48" hidden="1">
      <c r="B2123" t="s">
        <v>377</v>
      </c>
      <c r="C2123" t="s">
        <v>58</v>
      </c>
      <c r="D2123" t="s">
        <v>406</v>
      </c>
      <c r="E2123" t="s">
        <v>406</v>
      </c>
      <c r="F2123" s="122">
        <v>2920</v>
      </c>
      <c r="G2123" s="122">
        <v>364406</v>
      </c>
      <c r="H2123" s="122">
        <v>761283</v>
      </c>
      <c r="I2123" s="122">
        <v>56490536</v>
      </c>
      <c r="J2123" s="122">
        <v>51355033</v>
      </c>
      <c r="K2123" s="122">
        <v>79</v>
      </c>
      <c r="L2123" s="122">
        <v>11062097</v>
      </c>
      <c r="M2123" s="122">
        <v>9878146</v>
      </c>
      <c r="N2123" s="122">
        <v>7725339</v>
      </c>
      <c r="O2123" s="122">
        <v>2861237</v>
      </c>
      <c r="P2123" s="122">
        <v>1944054</v>
      </c>
      <c r="Q2123" s="122">
        <v>720020</v>
      </c>
      <c r="R2123" s="122">
        <v>15190764</v>
      </c>
      <c r="S2123" s="122">
        <v>13809785</v>
      </c>
      <c r="T2123" s="122">
        <v>4728838</v>
      </c>
      <c r="U2123" s="122">
        <v>1751421</v>
      </c>
      <c r="V2123" s="122">
        <v>80375641</v>
      </c>
      <c r="W2123" s="122">
        <f t="shared" si="66"/>
        <v>80375642</v>
      </c>
      <c r="X2123" s="122">
        <f t="shared" si="67"/>
        <v>97141628</v>
      </c>
      <c r="AA2123" t="s">
        <v>62</v>
      </c>
      <c r="AB2123" t="s">
        <v>426</v>
      </c>
      <c r="AC2123" t="s">
        <v>579</v>
      </c>
      <c r="AD2123" t="s">
        <v>426</v>
      </c>
      <c r="AE2123" t="s">
        <v>137</v>
      </c>
      <c r="AF2123">
        <v>1</v>
      </c>
      <c r="AG2123">
        <v>74</v>
      </c>
      <c r="AH2123">
        <v>418</v>
      </c>
      <c r="AI2123" s="122">
        <v>17714</v>
      </c>
      <c r="AJ2123" s="122">
        <v>16104</v>
      </c>
      <c r="AK2123">
        <v>65</v>
      </c>
      <c r="AL2123" s="122">
        <v>4652</v>
      </c>
      <c r="AM2123" s="122">
        <v>3877</v>
      </c>
      <c r="AN2123" s="122">
        <v>1668</v>
      </c>
      <c r="AO2123" s="122">
        <v>618</v>
      </c>
      <c r="AP2123">
        <v>351</v>
      </c>
      <c r="AQ2123">
        <v>130</v>
      </c>
      <c r="AR2123" s="122">
        <v>4199</v>
      </c>
      <c r="AS2123" s="122">
        <v>3818</v>
      </c>
      <c r="AT2123" s="122">
        <v>2213</v>
      </c>
      <c r="AU2123">
        <v>820</v>
      </c>
      <c r="AV2123" s="122">
        <v>25365</v>
      </c>
    </row>
    <row r="2124" spans="2:48" hidden="1">
      <c r="B2124" t="s">
        <v>377</v>
      </c>
      <c r="C2124" t="s">
        <v>58</v>
      </c>
      <c r="D2124" t="s">
        <v>406</v>
      </c>
      <c r="E2124" t="s">
        <v>427</v>
      </c>
      <c r="F2124" s="122">
        <v>1</v>
      </c>
      <c r="G2124" s="122">
        <v>116</v>
      </c>
      <c r="H2124" s="122">
        <v>285</v>
      </c>
      <c r="I2124" s="122">
        <v>18436</v>
      </c>
      <c r="J2124" s="122">
        <v>16760</v>
      </c>
      <c r="K2124" s="122">
        <v>86</v>
      </c>
      <c r="L2124" s="122">
        <v>5544</v>
      </c>
      <c r="M2124" s="122">
        <v>5040</v>
      </c>
      <c r="N2124" s="122">
        <v>2818</v>
      </c>
      <c r="O2124" s="122">
        <v>1044</v>
      </c>
      <c r="P2124" s="122">
        <v>621</v>
      </c>
      <c r="Q2124" s="122">
        <v>230</v>
      </c>
      <c r="R2124" s="122">
        <v>3324</v>
      </c>
      <c r="S2124" s="122">
        <v>3022</v>
      </c>
      <c r="T2124" s="122">
        <v>2177</v>
      </c>
      <c r="U2124" s="122">
        <v>806</v>
      </c>
      <c r="V2124" s="122">
        <v>26902</v>
      </c>
      <c r="W2124" s="122">
        <f t="shared" si="66"/>
        <v>26902</v>
      </c>
      <c r="X2124" s="122">
        <f t="shared" si="67"/>
        <v>32920</v>
      </c>
      <c r="AA2124" t="s">
        <v>62</v>
      </c>
      <c r="AB2124" t="s">
        <v>426</v>
      </c>
      <c r="AC2124" t="s">
        <v>428</v>
      </c>
      <c r="AD2124" t="s">
        <v>426</v>
      </c>
      <c r="AE2124" t="s">
        <v>137</v>
      </c>
      <c r="AF2124">
        <v>1</v>
      </c>
      <c r="AG2124">
        <v>168</v>
      </c>
      <c r="AH2124">
        <v>407</v>
      </c>
      <c r="AI2124" s="122">
        <v>40843</v>
      </c>
      <c r="AJ2124" s="122">
        <v>37130</v>
      </c>
      <c r="AK2124">
        <v>45</v>
      </c>
      <c r="AL2124" s="122">
        <v>6807</v>
      </c>
      <c r="AM2124" s="122">
        <v>6188</v>
      </c>
      <c r="AN2124" s="122">
        <v>3889</v>
      </c>
      <c r="AO2124" s="122">
        <v>1440</v>
      </c>
      <c r="AP2124">
        <v>351</v>
      </c>
      <c r="AQ2124">
        <v>130</v>
      </c>
      <c r="AR2124" s="122">
        <v>16412</v>
      </c>
      <c r="AS2124" s="122">
        <v>14920</v>
      </c>
      <c r="AT2124" s="122">
        <v>0</v>
      </c>
      <c r="AU2124" s="122">
        <v>0</v>
      </c>
      <c r="AV2124" s="122">
        <v>59809</v>
      </c>
    </row>
    <row r="2125" spans="2:48" hidden="1">
      <c r="B2125" t="s">
        <v>377</v>
      </c>
      <c r="C2125" t="s">
        <v>58</v>
      </c>
      <c r="D2125" t="s">
        <v>406</v>
      </c>
      <c r="E2125" t="s">
        <v>428</v>
      </c>
      <c r="F2125" s="122">
        <v>1</v>
      </c>
      <c r="G2125" s="122">
        <v>167</v>
      </c>
      <c r="H2125" s="122">
        <v>234</v>
      </c>
      <c r="I2125" s="122">
        <v>21365</v>
      </c>
      <c r="J2125" s="122">
        <v>19423</v>
      </c>
      <c r="K2125" s="122">
        <v>95</v>
      </c>
      <c r="L2125" s="122">
        <v>3889</v>
      </c>
      <c r="M2125" s="122">
        <v>3535</v>
      </c>
      <c r="N2125" s="122">
        <v>3550</v>
      </c>
      <c r="O2125" s="122">
        <v>1315</v>
      </c>
      <c r="P2125" s="122">
        <v>351</v>
      </c>
      <c r="Q2125" s="122">
        <v>130</v>
      </c>
      <c r="R2125" s="122">
        <v>6795</v>
      </c>
      <c r="S2125" s="122">
        <v>6177</v>
      </c>
      <c r="T2125" s="122">
        <v>3205</v>
      </c>
      <c r="U2125" s="122">
        <v>1187</v>
      </c>
      <c r="V2125" s="122">
        <v>31767</v>
      </c>
      <c r="W2125" s="122">
        <f t="shared" si="66"/>
        <v>31767</v>
      </c>
      <c r="X2125" s="122">
        <f t="shared" si="67"/>
        <v>39155</v>
      </c>
      <c r="AA2125" t="s">
        <v>62</v>
      </c>
      <c r="AB2125" t="s">
        <v>426</v>
      </c>
      <c r="AC2125" t="s">
        <v>431</v>
      </c>
      <c r="AD2125" t="s">
        <v>426</v>
      </c>
      <c r="AE2125" t="s">
        <v>137</v>
      </c>
      <c r="AF2125">
        <v>1</v>
      </c>
      <c r="AG2125">
        <v>123</v>
      </c>
      <c r="AH2125" s="122">
        <v>409</v>
      </c>
      <c r="AI2125" s="122">
        <v>43435</v>
      </c>
      <c r="AJ2125" s="122">
        <v>39486</v>
      </c>
      <c r="AK2125">
        <v>60</v>
      </c>
      <c r="AL2125" s="122">
        <v>9652</v>
      </c>
      <c r="AM2125" s="122">
        <v>8775</v>
      </c>
      <c r="AN2125" s="122">
        <v>3916</v>
      </c>
      <c r="AO2125" s="122">
        <v>1450</v>
      </c>
      <c r="AP2125" s="122">
        <v>621</v>
      </c>
      <c r="AQ2125">
        <v>230</v>
      </c>
      <c r="AR2125" s="122">
        <v>6899</v>
      </c>
      <c r="AS2125" s="122">
        <v>6272</v>
      </c>
      <c r="AT2125" s="122">
        <v>3918</v>
      </c>
      <c r="AU2125" s="122">
        <v>1451</v>
      </c>
      <c r="AV2125" s="122">
        <v>57664</v>
      </c>
    </row>
    <row r="2126" spans="2:48" hidden="1">
      <c r="B2126" t="s">
        <v>377</v>
      </c>
      <c r="C2126" t="s">
        <v>58</v>
      </c>
      <c r="D2126" t="s">
        <v>406</v>
      </c>
      <c r="E2126" t="s">
        <v>431</v>
      </c>
      <c r="F2126" s="122">
        <v>2</v>
      </c>
      <c r="G2126" s="122">
        <v>192</v>
      </c>
      <c r="H2126" s="122">
        <v>545</v>
      </c>
      <c r="I2126" s="122">
        <v>25323</v>
      </c>
      <c r="J2126" s="122">
        <v>23021</v>
      </c>
      <c r="K2126" s="122">
        <v>85</v>
      </c>
      <c r="L2126" s="122">
        <v>5070</v>
      </c>
      <c r="M2126" s="122">
        <v>4609</v>
      </c>
      <c r="N2126" s="122">
        <v>3448</v>
      </c>
      <c r="O2126" s="122">
        <v>1277</v>
      </c>
      <c r="P2126" s="122">
        <v>1323</v>
      </c>
      <c r="Q2126" s="122">
        <v>490</v>
      </c>
      <c r="R2126" s="122">
        <v>11706</v>
      </c>
      <c r="S2126" s="122">
        <v>10641</v>
      </c>
      <c r="T2126" s="122">
        <v>5099</v>
      </c>
      <c r="U2126" s="122">
        <v>1889</v>
      </c>
      <c r="V2126" s="122">
        <v>41927</v>
      </c>
      <c r="W2126" s="122">
        <f t="shared" si="66"/>
        <v>41927</v>
      </c>
      <c r="X2126" s="122">
        <f t="shared" si="67"/>
        <v>51969</v>
      </c>
      <c r="AA2126" t="s">
        <v>62</v>
      </c>
      <c r="AB2126" t="s">
        <v>426</v>
      </c>
      <c r="AC2126" t="s">
        <v>426</v>
      </c>
      <c r="AD2126" t="s">
        <v>137</v>
      </c>
      <c r="AE2126" t="s">
        <v>137</v>
      </c>
      <c r="AF2126">
        <v>3</v>
      </c>
      <c r="AG2126" s="122">
        <v>428</v>
      </c>
      <c r="AH2126" s="122">
        <v>1279</v>
      </c>
      <c r="AI2126" s="122">
        <v>104311</v>
      </c>
      <c r="AJ2126" s="122">
        <v>94828</v>
      </c>
      <c r="AK2126">
        <v>52</v>
      </c>
      <c r="AL2126" s="122">
        <v>15201</v>
      </c>
      <c r="AM2126" s="122">
        <v>13819</v>
      </c>
      <c r="AN2126" s="122">
        <v>7505</v>
      </c>
      <c r="AO2126" s="122">
        <v>2780</v>
      </c>
      <c r="AP2126" s="122">
        <v>1053</v>
      </c>
      <c r="AQ2126">
        <v>390</v>
      </c>
      <c r="AR2126" s="122">
        <v>44758</v>
      </c>
      <c r="AS2126" s="122">
        <v>16577</v>
      </c>
      <c r="AT2126" s="122">
        <v>9657</v>
      </c>
      <c r="AU2126" s="122">
        <v>3577</v>
      </c>
      <c r="AV2126" s="122">
        <v>131971</v>
      </c>
    </row>
    <row r="2127" spans="2:48" hidden="1">
      <c r="B2127" t="s">
        <v>377</v>
      </c>
      <c r="C2127" t="s">
        <v>58</v>
      </c>
      <c r="D2127" t="s">
        <v>406</v>
      </c>
      <c r="E2127" t="s">
        <v>426</v>
      </c>
      <c r="F2127" s="122">
        <v>3</v>
      </c>
      <c r="G2127" s="122">
        <v>459</v>
      </c>
      <c r="H2127" s="122">
        <v>804</v>
      </c>
      <c r="I2127" s="122">
        <v>74398</v>
      </c>
      <c r="J2127" s="122">
        <v>67634</v>
      </c>
      <c r="K2127" s="122">
        <v>70</v>
      </c>
      <c r="L2127" s="122">
        <v>12231</v>
      </c>
      <c r="M2127" s="122">
        <v>11119</v>
      </c>
      <c r="N2127" s="122">
        <v>10112</v>
      </c>
      <c r="O2127" s="122">
        <v>3745</v>
      </c>
      <c r="P2127" s="122">
        <v>2214</v>
      </c>
      <c r="Q2127" s="122">
        <v>820</v>
      </c>
      <c r="R2127" s="122">
        <v>19678</v>
      </c>
      <c r="S2127" s="122">
        <v>17889</v>
      </c>
      <c r="T2127" s="122">
        <v>5860</v>
      </c>
      <c r="U2127" s="122">
        <v>2170</v>
      </c>
      <c r="V2127" s="122">
        <v>103377</v>
      </c>
      <c r="W2127" s="122">
        <f t="shared" si="66"/>
        <v>103377</v>
      </c>
      <c r="X2127" s="122">
        <f t="shared" si="67"/>
        <v>124493</v>
      </c>
      <c r="AA2127" t="s">
        <v>62</v>
      </c>
      <c r="AB2127" t="s">
        <v>426</v>
      </c>
      <c r="AC2127" t="s">
        <v>426</v>
      </c>
      <c r="AD2127" t="s">
        <v>137</v>
      </c>
      <c r="AE2127" t="s">
        <v>566</v>
      </c>
      <c r="AF2127">
        <v>11</v>
      </c>
      <c r="AG2127" s="122">
        <v>1237</v>
      </c>
      <c r="AH2127" s="122">
        <v>4627</v>
      </c>
      <c r="AI2127" s="122">
        <v>363719</v>
      </c>
      <c r="AJ2127" s="122">
        <v>330654</v>
      </c>
      <c r="AK2127">
        <v>52</v>
      </c>
      <c r="AL2127" s="122">
        <v>47436</v>
      </c>
      <c r="AM2127" s="122">
        <v>43124</v>
      </c>
      <c r="AN2127" s="122">
        <v>24368</v>
      </c>
      <c r="AO2127" s="122">
        <v>9025</v>
      </c>
      <c r="AP2127" s="122">
        <v>2457</v>
      </c>
      <c r="AQ2127">
        <v>910</v>
      </c>
      <c r="AR2127" s="122">
        <v>84462</v>
      </c>
      <c r="AS2127" s="122">
        <v>31282</v>
      </c>
      <c r="AT2127" s="122">
        <v>0</v>
      </c>
      <c r="AU2127" s="122">
        <v>0</v>
      </c>
      <c r="AV2127" s="122">
        <v>414995</v>
      </c>
    </row>
    <row r="2128" spans="2:48" hidden="1">
      <c r="B2128" t="s">
        <v>377</v>
      </c>
      <c r="C2128" t="s">
        <v>58</v>
      </c>
      <c r="D2128" t="s">
        <v>406</v>
      </c>
      <c r="E2128" t="s">
        <v>433</v>
      </c>
      <c r="F2128" s="122">
        <v>1</v>
      </c>
      <c r="G2128" s="122">
        <v>112</v>
      </c>
      <c r="H2128" s="122">
        <v>254</v>
      </c>
      <c r="I2128" s="122">
        <v>15252</v>
      </c>
      <c r="J2128" s="122">
        <v>13866</v>
      </c>
      <c r="K2128" s="122">
        <v>86</v>
      </c>
      <c r="L2128" s="122">
        <v>3058</v>
      </c>
      <c r="M2128" s="122">
        <v>2780</v>
      </c>
      <c r="N2128" s="122">
        <v>2537</v>
      </c>
      <c r="O2128" s="122">
        <v>940</v>
      </c>
      <c r="P2128" s="122">
        <v>972</v>
      </c>
      <c r="Q2128" s="122">
        <v>360</v>
      </c>
      <c r="R2128" s="122">
        <v>3867</v>
      </c>
      <c r="S2128" s="122">
        <v>3516</v>
      </c>
      <c r="T2128" s="122">
        <v>2711</v>
      </c>
      <c r="U2128" s="122">
        <v>1004</v>
      </c>
      <c r="V2128" s="122">
        <v>22465</v>
      </c>
      <c r="W2128" s="122">
        <f t="shared" si="66"/>
        <v>22466</v>
      </c>
      <c r="X2128" s="122">
        <f t="shared" si="67"/>
        <v>28397</v>
      </c>
      <c r="AA2128" t="s">
        <v>62</v>
      </c>
      <c r="AB2128" t="s">
        <v>426</v>
      </c>
      <c r="AC2128" t="s">
        <v>426</v>
      </c>
      <c r="AD2128" t="s">
        <v>406</v>
      </c>
      <c r="AE2128" t="s">
        <v>137</v>
      </c>
      <c r="AF2128" s="122">
        <v>3</v>
      </c>
      <c r="AG2128" s="122">
        <v>292</v>
      </c>
      <c r="AH2128" s="122">
        <v>1283</v>
      </c>
      <c r="AI2128" s="122">
        <v>74532</v>
      </c>
      <c r="AJ2128" s="122">
        <v>67756</v>
      </c>
      <c r="AK2128">
        <v>45</v>
      </c>
      <c r="AL2128" s="122">
        <v>12113</v>
      </c>
      <c r="AM2128" s="122">
        <v>11011</v>
      </c>
      <c r="AN2128" s="122">
        <v>5842</v>
      </c>
      <c r="AO2128" s="122">
        <v>2164</v>
      </c>
      <c r="AP2128" s="122">
        <v>1323</v>
      </c>
      <c r="AQ2128" s="122">
        <v>490</v>
      </c>
      <c r="AR2128" s="122">
        <v>22336</v>
      </c>
      <c r="AS2128" s="122">
        <v>20305</v>
      </c>
      <c r="AT2128" s="122">
        <v>8661</v>
      </c>
      <c r="AU2128" s="122">
        <v>3208</v>
      </c>
      <c r="AV2128" s="122">
        <v>104935</v>
      </c>
    </row>
    <row r="2129" spans="2:48" hidden="1">
      <c r="B2129" t="s">
        <v>377</v>
      </c>
      <c r="C2129" t="s">
        <v>58</v>
      </c>
      <c r="D2129" t="s">
        <v>427</v>
      </c>
      <c r="E2129" t="s">
        <v>555</v>
      </c>
      <c r="F2129" s="122">
        <v>1</v>
      </c>
      <c r="G2129" s="122">
        <v>105</v>
      </c>
      <c r="H2129" s="122">
        <v>291</v>
      </c>
      <c r="I2129" s="122">
        <v>16854</v>
      </c>
      <c r="J2129" s="122">
        <v>15321</v>
      </c>
      <c r="K2129" s="122">
        <v>65</v>
      </c>
      <c r="L2129" s="122">
        <v>4057</v>
      </c>
      <c r="M2129" s="122">
        <v>3689</v>
      </c>
      <c r="N2129" s="122">
        <v>2143</v>
      </c>
      <c r="O2129" s="122">
        <v>794</v>
      </c>
      <c r="P2129" s="122">
        <v>351</v>
      </c>
      <c r="Q2129" s="122">
        <v>130</v>
      </c>
      <c r="R2129" s="122">
        <v>4548</v>
      </c>
      <c r="S2129" s="122">
        <v>4134</v>
      </c>
      <c r="T2129" s="122">
        <v>2487</v>
      </c>
      <c r="U2129" s="122">
        <v>921</v>
      </c>
      <c r="V2129" s="122">
        <v>24989</v>
      </c>
      <c r="W2129" s="122">
        <f t="shared" si="66"/>
        <v>24989</v>
      </c>
      <c r="X2129" s="122">
        <f t="shared" si="67"/>
        <v>30440</v>
      </c>
      <c r="AA2129" t="s">
        <v>62</v>
      </c>
      <c r="AB2129" t="s">
        <v>426</v>
      </c>
      <c r="AC2129" t="s">
        <v>426</v>
      </c>
      <c r="AD2129" t="s">
        <v>426</v>
      </c>
      <c r="AE2129" t="s">
        <v>137</v>
      </c>
      <c r="AF2129" s="122">
        <v>1113</v>
      </c>
      <c r="AG2129" s="122">
        <v>110561</v>
      </c>
      <c r="AH2129" s="122">
        <v>462526</v>
      </c>
      <c r="AI2129" s="122">
        <v>29353031</v>
      </c>
      <c r="AJ2129" s="122">
        <v>26684573</v>
      </c>
      <c r="AK2129">
        <v>51</v>
      </c>
      <c r="AL2129" s="122">
        <v>4769506</v>
      </c>
      <c r="AM2129" s="122">
        <v>4335914</v>
      </c>
      <c r="AN2129" s="122">
        <v>2239869</v>
      </c>
      <c r="AO2129" s="122">
        <v>829581</v>
      </c>
      <c r="AP2129" s="122">
        <v>397832</v>
      </c>
      <c r="AQ2129" s="122">
        <v>147345</v>
      </c>
      <c r="AR2129" s="122">
        <v>6815433</v>
      </c>
      <c r="AS2129" s="122">
        <v>6195848</v>
      </c>
      <c r="AT2129" s="122">
        <v>2802660</v>
      </c>
      <c r="AU2129" s="122">
        <v>1038022</v>
      </c>
      <c r="AV2129" s="122">
        <v>39231284</v>
      </c>
    </row>
    <row r="2130" spans="2:48" hidden="1">
      <c r="B2130" t="s">
        <v>377</v>
      </c>
      <c r="C2130" t="s">
        <v>58</v>
      </c>
      <c r="D2130" t="s">
        <v>427</v>
      </c>
      <c r="E2130" t="s">
        <v>137</v>
      </c>
      <c r="F2130" s="122">
        <v>1</v>
      </c>
      <c r="G2130" s="122">
        <v>55</v>
      </c>
      <c r="H2130" s="122">
        <v>261</v>
      </c>
      <c r="I2130" s="122">
        <v>8542</v>
      </c>
      <c r="J2130" s="122">
        <v>7765</v>
      </c>
      <c r="K2130" s="122">
        <v>79</v>
      </c>
      <c r="L2130" s="122">
        <v>1701</v>
      </c>
      <c r="M2130" s="122">
        <v>630</v>
      </c>
      <c r="N2130" s="122">
        <v>674</v>
      </c>
      <c r="O2130" s="122">
        <v>250</v>
      </c>
      <c r="P2130" s="122">
        <v>0</v>
      </c>
      <c r="Q2130" s="122">
        <v>0</v>
      </c>
      <c r="R2130" s="122">
        <v>3550</v>
      </c>
      <c r="S2130" s="122">
        <v>1315</v>
      </c>
      <c r="T2130" s="122">
        <v>0</v>
      </c>
      <c r="U2130" s="122">
        <v>0</v>
      </c>
      <c r="V2130" s="122">
        <v>9959</v>
      </c>
      <c r="W2130" s="122">
        <f t="shared" si="66"/>
        <v>9960</v>
      </c>
      <c r="X2130" s="122">
        <f t="shared" si="67"/>
        <v>14467</v>
      </c>
      <c r="AA2130" t="s">
        <v>62</v>
      </c>
      <c r="AB2130" t="s">
        <v>426</v>
      </c>
      <c r="AC2130" t="s">
        <v>426</v>
      </c>
      <c r="AD2130" t="s">
        <v>426</v>
      </c>
      <c r="AE2130" t="s">
        <v>566</v>
      </c>
      <c r="AF2130">
        <v>109</v>
      </c>
      <c r="AG2130" s="122">
        <v>11378</v>
      </c>
      <c r="AH2130" s="122">
        <v>45351</v>
      </c>
      <c r="AI2130" s="122">
        <v>3025645</v>
      </c>
      <c r="AJ2130" s="122">
        <v>2750586</v>
      </c>
      <c r="AK2130">
        <v>54</v>
      </c>
      <c r="AL2130" s="122">
        <v>499402</v>
      </c>
      <c r="AM2130" s="122">
        <v>454001</v>
      </c>
      <c r="AN2130" s="122">
        <v>224744</v>
      </c>
      <c r="AO2130" s="122">
        <v>83239</v>
      </c>
      <c r="AP2130" s="122">
        <v>40008</v>
      </c>
      <c r="AQ2130" s="122">
        <v>14818</v>
      </c>
      <c r="AR2130" s="122">
        <v>965736</v>
      </c>
      <c r="AS2130" s="122">
        <v>877942</v>
      </c>
      <c r="AT2130" s="122">
        <v>0</v>
      </c>
      <c r="AU2130" s="122">
        <v>0</v>
      </c>
      <c r="AV2130" s="122">
        <v>4180586</v>
      </c>
    </row>
    <row r="2131" spans="2:48" hidden="1">
      <c r="B2131" t="s">
        <v>377</v>
      </c>
      <c r="C2131" t="s">
        <v>58</v>
      </c>
      <c r="D2131" t="s">
        <v>427</v>
      </c>
      <c r="E2131" t="s">
        <v>406</v>
      </c>
      <c r="F2131" s="122">
        <v>2</v>
      </c>
      <c r="G2131" s="122">
        <v>316</v>
      </c>
      <c r="H2131" s="122">
        <v>549</v>
      </c>
      <c r="I2131" s="122">
        <v>63350</v>
      </c>
      <c r="J2131" s="122">
        <v>57591</v>
      </c>
      <c r="K2131" s="122">
        <v>75</v>
      </c>
      <c r="L2131" s="122">
        <v>2644</v>
      </c>
      <c r="M2131" s="122">
        <v>2404</v>
      </c>
      <c r="N2131" s="122">
        <v>7459</v>
      </c>
      <c r="O2131" s="122">
        <v>2762</v>
      </c>
      <c r="P2131" s="122">
        <v>972</v>
      </c>
      <c r="Q2131" s="122">
        <v>360</v>
      </c>
      <c r="R2131" s="122">
        <v>11219</v>
      </c>
      <c r="S2131" s="122">
        <v>10199</v>
      </c>
      <c r="T2131" s="122">
        <v>2126</v>
      </c>
      <c r="U2131" s="122">
        <v>787</v>
      </c>
      <c r="V2131" s="122">
        <v>74103</v>
      </c>
      <c r="W2131" s="122">
        <f t="shared" si="66"/>
        <v>74103</v>
      </c>
      <c r="X2131" s="122">
        <f t="shared" si="67"/>
        <v>87770</v>
      </c>
      <c r="AA2131" t="s">
        <v>62</v>
      </c>
      <c r="AB2131" t="s">
        <v>426</v>
      </c>
      <c r="AC2131" t="s">
        <v>426</v>
      </c>
      <c r="AD2131" t="s">
        <v>481</v>
      </c>
      <c r="AE2131" t="s">
        <v>137</v>
      </c>
      <c r="AF2131">
        <v>1</v>
      </c>
      <c r="AG2131">
        <v>106</v>
      </c>
      <c r="AH2131" s="122">
        <v>393</v>
      </c>
      <c r="AI2131" s="122">
        <v>23307</v>
      </c>
      <c r="AJ2131" s="122">
        <v>21188</v>
      </c>
      <c r="AK2131">
        <v>65</v>
      </c>
      <c r="AL2131" s="122">
        <v>5611</v>
      </c>
      <c r="AM2131" s="122">
        <v>5101</v>
      </c>
      <c r="AN2131" s="122">
        <v>1293</v>
      </c>
      <c r="AO2131" s="122">
        <v>479</v>
      </c>
      <c r="AP2131" s="122">
        <v>351</v>
      </c>
      <c r="AQ2131">
        <v>130</v>
      </c>
      <c r="AR2131" s="122">
        <v>6431</v>
      </c>
      <c r="AS2131" s="122">
        <v>5846</v>
      </c>
      <c r="AT2131" s="122">
        <v>4733</v>
      </c>
      <c r="AU2131" s="122">
        <v>1753</v>
      </c>
      <c r="AV2131" s="122">
        <v>34497</v>
      </c>
    </row>
    <row r="2132" spans="2:48" hidden="1">
      <c r="B2132" t="s">
        <v>377</v>
      </c>
      <c r="C2132" t="s">
        <v>58</v>
      </c>
      <c r="D2132" t="s">
        <v>407</v>
      </c>
      <c r="E2132" t="s">
        <v>407</v>
      </c>
      <c r="F2132" s="122">
        <v>12</v>
      </c>
      <c r="G2132" s="122">
        <v>1510</v>
      </c>
      <c r="H2132" s="122">
        <v>3049</v>
      </c>
      <c r="I2132" s="122">
        <v>236915</v>
      </c>
      <c r="J2132" s="122">
        <v>215378</v>
      </c>
      <c r="K2132" s="122">
        <v>85</v>
      </c>
      <c r="L2132" s="122">
        <v>44467</v>
      </c>
      <c r="M2132" s="122">
        <v>40424</v>
      </c>
      <c r="N2132" s="122">
        <v>33052</v>
      </c>
      <c r="O2132" s="122">
        <v>12241</v>
      </c>
      <c r="P2132" s="122">
        <v>5670</v>
      </c>
      <c r="Q2132" s="122">
        <v>2100</v>
      </c>
      <c r="R2132" s="122">
        <v>50174</v>
      </c>
      <c r="S2132" s="122">
        <v>45612</v>
      </c>
      <c r="T2132" s="122">
        <v>12484</v>
      </c>
      <c r="U2132" s="122">
        <v>4624</v>
      </c>
      <c r="V2132" s="122">
        <v>320379</v>
      </c>
      <c r="W2132" s="122">
        <f t="shared" si="66"/>
        <v>320379</v>
      </c>
      <c r="X2132" s="122">
        <f t="shared" si="67"/>
        <v>382762</v>
      </c>
      <c r="AA2132" t="s">
        <v>62</v>
      </c>
      <c r="AB2132" t="s">
        <v>426</v>
      </c>
      <c r="AC2132" t="s">
        <v>566</v>
      </c>
      <c r="AD2132" t="s">
        <v>137</v>
      </c>
      <c r="AE2132" t="s">
        <v>566</v>
      </c>
      <c r="AF2132">
        <v>7</v>
      </c>
      <c r="AG2132">
        <v>765</v>
      </c>
      <c r="AH2132" s="122">
        <v>2931</v>
      </c>
      <c r="AI2132" s="122">
        <v>237532</v>
      </c>
      <c r="AJ2132" s="122">
        <v>215938</v>
      </c>
      <c r="AK2132">
        <v>63</v>
      </c>
      <c r="AL2132">
        <v>0</v>
      </c>
      <c r="AM2132">
        <v>0</v>
      </c>
      <c r="AN2132" s="122">
        <v>15045</v>
      </c>
      <c r="AO2132" s="122">
        <v>5572</v>
      </c>
      <c r="AP2132" s="122">
        <v>1755</v>
      </c>
      <c r="AQ2132">
        <v>650</v>
      </c>
      <c r="AR2132" s="122">
        <v>67787</v>
      </c>
      <c r="AS2132" s="122">
        <v>25106</v>
      </c>
      <c r="AT2132" s="122">
        <v>0</v>
      </c>
      <c r="AU2132">
        <v>0</v>
      </c>
      <c r="AV2132" s="122">
        <v>247266</v>
      </c>
    </row>
    <row r="2133" spans="2:48" hidden="1">
      <c r="B2133" t="s">
        <v>377</v>
      </c>
      <c r="C2133" t="s">
        <v>58</v>
      </c>
      <c r="D2133" t="s">
        <v>556</v>
      </c>
      <c r="E2133" t="s">
        <v>556</v>
      </c>
      <c r="F2133" s="122">
        <v>1</v>
      </c>
      <c r="G2133" s="122">
        <v>108</v>
      </c>
      <c r="H2133" s="122">
        <v>285</v>
      </c>
      <c r="I2133" s="122">
        <v>15405</v>
      </c>
      <c r="J2133" s="122">
        <v>12837</v>
      </c>
      <c r="K2133" s="122">
        <v>65</v>
      </c>
      <c r="L2133" s="122">
        <v>3526</v>
      </c>
      <c r="M2133" s="122">
        <v>2938</v>
      </c>
      <c r="N2133" s="122">
        <v>2636</v>
      </c>
      <c r="O2133" s="122">
        <v>976</v>
      </c>
      <c r="P2133" s="122">
        <v>351</v>
      </c>
      <c r="Q2133" s="122">
        <v>130</v>
      </c>
      <c r="R2133" s="122">
        <v>5937</v>
      </c>
      <c r="S2133" s="122">
        <v>4947</v>
      </c>
      <c r="T2133" s="122">
        <v>2976</v>
      </c>
      <c r="U2133" s="122">
        <v>1102</v>
      </c>
      <c r="V2133" s="122">
        <v>22931</v>
      </c>
      <c r="W2133" s="122">
        <f t="shared" si="66"/>
        <v>22930</v>
      </c>
      <c r="X2133" s="122">
        <f t="shared" si="67"/>
        <v>30831</v>
      </c>
      <c r="AA2133" t="s">
        <v>62</v>
      </c>
      <c r="AB2133" t="s">
        <v>426</v>
      </c>
      <c r="AC2133" t="s">
        <v>566</v>
      </c>
      <c r="AD2133" t="s">
        <v>406</v>
      </c>
      <c r="AE2133" t="s">
        <v>137</v>
      </c>
      <c r="AF2133">
        <v>1</v>
      </c>
      <c r="AG2133" s="122">
        <v>98</v>
      </c>
      <c r="AH2133" s="122">
        <v>436</v>
      </c>
      <c r="AI2133" s="122">
        <v>34614</v>
      </c>
      <c r="AJ2133" s="122">
        <v>31467</v>
      </c>
      <c r="AK2133">
        <v>60</v>
      </c>
      <c r="AL2133">
        <v>0</v>
      </c>
      <c r="AM2133" s="122">
        <v>0</v>
      </c>
      <c r="AN2133" s="122">
        <v>1192</v>
      </c>
      <c r="AO2133" s="122">
        <v>441</v>
      </c>
      <c r="AP2133" s="122">
        <v>702</v>
      </c>
      <c r="AQ2133" s="122">
        <v>260</v>
      </c>
      <c r="AR2133" s="122">
        <v>4192</v>
      </c>
      <c r="AS2133" s="122">
        <v>3811</v>
      </c>
      <c r="AT2133" s="122">
        <v>1954</v>
      </c>
      <c r="AU2133" s="122">
        <v>724</v>
      </c>
      <c r="AV2133" s="122">
        <v>36704</v>
      </c>
    </row>
    <row r="2134" spans="2:48" hidden="1">
      <c r="B2134" t="s">
        <v>377</v>
      </c>
      <c r="C2134" t="s">
        <v>58</v>
      </c>
      <c r="D2134" t="s">
        <v>428</v>
      </c>
      <c r="E2134" t="s">
        <v>428</v>
      </c>
      <c r="F2134" s="122">
        <v>2</v>
      </c>
      <c r="G2134" s="122">
        <v>323</v>
      </c>
      <c r="H2134" s="122">
        <v>555</v>
      </c>
      <c r="I2134" s="122">
        <v>60419</v>
      </c>
      <c r="J2134" s="122">
        <v>54926</v>
      </c>
      <c r="K2134" s="122">
        <v>68</v>
      </c>
      <c r="L2134" s="122">
        <v>11994</v>
      </c>
      <c r="M2134" s="122">
        <v>10903</v>
      </c>
      <c r="N2134" s="122">
        <v>7523</v>
      </c>
      <c r="O2134" s="122">
        <v>2786</v>
      </c>
      <c r="P2134" s="122">
        <v>1053</v>
      </c>
      <c r="Q2134" s="122">
        <v>390</v>
      </c>
      <c r="R2134" s="122">
        <v>10291</v>
      </c>
      <c r="S2134" s="122">
        <v>9355</v>
      </c>
      <c r="T2134" s="122">
        <v>6730</v>
      </c>
      <c r="U2134" s="122">
        <v>2493</v>
      </c>
      <c r="V2134" s="122">
        <v>80854</v>
      </c>
      <c r="W2134" s="122">
        <f t="shared" si="66"/>
        <v>80853</v>
      </c>
      <c r="X2134" s="122">
        <f t="shared" si="67"/>
        <v>98010</v>
      </c>
      <c r="AA2134" t="s">
        <v>62</v>
      </c>
      <c r="AB2134" t="s">
        <v>426</v>
      </c>
      <c r="AC2134" t="s">
        <v>566</v>
      </c>
      <c r="AD2134" t="s">
        <v>426</v>
      </c>
      <c r="AE2134" t="s">
        <v>137</v>
      </c>
      <c r="AF2134">
        <v>211</v>
      </c>
      <c r="AG2134" s="122">
        <v>16720</v>
      </c>
      <c r="AH2134" s="122">
        <v>87619</v>
      </c>
      <c r="AI2134" s="122">
        <v>5056829</v>
      </c>
      <c r="AJ2134" s="122">
        <v>4597117</v>
      </c>
      <c r="AK2134">
        <v>56</v>
      </c>
      <c r="AL2134">
        <v>0</v>
      </c>
      <c r="AM2134" s="122">
        <v>42867</v>
      </c>
      <c r="AN2134" s="122">
        <v>345628</v>
      </c>
      <c r="AO2134" s="122">
        <v>128010</v>
      </c>
      <c r="AP2134" s="122">
        <v>76410</v>
      </c>
      <c r="AQ2134" s="122">
        <v>28300</v>
      </c>
      <c r="AR2134" s="122">
        <v>1052892</v>
      </c>
      <c r="AS2134" s="122">
        <v>957175</v>
      </c>
      <c r="AT2134" s="122">
        <v>470750</v>
      </c>
      <c r="AU2134" s="122">
        <v>174352</v>
      </c>
      <c r="AV2134" s="122">
        <v>5927821</v>
      </c>
    </row>
    <row r="2135" spans="2:48" hidden="1">
      <c r="B2135" t="s">
        <v>377</v>
      </c>
      <c r="C2135" t="s">
        <v>58</v>
      </c>
      <c r="D2135" t="s">
        <v>431</v>
      </c>
      <c r="E2135" t="s">
        <v>406</v>
      </c>
      <c r="F2135" s="122">
        <v>1</v>
      </c>
      <c r="G2135" s="122">
        <v>123</v>
      </c>
      <c r="H2135" s="122">
        <v>254</v>
      </c>
      <c r="I2135" s="122">
        <v>21947</v>
      </c>
      <c r="J2135" s="122">
        <v>19952</v>
      </c>
      <c r="K2135" s="122">
        <v>65</v>
      </c>
      <c r="L2135" s="122">
        <v>2006</v>
      </c>
      <c r="M2135" s="122">
        <v>1824</v>
      </c>
      <c r="N2135" s="122">
        <v>2163</v>
      </c>
      <c r="O2135" s="122">
        <v>801</v>
      </c>
      <c r="P2135" s="122">
        <v>621</v>
      </c>
      <c r="Q2135" s="122">
        <v>230</v>
      </c>
      <c r="R2135" s="122">
        <v>4627</v>
      </c>
      <c r="S2135" s="122">
        <v>4206</v>
      </c>
      <c r="T2135" s="122">
        <v>0</v>
      </c>
      <c r="U2135" s="122">
        <v>0</v>
      </c>
      <c r="V2135" s="122">
        <v>27013</v>
      </c>
      <c r="W2135" s="122">
        <f t="shared" si="66"/>
        <v>27013</v>
      </c>
      <c r="X2135" s="122">
        <f t="shared" si="67"/>
        <v>31364</v>
      </c>
      <c r="AA2135" t="s">
        <v>62</v>
      </c>
      <c r="AB2135" t="s">
        <v>426</v>
      </c>
      <c r="AC2135" t="s">
        <v>566</v>
      </c>
      <c r="AD2135" t="s">
        <v>426</v>
      </c>
      <c r="AE2135" t="s">
        <v>566</v>
      </c>
      <c r="AF2135">
        <v>11</v>
      </c>
      <c r="AG2135">
        <v>882</v>
      </c>
      <c r="AH2135" s="122">
        <v>4568</v>
      </c>
      <c r="AI2135" s="122">
        <v>278728</v>
      </c>
      <c r="AJ2135" s="122">
        <v>253389</v>
      </c>
      <c r="AK2135">
        <v>56</v>
      </c>
      <c r="AL2135">
        <v>0</v>
      </c>
      <c r="AM2135" s="122">
        <v>11241</v>
      </c>
      <c r="AN2135" s="122">
        <v>16751</v>
      </c>
      <c r="AO2135" s="122">
        <v>6204</v>
      </c>
      <c r="AP2135" s="122">
        <v>4253</v>
      </c>
      <c r="AQ2135" s="122">
        <v>1575</v>
      </c>
      <c r="AR2135" s="122">
        <v>90467</v>
      </c>
      <c r="AS2135" s="122">
        <v>82242</v>
      </c>
      <c r="AT2135" s="122">
        <v>0</v>
      </c>
      <c r="AU2135">
        <v>0</v>
      </c>
      <c r="AV2135" s="122">
        <v>354651</v>
      </c>
    </row>
    <row r="2136" spans="2:48" hidden="1">
      <c r="B2136" t="s">
        <v>377</v>
      </c>
      <c r="C2136" t="s">
        <v>58</v>
      </c>
      <c r="D2136" t="s">
        <v>431</v>
      </c>
      <c r="E2136" t="s">
        <v>431</v>
      </c>
      <c r="F2136" s="122">
        <v>3</v>
      </c>
      <c r="G2136" s="122">
        <v>403</v>
      </c>
      <c r="H2136" s="122">
        <v>853</v>
      </c>
      <c r="I2136" s="122">
        <v>68540</v>
      </c>
      <c r="J2136" s="122">
        <v>62309</v>
      </c>
      <c r="K2136" s="122">
        <v>66</v>
      </c>
      <c r="L2136" s="122">
        <v>12328</v>
      </c>
      <c r="M2136" s="122">
        <v>11207</v>
      </c>
      <c r="N2136" s="122">
        <v>9010</v>
      </c>
      <c r="O2136" s="122">
        <v>3337</v>
      </c>
      <c r="P2136" s="122">
        <v>1323</v>
      </c>
      <c r="Q2136" s="122">
        <v>490</v>
      </c>
      <c r="R2136" s="122">
        <v>18584</v>
      </c>
      <c r="S2136" s="122">
        <v>16895</v>
      </c>
      <c r="T2136" s="122">
        <v>5202</v>
      </c>
      <c r="U2136" s="122">
        <v>1927</v>
      </c>
      <c r="V2136" s="122">
        <v>96164</v>
      </c>
      <c r="W2136" s="122">
        <f t="shared" si="66"/>
        <v>96165</v>
      </c>
      <c r="X2136" s="122">
        <f t="shared" si="67"/>
        <v>114987</v>
      </c>
      <c r="AA2136" t="s">
        <v>62</v>
      </c>
      <c r="AB2136" t="s">
        <v>426</v>
      </c>
      <c r="AC2136" t="s">
        <v>566</v>
      </c>
      <c r="AD2136" t="s">
        <v>481</v>
      </c>
      <c r="AE2136" t="s">
        <v>137</v>
      </c>
      <c r="AF2136">
        <v>1</v>
      </c>
      <c r="AG2136">
        <v>57</v>
      </c>
      <c r="AH2136" s="122">
        <v>419</v>
      </c>
      <c r="AI2136" s="122">
        <v>17722</v>
      </c>
      <c r="AJ2136" s="122">
        <v>16111</v>
      </c>
      <c r="AK2136">
        <v>65</v>
      </c>
      <c r="AL2136" s="122">
        <v>0</v>
      </c>
      <c r="AM2136" s="122">
        <v>0</v>
      </c>
      <c r="AN2136" s="122">
        <v>1317</v>
      </c>
      <c r="AO2136" s="122">
        <v>488</v>
      </c>
      <c r="AP2136" s="122">
        <v>351</v>
      </c>
      <c r="AQ2136">
        <v>130</v>
      </c>
      <c r="AR2136" s="122">
        <v>3171</v>
      </c>
      <c r="AS2136" s="122">
        <v>2883</v>
      </c>
      <c r="AT2136" s="122">
        <v>1405</v>
      </c>
      <c r="AU2136" s="122">
        <v>520</v>
      </c>
      <c r="AV2136" s="122">
        <v>20131</v>
      </c>
    </row>
    <row r="2137" spans="2:48" hidden="1">
      <c r="B2137" t="s">
        <v>377</v>
      </c>
      <c r="C2137" t="s">
        <v>58</v>
      </c>
      <c r="D2137" t="s">
        <v>426</v>
      </c>
      <c r="E2137" t="s">
        <v>137</v>
      </c>
      <c r="F2137" s="122">
        <v>1</v>
      </c>
      <c r="G2137" s="122">
        <v>63</v>
      </c>
      <c r="H2137" s="122">
        <v>294</v>
      </c>
      <c r="I2137" s="122">
        <v>11227</v>
      </c>
      <c r="J2137" s="122">
        <v>10206</v>
      </c>
      <c r="K2137" s="122">
        <v>60</v>
      </c>
      <c r="L2137" s="122">
        <v>1837</v>
      </c>
      <c r="M2137" s="122">
        <v>680</v>
      </c>
      <c r="N2137" s="122">
        <v>1001</v>
      </c>
      <c r="O2137" s="122">
        <v>371</v>
      </c>
      <c r="P2137" s="122">
        <v>0</v>
      </c>
      <c r="Q2137" s="122">
        <v>0</v>
      </c>
      <c r="R2137" s="122">
        <v>4514</v>
      </c>
      <c r="S2137" s="122">
        <v>1672</v>
      </c>
      <c r="T2137" s="122">
        <v>0</v>
      </c>
      <c r="U2137" s="122">
        <v>0</v>
      </c>
      <c r="V2137" s="122">
        <v>12929</v>
      </c>
      <c r="W2137" s="122">
        <f t="shared" si="66"/>
        <v>12929</v>
      </c>
      <c r="X2137" s="122">
        <f t="shared" si="67"/>
        <v>18579</v>
      </c>
      <c r="AA2137" t="s">
        <v>62</v>
      </c>
      <c r="AB2137" t="s">
        <v>426</v>
      </c>
      <c r="AC2137" t="s">
        <v>481</v>
      </c>
      <c r="AD2137" t="s">
        <v>426</v>
      </c>
      <c r="AE2137" t="s">
        <v>137</v>
      </c>
      <c r="AF2137">
        <v>5</v>
      </c>
      <c r="AG2137">
        <v>492</v>
      </c>
      <c r="AH2137" s="122">
        <v>2058</v>
      </c>
      <c r="AI2137" s="122">
        <v>126463</v>
      </c>
      <c r="AJ2137" s="122">
        <v>114966</v>
      </c>
      <c r="AK2137">
        <v>49</v>
      </c>
      <c r="AL2137" s="122">
        <v>21580</v>
      </c>
      <c r="AM2137" s="122">
        <v>19619</v>
      </c>
      <c r="AN2137" s="122">
        <v>9535</v>
      </c>
      <c r="AO2137" s="122">
        <v>3532</v>
      </c>
      <c r="AP2137" s="122">
        <v>1755</v>
      </c>
      <c r="AQ2137">
        <v>650</v>
      </c>
      <c r="AR2137" s="122">
        <v>30376</v>
      </c>
      <c r="AS2137" s="122">
        <v>27615</v>
      </c>
      <c r="AT2137" s="122">
        <v>12326</v>
      </c>
      <c r="AU2137" s="122">
        <v>4565</v>
      </c>
      <c r="AV2137" s="122">
        <v>170946</v>
      </c>
    </row>
    <row r="2138" spans="2:48" hidden="1">
      <c r="B2138" t="s">
        <v>377</v>
      </c>
      <c r="C2138" t="s">
        <v>58</v>
      </c>
      <c r="D2138" t="s">
        <v>426</v>
      </c>
      <c r="E2138" t="s">
        <v>406</v>
      </c>
      <c r="F2138" s="122">
        <v>2</v>
      </c>
      <c r="G2138" s="122">
        <v>212</v>
      </c>
      <c r="H2138" s="122">
        <v>508</v>
      </c>
      <c r="I2138" s="122">
        <v>30482</v>
      </c>
      <c r="J2138" s="122">
        <v>27711</v>
      </c>
      <c r="K2138" s="122">
        <v>70</v>
      </c>
      <c r="L2138" s="122">
        <v>4238</v>
      </c>
      <c r="M2138" s="122">
        <v>3853</v>
      </c>
      <c r="N2138" s="122">
        <v>5169</v>
      </c>
      <c r="O2138" s="122">
        <v>1914</v>
      </c>
      <c r="P2138" s="122">
        <v>972</v>
      </c>
      <c r="Q2138" s="122">
        <v>360</v>
      </c>
      <c r="R2138" s="122">
        <v>8480</v>
      </c>
      <c r="S2138" s="122">
        <v>7709</v>
      </c>
      <c r="T2138" s="122">
        <v>5700</v>
      </c>
      <c r="U2138" s="122">
        <v>2111</v>
      </c>
      <c r="V2138" s="122">
        <v>43658</v>
      </c>
      <c r="W2138" s="122">
        <f t="shared" si="66"/>
        <v>43658</v>
      </c>
      <c r="X2138" s="122">
        <f t="shared" si="67"/>
        <v>55041</v>
      </c>
      <c r="AA2138" t="s">
        <v>62</v>
      </c>
      <c r="AB2138" t="s">
        <v>426</v>
      </c>
      <c r="AC2138" t="s">
        <v>481</v>
      </c>
      <c r="AD2138" t="s">
        <v>426</v>
      </c>
      <c r="AE2138" t="s">
        <v>566</v>
      </c>
      <c r="AF2138">
        <v>1</v>
      </c>
      <c r="AG2138">
        <v>107</v>
      </c>
      <c r="AH2138">
        <v>449</v>
      </c>
      <c r="AI2138" s="122">
        <v>30780</v>
      </c>
      <c r="AJ2138" s="122">
        <v>27981</v>
      </c>
      <c r="AK2138">
        <v>45</v>
      </c>
      <c r="AL2138" s="122">
        <v>2565</v>
      </c>
      <c r="AM2138" s="122">
        <v>2332</v>
      </c>
      <c r="AN2138" s="122">
        <v>2401</v>
      </c>
      <c r="AO2138">
        <v>889</v>
      </c>
      <c r="AP2138">
        <v>0</v>
      </c>
      <c r="AQ2138">
        <v>0</v>
      </c>
      <c r="AR2138" s="122">
        <v>12333</v>
      </c>
      <c r="AS2138" s="122">
        <v>11212</v>
      </c>
      <c r="AT2138">
        <v>0</v>
      </c>
      <c r="AU2138">
        <v>0</v>
      </c>
      <c r="AV2138" s="122">
        <v>42415</v>
      </c>
    </row>
    <row r="2139" spans="2:48" hidden="1">
      <c r="B2139" t="s">
        <v>377</v>
      </c>
      <c r="C2139" t="s">
        <v>58</v>
      </c>
      <c r="D2139" t="s">
        <v>426</v>
      </c>
      <c r="E2139" t="s">
        <v>426</v>
      </c>
      <c r="F2139" s="122">
        <v>100</v>
      </c>
      <c r="G2139" s="122">
        <v>13176</v>
      </c>
      <c r="H2139" s="122">
        <v>27100</v>
      </c>
      <c r="I2139" s="122">
        <v>2223827</v>
      </c>
      <c r="J2139" s="122">
        <v>2021661</v>
      </c>
      <c r="K2139" s="122">
        <v>65</v>
      </c>
      <c r="L2139" s="122">
        <v>341293</v>
      </c>
      <c r="M2139" s="122">
        <v>292510</v>
      </c>
      <c r="N2139" s="122">
        <v>268505</v>
      </c>
      <c r="O2139" s="122">
        <v>99446</v>
      </c>
      <c r="P2139" s="122">
        <v>53258</v>
      </c>
      <c r="Q2139" s="122">
        <v>19725</v>
      </c>
      <c r="R2139" s="122">
        <v>591444</v>
      </c>
      <c r="S2139" s="122">
        <v>537677</v>
      </c>
      <c r="T2139" s="122">
        <v>195968</v>
      </c>
      <c r="U2139" s="122">
        <v>72581</v>
      </c>
      <c r="V2139" s="122">
        <v>3043600</v>
      </c>
      <c r="W2139" s="122">
        <f t="shared" si="66"/>
        <v>3043600</v>
      </c>
      <c r="X2139" s="122">
        <f t="shared" si="67"/>
        <v>3674295</v>
      </c>
      <c r="AA2139" t="s">
        <v>62</v>
      </c>
      <c r="AB2139" t="s">
        <v>426</v>
      </c>
      <c r="AC2139" t="s">
        <v>433</v>
      </c>
      <c r="AD2139" t="s">
        <v>426</v>
      </c>
      <c r="AE2139" t="s">
        <v>566</v>
      </c>
      <c r="AF2139">
        <v>1</v>
      </c>
      <c r="AG2139">
        <v>87</v>
      </c>
      <c r="AH2139">
        <v>444</v>
      </c>
      <c r="AI2139" s="122">
        <v>25732</v>
      </c>
      <c r="AJ2139" s="122">
        <v>23392</v>
      </c>
      <c r="AK2139">
        <v>45</v>
      </c>
      <c r="AL2139" s="122">
        <v>1287</v>
      </c>
      <c r="AM2139" s="122">
        <v>1170</v>
      </c>
      <c r="AN2139" s="122">
        <v>1878</v>
      </c>
      <c r="AO2139" s="122">
        <v>696</v>
      </c>
      <c r="AP2139">
        <v>351</v>
      </c>
      <c r="AQ2139">
        <v>130</v>
      </c>
      <c r="AR2139" s="122">
        <v>9166</v>
      </c>
      <c r="AS2139" s="122">
        <v>8333</v>
      </c>
      <c r="AT2139">
        <v>0</v>
      </c>
      <c r="AU2139">
        <v>0</v>
      </c>
      <c r="AV2139" s="122">
        <v>33720</v>
      </c>
    </row>
    <row r="2140" spans="2:48" hidden="1">
      <c r="B2140" t="s">
        <v>377</v>
      </c>
      <c r="C2140" t="s">
        <v>58</v>
      </c>
      <c r="D2140" t="s">
        <v>433</v>
      </c>
      <c r="E2140" t="s">
        <v>433</v>
      </c>
      <c r="F2140" s="122">
        <v>4</v>
      </c>
      <c r="G2140" s="122">
        <v>592</v>
      </c>
      <c r="H2140" s="122">
        <v>999</v>
      </c>
      <c r="I2140" s="122">
        <v>87936</v>
      </c>
      <c r="J2140" s="122">
        <v>79942</v>
      </c>
      <c r="K2140" s="122">
        <v>73</v>
      </c>
      <c r="L2140" s="122">
        <v>13293</v>
      </c>
      <c r="M2140" s="122">
        <v>12084</v>
      </c>
      <c r="N2140" s="122">
        <v>13646</v>
      </c>
      <c r="O2140" s="122">
        <v>5054</v>
      </c>
      <c r="P2140" s="122">
        <v>2214</v>
      </c>
      <c r="Q2140" s="122">
        <v>820</v>
      </c>
      <c r="R2140" s="122">
        <v>22000</v>
      </c>
      <c r="S2140" s="122">
        <v>20000</v>
      </c>
      <c r="T2140" s="122">
        <v>8734</v>
      </c>
      <c r="U2140" s="122">
        <v>3235</v>
      </c>
      <c r="V2140" s="122">
        <v>121135</v>
      </c>
      <c r="W2140" s="122">
        <f t="shared" si="66"/>
        <v>121135</v>
      </c>
      <c r="X2140" s="122">
        <f t="shared" si="67"/>
        <v>147823</v>
      </c>
      <c r="AA2140" t="s">
        <v>62</v>
      </c>
      <c r="AB2140" t="s">
        <v>433</v>
      </c>
      <c r="AC2140" t="s">
        <v>137</v>
      </c>
      <c r="AD2140" t="s">
        <v>137</v>
      </c>
      <c r="AE2140" t="s">
        <v>137</v>
      </c>
      <c r="AF2140">
        <v>1</v>
      </c>
      <c r="AG2140">
        <v>117</v>
      </c>
      <c r="AH2140">
        <v>446</v>
      </c>
      <c r="AI2140" s="122">
        <v>25856</v>
      </c>
      <c r="AJ2140" s="122">
        <v>23506</v>
      </c>
      <c r="AK2140">
        <v>60</v>
      </c>
      <c r="AL2140" s="122">
        <v>14103</v>
      </c>
      <c r="AM2140" s="122">
        <v>5224</v>
      </c>
      <c r="AN2140" s="122">
        <v>2855</v>
      </c>
      <c r="AO2140" s="122">
        <v>1057</v>
      </c>
      <c r="AP2140">
        <v>0</v>
      </c>
      <c r="AQ2140">
        <v>0</v>
      </c>
      <c r="AR2140" s="122">
        <v>9424</v>
      </c>
      <c r="AS2140" s="122">
        <v>3490</v>
      </c>
      <c r="AT2140">
        <v>0</v>
      </c>
      <c r="AU2140">
        <v>0</v>
      </c>
      <c r="AV2140" s="122">
        <v>33277</v>
      </c>
    </row>
    <row r="2141" spans="2:48" hidden="1">
      <c r="B2141" t="s">
        <v>377</v>
      </c>
      <c r="C2141" t="s">
        <v>58</v>
      </c>
      <c r="D2141" t="s">
        <v>408</v>
      </c>
      <c r="E2141" t="s">
        <v>408</v>
      </c>
      <c r="F2141" s="122">
        <v>4</v>
      </c>
      <c r="G2141" s="122">
        <v>655</v>
      </c>
      <c r="H2141" s="122">
        <v>1033</v>
      </c>
      <c r="I2141" s="122">
        <v>122713</v>
      </c>
      <c r="J2141" s="122">
        <v>111557</v>
      </c>
      <c r="K2141" s="122">
        <v>65</v>
      </c>
      <c r="L2141" s="122">
        <v>14319</v>
      </c>
      <c r="M2141" s="122">
        <v>13018</v>
      </c>
      <c r="N2141" s="122">
        <v>13393</v>
      </c>
      <c r="O2141" s="122">
        <v>4960</v>
      </c>
      <c r="P2141" s="122">
        <v>1404</v>
      </c>
      <c r="Q2141" s="122">
        <v>520</v>
      </c>
      <c r="R2141" s="122">
        <v>20575</v>
      </c>
      <c r="S2141" s="122">
        <v>18705</v>
      </c>
      <c r="T2141" s="122">
        <v>11234</v>
      </c>
      <c r="U2141" s="122">
        <v>4161</v>
      </c>
      <c r="V2141" s="122">
        <v>152920</v>
      </c>
      <c r="W2141" s="122">
        <f t="shared" si="66"/>
        <v>152921</v>
      </c>
      <c r="X2141" s="122">
        <f t="shared" si="67"/>
        <v>183638</v>
      </c>
      <c r="AA2141" t="s">
        <v>62</v>
      </c>
      <c r="AB2141" t="s">
        <v>433</v>
      </c>
      <c r="AC2141" t="s">
        <v>137</v>
      </c>
      <c r="AD2141" t="s">
        <v>137</v>
      </c>
      <c r="AE2141" t="s">
        <v>566</v>
      </c>
      <c r="AF2141">
        <v>1</v>
      </c>
      <c r="AG2141">
        <v>52</v>
      </c>
      <c r="AH2141" s="122">
        <v>401</v>
      </c>
      <c r="AI2141" s="122">
        <v>9751</v>
      </c>
      <c r="AJ2141" s="122">
        <v>8865</v>
      </c>
      <c r="AK2141">
        <v>60</v>
      </c>
      <c r="AL2141" s="122">
        <v>1596</v>
      </c>
      <c r="AM2141" s="122">
        <v>591</v>
      </c>
      <c r="AN2141" s="122">
        <v>637</v>
      </c>
      <c r="AO2141" s="122">
        <v>236</v>
      </c>
      <c r="AP2141" s="122">
        <v>0</v>
      </c>
      <c r="AQ2141">
        <v>0</v>
      </c>
      <c r="AR2141" s="122">
        <v>8986</v>
      </c>
      <c r="AS2141" s="122">
        <v>3328</v>
      </c>
      <c r="AT2141" s="122">
        <v>0</v>
      </c>
      <c r="AU2141" s="122">
        <v>0</v>
      </c>
      <c r="AV2141" s="122">
        <v>13020</v>
      </c>
    </row>
    <row r="2142" spans="2:48" hidden="1">
      <c r="B2142" t="s">
        <v>377</v>
      </c>
      <c r="C2142" t="s">
        <v>60</v>
      </c>
      <c r="F2142" s="122">
        <v>1</v>
      </c>
      <c r="G2142" s="122">
        <v>113</v>
      </c>
      <c r="H2142" s="122">
        <v>306</v>
      </c>
      <c r="I2142" s="122"/>
      <c r="J2142" s="122">
        <v>0</v>
      </c>
      <c r="K2142" s="122"/>
      <c r="L2142" s="122"/>
      <c r="M2142" s="122">
        <v>0</v>
      </c>
      <c r="N2142" s="122">
        <v>4302</v>
      </c>
      <c r="O2142" s="122">
        <v>1593</v>
      </c>
      <c r="P2142" s="122">
        <v>621</v>
      </c>
      <c r="Q2142" s="122">
        <v>230</v>
      </c>
      <c r="R2142" s="122"/>
      <c r="S2142" s="122">
        <v>0</v>
      </c>
      <c r="T2142" s="122">
        <v>3478</v>
      </c>
      <c r="U2142" s="122">
        <v>1288</v>
      </c>
      <c r="V2142" s="122">
        <v>3111</v>
      </c>
      <c r="W2142" s="122">
        <f t="shared" si="66"/>
        <v>3111</v>
      </c>
      <c r="X2142" s="122">
        <f t="shared" si="67"/>
        <v>8401</v>
      </c>
      <c r="AA2142" t="s">
        <v>62</v>
      </c>
      <c r="AB2142" t="s">
        <v>433</v>
      </c>
      <c r="AC2142" t="s">
        <v>137</v>
      </c>
      <c r="AD2142" t="s">
        <v>433</v>
      </c>
      <c r="AE2142" t="s">
        <v>137</v>
      </c>
      <c r="AF2142">
        <v>3</v>
      </c>
      <c r="AG2142">
        <v>286</v>
      </c>
      <c r="AH2142" s="122">
        <v>1228</v>
      </c>
      <c r="AI2142" s="122">
        <v>70160</v>
      </c>
      <c r="AJ2142" s="122">
        <v>63782</v>
      </c>
      <c r="AK2142">
        <v>60</v>
      </c>
      <c r="AL2142" s="122">
        <v>17306</v>
      </c>
      <c r="AM2142" s="122">
        <v>6410</v>
      </c>
      <c r="AN2142" s="122">
        <v>5984</v>
      </c>
      <c r="AO2142" s="122">
        <v>2216</v>
      </c>
      <c r="AP2142" s="122">
        <v>1053</v>
      </c>
      <c r="AQ2142">
        <v>390</v>
      </c>
      <c r="AR2142" s="122">
        <v>14481</v>
      </c>
      <c r="AS2142" s="122">
        <v>13164</v>
      </c>
      <c r="AT2142" s="122">
        <v>7143</v>
      </c>
      <c r="AU2142" s="122">
        <v>2646</v>
      </c>
      <c r="AV2142" s="122">
        <v>88608</v>
      </c>
    </row>
    <row r="2143" spans="2:48" hidden="1">
      <c r="B2143" t="s">
        <v>377</v>
      </c>
      <c r="C2143" t="s">
        <v>60</v>
      </c>
      <c r="D2143" t="s">
        <v>425</v>
      </c>
      <c r="E2143" t="s">
        <v>137</v>
      </c>
      <c r="F2143" s="122">
        <v>1</v>
      </c>
      <c r="G2143" s="122">
        <v>66</v>
      </c>
      <c r="H2143" s="122">
        <v>340</v>
      </c>
      <c r="I2143" s="122">
        <v>11474</v>
      </c>
      <c r="J2143" s="122">
        <v>10431</v>
      </c>
      <c r="K2143" s="122">
        <v>72</v>
      </c>
      <c r="L2143" s="122">
        <v>2253</v>
      </c>
      <c r="M2143" s="122">
        <v>835</v>
      </c>
      <c r="N2143" s="122">
        <v>1605</v>
      </c>
      <c r="O2143" s="122">
        <v>594</v>
      </c>
      <c r="P2143" s="122">
        <v>0</v>
      </c>
      <c r="Q2143" s="122">
        <v>0</v>
      </c>
      <c r="R2143" s="122">
        <v>7056</v>
      </c>
      <c r="S2143" s="122">
        <v>2613</v>
      </c>
      <c r="T2143" s="122">
        <v>0</v>
      </c>
      <c r="U2143" s="122">
        <v>0</v>
      </c>
      <c r="V2143" s="122">
        <v>14473</v>
      </c>
      <c r="W2143" s="122">
        <f t="shared" si="66"/>
        <v>14473</v>
      </c>
      <c r="X2143" s="122">
        <f t="shared" si="67"/>
        <v>22388</v>
      </c>
      <c r="AA2143" t="s">
        <v>62</v>
      </c>
      <c r="AB2143" t="s">
        <v>433</v>
      </c>
      <c r="AC2143" t="s">
        <v>137</v>
      </c>
      <c r="AD2143" t="s">
        <v>433</v>
      </c>
      <c r="AE2143" t="s">
        <v>566</v>
      </c>
      <c r="AF2143">
        <v>3</v>
      </c>
      <c r="AG2143">
        <v>276</v>
      </c>
      <c r="AH2143" s="122">
        <v>1264</v>
      </c>
      <c r="AI2143" s="122">
        <v>73937</v>
      </c>
      <c r="AJ2143" s="122">
        <v>67216</v>
      </c>
      <c r="AK2143">
        <v>65</v>
      </c>
      <c r="AL2143" s="122">
        <v>13107</v>
      </c>
      <c r="AM2143" s="122">
        <v>4854</v>
      </c>
      <c r="AN2143" s="122">
        <v>6007</v>
      </c>
      <c r="AO2143" s="122">
        <v>2225</v>
      </c>
      <c r="AP2143">
        <v>702</v>
      </c>
      <c r="AQ2143">
        <v>260</v>
      </c>
      <c r="AR2143" s="122">
        <v>22148</v>
      </c>
      <c r="AS2143" s="122">
        <v>20134</v>
      </c>
      <c r="AT2143">
        <v>0</v>
      </c>
      <c r="AU2143">
        <v>0</v>
      </c>
      <c r="AV2143" s="122">
        <v>94689</v>
      </c>
    </row>
    <row r="2144" spans="2:48" hidden="1">
      <c r="B2144" t="s">
        <v>377</v>
      </c>
      <c r="C2144" t="s">
        <v>60</v>
      </c>
      <c r="D2144" t="s">
        <v>405</v>
      </c>
      <c r="E2144" t="s">
        <v>405</v>
      </c>
      <c r="F2144" s="122">
        <v>17</v>
      </c>
      <c r="G2144" s="122">
        <v>2494</v>
      </c>
      <c r="H2144" s="122">
        <v>5651</v>
      </c>
      <c r="I2144" s="122">
        <v>564059</v>
      </c>
      <c r="J2144" s="122">
        <v>512781</v>
      </c>
      <c r="K2144" s="122">
        <v>79</v>
      </c>
      <c r="L2144" s="122">
        <v>102637</v>
      </c>
      <c r="M2144" s="122">
        <v>93306</v>
      </c>
      <c r="N2144" s="122">
        <v>51154</v>
      </c>
      <c r="O2144" s="122">
        <v>18946</v>
      </c>
      <c r="P2144" s="122">
        <v>7425</v>
      </c>
      <c r="Q2144" s="122">
        <v>2750</v>
      </c>
      <c r="R2144" s="122">
        <v>86727</v>
      </c>
      <c r="S2144" s="122">
        <v>78843</v>
      </c>
      <c r="T2144" s="122">
        <v>21631</v>
      </c>
      <c r="U2144" s="122">
        <v>8011</v>
      </c>
      <c r="V2144" s="122">
        <v>714637</v>
      </c>
      <c r="W2144" s="122">
        <f t="shared" si="66"/>
        <v>714637</v>
      </c>
      <c r="X2144" s="122">
        <f t="shared" si="67"/>
        <v>833633</v>
      </c>
      <c r="AA2144" t="s">
        <v>62</v>
      </c>
      <c r="AB2144" t="s">
        <v>433</v>
      </c>
      <c r="AC2144" t="s">
        <v>580</v>
      </c>
      <c r="AD2144" t="s">
        <v>433</v>
      </c>
      <c r="AE2144" t="s">
        <v>566</v>
      </c>
      <c r="AF2144">
        <v>1</v>
      </c>
      <c r="AG2144">
        <v>179</v>
      </c>
      <c r="AH2144" s="122">
        <v>385</v>
      </c>
      <c r="AI2144" s="122">
        <v>51191</v>
      </c>
      <c r="AJ2144" s="122">
        <v>46537</v>
      </c>
      <c r="AK2144">
        <v>65</v>
      </c>
      <c r="AL2144" s="122">
        <v>4350</v>
      </c>
      <c r="AM2144" s="122">
        <v>3954</v>
      </c>
      <c r="AN2144" s="122">
        <v>3623</v>
      </c>
      <c r="AO2144" s="122">
        <v>1342</v>
      </c>
      <c r="AP2144" s="122">
        <v>621</v>
      </c>
      <c r="AQ2144">
        <v>230</v>
      </c>
      <c r="AR2144" s="122">
        <v>9224</v>
      </c>
      <c r="AS2144" s="122">
        <v>8385</v>
      </c>
      <c r="AT2144" s="122">
        <v>0</v>
      </c>
      <c r="AU2144" s="122">
        <v>0</v>
      </c>
      <c r="AV2144" s="122">
        <v>60448</v>
      </c>
    </row>
    <row r="2145" spans="2:48" hidden="1">
      <c r="B2145" t="s">
        <v>377</v>
      </c>
      <c r="C2145" t="s">
        <v>60</v>
      </c>
      <c r="D2145" t="s">
        <v>405</v>
      </c>
      <c r="E2145" t="s">
        <v>137</v>
      </c>
      <c r="F2145" s="122">
        <v>1</v>
      </c>
      <c r="G2145" s="122">
        <v>279</v>
      </c>
      <c r="H2145" s="122">
        <v>329</v>
      </c>
      <c r="I2145" s="122">
        <v>58430</v>
      </c>
      <c r="J2145" s="122">
        <v>53118</v>
      </c>
      <c r="K2145" s="122">
        <v>92</v>
      </c>
      <c r="L2145" s="122">
        <v>13991</v>
      </c>
      <c r="M2145" s="122">
        <v>5182</v>
      </c>
      <c r="N2145" s="122">
        <v>5681</v>
      </c>
      <c r="O2145" s="122">
        <v>2104</v>
      </c>
      <c r="P2145" s="122">
        <v>351</v>
      </c>
      <c r="Q2145" s="122">
        <v>130</v>
      </c>
      <c r="R2145" s="122">
        <v>13350</v>
      </c>
      <c r="S2145" s="122">
        <v>4945</v>
      </c>
      <c r="T2145" s="122">
        <v>0</v>
      </c>
      <c r="U2145" s="122">
        <v>0</v>
      </c>
      <c r="V2145" s="122">
        <v>65479</v>
      </c>
      <c r="W2145" s="122">
        <f t="shared" si="66"/>
        <v>65479</v>
      </c>
      <c r="X2145" s="122">
        <f t="shared" si="67"/>
        <v>91803</v>
      </c>
      <c r="AA2145" t="s">
        <v>62</v>
      </c>
      <c r="AB2145" t="s">
        <v>433</v>
      </c>
      <c r="AC2145" t="s">
        <v>427</v>
      </c>
      <c r="AD2145" t="s">
        <v>433</v>
      </c>
      <c r="AE2145" t="s">
        <v>137</v>
      </c>
      <c r="AF2145">
        <v>3</v>
      </c>
      <c r="AG2145">
        <v>272</v>
      </c>
      <c r="AH2145" s="122">
        <v>1267</v>
      </c>
      <c r="AI2145" s="122">
        <v>76753</v>
      </c>
      <c r="AJ2145" s="122">
        <v>69775</v>
      </c>
      <c r="AK2145">
        <v>53</v>
      </c>
      <c r="AL2145" s="122">
        <v>11111</v>
      </c>
      <c r="AM2145" s="122">
        <v>10101</v>
      </c>
      <c r="AN2145" s="122">
        <v>5786</v>
      </c>
      <c r="AO2145" s="122">
        <v>2143</v>
      </c>
      <c r="AP2145" s="122">
        <v>1053</v>
      </c>
      <c r="AQ2145">
        <v>390</v>
      </c>
      <c r="AR2145" s="122">
        <v>13605</v>
      </c>
      <c r="AS2145" s="122">
        <v>12368</v>
      </c>
      <c r="AT2145" s="122">
        <v>6395</v>
      </c>
      <c r="AU2145" s="122">
        <v>2368</v>
      </c>
      <c r="AV2145" s="122">
        <v>97146</v>
      </c>
    </row>
    <row r="2146" spans="2:48" hidden="1">
      <c r="B2146" t="s">
        <v>377</v>
      </c>
      <c r="C2146" t="s">
        <v>60</v>
      </c>
      <c r="D2146" t="s">
        <v>137</v>
      </c>
      <c r="E2146" t="s">
        <v>137</v>
      </c>
      <c r="F2146" s="122">
        <v>98</v>
      </c>
      <c r="G2146" s="122">
        <v>10631</v>
      </c>
      <c r="H2146" s="122">
        <v>33624</v>
      </c>
      <c r="I2146" s="122">
        <v>2373270</v>
      </c>
      <c r="J2146" s="122">
        <v>878989</v>
      </c>
      <c r="K2146" s="122">
        <v>105</v>
      </c>
      <c r="L2146" s="122">
        <v>391037</v>
      </c>
      <c r="M2146" s="122">
        <v>251911</v>
      </c>
      <c r="N2146" s="122">
        <v>245689</v>
      </c>
      <c r="O2146" s="122">
        <v>90996</v>
      </c>
      <c r="P2146" s="122">
        <v>2744</v>
      </c>
      <c r="Q2146" s="122">
        <v>1016</v>
      </c>
      <c r="R2146" s="122">
        <v>743627</v>
      </c>
      <c r="S2146" s="122">
        <v>275417</v>
      </c>
      <c r="T2146" s="122">
        <v>1885</v>
      </c>
      <c r="U2146" s="122">
        <v>698</v>
      </c>
      <c r="V2146" s="122">
        <v>1499027</v>
      </c>
      <c r="W2146" s="122">
        <f t="shared" ref="W2146:W2209" si="68">SUM(ABS(J2146),ABS(M2146),ABS(O2146),ABS(Q2146),ABS(S2146),ABS(U2146))</f>
        <v>1499027</v>
      </c>
      <c r="X2146" s="122">
        <f t="shared" ref="X2146:X2209" si="69">SUM(ABS(I2146),ABS(N2146),ABS(P2146),ABS(R2146),ABS(T2146),ABS(L2146))</f>
        <v>3758252</v>
      </c>
      <c r="AA2146" t="s">
        <v>62</v>
      </c>
      <c r="AB2146" t="s">
        <v>433</v>
      </c>
      <c r="AC2146" t="s">
        <v>427</v>
      </c>
      <c r="AD2146" t="s">
        <v>433</v>
      </c>
      <c r="AE2146" t="s">
        <v>566</v>
      </c>
      <c r="AF2146">
        <v>1</v>
      </c>
      <c r="AG2146">
        <v>109</v>
      </c>
      <c r="AH2146">
        <v>428</v>
      </c>
      <c r="AI2146" s="122">
        <v>31493</v>
      </c>
      <c r="AJ2146" s="122">
        <v>28630</v>
      </c>
      <c r="AK2146">
        <v>45</v>
      </c>
      <c r="AL2146" s="122">
        <v>2624</v>
      </c>
      <c r="AM2146" s="122">
        <v>2386</v>
      </c>
      <c r="AN2146" s="122">
        <v>2147</v>
      </c>
      <c r="AO2146" s="122">
        <v>795</v>
      </c>
      <c r="AP2146">
        <v>351</v>
      </c>
      <c r="AQ2146">
        <v>130</v>
      </c>
      <c r="AR2146" s="122">
        <v>9946</v>
      </c>
      <c r="AS2146" s="122">
        <v>9041</v>
      </c>
      <c r="AT2146" s="122">
        <v>0</v>
      </c>
      <c r="AU2146" s="122">
        <v>0</v>
      </c>
      <c r="AV2146" s="122">
        <v>40983</v>
      </c>
    </row>
    <row r="2147" spans="2:48" hidden="1">
      <c r="B2147" t="s">
        <v>377</v>
      </c>
      <c r="C2147" t="s">
        <v>60</v>
      </c>
      <c r="D2147" t="s">
        <v>137</v>
      </c>
      <c r="E2147" t="s">
        <v>431</v>
      </c>
      <c r="F2147" s="122">
        <v>1</v>
      </c>
      <c r="G2147" s="122">
        <v>72</v>
      </c>
      <c r="H2147" s="122">
        <v>351</v>
      </c>
      <c r="I2147" s="122">
        <v>17099</v>
      </c>
      <c r="J2147" s="122">
        <v>6333</v>
      </c>
      <c r="K2147" s="122">
        <v>100</v>
      </c>
      <c r="L2147" s="122">
        <v>1191</v>
      </c>
      <c r="M2147" s="122">
        <v>1083</v>
      </c>
      <c r="N2147" s="122">
        <v>1030</v>
      </c>
      <c r="O2147" s="122">
        <v>382</v>
      </c>
      <c r="P2147" s="122">
        <v>0</v>
      </c>
      <c r="Q2147" s="122">
        <v>0</v>
      </c>
      <c r="R2147" s="122">
        <v>4006</v>
      </c>
      <c r="S2147" s="122">
        <v>3642</v>
      </c>
      <c r="T2147" s="122">
        <v>2061</v>
      </c>
      <c r="U2147" s="122">
        <v>763</v>
      </c>
      <c r="V2147" s="122">
        <v>12202</v>
      </c>
      <c r="W2147" s="122">
        <f t="shared" si="68"/>
        <v>12203</v>
      </c>
      <c r="X2147" s="122">
        <f t="shared" si="69"/>
        <v>25387</v>
      </c>
      <c r="AA2147" t="s">
        <v>62</v>
      </c>
      <c r="AB2147" t="s">
        <v>433</v>
      </c>
      <c r="AC2147" t="s">
        <v>428</v>
      </c>
      <c r="AD2147" t="s">
        <v>433</v>
      </c>
      <c r="AE2147" t="s">
        <v>137</v>
      </c>
      <c r="AF2147">
        <v>1</v>
      </c>
      <c r="AG2147">
        <v>168</v>
      </c>
      <c r="AH2147">
        <v>414</v>
      </c>
      <c r="AI2147" s="122">
        <v>46446</v>
      </c>
      <c r="AJ2147" s="122">
        <v>42223</v>
      </c>
      <c r="AK2147">
        <v>65</v>
      </c>
      <c r="AL2147" s="122">
        <v>11181</v>
      </c>
      <c r="AM2147" s="122">
        <v>10165</v>
      </c>
      <c r="AN2147" s="122">
        <v>3035</v>
      </c>
      <c r="AO2147" s="122">
        <v>1124</v>
      </c>
      <c r="AP2147">
        <v>351</v>
      </c>
      <c r="AQ2147">
        <v>130</v>
      </c>
      <c r="AR2147" s="122">
        <v>5474</v>
      </c>
      <c r="AS2147" s="122">
        <v>4976</v>
      </c>
      <c r="AT2147" s="122">
        <v>3215</v>
      </c>
      <c r="AU2147" s="122">
        <v>1191</v>
      </c>
      <c r="AV2147" s="122">
        <v>59809</v>
      </c>
    </row>
    <row r="2148" spans="2:48" hidden="1">
      <c r="B2148" t="s">
        <v>377</v>
      </c>
      <c r="C2148" t="s">
        <v>60</v>
      </c>
      <c r="D2148" t="s">
        <v>137</v>
      </c>
      <c r="E2148" t="s">
        <v>426</v>
      </c>
      <c r="F2148" s="122">
        <v>1</v>
      </c>
      <c r="G2148" s="122">
        <v>67</v>
      </c>
      <c r="H2148" s="122">
        <v>339</v>
      </c>
      <c r="I2148" s="122">
        <v>13479</v>
      </c>
      <c r="J2148" s="122">
        <v>4992</v>
      </c>
      <c r="K2148" s="122">
        <v>100</v>
      </c>
      <c r="L2148" s="122">
        <v>2112</v>
      </c>
      <c r="M2148" s="122">
        <v>1920</v>
      </c>
      <c r="N2148" s="122">
        <v>1085</v>
      </c>
      <c r="O2148" s="122">
        <v>402</v>
      </c>
      <c r="P2148" s="122">
        <v>351</v>
      </c>
      <c r="Q2148" s="122">
        <v>130</v>
      </c>
      <c r="R2148" s="122">
        <v>3570</v>
      </c>
      <c r="S2148" s="122">
        <v>3246</v>
      </c>
      <c r="T2148" s="122">
        <v>2262</v>
      </c>
      <c r="U2148" s="122">
        <v>838</v>
      </c>
      <c r="V2148" s="122">
        <v>11528</v>
      </c>
      <c r="W2148" s="122">
        <f t="shared" si="68"/>
        <v>11528</v>
      </c>
      <c r="X2148" s="122">
        <f t="shared" si="69"/>
        <v>22859</v>
      </c>
      <c r="AA2148" t="s">
        <v>62</v>
      </c>
      <c r="AB2148" t="s">
        <v>433</v>
      </c>
      <c r="AC2148" t="s">
        <v>431</v>
      </c>
      <c r="AD2148" t="s">
        <v>433</v>
      </c>
      <c r="AE2148" t="s">
        <v>137</v>
      </c>
      <c r="AF2148">
        <v>1</v>
      </c>
      <c r="AG2148">
        <v>91</v>
      </c>
      <c r="AH2148">
        <v>428</v>
      </c>
      <c r="AI2148" s="122">
        <v>28513</v>
      </c>
      <c r="AJ2148" s="122">
        <v>25921</v>
      </c>
      <c r="AK2148">
        <v>45</v>
      </c>
      <c r="AL2148" s="122">
        <v>2193</v>
      </c>
      <c r="AM2148" s="122">
        <v>1994</v>
      </c>
      <c r="AN2148" s="122">
        <v>1114</v>
      </c>
      <c r="AO2148">
        <v>412</v>
      </c>
      <c r="AP2148">
        <v>351</v>
      </c>
      <c r="AQ2148">
        <v>130</v>
      </c>
      <c r="AR2148" s="122">
        <v>4684</v>
      </c>
      <c r="AS2148" s="122">
        <v>4258</v>
      </c>
      <c r="AT2148" s="122">
        <v>2227</v>
      </c>
      <c r="AU2148">
        <v>825</v>
      </c>
      <c r="AV2148" s="122">
        <v>33540</v>
      </c>
    </row>
    <row r="2149" spans="2:48" hidden="1">
      <c r="B2149" t="s">
        <v>377</v>
      </c>
      <c r="C2149" t="s">
        <v>60</v>
      </c>
      <c r="D2149" t="s">
        <v>406</v>
      </c>
      <c r="E2149" t="s">
        <v>137</v>
      </c>
      <c r="F2149" s="122">
        <v>2</v>
      </c>
      <c r="G2149" s="122">
        <v>168</v>
      </c>
      <c r="H2149" s="122">
        <v>690</v>
      </c>
      <c r="I2149" s="122">
        <v>38665</v>
      </c>
      <c r="J2149" s="122">
        <v>35150</v>
      </c>
      <c r="K2149" s="122">
        <v>85</v>
      </c>
      <c r="L2149" s="122">
        <v>5809</v>
      </c>
      <c r="M2149" s="122">
        <v>5281</v>
      </c>
      <c r="N2149" s="122">
        <v>2423</v>
      </c>
      <c r="O2149" s="122">
        <v>898</v>
      </c>
      <c r="P2149" s="122">
        <v>1242</v>
      </c>
      <c r="Q2149" s="122">
        <v>460</v>
      </c>
      <c r="R2149" s="122">
        <v>10016</v>
      </c>
      <c r="S2149" s="122">
        <v>3710</v>
      </c>
      <c r="T2149" s="122">
        <v>0</v>
      </c>
      <c r="U2149" s="122">
        <v>0</v>
      </c>
      <c r="V2149" s="122">
        <v>45498</v>
      </c>
      <c r="W2149" s="122">
        <f t="shared" si="68"/>
        <v>45499</v>
      </c>
      <c r="X2149" s="122">
        <f t="shared" si="69"/>
        <v>58155</v>
      </c>
      <c r="AA2149" t="s">
        <v>62</v>
      </c>
      <c r="AB2149" t="s">
        <v>433</v>
      </c>
      <c r="AC2149" t="s">
        <v>426</v>
      </c>
      <c r="AD2149" t="s">
        <v>426</v>
      </c>
      <c r="AE2149" t="s">
        <v>566</v>
      </c>
      <c r="AF2149">
        <v>1</v>
      </c>
      <c r="AG2149">
        <v>145</v>
      </c>
      <c r="AH2149">
        <v>384</v>
      </c>
      <c r="AI2149" s="122">
        <v>43152</v>
      </c>
      <c r="AJ2149" s="122">
        <v>39229</v>
      </c>
      <c r="AK2149">
        <v>55</v>
      </c>
      <c r="AL2149" s="122">
        <v>4057</v>
      </c>
      <c r="AM2149" s="122">
        <v>3688</v>
      </c>
      <c r="AN2149" s="122">
        <v>1762</v>
      </c>
      <c r="AO2149" s="122">
        <v>653</v>
      </c>
      <c r="AP2149" s="122">
        <v>351</v>
      </c>
      <c r="AQ2149">
        <v>130</v>
      </c>
      <c r="AR2149" s="122">
        <v>6152</v>
      </c>
      <c r="AS2149" s="122">
        <v>5593</v>
      </c>
      <c r="AT2149" s="122">
        <v>0</v>
      </c>
      <c r="AU2149" s="122">
        <v>0</v>
      </c>
      <c r="AV2149" s="122">
        <v>49293</v>
      </c>
    </row>
    <row r="2150" spans="2:48" hidden="1">
      <c r="B2150" t="s">
        <v>377</v>
      </c>
      <c r="C2150" t="s">
        <v>60</v>
      </c>
      <c r="D2150" t="s">
        <v>406</v>
      </c>
      <c r="E2150" t="s">
        <v>406</v>
      </c>
      <c r="F2150" s="122">
        <v>1154</v>
      </c>
      <c r="G2150" s="122">
        <v>132268</v>
      </c>
      <c r="H2150" s="122">
        <v>389519</v>
      </c>
      <c r="I2150" s="122">
        <v>28395626</v>
      </c>
      <c r="J2150" s="122">
        <v>25814205</v>
      </c>
      <c r="K2150" s="122">
        <v>76</v>
      </c>
      <c r="L2150" s="122">
        <v>5234604</v>
      </c>
      <c r="M2150" s="122">
        <v>4667917</v>
      </c>
      <c r="N2150" s="122">
        <v>2801892</v>
      </c>
      <c r="O2150" s="122">
        <v>1037738</v>
      </c>
      <c r="P2150" s="122">
        <v>756706</v>
      </c>
      <c r="Q2150" s="122">
        <v>280262</v>
      </c>
      <c r="R2150" s="122">
        <v>5991306</v>
      </c>
      <c r="S2150" s="122">
        <v>5446642</v>
      </c>
      <c r="T2150" s="122">
        <v>2007037</v>
      </c>
      <c r="U2150" s="122">
        <v>743347</v>
      </c>
      <c r="V2150" s="122">
        <v>37990110</v>
      </c>
      <c r="W2150" s="122">
        <f t="shared" si="68"/>
        <v>37990111</v>
      </c>
      <c r="X2150" s="122">
        <f t="shared" si="69"/>
        <v>45187171</v>
      </c>
      <c r="AA2150" t="s">
        <v>62</v>
      </c>
      <c r="AB2150" t="s">
        <v>433</v>
      </c>
      <c r="AC2150" t="s">
        <v>426</v>
      </c>
      <c r="AD2150" t="s">
        <v>433</v>
      </c>
      <c r="AE2150" t="s">
        <v>137</v>
      </c>
      <c r="AF2150">
        <v>1</v>
      </c>
      <c r="AG2150">
        <v>151</v>
      </c>
      <c r="AH2150">
        <v>435</v>
      </c>
      <c r="AI2150" s="122">
        <v>43359</v>
      </c>
      <c r="AJ2150" s="122">
        <v>39417</v>
      </c>
      <c r="AK2150">
        <v>65</v>
      </c>
      <c r="AL2150" s="122">
        <v>10438</v>
      </c>
      <c r="AM2150" s="122">
        <v>9489</v>
      </c>
      <c r="AN2150" s="122">
        <v>2943</v>
      </c>
      <c r="AO2150" s="122">
        <v>1090</v>
      </c>
      <c r="AP2150" s="122">
        <v>1404</v>
      </c>
      <c r="AQ2150">
        <v>520</v>
      </c>
      <c r="AR2150" s="122">
        <v>4548</v>
      </c>
      <c r="AS2150" s="122">
        <v>4135</v>
      </c>
      <c r="AT2150" s="122">
        <v>3031</v>
      </c>
      <c r="AU2150" s="122">
        <v>1122</v>
      </c>
      <c r="AV2150" s="122">
        <v>55774</v>
      </c>
    </row>
    <row r="2151" spans="2:48" hidden="1">
      <c r="B2151" t="s">
        <v>377</v>
      </c>
      <c r="C2151" t="s">
        <v>60</v>
      </c>
      <c r="D2151" t="s">
        <v>406</v>
      </c>
      <c r="E2151" t="s">
        <v>427</v>
      </c>
      <c r="F2151" s="122">
        <v>1</v>
      </c>
      <c r="G2151" s="122">
        <v>102</v>
      </c>
      <c r="H2151" s="122">
        <v>354</v>
      </c>
      <c r="I2151" s="122">
        <v>23981</v>
      </c>
      <c r="J2151" s="122">
        <v>21801</v>
      </c>
      <c r="K2151" s="122">
        <v>95</v>
      </c>
      <c r="L2151" s="122">
        <v>5341</v>
      </c>
      <c r="M2151" s="122">
        <v>4855</v>
      </c>
      <c r="N2151" s="122">
        <v>1941</v>
      </c>
      <c r="O2151" s="122">
        <v>719</v>
      </c>
      <c r="P2151" s="122">
        <v>621</v>
      </c>
      <c r="Q2151" s="122">
        <v>230</v>
      </c>
      <c r="R2151" s="122">
        <v>4284</v>
      </c>
      <c r="S2151" s="122">
        <v>3894</v>
      </c>
      <c r="T2151" s="122">
        <v>0</v>
      </c>
      <c r="U2151" s="122">
        <v>0</v>
      </c>
      <c r="V2151" s="122">
        <v>31499</v>
      </c>
      <c r="W2151" s="122">
        <f t="shared" si="68"/>
        <v>31499</v>
      </c>
      <c r="X2151" s="122">
        <f t="shared" si="69"/>
        <v>36168</v>
      </c>
      <c r="AA2151" t="s">
        <v>62</v>
      </c>
      <c r="AB2151" t="s">
        <v>433</v>
      </c>
      <c r="AC2151" t="s">
        <v>426</v>
      </c>
      <c r="AD2151" t="s">
        <v>433</v>
      </c>
      <c r="AE2151" t="s">
        <v>566</v>
      </c>
      <c r="AF2151">
        <v>2</v>
      </c>
      <c r="AG2151">
        <v>328</v>
      </c>
      <c r="AH2151">
        <v>828</v>
      </c>
      <c r="AI2151" s="122">
        <v>100891</v>
      </c>
      <c r="AJ2151" s="122">
        <v>91719</v>
      </c>
      <c r="AK2151">
        <v>65</v>
      </c>
      <c r="AL2151" s="122">
        <v>14362</v>
      </c>
      <c r="AM2151" s="122">
        <v>13057</v>
      </c>
      <c r="AN2151" s="122">
        <v>4716</v>
      </c>
      <c r="AO2151" s="122">
        <v>1747</v>
      </c>
      <c r="AP2151">
        <v>702</v>
      </c>
      <c r="AQ2151">
        <v>260</v>
      </c>
      <c r="AR2151" s="122">
        <v>14009</v>
      </c>
      <c r="AS2151" s="122">
        <v>12735</v>
      </c>
      <c r="AT2151">
        <v>0</v>
      </c>
      <c r="AU2151">
        <v>0</v>
      </c>
      <c r="AV2151" s="122">
        <v>119518</v>
      </c>
    </row>
    <row r="2152" spans="2:48" hidden="1">
      <c r="B2152" t="s">
        <v>377</v>
      </c>
      <c r="C2152" t="s">
        <v>60</v>
      </c>
      <c r="D2152" t="s">
        <v>406</v>
      </c>
      <c r="E2152" t="s">
        <v>431</v>
      </c>
      <c r="F2152" s="122">
        <v>3</v>
      </c>
      <c r="G2152" s="122">
        <v>276</v>
      </c>
      <c r="H2152" s="122">
        <v>1062</v>
      </c>
      <c r="I2152" s="122">
        <v>50363</v>
      </c>
      <c r="J2152" s="122">
        <v>45784</v>
      </c>
      <c r="K2152" s="122">
        <v>86</v>
      </c>
      <c r="L2152" s="122">
        <v>9885</v>
      </c>
      <c r="M2152" s="122">
        <v>8987</v>
      </c>
      <c r="N2152" s="122">
        <v>4324</v>
      </c>
      <c r="O2152" s="122">
        <v>1601</v>
      </c>
      <c r="P2152" s="122">
        <v>1944</v>
      </c>
      <c r="Q2152" s="122">
        <v>720</v>
      </c>
      <c r="R2152" s="122">
        <v>29127</v>
      </c>
      <c r="S2152" s="122">
        <v>26479</v>
      </c>
      <c r="T2152" s="122">
        <v>2060</v>
      </c>
      <c r="U2152" s="122">
        <v>763</v>
      </c>
      <c r="V2152" s="122">
        <v>84334</v>
      </c>
      <c r="W2152" s="122">
        <f t="shared" si="68"/>
        <v>84334</v>
      </c>
      <c r="X2152" s="122">
        <f t="shared" si="69"/>
        <v>97703</v>
      </c>
      <c r="AA2152" t="s">
        <v>62</v>
      </c>
      <c r="AB2152" t="s">
        <v>433</v>
      </c>
      <c r="AC2152" t="s">
        <v>566</v>
      </c>
      <c r="AD2152" t="s">
        <v>137</v>
      </c>
      <c r="AE2152" t="s">
        <v>566</v>
      </c>
      <c r="AF2152">
        <v>1</v>
      </c>
      <c r="AG2152">
        <v>85</v>
      </c>
      <c r="AH2152" s="122">
        <v>383</v>
      </c>
      <c r="AI2152" s="122">
        <v>25913</v>
      </c>
      <c r="AJ2152" s="122">
        <v>23557</v>
      </c>
      <c r="AK2152">
        <v>60</v>
      </c>
      <c r="AL2152">
        <v>0</v>
      </c>
      <c r="AM2152" s="122">
        <v>5235</v>
      </c>
      <c r="AN2152" s="122">
        <v>2071</v>
      </c>
      <c r="AO2152" s="122">
        <v>767</v>
      </c>
      <c r="AP2152" s="122">
        <v>0</v>
      </c>
      <c r="AQ2152">
        <v>0</v>
      </c>
      <c r="AR2152" s="122">
        <v>4602</v>
      </c>
      <c r="AS2152" s="122">
        <v>1704</v>
      </c>
      <c r="AT2152" s="122">
        <v>0</v>
      </c>
      <c r="AU2152" s="122">
        <v>0</v>
      </c>
      <c r="AV2152" s="122">
        <v>31263</v>
      </c>
    </row>
    <row r="2153" spans="2:48" hidden="1">
      <c r="B2153" t="s">
        <v>377</v>
      </c>
      <c r="C2153" t="s">
        <v>60</v>
      </c>
      <c r="D2153" t="s">
        <v>406</v>
      </c>
      <c r="E2153" t="s">
        <v>426</v>
      </c>
      <c r="F2153" s="122">
        <v>2</v>
      </c>
      <c r="G2153" s="122">
        <v>207</v>
      </c>
      <c r="H2153" s="122">
        <v>650</v>
      </c>
      <c r="I2153" s="122">
        <v>44124</v>
      </c>
      <c r="J2153" s="122">
        <v>40113</v>
      </c>
      <c r="K2153" s="122">
        <v>75</v>
      </c>
      <c r="L2153" s="122">
        <v>4924</v>
      </c>
      <c r="M2153" s="122">
        <v>10387</v>
      </c>
      <c r="N2153" s="122">
        <v>4475</v>
      </c>
      <c r="O2153" s="122">
        <v>1657</v>
      </c>
      <c r="P2153" s="122">
        <v>1242</v>
      </c>
      <c r="Q2153" s="122">
        <v>460</v>
      </c>
      <c r="R2153" s="122">
        <v>9494</v>
      </c>
      <c r="S2153" s="122">
        <v>8631</v>
      </c>
      <c r="T2153" s="122">
        <v>2586</v>
      </c>
      <c r="U2153" s="122">
        <v>958</v>
      </c>
      <c r="V2153" s="122">
        <v>62206</v>
      </c>
      <c r="W2153" s="122">
        <f t="shared" si="68"/>
        <v>62206</v>
      </c>
      <c r="X2153" s="122">
        <f t="shared" si="69"/>
        <v>66845</v>
      </c>
      <c r="AA2153" t="s">
        <v>62</v>
      </c>
      <c r="AB2153" t="s">
        <v>433</v>
      </c>
      <c r="AC2153" t="s">
        <v>566</v>
      </c>
      <c r="AD2153" t="s">
        <v>433</v>
      </c>
      <c r="AE2153" t="s">
        <v>137</v>
      </c>
      <c r="AF2153">
        <v>6</v>
      </c>
      <c r="AG2153">
        <v>379</v>
      </c>
      <c r="AH2153" s="122">
        <v>2519</v>
      </c>
      <c r="AI2153" s="122">
        <v>112220</v>
      </c>
      <c r="AJ2153" s="122">
        <v>102018</v>
      </c>
      <c r="AK2153">
        <v>63</v>
      </c>
      <c r="AL2153">
        <v>0</v>
      </c>
      <c r="AM2153">
        <v>0</v>
      </c>
      <c r="AN2153" s="122">
        <v>6192</v>
      </c>
      <c r="AO2153" s="122">
        <v>2293</v>
      </c>
      <c r="AP2153" s="122">
        <v>1755</v>
      </c>
      <c r="AQ2153">
        <v>650</v>
      </c>
      <c r="AR2153" s="122">
        <v>25153</v>
      </c>
      <c r="AS2153" s="122">
        <v>22867</v>
      </c>
      <c r="AT2153" s="122">
        <v>12927</v>
      </c>
      <c r="AU2153" s="122">
        <v>4788</v>
      </c>
      <c r="AV2153" s="122">
        <v>132616</v>
      </c>
    </row>
    <row r="2154" spans="2:48" hidden="1">
      <c r="B2154" t="s">
        <v>377</v>
      </c>
      <c r="C2154" t="s">
        <v>60</v>
      </c>
      <c r="D2154" t="s">
        <v>427</v>
      </c>
      <c r="E2154" t="s">
        <v>137</v>
      </c>
      <c r="F2154" s="122">
        <v>1</v>
      </c>
      <c r="G2154" s="122">
        <v>53</v>
      </c>
      <c r="H2154" s="122">
        <v>344</v>
      </c>
      <c r="I2154" s="122">
        <v>11549</v>
      </c>
      <c r="J2154" s="122">
        <v>10499</v>
      </c>
      <c r="K2154" s="122">
        <v>60</v>
      </c>
      <c r="L2154" s="122">
        <v>1890</v>
      </c>
      <c r="M2154" s="122">
        <v>700</v>
      </c>
      <c r="N2154" s="122">
        <v>873</v>
      </c>
      <c r="O2154" s="122">
        <v>323</v>
      </c>
      <c r="P2154" s="122">
        <v>351</v>
      </c>
      <c r="Q2154" s="122">
        <v>130</v>
      </c>
      <c r="R2154" s="122">
        <v>3451</v>
      </c>
      <c r="S2154" s="122">
        <v>1278</v>
      </c>
      <c r="T2154" s="122">
        <v>0</v>
      </c>
      <c r="U2154" s="122">
        <v>0</v>
      </c>
      <c r="V2154" s="122">
        <v>12930</v>
      </c>
      <c r="W2154" s="122">
        <f t="shared" si="68"/>
        <v>12930</v>
      </c>
      <c r="X2154" s="122">
        <f t="shared" si="69"/>
        <v>18114</v>
      </c>
      <c r="AA2154" t="s">
        <v>62</v>
      </c>
      <c r="AB2154" t="s">
        <v>433</v>
      </c>
      <c r="AC2154" t="s">
        <v>566</v>
      </c>
      <c r="AD2154" t="s">
        <v>433</v>
      </c>
      <c r="AE2154" t="s">
        <v>566</v>
      </c>
      <c r="AF2154">
        <v>1</v>
      </c>
      <c r="AG2154">
        <v>92</v>
      </c>
      <c r="AH2154">
        <v>384</v>
      </c>
      <c r="AI2154" s="122">
        <v>26062</v>
      </c>
      <c r="AJ2154" s="122">
        <v>23692</v>
      </c>
      <c r="AK2154">
        <v>60</v>
      </c>
      <c r="AL2154" s="122">
        <v>0</v>
      </c>
      <c r="AM2154" s="122">
        <v>0</v>
      </c>
      <c r="AN2154" s="122">
        <v>1395</v>
      </c>
      <c r="AO2154">
        <v>517</v>
      </c>
      <c r="AP2154">
        <v>351</v>
      </c>
      <c r="AQ2154">
        <v>130</v>
      </c>
      <c r="AR2154" s="122">
        <v>7348</v>
      </c>
      <c r="AS2154" s="122">
        <v>6680</v>
      </c>
      <c r="AT2154">
        <v>0</v>
      </c>
      <c r="AU2154">
        <v>0</v>
      </c>
      <c r="AV2154" s="122">
        <v>31019</v>
      </c>
    </row>
    <row r="2155" spans="2:48" hidden="1">
      <c r="B2155" t="s">
        <v>377</v>
      </c>
      <c r="C2155" t="s">
        <v>60</v>
      </c>
      <c r="D2155" t="s">
        <v>427</v>
      </c>
      <c r="E2155" t="s">
        <v>427</v>
      </c>
      <c r="F2155" s="122">
        <v>3</v>
      </c>
      <c r="G2155" s="122">
        <v>330</v>
      </c>
      <c r="H2155" s="122">
        <v>1006</v>
      </c>
      <c r="I2155" s="122">
        <v>90723</v>
      </c>
      <c r="J2155" s="122">
        <v>82475</v>
      </c>
      <c r="K2155" s="122">
        <v>60</v>
      </c>
      <c r="L2155" s="122">
        <v>12890</v>
      </c>
      <c r="M2155" s="122">
        <v>6851</v>
      </c>
      <c r="N2155" s="122">
        <v>6944</v>
      </c>
      <c r="O2155" s="122">
        <v>2572</v>
      </c>
      <c r="P2155" s="122">
        <v>1053</v>
      </c>
      <c r="Q2155" s="122">
        <v>390</v>
      </c>
      <c r="R2155" s="122">
        <v>18517</v>
      </c>
      <c r="S2155" s="122">
        <v>16834</v>
      </c>
      <c r="T2155" s="122">
        <v>9957</v>
      </c>
      <c r="U2155" s="122">
        <v>3688</v>
      </c>
      <c r="V2155" s="122">
        <v>112810</v>
      </c>
      <c r="W2155" s="122">
        <f t="shared" si="68"/>
        <v>112810</v>
      </c>
      <c r="X2155" s="122">
        <f t="shared" si="69"/>
        <v>140084</v>
      </c>
      <c r="AA2155" t="s">
        <v>62</v>
      </c>
      <c r="AB2155" t="s">
        <v>433</v>
      </c>
      <c r="AC2155" t="s">
        <v>433</v>
      </c>
      <c r="AD2155" t="s">
        <v>137</v>
      </c>
      <c r="AE2155" t="s">
        <v>566</v>
      </c>
      <c r="AF2155">
        <v>2</v>
      </c>
      <c r="AG2155" s="122">
        <v>113</v>
      </c>
      <c r="AH2155" s="122">
        <v>825</v>
      </c>
      <c r="AI2155" s="122">
        <v>30163</v>
      </c>
      <c r="AJ2155" s="122">
        <v>27421</v>
      </c>
      <c r="AK2155">
        <v>60</v>
      </c>
      <c r="AL2155" s="122">
        <v>6242</v>
      </c>
      <c r="AM2155" s="122">
        <v>5674</v>
      </c>
      <c r="AN2155" s="122">
        <v>1455</v>
      </c>
      <c r="AO2155" s="122">
        <v>539</v>
      </c>
      <c r="AP2155" s="122">
        <v>414</v>
      </c>
      <c r="AQ2155" s="122">
        <v>153</v>
      </c>
      <c r="AR2155" s="122">
        <v>8379</v>
      </c>
      <c r="AS2155" s="122">
        <v>3103</v>
      </c>
      <c r="AT2155" s="122">
        <v>0</v>
      </c>
      <c r="AU2155" s="122">
        <v>0</v>
      </c>
      <c r="AV2155" s="122">
        <v>36891</v>
      </c>
    </row>
    <row r="2156" spans="2:48" hidden="1">
      <c r="B2156" t="s">
        <v>377</v>
      </c>
      <c r="C2156" t="s">
        <v>60</v>
      </c>
      <c r="D2156" t="s">
        <v>407</v>
      </c>
      <c r="E2156" t="s">
        <v>407</v>
      </c>
      <c r="F2156" s="122">
        <v>4</v>
      </c>
      <c r="G2156" s="122">
        <v>478</v>
      </c>
      <c r="H2156" s="122">
        <v>1281</v>
      </c>
      <c r="I2156" s="122">
        <v>93091</v>
      </c>
      <c r="J2156" s="122">
        <v>84629</v>
      </c>
      <c r="K2156" s="122">
        <v>87</v>
      </c>
      <c r="L2156" s="122">
        <v>28861</v>
      </c>
      <c r="M2156" s="122">
        <v>26238</v>
      </c>
      <c r="N2156" s="122">
        <v>8107</v>
      </c>
      <c r="O2156" s="122">
        <v>3003</v>
      </c>
      <c r="P2156" s="122">
        <v>1890</v>
      </c>
      <c r="Q2156" s="122">
        <v>700</v>
      </c>
      <c r="R2156" s="122">
        <v>18018</v>
      </c>
      <c r="S2156" s="122">
        <v>16380</v>
      </c>
      <c r="T2156" s="122">
        <v>3053</v>
      </c>
      <c r="U2156" s="122">
        <v>1131</v>
      </c>
      <c r="V2156" s="122">
        <v>132080</v>
      </c>
      <c r="W2156" s="122">
        <f t="shared" si="68"/>
        <v>132081</v>
      </c>
      <c r="X2156" s="122">
        <f t="shared" si="69"/>
        <v>153020</v>
      </c>
      <c r="AA2156" t="s">
        <v>62</v>
      </c>
      <c r="AB2156" t="s">
        <v>433</v>
      </c>
      <c r="AC2156" t="s">
        <v>433</v>
      </c>
      <c r="AD2156" t="s">
        <v>433</v>
      </c>
      <c r="AE2156" t="s">
        <v>137</v>
      </c>
      <c r="AF2156">
        <v>15</v>
      </c>
      <c r="AG2156" s="122">
        <v>1527</v>
      </c>
      <c r="AH2156" s="122">
        <v>6323</v>
      </c>
      <c r="AI2156" s="122">
        <v>435389</v>
      </c>
      <c r="AJ2156" s="122">
        <v>395809</v>
      </c>
      <c r="AK2156">
        <v>56</v>
      </c>
      <c r="AL2156" s="122">
        <v>62969</v>
      </c>
      <c r="AM2156" s="122">
        <v>57245</v>
      </c>
      <c r="AN2156" s="122">
        <v>31745</v>
      </c>
      <c r="AO2156" s="122">
        <v>11757</v>
      </c>
      <c r="AP2156" s="122">
        <v>5265</v>
      </c>
      <c r="AQ2156" s="122">
        <v>1950</v>
      </c>
      <c r="AR2156" s="122">
        <v>92838</v>
      </c>
      <c r="AS2156" s="122">
        <v>84398</v>
      </c>
      <c r="AT2156" s="122">
        <v>38087</v>
      </c>
      <c r="AU2156" s="122">
        <v>14106</v>
      </c>
      <c r="AV2156" s="122">
        <v>565265</v>
      </c>
    </row>
    <row r="2157" spans="2:48" hidden="1">
      <c r="B2157" t="s">
        <v>377</v>
      </c>
      <c r="C2157" t="s">
        <v>60</v>
      </c>
      <c r="D2157" t="s">
        <v>556</v>
      </c>
      <c r="E2157" t="s">
        <v>556</v>
      </c>
      <c r="F2157" s="122">
        <v>1</v>
      </c>
      <c r="G2157" s="122">
        <v>47</v>
      </c>
      <c r="H2157" s="122">
        <v>377</v>
      </c>
      <c r="I2157" s="122">
        <v>10730</v>
      </c>
      <c r="J2157" s="122">
        <v>8942</v>
      </c>
      <c r="K2157" s="122">
        <v>65</v>
      </c>
      <c r="L2157" s="122">
        <v>0</v>
      </c>
      <c r="M2157" s="122">
        <v>0</v>
      </c>
      <c r="N2157" s="122">
        <v>950</v>
      </c>
      <c r="O2157" s="122">
        <v>352</v>
      </c>
      <c r="P2157" s="122">
        <v>351</v>
      </c>
      <c r="Q2157" s="122">
        <v>130</v>
      </c>
      <c r="R2157" s="122">
        <v>3867</v>
      </c>
      <c r="S2157" s="122">
        <v>3222</v>
      </c>
      <c r="T2157" s="122">
        <v>1698</v>
      </c>
      <c r="U2157" s="122">
        <v>629</v>
      </c>
      <c r="V2157" s="122">
        <v>13275</v>
      </c>
      <c r="W2157" s="122">
        <f t="shared" si="68"/>
        <v>13275</v>
      </c>
      <c r="X2157" s="122">
        <f t="shared" si="69"/>
        <v>17596</v>
      </c>
      <c r="AA2157" t="s">
        <v>62</v>
      </c>
      <c r="AB2157" t="s">
        <v>408</v>
      </c>
      <c r="AC2157" t="s">
        <v>137</v>
      </c>
      <c r="AD2157" t="s">
        <v>408</v>
      </c>
      <c r="AE2157" t="s">
        <v>137</v>
      </c>
      <c r="AF2157">
        <v>1</v>
      </c>
      <c r="AG2157">
        <v>72</v>
      </c>
      <c r="AH2157">
        <v>405</v>
      </c>
      <c r="AI2157" s="122">
        <v>17746</v>
      </c>
      <c r="AJ2157" s="122">
        <v>16133</v>
      </c>
      <c r="AK2157">
        <v>65</v>
      </c>
      <c r="AL2157" s="122">
        <v>3146</v>
      </c>
      <c r="AM2157" s="122">
        <v>1165</v>
      </c>
      <c r="AN2157" s="122">
        <v>1155</v>
      </c>
      <c r="AO2157">
        <v>428</v>
      </c>
      <c r="AP2157">
        <v>351</v>
      </c>
      <c r="AQ2157">
        <v>130</v>
      </c>
      <c r="AR2157" s="122">
        <v>4338</v>
      </c>
      <c r="AS2157" s="122">
        <v>3944</v>
      </c>
      <c r="AT2157" s="122">
        <v>2322</v>
      </c>
      <c r="AU2157">
        <v>860</v>
      </c>
      <c r="AV2157" s="122">
        <v>22660</v>
      </c>
    </row>
    <row r="2158" spans="2:48" hidden="1">
      <c r="B2158" t="s">
        <v>377</v>
      </c>
      <c r="C2158" t="s">
        <v>60</v>
      </c>
      <c r="D2158" t="s">
        <v>428</v>
      </c>
      <c r="E2158" t="s">
        <v>428</v>
      </c>
      <c r="F2158" s="122">
        <v>3</v>
      </c>
      <c r="G2158" s="122">
        <v>290</v>
      </c>
      <c r="H2158" s="122">
        <v>967</v>
      </c>
      <c r="I2158" s="122">
        <v>49558</v>
      </c>
      <c r="J2158" s="122">
        <v>45053</v>
      </c>
      <c r="K2158" s="122">
        <v>69</v>
      </c>
      <c r="L2158" s="122">
        <v>17494</v>
      </c>
      <c r="M2158" s="122">
        <v>13265</v>
      </c>
      <c r="N2158" s="122">
        <v>6521</v>
      </c>
      <c r="O2158" s="122">
        <v>2415</v>
      </c>
      <c r="P2158" s="122">
        <v>702</v>
      </c>
      <c r="Q2158" s="122">
        <v>260</v>
      </c>
      <c r="R2158" s="122">
        <v>11819</v>
      </c>
      <c r="S2158" s="122">
        <v>10745</v>
      </c>
      <c r="T2158" s="122">
        <v>7004</v>
      </c>
      <c r="U2158" s="122">
        <v>2594</v>
      </c>
      <c r="V2158" s="122">
        <v>74333</v>
      </c>
      <c r="W2158" s="122">
        <f t="shared" si="68"/>
        <v>74332</v>
      </c>
      <c r="X2158" s="122">
        <f t="shared" si="69"/>
        <v>93098</v>
      </c>
      <c r="AA2158" t="s">
        <v>62</v>
      </c>
      <c r="AB2158" t="s">
        <v>408</v>
      </c>
      <c r="AC2158" t="s">
        <v>137</v>
      </c>
      <c r="AD2158" t="s">
        <v>408</v>
      </c>
      <c r="AE2158" t="s">
        <v>566</v>
      </c>
      <c r="AF2158">
        <v>1</v>
      </c>
      <c r="AG2158">
        <v>35</v>
      </c>
      <c r="AH2158">
        <v>432</v>
      </c>
      <c r="AI2158" s="122">
        <v>19440</v>
      </c>
      <c r="AJ2158" s="122">
        <v>17672</v>
      </c>
      <c r="AK2158">
        <v>87</v>
      </c>
      <c r="AL2158" s="122">
        <v>4612</v>
      </c>
      <c r="AM2158" s="122">
        <v>1708</v>
      </c>
      <c r="AN2158" s="122">
        <v>1681</v>
      </c>
      <c r="AO2158">
        <v>622</v>
      </c>
      <c r="AP2158">
        <v>351</v>
      </c>
      <c r="AQ2158">
        <v>130</v>
      </c>
      <c r="AR2158" s="122">
        <v>3828</v>
      </c>
      <c r="AS2158" s="122">
        <v>3480</v>
      </c>
      <c r="AT2158">
        <v>0</v>
      </c>
      <c r="AU2158">
        <v>0</v>
      </c>
      <c r="AV2158" s="122">
        <v>23613</v>
      </c>
    </row>
    <row r="2159" spans="2:48" hidden="1">
      <c r="B2159" t="s">
        <v>377</v>
      </c>
      <c r="C2159" t="s">
        <v>60</v>
      </c>
      <c r="D2159" t="s">
        <v>431</v>
      </c>
      <c r="E2159" t="s">
        <v>431</v>
      </c>
      <c r="F2159" s="122">
        <v>23</v>
      </c>
      <c r="G2159" s="122">
        <v>2633</v>
      </c>
      <c r="H2159" s="122">
        <v>7934</v>
      </c>
      <c r="I2159" s="122">
        <v>595895</v>
      </c>
      <c r="J2159" s="122">
        <v>541722</v>
      </c>
      <c r="K2159" s="122">
        <v>58</v>
      </c>
      <c r="L2159" s="122">
        <v>95261</v>
      </c>
      <c r="M2159" s="122">
        <v>88357</v>
      </c>
      <c r="N2159" s="122">
        <v>53862</v>
      </c>
      <c r="O2159" s="122">
        <v>19949</v>
      </c>
      <c r="P2159" s="122">
        <v>8613</v>
      </c>
      <c r="Q2159" s="122">
        <v>3190</v>
      </c>
      <c r="R2159" s="122">
        <v>132355</v>
      </c>
      <c r="S2159" s="122">
        <v>120323</v>
      </c>
      <c r="T2159" s="122">
        <v>44983</v>
      </c>
      <c r="U2159" s="122">
        <v>16660</v>
      </c>
      <c r="V2159" s="122">
        <v>790202</v>
      </c>
      <c r="W2159" s="122">
        <f t="shared" si="68"/>
        <v>790201</v>
      </c>
      <c r="X2159" s="122">
        <f t="shared" si="69"/>
        <v>930969</v>
      </c>
      <c r="AA2159" t="s">
        <v>62</v>
      </c>
      <c r="AB2159" t="s">
        <v>408</v>
      </c>
      <c r="AC2159" t="s">
        <v>580</v>
      </c>
      <c r="AD2159" t="s">
        <v>408</v>
      </c>
      <c r="AE2159" t="s">
        <v>566</v>
      </c>
      <c r="AF2159">
        <v>1</v>
      </c>
      <c r="AG2159">
        <v>104</v>
      </c>
      <c r="AH2159">
        <v>438</v>
      </c>
      <c r="AI2159" s="122">
        <v>31750</v>
      </c>
      <c r="AJ2159" s="122">
        <v>28864</v>
      </c>
      <c r="AK2159">
        <v>65</v>
      </c>
      <c r="AL2159" s="122">
        <v>3276</v>
      </c>
      <c r="AM2159" s="122">
        <v>2978</v>
      </c>
      <c r="AN2159" s="122">
        <v>1892</v>
      </c>
      <c r="AO2159" s="122">
        <v>701</v>
      </c>
      <c r="AP2159">
        <v>351</v>
      </c>
      <c r="AQ2159">
        <v>130</v>
      </c>
      <c r="AR2159" s="122">
        <v>8114</v>
      </c>
      <c r="AS2159" s="122">
        <v>7376</v>
      </c>
      <c r="AT2159" s="122">
        <v>0</v>
      </c>
      <c r="AU2159" s="122">
        <v>0</v>
      </c>
      <c r="AV2159" s="122">
        <v>40048</v>
      </c>
    </row>
    <row r="2160" spans="2:48" hidden="1">
      <c r="B2160" t="s">
        <v>377</v>
      </c>
      <c r="C2160" t="s">
        <v>60</v>
      </c>
      <c r="D2160" t="s">
        <v>426</v>
      </c>
      <c r="E2160" t="s">
        <v>137</v>
      </c>
      <c r="F2160" s="122">
        <v>1</v>
      </c>
      <c r="G2160" s="122">
        <v>131</v>
      </c>
      <c r="H2160" s="122">
        <v>329</v>
      </c>
      <c r="I2160" s="122">
        <v>29808</v>
      </c>
      <c r="J2160" s="122">
        <v>27098</v>
      </c>
      <c r="K2160" s="122">
        <v>60</v>
      </c>
      <c r="L2160" s="122">
        <v>3312</v>
      </c>
      <c r="M2160" s="122">
        <v>3011</v>
      </c>
      <c r="N2160" s="122">
        <v>2778</v>
      </c>
      <c r="O2160" s="122">
        <v>1029</v>
      </c>
      <c r="P2160" s="122">
        <v>0</v>
      </c>
      <c r="Q2160" s="122">
        <v>0</v>
      </c>
      <c r="R2160" s="122">
        <v>7152</v>
      </c>
      <c r="S2160" s="122">
        <v>2649</v>
      </c>
      <c r="T2160" s="122">
        <v>0</v>
      </c>
      <c r="U2160" s="122">
        <v>0</v>
      </c>
      <c r="V2160" s="122">
        <v>33787</v>
      </c>
      <c r="W2160" s="122">
        <f t="shared" si="68"/>
        <v>33787</v>
      </c>
      <c r="X2160" s="122">
        <f t="shared" si="69"/>
        <v>43050</v>
      </c>
      <c r="AA2160" t="s">
        <v>62</v>
      </c>
      <c r="AB2160" t="s">
        <v>408</v>
      </c>
      <c r="AC2160" t="s">
        <v>427</v>
      </c>
      <c r="AD2160" t="s">
        <v>408</v>
      </c>
      <c r="AE2160" t="s">
        <v>137</v>
      </c>
      <c r="AF2160">
        <v>1</v>
      </c>
      <c r="AG2160">
        <v>247</v>
      </c>
      <c r="AH2160">
        <v>401</v>
      </c>
      <c r="AI2160" s="122">
        <v>69585</v>
      </c>
      <c r="AJ2160" s="122">
        <v>63259</v>
      </c>
      <c r="AK2160">
        <v>65</v>
      </c>
      <c r="AL2160" s="122">
        <v>16752</v>
      </c>
      <c r="AM2160" s="122">
        <v>15229</v>
      </c>
      <c r="AN2160" s="122">
        <v>3012</v>
      </c>
      <c r="AO2160" s="122">
        <v>1116</v>
      </c>
      <c r="AP2160">
        <v>351</v>
      </c>
      <c r="AQ2160">
        <v>130</v>
      </c>
      <c r="AR2160" s="122">
        <v>5563</v>
      </c>
      <c r="AS2160" s="122">
        <v>5057</v>
      </c>
      <c r="AT2160" s="122">
        <v>3828</v>
      </c>
      <c r="AU2160" s="122">
        <v>1418</v>
      </c>
      <c r="AV2160" s="122">
        <v>86208</v>
      </c>
    </row>
    <row r="2161" spans="2:48" hidden="1">
      <c r="B2161" t="s">
        <v>377</v>
      </c>
      <c r="C2161" t="s">
        <v>60</v>
      </c>
      <c r="D2161" t="s">
        <v>426</v>
      </c>
      <c r="E2161" t="s">
        <v>406</v>
      </c>
      <c r="F2161" s="122">
        <v>1</v>
      </c>
      <c r="G2161" s="122">
        <v>68</v>
      </c>
      <c r="H2161" s="122">
        <v>360</v>
      </c>
      <c r="I2161" s="122">
        <v>13871</v>
      </c>
      <c r="J2161" s="122">
        <v>12610</v>
      </c>
      <c r="K2161" s="122">
        <v>65</v>
      </c>
      <c r="L2161" s="122">
        <v>2459</v>
      </c>
      <c r="M2161" s="122">
        <v>911</v>
      </c>
      <c r="N2161" s="122">
        <v>1243</v>
      </c>
      <c r="O2161" s="122">
        <v>460</v>
      </c>
      <c r="P2161" s="122">
        <v>351</v>
      </c>
      <c r="Q2161" s="122">
        <v>130</v>
      </c>
      <c r="R2161" s="122">
        <v>6544</v>
      </c>
      <c r="S2161" s="122">
        <v>5950</v>
      </c>
      <c r="T2161" s="122">
        <v>0</v>
      </c>
      <c r="U2161" s="122">
        <v>0</v>
      </c>
      <c r="V2161" s="122">
        <v>20060</v>
      </c>
      <c r="W2161" s="122">
        <f t="shared" si="68"/>
        <v>20061</v>
      </c>
      <c r="X2161" s="122">
        <f t="shared" si="69"/>
        <v>24468</v>
      </c>
      <c r="AA2161" t="s">
        <v>62</v>
      </c>
      <c r="AB2161" t="s">
        <v>408</v>
      </c>
      <c r="AC2161" t="s">
        <v>427</v>
      </c>
      <c r="AD2161" t="s">
        <v>408</v>
      </c>
      <c r="AE2161" t="s">
        <v>566</v>
      </c>
      <c r="AF2161">
        <v>1</v>
      </c>
      <c r="AG2161">
        <v>202</v>
      </c>
      <c r="AH2161">
        <v>385</v>
      </c>
      <c r="AI2161" s="122">
        <v>50981</v>
      </c>
      <c r="AJ2161" s="122">
        <v>46346</v>
      </c>
      <c r="AK2161">
        <v>86</v>
      </c>
      <c r="AL2161" s="122">
        <v>16314</v>
      </c>
      <c r="AM2161" s="122">
        <v>14831</v>
      </c>
      <c r="AN2161" s="122">
        <v>3249</v>
      </c>
      <c r="AO2161" s="122">
        <v>1203</v>
      </c>
      <c r="AP2161">
        <v>621</v>
      </c>
      <c r="AQ2161">
        <v>230</v>
      </c>
      <c r="AR2161" s="122">
        <v>6613</v>
      </c>
      <c r="AS2161" s="122">
        <v>6012</v>
      </c>
      <c r="AT2161">
        <v>0</v>
      </c>
      <c r="AU2161">
        <v>0</v>
      </c>
      <c r="AV2161" s="122">
        <v>68623</v>
      </c>
    </row>
    <row r="2162" spans="2:48" hidden="1">
      <c r="B2162" t="s">
        <v>377</v>
      </c>
      <c r="C2162" t="s">
        <v>60</v>
      </c>
      <c r="D2162" t="s">
        <v>426</v>
      </c>
      <c r="E2162" t="s">
        <v>426</v>
      </c>
      <c r="F2162" s="122">
        <v>172</v>
      </c>
      <c r="G2162" s="122">
        <v>17038</v>
      </c>
      <c r="H2162" s="122">
        <v>59144</v>
      </c>
      <c r="I2162" s="122">
        <v>3698134</v>
      </c>
      <c r="J2162" s="122">
        <v>3361940</v>
      </c>
      <c r="K2162" s="122">
        <v>60</v>
      </c>
      <c r="L2162" s="122">
        <v>549651</v>
      </c>
      <c r="M2162" s="122">
        <v>464573</v>
      </c>
      <c r="N2162" s="122">
        <v>358933</v>
      </c>
      <c r="O2162" s="122">
        <v>132938</v>
      </c>
      <c r="P2162" s="122">
        <v>71307</v>
      </c>
      <c r="Q2162" s="122">
        <v>26410</v>
      </c>
      <c r="R2162" s="122">
        <v>963639</v>
      </c>
      <c r="S2162" s="122">
        <v>876035</v>
      </c>
      <c r="T2162" s="122">
        <v>352720</v>
      </c>
      <c r="U2162" s="122">
        <v>130637</v>
      </c>
      <c r="V2162" s="122">
        <v>4992533</v>
      </c>
      <c r="W2162" s="122">
        <f t="shared" si="68"/>
        <v>4992533</v>
      </c>
      <c r="X2162" s="122">
        <f t="shared" si="69"/>
        <v>5994384</v>
      </c>
      <c r="AA2162" t="s">
        <v>62</v>
      </c>
      <c r="AB2162" t="s">
        <v>408</v>
      </c>
      <c r="AC2162" t="s">
        <v>579</v>
      </c>
      <c r="AD2162" t="s">
        <v>408</v>
      </c>
      <c r="AE2162" t="s">
        <v>137</v>
      </c>
      <c r="AF2162">
        <v>1</v>
      </c>
      <c r="AG2162">
        <v>74</v>
      </c>
      <c r="AH2162">
        <v>404</v>
      </c>
      <c r="AI2162" s="122">
        <v>17359</v>
      </c>
      <c r="AJ2162" s="122">
        <v>15780</v>
      </c>
      <c r="AK2162">
        <v>82</v>
      </c>
      <c r="AL2162" s="122">
        <v>5758</v>
      </c>
      <c r="AM2162" s="122">
        <v>4798</v>
      </c>
      <c r="AN2162" s="122">
        <v>1805</v>
      </c>
      <c r="AO2162">
        <v>668</v>
      </c>
      <c r="AP2162">
        <v>351</v>
      </c>
      <c r="AQ2162">
        <v>130</v>
      </c>
      <c r="AR2162" s="122">
        <v>4637</v>
      </c>
      <c r="AS2162" s="122">
        <v>4215</v>
      </c>
      <c r="AT2162">
        <v>0</v>
      </c>
      <c r="AU2162">
        <v>0</v>
      </c>
      <c r="AV2162" s="122">
        <v>25593</v>
      </c>
    </row>
    <row r="2163" spans="2:48" hidden="1">
      <c r="B2163" t="s">
        <v>377</v>
      </c>
      <c r="C2163" t="s">
        <v>60</v>
      </c>
      <c r="D2163" t="s">
        <v>433</v>
      </c>
      <c r="E2163" t="s">
        <v>433</v>
      </c>
      <c r="F2163" s="122">
        <v>3</v>
      </c>
      <c r="G2163" s="122">
        <v>275</v>
      </c>
      <c r="H2163" s="122">
        <v>1059</v>
      </c>
      <c r="I2163" s="122">
        <v>65414</v>
      </c>
      <c r="J2163" s="122">
        <v>59468</v>
      </c>
      <c r="K2163" s="122">
        <v>62</v>
      </c>
      <c r="L2163" s="122">
        <v>5766</v>
      </c>
      <c r="M2163" s="122">
        <v>5242</v>
      </c>
      <c r="N2163" s="122">
        <v>4909</v>
      </c>
      <c r="O2163" s="122">
        <v>1818</v>
      </c>
      <c r="P2163" s="122">
        <v>1053</v>
      </c>
      <c r="Q2163" s="122">
        <v>390</v>
      </c>
      <c r="R2163" s="122">
        <v>12586</v>
      </c>
      <c r="S2163" s="122">
        <v>11442</v>
      </c>
      <c r="T2163" s="122">
        <v>6635</v>
      </c>
      <c r="U2163" s="122">
        <v>2457</v>
      </c>
      <c r="V2163" s="122">
        <v>80817</v>
      </c>
      <c r="W2163" s="122">
        <f t="shared" si="68"/>
        <v>80817</v>
      </c>
      <c r="X2163" s="122">
        <f t="shared" si="69"/>
        <v>96363</v>
      </c>
      <c r="AA2163" t="s">
        <v>62</v>
      </c>
      <c r="AB2163" t="s">
        <v>408</v>
      </c>
      <c r="AC2163" t="s">
        <v>579</v>
      </c>
      <c r="AD2163" t="s">
        <v>408</v>
      </c>
      <c r="AE2163" t="s">
        <v>566</v>
      </c>
      <c r="AF2163">
        <v>1</v>
      </c>
      <c r="AG2163">
        <v>108</v>
      </c>
      <c r="AH2163">
        <v>420</v>
      </c>
      <c r="AI2163" s="122">
        <v>31844</v>
      </c>
      <c r="AJ2163" s="122">
        <v>28949</v>
      </c>
      <c r="AK2163">
        <v>65</v>
      </c>
      <c r="AL2163" s="122">
        <v>5575</v>
      </c>
      <c r="AM2163" s="122">
        <v>4646</v>
      </c>
      <c r="AN2163" s="122">
        <v>1844</v>
      </c>
      <c r="AO2163" s="122">
        <v>683</v>
      </c>
      <c r="AP2163">
        <v>351</v>
      </c>
      <c r="AQ2163">
        <v>130</v>
      </c>
      <c r="AR2163" s="122">
        <v>5837</v>
      </c>
      <c r="AS2163" s="122">
        <v>5306</v>
      </c>
      <c r="AT2163">
        <v>0</v>
      </c>
      <c r="AU2163">
        <v>0</v>
      </c>
      <c r="AV2163" s="122">
        <v>39714</v>
      </c>
    </row>
    <row r="2164" spans="2:48" hidden="1">
      <c r="B2164" t="s">
        <v>377</v>
      </c>
      <c r="C2164" t="s">
        <v>60</v>
      </c>
      <c r="D2164" t="s">
        <v>408</v>
      </c>
      <c r="E2164" t="s">
        <v>408</v>
      </c>
      <c r="F2164" s="122">
        <v>2</v>
      </c>
      <c r="G2164" s="122">
        <v>218</v>
      </c>
      <c r="H2164" s="122">
        <v>702</v>
      </c>
      <c r="I2164" s="122">
        <v>61455</v>
      </c>
      <c r="J2164" s="122">
        <v>55868</v>
      </c>
      <c r="K2164" s="122">
        <v>87</v>
      </c>
      <c r="L2164" s="122">
        <v>13876</v>
      </c>
      <c r="M2164" s="122">
        <v>12615</v>
      </c>
      <c r="N2164" s="122">
        <v>5529</v>
      </c>
      <c r="O2164" s="122">
        <v>2048</v>
      </c>
      <c r="P2164" s="122">
        <v>1242</v>
      </c>
      <c r="Q2164" s="122">
        <v>460</v>
      </c>
      <c r="R2164" s="122">
        <v>10979</v>
      </c>
      <c r="S2164" s="122">
        <v>9981</v>
      </c>
      <c r="T2164" s="122">
        <v>0</v>
      </c>
      <c r="U2164" s="122">
        <v>0</v>
      </c>
      <c r="V2164" s="122">
        <v>80971</v>
      </c>
      <c r="W2164" s="122">
        <f t="shared" si="68"/>
        <v>80972</v>
      </c>
      <c r="X2164" s="122">
        <f t="shared" si="69"/>
        <v>93081</v>
      </c>
      <c r="AA2164" t="s">
        <v>62</v>
      </c>
      <c r="AB2164" t="s">
        <v>408</v>
      </c>
      <c r="AC2164" t="s">
        <v>426</v>
      </c>
      <c r="AD2164" t="s">
        <v>137</v>
      </c>
      <c r="AE2164" t="s">
        <v>566</v>
      </c>
      <c r="AF2164">
        <v>1</v>
      </c>
      <c r="AG2164">
        <v>122</v>
      </c>
      <c r="AH2164" s="122">
        <v>448</v>
      </c>
      <c r="AI2164" s="122">
        <v>40568</v>
      </c>
      <c r="AJ2164" s="122">
        <v>36880</v>
      </c>
      <c r="AK2164">
        <v>65</v>
      </c>
      <c r="AL2164" s="122">
        <v>4883</v>
      </c>
      <c r="AM2164" s="122">
        <v>4439</v>
      </c>
      <c r="AN2164" s="122">
        <v>2965</v>
      </c>
      <c r="AO2164" s="122">
        <v>1098</v>
      </c>
      <c r="AP2164" s="122">
        <v>351</v>
      </c>
      <c r="AQ2164">
        <v>130</v>
      </c>
      <c r="AR2164" s="122">
        <v>5796</v>
      </c>
      <c r="AS2164" s="122">
        <v>2146</v>
      </c>
      <c r="AT2164" s="122">
        <v>0</v>
      </c>
      <c r="AU2164" s="122">
        <v>0</v>
      </c>
      <c r="AV2164" s="122">
        <v>44694</v>
      </c>
    </row>
    <row r="2165" spans="2:48" hidden="1">
      <c r="B2165" t="s">
        <v>377</v>
      </c>
      <c r="C2165" t="s">
        <v>60</v>
      </c>
      <c r="D2165" t="s">
        <v>429</v>
      </c>
      <c r="E2165" t="s">
        <v>429</v>
      </c>
      <c r="F2165" s="122">
        <v>2</v>
      </c>
      <c r="G2165" s="122">
        <v>273</v>
      </c>
      <c r="H2165" s="122">
        <v>692</v>
      </c>
      <c r="I2165" s="122">
        <v>60715</v>
      </c>
      <c r="J2165" s="122">
        <v>55195</v>
      </c>
      <c r="K2165" s="122">
        <v>86</v>
      </c>
      <c r="L2165" s="122">
        <v>13610</v>
      </c>
      <c r="M2165" s="122">
        <v>12372</v>
      </c>
      <c r="N2165" s="122">
        <v>5267</v>
      </c>
      <c r="O2165" s="122">
        <v>1951</v>
      </c>
      <c r="P2165" s="122">
        <v>1053</v>
      </c>
      <c r="Q2165" s="122">
        <v>390</v>
      </c>
      <c r="R2165" s="122">
        <v>7719</v>
      </c>
      <c r="S2165" s="122">
        <v>7018</v>
      </c>
      <c r="T2165" s="122">
        <v>5870</v>
      </c>
      <c r="U2165" s="122">
        <v>2174</v>
      </c>
      <c r="V2165" s="122">
        <v>79100</v>
      </c>
      <c r="W2165" s="122">
        <f t="shared" si="68"/>
        <v>79100</v>
      </c>
      <c r="X2165" s="122">
        <f t="shared" si="69"/>
        <v>94234</v>
      </c>
      <c r="AA2165" t="s">
        <v>62</v>
      </c>
      <c r="AB2165" t="s">
        <v>408</v>
      </c>
      <c r="AC2165" t="s">
        <v>426</v>
      </c>
      <c r="AD2165" t="s">
        <v>408</v>
      </c>
      <c r="AE2165" t="s">
        <v>137</v>
      </c>
      <c r="AF2165">
        <v>4</v>
      </c>
      <c r="AG2165">
        <v>531</v>
      </c>
      <c r="AH2165" s="122">
        <v>1628</v>
      </c>
      <c r="AI2165" s="122">
        <v>147242</v>
      </c>
      <c r="AJ2165" s="122">
        <v>133857</v>
      </c>
      <c r="AK2165">
        <v>65</v>
      </c>
      <c r="AL2165" s="122">
        <v>27724</v>
      </c>
      <c r="AM2165" s="122">
        <v>25203</v>
      </c>
      <c r="AN2165" s="122">
        <v>11541</v>
      </c>
      <c r="AO2165" s="122">
        <v>4275</v>
      </c>
      <c r="AP2165" s="122">
        <v>1755</v>
      </c>
      <c r="AQ2165">
        <v>650</v>
      </c>
      <c r="AR2165" s="122">
        <v>18565</v>
      </c>
      <c r="AS2165" s="122">
        <v>16877</v>
      </c>
      <c r="AT2165" s="122">
        <v>9374</v>
      </c>
      <c r="AU2165" s="122">
        <v>3472</v>
      </c>
      <c r="AV2165" s="122">
        <v>184334</v>
      </c>
    </row>
    <row r="2166" spans="2:48" hidden="1">
      <c r="B2166" t="s">
        <v>377</v>
      </c>
      <c r="C2166" t="s">
        <v>62</v>
      </c>
      <c r="F2166" s="122">
        <v>1</v>
      </c>
      <c r="G2166" s="122">
        <v>110</v>
      </c>
      <c r="H2166" s="122">
        <v>390</v>
      </c>
      <c r="I2166" s="122"/>
      <c r="J2166" s="122">
        <v>0</v>
      </c>
      <c r="K2166" s="122"/>
      <c r="L2166" s="122"/>
      <c r="M2166" s="122">
        <v>0</v>
      </c>
      <c r="N2166" s="122">
        <v>2488</v>
      </c>
      <c r="O2166" s="122">
        <v>922</v>
      </c>
      <c r="P2166" s="122">
        <v>621</v>
      </c>
      <c r="Q2166" s="122">
        <v>230</v>
      </c>
      <c r="R2166" s="122"/>
      <c r="S2166" s="122">
        <v>0</v>
      </c>
      <c r="T2166" s="122">
        <v>2469</v>
      </c>
      <c r="U2166" s="122">
        <v>914</v>
      </c>
      <c r="V2166" s="122">
        <v>2066</v>
      </c>
      <c r="W2166" s="122">
        <f t="shared" si="68"/>
        <v>2066</v>
      </c>
      <c r="X2166" s="122">
        <f t="shared" si="69"/>
        <v>5578</v>
      </c>
      <c r="AA2166" t="s">
        <v>62</v>
      </c>
      <c r="AB2166" t="s">
        <v>408</v>
      </c>
      <c r="AC2166" t="s">
        <v>426</v>
      </c>
      <c r="AD2166" t="s">
        <v>408</v>
      </c>
      <c r="AE2166" t="s">
        <v>566</v>
      </c>
      <c r="AF2166">
        <v>3</v>
      </c>
      <c r="AG2166">
        <v>600</v>
      </c>
      <c r="AH2166" s="122">
        <v>1202</v>
      </c>
      <c r="AI2166" s="122">
        <v>178585</v>
      </c>
      <c r="AJ2166" s="122">
        <v>162350</v>
      </c>
      <c r="AK2166">
        <v>72</v>
      </c>
      <c r="AL2166" s="122">
        <v>30753</v>
      </c>
      <c r="AM2166" s="122">
        <v>27957</v>
      </c>
      <c r="AN2166" s="122">
        <v>10805</v>
      </c>
      <c r="AO2166" s="122">
        <v>4002</v>
      </c>
      <c r="AP2166" s="122">
        <v>1323</v>
      </c>
      <c r="AQ2166">
        <v>490</v>
      </c>
      <c r="AR2166" s="122">
        <v>20549</v>
      </c>
      <c r="AS2166" s="122">
        <v>18681</v>
      </c>
      <c r="AT2166">
        <v>0</v>
      </c>
      <c r="AU2166">
        <v>0</v>
      </c>
      <c r="AV2166" s="122">
        <v>213480</v>
      </c>
    </row>
    <row r="2167" spans="2:48" hidden="1">
      <c r="B2167" t="s">
        <v>377</v>
      </c>
      <c r="C2167" t="s">
        <v>62</v>
      </c>
      <c r="D2167" t="s">
        <v>425</v>
      </c>
      <c r="E2167" t="s">
        <v>425</v>
      </c>
      <c r="F2167" s="122">
        <v>1</v>
      </c>
      <c r="G2167" s="122">
        <v>82</v>
      </c>
      <c r="H2167" s="122">
        <v>412</v>
      </c>
      <c r="I2167" s="122">
        <v>25546</v>
      </c>
      <c r="J2167" s="122">
        <v>23223</v>
      </c>
      <c r="K2167" s="122">
        <v>89</v>
      </c>
      <c r="L2167" s="122">
        <v>4002</v>
      </c>
      <c r="M2167" s="122">
        <v>3638</v>
      </c>
      <c r="N2167" s="122">
        <v>1116</v>
      </c>
      <c r="O2167" s="122">
        <v>413</v>
      </c>
      <c r="P2167" s="122">
        <v>473</v>
      </c>
      <c r="Q2167" s="122">
        <v>175</v>
      </c>
      <c r="R2167" s="122">
        <v>2545</v>
      </c>
      <c r="S2167" s="122">
        <v>2313</v>
      </c>
      <c r="T2167" s="122">
        <v>0</v>
      </c>
      <c r="U2167" s="122">
        <v>0</v>
      </c>
      <c r="V2167" s="122">
        <v>29764</v>
      </c>
      <c r="W2167" s="122">
        <f t="shared" si="68"/>
        <v>29762</v>
      </c>
      <c r="X2167" s="122">
        <f t="shared" si="69"/>
        <v>33682</v>
      </c>
      <c r="AA2167" t="s">
        <v>62</v>
      </c>
      <c r="AB2167" t="s">
        <v>408</v>
      </c>
      <c r="AC2167" t="s">
        <v>408</v>
      </c>
      <c r="AD2167" t="s">
        <v>408</v>
      </c>
      <c r="AE2167" t="s">
        <v>566</v>
      </c>
      <c r="AF2167">
        <v>1</v>
      </c>
      <c r="AG2167">
        <v>152</v>
      </c>
      <c r="AH2167" s="122">
        <v>436</v>
      </c>
      <c r="AI2167" s="122">
        <v>44983</v>
      </c>
      <c r="AJ2167" s="122">
        <v>40894</v>
      </c>
      <c r="AK2167">
        <v>60</v>
      </c>
      <c r="AL2167" s="122">
        <v>9996</v>
      </c>
      <c r="AM2167" s="122">
        <v>9088</v>
      </c>
      <c r="AN2167" s="122">
        <v>2881</v>
      </c>
      <c r="AO2167" s="122">
        <v>1067</v>
      </c>
      <c r="AP2167" s="122">
        <v>351</v>
      </c>
      <c r="AQ2167">
        <v>130</v>
      </c>
      <c r="AR2167" s="122">
        <v>7826</v>
      </c>
      <c r="AS2167" s="122">
        <v>7114</v>
      </c>
      <c r="AT2167">
        <v>0</v>
      </c>
      <c r="AU2167">
        <v>0</v>
      </c>
      <c r="AV2167" s="122">
        <v>58293</v>
      </c>
    </row>
    <row r="2168" spans="2:48" hidden="1">
      <c r="B2168" t="s">
        <v>377</v>
      </c>
      <c r="C2168" t="s">
        <v>62</v>
      </c>
      <c r="D2168" t="s">
        <v>405</v>
      </c>
      <c r="E2168" t="s">
        <v>405</v>
      </c>
      <c r="F2168" s="122">
        <v>6</v>
      </c>
      <c r="G2168" s="122">
        <v>812</v>
      </c>
      <c r="H2168" s="122">
        <v>2538</v>
      </c>
      <c r="I2168" s="122">
        <v>227260</v>
      </c>
      <c r="J2168" s="122">
        <v>206600</v>
      </c>
      <c r="K2168" s="122">
        <v>77</v>
      </c>
      <c r="L2168" s="122">
        <v>59499</v>
      </c>
      <c r="M2168" s="122">
        <v>41561</v>
      </c>
      <c r="N2168" s="122">
        <v>18255</v>
      </c>
      <c r="O2168" s="122">
        <v>6761</v>
      </c>
      <c r="P2168" s="122">
        <v>2714</v>
      </c>
      <c r="Q2168" s="122">
        <v>1005</v>
      </c>
      <c r="R2168" s="122">
        <v>32192</v>
      </c>
      <c r="S2168" s="122">
        <v>29265</v>
      </c>
      <c r="T2168" s="122">
        <v>2738</v>
      </c>
      <c r="U2168" s="122">
        <v>1014</v>
      </c>
      <c r="V2168" s="122">
        <v>286206</v>
      </c>
      <c r="W2168" s="122">
        <f t="shared" si="68"/>
        <v>286206</v>
      </c>
      <c r="X2168" s="122">
        <f t="shared" si="69"/>
        <v>342658</v>
      </c>
      <c r="AA2168" t="s">
        <v>62</v>
      </c>
      <c r="AB2168" t="s">
        <v>429</v>
      </c>
      <c r="AC2168" t="s">
        <v>426</v>
      </c>
      <c r="AD2168" t="s">
        <v>429</v>
      </c>
      <c r="AE2168" t="s">
        <v>566</v>
      </c>
      <c r="AF2168">
        <v>3</v>
      </c>
      <c r="AG2168">
        <v>327</v>
      </c>
      <c r="AH2168" s="122">
        <v>1165</v>
      </c>
      <c r="AI2168" s="122">
        <v>85467</v>
      </c>
      <c r="AJ2168" s="122">
        <v>77697</v>
      </c>
      <c r="AK2168">
        <v>76</v>
      </c>
      <c r="AL2168" s="122">
        <v>16516</v>
      </c>
      <c r="AM2168" s="122">
        <v>15014</v>
      </c>
      <c r="AN2168" s="122">
        <v>7079</v>
      </c>
      <c r="AO2168" s="122">
        <v>2622</v>
      </c>
      <c r="AP2168" s="122">
        <v>1053</v>
      </c>
      <c r="AQ2168">
        <v>390</v>
      </c>
      <c r="AR2168" s="122">
        <v>16317</v>
      </c>
      <c r="AS2168" s="122">
        <v>14833</v>
      </c>
      <c r="AT2168">
        <v>0</v>
      </c>
      <c r="AU2168">
        <v>0</v>
      </c>
      <c r="AV2168" s="122">
        <v>110557</v>
      </c>
    </row>
    <row r="2169" spans="2:48" hidden="1">
      <c r="B2169" t="s">
        <v>377</v>
      </c>
      <c r="C2169" t="s">
        <v>62</v>
      </c>
      <c r="D2169" t="s">
        <v>137</v>
      </c>
      <c r="E2169" t="s">
        <v>137</v>
      </c>
      <c r="F2169" s="122">
        <v>49</v>
      </c>
      <c r="G2169" s="122">
        <v>5235</v>
      </c>
      <c r="H2169" s="122">
        <v>20231</v>
      </c>
      <c r="I2169" s="122">
        <v>1547492</v>
      </c>
      <c r="J2169" s="122">
        <v>573145</v>
      </c>
      <c r="K2169" s="122">
        <v>100</v>
      </c>
      <c r="L2169" s="122">
        <v>197693</v>
      </c>
      <c r="M2169" s="122">
        <v>175779</v>
      </c>
      <c r="N2169" s="122">
        <v>120194</v>
      </c>
      <c r="O2169" s="122">
        <v>44516</v>
      </c>
      <c r="P2169" s="122">
        <v>702</v>
      </c>
      <c r="Q2169" s="122">
        <v>260</v>
      </c>
      <c r="R2169" s="122">
        <v>384979</v>
      </c>
      <c r="S2169" s="122">
        <v>142585</v>
      </c>
      <c r="T2169" s="122">
        <v>0</v>
      </c>
      <c r="U2169" s="122">
        <v>0</v>
      </c>
      <c r="V2169" s="122">
        <v>936285</v>
      </c>
      <c r="W2169" s="122">
        <f t="shared" si="68"/>
        <v>936285</v>
      </c>
      <c r="X2169" s="122">
        <f t="shared" si="69"/>
        <v>2251060</v>
      </c>
      <c r="AA2169" t="s">
        <v>62</v>
      </c>
      <c r="AB2169" t="s">
        <v>429</v>
      </c>
      <c r="AC2169" t="s">
        <v>408</v>
      </c>
      <c r="AD2169" t="s">
        <v>408</v>
      </c>
      <c r="AE2169" t="s">
        <v>566</v>
      </c>
      <c r="AF2169">
        <v>1</v>
      </c>
      <c r="AG2169" s="122">
        <v>119</v>
      </c>
      <c r="AH2169" s="122">
        <v>389</v>
      </c>
      <c r="AI2169" s="122">
        <v>34082</v>
      </c>
      <c r="AJ2169" s="122">
        <v>30984</v>
      </c>
      <c r="AK2169">
        <v>83</v>
      </c>
      <c r="AL2169" s="122">
        <v>4806</v>
      </c>
      <c r="AM2169" s="122">
        <v>4370</v>
      </c>
      <c r="AN2169" s="122">
        <v>1923</v>
      </c>
      <c r="AO2169" s="122">
        <v>712</v>
      </c>
      <c r="AP2169" s="122">
        <v>351</v>
      </c>
      <c r="AQ2169" s="122">
        <v>130</v>
      </c>
      <c r="AR2169" s="122">
        <v>4992</v>
      </c>
      <c r="AS2169" s="122">
        <v>4539</v>
      </c>
      <c r="AT2169" s="122">
        <v>0</v>
      </c>
      <c r="AU2169" s="122">
        <v>0</v>
      </c>
      <c r="AV2169" s="122">
        <v>40734</v>
      </c>
    </row>
    <row r="2170" spans="2:48" hidden="1">
      <c r="B2170" t="s">
        <v>377</v>
      </c>
      <c r="C2170" t="s">
        <v>62</v>
      </c>
      <c r="D2170" t="s">
        <v>137</v>
      </c>
      <c r="E2170" t="s">
        <v>426</v>
      </c>
      <c r="F2170" s="122">
        <v>6</v>
      </c>
      <c r="G2170" s="122">
        <v>590</v>
      </c>
      <c r="H2170" s="122">
        <v>2551</v>
      </c>
      <c r="I2170" s="122">
        <v>167258</v>
      </c>
      <c r="J2170" s="122">
        <v>61947</v>
      </c>
      <c r="K2170" s="122">
        <v>100</v>
      </c>
      <c r="L2170" s="122">
        <v>20832</v>
      </c>
      <c r="M2170" s="122">
        <v>18939</v>
      </c>
      <c r="N2170" s="122">
        <v>11831</v>
      </c>
      <c r="O2170" s="122">
        <v>4382</v>
      </c>
      <c r="P2170" s="122">
        <v>702</v>
      </c>
      <c r="Q2170" s="122">
        <v>260</v>
      </c>
      <c r="R2170" s="122">
        <v>40358</v>
      </c>
      <c r="S2170" s="122">
        <v>36689</v>
      </c>
      <c r="T2170" s="122">
        <v>8760</v>
      </c>
      <c r="U2170" s="122">
        <v>3244</v>
      </c>
      <c r="V2170" s="122">
        <v>125462</v>
      </c>
      <c r="W2170" s="122">
        <f t="shared" si="68"/>
        <v>125461</v>
      </c>
      <c r="X2170" s="122">
        <f t="shared" si="69"/>
        <v>249741</v>
      </c>
      <c r="AA2170" t="s">
        <v>64</v>
      </c>
      <c r="AC2170" t="s">
        <v>566</v>
      </c>
      <c r="AE2170" t="s">
        <v>566</v>
      </c>
      <c r="AF2170">
        <v>21</v>
      </c>
      <c r="AG2170" s="122">
        <v>2758</v>
      </c>
      <c r="AH2170" s="122">
        <v>13329</v>
      </c>
      <c r="AI2170" s="122"/>
      <c r="AJ2170" s="122">
        <v>0</v>
      </c>
      <c r="AL2170" s="122"/>
      <c r="AM2170" s="122">
        <v>0</v>
      </c>
      <c r="AN2170" s="122">
        <v>61084</v>
      </c>
      <c r="AO2170" s="122">
        <v>22624</v>
      </c>
      <c r="AP2170" s="122">
        <v>10017</v>
      </c>
      <c r="AQ2170" s="122">
        <v>3710</v>
      </c>
      <c r="AR2170" s="122"/>
      <c r="AS2170" s="122">
        <v>0</v>
      </c>
      <c r="AT2170" s="122">
        <v>17896</v>
      </c>
      <c r="AU2170" s="122">
        <v>6628</v>
      </c>
      <c r="AV2170" s="122">
        <v>32962</v>
      </c>
    </row>
    <row r="2171" spans="2:48" hidden="1">
      <c r="B2171" t="s">
        <v>377</v>
      </c>
      <c r="C2171" t="s">
        <v>62</v>
      </c>
      <c r="D2171" t="s">
        <v>406</v>
      </c>
      <c r="E2171" t="s">
        <v>137</v>
      </c>
      <c r="F2171" s="122">
        <v>5</v>
      </c>
      <c r="G2171" s="122">
        <v>560</v>
      </c>
      <c r="H2171" s="122">
        <v>1982</v>
      </c>
      <c r="I2171" s="122">
        <v>157069</v>
      </c>
      <c r="J2171" s="122">
        <v>142790</v>
      </c>
      <c r="K2171" s="122">
        <v>72</v>
      </c>
      <c r="L2171" s="122">
        <v>10143</v>
      </c>
      <c r="M2171" s="122">
        <v>9221</v>
      </c>
      <c r="N2171" s="122">
        <v>12552</v>
      </c>
      <c r="O2171" s="122">
        <v>4649</v>
      </c>
      <c r="P2171" s="122">
        <v>3105</v>
      </c>
      <c r="Q2171" s="122">
        <v>1150</v>
      </c>
      <c r="R2171" s="122">
        <v>38608</v>
      </c>
      <c r="S2171" s="122">
        <v>14299</v>
      </c>
      <c r="T2171" s="122">
        <v>0</v>
      </c>
      <c r="U2171" s="122">
        <v>0</v>
      </c>
      <c r="V2171" s="122">
        <v>172109</v>
      </c>
      <c r="W2171" s="122">
        <f t="shared" si="68"/>
        <v>172109</v>
      </c>
      <c r="X2171" s="122">
        <f t="shared" si="69"/>
        <v>221477</v>
      </c>
      <c r="AA2171" t="s">
        <v>64</v>
      </c>
      <c r="AB2171" t="s">
        <v>578</v>
      </c>
      <c r="AC2171" t="s">
        <v>578</v>
      </c>
      <c r="AD2171" t="s">
        <v>578</v>
      </c>
      <c r="AE2171" t="s">
        <v>137</v>
      </c>
      <c r="AF2171">
        <v>3</v>
      </c>
      <c r="AG2171">
        <v>353</v>
      </c>
      <c r="AH2171" s="122">
        <v>1754</v>
      </c>
      <c r="AI2171" s="122">
        <v>150046</v>
      </c>
      <c r="AJ2171" s="122">
        <v>136405</v>
      </c>
      <c r="AK2171">
        <v>53</v>
      </c>
      <c r="AL2171" s="122">
        <v>17194</v>
      </c>
      <c r="AM2171" s="122">
        <v>15631</v>
      </c>
      <c r="AN2171" s="122">
        <v>7452</v>
      </c>
      <c r="AO2171" s="122">
        <v>2760</v>
      </c>
      <c r="AP2171" s="122">
        <v>1053</v>
      </c>
      <c r="AQ2171">
        <v>390</v>
      </c>
      <c r="AR2171" s="122">
        <v>20637</v>
      </c>
      <c r="AS2171" s="122">
        <v>18761</v>
      </c>
      <c r="AT2171" s="122">
        <v>4588</v>
      </c>
      <c r="AU2171" s="122">
        <v>1699</v>
      </c>
      <c r="AV2171" s="122">
        <v>175646</v>
      </c>
    </row>
    <row r="2172" spans="2:48" hidden="1">
      <c r="B2172" t="s">
        <v>377</v>
      </c>
      <c r="C2172" t="s">
        <v>62</v>
      </c>
      <c r="D2172" t="s">
        <v>406</v>
      </c>
      <c r="E2172" t="s">
        <v>406</v>
      </c>
      <c r="F2172" s="122">
        <v>502</v>
      </c>
      <c r="G2172" s="122">
        <v>53598</v>
      </c>
      <c r="H2172" s="122">
        <v>208210</v>
      </c>
      <c r="I2172" s="122">
        <v>14868146</v>
      </c>
      <c r="J2172" s="122">
        <v>13516496</v>
      </c>
      <c r="K2172" s="122">
        <v>76</v>
      </c>
      <c r="L2172" s="122">
        <v>2789387</v>
      </c>
      <c r="M2172" s="122">
        <v>2483035</v>
      </c>
      <c r="N2172" s="122">
        <v>1148625</v>
      </c>
      <c r="O2172" s="122">
        <v>425417</v>
      </c>
      <c r="P2172" s="122">
        <v>330561</v>
      </c>
      <c r="Q2172" s="122">
        <v>122430</v>
      </c>
      <c r="R2172" s="122">
        <v>2461353</v>
      </c>
      <c r="S2172" s="122">
        <v>2237594</v>
      </c>
      <c r="T2172" s="122">
        <v>870299</v>
      </c>
      <c r="U2172" s="122">
        <v>322333</v>
      </c>
      <c r="V2172" s="122">
        <v>19107305</v>
      </c>
      <c r="W2172" s="122">
        <f t="shared" si="68"/>
        <v>19107305</v>
      </c>
      <c r="X2172" s="122">
        <f t="shared" si="69"/>
        <v>22468371</v>
      </c>
      <c r="AA2172" t="s">
        <v>64</v>
      </c>
      <c r="AB2172" t="s">
        <v>578</v>
      </c>
      <c r="AC2172" t="s">
        <v>578</v>
      </c>
      <c r="AD2172" t="s">
        <v>578</v>
      </c>
      <c r="AE2172" t="s">
        <v>566</v>
      </c>
      <c r="AF2172">
        <v>2</v>
      </c>
      <c r="AG2172">
        <v>162</v>
      </c>
      <c r="AH2172" s="122">
        <v>1297</v>
      </c>
      <c r="AI2172" s="122">
        <v>80936</v>
      </c>
      <c r="AJ2172" s="122">
        <v>73578</v>
      </c>
      <c r="AK2172">
        <v>45</v>
      </c>
      <c r="AL2172" s="122">
        <v>8691</v>
      </c>
      <c r="AM2172" s="122">
        <v>7901</v>
      </c>
      <c r="AN2172" s="122">
        <v>3159</v>
      </c>
      <c r="AO2172" s="122">
        <v>1170</v>
      </c>
      <c r="AP2172">
        <v>702</v>
      </c>
      <c r="AQ2172">
        <v>260</v>
      </c>
      <c r="AR2172" s="122">
        <v>14931</v>
      </c>
      <c r="AS2172" s="122">
        <v>13574</v>
      </c>
      <c r="AT2172" s="122">
        <v>0</v>
      </c>
      <c r="AU2172" s="122">
        <v>0</v>
      </c>
      <c r="AV2172" s="122">
        <v>96483</v>
      </c>
    </row>
    <row r="2173" spans="2:48" hidden="1">
      <c r="B2173" t="s">
        <v>377</v>
      </c>
      <c r="C2173" t="s">
        <v>62</v>
      </c>
      <c r="D2173" t="s">
        <v>406</v>
      </c>
      <c r="E2173" t="s">
        <v>407</v>
      </c>
      <c r="F2173" s="122">
        <v>1</v>
      </c>
      <c r="G2173" s="122">
        <v>76</v>
      </c>
      <c r="H2173" s="122">
        <v>398</v>
      </c>
      <c r="I2173" s="122">
        <v>16208</v>
      </c>
      <c r="J2173" s="122">
        <v>14735</v>
      </c>
      <c r="K2173" s="122">
        <v>85</v>
      </c>
      <c r="L2173" s="122">
        <v>4844</v>
      </c>
      <c r="M2173" s="122">
        <v>4404</v>
      </c>
      <c r="N2173" s="122">
        <v>1858</v>
      </c>
      <c r="O2173" s="122">
        <v>688</v>
      </c>
      <c r="P2173" s="122">
        <v>621</v>
      </c>
      <c r="Q2173" s="122">
        <v>230</v>
      </c>
      <c r="R2173" s="122">
        <v>4010</v>
      </c>
      <c r="S2173" s="122">
        <v>3646</v>
      </c>
      <c r="T2173" s="122">
        <v>2828</v>
      </c>
      <c r="U2173" s="122">
        <v>1047</v>
      </c>
      <c r="V2173" s="122">
        <v>24750</v>
      </c>
      <c r="W2173" s="122">
        <f t="shared" si="68"/>
        <v>24750</v>
      </c>
      <c r="X2173" s="122">
        <f t="shared" si="69"/>
        <v>30369</v>
      </c>
      <c r="AA2173" t="s">
        <v>64</v>
      </c>
      <c r="AB2173" t="s">
        <v>578</v>
      </c>
      <c r="AC2173" t="s">
        <v>425</v>
      </c>
      <c r="AD2173" t="s">
        <v>578</v>
      </c>
      <c r="AE2173" t="s">
        <v>137</v>
      </c>
      <c r="AF2173">
        <v>1</v>
      </c>
      <c r="AG2173">
        <v>134</v>
      </c>
      <c r="AH2173">
        <v>508</v>
      </c>
      <c r="AI2173" s="122">
        <v>40885</v>
      </c>
      <c r="AJ2173" s="122">
        <v>37169</v>
      </c>
      <c r="AK2173">
        <v>65</v>
      </c>
      <c r="AL2173" s="122">
        <v>14764</v>
      </c>
      <c r="AM2173" s="122">
        <v>13422</v>
      </c>
      <c r="AN2173" s="122">
        <v>3253</v>
      </c>
      <c r="AO2173" s="122">
        <v>1205</v>
      </c>
      <c r="AP2173">
        <v>351</v>
      </c>
      <c r="AQ2173">
        <v>130</v>
      </c>
      <c r="AR2173" s="122">
        <v>5443</v>
      </c>
      <c r="AS2173" s="122">
        <v>4949</v>
      </c>
      <c r="AT2173" s="122">
        <v>3191</v>
      </c>
      <c r="AU2173" s="122">
        <v>1182</v>
      </c>
      <c r="AV2173" s="122">
        <v>58056</v>
      </c>
    </row>
    <row r="2174" spans="2:48" hidden="1">
      <c r="B2174" t="s">
        <v>377</v>
      </c>
      <c r="C2174" t="s">
        <v>62</v>
      </c>
      <c r="D2174" t="s">
        <v>406</v>
      </c>
      <c r="E2174" t="s">
        <v>431</v>
      </c>
      <c r="F2174" s="122">
        <v>2</v>
      </c>
      <c r="G2174" s="122">
        <v>172</v>
      </c>
      <c r="H2174" s="122">
        <v>773</v>
      </c>
      <c r="I2174" s="122">
        <v>37354</v>
      </c>
      <c r="J2174" s="122">
        <v>33958</v>
      </c>
      <c r="K2174" s="122">
        <v>74</v>
      </c>
      <c r="L2174" s="122">
        <v>4748</v>
      </c>
      <c r="M2174" s="122">
        <v>4316</v>
      </c>
      <c r="N2174" s="122">
        <v>3458</v>
      </c>
      <c r="O2174" s="122">
        <v>1281</v>
      </c>
      <c r="P2174" s="122">
        <v>1242</v>
      </c>
      <c r="Q2174" s="122">
        <v>460</v>
      </c>
      <c r="R2174" s="122">
        <v>19409</v>
      </c>
      <c r="S2174" s="122">
        <v>17645</v>
      </c>
      <c r="T2174" s="122">
        <v>0</v>
      </c>
      <c r="U2174" s="122">
        <v>0</v>
      </c>
      <c r="V2174" s="122">
        <v>57660</v>
      </c>
      <c r="W2174" s="122">
        <f t="shared" si="68"/>
        <v>57660</v>
      </c>
      <c r="X2174" s="122">
        <f t="shared" si="69"/>
        <v>66211</v>
      </c>
      <c r="AA2174" t="s">
        <v>64</v>
      </c>
      <c r="AB2174" t="s">
        <v>578</v>
      </c>
      <c r="AC2174" t="s">
        <v>427</v>
      </c>
      <c r="AD2174" t="s">
        <v>578</v>
      </c>
      <c r="AE2174" t="s">
        <v>137</v>
      </c>
      <c r="AF2174">
        <v>1</v>
      </c>
      <c r="AG2174">
        <v>131</v>
      </c>
      <c r="AH2174" s="122">
        <v>943</v>
      </c>
      <c r="AI2174" s="122">
        <v>95017</v>
      </c>
      <c r="AJ2174" s="122">
        <v>86380</v>
      </c>
      <c r="AK2174">
        <v>45</v>
      </c>
      <c r="AL2174" s="122">
        <v>15836</v>
      </c>
      <c r="AM2174" s="122">
        <v>14397</v>
      </c>
      <c r="AN2174" s="122">
        <v>3180</v>
      </c>
      <c r="AO2174" s="122">
        <v>1178</v>
      </c>
      <c r="AP2174">
        <v>351</v>
      </c>
      <c r="AQ2174">
        <v>130</v>
      </c>
      <c r="AR2174" s="122">
        <v>6324</v>
      </c>
      <c r="AS2174" s="122">
        <v>5749</v>
      </c>
      <c r="AT2174" s="122">
        <v>2354</v>
      </c>
      <c r="AU2174">
        <v>872</v>
      </c>
      <c r="AV2174" s="122">
        <v>108705</v>
      </c>
    </row>
    <row r="2175" spans="2:48" hidden="1">
      <c r="B2175" t="s">
        <v>377</v>
      </c>
      <c r="C2175" t="s">
        <v>62</v>
      </c>
      <c r="D2175" t="s">
        <v>427</v>
      </c>
      <c r="E2175" t="s">
        <v>427</v>
      </c>
      <c r="F2175" s="122">
        <v>2</v>
      </c>
      <c r="G2175" s="122">
        <v>244</v>
      </c>
      <c r="H2175" s="122">
        <v>859</v>
      </c>
      <c r="I2175" s="122">
        <v>72093</v>
      </c>
      <c r="J2175" s="122">
        <v>65539</v>
      </c>
      <c r="K2175" s="122">
        <v>50</v>
      </c>
      <c r="L2175" s="122">
        <v>8872</v>
      </c>
      <c r="M2175" s="122">
        <v>5378</v>
      </c>
      <c r="N2175" s="122">
        <v>4200</v>
      </c>
      <c r="O2175" s="122">
        <v>1556</v>
      </c>
      <c r="P2175" s="122">
        <v>702</v>
      </c>
      <c r="Q2175" s="122">
        <v>260</v>
      </c>
      <c r="R2175" s="122">
        <v>12259</v>
      </c>
      <c r="S2175" s="122">
        <v>11145</v>
      </c>
      <c r="T2175" s="122">
        <v>6372</v>
      </c>
      <c r="U2175" s="122">
        <v>2360</v>
      </c>
      <c r="V2175" s="122">
        <v>86237</v>
      </c>
      <c r="W2175" s="122">
        <f t="shared" si="68"/>
        <v>86238</v>
      </c>
      <c r="X2175" s="122">
        <f t="shared" si="69"/>
        <v>104498</v>
      </c>
      <c r="AA2175" t="s">
        <v>64</v>
      </c>
      <c r="AB2175" t="s">
        <v>578</v>
      </c>
      <c r="AC2175" t="s">
        <v>427</v>
      </c>
      <c r="AD2175" t="s">
        <v>578</v>
      </c>
      <c r="AE2175" t="s">
        <v>566</v>
      </c>
      <c r="AF2175">
        <v>2</v>
      </c>
      <c r="AG2175">
        <v>203</v>
      </c>
      <c r="AH2175" s="122">
        <v>1432</v>
      </c>
      <c r="AI2175" s="122">
        <v>103982</v>
      </c>
      <c r="AJ2175" s="122">
        <v>94529</v>
      </c>
      <c r="AK2175">
        <v>45</v>
      </c>
      <c r="AL2175" s="122">
        <v>17330</v>
      </c>
      <c r="AM2175" s="122">
        <v>15755</v>
      </c>
      <c r="AN2175" s="122">
        <v>3729</v>
      </c>
      <c r="AO2175" s="122">
        <v>1381</v>
      </c>
      <c r="AP2175">
        <v>702</v>
      </c>
      <c r="AQ2175">
        <v>260</v>
      </c>
      <c r="AR2175" s="122">
        <v>20835</v>
      </c>
      <c r="AS2175" s="122">
        <v>18941</v>
      </c>
      <c r="AT2175">
        <v>0</v>
      </c>
      <c r="AU2175">
        <v>0</v>
      </c>
      <c r="AV2175" s="122">
        <v>130866</v>
      </c>
    </row>
    <row r="2176" spans="2:48" hidden="1">
      <c r="B2176" t="s">
        <v>377</v>
      </c>
      <c r="C2176" t="s">
        <v>62</v>
      </c>
      <c r="D2176" t="s">
        <v>407</v>
      </c>
      <c r="E2176" t="s">
        <v>407</v>
      </c>
      <c r="F2176" s="122">
        <v>2</v>
      </c>
      <c r="G2176" s="122">
        <v>178</v>
      </c>
      <c r="H2176" s="122">
        <v>825</v>
      </c>
      <c r="I2176" s="122">
        <v>49432</v>
      </c>
      <c r="J2176" s="122">
        <v>44938</v>
      </c>
      <c r="K2176" s="122">
        <v>82</v>
      </c>
      <c r="L2176" s="122">
        <v>12298</v>
      </c>
      <c r="M2176" s="122">
        <v>11180</v>
      </c>
      <c r="N2176" s="122">
        <v>2166</v>
      </c>
      <c r="O2176" s="122">
        <v>802</v>
      </c>
      <c r="P2176" s="122">
        <v>945</v>
      </c>
      <c r="Q2176" s="122">
        <v>350</v>
      </c>
      <c r="R2176" s="122">
        <v>6928</v>
      </c>
      <c r="S2176" s="122">
        <v>6298</v>
      </c>
      <c r="T2176" s="122">
        <v>1912</v>
      </c>
      <c r="U2176" s="122">
        <v>708</v>
      </c>
      <c r="V2176" s="122">
        <v>64277</v>
      </c>
      <c r="W2176" s="122">
        <f t="shared" si="68"/>
        <v>64276</v>
      </c>
      <c r="X2176" s="122">
        <f t="shared" si="69"/>
        <v>73681</v>
      </c>
      <c r="AA2176" t="s">
        <v>64</v>
      </c>
      <c r="AB2176" t="s">
        <v>578</v>
      </c>
      <c r="AC2176" t="s">
        <v>431</v>
      </c>
      <c r="AD2176" t="s">
        <v>137</v>
      </c>
      <c r="AE2176" t="s">
        <v>566</v>
      </c>
      <c r="AF2176">
        <v>1</v>
      </c>
      <c r="AG2176">
        <v>83</v>
      </c>
      <c r="AH2176">
        <v>567</v>
      </c>
      <c r="AI2176" s="122">
        <v>55425</v>
      </c>
      <c r="AJ2176" s="122">
        <v>50387</v>
      </c>
      <c r="AK2176">
        <v>60</v>
      </c>
      <c r="AL2176" s="122">
        <v>5685</v>
      </c>
      <c r="AM2176" s="122">
        <v>5168</v>
      </c>
      <c r="AN2176" s="122">
        <v>2941</v>
      </c>
      <c r="AO2176" s="122">
        <v>1089</v>
      </c>
      <c r="AP2176">
        <v>0</v>
      </c>
      <c r="AQ2176">
        <v>0</v>
      </c>
      <c r="AR2176" s="122">
        <v>8384</v>
      </c>
      <c r="AS2176" s="122">
        <v>3105</v>
      </c>
      <c r="AT2176">
        <v>0</v>
      </c>
      <c r="AU2176">
        <v>0</v>
      </c>
      <c r="AV2176" s="122">
        <v>59749</v>
      </c>
    </row>
    <row r="2177" spans="2:48" hidden="1">
      <c r="B2177" t="s">
        <v>377</v>
      </c>
      <c r="C2177" t="s">
        <v>62</v>
      </c>
      <c r="D2177" t="s">
        <v>556</v>
      </c>
      <c r="E2177" t="s">
        <v>556</v>
      </c>
      <c r="F2177" s="122">
        <v>2</v>
      </c>
      <c r="G2177" s="122">
        <v>149</v>
      </c>
      <c r="H2177" s="122">
        <v>849</v>
      </c>
      <c r="I2177" s="122">
        <v>35858</v>
      </c>
      <c r="J2177" s="122">
        <v>29881</v>
      </c>
      <c r="K2177" s="122">
        <v>45</v>
      </c>
      <c r="L2177" s="122">
        <v>5976</v>
      </c>
      <c r="M2177" s="122">
        <v>4980</v>
      </c>
      <c r="N2177" s="122">
        <v>3643</v>
      </c>
      <c r="O2177" s="122">
        <v>1349</v>
      </c>
      <c r="P2177" s="122">
        <v>702</v>
      </c>
      <c r="Q2177" s="122">
        <v>260</v>
      </c>
      <c r="R2177" s="122">
        <v>13028</v>
      </c>
      <c r="S2177" s="122">
        <v>10857</v>
      </c>
      <c r="T2177" s="122">
        <v>4323</v>
      </c>
      <c r="U2177" s="122">
        <v>1601</v>
      </c>
      <c r="V2177" s="122">
        <v>48929</v>
      </c>
      <c r="W2177" s="122">
        <f t="shared" si="68"/>
        <v>48928</v>
      </c>
      <c r="X2177" s="122">
        <f t="shared" si="69"/>
        <v>63530</v>
      </c>
      <c r="AA2177" t="s">
        <v>64</v>
      </c>
      <c r="AB2177" t="s">
        <v>578</v>
      </c>
      <c r="AC2177" t="s">
        <v>426</v>
      </c>
      <c r="AD2177" t="s">
        <v>578</v>
      </c>
      <c r="AE2177" t="s">
        <v>566</v>
      </c>
      <c r="AF2177">
        <v>1</v>
      </c>
      <c r="AG2177">
        <v>181</v>
      </c>
      <c r="AH2177" s="122">
        <v>598</v>
      </c>
      <c r="AI2177" s="122">
        <v>78766</v>
      </c>
      <c r="AJ2177" s="122">
        <v>71606</v>
      </c>
      <c r="AK2177">
        <v>55</v>
      </c>
      <c r="AL2177" s="122">
        <v>16045</v>
      </c>
      <c r="AM2177" s="122">
        <v>14586</v>
      </c>
      <c r="AN2177" s="122">
        <v>4013</v>
      </c>
      <c r="AO2177" s="122">
        <v>1486</v>
      </c>
      <c r="AP2177">
        <v>351</v>
      </c>
      <c r="AQ2177">
        <v>130</v>
      </c>
      <c r="AR2177" s="122">
        <v>8942</v>
      </c>
      <c r="AS2177" s="122">
        <v>8129</v>
      </c>
      <c r="AT2177" s="122">
        <v>0</v>
      </c>
      <c r="AU2177" s="122">
        <v>0</v>
      </c>
      <c r="AV2177" s="122">
        <v>95937</v>
      </c>
    </row>
    <row r="2178" spans="2:48" hidden="1">
      <c r="B2178" t="s">
        <v>377</v>
      </c>
      <c r="C2178" t="s">
        <v>62</v>
      </c>
      <c r="D2178" t="s">
        <v>428</v>
      </c>
      <c r="E2178" t="s">
        <v>428</v>
      </c>
      <c r="F2178" s="122">
        <v>2</v>
      </c>
      <c r="G2178" s="122">
        <v>257</v>
      </c>
      <c r="H2178" s="122">
        <v>890</v>
      </c>
      <c r="I2178" s="122">
        <v>74142</v>
      </c>
      <c r="J2178" s="122">
        <v>67402</v>
      </c>
      <c r="K2178" s="122">
        <v>50</v>
      </c>
      <c r="L2178" s="122">
        <v>13594</v>
      </c>
      <c r="M2178" s="122">
        <v>12358</v>
      </c>
      <c r="N2178" s="122">
        <v>5902</v>
      </c>
      <c r="O2178" s="122">
        <v>2186</v>
      </c>
      <c r="P2178" s="122">
        <v>702</v>
      </c>
      <c r="Q2178" s="122">
        <v>260</v>
      </c>
      <c r="R2178" s="122">
        <v>16258</v>
      </c>
      <c r="S2178" s="122">
        <v>14780</v>
      </c>
      <c r="T2178" s="122">
        <v>3764</v>
      </c>
      <c r="U2178" s="122">
        <v>1394</v>
      </c>
      <c r="V2178" s="122">
        <v>98379</v>
      </c>
      <c r="W2178" s="122">
        <f t="shared" si="68"/>
        <v>98380</v>
      </c>
      <c r="X2178" s="122">
        <f t="shared" si="69"/>
        <v>114362</v>
      </c>
      <c r="AA2178" t="s">
        <v>64</v>
      </c>
      <c r="AB2178" t="s">
        <v>578</v>
      </c>
      <c r="AC2178" t="s">
        <v>566</v>
      </c>
      <c r="AD2178" t="s">
        <v>578</v>
      </c>
      <c r="AE2178" t="s">
        <v>137</v>
      </c>
      <c r="AF2178">
        <v>2</v>
      </c>
      <c r="AG2178">
        <v>186</v>
      </c>
      <c r="AH2178" s="122">
        <v>1212</v>
      </c>
      <c r="AI2178" s="122">
        <v>93874</v>
      </c>
      <c r="AJ2178" s="122">
        <v>85340</v>
      </c>
      <c r="AK2178">
        <v>63</v>
      </c>
      <c r="AL2178" s="122">
        <v>0</v>
      </c>
      <c r="AM2178" s="122">
        <v>15794</v>
      </c>
      <c r="AN2178" s="122">
        <v>4177</v>
      </c>
      <c r="AO2178" s="122">
        <v>1547</v>
      </c>
      <c r="AP2178" s="122">
        <v>702</v>
      </c>
      <c r="AQ2178">
        <v>260</v>
      </c>
      <c r="AR2178" s="122">
        <v>10733</v>
      </c>
      <c r="AS2178" s="122">
        <v>9757</v>
      </c>
      <c r="AT2178" s="122">
        <v>3208</v>
      </c>
      <c r="AU2178" s="122">
        <v>1188</v>
      </c>
      <c r="AV2178" s="122">
        <v>113887</v>
      </c>
    </row>
    <row r="2179" spans="2:48" hidden="1">
      <c r="B2179" t="s">
        <v>377</v>
      </c>
      <c r="C2179" t="s">
        <v>62</v>
      </c>
      <c r="D2179" t="s">
        <v>431</v>
      </c>
      <c r="E2179" t="s">
        <v>431</v>
      </c>
      <c r="F2179" s="122">
        <v>23</v>
      </c>
      <c r="G2179" s="122">
        <v>2283</v>
      </c>
      <c r="H2179" s="122">
        <v>9650</v>
      </c>
      <c r="I2179" s="122">
        <v>634763</v>
      </c>
      <c r="J2179" s="122">
        <v>577057</v>
      </c>
      <c r="K2179" s="122">
        <v>53</v>
      </c>
      <c r="L2179" s="122">
        <v>102051</v>
      </c>
      <c r="M2179" s="122">
        <v>89987</v>
      </c>
      <c r="N2179" s="122">
        <v>47094</v>
      </c>
      <c r="O2179" s="122">
        <v>17442</v>
      </c>
      <c r="P2179" s="122">
        <v>8343</v>
      </c>
      <c r="Q2179" s="122">
        <v>3090</v>
      </c>
      <c r="R2179" s="122">
        <v>138739</v>
      </c>
      <c r="S2179" s="122">
        <v>126127</v>
      </c>
      <c r="T2179" s="122">
        <v>41444</v>
      </c>
      <c r="U2179" s="122">
        <v>15350</v>
      </c>
      <c r="V2179" s="122">
        <v>829052</v>
      </c>
      <c r="W2179" s="122">
        <f t="shared" si="68"/>
        <v>829053</v>
      </c>
      <c r="X2179" s="122">
        <f t="shared" si="69"/>
        <v>972434</v>
      </c>
      <c r="AA2179" t="s">
        <v>64</v>
      </c>
      <c r="AB2179" t="s">
        <v>425</v>
      </c>
      <c r="AC2179" t="s">
        <v>425</v>
      </c>
      <c r="AD2179" t="s">
        <v>425</v>
      </c>
      <c r="AE2179" t="s">
        <v>137</v>
      </c>
      <c r="AF2179">
        <v>4</v>
      </c>
      <c r="AG2179">
        <v>361</v>
      </c>
      <c r="AH2179" s="122">
        <v>2130</v>
      </c>
      <c r="AI2179" s="122">
        <v>143797</v>
      </c>
      <c r="AJ2179" s="122">
        <v>130724</v>
      </c>
      <c r="AK2179">
        <v>72</v>
      </c>
      <c r="AL2179" s="122">
        <v>21383</v>
      </c>
      <c r="AM2179" s="122">
        <v>19439</v>
      </c>
      <c r="AN2179" s="122">
        <v>8423</v>
      </c>
      <c r="AO2179" s="122">
        <v>3120</v>
      </c>
      <c r="AP2179" s="122">
        <v>1769</v>
      </c>
      <c r="AQ2179">
        <v>655</v>
      </c>
      <c r="AR2179" s="122">
        <v>18270</v>
      </c>
      <c r="AS2179" s="122">
        <v>16609</v>
      </c>
      <c r="AT2179" s="122">
        <v>10652</v>
      </c>
      <c r="AU2179" s="122">
        <v>3945</v>
      </c>
      <c r="AV2179" s="122">
        <v>174492</v>
      </c>
    </row>
    <row r="2180" spans="2:48" hidden="1">
      <c r="B2180" t="s">
        <v>377</v>
      </c>
      <c r="C2180" t="s">
        <v>62</v>
      </c>
      <c r="D2180" t="s">
        <v>426</v>
      </c>
      <c r="E2180" t="s">
        <v>137</v>
      </c>
      <c r="F2180" s="122">
        <v>1</v>
      </c>
      <c r="G2180" s="122">
        <v>50</v>
      </c>
      <c r="H2180" s="122">
        <v>444</v>
      </c>
      <c r="I2180" s="122">
        <v>14943</v>
      </c>
      <c r="J2180" s="122">
        <v>13585</v>
      </c>
      <c r="K2180" s="122">
        <v>61</v>
      </c>
      <c r="L2180" s="122">
        <v>2490</v>
      </c>
      <c r="M2180" s="122">
        <v>922</v>
      </c>
      <c r="N2180" s="122">
        <v>853</v>
      </c>
      <c r="O2180" s="122">
        <v>316</v>
      </c>
      <c r="P2180" s="122">
        <v>0</v>
      </c>
      <c r="Q2180" s="122">
        <v>0</v>
      </c>
      <c r="R2180" s="122">
        <v>3944</v>
      </c>
      <c r="S2180" s="122">
        <v>1461</v>
      </c>
      <c r="T2180" s="122">
        <v>0</v>
      </c>
      <c r="U2180" s="122">
        <v>0</v>
      </c>
      <c r="V2180" s="122">
        <v>16284</v>
      </c>
      <c r="W2180" s="122">
        <f t="shared" si="68"/>
        <v>16284</v>
      </c>
      <c r="X2180" s="122">
        <f t="shared" si="69"/>
        <v>22230</v>
      </c>
      <c r="AA2180" t="s">
        <v>64</v>
      </c>
      <c r="AB2180" t="s">
        <v>425</v>
      </c>
      <c r="AC2180" t="s">
        <v>137</v>
      </c>
      <c r="AD2180" t="s">
        <v>425</v>
      </c>
      <c r="AE2180" t="s">
        <v>137</v>
      </c>
      <c r="AF2180">
        <v>1</v>
      </c>
      <c r="AG2180">
        <v>150</v>
      </c>
      <c r="AH2180" s="122">
        <v>570</v>
      </c>
      <c r="AI2180" s="122">
        <v>60941</v>
      </c>
      <c r="AJ2180" s="122">
        <v>55401</v>
      </c>
      <c r="AK2180">
        <v>65</v>
      </c>
      <c r="AL2180" s="122">
        <v>10271</v>
      </c>
      <c r="AM2180" s="122">
        <v>3804</v>
      </c>
      <c r="AN2180" s="122">
        <v>3660</v>
      </c>
      <c r="AO2180" s="122">
        <v>1356</v>
      </c>
      <c r="AP2180">
        <v>473</v>
      </c>
      <c r="AQ2180">
        <v>175</v>
      </c>
      <c r="AR2180" s="122">
        <v>6459</v>
      </c>
      <c r="AS2180" s="122">
        <v>5871</v>
      </c>
      <c r="AT2180" s="122">
        <v>3734</v>
      </c>
      <c r="AU2180" s="122">
        <v>1383</v>
      </c>
      <c r="AV2180" s="122">
        <v>67990</v>
      </c>
    </row>
    <row r="2181" spans="2:48" hidden="1">
      <c r="B2181" t="s">
        <v>377</v>
      </c>
      <c r="C2181" t="s">
        <v>62</v>
      </c>
      <c r="D2181" t="s">
        <v>426</v>
      </c>
      <c r="E2181" t="s">
        <v>406</v>
      </c>
      <c r="F2181" s="122">
        <v>1</v>
      </c>
      <c r="G2181" s="122">
        <v>121</v>
      </c>
      <c r="H2181" s="122">
        <v>402</v>
      </c>
      <c r="I2181" s="122">
        <v>33879</v>
      </c>
      <c r="J2181" s="122">
        <v>30799</v>
      </c>
      <c r="K2181" s="122">
        <v>65</v>
      </c>
      <c r="L2181" s="122">
        <v>6006</v>
      </c>
      <c r="M2181" s="122">
        <v>2224</v>
      </c>
      <c r="N2181" s="122">
        <v>2067</v>
      </c>
      <c r="O2181" s="122">
        <v>766</v>
      </c>
      <c r="P2181" s="122">
        <v>351</v>
      </c>
      <c r="Q2181" s="122">
        <v>130</v>
      </c>
      <c r="R2181" s="122">
        <v>6428</v>
      </c>
      <c r="S2181" s="122">
        <v>5844</v>
      </c>
      <c r="T2181" s="122">
        <v>0</v>
      </c>
      <c r="U2181" s="122">
        <v>0</v>
      </c>
      <c r="V2181" s="122">
        <v>39763</v>
      </c>
      <c r="W2181" s="122">
        <f t="shared" si="68"/>
        <v>39763</v>
      </c>
      <c r="X2181" s="122">
        <f t="shared" si="69"/>
        <v>48731</v>
      </c>
      <c r="AA2181" t="s">
        <v>64</v>
      </c>
      <c r="AB2181" t="s">
        <v>425</v>
      </c>
      <c r="AC2181" t="s">
        <v>137</v>
      </c>
      <c r="AD2181" t="s">
        <v>137</v>
      </c>
      <c r="AE2181" t="s">
        <v>566</v>
      </c>
      <c r="AF2181">
        <v>2</v>
      </c>
      <c r="AG2181">
        <v>147</v>
      </c>
      <c r="AH2181" s="122">
        <v>1072</v>
      </c>
      <c r="AI2181" s="122">
        <v>49136</v>
      </c>
      <c r="AJ2181" s="122">
        <v>44669</v>
      </c>
      <c r="AK2181">
        <v>75</v>
      </c>
      <c r="AL2181" s="122">
        <v>9850</v>
      </c>
      <c r="AM2181" s="122">
        <v>3648</v>
      </c>
      <c r="AN2181" s="122">
        <v>3410</v>
      </c>
      <c r="AO2181" s="122">
        <v>1263</v>
      </c>
      <c r="AP2181">
        <v>473</v>
      </c>
      <c r="AQ2181">
        <v>175</v>
      </c>
      <c r="AR2181" s="122">
        <v>13677</v>
      </c>
      <c r="AS2181" s="122">
        <v>5066</v>
      </c>
      <c r="AT2181" s="122">
        <v>0</v>
      </c>
      <c r="AU2181" s="122">
        <v>0</v>
      </c>
      <c r="AV2181" s="122">
        <v>54820</v>
      </c>
    </row>
    <row r="2182" spans="2:48" hidden="1">
      <c r="B2182" t="s">
        <v>377</v>
      </c>
      <c r="C2182" t="s">
        <v>62</v>
      </c>
      <c r="D2182" t="s">
        <v>426</v>
      </c>
      <c r="E2182" t="s">
        <v>426</v>
      </c>
      <c r="F2182" s="122">
        <v>160</v>
      </c>
      <c r="G2182" s="122">
        <v>16085</v>
      </c>
      <c r="H2182" s="122">
        <v>66526</v>
      </c>
      <c r="I2182" s="122">
        <v>4325147</v>
      </c>
      <c r="J2182" s="122">
        <v>3931952</v>
      </c>
      <c r="K2182" s="122">
        <v>53</v>
      </c>
      <c r="L2182" s="122">
        <v>616233</v>
      </c>
      <c r="M2182" s="122">
        <v>535881</v>
      </c>
      <c r="N2182" s="122">
        <v>334489</v>
      </c>
      <c r="O2182" s="122">
        <v>123885</v>
      </c>
      <c r="P2182" s="122">
        <v>65475</v>
      </c>
      <c r="Q2182" s="122">
        <v>24250</v>
      </c>
      <c r="R2182" s="122">
        <v>1015625</v>
      </c>
      <c r="S2182" s="122">
        <v>923295</v>
      </c>
      <c r="T2182" s="122">
        <v>377179</v>
      </c>
      <c r="U2182" s="122">
        <v>139696</v>
      </c>
      <c r="V2182" s="122">
        <v>5678959</v>
      </c>
      <c r="W2182" s="122">
        <f t="shared" si="68"/>
        <v>5678959</v>
      </c>
      <c r="X2182" s="122">
        <f t="shared" si="69"/>
        <v>6734148</v>
      </c>
      <c r="AA2182" t="s">
        <v>64</v>
      </c>
      <c r="AB2182" t="s">
        <v>425</v>
      </c>
      <c r="AC2182" t="s">
        <v>137</v>
      </c>
      <c r="AD2182" t="s">
        <v>406</v>
      </c>
      <c r="AE2182" t="s">
        <v>137</v>
      </c>
      <c r="AF2182">
        <v>1</v>
      </c>
      <c r="AG2182">
        <v>112</v>
      </c>
      <c r="AH2182">
        <v>525</v>
      </c>
      <c r="AI2182" s="122">
        <v>41048</v>
      </c>
      <c r="AJ2182" s="122">
        <v>37316</v>
      </c>
      <c r="AK2182">
        <v>65</v>
      </c>
      <c r="AL2182" s="122">
        <v>6918</v>
      </c>
      <c r="AM2182" s="122">
        <v>2562</v>
      </c>
      <c r="AN2182" s="122">
        <v>1968</v>
      </c>
      <c r="AO2182" s="122">
        <v>729</v>
      </c>
      <c r="AP2182">
        <v>621</v>
      </c>
      <c r="AQ2182">
        <v>230</v>
      </c>
      <c r="AR2182" s="122">
        <v>5389</v>
      </c>
      <c r="AS2182" s="122">
        <v>4899</v>
      </c>
      <c r="AT2182" s="122">
        <v>2936</v>
      </c>
      <c r="AU2182" s="122">
        <v>1087</v>
      </c>
      <c r="AV2182" s="122">
        <v>46824</v>
      </c>
    </row>
    <row r="2183" spans="2:48" hidden="1">
      <c r="B2183" t="s">
        <v>377</v>
      </c>
      <c r="C2183" t="s">
        <v>62</v>
      </c>
      <c r="D2183" t="s">
        <v>433</v>
      </c>
      <c r="E2183" t="s">
        <v>433</v>
      </c>
      <c r="F2183" s="122">
        <v>1</v>
      </c>
      <c r="G2183" s="122">
        <v>104</v>
      </c>
      <c r="H2183" s="122">
        <v>442</v>
      </c>
      <c r="I2183" s="122">
        <v>34150</v>
      </c>
      <c r="J2183" s="122">
        <v>31045</v>
      </c>
      <c r="K2183" s="122">
        <v>65</v>
      </c>
      <c r="L2183" s="122">
        <v>3794</v>
      </c>
      <c r="M2183" s="122">
        <v>3449</v>
      </c>
      <c r="N2183" s="122">
        <v>1457</v>
      </c>
      <c r="O2183" s="122">
        <v>539</v>
      </c>
      <c r="P2183" s="122">
        <v>351</v>
      </c>
      <c r="Q2183" s="122">
        <v>130</v>
      </c>
      <c r="R2183" s="122">
        <v>3675</v>
      </c>
      <c r="S2183" s="122">
        <v>3341</v>
      </c>
      <c r="T2183" s="122">
        <v>2567</v>
      </c>
      <c r="U2183" s="122">
        <v>951</v>
      </c>
      <c r="V2183" s="122">
        <v>39456</v>
      </c>
      <c r="W2183" s="122">
        <f t="shared" si="68"/>
        <v>39455</v>
      </c>
      <c r="X2183" s="122">
        <f t="shared" si="69"/>
        <v>45994</v>
      </c>
      <c r="AA2183" t="s">
        <v>64</v>
      </c>
      <c r="AB2183" t="s">
        <v>425</v>
      </c>
      <c r="AC2183" t="s">
        <v>427</v>
      </c>
      <c r="AD2183" t="s">
        <v>137</v>
      </c>
      <c r="AE2183" t="s">
        <v>137</v>
      </c>
      <c r="AF2183">
        <v>2</v>
      </c>
      <c r="AG2183">
        <v>172</v>
      </c>
      <c r="AH2183" s="122">
        <v>993</v>
      </c>
      <c r="AI2183" s="122">
        <v>54664</v>
      </c>
      <c r="AJ2183" s="122">
        <v>49695</v>
      </c>
      <c r="AK2183">
        <v>84</v>
      </c>
      <c r="AL2183" s="122">
        <v>15704</v>
      </c>
      <c r="AM2183" s="122">
        <v>14276</v>
      </c>
      <c r="AN2183" s="122">
        <v>3928</v>
      </c>
      <c r="AO2183" s="122">
        <v>1455</v>
      </c>
      <c r="AP2183">
        <v>351</v>
      </c>
      <c r="AQ2183">
        <v>130</v>
      </c>
      <c r="AR2183" s="122">
        <v>11987</v>
      </c>
      <c r="AS2183" s="122">
        <v>4440</v>
      </c>
      <c r="AT2183">
        <v>0</v>
      </c>
      <c r="AU2183">
        <v>0</v>
      </c>
      <c r="AV2183" s="122">
        <v>69996</v>
      </c>
    </row>
    <row r="2184" spans="2:48" hidden="1">
      <c r="B2184" t="s">
        <v>377</v>
      </c>
      <c r="C2184" t="s">
        <v>64</v>
      </c>
      <c r="F2184" s="122">
        <v>2</v>
      </c>
      <c r="G2184" s="122">
        <v>204</v>
      </c>
      <c r="H2184" s="122">
        <v>945</v>
      </c>
      <c r="I2184" s="122"/>
      <c r="J2184" s="122">
        <v>0</v>
      </c>
      <c r="K2184" s="122"/>
      <c r="L2184" s="122"/>
      <c r="M2184" s="122">
        <v>0</v>
      </c>
      <c r="N2184" s="122">
        <v>4105</v>
      </c>
      <c r="O2184" s="122">
        <v>1520</v>
      </c>
      <c r="P2184" s="122">
        <v>1242</v>
      </c>
      <c r="Q2184" s="122">
        <v>460</v>
      </c>
      <c r="R2184" s="122"/>
      <c r="S2184" s="122">
        <v>0</v>
      </c>
      <c r="T2184" s="122">
        <v>1455</v>
      </c>
      <c r="U2184" s="122">
        <v>539</v>
      </c>
      <c r="V2184" s="122">
        <v>2519</v>
      </c>
      <c r="W2184" s="122">
        <f t="shared" si="68"/>
        <v>2519</v>
      </c>
      <c r="X2184" s="122">
        <f t="shared" si="69"/>
        <v>6802</v>
      </c>
      <c r="AA2184" t="s">
        <v>64</v>
      </c>
      <c r="AB2184" t="s">
        <v>425</v>
      </c>
      <c r="AC2184" t="s">
        <v>427</v>
      </c>
      <c r="AD2184" t="s">
        <v>137</v>
      </c>
      <c r="AE2184" t="s">
        <v>566</v>
      </c>
      <c r="AF2184">
        <v>2</v>
      </c>
      <c r="AG2184">
        <v>295</v>
      </c>
      <c r="AH2184" s="122">
        <v>1238</v>
      </c>
      <c r="AI2184" s="122">
        <v>104930</v>
      </c>
      <c r="AJ2184" s="122">
        <v>95391</v>
      </c>
      <c r="AK2184">
        <v>57</v>
      </c>
      <c r="AL2184" s="122">
        <v>20370</v>
      </c>
      <c r="AM2184" s="122">
        <v>18518</v>
      </c>
      <c r="AN2184" s="122">
        <v>7194</v>
      </c>
      <c r="AO2184" s="122">
        <v>2664</v>
      </c>
      <c r="AP2184">
        <v>351</v>
      </c>
      <c r="AQ2184">
        <v>130</v>
      </c>
      <c r="AR2184" s="122">
        <v>25583</v>
      </c>
      <c r="AS2184" s="122">
        <v>9475</v>
      </c>
      <c r="AT2184" s="122">
        <v>0</v>
      </c>
      <c r="AU2184" s="122">
        <v>0</v>
      </c>
      <c r="AV2184" s="122">
        <v>126178</v>
      </c>
    </row>
    <row r="2185" spans="2:48" hidden="1">
      <c r="B2185" t="s">
        <v>377</v>
      </c>
      <c r="C2185" t="s">
        <v>64</v>
      </c>
      <c r="D2185" t="s">
        <v>425</v>
      </c>
      <c r="E2185" t="s">
        <v>425</v>
      </c>
      <c r="F2185" s="122">
        <v>2</v>
      </c>
      <c r="G2185" s="122">
        <v>225</v>
      </c>
      <c r="H2185" s="122">
        <v>958</v>
      </c>
      <c r="I2185" s="122">
        <v>80066</v>
      </c>
      <c r="J2185" s="122">
        <v>72787</v>
      </c>
      <c r="K2185" s="122">
        <v>78</v>
      </c>
      <c r="L2185" s="122">
        <v>10290</v>
      </c>
      <c r="M2185" s="122">
        <v>9355</v>
      </c>
      <c r="N2185" s="122">
        <v>5018</v>
      </c>
      <c r="O2185" s="122">
        <v>1858</v>
      </c>
      <c r="P2185" s="122">
        <v>1647</v>
      </c>
      <c r="Q2185" s="122">
        <v>610</v>
      </c>
      <c r="R2185" s="122">
        <v>7319</v>
      </c>
      <c r="S2185" s="122">
        <v>6654</v>
      </c>
      <c r="T2185" s="122">
        <v>3202</v>
      </c>
      <c r="U2185" s="122">
        <v>1186</v>
      </c>
      <c r="V2185" s="122">
        <v>92450</v>
      </c>
      <c r="W2185" s="122">
        <f t="shared" si="68"/>
        <v>92450</v>
      </c>
      <c r="X2185" s="122">
        <f t="shared" si="69"/>
        <v>107542</v>
      </c>
      <c r="AA2185" t="s">
        <v>64</v>
      </c>
      <c r="AB2185" t="s">
        <v>425</v>
      </c>
      <c r="AC2185" t="s">
        <v>579</v>
      </c>
      <c r="AD2185" t="s">
        <v>425</v>
      </c>
      <c r="AE2185" t="s">
        <v>137</v>
      </c>
      <c r="AF2185">
        <v>2</v>
      </c>
      <c r="AG2185">
        <v>155</v>
      </c>
      <c r="AH2185" s="122">
        <v>1173</v>
      </c>
      <c r="AI2185" s="122">
        <v>61689</v>
      </c>
      <c r="AJ2185" s="122">
        <v>56081</v>
      </c>
      <c r="AK2185">
        <v>83</v>
      </c>
      <c r="AL2185" s="122">
        <v>13579</v>
      </c>
      <c r="AM2185" s="122">
        <v>11316</v>
      </c>
      <c r="AN2185" s="122">
        <v>3704</v>
      </c>
      <c r="AO2185" s="122">
        <v>1372</v>
      </c>
      <c r="AP2185">
        <v>945</v>
      </c>
      <c r="AQ2185">
        <v>350</v>
      </c>
      <c r="AR2185" s="122">
        <v>6614</v>
      </c>
      <c r="AS2185" s="122">
        <v>6012</v>
      </c>
      <c r="AT2185" s="122">
        <v>4081</v>
      </c>
      <c r="AU2185" s="122">
        <v>1512</v>
      </c>
      <c r="AV2185" s="122">
        <v>76643</v>
      </c>
    </row>
    <row r="2186" spans="2:48" hidden="1">
      <c r="B2186" t="s">
        <v>377</v>
      </c>
      <c r="C2186" t="s">
        <v>64</v>
      </c>
      <c r="D2186" t="s">
        <v>405</v>
      </c>
      <c r="E2186" t="s">
        <v>405</v>
      </c>
      <c r="F2186" s="122">
        <v>10</v>
      </c>
      <c r="G2186" s="122">
        <v>923</v>
      </c>
      <c r="H2186" s="122">
        <v>5446</v>
      </c>
      <c r="I2186" s="122">
        <v>321906</v>
      </c>
      <c r="J2186" s="122">
        <v>292641</v>
      </c>
      <c r="K2186" s="122">
        <v>76</v>
      </c>
      <c r="L2186" s="122">
        <v>88910</v>
      </c>
      <c r="M2186" s="122">
        <v>80827</v>
      </c>
      <c r="N2186" s="122">
        <v>20214</v>
      </c>
      <c r="O2186" s="122">
        <v>7487</v>
      </c>
      <c r="P2186" s="122">
        <v>4482</v>
      </c>
      <c r="Q2186" s="122">
        <v>1660</v>
      </c>
      <c r="R2186" s="122">
        <v>45466</v>
      </c>
      <c r="S2186" s="122">
        <v>41333</v>
      </c>
      <c r="T2186" s="122">
        <v>9897</v>
      </c>
      <c r="U2186" s="122">
        <v>3665</v>
      </c>
      <c r="V2186" s="122">
        <v>427613</v>
      </c>
      <c r="W2186" s="122">
        <f t="shared" si="68"/>
        <v>427613</v>
      </c>
      <c r="X2186" s="122">
        <f t="shared" si="69"/>
        <v>490875</v>
      </c>
      <c r="AA2186" t="s">
        <v>64</v>
      </c>
      <c r="AB2186" t="s">
        <v>425</v>
      </c>
      <c r="AC2186" t="s">
        <v>579</v>
      </c>
      <c r="AD2186" t="s">
        <v>425</v>
      </c>
      <c r="AE2186" t="s">
        <v>566</v>
      </c>
      <c r="AF2186">
        <v>1</v>
      </c>
      <c r="AG2186">
        <v>170</v>
      </c>
      <c r="AH2186">
        <v>473</v>
      </c>
      <c r="AI2186" s="122">
        <v>52642</v>
      </c>
      <c r="AJ2186" s="122">
        <v>47856</v>
      </c>
      <c r="AK2186">
        <v>65</v>
      </c>
      <c r="AL2186" s="122">
        <v>13145</v>
      </c>
      <c r="AM2186" s="122">
        <v>10954</v>
      </c>
      <c r="AN2186" s="122">
        <v>4141</v>
      </c>
      <c r="AO2186" s="122">
        <v>1534</v>
      </c>
      <c r="AP2186">
        <v>473</v>
      </c>
      <c r="AQ2186">
        <v>175</v>
      </c>
      <c r="AR2186" s="122">
        <v>10059</v>
      </c>
      <c r="AS2186" s="122">
        <v>9144</v>
      </c>
      <c r="AT2186">
        <v>0</v>
      </c>
      <c r="AU2186">
        <v>0</v>
      </c>
      <c r="AV2186" s="122">
        <v>69663</v>
      </c>
    </row>
    <row r="2187" spans="2:48" hidden="1">
      <c r="B2187" t="s">
        <v>377</v>
      </c>
      <c r="C2187" t="s">
        <v>64</v>
      </c>
      <c r="D2187" t="s">
        <v>137</v>
      </c>
      <c r="E2187" t="s">
        <v>425</v>
      </c>
      <c r="F2187" s="122">
        <v>1</v>
      </c>
      <c r="G2187" s="122">
        <v>53</v>
      </c>
      <c r="H2187" s="122">
        <v>824</v>
      </c>
      <c r="I2187" s="122">
        <v>41070</v>
      </c>
      <c r="J2187" s="122">
        <v>15211</v>
      </c>
      <c r="K2187" s="122">
        <v>100</v>
      </c>
      <c r="L2187" s="122">
        <v>0</v>
      </c>
      <c r="M2187" s="122">
        <v>0</v>
      </c>
      <c r="N2187" s="122">
        <v>1049</v>
      </c>
      <c r="O2187" s="122">
        <v>389</v>
      </c>
      <c r="P2187" s="122">
        <v>0</v>
      </c>
      <c r="Q2187" s="122">
        <v>0</v>
      </c>
      <c r="R2187" s="122">
        <v>1408</v>
      </c>
      <c r="S2187" s="122">
        <v>1280</v>
      </c>
      <c r="T2187" s="122">
        <v>0</v>
      </c>
      <c r="U2187" s="122">
        <v>0</v>
      </c>
      <c r="V2187" s="122">
        <v>16880</v>
      </c>
      <c r="W2187" s="122">
        <f t="shared" si="68"/>
        <v>16880</v>
      </c>
      <c r="X2187" s="122">
        <f t="shared" si="69"/>
        <v>43527</v>
      </c>
      <c r="AA2187" t="s">
        <v>64</v>
      </c>
      <c r="AB2187" t="s">
        <v>425</v>
      </c>
      <c r="AC2187" t="s">
        <v>579</v>
      </c>
      <c r="AD2187" t="s">
        <v>137</v>
      </c>
      <c r="AE2187" t="s">
        <v>566</v>
      </c>
      <c r="AF2187">
        <v>1</v>
      </c>
      <c r="AG2187">
        <v>85</v>
      </c>
      <c r="AH2187">
        <v>470</v>
      </c>
      <c r="AI2187" s="122">
        <v>21650</v>
      </c>
      <c r="AJ2187" s="122">
        <v>19682</v>
      </c>
      <c r="AK2187">
        <v>70</v>
      </c>
      <c r="AL2187" s="122">
        <v>6123</v>
      </c>
      <c r="AM2187" s="122">
        <v>5103</v>
      </c>
      <c r="AN2187" s="122">
        <v>1960</v>
      </c>
      <c r="AO2187" s="122">
        <v>726</v>
      </c>
      <c r="AP2187">
        <v>803</v>
      </c>
      <c r="AQ2187">
        <v>298</v>
      </c>
      <c r="AR2187" s="122">
        <v>9470</v>
      </c>
      <c r="AS2187" s="122">
        <v>3507</v>
      </c>
      <c r="AT2187" s="122">
        <v>0</v>
      </c>
      <c r="AU2187" s="122">
        <v>0</v>
      </c>
      <c r="AV2187" s="122">
        <v>29315</v>
      </c>
    </row>
    <row r="2188" spans="2:48" hidden="1">
      <c r="B2188" t="s">
        <v>377</v>
      </c>
      <c r="C2188" t="s">
        <v>64</v>
      </c>
      <c r="D2188" t="s">
        <v>137</v>
      </c>
      <c r="E2188" t="s">
        <v>137</v>
      </c>
      <c r="F2188" s="122">
        <v>197</v>
      </c>
      <c r="G2188" s="122">
        <v>16480</v>
      </c>
      <c r="H2188" s="122">
        <v>153801</v>
      </c>
      <c r="I2188" s="122">
        <v>9215280</v>
      </c>
      <c r="J2188" s="122">
        <v>3413067</v>
      </c>
      <c r="K2188" s="122">
        <v>100</v>
      </c>
      <c r="L2188" s="122">
        <v>1443951</v>
      </c>
      <c r="M2188" s="122">
        <v>1225399</v>
      </c>
      <c r="N2188" s="122">
        <v>366949</v>
      </c>
      <c r="O2188" s="122">
        <v>135907</v>
      </c>
      <c r="P2188" s="122">
        <v>6426</v>
      </c>
      <c r="Q2188" s="122">
        <v>2380</v>
      </c>
      <c r="R2188" s="122">
        <v>1328404</v>
      </c>
      <c r="S2188" s="122">
        <v>492002</v>
      </c>
      <c r="T2188" s="122">
        <v>5151</v>
      </c>
      <c r="U2188" s="122">
        <v>1908</v>
      </c>
      <c r="V2188" s="122">
        <v>5270662</v>
      </c>
      <c r="W2188" s="122">
        <f t="shared" si="68"/>
        <v>5270663</v>
      </c>
      <c r="X2188" s="122">
        <f t="shared" si="69"/>
        <v>12366161</v>
      </c>
      <c r="AA2188" t="s">
        <v>64</v>
      </c>
      <c r="AB2188" t="s">
        <v>425</v>
      </c>
      <c r="AC2188" t="s">
        <v>579</v>
      </c>
      <c r="AD2188" t="s">
        <v>406</v>
      </c>
      <c r="AE2188" t="s">
        <v>137</v>
      </c>
      <c r="AF2188">
        <v>1</v>
      </c>
      <c r="AG2188" s="122">
        <v>327</v>
      </c>
      <c r="AH2188" s="122">
        <v>484</v>
      </c>
      <c r="AI2188" s="122">
        <v>110797</v>
      </c>
      <c r="AJ2188" s="122">
        <v>100724</v>
      </c>
      <c r="AK2188">
        <v>65</v>
      </c>
      <c r="AL2188" s="122">
        <v>27666</v>
      </c>
      <c r="AM2188" s="122">
        <v>23055</v>
      </c>
      <c r="AN2188" s="122">
        <v>7247</v>
      </c>
      <c r="AO2188" s="122">
        <v>2684</v>
      </c>
      <c r="AP2188" s="122">
        <v>621</v>
      </c>
      <c r="AQ2188" s="122">
        <v>230</v>
      </c>
      <c r="AR2188" s="122">
        <v>7352</v>
      </c>
      <c r="AS2188" s="122">
        <v>6683</v>
      </c>
      <c r="AT2188" s="122">
        <v>4401</v>
      </c>
      <c r="AU2188" s="122">
        <v>1630</v>
      </c>
      <c r="AV2188" s="122">
        <v>135007</v>
      </c>
    </row>
    <row r="2189" spans="2:48" hidden="1">
      <c r="B2189" t="s">
        <v>377</v>
      </c>
      <c r="C2189" t="s">
        <v>64</v>
      </c>
      <c r="D2189" t="s">
        <v>137</v>
      </c>
      <c r="E2189" t="s">
        <v>427</v>
      </c>
      <c r="F2189" s="122">
        <v>1</v>
      </c>
      <c r="G2189" s="122">
        <v>97</v>
      </c>
      <c r="H2189" s="122">
        <v>474</v>
      </c>
      <c r="I2189" s="122">
        <v>29810</v>
      </c>
      <c r="J2189" s="122">
        <v>11041</v>
      </c>
      <c r="K2189" s="122">
        <v>100</v>
      </c>
      <c r="L2189" s="122">
        <v>4273</v>
      </c>
      <c r="M2189" s="122">
        <v>3885</v>
      </c>
      <c r="N2189" s="122">
        <v>2257</v>
      </c>
      <c r="O2189" s="122">
        <v>836</v>
      </c>
      <c r="P2189" s="122">
        <v>0</v>
      </c>
      <c r="Q2189" s="122">
        <v>0</v>
      </c>
      <c r="R2189" s="122">
        <v>9648</v>
      </c>
      <c r="S2189" s="122">
        <v>8771</v>
      </c>
      <c r="T2189" s="122">
        <v>0</v>
      </c>
      <c r="U2189" s="122">
        <v>0</v>
      </c>
      <c r="V2189" s="122">
        <v>24533</v>
      </c>
      <c r="W2189" s="122">
        <f t="shared" si="68"/>
        <v>24533</v>
      </c>
      <c r="X2189" s="122">
        <f t="shared" si="69"/>
        <v>45988</v>
      </c>
      <c r="AA2189" t="s">
        <v>64</v>
      </c>
      <c r="AB2189" t="s">
        <v>425</v>
      </c>
      <c r="AC2189" t="s">
        <v>426</v>
      </c>
      <c r="AD2189" t="s">
        <v>425</v>
      </c>
      <c r="AE2189" t="s">
        <v>137</v>
      </c>
      <c r="AF2189">
        <v>13</v>
      </c>
      <c r="AG2189" s="122">
        <v>1234</v>
      </c>
      <c r="AH2189" s="122">
        <v>7552</v>
      </c>
      <c r="AI2189" s="122">
        <v>524840</v>
      </c>
      <c r="AJ2189" s="122">
        <v>477128</v>
      </c>
      <c r="AK2189">
        <v>71</v>
      </c>
      <c r="AL2189" s="122">
        <v>97460</v>
      </c>
      <c r="AM2189" s="122">
        <v>88600</v>
      </c>
      <c r="AN2189" s="122">
        <v>30229</v>
      </c>
      <c r="AO2189" s="122">
        <v>11196</v>
      </c>
      <c r="AP2189" s="122">
        <v>6602</v>
      </c>
      <c r="AQ2189" s="122">
        <v>2445</v>
      </c>
      <c r="AR2189" s="122">
        <v>61875</v>
      </c>
      <c r="AS2189" s="122">
        <v>56250</v>
      </c>
      <c r="AT2189" s="122">
        <v>24691</v>
      </c>
      <c r="AU2189" s="122">
        <v>9145</v>
      </c>
      <c r="AV2189" s="122">
        <v>644764</v>
      </c>
    </row>
    <row r="2190" spans="2:48" hidden="1">
      <c r="B2190" t="s">
        <v>377</v>
      </c>
      <c r="C2190" t="s">
        <v>64</v>
      </c>
      <c r="D2190" t="s">
        <v>137</v>
      </c>
      <c r="E2190" t="s">
        <v>431</v>
      </c>
      <c r="F2190" s="122">
        <v>7</v>
      </c>
      <c r="G2190" s="122">
        <v>623</v>
      </c>
      <c r="H2190" s="122">
        <v>5909</v>
      </c>
      <c r="I2190" s="122">
        <v>408610</v>
      </c>
      <c r="J2190" s="122">
        <v>151337</v>
      </c>
      <c r="K2190" s="122">
        <v>100</v>
      </c>
      <c r="L2190" s="122">
        <v>37087</v>
      </c>
      <c r="M2190" s="122">
        <v>33715</v>
      </c>
      <c r="N2190" s="122">
        <v>13493</v>
      </c>
      <c r="O2190" s="122">
        <v>4997</v>
      </c>
      <c r="P2190" s="122">
        <v>621</v>
      </c>
      <c r="Q2190" s="122">
        <v>230</v>
      </c>
      <c r="R2190" s="122">
        <v>46478</v>
      </c>
      <c r="S2190" s="122">
        <v>42253</v>
      </c>
      <c r="T2190" s="122">
        <v>11339</v>
      </c>
      <c r="U2190" s="122">
        <v>4200</v>
      </c>
      <c r="V2190" s="122">
        <v>236733</v>
      </c>
      <c r="W2190" s="122">
        <f t="shared" si="68"/>
        <v>236732</v>
      </c>
      <c r="X2190" s="122">
        <f t="shared" si="69"/>
        <v>517628</v>
      </c>
      <c r="AA2190" t="s">
        <v>64</v>
      </c>
      <c r="AB2190" t="s">
        <v>425</v>
      </c>
      <c r="AC2190" t="s">
        <v>426</v>
      </c>
      <c r="AD2190" t="s">
        <v>425</v>
      </c>
      <c r="AE2190" t="s">
        <v>566</v>
      </c>
      <c r="AF2190">
        <v>11</v>
      </c>
      <c r="AG2190" s="122">
        <v>1213</v>
      </c>
      <c r="AH2190" s="122">
        <v>5697</v>
      </c>
      <c r="AI2190" s="122">
        <v>456130</v>
      </c>
      <c r="AJ2190" s="122">
        <v>414663</v>
      </c>
      <c r="AK2190">
        <v>72</v>
      </c>
      <c r="AL2190" s="122">
        <v>74728</v>
      </c>
      <c r="AM2190" s="122">
        <v>67934</v>
      </c>
      <c r="AN2190" s="122">
        <v>27084</v>
      </c>
      <c r="AO2190" s="122">
        <v>10031</v>
      </c>
      <c r="AP2190" s="122">
        <v>6278</v>
      </c>
      <c r="AQ2190" s="122">
        <v>2325</v>
      </c>
      <c r="AR2190" s="122">
        <v>57900</v>
      </c>
      <c r="AS2190" s="122">
        <v>52637</v>
      </c>
      <c r="AT2190">
        <v>0</v>
      </c>
      <c r="AU2190">
        <v>0</v>
      </c>
      <c r="AV2190" s="122">
        <v>547590</v>
      </c>
    </row>
    <row r="2191" spans="2:48" hidden="1">
      <c r="B2191" t="s">
        <v>377</v>
      </c>
      <c r="C2191" t="s">
        <v>64</v>
      </c>
      <c r="D2191" t="s">
        <v>137</v>
      </c>
      <c r="E2191" t="s">
        <v>426</v>
      </c>
      <c r="F2191" s="122">
        <v>28</v>
      </c>
      <c r="G2191" s="122">
        <v>2197</v>
      </c>
      <c r="H2191" s="122">
        <v>21421</v>
      </c>
      <c r="I2191" s="122">
        <v>1300121</v>
      </c>
      <c r="J2191" s="122">
        <v>481526</v>
      </c>
      <c r="K2191" s="122">
        <v>100</v>
      </c>
      <c r="L2191" s="122">
        <v>156275</v>
      </c>
      <c r="M2191" s="122">
        <v>143358</v>
      </c>
      <c r="N2191" s="122">
        <v>47958</v>
      </c>
      <c r="O2191" s="122">
        <v>17762</v>
      </c>
      <c r="P2191" s="122">
        <v>1755</v>
      </c>
      <c r="Q2191" s="122">
        <v>650</v>
      </c>
      <c r="R2191" s="122">
        <v>144228</v>
      </c>
      <c r="S2191" s="122">
        <v>131117</v>
      </c>
      <c r="T2191" s="122">
        <v>32366</v>
      </c>
      <c r="U2191" s="122">
        <v>11987</v>
      </c>
      <c r="V2191" s="122">
        <v>786401</v>
      </c>
      <c r="W2191" s="122">
        <f t="shared" si="68"/>
        <v>786400</v>
      </c>
      <c r="X2191" s="122">
        <f t="shared" si="69"/>
        <v>1682703</v>
      </c>
      <c r="AA2191" t="s">
        <v>64</v>
      </c>
      <c r="AB2191" t="s">
        <v>425</v>
      </c>
      <c r="AC2191" t="s">
        <v>426</v>
      </c>
      <c r="AD2191" t="s">
        <v>405</v>
      </c>
      <c r="AE2191" t="s">
        <v>566</v>
      </c>
      <c r="AF2191">
        <v>1</v>
      </c>
      <c r="AG2191">
        <v>128</v>
      </c>
      <c r="AH2191" s="122">
        <v>549</v>
      </c>
      <c r="AI2191" s="122">
        <v>46809</v>
      </c>
      <c r="AJ2191" s="122">
        <v>42554</v>
      </c>
      <c r="AK2191">
        <v>68</v>
      </c>
      <c r="AL2191" s="122">
        <v>11789</v>
      </c>
      <c r="AM2191" s="122">
        <v>10717</v>
      </c>
      <c r="AN2191" s="122">
        <v>3109</v>
      </c>
      <c r="AO2191" s="122">
        <v>1151</v>
      </c>
      <c r="AP2191" s="122">
        <v>473</v>
      </c>
      <c r="AQ2191">
        <v>175</v>
      </c>
      <c r="AR2191" s="122">
        <v>7803</v>
      </c>
      <c r="AS2191" s="122">
        <v>7093</v>
      </c>
      <c r="AT2191">
        <v>0</v>
      </c>
      <c r="AU2191">
        <v>0</v>
      </c>
      <c r="AV2191" s="122">
        <v>61691</v>
      </c>
    </row>
    <row r="2192" spans="2:48" hidden="1">
      <c r="B2192" t="s">
        <v>377</v>
      </c>
      <c r="C2192" t="s">
        <v>64</v>
      </c>
      <c r="D2192" t="s">
        <v>406</v>
      </c>
      <c r="E2192" t="s">
        <v>137</v>
      </c>
      <c r="F2192" s="122">
        <v>15</v>
      </c>
      <c r="G2192" s="122">
        <v>1155</v>
      </c>
      <c r="H2192" s="122">
        <v>9264</v>
      </c>
      <c r="I2192" s="122">
        <v>484993</v>
      </c>
      <c r="J2192" s="122">
        <v>440903</v>
      </c>
      <c r="K2192" s="122">
        <v>73</v>
      </c>
      <c r="L2192" s="122">
        <v>93078</v>
      </c>
      <c r="M2192" s="122">
        <v>82314</v>
      </c>
      <c r="N2192" s="122">
        <v>25718</v>
      </c>
      <c r="O2192" s="122">
        <v>9525</v>
      </c>
      <c r="P2192" s="122">
        <v>8694</v>
      </c>
      <c r="Q2192" s="122">
        <v>3220</v>
      </c>
      <c r="R2192" s="122">
        <v>83601</v>
      </c>
      <c r="S2192" s="122">
        <v>30963</v>
      </c>
      <c r="T2192" s="122">
        <v>2681</v>
      </c>
      <c r="U2192" s="122">
        <v>993</v>
      </c>
      <c r="V2192" s="122">
        <v>567919</v>
      </c>
      <c r="W2192" s="122">
        <f t="shared" si="68"/>
        <v>567918</v>
      </c>
      <c r="X2192" s="122">
        <f t="shared" si="69"/>
        <v>698765</v>
      </c>
      <c r="AA2192" t="s">
        <v>64</v>
      </c>
      <c r="AB2192" t="s">
        <v>425</v>
      </c>
      <c r="AC2192" t="s">
        <v>426</v>
      </c>
      <c r="AD2192" t="s">
        <v>137</v>
      </c>
      <c r="AE2192" t="s">
        <v>566</v>
      </c>
      <c r="AF2192">
        <v>6</v>
      </c>
      <c r="AG2192">
        <v>541</v>
      </c>
      <c r="AH2192" s="122">
        <v>3673</v>
      </c>
      <c r="AI2192" s="122">
        <v>216327</v>
      </c>
      <c r="AJ2192" s="122">
        <v>196661</v>
      </c>
      <c r="AK2192">
        <v>71</v>
      </c>
      <c r="AL2192" s="122">
        <v>41322</v>
      </c>
      <c r="AM2192" s="122">
        <v>37566</v>
      </c>
      <c r="AN2192" s="122">
        <v>11065</v>
      </c>
      <c r="AO2192" s="122">
        <v>4098</v>
      </c>
      <c r="AP2192" s="122">
        <v>1296</v>
      </c>
      <c r="AQ2192" s="122">
        <v>480</v>
      </c>
      <c r="AR2192" s="122">
        <v>51209</v>
      </c>
      <c r="AS2192" s="122">
        <v>18966</v>
      </c>
      <c r="AT2192" s="122">
        <v>0</v>
      </c>
      <c r="AU2192" s="122">
        <v>0</v>
      </c>
      <c r="AV2192" s="122">
        <v>257772</v>
      </c>
    </row>
    <row r="2193" spans="2:48" hidden="1">
      <c r="B2193" t="s">
        <v>377</v>
      </c>
      <c r="C2193" t="s">
        <v>64</v>
      </c>
      <c r="D2193" t="s">
        <v>406</v>
      </c>
      <c r="E2193" t="s">
        <v>406</v>
      </c>
      <c r="F2193" s="122">
        <v>669</v>
      </c>
      <c r="G2193" s="122">
        <v>65396</v>
      </c>
      <c r="H2193" s="122">
        <v>388267</v>
      </c>
      <c r="I2193" s="122">
        <v>25256603</v>
      </c>
      <c r="J2193" s="122">
        <v>22960548</v>
      </c>
      <c r="K2193" s="122">
        <v>73</v>
      </c>
      <c r="L2193" s="122">
        <v>6360604</v>
      </c>
      <c r="M2193" s="122">
        <v>5704233</v>
      </c>
      <c r="N2193" s="122">
        <v>1443370</v>
      </c>
      <c r="O2193" s="122">
        <v>534581</v>
      </c>
      <c r="P2193" s="122">
        <v>432394</v>
      </c>
      <c r="Q2193" s="122">
        <v>160146</v>
      </c>
      <c r="R2193" s="122">
        <v>3285959</v>
      </c>
      <c r="S2193" s="122">
        <v>2987235</v>
      </c>
      <c r="T2193" s="122">
        <v>1107667</v>
      </c>
      <c r="U2193" s="122">
        <v>410247</v>
      </c>
      <c r="V2193" s="122">
        <v>32756991</v>
      </c>
      <c r="W2193" s="122">
        <f t="shared" si="68"/>
        <v>32756990</v>
      </c>
      <c r="X2193" s="122">
        <f t="shared" si="69"/>
        <v>37886597</v>
      </c>
      <c r="AA2193" t="s">
        <v>64</v>
      </c>
      <c r="AB2193" t="s">
        <v>425</v>
      </c>
      <c r="AC2193" t="s">
        <v>426</v>
      </c>
      <c r="AD2193" t="s">
        <v>406</v>
      </c>
      <c r="AE2193" t="s">
        <v>137</v>
      </c>
      <c r="AF2193">
        <v>6</v>
      </c>
      <c r="AG2193">
        <v>750</v>
      </c>
      <c r="AH2193" s="122">
        <v>3461</v>
      </c>
      <c r="AI2193" s="122">
        <v>306809</v>
      </c>
      <c r="AJ2193" s="122">
        <v>278918</v>
      </c>
      <c r="AK2193">
        <v>71</v>
      </c>
      <c r="AL2193" s="122">
        <v>44801</v>
      </c>
      <c r="AM2193" s="122">
        <v>40728</v>
      </c>
      <c r="AN2193" s="122">
        <v>17314</v>
      </c>
      <c r="AO2193" s="122">
        <v>6413</v>
      </c>
      <c r="AP2193" s="122">
        <v>4428</v>
      </c>
      <c r="AQ2193" s="122">
        <v>1640</v>
      </c>
      <c r="AR2193" s="122">
        <v>32929</v>
      </c>
      <c r="AS2193" s="122">
        <v>29935</v>
      </c>
      <c r="AT2193" s="122">
        <v>20885</v>
      </c>
      <c r="AU2193" s="122">
        <v>7735</v>
      </c>
      <c r="AV2193" s="122">
        <v>365368</v>
      </c>
    </row>
    <row r="2194" spans="2:48" hidden="1">
      <c r="B2194" t="s">
        <v>377</v>
      </c>
      <c r="C2194" t="s">
        <v>64</v>
      </c>
      <c r="D2194" t="s">
        <v>406</v>
      </c>
      <c r="E2194" t="s">
        <v>431</v>
      </c>
      <c r="F2194" s="122">
        <v>2</v>
      </c>
      <c r="G2194" s="122">
        <v>147</v>
      </c>
      <c r="H2194" s="122">
        <v>1239</v>
      </c>
      <c r="I2194" s="122">
        <v>61347</v>
      </c>
      <c r="J2194" s="122">
        <v>55770</v>
      </c>
      <c r="K2194" s="122">
        <v>78</v>
      </c>
      <c r="L2194" s="122">
        <v>8062</v>
      </c>
      <c r="M2194" s="122">
        <v>7329</v>
      </c>
      <c r="N2194" s="122">
        <v>3545</v>
      </c>
      <c r="O2194" s="122">
        <v>1313</v>
      </c>
      <c r="P2194" s="122">
        <v>1242</v>
      </c>
      <c r="Q2194" s="122">
        <v>460</v>
      </c>
      <c r="R2194" s="122">
        <v>11166</v>
      </c>
      <c r="S2194" s="122">
        <v>10151</v>
      </c>
      <c r="T2194" s="122">
        <v>0</v>
      </c>
      <c r="U2194" s="122">
        <v>0</v>
      </c>
      <c r="V2194" s="122">
        <v>75023</v>
      </c>
      <c r="W2194" s="122">
        <f t="shared" si="68"/>
        <v>75023</v>
      </c>
      <c r="X2194" s="122">
        <f t="shared" si="69"/>
        <v>85362</v>
      </c>
      <c r="AA2194" t="s">
        <v>64</v>
      </c>
      <c r="AB2194" t="s">
        <v>425</v>
      </c>
      <c r="AC2194" t="s">
        <v>426</v>
      </c>
      <c r="AD2194" t="s">
        <v>406</v>
      </c>
      <c r="AE2194" t="s">
        <v>566</v>
      </c>
      <c r="AF2194">
        <v>1</v>
      </c>
      <c r="AG2194">
        <v>58</v>
      </c>
      <c r="AH2194">
        <v>539</v>
      </c>
      <c r="AI2194" s="122">
        <v>14716</v>
      </c>
      <c r="AJ2194" s="122">
        <v>13378</v>
      </c>
      <c r="AK2194">
        <v>55</v>
      </c>
      <c r="AL2194" s="122">
        <v>3025</v>
      </c>
      <c r="AM2194" s="122">
        <v>2750</v>
      </c>
      <c r="AN2194" s="122">
        <v>1413</v>
      </c>
      <c r="AO2194">
        <v>523</v>
      </c>
      <c r="AP2194">
        <v>621</v>
      </c>
      <c r="AQ2194">
        <v>230</v>
      </c>
      <c r="AR2194" s="122">
        <v>11504</v>
      </c>
      <c r="AS2194" s="122">
        <v>10458</v>
      </c>
      <c r="AT2194">
        <v>0</v>
      </c>
      <c r="AU2194">
        <v>0</v>
      </c>
      <c r="AV2194" s="122">
        <v>27339</v>
      </c>
    </row>
    <row r="2195" spans="2:48" hidden="1">
      <c r="B2195" t="s">
        <v>377</v>
      </c>
      <c r="C2195" t="s">
        <v>64</v>
      </c>
      <c r="D2195" t="s">
        <v>406</v>
      </c>
      <c r="E2195" t="s">
        <v>426</v>
      </c>
      <c r="F2195" s="122">
        <v>2</v>
      </c>
      <c r="G2195" s="122">
        <v>120</v>
      </c>
      <c r="H2195" s="122">
        <v>1323</v>
      </c>
      <c r="I2195" s="122">
        <v>55778</v>
      </c>
      <c r="J2195" s="122">
        <v>50707</v>
      </c>
      <c r="K2195" s="122">
        <v>65</v>
      </c>
      <c r="L2195" s="122">
        <v>7011</v>
      </c>
      <c r="M2195" s="122">
        <v>6373</v>
      </c>
      <c r="N2195" s="122">
        <v>2915</v>
      </c>
      <c r="O2195" s="122">
        <v>1080</v>
      </c>
      <c r="P2195" s="122">
        <v>1242</v>
      </c>
      <c r="Q2195" s="122">
        <v>460</v>
      </c>
      <c r="R2195" s="122">
        <v>9502</v>
      </c>
      <c r="S2195" s="122">
        <v>8638</v>
      </c>
      <c r="T2195" s="122">
        <v>2786</v>
      </c>
      <c r="U2195" s="122">
        <v>1032</v>
      </c>
      <c r="V2195" s="122">
        <v>68290</v>
      </c>
      <c r="W2195" s="122">
        <f t="shared" si="68"/>
        <v>68290</v>
      </c>
      <c r="X2195" s="122">
        <f t="shared" si="69"/>
        <v>79234</v>
      </c>
      <c r="AA2195" t="s">
        <v>64</v>
      </c>
      <c r="AB2195" t="s">
        <v>405</v>
      </c>
      <c r="AC2195" t="s">
        <v>578</v>
      </c>
      <c r="AD2195" t="s">
        <v>405</v>
      </c>
      <c r="AE2195" t="s">
        <v>566</v>
      </c>
      <c r="AF2195">
        <v>1</v>
      </c>
      <c r="AG2195">
        <v>79</v>
      </c>
      <c r="AH2195" s="122">
        <v>514</v>
      </c>
      <c r="AI2195" s="122">
        <v>27914</v>
      </c>
      <c r="AJ2195" s="122">
        <v>25376</v>
      </c>
      <c r="AK2195">
        <v>82</v>
      </c>
      <c r="AL2195" s="122">
        <v>8033</v>
      </c>
      <c r="AM2195" s="122">
        <v>7303</v>
      </c>
      <c r="AN2195" s="122">
        <v>1928</v>
      </c>
      <c r="AO2195" s="122">
        <v>714</v>
      </c>
      <c r="AP2195" s="122">
        <v>473</v>
      </c>
      <c r="AQ2195">
        <v>175</v>
      </c>
      <c r="AR2195" s="122">
        <v>2307</v>
      </c>
      <c r="AS2195" s="122">
        <v>2098</v>
      </c>
      <c r="AT2195" s="122">
        <v>0</v>
      </c>
      <c r="AU2195" s="122">
        <v>0</v>
      </c>
      <c r="AV2195" s="122">
        <v>35666</v>
      </c>
    </row>
    <row r="2196" spans="2:48" hidden="1">
      <c r="B2196" t="s">
        <v>377</v>
      </c>
      <c r="C2196" t="s">
        <v>64</v>
      </c>
      <c r="D2196" t="s">
        <v>427</v>
      </c>
      <c r="E2196" t="s">
        <v>137</v>
      </c>
      <c r="F2196" s="122">
        <v>7</v>
      </c>
      <c r="G2196" s="122">
        <v>844</v>
      </c>
      <c r="H2196" s="122">
        <v>7642</v>
      </c>
      <c r="I2196" s="122">
        <v>617453</v>
      </c>
      <c r="J2196" s="122">
        <v>561321</v>
      </c>
      <c r="K2196" s="122">
        <v>46</v>
      </c>
      <c r="L2196" s="122">
        <v>82678</v>
      </c>
      <c r="M2196" s="122">
        <v>59728</v>
      </c>
      <c r="N2196" s="122">
        <v>20002</v>
      </c>
      <c r="O2196" s="122">
        <v>7408</v>
      </c>
      <c r="P2196" s="122">
        <v>702</v>
      </c>
      <c r="Q2196" s="122">
        <v>260</v>
      </c>
      <c r="R2196" s="122">
        <v>64612</v>
      </c>
      <c r="S2196" s="122">
        <v>23930</v>
      </c>
      <c r="T2196" s="122">
        <v>4072</v>
      </c>
      <c r="U2196" s="122">
        <v>1508</v>
      </c>
      <c r="V2196" s="122">
        <v>654156</v>
      </c>
      <c r="W2196" s="122">
        <f t="shared" si="68"/>
        <v>654155</v>
      </c>
      <c r="X2196" s="122">
        <f t="shared" si="69"/>
        <v>789519</v>
      </c>
      <c r="AA2196" t="s">
        <v>64</v>
      </c>
      <c r="AB2196" t="s">
        <v>405</v>
      </c>
      <c r="AC2196" t="s">
        <v>405</v>
      </c>
      <c r="AD2196" t="s">
        <v>405</v>
      </c>
      <c r="AE2196" t="s">
        <v>137</v>
      </c>
      <c r="AF2196">
        <v>6</v>
      </c>
      <c r="AG2196">
        <v>579</v>
      </c>
      <c r="AH2196" s="122">
        <v>3695</v>
      </c>
      <c r="AI2196" s="122">
        <v>251166</v>
      </c>
      <c r="AJ2196" s="122">
        <v>228332</v>
      </c>
      <c r="AK2196">
        <v>64</v>
      </c>
      <c r="AL2196" s="122">
        <v>46302</v>
      </c>
      <c r="AM2196" s="122">
        <v>42093</v>
      </c>
      <c r="AN2196" s="122">
        <v>12912</v>
      </c>
      <c r="AO2196" s="122">
        <v>4782</v>
      </c>
      <c r="AP2196" s="122">
        <v>2471</v>
      </c>
      <c r="AQ2196">
        <v>915</v>
      </c>
      <c r="AR2196" s="122">
        <v>33772</v>
      </c>
      <c r="AS2196" s="122">
        <v>30702</v>
      </c>
      <c r="AT2196" s="122">
        <v>17737</v>
      </c>
      <c r="AU2196" s="122">
        <v>6569</v>
      </c>
      <c r="AV2196" s="122">
        <v>313394</v>
      </c>
    </row>
    <row r="2197" spans="2:48" hidden="1">
      <c r="B2197" t="s">
        <v>377</v>
      </c>
      <c r="C2197" t="s">
        <v>64</v>
      </c>
      <c r="D2197" t="s">
        <v>427</v>
      </c>
      <c r="E2197" t="s">
        <v>427</v>
      </c>
      <c r="F2197" s="122">
        <v>15</v>
      </c>
      <c r="G2197" s="122">
        <v>1226</v>
      </c>
      <c r="H2197" s="122">
        <v>11153</v>
      </c>
      <c r="I2197" s="122">
        <v>641745</v>
      </c>
      <c r="J2197" s="122">
        <v>583404</v>
      </c>
      <c r="K2197" s="122">
        <v>53</v>
      </c>
      <c r="L2197" s="122">
        <v>105582</v>
      </c>
      <c r="M2197" s="122">
        <v>84001</v>
      </c>
      <c r="N2197" s="122">
        <v>27787</v>
      </c>
      <c r="O2197" s="122">
        <v>10292</v>
      </c>
      <c r="P2197" s="122">
        <v>4914</v>
      </c>
      <c r="Q2197" s="122">
        <v>1820</v>
      </c>
      <c r="R2197" s="122">
        <v>107811</v>
      </c>
      <c r="S2197" s="122">
        <v>98010</v>
      </c>
      <c r="T2197" s="122">
        <v>17793</v>
      </c>
      <c r="U2197" s="122">
        <v>6590</v>
      </c>
      <c r="V2197" s="122">
        <v>784116</v>
      </c>
      <c r="W2197" s="122">
        <f t="shared" si="68"/>
        <v>784117</v>
      </c>
      <c r="X2197" s="122">
        <f t="shared" si="69"/>
        <v>905632</v>
      </c>
      <c r="AA2197" t="s">
        <v>64</v>
      </c>
      <c r="AB2197" t="s">
        <v>405</v>
      </c>
      <c r="AC2197" t="s">
        <v>405</v>
      </c>
      <c r="AD2197" t="s">
        <v>405</v>
      </c>
      <c r="AE2197" t="s">
        <v>566</v>
      </c>
      <c r="AF2197">
        <v>5</v>
      </c>
      <c r="AG2197">
        <v>398</v>
      </c>
      <c r="AH2197" s="122">
        <v>2515</v>
      </c>
      <c r="AI2197" s="122">
        <v>139386</v>
      </c>
      <c r="AJ2197" s="122">
        <v>126714</v>
      </c>
      <c r="AK2197">
        <v>73</v>
      </c>
      <c r="AL2197" s="122">
        <v>25709</v>
      </c>
      <c r="AM2197" s="122">
        <v>23372</v>
      </c>
      <c r="AN2197" s="122">
        <v>8140</v>
      </c>
      <c r="AO2197" s="122">
        <v>3015</v>
      </c>
      <c r="AP2197" s="122">
        <v>2241</v>
      </c>
      <c r="AQ2197">
        <v>830</v>
      </c>
      <c r="AR2197" s="122">
        <v>21826</v>
      </c>
      <c r="AS2197" s="122">
        <v>19841</v>
      </c>
      <c r="AT2197" s="122">
        <v>0</v>
      </c>
      <c r="AU2197" s="122">
        <v>0</v>
      </c>
      <c r="AV2197" s="122">
        <v>173772</v>
      </c>
    </row>
    <row r="2198" spans="2:48" hidden="1">
      <c r="B2198" t="s">
        <v>377</v>
      </c>
      <c r="C2198" t="s">
        <v>64</v>
      </c>
      <c r="D2198" t="s">
        <v>407</v>
      </c>
      <c r="E2198" t="s">
        <v>407</v>
      </c>
      <c r="F2198" s="122">
        <v>2</v>
      </c>
      <c r="G2198" s="122">
        <v>165</v>
      </c>
      <c r="H2198" s="122">
        <v>963</v>
      </c>
      <c r="I2198" s="122">
        <v>57829</v>
      </c>
      <c r="J2198" s="122">
        <v>52571</v>
      </c>
      <c r="K2198" s="122">
        <v>84</v>
      </c>
      <c r="L2198" s="122">
        <v>8096</v>
      </c>
      <c r="M2198" s="122">
        <v>7360</v>
      </c>
      <c r="N2198" s="122">
        <v>3741</v>
      </c>
      <c r="O2198" s="122">
        <v>1386</v>
      </c>
      <c r="P2198" s="122">
        <v>1215</v>
      </c>
      <c r="Q2198" s="122">
        <v>450</v>
      </c>
      <c r="R2198" s="122">
        <v>8573</v>
      </c>
      <c r="S2198" s="122">
        <v>7794</v>
      </c>
      <c r="T2198" s="122">
        <v>0</v>
      </c>
      <c r="U2198" s="122">
        <v>0</v>
      </c>
      <c r="V2198" s="122">
        <v>69561</v>
      </c>
      <c r="W2198" s="122">
        <f t="shared" si="68"/>
        <v>69561</v>
      </c>
      <c r="X2198" s="122">
        <f t="shared" si="69"/>
        <v>79454</v>
      </c>
      <c r="AA2198" t="s">
        <v>64</v>
      </c>
      <c r="AB2198" t="s">
        <v>405</v>
      </c>
      <c r="AC2198" t="s">
        <v>405</v>
      </c>
      <c r="AD2198" t="s">
        <v>137</v>
      </c>
      <c r="AE2198" t="s">
        <v>137</v>
      </c>
      <c r="AF2198">
        <v>1</v>
      </c>
      <c r="AG2198">
        <v>102</v>
      </c>
      <c r="AH2198">
        <v>466</v>
      </c>
      <c r="AI2198" s="122">
        <v>24016</v>
      </c>
      <c r="AJ2198" s="122">
        <v>21833</v>
      </c>
      <c r="AK2198">
        <v>65</v>
      </c>
      <c r="AL2198" s="122">
        <v>3298</v>
      </c>
      <c r="AM2198" s="122">
        <v>2998</v>
      </c>
      <c r="AN2198" s="122">
        <v>2468</v>
      </c>
      <c r="AO2198">
        <v>914</v>
      </c>
      <c r="AP2198">
        <v>473</v>
      </c>
      <c r="AQ2198">
        <v>175</v>
      </c>
      <c r="AR2198" s="122">
        <v>13974</v>
      </c>
      <c r="AS2198" s="122">
        <v>5176</v>
      </c>
      <c r="AT2198" s="122">
        <v>3163</v>
      </c>
      <c r="AU2198" s="122">
        <v>1172</v>
      </c>
      <c r="AV2198" s="122">
        <v>32267</v>
      </c>
    </row>
    <row r="2199" spans="2:48" hidden="1">
      <c r="B2199" t="s">
        <v>377</v>
      </c>
      <c r="C2199" t="s">
        <v>64</v>
      </c>
      <c r="D2199" t="s">
        <v>428</v>
      </c>
      <c r="E2199" t="s">
        <v>137</v>
      </c>
      <c r="F2199" s="122">
        <v>1</v>
      </c>
      <c r="G2199" s="122">
        <v>61</v>
      </c>
      <c r="H2199" s="122">
        <v>992</v>
      </c>
      <c r="I2199" s="122">
        <v>40438</v>
      </c>
      <c r="J2199" s="122">
        <v>36762</v>
      </c>
      <c r="K2199" s="122">
        <v>60</v>
      </c>
      <c r="L2199" s="122">
        <v>22057</v>
      </c>
      <c r="M2199" s="122">
        <v>8169</v>
      </c>
      <c r="N2199" s="122">
        <v>1676</v>
      </c>
      <c r="O2199" s="122">
        <v>621</v>
      </c>
      <c r="P2199" s="122">
        <v>0</v>
      </c>
      <c r="Q2199" s="122">
        <v>0</v>
      </c>
      <c r="R2199" s="122">
        <v>4037</v>
      </c>
      <c r="S2199" s="122">
        <v>1495</v>
      </c>
      <c r="T2199" s="122">
        <v>0</v>
      </c>
      <c r="U2199" s="122">
        <v>0</v>
      </c>
      <c r="V2199" s="122">
        <v>47047</v>
      </c>
      <c r="W2199" s="122">
        <f t="shared" si="68"/>
        <v>47047</v>
      </c>
      <c r="X2199" s="122">
        <f t="shared" si="69"/>
        <v>68208</v>
      </c>
      <c r="AA2199" t="s">
        <v>64</v>
      </c>
      <c r="AB2199" t="s">
        <v>405</v>
      </c>
      <c r="AC2199" t="s">
        <v>405</v>
      </c>
      <c r="AD2199" t="s">
        <v>137</v>
      </c>
      <c r="AE2199" t="s">
        <v>566</v>
      </c>
      <c r="AF2199">
        <v>1</v>
      </c>
      <c r="AG2199">
        <v>64</v>
      </c>
      <c r="AH2199" s="122">
        <v>498</v>
      </c>
      <c r="AI2199" s="122">
        <v>21775</v>
      </c>
      <c r="AJ2199" s="122">
        <v>19795</v>
      </c>
      <c r="AK2199">
        <v>65</v>
      </c>
      <c r="AL2199" s="122">
        <v>3738</v>
      </c>
      <c r="AM2199" s="122">
        <v>3398</v>
      </c>
      <c r="AN2199" s="122">
        <v>1406</v>
      </c>
      <c r="AO2199" s="122">
        <v>521</v>
      </c>
      <c r="AP2199" s="122">
        <v>473</v>
      </c>
      <c r="AQ2199" s="122">
        <v>175</v>
      </c>
      <c r="AR2199" s="122">
        <v>4553</v>
      </c>
      <c r="AS2199" s="122">
        <v>1686</v>
      </c>
      <c r="AT2199" s="122">
        <v>0</v>
      </c>
      <c r="AU2199" s="122">
        <v>0</v>
      </c>
      <c r="AV2199" s="122">
        <v>25576</v>
      </c>
    </row>
    <row r="2200" spans="2:48" hidden="1">
      <c r="B2200" t="s">
        <v>377</v>
      </c>
      <c r="C2200" t="s">
        <v>64</v>
      </c>
      <c r="D2200" t="s">
        <v>428</v>
      </c>
      <c r="E2200" t="s">
        <v>428</v>
      </c>
      <c r="F2200" s="122">
        <v>2</v>
      </c>
      <c r="G2200" s="122">
        <v>202</v>
      </c>
      <c r="H2200" s="122">
        <v>1136</v>
      </c>
      <c r="I2200" s="122">
        <v>81544</v>
      </c>
      <c r="J2200" s="122">
        <v>74131</v>
      </c>
      <c r="K2200" s="122">
        <v>50</v>
      </c>
      <c r="L2200" s="122">
        <v>10867</v>
      </c>
      <c r="M2200" s="122">
        <v>9879</v>
      </c>
      <c r="N2200" s="122">
        <v>4916</v>
      </c>
      <c r="O2200" s="122">
        <v>1821</v>
      </c>
      <c r="P2200" s="122">
        <v>702</v>
      </c>
      <c r="Q2200" s="122">
        <v>260</v>
      </c>
      <c r="R2200" s="122">
        <v>16450</v>
      </c>
      <c r="S2200" s="122">
        <v>14955</v>
      </c>
      <c r="T2200" s="122">
        <v>0</v>
      </c>
      <c r="U2200" s="122">
        <v>0</v>
      </c>
      <c r="V2200" s="122">
        <v>101045</v>
      </c>
      <c r="W2200" s="122">
        <f t="shared" si="68"/>
        <v>101046</v>
      </c>
      <c r="X2200" s="122">
        <f t="shared" si="69"/>
        <v>114479</v>
      </c>
      <c r="AA2200" t="s">
        <v>64</v>
      </c>
      <c r="AB2200" t="s">
        <v>405</v>
      </c>
      <c r="AC2200" t="s">
        <v>137</v>
      </c>
      <c r="AD2200" t="s">
        <v>405</v>
      </c>
      <c r="AE2200" t="s">
        <v>137</v>
      </c>
      <c r="AF2200">
        <v>6</v>
      </c>
      <c r="AG2200">
        <v>582</v>
      </c>
      <c r="AH2200" s="122">
        <v>3236</v>
      </c>
      <c r="AI2200" s="122">
        <v>189224</v>
      </c>
      <c r="AJ2200" s="122">
        <v>172022</v>
      </c>
      <c r="AK2200">
        <v>76</v>
      </c>
      <c r="AL2200" s="122">
        <v>55371</v>
      </c>
      <c r="AM2200" s="122">
        <v>20508</v>
      </c>
      <c r="AN2200" s="122">
        <v>13444</v>
      </c>
      <c r="AO2200" s="122">
        <v>4979</v>
      </c>
      <c r="AP2200" s="122">
        <v>2835</v>
      </c>
      <c r="AQ2200" s="122">
        <v>1050</v>
      </c>
      <c r="AR2200" s="122">
        <v>25730</v>
      </c>
      <c r="AS2200" s="122">
        <v>23391</v>
      </c>
      <c r="AT2200" s="122">
        <v>15082</v>
      </c>
      <c r="AU2200" s="122">
        <v>5586</v>
      </c>
      <c r="AV2200" s="122">
        <v>227536</v>
      </c>
    </row>
    <row r="2201" spans="2:48" hidden="1">
      <c r="B2201" t="s">
        <v>377</v>
      </c>
      <c r="C2201" t="s">
        <v>64</v>
      </c>
      <c r="D2201" t="s">
        <v>431</v>
      </c>
      <c r="E2201" t="s">
        <v>425</v>
      </c>
      <c r="F2201" s="122">
        <v>2</v>
      </c>
      <c r="G2201" s="122">
        <v>247</v>
      </c>
      <c r="H2201" s="122">
        <v>1878</v>
      </c>
      <c r="I2201" s="122">
        <v>198120</v>
      </c>
      <c r="J2201" s="122">
        <v>180109</v>
      </c>
      <c r="K2201" s="122">
        <v>30</v>
      </c>
      <c r="L2201" s="122">
        <v>20913</v>
      </c>
      <c r="M2201" s="122">
        <v>19011</v>
      </c>
      <c r="N2201" s="122">
        <v>3009</v>
      </c>
      <c r="O2201" s="122">
        <v>1115</v>
      </c>
      <c r="P2201" s="122">
        <v>0</v>
      </c>
      <c r="Q2201" s="122">
        <v>0</v>
      </c>
      <c r="R2201" s="122">
        <v>8619</v>
      </c>
      <c r="S2201" s="122">
        <v>7836</v>
      </c>
      <c r="T2201" s="122">
        <v>0</v>
      </c>
      <c r="U2201" s="122">
        <v>0</v>
      </c>
      <c r="V2201" s="122">
        <v>208071</v>
      </c>
      <c r="W2201" s="122">
        <f t="shared" si="68"/>
        <v>208071</v>
      </c>
      <c r="X2201" s="122">
        <f t="shared" si="69"/>
        <v>230661</v>
      </c>
      <c r="AA2201" t="s">
        <v>64</v>
      </c>
      <c r="AB2201" t="s">
        <v>405</v>
      </c>
      <c r="AC2201" t="s">
        <v>137</v>
      </c>
      <c r="AD2201" t="s">
        <v>137</v>
      </c>
      <c r="AE2201" t="s">
        <v>566</v>
      </c>
      <c r="AF2201">
        <v>7</v>
      </c>
      <c r="AG2201">
        <v>428</v>
      </c>
      <c r="AH2201" s="122">
        <v>3818</v>
      </c>
      <c r="AI2201" s="122">
        <v>147144</v>
      </c>
      <c r="AJ2201" s="122">
        <v>133767</v>
      </c>
      <c r="AK2201">
        <v>50</v>
      </c>
      <c r="AL2201" s="122">
        <v>31868</v>
      </c>
      <c r="AM2201" s="122">
        <v>11803</v>
      </c>
      <c r="AN2201" s="122">
        <v>6392</v>
      </c>
      <c r="AO2201" s="122">
        <v>2367</v>
      </c>
      <c r="AP2201" s="122">
        <v>0</v>
      </c>
      <c r="AQ2201">
        <v>0</v>
      </c>
      <c r="AR2201" s="122">
        <v>47989</v>
      </c>
      <c r="AS2201" s="122">
        <v>17774</v>
      </c>
      <c r="AT2201" s="122">
        <v>0</v>
      </c>
      <c r="AU2201" s="122">
        <v>0</v>
      </c>
      <c r="AV2201" s="122">
        <v>165711</v>
      </c>
    </row>
    <row r="2202" spans="2:48" hidden="1">
      <c r="B2202" t="s">
        <v>377</v>
      </c>
      <c r="C2202" t="s">
        <v>64</v>
      </c>
      <c r="D2202" t="s">
        <v>431</v>
      </c>
      <c r="E2202" t="s">
        <v>137</v>
      </c>
      <c r="F2202" s="122">
        <v>11</v>
      </c>
      <c r="G2202" s="122">
        <v>710</v>
      </c>
      <c r="H2202" s="122">
        <v>17770</v>
      </c>
      <c r="I2202" s="122">
        <v>982218</v>
      </c>
      <c r="J2202" s="122">
        <v>892926</v>
      </c>
      <c r="K2202" s="122">
        <v>33</v>
      </c>
      <c r="L2202" s="122">
        <v>69576</v>
      </c>
      <c r="M2202" s="122">
        <v>48170</v>
      </c>
      <c r="N2202" s="122">
        <v>16643</v>
      </c>
      <c r="O2202" s="122">
        <v>6164</v>
      </c>
      <c r="P2202" s="122">
        <v>351</v>
      </c>
      <c r="Q2202" s="122">
        <v>130</v>
      </c>
      <c r="R2202" s="122">
        <v>67199</v>
      </c>
      <c r="S2202" s="122">
        <v>24888</v>
      </c>
      <c r="T2202" s="122">
        <v>0</v>
      </c>
      <c r="U2202" s="122">
        <v>0</v>
      </c>
      <c r="V2202" s="122">
        <v>972278</v>
      </c>
      <c r="W2202" s="122">
        <f t="shared" si="68"/>
        <v>972278</v>
      </c>
      <c r="X2202" s="122">
        <f t="shared" si="69"/>
        <v>1135987</v>
      </c>
      <c r="AA2202" t="s">
        <v>64</v>
      </c>
      <c r="AB2202" t="s">
        <v>405</v>
      </c>
      <c r="AC2202" t="s">
        <v>427</v>
      </c>
      <c r="AD2202" t="s">
        <v>405</v>
      </c>
      <c r="AE2202" t="s">
        <v>137</v>
      </c>
      <c r="AF2202">
        <v>4</v>
      </c>
      <c r="AG2202">
        <v>543</v>
      </c>
      <c r="AH2202" s="122">
        <v>2101</v>
      </c>
      <c r="AI2202" s="122">
        <v>200984</v>
      </c>
      <c r="AJ2202" s="122">
        <v>182712</v>
      </c>
      <c r="AK2202">
        <v>69</v>
      </c>
      <c r="AL2202" s="122">
        <v>31934</v>
      </c>
      <c r="AM2202" s="122">
        <v>29031</v>
      </c>
      <c r="AN2202" s="122">
        <v>12838</v>
      </c>
      <c r="AO2202" s="122">
        <v>4755</v>
      </c>
      <c r="AP2202" s="122">
        <v>1998</v>
      </c>
      <c r="AQ2202">
        <v>740</v>
      </c>
      <c r="AR2202" s="122">
        <v>23546</v>
      </c>
      <c r="AS2202" s="122">
        <v>21405</v>
      </c>
      <c r="AT2202" s="122">
        <v>10222</v>
      </c>
      <c r="AU2202" s="122">
        <v>3786</v>
      </c>
      <c r="AV2202" s="122">
        <v>242430</v>
      </c>
    </row>
    <row r="2203" spans="2:48" hidden="1">
      <c r="B2203" t="s">
        <v>377</v>
      </c>
      <c r="C2203" t="s">
        <v>64</v>
      </c>
      <c r="D2203" t="s">
        <v>431</v>
      </c>
      <c r="E2203" t="s">
        <v>431</v>
      </c>
      <c r="F2203" s="122">
        <v>38</v>
      </c>
      <c r="G2203" s="122">
        <v>3442</v>
      </c>
      <c r="H2203" s="122">
        <v>25792</v>
      </c>
      <c r="I2203" s="122">
        <v>1626555</v>
      </c>
      <c r="J2203" s="122">
        <v>1478686</v>
      </c>
      <c r="K2203" s="122">
        <v>53</v>
      </c>
      <c r="L2203" s="122">
        <v>241192</v>
      </c>
      <c r="M2203" s="122">
        <v>212382</v>
      </c>
      <c r="N2203" s="122">
        <v>73394</v>
      </c>
      <c r="O2203" s="122">
        <v>27183</v>
      </c>
      <c r="P2203" s="122">
        <v>11583</v>
      </c>
      <c r="Q2203" s="122">
        <v>4290</v>
      </c>
      <c r="R2203" s="122">
        <v>228923</v>
      </c>
      <c r="S2203" s="122">
        <v>208111</v>
      </c>
      <c r="T2203" s="122">
        <v>78170</v>
      </c>
      <c r="U2203" s="122">
        <v>28952</v>
      </c>
      <c r="V2203" s="122">
        <v>1959604</v>
      </c>
      <c r="W2203" s="122">
        <f t="shared" si="68"/>
        <v>1959604</v>
      </c>
      <c r="X2203" s="122">
        <f t="shared" si="69"/>
        <v>2259817</v>
      </c>
      <c r="AA2203" t="s">
        <v>64</v>
      </c>
      <c r="AB2203" t="s">
        <v>405</v>
      </c>
      <c r="AC2203" t="s">
        <v>427</v>
      </c>
      <c r="AD2203" t="s">
        <v>405</v>
      </c>
      <c r="AE2203" t="s">
        <v>566</v>
      </c>
      <c r="AF2203">
        <v>3</v>
      </c>
      <c r="AG2203">
        <v>364</v>
      </c>
      <c r="AH2203" s="122">
        <v>1750</v>
      </c>
      <c r="AI2203" s="122">
        <v>133679</v>
      </c>
      <c r="AJ2203" s="122">
        <v>121526</v>
      </c>
      <c r="AK2203">
        <v>68</v>
      </c>
      <c r="AL2203" s="122">
        <v>47376</v>
      </c>
      <c r="AM2203" s="122">
        <v>43069</v>
      </c>
      <c r="AN2203" s="122">
        <v>8729</v>
      </c>
      <c r="AO2203" s="122">
        <v>3233</v>
      </c>
      <c r="AP2203" s="122">
        <v>1175</v>
      </c>
      <c r="AQ2203">
        <v>435</v>
      </c>
      <c r="AR2203" s="122">
        <v>23694</v>
      </c>
      <c r="AS2203" s="122">
        <v>21540</v>
      </c>
      <c r="AT2203">
        <v>0</v>
      </c>
      <c r="AU2203">
        <v>0</v>
      </c>
      <c r="AV2203" s="122">
        <v>189803</v>
      </c>
    </row>
    <row r="2204" spans="2:48" hidden="1">
      <c r="B2204" t="s">
        <v>377</v>
      </c>
      <c r="C2204" t="s">
        <v>64</v>
      </c>
      <c r="D2204" t="s">
        <v>426</v>
      </c>
      <c r="E2204" t="s">
        <v>137</v>
      </c>
      <c r="F2204" s="122">
        <v>123</v>
      </c>
      <c r="G2204" s="122">
        <v>9754</v>
      </c>
      <c r="H2204" s="122">
        <v>158550</v>
      </c>
      <c r="I2204" s="122">
        <v>10512330</v>
      </c>
      <c r="J2204" s="122">
        <v>9556663</v>
      </c>
      <c r="K2204" s="122">
        <v>35</v>
      </c>
      <c r="L2204" s="122">
        <v>740889</v>
      </c>
      <c r="M2204" s="122">
        <v>432157</v>
      </c>
      <c r="N2204" s="122">
        <v>228291</v>
      </c>
      <c r="O2204" s="122">
        <v>84552</v>
      </c>
      <c r="P2204" s="122">
        <v>4631</v>
      </c>
      <c r="Q2204" s="122">
        <v>1715</v>
      </c>
      <c r="R2204" s="122">
        <v>688595</v>
      </c>
      <c r="S2204" s="122">
        <v>255035</v>
      </c>
      <c r="T2204" s="122">
        <v>3775</v>
      </c>
      <c r="U2204" s="122">
        <v>1398</v>
      </c>
      <c r="V2204" s="122">
        <v>10331521</v>
      </c>
      <c r="W2204" s="122">
        <f t="shared" si="68"/>
        <v>10331520</v>
      </c>
      <c r="X2204" s="122">
        <f t="shared" si="69"/>
        <v>12178511</v>
      </c>
      <c r="AA2204" t="s">
        <v>64</v>
      </c>
      <c r="AB2204" t="s">
        <v>405</v>
      </c>
      <c r="AC2204" t="s">
        <v>579</v>
      </c>
      <c r="AD2204" t="s">
        <v>405</v>
      </c>
      <c r="AE2204" t="s">
        <v>137</v>
      </c>
      <c r="AF2204">
        <v>1</v>
      </c>
      <c r="AG2204">
        <v>68</v>
      </c>
      <c r="AH2204" s="122">
        <v>658</v>
      </c>
      <c r="AI2204" s="122">
        <v>29541</v>
      </c>
      <c r="AJ2204" s="122">
        <v>26855</v>
      </c>
      <c r="AK2204">
        <v>65</v>
      </c>
      <c r="AL2204" s="122">
        <v>7376</v>
      </c>
      <c r="AM2204" s="122">
        <v>6147</v>
      </c>
      <c r="AN2204" s="122">
        <v>1647</v>
      </c>
      <c r="AO2204" s="122">
        <v>610</v>
      </c>
      <c r="AP2204">
        <v>621</v>
      </c>
      <c r="AQ2204">
        <v>230</v>
      </c>
      <c r="AR2204" s="122">
        <v>5274</v>
      </c>
      <c r="AS2204" s="122">
        <v>4794</v>
      </c>
      <c r="AT2204">
        <v>0</v>
      </c>
      <c r="AU2204">
        <v>0</v>
      </c>
      <c r="AV2204" s="122">
        <v>38637</v>
      </c>
    </row>
    <row r="2205" spans="2:48" hidden="1">
      <c r="B2205" t="s">
        <v>377</v>
      </c>
      <c r="C2205" t="s">
        <v>64</v>
      </c>
      <c r="D2205" t="s">
        <v>426</v>
      </c>
      <c r="E2205" t="s">
        <v>406</v>
      </c>
      <c r="F2205" s="122">
        <v>1</v>
      </c>
      <c r="G2205" s="122">
        <v>54</v>
      </c>
      <c r="H2205" s="122">
        <v>464</v>
      </c>
      <c r="I2205" s="122">
        <v>17944</v>
      </c>
      <c r="J2205" s="122">
        <v>16312</v>
      </c>
      <c r="K2205" s="122">
        <v>55</v>
      </c>
      <c r="L2205" s="122">
        <v>0</v>
      </c>
      <c r="M2205" s="122">
        <v>0</v>
      </c>
      <c r="N2205" s="122">
        <v>1326</v>
      </c>
      <c r="O2205" s="122">
        <v>491</v>
      </c>
      <c r="P2205" s="122">
        <v>351</v>
      </c>
      <c r="Q2205" s="122">
        <v>130</v>
      </c>
      <c r="R2205" s="122">
        <v>5624</v>
      </c>
      <c r="S2205" s="122">
        <v>5112</v>
      </c>
      <c r="T2205" s="122">
        <v>0</v>
      </c>
      <c r="U2205" s="122">
        <v>0</v>
      </c>
      <c r="V2205" s="122">
        <v>22046</v>
      </c>
      <c r="W2205" s="122">
        <f t="shared" si="68"/>
        <v>22045</v>
      </c>
      <c r="X2205" s="122">
        <f t="shared" si="69"/>
        <v>25245</v>
      </c>
      <c r="AA2205" t="s">
        <v>64</v>
      </c>
      <c r="AB2205" t="s">
        <v>405</v>
      </c>
      <c r="AC2205" t="s">
        <v>579</v>
      </c>
      <c r="AD2205" t="s">
        <v>405</v>
      </c>
      <c r="AE2205" t="s">
        <v>566</v>
      </c>
      <c r="AF2205">
        <v>2</v>
      </c>
      <c r="AG2205">
        <v>165</v>
      </c>
      <c r="AH2205" s="122">
        <v>1030</v>
      </c>
      <c r="AI2205" s="122">
        <v>54383</v>
      </c>
      <c r="AJ2205" s="122">
        <v>49440</v>
      </c>
      <c r="AK2205">
        <v>70</v>
      </c>
      <c r="AL2205" s="122">
        <v>15306</v>
      </c>
      <c r="AM2205" s="122">
        <v>12755</v>
      </c>
      <c r="AN2205" s="122">
        <v>4031</v>
      </c>
      <c r="AO2205" s="122">
        <v>1493</v>
      </c>
      <c r="AP2205">
        <v>824</v>
      </c>
      <c r="AQ2205">
        <v>305</v>
      </c>
      <c r="AR2205" s="122">
        <v>9476</v>
      </c>
      <c r="AS2205" s="122">
        <v>8615</v>
      </c>
      <c r="AT2205">
        <v>0</v>
      </c>
      <c r="AU2205">
        <v>0</v>
      </c>
      <c r="AV2205" s="122">
        <v>72607</v>
      </c>
    </row>
    <row r="2206" spans="2:48" hidden="1">
      <c r="B2206" t="s">
        <v>377</v>
      </c>
      <c r="C2206" t="s">
        <v>64</v>
      </c>
      <c r="D2206" t="s">
        <v>426</v>
      </c>
      <c r="E2206" t="s">
        <v>426</v>
      </c>
      <c r="F2206" s="122">
        <v>327</v>
      </c>
      <c r="G2206" s="122">
        <v>29617</v>
      </c>
      <c r="H2206" s="122">
        <v>236191</v>
      </c>
      <c r="I2206" s="122">
        <v>15638973</v>
      </c>
      <c r="J2206" s="122">
        <v>14217248</v>
      </c>
      <c r="K2206" s="122">
        <v>51</v>
      </c>
      <c r="L2206" s="122">
        <v>2187305</v>
      </c>
      <c r="M2206" s="122">
        <v>1805368</v>
      </c>
      <c r="N2206" s="122">
        <v>641380</v>
      </c>
      <c r="O2206" s="122">
        <v>237548</v>
      </c>
      <c r="P2206" s="122">
        <v>111888</v>
      </c>
      <c r="Q2206" s="122">
        <v>41440</v>
      </c>
      <c r="R2206" s="122">
        <v>1970745</v>
      </c>
      <c r="S2206" s="122">
        <v>1791586</v>
      </c>
      <c r="T2206" s="122">
        <v>616548</v>
      </c>
      <c r="U2206" s="122">
        <v>228351</v>
      </c>
      <c r="V2206" s="122">
        <v>18321541</v>
      </c>
      <c r="W2206" s="122">
        <f t="shared" si="68"/>
        <v>18321541</v>
      </c>
      <c r="X2206" s="122">
        <f t="shared" si="69"/>
        <v>21166839</v>
      </c>
      <c r="AA2206" t="s">
        <v>64</v>
      </c>
      <c r="AB2206" t="s">
        <v>405</v>
      </c>
      <c r="AC2206" t="s">
        <v>428</v>
      </c>
      <c r="AD2206" t="s">
        <v>405</v>
      </c>
      <c r="AE2206" t="s">
        <v>566</v>
      </c>
      <c r="AF2206">
        <v>1</v>
      </c>
      <c r="AG2206">
        <v>67</v>
      </c>
      <c r="AH2206">
        <v>451</v>
      </c>
      <c r="AI2206" s="122">
        <v>22455</v>
      </c>
      <c r="AJ2206" s="122">
        <v>20414</v>
      </c>
      <c r="AK2206">
        <v>78</v>
      </c>
      <c r="AL2206" s="122">
        <v>3090</v>
      </c>
      <c r="AM2206" s="122">
        <v>2809</v>
      </c>
      <c r="AN2206" s="122">
        <v>1418</v>
      </c>
      <c r="AO2206">
        <v>525</v>
      </c>
      <c r="AP2206">
        <v>473</v>
      </c>
      <c r="AQ2206">
        <v>175</v>
      </c>
      <c r="AR2206" s="122">
        <v>2553</v>
      </c>
      <c r="AS2206" s="122">
        <v>2321</v>
      </c>
      <c r="AT2206">
        <v>0</v>
      </c>
      <c r="AU2206">
        <v>0</v>
      </c>
      <c r="AV2206" s="122">
        <v>26244</v>
      </c>
    </row>
    <row r="2207" spans="2:48" hidden="1">
      <c r="B2207" t="s">
        <v>377</v>
      </c>
      <c r="C2207" t="s">
        <v>64</v>
      </c>
      <c r="D2207" t="s">
        <v>433</v>
      </c>
      <c r="E2207" t="s">
        <v>137</v>
      </c>
      <c r="F2207" s="122">
        <v>1</v>
      </c>
      <c r="G2207" s="122">
        <v>50</v>
      </c>
      <c r="H2207" s="122">
        <v>1033</v>
      </c>
      <c r="I2207" s="122">
        <v>81244</v>
      </c>
      <c r="J2207" s="122">
        <v>73858</v>
      </c>
      <c r="K2207" s="122">
        <v>30</v>
      </c>
      <c r="L2207" s="122">
        <v>14956</v>
      </c>
      <c r="M2207" s="122">
        <v>5539</v>
      </c>
      <c r="N2207" s="122">
        <v>2036</v>
      </c>
      <c r="O2207" s="122">
        <v>754</v>
      </c>
      <c r="P2207" s="122">
        <v>0</v>
      </c>
      <c r="Q2207" s="122">
        <v>0</v>
      </c>
      <c r="R2207" s="122">
        <v>3421</v>
      </c>
      <c r="S2207" s="122">
        <v>1267</v>
      </c>
      <c r="T2207" s="122">
        <v>1685</v>
      </c>
      <c r="U2207" s="122">
        <v>624</v>
      </c>
      <c r="V2207" s="122">
        <v>82043</v>
      </c>
      <c r="W2207" s="122">
        <f t="shared" si="68"/>
        <v>82042</v>
      </c>
      <c r="X2207" s="122">
        <f t="shared" si="69"/>
        <v>103342</v>
      </c>
      <c r="AA2207" t="s">
        <v>64</v>
      </c>
      <c r="AB2207" t="s">
        <v>405</v>
      </c>
      <c r="AC2207" t="s">
        <v>431</v>
      </c>
      <c r="AD2207" t="s">
        <v>405</v>
      </c>
      <c r="AE2207" t="s">
        <v>566</v>
      </c>
      <c r="AF2207">
        <v>1</v>
      </c>
      <c r="AG2207">
        <v>57</v>
      </c>
      <c r="AH2207">
        <v>561</v>
      </c>
      <c r="AI2207" s="122">
        <v>21167</v>
      </c>
      <c r="AJ2207" s="122">
        <v>19243</v>
      </c>
      <c r="AK2207">
        <v>91</v>
      </c>
      <c r="AL2207" s="122">
        <v>6774</v>
      </c>
      <c r="AM2207" s="122">
        <v>6158</v>
      </c>
      <c r="AN2207" s="122">
        <v>1383</v>
      </c>
      <c r="AO2207">
        <v>512</v>
      </c>
      <c r="AP2207">
        <v>473</v>
      </c>
      <c r="AQ2207">
        <v>175</v>
      </c>
      <c r="AR2207" s="122">
        <v>1999</v>
      </c>
      <c r="AS2207" s="122">
        <v>1817</v>
      </c>
      <c r="AT2207" s="122">
        <v>0</v>
      </c>
      <c r="AU2207" s="122">
        <v>0</v>
      </c>
      <c r="AV2207" s="122">
        <v>27905</v>
      </c>
    </row>
    <row r="2208" spans="2:48" hidden="1">
      <c r="B2208" t="s">
        <v>377</v>
      </c>
      <c r="C2208" t="s">
        <v>64</v>
      </c>
      <c r="D2208" t="s">
        <v>433</v>
      </c>
      <c r="E2208" t="s">
        <v>433</v>
      </c>
      <c r="F2208" s="122">
        <v>3</v>
      </c>
      <c r="G2208" s="122">
        <v>366</v>
      </c>
      <c r="H2208" s="122">
        <v>1657</v>
      </c>
      <c r="I2208" s="122">
        <v>159158</v>
      </c>
      <c r="J2208" s="122">
        <v>144689</v>
      </c>
      <c r="K2208" s="122">
        <v>62</v>
      </c>
      <c r="L2208" s="122">
        <v>10057</v>
      </c>
      <c r="M2208" s="122">
        <v>22622</v>
      </c>
      <c r="N2208" s="122">
        <v>7744</v>
      </c>
      <c r="O2208" s="122">
        <v>2868</v>
      </c>
      <c r="P2208" s="122">
        <v>1053</v>
      </c>
      <c r="Q2208" s="122">
        <v>390</v>
      </c>
      <c r="R2208" s="122">
        <v>23311</v>
      </c>
      <c r="S2208" s="122">
        <v>21192</v>
      </c>
      <c r="T2208" s="122">
        <v>2315</v>
      </c>
      <c r="U2208" s="122">
        <v>857</v>
      </c>
      <c r="V2208" s="122">
        <v>192619</v>
      </c>
      <c r="W2208" s="122">
        <f t="shared" si="68"/>
        <v>192618</v>
      </c>
      <c r="X2208" s="122">
        <f t="shared" si="69"/>
        <v>203638</v>
      </c>
      <c r="AA2208" t="s">
        <v>64</v>
      </c>
      <c r="AB2208" t="s">
        <v>405</v>
      </c>
      <c r="AC2208" t="s">
        <v>426</v>
      </c>
      <c r="AD2208" t="s">
        <v>425</v>
      </c>
      <c r="AE2208" t="s">
        <v>137</v>
      </c>
      <c r="AF2208">
        <v>1</v>
      </c>
      <c r="AG2208" s="122">
        <v>99</v>
      </c>
      <c r="AH2208" s="122">
        <v>505</v>
      </c>
      <c r="AI2208" s="122">
        <v>31740</v>
      </c>
      <c r="AJ2208" s="122">
        <v>28854</v>
      </c>
      <c r="AK2208">
        <v>63</v>
      </c>
      <c r="AL2208" s="122">
        <v>7030</v>
      </c>
      <c r="AM2208" s="122">
        <v>6391</v>
      </c>
      <c r="AN2208" s="122">
        <v>1632</v>
      </c>
      <c r="AO2208" s="122">
        <v>604</v>
      </c>
      <c r="AP2208" s="122">
        <v>351</v>
      </c>
      <c r="AQ2208" s="122">
        <v>130</v>
      </c>
      <c r="AR2208" s="122">
        <v>5816</v>
      </c>
      <c r="AS2208" s="122">
        <v>5287</v>
      </c>
      <c r="AT2208" s="122">
        <v>3121</v>
      </c>
      <c r="AU2208" s="122">
        <v>1156</v>
      </c>
      <c r="AV2208" s="122">
        <v>42422</v>
      </c>
    </row>
    <row r="2209" spans="2:48" hidden="1">
      <c r="B2209" t="s">
        <v>378</v>
      </c>
      <c r="C2209" t="s">
        <v>48</v>
      </c>
      <c r="F2209" s="122">
        <v>1</v>
      </c>
      <c r="G2209" s="122">
        <v>235</v>
      </c>
      <c r="H2209" s="122">
        <v>50</v>
      </c>
      <c r="I2209" s="122"/>
      <c r="J2209" s="122">
        <v>0</v>
      </c>
      <c r="K2209" s="122"/>
      <c r="L2209" s="122"/>
      <c r="M2209" s="122">
        <v>0</v>
      </c>
      <c r="N2209" s="122">
        <v>2863</v>
      </c>
      <c r="O2209" s="122">
        <v>1060</v>
      </c>
      <c r="P2209" s="122">
        <v>2313</v>
      </c>
      <c r="Q2209" s="122">
        <v>857</v>
      </c>
      <c r="R2209" s="122"/>
      <c r="S2209" s="122">
        <v>0</v>
      </c>
      <c r="T2209" s="122">
        <v>0</v>
      </c>
      <c r="U2209" s="122">
        <v>0</v>
      </c>
      <c r="V2209" s="122">
        <v>1917</v>
      </c>
      <c r="W2209" s="122">
        <f t="shared" si="68"/>
        <v>1917</v>
      </c>
      <c r="X2209" s="122">
        <f t="shared" si="69"/>
        <v>5176</v>
      </c>
      <c r="AA2209" t="s">
        <v>64</v>
      </c>
      <c r="AB2209" t="s">
        <v>405</v>
      </c>
      <c r="AC2209" t="s">
        <v>426</v>
      </c>
      <c r="AD2209" t="s">
        <v>405</v>
      </c>
      <c r="AE2209" t="s">
        <v>137</v>
      </c>
      <c r="AF2209">
        <v>33</v>
      </c>
      <c r="AG2209" s="122">
        <v>3808</v>
      </c>
      <c r="AH2209" s="122">
        <v>18495</v>
      </c>
      <c r="AI2209" s="122">
        <v>1452590</v>
      </c>
      <c r="AJ2209" s="122">
        <v>1320537</v>
      </c>
      <c r="AK2209">
        <v>73</v>
      </c>
      <c r="AL2209" s="122">
        <v>301587</v>
      </c>
      <c r="AM2209" s="122">
        <v>274170</v>
      </c>
      <c r="AN2209" s="122">
        <v>85940</v>
      </c>
      <c r="AO2209" s="122">
        <v>31830</v>
      </c>
      <c r="AP2209" s="122">
        <v>15809</v>
      </c>
      <c r="AQ2209" s="122">
        <v>5855</v>
      </c>
      <c r="AR2209" s="122">
        <v>162896</v>
      </c>
      <c r="AS2209" s="122">
        <v>148087</v>
      </c>
      <c r="AT2209" s="122">
        <v>67989</v>
      </c>
      <c r="AU2209" s="122">
        <v>25181</v>
      </c>
      <c r="AV2209" s="122">
        <v>1805660</v>
      </c>
    </row>
    <row r="2210" spans="2:48" hidden="1">
      <c r="B2210" t="s">
        <v>378</v>
      </c>
      <c r="C2210" t="s">
        <v>48</v>
      </c>
      <c r="D2210" t="s">
        <v>425</v>
      </c>
      <c r="E2210" t="s">
        <v>425</v>
      </c>
      <c r="F2210" s="122">
        <v>1</v>
      </c>
      <c r="G2210" s="122">
        <v>223</v>
      </c>
      <c r="H2210" s="122">
        <v>72</v>
      </c>
      <c r="I2210" s="122">
        <v>7430</v>
      </c>
      <c r="J2210" s="122">
        <v>6754</v>
      </c>
      <c r="K2210" s="122">
        <v>91</v>
      </c>
      <c r="L2210" s="122">
        <v>1014</v>
      </c>
      <c r="M2210" s="122">
        <v>922</v>
      </c>
      <c r="N2210" s="122">
        <v>2719</v>
      </c>
      <c r="O2210" s="122">
        <v>1007</v>
      </c>
      <c r="P2210" s="122">
        <v>473</v>
      </c>
      <c r="Q2210" s="122">
        <v>175</v>
      </c>
      <c r="R2210" s="122">
        <v>4457</v>
      </c>
      <c r="S2210" s="122">
        <v>4051</v>
      </c>
      <c r="T2210" s="122">
        <v>0</v>
      </c>
      <c r="U2210" s="122">
        <v>0</v>
      </c>
      <c r="V2210" s="122">
        <v>12910</v>
      </c>
      <c r="W2210" s="122">
        <f t="shared" ref="W2210:W2273" si="70">SUM(ABS(J2210),ABS(M2210),ABS(O2210),ABS(Q2210),ABS(S2210),ABS(U2210))</f>
        <v>12909</v>
      </c>
      <c r="X2210" s="122">
        <f t="shared" ref="X2210:X2273" si="71">SUM(ABS(I2210),ABS(N2210),ABS(P2210),ABS(R2210),ABS(T2210),ABS(L2210))</f>
        <v>16093</v>
      </c>
      <c r="AA2210" t="s">
        <v>64</v>
      </c>
      <c r="AB2210" t="s">
        <v>405</v>
      </c>
      <c r="AC2210" t="s">
        <v>426</v>
      </c>
      <c r="AD2210" t="s">
        <v>405</v>
      </c>
      <c r="AE2210" t="s">
        <v>566</v>
      </c>
      <c r="AF2210">
        <v>28</v>
      </c>
      <c r="AG2210" s="122">
        <v>3030</v>
      </c>
      <c r="AH2210" s="122">
        <v>15087</v>
      </c>
      <c r="AI2210" s="122">
        <v>1119414</v>
      </c>
      <c r="AJ2210" s="122">
        <v>1017649</v>
      </c>
      <c r="AK2210">
        <v>74</v>
      </c>
      <c r="AL2210" s="122">
        <v>242644</v>
      </c>
      <c r="AM2210" s="122">
        <v>220585</v>
      </c>
      <c r="AN2210" s="122">
        <v>65635</v>
      </c>
      <c r="AO2210" s="122">
        <v>24309</v>
      </c>
      <c r="AP2210" s="122">
        <v>13352</v>
      </c>
      <c r="AQ2210" s="122">
        <v>4945</v>
      </c>
      <c r="AR2210" s="122">
        <v>159895</v>
      </c>
      <c r="AS2210" s="122">
        <v>145359</v>
      </c>
      <c r="AT2210" s="122">
        <v>0</v>
      </c>
      <c r="AU2210">
        <v>0</v>
      </c>
      <c r="AV2210" s="122">
        <v>1412848</v>
      </c>
    </row>
    <row r="2211" spans="2:48" hidden="1">
      <c r="B2211" t="s">
        <v>378</v>
      </c>
      <c r="C2211" t="s">
        <v>48</v>
      </c>
      <c r="D2211" t="s">
        <v>137</v>
      </c>
      <c r="E2211" t="s">
        <v>137</v>
      </c>
      <c r="F2211" s="122">
        <v>560</v>
      </c>
      <c r="G2211" s="122">
        <v>123338</v>
      </c>
      <c r="H2211" s="122">
        <v>29863</v>
      </c>
      <c r="I2211" s="122">
        <v>763162</v>
      </c>
      <c r="J2211" s="122">
        <v>282653</v>
      </c>
      <c r="K2211" s="122">
        <v>466</v>
      </c>
      <c r="L2211" s="122">
        <v>187345</v>
      </c>
      <c r="M2211" s="122">
        <v>163213</v>
      </c>
      <c r="N2211" s="122">
        <v>1591806</v>
      </c>
      <c r="O2211" s="122">
        <v>589558</v>
      </c>
      <c r="P2211" s="122">
        <v>816801</v>
      </c>
      <c r="Q2211" s="122">
        <v>302519</v>
      </c>
      <c r="R2211" s="122">
        <v>3150193</v>
      </c>
      <c r="S2211" s="122">
        <v>1166738</v>
      </c>
      <c r="T2211" s="122">
        <v>0</v>
      </c>
      <c r="U2211" s="122">
        <v>0</v>
      </c>
      <c r="V2211" s="122">
        <v>2504681</v>
      </c>
      <c r="W2211" s="122">
        <f t="shared" si="70"/>
        <v>2504681</v>
      </c>
      <c r="X2211" s="122">
        <f t="shared" si="71"/>
        <v>6509307</v>
      </c>
      <c r="AA2211" t="s">
        <v>64</v>
      </c>
      <c r="AB2211" t="s">
        <v>405</v>
      </c>
      <c r="AC2211" t="s">
        <v>426</v>
      </c>
      <c r="AD2211" t="s">
        <v>137</v>
      </c>
      <c r="AE2211" t="s">
        <v>137</v>
      </c>
      <c r="AF2211">
        <v>1</v>
      </c>
      <c r="AG2211">
        <v>81</v>
      </c>
      <c r="AH2211">
        <v>702</v>
      </c>
      <c r="AI2211" s="122">
        <v>37369</v>
      </c>
      <c r="AJ2211" s="122">
        <v>33972</v>
      </c>
      <c r="AK2211">
        <v>68</v>
      </c>
      <c r="AL2211" s="122">
        <v>8941</v>
      </c>
      <c r="AM2211" s="122">
        <v>8128</v>
      </c>
      <c r="AN2211" s="122">
        <v>1183</v>
      </c>
      <c r="AO2211" s="122">
        <v>438</v>
      </c>
      <c r="AP2211">
        <v>473</v>
      </c>
      <c r="AQ2211">
        <v>175</v>
      </c>
      <c r="AR2211" s="122">
        <v>6629</v>
      </c>
      <c r="AS2211" s="122">
        <v>2455</v>
      </c>
      <c r="AT2211" s="122">
        <v>2178</v>
      </c>
      <c r="AU2211">
        <v>807</v>
      </c>
      <c r="AV2211" s="122">
        <v>45975</v>
      </c>
    </row>
    <row r="2212" spans="2:48" hidden="1">
      <c r="B2212" t="s">
        <v>378</v>
      </c>
      <c r="C2212" t="s">
        <v>48</v>
      </c>
      <c r="D2212" t="s">
        <v>137</v>
      </c>
      <c r="E2212" t="s">
        <v>406</v>
      </c>
      <c r="F2212" s="122">
        <v>1</v>
      </c>
      <c r="G2212" s="122">
        <v>60</v>
      </c>
      <c r="H2212" s="122">
        <v>31</v>
      </c>
      <c r="I2212" s="122">
        <v>-896</v>
      </c>
      <c r="J2212" s="122">
        <v>-332</v>
      </c>
      <c r="K2212" s="122">
        <v>345</v>
      </c>
      <c r="L2212" s="122">
        <v>-191</v>
      </c>
      <c r="M2212" s="122">
        <v>-174</v>
      </c>
      <c r="N2212" s="122">
        <v>733</v>
      </c>
      <c r="O2212" s="122">
        <v>272</v>
      </c>
      <c r="P2212" s="122">
        <v>351</v>
      </c>
      <c r="Q2212" s="122">
        <v>130</v>
      </c>
      <c r="R2212" s="122">
        <v>1872</v>
      </c>
      <c r="S2212" s="122">
        <v>1702</v>
      </c>
      <c r="T2212" s="122">
        <v>0</v>
      </c>
      <c r="U2212" s="122">
        <v>0</v>
      </c>
      <c r="V2212" s="122">
        <v>1598</v>
      </c>
      <c r="W2212" s="122">
        <f t="shared" si="70"/>
        <v>2610</v>
      </c>
      <c r="X2212" s="122">
        <f t="shared" si="71"/>
        <v>4043</v>
      </c>
      <c r="AA2212" t="s">
        <v>64</v>
      </c>
      <c r="AB2212" t="s">
        <v>405</v>
      </c>
      <c r="AC2212" t="s">
        <v>426</v>
      </c>
      <c r="AD2212" t="s">
        <v>137</v>
      </c>
      <c r="AE2212" t="s">
        <v>566</v>
      </c>
      <c r="AF2212">
        <v>1</v>
      </c>
      <c r="AG2212">
        <v>210</v>
      </c>
      <c r="AH2212" s="122">
        <v>527</v>
      </c>
      <c r="AI2212" s="122">
        <v>75181</v>
      </c>
      <c r="AJ2212" s="122">
        <v>68346</v>
      </c>
      <c r="AK2212">
        <v>65</v>
      </c>
      <c r="AL2212" s="122">
        <v>17208</v>
      </c>
      <c r="AM2212" s="122">
        <v>15644</v>
      </c>
      <c r="AN2212" s="122">
        <v>4521</v>
      </c>
      <c r="AO2212" s="122">
        <v>1674</v>
      </c>
      <c r="AP2212" s="122">
        <v>473</v>
      </c>
      <c r="AQ2212">
        <v>175</v>
      </c>
      <c r="AR2212" s="122">
        <v>13099</v>
      </c>
      <c r="AS2212" s="122">
        <v>4851</v>
      </c>
      <c r="AT2212" s="122">
        <v>0</v>
      </c>
      <c r="AU2212" s="122">
        <v>0</v>
      </c>
      <c r="AV2212" s="122">
        <v>90690</v>
      </c>
    </row>
    <row r="2213" spans="2:48" hidden="1">
      <c r="B2213" t="s">
        <v>378</v>
      </c>
      <c r="C2213" t="s">
        <v>48</v>
      </c>
      <c r="D2213" t="s">
        <v>406</v>
      </c>
      <c r="E2213" t="s">
        <v>137</v>
      </c>
      <c r="F2213" s="122">
        <v>1</v>
      </c>
      <c r="G2213" s="122">
        <v>216</v>
      </c>
      <c r="H2213" s="122">
        <v>52</v>
      </c>
      <c r="I2213" s="122">
        <v>3960</v>
      </c>
      <c r="J2213" s="122">
        <v>3600</v>
      </c>
      <c r="K2213" s="122">
        <v>97</v>
      </c>
      <c r="L2213" s="122">
        <v>719</v>
      </c>
      <c r="M2213" s="122">
        <v>653</v>
      </c>
      <c r="N2213" s="122">
        <v>2626</v>
      </c>
      <c r="O2213" s="122">
        <v>973</v>
      </c>
      <c r="P2213" s="122">
        <v>621</v>
      </c>
      <c r="Q2213" s="122">
        <v>230</v>
      </c>
      <c r="R2213" s="122">
        <v>3309</v>
      </c>
      <c r="S2213" s="122">
        <v>1225</v>
      </c>
      <c r="T2213" s="122">
        <v>0</v>
      </c>
      <c r="U2213" s="122">
        <v>0</v>
      </c>
      <c r="V2213" s="122">
        <v>6681</v>
      </c>
      <c r="W2213" s="122">
        <f t="shared" si="70"/>
        <v>6681</v>
      </c>
      <c r="X2213" s="122">
        <f t="shared" si="71"/>
        <v>11235</v>
      </c>
      <c r="AA2213" t="s">
        <v>64</v>
      </c>
      <c r="AB2213" t="s">
        <v>405</v>
      </c>
      <c r="AC2213" t="s">
        <v>566</v>
      </c>
      <c r="AD2213" t="s">
        <v>405</v>
      </c>
      <c r="AE2213" t="s">
        <v>137</v>
      </c>
      <c r="AF2213">
        <v>3</v>
      </c>
      <c r="AG2213">
        <v>239</v>
      </c>
      <c r="AH2213" s="122">
        <v>1670</v>
      </c>
      <c r="AI2213" s="122">
        <v>106040</v>
      </c>
      <c r="AJ2213" s="122">
        <v>96400</v>
      </c>
      <c r="AK2213">
        <v>64</v>
      </c>
      <c r="AL2213">
        <v>0</v>
      </c>
      <c r="AM2213">
        <v>0</v>
      </c>
      <c r="AN2213" s="122">
        <v>4879</v>
      </c>
      <c r="AO2213" s="122">
        <v>1807</v>
      </c>
      <c r="AP2213" s="122">
        <v>1053</v>
      </c>
      <c r="AQ2213">
        <v>390</v>
      </c>
      <c r="AR2213" s="122">
        <v>13188</v>
      </c>
      <c r="AS2213" s="122">
        <v>11989</v>
      </c>
      <c r="AT2213" s="122">
        <v>6485</v>
      </c>
      <c r="AU2213" s="122">
        <v>2402</v>
      </c>
      <c r="AV2213" s="122">
        <v>112988</v>
      </c>
    </row>
    <row r="2214" spans="2:48" hidden="1">
      <c r="B2214" t="s">
        <v>378</v>
      </c>
      <c r="C2214" t="s">
        <v>48</v>
      </c>
      <c r="D2214" t="s">
        <v>406</v>
      </c>
      <c r="E2214" t="s">
        <v>406</v>
      </c>
      <c r="F2214" s="122">
        <v>55</v>
      </c>
      <c r="G2214" s="122">
        <v>12291</v>
      </c>
      <c r="H2214" s="122">
        <v>3397</v>
      </c>
      <c r="I2214" s="122">
        <v>246969</v>
      </c>
      <c r="J2214" s="122">
        <v>224517</v>
      </c>
      <c r="K2214" s="122">
        <v>95</v>
      </c>
      <c r="L2214" s="122">
        <v>38967</v>
      </c>
      <c r="M2214" s="122">
        <v>35322</v>
      </c>
      <c r="N2214" s="122">
        <v>158351</v>
      </c>
      <c r="O2214" s="122">
        <v>58649</v>
      </c>
      <c r="P2214" s="122">
        <v>68023</v>
      </c>
      <c r="Q2214" s="122">
        <v>25194</v>
      </c>
      <c r="R2214" s="122">
        <v>247409</v>
      </c>
      <c r="S2214" s="122">
        <v>224917</v>
      </c>
      <c r="T2214" s="122">
        <v>0</v>
      </c>
      <c r="U2214" s="122">
        <v>0</v>
      </c>
      <c r="V2214" s="122">
        <v>568598</v>
      </c>
      <c r="W2214" s="122">
        <f t="shared" si="70"/>
        <v>568599</v>
      </c>
      <c r="X2214" s="122">
        <f t="shared" si="71"/>
        <v>759719</v>
      </c>
      <c r="AA2214" t="s">
        <v>64</v>
      </c>
      <c r="AB2214" t="s">
        <v>405</v>
      </c>
      <c r="AC2214" t="s">
        <v>566</v>
      </c>
      <c r="AD2214" t="s">
        <v>405</v>
      </c>
      <c r="AE2214" t="s">
        <v>566</v>
      </c>
      <c r="AF2214">
        <v>2</v>
      </c>
      <c r="AG2214">
        <v>97</v>
      </c>
      <c r="AH2214" s="122">
        <v>1114</v>
      </c>
      <c r="AI2214" s="122">
        <v>39394</v>
      </c>
      <c r="AJ2214" s="122">
        <v>35813</v>
      </c>
      <c r="AK2214">
        <v>79</v>
      </c>
      <c r="AL2214">
        <v>0</v>
      </c>
      <c r="AM2214">
        <v>0</v>
      </c>
      <c r="AN2214" s="122">
        <v>2092</v>
      </c>
      <c r="AO2214">
        <v>775</v>
      </c>
      <c r="AP2214">
        <v>824</v>
      </c>
      <c r="AQ2214">
        <v>305</v>
      </c>
      <c r="AR2214" s="122">
        <v>11018</v>
      </c>
      <c r="AS2214" s="122">
        <v>10016</v>
      </c>
      <c r="AT2214">
        <v>0</v>
      </c>
      <c r="AU2214">
        <v>0</v>
      </c>
      <c r="AV2214" s="122">
        <v>46909</v>
      </c>
    </row>
    <row r="2215" spans="2:48" hidden="1">
      <c r="B2215" t="s">
        <v>378</v>
      </c>
      <c r="C2215" t="s">
        <v>48</v>
      </c>
      <c r="D2215" t="s">
        <v>407</v>
      </c>
      <c r="E2215" t="s">
        <v>137</v>
      </c>
      <c r="F2215" s="122">
        <v>1</v>
      </c>
      <c r="G2215" s="122">
        <v>302</v>
      </c>
      <c r="H2215" s="122">
        <v>51</v>
      </c>
      <c r="I2215" s="122">
        <v>2280</v>
      </c>
      <c r="J2215" s="122">
        <v>2073</v>
      </c>
      <c r="K2215" s="122">
        <v>91</v>
      </c>
      <c r="L2215" s="122">
        <v>385</v>
      </c>
      <c r="M2215" s="122">
        <v>350</v>
      </c>
      <c r="N2215" s="122">
        <v>3681</v>
      </c>
      <c r="O2215" s="122">
        <v>1363</v>
      </c>
      <c r="P2215" s="122">
        <v>473</v>
      </c>
      <c r="Q2215" s="122">
        <v>175</v>
      </c>
      <c r="R2215" s="122">
        <v>8440</v>
      </c>
      <c r="S2215" s="122">
        <v>3126</v>
      </c>
      <c r="T2215" s="122">
        <v>0</v>
      </c>
      <c r="U2215" s="122">
        <v>0</v>
      </c>
      <c r="V2215" s="122">
        <v>7087</v>
      </c>
      <c r="W2215" s="122">
        <f t="shared" si="70"/>
        <v>7087</v>
      </c>
      <c r="X2215" s="122">
        <f t="shared" si="71"/>
        <v>15259</v>
      </c>
      <c r="AA2215" t="s">
        <v>64</v>
      </c>
      <c r="AB2215" t="s">
        <v>405</v>
      </c>
      <c r="AC2215" t="s">
        <v>566</v>
      </c>
      <c r="AD2215" t="s">
        <v>137</v>
      </c>
      <c r="AE2215" t="s">
        <v>566</v>
      </c>
      <c r="AF2215">
        <v>1</v>
      </c>
      <c r="AG2215">
        <v>39</v>
      </c>
      <c r="AH2215" s="122">
        <v>1063</v>
      </c>
      <c r="AI2215" s="122">
        <v>35253</v>
      </c>
      <c r="AJ2215" s="122">
        <v>32048</v>
      </c>
      <c r="AK2215">
        <v>45</v>
      </c>
      <c r="AL2215" s="122">
        <v>0</v>
      </c>
      <c r="AM2215" s="122">
        <v>0</v>
      </c>
      <c r="AN2215" s="122">
        <v>891</v>
      </c>
      <c r="AO2215" s="122">
        <v>330</v>
      </c>
      <c r="AP2215" s="122">
        <v>0</v>
      </c>
      <c r="AQ2215">
        <v>0</v>
      </c>
      <c r="AR2215" s="122">
        <v>5626</v>
      </c>
      <c r="AS2215" s="122">
        <v>2084</v>
      </c>
      <c r="AT2215">
        <v>0</v>
      </c>
      <c r="AU2215">
        <v>0</v>
      </c>
      <c r="AV2215" s="122">
        <v>34462</v>
      </c>
    </row>
    <row r="2216" spans="2:48" hidden="1">
      <c r="B2216" t="s">
        <v>378</v>
      </c>
      <c r="C2216" t="s">
        <v>48</v>
      </c>
      <c r="D2216" t="s">
        <v>407</v>
      </c>
      <c r="E2216" t="s">
        <v>407</v>
      </c>
      <c r="F2216" s="122">
        <v>202</v>
      </c>
      <c r="G2216" s="122">
        <v>30288</v>
      </c>
      <c r="H2216" s="122">
        <v>11585</v>
      </c>
      <c r="I2216" s="122">
        <v>363881</v>
      </c>
      <c r="J2216" s="122">
        <v>330801</v>
      </c>
      <c r="K2216" s="122">
        <v>91</v>
      </c>
      <c r="L2216" s="122">
        <v>8653</v>
      </c>
      <c r="M2216" s="122">
        <v>7666</v>
      </c>
      <c r="N2216" s="122">
        <v>373481</v>
      </c>
      <c r="O2216" s="122">
        <v>138326</v>
      </c>
      <c r="P2216" s="122">
        <v>180535</v>
      </c>
      <c r="Q2216" s="122">
        <v>66865</v>
      </c>
      <c r="R2216" s="122">
        <v>799758</v>
      </c>
      <c r="S2216" s="122">
        <v>727053</v>
      </c>
      <c r="T2216" s="122">
        <v>0</v>
      </c>
      <c r="U2216" s="122">
        <v>0</v>
      </c>
      <c r="V2216" s="122">
        <v>1270711</v>
      </c>
      <c r="W2216" s="122">
        <f t="shared" si="70"/>
        <v>1270711</v>
      </c>
      <c r="X2216" s="122">
        <f t="shared" si="71"/>
        <v>1726308</v>
      </c>
      <c r="AA2216" t="s">
        <v>64</v>
      </c>
      <c r="AB2216" t="s">
        <v>405</v>
      </c>
      <c r="AC2216" t="s">
        <v>433</v>
      </c>
      <c r="AD2216" t="s">
        <v>405</v>
      </c>
      <c r="AE2216" t="s">
        <v>137</v>
      </c>
      <c r="AF2216">
        <v>2</v>
      </c>
      <c r="AG2216">
        <v>224</v>
      </c>
      <c r="AH2216" s="122">
        <v>1024</v>
      </c>
      <c r="AI2216" s="122">
        <v>75737</v>
      </c>
      <c r="AJ2216" s="122">
        <v>68852</v>
      </c>
      <c r="AK2216">
        <v>77</v>
      </c>
      <c r="AL2216" s="122">
        <v>17224</v>
      </c>
      <c r="AM2216" s="122">
        <v>15658</v>
      </c>
      <c r="AN2216" s="122">
        <v>5461</v>
      </c>
      <c r="AO2216" s="122">
        <v>2022</v>
      </c>
      <c r="AP2216" s="122">
        <v>1094</v>
      </c>
      <c r="AQ2216">
        <v>405</v>
      </c>
      <c r="AR2216" s="122">
        <v>11082</v>
      </c>
      <c r="AS2216" s="122">
        <v>10075</v>
      </c>
      <c r="AT2216">
        <v>0</v>
      </c>
      <c r="AU2216">
        <v>0</v>
      </c>
      <c r="AV2216" s="122">
        <v>97011</v>
      </c>
    </row>
    <row r="2217" spans="2:48" hidden="1">
      <c r="B2217" t="s">
        <v>378</v>
      </c>
      <c r="C2217" t="s">
        <v>48</v>
      </c>
      <c r="D2217" t="s">
        <v>433</v>
      </c>
      <c r="E2217" t="s">
        <v>433</v>
      </c>
      <c r="F2217" s="122">
        <v>2</v>
      </c>
      <c r="G2217" s="122">
        <v>481</v>
      </c>
      <c r="H2217" s="122">
        <v>118</v>
      </c>
      <c r="I2217" s="122">
        <v>6941</v>
      </c>
      <c r="J2217" s="122">
        <v>6310</v>
      </c>
      <c r="K2217" s="122">
        <v>75</v>
      </c>
      <c r="L2217" s="122">
        <v>65</v>
      </c>
      <c r="M2217" s="122">
        <v>59</v>
      </c>
      <c r="N2217" s="122">
        <v>5859</v>
      </c>
      <c r="O2217" s="122">
        <v>2170</v>
      </c>
      <c r="P2217" s="122">
        <v>5845</v>
      </c>
      <c r="Q2217" s="122">
        <v>2165</v>
      </c>
      <c r="R2217" s="122">
        <v>8728</v>
      </c>
      <c r="S2217" s="122">
        <v>7934</v>
      </c>
      <c r="T2217" s="122">
        <v>858</v>
      </c>
      <c r="U2217" s="122">
        <v>318</v>
      </c>
      <c r="V2217" s="122">
        <v>18956</v>
      </c>
      <c r="W2217" s="122">
        <f t="shared" si="70"/>
        <v>18956</v>
      </c>
      <c r="X2217" s="122">
        <f t="shared" si="71"/>
        <v>28296</v>
      </c>
      <c r="AA2217" t="s">
        <v>64</v>
      </c>
      <c r="AB2217" t="s">
        <v>405</v>
      </c>
      <c r="AC2217" t="s">
        <v>433</v>
      </c>
      <c r="AD2217" t="s">
        <v>405</v>
      </c>
      <c r="AE2217" t="s">
        <v>566</v>
      </c>
      <c r="AF2217">
        <v>1</v>
      </c>
      <c r="AG2217">
        <v>225</v>
      </c>
      <c r="AH2217">
        <v>467</v>
      </c>
      <c r="AI2217" s="122">
        <v>72954</v>
      </c>
      <c r="AJ2217" s="122">
        <v>66322</v>
      </c>
      <c r="AK2217">
        <v>72</v>
      </c>
      <c r="AL2217" s="122">
        <v>18482</v>
      </c>
      <c r="AM2217" s="122">
        <v>16802</v>
      </c>
      <c r="AN2217" s="122">
        <v>5474</v>
      </c>
      <c r="AO2217" s="122">
        <v>2027</v>
      </c>
      <c r="AP2217">
        <v>351</v>
      </c>
      <c r="AQ2217">
        <v>130</v>
      </c>
      <c r="AR2217" s="122">
        <v>7567</v>
      </c>
      <c r="AS2217" s="122">
        <v>6879</v>
      </c>
      <c r="AT2217">
        <v>0</v>
      </c>
      <c r="AU2217">
        <v>0</v>
      </c>
      <c r="AV2217" s="122">
        <v>92160</v>
      </c>
    </row>
    <row r="2218" spans="2:48" hidden="1">
      <c r="B2218" t="s">
        <v>378</v>
      </c>
      <c r="C2218" t="s">
        <v>48</v>
      </c>
      <c r="D2218" t="s">
        <v>408</v>
      </c>
      <c r="E2218" t="s">
        <v>408</v>
      </c>
      <c r="F2218" s="122">
        <v>1</v>
      </c>
      <c r="G2218" s="122">
        <v>244</v>
      </c>
      <c r="H2218" s="122">
        <v>49</v>
      </c>
      <c r="I2218" s="122">
        <v>2959</v>
      </c>
      <c r="J2218" s="122">
        <v>2690</v>
      </c>
      <c r="K2218" s="122">
        <v>83</v>
      </c>
      <c r="L2218" s="122">
        <v>391</v>
      </c>
      <c r="M2218" s="122">
        <v>356</v>
      </c>
      <c r="N2218" s="122">
        <v>2971</v>
      </c>
      <c r="O2218" s="122">
        <v>1101</v>
      </c>
      <c r="P2218" s="122">
        <v>2520</v>
      </c>
      <c r="Q2218" s="122">
        <v>933</v>
      </c>
      <c r="R2218" s="122">
        <v>3079</v>
      </c>
      <c r="S2218" s="122">
        <v>2799</v>
      </c>
      <c r="T2218" s="122">
        <v>0</v>
      </c>
      <c r="U2218" s="122">
        <v>0</v>
      </c>
      <c r="V2218" s="122">
        <v>7879</v>
      </c>
      <c r="W2218" s="122">
        <f t="shared" si="70"/>
        <v>7879</v>
      </c>
      <c r="X2218" s="122">
        <f t="shared" si="71"/>
        <v>11920</v>
      </c>
      <c r="AA2218" t="s">
        <v>64</v>
      </c>
      <c r="AB2218" t="s">
        <v>137</v>
      </c>
      <c r="AC2218" t="s">
        <v>578</v>
      </c>
      <c r="AD2218" t="s">
        <v>578</v>
      </c>
      <c r="AE2218" t="s">
        <v>566</v>
      </c>
      <c r="AF2218">
        <v>1</v>
      </c>
      <c r="AG2218">
        <v>61</v>
      </c>
      <c r="AH2218">
        <v>553</v>
      </c>
      <c r="AI2218" s="122">
        <v>23268</v>
      </c>
      <c r="AJ2218" s="122">
        <v>8618</v>
      </c>
      <c r="AK2218">
        <v>100</v>
      </c>
      <c r="AL2218" s="122">
        <v>2341</v>
      </c>
      <c r="AM2218" s="122">
        <v>2128</v>
      </c>
      <c r="AN2218" s="122">
        <v>1283</v>
      </c>
      <c r="AO2218">
        <v>475</v>
      </c>
      <c r="AP2218">
        <v>0</v>
      </c>
      <c r="AQ2218">
        <v>0</v>
      </c>
      <c r="AR2218" s="122">
        <v>6992</v>
      </c>
      <c r="AS2218" s="122">
        <v>6356</v>
      </c>
      <c r="AT2218">
        <v>0</v>
      </c>
      <c r="AU2218">
        <v>0</v>
      </c>
      <c r="AV2218" s="122">
        <v>17577</v>
      </c>
    </row>
    <row r="2219" spans="2:48" hidden="1">
      <c r="B2219" t="s">
        <v>378</v>
      </c>
      <c r="C2219" t="s">
        <v>50</v>
      </c>
      <c r="D2219" t="s">
        <v>405</v>
      </c>
      <c r="E2219" t="s">
        <v>405</v>
      </c>
      <c r="F2219" s="122">
        <v>5</v>
      </c>
      <c r="G2219" s="122">
        <v>1177</v>
      </c>
      <c r="H2219" s="122">
        <v>469</v>
      </c>
      <c r="I2219" s="122">
        <v>64833</v>
      </c>
      <c r="J2219" s="122">
        <v>58939</v>
      </c>
      <c r="K2219" s="122">
        <v>92</v>
      </c>
      <c r="L2219" s="122">
        <v>9550</v>
      </c>
      <c r="M2219" s="122">
        <v>6974</v>
      </c>
      <c r="N2219" s="122">
        <v>18112</v>
      </c>
      <c r="O2219" s="122">
        <v>6708</v>
      </c>
      <c r="P2219" s="122">
        <v>2241</v>
      </c>
      <c r="Q2219" s="122">
        <v>830</v>
      </c>
      <c r="R2219" s="122">
        <v>24211</v>
      </c>
      <c r="S2219" s="122">
        <v>22010</v>
      </c>
      <c r="T2219" s="122">
        <v>0</v>
      </c>
      <c r="U2219" s="122">
        <v>0</v>
      </c>
      <c r="V2219" s="122">
        <v>95461</v>
      </c>
      <c r="W2219" s="122">
        <f t="shared" si="70"/>
        <v>95461</v>
      </c>
      <c r="X2219" s="122">
        <f t="shared" si="71"/>
        <v>118947</v>
      </c>
      <c r="AA2219" t="s">
        <v>64</v>
      </c>
      <c r="AB2219" t="s">
        <v>137</v>
      </c>
      <c r="AC2219" t="s">
        <v>578</v>
      </c>
      <c r="AD2219" t="s">
        <v>137</v>
      </c>
      <c r="AE2219" t="s">
        <v>137</v>
      </c>
      <c r="AF2219">
        <v>1</v>
      </c>
      <c r="AG2219">
        <v>78</v>
      </c>
      <c r="AH2219" s="122">
        <v>693</v>
      </c>
      <c r="AI2219" s="122">
        <v>35442</v>
      </c>
      <c r="AJ2219" s="122">
        <v>13127</v>
      </c>
      <c r="AK2219">
        <v>100</v>
      </c>
      <c r="AL2219" s="122">
        <v>12033</v>
      </c>
      <c r="AM2219" s="122">
        <v>10939</v>
      </c>
      <c r="AN2219" s="122">
        <v>1889</v>
      </c>
      <c r="AO2219" s="122">
        <v>700</v>
      </c>
      <c r="AP2219">
        <v>0</v>
      </c>
      <c r="AQ2219">
        <v>0</v>
      </c>
      <c r="AR2219" s="122">
        <v>4345</v>
      </c>
      <c r="AS2219" s="122">
        <v>1609</v>
      </c>
      <c r="AT2219">
        <v>0</v>
      </c>
      <c r="AU2219">
        <v>0</v>
      </c>
      <c r="AV2219" s="122">
        <v>26374</v>
      </c>
    </row>
    <row r="2220" spans="2:48" hidden="1">
      <c r="B2220" t="s">
        <v>378</v>
      </c>
      <c r="C2220" t="s">
        <v>50</v>
      </c>
      <c r="D2220" t="s">
        <v>137</v>
      </c>
      <c r="E2220" t="s">
        <v>137</v>
      </c>
      <c r="F2220" s="122">
        <v>26</v>
      </c>
      <c r="G2220" s="122">
        <v>8014</v>
      </c>
      <c r="H2220" s="122">
        <v>2341</v>
      </c>
      <c r="I2220" s="122">
        <v>332199</v>
      </c>
      <c r="J2220" s="122">
        <v>123037</v>
      </c>
      <c r="K2220" s="122">
        <v>354</v>
      </c>
      <c r="L2220" s="122">
        <v>75460</v>
      </c>
      <c r="M2220" s="122">
        <v>60577</v>
      </c>
      <c r="N2220" s="122">
        <v>131498</v>
      </c>
      <c r="O2220" s="122">
        <v>48703</v>
      </c>
      <c r="P2220" s="122">
        <v>37446</v>
      </c>
      <c r="Q2220" s="122">
        <v>13869</v>
      </c>
      <c r="R2220" s="122">
        <v>169111</v>
      </c>
      <c r="S2220" s="122">
        <v>62634</v>
      </c>
      <c r="T2220" s="122">
        <v>3849</v>
      </c>
      <c r="U2220" s="122">
        <v>1426</v>
      </c>
      <c r="V2220" s="122">
        <v>310245</v>
      </c>
      <c r="W2220" s="122">
        <f t="shared" si="70"/>
        <v>310246</v>
      </c>
      <c r="X2220" s="122">
        <f t="shared" si="71"/>
        <v>749563</v>
      </c>
      <c r="AA2220" t="s">
        <v>64</v>
      </c>
      <c r="AB2220" t="s">
        <v>137</v>
      </c>
      <c r="AC2220" t="s">
        <v>578</v>
      </c>
      <c r="AD2220" t="s">
        <v>137</v>
      </c>
      <c r="AE2220" t="s">
        <v>566</v>
      </c>
      <c r="AF2220">
        <v>2</v>
      </c>
      <c r="AG2220">
        <v>232</v>
      </c>
      <c r="AH2220" s="122">
        <v>1195</v>
      </c>
      <c r="AI2220" s="122">
        <v>105187</v>
      </c>
      <c r="AJ2220" s="122">
        <v>38958</v>
      </c>
      <c r="AK2220">
        <v>100</v>
      </c>
      <c r="AL2220" s="122">
        <v>15872</v>
      </c>
      <c r="AM2220" s="122">
        <v>14429</v>
      </c>
      <c r="AN2220" s="122">
        <v>5659</v>
      </c>
      <c r="AO2220" s="122">
        <v>2096</v>
      </c>
      <c r="AP2220">
        <v>0</v>
      </c>
      <c r="AQ2220">
        <v>0</v>
      </c>
      <c r="AR2220" s="122">
        <v>14539</v>
      </c>
      <c r="AS2220" s="122">
        <v>5385</v>
      </c>
      <c r="AT2220">
        <v>0</v>
      </c>
      <c r="AU2220">
        <v>0</v>
      </c>
      <c r="AV2220" s="122">
        <v>60868</v>
      </c>
    </row>
    <row r="2221" spans="2:48" hidden="1">
      <c r="B2221" t="s">
        <v>378</v>
      </c>
      <c r="C2221" t="s">
        <v>50</v>
      </c>
      <c r="D2221" t="s">
        <v>137</v>
      </c>
      <c r="E2221" t="s">
        <v>406</v>
      </c>
      <c r="F2221" s="122">
        <v>1</v>
      </c>
      <c r="G2221" s="122">
        <v>268</v>
      </c>
      <c r="H2221" s="122">
        <v>92</v>
      </c>
      <c r="I2221" s="122">
        <v>5788</v>
      </c>
      <c r="J2221" s="122">
        <v>2144</v>
      </c>
      <c r="K2221" s="122">
        <v>380</v>
      </c>
      <c r="L2221" s="122">
        <v>3319</v>
      </c>
      <c r="M2221" s="122">
        <v>3017</v>
      </c>
      <c r="N2221" s="122">
        <v>3825</v>
      </c>
      <c r="O2221" s="122">
        <v>1417</v>
      </c>
      <c r="P2221" s="122">
        <v>3559</v>
      </c>
      <c r="Q2221" s="122">
        <v>1318</v>
      </c>
      <c r="R2221" s="122">
        <v>8272</v>
      </c>
      <c r="S2221" s="122">
        <v>7520</v>
      </c>
      <c r="T2221" s="122">
        <v>0</v>
      </c>
      <c r="U2221" s="122">
        <v>0</v>
      </c>
      <c r="V2221" s="122">
        <v>15415</v>
      </c>
      <c r="W2221" s="122">
        <f t="shared" si="70"/>
        <v>15416</v>
      </c>
      <c r="X2221" s="122">
        <f t="shared" si="71"/>
        <v>24763</v>
      </c>
      <c r="AA2221" t="s">
        <v>64</v>
      </c>
      <c r="AB2221" t="s">
        <v>137</v>
      </c>
      <c r="AC2221" t="s">
        <v>425</v>
      </c>
      <c r="AD2221" t="s">
        <v>137</v>
      </c>
      <c r="AE2221" t="s">
        <v>137</v>
      </c>
      <c r="AF2221">
        <v>2</v>
      </c>
      <c r="AG2221" s="122">
        <v>206</v>
      </c>
      <c r="AH2221" s="122">
        <v>982</v>
      </c>
      <c r="AI2221" s="122">
        <v>73929</v>
      </c>
      <c r="AJ2221" s="122">
        <v>27381</v>
      </c>
      <c r="AK2221">
        <v>100</v>
      </c>
      <c r="AL2221" s="122">
        <v>5312</v>
      </c>
      <c r="AM2221" s="122">
        <v>4829</v>
      </c>
      <c r="AN2221" s="122">
        <v>4778</v>
      </c>
      <c r="AO2221" s="122">
        <v>1770</v>
      </c>
      <c r="AP2221">
        <v>0</v>
      </c>
      <c r="AQ2221">
        <v>0</v>
      </c>
      <c r="AR2221" s="122">
        <v>16058</v>
      </c>
      <c r="AS2221" s="122">
        <v>5947</v>
      </c>
      <c r="AT2221">
        <v>0</v>
      </c>
      <c r="AU2221">
        <v>0</v>
      </c>
      <c r="AV2221" s="122">
        <v>39927</v>
      </c>
    </row>
    <row r="2222" spans="2:48" hidden="1">
      <c r="B2222" t="s">
        <v>378</v>
      </c>
      <c r="C2222" t="s">
        <v>50</v>
      </c>
      <c r="D2222" t="s">
        <v>406</v>
      </c>
      <c r="E2222" t="s">
        <v>137</v>
      </c>
      <c r="F2222" s="122">
        <v>1</v>
      </c>
      <c r="G2222" s="122">
        <v>267</v>
      </c>
      <c r="H2222" s="122">
        <v>85</v>
      </c>
      <c r="I2222" s="122">
        <v>11305</v>
      </c>
      <c r="J2222" s="122">
        <v>10277</v>
      </c>
      <c r="K2222" s="122">
        <v>94</v>
      </c>
      <c r="L2222" s="122">
        <v>1960</v>
      </c>
      <c r="M2222" s="122">
        <v>1781</v>
      </c>
      <c r="N2222" s="122">
        <v>3249</v>
      </c>
      <c r="O2222" s="122">
        <v>1203</v>
      </c>
      <c r="P2222" s="122">
        <v>621</v>
      </c>
      <c r="Q2222" s="122">
        <v>230</v>
      </c>
      <c r="R2222" s="122">
        <v>5452</v>
      </c>
      <c r="S2222" s="122">
        <v>2019</v>
      </c>
      <c r="T2222" s="122">
        <v>0</v>
      </c>
      <c r="U2222" s="122">
        <v>0</v>
      </c>
      <c r="V2222" s="122">
        <v>15511</v>
      </c>
      <c r="W2222" s="122">
        <f t="shared" si="70"/>
        <v>15510</v>
      </c>
      <c r="X2222" s="122">
        <f t="shared" si="71"/>
        <v>22587</v>
      </c>
      <c r="AA2222" t="s">
        <v>64</v>
      </c>
      <c r="AB2222" t="s">
        <v>137</v>
      </c>
      <c r="AC2222" t="s">
        <v>425</v>
      </c>
      <c r="AD2222" t="s">
        <v>137</v>
      </c>
      <c r="AE2222" t="s">
        <v>566</v>
      </c>
      <c r="AF2222">
        <v>16</v>
      </c>
      <c r="AG2222" s="122">
        <v>1389</v>
      </c>
      <c r="AH2222" s="122">
        <v>11684</v>
      </c>
      <c r="AI2222" s="122">
        <v>732370</v>
      </c>
      <c r="AJ2222" s="122">
        <v>271248</v>
      </c>
      <c r="AK2222">
        <v>100</v>
      </c>
      <c r="AL2222" s="122">
        <v>130563</v>
      </c>
      <c r="AM2222" s="122">
        <v>118693</v>
      </c>
      <c r="AN2222" s="122">
        <v>32891</v>
      </c>
      <c r="AO2222" s="122">
        <v>12182</v>
      </c>
      <c r="AP2222">
        <v>351</v>
      </c>
      <c r="AQ2222">
        <v>130</v>
      </c>
      <c r="AR2222" s="122">
        <v>120061</v>
      </c>
      <c r="AS2222" s="122">
        <v>44467</v>
      </c>
      <c r="AT2222">
        <v>0</v>
      </c>
      <c r="AU2222">
        <v>0</v>
      </c>
      <c r="AV2222" s="122">
        <v>446720</v>
      </c>
    </row>
    <row r="2223" spans="2:48" hidden="1">
      <c r="B2223" t="s">
        <v>378</v>
      </c>
      <c r="C2223" t="s">
        <v>50</v>
      </c>
      <c r="D2223" t="s">
        <v>406</v>
      </c>
      <c r="E2223" t="s">
        <v>406</v>
      </c>
      <c r="F2223" s="122">
        <v>47</v>
      </c>
      <c r="G2223" s="122">
        <v>12245</v>
      </c>
      <c r="H2223" s="122">
        <v>4313</v>
      </c>
      <c r="I2223" s="122">
        <v>605132</v>
      </c>
      <c r="J2223" s="122">
        <v>550120</v>
      </c>
      <c r="K2223" s="122">
        <v>93</v>
      </c>
      <c r="L2223" s="122">
        <v>95927</v>
      </c>
      <c r="M2223" s="122">
        <v>84420</v>
      </c>
      <c r="N2223" s="122">
        <v>172545</v>
      </c>
      <c r="O2223" s="122">
        <v>63906</v>
      </c>
      <c r="P2223" s="122">
        <v>44675</v>
      </c>
      <c r="Q2223" s="122">
        <v>16546</v>
      </c>
      <c r="R2223" s="122">
        <v>219248</v>
      </c>
      <c r="S2223" s="122">
        <v>199316</v>
      </c>
      <c r="T2223" s="122">
        <v>6294</v>
      </c>
      <c r="U2223" s="122">
        <v>2331</v>
      </c>
      <c r="V2223" s="122">
        <v>916639</v>
      </c>
      <c r="W2223" s="122">
        <f t="shared" si="70"/>
        <v>916639</v>
      </c>
      <c r="X2223" s="122">
        <f t="shared" si="71"/>
        <v>1143821</v>
      </c>
      <c r="AA2223" t="s">
        <v>64</v>
      </c>
      <c r="AB2223" t="s">
        <v>137</v>
      </c>
      <c r="AC2223" t="s">
        <v>405</v>
      </c>
      <c r="AD2223" t="s">
        <v>137</v>
      </c>
      <c r="AE2223" t="s">
        <v>137</v>
      </c>
      <c r="AF2223">
        <v>1</v>
      </c>
      <c r="AG2223">
        <v>78</v>
      </c>
      <c r="AH2223" s="122">
        <v>750</v>
      </c>
      <c r="AI2223" s="122">
        <v>36706</v>
      </c>
      <c r="AJ2223" s="122">
        <v>13595</v>
      </c>
      <c r="AK2223">
        <v>100</v>
      </c>
      <c r="AL2223" s="122">
        <v>13195</v>
      </c>
      <c r="AM2223" s="122">
        <v>11995</v>
      </c>
      <c r="AN2223" s="122">
        <v>1894</v>
      </c>
      <c r="AO2223" s="122">
        <v>701</v>
      </c>
      <c r="AP2223">
        <v>0</v>
      </c>
      <c r="AQ2223">
        <v>0</v>
      </c>
      <c r="AR2223" s="122">
        <v>6470</v>
      </c>
      <c r="AS2223" s="122">
        <v>2396</v>
      </c>
      <c r="AT2223">
        <v>0</v>
      </c>
      <c r="AU2223">
        <v>0</v>
      </c>
      <c r="AV2223" s="122">
        <v>28688</v>
      </c>
    </row>
    <row r="2224" spans="2:48" hidden="1">
      <c r="B2224" t="s">
        <v>378</v>
      </c>
      <c r="C2224" t="s">
        <v>50</v>
      </c>
      <c r="D2224" t="s">
        <v>407</v>
      </c>
      <c r="E2224" t="s">
        <v>407</v>
      </c>
      <c r="F2224" s="122">
        <v>40</v>
      </c>
      <c r="G2224" s="122">
        <v>7321</v>
      </c>
      <c r="H2224" s="122">
        <v>3673</v>
      </c>
      <c r="I2224" s="122">
        <v>344566</v>
      </c>
      <c r="J2224" s="122">
        <v>313242</v>
      </c>
      <c r="K2224" s="122">
        <v>91</v>
      </c>
      <c r="L2224" s="122">
        <v>54906</v>
      </c>
      <c r="M2224" s="122">
        <v>46179</v>
      </c>
      <c r="N2224" s="122">
        <v>101244</v>
      </c>
      <c r="O2224" s="122">
        <v>37498</v>
      </c>
      <c r="P2224" s="122">
        <v>19251</v>
      </c>
      <c r="Q2224" s="122">
        <v>7130</v>
      </c>
      <c r="R2224" s="122">
        <v>149772</v>
      </c>
      <c r="S2224" s="122">
        <v>136156</v>
      </c>
      <c r="T2224" s="122">
        <v>5858</v>
      </c>
      <c r="U2224" s="122">
        <v>2170</v>
      </c>
      <c r="V2224" s="122">
        <v>542375</v>
      </c>
      <c r="W2224" s="122">
        <f t="shared" si="70"/>
        <v>542375</v>
      </c>
      <c r="X2224" s="122">
        <f t="shared" si="71"/>
        <v>675597</v>
      </c>
      <c r="AA2224" t="s">
        <v>64</v>
      </c>
      <c r="AB2224" t="s">
        <v>137</v>
      </c>
      <c r="AC2224" t="s">
        <v>405</v>
      </c>
      <c r="AD2224" t="s">
        <v>137</v>
      </c>
      <c r="AE2224" t="s">
        <v>566</v>
      </c>
      <c r="AF2224">
        <v>2</v>
      </c>
      <c r="AG2224" s="122">
        <v>130</v>
      </c>
      <c r="AH2224" s="122">
        <v>1408</v>
      </c>
      <c r="AI2224" s="122">
        <v>62683</v>
      </c>
      <c r="AJ2224" s="122">
        <v>23216</v>
      </c>
      <c r="AK2224">
        <v>100</v>
      </c>
      <c r="AL2224" s="122">
        <v>11552</v>
      </c>
      <c r="AM2224" s="122">
        <v>10501</v>
      </c>
      <c r="AN2224" s="122">
        <v>2826</v>
      </c>
      <c r="AO2224" s="122">
        <v>1047</v>
      </c>
      <c r="AP2224">
        <v>0</v>
      </c>
      <c r="AQ2224">
        <v>0</v>
      </c>
      <c r="AR2224" s="122">
        <v>12665</v>
      </c>
      <c r="AS2224" s="122">
        <v>4691</v>
      </c>
      <c r="AT2224" s="122">
        <v>0</v>
      </c>
      <c r="AU2224" s="122">
        <v>0</v>
      </c>
      <c r="AV2224" s="122">
        <v>39455</v>
      </c>
    </row>
    <row r="2225" spans="2:48" hidden="1">
      <c r="B2225" t="s">
        <v>378</v>
      </c>
      <c r="C2225" t="s">
        <v>52</v>
      </c>
      <c r="D2225" t="s">
        <v>425</v>
      </c>
      <c r="E2225" t="s">
        <v>406</v>
      </c>
      <c r="F2225" s="122">
        <v>1</v>
      </c>
      <c r="G2225" s="122">
        <v>283</v>
      </c>
      <c r="H2225" s="122">
        <v>125</v>
      </c>
      <c r="I2225" s="122">
        <v>18994</v>
      </c>
      <c r="J2225" s="122">
        <v>17268</v>
      </c>
      <c r="K2225" s="122">
        <v>85</v>
      </c>
      <c r="L2225" s="122">
        <v>2846</v>
      </c>
      <c r="M2225" s="122">
        <v>2587</v>
      </c>
      <c r="N2225" s="122">
        <v>5168</v>
      </c>
      <c r="O2225" s="122">
        <v>1914</v>
      </c>
      <c r="P2225" s="122">
        <v>621</v>
      </c>
      <c r="Q2225" s="122">
        <v>230</v>
      </c>
      <c r="R2225" s="122">
        <v>4011</v>
      </c>
      <c r="S2225" s="122">
        <v>3646</v>
      </c>
      <c r="T2225" s="122">
        <v>3604</v>
      </c>
      <c r="U2225" s="122">
        <v>1335</v>
      </c>
      <c r="V2225" s="122">
        <v>26979</v>
      </c>
      <c r="W2225" s="122">
        <f t="shared" si="70"/>
        <v>26980</v>
      </c>
      <c r="X2225" s="122">
        <f t="shared" si="71"/>
        <v>35244</v>
      </c>
      <c r="AA2225" t="s">
        <v>64</v>
      </c>
      <c r="AB2225" t="s">
        <v>137</v>
      </c>
      <c r="AC2225" t="s">
        <v>137</v>
      </c>
      <c r="AD2225" t="s">
        <v>137</v>
      </c>
      <c r="AE2225" t="s">
        <v>137</v>
      </c>
      <c r="AF2225">
        <v>27</v>
      </c>
      <c r="AG2225" s="122">
        <v>2548</v>
      </c>
      <c r="AH2225" s="122">
        <v>21410</v>
      </c>
      <c r="AI2225" s="122">
        <v>1346391</v>
      </c>
      <c r="AJ2225" s="122">
        <v>498663</v>
      </c>
      <c r="AK2225">
        <v>100</v>
      </c>
      <c r="AL2225" s="122">
        <v>275464</v>
      </c>
      <c r="AM2225" s="122">
        <v>102024</v>
      </c>
      <c r="AN2225" s="122">
        <v>57875</v>
      </c>
      <c r="AO2225" s="122">
        <v>21435</v>
      </c>
      <c r="AP2225" s="122">
        <v>0</v>
      </c>
      <c r="AQ2225" s="122">
        <v>0</v>
      </c>
      <c r="AR2225" s="122">
        <v>178411</v>
      </c>
      <c r="AS2225" s="122">
        <v>66078</v>
      </c>
      <c r="AT2225" s="122">
        <v>5315</v>
      </c>
      <c r="AU2225" s="122">
        <v>1969</v>
      </c>
      <c r="AV2225" s="122">
        <v>690169</v>
      </c>
    </row>
    <row r="2226" spans="2:48" hidden="1">
      <c r="B2226" t="s">
        <v>378</v>
      </c>
      <c r="C2226" t="s">
        <v>52</v>
      </c>
      <c r="D2226" t="s">
        <v>405</v>
      </c>
      <c r="E2226" t="s">
        <v>405</v>
      </c>
      <c r="F2226" s="122">
        <v>9</v>
      </c>
      <c r="G2226" s="122">
        <v>2145</v>
      </c>
      <c r="H2226" s="122">
        <v>1073</v>
      </c>
      <c r="I2226" s="122">
        <v>167034</v>
      </c>
      <c r="J2226" s="122">
        <v>151849</v>
      </c>
      <c r="K2226" s="122">
        <v>91</v>
      </c>
      <c r="L2226" s="122">
        <v>18343</v>
      </c>
      <c r="M2226" s="122">
        <v>16560</v>
      </c>
      <c r="N2226" s="122">
        <v>35651</v>
      </c>
      <c r="O2226" s="122">
        <v>13204</v>
      </c>
      <c r="P2226" s="122">
        <v>4604</v>
      </c>
      <c r="Q2226" s="122">
        <v>1705</v>
      </c>
      <c r="R2226" s="122">
        <v>48469</v>
      </c>
      <c r="S2226" s="122">
        <v>44063</v>
      </c>
      <c r="T2226" s="122">
        <v>0</v>
      </c>
      <c r="U2226" s="122">
        <v>0</v>
      </c>
      <c r="V2226" s="122">
        <v>227381</v>
      </c>
      <c r="W2226" s="122">
        <f t="shared" si="70"/>
        <v>227381</v>
      </c>
      <c r="X2226" s="122">
        <f t="shared" si="71"/>
        <v>274101</v>
      </c>
      <c r="AA2226" t="s">
        <v>64</v>
      </c>
      <c r="AB2226" t="s">
        <v>137</v>
      </c>
      <c r="AC2226" t="s">
        <v>137</v>
      </c>
      <c r="AD2226" t="s">
        <v>137</v>
      </c>
      <c r="AE2226" t="s">
        <v>566</v>
      </c>
      <c r="AF2226">
        <v>392</v>
      </c>
      <c r="AG2226" s="122">
        <v>35757</v>
      </c>
      <c r="AH2226" s="122">
        <v>267912</v>
      </c>
      <c r="AI2226" s="122">
        <v>17179528</v>
      </c>
      <c r="AJ2226" s="122">
        <v>6362788</v>
      </c>
      <c r="AK2226">
        <v>100</v>
      </c>
      <c r="AL2226" s="122">
        <v>3397721</v>
      </c>
      <c r="AM2226" s="122">
        <v>1258415</v>
      </c>
      <c r="AN2226" s="122">
        <v>789047</v>
      </c>
      <c r="AO2226" s="122">
        <v>292240</v>
      </c>
      <c r="AP2226" s="122">
        <v>2871</v>
      </c>
      <c r="AQ2226" s="122">
        <v>1063</v>
      </c>
      <c r="AR2226" s="122">
        <v>2664756</v>
      </c>
      <c r="AS2226" s="122">
        <v>986947</v>
      </c>
      <c r="AT2226" s="122">
        <v>0</v>
      </c>
      <c r="AU2226" s="122">
        <v>0</v>
      </c>
      <c r="AV2226" s="122">
        <v>8901453</v>
      </c>
    </row>
    <row r="2227" spans="2:48" hidden="1">
      <c r="B2227" t="s">
        <v>378</v>
      </c>
      <c r="C2227" t="s">
        <v>52</v>
      </c>
      <c r="D2227" t="s">
        <v>137</v>
      </c>
      <c r="E2227" t="s">
        <v>137</v>
      </c>
      <c r="F2227" s="122">
        <v>17</v>
      </c>
      <c r="G2227" s="122">
        <v>4381</v>
      </c>
      <c r="H2227" s="122">
        <v>1925</v>
      </c>
      <c r="I2227" s="122">
        <v>243792</v>
      </c>
      <c r="J2227" s="122">
        <v>90293</v>
      </c>
      <c r="K2227" s="122">
        <v>337</v>
      </c>
      <c r="L2227" s="122">
        <v>77756</v>
      </c>
      <c r="M2227" s="122">
        <v>70687</v>
      </c>
      <c r="N2227" s="122">
        <v>94860</v>
      </c>
      <c r="O2227" s="122">
        <v>35133</v>
      </c>
      <c r="P2227" s="122">
        <v>21933</v>
      </c>
      <c r="Q2227" s="122">
        <v>8123</v>
      </c>
      <c r="R2227" s="122">
        <v>113219</v>
      </c>
      <c r="S2227" s="122">
        <v>41933</v>
      </c>
      <c r="T2227" s="122">
        <v>3987</v>
      </c>
      <c r="U2227" s="122">
        <v>1477</v>
      </c>
      <c r="V2227" s="122">
        <v>247647</v>
      </c>
      <c r="W2227" s="122">
        <f t="shared" si="70"/>
        <v>247646</v>
      </c>
      <c r="X2227" s="122">
        <f t="shared" si="71"/>
        <v>555547</v>
      </c>
      <c r="AA2227" t="s">
        <v>64</v>
      </c>
      <c r="AB2227" t="s">
        <v>137</v>
      </c>
      <c r="AC2227" t="s">
        <v>137</v>
      </c>
      <c r="AD2227" t="s">
        <v>406</v>
      </c>
      <c r="AE2227" t="s">
        <v>137</v>
      </c>
      <c r="AF2227">
        <v>2</v>
      </c>
      <c r="AG2227">
        <v>302</v>
      </c>
      <c r="AH2227" s="122">
        <v>1219</v>
      </c>
      <c r="AI2227" s="122">
        <v>136662</v>
      </c>
      <c r="AJ2227" s="122">
        <v>50616</v>
      </c>
      <c r="AK2227">
        <v>100</v>
      </c>
      <c r="AL2227" s="122">
        <v>24183</v>
      </c>
      <c r="AM2227" s="122">
        <v>8957</v>
      </c>
      <c r="AN2227" s="122">
        <v>6278</v>
      </c>
      <c r="AO2227" s="122">
        <v>2325</v>
      </c>
      <c r="AP2227">
        <v>270</v>
      </c>
      <c r="AQ2227">
        <v>100</v>
      </c>
      <c r="AR2227" s="122">
        <v>10112</v>
      </c>
      <c r="AS2227" s="122">
        <v>9193</v>
      </c>
      <c r="AT2227" s="122">
        <v>5792</v>
      </c>
      <c r="AU2227" s="122">
        <v>2145</v>
      </c>
      <c r="AV2227" s="122">
        <v>73335</v>
      </c>
    </row>
    <row r="2228" spans="2:48" hidden="1">
      <c r="B2228" t="s">
        <v>378</v>
      </c>
      <c r="C2228" t="s">
        <v>52</v>
      </c>
      <c r="D2228" t="s">
        <v>137</v>
      </c>
      <c r="E2228" t="s">
        <v>406</v>
      </c>
      <c r="F2228" s="122">
        <v>1</v>
      </c>
      <c r="G2228" s="122">
        <v>323</v>
      </c>
      <c r="H2228" s="122">
        <v>101</v>
      </c>
      <c r="I2228" s="122">
        <v>14006</v>
      </c>
      <c r="J2228" s="122">
        <v>5187</v>
      </c>
      <c r="K2228" s="122">
        <v>300</v>
      </c>
      <c r="L2228" s="122">
        <v>2926</v>
      </c>
      <c r="M2228" s="122">
        <v>2660</v>
      </c>
      <c r="N2228" s="122">
        <v>5466</v>
      </c>
      <c r="O2228" s="122">
        <v>2024</v>
      </c>
      <c r="P2228" s="122">
        <v>1323</v>
      </c>
      <c r="Q2228" s="122">
        <v>490</v>
      </c>
      <c r="R2228" s="122">
        <v>8957</v>
      </c>
      <c r="S2228" s="122">
        <v>8143</v>
      </c>
      <c r="T2228" s="122">
        <v>0</v>
      </c>
      <c r="U2228" s="122">
        <v>0</v>
      </c>
      <c r="V2228" s="122">
        <v>18505</v>
      </c>
      <c r="W2228" s="122">
        <f t="shared" si="70"/>
        <v>18504</v>
      </c>
      <c r="X2228" s="122">
        <f t="shared" si="71"/>
        <v>32678</v>
      </c>
      <c r="AA2228" t="s">
        <v>64</v>
      </c>
      <c r="AB2228" t="s">
        <v>137</v>
      </c>
      <c r="AC2228" t="s">
        <v>137</v>
      </c>
      <c r="AD2228" t="s">
        <v>426</v>
      </c>
      <c r="AE2228" t="s">
        <v>137</v>
      </c>
      <c r="AF2228">
        <v>9</v>
      </c>
      <c r="AG2228">
        <v>787</v>
      </c>
      <c r="AH2228" s="122">
        <v>6794</v>
      </c>
      <c r="AI2228" s="122">
        <v>434610</v>
      </c>
      <c r="AJ2228" s="122">
        <v>160967</v>
      </c>
      <c r="AK2228">
        <v>100</v>
      </c>
      <c r="AL2228" s="122">
        <v>93980</v>
      </c>
      <c r="AM2228" s="122">
        <v>34807</v>
      </c>
      <c r="AN2228" s="122">
        <v>16798</v>
      </c>
      <c r="AO2228" s="122">
        <v>6221</v>
      </c>
      <c r="AP2228">
        <v>0</v>
      </c>
      <c r="AQ2228">
        <v>0</v>
      </c>
      <c r="AR2228" s="122">
        <v>46064</v>
      </c>
      <c r="AS2228" s="122">
        <v>41877</v>
      </c>
      <c r="AT2228" s="122">
        <v>13349</v>
      </c>
      <c r="AU2228" s="122">
        <v>4944</v>
      </c>
      <c r="AV2228" s="122">
        <v>248816</v>
      </c>
    </row>
    <row r="2229" spans="2:48" hidden="1">
      <c r="B2229" t="s">
        <v>378</v>
      </c>
      <c r="C2229" t="s">
        <v>52</v>
      </c>
      <c r="D2229" t="s">
        <v>137</v>
      </c>
      <c r="E2229" t="s">
        <v>407</v>
      </c>
      <c r="F2229" s="122">
        <v>1</v>
      </c>
      <c r="G2229" s="122">
        <v>302</v>
      </c>
      <c r="H2229" s="122">
        <v>119</v>
      </c>
      <c r="I2229" s="122">
        <v>19011</v>
      </c>
      <c r="J2229" s="122">
        <v>7041</v>
      </c>
      <c r="K2229" s="122">
        <v>320</v>
      </c>
      <c r="L2229" s="122">
        <v>4590</v>
      </c>
      <c r="M2229" s="122">
        <v>4172</v>
      </c>
      <c r="N2229" s="122">
        <v>3902</v>
      </c>
      <c r="O2229" s="122">
        <v>1445</v>
      </c>
      <c r="P2229" s="122">
        <v>351</v>
      </c>
      <c r="Q2229" s="122">
        <v>130</v>
      </c>
      <c r="R2229" s="122">
        <v>8206</v>
      </c>
      <c r="S2229" s="122">
        <v>7460</v>
      </c>
      <c r="T2229" s="122">
        <v>0</v>
      </c>
      <c r="U2229" s="122">
        <v>0</v>
      </c>
      <c r="V2229" s="122">
        <v>20248</v>
      </c>
      <c r="W2229" s="122">
        <f t="shared" si="70"/>
        <v>20248</v>
      </c>
      <c r="X2229" s="122">
        <f t="shared" si="71"/>
        <v>36060</v>
      </c>
      <c r="AA2229" t="s">
        <v>64</v>
      </c>
      <c r="AB2229" t="s">
        <v>137</v>
      </c>
      <c r="AC2229" t="s">
        <v>137</v>
      </c>
      <c r="AD2229" t="s">
        <v>426</v>
      </c>
      <c r="AE2229" t="s">
        <v>566</v>
      </c>
      <c r="AF2229">
        <v>4</v>
      </c>
      <c r="AG2229">
        <v>338</v>
      </c>
      <c r="AH2229" s="122">
        <v>2986</v>
      </c>
      <c r="AI2229" s="122">
        <v>154788</v>
      </c>
      <c r="AJ2229" s="122">
        <v>57329</v>
      </c>
      <c r="AK2229">
        <v>100</v>
      </c>
      <c r="AL2229" s="122">
        <v>47168</v>
      </c>
      <c r="AM2229" s="122">
        <v>17470</v>
      </c>
      <c r="AN2229" s="122">
        <v>8104</v>
      </c>
      <c r="AO2229" s="122">
        <v>3002</v>
      </c>
      <c r="AP2229">
        <v>351</v>
      </c>
      <c r="AQ2229">
        <v>130</v>
      </c>
      <c r="AR2229" s="122">
        <v>28802</v>
      </c>
      <c r="AS2229" s="122">
        <v>26184</v>
      </c>
      <c r="AT2229" s="122">
        <v>0</v>
      </c>
      <c r="AU2229">
        <v>0</v>
      </c>
      <c r="AV2229" s="122">
        <v>104114</v>
      </c>
    </row>
    <row r="2230" spans="2:48" hidden="1">
      <c r="B2230" t="s">
        <v>378</v>
      </c>
      <c r="C2230" t="s">
        <v>52</v>
      </c>
      <c r="D2230" t="s">
        <v>483</v>
      </c>
      <c r="E2230" t="s">
        <v>483</v>
      </c>
      <c r="F2230" s="122">
        <v>1</v>
      </c>
      <c r="G2230" s="122">
        <v>323</v>
      </c>
      <c r="H2230" s="122">
        <v>115</v>
      </c>
      <c r="I2230" s="122">
        <v>15934</v>
      </c>
      <c r="J2230" s="122">
        <v>5901</v>
      </c>
      <c r="K2230" s="122">
        <v>300</v>
      </c>
      <c r="L2230" s="122">
        <v>7213</v>
      </c>
      <c r="M2230" s="122">
        <v>6557</v>
      </c>
      <c r="N2230" s="122">
        <v>6461</v>
      </c>
      <c r="O2230" s="122">
        <v>2393</v>
      </c>
      <c r="P2230" s="122">
        <v>351</v>
      </c>
      <c r="Q2230" s="122">
        <v>130</v>
      </c>
      <c r="R2230" s="122">
        <v>7369</v>
      </c>
      <c r="S2230" s="122">
        <v>2729</v>
      </c>
      <c r="T2230" s="122">
        <v>0</v>
      </c>
      <c r="U2230" s="122">
        <v>0</v>
      </c>
      <c r="V2230" s="122">
        <v>17711</v>
      </c>
      <c r="W2230" s="122">
        <f t="shared" si="70"/>
        <v>17710</v>
      </c>
      <c r="X2230" s="122">
        <f t="shared" si="71"/>
        <v>37328</v>
      </c>
      <c r="AA2230" t="s">
        <v>64</v>
      </c>
      <c r="AB2230" t="s">
        <v>137</v>
      </c>
      <c r="AC2230" t="s">
        <v>580</v>
      </c>
      <c r="AD2230" t="s">
        <v>137</v>
      </c>
      <c r="AE2230" t="s">
        <v>137</v>
      </c>
      <c r="AF2230">
        <v>6</v>
      </c>
      <c r="AG2230" s="122">
        <v>833</v>
      </c>
      <c r="AH2230" s="122">
        <v>4146</v>
      </c>
      <c r="AI2230" s="122">
        <v>455325</v>
      </c>
      <c r="AJ2230" s="122">
        <v>168639</v>
      </c>
      <c r="AK2230">
        <v>100</v>
      </c>
      <c r="AL2230" s="122">
        <v>46765</v>
      </c>
      <c r="AM2230" s="122">
        <v>42514</v>
      </c>
      <c r="AN2230" s="122">
        <v>19104</v>
      </c>
      <c r="AO2230" s="122">
        <v>7076</v>
      </c>
      <c r="AP2230" s="122">
        <v>621</v>
      </c>
      <c r="AQ2230" s="122">
        <v>230</v>
      </c>
      <c r="AR2230" s="122">
        <v>56410</v>
      </c>
      <c r="AS2230" s="122">
        <v>20892</v>
      </c>
      <c r="AT2230" s="122">
        <v>2616</v>
      </c>
      <c r="AU2230">
        <v>969</v>
      </c>
      <c r="AV2230" s="122">
        <v>240320</v>
      </c>
    </row>
    <row r="2231" spans="2:48" hidden="1">
      <c r="B2231" t="s">
        <v>378</v>
      </c>
      <c r="C2231" t="s">
        <v>52</v>
      </c>
      <c r="D2231" t="s">
        <v>406</v>
      </c>
      <c r="E2231" t="s">
        <v>425</v>
      </c>
      <c r="F2231" s="122">
        <v>1</v>
      </c>
      <c r="G2231" s="122">
        <v>239</v>
      </c>
      <c r="H2231" s="122">
        <v>122</v>
      </c>
      <c r="I2231" s="122">
        <v>17011</v>
      </c>
      <c r="J2231" s="122">
        <v>15465</v>
      </c>
      <c r="K2231" s="122">
        <v>86</v>
      </c>
      <c r="L2231" s="122">
        <v>2492</v>
      </c>
      <c r="M2231" s="122">
        <v>2266</v>
      </c>
      <c r="N2231" s="122">
        <v>2912</v>
      </c>
      <c r="O2231" s="122">
        <v>1079</v>
      </c>
      <c r="P2231" s="122">
        <v>621</v>
      </c>
      <c r="Q2231" s="122">
        <v>230</v>
      </c>
      <c r="R2231" s="122">
        <v>6207</v>
      </c>
      <c r="S2231" s="122">
        <v>5642</v>
      </c>
      <c r="T2231" s="122">
        <v>0</v>
      </c>
      <c r="U2231" s="122">
        <v>0</v>
      </c>
      <c r="V2231" s="122">
        <v>24681</v>
      </c>
      <c r="W2231" s="122">
        <f t="shared" si="70"/>
        <v>24682</v>
      </c>
      <c r="X2231" s="122">
        <f t="shared" si="71"/>
        <v>29243</v>
      </c>
      <c r="AA2231" t="s">
        <v>64</v>
      </c>
      <c r="AB2231" t="s">
        <v>137</v>
      </c>
      <c r="AC2231" t="s">
        <v>580</v>
      </c>
      <c r="AD2231" t="s">
        <v>137</v>
      </c>
      <c r="AE2231" t="s">
        <v>566</v>
      </c>
      <c r="AF2231">
        <v>44</v>
      </c>
      <c r="AG2231" s="122">
        <v>5849</v>
      </c>
      <c r="AH2231" s="122">
        <v>30097</v>
      </c>
      <c r="AI2231" s="122">
        <v>3141116</v>
      </c>
      <c r="AJ2231" s="122">
        <v>1163376</v>
      </c>
      <c r="AK2231">
        <v>100</v>
      </c>
      <c r="AL2231" s="122">
        <v>311350</v>
      </c>
      <c r="AM2231" s="122">
        <v>283045</v>
      </c>
      <c r="AN2231" s="122">
        <v>123041</v>
      </c>
      <c r="AO2231" s="122">
        <v>45571</v>
      </c>
      <c r="AP2231" s="122">
        <v>5079</v>
      </c>
      <c r="AQ2231" s="122">
        <v>1881</v>
      </c>
      <c r="AR2231" s="122">
        <v>340609</v>
      </c>
      <c r="AS2231" s="122">
        <v>126152</v>
      </c>
      <c r="AT2231" s="122">
        <v>0</v>
      </c>
      <c r="AU2231" s="122">
        <v>0</v>
      </c>
      <c r="AV2231" s="122">
        <v>1620025</v>
      </c>
    </row>
    <row r="2232" spans="2:48" hidden="1">
      <c r="B2232" t="s">
        <v>378</v>
      </c>
      <c r="C2232" t="s">
        <v>52</v>
      </c>
      <c r="D2232" t="s">
        <v>406</v>
      </c>
      <c r="E2232" t="s">
        <v>406</v>
      </c>
      <c r="F2232" s="122">
        <v>163</v>
      </c>
      <c r="G2232" s="122">
        <v>39912</v>
      </c>
      <c r="H2232" s="122">
        <v>19028</v>
      </c>
      <c r="I2232" s="122">
        <v>2695822</v>
      </c>
      <c r="J2232" s="122">
        <v>2450747</v>
      </c>
      <c r="K2232" s="122">
        <v>92</v>
      </c>
      <c r="L2232" s="122">
        <v>537997</v>
      </c>
      <c r="M2232" s="122">
        <v>480371</v>
      </c>
      <c r="N2232" s="122">
        <v>732435</v>
      </c>
      <c r="O2232" s="122">
        <v>271272</v>
      </c>
      <c r="P2232" s="122">
        <v>122213</v>
      </c>
      <c r="Q2232" s="122">
        <v>45264</v>
      </c>
      <c r="R2232" s="122">
        <v>879211</v>
      </c>
      <c r="S2232" s="122">
        <v>799283</v>
      </c>
      <c r="T2232" s="122">
        <v>15608</v>
      </c>
      <c r="U2232" s="122">
        <v>5781</v>
      </c>
      <c r="V2232" s="122">
        <v>4052718</v>
      </c>
      <c r="W2232" s="122">
        <f t="shared" si="70"/>
        <v>4052718</v>
      </c>
      <c r="X2232" s="122">
        <f t="shared" si="71"/>
        <v>4983286</v>
      </c>
      <c r="AA2232" t="s">
        <v>64</v>
      </c>
      <c r="AB2232" t="s">
        <v>137</v>
      </c>
      <c r="AC2232" t="s">
        <v>580</v>
      </c>
      <c r="AD2232" t="s">
        <v>406</v>
      </c>
      <c r="AE2232" t="s">
        <v>137</v>
      </c>
      <c r="AF2232">
        <v>23</v>
      </c>
      <c r="AG2232" s="122">
        <v>3145</v>
      </c>
      <c r="AH2232" s="122">
        <v>16242</v>
      </c>
      <c r="AI2232" s="122">
        <v>1642896</v>
      </c>
      <c r="AJ2232" s="122">
        <v>608480</v>
      </c>
      <c r="AK2232">
        <v>100</v>
      </c>
      <c r="AL2232" s="122">
        <v>163824</v>
      </c>
      <c r="AM2232" s="122">
        <v>148931</v>
      </c>
      <c r="AN2232" s="122">
        <v>67718</v>
      </c>
      <c r="AO2232" s="122">
        <v>25081</v>
      </c>
      <c r="AP2232" s="122">
        <v>7371</v>
      </c>
      <c r="AQ2232" s="122">
        <v>2730</v>
      </c>
      <c r="AR2232" s="122">
        <v>128615</v>
      </c>
      <c r="AS2232" s="122">
        <v>116923</v>
      </c>
      <c r="AT2232" s="122">
        <v>69254</v>
      </c>
      <c r="AU2232" s="122">
        <v>25650</v>
      </c>
      <c r="AV2232" s="122">
        <v>927795</v>
      </c>
    </row>
    <row r="2233" spans="2:48" hidden="1">
      <c r="B2233" t="s">
        <v>378</v>
      </c>
      <c r="C2233" t="s">
        <v>52</v>
      </c>
      <c r="D2233" t="s">
        <v>406</v>
      </c>
      <c r="E2233" t="s">
        <v>407</v>
      </c>
      <c r="F2233" s="122">
        <v>1</v>
      </c>
      <c r="G2233" s="122">
        <v>194</v>
      </c>
      <c r="H2233" s="122">
        <v>118</v>
      </c>
      <c r="I2233" s="122">
        <v>21627</v>
      </c>
      <c r="J2233" s="122">
        <v>19661</v>
      </c>
      <c r="K2233" s="122">
        <v>86</v>
      </c>
      <c r="L2233" s="122">
        <v>6520</v>
      </c>
      <c r="M2233" s="122">
        <v>5927</v>
      </c>
      <c r="N2233" s="122">
        <v>7898</v>
      </c>
      <c r="O2233" s="122">
        <v>2925</v>
      </c>
      <c r="P2233" s="122">
        <v>621</v>
      </c>
      <c r="Q2233" s="122">
        <v>230</v>
      </c>
      <c r="R2233" s="122">
        <v>8219</v>
      </c>
      <c r="S2233" s="122">
        <v>7472</v>
      </c>
      <c r="T2233" s="122">
        <v>0</v>
      </c>
      <c r="U2233" s="122">
        <v>0</v>
      </c>
      <c r="V2233" s="122">
        <v>36215</v>
      </c>
      <c r="W2233" s="122">
        <f t="shared" si="70"/>
        <v>36215</v>
      </c>
      <c r="X2233" s="122">
        <f t="shared" si="71"/>
        <v>44885</v>
      </c>
      <c r="AA2233" t="s">
        <v>64</v>
      </c>
      <c r="AB2233" t="s">
        <v>137</v>
      </c>
      <c r="AC2233" t="s">
        <v>580</v>
      </c>
      <c r="AD2233" t="s">
        <v>406</v>
      </c>
      <c r="AE2233" t="s">
        <v>566</v>
      </c>
      <c r="AF2233">
        <v>8</v>
      </c>
      <c r="AG2233">
        <v>993</v>
      </c>
      <c r="AH2233" s="122">
        <v>5676</v>
      </c>
      <c r="AI2233" s="122">
        <v>566444</v>
      </c>
      <c r="AJ2233" s="122">
        <v>209794</v>
      </c>
      <c r="AK2233">
        <v>100</v>
      </c>
      <c r="AL2233" s="122">
        <v>49822</v>
      </c>
      <c r="AM2233" s="122">
        <v>45293</v>
      </c>
      <c r="AN2233" s="122">
        <v>23593</v>
      </c>
      <c r="AO2233" s="122">
        <v>8738</v>
      </c>
      <c r="AP2233" s="122">
        <v>1161</v>
      </c>
      <c r="AQ2233">
        <v>430</v>
      </c>
      <c r="AR2233" s="122">
        <v>68368</v>
      </c>
      <c r="AS2233" s="122">
        <v>62152</v>
      </c>
      <c r="AT2233">
        <v>0</v>
      </c>
      <c r="AU2233">
        <v>0</v>
      </c>
      <c r="AV2233" s="122">
        <v>326407</v>
      </c>
    </row>
    <row r="2234" spans="2:48" hidden="1">
      <c r="B2234" t="s">
        <v>378</v>
      </c>
      <c r="C2234" t="s">
        <v>52</v>
      </c>
      <c r="D2234" t="s">
        <v>407</v>
      </c>
      <c r="E2234" t="s">
        <v>407</v>
      </c>
      <c r="F2234" s="122">
        <v>111</v>
      </c>
      <c r="G2234" s="122">
        <v>17318</v>
      </c>
      <c r="H2234" s="122">
        <v>12905</v>
      </c>
      <c r="I2234" s="122">
        <v>1054634</v>
      </c>
      <c r="J2234" s="122">
        <v>958758</v>
      </c>
      <c r="K2234" s="122">
        <v>90</v>
      </c>
      <c r="L2234" s="122">
        <v>185817</v>
      </c>
      <c r="M2234" s="122">
        <v>162012</v>
      </c>
      <c r="N2234" s="122">
        <v>276648</v>
      </c>
      <c r="O2234" s="122">
        <v>102462</v>
      </c>
      <c r="P2234" s="122">
        <v>59494</v>
      </c>
      <c r="Q2234" s="122">
        <v>22035</v>
      </c>
      <c r="R2234" s="122">
        <v>484775</v>
      </c>
      <c r="S2234" s="122">
        <v>440705</v>
      </c>
      <c r="T2234" s="122">
        <v>5938</v>
      </c>
      <c r="U2234" s="122">
        <v>2199</v>
      </c>
      <c r="V2234" s="122">
        <v>1688172</v>
      </c>
      <c r="W2234" s="122">
        <f t="shared" si="70"/>
        <v>1688171</v>
      </c>
      <c r="X2234" s="122">
        <f t="shared" si="71"/>
        <v>2067306</v>
      </c>
      <c r="AA2234" t="s">
        <v>64</v>
      </c>
      <c r="AB2234" t="s">
        <v>137</v>
      </c>
      <c r="AC2234" t="s">
        <v>427</v>
      </c>
      <c r="AD2234" t="s">
        <v>425</v>
      </c>
      <c r="AE2234" t="s">
        <v>566</v>
      </c>
      <c r="AF2234">
        <v>2</v>
      </c>
      <c r="AG2234" s="122">
        <v>115</v>
      </c>
      <c r="AH2234" s="122">
        <v>1599</v>
      </c>
      <c r="AI2234" s="122">
        <v>66485</v>
      </c>
      <c r="AJ2234" s="122">
        <v>24624</v>
      </c>
      <c r="AK2234">
        <v>100</v>
      </c>
      <c r="AL2234" s="122">
        <v>7769</v>
      </c>
      <c r="AM2234" s="122">
        <v>7062</v>
      </c>
      <c r="AN2234" s="122">
        <v>1916</v>
      </c>
      <c r="AO2234" s="122">
        <v>709</v>
      </c>
      <c r="AP2234" s="122">
        <v>122</v>
      </c>
      <c r="AQ2234">
        <v>45</v>
      </c>
      <c r="AR2234" s="122">
        <v>7397</v>
      </c>
      <c r="AS2234" s="122">
        <v>6725</v>
      </c>
      <c r="AT2234" s="122">
        <v>0</v>
      </c>
      <c r="AU2234" s="122">
        <v>0</v>
      </c>
      <c r="AV2234" s="122">
        <v>39166</v>
      </c>
    </row>
    <row r="2235" spans="2:48" hidden="1">
      <c r="B2235" t="s">
        <v>378</v>
      </c>
      <c r="C2235" t="s">
        <v>52</v>
      </c>
      <c r="D2235" t="s">
        <v>408</v>
      </c>
      <c r="E2235" t="s">
        <v>408</v>
      </c>
      <c r="F2235" s="122">
        <v>2</v>
      </c>
      <c r="G2235" s="122">
        <v>483</v>
      </c>
      <c r="H2235" s="122">
        <v>235</v>
      </c>
      <c r="I2235" s="122">
        <v>51098</v>
      </c>
      <c r="J2235" s="122">
        <v>46452</v>
      </c>
      <c r="K2235" s="122">
        <v>92</v>
      </c>
      <c r="L2235" s="122">
        <v>8042</v>
      </c>
      <c r="M2235" s="122">
        <v>7311</v>
      </c>
      <c r="N2235" s="122">
        <v>12062</v>
      </c>
      <c r="O2235" s="122">
        <v>4467</v>
      </c>
      <c r="P2235" s="122">
        <v>702</v>
      </c>
      <c r="Q2235" s="122">
        <v>260</v>
      </c>
      <c r="R2235" s="122">
        <v>11997</v>
      </c>
      <c r="S2235" s="122">
        <v>10906</v>
      </c>
      <c r="T2235" s="122">
        <v>0</v>
      </c>
      <c r="U2235" s="122">
        <v>0</v>
      </c>
      <c r="V2235" s="122">
        <v>69397</v>
      </c>
      <c r="W2235" s="122">
        <f t="shared" si="70"/>
        <v>69396</v>
      </c>
      <c r="X2235" s="122">
        <f t="shared" si="71"/>
        <v>83901</v>
      </c>
      <c r="AA2235" t="s">
        <v>64</v>
      </c>
      <c r="AB2235" t="s">
        <v>137</v>
      </c>
      <c r="AC2235" t="s">
        <v>427</v>
      </c>
      <c r="AD2235" t="s">
        <v>137</v>
      </c>
      <c r="AE2235" t="s">
        <v>137</v>
      </c>
      <c r="AF2235">
        <v>43</v>
      </c>
      <c r="AG2235" s="122">
        <v>3621</v>
      </c>
      <c r="AH2235" s="122">
        <v>34868</v>
      </c>
      <c r="AI2235" s="122">
        <v>2275320</v>
      </c>
      <c r="AJ2235" s="122">
        <v>842711</v>
      </c>
      <c r="AK2235">
        <v>100</v>
      </c>
      <c r="AL2235" s="122">
        <v>310872</v>
      </c>
      <c r="AM2235" s="122">
        <v>282611</v>
      </c>
      <c r="AN2235" s="122">
        <v>87950</v>
      </c>
      <c r="AO2235" s="122">
        <v>32574</v>
      </c>
      <c r="AP2235" s="122">
        <v>2312</v>
      </c>
      <c r="AQ2235" s="122">
        <v>856</v>
      </c>
      <c r="AR2235" s="122">
        <v>299443</v>
      </c>
      <c r="AS2235" s="122">
        <v>110905</v>
      </c>
      <c r="AT2235" s="122">
        <v>16313</v>
      </c>
      <c r="AU2235" s="122">
        <v>6042</v>
      </c>
      <c r="AV2235" s="122">
        <v>1275700</v>
      </c>
    </row>
    <row r="2236" spans="2:48" hidden="1">
      <c r="B2236" t="s">
        <v>378</v>
      </c>
      <c r="C2236" t="s">
        <v>54</v>
      </c>
      <c r="D2236" t="s">
        <v>425</v>
      </c>
      <c r="E2236" t="s">
        <v>425</v>
      </c>
      <c r="F2236" s="122">
        <v>1</v>
      </c>
      <c r="G2236" s="122">
        <v>151</v>
      </c>
      <c r="H2236" s="122">
        <v>149</v>
      </c>
      <c r="I2236" s="122">
        <v>14595</v>
      </c>
      <c r="J2236" s="122">
        <v>13268</v>
      </c>
      <c r="K2236" s="122">
        <v>90</v>
      </c>
      <c r="L2236" s="122">
        <v>2319</v>
      </c>
      <c r="M2236" s="122">
        <v>2108</v>
      </c>
      <c r="N2236" s="122">
        <v>1836</v>
      </c>
      <c r="O2236" s="122">
        <v>680</v>
      </c>
      <c r="P2236" s="122">
        <v>473</v>
      </c>
      <c r="Q2236" s="122">
        <v>175</v>
      </c>
      <c r="R2236" s="122">
        <v>3228</v>
      </c>
      <c r="S2236" s="122">
        <v>2935</v>
      </c>
      <c r="T2236" s="122">
        <v>0</v>
      </c>
      <c r="U2236" s="122">
        <v>0</v>
      </c>
      <c r="V2236" s="122">
        <v>19166</v>
      </c>
      <c r="W2236" s="122">
        <f t="shared" si="70"/>
        <v>19166</v>
      </c>
      <c r="X2236" s="122">
        <f t="shared" si="71"/>
        <v>22451</v>
      </c>
      <c r="AA2236" t="s">
        <v>64</v>
      </c>
      <c r="AB2236" t="s">
        <v>137</v>
      </c>
      <c r="AC2236" t="s">
        <v>427</v>
      </c>
      <c r="AD2236" t="s">
        <v>137</v>
      </c>
      <c r="AE2236" t="s">
        <v>566</v>
      </c>
      <c r="AF2236">
        <v>287</v>
      </c>
      <c r="AG2236" s="122">
        <v>25555</v>
      </c>
      <c r="AH2236" s="122">
        <v>227326</v>
      </c>
      <c r="AI2236" s="122">
        <v>14497727</v>
      </c>
      <c r="AJ2236" s="122">
        <v>5369528</v>
      </c>
      <c r="AK2236">
        <v>100</v>
      </c>
      <c r="AL2236" s="122">
        <v>2664080</v>
      </c>
      <c r="AM2236" s="122">
        <v>2421891</v>
      </c>
      <c r="AN2236" s="122">
        <v>582024</v>
      </c>
      <c r="AO2236" s="122">
        <v>215564</v>
      </c>
      <c r="AP2236" s="122">
        <v>9795</v>
      </c>
      <c r="AQ2236" s="122">
        <v>3628</v>
      </c>
      <c r="AR2236" s="122">
        <v>2136479</v>
      </c>
      <c r="AS2236" s="122">
        <v>791288</v>
      </c>
      <c r="AT2236" s="122">
        <v>0</v>
      </c>
      <c r="AU2236" s="122">
        <v>0</v>
      </c>
      <c r="AV2236" s="122">
        <v>8801900</v>
      </c>
    </row>
    <row r="2237" spans="2:48" hidden="1">
      <c r="B2237" t="s">
        <v>378</v>
      </c>
      <c r="C2237" t="s">
        <v>54</v>
      </c>
      <c r="D2237" t="s">
        <v>405</v>
      </c>
      <c r="E2237" t="s">
        <v>405</v>
      </c>
      <c r="F2237" s="122">
        <v>17</v>
      </c>
      <c r="G2237" s="122">
        <v>3537</v>
      </c>
      <c r="H2237" s="122">
        <v>2435</v>
      </c>
      <c r="I2237" s="122">
        <v>318729</v>
      </c>
      <c r="J2237" s="122">
        <v>289754</v>
      </c>
      <c r="K2237" s="122">
        <v>90</v>
      </c>
      <c r="L2237" s="122">
        <v>67525</v>
      </c>
      <c r="M2237" s="122">
        <v>60938</v>
      </c>
      <c r="N2237" s="122">
        <v>61797</v>
      </c>
      <c r="O2237" s="122">
        <v>22888</v>
      </c>
      <c r="P2237" s="122">
        <v>8505</v>
      </c>
      <c r="Q2237" s="122">
        <v>3150</v>
      </c>
      <c r="R2237" s="122">
        <v>90742</v>
      </c>
      <c r="S2237" s="122">
        <v>82493</v>
      </c>
      <c r="T2237" s="122">
        <v>1464</v>
      </c>
      <c r="U2237" s="122">
        <v>542</v>
      </c>
      <c r="V2237" s="122">
        <v>459765</v>
      </c>
      <c r="W2237" s="122">
        <f t="shared" si="70"/>
        <v>459765</v>
      </c>
      <c r="X2237" s="122">
        <f t="shared" si="71"/>
        <v>548762</v>
      </c>
      <c r="AA2237" t="s">
        <v>64</v>
      </c>
      <c r="AB2237" t="s">
        <v>137</v>
      </c>
      <c r="AC2237" t="s">
        <v>427</v>
      </c>
      <c r="AD2237" t="s">
        <v>406</v>
      </c>
      <c r="AE2237" t="s">
        <v>137</v>
      </c>
      <c r="AF2237">
        <v>1</v>
      </c>
      <c r="AG2237">
        <v>191</v>
      </c>
      <c r="AH2237" s="122">
        <v>850</v>
      </c>
      <c r="AI2237" s="122">
        <v>126555</v>
      </c>
      <c r="AJ2237" s="122">
        <v>46872</v>
      </c>
      <c r="AK2237">
        <v>100</v>
      </c>
      <c r="AL2237" s="122">
        <v>19096</v>
      </c>
      <c r="AM2237" s="122">
        <v>17360</v>
      </c>
      <c r="AN2237" s="122">
        <v>4646</v>
      </c>
      <c r="AO2237" s="122">
        <v>1721</v>
      </c>
      <c r="AP2237">
        <v>0</v>
      </c>
      <c r="AQ2237">
        <v>0</v>
      </c>
      <c r="AR2237" s="122">
        <v>7464</v>
      </c>
      <c r="AS2237" s="122">
        <v>6785</v>
      </c>
      <c r="AT2237" s="122">
        <v>4327</v>
      </c>
      <c r="AU2237" s="122">
        <v>1603</v>
      </c>
      <c r="AV2237" s="122">
        <v>74342</v>
      </c>
    </row>
    <row r="2238" spans="2:48" hidden="1">
      <c r="B2238" t="s">
        <v>378</v>
      </c>
      <c r="C2238" t="s">
        <v>54</v>
      </c>
      <c r="D2238" t="s">
        <v>137</v>
      </c>
      <c r="E2238" t="s">
        <v>137</v>
      </c>
      <c r="F2238" s="122">
        <v>20</v>
      </c>
      <c r="G2238" s="122">
        <v>5143</v>
      </c>
      <c r="H2238" s="122">
        <v>2739</v>
      </c>
      <c r="I2238" s="122">
        <v>321238</v>
      </c>
      <c r="J2238" s="122">
        <v>118977</v>
      </c>
      <c r="K2238" s="122">
        <v>309</v>
      </c>
      <c r="L2238" s="122">
        <v>113916</v>
      </c>
      <c r="M2238" s="122">
        <v>102252</v>
      </c>
      <c r="N2238" s="122">
        <v>104444</v>
      </c>
      <c r="O2238" s="122">
        <v>38683</v>
      </c>
      <c r="P2238" s="122">
        <v>10000</v>
      </c>
      <c r="Q2238" s="122">
        <v>3704</v>
      </c>
      <c r="R2238" s="122">
        <v>194122</v>
      </c>
      <c r="S2238" s="122">
        <v>71897</v>
      </c>
      <c r="T2238" s="122">
        <v>0</v>
      </c>
      <c r="U2238" s="122">
        <v>0</v>
      </c>
      <c r="V2238" s="122">
        <v>335513</v>
      </c>
      <c r="W2238" s="122">
        <f t="shared" si="70"/>
        <v>335513</v>
      </c>
      <c r="X2238" s="122">
        <f t="shared" si="71"/>
        <v>743720</v>
      </c>
      <c r="AA2238" t="s">
        <v>64</v>
      </c>
      <c r="AB2238" t="s">
        <v>137</v>
      </c>
      <c r="AC2238" t="s">
        <v>427</v>
      </c>
      <c r="AD2238" t="s">
        <v>406</v>
      </c>
      <c r="AE2238" t="s">
        <v>566</v>
      </c>
      <c r="AF2238">
        <v>2</v>
      </c>
      <c r="AG2238" s="122">
        <v>375</v>
      </c>
      <c r="AH2238" s="122">
        <v>1200</v>
      </c>
      <c r="AI2238" s="122">
        <v>175439</v>
      </c>
      <c r="AJ2238" s="122">
        <v>64977</v>
      </c>
      <c r="AK2238">
        <v>100</v>
      </c>
      <c r="AL2238" s="122">
        <v>18639</v>
      </c>
      <c r="AM2238" s="122">
        <v>16945</v>
      </c>
      <c r="AN2238" s="122">
        <v>7746</v>
      </c>
      <c r="AO2238" s="122">
        <v>2869</v>
      </c>
      <c r="AP2238" s="122">
        <v>972</v>
      </c>
      <c r="AQ2238">
        <v>360</v>
      </c>
      <c r="AR2238" s="122">
        <v>22172</v>
      </c>
      <c r="AS2238" s="122">
        <v>20157</v>
      </c>
      <c r="AT2238" s="122">
        <v>0</v>
      </c>
      <c r="AU2238" s="122">
        <v>0</v>
      </c>
      <c r="AV2238" s="122">
        <v>105308</v>
      </c>
    </row>
    <row r="2239" spans="2:48" hidden="1">
      <c r="B2239" t="s">
        <v>378</v>
      </c>
      <c r="C2239" t="s">
        <v>54</v>
      </c>
      <c r="D2239" t="s">
        <v>406</v>
      </c>
      <c r="E2239" t="s">
        <v>137</v>
      </c>
      <c r="F2239" s="122">
        <v>2</v>
      </c>
      <c r="G2239" s="122">
        <v>360</v>
      </c>
      <c r="H2239" s="122">
        <v>298</v>
      </c>
      <c r="I2239" s="122">
        <v>23991</v>
      </c>
      <c r="J2239" s="122">
        <v>21810</v>
      </c>
      <c r="K2239" s="122">
        <v>90</v>
      </c>
      <c r="L2239" s="122">
        <v>5509</v>
      </c>
      <c r="M2239" s="122">
        <v>5008</v>
      </c>
      <c r="N2239" s="122">
        <v>4812</v>
      </c>
      <c r="O2239" s="122">
        <v>1782</v>
      </c>
      <c r="P2239" s="122">
        <v>1242</v>
      </c>
      <c r="Q2239" s="122">
        <v>460</v>
      </c>
      <c r="R2239" s="122">
        <v>18044</v>
      </c>
      <c r="S2239" s="122">
        <v>6683</v>
      </c>
      <c r="T2239" s="122">
        <v>0</v>
      </c>
      <c r="U2239" s="122">
        <v>0</v>
      </c>
      <c r="V2239" s="122">
        <v>35743</v>
      </c>
      <c r="W2239" s="122">
        <f t="shared" si="70"/>
        <v>35743</v>
      </c>
      <c r="X2239" s="122">
        <f t="shared" si="71"/>
        <v>53598</v>
      </c>
      <c r="AA2239" t="s">
        <v>64</v>
      </c>
      <c r="AB2239" t="s">
        <v>137</v>
      </c>
      <c r="AC2239" t="s">
        <v>427</v>
      </c>
      <c r="AD2239" t="s">
        <v>427</v>
      </c>
      <c r="AE2239" t="s">
        <v>137</v>
      </c>
      <c r="AF2239">
        <v>23</v>
      </c>
      <c r="AG2239" s="122">
        <v>2138</v>
      </c>
      <c r="AH2239" s="122">
        <v>15390</v>
      </c>
      <c r="AI2239" s="122">
        <v>1069972</v>
      </c>
      <c r="AJ2239" s="122">
        <v>396286</v>
      </c>
      <c r="AK2239">
        <v>100</v>
      </c>
      <c r="AL2239" s="122">
        <v>104712</v>
      </c>
      <c r="AM2239" s="122">
        <v>95192</v>
      </c>
      <c r="AN2239" s="122">
        <v>47460</v>
      </c>
      <c r="AO2239" s="122">
        <v>17578</v>
      </c>
      <c r="AP2239" s="122">
        <v>1053</v>
      </c>
      <c r="AQ2239">
        <v>390</v>
      </c>
      <c r="AR2239" s="122">
        <v>144814</v>
      </c>
      <c r="AS2239" s="122">
        <v>131649</v>
      </c>
      <c r="AT2239" s="122">
        <v>60531</v>
      </c>
      <c r="AU2239" s="122">
        <v>22419</v>
      </c>
      <c r="AV2239" s="122">
        <v>663514</v>
      </c>
    </row>
    <row r="2240" spans="2:48" hidden="1">
      <c r="B2240" t="s">
        <v>378</v>
      </c>
      <c r="C2240" t="s">
        <v>54</v>
      </c>
      <c r="D2240" t="s">
        <v>406</v>
      </c>
      <c r="E2240" t="s">
        <v>406</v>
      </c>
      <c r="F2240" s="122">
        <v>526</v>
      </c>
      <c r="G2240" s="122">
        <v>110203</v>
      </c>
      <c r="H2240" s="122">
        <v>73498</v>
      </c>
      <c r="I2240" s="122">
        <v>9022084</v>
      </c>
      <c r="J2240" s="122">
        <v>8201894</v>
      </c>
      <c r="K2240" s="122">
        <v>91</v>
      </c>
      <c r="L2240" s="122">
        <v>1983643</v>
      </c>
      <c r="M2240" s="122">
        <v>1780822</v>
      </c>
      <c r="N2240" s="122">
        <v>2127469</v>
      </c>
      <c r="O2240" s="122">
        <v>787952</v>
      </c>
      <c r="P2240" s="122">
        <v>373404</v>
      </c>
      <c r="Q2240" s="122">
        <v>138298</v>
      </c>
      <c r="R2240" s="122">
        <v>2828950</v>
      </c>
      <c r="S2240" s="122">
        <v>2571773</v>
      </c>
      <c r="T2240" s="122">
        <v>146130</v>
      </c>
      <c r="U2240" s="122">
        <v>54122</v>
      </c>
      <c r="V2240" s="122">
        <v>13534861</v>
      </c>
      <c r="W2240" s="122">
        <f t="shared" si="70"/>
        <v>13534861</v>
      </c>
      <c r="X2240" s="122">
        <f t="shared" si="71"/>
        <v>16481680</v>
      </c>
      <c r="AA2240" t="s">
        <v>64</v>
      </c>
      <c r="AB2240" t="s">
        <v>137</v>
      </c>
      <c r="AC2240" t="s">
        <v>427</v>
      </c>
      <c r="AD2240" t="s">
        <v>427</v>
      </c>
      <c r="AE2240" t="s">
        <v>566</v>
      </c>
      <c r="AF2240">
        <v>6</v>
      </c>
      <c r="AG2240">
        <v>467</v>
      </c>
      <c r="AH2240" s="122">
        <v>5210</v>
      </c>
      <c r="AI2240" s="122">
        <v>287221</v>
      </c>
      <c r="AJ2240" s="122">
        <v>106378</v>
      </c>
      <c r="AK2240">
        <v>100</v>
      </c>
      <c r="AL2240" s="122">
        <v>32944</v>
      </c>
      <c r="AM2240" s="122">
        <v>29949</v>
      </c>
      <c r="AN2240" s="122">
        <v>10469</v>
      </c>
      <c r="AO2240" s="122">
        <v>3877</v>
      </c>
      <c r="AP2240">
        <v>702</v>
      </c>
      <c r="AQ2240">
        <v>260</v>
      </c>
      <c r="AR2240" s="122">
        <v>51545</v>
      </c>
      <c r="AS2240" s="122">
        <v>46859</v>
      </c>
      <c r="AT2240" s="122">
        <v>0</v>
      </c>
      <c r="AU2240" s="122">
        <v>0</v>
      </c>
      <c r="AV2240" s="122">
        <v>187324</v>
      </c>
    </row>
    <row r="2241" spans="2:48" hidden="1">
      <c r="B2241" t="s">
        <v>378</v>
      </c>
      <c r="C2241" t="s">
        <v>54</v>
      </c>
      <c r="D2241" t="s">
        <v>406</v>
      </c>
      <c r="E2241" t="s">
        <v>427</v>
      </c>
      <c r="F2241" s="122">
        <v>1</v>
      </c>
      <c r="G2241" s="122">
        <v>234</v>
      </c>
      <c r="H2241" s="122">
        <v>149</v>
      </c>
      <c r="I2241" s="122">
        <v>17620</v>
      </c>
      <c r="J2241" s="122">
        <v>16018</v>
      </c>
      <c r="K2241" s="122">
        <v>97</v>
      </c>
      <c r="L2241" s="122">
        <v>6330</v>
      </c>
      <c r="M2241" s="122">
        <v>5755</v>
      </c>
      <c r="N2241" s="122">
        <v>4732</v>
      </c>
      <c r="O2241" s="122">
        <v>1753</v>
      </c>
      <c r="P2241" s="122">
        <v>621</v>
      </c>
      <c r="Q2241" s="122">
        <v>230</v>
      </c>
      <c r="R2241" s="122">
        <v>5433</v>
      </c>
      <c r="S2241" s="122">
        <v>4939</v>
      </c>
      <c r="T2241" s="122">
        <v>0</v>
      </c>
      <c r="U2241" s="122">
        <v>0</v>
      </c>
      <c r="V2241" s="122">
        <v>28694</v>
      </c>
      <c r="W2241" s="122">
        <f t="shared" si="70"/>
        <v>28695</v>
      </c>
      <c r="X2241" s="122">
        <f t="shared" si="71"/>
        <v>34736</v>
      </c>
      <c r="AA2241" t="s">
        <v>64</v>
      </c>
      <c r="AB2241" t="s">
        <v>137</v>
      </c>
      <c r="AC2241" t="s">
        <v>427</v>
      </c>
      <c r="AD2241" t="s">
        <v>426</v>
      </c>
      <c r="AE2241" t="s">
        <v>137</v>
      </c>
      <c r="AF2241">
        <v>1</v>
      </c>
      <c r="AG2241">
        <v>77</v>
      </c>
      <c r="AH2241" s="122">
        <v>757</v>
      </c>
      <c r="AI2241" s="122">
        <v>39389</v>
      </c>
      <c r="AJ2241" s="122">
        <v>14589</v>
      </c>
      <c r="AK2241">
        <v>100</v>
      </c>
      <c r="AL2241" s="122">
        <v>3566</v>
      </c>
      <c r="AM2241" s="122">
        <v>3242</v>
      </c>
      <c r="AN2241" s="122">
        <v>1885</v>
      </c>
      <c r="AO2241" s="122">
        <v>698</v>
      </c>
      <c r="AP2241">
        <v>351</v>
      </c>
      <c r="AQ2241">
        <v>130</v>
      </c>
      <c r="AR2241" s="122">
        <v>9007</v>
      </c>
      <c r="AS2241" s="122">
        <v>8188</v>
      </c>
      <c r="AT2241" s="122">
        <v>4358</v>
      </c>
      <c r="AU2241" s="122">
        <v>1614</v>
      </c>
      <c r="AV2241" s="122">
        <v>28461</v>
      </c>
    </row>
    <row r="2242" spans="2:48" hidden="1">
      <c r="B2242" t="s">
        <v>378</v>
      </c>
      <c r="C2242" t="s">
        <v>54</v>
      </c>
      <c r="D2242" t="s">
        <v>407</v>
      </c>
      <c r="E2242" t="s">
        <v>137</v>
      </c>
      <c r="F2242" s="122">
        <v>1</v>
      </c>
      <c r="G2242" s="122">
        <v>154</v>
      </c>
      <c r="H2242" s="122">
        <v>142</v>
      </c>
      <c r="I2242" s="122">
        <v>13836</v>
      </c>
      <c r="J2242" s="122">
        <v>12578</v>
      </c>
      <c r="K2242" s="122">
        <v>78</v>
      </c>
      <c r="L2242" s="122">
        <v>2177</v>
      </c>
      <c r="M2242" s="122">
        <v>1814</v>
      </c>
      <c r="N2242" s="122">
        <v>3594</v>
      </c>
      <c r="O2242" s="122">
        <v>1331</v>
      </c>
      <c r="P2242" s="122">
        <v>473</v>
      </c>
      <c r="Q2242" s="122">
        <v>175</v>
      </c>
      <c r="R2242" s="122">
        <v>1767</v>
      </c>
      <c r="S2242" s="122">
        <v>655</v>
      </c>
      <c r="T2242" s="122">
        <v>0</v>
      </c>
      <c r="U2242" s="122">
        <v>0</v>
      </c>
      <c r="V2242" s="122">
        <v>16553</v>
      </c>
      <c r="W2242" s="122">
        <f t="shared" si="70"/>
        <v>16553</v>
      </c>
      <c r="X2242" s="122">
        <f t="shared" si="71"/>
        <v>21847</v>
      </c>
      <c r="AA2242" t="s">
        <v>64</v>
      </c>
      <c r="AB2242" t="s">
        <v>137</v>
      </c>
      <c r="AC2242" t="s">
        <v>407</v>
      </c>
      <c r="AD2242" t="s">
        <v>137</v>
      </c>
      <c r="AE2242" t="s">
        <v>137</v>
      </c>
      <c r="AF2242">
        <v>2</v>
      </c>
      <c r="AG2242" s="122">
        <v>384</v>
      </c>
      <c r="AH2242" s="122">
        <v>1138</v>
      </c>
      <c r="AI2242" s="122">
        <v>157118</v>
      </c>
      <c r="AJ2242" s="122">
        <v>58192</v>
      </c>
      <c r="AK2242">
        <v>100</v>
      </c>
      <c r="AL2242" s="122">
        <v>32142</v>
      </c>
      <c r="AM2242" s="122">
        <v>29220</v>
      </c>
      <c r="AN2242" s="122">
        <v>7831</v>
      </c>
      <c r="AO2242" s="122">
        <v>2901</v>
      </c>
      <c r="AP2242">
        <v>826</v>
      </c>
      <c r="AQ2242">
        <v>306</v>
      </c>
      <c r="AR2242" s="122">
        <v>20623</v>
      </c>
      <c r="AS2242" s="122">
        <v>7638</v>
      </c>
      <c r="AT2242">
        <v>0</v>
      </c>
      <c r="AU2242">
        <v>0</v>
      </c>
      <c r="AV2242" s="122">
        <v>98257</v>
      </c>
    </row>
    <row r="2243" spans="2:48" hidden="1">
      <c r="B2243" t="s">
        <v>378</v>
      </c>
      <c r="C2243" t="s">
        <v>54</v>
      </c>
      <c r="D2243" t="s">
        <v>407</v>
      </c>
      <c r="E2243" t="s">
        <v>407</v>
      </c>
      <c r="F2243" s="122">
        <v>345</v>
      </c>
      <c r="G2243" s="122">
        <v>66394</v>
      </c>
      <c r="H2243" s="122">
        <v>48419</v>
      </c>
      <c r="I2243" s="122">
        <v>5019397</v>
      </c>
      <c r="J2243" s="122">
        <v>4563088</v>
      </c>
      <c r="K2243" s="122">
        <v>88</v>
      </c>
      <c r="L2243" s="122">
        <v>1196606</v>
      </c>
      <c r="M2243" s="122">
        <v>1051111</v>
      </c>
      <c r="N2243" s="122">
        <v>1235100</v>
      </c>
      <c r="O2243" s="122">
        <v>457445</v>
      </c>
      <c r="P2243" s="122">
        <v>201015</v>
      </c>
      <c r="Q2243" s="122">
        <v>74450</v>
      </c>
      <c r="R2243" s="122">
        <v>1863921</v>
      </c>
      <c r="S2243" s="122">
        <v>1694473</v>
      </c>
      <c r="T2243" s="122">
        <v>49573</v>
      </c>
      <c r="U2243" s="122">
        <v>18360</v>
      </c>
      <c r="V2243" s="122">
        <v>7858927</v>
      </c>
      <c r="W2243" s="122">
        <f t="shared" si="70"/>
        <v>7858927</v>
      </c>
      <c r="X2243" s="122">
        <f t="shared" si="71"/>
        <v>9565612</v>
      </c>
      <c r="AA2243" t="s">
        <v>64</v>
      </c>
      <c r="AB2243" t="s">
        <v>137</v>
      </c>
      <c r="AC2243" t="s">
        <v>407</v>
      </c>
      <c r="AD2243" t="s">
        <v>137</v>
      </c>
      <c r="AE2243" t="s">
        <v>566</v>
      </c>
      <c r="AF2243">
        <v>10</v>
      </c>
      <c r="AG2243" s="122">
        <v>2074</v>
      </c>
      <c r="AH2243" s="122">
        <v>7264</v>
      </c>
      <c r="AI2243" s="122">
        <v>1094872</v>
      </c>
      <c r="AJ2243" s="122">
        <v>405508</v>
      </c>
      <c r="AK2243">
        <v>100</v>
      </c>
      <c r="AL2243" s="122">
        <v>131722</v>
      </c>
      <c r="AM2243" s="122">
        <v>119747</v>
      </c>
      <c r="AN2243" s="122">
        <v>48574</v>
      </c>
      <c r="AO2243" s="122">
        <v>17990</v>
      </c>
      <c r="AP2243">
        <v>824</v>
      </c>
      <c r="AQ2243">
        <v>305</v>
      </c>
      <c r="AR2243" s="122">
        <v>102196</v>
      </c>
      <c r="AS2243" s="122">
        <v>37850</v>
      </c>
      <c r="AT2243" s="122">
        <v>0</v>
      </c>
      <c r="AU2243" s="122">
        <v>0</v>
      </c>
      <c r="AV2243" s="122">
        <v>581401</v>
      </c>
    </row>
    <row r="2244" spans="2:48" hidden="1">
      <c r="B2244" t="s">
        <v>378</v>
      </c>
      <c r="C2244" t="s">
        <v>54</v>
      </c>
      <c r="D2244" t="s">
        <v>408</v>
      </c>
      <c r="E2244" t="s">
        <v>408</v>
      </c>
      <c r="F2244" s="122">
        <v>7</v>
      </c>
      <c r="G2244" s="122">
        <v>2071</v>
      </c>
      <c r="H2244" s="122">
        <v>998</v>
      </c>
      <c r="I2244" s="122">
        <v>171280</v>
      </c>
      <c r="J2244" s="122">
        <v>155709</v>
      </c>
      <c r="K2244" s="122">
        <v>83</v>
      </c>
      <c r="L2244" s="122">
        <v>35947</v>
      </c>
      <c r="M2244" s="122">
        <v>32679</v>
      </c>
      <c r="N2244" s="122">
        <v>36148</v>
      </c>
      <c r="O2244" s="122">
        <v>13388</v>
      </c>
      <c r="P2244" s="122">
        <v>14069</v>
      </c>
      <c r="Q2244" s="122">
        <v>5211</v>
      </c>
      <c r="R2244" s="122">
        <v>34320</v>
      </c>
      <c r="S2244" s="122">
        <v>31200</v>
      </c>
      <c r="T2244" s="122">
        <v>4148</v>
      </c>
      <c r="U2244" s="122">
        <v>1536</v>
      </c>
      <c r="V2244" s="122">
        <v>239723</v>
      </c>
      <c r="W2244" s="122">
        <f t="shared" si="70"/>
        <v>239723</v>
      </c>
      <c r="X2244" s="122">
        <f t="shared" si="71"/>
        <v>295912</v>
      </c>
      <c r="AA2244" t="s">
        <v>64</v>
      </c>
      <c r="AB2244" t="s">
        <v>137</v>
      </c>
      <c r="AC2244" t="s">
        <v>407</v>
      </c>
      <c r="AD2244" t="s">
        <v>406</v>
      </c>
      <c r="AE2244" t="s">
        <v>137</v>
      </c>
      <c r="AF2244">
        <v>2</v>
      </c>
      <c r="AG2244" s="122">
        <v>290</v>
      </c>
      <c r="AH2244" s="122">
        <v>1029</v>
      </c>
      <c r="AI2244" s="122">
        <v>96733</v>
      </c>
      <c r="AJ2244" s="122">
        <v>35827</v>
      </c>
      <c r="AK2244">
        <v>100</v>
      </c>
      <c r="AL2244" s="122">
        <v>24971</v>
      </c>
      <c r="AM2244" s="122">
        <v>22701</v>
      </c>
      <c r="AN2244" s="122">
        <v>6343</v>
      </c>
      <c r="AO2244" s="122">
        <v>2349</v>
      </c>
      <c r="AP2244">
        <v>270</v>
      </c>
      <c r="AQ2244">
        <v>100</v>
      </c>
      <c r="AR2244" s="122">
        <v>13649</v>
      </c>
      <c r="AS2244" s="122">
        <v>12408</v>
      </c>
      <c r="AT2244" s="122">
        <v>8270</v>
      </c>
      <c r="AU2244" s="122">
        <v>3063</v>
      </c>
      <c r="AV2244" s="122">
        <v>76448</v>
      </c>
    </row>
    <row r="2245" spans="2:48" hidden="1">
      <c r="B2245" t="s">
        <v>378</v>
      </c>
      <c r="C2245" t="s">
        <v>56</v>
      </c>
      <c r="D2245" t="s">
        <v>425</v>
      </c>
      <c r="E2245" t="s">
        <v>425</v>
      </c>
      <c r="F2245" s="122">
        <v>5</v>
      </c>
      <c r="G2245" s="122">
        <v>736</v>
      </c>
      <c r="H2245" s="122">
        <v>1053</v>
      </c>
      <c r="I2245" s="122">
        <v>89256</v>
      </c>
      <c r="J2245" s="122">
        <v>81142</v>
      </c>
      <c r="K2245" s="122">
        <v>85</v>
      </c>
      <c r="L2245" s="122">
        <v>23937</v>
      </c>
      <c r="M2245" s="122">
        <v>21761</v>
      </c>
      <c r="N2245" s="122">
        <v>13455</v>
      </c>
      <c r="O2245" s="122">
        <v>4983</v>
      </c>
      <c r="P2245" s="122">
        <v>2363</v>
      </c>
      <c r="Q2245" s="122">
        <v>875</v>
      </c>
      <c r="R2245" s="122">
        <v>27379</v>
      </c>
      <c r="S2245" s="122">
        <v>24890</v>
      </c>
      <c r="T2245" s="122">
        <v>2784</v>
      </c>
      <c r="U2245" s="122">
        <v>1031</v>
      </c>
      <c r="V2245" s="122">
        <v>134682</v>
      </c>
      <c r="W2245" s="122">
        <f t="shared" si="70"/>
        <v>134682</v>
      </c>
      <c r="X2245" s="122">
        <f t="shared" si="71"/>
        <v>159174</v>
      </c>
      <c r="AA2245" t="s">
        <v>64</v>
      </c>
      <c r="AB2245" t="s">
        <v>137</v>
      </c>
      <c r="AC2245" t="s">
        <v>579</v>
      </c>
      <c r="AD2245" t="s">
        <v>137</v>
      </c>
      <c r="AE2245" t="s">
        <v>137</v>
      </c>
      <c r="AF2245">
        <v>24</v>
      </c>
      <c r="AG2245" s="122">
        <v>3346</v>
      </c>
      <c r="AH2245" s="122">
        <v>16239</v>
      </c>
      <c r="AI2245" s="122">
        <v>1557991</v>
      </c>
      <c r="AJ2245" s="122">
        <v>577034</v>
      </c>
      <c r="AK2245">
        <v>100</v>
      </c>
      <c r="AL2245" s="122">
        <v>357475</v>
      </c>
      <c r="AM2245" s="122">
        <v>297896</v>
      </c>
      <c r="AN2245" s="122">
        <v>76033</v>
      </c>
      <c r="AO2245" s="122">
        <v>28160</v>
      </c>
      <c r="AP2245" s="122">
        <v>351</v>
      </c>
      <c r="AQ2245" s="122">
        <v>130</v>
      </c>
      <c r="AR2245" s="122">
        <v>192610</v>
      </c>
      <c r="AS2245" s="122">
        <v>71337</v>
      </c>
      <c r="AT2245" s="122">
        <v>9226</v>
      </c>
      <c r="AU2245" s="122">
        <v>3417</v>
      </c>
      <c r="AV2245" s="122">
        <v>977974</v>
      </c>
    </row>
    <row r="2246" spans="2:48" hidden="1">
      <c r="B2246" t="s">
        <v>378</v>
      </c>
      <c r="C2246" t="s">
        <v>56</v>
      </c>
      <c r="D2246" t="s">
        <v>425</v>
      </c>
      <c r="E2246" t="s">
        <v>406</v>
      </c>
      <c r="F2246" s="122">
        <v>1</v>
      </c>
      <c r="G2246" s="122">
        <v>150</v>
      </c>
      <c r="H2246" s="122">
        <v>202</v>
      </c>
      <c r="I2246" s="122">
        <v>29331</v>
      </c>
      <c r="J2246" s="122">
        <v>26664</v>
      </c>
      <c r="K2246" s="122">
        <v>79</v>
      </c>
      <c r="L2246" s="122">
        <v>5432</v>
      </c>
      <c r="M2246" s="122">
        <v>4938</v>
      </c>
      <c r="N2246" s="122">
        <v>5927</v>
      </c>
      <c r="O2246" s="122">
        <v>2195</v>
      </c>
      <c r="P2246" s="122">
        <v>972</v>
      </c>
      <c r="Q2246" s="122">
        <v>360</v>
      </c>
      <c r="R2246" s="122">
        <v>8845</v>
      </c>
      <c r="S2246" s="122">
        <v>8041</v>
      </c>
      <c r="T2246" s="122">
        <v>0</v>
      </c>
      <c r="U2246" s="122">
        <v>0</v>
      </c>
      <c r="V2246" s="122">
        <v>42198</v>
      </c>
      <c r="W2246" s="122">
        <f t="shared" si="70"/>
        <v>42198</v>
      </c>
      <c r="X2246" s="122">
        <f t="shared" si="71"/>
        <v>50507</v>
      </c>
      <c r="AA2246" t="s">
        <v>64</v>
      </c>
      <c r="AB2246" t="s">
        <v>137</v>
      </c>
      <c r="AC2246" t="s">
        <v>579</v>
      </c>
      <c r="AD2246" t="s">
        <v>137</v>
      </c>
      <c r="AE2246" t="s">
        <v>566</v>
      </c>
      <c r="AF2246">
        <v>260</v>
      </c>
      <c r="AG2246" s="122">
        <v>25884</v>
      </c>
      <c r="AH2246" s="122">
        <v>195672</v>
      </c>
      <c r="AI2246" s="122">
        <v>13293197</v>
      </c>
      <c r="AJ2246" s="122">
        <v>4923406</v>
      </c>
      <c r="AK2246">
        <v>100</v>
      </c>
      <c r="AL2246" s="122">
        <v>3049826</v>
      </c>
      <c r="AM2246" s="122">
        <v>2541522</v>
      </c>
      <c r="AN2246" s="122">
        <v>578495</v>
      </c>
      <c r="AO2246" s="122">
        <v>214257</v>
      </c>
      <c r="AP2246" s="122">
        <v>3902</v>
      </c>
      <c r="AQ2246" s="122">
        <v>1445</v>
      </c>
      <c r="AR2246" s="122">
        <v>1941346</v>
      </c>
      <c r="AS2246" s="122">
        <v>719017</v>
      </c>
      <c r="AT2246" s="122">
        <v>0</v>
      </c>
      <c r="AU2246" s="122">
        <v>0</v>
      </c>
      <c r="AV2246" s="122">
        <v>8399647</v>
      </c>
    </row>
    <row r="2247" spans="2:48" hidden="1">
      <c r="B2247" t="s">
        <v>378</v>
      </c>
      <c r="C2247" t="s">
        <v>56</v>
      </c>
      <c r="D2247" t="s">
        <v>405</v>
      </c>
      <c r="E2247" t="s">
        <v>405</v>
      </c>
      <c r="F2247" s="122">
        <v>80</v>
      </c>
      <c r="G2247" s="122">
        <v>13717</v>
      </c>
      <c r="H2247" s="122">
        <v>15026</v>
      </c>
      <c r="I2247" s="122">
        <v>1515749</v>
      </c>
      <c r="J2247" s="122">
        <v>1377953</v>
      </c>
      <c r="K2247" s="122">
        <v>89</v>
      </c>
      <c r="L2247" s="122">
        <v>376204</v>
      </c>
      <c r="M2247" s="122">
        <v>345453</v>
      </c>
      <c r="N2247" s="122">
        <v>287581</v>
      </c>
      <c r="O2247" s="122">
        <v>106512</v>
      </c>
      <c r="P2247" s="122">
        <v>47434</v>
      </c>
      <c r="Q2247" s="122">
        <v>17568</v>
      </c>
      <c r="R2247" s="122">
        <v>430943</v>
      </c>
      <c r="S2247" s="122">
        <v>391766</v>
      </c>
      <c r="T2247" s="122">
        <v>6925</v>
      </c>
      <c r="U2247" s="122">
        <v>2565</v>
      </c>
      <c r="V2247" s="122">
        <v>2241817</v>
      </c>
      <c r="W2247" s="122">
        <f t="shared" si="70"/>
        <v>2241817</v>
      </c>
      <c r="X2247" s="122">
        <f t="shared" si="71"/>
        <v>2664836</v>
      </c>
      <c r="AA2247" t="s">
        <v>64</v>
      </c>
      <c r="AB2247" t="s">
        <v>137</v>
      </c>
      <c r="AC2247" t="s">
        <v>579</v>
      </c>
      <c r="AD2247" t="s">
        <v>406</v>
      </c>
      <c r="AE2247" t="s">
        <v>137</v>
      </c>
      <c r="AF2247">
        <v>1</v>
      </c>
      <c r="AG2247">
        <v>249</v>
      </c>
      <c r="AH2247" s="122">
        <v>535</v>
      </c>
      <c r="AI2247" s="122">
        <v>99069</v>
      </c>
      <c r="AJ2247" s="122">
        <v>36692</v>
      </c>
      <c r="AK2247">
        <v>100</v>
      </c>
      <c r="AL2247" s="122">
        <v>16308</v>
      </c>
      <c r="AM2247" s="122">
        <v>13590</v>
      </c>
      <c r="AN2247" s="122">
        <v>5612</v>
      </c>
      <c r="AO2247" s="122">
        <v>2079</v>
      </c>
      <c r="AP2247">
        <v>621</v>
      </c>
      <c r="AQ2247">
        <v>230</v>
      </c>
      <c r="AR2247" s="122">
        <v>7285</v>
      </c>
      <c r="AS2247" s="122">
        <v>6623</v>
      </c>
      <c r="AT2247" s="122">
        <v>4197</v>
      </c>
      <c r="AU2247" s="122">
        <v>1555</v>
      </c>
      <c r="AV2247" s="122">
        <v>60768</v>
      </c>
    </row>
    <row r="2248" spans="2:48" hidden="1">
      <c r="B2248" t="s">
        <v>378</v>
      </c>
      <c r="C2248" t="s">
        <v>56</v>
      </c>
      <c r="D2248" t="s">
        <v>405</v>
      </c>
      <c r="E2248" t="s">
        <v>137</v>
      </c>
      <c r="F2248" s="122">
        <v>1</v>
      </c>
      <c r="G2248" s="122">
        <v>166</v>
      </c>
      <c r="H2248" s="122">
        <v>175</v>
      </c>
      <c r="I2248" s="122">
        <v>18120</v>
      </c>
      <c r="J2248" s="122">
        <v>16473</v>
      </c>
      <c r="K2248" s="122">
        <v>83</v>
      </c>
      <c r="L2248" s="122">
        <v>2571</v>
      </c>
      <c r="M2248" s="122">
        <v>2337</v>
      </c>
      <c r="N2248" s="122">
        <v>3457</v>
      </c>
      <c r="O2248" s="122">
        <v>1280</v>
      </c>
      <c r="P2248" s="122">
        <v>473</v>
      </c>
      <c r="Q2248" s="122">
        <v>175</v>
      </c>
      <c r="R2248" s="122">
        <v>4406</v>
      </c>
      <c r="S2248" s="122">
        <v>1632</v>
      </c>
      <c r="T2248" s="122">
        <v>0</v>
      </c>
      <c r="U2248" s="122">
        <v>0</v>
      </c>
      <c r="V2248" s="122">
        <v>21897</v>
      </c>
      <c r="W2248" s="122">
        <f t="shared" si="70"/>
        <v>21897</v>
      </c>
      <c r="X2248" s="122">
        <f t="shared" si="71"/>
        <v>29027</v>
      </c>
      <c r="AA2248" t="s">
        <v>64</v>
      </c>
      <c r="AB2248" t="s">
        <v>137</v>
      </c>
      <c r="AC2248" t="s">
        <v>579</v>
      </c>
      <c r="AD2248" t="s">
        <v>406</v>
      </c>
      <c r="AE2248" t="s">
        <v>566</v>
      </c>
      <c r="AF2248">
        <v>3</v>
      </c>
      <c r="AG2248">
        <v>666</v>
      </c>
      <c r="AH2248" s="122">
        <v>1737</v>
      </c>
      <c r="AI2248" s="122">
        <v>295877</v>
      </c>
      <c r="AJ2248" s="122">
        <v>109584</v>
      </c>
      <c r="AK2248">
        <v>100</v>
      </c>
      <c r="AL2248" s="122">
        <v>48704</v>
      </c>
      <c r="AM2248" s="122">
        <v>40587</v>
      </c>
      <c r="AN2248" s="122">
        <v>15949</v>
      </c>
      <c r="AO2248" s="122">
        <v>5907</v>
      </c>
      <c r="AP2248" s="122">
        <v>621</v>
      </c>
      <c r="AQ2248">
        <v>230</v>
      </c>
      <c r="AR2248" s="122">
        <v>26349</v>
      </c>
      <c r="AS2248" s="122">
        <v>23953</v>
      </c>
      <c r="AT2248" s="122">
        <v>0</v>
      </c>
      <c r="AU2248" s="122">
        <v>0</v>
      </c>
      <c r="AV2248" s="122">
        <v>180261</v>
      </c>
    </row>
    <row r="2249" spans="2:48" hidden="1">
      <c r="B2249" t="s">
        <v>378</v>
      </c>
      <c r="C2249" t="s">
        <v>56</v>
      </c>
      <c r="D2249" t="s">
        <v>405</v>
      </c>
      <c r="E2249" t="s">
        <v>407</v>
      </c>
      <c r="F2249" s="122">
        <v>1</v>
      </c>
      <c r="G2249" s="122">
        <v>151</v>
      </c>
      <c r="H2249" s="122">
        <v>195</v>
      </c>
      <c r="I2249" s="122">
        <v>17883</v>
      </c>
      <c r="J2249" s="122">
        <v>16258</v>
      </c>
      <c r="K2249" s="122">
        <v>90</v>
      </c>
      <c r="L2249" s="122">
        <v>2845</v>
      </c>
      <c r="M2249" s="122">
        <v>2586</v>
      </c>
      <c r="N2249" s="122">
        <v>2079</v>
      </c>
      <c r="O2249" s="122">
        <v>770</v>
      </c>
      <c r="P2249" s="122">
        <v>473</v>
      </c>
      <c r="Q2249" s="122">
        <v>175</v>
      </c>
      <c r="R2249" s="122">
        <v>3196</v>
      </c>
      <c r="S2249" s="122">
        <v>2905</v>
      </c>
      <c r="T2249" s="122">
        <v>2941</v>
      </c>
      <c r="U2249" s="122">
        <v>1089</v>
      </c>
      <c r="V2249" s="122">
        <v>23783</v>
      </c>
      <c r="W2249" s="122">
        <f t="shared" si="70"/>
        <v>23783</v>
      </c>
      <c r="X2249" s="122">
        <f t="shared" si="71"/>
        <v>29417</v>
      </c>
      <c r="AA2249" t="s">
        <v>64</v>
      </c>
      <c r="AB2249" t="s">
        <v>137</v>
      </c>
      <c r="AC2249" t="s">
        <v>579</v>
      </c>
      <c r="AD2249" t="s">
        <v>579</v>
      </c>
      <c r="AE2249" t="s">
        <v>137</v>
      </c>
      <c r="AF2249">
        <v>8</v>
      </c>
      <c r="AG2249">
        <v>699</v>
      </c>
      <c r="AH2249" s="122">
        <v>5608</v>
      </c>
      <c r="AI2249" s="122">
        <v>330148</v>
      </c>
      <c r="AJ2249" s="122">
        <v>122277</v>
      </c>
      <c r="AK2249">
        <v>100</v>
      </c>
      <c r="AL2249" s="122">
        <v>61035</v>
      </c>
      <c r="AM2249" s="122">
        <v>50862</v>
      </c>
      <c r="AN2249" s="122">
        <v>14381</v>
      </c>
      <c r="AO2249" s="122">
        <v>5326</v>
      </c>
      <c r="AP2249" s="122">
        <v>2376</v>
      </c>
      <c r="AQ2249">
        <v>880</v>
      </c>
      <c r="AR2249" s="122">
        <v>50097</v>
      </c>
      <c r="AS2249" s="122">
        <v>41747</v>
      </c>
      <c r="AT2249" s="122">
        <v>14448</v>
      </c>
      <c r="AU2249" s="122">
        <v>5351</v>
      </c>
      <c r="AV2249" s="122">
        <v>226444</v>
      </c>
    </row>
    <row r="2250" spans="2:48" hidden="1">
      <c r="B2250" t="s">
        <v>378</v>
      </c>
      <c r="C2250" t="s">
        <v>56</v>
      </c>
      <c r="D2250" t="s">
        <v>137</v>
      </c>
      <c r="E2250" t="s">
        <v>137</v>
      </c>
      <c r="F2250" s="122">
        <v>20</v>
      </c>
      <c r="G2250" s="122">
        <v>4321</v>
      </c>
      <c r="H2250" s="122">
        <v>3569</v>
      </c>
      <c r="I2250" s="122">
        <v>429466</v>
      </c>
      <c r="J2250" s="122">
        <v>159062</v>
      </c>
      <c r="K2250" s="122">
        <v>238</v>
      </c>
      <c r="L2250" s="122">
        <v>102041</v>
      </c>
      <c r="M2250" s="122">
        <v>90840</v>
      </c>
      <c r="N2250" s="122">
        <v>83205</v>
      </c>
      <c r="O2250" s="122">
        <v>30817</v>
      </c>
      <c r="P2250" s="122">
        <v>16607</v>
      </c>
      <c r="Q2250" s="122">
        <v>6151</v>
      </c>
      <c r="R2250" s="122">
        <v>166579</v>
      </c>
      <c r="S2250" s="122">
        <v>61696</v>
      </c>
      <c r="T2250" s="122">
        <v>0</v>
      </c>
      <c r="U2250" s="122">
        <v>0</v>
      </c>
      <c r="V2250" s="122">
        <v>348565</v>
      </c>
      <c r="W2250" s="122">
        <f t="shared" si="70"/>
        <v>348566</v>
      </c>
      <c r="X2250" s="122">
        <f t="shared" si="71"/>
        <v>797898</v>
      </c>
      <c r="AA2250" t="s">
        <v>64</v>
      </c>
      <c r="AB2250" t="s">
        <v>137</v>
      </c>
      <c r="AC2250" t="s">
        <v>579</v>
      </c>
      <c r="AD2250" t="s">
        <v>579</v>
      </c>
      <c r="AE2250" t="s">
        <v>566</v>
      </c>
      <c r="AF2250">
        <v>2</v>
      </c>
      <c r="AG2250">
        <v>133</v>
      </c>
      <c r="AH2250" s="122">
        <v>1551</v>
      </c>
      <c r="AI2250" s="122">
        <v>83145</v>
      </c>
      <c r="AJ2250" s="122">
        <v>30794</v>
      </c>
      <c r="AK2250">
        <v>100</v>
      </c>
      <c r="AL2250" s="122">
        <v>7453</v>
      </c>
      <c r="AM2250" s="122">
        <v>6211</v>
      </c>
      <c r="AN2250" s="122">
        <v>3246</v>
      </c>
      <c r="AO2250" s="122">
        <v>1202</v>
      </c>
      <c r="AP2250">
        <v>0</v>
      </c>
      <c r="AQ2250">
        <v>0</v>
      </c>
      <c r="AR2250" s="122">
        <v>8910</v>
      </c>
      <c r="AS2250" s="122">
        <v>7425</v>
      </c>
      <c r="AT2250" s="122">
        <v>0</v>
      </c>
      <c r="AU2250" s="122">
        <v>0</v>
      </c>
      <c r="AV2250" s="122">
        <v>45632</v>
      </c>
    </row>
    <row r="2251" spans="2:48" hidden="1">
      <c r="B2251" t="s">
        <v>378</v>
      </c>
      <c r="C2251" t="s">
        <v>56</v>
      </c>
      <c r="D2251" t="s">
        <v>406</v>
      </c>
      <c r="E2251" t="s">
        <v>425</v>
      </c>
      <c r="F2251" s="122">
        <v>1</v>
      </c>
      <c r="G2251" s="122">
        <v>216</v>
      </c>
      <c r="H2251" s="122">
        <v>195</v>
      </c>
      <c r="I2251" s="122">
        <v>24519</v>
      </c>
      <c r="J2251" s="122">
        <v>22290</v>
      </c>
      <c r="K2251" s="122">
        <v>86</v>
      </c>
      <c r="L2251" s="122">
        <v>3696</v>
      </c>
      <c r="M2251" s="122">
        <v>3360</v>
      </c>
      <c r="N2251" s="122">
        <v>4608</v>
      </c>
      <c r="O2251" s="122">
        <v>1707</v>
      </c>
      <c r="P2251" s="122">
        <v>621</v>
      </c>
      <c r="Q2251" s="122">
        <v>230</v>
      </c>
      <c r="R2251" s="122">
        <v>4965</v>
      </c>
      <c r="S2251" s="122">
        <v>4514</v>
      </c>
      <c r="T2251" s="122">
        <v>3800</v>
      </c>
      <c r="U2251" s="122">
        <v>1408</v>
      </c>
      <c r="V2251" s="122">
        <v>33508</v>
      </c>
      <c r="W2251" s="122">
        <f t="shared" si="70"/>
        <v>33509</v>
      </c>
      <c r="X2251" s="122">
        <f t="shared" si="71"/>
        <v>42209</v>
      </c>
      <c r="AA2251" t="s">
        <v>64</v>
      </c>
      <c r="AB2251" t="s">
        <v>137</v>
      </c>
      <c r="AC2251" t="s">
        <v>579</v>
      </c>
      <c r="AD2251" t="s">
        <v>426</v>
      </c>
      <c r="AE2251" t="s">
        <v>137</v>
      </c>
      <c r="AF2251">
        <v>2</v>
      </c>
      <c r="AG2251">
        <v>161</v>
      </c>
      <c r="AH2251" s="122">
        <v>2408</v>
      </c>
      <c r="AI2251" s="122">
        <v>154719</v>
      </c>
      <c r="AJ2251" s="122">
        <v>57303</v>
      </c>
      <c r="AK2251">
        <v>100</v>
      </c>
      <c r="AL2251" s="122">
        <v>21046</v>
      </c>
      <c r="AM2251" s="122">
        <v>17538</v>
      </c>
      <c r="AN2251" s="122">
        <v>3920</v>
      </c>
      <c r="AO2251" s="122">
        <v>1452</v>
      </c>
      <c r="AP2251">
        <v>0</v>
      </c>
      <c r="AQ2251">
        <v>0</v>
      </c>
      <c r="AR2251" s="122">
        <v>6711</v>
      </c>
      <c r="AS2251" s="122">
        <v>6101</v>
      </c>
      <c r="AT2251" s="122">
        <v>3451</v>
      </c>
      <c r="AU2251" s="122">
        <v>1278</v>
      </c>
      <c r="AV2251" s="122">
        <v>83672</v>
      </c>
    </row>
    <row r="2252" spans="2:48" hidden="1">
      <c r="B2252" t="s">
        <v>378</v>
      </c>
      <c r="C2252" t="s">
        <v>56</v>
      </c>
      <c r="D2252" t="s">
        <v>406</v>
      </c>
      <c r="E2252" t="s">
        <v>137</v>
      </c>
      <c r="F2252" s="122">
        <v>3</v>
      </c>
      <c r="G2252" s="122">
        <v>661</v>
      </c>
      <c r="H2252" s="122">
        <v>588</v>
      </c>
      <c r="I2252" s="122">
        <v>68668</v>
      </c>
      <c r="J2252" s="122">
        <v>62426</v>
      </c>
      <c r="K2252" s="122">
        <v>85</v>
      </c>
      <c r="L2252" s="122">
        <v>19169</v>
      </c>
      <c r="M2252" s="122">
        <v>15077</v>
      </c>
      <c r="N2252" s="122">
        <v>13352</v>
      </c>
      <c r="O2252" s="122">
        <v>4945</v>
      </c>
      <c r="P2252" s="122">
        <v>1512</v>
      </c>
      <c r="Q2252" s="122">
        <v>560</v>
      </c>
      <c r="R2252" s="122">
        <v>27074</v>
      </c>
      <c r="S2252" s="122">
        <v>10027</v>
      </c>
      <c r="T2252" s="122">
        <v>0</v>
      </c>
      <c r="U2252" s="122">
        <v>0</v>
      </c>
      <c r="V2252" s="122">
        <v>93035</v>
      </c>
      <c r="W2252" s="122">
        <f t="shared" si="70"/>
        <v>93035</v>
      </c>
      <c r="X2252" s="122">
        <f t="shared" si="71"/>
        <v>129775</v>
      </c>
      <c r="AA2252" t="s">
        <v>64</v>
      </c>
      <c r="AB2252" t="s">
        <v>137</v>
      </c>
      <c r="AC2252" t="s">
        <v>428</v>
      </c>
      <c r="AD2252" t="s">
        <v>137</v>
      </c>
      <c r="AE2252" t="s">
        <v>137</v>
      </c>
      <c r="AF2252">
        <v>2</v>
      </c>
      <c r="AG2252" s="122">
        <v>187</v>
      </c>
      <c r="AH2252" s="122">
        <v>1207</v>
      </c>
      <c r="AI2252" s="122">
        <v>75912</v>
      </c>
      <c r="AJ2252" s="122">
        <v>28115</v>
      </c>
      <c r="AK2252">
        <v>100</v>
      </c>
      <c r="AL2252" s="122">
        <v>11188</v>
      </c>
      <c r="AM2252" s="122">
        <v>10171</v>
      </c>
      <c r="AN2252" s="122">
        <v>4226</v>
      </c>
      <c r="AO2252" s="122">
        <v>1565</v>
      </c>
      <c r="AP2252" s="122">
        <v>0</v>
      </c>
      <c r="AQ2252">
        <v>0</v>
      </c>
      <c r="AR2252" s="122">
        <v>16330</v>
      </c>
      <c r="AS2252" s="122">
        <v>6048</v>
      </c>
      <c r="AT2252">
        <v>0</v>
      </c>
      <c r="AU2252">
        <v>0</v>
      </c>
      <c r="AV2252" s="122">
        <v>45899</v>
      </c>
    </row>
    <row r="2253" spans="2:48" hidden="1">
      <c r="B2253" t="s">
        <v>378</v>
      </c>
      <c r="C2253" t="s">
        <v>56</v>
      </c>
      <c r="D2253" t="s">
        <v>406</v>
      </c>
      <c r="E2253" t="s">
        <v>406</v>
      </c>
      <c r="F2253" s="122">
        <v>2873</v>
      </c>
      <c r="G2253" s="122">
        <v>491833</v>
      </c>
      <c r="H2253" s="122">
        <v>546436</v>
      </c>
      <c r="I2253" s="122">
        <v>54991591</v>
      </c>
      <c r="J2253" s="122">
        <v>49992356</v>
      </c>
      <c r="K2253" s="122">
        <v>86</v>
      </c>
      <c r="L2253" s="122">
        <v>12533174</v>
      </c>
      <c r="M2253" s="122">
        <v>11095755</v>
      </c>
      <c r="N2253" s="122">
        <v>10112419</v>
      </c>
      <c r="O2253" s="122">
        <v>3745340</v>
      </c>
      <c r="P2253" s="122">
        <v>1900274</v>
      </c>
      <c r="Q2253" s="122">
        <v>703805</v>
      </c>
      <c r="R2253" s="122">
        <v>15679993</v>
      </c>
      <c r="S2253" s="122">
        <v>14254539</v>
      </c>
      <c r="T2253" s="122">
        <v>2738980</v>
      </c>
      <c r="U2253" s="122">
        <v>1014437</v>
      </c>
      <c r="V2253" s="122">
        <v>80806233</v>
      </c>
      <c r="W2253" s="122">
        <f t="shared" si="70"/>
        <v>80806232</v>
      </c>
      <c r="X2253" s="122">
        <f t="shared" si="71"/>
        <v>97956431</v>
      </c>
      <c r="AA2253" t="s">
        <v>64</v>
      </c>
      <c r="AB2253" t="s">
        <v>137</v>
      </c>
      <c r="AC2253" t="s">
        <v>428</v>
      </c>
      <c r="AD2253" t="s">
        <v>137</v>
      </c>
      <c r="AE2253" t="s">
        <v>566</v>
      </c>
      <c r="AF2253">
        <v>21</v>
      </c>
      <c r="AG2253" s="122">
        <v>1817</v>
      </c>
      <c r="AH2253" s="122">
        <v>15653</v>
      </c>
      <c r="AI2253" s="122">
        <v>986915</v>
      </c>
      <c r="AJ2253" s="122">
        <v>365524</v>
      </c>
      <c r="AK2253">
        <v>100</v>
      </c>
      <c r="AL2253" s="122">
        <v>144383</v>
      </c>
      <c r="AM2253" s="122">
        <v>131257</v>
      </c>
      <c r="AN2253" s="122">
        <v>38276</v>
      </c>
      <c r="AO2253" s="122">
        <v>14176</v>
      </c>
      <c r="AP2253" s="122">
        <v>1456</v>
      </c>
      <c r="AQ2253">
        <v>539</v>
      </c>
      <c r="AR2253" s="122">
        <v>147485</v>
      </c>
      <c r="AS2253" s="122">
        <v>54624</v>
      </c>
      <c r="AT2253" s="122">
        <v>0</v>
      </c>
      <c r="AU2253">
        <v>0</v>
      </c>
      <c r="AV2253" s="122">
        <v>566121</v>
      </c>
    </row>
    <row r="2254" spans="2:48" hidden="1">
      <c r="B2254" t="s">
        <v>378</v>
      </c>
      <c r="C2254" t="s">
        <v>56</v>
      </c>
      <c r="D2254" t="s">
        <v>406</v>
      </c>
      <c r="E2254" t="s">
        <v>407</v>
      </c>
      <c r="F2254" s="122">
        <v>3</v>
      </c>
      <c r="G2254" s="122">
        <v>505</v>
      </c>
      <c r="H2254" s="122">
        <v>577</v>
      </c>
      <c r="I2254" s="122">
        <v>69630</v>
      </c>
      <c r="J2254" s="122">
        <v>63300</v>
      </c>
      <c r="K2254" s="122">
        <v>80</v>
      </c>
      <c r="L2254" s="122">
        <v>14713</v>
      </c>
      <c r="M2254" s="122">
        <v>13066</v>
      </c>
      <c r="N2254" s="122">
        <v>13704</v>
      </c>
      <c r="O2254" s="122">
        <v>5075</v>
      </c>
      <c r="P2254" s="122">
        <v>1863</v>
      </c>
      <c r="Q2254" s="122">
        <v>690</v>
      </c>
      <c r="R2254" s="122">
        <v>21453</v>
      </c>
      <c r="S2254" s="122">
        <v>19503</v>
      </c>
      <c r="T2254" s="122">
        <v>0</v>
      </c>
      <c r="U2254" s="122">
        <v>0</v>
      </c>
      <c r="V2254" s="122">
        <v>101634</v>
      </c>
      <c r="W2254" s="122">
        <f t="shared" si="70"/>
        <v>101634</v>
      </c>
      <c r="X2254" s="122">
        <f t="shared" si="71"/>
        <v>121363</v>
      </c>
      <c r="AA2254" t="s">
        <v>64</v>
      </c>
      <c r="AB2254" t="s">
        <v>137</v>
      </c>
      <c r="AC2254" t="s">
        <v>428</v>
      </c>
      <c r="AD2254" t="s">
        <v>428</v>
      </c>
      <c r="AE2254" t="s">
        <v>137</v>
      </c>
      <c r="AF2254">
        <v>1</v>
      </c>
      <c r="AG2254">
        <v>96</v>
      </c>
      <c r="AH2254">
        <v>528</v>
      </c>
      <c r="AI2254" s="122">
        <v>32380</v>
      </c>
      <c r="AJ2254" s="122">
        <v>11993</v>
      </c>
      <c r="AK2254">
        <v>100</v>
      </c>
      <c r="AL2254" s="122">
        <v>7329</v>
      </c>
      <c r="AM2254" s="122">
        <v>6663</v>
      </c>
      <c r="AN2254" s="122">
        <v>1170</v>
      </c>
      <c r="AO2254" s="122">
        <v>433</v>
      </c>
      <c r="AP2254">
        <v>0</v>
      </c>
      <c r="AQ2254">
        <v>0</v>
      </c>
      <c r="AR2254" s="122">
        <v>7219</v>
      </c>
      <c r="AS2254" s="122">
        <v>6563</v>
      </c>
      <c r="AT2254" s="122">
        <v>2644</v>
      </c>
      <c r="AU2254">
        <v>979</v>
      </c>
      <c r="AV2254" s="122">
        <v>26631</v>
      </c>
    </row>
    <row r="2255" spans="2:48" hidden="1">
      <c r="B2255" t="s">
        <v>378</v>
      </c>
      <c r="C2255" t="s">
        <v>56</v>
      </c>
      <c r="D2255" t="s">
        <v>406</v>
      </c>
      <c r="E2255" t="s">
        <v>426</v>
      </c>
      <c r="F2255" s="122">
        <v>1</v>
      </c>
      <c r="G2255" s="122">
        <v>210</v>
      </c>
      <c r="H2255" s="122">
        <v>186</v>
      </c>
      <c r="I2255" s="122">
        <v>26549</v>
      </c>
      <c r="J2255" s="122">
        <v>24136</v>
      </c>
      <c r="K2255" s="122">
        <v>79</v>
      </c>
      <c r="L2255" s="122">
        <v>3687</v>
      </c>
      <c r="M2255" s="122">
        <v>3352</v>
      </c>
      <c r="N2255" s="122">
        <v>4368</v>
      </c>
      <c r="O2255" s="122">
        <v>1618</v>
      </c>
      <c r="P2255" s="122">
        <v>621</v>
      </c>
      <c r="Q2255" s="122">
        <v>230</v>
      </c>
      <c r="R2255" s="122">
        <v>3087</v>
      </c>
      <c r="S2255" s="122">
        <v>2806</v>
      </c>
      <c r="T2255" s="122">
        <v>621</v>
      </c>
      <c r="U2255" s="122">
        <v>230</v>
      </c>
      <c r="V2255" s="122">
        <v>32372</v>
      </c>
      <c r="W2255" s="122">
        <f t="shared" si="70"/>
        <v>32372</v>
      </c>
      <c r="X2255" s="122">
        <f t="shared" si="71"/>
        <v>38933</v>
      </c>
      <c r="AA2255" t="s">
        <v>64</v>
      </c>
      <c r="AB2255" t="s">
        <v>137</v>
      </c>
      <c r="AC2255" t="s">
        <v>428</v>
      </c>
      <c r="AD2255" t="s">
        <v>428</v>
      </c>
      <c r="AE2255" t="s">
        <v>566</v>
      </c>
      <c r="AF2255">
        <v>1</v>
      </c>
      <c r="AG2255">
        <v>150</v>
      </c>
      <c r="AH2255" s="122">
        <v>656</v>
      </c>
      <c r="AI2255" s="122">
        <v>75925</v>
      </c>
      <c r="AJ2255" s="122">
        <v>28120</v>
      </c>
      <c r="AK2255">
        <v>100</v>
      </c>
      <c r="AL2255" s="122">
        <v>5728</v>
      </c>
      <c r="AM2255" s="122">
        <v>5207</v>
      </c>
      <c r="AN2255" s="122">
        <v>3472</v>
      </c>
      <c r="AO2255" s="122">
        <v>1286</v>
      </c>
      <c r="AP2255">
        <v>0</v>
      </c>
      <c r="AQ2255">
        <v>0</v>
      </c>
      <c r="AR2255" s="122">
        <v>13222</v>
      </c>
      <c r="AS2255" s="122">
        <v>12020</v>
      </c>
      <c r="AT2255" s="122">
        <v>0</v>
      </c>
      <c r="AU2255">
        <v>0</v>
      </c>
      <c r="AV2255" s="122">
        <v>46634</v>
      </c>
    </row>
    <row r="2256" spans="2:48" hidden="1">
      <c r="B2256" t="s">
        <v>378</v>
      </c>
      <c r="C2256" t="s">
        <v>56</v>
      </c>
      <c r="D2256" t="s">
        <v>407</v>
      </c>
      <c r="E2256" t="s">
        <v>137</v>
      </c>
      <c r="F2256" s="122">
        <v>1</v>
      </c>
      <c r="G2256" s="122">
        <v>143</v>
      </c>
      <c r="H2256" s="122">
        <v>180</v>
      </c>
      <c r="I2256" s="122">
        <v>15404</v>
      </c>
      <c r="J2256" s="122">
        <v>14004</v>
      </c>
      <c r="K2256" s="122">
        <v>73</v>
      </c>
      <c r="L2256" s="122">
        <v>0</v>
      </c>
      <c r="M2256" s="122">
        <v>0</v>
      </c>
      <c r="N2256" s="122">
        <v>3483</v>
      </c>
      <c r="O2256" s="122">
        <v>1290</v>
      </c>
      <c r="P2256" s="122">
        <v>473</v>
      </c>
      <c r="Q2256" s="122">
        <v>175</v>
      </c>
      <c r="R2256" s="122">
        <v>6428</v>
      </c>
      <c r="S2256" s="122">
        <v>2381</v>
      </c>
      <c r="T2256" s="122">
        <v>0</v>
      </c>
      <c r="U2256" s="122">
        <v>0</v>
      </c>
      <c r="V2256" s="122">
        <v>17849</v>
      </c>
      <c r="W2256" s="122">
        <f t="shared" si="70"/>
        <v>17850</v>
      </c>
      <c r="X2256" s="122">
        <f t="shared" si="71"/>
        <v>25788</v>
      </c>
      <c r="AA2256" t="s">
        <v>64</v>
      </c>
      <c r="AB2256" t="s">
        <v>137</v>
      </c>
      <c r="AC2256" t="s">
        <v>431</v>
      </c>
      <c r="AD2256" t="s">
        <v>137</v>
      </c>
      <c r="AE2256" t="s">
        <v>137</v>
      </c>
      <c r="AF2256">
        <v>5</v>
      </c>
      <c r="AG2256" s="122">
        <v>330</v>
      </c>
      <c r="AH2256" s="122">
        <v>4566</v>
      </c>
      <c r="AI2256" s="122">
        <v>211101</v>
      </c>
      <c r="AJ2256" s="122">
        <v>78186</v>
      </c>
      <c r="AK2256">
        <v>100</v>
      </c>
      <c r="AL2256" s="122">
        <v>34142</v>
      </c>
      <c r="AM2256" s="122">
        <v>31038</v>
      </c>
      <c r="AN2256" s="122">
        <v>7463</v>
      </c>
      <c r="AO2256" s="122">
        <v>2764</v>
      </c>
      <c r="AP2256">
        <v>0</v>
      </c>
      <c r="AQ2256">
        <v>0</v>
      </c>
      <c r="AR2256" s="122">
        <v>36127</v>
      </c>
      <c r="AS2256" s="122">
        <v>13380</v>
      </c>
      <c r="AT2256" s="122">
        <v>1487</v>
      </c>
      <c r="AU2256">
        <v>551</v>
      </c>
      <c r="AV2256" s="122">
        <v>125919</v>
      </c>
    </row>
    <row r="2257" spans="2:48" hidden="1">
      <c r="B2257" t="s">
        <v>378</v>
      </c>
      <c r="C2257" t="s">
        <v>56</v>
      </c>
      <c r="D2257" t="s">
        <v>407</v>
      </c>
      <c r="E2257" t="s">
        <v>407</v>
      </c>
      <c r="F2257" s="122">
        <v>1469</v>
      </c>
      <c r="G2257" s="122">
        <v>232077</v>
      </c>
      <c r="H2257" s="122">
        <v>271212</v>
      </c>
      <c r="I2257" s="122">
        <v>22876968</v>
      </c>
      <c r="J2257" s="122">
        <v>20797244</v>
      </c>
      <c r="K2257" s="122">
        <v>84</v>
      </c>
      <c r="L2257" s="122">
        <v>6721766</v>
      </c>
      <c r="M2257" s="122">
        <v>5943622</v>
      </c>
      <c r="N2257" s="122">
        <v>4606278</v>
      </c>
      <c r="O2257" s="122">
        <v>1706029</v>
      </c>
      <c r="P2257" s="122">
        <v>704121</v>
      </c>
      <c r="Q2257" s="122">
        <v>260786</v>
      </c>
      <c r="R2257" s="122">
        <v>8256384</v>
      </c>
      <c r="S2257" s="122">
        <v>7505803</v>
      </c>
      <c r="T2257" s="122">
        <v>633724</v>
      </c>
      <c r="U2257" s="122">
        <v>234712</v>
      </c>
      <c r="V2257" s="122">
        <v>36448196</v>
      </c>
      <c r="W2257" s="122">
        <f t="shared" si="70"/>
        <v>36448196</v>
      </c>
      <c r="X2257" s="122">
        <f t="shared" si="71"/>
        <v>43799241</v>
      </c>
      <c r="AA2257" t="s">
        <v>64</v>
      </c>
      <c r="AB2257" t="s">
        <v>137</v>
      </c>
      <c r="AC2257" t="s">
        <v>431</v>
      </c>
      <c r="AD2257" t="s">
        <v>137</v>
      </c>
      <c r="AE2257" t="s">
        <v>566</v>
      </c>
      <c r="AF2257">
        <v>49</v>
      </c>
      <c r="AG2257" s="122">
        <v>4059</v>
      </c>
      <c r="AH2257" s="122">
        <v>40976</v>
      </c>
      <c r="AI2257" s="122">
        <v>2526787</v>
      </c>
      <c r="AJ2257" s="122">
        <v>935847</v>
      </c>
      <c r="AK2257">
        <v>100</v>
      </c>
      <c r="AL2257" s="122">
        <v>387581</v>
      </c>
      <c r="AM2257" s="122">
        <v>352346</v>
      </c>
      <c r="AN2257" s="122">
        <v>92596</v>
      </c>
      <c r="AO2257" s="122">
        <v>34295</v>
      </c>
      <c r="AP2257">
        <v>972</v>
      </c>
      <c r="AQ2257">
        <v>360</v>
      </c>
      <c r="AR2257" s="122">
        <v>350390</v>
      </c>
      <c r="AS2257" s="122">
        <v>129774</v>
      </c>
      <c r="AT2257" s="122">
        <v>0</v>
      </c>
      <c r="AU2257" s="122">
        <v>0</v>
      </c>
      <c r="AV2257" s="122">
        <v>1452622</v>
      </c>
    </row>
    <row r="2258" spans="2:48" hidden="1">
      <c r="B2258" t="s">
        <v>378</v>
      </c>
      <c r="C2258" t="s">
        <v>56</v>
      </c>
      <c r="D2258" t="s">
        <v>431</v>
      </c>
      <c r="E2258" t="s">
        <v>431</v>
      </c>
      <c r="F2258" s="122">
        <v>1</v>
      </c>
      <c r="G2258" s="122">
        <v>224</v>
      </c>
      <c r="H2258" s="122">
        <v>222</v>
      </c>
      <c r="I2258" s="122">
        <v>28226</v>
      </c>
      <c r="J2258" s="122">
        <v>25660</v>
      </c>
      <c r="K2258" s="122">
        <v>65</v>
      </c>
      <c r="L2258" s="122">
        <v>6795</v>
      </c>
      <c r="M2258" s="122">
        <v>6177</v>
      </c>
      <c r="N2258" s="122">
        <v>4558</v>
      </c>
      <c r="O2258" s="122">
        <v>1688</v>
      </c>
      <c r="P2258" s="122">
        <v>351</v>
      </c>
      <c r="Q2258" s="122">
        <v>130</v>
      </c>
      <c r="R2258" s="122">
        <v>6134</v>
      </c>
      <c r="S2258" s="122">
        <v>5576</v>
      </c>
      <c r="T2258" s="122">
        <v>3733</v>
      </c>
      <c r="U2258" s="122">
        <v>1383</v>
      </c>
      <c r="V2258" s="122">
        <v>40615</v>
      </c>
      <c r="W2258" s="122">
        <f t="shared" si="70"/>
        <v>40614</v>
      </c>
      <c r="X2258" s="122">
        <f t="shared" si="71"/>
        <v>49797</v>
      </c>
      <c r="AA2258" t="s">
        <v>64</v>
      </c>
      <c r="AB2258" t="s">
        <v>137</v>
      </c>
      <c r="AC2258" t="s">
        <v>431</v>
      </c>
      <c r="AD2258" t="s">
        <v>431</v>
      </c>
      <c r="AE2258" t="s">
        <v>137</v>
      </c>
      <c r="AF2258">
        <v>19</v>
      </c>
      <c r="AG2258" s="122">
        <v>1765</v>
      </c>
      <c r="AH2258" s="122">
        <v>13899</v>
      </c>
      <c r="AI2258" s="122">
        <v>997699</v>
      </c>
      <c r="AJ2258" s="122">
        <v>369518</v>
      </c>
      <c r="AK2258">
        <v>98</v>
      </c>
      <c r="AL2258" s="122">
        <v>117994</v>
      </c>
      <c r="AM2258" s="122">
        <v>107267</v>
      </c>
      <c r="AN2258" s="122">
        <v>37979</v>
      </c>
      <c r="AO2258" s="122">
        <v>14066</v>
      </c>
      <c r="AP2258">
        <v>702</v>
      </c>
      <c r="AQ2258">
        <v>260</v>
      </c>
      <c r="AR2258" s="122">
        <v>114068</v>
      </c>
      <c r="AS2258" s="122">
        <v>103698</v>
      </c>
      <c r="AT2258" s="122">
        <v>49107</v>
      </c>
      <c r="AU2258" s="122">
        <v>18188</v>
      </c>
      <c r="AV2258" s="122">
        <v>612998</v>
      </c>
    </row>
    <row r="2259" spans="2:48" hidden="1">
      <c r="B2259" t="s">
        <v>378</v>
      </c>
      <c r="C2259" t="s">
        <v>56</v>
      </c>
      <c r="D2259" t="s">
        <v>426</v>
      </c>
      <c r="E2259" t="s">
        <v>426</v>
      </c>
      <c r="F2259" s="122">
        <v>2</v>
      </c>
      <c r="G2259" s="122">
        <v>316</v>
      </c>
      <c r="H2259" s="122">
        <v>429</v>
      </c>
      <c r="I2259" s="122">
        <v>48715</v>
      </c>
      <c r="J2259" s="122">
        <v>44286</v>
      </c>
      <c r="K2259" s="122">
        <v>70</v>
      </c>
      <c r="L2259" s="122">
        <v>10321</v>
      </c>
      <c r="M2259" s="122">
        <v>9383</v>
      </c>
      <c r="N2259" s="122">
        <v>8346</v>
      </c>
      <c r="O2259" s="122">
        <v>3091</v>
      </c>
      <c r="P2259" s="122">
        <v>702</v>
      </c>
      <c r="Q2259" s="122">
        <v>260</v>
      </c>
      <c r="R2259" s="122">
        <v>10380</v>
      </c>
      <c r="S2259" s="122">
        <v>9437</v>
      </c>
      <c r="T2259" s="122">
        <v>7136</v>
      </c>
      <c r="U2259" s="122">
        <v>2643</v>
      </c>
      <c r="V2259" s="122">
        <v>69100</v>
      </c>
      <c r="W2259" s="122">
        <f t="shared" si="70"/>
        <v>69100</v>
      </c>
      <c r="X2259" s="122">
        <f t="shared" si="71"/>
        <v>85600</v>
      </c>
      <c r="AA2259" t="s">
        <v>64</v>
      </c>
      <c r="AB2259" t="s">
        <v>137</v>
      </c>
      <c r="AC2259" t="s">
        <v>431</v>
      </c>
      <c r="AD2259" t="s">
        <v>431</v>
      </c>
      <c r="AE2259" t="s">
        <v>566</v>
      </c>
      <c r="AF2259">
        <v>5</v>
      </c>
      <c r="AG2259">
        <v>390</v>
      </c>
      <c r="AH2259" s="122">
        <v>3795</v>
      </c>
      <c r="AI2259" s="122">
        <v>227080</v>
      </c>
      <c r="AJ2259" s="122">
        <v>84104</v>
      </c>
      <c r="AK2259">
        <v>100</v>
      </c>
      <c r="AL2259" s="122">
        <v>26544</v>
      </c>
      <c r="AM2259" s="122">
        <v>24131</v>
      </c>
      <c r="AN2259" s="122">
        <v>7806</v>
      </c>
      <c r="AO2259" s="122">
        <v>2891</v>
      </c>
      <c r="AP2259">
        <v>621</v>
      </c>
      <c r="AQ2259">
        <v>230</v>
      </c>
      <c r="AR2259" s="122">
        <v>38497</v>
      </c>
      <c r="AS2259" s="122">
        <v>34997</v>
      </c>
      <c r="AT2259">
        <v>0</v>
      </c>
      <c r="AU2259">
        <v>0</v>
      </c>
      <c r="AV2259" s="122">
        <v>146354</v>
      </c>
    </row>
    <row r="2260" spans="2:48" hidden="1">
      <c r="B2260" t="s">
        <v>378</v>
      </c>
      <c r="C2260" t="s">
        <v>56</v>
      </c>
      <c r="D2260" t="s">
        <v>408</v>
      </c>
      <c r="E2260" t="s">
        <v>137</v>
      </c>
      <c r="F2260" s="122">
        <v>1</v>
      </c>
      <c r="G2260" s="122">
        <v>211</v>
      </c>
      <c r="H2260" s="122">
        <v>170</v>
      </c>
      <c r="I2260" s="122">
        <v>21350</v>
      </c>
      <c r="J2260" s="122">
        <v>19409</v>
      </c>
      <c r="K2260" s="122">
        <v>86</v>
      </c>
      <c r="L2260" s="122">
        <v>3709</v>
      </c>
      <c r="M2260" s="122">
        <v>3091</v>
      </c>
      <c r="N2260" s="122">
        <v>4043</v>
      </c>
      <c r="O2260" s="122">
        <v>1497</v>
      </c>
      <c r="P2260" s="122">
        <v>621</v>
      </c>
      <c r="Q2260" s="122">
        <v>230</v>
      </c>
      <c r="R2260" s="122">
        <v>6268</v>
      </c>
      <c r="S2260" s="122">
        <v>2321</v>
      </c>
      <c r="T2260" s="122">
        <v>0</v>
      </c>
      <c r="U2260" s="122">
        <v>0</v>
      </c>
      <c r="V2260" s="122">
        <v>26549</v>
      </c>
      <c r="W2260" s="122">
        <f t="shared" si="70"/>
        <v>26548</v>
      </c>
      <c r="X2260" s="122">
        <f t="shared" si="71"/>
        <v>35991</v>
      </c>
      <c r="AA2260" t="s">
        <v>64</v>
      </c>
      <c r="AB2260" t="s">
        <v>137</v>
      </c>
      <c r="AC2260" t="s">
        <v>426</v>
      </c>
      <c r="AD2260" t="s">
        <v>403</v>
      </c>
      <c r="AE2260" t="s">
        <v>566</v>
      </c>
      <c r="AF2260">
        <v>2</v>
      </c>
      <c r="AG2260">
        <v>270</v>
      </c>
      <c r="AH2260" s="122">
        <v>1409</v>
      </c>
      <c r="AI2260" s="122">
        <v>166795</v>
      </c>
      <c r="AJ2260" s="122">
        <v>61776</v>
      </c>
      <c r="AK2260">
        <v>100</v>
      </c>
      <c r="AL2260" s="122">
        <v>14680</v>
      </c>
      <c r="AM2260" s="122">
        <v>13345</v>
      </c>
      <c r="AN2260" s="122">
        <v>6582</v>
      </c>
      <c r="AO2260" s="122">
        <v>2438</v>
      </c>
      <c r="AP2260">
        <v>0</v>
      </c>
      <c r="AQ2260">
        <v>0</v>
      </c>
      <c r="AR2260" s="122">
        <v>17798</v>
      </c>
      <c r="AS2260" s="122">
        <v>6592</v>
      </c>
      <c r="AT2260">
        <v>0</v>
      </c>
      <c r="AU2260">
        <v>0</v>
      </c>
      <c r="AV2260" s="122">
        <v>84151</v>
      </c>
    </row>
    <row r="2261" spans="2:48" hidden="1">
      <c r="B2261" t="s">
        <v>378</v>
      </c>
      <c r="C2261" t="s">
        <v>56</v>
      </c>
      <c r="D2261" t="s">
        <v>408</v>
      </c>
      <c r="E2261" t="s">
        <v>408</v>
      </c>
      <c r="F2261" s="122">
        <v>22</v>
      </c>
      <c r="G2261" s="122">
        <v>4933</v>
      </c>
      <c r="H2261" s="122">
        <v>4194</v>
      </c>
      <c r="I2261" s="122">
        <v>584860</v>
      </c>
      <c r="J2261" s="122">
        <v>531691</v>
      </c>
      <c r="K2261" s="122">
        <v>73</v>
      </c>
      <c r="L2261" s="122">
        <v>110074</v>
      </c>
      <c r="M2261" s="122">
        <v>95834</v>
      </c>
      <c r="N2261" s="122">
        <v>95751</v>
      </c>
      <c r="O2261" s="122">
        <v>35464</v>
      </c>
      <c r="P2261" s="122">
        <v>11894</v>
      </c>
      <c r="Q2261" s="122">
        <v>4405</v>
      </c>
      <c r="R2261" s="122">
        <v>154361</v>
      </c>
      <c r="S2261" s="122">
        <v>140328</v>
      </c>
      <c r="T2261" s="122">
        <v>6261</v>
      </c>
      <c r="U2261" s="122">
        <v>2319</v>
      </c>
      <c r="V2261" s="122">
        <v>810040</v>
      </c>
      <c r="W2261" s="122">
        <f t="shared" si="70"/>
        <v>810041</v>
      </c>
      <c r="X2261" s="122">
        <f t="shared" si="71"/>
        <v>963201</v>
      </c>
      <c r="AA2261" t="s">
        <v>64</v>
      </c>
      <c r="AB2261" t="s">
        <v>137</v>
      </c>
      <c r="AC2261" t="s">
        <v>426</v>
      </c>
      <c r="AD2261" t="s">
        <v>425</v>
      </c>
      <c r="AE2261" t="s">
        <v>566</v>
      </c>
      <c r="AF2261">
        <v>3</v>
      </c>
      <c r="AG2261">
        <v>458</v>
      </c>
      <c r="AH2261" s="122">
        <v>1750</v>
      </c>
      <c r="AI2261" s="122">
        <v>215016</v>
      </c>
      <c r="AJ2261" s="122">
        <v>79635</v>
      </c>
      <c r="AK2261">
        <v>100</v>
      </c>
      <c r="AL2261" s="122">
        <v>29631</v>
      </c>
      <c r="AM2261" s="122">
        <v>26937</v>
      </c>
      <c r="AN2261" s="122">
        <v>9475</v>
      </c>
      <c r="AO2261" s="122">
        <v>3509</v>
      </c>
      <c r="AP2261">
        <v>122</v>
      </c>
      <c r="AQ2261">
        <v>45</v>
      </c>
      <c r="AR2261" s="122">
        <v>10822</v>
      </c>
      <c r="AS2261" s="122">
        <v>9838</v>
      </c>
      <c r="AT2261">
        <v>0</v>
      </c>
      <c r="AU2261">
        <v>0</v>
      </c>
      <c r="AV2261" s="122">
        <v>119965</v>
      </c>
    </row>
    <row r="2262" spans="2:48" hidden="1">
      <c r="B2262" t="s">
        <v>378</v>
      </c>
      <c r="C2262" t="s">
        <v>56</v>
      </c>
      <c r="D2262" t="s">
        <v>429</v>
      </c>
      <c r="E2262" t="s">
        <v>137</v>
      </c>
      <c r="F2262" s="122">
        <v>1</v>
      </c>
      <c r="G2262" s="122">
        <v>131</v>
      </c>
      <c r="H2262" s="122">
        <v>199</v>
      </c>
      <c r="I2262" s="122">
        <v>16885</v>
      </c>
      <c r="J2262" s="122">
        <v>15350</v>
      </c>
      <c r="K2262" s="122">
        <v>88</v>
      </c>
      <c r="L2262" s="122">
        <v>0</v>
      </c>
      <c r="M2262" s="122">
        <v>0</v>
      </c>
      <c r="N2262" s="122">
        <v>1596</v>
      </c>
      <c r="O2262" s="122">
        <v>591</v>
      </c>
      <c r="P2262" s="122">
        <v>351</v>
      </c>
      <c r="Q2262" s="122">
        <v>130</v>
      </c>
      <c r="R2262" s="122">
        <v>7218</v>
      </c>
      <c r="S2262" s="122">
        <v>2673</v>
      </c>
      <c r="T2262" s="122">
        <v>0</v>
      </c>
      <c r="U2262" s="122">
        <v>0</v>
      </c>
      <c r="V2262" s="122">
        <v>18745</v>
      </c>
      <c r="W2262" s="122">
        <f t="shared" si="70"/>
        <v>18744</v>
      </c>
      <c r="X2262" s="122">
        <f t="shared" si="71"/>
        <v>26050</v>
      </c>
      <c r="AA2262" t="s">
        <v>64</v>
      </c>
      <c r="AB2262" t="s">
        <v>137</v>
      </c>
      <c r="AC2262" t="s">
        <v>426</v>
      </c>
      <c r="AD2262" t="s">
        <v>405</v>
      </c>
      <c r="AE2262" t="s">
        <v>137</v>
      </c>
      <c r="AF2262">
        <v>2</v>
      </c>
      <c r="AG2262">
        <v>728</v>
      </c>
      <c r="AH2262" s="122">
        <v>1877</v>
      </c>
      <c r="AI2262" s="122">
        <v>374637</v>
      </c>
      <c r="AJ2262" s="122">
        <v>138754</v>
      </c>
      <c r="AK2262">
        <v>100</v>
      </c>
      <c r="AL2262" s="122">
        <v>56530</v>
      </c>
      <c r="AM2262" s="122">
        <v>51390</v>
      </c>
      <c r="AN2262" s="122">
        <v>13796</v>
      </c>
      <c r="AO2262" s="122">
        <v>5110</v>
      </c>
      <c r="AP2262">
        <v>621</v>
      </c>
      <c r="AQ2262">
        <v>230</v>
      </c>
      <c r="AR2262" s="122">
        <v>13840</v>
      </c>
      <c r="AS2262" s="122">
        <v>12582</v>
      </c>
      <c r="AT2262">
        <v>0</v>
      </c>
      <c r="AU2262">
        <v>0</v>
      </c>
      <c r="AV2262" s="122">
        <v>208067</v>
      </c>
    </row>
    <row r="2263" spans="2:48" hidden="1">
      <c r="B2263" t="s">
        <v>378</v>
      </c>
      <c r="C2263" t="s">
        <v>58</v>
      </c>
      <c r="D2263" t="s">
        <v>425</v>
      </c>
      <c r="E2263" t="s">
        <v>425</v>
      </c>
      <c r="F2263" s="122">
        <v>3</v>
      </c>
      <c r="G2263" s="122">
        <v>317</v>
      </c>
      <c r="H2263" s="122">
        <v>834</v>
      </c>
      <c r="I2263" s="122">
        <v>44910</v>
      </c>
      <c r="J2263" s="122">
        <v>40827</v>
      </c>
      <c r="K2263" s="122">
        <v>74</v>
      </c>
      <c r="L2263" s="122">
        <v>12239</v>
      </c>
      <c r="M2263" s="122">
        <v>11126</v>
      </c>
      <c r="N2263" s="122">
        <v>6003</v>
      </c>
      <c r="O2263" s="122">
        <v>2223</v>
      </c>
      <c r="P2263" s="122">
        <v>1418</v>
      </c>
      <c r="Q2263" s="122">
        <v>525</v>
      </c>
      <c r="R2263" s="122">
        <v>18180</v>
      </c>
      <c r="S2263" s="122">
        <v>16528</v>
      </c>
      <c r="T2263" s="122">
        <v>5384</v>
      </c>
      <c r="U2263" s="122">
        <v>1994</v>
      </c>
      <c r="V2263" s="122">
        <v>73223</v>
      </c>
      <c r="W2263" s="122">
        <f t="shared" si="70"/>
        <v>73223</v>
      </c>
      <c r="X2263" s="122">
        <f t="shared" si="71"/>
        <v>88134</v>
      </c>
      <c r="AA2263" t="s">
        <v>64</v>
      </c>
      <c r="AB2263" t="s">
        <v>137</v>
      </c>
      <c r="AC2263" t="s">
        <v>426</v>
      </c>
      <c r="AD2263" t="s">
        <v>405</v>
      </c>
      <c r="AE2263" t="s">
        <v>566</v>
      </c>
      <c r="AF2263">
        <v>1</v>
      </c>
      <c r="AG2263" s="122">
        <v>350</v>
      </c>
      <c r="AH2263" s="122">
        <v>490</v>
      </c>
      <c r="AI2263" s="122">
        <v>132514</v>
      </c>
      <c r="AJ2263" s="122">
        <v>49079</v>
      </c>
      <c r="AK2263">
        <v>100</v>
      </c>
      <c r="AL2263" s="122">
        <v>19995</v>
      </c>
      <c r="AM2263" s="122">
        <v>18177</v>
      </c>
      <c r="AN2263" s="122">
        <v>7963</v>
      </c>
      <c r="AO2263" s="122">
        <v>2949</v>
      </c>
      <c r="AP2263" s="122">
        <v>122</v>
      </c>
      <c r="AQ2263" s="122">
        <v>45</v>
      </c>
      <c r="AR2263" s="122">
        <v>10480</v>
      </c>
      <c r="AS2263" s="122">
        <v>9528</v>
      </c>
      <c r="AT2263" s="122">
        <v>0</v>
      </c>
      <c r="AU2263" s="122">
        <v>0</v>
      </c>
      <c r="AV2263" s="122">
        <v>79779</v>
      </c>
    </row>
    <row r="2264" spans="2:48" hidden="1">
      <c r="B2264" t="s">
        <v>378</v>
      </c>
      <c r="C2264" t="s">
        <v>58</v>
      </c>
      <c r="D2264" t="s">
        <v>425</v>
      </c>
      <c r="E2264" t="s">
        <v>406</v>
      </c>
      <c r="F2264" s="122">
        <v>1</v>
      </c>
      <c r="G2264" s="122">
        <v>119</v>
      </c>
      <c r="H2264" s="122">
        <v>295</v>
      </c>
      <c r="I2264" s="122">
        <v>21577</v>
      </c>
      <c r="J2264" s="122">
        <v>19616</v>
      </c>
      <c r="K2264" s="122">
        <v>95</v>
      </c>
      <c r="L2264" s="122">
        <v>7592</v>
      </c>
      <c r="M2264" s="122">
        <v>6902</v>
      </c>
      <c r="N2264" s="122">
        <v>1879</v>
      </c>
      <c r="O2264" s="122">
        <v>696</v>
      </c>
      <c r="P2264" s="122">
        <v>972</v>
      </c>
      <c r="Q2264" s="122">
        <v>360</v>
      </c>
      <c r="R2264" s="122">
        <v>2998</v>
      </c>
      <c r="S2264" s="122">
        <v>2725</v>
      </c>
      <c r="T2264" s="122">
        <v>0</v>
      </c>
      <c r="U2264" s="122">
        <v>0</v>
      </c>
      <c r="V2264" s="122">
        <v>30298</v>
      </c>
      <c r="W2264" s="122">
        <f t="shared" si="70"/>
        <v>30299</v>
      </c>
      <c r="X2264" s="122">
        <f t="shared" si="71"/>
        <v>35018</v>
      </c>
      <c r="AA2264" t="s">
        <v>64</v>
      </c>
      <c r="AB2264" t="s">
        <v>137</v>
      </c>
      <c r="AC2264" t="s">
        <v>426</v>
      </c>
      <c r="AD2264" t="s">
        <v>137</v>
      </c>
      <c r="AE2264" t="s">
        <v>137</v>
      </c>
      <c r="AF2264" s="122">
        <v>186</v>
      </c>
      <c r="AG2264" s="122">
        <v>17211</v>
      </c>
      <c r="AH2264" s="122">
        <v>143069</v>
      </c>
      <c r="AI2264" s="122">
        <v>9718517</v>
      </c>
      <c r="AJ2264" s="122">
        <v>3599451</v>
      </c>
      <c r="AK2264">
        <v>100</v>
      </c>
      <c r="AL2264" s="122">
        <v>1414948</v>
      </c>
      <c r="AM2264" s="122">
        <v>1286316</v>
      </c>
      <c r="AN2264" s="122">
        <v>395173</v>
      </c>
      <c r="AO2264" s="122">
        <v>146360</v>
      </c>
      <c r="AP2264" s="122">
        <v>5535</v>
      </c>
      <c r="AQ2264" s="122">
        <v>2050</v>
      </c>
      <c r="AR2264" s="122">
        <v>1351036</v>
      </c>
      <c r="AS2264" s="122">
        <v>500384</v>
      </c>
      <c r="AT2264" s="122">
        <v>85065</v>
      </c>
      <c r="AU2264" s="122">
        <v>31506</v>
      </c>
      <c r="AV2264" s="122">
        <v>5566067</v>
      </c>
    </row>
    <row r="2265" spans="2:48" hidden="1">
      <c r="B2265" t="s">
        <v>378</v>
      </c>
      <c r="C2265" t="s">
        <v>58</v>
      </c>
      <c r="D2265" t="s">
        <v>405</v>
      </c>
      <c r="E2265" t="s">
        <v>405</v>
      </c>
      <c r="F2265" s="122">
        <v>26</v>
      </c>
      <c r="G2265" s="122">
        <v>4625</v>
      </c>
      <c r="H2265" s="122">
        <v>6754</v>
      </c>
      <c r="I2265" s="122">
        <v>786516</v>
      </c>
      <c r="J2265" s="122">
        <v>715015</v>
      </c>
      <c r="K2265" s="122">
        <v>83</v>
      </c>
      <c r="L2265" s="122">
        <v>197164</v>
      </c>
      <c r="M2265" s="122">
        <v>175198</v>
      </c>
      <c r="N2265" s="122">
        <v>99420</v>
      </c>
      <c r="O2265" s="122">
        <v>36822</v>
      </c>
      <c r="P2265" s="122">
        <v>14931</v>
      </c>
      <c r="Q2265" s="122">
        <v>5530</v>
      </c>
      <c r="R2265" s="122">
        <v>144751</v>
      </c>
      <c r="S2265" s="122">
        <v>131592</v>
      </c>
      <c r="T2265" s="122">
        <v>16398</v>
      </c>
      <c r="U2265" s="122">
        <v>6073</v>
      </c>
      <c r="V2265" s="122">
        <v>1070230</v>
      </c>
      <c r="W2265" s="122">
        <f t="shared" si="70"/>
        <v>1070230</v>
      </c>
      <c r="X2265" s="122">
        <f t="shared" si="71"/>
        <v>1259180</v>
      </c>
      <c r="AA2265" t="s">
        <v>64</v>
      </c>
      <c r="AB2265" t="s">
        <v>137</v>
      </c>
      <c r="AC2265" t="s">
        <v>426</v>
      </c>
      <c r="AD2265" t="s">
        <v>137</v>
      </c>
      <c r="AE2265" t="s">
        <v>566</v>
      </c>
      <c r="AF2265" s="122">
        <v>2497</v>
      </c>
      <c r="AG2265" s="122">
        <v>222478</v>
      </c>
      <c r="AH2265" s="122">
        <v>1875317</v>
      </c>
      <c r="AI2265" s="122">
        <v>119311108</v>
      </c>
      <c r="AJ2265" s="122">
        <v>44189299</v>
      </c>
      <c r="AK2265">
        <v>100</v>
      </c>
      <c r="AL2265" s="122">
        <v>20831333</v>
      </c>
      <c r="AM2265" s="122">
        <v>18937575</v>
      </c>
      <c r="AN2265" s="122">
        <v>5114026</v>
      </c>
      <c r="AO2265" s="122">
        <v>1894084</v>
      </c>
      <c r="AP2265" s="122">
        <v>36073</v>
      </c>
      <c r="AQ2265" s="122">
        <v>13360</v>
      </c>
      <c r="AR2265" s="122">
        <v>16942250</v>
      </c>
      <c r="AS2265" s="122">
        <v>6274907</v>
      </c>
      <c r="AT2265" s="122">
        <v>0</v>
      </c>
      <c r="AU2265" s="122">
        <v>0</v>
      </c>
      <c r="AV2265" s="122">
        <v>71309226</v>
      </c>
    </row>
    <row r="2266" spans="2:48" hidden="1">
      <c r="B2266" t="s">
        <v>378</v>
      </c>
      <c r="C2266" t="s">
        <v>58</v>
      </c>
      <c r="D2266" t="s">
        <v>137</v>
      </c>
      <c r="E2266" t="s">
        <v>137</v>
      </c>
      <c r="F2266" s="122">
        <v>21</v>
      </c>
      <c r="G2266" s="122">
        <v>4085</v>
      </c>
      <c r="H2266" s="122">
        <v>5458</v>
      </c>
      <c r="I2266" s="122">
        <v>681403</v>
      </c>
      <c r="J2266" s="122">
        <v>252371</v>
      </c>
      <c r="K2266" s="122">
        <v>110</v>
      </c>
      <c r="L2266" s="122">
        <v>92866</v>
      </c>
      <c r="M2266" s="122">
        <v>80543</v>
      </c>
      <c r="N2266" s="122">
        <v>85296</v>
      </c>
      <c r="O2266" s="122">
        <v>31591</v>
      </c>
      <c r="P2266" s="122">
        <v>1404</v>
      </c>
      <c r="Q2266" s="122">
        <v>520</v>
      </c>
      <c r="R2266" s="122">
        <v>198826</v>
      </c>
      <c r="S2266" s="122">
        <v>73639</v>
      </c>
      <c r="T2266" s="122">
        <v>0</v>
      </c>
      <c r="U2266" s="122">
        <v>0</v>
      </c>
      <c r="V2266" s="122">
        <v>438665</v>
      </c>
      <c r="W2266" s="122">
        <f t="shared" si="70"/>
        <v>438664</v>
      </c>
      <c r="X2266" s="122">
        <f t="shared" si="71"/>
        <v>1059795</v>
      </c>
      <c r="AA2266" t="s">
        <v>64</v>
      </c>
      <c r="AB2266" t="s">
        <v>137</v>
      </c>
      <c r="AC2266" t="s">
        <v>426</v>
      </c>
      <c r="AD2266" t="s">
        <v>406</v>
      </c>
      <c r="AE2266" t="s">
        <v>137</v>
      </c>
      <c r="AF2266">
        <v>13</v>
      </c>
      <c r="AG2266" s="122">
        <v>2457</v>
      </c>
      <c r="AH2266" s="122">
        <v>8818</v>
      </c>
      <c r="AI2266" s="122">
        <v>1218860</v>
      </c>
      <c r="AJ2266" s="122">
        <v>451430</v>
      </c>
      <c r="AK2266">
        <v>100</v>
      </c>
      <c r="AL2266" s="122">
        <v>170262</v>
      </c>
      <c r="AM2266" s="122">
        <v>154784</v>
      </c>
      <c r="AN2266" s="122">
        <v>53489</v>
      </c>
      <c r="AO2266" s="122">
        <v>19811</v>
      </c>
      <c r="AP2266" s="122">
        <v>1655</v>
      </c>
      <c r="AQ2266">
        <v>613</v>
      </c>
      <c r="AR2266" s="122">
        <v>74206</v>
      </c>
      <c r="AS2266" s="122">
        <v>67460</v>
      </c>
      <c r="AT2266" s="122">
        <v>42853</v>
      </c>
      <c r="AU2266" s="122">
        <v>15871</v>
      </c>
      <c r="AV2266" s="122">
        <v>709969</v>
      </c>
    </row>
    <row r="2267" spans="2:48" hidden="1">
      <c r="B2267" t="s">
        <v>378</v>
      </c>
      <c r="C2267" t="s">
        <v>58</v>
      </c>
      <c r="D2267" t="s">
        <v>406</v>
      </c>
      <c r="E2267" t="s">
        <v>137</v>
      </c>
      <c r="F2267" s="122">
        <v>4</v>
      </c>
      <c r="G2267" s="122">
        <v>621</v>
      </c>
      <c r="H2267" s="122">
        <v>1041</v>
      </c>
      <c r="I2267" s="122">
        <v>98640</v>
      </c>
      <c r="J2267" s="122">
        <v>89673</v>
      </c>
      <c r="K2267" s="122">
        <v>73</v>
      </c>
      <c r="L2267" s="122">
        <v>17791</v>
      </c>
      <c r="M2267" s="122">
        <v>16173</v>
      </c>
      <c r="N2267" s="122">
        <v>13148</v>
      </c>
      <c r="O2267" s="122">
        <v>4870</v>
      </c>
      <c r="P2267" s="122">
        <v>3083</v>
      </c>
      <c r="Q2267" s="122">
        <v>1142</v>
      </c>
      <c r="R2267" s="122">
        <v>31031</v>
      </c>
      <c r="S2267" s="122">
        <v>11493</v>
      </c>
      <c r="T2267" s="122">
        <v>0</v>
      </c>
      <c r="U2267" s="122">
        <v>0</v>
      </c>
      <c r="V2267" s="122">
        <v>123350</v>
      </c>
      <c r="W2267" s="122">
        <f t="shared" si="70"/>
        <v>123351</v>
      </c>
      <c r="X2267" s="122">
        <f t="shared" si="71"/>
        <v>163693</v>
      </c>
      <c r="AA2267" t="s">
        <v>64</v>
      </c>
      <c r="AB2267" t="s">
        <v>137</v>
      </c>
      <c r="AC2267" t="s">
        <v>426</v>
      </c>
      <c r="AD2267" t="s">
        <v>406</v>
      </c>
      <c r="AE2267" t="s">
        <v>566</v>
      </c>
      <c r="AF2267">
        <v>6</v>
      </c>
      <c r="AG2267">
        <v>713</v>
      </c>
      <c r="AH2267" s="122">
        <v>4321</v>
      </c>
      <c r="AI2267" s="122">
        <v>360118</v>
      </c>
      <c r="AJ2267" s="122">
        <v>133377</v>
      </c>
      <c r="AK2267">
        <v>100</v>
      </c>
      <c r="AL2267" s="122">
        <v>78685</v>
      </c>
      <c r="AM2267" s="122">
        <v>71532</v>
      </c>
      <c r="AN2267" s="122">
        <v>16277</v>
      </c>
      <c r="AO2267" s="122">
        <v>6028</v>
      </c>
      <c r="AP2267" s="122">
        <v>1161</v>
      </c>
      <c r="AQ2267">
        <v>430</v>
      </c>
      <c r="AR2267" s="122">
        <v>54215</v>
      </c>
      <c r="AS2267" s="122">
        <v>49286</v>
      </c>
      <c r="AT2267">
        <v>0</v>
      </c>
      <c r="AU2267">
        <v>0</v>
      </c>
      <c r="AV2267" s="122">
        <v>260654</v>
      </c>
    </row>
    <row r="2268" spans="2:48" hidden="1">
      <c r="B2268" t="s">
        <v>378</v>
      </c>
      <c r="C2268" t="s">
        <v>58</v>
      </c>
      <c r="D2268" t="s">
        <v>406</v>
      </c>
      <c r="E2268" t="s">
        <v>406</v>
      </c>
      <c r="F2268" s="122">
        <v>2009</v>
      </c>
      <c r="G2268" s="122">
        <v>290003</v>
      </c>
      <c r="H2268" s="122">
        <v>524177</v>
      </c>
      <c r="I2268" s="122">
        <v>46040492</v>
      </c>
      <c r="J2268" s="122">
        <v>41854992</v>
      </c>
      <c r="K2268" s="122">
        <v>80</v>
      </c>
      <c r="L2268" s="122">
        <v>9778840</v>
      </c>
      <c r="M2268" s="122">
        <v>8701433</v>
      </c>
      <c r="N2268" s="122">
        <v>5967585</v>
      </c>
      <c r="O2268" s="122">
        <v>2210217</v>
      </c>
      <c r="P2268" s="122">
        <v>1308901</v>
      </c>
      <c r="Q2268" s="122">
        <v>484778</v>
      </c>
      <c r="R2268" s="122">
        <v>11163876</v>
      </c>
      <c r="S2268" s="122">
        <v>10148978</v>
      </c>
      <c r="T2268" s="122">
        <v>3042421</v>
      </c>
      <c r="U2268" s="122">
        <v>1126823</v>
      </c>
      <c r="V2268" s="122">
        <v>64527221</v>
      </c>
      <c r="W2268" s="122">
        <f t="shared" si="70"/>
        <v>64527221</v>
      </c>
      <c r="X2268" s="122">
        <f t="shared" si="71"/>
        <v>77302115</v>
      </c>
      <c r="AA2268" t="s">
        <v>64</v>
      </c>
      <c r="AB2268" t="s">
        <v>137</v>
      </c>
      <c r="AC2268" t="s">
        <v>426</v>
      </c>
      <c r="AD2268" t="s">
        <v>407</v>
      </c>
      <c r="AE2268" t="s">
        <v>566</v>
      </c>
      <c r="AF2268">
        <v>1</v>
      </c>
      <c r="AG2268">
        <v>68</v>
      </c>
      <c r="AH2268">
        <v>904</v>
      </c>
      <c r="AI2268" s="122">
        <v>45668</v>
      </c>
      <c r="AJ2268" s="122">
        <v>16914</v>
      </c>
      <c r="AK2268">
        <v>100</v>
      </c>
      <c r="AL2268" s="122">
        <v>10944</v>
      </c>
      <c r="AM2268" s="122">
        <v>9949</v>
      </c>
      <c r="AN2268" s="122">
        <v>1651</v>
      </c>
      <c r="AO2268">
        <v>611</v>
      </c>
      <c r="AP2268">
        <v>0</v>
      </c>
      <c r="AQ2268">
        <v>0</v>
      </c>
      <c r="AR2268" s="122">
        <v>2949</v>
      </c>
      <c r="AS2268" s="122">
        <v>2681</v>
      </c>
      <c r="AT2268" s="122">
        <v>0</v>
      </c>
      <c r="AU2268">
        <v>0</v>
      </c>
      <c r="AV2268" s="122">
        <v>30156</v>
      </c>
    </row>
    <row r="2269" spans="2:48" hidden="1">
      <c r="B2269" t="s">
        <v>378</v>
      </c>
      <c r="C2269" t="s">
        <v>58</v>
      </c>
      <c r="D2269" t="s">
        <v>406</v>
      </c>
      <c r="E2269" t="s">
        <v>427</v>
      </c>
      <c r="F2269" s="122">
        <v>4</v>
      </c>
      <c r="G2269" s="122">
        <v>550</v>
      </c>
      <c r="H2269" s="122">
        <v>1076</v>
      </c>
      <c r="I2269" s="122">
        <v>84952</v>
      </c>
      <c r="J2269" s="122">
        <v>77229</v>
      </c>
      <c r="K2269" s="122">
        <v>71</v>
      </c>
      <c r="L2269" s="122">
        <v>15847</v>
      </c>
      <c r="M2269" s="122">
        <v>14407</v>
      </c>
      <c r="N2269" s="122">
        <v>11417</v>
      </c>
      <c r="O2269" s="122">
        <v>4229</v>
      </c>
      <c r="P2269" s="122">
        <v>2484</v>
      </c>
      <c r="Q2269" s="122">
        <v>920</v>
      </c>
      <c r="R2269" s="122">
        <v>20140</v>
      </c>
      <c r="S2269" s="122">
        <v>18309</v>
      </c>
      <c r="T2269" s="122">
        <v>12625</v>
      </c>
      <c r="U2269" s="122">
        <v>4676</v>
      </c>
      <c r="V2269" s="122">
        <v>119770</v>
      </c>
      <c r="W2269" s="122">
        <f t="shared" si="70"/>
        <v>119770</v>
      </c>
      <c r="X2269" s="122">
        <f t="shared" si="71"/>
        <v>147465</v>
      </c>
      <c r="AA2269" t="s">
        <v>64</v>
      </c>
      <c r="AB2269" t="s">
        <v>137</v>
      </c>
      <c r="AC2269" t="s">
        <v>426</v>
      </c>
      <c r="AD2269" t="s">
        <v>579</v>
      </c>
      <c r="AE2269" t="s">
        <v>137</v>
      </c>
      <c r="AF2269">
        <v>1</v>
      </c>
      <c r="AG2269" s="122">
        <v>76</v>
      </c>
      <c r="AH2269" s="122">
        <v>466</v>
      </c>
      <c r="AI2269" s="122">
        <v>23960</v>
      </c>
      <c r="AJ2269" s="122">
        <v>8874</v>
      </c>
      <c r="AK2269">
        <v>100</v>
      </c>
      <c r="AL2269" s="122">
        <v>2410</v>
      </c>
      <c r="AM2269" s="122">
        <v>2191</v>
      </c>
      <c r="AN2269" s="122">
        <v>1382</v>
      </c>
      <c r="AO2269" s="122">
        <v>512</v>
      </c>
      <c r="AP2269" s="122">
        <v>0</v>
      </c>
      <c r="AQ2269" s="122">
        <v>0</v>
      </c>
      <c r="AR2269" s="122">
        <v>5800</v>
      </c>
      <c r="AS2269" s="122">
        <v>4833</v>
      </c>
      <c r="AT2269" s="122">
        <v>1661</v>
      </c>
      <c r="AU2269" s="122">
        <v>615</v>
      </c>
      <c r="AV2269" s="122">
        <v>17026</v>
      </c>
    </row>
    <row r="2270" spans="2:48" hidden="1">
      <c r="B2270" t="s">
        <v>378</v>
      </c>
      <c r="C2270" t="s">
        <v>58</v>
      </c>
      <c r="D2270" t="s">
        <v>406</v>
      </c>
      <c r="E2270" t="s">
        <v>426</v>
      </c>
      <c r="F2270" s="122">
        <v>2</v>
      </c>
      <c r="G2270" s="122">
        <v>332</v>
      </c>
      <c r="H2270" s="122">
        <v>551</v>
      </c>
      <c r="I2270" s="122">
        <v>52968</v>
      </c>
      <c r="J2270" s="122">
        <v>48153</v>
      </c>
      <c r="K2270" s="122">
        <v>79</v>
      </c>
      <c r="L2270" s="122">
        <v>11939</v>
      </c>
      <c r="M2270" s="122">
        <v>10853</v>
      </c>
      <c r="N2270" s="122">
        <v>7751</v>
      </c>
      <c r="O2270" s="122">
        <v>2871</v>
      </c>
      <c r="P2270" s="122">
        <v>1242</v>
      </c>
      <c r="Q2270" s="122">
        <v>460</v>
      </c>
      <c r="R2270" s="122">
        <v>14999</v>
      </c>
      <c r="S2270" s="122">
        <v>13635</v>
      </c>
      <c r="T2270" s="122">
        <v>3646</v>
      </c>
      <c r="U2270" s="122">
        <v>1350</v>
      </c>
      <c r="V2270" s="122">
        <v>77322</v>
      </c>
      <c r="W2270" s="122">
        <f t="shared" si="70"/>
        <v>77322</v>
      </c>
      <c r="X2270" s="122">
        <f t="shared" si="71"/>
        <v>92545</v>
      </c>
      <c r="AA2270" t="s">
        <v>64</v>
      </c>
      <c r="AB2270" t="s">
        <v>137</v>
      </c>
      <c r="AC2270" t="s">
        <v>426</v>
      </c>
      <c r="AD2270" t="s">
        <v>426</v>
      </c>
      <c r="AE2270" t="s">
        <v>137</v>
      </c>
      <c r="AF2270">
        <v>278</v>
      </c>
      <c r="AG2270" s="122">
        <v>26883</v>
      </c>
      <c r="AH2270" s="122">
        <v>194131</v>
      </c>
      <c r="AI2270" s="122">
        <v>13850013</v>
      </c>
      <c r="AJ2270" s="122">
        <v>5129635</v>
      </c>
      <c r="AK2270">
        <v>100</v>
      </c>
      <c r="AL2270" s="122">
        <v>1878661</v>
      </c>
      <c r="AM2270" s="122">
        <v>1707873</v>
      </c>
      <c r="AN2270" s="122">
        <v>588032</v>
      </c>
      <c r="AO2270" s="122">
        <v>217789</v>
      </c>
      <c r="AP2270" s="122">
        <v>23328</v>
      </c>
      <c r="AQ2270" s="122">
        <v>8640</v>
      </c>
      <c r="AR2270" s="122">
        <v>1618254</v>
      </c>
      <c r="AS2270" s="122">
        <v>1471140</v>
      </c>
      <c r="AT2270" s="122">
        <v>650369</v>
      </c>
      <c r="AU2270" s="122">
        <v>240877</v>
      </c>
      <c r="AV2270" s="122">
        <v>8775955</v>
      </c>
    </row>
    <row r="2271" spans="2:48" hidden="1">
      <c r="B2271" t="s">
        <v>378</v>
      </c>
      <c r="C2271" t="s">
        <v>58</v>
      </c>
      <c r="D2271" t="s">
        <v>427</v>
      </c>
      <c r="E2271" t="s">
        <v>427</v>
      </c>
      <c r="F2271" s="122">
        <v>1</v>
      </c>
      <c r="G2271" s="122">
        <v>118</v>
      </c>
      <c r="H2271" s="122">
        <v>268</v>
      </c>
      <c r="I2271" s="122">
        <v>19893</v>
      </c>
      <c r="J2271" s="122">
        <v>18085</v>
      </c>
      <c r="K2271" s="122">
        <v>55</v>
      </c>
      <c r="L2271" s="122">
        <v>1422</v>
      </c>
      <c r="M2271" s="122">
        <v>1293</v>
      </c>
      <c r="N2271" s="122">
        <v>2484</v>
      </c>
      <c r="O2271" s="122">
        <v>920</v>
      </c>
      <c r="P2271" s="122">
        <v>621</v>
      </c>
      <c r="Q2271" s="122">
        <v>230</v>
      </c>
      <c r="R2271" s="122">
        <v>7166</v>
      </c>
      <c r="S2271" s="122">
        <v>6515</v>
      </c>
      <c r="T2271" s="122">
        <v>0</v>
      </c>
      <c r="U2271" s="122">
        <v>0</v>
      </c>
      <c r="V2271" s="122">
        <v>27042</v>
      </c>
      <c r="W2271" s="122">
        <f t="shared" si="70"/>
        <v>27043</v>
      </c>
      <c r="X2271" s="122">
        <f t="shared" si="71"/>
        <v>31586</v>
      </c>
      <c r="AA2271" t="s">
        <v>64</v>
      </c>
      <c r="AB2271" t="s">
        <v>137</v>
      </c>
      <c r="AC2271" t="s">
        <v>426</v>
      </c>
      <c r="AD2271" t="s">
        <v>426</v>
      </c>
      <c r="AE2271" t="s">
        <v>566</v>
      </c>
      <c r="AF2271">
        <v>66</v>
      </c>
      <c r="AG2271" s="122">
        <v>6101</v>
      </c>
      <c r="AH2271" s="122">
        <v>51192</v>
      </c>
      <c r="AI2271" s="122">
        <v>3537480</v>
      </c>
      <c r="AJ2271" s="122">
        <v>1310178</v>
      </c>
      <c r="AK2271">
        <v>100</v>
      </c>
      <c r="AL2271" s="122">
        <v>438610</v>
      </c>
      <c r="AM2271" s="122">
        <v>398736</v>
      </c>
      <c r="AN2271" s="122">
        <v>136095</v>
      </c>
      <c r="AO2271" s="122">
        <v>50405</v>
      </c>
      <c r="AP2271" s="122">
        <v>2376</v>
      </c>
      <c r="AQ2271">
        <v>880</v>
      </c>
      <c r="AR2271" s="122">
        <v>545005</v>
      </c>
      <c r="AS2271" s="122">
        <v>495459</v>
      </c>
      <c r="AT2271" s="122">
        <v>0</v>
      </c>
      <c r="AU2271" s="122">
        <v>0</v>
      </c>
      <c r="AV2271" s="122">
        <v>2255659</v>
      </c>
    </row>
    <row r="2272" spans="2:48" hidden="1">
      <c r="B2272" t="s">
        <v>378</v>
      </c>
      <c r="C2272" t="s">
        <v>58</v>
      </c>
      <c r="D2272" t="s">
        <v>407</v>
      </c>
      <c r="E2272" t="s">
        <v>406</v>
      </c>
      <c r="F2272" s="122">
        <v>1</v>
      </c>
      <c r="G2272" s="122">
        <v>147</v>
      </c>
      <c r="H2272" s="122">
        <v>276</v>
      </c>
      <c r="I2272" s="122">
        <v>25088</v>
      </c>
      <c r="J2272" s="122">
        <v>22807</v>
      </c>
      <c r="K2272" s="122">
        <v>73</v>
      </c>
      <c r="L2272" s="122">
        <v>3517</v>
      </c>
      <c r="M2272" s="122">
        <v>2931</v>
      </c>
      <c r="N2272" s="122">
        <v>3570</v>
      </c>
      <c r="O2272" s="122">
        <v>1322</v>
      </c>
      <c r="P2272" s="122">
        <v>473</v>
      </c>
      <c r="Q2272" s="122">
        <v>175</v>
      </c>
      <c r="R2272" s="122">
        <v>4852</v>
      </c>
      <c r="S2272" s="122">
        <v>4411</v>
      </c>
      <c r="T2272" s="122">
        <v>2981</v>
      </c>
      <c r="U2272" s="122">
        <v>1104</v>
      </c>
      <c r="V2272" s="122">
        <v>32751</v>
      </c>
      <c r="W2272" s="122">
        <f t="shared" si="70"/>
        <v>32750</v>
      </c>
      <c r="X2272" s="122">
        <f t="shared" si="71"/>
        <v>40481</v>
      </c>
      <c r="AA2272" t="s">
        <v>64</v>
      </c>
      <c r="AB2272" t="s">
        <v>137</v>
      </c>
      <c r="AC2272" t="s">
        <v>426</v>
      </c>
      <c r="AD2272" t="s">
        <v>481</v>
      </c>
      <c r="AE2272" t="s">
        <v>137</v>
      </c>
      <c r="AF2272">
        <v>1</v>
      </c>
      <c r="AG2272">
        <v>131</v>
      </c>
      <c r="AH2272">
        <v>615</v>
      </c>
      <c r="AI2272" s="122">
        <v>62029</v>
      </c>
      <c r="AJ2272" s="122">
        <v>22974</v>
      </c>
      <c r="AK2272">
        <v>100</v>
      </c>
      <c r="AL2272" s="122">
        <v>6240</v>
      </c>
      <c r="AM2272" s="122">
        <v>5673</v>
      </c>
      <c r="AN2272" s="122">
        <v>2394</v>
      </c>
      <c r="AO2272">
        <v>887</v>
      </c>
      <c r="AP2272">
        <v>0</v>
      </c>
      <c r="AQ2272">
        <v>0</v>
      </c>
      <c r="AR2272" s="122">
        <v>7154</v>
      </c>
      <c r="AS2272" s="122">
        <v>6504</v>
      </c>
      <c r="AT2272" s="122">
        <v>2805</v>
      </c>
      <c r="AU2272" s="122">
        <v>1039</v>
      </c>
      <c r="AV2272" s="122">
        <v>37076</v>
      </c>
    </row>
    <row r="2273" spans="2:48" hidden="1">
      <c r="B2273" t="s">
        <v>378</v>
      </c>
      <c r="C2273" t="s">
        <v>58</v>
      </c>
      <c r="D2273" t="s">
        <v>407</v>
      </c>
      <c r="E2273" t="s">
        <v>407</v>
      </c>
      <c r="F2273" s="122">
        <v>330</v>
      </c>
      <c r="G2273" s="122">
        <v>44328</v>
      </c>
      <c r="H2273" s="122">
        <v>84038</v>
      </c>
      <c r="I2273" s="122">
        <v>6206924</v>
      </c>
      <c r="J2273" s="122">
        <v>5642659</v>
      </c>
      <c r="K2273" s="122">
        <v>79</v>
      </c>
      <c r="L2273" s="122">
        <v>1884817</v>
      </c>
      <c r="M2273" s="122">
        <v>1667459</v>
      </c>
      <c r="N2273" s="122">
        <v>935480</v>
      </c>
      <c r="O2273" s="122">
        <v>346474</v>
      </c>
      <c r="P2273" s="122">
        <v>157383</v>
      </c>
      <c r="Q2273" s="122">
        <v>58290</v>
      </c>
      <c r="R2273" s="122">
        <v>1850052</v>
      </c>
      <c r="S2273" s="122">
        <v>1681865</v>
      </c>
      <c r="T2273" s="122">
        <v>440692</v>
      </c>
      <c r="U2273" s="122">
        <v>163219</v>
      </c>
      <c r="V2273" s="122">
        <v>9559966</v>
      </c>
      <c r="W2273" s="122">
        <f t="shared" si="70"/>
        <v>9559966</v>
      </c>
      <c r="X2273" s="122">
        <f t="shared" si="71"/>
        <v>11475348</v>
      </c>
      <c r="AA2273" t="s">
        <v>64</v>
      </c>
      <c r="AB2273" t="s">
        <v>137</v>
      </c>
      <c r="AC2273" t="s">
        <v>426</v>
      </c>
      <c r="AD2273" t="s">
        <v>481</v>
      </c>
      <c r="AE2273" t="s">
        <v>566</v>
      </c>
      <c r="AF2273">
        <v>1</v>
      </c>
      <c r="AG2273">
        <v>67</v>
      </c>
      <c r="AH2273">
        <v>934</v>
      </c>
      <c r="AI2273" s="122">
        <v>47598</v>
      </c>
      <c r="AJ2273" s="122">
        <v>17629</v>
      </c>
      <c r="AK2273">
        <v>100</v>
      </c>
      <c r="AL2273" s="122">
        <v>11407</v>
      </c>
      <c r="AM2273" s="122">
        <v>10370</v>
      </c>
      <c r="AN2273" s="122">
        <v>1423</v>
      </c>
      <c r="AO2273">
        <v>527</v>
      </c>
      <c r="AP2273">
        <v>0</v>
      </c>
      <c r="AQ2273">
        <v>0</v>
      </c>
      <c r="AR2273" s="122">
        <v>1900</v>
      </c>
      <c r="AS2273" s="122">
        <v>1727</v>
      </c>
      <c r="AT2273" s="122">
        <v>0</v>
      </c>
      <c r="AU2273">
        <v>0</v>
      </c>
      <c r="AV2273" s="122">
        <v>30253</v>
      </c>
    </row>
    <row r="2274" spans="2:48" hidden="1">
      <c r="B2274" t="s">
        <v>378</v>
      </c>
      <c r="C2274" t="s">
        <v>58</v>
      </c>
      <c r="D2274" t="s">
        <v>556</v>
      </c>
      <c r="E2274" t="s">
        <v>556</v>
      </c>
      <c r="F2274" s="122">
        <v>3</v>
      </c>
      <c r="G2274" s="122">
        <v>434</v>
      </c>
      <c r="H2274" s="122">
        <v>843</v>
      </c>
      <c r="I2274" s="122">
        <v>74830</v>
      </c>
      <c r="J2274" s="122">
        <v>62358</v>
      </c>
      <c r="K2274" s="122">
        <v>66</v>
      </c>
      <c r="L2274" s="122">
        <v>12449</v>
      </c>
      <c r="M2274" s="122">
        <v>8954</v>
      </c>
      <c r="N2274" s="122">
        <v>7612</v>
      </c>
      <c r="O2274" s="122">
        <v>2819</v>
      </c>
      <c r="P2274" s="122">
        <v>1445</v>
      </c>
      <c r="Q2274" s="122">
        <v>535</v>
      </c>
      <c r="R2274" s="122">
        <v>22580</v>
      </c>
      <c r="S2274" s="122">
        <v>18817</v>
      </c>
      <c r="T2274" s="122">
        <v>3073</v>
      </c>
      <c r="U2274" s="122">
        <v>1138</v>
      </c>
      <c r="V2274" s="122">
        <v>94622</v>
      </c>
      <c r="W2274" s="122">
        <f t="shared" ref="W2274:W2337" si="72">SUM(ABS(J2274),ABS(M2274),ABS(O2274),ABS(Q2274),ABS(S2274),ABS(U2274))</f>
        <v>94621</v>
      </c>
      <c r="X2274" s="122">
        <f t="shared" ref="X2274:X2337" si="73">SUM(ABS(I2274),ABS(N2274),ABS(P2274),ABS(R2274),ABS(T2274),ABS(L2274))</f>
        <v>121989</v>
      </c>
      <c r="AA2274" t="s">
        <v>64</v>
      </c>
      <c r="AB2274" t="s">
        <v>137</v>
      </c>
      <c r="AC2274" t="s">
        <v>426</v>
      </c>
      <c r="AD2274" t="s">
        <v>433</v>
      </c>
      <c r="AE2274" t="s">
        <v>137</v>
      </c>
      <c r="AF2274">
        <v>1</v>
      </c>
      <c r="AG2274">
        <v>62</v>
      </c>
      <c r="AH2274" s="122">
        <v>621</v>
      </c>
      <c r="AI2274" s="122">
        <v>27115</v>
      </c>
      <c r="AJ2274" s="122">
        <v>10043</v>
      </c>
      <c r="AK2274">
        <v>100</v>
      </c>
      <c r="AL2274" s="122">
        <v>2785</v>
      </c>
      <c r="AM2274" s="122">
        <v>2532</v>
      </c>
      <c r="AN2274" s="122">
        <v>1381</v>
      </c>
      <c r="AO2274">
        <v>512</v>
      </c>
      <c r="AP2274">
        <v>0</v>
      </c>
      <c r="AQ2274">
        <v>0</v>
      </c>
      <c r="AR2274" s="122">
        <v>4737</v>
      </c>
      <c r="AS2274" s="122">
        <v>4306</v>
      </c>
      <c r="AT2274" s="122">
        <v>2635</v>
      </c>
      <c r="AU2274">
        <v>976</v>
      </c>
      <c r="AV2274" s="122">
        <v>18368</v>
      </c>
    </row>
    <row r="2275" spans="2:48" hidden="1">
      <c r="B2275" t="s">
        <v>378</v>
      </c>
      <c r="C2275" t="s">
        <v>58</v>
      </c>
      <c r="D2275" t="s">
        <v>428</v>
      </c>
      <c r="E2275" t="s">
        <v>428</v>
      </c>
      <c r="F2275" s="122">
        <v>1</v>
      </c>
      <c r="G2275" s="122">
        <v>127</v>
      </c>
      <c r="H2275" s="122">
        <v>246</v>
      </c>
      <c r="I2275" s="122">
        <v>19026</v>
      </c>
      <c r="J2275" s="122">
        <v>17297</v>
      </c>
      <c r="K2275" s="122">
        <v>65</v>
      </c>
      <c r="L2275" s="122">
        <v>2290</v>
      </c>
      <c r="M2275" s="122">
        <v>2082</v>
      </c>
      <c r="N2275" s="122">
        <v>1547</v>
      </c>
      <c r="O2275" s="122">
        <v>573</v>
      </c>
      <c r="P2275" s="122">
        <v>351</v>
      </c>
      <c r="Q2275" s="122">
        <v>130</v>
      </c>
      <c r="R2275" s="122">
        <v>7980</v>
      </c>
      <c r="S2275" s="122">
        <v>7255</v>
      </c>
      <c r="T2275" s="122">
        <v>0</v>
      </c>
      <c r="U2275" s="122">
        <v>0</v>
      </c>
      <c r="V2275" s="122">
        <v>27336</v>
      </c>
      <c r="W2275" s="122">
        <f t="shared" si="72"/>
        <v>27337</v>
      </c>
      <c r="X2275" s="122">
        <f t="shared" si="73"/>
        <v>31194</v>
      </c>
      <c r="AA2275" t="s">
        <v>64</v>
      </c>
      <c r="AB2275" t="s">
        <v>137</v>
      </c>
      <c r="AC2275" t="s">
        <v>566</v>
      </c>
      <c r="AD2275" t="s">
        <v>425</v>
      </c>
      <c r="AE2275" t="s">
        <v>566</v>
      </c>
      <c r="AF2275">
        <v>2</v>
      </c>
      <c r="AG2275">
        <v>99</v>
      </c>
      <c r="AH2275" s="122">
        <v>1450</v>
      </c>
      <c r="AI2275" s="122">
        <v>64223</v>
      </c>
      <c r="AJ2275" s="122">
        <v>23786</v>
      </c>
      <c r="AK2275">
        <v>100</v>
      </c>
      <c r="AL2275">
        <v>0</v>
      </c>
      <c r="AM2275" s="122">
        <v>0</v>
      </c>
      <c r="AN2275" s="122">
        <v>2176</v>
      </c>
      <c r="AO2275" s="122">
        <v>806</v>
      </c>
      <c r="AP2275">
        <v>0</v>
      </c>
      <c r="AQ2275">
        <v>0</v>
      </c>
      <c r="AR2275" s="122">
        <v>6073</v>
      </c>
      <c r="AS2275" s="122">
        <v>5521</v>
      </c>
      <c r="AT2275" s="122">
        <v>0</v>
      </c>
      <c r="AU2275">
        <v>0</v>
      </c>
      <c r="AV2275" s="122">
        <v>30113</v>
      </c>
    </row>
    <row r="2276" spans="2:48" hidden="1">
      <c r="B2276" t="s">
        <v>378</v>
      </c>
      <c r="C2276" t="s">
        <v>58</v>
      </c>
      <c r="D2276" t="s">
        <v>431</v>
      </c>
      <c r="E2276" t="s">
        <v>431</v>
      </c>
      <c r="F2276" s="122">
        <v>1</v>
      </c>
      <c r="G2276" s="122">
        <v>179</v>
      </c>
      <c r="H2276" s="122">
        <v>260</v>
      </c>
      <c r="I2276" s="122">
        <v>29268</v>
      </c>
      <c r="J2276" s="122">
        <v>26607</v>
      </c>
      <c r="K2276" s="122">
        <v>65</v>
      </c>
      <c r="L2276" s="122">
        <v>2467</v>
      </c>
      <c r="M2276" s="122">
        <v>2242</v>
      </c>
      <c r="N2276" s="122">
        <v>4137</v>
      </c>
      <c r="O2276" s="122">
        <v>1532</v>
      </c>
      <c r="P2276" s="122">
        <v>621</v>
      </c>
      <c r="Q2276" s="122">
        <v>230</v>
      </c>
      <c r="R2276" s="122">
        <v>6174</v>
      </c>
      <c r="S2276" s="122">
        <v>5613</v>
      </c>
      <c r="T2276" s="122">
        <v>3765</v>
      </c>
      <c r="U2276" s="122">
        <v>1394</v>
      </c>
      <c r="V2276" s="122">
        <v>37619</v>
      </c>
      <c r="W2276" s="122">
        <f t="shared" si="72"/>
        <v>37618</v>
      </c>
      <c r="X2276" s="122">
        <f t="shared" si="73"/>
        <v>46432</v>
      </c>
      <c r="AA2276" t="s">
        <v>64</v>
      </c>
      <c r="AB2276" t="s">
        <v>137</v>
      </c>
      <c r="AC2276" t="s">
        <v>566</v>
      </c>
      <c r="AD2276" t="s">
        <v>137</v>
      </c>
      <c r="AE2276" t="s">
        <v>137</v>
      </c>
      <c r="AF2276">
        <v>5</v>
      </c>
      <c r="AG2276" s="122">
        <v>463</v>
      </c>
      <c r="AH2276" s="122">
        <v>4090</v>
      </c>
      <c r="AI2276" s="122">
        <v>299219</v>
      </c>
      <c r="AJ2276" s="122">
        <v>110822</v>
      </c>
      <c r="AK2276">
        <v>100</v>
      </c>
      <c r="AL2276">
        <v>0</v>
      </c>
      <c r="AM2276" s="122">
        <v>4220</v>
      </c>
      <c r="AN2276" s="122">
        <v>11191</v>
      </c>
      <c r="AO2276" s="122">
        <v>4145</v>
      </c>
      <c r="AP2276">
        <v>0</v>
      </c>
      <c r="AQ2276">
        <v>0</v>
      </c>
      <c r="AR2276" s="122">
        <v>34863</v>
      </c>
      <c r="AS2276" s="122">
        <v>12912</v>
      </c>
      <c r="AT2276" s="122">
        <v>1304</v>
      </c>
      <c r="AU2276">
        <v>483</v>
      </c>
      <c r="AV2276" s="122">
        <v>132582</v>
      </c>
    </row>
    <row r="2277" spans="2:48" hidden="1">
      <c r="B2277" t="s">
        <v>378</v>
      </c>
      <c r="C2277" t="s">
        <v>58</v>
      </c>
      <c r="D2277" t="s">
        <v>426</v>
      </c>
      <c r="E2277" t="s">
        <v>426</v>
      </c>
      <c r="F2277" s="122">
        <v>16</v>
      </c>
      <c r="G2277" s="122">
        <v>2128</v>
      </c>
      <c r="H2277" s="122">
        <v>4452</v>
      </c>
      <c r="I2277" s="122">
        <v>381673</v>
      </c>
      <c r="J2277" s="122">
        <v>346976</v>
      </c>
      <c r="K2277" s="122">
        <v>66</v>
      </c>
      <c r="L2277" s="122">
        <v>47749</v>
      </c>
      <c r="M2277" s="122">
        <v>40014</v>
      </c>
      <c r="N2277" s="122">
        <v>39632</v>
      </c>
      <c r="O2277" s="122">
        <v>14679</v>
      </c>
      <c r="P2277" s="122">
        <v>7587</v>
      </c>
      <c r="Q2277" s="122">
        <v>2810</v>
      </c>
      <c r="R2277" s="122">
        <v>84331</v>
      </c>
      <c r="S2277" s="122">
        <v>76664</v>
      </c>
      <c r="T2277" s="122">
        <v>46661</v>
      </c>
      <c r="U2277" s="122">
        <v>17282</v>
      </c>
      <c r="V2277" s="122">
        <v>498425</v>
      </c>
      <c r="W2277" s="122">
        <f t="shared" si="72"/>
        <v>498425</v>
      </c>
      <c r="X2277" s="122">
        <f t="shared" si="73"/>
        <v>607633</v>
      </c>
      <c r="AA2277" t="s">
        <v>64</v>
      </c>
      <c r="AB2277" t="s">
        <v>137</v>
      </c>
      <c r="AC2277" t="s">
        <v>566</v>
      </c>
      <c r="AD2277" t="s">
        <v>137</v>
      </c>
      <c r="AE2277" t="s">
        <v>566</v>
      </c>
      <c r="AF2277">
        <v>211</v>
      </c>
      <c r="AG2277" s="122">
        <v>15784</v>
      </c>
      <c r="AH2277" s="122">
        <v>142322</v>
      </c>
      <c r="AI2277" s="122">
        <v>8797575</v>
      </c>
      <c r="AJ2277" s="122">
        <v>3258361</v>
      </c>
      <c r="AK2277">
        <v>100</v>
      </c>
      <c r="AL2277">
        <v>0</v>
      </c>
      <c r="AM2277" s="122">
        <v>1103185</v>
      </c>
      <c r="AN2277" s="122">
        <v>358472</v>
      </c>
      <c r="AO2277" s="122">
        <v>132767</v>
      </c>
      <c r="AP2277">
        <v>554</v>
      </c>
      <c r="AQ2277">
        <v>205</v>
      </c>
      <c r="AR2277" s="122">
        <v>1261220</v>
      </c>
      <c r="AS2277" s="122">
        <v>467118</v>
      </c>
      <c r="AT2277">
        <v>0</v>
      </c>
      <c r="AU2277">
        <v>0</v>
      </c>
      <c r="AV2277" s="122">
        <v>4961636</v>
      </c>
    </row>
    <row r="2278" spans="2:48" hidden="1">
      <c r="B2278" t="s">
        <v>378</v>
      </c>
      <c r="C2278" t="s">
        <v>58</v>
      </c>
      <c r="D2278" t="s">
        <v>433</v>
      </c>
      <c r="E2278" t="s">
        <v>433</v>
      </c>
      <c r="F2278" s="122">
        <v>3</v>
      </c>
      <c r="G2278" s="122">
        <v>365</v>
      </c>
      <c r="H2278" s="122">
        <v>855</v>
      </c>
      <c r="I2278" s="122">
        <v>74638</v>
      </c>
      <c r="J2278" s="122">
        <v>67853</v>
      </c>
      <c r="K2278" s="122">
        <v>65</v>
      </c>
      <c r="L2278" s="122">
        <v>12547</v>
      </c>
      <c r="M2278" s="122">
        <v>9556</v>
      </c>
      <c r="N2278" s="122">
        <v>9234</v>
      </c>
      <c r="O2278" s="122">
        <v>3420</v>
      </c>
      <c r="P2278" s="122">
        <v>1323</v>
      </c>
      <c r="Q2278" s="122">
        <v>490</v>
      </c>
      <c r="R2278" s="122">
        <v>20835</v>
      </c>
      <c r="S2278" s="122">
        <v>18941</v>
      </c>
      <c r="T2278" s="122">
        <v>0</v>
      </c>
      <c r="U2278" s="122">
        <v>0</v>
      </c>
      <c r="V2278" s="122">
        <v>100260</v>
      </c>
      <c r="W2278" s="122">
        <f t="shared" si="72"/>
        <v>100260</v>
      </c>
      <c r="X2278" s="122">
        <f t="shared" si="73"/>
        <v>118577</v>
      </c>
      <c r="AA2278" t="s">
        <v>64</v>
      </c>
      <c r="AB2278" t="s">
        <v>137</v>
      </c>
      <c r="AC2278" t="s">
        <v>566</v>
      </c>
      <c r="AD2278" t="s">
        <v>406</v>
      </c>
      <c r="AE2278" t="s">
        <v>566</v>
      </c>
      <c r="AF2278">
        <v>1</v>
      </c>
      <c r="AG2278">
        <v>33</v>
      </c>
      <c r="AH2278">
        <v>506</v>
      </c>
      <c r="AI2278" s="122">
        <v>13046</v>
      </c>
      <c r="AJ2278" s="122">
        <v>4832</v>
      </c>
      <c r="AK2278">
        <v>100</v>
      </c>
      <c r="AL2278">
        <v>0</v>
      </c>
      <c r="AM2278" s="122">
        <v>0</v>
      </c>
      <c r="AN2278" s="122">
        <v>408</v>
      </c>
      <c r="AO2278">
        <v>151</v>
      </c>
      <c r="AP2278">
        <v>0</v>
      </c>
      <c r="AQ2278">
        <v>0</v>
      </c>
      <c r="AR2278" s="122">
        <v>3501</v>
      </c>
      <c r="AS2278" s="122">
        <v>3183</v>
      </c>
      <c r="AT2278">
        <v>0</v>
      </c>
      <c r="AU2278">
        <v>0</v>
      </c>
      <c r="AV2278" s="122">
        <v>8165</v>
      </c>
    </row>
    <row r="2279" spans="2:48" hidden="1">
      <c r="B2279" t="s">
        <v>378</v>
      </c>
      <c r="C2279" t="s">
        <v>58</v>
      </c>
      <c r="D2279" t="s">
        <v>408</v>
      </c>
      <c r="E2279" t="s">
        <v>408</v>
      </c>
      <c r="F2279" s="122">
        <v>9</v>
      </c>
      <c r="G2279" s="122">
        <v>1675</v>
      </c>
      <c r="H2279" s="122">
        <v>2350</v>
      </c>
      <c r="I2279" s="122">
        <v>290137</v>
      </c>
      <c r="J2279" s="122">
        <v>263761</v>
      </c>
      <c r="K2279" s="122">
        <v>74</v>
      </c>
      <c r="L2279" s="122">
        <v>44985</v>
      </c>
      <c r="M2279" s="122">
        <v>40895</v>
      </c>
      <c r="N2279" s="122">
        <v>31691</v>
      </c>
      <c r="O2279" s="122">
        <v>11737</v>
      </c>
      <c r="P2279" s="122">
        <v>4671</v>
      </c>
      <c r="Q2279" s="122">
        <v>1730</v>
      </c>
      <c r="R2279" s="122">
        <v>54976</v>
      </c>
      <c r="S2279" s="122">
        <v>49978</v>
      </c>
      <c r="T2279" s="122">
        <v>6986</v>
      </c>
      <c r="U2279" s="122">
        <v>2588</v>
      </c>
      <c r="V2279" s="122">
        <v>370689</v>
      </c>
      <c r="W2279" s="122">
        <f t="shared" si="72"/>
        <v>370689</v>
      </c>
      <c r="X2279" s="122">
        <f t="shared" si="73"/>
        <v>433446</v>
      </c>
      <c r="AA2279" t="s">
        <v>64</v>
      </c>
      <c r="AB2279" t="s">
        <v>137</v>
      </c>
      <c r="AC2279" t="s">
        <v>566</v>
      </c>
      <c r="AD2279" t="s">
        <v>427</v>
      </c>
      <c r="AE2279" t="s">
        <v>137</v>
      </c>
      <c r="AF2279">
        <v>1</v>
      </c>
      <c r="AG2279">
        <v>79</v>
      </c>
      <c r="AH2279">
        <v>701</v>
      </c>
      <c r="AI2279" s="122">
        <v>42925</v>
      </c>
      <c r="AJ2279" s="122">
        <v>15898</v>
      </c>
      <c r="AK2279">
        <v>100</v>
      </c>
      <c r="AL2279">
        <v>0</v>
      </c>
      <c r="AM2279" s="122">
        <v>2718</v>
      </c>
      <c r="AN2279" s="122">
        <v>1919</v>
      </c>
      <c r="AO2279" s="122">
        <v>711</v>
      </c>
      <c r="AP2279">
        <v>0</v>
      </c>
      <c r="AQ2279">
        <v>0</v>
      </c>
      <c r="AR2279" s="122">
        <v>10377</v>
      </c>
      <c r="AS2279" s="122">
        <v>9433</v>
      </c>
      <c r="AT2279">
        <v>0</v>
      </c>
      <c r="AU2279">
        <v>0</v>
      </c>
      <c r="AV2279" s="122">
        <v>28760</v>
      </c>
    </row>
    <row r="2280" spans="2:48" hidden="1">
      <c r="B2280" t="s">
        <v>378</v>
      </c>
      <c r="C2280" t="s">
        <v>58</v>
      </c>
      <c r="D2280" t="s">
        <v>429</v>
      </c>
      <c r="E2280" t="s">
        <v>429</v>
      </c>
      <c r="F2280" s="122">
        <v>2</v>
      </c>
      <c r="G2280" s="122">
        <v>341</v>
      </c>
      <c r="H2280" s="122">
        <v>506</v>
      </c>
      <c r="I2280" s="122">
        <v>56143</v>
      </c>
      <c r="J2280" s="122">
        <v>51039</v>
      </c>
      <c r="K2280" s="122">
        <v>65</v>
      </c>
      <c r="L2280" s="122">
        <v>6520</v>
      </c>
      <c r="M2280" s="122">
        <v>5927</v>
      </c>
      <c r="N2280" s="122">
        <v>6399</v>
      </c>
      <c r="O2280" s="122">
        <v>2370</v>
      </c>
      <c r="P2280" s="122">
        <v>1053</v>
      </c>
      <c r="Q2280" s="122">
        <v>390</v>
      </c>
      <c r="R2280" s="122">
        <v>10462</v>
      </c>
      <c r="S2280" s="122">
        <v>9511</v>
      </c>
      <c r="T2280" s="122">
        <v>5483</v>
      </c>
      <c r="U2280" s="122">
        <v>2031</v>
      </c>
      <c r="V2280" s="122">
        <v>71267</v>
      </c>
      <c r="W2280" s="122">
        <f t="shared" si="72"/>
        <v>71268</v>
      </c>
      <c r="X2280" s="122">
        <f t="shared" si="73"/>
        <v>86060</v>
      </c>
      <c r="AA2280" t="s">
        <v>64</v>
      </c>
      <c r="AB2280" t="s">
        <v>137</v>
      </c>
      <c r="AC2280" t="s">
        <v>566</v>
      </c>
      <c r="AD2280" t="s">
        <v>431</v>
      </c>
      <c r="AE2280" t="s">
        <v>566</v>
      </c>
      <c r="AF2280">
        <v>1</v>
      </c>
      <c r="AG2280">
        <v>124</v>
      </c>
      <c r="AH2280" s="122">
        <v>760</v>
      </c>
      <c r="AI2280" s="122">
        <v>74659</v>
      </c>
      <c r="AJ2280" s="122">
        <v>27652</v>
      </c>
      <c r="AK2280">
        <v>100</v>
      </c>
      <c r="AL2280">
        <v>0</v>
      </c>
      <c r="AM2280" s="122">
        <v>0</v>
      </c>
      <c r="AN2280" s="122">
        <v>2820</v>
      </c>
      <c r="AO2280" s="122">
        <v>1045</v>
      </c>
      <c r="AP2280">
        <v>0</v>
      </c>
      <c r="AQ2280">
        <v>0</v>
      </c>
      <c r="AR2280" s="122">
        <v>16556</v>
      </c>
      <c r="AS2280" s="122">
        <v>15051</v>
      </c>
      <c r="AT2280" s="122">
        <v>0</v>
      </c>
      <c r="AU2280">
        <v>0</v>
      </c>
      <c r="AV2280" s="122">
        <v>43747</v>
      </c>
    </row>
    <row r="2281" spans="2:48" hidden="1">
      <c r="B2281" t="s">
        <v>378</v>
      </c>
      <c r="C2281" t="s">
        <v>60</v>
      </c>
      <c r="F2281" s="122">
        <v>1</v>
      </c>
      <c r="G2281" s="122">
        <v>142</v>
      </c>
      <c r="H2281" s="122">
        <v>347</v>
      </c>
      <c r="I2281" s="122"/>
      <c r="J2281" s="122">
        <v>0</v>
      </c>
      <c r="K2281" s="122"/>
      <c r="L2281" s="122"/>
      <c r="M2281" s="122">
        <v>0</v>
      </c>
      <c r="N2281" s="122">
        <v>3192</v>
      </c>
      <c r="O2281" s="122">
        <v>1182</v>
      </c>
      <c r="P2281" s="122">
        <v>621</v>
      </c>
      <c r="Q2281" s="122">
        <v>230</v>
      </c>
      <c r="R2281" s="122"/>
      <c r="S2281" s="122">
        <v>0</v>
      </c>
      <c r="T2281" s="122">
        <v>0</v>
      </c>
      <c r="U2281" s="122">
        <v>0</v>
      </c>
      <c r="V2281" s="122">
        <v>1412</v>
      </c>
      <c r="W2281" s="122">
        <f t="shared" si="72"/>
        <v>1412</v>
      </c>
      <c r="X2281" s="122">
        <f t="shared" si="73"/>
        <v>3813</v>
      </c>
      <c r="AA2281" t="s">
        <v>64</v>
      </c>
      <c r="AB2281" t="s">
        <v>137</v>
      </c>
      <c r="AC2281" t="s">
        <v>566</v>
      </c>
      <c r="AD2281" t="s">
        <v>426</v>
      </c>
      <c r="AE2281" t="s">
        <v>137</v>
      </c>
      <c r="AF2281">
        <v>2</v>
      </c>
      <c r="AG2281">
        <v>180</v>
      </c>
      <c r="AH2281" s="122">
        <v>1423</v>
      </c>
      <c r="AI2281" s="122">
        <v>105414</v>
      </c>
      <c r="AJ2281" s="122">
        <v>39042</v>
      </c>
      <c r="AK2281">
        <v>100</v>
      </c>
      <c r="AL2281">
        <v>0</v>
      </c>
      <c r="AM2281" s="122">
        <v>8318</v>
      </c>
      <c r="AN2281" s="122">
        <v>4098</v>
      </c>
      <c r="AO2281" s="122">
        <v>1518</v>
      </c>
      <c r="AP2281">
        <v>270</v>
      </c>
      <c r="AQ2281">
        <v>100</v>
      </c>
      <c r="AR2281" s="122">
        <v>9531</v>
      </c>
      <c r="AS2281" s="122">
        <v>8665</v>
      </c>
      <c r="AT2281" s="122">
        <v>1477</v>
      </c>
      <c r="AU2281">
        <v>547</v>
      </c>
      <c r="AV2281" s="122">
        <v>58191</v>
      </c>
    </row>
    <row r="2282" spans="2:48" hidden="1">
      <c r="B2282" t="s">
        <v>378</v>
      </c>
      <c r="C2282" t="s">
        <v>60</v>
      </c>
      <c r="D2282" t="s">
        <v>405</v>
      </c>
      <c r="E2282" t="s">
        <v>405</v>
      </c>
      <c r="F2282" s="122">
        <v>8</v>
      </c>
      <c r="G2282" s="122">
        <v>813</v>
      </c>
      <c r="H2282" s="122">
        <v>2625</v>
      </c>
      <c r="I2282" s="122">
        <v>188759</v>
      </c>
      <c r="J2282" s="122">
        <v>171599</v>
      </c>
      <c r="K2282" s="122">
        <v>81</v>
      </c>
      <c r="L2282" s="122">
        <v>37743</v>
      </c>
      <c r="M2282" s="122">
        <v>34312</v>
      </c>
      <c r="N2282" s="122">
        <v>17326</v>
      </c>
      <c r="O2282" s="122">
        <v>6417</v>
      </c>
      <c r="P2282" s="122">
        <v>3780</v>
      </c>
      <c r="Q2282" s="122">
        <v>1400</v>
      </c>
      <c r="R2282" s="122">
        <v>41098</v>
      </c>
      <c r="S2282" s="122">
        <v>37362</v>
      </c>
      <c r="T2282" s="122">
        <v>7333</v>
      </c>
      <c r="U2282" s="122">
        <v>2716</v>
      </c>
      <c r="V2282" s="122">
        <v>253805</v>
      </c>
      <c r="W2282" s="122">
        <f t="shared" si="72"/>
        <v>253806</v>
      </c>
      <c r="X2282" s="122">
        <f t="shared" si="73"/>
        <v>296039</v>
      </c>
      <c r="AA2282" t="s">
        <v>64</v>
      </c>
      <c r="AB2282" t="s">
        <v>137</v>
      </c>
      <c r="AC2282" t="s">
        <v>566</v>
      </c>
      <c r="AD2282" t="s">
        <v>426</v>
      </c>
      <c r="AE2282" t="s">
        <v>566</v>
      </c>
      <c r="AF2282">
        <v>1</v>
      </c>
      <c r="AG2282">
        <v>126</v>
      </c>
      <c r="AH2282" s="122">
        <v>787</v>
      </c>
      <c r="AI2282" s="122">
        <v>89119</v>
      </c>
      <c r="AJ2282" s="122">
        <v>33007</v>
      </c>
      <c r="AK2282">
        <v>100</v>
      </c>
      <c r="AL2282" s="122">
        <v>0</v>
      </c>
      <c r="AM2282" s="122">
        <v>5642</v>
      </c>
      <c r="AN2282" s="122">
        <v>3062</v>
      </c>
      <c r="AO2282" s="122">
        <v>1134</v>
      </c>
      <c r="AP2282">
        <v>351</v>
      </c>
      <c r="AQ2282">
        <v>130</v>
      </c>
      <c r="AR2282" s="122">
        <v>6428</v>
      </c>
      <c r="AS2282" s="122">
        <v>5844</v>
      </c>
      <c r="AT2282">
        <v>0</v>
      </c>
      <c r="AU2282">
        <v>0</v>
      </c>
      <c r="AV2282" s="122">
        <v>45757</v>
      </c>
    </row>
    <row r="2283" spans="2:48" hidden="1">
      <c r="B2283" t="s">
        <v>378</v>
      </c>
      <c r="C2283" t="s">
        <v>60</v>
      </c>
      <c r="D2283" t="s">
        <v>137</v>
      </c>
      <c r="E2283" t="s">
        <v>137</v>
      </c>
      <c r="F2283" s="122">
        <v>13</v>
      </c>
      <c r="G2283" s="122">
        <v>1699</v>
      </c>
      <c r="H2283" s="122">
        <v>4585</v>
      </c>
      <c r="I2283" s="122">
        <v>438517</v>
      </c>
      <c r="J2283" s="122">
        <v>162414</v>
      </c>
      <c r="K2283" s="122">
        <v>100</v>
      </c>
      <c r="L2283" s="122">
        <v>40375</v>
      </c>
      <c r="M2283" s="122">
        <v>32341</v>
      </c>
      <c r="N2283" s="122">
        <v>31856</v>
      </c>
      <c r="O2283" s="122">
        <v>11798</v>
      </c>
      <c r="P2283" s="122">
        <v>835</v>
      </c>
      <c r="Q2283" s="122">
        <v>309</v>
      </c>
      <c r="R2283" s="122">
        <v>101089</v>
      </c>
      <c r="S2283" s="122">
        <v>37440</v>
      </c>
      <c r="T2283" s="122">
        <v>0</v>
      </c>
      <c r="U2283" s="122">
        <v>0</v>
      </c>
      <c r="V2283" s="122">
        <v>244302</v>
      </c>
      <c r="W2283" s="122">
        <f t="shared" si="72"/>
        <v>244302</v>
      </c>
      <c r="X2283" s="122">
        <f t="shared" si="73"/>
        <v>612672</v>
      </c>
      <c r="AA2283" t="s">
        <v>64</v>
      </c>
      <c r="AB2283" t="s">
        <v>137</v>
      </c>
      <c r="AC2283" t="s">
        <v>481</v>
      </c>
      <c r="AD2283" t="s">
        <v>137</v>
      </c>
      <c r="AE2283" t="s">
        <v>566</v>
      </c>
      <c r="AF2283">
        <v>3</v>
      </c>
      <c r="AG2283">
        <v>334</v>
      </c>
      <c r="AH2283" s="122">
        <v>1870</v>
      </c>
      <c r="AI2283" s="122">
        <v>162235</v>
      </c>
      <c r="AJ2283" s="122">
        <v>60087</v>
      </c>
      <c r="AK2283">
        <v>100</v>
      </c>
      <c r="AL2283" s="122">
        <v>29346</v>
      </c>
      <c r="AM2283" s="122">
        <v>26678</v>
      </c>
      <c r="AN2283" s="122">
        <v>7846</v>
      </c>
      <c r="AO2283" s="122">
        <v>2906</v>
      </c>
      <c r="AP2283">
        <v>0</v>
      </c>
      <c r="AQ2283">
        <v>0</v>
      </c>
      <c r="AR2283" s="122">
        <v>23881</v>
      </c>
      <c r="AS2283" s="122">
        <v>8845</v>
      </c>
      <c r="AT2283" s="122">
        <v>0</v>
      </c>
      <c r="AU2283" s="122">
        <v>0</v>
      </c>
      <c r="AV2283" s="122">
        <v>98516</v>
      </c>
    </row>
    <row r="2284" spans="2:48" hidden="1">
      <c r="B2284" t="s">
        <v>378</v>
      </c>
      <c r="C2284" t="s">
        <v>60</v>
      </c>
      <c r="D2284" t="s">
        <v>137</v>
      </c>
      <c r="E2284" t="s">
        <v>406</v>
      </c>
      <c r="F2284" s="122">
        <v>1</v>
      </c>
      <c r="G2284" s="122">
        <v>160</v>
      </c>
      <c r="H2284" s="122">
        <v>375</v>
      </c>
      <c r="I2284" s="122">
        <v>71632</v>
      </c>
      <c r="J2284" s="122">
        <v>26530</v>
      </c>
      <c r="K2284" s="122">
        <v>100</v>
      </c>
      <c r="L2284" s="122">
        <v>4632</v>
      </c>
      <c r="M2284" s="122">
        <v>4211</v>
      </c>
      <c r="N2284" s="122">
        <v>5951</v>
      </c>
      <c r="O2284" s="122">
        <v>2204</v>
      </c>
      <c r="P2284" s="122">
        <v>621</v>
      </c>
      <c r="Q2284" s="122">
        <v>230</v>
      </c>
      <c r="R2284" s="122">
        <v>8785</v>
      </c>
      <c r="S2284" s="122">
        <v>7986</v>
      </c>
      <c r="T2284" s="122">
        <v>0</v>
      </c>
      <c r="U2284" s="122">
        <v>0</v>
      </c>
      <c r="V2284" s="122">
        <v>41162</v>
      </c>
      <c r="W2284" s="122">
        <f t="shared" si="72"/>
        <v>41161</v>
      </c>
      <c r="X2284" s="122">
        <f t="shared" si="73"/>
        <v>91621</v>
      </c>
      <c r="AA2284" t="s">
        <v>64</v>
      </c>
      <c r="AB2284" t="s">
        <v>137</v>
      </c>
      <c r="AC2284" t="s">
        <v>433</v>
      </c>
      <c r="AD2284" t="s">
        <v>137</v>
      </c>
      <c r="AE2284" t="s">
        <v>137</v>
      </c>
      <c r="AF2284">
        <v>10</v>
      </c>
      <c r="AG2284" s="122">
        <v>781</v>
      </c>
      <c r="AH2284" s="122">
        <v>7681</v>
      </c>
      <c r="AI2284" s="122">
        <v>439985</v>
      </c>
      <c r="AJ2284" s="122">
        <v>162957</v>
      </c>
      <c r="AK2284">
        <v>100</v>
      </c>
      <c r="AL2284" s="122">
        <v>55688</v>
      </c>
      <c r="AM2284" s="122">
        <v>50625</v>
      </c>
      <c r="AN2284" s="122">
        <v>15304</v>
      </c>
      <c r="AO2284" s="122">
        <v>5668</v>
      </c>
      <c r="AP2284">
        <v>351</v>
      </c>
      <c r="AQ2284">
        <v>130</v>
      </c>
      <c r="AR2284" s="122">
        <v>70415</v>
      </c>
      <c r="AS2284" s="122">
        <v>26080</v>
      </c>
      <c r="AT2284" s="122">
        <v>7265</v>
      </c>
      <c r="AU2284" s="122">
        <v>2691</v>
      </c>
      <c r="AV2284" s="122">
        <v>248151</v>
      </c>
    </row>
    <row r="2285" spans="2:48" hidden="1">
      <c r="B2285" t="s">
        <v>378</v>
      </c>
      <c r="C2285" t="s">
        <v>60</v>
      </c>
      <c r="D2285" t="s">
        <v>406</v>
      </c>
      <c r="E2285" t="s">
        <v>425</v>
      </c>
      <c r="F2285" s="122">
        <v>1</v>
      </c>
      <c r="G2285" s="122">
        <v>110</v>
      </c>
      <c r="H2285" s="122">
        <v>356</v>
      </c>
      <c r="I2285" s="122">
        <v>26272</v>
      </c>
      <c r="J2285" s="122">
        <v>23884</v>
      </c>
      <c r="K2285" s="122">
        <v>79</v>
      </c>
      <c r="L2285" s="122">
        <v>3981</v>
      </c>
      <c r="M2285" s="122">
        <v>3619</v>
      </c>
      <c r="N2285" s="122">
        <v>2252</v>
      </c>
      <c r="O2285" s="122">
        <v>834</v>
      </c>
      <c r="P2285" s="122">
        <v>621</v>
      </c>
      <c r="Q2285" s="122">
        <v>230</v>
      </c>
      <c r="R2285" s="122">
        <v>5988</v>
      </c>
      <c r="S2285" s="122">
        <v>5443</v>
      </c>
      <c r="T2285" s="122">
        <v>0</v>
      </c>
      <c r="U2285" s="122">
        <v>0</v>
      </c>
      <c r="V2285" s="122">
        <v>34009</v>
      </c>
      <c r="W2285" s="122">
        <f t="shared" si="72"/>
        <v>34010</v>
      </c>
      <c r="X2285" s="122">
        <f t="shared" si="73"/>
        <v>39114</v>
      </c>
      <c r="AA2285" t="s">
        <v>64</v>
      </c>
      <c r="AB2285" t="s">
        <v>137</v>
      </c>
      <c r="AC2285" t="s">
        <v>433</v>
      </c>
      <c r="AD2285" t="s">
        <v>137</v>
      </c>
      <c r="AE2285" t="s">
        <v>566</v>
      </c>
      <c r="AF2285">
        <v>50</v>
      </c>
      <c r="AG2285" s="122">
        <v>4856</v>
      </c>
      <c r="AH2285" s="122">
        <v>37010</v>
      </c>
      <c r="AI2285" s="122">
        <v>2757683</v>
      </c>
      <c r="AJ2285" s="122">
        <v>1021364</v>
      </c>
      <c r="AK2285">
        <v>100</v>
      </c>
      <c r="AL2285" s="122">
        <v>378523</v>
      </c>
      <c r="AM2285" s="122">
        <v>344112</v>
      </c>
      <c r="AN2285" s="122">
        <v>102134</v>
      </c>
      <c r="AO2285" s="122">
        <v>37827</v>
      </c>
      <c r="AP2285">
        <v>0</v>
      </c>
      <c r="AQ2285">
        <v>0</v>
      </c>
      <c r="AR2285" s="122">
        <v>372085</v>
      </c>
      <c r="AS2285" s="122">
        <v>137809</v>
      </c>
      <c r="AT2285">
        <v>0</v>
      </c>
      <c r="AU2285">
        <v>0</v>
      </c>
      <c r="AV2285" s="122">
        <v>1541113</v>
      </c>
    </row>
    <row r="2286" spans="2:48" hidden="1">
      <c r="B2286" t="s">
        <v>378</v>
      </c>
      <c r="C2286" t="s">
        <v>60</v>
      </c>
      <c r="D2286" t="s">
        <v>406</v>
      </c>
      <c r="E2286" t="s">
        <v>137</v>
      </c>
      <c r="F2286" s="122">
        <v>6</v>
      </c>
      <c r="G2286" s="122">
        <v>751</v>
      </c>
      <c r="H2286" s="122">
        <v>1953</v>
      </c>
      <c r="I2286" s="122">
        <v>139956</v>
      </c>
      <c r="J2286" s="122">
        <v>127233</v>
      </c>
      <c r="K2286" s="122">
        <v>82</v>
      </c>
      <c r="L2286" s="122">
        <v>34743</v>
      </c>
      <c r="M2286" s="122">
        <v>28343</v>
      </c>
      <c r="N2286" s="122">
        <v>15252</v>
      </c>
      <c r="O2286" s="122">
        <v>5649</v>
      </c>
      <c r="P2286" s="122">
        <v>4028</v>
      </c>
      <c r="Q2286" s="122">
        <v>1492</v>
      </c>
      <c r="R2286" s="122">
        <v>47025</v>
      </c>
      <c r="S2286" s="122">
        <v>17417</v>
      </c>
      <c r="T2286" s="122">
        <v>0</v>
      </c>
      <c r="U2286" s="122">
        <v>0</v>
      </c>
      <c r="V2286" s="122">
        <v>180133</v>
      </c>
      <c r="W2286" s="122">
        <f t="shared" si="72"/>
        <v>180134</v>
      </c>
      <c r="X2286" s="122">
        <f t="shared" si="73"/>
        <v>241004</v>
      </c>
      <c r="AA2286" t="s">
        <v>64</v>
      </c>
      <c r="AB2286" t="s">
        <v>137</v>
      </c>
      <c r="AC2286" t="s">
        <v>433</v>
      </c>
      <c r="AD2286" t="s">
        <v>433</v>
      </c>
      <c r="AE2286" t="s">
        <v>566</v>
      </c>
      <c r="AF2286">
        <v>2</v>
      </c>
      <c r="AG2286">
        <v>202</v>
      </c>
      <c r="AH2286" s="122">
        <v>1869</v>
      </c>
      <c r="AI2286" s="122">
        <v>136173</v>
      </c>
      <c r="AJ2286" s="122">
        <v>50435</v>
      </c>
      <c r="AK2286">
        <v>100</v>
      </c>
      <c r="AL2286" s="122">
        <v>24109</v>
      </c>
      <c r="AM2286" s="122">
        <v>21917</v>
      </c>
      <c r="AN2286" s="122">
        <v>4913</v>
      </c>
      <c r="AO2286" s="122">
        <v>1820</v>
      </c>
      <c r="AP2286">
        <v>0</v>
      </c>
      <c r="AQ2286">
        <v>0</v>
      </c>
      <c r="AR2286" s="122">
        <v>20242</v>
      </c>
      <c r="AS2286" s="122">
        <v>18401</v>
      </c>
      <c r="AT2286" s="122">
        <v>0</v>
      </c>
      <c r="AU2286" s="122">
        <v>0</v>
      </c>
      <c r="AV2286" s="122">
        <v>92573</v>
      </c>
    </row>
    <row r="2287" spans="2:48" hidden="1">
      <c r="B2287" t="s">
        <v>378</v>
      </c>
      <c r="C2287" t="s">
        <v>60</v>
      </c>
      <c r="D2287" t="s">
        <v>406</v>
      </c>
      <c r="E2287" t="s">
        <v>406</v>
      </c>
      <c r="F2287" s="122">
        <v>838</v>
      </c>
      <c r="G2287" s="122">
        <v>108295</v>
      </c>
      <c r="H2287" s="122">
        <v>284459</v>
      </c>
      <c r="I2287" s="122">
        <v>23457560</v>
      </c>
      <c r="J2287" s="122">
        <v>21325054</v>
      </c>
      <c r="K2287" s="122">
        <v>76</v>
      </c>
      <c r="L2287" s="122">
        <v>4770200</v>
      </c>
      <c r="M2287" s="122">
        <v>4248361</v>
      </c>
      <c r="N2287" s="122">
        <v>2223920</v>
      </c>
      <c r="O2287" s="122">
        <v>823674</v>
      </c>
      <c r="P2287" s="122">
        <v>543304</v>
      </c>
      <c r="Q2287" s="122">
        <v>201224</v>
      </c>
      <c r="R2287" s="122">
        <v>4614481</v>
      </c>
      <c r="S2287" s="122">
        <v>4194983</v>
      </c>
      <c r="T2287" s="122">
        <v>1450973</v>
      </c>
      <c r="U2287" s="122">
        <v>537397</v>
      </c>
      <c r="V2287" s="122">
        <v>31330693</v>
      </c>
      <c r="W2287" s="122">
        <f t="shared" si="72"/>
        <v>31330693</v>
      </c>
      <c r="X2287" s="122">
        <f t="shared" si="73"/>
        <v>37060438</v>
      </c>
      <c r="AA2287" t="s">
        <v>64</v>
      </c>
      <c r="AB2287" t="s">
        <v>137</v>
      </c>
      <c r="AC2287" t="s">
        <v>429</v>
      </c>
      <c r="AD2287" t="s">
        <v>137</v>
      </c>
      <c r="AE2287" t="s">
        <v>137</v>
      </c>
      <c r="AF2287">
        <v>1</v>
      </c>
      <c r="AG2287">
        <v>120</v>
      </c>
      <c r="AH2287" s="122">
        <v>846</v>
      </c>
      <c r="AI2287" s="122">
        <v>82183</v>
      </c>
      <c r="AJ2287" s="122">
        <v>30438</v>
      </c>
      <c r="AK2287">
        <v>100</v>
      </c>
      <c r="AL2287" s="122">
        <v>6200</v>
      </c>
      <c r="AM2287" s="122">
        <v>5637</v>
      </c>
      <c r="AN2287" s="122">
        <v>1974</v>
      </c>
      <c r="AO2287" s="122">
        <v>731</v>
      </c>
      <c r="AP2287">
        <v>0</v>
      </c>
      <c r="AQ2287">
        <v>0</v>
      </c>
      <c r="AR2287" s="122">
        <v>8181</v>
      </c>
      <c r="AS2287" s="122">
        <v>3030</v>
      </c>
      <c r="AT2287" s="122">
        <v>2943</v>
      </c>
      <c r="AU2287" s="122">
        <v>1090</v>
      </c>
      <c r="AV2287" s="122">
        <v>40926</v>
      </c>
    </row>
    <row r="2288" spans="2:48" hidden="1">
      <c r="B2288" t="s">
        <v>378</v>
      </c>
      <c r="C2288" t="s">
        <v>60</v>
      </c>
      <c r="D2288" t="s">
        <v>406</v>
      </c>
      <c r="E2288" t="s">
        <v>427</v>
      </c>
      <c r="F2288" s="122">
        <v>1</v>
      </c>
      <c r="G2288" s="122">
        <v>131</v>
      </c>
      <c r="H2288" s="122">
        <v>309</v>
      </c>
      <c r="I2288" s="122">
        <v>25730</v>
      </c>
      <c r="J2288" s="122">
        <v>23391</v>
      </c>
      <c r="K2288" s="122">
        <v>72</v>
      </c>
      <c r="L2288" s="122">
        <v>3743</v>
      </c>
      <c r="M2288" s="122">
        <v>3402</v>
      </c>
      <c r="N2288" s="122">
        <v>3156</v>
      </c>
      <c r="O2288" s="122">
        <v>1169</v>
      </c>
      <c r="P2288" s="122">
        <v>1194</v>
      </c>
      <c r="Q2288" s="122">
        <v>442</v>
      </c>
      <c r="R2288" s="122">
        <v>4375</v>
      </c>
      <c r="S2288" s="122">
        <v>3977</v>
      </c>
      <c r="T2288" s="122">
        <v>2365</v>
      </c>
      <c r="U2288" s="122">
        <v>876</v>
      </c>
      <c r="V2288" s="122">
        <v>33258</v>
      </c>
      <c r="W2288" s="122">
        <f t="shared" si="72"/>
        <v>33257</v>
      </c>
      <c r="X2288" s="122">
        <f t="shared" si="73"/>
        <v>40563</v>
      </c>
      <c r="AA2288" t="s">
        <v>64</v>
      </c>
      <c r="AB2288" t="s">
        <v>137</v>
      </c>
      <c r="AC2288" t="s">
        <v>429</v>
      </c>
      <c r="AD2288" t="s">
        <v>137</v>
      </c>
      <c r="AE2288" t="s">
        <v>566</v>
      </c>
      <c r="AF2288">
        <v>5</v>
      </c>
      <c r="AG2288">
        <v>511</v>
      </c>
      <c r="AH2288" s="122">
        <v>2941</v>
      </c>
      <c r="AI2288" s="122">
        <v>242142</v>
      </c>
      <c r="AJ2288" s="122">
        <v>89682</v>
      </c>
      <c r="AK2288">
        <v>100</v>
      </c>
      <c r="AL2288" s="122">
        <v>22462</v>
      </c>
      <c r="AM2288" s="122">
        <v>20420</v>
      </c>
      <c r="AN2288" s="122">
        <v>8251</v>
      </c>
      <c r="AO2288" s="122">
        <v>3056</v>
      </c>
      <c r="AP2288" s="122">
        <v>0</v>
      </c>
      <c r="AQ2288" s="122">
        <v>0</v>
      </c>
      <c r="AR2288" s="122">
        <v>38874</v>
      </c>
      <c r="AS2288" s="122">
        <v>14398</v>
      </c>
      <c r="AT2288" s="122">
        <v>0</v>
      </c>
      <c r="AU2288" s="122">
        <v>0</v>
      </c>
      <c r="AV2288" s="122">
        <v>127556</v>
      </c>
    </row>
    <row r="2289" spans="2:48" hidden="1">
      <c r="B2289" t="s">
        <v>378</v>
      </c>
      <c r="C2289" t="s">
        <v>60</v>
      </c>
      <c r="D2289" t="s">
        <v>406</v>
      </c>
      <c r="E2289" t="s">
        <v>407</v>
      </c>
      <c r="F2289" s="122">
        <v>1</v>
      </c>
      <c r="G2289" s="122">
        <v>135</v>
      </c>
      <c r="H2289" s="122">
        <v>312</v>
      </c>
      <c r="I2289" s="122">
        <v>26524</v>
      </c>
      <c r="J2289" s="122">
        <v>24112</v>
      </c>
      <c r="K2289" s="122">
        <v>70</v>
      </c>
      <c r="L2289" s="122">
        <v>3111</v>
      </c>
      <c r="M2289" s="122">
        <v>2828</v>
      </c>
      <c r="N2289" s="122">
        <v>2344</v>
      </c>
      <c r="O2289" s="122">
        <v>868</v>
      </c>
      <c r="P2289" s="122">
        <v>621</v>
      </c>
      <c r="Q2289" s="122">
        <v>230</v>
      </c>
      <c r="R2289" s="122">
        <v>5779</v>
      </c>
      <c r="S2289" s="122">
        <v>5254</v>
      </c>
      <c r="T2289" s="122">
        <v>3559</v>
      </c>
      <c r="U2289" s="122">
        <v>1318</v>
      </c>
      <c r="V2289" s="122">
        <v>34611</v>
      </c>
      <c r="W2289" s="122">
        <f t="shared" si="72"/>
        <v>34610</v>
      </c>
      <c r="X2289" s="122">
        <f t="shared" si="73"/>
        <v>41938</v>
      </c>
      <c r="AA2289" t="s">
        <v>64</v>
      </c>
      <c r="AB2289" t="s">
        <v>406</v>
      </c>
      <c r="AC2289" t="s">
        <v>578</v>
      </c>
      <c r="AD2289" t="s">
        <v>406</v>
      </c>
      <c r="AE2289" t="s">
        <v>137</v>
      </c>
      <c r="AF2289">
        <v>6</v>
      </c>
      <c r="AG2289">
        <v>731</v>
      </c>
      <c r="AH2289" s="122">
        <v>3234</v>
      </c>
      <c r="AI2289" s="122">
        <v>272432</v>
      </c>
      <c r="AJ2289" s="122">
        <v>247665</v>
      </c>
      <c r="AK2289">
        <v>76</v>
      </c>
      <c r="AL2289" s="122">
        <v>46108</v>
      </c>
      <c r="AM2289" s="122">
        <v>41917</v>
      </c>
      <c r="AN2289" s="122">
        <v>15054</v>
      </c>
      <c r="AO2289" s="122">
        <v>5576</v>
      </c>
      <c r="AP2289" s="122">
        <v>3996</v>
      </c>
      <c r="AQ2289" s="122">
        <v>1480</v>
      </c>
      <c r="AR2289" s="122">
        <v>28691</v>
      </c>
      <c r="AS2289" s="122">
        <v>26083</v>
      </c>
      <c r="AT2289" s="122">
        <v>14055</v>
      </c>
      <c r="AU2289" s="122">
        <v>5206</v>
      </c>
      <c r="AV2289" s="122">
        <v>327926</v>
      </c>
    </row>
    <row r="2290" spans="2:48" hidden="1">
      <c r="B2290" t="s">
        <v>378</v>
      </c>
      <c r="C2290" t="s">
        <v>60</v>
      </c>
      <c r="D2290" t="s">
        <v>406</v>
      </c>
      <c r="E2290" t="s">
        <v>426</v>
      </c>
      <c r="F2290" s="122">
        <v>1</v>
      </c>
      <c r="G2290" s="122">
        <v>91</v>
      </c>
      <c r="H2290" s="122">
        <v>348</v>
      </c>
      <c r="I2290" s="122">
        <v>17210</v>
      </c>
      <c r="J2290" s="122">
        <v>15645</v>
      </c>
      <c r="K2290" s="122">
        <v>70</v>
      </c>
      <c r="L2290" s="122">
        <v>2826</v>
      </c>
      <c r="M2290" s="122">
        <v>2569</v>
      </c>
      <c r="N2290" s="122">
        <v>2157</v>
      </c>
      <c r="O2290" s="122">
        <v>799</v>
      </c>
      <c r="P2290" s="122">
        <v>972</v>
      </c>
      <c r="Q2290" s="122">
        <v>360</v>
      </c>
      <c r="R2290" s="122">
        <v>6253</v>
      </c>
      <c r="S2290" s="122">
        <v>5684</v>
      </c>
      <c r="T2290" s="122">
        <v>2315</v>
      </c>
      <c r="U2290" s="122">
        <v>857</v>
      </c>
      <c r="V2290" s="122">
        <v>25914</v>
      </c>
      <c r="W2290" s="122">
        <f t="shared" si="72"/>
        <v>25914</v>
      </c>
      <c r="X2290" s="122">
        <f t="shared" si="73"/>
        <v>31733</v>
      </c>
      <c r="AA2290" t="s">
        <v>64</v>
      </c>
      <c r="AB2290" t="s">
        <v>406</v>
      </c>
      <c r="AC2290" t="s">
        <v>578</v>
      </c>
      <c r="AD2290" t="s">
        <v>406</v>
      </c>
      <c r="AE2290" t="s">
        <v>566</v>
      </c>
      <c r="AF2290">
        <v>1</v>
      </c>
      <c r="AG2290">
        <v>74</v>
      </c>
      <c r="AH2290" s="122">
        <v>493</v>
      </c>
      <c r="AI2290" s="122">
        <v>25853</v>
      </c>
      <c r="AJ2290" s="122">
        <v>23503</v>
      </c>
      <c r="AK2290">
        <v>70</v>
      </c>
      <c r="AL2290" s="122">
        <v>3184</v>
      </c>
      <c r="AM2290" s="122">
        <v>2894</v>
      </c>
      <c r="AN2290" s="122">
        <v>1615</v>
      </c>
      <c r="AO2290" s="122">
        <v>598</v>
      </c>
      <c r="AP2290" s="122">
        <v>621</v>
      </c>
      <c r="AQ2290">
        <v>230</v>
      </c>
      <c r="AR2290" s="122">
        <v>5051</v>
      </c>
      <c r="AS2290" s="122">
        <v>4592</v>
      </c>
      <c r="AT2290">
        <v>0</v>
      </c>
      <c r="AU2290">
        <v>0</v>
      </c>
      <c r="AV2290" s="122">
        <v>31817</v>
      </c>
    </row>
    <row r="2291" spans="2:48" hidden="1">
      <c r="B2291" t="s">
        <v>378</v>
      </c>
      <c r="C2291" t="s">
        <v>60</v>
      </c>
      <c r="D2291" t="s">
        <v>427</v>
      </c>
      <c r="E2291" t="s">
        <v>427</v>
      </c>
      <c r="F2291" s="122">
        <v>4</v>
      </c>
      <c r="G2291" s="122">
        <v>381</v>
      </c>
      <c r="H2291" s="122">
        <v>1387</v>
      </c>
      <c r="I2291" s="122">
        <v>77059</v>
      </c>
      <c r="J2291" s="122">
        <v>70054</v>
      </c>
      <c r="K2291" s="122">
        <v>61</v>
      </c>
      <c r="L2291" s="122">
        <v>10925</v>
      </c>
      <c r="M2291" s="122">
        <v>8100</v>
      </c>
      <c r="N2291" s="122">
        <v>8346</v>
      </c>
      <c r="O2291" s="122">
        <v>3091</v>
      </c>
      <c r="P2291" s="122">
        <v>2025</v>
      </c>
      <c r="Q2291" s="122">
        <v>750</v>
      </c>
      <c r="R2291" s="122">
        <v>20893</v>
      </c>
      <c r="S2291" s="122">
        <v>18994</v>
      </c>
      <c r="T2291" s="122">
        <v>11154</v>
      </c>
      <c r="U2291" s="122">
        <v>4131</v>
      </c>
      <c r="V2291" s="122">
        <v>105119</v>
      </c>
      <c r="W2291" s="122">
        <f t="shared" si="72"/>
        <v>105120</v>
      </c>
      <c r="X2291" s="122">
        <f t="shared" si="73"/>
        <v>130402</v>
      </c>
      <c r="AA2291" t="s">
        <v>64</v>
      </c>
      <c r="AB2291" t="s">
        <v>406</v>
      </c>
      <c r="AC2291" t="s">
        <v>425</v>
      </c>
      <c r="AD2291" t="s">
        <v>137</v>
      </c>
      <c r="AE2291" t="s">
        <v>566</v>
      </c>
      <c r="AF2291">
        <v>2</v>
      </c>
      <c r="AG2291" s="122">
        <v>163</v>
      </c>
      <c r="AH2291" s="122">
        <v>1467</v>
      </c>
      <c r="AI2291" s="122">
        <v>77596</v>
      </c>
      <c r="AJ2291" s="122">
        <v>70542</v>
      </c>
      <c r="AK2291">
        <v>65</v>
      </c>
      <c r="AL2291" s="122">
        <v>26641</v>
      </c>
      <c r="AM2291" s="122">
        <v>24219</v>
      </c>
      <c r="AN2291" s="122">
        <v>3955</v>
      </c>
      <c r="AO2291" s="122">
        <v>1465</v>
      </c>
      <c r="AP2291" s="122">
        <v>1242</v>
      </c>
      <c r="AQ2291" s="122">
        <v>460</v>
      </c>
      <c r="AR2291" s="122">
        <v>9602</v>
      </c>
      <c r="AS2291" s="122">
        <v>3556</v>
      </c>
      <c r="AT2291" s="122">
        <v>0</v>
      </c>
      <c r="AU2291" s="122">
        <v>0</v>
      </c>
      <c r="AV2291" s="122">
        <v>100242</v>
      </c>
    </row>
    <row r="2292" spans="2:48" hidden="1">
      <c r="B2292" t="s">
        <v>378</v>
      </c>
      <c r="C2292" t="s">
        <v>60</v>
      </c>
      <c r="D2292" t="s">
        <v>407</v>
      </c>
      <c r="E2292" t="s">
        <v>407</v>
      </c>
      <c r="F2292" s="122">
        <v>52</v>
      </c>
      <c r="G2292" s="122">
        <v>5315</v>
      </c>
      <c r="H2292" s="122">
        <v>17323</v>
      </c>
      <c r="I2292" s="122">
        <v>1040570</v>
      </c>
      <c r="J2292" s="122">
        <v>945972</v>
      </c>
      <c r="K2292" s="122">
        <v>76</v>
      </c>
      <c r="L2292" s="122">
        <v>284358</v>
      </c>
      <c r="M2292" s="122">
        <v>250406</v>
      </c>
      <c r="N2292" s="122">
        <v>110115</v>
      </c>
      <c r="O2292" s="122">
        <v>40784</v>
      </c>
      <c r="P2292" s="122">
        <v>25029</v>
      </c>
      <c r="Q2292" s="122">
        <v>9270</v>
      </c>
      <c r="R2292" s="122">
        <v>278419</v>
      </c>
      <c r="S2292" s="122">
        <v>253108</v>
      </c>
      <c r="T2292" s="122">
        <v>59698</v>
      </c>
      <c r="U2292" s="122">
        <v>22110</v>
      </c>
      <c r="V2292" s="122">
        <v>1521650</v>
      </c>
      <c r="W2292" s="122">
        <f t="shared" si="72"/>
        <v>1521650</v>
      </c>
      <c r="X2292" s="122">
        <f t="shared" si="73"/>
        <v>1798189</v>
      </c>
      <c r="AA2292" t="s">
        <v>64</v>
      </c>
      <c r="AB2292" t="s">
        <v>406</v>
      </c>
      <c r="AC2292" t="s">
        <v>425</v>
      </c>
      <c r="AD2292" t="s">
        <v>406</v>
      </c>
      <c r="AE2292" t="s">
        <v>137</v>
      </c>
      <c r="AF2292">
        <v>79</v>
      </c>
      <c r="AG2292" s="122">
        <v>9786</v>
      </c>
      <c r="AH2292" s="122">
        <v>42515</v>
      </c>
      <c r="AI2292" s="122">
        <v>3482025</v>
      </c>
      <c r="AJ2292" s="122">
        <v>3165477</v>
      </c>
      <c r="AK2292">
        <v>69</v>
      </c>
      <c r="AL2292" s="122">
        <v>905572</v>
      </c>
      <c r="AM2292" s="122">
        <v>823247</v>
      </c>
      <c r="AN2292" s="122">
        <v>219134</v>
      </c>
      <c r="AO2292" s="122">
        <v>81161</v>
      </c>
      <c r="AP2292" s="122">
        <v>49410</v>
      </c>
      <c r="AQ2292" s="122">
        <v>18300</v>
      </c>
      <c r="AR2292" s="122">
        <v>424022</v>
      </c>
      <c r="AS2292" s="122">
        <v>385475</v>
      </c>
      <c r="AT2292" s="122">
        <v>197558</v>
      </c>
      <c r="AU2292" s="122">
        <v>73170</v>
      </c>
      <c r="AV2292" s="122">
        <v>4546829</v>
      </c>
    </row>
    <row r="2293" spans="2:48" hidden="1">
      <c r="B2293" t="s">
        <v>378</v>
      </c>
      <c r="C2293" t="s">
        <v>60</v>
      </c>
      <c r="D2293" t="s">
        <v>556</v>
      </c>
      <c r="E2293" t="s">
        <v>137</v>
      </c>
      <c r="F2293" s="122">
        <v>1</v>
      </c>
      <c r="G2293" s="122">
        <v>296</v>
      </c>
      <c r="H2293" s="122">
        <v>323</v>
      </c>
      <c r="I2293" s="122">
        <v>82224</v>
      </c>
      <c r="J2293" s="122">
        <v>68520</v>
      </c>
      <c r="K2293" s="122">
        <v>30</v>
      </c>
      <c r="L2293" s="122">
        <v>0</v>
      </c>
      <c r="M2293" s="122">
        <v>0</v>
      </c>
      <c r="N2293" s="122">
        <v>3607</v>
      </c>
      <c r="O2293" s="122">
        <v>1336</v>
      </c>
      <c r="P2293" s="122">
        <v>0</v>
      </c>
      <c r="Q2293" s="122">
        <v>0</v>
      </c>
      <c r="R2293" s="122">
        <v>9776</v>
      </c>
      <c r="S2293" s="122">
        <v>3621</v>
      </c>
      <c r="T2293" s="122">
        <v>0</v>
      </c>
      <c r="U2293" s="122">
        <v>0</v>
      </c>
      <c r="V2293" s="122">
        <v>73477</v>
      </c>
      <c r="W2293" s="122">
        <f t="shared" si="72"/>
        <v>73477</v>
      </c>
      <c r="X2293" s="122">
        <f t="shared" si="73"/>
        <v>95607</v>
      </c>
      <c r="AA2293" t="s">
        <v>64</v>
      </c>
      <c r="AB2293" t="s">
        <v>406</v>
      </c>
      <c r="AC2293" t="s">
        <v>425</v>
      </c>
      <c r="AD2293" t="s">
        <v>406</v>
      </c>
      <c r="AE2293" t="s">
        <v>566</v>
      </c>
      <c r="AF2293">
        <v>21</v>
      </c>
      <c r="AG2293" s="122">
        <v>2565</v>
      </c>
      <c r="AH2293" s="122">
        <v>10888</v>
      </c>
      <c r="AI2293" s="122">
        <v>867736</v>
      </c>
      <c r="AJ2293" s="122">
        <v>788851</v>
      </c>
      <c r="AK2293">
        <v>70</v>
      </c>
      <c r="AL2293" s="122">
        <v>244188</v>
      </c>
      <c r="AM2293" s="122">
        <v>221989</v>
      </c>
      <c r="AN2293" s="122">
        <v>57237</v>
      </c>
      <c r="AO2293" s="122">
        <v>21199</v>
      </c>
      <c r="AP2293" s="122">
        <v>13041</v>
      </c>
      <c r="AQ2293" s="122">
        <v>4830</v>
      </c>
      <c r="AR2293" s="122">
        <v>149551</v>
      </c>
      <c r="AS2293" s="122">
        <v>135955</v>
      </c>
      <c r="AT2293" s="122">
        <v>0</v>
      </c>
      <c r="AU2293" s="122">
        <v>0</v>
      </c>
      <c r="AV2293" s="122">
        <v>1172824</v>
      </c>
    </row>
    <row r="2294" spans="2:48" hidden="1">
      <c r="B2294" t="s">
        <v>378</v>
      </c>
      <c r="C2294" t="s">
        <v>60</v>
      </c>
      <c r="D2294" t="s">
        <v>556</v>
      </c>
      <c r="E2294" t="s">
        <v>556</v>
      </c>
      <c r="F2294" s="122">
        <v>2</v>
      </c>
      <c r="G2294" s="122">
        <v>236</v>
      </c>
      <c r="H2294" s="122">
        <v>705</v>
      </c>
      <c r="I2294" s="122">
        <v>52810</v>
      </c>
      <c r="J2294" s="122">
        <v>44008</v>
      </c>
      <c r="K2294" s="122">
        <v>60</v>
      </c>
      <c r="L2294" s="122">
        <v>5257</v>
      </c>
      <c r="M2294" s="122">
        <v>4546</v>
      </c>
      <c r="N2294" s="122">
        <v>5312</v>
      </c>
      <c r="O2294" s="122">
        <v>1967</v>
      </c>
      <c r="P2294" s="122">
        <v>1323</v>
      </c>
      <c r="Q2294" s="122">
        <v>490</v>
      </c>
      <c r="R2294" s="122">
        <v>12373</v>
      </c>
      <c r="S2294" s="122">
        <v>10311</v>
      </c>
      <c r="T2294" s="122">
        <v>6010</v>
      </c>
      <c r="U2294" s="122">
        <v>2226</v>
      </c>
      <c r="V2294" s="122">
        <v>63548</v>
      </c>
      <c r="W2294" s="122">
        <f t="shared" si="72"/>
        <v>63548</v>
      </c>
      <c r="X2294" s="122">
        <f t="shared" si="73"/>
        <v>83085</v>
      </c>
      <c r="AA2294" t="s">
        <v>64</v>
      </c>
      <c r="AB2294" t="s">
        <v>406</v>
      </c>
      <c r="AC2294" t="s">
        <v>405</v>
      </c>
      <c r="AD2294" t="s">
        <v>406</v>
      </c>
      <c r="AE2294" t="s">
        <v>137</v>
      </c>
      <c r="AF2294">
        <v>4</v>
      </c>
      <c r="AG2294">
        <v>472</v>
      </c>
      <c r="AH2294" s="122">
        <v>1987</v>
      </c>
      <c r="AI2294" s="122">
        <v>145303</v>
      </c>
      <c r="AJ2294" s="122">
        <v>132094</v>
      </c>
      <c r="AK2294">
        <v>73</v>
      </c>
      <c r="AL2294" s="122">
        <v>40255</v>
      </c>
      <c r="AM2294" s="122">
        <v>36596</v>
      </c>
      <c r="AN2294" s="122">
        <v>10331</v>
      </c>
      <c r="AO2294" s="122">
        <v>3826</v>
      </c>
      <c r="AP2294" s="122">
        <v>2484</v>
      </c>
      <c r="AQ2294">
        <v>920</v>
      </c>
      <c r="AR2294" s="122">
        <v>20847</v>
      </c>
      <c r="AS2294" s="122">
        <v>18952</v>
      </c>
      <c r="AT2294" s="122">
        <v>13658</v>
      </c>
      <c r="AU2294" s="122">
        <v>5059</v>
      </c>
      <c r="AV2294" s="122">
        <v>197446</v>
      </c>
    </row>
    <row r="2295" spans="2:48" hidden="1">
      <c r="B2295" t="s">
        <v>378</v>
      </c>
      <c r="C2295" t="s">
        <v>60</v>
      </c>
      <c r="D2295" t="s">
        <v>426</v>
      </c>
      <c r="E2295" t="s">
        <v>426</v>
      </c>
      <c r="F2295" s="122">
        <v>25</v>
      </c>
      <c r="G2295" s="122">
        <v>3002</v>
      </c>
      <c r="H2295" s="122">
        <v>8425</v>
      </c>
      <c r="I2295" s="122">
        <v>656720</v>
      </c>
      <c r="J2295" s="122">
        <v>597018</v>
      </c>
      <c r="K2295" s="122">
        <v>62</v>
      </c>
      <c r="L2295" s="122">
        <v>91968</v>
      </c>
      <c r="M2295" s="122">
        <v>82000</v>
      </c>
      <c r="N2295" s="122">
        <v>62338</v>
      </c>
      <c r="O2295" s="122">
        <v>23088</v>
      </c>
      <c r="P2295" s="122">
        <v>11367</v>
      </c>
      <c r="Q2295" s="122">
        <v>4210</v>
      </c>
      <c r="R2295" s="122">
        <v>147583</v>
      </c>
      <c r="S2295" s="122">
        <v>134166</v>
      </c>
      <c r="T2295" s="122">
        <v>62892</v>
      </c>
      <c r="U2295" s="122">
        <v>23294</v>
      </c>
      <c r="V2295" s="122">
        <v>863776</v>
      </c>
      <c r="W2295" s="122">
        <f t="shared" si="72"/>
        <v>863776</v>
      </c>
      <c r="X2295" s="122">
        <f t="shared" si="73"/>
        <v>1032868</v>
      </c>
      <c r="AA2295" t="s">
        <v>64</v>
      </c>
      <c r="AB2295" t="s">
        <v>406</v>
      </c>
      <c r="AC2295" t="s">
        <v>405</v>
      </c>
      <c r="AD2295" t="s">
        <v>406</v>
      </c>
      <c r="AE2295" t="s">
        <v>566</v>
      </c>
      <c r="AF2295">
        <v>2</v>
      </c>
      <c r="AG2295" s="122">
        <v>213</v>
      </c>
      <c r="AH2295" s="122">
        <v>4346</v>
      </c>
      <c r="AI2295" s="122">
        <v>73684</v>
      </c>
      <c r="AJ2295" s="122">
        <v>66986</v>
      </c>
      <c r="AK2295">
        <v>78</v>
      </c>
      <c r="AL2295" s="122">
        <v>406336</v>
      </c>
      <c r="AM2295" s="122">
        <v>369396</v>
      </c>
      <c r="AN2295" s="122">
        <v>4846</v>
      </c>
      <c r="AO2295" s="122">
        <v>1795</v>
      </c>
      <c r="AP2295" s="122">
        <v>1242</v>
      </c>
      <c r="AQ2295" s="122">
        <v>460</v>
      </c>
      <c r="AR2295" s="122">
        <v>12581</v>
      </c>
      <c r="AS2295" s="122">
        <v>11437</v>
      </c>
      <c r="AT2295">
        <v>0</v>
      </c>
      <c r="AU2295">
        <v>0</v>
      </c>
      <c r="AV2295" s="122">
        <v>450074</v>
      </c>
    </row>
    <row r="2296" spans="2:48" hidden="1">
      <c r="B2296" t="s">
        <v>378</v>
      </c>
      <c r="C2296" t="s">
        <v>60</v>
      </c>
      <c r="D2296" t="s">
        <v>433</v>
      </c>
      <c r="E2296" t="s">
        <v>433</v>
      </c>
      <c r="F2296" s="122">
        <v>2</v>
      </c>
      <c r="G2296" s="122">
        <v>198</v>
      </c>
      <c r="H2296" s="122">
        <v>704</v>
      </c>
      <c r="I2296" s="122">
        <v>43255</v>
      </c>
      <c r="J2296" s="122">
        <v>39323</v>
      </c>
      <c r="K2296" s="122">
        <v>60</v>
      </c>
      <c r="L2296" s="122">
        <v>9569</v>
      </c>
      <c r="M2296" s="122">
        <v>8699</v>
      </c>
      <c r="N2296" s="122">
        <v>3248</v>
      </c>
      <c r="O2296" s="122">
        <v>1203</v>
      </c>
      <c r="P2296" s="122">
        <v>972</v>
      </c>
      <c r="Q2296" s="122">
        <v>360</v>
      </c>
      <c r="R2296" s="122">
        <v>9725</v>
      </c>
      <c r="S2296" s="122">
        <v>8841</v>
      </c>
      <c r="T2296" s="122">
        <v>2893</v>
      </c>
      <c r="U2296" s="122">
        <v>1072</v>
      </c>
      <c r="V2296" s="122">
        <v>59497</v>
      </c>
      <c r="W2296" s="122">
        <f t="shared" si="72"/>
        <v>59498</v>
      </c>
      <c r="X2296" s="122">
        <f t="shared" si="73"/>
        <v>69662</v>
      </c>
      <c r="AA2296" t="s">
        <v>64</v>
      </c>
      <c r="AB2296" t="s">
        <v>406</v>
      </c>
      <c r="AC2296" t="s">
        <v>137</v>
      </c>
      <c r="AD2296" t="s">
        <v>137</v>
      </c>
      <c r="AE2296" t="s">
        <v>566</v>
      </c>
      <c r="AF2296">
        <v>15</v>
      </c>
      <c r="AG2296" s="122">
        <v>1282</v>
      </c>
      <c r="AH2296" s="122">
        <v>9132</v>
      </c>
      <c r="AI2296" s="122">
        <v>520054</v>
      </c>
      <c r="AJ2296" s="122">
        <v>472777</v>
      </c>
      <c r="AK2296">
        <v>67</v>
      </c>
      <c r="AL2296" s="122">
        <v>99438</v>
      </c>
      <c r="AM2296" s="122">
        <v>36829</v>
      </c>
      <c r="AN2296" s="122">
        <v>28321</v>
      </c>
      <c r="AO2296" s="122">
        <v>10489</v>
      </c>
      <c r="AP2296" s="122">
        <v>7371</v>
      </c>
      <c r="AQ2296" s="122">
        <v>2730</v>
      </c>
      <c r="AR2296" s="122">
        <v>132743</v>
      </c>
      <c r="AS2296" s="122">
        <v>49164</v>
      </c>
      <c r="AT2296" s="122">
        <v>0</v>
      </c>
      <c r="AU2296" s="122">
        <v>0</v>
      </c>
      <c r="AV2296" s="122">
        <v>571988</v>
      </c>
    </row>
    <row r="2297" spans="2:48" hidden="1">
      <c r="B2297" t="s">
        <v>378</v>
      </c>
      <c r="C2297" t="s">
        <v>60</v>
      </c>
      <c r="D2297" t="s">
        <v>408</v>
      </c>
      <c r="E2297" t="s">
        <v>408</v>
      </c>
      <c r="F2297" s="122">
        <v>2</v>
      </c>
      <c r="G2297" s="122">
        <v>349</v>
      </c>
      <c r="H2297" s="122">
        <v>649</v>
      </c>
      <c r="I2297" s="122">
        <v>79874</v>
      </c>
      <c r="J2297" s="122">
        <v>72613</v>
      </c>
      <c r="K2297" s="122">
        <v>65</v>
      </c>
      <c r="L2297" s="122">
        <v>9102</v>
      </c>
      <c r="M2297" s="122">
        <v>8275</v>
      </c>
      <c r="N2297" s="122">
        <v>7489</v>
      </c>
      <c r="O2297" s="122">
        <v>2774</v>
      </c>
      <c r="P2297" s="122">
        <v>1323</v>
      </c>
      <c r="Q2297" s="122">
        <v>490</v>
      </c>
      <c r="R2297" s="122">
        <v>15131</v>
      </c>
      <c r="S2297" s="122">
        <v>13756</v>
      </c>
      <c r="T2297" s="122">
        <v>0</v>
      </c>
      <c r="U2297" s="122">
        <v>0</v>
      </c>
      <c r="V2297" s="122">
        <v>97907</v>
      </c>
      <c r="W2297" s="122">
        <f t="shared" si="72"/>
        <v>97908</v>
      </c>
      <c r="X2297" s="122">
        <f t="shared" si="73"/>
        <v>112919</v>
      </c>
      <c r="AA2297" t="s">
        <v>64</v>
      </c>
      <c r="AB2297" t="s">
        <v>406</v>
      </c>
      <c r="AC2297" t="s">
        <v>137</v>
      </c>
      <c r="AD2297" t="s">
        <v>406</v>
      </c>
      <c r="AE2297" t="s">
        <v>137</v>
      </c>
      <c r="AF2297">
        <v>263</v>
      </c>
      <c r="AG2297" s="122">
        <v>25561</v>
      </c>
      <c r="AH2297" s="122">
        <v>157194</v>
      </c>
      <c r="AI2297" s="122">
        <v>9196210</v>
      </c>
      <c r="AJ2297" s="122">
        <v>8360190</v>
      </c>
      <c r="AK2297">
        <v>70</v>
      </c>
      <c r="AL2297" s="122">
        <v>4581132</v>
      </c>
      <c r="AM2297" s="122">
        <v>1696716</v>
      </c>
      <c r="AN2297" s="122">
        <v>563665</v>
      </c>
      <c r="AO2297" s="122">
        <v>208765</v>
      </c>
      <c r="AP2297" s="122">
        <v>161287</v>
      </c>
      <c r="AQ2297" s="122">
        <v>59736</v>
      </c>
      <c r="AR2297" s="122">
        <v>1268117</v>
      </c>
      <c r="AS2297" s="122">
        <v>1152833</v>
      </c>
      <c r="AT2297" s="122">
        <v>610777</v>
      </c>
      <c r="AU2297" s="122">
        <v>226214</v>
      </c>
      <c r="AV2297" s="122">
        <v>11704454</v>
      </c>
    </row>
    <row r="2298" spans="2:48" hidden="1">
      <c r="B2298" t="s">
        <v>378</v>
      </c>
      <c r="C2298" t="s">
        <v>62</v>
      </c>
      <c r="D2298" t="s">
        <v>425</v>
      </c>
      <c r="E2298" t="s">
        <v>425</v>
      </c>
      <c r="F2298" s="122">
        <v>1</v>
      </c>
      <c r="G2298" s="122">
        <v>93</v>
      </c>
      <c r="H2298" s="122">
        <v>423</v>
      </c>
      <c r="I2298" s="122">
        <v>30451</v>
      </c>
      <c r="J2298" s="122">
        <v>27683</v>
      </c>
      <c r="K2298" s="122">
        <v>68</v>
      </c>
      <c r="L2298" s="122">
        <v>3122</v>
      </c>
      <c r="M2298" s="122">
        <v>2839</v>
      </c>
      <c r="N2298" s="122">
        <v>1651</v>
      </c>
      <c r="O2298" s="122">
        <v>612</v>
      </c>
      <c r="P2298" s="122">
        <v>621</v>
      </c>
      <c r="Q2298" s="122">
        <v>230</v>
      </c>
      <c r="R2298" s="122">
        <v>3645</v>
      </c>
      <c r="S2298" s="122">
        <v>3313</v>
      </c>
      <c r="T2298" s="122">
        <v>0</v>
      </c>
      <c r="U2298" s="122">
        <v>0</v>
      </c>
      <c r="V2298" s="122">
        <v>34676</v>
      </c>
      <c r="W2298" s="122">
        <f t="shared" si="72"/>
        <v>34677</v>
      </c>
      <c r="X2298" s="122">
        <f t="shared" si="73"/>
        <v>39490</v>
      </c>
      <c r="AA2298" t="s">
        <v>64</v>
      </c>
      <c r="AB2298" t="s">
        <v>406</v>
      </c>
      <c r="AC2298" t="s">
        <v>137</v>
      </c>
      <c r="AD2298" t="s">
        <v>406</v>
      </c>
      <c r="AE2298" t="s">
        <v>566</v>
      </c>
      <c r="AF2298">
        <v>77</v>
      </c>
      <c r="AG2298" s="122">
        <v>7601</v>
      </c>
      <c r="AH2298" s="122">
        <v>42780</v>
      </c>
      <c r="AI2298" s="122">
        <v>2792696</v>
      </c>
      <c r="AJ2298" s="122">
        <v>2538814</v>
      </c>
      <c r="AK2298">
        <v>70</v>
      </c>
      <c r="AL2298" s="122">
        <v>664637</v>
      </c>
      <c r="AM2298" s="122">
        <v>246162</v>
      </c>
      <c r="AN2298" s="122">
        <v>171476</v>
      </c>
      <c r="AO2298" s="122">
        <v>63510</v>
      </c>
      <c r="AP2298" s="122">
        <v>46575</v>
      </c>
      <c r="AQ2298" s="122">
        <v>17250</v>
      </c>
      <c r="AR2298" s="122">
        <v>503810</v>
      </c>
      <c r="AS2298" s="122">
        <v>458009</v>
      </c>
      <c r="AT2298">
        <v>0</v>
      </c>
      <c r="AU2298">
        <v>0</v>
      </c>
      <c r="AV2298" s="122">
        <v>3323745</v>
      </c>
    </row>
    <row r="2299" spans="2:48" hidden="1">
      <c r="B2299" t="s">
        <v>378</v>
      </c>
      <c r="C2299" t="s">
        <v>62</v>
      </c>
      <c r="D2299" t="s">
        <v>405</v>
      </c>
      <c r="E2299" t="s">
        <v>405</v>
      </c>
      <c r="F2299" s="122">
        <v>5</v>
      </c>
      <c r="G2299" s="122">
        <v>825</v>
      </c>
      <c r="H2299" s="122">
        <v>2073</v>
      </c>
      <c r="I2299" s="122">
        <v>238529</v>
      </c>
      <c r="J2299" s="122">
        <v>216845</v>
      </c>
      <c r="K2299" s="122">
        <v>77</v>
      </c>
      <c r="L2299" s="122">
        <v>50081</v>
      </c>
      <c r="M2299" s="122">
        <v>45528</v>
      </c>
      <c r="N2299" s="122">
        <v>18283</v>
      </c>
      <c r="O2299" s="122">
        <v>6772</v>
      </c>
      <c r="P2299" s="122">
        <v>2363</v>
      </c>
      <c r="Q2299" s="122">
        <v>875</v>
      </c>
      <c r="R2299" s="122">
        <v>25746</v>
      </c>
      <c r="S2299" s="122">
        <v>23405</v>
      </c>
      <c r="T2299" s="122">
        <v>13590</v>
      </c>
      <c r="U2299" s="122">
        <v>5033</v>
      </c>
      <c r="V2299" s="122">
        <v>298458</v>
      </c>
      <c r="W2299" s="122">
        <f t="shared" si="72"/>
        <v>298458</v>
      </c>
      <c r="X2299" s="122">
        <f t="shared" si="73"/>
        <v>348592</v>
      </c>
      <c r="AA2299" t="s">
        <v>64</v>
      </c>
      <c r="AB2299" t="s">
        <v>406</v>
      </c>
      <c r="AC2299" t="s">
        <v>580</v>
      </c>
      <c r="AD2299" t="s">
        <v>137</v>
      </c>
      <c r="AE2299" t="s">
        <v>566</v>
      </c>
      <c r="AF2299">
        <v>4</v>
      </c>
      <c r="AG2299" s="122">
        <v>232</v>
      </c>
      <c r="AH2299" s="122">
        <v>2549</v>
      </c>
      <c r="AI2299" s="122">
        <v>115830</v>
      </c>
      <c r="AJ2299" s="122">
        <v>105300</v>
      </c>
      <c r="AK2299">
        <v>71</v>
      </c>
      <c r="AL2299" s="122">
        <v>14147</v>
      </c>
      <c r="AM2299" s="122">
        <v>12861</v>
      </c>
      <c r="AN2299" s="122">
        <v>5751</v>
      </c>
      <c r="AO2299" s="122">
        <v>2130</v>
      </c>
      <c r="AP2299" s="122">
        <v>2403</v>
      </c>
      <c r="AQ2299" s="122">
        <v>890</v>
      </c>
      <c r="AR2299" s="122">
        <v>15742</v>
      </c>
      <c r="AS2299" s="122">
        <v>5830</v>
      </c>
      <c r="AT2299" s="122">
        <v>0</v>
      </c>
      <c r="AU2299" s="122">
        <v>0</v>
      </c>
      <c r="AV2299" s="122">
        <v>127011</v>
      </c>
    </row>
    <row r="2300" spans="2:48" hidden="1">
      <c r="B2300" t="s">
        <v>378</v>
      </c>
      <c r="C2300" t="s">
        <v>62</v>
      </c>
      <c r="D2300" t="s">
        <v>137</v>
      </c>
      <c r="E2300" t="s">
        <v>137</v>
      </c>
      <c r="F2300" s="122">
        <v>6</v>
      </c>
      <c r="G2300" s="122">
        <v>471</v>
      </c>
      <c r="H2300" s="122">
        <v>2417</v>
      </c>
      <c r="I2300" s="122">
        <v>125848</v>
      </c>
      <c r="J2300" s="122">
        <v>46610</v>
      </c>
      <c r="K2300" s="122">
        <v>100</v>
      </c>
      <c r="L2300" s="122">
        <v>14274</v>
      </c>
      <c r="M2300" s="122">
        <v>10575</v>
      </c>
      <c r="N2300" s="122">
        <v>8717</v>
      </c>
      <c r="O2300" s="122">
        <v>3228</v>
      </c>
      <c r="P2300" s="122">
        <v>0</v>
      </c>
      <c r="Q2300" s="122">
        <v>0</v>
      </c>
      <c r="R2300" s="122">
        <v>39739</v>
      </c>
      <c r="S2300" s="122">
        <v>14718</v>
      </c>
      <c r="T2300" s="122">
        <v>0</v>
      </c>
      <c r="U2300" s="122">
        <v>0</v>
      </c>
      <c r="V2300" s="122">
        <v>75132</v>
      </c>
      <c r="W2300" s="122">
        <f t="shared" si="72"/>
        <v>75131</v>
      </c>
      <c r="X2300" s="122">
        <f t="shared" si="73"/>
        <v>188578</v>
      </c>
      <c r="AA2300" t="s">
        <v>64</v>
      </c>
      <c r="AB2300" t="s">
        <v>406</v>
      </c>
      <c r="AC2300" t="s">
        <v>580</v>
      </c>
      <c r="AD2300" t="s">
        <v>406</v>
      </c>
      <c r="AE2300" t="s">
        <v>137</v>
      </c>
      <c r="AF2300">
        <v>184</v>
      </c>
      <c r="AG2300" s="122">
        <v>22183</v>
      </c>
      <c r="AH2300" s="122">
        <v>98902</v>
      </c>
      <c r="AI2300" s="122">
        <v>8617320</v>
      </c>
      <c r="AJ2300" s="122">
        <v>7833927</v>
      </c>
      <c r="AK2300">
        <v>72</v>
      </c>
      <c r="AL2300" s="122">
        <v>1131073</v>
      </c>
      <c r="AM2300" s="122">
        <v>1028248</v>
      </c>
      <c r="AN2300" s="122">
        <v>484549</v>
      </c>
      <c r="AO2300" s="122">
        <v>179462</v>
      </c>
      <c r="AP2300" s="122">
        <v>130383</v>
      </c>
      <c r="AQ2300" s="122">
        <v>48290</v>
      </c>
      <c r="AR2300" s="122">
        <v>920335</v>
      </c>
      <c r="AS2300" s="122">
        <v>836668</v>
      </c>
      <c r="AT2300" s="122">
        <v>482895</v>
      </c>
      <c r="AU2300" s="122">
        <v>178850</v>
      </c>
      <c r="AV2300" s="122">
        <v>10105445</v>
      </c>
    </row>
    <row r="2301" spans="2:48" hidden="1">
      <c r="B2301" t="s">
        <v>378</v>
      </c>
      <c r="C2301" t="s">
        <v>62</v>
      </c>
      <c r="D2301" t="s">
        <v>406</v>
      </c>
      <c r="E2301" t="s">
        <v>137</v>
      </c>
      <c r="F2301" s="122">
        <v>2</v>
      </c>
      <c r="G2301" s="122">
        <v>163</v>
      </c>
      <c r="H2301" s="122">
        <v>834</v>
      </c>
      <c r="I2301" s="122">
        <v>44459</v>
      </c>
      <c r="J2301" s="122">
        <v>40418</v>
      </c>
      <c r="K2301" s="122">
        <v>81</v>
      </c>
      <c r="L2301" s="122">
        <v>9804</v>
      </c>
      <c r="M2301" s="122">
        <v>8913</v>
      </c>
      <c r="N2301" s="122">
        <v>3851</v>
      </c>
      <c r="O2301" s="122">
        <v>1426</v>
      </c>
      <c r="P2301" s="122">
        <v>1242</v>
      </c>
      <c r="Q2301" s="122">
        <v>460</v>
      </c>
      <c r="R2301" s="122">
        <v>9825</v>
      </c>
      <c r="S2301" s="122">
        <v>3639</v>
      </c>
      <c r="T2301" s="122">
        <v>0</v>
      </c>
      <c r="U2301" s="122">
        <v>0</v>
      </c>
      <c r="V2301" s="122">
        <v>54856</v>
      </c>
      <c r="W2301" s="122">
        <f t="shared" si="72"/>
        <v>54856</v>
      </c>
      <c r="X2301" s="122">
        <f t="shared" si="73"/>
        <v>69181</v>
      </c>
      <c r="AA2301" t="s">
        <v>64</v>
      </c>
      <c r="AB2301" t="s">
        <v>406</v>
      </c>
      <c r="AC2301" t="s">
        <v>580</v>
      </c>
      <c r="AD2301" t="s">
        <v>406</v>
      </c>
      <c r="AE2301" t="s">
        <v>566</v>
      </c>
      <c r="AF2301">
        <v>62</v>
      </c>
      <c r="AG2301" s="122">
        <v>6495</v>
      </c>
      <c r="AH2301" s="122">
        <v>31862</v>
      </c>
      <c r="AI2301" s="122">
        <v>2471831</v>
      </c>
      <c r="AJ2301" s="122">
        <v>2247119</v>
      </c>
      <c r="AK2301">
        <v>73</v>
      </c>
      <c r="AL2301" s="122">
        <v>321418</v>
      </c>
      <c r="AM2301" s="122">
        <v>292198</v>
      </c>
      <c r="AN2301" s="122">
        <v>140488</v>
      </c>
      <c r="AO2301" s="122">
        <v>52033</v>
      </c>
      <c r="AP2301" s="122">
        <v>43011</v>
      </c>
      <c r="AQ2301" s="122">
        <v>15930</v>
      </c>
      <c r="AR2301" s="122">
        <v>404287</v>
      </c>
      <c r="AS2301" s="122">
        <v>367533</v>
      </c>
      <c r="AT2301">
        <v>0</v>
      </c>
      <c r="AU2301">
        <v>0</v>
      </c>
      <c r="AV2301" s="122">
        <v>2974813</v>
      </c>
    </row>
    <row r="2302" spans="2:48" hidden="1">
      <c r="B2302" t="s">
        <v>378</v>
      </c>
      <c r="C2302" t="s">
        <v>62</v>
      </c>
      <c r="D2302" t="s">
        <v>406</v>
      </c>
      <c r="E2302" t="s">
        <v>406</v>
      </c>
      <c r="F2302" s="122">
        <v>404</v>
      </c>
      <c r="G2302" s="122">
        <v>49309</v>
      </c>
      <c r="H2302" s="122">
        <v>167365</v>
      </c>
      <c r="I2302" s="122">
        <v>13497547</v>
      </c>
      <c r="J2302" s="122">
        <v>12270497</v>
      </c>
      <c r="K2302" s="122">
        <v>75</v>
      </c>
      <c r="L2302" s="122">
        <v>2876041</v>
      </c>
      <c r="M2302" s="122">
        <v>2567310</v>
      </c>
      <c r="N2302" s="122">
        <v>1033330</v>
      </c>
      <c r="O2302" s="122">
        <v>382715</v>
      </c>
      <c r="P2302" s="122">
        <v>261916</v>
      </c>
      <c r="Q2302" s="122">
        <v>97006</v>
      </c>
      <c r="R2302" s="122">
        <v>2204451</v>
      </c>
      <c r="S2302" s="122">
        <v>2004046</v>
      </c>
      <c r="T2302" s="122">
        <v>710198</v>
      </c>
      <c r="U2302" s="122">
        <v>263036</v>
      </c>
      <c r="V2302" s="122">
        <v>17584610</v>
      </c>
      <c r="W2302" s="122">
        <f t="shared" si="72"/>
        <v>17584610</v>
      </c>
      <c r="X2302" s="122">
        <f t="shared" si="73"/>
        <v>20583483</v>
      </c>
      <c r="AA2302" t="s">
        <v>64</v>
      </c>
      <c r="AB2302" t="s">
        <v>406</v>
      </c>
      <c r="AC2302" t="s">
        <v>580</v>
      </c>
      <c r="AD2302" t="s">
        <v>427</v>
      </c>
      <c r="AE2302" t="s">
        <v>566</v>
      </c>
      <c r="AF2302">
        <v>1</v>
      </c>
      <c r="AG2302">
        <v>59</v>
      </c>
      <c r="AH2302">
        <v>621</v>
      </c>
      <c r="AI2302" s="122">
        <v>25564</v>
      </c>
      <c r="AJ2302" s="122">
        <v>23240</v>
      </c>
      <c r="AK2302">
        <v>70</v>
      </c>
      <c r="AL2302" s="122">
        <v>4250</v>
      </c>
      <c r="AM2302" s="122">
        <v>3864</v>
      </c>
      <c r="AN2302" s="122">
        <v>1433</v>
      </c>
      <c r="AO2302" s="122">
        <v>531</v>
      </c>
      <c r="AP2302">
        <v>621</v>
      </c>
      <c r="AQ2302">
        <v>230</v>
      </c>
      <c r="AR2302" s="122">
        <v>4668</v>
      </c>
      <c r="AS2302" s="122">
        <v>4244</v>
      </c>
      <c r="AT2302" s="122">
        <v>0</v>
      </c>
      <c r="AU2302">
        <v>0</v>
      </c>
      <c r="AV2302" s="122">
        <v>32108</v>
      </c>
    </row>
    <row r="2303" spans="2:48" hidden="1">
      <c r="B2303" t="s">
        <v>378</v>
      </c>
      <c r="C2303" t="s">
        <v>62</v>
      </c>
      <c r="D2303" t="s">
        <v>406</v>
      </c>
      <c r="E2303" t="s">
        <v>426</v>
      </c>
      <c r="F2303" s="122">
        <v>1</v>
      </c>
      <c r="G2303" s="122">
        <v>83</v>
      </c>
      <c r="H2303" s="122">
        <v>426</v>
      </c>
      <c r="I2303" s="122">
        <v>24011</v>
      </c>
      <c r="J2303" s="122">
        <v>21828</v>
      </c>
      <c r="K2303" s="122">
        <v>65</v>
      </c>
      <c r="L2303" s="122">
        <v>2668</v>
      </c>
      <c r="M2303" s="122">
        <v>2425</v>
      </c>
      <c r="N2303" s="122">
        <v>1262</v>
      </c>
      <c r="O2303" s="122">
        <v>467</v>
      </c>
      <c r="P2303" s="122">
        <v>972</v>
      </c>
      <c r="Q2303" s="122">
        <v>360</v>
      </c>
      <c r="R2303" s="122">
        <v>4189</v>
      </c>
      <c r="S2303" s="122">
        <v>3808</v>
      </c>
      <c r="T2303" s="122">
        <v>2205</v>
      </c>
      <c r="U2303" s="122">
        <v>817</v>
      </c>
      <c r="V2303" s="122">
        <v>29705</v>
      </c>
      <c r="W2303" s="122">
        <f t="shared" si="72"/>
        <v>29705</v>
      </c>
      <c r="X2303" s="122">
        <f t="shared" si="73"/>
        <v>35307</v>
      </c>
      <c r="AA2303" t="s">
        <v>64</v>
      </c>
      <c r="AB2303" t="s">
        <v>406</v>
      </c>
      <c r="AC2303" t="s">
        <v>580</v>
      </c>
      <c r="AD2303" t="s">
        <v>579</v>
      </c>
      <c r="AE2303" t="s">
        <v>137</v>
      </c>
      <c r="AF2303">
        <v>1</v>
      </c>
      <c r="AG2303">
        <v>434</v>
      </c>
      <c r="AH2303">
        <v>493</v>
      </c>
      <c r="AI2303" s="122">
        <v>146903</v>
      </c>
      <c r="AJ2303" s="122">
        <v>133548</v>
      </c>
      <c r="AK2303">
        <v>65</v>
      </c>
      <c r="AL2303" s="122">
        <v>50437</v>
      </c>
      <c r="AM2303" s="122">
        <v>45851</v>
      </c>
      <c r="AN2303" s="122">
        <v>8946</v>
      </c>
      <c r="AO2303" s="122">
        <v>3313</v>
      </c>
      <c r="AP2303">
        <v>621</v>
      </c>
      <c r="AQ2303">
        <v>230</v>
      </c>
      <c r="AR2303" s="122">
        <v>5860</v>
      </c>
      <c r="AS2303" s="122">
        <v>4883</v>
      </c>
      <c r="AT2303" s="122">
        <v>1400</v>
      </c>
      <c r="AU2303">
        <v>518</v>
      </c>
      <c r="AV2303" s="122">
        <v>188344</v>
      </c>
    </row>
    <row r="2304" spans="2:48" hidden="1">
      <c r="B2304" t="s">
        <v>378</v>
      </c>
      <c r="C2304" t="s">
        <v>62</v>
      </c>
      <c r="D2304" t="s">
        <v>427</v>
      </c>
      <c r="E2304" t="s">
        <v>427</v>
      </c>
      <c r="F2304" s="122">
        <v>2</v>
      </c>
      <c r="G2304" s="122">
        <v>192</v>
      </c>
      <c r="H2304" s="122">
        <v>811</v>
      </c>
      <c r="I2304" s="122">
        <v>46136</v>
      </c>
      <c r="J2304" s="122">
        <v>41942</v>
      </c>
      <c r="K2304" s="122">
        <v>50</v>
      </c>
      <c r="L2304" s="122">
        <v>8134</v>
      </c>
      <c r="M2304" s="122">
        <v>7394</v>
      </c>
      <c r="N2304" s="122">
        <v>4518</v>
      </c>
      <c r="O2304" s="122">
        <v>1673</v>
      </c>
      <c r="P2304" s="122">
        <v>702</v>
      </c>
      <c r="Q2304" s="122">
        <v>260</v>
      </c>
      <c r="R2304" s="122">
        <v>12350</v>
      </c>
      <c r="S2304" s="122">
        <v>11227</v>
      </c>
      <c r="T2304" s="122">
        <v>5095</v>
      </c>
      <c r="U2304" s="122">
        <v>1887</v>
      </c>
      <c r="V2304" s="122">
        <v>64384</v>
      </c>
      <c r="W2304" s="122">
        <f t="shared" si="72"/>
        <v>64383</v>
      </c>
      <c r="X2304" s="122">
        <f t="shared" si="73"/>
        <v>76935</v>
      </c>
      <c r="AA2304" t="s">
        <v>64</v>
      </c>
      <c r="AB2304" t="s">
        <v>406</v>
      </c>
      <c r="AC2304" t="s">
        <v>580</v>
      </c>
      <c r="AD2304" t="s">
        <v>431</v>
      </c>
      <c r="AE2304" t="s">
        <v>137</v>
      </c>
      <c r="AF2304">
        <v>1</v>
      </c>
      <c r="AG2304">
        <v>51</v>
      </c>
      <c r="AH2304" s="122">
        <v>743</v>
      </c>
      <c r="AI2304" s="122">
        <v>28973</v>
      </c>
      <c r="AJ2304" s="122">
        <v>26339</v>
      </c>
      <c r="AK2304">
        <v>70</v>
      </c>
      <c r="AL2304" s="122">
        <v>3568</v>
      </c>
      <c r="AM2304" s="122">
        <v>3244</v>
      </c>
      <c r="AN2304" s="122">
        <v>1210</v>
      </c>
      <c r="AO2304" s="122">
        <v>448</v>
      </c>
      <c r="AP2304" s="122">
        <v>621</v>
      </c>
      <c r="AQ2304">
        <v>230</v>
      </c>
      <c r="AR2304" s="122">
        <v>3449</v>
      </c>
      <c r="AS2304" s="122">
        <v>3136</v>
      </c>
      <c r="AT2304" s="122">
        <v>0</v>
      </c>
      <c r="AU2304" s="122">
        <v>0</v>
      </c>
      <c r="AV2304" s="122">
        <v>33397</v>
      </c>
    </row>
    <row r="2305" spans="2:48" hidden="1">
      <c r="B2305" t="s">
        <v>378</v>
      </c>
      <c r="C2305" t="s">
        <v>62</v>
      </c>
      <c r="D2305" t="s">
        <v>407</v>
      </c>
      <c r="E2305" t="s">
        <v>407</v>
      </c>
      <c r="F2305" s="122">
        <v>13</v>
      </c>
      <c r="G2305" s="122">
        <v>1371</v>
      </c>
      <c r="H2305" s="122">
        <v>5338</v>
      </c>
      <c r="I2305" s="122">
        <v>371097</v>
      </c>
      <c r="J2305" s="122">
        <v>337361</v>
      </c>
      <c r="K2305" s="122">
        <v>76</v>
      </c>
      <c r="L2305" s="122">
        <v>71180</v>
      </c>
      <c r="M2305" s="122">
        <v>60665</v>
      </c>
      <c r="N2305" s="122">
        <v>27907</v>
      </c>
      <c r="O2305" s="122">
        <v>10336</v>
      </c>
      <c r="P2305" s="122">
        <v>6251</v>
      </c>
      <c r="Q2305" s="122">
        <v>2315</v>
      </c>
      <c r="R2305" s="122">
        <v>70781</v>
      </c>
      <c r="S2305" s="122">
        <v>64347</v>
      </c>
      <c r="T2305" s="122">
        <v>13192</v>
      </c>
      <c r="U2305" s="122">
        <v>4886</v>
      </c>
      <c r="V2305" s="122">
        <v>479909</v>
      </c>
      <c r="W2305" s="122">
        <f t="shared" si="72"/>
        <v>479910</v>
      </c>
      <c r="X2305" s="122">
        <f t="shared" si="73"/>
        <v>560408</v>
      </c>
      <c r="AA2305" t="s">
        <v>64</v>
      </c>
      <c r="AB2305" t="s">
        <v>406</v>
      </c>
      <c r="AC2305" t="s">
        <v>580</v>
      </c>
      <c r="AD2305" t="s">
        <v>426</v>
      </c>
      <c r="AE2305" t="s">
        <v>137</v>
      </c>
      <c r="AF2305">
        <v>2</v>
      </c>
      <c r="AG2305">
        <v>307</v>
      </c>
      <c r="AH2305" s="122">
        <v>1404</v>
      </c>
      <c r="AI2305" s="122">
        <v>140564</v>
      </c>
      <c r="AJ2305" s="122">
        <v>127785</v>
      </c>
      <c r="AK2305">
        <v>63</v>
      </c>
      <c r="AL2305" s="122">
        <v>31240</v>
      </c>
      <c r="AM2305" s="122">
        <v>28400</v>
      </c>
      <c r="AN2305" s="122">
        <v>6129</v>
      </c>
      <c r="AO2305" s="122">
        <v>2270</v>
      </c>
      <c r="AP2305" s="122">
        <v>1242</v>
      </c>
      <c r="AQ2305">
        <v>460</v>
      </c>
      <c r="AR2305" s="122">
        <v>10006</v>
      </c>
      <c r="AS2305" s="122">
        <v>9096</v>
      </c>
      <c r="AT2305" s="122">
        <v>5057</v>
      </c>
      <c r="AU2305" s="122">
        <v>1873</v>
      </c>
      <c r="AV2305" s="122">
        <v>169884</v>
      </c>
    </row>
    <row r="2306" spans="2:48" hidden="1">
      <c r="B2306" t="s">
        <v>378</v>
      </c>
      <c r="C2306" t="s">
        <v>62</v>
      </c>
      <c r="D2306" t="s">
        <v>556</v>
      </c>
      <c r="E2306" t="s">
        <v>556</v>
      </c>
      <c r="F2306" s="122">
        <v>4</v>
      </c>
      <c r="G2306" s="122">
        <v>294</v>
      </c>
      <c r="H2306" s="122">
        <v>1638</v>
      </c>
      <c r="I2306" s="122">
        <v>68541</v>
      </c>
      <c r="J2306" s="122">
        <v>57117</v>
      </c>
      <c r="K2306" s="122">
        <v>53</v>
      </c>
      <c r="L2306" s="122">
        <v>10070</v>
      </c>
      <c r="M2306" s="122">
        <v>6685</v>
      </c>
      <c r="N2306" s="122">
        <v>4661</v>
      </c>
      <c r="O2306" s="122">
        <v>1726</v>
      </c>
      <c r="P2306" s="122">
        <v>1404</v>
      </c>
      <c r="Q2306" s="122">
        <v>520</v>
      </c>
      <c r="R2306" s="122">
        <v>27925</v>
      </c>
      <c r="S2306" s="122">
        <v>23271</v>
      </c>
      <c r="T2306" s="122">
        <v>6518</v>
      </c>
      <c r="U2306" s="122">
        <v>2414</v>
      </c>
      <c r="V2306" s="122">
        <v>91734</v>
      </c>
      <c r="W2306" s="122">
        <f t="shared" si="72"/>
        <v>91733</v>
      </c>
      <c r="X2306" s="122">
        <f t="shared" si="73"/>
        <v>119119</v>
      </c>
      <c r="AA2306" t="s">
        <v>64</v>
      </c>
      <c r="AB2306" t="s">
        <v>406</v>
      </c>
      <c r="AC2306" t="s">
        <v>580</v>
      </c>
      <c r="AD2306" t="s">
        <v>426</v>
      </c>
      <c r="AE2306" t="s">
        <v>566</v>
      </c>
      <c r="AF2306">
        <v>3</v>
      </c>
      <c r="AG2306">
        <v>386</v>
      </c>
      <c r="AH2306" s="122">
        <v>1587</v>
      </c>
      <c r="AI2306" s="122">
        <v>141371</v>
      </c>
      <c r="AJ2306" s="122">
        <v>128519</v>
      </c>
      <c r="AK2306">
        <v>67</v>
      </c>
      <c r="AL2306" s="122">
        <v>32902</v>
      </c>
      <c r="AM2306" s="122">
        <v>29911</v>
      </c>
      <c r="AN2306" s="122">
        <v>8597</v>
      </c>
      <c r="AO2306" s="122">
        <v>3184</v>
      </c>
      <c r="AP2306" s="122">
        <v>1863</v>
      </c>
      <c r="AQ2306">
        <v>690</v>
      </c>
      <c r="AR2306" s="122">
        <v>20966</v>
      </c>
      <c r="AS2306" s="122">
        <v>19060</v>
      </c>
      <c r="AT2306" s="122">
        <v>0</v>
      </c>
      <c r="AU2306" s="122">
        <v>0</v>
      </c>
      <c r="AV2306" s="122">
        <v>181365</v>
      </c>
    </row>
    <row r="2307" spans="2:48" hidden="1">
      <c r="B2307" t="s">
        <v>378</v>
      </c>
      <c r="C2307" t="s">
        <v>62</v>
      </c>
      <c r="D2307" t="s">
        <v>428</v>
      </c>
      <c r="E2307" t="s">
        <v>428</v>
      </c>
      <c r="F2307" s="122">
        <v>1</v>
      </c>
      <c r="G2307" s="122">
        <v>162</v>
      </c>
      <c r="H2307" s="122">
        <v>424</v>
      </c>
      <c r="I2307" s="122">
        <v>45616</v>
      </c>
      <c r="J2307" s="122">
        <v>41469</v>
      </c>
      <c r="K2307" s="122">
        <v>65</v>
      </c>
      <c r="L2307" s="122">
        <v>10982</v>
      </c>
      <c r="M2307" s="122">
        <v>9983</v>
      </c>
      <c r="N2307" s="122">
        <v>3347</v>
      </c>
      <c r="O2307" s="122">
        <v>1240</v>
      </c>
      <c r="P2307" s="122">
        <v>473</v>
      </c>
      <c r="Q2307" s="122">
        <v>175</v>
      </c>
      <c r="R2307" s="122">
        <v>8037</v>
      </c>
      <c r="S2307" s="122">
        <v>7307</v>
      </c>
      <c r="T2307" s="122">
        <v>0</v>
      </c>
      <c r="U2307" s="122">
        <v>0</v>
      </c>
      <c r="V2307" s="122">
        <v>60173</v>
      </c>
      <c r="W2307" s="122">
        <f t="shared" si="72"/>
        <v>60174</v>
      </c>
      <c r="X2307" s="122">
        <f t="shared" si="73"/>
        <v>68455</v>
      </c>
      <c r="AA2307" t="s">
        <v>64</v>
      </c>
      <c r="AB2307" t="s">
        <v>406</v>
      </c>
      <c r="AC2307" t="s">
        <v>427</v>
      </c>
      <c r="AD2307" t="s">
        <v>137</v>
      </c>
      <c r="AE2307" t="s">
        <v>137</v>
      </c>
      <c r="AF2307">
        <v>4</v>
      </c>
      <c r="AG2307" s="122">
        <v>501</v>
      </c>
      <c r="AH2307" s="122">
        <v>2216</v>
      </c>
      <c r="AI2307" s="122">
        <v>143791</v>
      </c>
      <c r="AJ2307" s="122">
        <v>130719</v>
      </c>
      <c r="AK2307">
        <v>66</v>
      </c>
      <c r="AL2307" s="122">
        <v>29638</v>
      </c>
      <c r="AM2307" s="122">
        <v>26943</v>
      </c>
      <c r="AN2307" s="122">
        <v>12168</v>
      </c>
      <c r="AO2307" s="122">
        <v>4507</v>
      </c>
      <c r="AP2307" s="122">
        <v>1863</v>
      </c>
      <c r="AQ2307" s="122">
        <v>690</v>
      </c>
      <c r="AR2307" s="122">
        <v>59956</v>
      </c>
      <c r="AS2307" s="122">
        <v>22206</v>
      </c>
      <c r="AT2307" s="122">
        <v>7504</v>
      </c>
      <c r="AU2307" s="122">
        <v>2779</v>
      </c>
      <c r="AV2307" s="122">
        <v>187845</v>
      </c>
    </row>
    <row r="2308" spans="2:48" hidden="1">
      <c r="B2308" t="s">
        <v>378</v>
      </c>
      <c r="C2308" t="s">
        <v>62</v>
      </c>
      <c r="D2308" t="s">
        <v>431</v>
      </c>
      <c r="E2308" t="s">
        <v>431</v>
      </c>
      <c r="F2308" s="122">
        <v>1</v>
      </c>
      <c r="G2308" s="122">
        <v>88</v>
      </c>
      <c r="H2308" s="122">
        <v>446</v>
      </c>
      <c r="I2308" s="122">
        <v>22526</v>
      </c>
      <c r="J2308" s="122">
        <v>20478</v>
      </c>
      <c r="K2308" s="122">
        <v>45</v>
      </c>
      <c r="L2308" s="122">
        <v>3754</v>
      </c>
      <c r="M2308" s="122">
        <v>3413</v>
      </c>
      <c r="N2308" s="122">
        <v>1874</v>
      </c>
      <c r="O2308" s="122">
        <v>694</v>
      </c>
      <c r="P2308" s="122">
        <v>621</v>
      </c>
      <c r="Q2308" s="122">
        <v>230</v>
      </c>
      <c r="R2308" s="122">
        <v>7483</v>
      </c>
      <c r="S2308" s="122">
        <v>6803</v>
      </c>
      <c r="T2308" s="122">
        <v>2984</v>
      </c>
      <c r="U2308" s="122">
        <v>1105</v>
      </c>
      <c r="V2308" s="122">
        <v>32723</v>
      </c>
      <c r="W2308" s="122">
        <f t="shared" si="72"/>
        <v>32723</v>
      </c>
      <c r="X2308" s="122">
        <f t="shared" si="73"/>
        <v>39242</v>
      </c>
      <c r="AA2308" t="s">
        <v>64</v>
      </c>
      <c r="AB2308" t="s">
        <v>406</v>
      </c>
      <c r="AC2308" t="s">
        <v>427</v>
      </c>
      <c r="AD2308" t="s">
        <v>137</v>
      </c>
      <c r="AE2308" t="s">
        <v>566</v>
      </c>
      <c r="AF2308">
        <v>25</v>
      </c>
      <c r="AG2308" s="122">
        <v>2717</v>
      </c>
      <c r="AH2308" s="122">
        <v>14766</v>
      </c>
      <c r="AI2308" s="122">
        <v>1053403</v>
      </c>
      <c r="AJ2308" s="122">
        <v>957639</v>
      </c>
      <c r="AK2308">
        <v>72</v>
      </c>
      <c r="AL2308" s="122">
        <v>235979</v>
      </c>
      <c r="AM2308" s="122">
        <v>214526</v>
      </c>
      <c r="AN2308" s="122">
        <v>60977</v>
      </c>
      <c r="AO2308" s="122">
        <v>22584</v>
      </c>
      <c r="AP2308" s="122">
        <v>14904</v>
      </c>
      <c r="AQ2308" s="122">
        <v>5520</v>
      </c>
      <c r="AR2308" s="122">
        <v>202504</v>
      </c>
      <c r="AS2308" s="122">
        <v>75002</v>
      </c>
      <c r="AT2308" s="122">
        <v>0</v>
      </c>
      <c r="AU2308" s="122">
        <v>0</v>
      </c>
      <c r="AV2308" s="122">
        <v>1275271</v>
      </c>
    </row>
    <row r="2309" spans="2:48" hidden="1">
      <c r="B2309" t="s">
        <v>378</v>
      </c>
      <c r="C2309" t="s">
        <v>62</v>
      </c>
      <c r="D2309" t="s">
        <v>426</v>
      </c>
      <c r="E2309" t="s">
        <v>137</v>
      </c>
      <c r="F2309" s="122">
        <v>1</v>
      </c>
      <c r="G2309" s="122">
        <v>78</v>
      </c>
      <c r="H2309" s="122">
        <v>392</v>
      </c>
      <c r="I2309" s="122">
        <v>16489</v>
      </c>
      <c r="J2309" s="122">
        <v>14990</v>
      </c>
      <c r="K2309" s="122">
        <v>60</v>
      </c>
      <c r="L2309" s="122">
        <v>6071</v>
      </c>
      <c r="M2309" s="122">
        <v>2249</v>
      </c>
      <c r="N2309" s="122">
        <v>1845</v>
      </c>
      <c r="O2309" s="122">
        <v>683</v>
      </c>
      <c r="P2309" s="122">
        <v>0</v>
      </c>
      <c r="Q2309" s="122">
        <v>0</v>
      </c>
      <c r="R2309" s="122">
        <v>6213</v>
      </c>
      <c r="S2309" s="122">
        <v>2301</v>
      </c>
      <c r="T2309" s="122">
        <v>0</v>
      </c>
      <c r="U2309" s="122">
        <v>0</v>
      </c>
      <c r="V2309" s="122">
        <v>20223</v>
      </c>
      <c r="W2309" s="122">
        <f t="shared" si="72"/>
        <v>20223</v>
      </c>
      <c r="X2309" s="122">
        <f t="shared" si="73"/>
        <v>30618</v>
      </c>
      <c r="AA2309" t="s">
        <v>64</v>
      </c>
      <c r="AB2309" t="s">
        <v>406</v>
      </c>
      <c r="AC2309" t="s">
        <v>427</v>
      </c>
      <c r="AD2309" t="s">
        <v>406</v>
      </c>
      <c r="AE2309" t="s">
        <v>137</v>
      </c>
      <c r="AF2309">
        <v>647</v>
      </c>
      <c r="AG2309" s="122">
        <v>66407</v>
      </c>
      <c r="AH2309" s="122">
        <v>362133</v>
      </c>
      <c r="AI2309" s="122">
        <v>25118546</v>
      </c>
      <c r="AJ2309" s="122">
        <v>22835042</v>
      </c>
      <c r="AK2309">
        <v>72</v>
      </c>
      <c r="AL2309" s="122">
        <v>5593771</v>
      </c>
      <c r="AM2309" s="122">
        <v>5085246</v>
      </c>
      <c r="AN2309" s="122">
        <v>1495201</v>
      </c>
      <c r="AO2309" s="122">
        <v>553778</v>
      </c>
      <c r="AP2309" s="122">
        <v>405365</v>
      </c>
      <c r="AQ2309" s="122">
        <v>150135</v>
      </c>
      <c r="AR2309" s="122">
        <v>3187099</v>
      </c>
      <c r="AS2309" s="122">
        <v>2897363</v>
      </c>
      <c r="AT2309" s="122">
        <v>1532547</v>
      </c>
      <c r="AU2309" s="122">
        <v>567610</v>
      </c>
      <c r="AV2309" s="122">
        <v>32089174</v>
      </c>
    </row>
    <row r="2310" spans="2:48" hidden="1">
      <c r="B2310" t="s">
        <v>378</v>
      </c>
      <c r="C2310" t="s">
        <v>62</v>
      </c>
      <c r="D2310" t="s">
        <v>426</v>
      </c>
      <c r="E2310" t="s">
        <v>426</v>
      </c>
      <c r="F2310" s="122">
        <v>30</v>
      </c>
      <c r="G2310" s="122">
        <v>3616</v>
      </c>
      <c r="H2310" s="122">
        <v>12519</v>
      </c>
      <c r="I2310" s="122">
        <v>1061132</v>
      </c>
      <c r="J2310" s="122">
        <v>964666</v>
      </c>
      <c r="K2310" s="122">
        <v>57</v>
      </c>
      <c r="L2310" s="122">
        <v>119280</v>
      </c>
      <c r="M2310" s="122">
        <v>95584</v>
      </c>
      <c r="N2310" s="122">
        <v>74240</v>
      </c>
      <c r="O2310" s="122">
        <v>27496</v>
      </c>
      <c r="P2310" s="122">
        <v>13122</v>
      </c>
      <c r="Q2310" s="122">
        <v>4860</v>
      </c>
      <c r="R2310" s="122">
        <v>180681</v>
      </c>
      <c r="S2310" s="122">
        <v>164256</v>
      </c>
      <c r="T2310" s="122">
        <v>68194</v>
      </c>
      <c r="U2310" s="122">
        <v>25257</v>
      </c>
      <c r="V2310" s="122">
        <v>1282119</v>
      </c>
      <c r="W2310" s="122">
        <f t="shared" si="72"/>
        <v>1282119</v>
      </c>
      <c r="X2310" s="122">
        <f t="shared" si="73"/>
        <v>1516649</v>
      </c>
      <c r="AA2310" t="s">
        <v>64</v>
      </c>
      <c r="AB2310" t="s">
        <v>406</v>
      </c>
      <c r="AC2310" t="s">
        <v>427</v>
      </c>
      <c r="AD2310" t="s">
        <v>406</v>
      </c>
      <c r="AE2310" t="s">
        <v>566</v>
      </c>
      <c r="AF2310">
        <v>297</v>
      </c>
      <c r="AG2310" s="122">
        <v>29110</v>
      </c>
      <c r="AH2310" s="122">
        <v>172777</v>
      </c>
      <c r="AI2310" s="122">
        <v>10854352</v>
      </c>
      <c r="AJ2310" s="122">
        <v>9867593</v>
      </c>
      <c r="AK2310">
        <v>73</v>
      </c>
      <c r="AL2310" s="122">
        <v>3675315</v>
      </c>
      <c r="AM2310" s="122">
        <v>3341195</v>
      </c>
      <c r="AN2310" s="122">
        <v>644672</v>
      </c>
      <c r="AO2310" s="122">
        <v>238767</v>
      </c>
      <c r="AP2310" s="122">
        <v>182520</v>
      </c>
      <c r="AQ2310" s="122">
        <v>67600</v>
      </c>
      <c r="AR2310" s="122">
        <v>2027855</v>
      </c>
      <c r="AS2310" s="122">
        <v>1843505</v>
      </c>
      <c r="AT2310" s="122">
        <v>0</v>
      </c>
      <c r="AU2310" s="122">
        <v>0</v>
      </c>
      <c r="AV2310" s="122">
        <v>15358660</v>
      </c>
    </row>
    <row r="2311" spans="2:48" hidden="1">
      <c r="B2311" t="s">
        <v>378</v>
      </c>
      <c r="C2311" t="s">
        <v>62</v>
      </c>
      <c r="D2311" t="s">
        <v>433</v>
      </c>
      <c r="E2311" t="s">
        <v>433</v>
      </c>
      <c r="F2311" s="122">
        <v>2</v>
      </c>
      <c r="G2311" s="122">
        <v>398</v>
      </c>
      <c r="H2311" s="122">
        <v>786</v>
      </c>
      <c r="I2311" s="122">
        <v>108904</v>
      </c>
      <c r="J2311" s="122">
        <v>99004</v>
      </c>
      <c r="K2311" s="122">
        <v>50</v>
      </c>
      <c r="L2311" s="122">
        <v>18889</v>
      </c>
      <c r="M2311" s="122">
        <v>10106</v>
      </c>
      <c r="N2311" s="122">
        <v>6775</v>
      </c>
      <c r="O2311" s="122">
        <v>2509</v>
      </c>
      <c r="P2311" s="122">
        <v>702</v>
      </c>
      <c r="Q2311" s="122">
        <v>260</v>
      </c>
      <c r="R2311" s="122">
        <v>13652</v>
      </c>
      <c r="S2311" s="122">
        <v>12411</v>
      </c>
      <c r="T2311" s="122">
        <v>7111</v>
      </c>
      <c r="U2311" s="122">
        <v>2634</v>
      </c>
      <c r="V2311" s="122">
        <v>126924</v>
      </c>
      <c r="W2311" s="122">
        <f t="shared" si="72"/>
        <v>126924</v>
      </c>
      <c r="X2311" s="122">
        <f t="shared" si="73"/>
        <v>156033</v>
      </c>
      <c r="AA2311" t="s">
        <v>64</v>
      </c>
      <c r="AB2311" t="s">
        <v>406</v>
      </c>
      <c r="AC2311" t="s">
        <v>427</v>
      </c>
      <c r="AD2311" t="s">
        <v>427</v>
      </c>
      <c r="AE2311" t="s">
        <v>137</v>
      </c>
      <c r="AF2311">
        <v>3</v>
      </c>
      <c r="AG2311">
        <v>611</v>
      </c>
      <c r="AH2311" s="122">
        <v>1543</v>
      </c>
      <c r="AI2311" s="122">
        <v>216171</v>
      </c>
      <c r="AJ2311" s="122">
        <v>196519</v>
      </c>
      <c r="AK2311">
        <v>81</v>
      </c>
      <c r="AL2311" s="122">
        <v>59049</v>
      </c>
      <c r="AM2311" s="122">
        <v>53681</v>
      </c>
      <c r="AN2311" s="122">
        <v>13141</v>
      </c>
      <c r="AO2311" s="122">
        <v>4867</v>
      </c>
      <c r="AP2311" s="122">
        <v>1863</v>
      </c>
      <c r="AQ2311">
        <v>690</v>
      </c>
      <c r="AR2311" s="122">
        <v>19721</v>
      </c>
      <c r="AS2311" s="122">
        <v>17928</v>
      </c>
      <c r="AT2311" s="122">
        <v>9862</v>
      </c>
      <c r="AU2311" s="122">
        <v>3652</v>
      </c>
      <c r="AV2311" s="122">
        <v>277338</v>
      </c>
    </row>
    <row r="2312" spans="2:48" hidden="1">
      <c r="B2312" t="s">
        <v>378</v>
      </c>
      <c r="C2312" t="s">
        <v>64</v>
      </c>
      <c r="F2312" s="122">
        <v>1</v>
      </c>
      <c r="G2312" s="122">
        <v>75</v>
      </c>
      <c r="H2312" s="122">
        <v>641</v>
      </c>
      <c r="I2312" s="122"/>
      <c r="J2312" s="122">
        <v>0</v>
      </c>
      <c r="K2312" s="122"/>
      <c r="L2312" s="122"/>
      <c r="M2312" s="122">
        <v>0</v>
      </c>
      <c r="N2312" s="122">
        <v>1118</v>
      </c>
      <c r="O2312" s="122">
        <v>414</v>
      </c>
      <c r="P2312" s="122">
        <v>621</v>
      </c>
      <c r="Q2312" s="122">
        <v>230</v>
      </c>
      <c r="R2312" s="122"/>
      <c r="S2312" s="122">
        <v>0</v>
      </c>
      <c r="T2312" s="122">
        <v>0</v>
      </c>
      <c r="U2312" s="122">
        <v>0</v>
      </c>
      <c r="V2312" s="122">
        <v>644</v>
      </c>
      <c r="W2312" s="122">
        <f t="shared" si="72"/>
        <v>644</v>
      </c>
      <c r="X2312" s="122">
        <f t="shared" si="73"/>
        <v>1739</v>
      </c>
      <c r="AA2312" t="s">
        <v>64</v>
      </c>
      <c r="AB2312" t="s">
        <v>406</v>
      </c>
      <c r="AC2312" t="s">
        <v>427</v>
      </c>
      <c r="AD2312" t="s">
        <v>407</v>
      </c>
      <c r="AE2312" t="s">
        <v>137</v>
      </c>
      <c r="AF2312">
        <v>1</v>
      </c>
      <c r="AG2312">
        <v>67</v>
      </c>
      <c r="AH2312">
        <v>678</v>
      </c>
      <c r="AI2312" s="122">
        <v>30991</v>
      </c>
      <c r="AJ2312" s="122">
        <v>28174</v>
      </c>
      <c r="AK2312">
        <v>65</v>
      </c>
      <c r="AL2312" s="122">
        <v>7094</v>
      </c>
      <c r="AM2312" s="122">
        <v>6449</v>
      </c>
      <c r="AN2312" s="122">
        <v>1514</v>
      </c>
      <c r="AO2312">
        <v>561</v>
      </c>
      <c r="AP2312">
        <v>621</v>
      </c>
      <c r="AQ2312">
        <v>230</v>
      </c>
      <c r="AR2312" s="122">
        <v>3519</v>
      </c>
      <c r="AS2312" s="122">
        <v>3199</v>
      </c>
      <c r="AT2312" s="122">
        <v>1540</v>
      </c>
      <c r="AU2312">
        <v>570</v>
      </c>
      <c r="AV2312" s="122">
        <v>39183</v>
      </c>
    </row>
    <row r="2313" spans="2:48" hidden="1">
      <c r="B2313" t="s">
        <v>378</v>
      </c>
      <c r="C2313" t="s">
        <v>64</v>
      </c>
      <c r="D2313" t="s">
        <v>555</v>
      </c>
      <c r="E2313" t="s">
        <v>555</v>
      </c>
      <c r="F2313" s="122">
        <v>1</v>
      </c>
      <c r="G2313" s="122">
        <v>138</v>
      </c>
      <c r="H2313" s="122">
        <v>453</v>
      </c>
      <c r="I2313" s="122">
        <v>41316</v>
      </c>
      <c r="J2313" s="122">
        <v>37560</v>
      </c>
      <c r="K2313" s="122">
        <v>45</v>
      </c>
      <c r="L2313" s="122">
        <v>6886</v>
      </c>
      <c r="M2313" s="122">
        <v>6260</v>
      </c>
      <c r="N2313" s="122">
        <v>3134</v>
      </c>
      <c r="O2313" s="122">
        <v>1161</v>
      </c>
      <c r="P2313" s="122">
        <v>351</v>
      </c>
      <c r="Q2313" s="122">
        <v>130</v>
      </c>
      <c r="R2313" s="122">
        <v>10908</v>
      </c>
      <c r="S2313" s="122">
        <v>9916</v>
      </c>
      <c r="T2313" s="122">
        <v>0</v>
      </c>
      <c r="U2313" s="122">
        <v>0</v>
      </c>
      <c r="V2313" s="122">
        <v>55027</v>
      </c>
      <c r="W2313" s="122">
        <f t="shared" si="72"/>
        <v>55027</v>
      </c>
      <c r="X2313" s="122">
        <f t="shared" si="73"/>
        <v>62595</v>
      </c>
      <c r="AA2313" t="s">
        <v>64</v>
      </c>
      <c r="AB2313" t="s">
        <v>406</v>
      </c>
      <c r="AC2313" t="s">
        <v>427</v>
      </c>
      <c r="AD2313" t="s">
        <v>407</v>
      </c>
      <c r="AE2313" t="s">
        <v>566</v>
      </c>
      <c r="AF2313">
        <v>1</v>
      </c>
      <c r="AG2313">
        <v>89</v>
      </c>
      <c r="AH2313" s="122">
        <v>450</v>
      </c>
      <c r="AI2313" s="122">
        <v>25908</v>
      </c>
      <c r="AJ2313" s="122">
        <v>23553</v>
      </c>
      <c r="AK2313">
        <v>79</v>
      </c>
      <c r="AL2313" s="122">
        <v>7581</v>
      </c>
      <c r="AM2313" s="122">
        <v>6891</v>
      </c>
      <c r="AN2313" s="122">
        <v>1399</v>
      </c>
      <c r="AO2313" s="122">
        <v>518</v>
      </c>
      <c r="AP2313" s="122">
        <v>621</v>
      </c>
      <c r="AQ2313">
        <v>230</v>
      </c>
      <c r="AR2313" s="122">
        <v>4574</v>
      </c>
      <c r="AS2313" s="122">
        <v>4158</v>
      </c>
      <c r="AT2313" s="122">
        <v>0</v>
      </c>
      <c r="AU2313" s="122">
        <v>0</v>
      </c>
      <c r="AV2313" s="122">
        <v>35351</v>
      </c>
    </row>
    <row r="2314" spans="2:48" hidden="1">
      <c r="B2314" t="s">
        <v>378</v>
      </c>
      <c r="C2314" t="s">
        <v>64</v>
      </c>
      <c r="D2314" t="s">
        <v>425</v>
      </c>
      <c r="E2314" t="s">
        <v>425</v>
      </c>
      <c r="F2314" s="122">
        <v>1</v>
      </c>
      <c r="G2314" s="122">
        <v>73</v>
      </c>
      <c r="H2314" s="122">
        <v>464</v>
      </c>
      <c r="I2314" s="122">
        <v>22669</v>
      </c>
      <c r="J2314" s="122">
        <v>20608</v>
      </c>
      <c r="K2314" s="122">
        <v>78</v>
      </c>
      <c r="L2314" s="122">
        <v>3222</v>
      </c>
      <c r="M2314" s="122">
        <v>2929</v>
      </c>
      <c r="N2314" s="122">
        <v>1116</v>
      </c>
      <c r="O2314" s="122">
        <v>413</v>
      </c>
      <c r="P2314" s="122">
        <v>473</v>
      </c>
      <c r="Q2314" s="122">
        <v>175</v>
      </c>
      <c r="R2314" s="122">
        <v>4022</v>
      </c>
      <c r="S2314" s="122">
        <v>3656</v>
      </c>
      <c r="T2314" s="122">
        <v>2520</v>
      </c>
      <c r="U2314" s="122">
        <v>933</v>
      </c>
      <c r="V2314" s="122">
        <v>28716</v>
      </c>
      <c r="W2314" s="122">
        <f t="shared" si="72"/>
        <v>28714</v>
      </c>
      <c r="X2314" s="122">
        <f t="shared" si="73"/>
        <v>34022</v>
      </c>
      <c r="AA2314" t="s">
        <v>64</v>
      </c>
      <c r="AB2314" t="s">
        <v>406</v>
      </c>
      <c r="AC2314" t="s">
        <v>427</v>
      </c>
      <c r="AD2314" t="s">
        <v>426</v>
      </c>
      <c r="AE2314" t="s">
        <v>137</v>
      </c>
      <c r="AF2314">
        <v>2</v>
      </c>
      <c r="AG2314">
        <v>315</v>
      </c>
      <c r="AH2314" s="122">
        <v>1482</v>
      </c>
      <c r="AI2314" s="122">
        <v>164353</v>
      </c>
      <c r="AJ2314" s="122">
        <v>149412</v>
      </c>
      <c r="AK2314">
        <v>68</v>
      </c>
      <c r="AL2314" s="122">
        <v>38549</v>
      </c>
      <c r="AM2314" s="122">
        <v>35044</v>
      </c>
      <c r="AN2314" s="122">
        <v>6298</v>
      </c>
      <c r="AO2314" s="122">
        <v>2332</v>
      </c>
      <c r="AP2314" s="122">
        <v>1242</v>
      </c>
      <c r="AQ2314">
        <v>460</v>
      </c>
      <c r="AR2314" s="122">
        <v>16665</v>
      </c>
      <c r="AS2314" s="122">
        <v>15150</v>
      </c>
      <c r="AT2314" s="122">
        <v>7917</v>
      </c>
      <c r="AU2314" s="122">
        <v>2932</v>
      </c>
      <c r="AV2314" s="122">
        <v>205331</v>
      </c>
    </row>
    <row r="2315" spans="2:48" hidden="1">
      <c r="B2315" t="s">
        <v>378</v>
      </c>
      <c r="C2315" t="s">
        <v>64</v>
      </c>
      <c r="D2315" t="s">
        <v>425</v>
      </c>
      <c r="E2315" t="s">
        <v>406</v>
      </c>
      <c r="F2315" s="122">
        <v>1</v>
      </c>
      <c r="G2315" s="122">
        <v>122</v>
      </c>
      <c r="H2315" s="122">
        <v>487</v>
      </c>
      <c r="I2315" s="122">
        <v>40380</v>
      </c>
      <c r="J2315" s="122">
        <v>36709</v>
      </c>
      <c r="K2315" s="122">
        <v>70</v>
      </c>
      <c r="L2315" s="122">
        <v>5967</v>
      </c>
      <c r="M2315" s="122">
        <v>5425</v>
      </c>
      <c r="N2315" s="122">
        <v>2594</v>
      </c>
      <c r="O2315" s="122">
        <v>961</v>
      </c>
      <c r="P2315" s="122">
        <v>1323</v>
      </c>
      <c r="Q2315" s="122">
        <v>490</v>
      </c>
      <c r="R2315" s="122">
        <v>5591</v>
      </c>
      <c r="S2315" s="122">
        <v>5083</v>
      </c>
      <c r="T2315" s="122">
        <v>3408</v>
      </c>
      <c r="U2315" s="122">
        <v>1262</v>
      </c>
      <c r="V2315" s="122">
        <v>49929</v>
      </c>
      <c r="W2315" s="122">
        <f t="shared" si="72"/>
        <v>49930</v>
      </c>
      <c r="X2315" s="122">
        <f t="shared" si="73"/>
        <v>59263</v>
      </c>
      <c r="AA2315" t="s">
        <v>64</v>
      </c>
      <c r="AB2315" t="s">
        <v>406</v>
      </c>
      <c r="AC2315" t="s">
        <v>407</v>
      </c>
      <c r="AD2315" t="s">
        <v>137</v>
      </c>
      <c r="AE2315" t="s">
        <v>566</v>
      </c>
      <c r="AF2315">
        <v>1</v>
      </c>
      <c r="AG2315" s="122">
        <v>98</v>
      </c>
      <c r="AH2315" s="122">
        <v>545</v>
      </c>
      <c r="AI2315" s="122">
        <v>40170</v>
      </c>
      <c r="AJ2315" s="122">
        <v>36518</v>
      </c>
      <c r="AK2315">
        <v>65</v>
      </c>
      <c r="AL2315" s="122">
        <v>5517</v>
      </c>
      <c r="AM2315" s="122">
        <v>5015</v>
      </c>
      <c r="AN2315" s="122">
        <v>2315</v>
      </c>
      <c r="AO2315" s="122">
        <v>857</v>
      </c>
      <c r="AP2315" s="122">
        <v>621</v>
      </c>
      <c r="AQ2315" s="122">
        <v>230</v>
      </c>
      <c r="AR2315" s="122">
        <v>5055</v>
      </c>
      <c r="AS2315" s="122">
        <v>1872</v>
      </c>
      <c r="AT2315" s="122">
        <v>0</v>
      </c>
      <c r="AU2315" s="122">
        <v>0</v>
      </c>
      <c r="AV2315" s="122">
        <v>44493</v>
      </c>
    </row>
    <row r="2316" spans="2:48" hidden="1">
      <c r="B2316" t="s">
        <v>378</v>
      </c>
      <c r="C2316" t="s">
        <v>64</v>
      </c>
      <c r="D2316" t="s">
        <v>405</v>
      </c>
      <c r="E2316" t="s">
        <v>405</v>
      </c>
      <c r="F2316" s="122">
        <v>2</v>
      </c>
      <c r="G2316" s="122">
        <v>151</v>
      </c>
      <c r="H2316" s="122">
        <v>1025</v>
      </c>
      <c r="I2316" s="122">
        <v>51509</v>
      </c>
      <c r="J2316" s="122">
        <v>46827</v>
      </c>
      <c r="K2316" s="122">
        <v>87</v>
      </c>
      <c r="L2316" s="122">
        <v>10532</v>
      </c>
      <c r="M2316" s="122">
        <v>9575</v>
      </c>
      <c r="N2316" s="122">
        <v>3265</v>
      </c>
      <c r="O2316" s="122">
        <v>1209</v>
      </c>
      <c r="P2316" s="122">
        <v>945</v>
      </c>
      <c r="Q2316" s="122">
        <v>350</v>
      </c>
      <c r="R2316" s="122">
        <v>7688</v>
      </c>
      <c r="S2316" s="122">
        <v>6989</v>
      </c>
      <c r="T2316" s="122">
        <v>2413</v>
      </c>
      <c r="U2316" s="122">
        <v>894</v>
      </c>
      <c r="V2316" s="122">
        <v>65843</v>
      </c>
      <c r="W2316" s="122">
        <f t="shared" si="72"/>
        <v>65844</v>
      </c>
      <c r="X2316" s="122">
        <f t="shared" si="73"/>
        <v>76352</v>
      </c>
      <c r="AA2316" t="s">
        <v>64</v>
      </c>
      <c r="AB2316" t="s">
        <v>406</v>
      </c>
      <c r="AC2316" t="s">
        <v>407</v>
      </c>
      <c r="AD2316" t="s">
        <v>406</v>
      </c>
      <c r="AE2316" t="s">
        <v>137</v>
      </c>
      <c r="AF2316">
        <v>21</v>
      </c>
      <c r="AG2316" s="122">
        <v>3343</v>
      </c>
      <c r="AH2316" s="122">
        <v>11014</v>
      </c>
      <c r="AI2316" s="122">
        <v>1214991</v>
      </c>
      <c r="AJ2316" s="122">
        <v>1104537</v>
      </c>
      <c r="AK2316">
        <v>66</v>
      </c>
      <c r="AL2316" s="122">
        <v>264502</v>
      </c>
      <c r="AM2316" s="122">
        <v>240456</v>
      </c>
      <c r="AN2316" s="122">
        <v>74335</v>
      </c>
      <c r="AO2316" s="122">
        <v>27532</v>
      </c>
      <c r="AP2316" s="122">
        <v>13514</v>
      </c>
      <c r="AQ2316" s="122">
        <v>5005</v>
      </c>
      <c r="AR2316" s="122">
        <v>123260</v>
      </c>
      <c r="AS2316" s="122">
        <v>112055</v>
      </c>
      <c r="AT2316" s="122">
        <v>62366</v>
      </c>
      <c r="AU2316" s="122">
        <v>23099</v>
      </c>
      <c r="AV2316" s="122">
        <v>1512683</v>
      </c>
    </row>
    <row r="2317" spans="2:48" hidden="1">
      <c r="B2317" t="s">
        <v>378</v>
      </c>
      <c r="C2317" t="s">
        <v>64</v>
      </c>
      <c r="D2317" t="s">
        <v>137</v>
      </c>
      <c r="E2317" t="s">
        <v>137</v>
      </c>
      <c r="F2317" s="122">
        <v>98</v>
      </c>
      <c r="G2317" s="122">
        <v>8864</v>
      </c>
      <c r="H2317" s="122">
        <v>76472</v>
      </c>
      <c r="I2317" s="122">
        <v>5103364</v>
      </c>
      <c r="J2317" s="122">
        <v>1890135</v>
      </c>
      <c r="K2317" s="122">
        <v>100</v>
      </c>
      <c r="L2317" s="122">
        <v>783538</v>
      </c>
      <c r="M2317" s="122">
        <v>680837</v>
      </c>
      <c r="N2317" s="122">
        <v>204402</v>
      </c>
      <c r="O2317" s="122">
        <v>75705</v>
      </c>
      <c r="P2317" s="122">
        <v>2673</v>
      </c>
      <c r="Q2317" s="122">
        <v>990</v>
      </c>
      <c r="R2317" s="122">
        <v>646329</v>
      </c>
      <c r="S2317" s="122">
        <v>239381</v>
      </c>
      <c r="T2317" s="122">
        <v>2988</v>
      </c>
      <c r="U2317" s="122">
        <v>1107</v>
      </c>
      <c r="V2317" s="122">
        <v>2888154</v>
      </c>
      <c r="W2317" s="122">
        <f t="shared" si="72"/>
        <v>2888155</v>
      </c>
      <c r="X2317" s="122">
        <f t="shared" si="73"/>
        <v>6743294</v>
      </c>
      <c r="AA2317" t="s">
        <v>64</v>
      </c>
      <c r="AB2317" t="s">
        <v>406</v>
      </c>
      <c r="AC2317" t="s">
        <v>407</v>
      </c>
      <c r="AD2317" t="s">
        <v>406</v>
      </c>
      <c r="AE2317" t="s">
        <v>566</v>
      </c>
      <c r="AF2317">
        <v>3</v>
      </c>
      <c r="AG2317">
        <v>414</v>
      </c>
      <c r="AH2317" s="122">
        <v>1523</v>
      </c>
      <c r="AI2317" s="122">
        <v>165856</v>
      </c>
      <c r="AJ2317" s="122">
        <v>150778</v>
      </c>
      <c r="AK2317">
        <v>67</v>
      </c>
      <c r="AL2317" s="122">
        <v>51718</v>
      </c>
      <c r="AM2317" s="122">
        <v>47016</v>
      </c>
      <c r="AN2317" s="122">
        <v>12036</v>
      </c>
      <c r="AO2317" s="122">
        <v>4458</v>
      </c>
      <c r="AP2317" s="122">
        <v>1863</v>
      </c>
      <c r="AQ2317">
        <v>690</v>
      </c>
      <c r="AR2317" s="122">
        <v>25669</v>
      </c>
      <c r="AS2317" s="122">
        <v>23335</v>
      </c>
      <c r="AT2317" s="122">
        <v>0</v>
      </c>
      <c r="AU2317" s="122">
        <v>0</v>
      </c>
      <c r="AV2317" s="122">
        <v>226278</v>
      </c>
    </row>
    <row r="2318" spans="2:48" hidden="1">
      <c r="B2318" t="s">
        <v>378</v>
      </c>
      <c r="C2318" t="s">
        <v>64</v>
      </c>
      <c r="D2318" t="s">
        <v>137</v>
      </c>
      <c r="E2318" t="s">
        <v>406</v>
      </c>
      <c r="F2318" s="122">
        <v>1</v>
      </c>
      <c r="G2318" s="122">
        <v>286</v>
      </c>
      <c r="H2318" s="122">
        <v>524</v>
      </c>
      <c r="I2318" s="122">
        <v>126192</v>
      </c>
      <c r="J2318" s="122">
        <v>46738</v>
      </c>
      <c r="K2318" s="122">
        <v>100</v>
      </c>
      <c r="L2318" s="122">
        <v>7753</v>
      </c>
      <c r="M2318" s="122">
        <v>7048</v>
      </c>
      <c r="N2318" s="122">
        <v>5989</v>
      </c>
      <c r="O2318" s="122">
        <v>2218</v>
      </c>
      <c r="P2318" s="122">
        <v>0</v>
      </c>
      <c r="Q2318" s="122">
        <v>0</v>
      </c>
      <c r="R2318" s="122">
        <v>5997</v>
      </c>
      <c r="S2318" s="122">
        <v>5452</v>
      </c>
      <c r="T2318" s="122">
        <v>3734</v>
      </c>
      <c r="U2318" s="122">
        <v>1383</v>
      </c>
      <c r="V2318" s="122">
        <v>62839</v>
      </c>
      <c r="W2318" s="122">
        <f t="shared" si="72"/>
        <v>62839</v>
      </c>
      <c r="X2318" s="122">
        <f t="shared" si="73"/>
        <v>149665</v>
      </c>
      <c r="AA2318" t="s">
        <v>64</v>
      </c>
      <c r="AB2318" t="s">
        <v>406</v>
      </c>
      <c r="AC2318" t="s">
        <v>579</v>
      </c>
      <c r="AD2318" t="s">
        <v>425</v>
      </c>
      <c r="AE2318" t="s">
        <v>137</v>
      </c>
      <c r="AF2318">
        <v>1</v>
      </c>
      <c r="AG2318">
        <v>148</v>
      </c>
      <c r="AH2318" s="122">
        <v>491</v>
      </c>
      <c r="AI2318" s="122">
        <v>48180</v>
      </c>
      <c r="AJ2318" s="122">
        <v>43800</v>
      </c>
      <c r="AK2318">
        <v>65</v>
      </c>
      <c r="AL2318" s="122">
        <v>12030</v>
      </c>
      <c r="AM2318" s="122">
        <v>10025</v>
      </c>
      <c r="AN2318" s="122">
        <v>3442</v>
      </c>
      <c r="AO2318" s="122">
        <v>1275</v>
      </c>
      <c r="AP2318" s="122">
        <v>621</v>
      </c>
      <c r="AQ2318">
        <v>230</v>
      </c>
      <c r="AR2318" s="122">
        <v>5410</v>
      </c>
      <c r="AS2318" s="122">
        <v>4919</v>
      </c>
      <c r="AT2318" s="122">
        <v>2952</v>
      </c>
      <c r="AU2318" s="122">
        <v>1093</v>
      </c>
      <c r="AV2318" s="122">
        <v>61341</v>
      </c>
    </row>
    <row r="2319" spans="2:48" hidden="1">
      <c r="B2319" t="s">
        <v>378</v>
      </c>
      <c r="C2319" t="s">
        <v>64</v>
      </c>
      <c r="D2319" t="s">
        <v>137</v>
      </c>
      <c r="E2319" t="s">
        <v>427</v>
      </c>
      <c r="F2319" s="122">
        <v>1</v>
      </c>
      <c r="G2319" s="122">
        <v>120</v>
      </c>
      <c r="H2319" s="122">
        <v>764</v>
      </c>
      <c r="I2319" s="122">
        <v>69893</v>
      </c>
      <c r="J2319" s="122">
        <v>25886</v>
      </c>
      <c r="K2319" s="122">
        <v>100</v>
      </c>
      <c r="L2319" s="122">
        <v>10546</v>
      </c>
      <c r="M2319" s="122">
        <v>9588</v>
      </c>
      <c r="N2319" s="122">
        <v>2833</v>
      </c>
      <c r="O2319" s="122">
        <v>1049</v>
      </c>
      <c r="P2319" s="122">
        <v>0</v>
      </c>
      <c r="Q2319" s="122">
        <v>0</v>
      </c>
      <c r="R2319" s="122">
        <v>6093</v>
      </c>
      <c r="S2319" s="122">
        <v>5539</v>
      </c>
      <c r="T2319" s="122">
        <v>2228</v>
      </c>
      <c r="U2319" s="122">
        <v>825</v>
      </c>
      <c r="V2319" s="122">
        <v>42887</v>
      </c>
      <c r="W2319" s="122">
        <f t="shared" si="72"/>
        <v>42887</v>
      </c>
      <c r="X2319" s="122">
        <f t="shared" si="73"/>
        <v>91593</v>
      </c>
      <c r="AA2319" t="s">
        <v>64</v>
      </c>
      <c r="AB2319" t="s">
        <v>406</v>
      </c>
      <c r="AC2319" t="s">
        <v>579</v>
      </c>
      <c r="AD2319" t="s">
        <v>137</v>
      </c>
      <c r="AE2319" t="s">
        <v>137</v>
      </c>
      <c r="AF2319">
        <v>3</v>
      </c>
      <c r="AG2319" s="122">
        <v>408</v>
      </c>
      <c r="AH2319" s="122">
        <v>1614</v>
      </c>
      <c r="AI2319" s="122">
        <v>138172</v>
      </c>
      <c r="AJ2319" s="122">
        <v>125611</v>
      </c>
      <c r="AK2319">
        <v>67</v>
      </c>
      <c r="AL2319" s="122">
        <v>36461</v>
      </c>
      <c r="AM2319" s="122">
        <v>30384</v>
      </c>
      <c r="AN2319" s="122">
        <v>9888</v>
      </c>
      <c r="AO2319" s="122">
        <v>3662</v>
      </c>
      <c r="AP2319" s="122">
        <v>2202</v>
      </c>
      <c r="AQ2319" s="122">
        <v>816</v>
      </c>
      <c r="AR2319" s="122">
        <v>29507</v>
      </c>
      <c r="AS2319" s="122">
        <v>10928</v>
      </c>
      <c r="AT2319">
        <v>0</v>
      </c>
      <c r="AU2319">
        <v>0</v>
      </c>
      <c r="AV2319" s="122">
        <v>171401</v>
      </c>
    </row>
    <row r="2320" spans="2:48" hidden="1">
      <c r="B2320" t="s">
        <v>378</v>
      </c>
      <c r="C2320" t="s">
        <v>64</v>
      </c>
      <c r="D2320" t="s">
        <v>137</v>
      </c>
      <c r="E2320" t="s">
        <v>426</v>
      </c>
      <c r="F2320" s="122">
        <v>7</v>
      </c>
      <c r="G2320" s="122">
        <v>690</v>
      </c>
      <c r="H2320" s="122">
        <v>5484</v>
      </c>
      <c r="I2320" s="122">
        <v>425365</v>
      </c>
      <c r="J2320" s="122">
        <v>157543</v>
      </c>
      <c r="K2320" s="122">
        <v>100</v>
      </c>
      <c r="L2320" s="122">
        <v>52573</v>
      </c>
      <c r="M2320" s="122">
        <v>47794</v>
      </c>
      <c r="N2320" s="122">
        <v>16212</v>
      </c>
      <c r="O2320" s="122">
        <v>6005</v>
      </c>
      <c r="P2320" s="122">
        <v>1053</v>
      </c>
      <c r="Q2320" s="122">
        <v>390</v>
      </c>
      <c r="R2320" s="122">
        <v>38029</v>
      </c>
      <c r="S2320" s="122">
        <v>34572</v>
      </c>
      <c r="T2320" s="122">
        <v>12617</v>
      </c>
      <c r="U2320" s="122">
        <v>4673</v>
      </c>
      <c r="V2320" s="122">
        <v>250975</v>
      </c>
      <c r="W2320" s="122">
        <f t="shared" si="72"/>
        <v>250977</v>
      </c>
      <c r="X2320" s="122">
        <f t="shared" si="73"/>
        <v>545849</v>
      </c>
      <c r="AA2320" t="s">
        <v>64</v>
      </c>
      <c r="AB2320" t="s">
        <v>406</v>
      </c>
      <c r="AC2320" t="s">
        <v>579</v>
      </c>
      <c r="AD2320" t="s">
        <v>137</v>
      </c>
      <c r="AE2320" t="s">
        <v>566</v>
      </c>
      <c r="AF2320">
        <v>26</v>
      </c>
      <c r="AG2320" s="122">
        <v>3619</v>
      </c>
      <c r="AH2320" s="122">
        <v>15961</v>
      </c>
      <c r="AI2320" s="122">
        <v>1507425</v>
      </c>
      <c r="AJ2320" s="122">
        <v>1370387</v>
      </c>
      <c r="AK2320">
        <v>69</v>
      </c>
      <c r="AL2320" s="122">
        <v>367030</v>
      </c>
      <c r="AM2320" s="122">
        <v>305859</v>
      </c>
      <c r="AN2320" s="122">
        <v>84741</v>
      </c>
      <c r="AO2320" s="122">
        <v>31385</v>
      </c>
      <c r="AP2320" s="122">
        <v>15525</v>
      </c>
      <c r="AQ2320" s="122">
        <v>5750</v>
      </c>
      <c r="AR2320" s="122">
        <v>179847</v>
      </c>
      <c r="AS2320" s="122">
        <v>66610</v>
      </c>
      <c r="AT2320" s="122">
        <v>0</v>
      </c>
      <c r="AU2320" s="122">
        <v>0</v>
      </c>
      <c r="AV2320" s="122">
        <v>1779991</v>
      </c>
    </row>
    <row r="2321" spans="2:48" hidden="1">
      <c r="B2321" t="s">
        <v>378</v>
      </c>
      <c r="C2321" t="s">
        <v>64</v>
      </c>
      <c r="D2321" t="s">
        <v>406</v>
      </c>
      <c r="E2321" t="s">
        <v>137</v>
      </c>
      <c r="F2321" s="122">
        <v>11</v>
      </c>
      <c r="G2321" s="122">
        <v>1095</v>
      </c>
      <c r="H2321" s="122">
        <v>7237</v>
      </c>
      <c r="I2321" s="122">
        <v>481478</v>
      </c>
      <c r="J2321" s="122">
        <v>437707</v>
      </c>
      <c r="K2321" s="122">
        <v>66</v>
      </c>
      <c r="L2321" s="122">
        <v>105679</v>
      </c>
      <c r="M2321" s="122">
        <v>87276</v>
      </c>
      <c r="N2321" s="122">
        <v>24508</v>
      </c>
      <c r="O2321" s="122">
        <v>9077</v>
      </c>
      <c r="P2321" s="122">
        <v>6210</v>
      </c>
      <c r="Q2321" s="122">
        <v>2300</v>
      </c>
      <c r="R2321" s="122">
        <v>79937</v>
      </c>
      <c r="S2321" s="122">
        <v>29606</v>
      </c>
      <c r="T2321" s="122">
        <v>0</v>
      </c>
      <c r="U2321" s="122">
        <v>0</v>
      </c>
      <c r="V2321" s="122">
        <v>565967</v>
      </c>
      <c r="W2321" s="122">
        <f t="shared" si="72"/>
        <v>565966</v>
      </c>
      <c r="X2321" s="122">
        <f t="shared" si="73"/>
        <v>697812</v>
      </c>
      <c r="AA2321" t="s">
        <v>64</v>
      </c>
      <c r="AB2321" t="s">
        <v>406</v>
      </c>
      <c r="AC2321" t="s">
        <v>579</v>
      </c>
      <c r="AD2321" t="s">
        <v>406</v>
      </c>
      <c r="AE2321" t="s">
        <v>137</v>
      </c>
      <c r="AF2321">
        <v>769</v>
      </c>
      <c r="AG2321" s="122">
        <v>95117</v>
      </c>
      <c r="AH2321" s="122">
        <v>420093</v>
      </c>
      <c r="AI2321" s="122">
        <v>35239487</v>
      </c>
      <c r="AJ2321" s="122">
        <v>32035897</v>
      </c>
      <c r="AK2321">
        <v>70</v>
      </c>
      <c r="AL2321" s="122">
        <v>8400688</v>
      </c>
      <c r="AM2321" s="122">
        <v>7000574</v>
      </c>
      <c r="AN2321" s="122">
        <v>2089459</v>
      </c>
      <c r="AO2321" s="122">
        <v>773874</v>
      </c>
      <c r="AP2321" s="122">
        <v>487966</v>
      </c>
      <c r="AQ2321" s="122">
        <v>180728</v>
      </c>
      <c r="AR2321" s="122">
        <v>3844864</v>
      </c>
      <c r="AS2321" s="122">
        <v>3495331</v>
      </c>
      <c r="AT2321" s="122">
        <v>1987217</v>
      </c>
      <c r="AU2321" s="122">
        <v>736006</v>
      </c>
      <c r="AV2321" s="122">
        <v>44222409</v>
      </c>
    </row>
    <row r="2322" spans="2:48" hidden="1">
      <c r="B2322" t="s">
        <v>378</v>
      </c>
      <c r="C2322" t="s">
        <v>64</v>
      </c>
      <c r="D2322" t="s">
        <v>406</v>
      </c>
      <c r="E2322" t="s">
        <v>406</v>
      </c>
      <c r="F2322" s="122">
        <v>488</v>
      </c>
      <c r="G2322" s="122">
        <v>49846</v>
      </c>
      <c r="H2322" s="122">
        <v>287164</v>
      </c>
      <c r="I2322" s="122">
        <v>18895171</v>
      </c>
      <c r="J2322" s="122">
        <v>17177428</v>
      </c>
      <c r="K2322" s="122">
        <v>71</v>
      </c>
      <c r="L2322" s="122">
        <v>5724272</v>
      </c>
      <c r="M2322" s="122">
        <v>5129571</v>
      </c>
      <c r="N2322" s="122">
        <v>1065443</v>
      </c>
      <c r="O2322" s="122">
        <v>394608</v>
      </c>
      <c r="P2322" s="122">
        <v>313902</v>
      </c>
      <c r="Q2322" s="122">
        <v>116260</v>
      </c>
      <c r="R2322" s="122">
        <v>2617146</v>
      </c>
      <c r="S2322" s="122">
        <v>2379224</v>
      </c>
      <c r="T2322" s="122">
        <v>855208</v>
      </c>
      <c r="U2322" s="122">
        <v>316744</v>
      </c>
      <c r="V2322" s="122">
        <v>25513834</v>
      </c>
      <c r="W2322" s="122">
        <f t="shared" si="72"/>
        <v>25513835</v>
      </c>
      <c r="X2322" s="122">
        <f t="shared" si="73"/>
        <v>29471142</v>
      </c>
      <c r="AA2322" t="s">
        <v>64</v>
      </c>
      <c r="AB2322" t="s">
        <v>406</v>
      </c>
      <c r="AC2322" t="s">
        <v>579</v>
      </c>
      <c r="AD2322" t="s">
        <v>406</v>
      </c>
      <c r="AE2322" t="s">
        <v>566</v>
      </c>
      <c r="AF2322">
        <v>212</v>
      </c>
      <c r="AG2322" s="122">
        <v>24791</v>
      </c>
      <c r="AH2322" s="122">
        <v>115199</v>
      </c>
      <c r="AI2322" s="122">
        <v>9030051</v>
      </c>
      <c r="AJ2322" s="122">
        <v>8209137</v>
      </c>
      <c r="AK2322">
        <v>70</v>
      </c>
      <c r="AL2322" s="122">
        <v>2198929</v>
      </c>
      <c r="AM2322" s="122">
        <v>1832441</v>
      </c>
      <c r="AN2322" s="122">
        <v>541145</v>
      </c>
      <c r="AO2322" s="122">
        <v>200424</v>
      </c>
      <c r="AP2322" s="122">
        <v>132507</v>
      </c>
      <c r="AQ2322" s="122">
        <v>49077</v>
      </c>
      <c r="AR2322" s="122">
        <v>1473881</v>
      </c>
      <c r="AS2322" s="122">
        <v>1339892</v>
      </c>
      <c r="AT2322" s="122">
        <v>0</v>
      </c>
      <c r="AU2322" s="122">
        <v>0</v>
      </c>
      <c r="AV2322" s="122">
        <v>11630970</v>
      </c>
    </row>
    <row r="2323" spans="2:48" hidden="1">
      <c r="B2323" t="s">
        <v>378</v>
      </c>
      <c r="C2323" t="s">
        <v>64</v>
      </c>
      <c r="D2323" t="s">
        <v>406</v>
      </c>
      <c r="E2323" t="s">
        <v>407</v>
      </c>
      <c r="F2323" s="122">
        <v>1</v>
      </c>
      <c r="G2323" s="122">
        <v>67</v>
      </c>
      <c r="H2323" s="122">
        <v>678</v>
      </c>
      <c r="I2323" s="122">
        <v>30991</v>
      </c>
      <c r="J2323" s="122">
        <v>28174</v>
      </c>
      <c r="K2323" s="122">
        <v>65</v>
      </c>
      <c r="L2323" s="122">
        <v>7094</v>
      </c>
      <c r="M2323" s="122">
        <v>6449</v>
      </c>
      <c r="N2323" s="122">
        <v>1514</v>
      </c>
      <c r="O2323" s="122">
        <v>561</v>
      </c>
      <c r="P2323" s="122">
        <v>621</v>
      </c>
      <c r="Q2323" s="122">
        <v>230</v>
      </c>
      <c r="R2323" s="122">
        <v>3519</v>
      </c>
      <c r="S2323" s="122">
        <v>3199</v>
      </c>
      <c r="T2323" s="122">
        <v>1540</v>
      </c>
      <c r="U2323" s="122">
        <v>570</v>
      </c>
      <c r="V2323" s="122">
        <v>39183</v>
      </c>
      <c r="W2323" s="122">
        <f t="shared" si="72"/>
        <v>39183</v>
      </c>
      <c r="X2323" s="122">
        <f t="shared" si="73"/>
        <v>45279</v>
      </c>
      <c r="AA2323" t="s">
        <v>64</v>
      </c>
      <c r="AB2323" t="s">
        <v>406</v>
      </c>
      <c r="AC2323" t="s">
        <v>579</v>
      </c>
      <c r="AD2323" t="s">
        <v>579</v>
      </c>
      <c r="AE2323" t="s">
        <v>137</v>
      </c>
      <c r="AF2323">
        <v>2</v>
      </c>
      <c r="AG2323">
        <v>122</v>
      </c>
      <c r="AH2323" s="122">
        <v>1063</v>
      </c>
      <c r="AI2323" s="122">
        <v>40900</v>
      </c>
      <c r="AJ2323" s="122">
        <v>37182</v>
      </c>
      <c r="AK2323">
        <v>85</v>
      </c>
      <c r="AL2323" s="122">
        <v>9211</v>
      </c>
      <c r="AM2323" s="122">
        <v>7676</v>
      </c>
      <c r="AN2323" s="122">
        <v>2465</v>
      </c>
      <c r="AO2323">
        <v>913</v>
      </c>
      <c r="AP2323" s="122">
        <v>1242</v>
      </c>
      <c r="AQ2323">
        <v>460</v>
      </c>
      <c r="AR2323" s="122">
        <v>8042</v>
      </c>
      <c r="AS2323" s="122">
        <v>6701</v>
      </c>
      <c r="AT2323" s="122">
        <v>3502</v>
      </c>
      <c r="AU2323" s="122">
        <v>1297</v>
      </c>
      <c r="AV2323" s="122">
        <v>54229</v>
      </c>
    </row>
    <row r="2324" spans="2:48" hidden="1">
      <c r="B2324" t="s">
        <v>378</v>
      </c>
      <c r="C2324" t="s">
        <v>64</v>
      </c>
      <c r="D2324" t="s">
        <v>406</v>
      </c>
      <c r="E2324" t="s">
        <v>426</v>
      </c>
      <c r="F2324" s="122">
        <v>1</v>
      </c>
      <c r="G2324" s="122">
        <v>101</v>
      </c>
      <c r="H2324" s="122">
        <v>505</v>
      </c>
      <c r="I2324" s="122">
        <v>33508</v>
      </c>
      <c r="J2324" s="122">
        <v>30461</v>
      </c>
      <c r="K2324" s="122">
        <v>65</v>
      </c>
      <c r="L2324" s="122">
        <v>7670</v>
      </c>
      <c r="M2324" s="122">
        <v>6972</v>
      </c>
      <c r="N2324" s="122">
        <v>1929</v>
      </c>
      <c r="O2324" s="122">
        <v>714</v>
      </c>
      <c r="P2324" s="122">
        <v>621</v>
      </c>
      <c r="Q2324" s="122">
        <v>230</v>
      </c>
      <c r="R2324" s="122">
        <v>4912</v>
      </c>
      <c r="S2324" s="122">
        <v>4466</v>
      </c>
      <c r="T2324" s="122">
        <v>2580</v>
      </c>
      <c r="U2324" s="122">
        <v>956</v>
      </c>
      <c r="V2324" s="122">
        <v>43799</v>
      </c>
      <c r="W2324" s="122">
        <f t="shared" si="72"/>
        <v>43799</v>
      </c>
      <c r="X2324" s="122">
        <f t="shared" si="73"/>
        <v>51220</v>
      </c>
      <c r="AA2324" t="s">
        <v>64</v>
      </c>
      <c r="AB2324" t="s">
        <v>406</v>
      </c>
      <c r="AC2324" t="s">
        <v>579</v>
      </c>
      <c r="AD2324" t="s">
        <v>579</v>
      </c>
      <c r="AE2324" t="s">
        <v>566</v>
      </c>
      <c r="AF2324">
        <v>1</v>
      </c>
      <c r="AG2324">
        <v>101</v>
      </c>
      <c r="AH2324">
        <v>559</v>
      </c>
      <c r="AI2324" s="122">
        <v>35650</v>
      </c>
      <c r="AJ2324" s="122">
        <v>32409</v>
      </c>
      <c r="AK2324">
        <v>70</v>
      </c>
      <c r="AL2324" s="122">
        <v>10083</v>
      </c>
      <c r="AM2324" s="122">
        <v>8402</v>
      </c>
      <c r="AN2324" s="122">
        <v>1233</v>
      </c>
      <c r="AO2324" s="122">
        <v>457</v>
      </c>
      <c r="AP2324">
        <v>621</v>
      </c>
      <c r="AQ2324">
        <v>230</v>
      </c>
      <c r="AR2324" s="122">
        <v>9020</v>
      </c>
      <c r="AS2324" s="122">
        <v>7517</v>
      </c>
      <c r="AT2324" s="122">
        <v>0</v>
      </c>
      <c r="AU2324" s="122">
        <v>0</v>
      </c>
      <c r="AV2324" s="122">
        <v>49014</v>
      </c>
    </row>
    <row r="2325" spans="2:48" hidden="1">
      <c r="B2325" t="s">
        <v>378</v>
      </c>
      <c r="C2325" t="s">
        <v>64</v>
      </c>
      <c r="D2325" t="s">
        <v>427</v>
      </c>
      <c r="E2325" t="s">
        <v>137</v>
      </c>
      <c r="F2325" s="122">
        <v>10</v>
      </c>
      <c r="G2325" s="122">
        <v>1741</v>
      </c>
      <c r="H2325" s="122">
        <v>13181</v>
      </c>
      <c r="I2325" s="122">
        <v>1230441</v>
      </c>
      <c r="J2325" s="122">
        <v>1118583</v>
      </c>
      <c r="K2325" s="122">
        <v>37</v>
      </c>
      <c r="L2325" s="122">
        <v>182788</v>
      </c>
      <c r="M2325" s="122">
        <v>154214</v>
      </c>
      <c r="N2325" s="122">
        <v>42426</v>
      </c>
      <c r="O2325" s="122">
        <v>15713</v>
      </c>
      <c r="P2325" s="122">
        <v>702</v>
      </c>
      <c r="Q2325" s="122">
        <v>260</v>
      </c>
      <c r="R2325" s="122">
        <v>110540</v>
      </c>
      <c r="S2325" s="122">
        <v>40941</v>
      </c>
      <c r="T2325" s="122">
        <v>0</v>
      </c>
      <c r="U2325" s="122">
        <v>0</v>
      </c>
      <c r="V2325" s="122">
        <v>1329711</v>
      </c>
      <c r="W2325" s="122">
        <f t="shared" si="72"/>
        <v>1329711</v>
      </c>
      <c r="X2325" s="122">
        <f t="shared" si="73"/>
        <v>1566897</v>
      </c>
      <c r="AA2325" t="s">
        <v>64</v>
      </c>
      <c r="AB2325" t="s">
        <v>406</v>
      </c>
      <c r="AC2325" t="s">
        <v>428</v>
      </c>
      <c r="AD2325" t="s">
        <v>137</v>
      </c>
      <c r="AE2325" t="s">
        <v>137</v>
      </c>
      <c r="AF2325">
        <v>1</v>
      </c>
      <c r="AG2325" s="122">
        <v>158</v>
      </c>
      <c r="AH2325" s="122">
        <v>476</v>
      </c>
      <c r="AI2325" s="122">
        <v>71999</v>
      </c>
      <c r="AJ2325" s="122">
        <v>65454</v>
      </c>
      <c r="AK2325">
        <v>65</v>
      </c>
      <c r="AL2325" s="122">
        <v>16480</v>
      </c>
      <c r="AM2325" s="122">
        <v>14982</v>
      </c>
      <c r="AN2325" s="122">
        <v>5775</v>
      </c>
      <c r="AO2325" s="122">
        <v>2139</v>
      </c>
      <c r="AP2325" s="122">
        <v>621</v>
      </c>
      <c r="AQ2325" s="122">
        <v>230</v>
      </c>
      <c r="AR2325" s="122">
        <v>14521</v>
      </c>
      <c r="AS2325" s="122">
        <v>5378</v>
      </c>
      <c r="AT2325" s="122">
        <v>3329</v>
      </c>
      <c r="AU2325" s="122">
        <v>1233</v>
      </c>
      <c r="AV2325" s="122">
        <v>89416</v>
      </c>
    </row>
    <row r="2326" spans="2:48" hidden="1">
      <c r="B2326" t="s">
        <v>378</v>
      </c>
      <c r="C2326" t="s">
        <v>64</v>
      </c>
      <c r="D2326" t="s">
        <v>427</v>
      </c>
      <c r="E2326" t="s">
        <v>427</v>
      </c>
      <c r="F2326" s="122">
        <v>14</v>
      </c>
      <c r="G2326" s="122">
        <v>980</v>
      </c>
      <c r="H2326" s="122">
        <v>10764</v>
      </c>
      <c r="I2326" s="122">
        <v>516421</v>
      </c>
      <c r="J2326" s="122">
        <v>469473</v>
      </c>
      <c r="K2326" s="122">
        <v>54</v>
      </c>
      <c r="L2326" s="122">
        <v>88185</v>
      </c>
      <c r="M2326" s="122">
        <v>76053</v>
      </c>
      <c r="N2326" s="122">
        <v>21924</v>
      </c>
      <c r="O2326" s="122">
        <v>8120</v>
      </c>
      <c r="P2326" s="122">
        <v>4914</v>
      </c>
      <c r="Q2326" s="122">
        <v>1820</v>
      </c>
      <c r="R2326" s="122">
        <v>77427</v>
      </c>
      <c r="S2326" s="122">
        <v>70388</v>
      </c>
      <c r="T2326" s="122">
        <v>26262</v>
      </c>
      <c r="U2326" s="122">
        <v>9727</v>
      </c>
      <c r="V2326" s="122">
        <v>635581</v>
      </c>
      <c r="W2326" s="122">
        <f t="shared" si="72"/>
        <v>635581</v>
      </c>
      <c r="X2326" s="122">
        <f t="shared" si="73"/>
        <v>735133</v>
      </c>
      <c r="AA2326" t="s">
        <v>64</v>
      </c>
      <c r="AB2326" t="s">
        <v>406</v>
      </c>
      <c r="AC2326" t="s">
        <v>428</v>
      </c>
      <c r="AD2326" t="s">
        <v>406</v>
      </c>
      <c r="AE2326" t="s">
        <v>137</v>
      </c>
      <c r="AF2326">
        <v>47</v>
      </c>
      <c r="AG2326" s="122">
        <v>4879</v>
      </c>
      <c r="AH2326" s="122">
        <v>25908</v>
      </c>
      <c r="AI2326" s="122">
        <v>1779960</v>
      </c>
      <c r="AJ2326" s="122">
        <v>1618146</v>
      </c>
      <c r="AK2326">
        <v>71</v>
      </c>
      <c r="AL2326" s="122">
        <v>396470</v>
      </c>
      <c r="AM2326" s="122">
        <v>360428</v>
      </c>
      <c r="AN2326" s="122">
        <v>108424</v>
      </c>
      <c r="AO2326" s="122">
        <v>40157</v>
      </c>
      <c r="AP2326" s="122">
        <v>28458</v>
      </c>
      <c r="AQ2326" s="122">
        <v>10540</v>
      </c>
      <c r="AR2326" s="122">
        <v>238830</v>
      </c>
      <c r="AS2326" s="122">
        <v>217118</v>
      </c>
      <c r="AT2326" s="122">
        <v>107709</v>
      </c>
      <c r="AU2326" s="122">
        <v>39892</v>
      </c>
      <c r="AV2326" s="122">
        <v>2286281</v>
      </c>
    </row>
    <row r="2327" spans="2:48" hidden="1">
      <c r="B2327" t="s">
        <v>378</v>
      </c>
      <c r="C2327" t="s">
        <v>64</v>
      </c>
      <c r="D2327" t="s">
        <v>407</v>
      </c>
      <c r="E2327" t="s">
        <v>407</v>
      </c>
      <c r="F2327" s="122">
        <v>12</v>
      </c>
      <c r="G2327" s="122">
        <v>939</v>
      </c>
      <c r="H2327" s="122">
        <v>6295</v>
      </c>
      <c r="I2327" s="122">
        <v>323790</v>
      </c>
      <c r="J2327" s="122">
        <v>294354</v>
      </c>
      <c r="K2327" s="122">
        <v>77</v>
      </c>
      <c r="L2327" s="122">
        <v>79435</v>
      </c>
      <c r="M2327" s="122">
        <v>66176</v>
      </c>
      <c r="N2327" s="122">
        <v>20025</v>
      </c>
      <c r="O2327" s="122">
        <v>7417</v>
      </c>
      <c r="P2327" s="122">
        <v>6021</v>
      </c>
      <c r="Q2327" s="122">
        <v>2230</v>
      </c>
      <c r="R2327" s="122">
        <v>54686</v>
      </c>
      <c r="S2327" s="122">
        <v>49715</v>
      </c>
      <c r="T2327" s="122">
        <v>14390</v>
      </c>
      <c r="U2327" s="122">
        <v>5330</v>
      </c>
      <c r="V2327" s="122">
        <v>425222</v>
      </c>
      <c r="W2327" s="122">
        <f t="shared" si="72"/>
        <v>425222</v>
      </c>
      <c r="X2327" s="122">
        <f t="shared" si="73"/>
        <v>498347</v>
      </c>
      <c r="AA2327" t="s">
        <v>64</v>
      </c>
      <c r="AB2327" t="s">
        <v>406</v>
      </c>
      <c r="AC2327" t="s">
        <v>428</v>
      </c>
      <c r="AD2327" t="s">
        <v>406</v>
      </c>
      <c r="AE2327" t="s">
        <v>566</v>
      </c>
      <c r="AF2327">
        <v>18</v>
      </c>
      <c r="AG2327" s="122">
        <v>1663</v>
      </c>
      <c r="AH2327" s="122">
        <v>9619</v>
      </c>
      <c r="AI2327" s="122">
        <v>596969</v>
      </c>
      <c r="AJ2327" s="122">
        <v>542699</v>
      </c>
      <c r="AK2327">
        <v>76</v>
      </c>
      <c r="AL2327" s="122">
        <v>130249</v>
      </c>
      <c r="AM2327" s="122">
        <v>118408</v>
      </c>
      <c r="AN2327" s="122">
        <v>34014</v>
      </c>
      <c r="AO2327" s="122">
        <v>12598</v>
      </c>
      <c r="AP2327" s="122">
        <v>12231</v>
      </c>
      <c r="AQ2327" s="122">
        <v>4530</v>
      </c>
      <c r="AR2327" s="122">
        <v>110545</v>
      </c>
      <c r="AS2327" s="122">
        <v>100496</v>
      </c>
      <c r="AT2327">
        <v>0</v>
      </c>
      <c r="AU2327">
        <v>0</v>
      </c>
      <c r="AV2327" s="122">
        <v>778731</v>
      </c>
    </row>
    <row r="2328" spans="2:48" hidden="1">
      <c r="B2328" t="s">
        <v>378</v>
      </c>
      <c r="C2328" t="s">
        <v>64</v>
      </c>
      <c r="D2328" t="s">
        <v>556</v>
      </c>
      <c r="E2328" t="s">
        <v>137</v>
      </c>
      <c r="F2328" s="122">
        <v>3</v>
      </c>
      <c r="G2328" s="122">
        <v>203</v>
      </c>
      <c r="H2328" s="122">
        <v>4097</v>
      </c>
      <c r="I2328" s="122">
        <v>257005</v>
      </c>
      <c r="J2328" s="122">
        <v>214171</v>
      </c>
      <c r="K2328" s="122">
        <v>38</v>
      </c>
      <c r="L2328" s="122">
        <v>7832</v>
      </c>
      <c r="M2328" s="122">
        <v>6527</v>
      </c>
      <c r="N2328" s="122">
        <v>4226</v>
      </c>
      <c r="O2328" s="122">
        <v>1565</v>
      </c>
      <c r="P2328" s="122">
        <v>351</v>
      </c>
      <c r="Q2328" s="122">
        <v>130</v>
      </c>
      <c r="R2328" s="122">
        <v>13941</v>
      </c>
      <c r="S2328" s="122">
        <v>5163</v>
      </c>
      <c r="T2328" s="122">
        <v>0</v>
      </c>
      <c r="U2328" s="122">
        <v>0</v>
      </c>
      <c r="V2328" s="122">
        <v>227557</v>
      </c>
      <c r="W2328" s="122">
        <f t="shared" si="72"/>
        <v>227556</v>
      </c>
      <c r="X2328" s="122">
        <f t="shared" si="73"/>
        <v>283355</v>
      </c>
      <c r="AA2328" t="s">
        <v>64</v>
      </c>
      <c r="AB2328" t="s">
        <v>406</v>
      </c>
      <c r="AC2328" t="s">
        <v>431</v>
      </c>
      <c r="AD2328" t="s">
        <v>137</v>
      </c>
      <c r="AE2328" t="s">
        <v>566</v>
      </c>
      <c r="AF2328">
        <v>1</v>
      </c>
      <c r="AG2328" s="122">
        <v>79</v>
      </c>
      <c r="AH2328" s="122">
        <v>560</v>
      </c>
      <c r="AI2328" s="122">
        <v>28604</v>
      </c>
      <c r="AJ2328" s="122">
        <v>26004</v>
      </c>
      <c r="AK2328">
        <v>79</v>
      </c>
      <c r="AL2328" s="122">
        <v>7946</v>
      </c>
      <c r="AM2328" s="122">
        <v>7223</v>
      </c>
      <c r="AN2328" s="122">
        <v>1925</v>
      </c>
      <c r="AO2328" s="122">
        <v>713</v>
      </c>
      <c r="AP2328" s="122">
        <v>621</v>
      </c>
      <c r="AQ2328" s="122">
        <v>230</v>
      </c>
      <c r="AR2328" s="122">
        <v>5172</v>
      </c>
      <c r="AS2328" s="122">
        <v>1916</v>
      </c>
      <c r="AT2328" s="122">
        <v>0</v>
      </c>
      <c r="AU2328" s="122">
        <v>0</v>
      </c>
      <c r="AV2328" s="122">
        <v>36085</v>
      </c>
    </row>
    <row r="2329" spans="2:48" hidden="1">
      <c r="B2329" t="s">
        <v>378</v>
      </c>
      <c r="C2329" t="s">
        <v>64</v>
      </c>
      <c r="D2329" t="s">
        <v>556</v>
      </c>
      <c r="E2329" t="s">
        <v>556</v>
      </c>
      <c r="F2329" s="122">
        <v>27</v>
      </c>
      <c r="G2329" s="122">
        <v>3056</v>
      </c>
      <c r="H2329" s="122">
        <v>21639</v>
      </c>
      <c r="I2329" s="122">
        <v>1671455</v>
      </c>
      <c r="J2329" s="122">
        <v>1392879</v>
      </c>
      <c r="K2329" s="122">
        <v>51</v>
      </c>
      <c r="L2329" s="122">
        <v>238820</v>
      </c>
      <c r="M2329" s="122">
        <v>192415</v>
      </c>
      <c r="N2329" s="122">
        <v>60563</v>
      </c>
      <c r="O2329" s="122">
        <v>22431</v>
      </c>
      <c r="P2329" s="122">
        <v>9315</v>
      </c>
      <c r="Q2329" s="122">
        <v>3450</v>
      </c>
      <c r="R2329" s="122">
        <v>176671</v>
      </c>
      <c r="S2329" s="122">
        <v>147226</v>
      </c>
      <c r="T2329" s="122">
        <v>60185</v>
      </c>
      <c r="U2329" s="122">
        <v>22291</v>
      </c>
      <c r="V2329" s="122">
        <v>1780691</v>
      </c>
      <c r="W2329" s="122">
        <f t="shared" si="72"/>
        <v>1780692</v>
      </c>
      <c r="X2329" s="122">
        <f t="shared" si="73"/>
        <v>2217009</v>
      </c>
      <c r="AA2329" t="s">
        <v>64</v>
      </c>
      <c r="AB2329" t="s">
        <v>406</v>
      </c>
      <c r="AC2329" t="s">
        <v>431</v>
      </c>
      <c r="AD2329" t="s">
        <v>406</v>
      </c>
      <c r="AE2329" t="s">
        <v>137</v>
      </c>
      <c r="AF2329">
        <v>161</v>
      </c>
      <c r="AG2329" s="122">
        <v>15038</v>
      </c>
      <c r="AH2329" s="122">
        <v>92429</v>
      </c>
      <c r="AI2329" s="122">
        <v>5887030</v>
      </c>
      <c r="AJ2329" s="122">
        <v>5351845</v>
      </c>
      <c r="AK2329">
        <v>73</v>
      </c>
      <c r="AL2329" s="122">
        <v>1208152</v>
      </c>
      <c r="AM2329" s="122">
        <v>1098320</v>
      </c>
      <c r="AN2329" s="122">
        <v>333483</v>
      </c>
      <c r="AO2329" s="122">
        <v>123512</v>
      </c>
      <c r="AP2329" s="122">
        <v>98226</v>
      </c>
      <c r="AQ2329" s="122">
        <v>36380</v>
      </c>
      <c r="AR2329" s="122">
        <v>783339</v>
      </c>
      <c r="AS2329" s="122">
        <v>712127</v>
      </c>
      <c r="AT2329" s="122">
        <v>334960</v>
      </c>
      <c r="AU2329" s="122">
        <v>124059</v>
      </c>
      <c r="AV2329" s="122">
        <v>7446243</v>
      </c>
    </row>
    <row r="2330" spans="2:48" hidden="1">
      <c r="B2330" t="s">
        <v>378</v>
      </c>
      <c r="C2330" t="s">
        <v>64</v>
      </c>
      <c r="D2330" t="s">
        <v>428</v>
      </c>
      <c r="E2330" t="s">
        <v>428</v>
      </c>
      <c r="F2330" s="122">
        <v>2</v>
      </c>
      <c r="G2330" s="122">
        <v>183</v>
      </c>
      <c r="H2330" s="122">
        <v>1174</v>
      </c>
      <c r="I2330" s="122">
        <v>72168</v>
      </c>
      <c r="J2330" s="122">
        <v>65608</v>
      </c>
      <c r="K2330" s="122">
        <v>50</v>
      </c>
      <c r="L2330" s="122">
        <v>13377</v>
      </c>
      <c r="M2330" s="122">
        <v>12161</v>
      </c>
      <c r="N2330" s="122">
        <v>3810</v>
      </c>
      <c r="O2330" s="122">
        <v>1411</v>
      </c>
      <c r="P2330" s="122">
        <v>702</v>
      </c>
      <c r="Q2330" s="122">
        <v>260</v>
      </c>
      <c r="R2330" s="122">
        <v>11748</v>
      </c>
      <c r="S2330" s="122">
        <v>10680</v>
      </c>
      <c r="T2330" s="122">
        <v>5349</v>
      </c>
      <c r="U2330" s="122">
        <v>1981</v>
      </c>
      <c r="V2330" s="122">
        <v>92101</v>
      </c>
      <c r="W2330" s="122">
        <f t="shared" si="72"/>
        <v>92101</v>
      </c>
      <c r="X2330" s="122">
        <f t="shared" si="73"/>
        <v>107154</v>
      </c>
      <c r="AA2330" t="s">
        <v>64</v>
      </c>
      <c r="AB2330" t="s">
        <v>406</v>
      </c>
      <c r="AC2330" t="s">
        <v>431</v>
      </c>
      <c r="AD2330" t="s">
        <v>406</v>
      </c>
      <c r="AE2330" t="s">
        <v>566</v>
      </c>
      <c r="AF2330">
        <v>62</v>
      </c>
      <c r="AG2330" s="122">
        <v>6016</v>
      </c>
      <c r="AH2330" s="122">
        <v>33940</v>
      </c>
      <c r="AI2330" s="122">
        <v>2268485</v>
      </c>
      <c r="AJ2330" s="122">
        <v>2062259</v>
      </c>
      <c r="AK2330">
        <v>72</v>
      </c>
      <c r="AL2330" s="122">
        <v>484874</v>
      </c>
      <c r="AM2330" s="122">
        <v>440795</v>
      </c>
      <c r="AN2330" s="122">
        <v>131441</v>
      </c>
      <c r="AO2330" s="122">
        <v>48682</v>
      </c>
      <c r="AP2330" s="122">
        <v>38475</v>
      </c>
      <c r="AQ2330" s="122">
        <v>14250</v>
      </c>
      <c r="AR2330" s="122">
        <v>425075</v>
      </c>
      <c r="AS2330" s="122">
        <v>386432</v>
      </c>
      <c r="AT2330" s="122">
        <v>0</v>
      </c>
      <c r="AU2330" s="122">
        <v>0</v>
      </c>
      <c r="AV2330" s="122">
        <v>2952417</v>
      </c>
    </row>
    <row r="2331" spans="2:48" hidden="1">
      <c r="B2331" t="s">
        <v>378</v>
      </c>
      <c r="C2331" t="s">
        <v>64</v>
      </c>
      <c r="D2331" t="s">
        <v>431</v>
      </c>
      <c r="E2331" t="s">
        <v>431</v>
      </c>
      <c r="F2331" s="122">
        <v>3</v>
      </c>
      <c r="G2331" s="122">
        <v>290</v>
      </c>
      <c r="H2331" s="122">
        <v>2810</v>
      </c>
      <c r="I2331" s="122">
        <v>192677</v>
      </c>
      <c r="J2331" s="122">
        <v>175161</v>
      </c>
      <c r="K2331" s="122">
        <v>50</v>
      </c>
      <c r="L2331" s="122">
        <v>34127</v>
      </c>
      <c r="M2331" s="122">
        <v>31025</v>
      </c>
      <c r="N2331" s="122">
        <v>7054</v>
      </c>
      <c r="O2331" s="122">
        <v>2613</v>
      </c>
      <c r="P2331" s="122">
        <v>702</v>
      </c>
      <c r="Q2331" s="122">
        <v>260</v>
      </c>
      <c r="R2331" s="122">
        <v>35702</v>
      </c>
      <c r="S2331" s="122">
        <v>32456</v>
      </c>
      <c r="T2331" s="122">
        <v>4857</v>
      </c>
      <c r="U2331" s="122">
        <v>1799</v>
      </c>
      <c r="V2331" s="122">
        <v>243314</v>
      </c>
      <c r="W2331" s="122">
        <f t="shared" si="72"/>
        <v>243314</v>
      </c>
      <c r="X2331" s="122">
        <f t="shared" si="73"/>
        <v>275119</v>
      </c>
      <c r="AA2331" t="s">
        <v>64</v>
      </c>
      <c r="AB2331" t="s">
        <v>406</v>
      </c>
      <c r="AC2331" t="s">
        <v>431</v>
      </c>
      <c r="AD2331" t="s">
        <v>431</v>
      </c>
      <c r="AE2331" t="s">
        <v>137</v>
      </c>
      <c r="AF2331">
        <v>3</v>
      </c>
      <c r="AG2331">
        <v>308</v>
      </c>
      <c r="AH2331" s="122">
        <v>1581</v>
      </c>
      <c r="AI2331" s="122">
        <v>98278</v>
      </c>
      <c r="AJ2331" s="122">
        <v>89344</v>
      </c>
      <c r="AK2331">
        <v>71</v>
      </c>
      <c r="AL2331" s="122">
        <v>22000</v>
      </c>
      <c r="AM2331" s="122">
        <v>20000</v>
      </c>
      <c r="AN2331" s="122">
        <v>5961</v>
      </c>
      <c r="AO2331" s="122">
        <v>2208</v>
      </c>
      <c r="AP2331" s="122">
        <v>1863</v>
      </c>
      <c r="AQ2331">
        <v>690</v>
      </c>
      <c r="AR2331" s="122">
        <v>22018</v>
      </c>
      <c r="AS2331" s="122">
        <v>20016</v>
      </c>
      <c r="AT2331" s="122">
        <v>8514</v>
      </c>
      <c r="AU2331" s="122">
        <v>3153</v>
      </c>
      <c r="AV2331" s="122">
        <v>135412</v>
      </c>
    </row>
    <row r="2332" spans="2:48" hidden="1">
      <c r="B2332" t="s">
        <v>378</v>
      </c>
      <c r="C2332" t="s">
        <v>64</v>
      </c>
      <c r="D2332" t="s">
        <v>426</v>
      </c>
      <c r="E2332" t="s">
        <v>137</v>
      </c>
      <c r="F2332" s="122">
        <v>36</v>
      </c>
      <c r="G2332" s="122">
        <v>3296</v>
      </c>
      <c r="H2332" s="122">
        <v>44077</v>
      </c>
      <c r="I2332" s="122">
        <v>3335912</v>
      </c>
      <c r="J2332" s="122">
        <v>3032648</v>
      </c>
      <c r="K2332" s="122">
        <v>36</v>
      </c>
      <c r="L2332" s="122">
        <v>267599</v>
      </c>
      <c r="M2332" s="122">
        <v>131945</v>
      </c>
      <c r="N2332" s="122">
        <v>74243</v>
      </c>
      <c r="O2332" s="122">
        <v>27497</v>
      </c>
      <c r="P2332" s="122">
        <v>1053</v>
      </c>
      <c r="Q2332" s="122">
        <v>390</v>
      </c>
      <c r="R2332" s="122">
        <v>212099</v>
      </c>
      <c r="S2332" s="122">
        <v>78555</v>
      </c>
      <c r="T2332" s="122">
        <v>1979</v>
      </c>
      <c r="U2332" s="122">
        <v>733</v>
      </c>
      <c r="V2332" s="122">
        <v>3271769</v>
      </c>
      <c r="W2332" s="122">
        <f t="shared" si="72"/>
        <v>3271768</v>
      </c>
      <c r="X2332" s="122">
        <f t="shared" si="73"/>
        <v>3892885</v>
      </c>
      <c r="AA2332" t="s">
        <v>64</v>
      </c>
      <c r="AB2332" t="s">
        <v>406</v>
      </c>
      <c r="AC2332" t="s">
        <v>431</v>
      </c>
      <c r="AD2332" t="s">
        <v>431</v>
      </c>
      <c r="AE2332" t="s">
        <v>566</v>
      </c>
      <c r="AF2332">
        <v>2</v>
      </c>
      <c r="AG2332">
        <v>191</v>
      </c>
      <c r="AH2332" s="122">
        <v>1088</v>
      </c>
      <c r="AI2332" s="122">
        <v>66375</v>
      </c>
      <c r="AJ2332" s="122">
        <v>60340</v>
      </c>
      <c r="AK2332">
        <v>78</v>
      </c>
      <c r="AL2332" s="122">
        <v>12868</v>
      </c>
      <c r="AM2332" s="122">
        <v>11698</v>
      </c>
      <c r="AN2332" s="122">
        <v>4642</v>
      </c>
      <c r="AO2332" s="122">
        <v>1719</v>
      </c>
      <c r="AP2332" s="122">
        <v>1242</v>
      </c>
      <c r="AQ2332">
        <v>460</v>
      </c>
      <c r="AR2332" s="122">
        <v>18442</v>
      </c>
      <c r="AS2332" s="122">
        <v>16766</v>
      </c>
      <c r="AT2332" s="122">
        <v>0</v>
      </c>
      <c r="AU2332">
        <v>0</v>
      </c>
      <c r="AV2332" s="122">
        <v>90983</v>
      </c>
    </row>
    <row r="2333" spans="2:48" hidden="1">
      <c r="B2333" t="s">
        <v>378</v>
      </c>
      <c r="C2333" t="s">
        <v>64</v>
      </c>
      <c r="D2333" t="s">
        <v>426</v>
      </c>
      <c r="E2333" t="s">
        <v>426</v>
      </c>
      <c r="F2333" s="122">
        <v>110</v>
      </c>
      <c r="G2333" s="122">
        <v>9303</v>
      </c>
      <c r="H2333" s="122">
        <v>85335</v>
      </c>
      <c r="I2333" s="122">
        <v>5219082</v>
      </c>
      <c r="J2333" s="122">
        <v>4744620</v>
      </c>
      <c r="K2333" s="122">
        <v>52</v>
      </c>
      <c r="L2333" s="122">
        <v>776638</v>
      </c>
      <c r="M2333" s="122">
        <v>641297</v>
      </c>
      <c r="N2333" s="122">
        <v>196939</v>
      </c>
      <c r="O2333" s="122">
        <v>72940</v>
      </c>
      <c r="P2333" s="122">
        <v>37482</v>
      </c>
      <c r="Q2333" s="122">
        <v>13882</v>
      </c>
      <c r="R2333" s="122">
        <v>647250</v>
      </c>
      <c r="S2333" s="122">
        <v>588409</v>
      </c>
      <c r="T2333" s="122">
        <v>215591</v>
      </c>
      <c r="U2333" s="122">
        <v>79849</v>
      </c>
      <c r="V2333" s="122">
        <v>6140998</v>
      </c>
      <c r="W2333" s="122">
        <f t="shared" si="72"/>
        <v>6140997</v>
      </c>
      <c r="X2333" s="122">
        <f t="shared" si="73"/>
        <v>7092982</v>
      </c>
      <c r="AA2333" t="s">
        <v>64</v>
      </c>
      <c r="AB2333" t="s">
        <v>406</v>
      </c>
      <c r="AC2333" t="s">
        <v>426</v>
      </c>
      <c r="AD2333" t="s">
        <v>578</v>
      </c>
      <c r="AE2333" t="s">
        <v>137</v>
      </c>
      <c r="AF2333">
        <v>1</v>
      </c>
      <c r="AG2333">
        <v>92</v>
      </c>
      <c r="AH2333">
        <v>589</v>
      </c>
      <c r="AI2333" s="122">
        <v>35429</v>
      </c>
      <c r="AJ2333" s="122">
        <v>32209</v>
      </c>
      <c r="AK2333">
        <v>79</v>
      </c>
      <c r="AL2333" s="122">
        <v>9842</v>
      </c>
      <c r="AM2333" s="122">
        <v>8947</v>
      </c>
      <c r="AN2333" s="122">
        <v>2246</v>
      </c>
      <c r="AO2333">
        <v>832</v>
      </c>
      <c r="AP2333">
        <v>621</v>
      </c>
      <c r="AQ2333">
        <v>230</v>
      </c>
      <c r="AR2333" s="122">
        <v>3763</v>
      </c>
      <c r="AS2333" s="122">
        <v>3421</v>
      </c>
      <c r="AT2333" s="122">
        <v>2327</v>
      </c>
      <c r="AU2333" s="122">
        <v>862</v>
      </c>
      <c r="AV2333" s="122">
        <v>46500</v>
      </c>
    </row>
    <row r="2334" spans="2:48" hidden="1">
      <c r="B2334" t="s">
        <v>378</v>
      </c>
      <c r="C2334" t="s">
        <v>64</v>
      </c>
      <c r="D2334" t="s">
        <v>481</v>
      </c>
      <c r="E2334" t="s">
        <v>137</v>
      </c>
      <c r="F2334" s="122">
        <v>1</v>
      </c>
      <c r="G2334" s="122">
        <v>140</v>
      </c>
      <c r="H2334" s="122">
        <v>681</v>
      </c>
      <c r="I2334" s="122">
        <v>79168</v>
      </c>
      <c r="J2334" s="122">
        <v>71971</v>
      </c>
      <c r="K2334" s="122">
        <v>30</v>
      </c>
      <c r="L2334" s="122">
        <v>6477</v>
      </c>
      <c r="M2334" s="122">
        <v>2399</v>
      </c>
      <c r="N2334" s="122">
        <v>3416</v>
      </c>
      <c r="O2334" s="122">
        <v>1265</v>
      </c>
      <c r="P2334" s="122">
        <v>0</v>
      </c>
      <c r="Q2334" s="122">
        <v>0</v>
      </c>
      <c r="R2334" s="122">
        <v>6348</v>
      </c>
      <c r="S2334" s="122">
        <v>2351</v>
      </c>
      <c r="T2334" s="122">
        <v>0</v>
      </c>
      <c r="U2334" s="122">
        <v>0</v>
      </c>
      <c r="V2334" s="122">
        <v>77986</v>
      </c>
      <c r="W2334" s="122">
        <f t="shared" si="72"/>
        <v>77986</v>
      </c>
      <c r="X2334" s="122">
        <f t="shared" si="73"/>
        <v>95409</v>
      </c>
      <c r="AA2334" t="s">
        <v>64</v>
      </c>
      <c r="AB2334" t="s">
        <v>406</v>
      </c>
      <c r="AC2334" t="s">
        <v>426</v>
      </c>
      <c r="AD2334" t="s">
        <v>425</v>
      </c>
      <c r="AE2334" t="s">
        <v>137</v>
      </c>
      <c r="AF2334">
        <v>1</v>
      </c>
      <c r="AG2334">
        <v>50</v>
      </c>
      <c r="AH2334">
        <v>608</v>
      </c>
      <c r="AI2334" s="122">
        <v>17496</v>
      </c>
      <c r="AJ2334" s="122">
        <v>15905</v>
      </c>
      <c r="AK2334">
        <v>86</v>
      </c>
      <c r="AL2334" s="122">
        <v>2631</v>
      </c>
      <c r="AM2334" s="122">
        <v>2392</v>
      </c>
      <c r="AN2334" s="122">
        <v>864</v>
      </c>
      <c r="AO2334" s="122">
        <v>320</v>
      </c>
      <c r="AP2334">
        <v>621</v>
      </c>
      <c r="AQ2334">
        <v>230</v>
      </c>
      <c r="AR2334" s="122">
        <v>4595</v>
      </c>
      <c r="AS2334" s="122">
        <v>4177</v>
      </c>
      <c r="AT2334" s="122">
        <v>3968</v>
      </c>
      <c r="AU2334" s="122">
        <v>1470</v>
      </c>
      <c r="AV2334" s="122">
        <v>24494</v>
      </c>
    </row>
    <row r="2335" spans="2:48" hidden="1">
      <c r="B2335" t="s">
        <v>378</v>
      </c>
      <c r="C2335" t="s">
        <v>64</v>
      </c>
      <c r="D2335" t="s">
        <v>433</v>
      </c>
      <c r="E2335" t="s">
        <v>433</v>
      </c>
      <c r="F2335" s="122">
        <v>5</v>
      </c>
      <c r="G2335" s="122">
        <v>468</v>
      </c>
      <c r="H2335" s="122">
        <v>3945</v>
      </c>
      <c r="I2335" s="122">
        <v>230795</v>
      </c>
      <c r="J2335" s="122">
        <v>209814</v>
      </c>
      <c r="K2335" s="122">
        <v>47</v>
      </c>
      <c r="L2335" s="122">
        <v>42004</v>
      </c>
      <c r="M2335" s="122">
        <v>38185</v>
      </c>
      <c r="N2335" s="122">
        <v>10051</v>
      </c>
      <c r="O2335" s="122">
        <v>3723</v>
      </c>
      <c r="P2335" s="122">
        <v>1404</v>
      </c>
      <c r="Q2335" s="122">
        <v>520</v>
      </c>
      <c r="R2335" s="122">
        <v>50570</v>
      </c>
      <c r="S2335" s="122">
        <v>45972</v>
      </c>
      <c r="T2335" s="122">
        <v>11264</v>
      </c>
      <c r="U2335" s="122">
        <v>4172</v>
      </c>
      <c r="V2335" s="122">
        <v>302386</v>
      </c>
      <c r="W2335" s="122">
        <f t="shared" si="72"/>
        <v>302386</v>
      </c>
      <c r="X2335" s="122">
        <f t="shared" si="73"/>
        <v>346088</v>
      </c>
      <c r="AA2335" t="s">
        <v>64</v>
      </c>
      <c r="AB2335" t="s">
        <v>406</v>
      </c>
      <c r="AC2335" t="s">
        <v>426</v>
      </c>
      <c r="AD2335" t="s">
        <v>425</v>
      </c>
      <c r="AE2335" t="s">
        <v>566</v>
      </c>
      <c r="AF2335">
        <v>1</v>
      </c>
      <c r="AG2335">
        <v>158</v>
      </c>
      <c r="AH2335">
        <v>482</v>
      </c>
      <c r="AI2335" s="122">
        <v>52293</v>
      </c>
      <c r="AJ2335" s="122">
        <v>47539</v>
      </c>
      <c r="AK2335">
        <v>65</v>
      </c>
      <c r="AL2335" s="122">
        <v>11969</v>
      </c>
      <c r="AM2335" s="122">
        <v>10881</v>
      </c>
      <c r="AN2335" s="122">
        <v>3688</v>
      </c>
      <c r="AO2335" s="122">
        <v>1366</v>
      </c>
      <c r="AP2335" s="122">
        <v>621</v>
      </c>
      <c r="AQ2335">
        <v>230</v>
      </c>
      <c r="AR2335" s="122">
        <v>7486</v>
      </c>
      <c r="AS2335" s="122">
        <v>6805</v>
      </c>
      <c r="AT2335">
        <v>0</v>
      </c>
      <c r="AU2335">
        <v>0</v>
      </c>
      <c r="AV2335" s="122">
        <v>66821</v>
      </c>
    </row>
    <row r="2336" spans="2:48" hidden="1">
      <c r="B2336" t="s">
        <v>379</v>
      </c>
      <c r="C2336" t="s">
        <v>48</v>
      </c>
      <c r="D2336" t="s">
        <v>405</v>
      </c>
      <c r="E2336" t="s">
        <v>405</v>
      </c>
      <c r="F2336" s="122">
        <v>2</v>
      </c>
      <c r="G2336" s="122">
        <v>393</v>
      </c>
      <c r="H2336" s="122">
        <v>108</v>
      </c>
      <c r="I2336" s="122">
        <v>8777</v>
      </c>
      <c r="J2336" s="122">
        <v>7979</v>
      </c>
      <c r="K2336" s="122">
        <v>91</v>
      </c>
      <c r="L2336" s="122">
        <v>1190</v>
      </c>
      <c r="M2336" s="122">
        <v>1082</v>
      </c>
      <c r="N2336" s="122">
        <v>4787</v>
      </c>
      <c r="O2336" s="122">
        <v>1773</v>
      </c>
      <c r="P2336" s="122">
        <v>945</v>
      </c>
      <c r="Q2336" s="122">
        <v>350</v>
      </c>
      <c r="R2336" s="122">
        <v>5449</v>
      </c>
      <c r="S2336" s="122">
        <v>4953</v>
      </c>
      <c r="T2336" s="122">
        <v>0</v>
      </c>
      <c r="U2336" s="122">
        <v>0</v>
      </c>
      <c r="V2336" s="122">
        <v>16137</v>
      </c>
      <c r="W2336" s="122">
        <f t="shared" si="72"/>
        <v>16137</v>
      </c>
      <c r="X2336" s="122">
        <f t="shared" si="73"/>
        <v>21148</v>
      </c>
      <c r="AA2336" t="s">
        <v>64</v>
      </c>
      <c r="AB2336" t="s">
        <v>406</v>
      </c>
      <c r="AC2336" t="s">
        <v>426</v>
      </c>
      <c r="AD2336" t="s">
        <v>405</v>
      </c>
      <c r="AE2336" t="s">
        <v>566</v>
      </c>
      <c r="AF2336">
        <v>1</v>
      </c>
      <c r="AG2336">
        <v>753</v>
      </c>
      <c r="AH2336" s="122">
        <v>514</v>
      </c>
      <c r="AI2336" s="122">
        <v>286603</v>
      </c>
      <c r="AJ2336" s="122">
        <v>260549</v>
      </c>
      <c r="AK2336">
        <v>70</v>
      </c>
      <c r="AL2336" s="122">
        <v>70589</v>
      </c>
      <c r="AM2336" s="122">
        <v>64172</v>
      </c>
      <c r="AN2336" s="122">
        <v>18341</v>
      </c>
      <c r="AO2336" s="122">
        <v>6793</v>
      </c>
      <c r="AP2336" s="122">
        <v>1323</v>
      </c>
      <c r="AQ2336">
        <v>490</v>
      </c>
      <c r="AR2336" s="122">
        <v>9549</v>
      </c>
      <c r="AS2336" s="122">
        <v>8681</v>
      </c>
      <c r="AT2336" s="122">
        <v>0</v>
      </c>
      <c r="AU2336">
        <v>0</v>
      </c>
      <c r="AV2336" s="122">
        <v>340685</v>
      </c>
    </row>
    <row r="2337" spans="2:48" hidden="1">
      <c r="B2337" t="s">
        <v>379</v>
      </c>
      <c r="C2337" t="s">
        <v>48</v>
      </c>
      <c r="D2337" t="s">
        <v>137</v>
      </c>
      <c r="E2337" t="s">
        <v>137</v>
      </c>
      <c r="F2337" s="122">
        <v>60</v>
      </c>
      <c r="G2337" s="122">
        <v>14422</v>
      </c>
      <c r="H2337" s="122">
        <v>3076</v>
      </c>
      <c r="I2337" s="122">
        <v>58545</v>
      </c>
      <c r="J2337" s="122">
        <v>21683</v>
      </c>
      <c r="K2337" s="122">
        <v>479</v>
      </c>
      <c r="L2337" s="122">
        <v>11178</v>
      </c>
      <c r="M2337" s="122">
        <v>9348</v>
      </c>
      <c r="N2337" s="122">
        <v>188188</v>
      </c>
      <c r="O2337" s="122">
        <v>69699</v>
      </c>
      <c r="P2337" s="122">
        <v>96140</v>
      </c>
      <c r="Q2337" s="122">
        <v>35607</v>
      </c>
      <c r="R2337" s="122">
        <v>375215</v>
      </c>
      <c r="S2337" s="122">
        <v>138968</v>
      </c>
      <c r="T2337" s="122">
        <v>0</v>
      </c>
      <c r="U2337" s="122">
        <v>0</v>
      </c>
      <c r="V2337" s="122">
        <v>275306</v>
      </c>
      <c r="W2337" s="122">
        <f t="shared" si="72"/>
        <v>275305</v>
      </c>
      <c r="X2337" s="122">
        <f t="shared" si="73"/>
        <v>729266</v>
      </c>
      <c r="AA2337" t="s">
        <v>64</v>
      </c>
      <c r="AB2337" t="s">
        <v>406</v>
      </c>
      <c r="AC2337" t="s">
        <v>426</v>
      </c>
      <c r="AD2337" t="s">
        <v>137</v>
      </c>
      <c r="AE2337" t="s">
        <v>137</v>
      </c>
      <c r="AF2337">
        <v>4</v>
      </c>
      <c r="AG2337" s="122">
        <v>324</v>
      </c>
      <c r="AH2337" s="122">
        <v>2397</v>
      </c>
      <c r="AI2337" s="122">
        <v>138365</v>
      </c>
      <c r="AJ2337" s="122">
        <v>125787</v>
      </c>
      <c r="AK2337">
        <v>71</v>
      </c>
      <c r="AL2337" s="122">
        <v>31213</v>
      </c>
      <c r="AM2337" s="122">
        <v>28375</v>
      </c>
      <c r="AN2337" s="122">
        <v>6536</v>
      </c>
      <c r="AO2337" s="122">
        <v>2421</v>
      </c>
      <c r="AP2337" s="122">
        <v>2484</v>
      </c>
      <c r="AQ2337" s="122">
        <v>920</v>
      </c>
      <c r="AR2337" s="122">
        <v>19260</v>
      </c>
      <c r="AS2337" s="122">
        <v>7133</v>
      </c>
      <c r="AT2337" s="122">
        <v>1379</v>
      </c>
      <c r="AU2337">
        <v>511</v>
      </c>
      <c r="AV2337" s="122">
        <v>165147</v>
      </c>
    </row>
    <row r="2338" spans="2:48" hidden="1">
      <c r="B2338" t="s">
        <v>379</v>
      </c>
      <c r="C2338" t="s">
        <v>48</v>
      </c>
      <c r="D2338" t="s">
        <v>406</v>
      </c>
      <c r="E2338" t="s">
        <v>406</v>
      </c>
      <c r="F2338" s="122">
        <v>24</v>
      </c>
      <c r="G2338" s="122">
        <v>5825</v>
      </c>
      <c r="H2338" s="122">
        <v>1424</v>
      </c>
      <c r="I2338" s="122">
        <v>125062</v>
      </c>
      <c r="J2338" s="122">
        <v>113693</v>
      </c>
      <c r="K2338" s="122">
        <v>95</v>
      </c>
      <c r="L2338" s="122">
        <v>16998</v>
      </c>
      <c r="M2338" s="122">
        <v>15444</v>
      </c>
      <c r="N2338" s="122">
        <v>76024</v>
      </c>
      <c r="O2338" s="122">
        <v>28157</v>
      </c>
      <c r="P2338" s="122">
        <v>41872</v>
      </c>
      <c r="Q2338" s="122">
        <v>15508</v>
      </c>
      <c r="R2338" s="122">
        <v>88324</v>
      </c>
      <c r="S2338" s="122">
        <v>80295</v>
      </c>
      <c r="T2338" s="122">
        <v>0</v>
      </c>
      <c r="U2338" s="122">
        <v>0</v>
      </c>
      <c r="V2338" s="122">
        <v>253097</v>
      </c>
      <c r="W2338" s="122">
        <f t="shared" ref="W2338:W2347" si="74">SUM(ABS(J2338),ABS(M2338),ABS(O2338),ABS(Q2338),ABS(S2338),ABS(U2338))</f>
        <v>253097</v>
      </c>
      <c r="X2338" s="122">
        <f t="shared" ref="X2338:X2347" si="75">SUM(ABS(I2338),ABS(N2338),ABS(P2338),ABS(R2338),ABS(T2338),ABS(L2338))</f>
        <v>348280</v>
      </c>
      <c r="AA2338" t="s">
        <v>64</v>
      </c>
      <c r="AB2338" t="s">
        <v>406</v>
      </c>
      <c r="AC2338" t="s">
        <v>426</v>
      </c>
      <c r="AD2338" t="s">
        <v>137</v>
      </c>
      <c r="AE2338" t="s">
        <v>566</v>
      </c>
      <c r="AF2338" s="122">
        <v>185</v>
      </c>
      <c r="AG2338" s="122">
        <v>17840</v>
      </c>
      <c r="AH2338" s="122">
        <v>111787</v>
      </c>
      <c r="AI2338" s="122">
        <v>7213763</v>
      </c>
      <c r="AJ2338" s="122">
        <v>6557966</v>
      </c>
      <c r="AK2338">
        <v>71</v>
      </c>
      <c r="AL2338" s="122">
        <v>1550369</v>
      </c>
      <c r="AM2338" s="122">
        <v>1409426</v>
      </c>
      <c r="AN2338" s="122">
        <v>401265</v>
      </c>
      <c r="AO2338" s="122">
        <v>148617</v>
      </c>
      <c r="AP2338" s="122">
        <v>108287</v>
      </c>
      <c r="AQ2338" s="122">
        <v>40106</v>
      </c>
      <c r="AR2338" s="122">
        <v>1215248</v>
      </c>
      <c r="AS2338" s="122">
        <v>450092</v>
      </c>
      <c r="AT2338" s="122">
        <v>0</v>
      </c>
      <c r="AU2338" s="122">
        <v>0</v>
      </c>
      <c r="AV2338" s="122">
        <v>8606208</v>
      </c>
    </row>
    <row r="2339" spans="2:48" hidden="1">
      <c r="B2339" t="s">
        <v>379</v>
      </c>
      <c r="C2339" t="s">
        <v>48</v>
      </c>
      <c r="D2339" t="s">
        <v>407</v>
      </c>
      <c r="E2339" t="s">
        <v>407</v>
      </c>
      <c r="F2339" s="122">
        <v>3</v>
      </c>
      <c r="G2339" s="122">
        <v>378</v>
      </c>
      <c r="H2339" s="122">
        <v>172</v>
      </c>
      <c r="I2339" s="122">
        <v>3664</v>
      </c>
      <c r="J2339" s="122">
        <v>3331</v>
      </c>
      <c r="K2339" s="122">
        <v>90</v>
      </c>
      <c r="L2339" s="122">
        <v>-25</v>
      </c>
      <c r="M2339" s="122">
        <v>-23</v>
      </c>
      <c r="N2339" s="122">
        <v>4599</v>
      </c>
      <c r="O2339" s="122">
        <v>1703</v>
      </c>
      <c r="P2339" s="122">
        <v>1418</v>
      </c>
      <c r="Q2339" s="122">
        <v>525</v>
      </c>
      <c r="R2339" s="122">
        <v>12015</v>
      </c>
      <c r="S2339" s="122">
        <v>10923</v>
      </c>
      <c r="T2339" s="122">
        <v>0</v>
      </c>
      <c r="U2339" s="122">
        <v>0</v>
      </c>
      <c r="V2339" s="122">
        <v>16460</v>
      </c>
      <c r="W2339" s="122">
        <f t="shared" si="74"/>
        <v>16505</v>
      </c>
      <c r="X2339" s="122">
        <f t="shared" si="75"/>
        <v>21721</v>
      </c>
      <c r="AA2339" t="s">
        <v>64</v>
      </c>
      <c r="AB2339" t="s">
        <v>406</v>
      </c>
      <c r="AC2339" t="s">
        <v>426</v>
      </c>
      <c r="AD2339" t="s">
        <v>406</v>
      </c>
      <c r="AE2339" t="s">
        <v>137</v>
      </c>
      <c r="AF2339" s="122">
        <v>5756</v>
      </c>
      <c r="AG2339" s="122">
        <v>588490</v>
      </c>
      <c r="AH2339" s="122">
        <v>3242384</v>
      </c>
      <c r="AI2339" s="122">
        <v>224481093</v>
      </c>
      <c r="AJ2339" s="122">
        <v>204073720</v>
      </c>
      <c r="AK2339">
        <v>72</v>
      </c>
      <c r="AL2339" s="122">
        <v>49494607</v>
      </c>
      <c r="AM2339" s="122">
        <v>44995097</v>
      </c>
      <c r="AN2339" s="122">
        <v>12978263</v>
      </c>
      <c r="AO2339" s="122">
        <v>4806764</v>
      </c>
      <c r="AP2339" s="122">
        <v>3682675</v>
      </c>
      <c r="AQ2339" s="122">
        <v>1363954</v>
      </c>
      <c r="AR2339" s="122">
        <v>26868888</v>
      </c>
      <c r="AS2339" s="122">
        <v>24426262</v>
      </c>
      <c r="AT2339" s="122">
        <v>13378768</v>
      </c>
      <c r="AU2339" s="122">
        <v>4955099</v>
      </c>
      <c r="AV2339" s="122">
        <v>284620896</v>
      </c>
    </row>
    <row r="2340" spans="2:48" hidden="1">
      <c r="B2340" t="s">
        <v>379</v>
      </c>
      <c r="C2340" t="s">
        <v>50</v>
      </c>
      <c r="D2340" t="s">
        <v>405</v>
      </c>
      <c r="E2340" t="s">
        <v>405</v>
      </c>
      <c r="F2340" s="122">
        <v>1</v>
      </c>
      <c r="G2340" s="122">
        <v>273</v>
      </c>
      <c r="H2340" s="122">
        <v>83</v>
      </c>
      <c r="I2340" s="122">
        <v>12807</v>
      </c>
      <c r="J2340" s="122">
        <v>11643</v>
      </c>
      <c r="K2340" s="122">
        <v>93</v>
      </c>
      <c r="L2340" s="122">
        <v>0</v>
      </c>
      <c r="M2340" s="122">
        <v>0</v>
      </c>
      <c r="N2340" s="122">
        <v>4615</v>
      </c>
      <c r="O2340" s="122">
        <v>1709</v>
      </c>
      <c r="P2340" s="122">
        <v>473</v>
      </c>
      <c r="Q2340" s="122">
        <v>175</v>
      </c>
      <c r="R2340" s="122">
        <v>4747</v>
      </c>
      <c r="S2340" s="122">
        <v>4315</v>
      </c>
      <c r="T2340" s="122">
        <v>0</v>
      </c>
      <c r="U2340" s="122">
        <v>0</v>
      </c>
      <c r="V2340" s="122">
        <v>17843</v>
      </c>
      <c r="W2340" s="122">
        <f t="shared" si="74"/>
        <v>17842</v>
      </c>
      <c r="X2340" s="122">
        <f t="shared" si="75"/>
        <v>22642</v>
      </c>
      <c r="AA2340" t="s">
        <v>64</v>
      </c>
      <c r="AB2340" t="s">
        <v>406</v>
      </c>
      <c r="AC2340" t="s">
        <v>426</v>
      </c>
      <c r="AD2340" t="s">
        <v>406</v>
      </c>
      <c r="AE2340" t="s">
        <v>566</v>
      </c>
      <c r="AF2340" s="122">
        <v>1769</v>
      </c>
      <c r="AG2340" s="122">
        <v>178350</v>
      </c>
      <c r="AH2340" s="122">
        <v>996010</v>
      </c>
      <c r="AI2340" s="122">
        <v>67321544</v>
      </c>
      <c r="AJ2340" s="122">
        <v>61201403</v>
      </c>
      <c r="AK2340">
        <v>72</v>
      </c>
      <c r="AL2340" s="122">
        <v>15886911</v>
      </c>
      <c r="AM2340" s="122">
        <v>14442646</v>
      </c>
      <c r="AN2340" s="122">
        <v>3941163</v>
      </c>
      <c r="AO2340" s="122">
        <v>1459690</v>
      </c>
      <c r="AP2340" s="122">
        <v>1135154</v>
      </c>
      <c r="AQ2340" s="122">
        <v>420428</v>
      </c>
      <c r="AR2340" s="122">
        <v>11642286</v>
      </c>
      <c r="AS2340" s="122">
        <v>10583896</v>
      </c>
      <c r="AT2340" s="122">
        <v>0</v>
      </c>
      <c r="AU2340" s="122">
        <v>0</v>
      </c>
      <c r="AV2340" s="122">
        <v>88108063</v>
      </c>
    </row>
    <row r="2341" spans="2:48" hidden="1">
      <c r="B2341" t="s">
        <v>379</v>
      </c>
      <c r="C2341" t="s">
        <v>50</v>
      </c>
      <c r="D2341" t="s">
        <v>137</v>
      </c>
      <c r="E2341" t="s">
        <v>137</v>
      </c>
      <c r="F2341" s="122">
        <v>12</v>
      </c>
      <c r="G2341" s="122">
        <v>3023</v>
      </c>
      <c r="H2341" s="122">
        <v>1077</v>
      </c>
      <c r="I2341" s="122">
        <v>112594</v>
      </c>
      <c r="J2341" s="122">
        <v>41701</v>
      </c>
      <c r="K2341" s="122">
        <v>347</v>
      </c>
      <c r="L2341" s="122">
        <v>35037</v>
      </c>
      <c r="M2341" s="122">
        <v>32309</v>
      </c>
      <c r="N2341" s="122">
        <v>55845</v>
      </c>
      <c r="O2341" s="122">
        <v>20683</v>
      </c>
      <c r="P2341" s="122">
        <v>12055</v>
      </c>
      <c r="Q2341" s="122">
        <v>4465</v>
      </c>
      <c r="R2341" s="122">
        <v>76966</v>
      </c>
      <c r="S2341" s="122">
        <v>28506</v>
      </c>
      <c r="T2341" s="122">
        <v>0</v>
      </c>
      <c r="U2341" s="122">
        <v>0</v>
      </c>
      <c r="V2341" s="122">
        <v>127664</v>
      </c>
      <c r="W2341" s="122">
        <f t="shared" si="74"/>
        <v>127664</v>
      </c>
      <c r="X2341" s="122">
        <f t="shared" si="75"/>
        <v>292497</v>
      </c>
      <c r="AA2341" t="s">
        <v>64</v>
      </c>
      <c r="AB2341" t="s">
        <v>406</v>
      </c>
      <c r="AC2341" t="s">
        <v>426</v>
      </c>
      <c r="AD2341" t="s">
        <v>427</v>
      </c>
      <c r="AE2341" t="s">
        <v>137</v>
      </c>
      <c r="AF2341">
        <v>5</v>
      </c>
      <c r="AG2341">
        <v>573</v>
      </c>
      <c r="AH2341" s="122">
        <v>2903</v>
      </c>
      <c r="AI2341" s="122">
        <v>231147</v>
      </c>
      <c r="AJ2341" s="122">
        <v>210133</v>
      </c>
      <c r="AK2341">
        <v>66</v>
      </c>
      <c r="AL2341" s="122">
        <v>44013</v>
      </c>
      <c r="AM2341" s="122">
        <v>40012</v>
      </c>
      <c r="AN2341" s="122">
        <v>11156</v>
      </c>
      <c r="AO2341" s="122">
        <v>4132</v>
      </c>
      <c r="AP2341" s="122">
        <v>3456</v>
      </c>
      <c r="AQ2341" s="122">
        <v>1280</v>
      </c>
      <c r="AR2341" s="122">
        <v>26401</v>
      </c>
      <c r="AS2341" s="122">
        <v>24001</v>
      </c>
      <c r="AT2341" s="122">
        <v>9014</v>
      </c>
      <c r="AU2341" s="122">
        <v>3339</v>
      </c>
      <c r="AV2341" s="122">
        <v>282896</v>
      </c>
    </row>
    <row r="2342" spans="2:48" hidden="1">
      <c r="B2342" t="s">
        <v>379</v>
      </c>
      <c r="C2342" t="s">
        <v>50</v>
      </c>
      <c r="D2342" t="s">
        <v>406</v>
      </c>
      <c r="E2342" t="s">
        <v>406</v>
      </c>
      <c r="F2342" s="122">
        <v>38</v>
      </c>
      <c r="G2342" s="122">
        <v>8172</v>
      </c>
      <c r="H2342" s="122">
        <v>3518</v>
      </c>
      <c r="I2342" s="122">
        <v>377193</v>
      </c>
      <c r="J2342" s="122">
        <v>342903</v>
      </c>
      <c r="K2342" s="122">
        <v>90</v>
      </c>
      <c r="L2342" s="122">
        <v>61258</v>
      </c>
      <c r="M2342" s="122">
        <v>55603</v>
      </c>
      <c r="N2342" s="122">
        <v>122121</v>
      </c>
      <c r="O2342" s="122">
        <v>45230</v>
      </c>
      <c r="P2342" s="122">
        <v>48790</v>
      </c>
      <c r="Q2342" s="122">
        <v>18070</v>
      </c>
      <c r="R2342" s="122">
        <v>140304</v>
      </c>
      <c r="S2342" s="122">
        <v>127549</v>
      </c>
      <c r="T2342" s="122">
        <v>0</v>
      </c>
      <c r="U2342" s="122">
        <v>0</v>
      </c>
      <c r="V2342" s="122">
        <v>589355</v>
      </c>
      <c r="W2342" s="122">
        <f t="shared" si="74"/>
        <v>589355</v>
      </c>
      <c r="X2342" s="122">
        <f t="shared" si="75"/>
        <v>749666</v>
      </c>
      <c r="AA2342" t="s">
        <v>64</v>
      </c>
      <c r="AB2342" t="s">
        <v>406</v>
      </c>
      <c r="AC2342" t="s">
        <v>426</v>
      </c>
      <c r="AD2342" t="s">
        <v>427</v>
      </c>
      <c r="AE2342" t="s">
        <v>566</v>
      </c>
      <c r="AF2342">
        <v>2</v>
      </c>
      <c r="AG2342">
        <v>306</v>
      </c>
      <c r="AH2342" s="122">
        <v>1199</v>
      </c>
      <c r="AI2342" s="122">
        <v>130838</v>
      </c>
      <c r="AJ2342" s="122">
        <v>118944</v>
      </c>
      <c r="AK2342">
        <v>63</v>
      </c>
      <c r="AL2342" s="122">
        <v>19351</v>
      </c>
      <c r="AM2342" s="122">
        <v>17592</v>
      </c>
      <c r="AN2342" s="122">
        <v>6170</v>
      </c>
      <c r="AO2342" s="122">
        <v>2285</v>
      </c>
      <c r="AP2342" s="122">
        <v>1242</v>
      </c>
      <c r="AQ2342">
        <v>460</v>
      </c>
      <c r="AR2342" s="122">
        <v>17749</v>
      </c>
      <c r="AS2342" s="122">
        <v>16136</v>
      </c>
      <c r="AT2342" s="122">
        <v>0</v>
      </c>
      <c r="AU2342" s="122">
        <v>0</v>
      </c>
      <c r="AV2342" s="122">
        <v>155416</v>
      </c>
    </row>
    <row r="2343" spans="2:48" hidden="1">
      <c r="B2343" t="s">
        <v>379</v>
      </c>
      <c r="C2343" t="s">
        <v>50</v>
      </c>
      <c r="D2343" t="s">
        <v>408</v>
      </c>
      <c r="E2343" t="s">
        <v>408</v>
      </c>
      <c r="F2343" s="122">
        <v>3</v>
      </c>
      <c r="G2343" s="122">
        <v>693</v>
      </c>
      <c r="H2343" s="122">
        <v>275</v>
      </c>
      <c r="I2343" s="122">
        <v>45518</v>
      </c>
      <c r="J2343" s="122">
        <v>41380</v>
      </c>
      <c r="K2343" s="122">
        <v>90</v>
      </c>
      <c r="L2343" s="122">
        <v>1877</v>
      </c>
      <c r="M2343" s="122">
        <v>4637</v>
      </c>
      <c r="N2343" s="122">
        <v>8439</v>
      </c>
      <c r="O2343" s="122">
        <v>3126</v>
      </c>
      <c r="P2343" s="122">
        <v>1053</v>
      </c>
      <c r="Q2343" s="122">
        <v>390</v>
      </c>
      <c r="R2343" s="122">
        <v>6683</v>
      </c>
      <c r="S2343" s="122">
        <v>6075</v>
      </c>
      <c r="T2343" s="122">
        <v>0</v>
      </c>
      <c r="U2343" s="122">
        <v>0</v>
      </c>
      <c r="V2343" s="122">
        <v>55608</v>
      </c>
      <c r="W2343" s="122">
        <f t="shared" si="74"/>
        <v>55608</v>
      </c>
      <c r="X2343" s="122">
        <f t="shared" si="75"/>
        <v>63570</v>
      </c>
      <c r="AA2343" t="s">
        <v>64</v>
      </c>
      <c r="AB2343" t="s">
        <v>406</v>
      </c>
      <c r="AC2343" t="s">
        <v>426</v>
      </c>
      <c r="AD2343" t="s">
        <v>407</v>
      </c>
      <c r="AE2343" t="s">
        <v>137</v>
      </c>
      <c r="AF2343">
        <v>2</v>
      </c>
      <c r="AG2343">
        <v>117</v>
      </c>
      <c r="AH2343" s="122">
        <v>1164</v>
      </c>
      <c r="AI2343" s="122">
        <v>44717</v>
      </c>
      <c r="AJ2343" s="122">
        <v>40652</v>
      </c>
      <c r="AK2343">
        <v>78</v>
      </c>
      <c r="AL2343" s="122">
        <v>5695</v>
      </c>
      <c r="AM2343" s="122">
        <v>5178</v>
      </c>
      <c r="AN2343" s="122">
        <v>2153</v>
      </c>
      <c r="AO2343" s="122">
        <v>797</v>
      </c>
      <c r="AP2343" s="122">
        <v>1593</v>
      </c>
      <c r="AQ2343">
        <v>590</v>
      </c>
      <c r="AR2343" s="122">
        <v>8466</v>
      </c>
      <c r="AS2343" s="122">
        <v>7696</v>
      </c>
      <c r="AT2343" s="122">
        <v>5334</v>
      </c>
      <c r="AU2343" s="122">
        <v>1976</v>
      </c>
      <c r="AV2343" s="122">
        <v>56889</v>
      </c>
    </row>
    <row r="2344" spans="2:48" hidden="1">
      <c r="B2344" t="s">
        <v>379</v>
      </c>
      <c r="C2344" t="s">
        <v>52</v>
      </c>
      <c r="F2344" s="122">
        <v>1</v>
      </c>
      <c r="G2344" s="122">
        <v>112</v>
      </c>
      <c r="H2344" s="122">
        <v>120</v>
      </c>
      <c r="I2344" s="122"/>
      <c r="J2344" s="122">
        <v>0</v>
      </c>
      <c r="K2344" s="122"/>
      <c r="L2344" s="122"/>
      <c r="M2344" s="122">
        <v>0</v>
      </c>
      <c r="N2344" s="122">
        <v>1969</v>
      </c>
      <c r="O2344" s="122">
        <v>729</v>
      </c>
      <c r="P2344" s="122">
        <v>0</v>
      </c>
      <c r="Q2344" s="122">
        <v>0</v>
      </c>
      <c r="R2344" s="122"/>
      <c r="S2344" s="122">
        <v>0</v>
      </c>
      <c r="T2344" s="122">
        <v>0</v>
      </c>
      <c r="U2344" s="122">
        <v>0</v>
      </c>
      <c r="V2344" s="122">
        <v>729</v>
      </c>
      <c r="W2344" s="122">
        <f t="shared" si="74"/>
        <v>729</v>
      </c>
      <c r="X2344" s="122">
        <f t="shared" si="75"/>
        <v>1969</v>
      </c>
      <c r="AA2344" t="s">
        <v>64</v>
      </c>
      <c r="AB2344" t="s">
        <v>406</v>
      </c>
      <c r="AC2344" t="s">
        <v>426</v>
      </c>
      <c r="AD2344" t="s">
        <v>431</v>
      </c>
      <c r="AE2344" t="s">
        <v>137</v>
      </c>
      <c r="AF2344">
        <v>1</v>
      </c>
      <c r="AG2344">
        <v>152</v>
      </c>
      <c r="AH2344">
        <v>488</v>
      </c>
      <c r="AI2344" s="122">
        <v>66493</v>
      </c>
      <c r="AJ2344" s="122">
        <v>60448</v>
      </c>
      <c r="AK2344">
        <v>65</v>
      </c>
      <c r="AL2344" s="122">
        <v>7024</v>
      </c>
      <c r="AM2344" s="122">
        <v>6386</v>
      </c>
      <c r="AN2344" s="122">
        <v>4387</v>
      </c>
      <c r="AO2344" s="122">
        <v>1625</v>
      </c>
      <c r="AP2344">
        <v>621</v>
      </c>
      <c r="AQ2344">
        <v>230</v>
      </c>
      <c r="AR2344" s="122">
        <v>5920</v>
      </c>
      <c r="AS2344" s="122">
        <v>5382</v>
      </c>
      <c r="AT2344" s="122">
        <v>3333</v>
      </c>
      <c r="AU2344" s="122">
        <v>1234</v>
      </c>
      <c r="AV2344" s="122">
        <v>75305</v>
      </c>
    </row>
    <row r="2345" spans="2:48" hidden="1">
      <c r="B2345" t="s">
        <v>379</v>
      </c>
      <c r="C2345" t="s">
        <v>52</v>
      </c>
      <c r="D2345" t="s">
        <v>405</v>
      </c>
      <c r="E2345" t="s">
        <v>405</v>
      </c>
      <c r="F2345" s="122">
        <v>1</v>
      </c>
      <c r="G2345" s="122">
        <v>159</v>
      </c>
      <c r="H2345" s="122">
        <v>124</v>
      </c>
      <c r="I2345" s="122">
        <v>11669</v>
      </c>
      <c r="J2345" s="122">
        <v>10608</v>
      </c>
      <c r="K2345" s="122">
        <v>91</v>
      </c>
      <c r="L2345" s="122">
        <v>1956</v>
      </c>
      <c r="M2345" s="122">
        <v>1778</v>
      </c>
      <c r="N2345" s="122">
        <v>3100</v>
      </c>
      <c r="O2345" s="122">
        <v>1148</v>
      </c>
      <c r="P2345" s="122">
        <v>473</v>
      </c>
      <c r="Q2345" s="122">
        <v>175</v>
      </c>
      <c r="R2345" s="122">
        <v>2502</v>
      </c>
      <c r="S2345" s="122">
        <v>2274</v>
      </c>
      <c r="T2345" s="122">
        <v>0</v>
      </c>
      <c r="U2345" s="122">
        <v>0</v>
      </c>
      <c r="V2345" s="122">
        <v>15983</v>
      </c>
      <c r="W2345" s="122">
        <f t="shared" si="74"/>
        <v>15983</v>
      </c>
      <c r="X2345" s="122">
        <f t="shared" si="75"/>
        <v>19700</v>
      </c>
      <c r="AA2345" t="s">
        <v>64</v>
      </c>
      <c r="AB2345" t="s">
        <v>406</v>
      </c>
      <c r="AC2345" t="s">
        <v>426</v>
      </c>
      <c r="AD2345" t="s">
        <v>431</v>
      </c>
      <c r="AE2345" t="s">
        <v>566</v>
      </c>
      <c r="AF2345">
        <v>1</v>
      </c>
      <c r="AG2345" s="122">
        <v>116</v>
      </c>
      <c r="AH2345" s="122">
        <v>495</v>
      </c>
      <c r="AI2345" s="122">
        <v>34072</v>
      </c>
      <c r="AJ2345" s="122">
        <v>30974</v>
      </c>
      <c r="AK2345">
        <v>65</v>
      </c>
      <c r="AL2345" s="122">
        <v>3899</v>
      </c>
      <c r="AM2345" s="122">
        <v>3545</v>
      </c>
      <c r="AN2345" s="122">
        <v>2573</v>
      </c>
      <c r="AO2345" s="122">
        <v>953</v>
      </c>
      <c r="AP2345" s="122">
        <v>621</v>
      </c>
      <c r="AQ2345" s="122">
        <v>230</v>
      </c>
      <c r="AR2345" s="122">
        <v>16302</v>
      </c>
      <c r="AS2345" s="122">
        <v>14820</v>
      </c>
      <c r="AT2345" s="122">
        <v>0</v>
      </c>
      <c r="AU2345" s="122">
        <v>0</v>
      </c>
      <c r="AV2345" s="122">
        <v>50522</v>
      </c>
    </row>
    <row r="2346" spans="2:48" hidden="1">
      <c r="B2346" t="s">
        <v>379</v>
      </c>
      <c r="C2346" t="s">
        <v>52</v>
      </c>
      <c r="D2346" t="s">
        <v>137</v>
      </c>
      <c r="E2346" t="s">
        <v>137</v>
      </c>
      <c r="F2346" s="122">
        <v>5</v>
      </c>
      <c r="G2346" s="122">
        <v>1181</v>
      </c>
      <c r="H2346" s="122">
        <v>548</v>
      </c>
      <c r="I2346" s="122">
        <v>62058</v>
      </c>
      <c r="J2346" s="122">
        <v>22984</v>
      </c>
      <c r="K2346" s="122">
        <v>306</v>
      </c>
      <c r="L2346" s="122">
        <v>10871</v>
      </c>
      <c r="M2346" s="122">
        <v>9882</v>
      </c>
      <c r="N2346" s="122">
        <v>19120</v>
      </c>
      <c r="O2346" s="122">
        <v>7082</v>
      </c>
      <c r="P2346" s="122">
        <v>1755</v>
      </c>
      <c r="Q2346" s="122">
        <v>650</v>
      </c>
      <c r="R2346" s="122">
        <v>39655</v>
      </c>
      <c r="S2346" s="122">
        <v>14687</v>
      </c>
      <c r="T2346" s="122">
        <v>0</v>
      </c>
      <c r="U2346" s="122">
        <v>0</v>
      </c>
      <c r="V2346" s="122">
        <v>55286</v>
      </c>
      <c r="W2346" s="122">
        <f t="shared" si="74"/>
        <v>55285</v>
      </c>
      <c r="X2346" s="122">
        <f t="shared" si="75"/>
        <v>133459</v>
      </c>
      <c r="AA2346" t="s">
        <v>64</v>
      </c>
      <c r="AB2346" t="s">
        <v>406</v>
      </c>
      <c r="AC2346" t="s">
        <v>426</v>
      </c>
      <c r="AD2346" t="s">
        <v>426</v>
      </c>
      <c r="AE2346" t="s">
        <v>137</v>
      </c>
      <c r="AF2346">
        <v>15</v>
      </c>
      <c r="AG2346" s="122">
        <v>1870</v>
      </c>
      <c r="AH2346" s="122">
        <v>7974</v>
      </c>
      <c r="AI2346" s="122">
        <v>674081</v>
      </c>
      <c r="AJ2346" s="122">
        <v>612801</v>
      </c>
      <c r="AK2346">
        <v>73</v>
      </c>
      <c r="AL2346" s="122">
        <v>130632</v>
      </c>
      <c r="AM2346" s="122">
        <v>118757</v>
      </c>
      <c r="AN2346" s="122">
        <v>41211</v>
      </c>
      <c r="AO2346" s="122">
        <v>15263</v>
      </c>
      <c r="AP2346" s="122">
        <v>9666</v>
      </c>
      <c r="AQ2346" s="122">
        <v>3580</v>
      </c>
      <c r="AR2346" s="122">
        <v>81866</v>
      </c>
      <c r="AS2346" s="122">
        <v>74423</v>
      </c>
      <c r="AT2346" s="122">
        <v>39633</v>
      </c>
      <c r="AU2346" s="122">
        <v>14679</v>
      </c>
      <c r="AV2346" s="122">
        <v>839503</v>
      </c>
    </row>
    <row r="2347" spans="2:48" hidden="1">
      <c r="B2347" t="s">
        <v>379</v>
      </c>
      <c r="C2347" t="s">
        <v>52</v>
      </c>
      <c r="D2347" t="s">
        <v>406</v>
      </c>
      <c r="E2347" t="s">
        <v>406</v>
      </c>
      <c r="F2347" s="122">
        <v>81</v>
      </c>
      <c r="G2347" s="122">
        <v>18673</v>
      </c>
      <c r="H2347" s="122">
        <v>9494</v>
      </c>
      <c r="I2347" s="122">
        <v>1208907</v>
      </c>
      <c r="J2347" s="122">
        <v>1099007</v>
      </c>
      <c r="K2347" s="122">
        <v>91</v>
      </c>
      <c r="L2347" s="122">
        <v>222041</v>
      </c>
      <c r="M2347" s="122">
        <v>470172</v>
      </c>
      <c r="N2347" s="122">
        <v>344377</v>
      </c>
      <c r="O2347" s="122">
        <v>127547</v>
      </c>
      <c r="P2347" s="122">
        <v>76769</v>
      </c>
      <c r="Q2347" s="122">
        <v>28433</v>
      </c>
      <c r="R2347" s="122">
        <v>431704</v>
      </c>
      <c r="S2347" s="122">
        <v>392458</v>
      </c>
      <c r="T2347" s="122">
        <v>9589</v>
      </c>
      <c r="U2347" s="122">
        <v>3551</v>
      </c>
      <c r="V2347" s="122">
        <v>2121168</v>
      </c>
      <c r="W2347" s="122">
        <f t="shared" si="74"/>
        <v>2121168</v>
      </c>
      <c r="X2347" s="122">
        <f t="shared" si="75"/>
        <v>2293387</v>
      </c>
      <c r="AA2347" t="s">
        <v>64</v>
      </c>
      <c r="AB2347" t="s">
        <v>406</v>
      </c>
      <c r="AC2347" t="s">
        <v>426</v>
      </c>
      <c r="AD2347" t="s">
        <v>426</v>
      </c>
      <c r="AE2347" t="s">
        <v>566</v>
      </c>
      <c r="AF2347">
        <v>5</v>
      </c>
      <c r="AG2347">
        <v>508</v>
      </c>
      <c r="AH2347" s="122">
        <v>2745</v>
      </c>
      <c r="AI2347" s="122">
        <v>188600</v>
      </c>
      <c r="AJ2347" s="122">
        <v>171454</v>
      </c>
      <c r="AK2347">
        <v>70</v>
      </c>
      <c r="AL2347" s="122">
        <v>30469</v>
      </c>
      <c r="AM2347" s="122">
        <v>27699</v>
      </c>
      <c r="AN2347" s="122">
        <v>11396</v>
      </c>
      <c r="AO2347" s="122">
        <v>4221</v>
      </c>
      <c r="AP2347" s="122">
        <v>3105</v>
      </c>
      <c r="AQ2347" s="122">
        <v>1150</v>
      </c>
      <c r="AR2347" s="122">
        <v>46190</v>
      </c>
      <c r="AS2347" s="122">
        <v>41991</v>
      </c>
      <c r="AT2347" s="122">
        <v>0</v>
      </c>
      <c r="AU2347">
        <v>0</v>
      </c>
      <c r="AV2347" s="122">
        <v>246515</v>
      </c>
    </row>
    <row r="2348" spans="2:48" hidden="1">
      <c r="B2348" t="s">
        <v>379</v>
      </c>
      <c r="C2348" t="s">
        <v>52</v>
      </c>
      <c r="D2348" t="s">
        <v>406</v>
      </c>
      <c r="E2348" t="s">
        <v>407</v>
      </c>
      <c r="F2348" s="122">
        <v>1</v>
      </c>
      <c r="G2348" s="122">
        <v>227</v>
      </c>
      <c r="H2348" s="122">
        <v>106</v>
      </c>
      <c r="I2348" s="122">
        <v>13826</v>
      </c>
      <c r="J2348" s="122">
        <v>12570</v>
      </c>
      <c r="K2348" s="122">
        <v>92</v>
      </c>
      <c r="L2348" s="122">
        <v>0</v>
      </c>
      <c r="M2348" s="122">
        <v>0</v>
      </c>
      <c r="N2348" s="122">
        <v>7049</v>
      </c>
      <c r="O2348" s="122">
        <v>2611</v>
      </c>
      <c r="P2348" s="122">
        <v>621</v>
      </c>
      <c r="Q2348" s="122">
        <v>230</v>
      </c>
      <c r="R2348" s="122">
        <v>9049</v>
      </c>
      <c r="S2348" s="122">
        <v>8227</v>
      </c>
      <c r="T2348" s="122">
        <v>0</v>
      </c>
      <c r="U2348" s="122">
        <v>0</v>
      </c>
      <c r="V2348" s="122">
        <v>23637</v>
      </c>
      <c r="W2348" s="122">
        <f t="shared" ref="W2348:W2411" si="76">SUM(ABS(J2348),ABS(M2348),ABS(O2348),ABS(Q2348),ABS(S2348),ABS(U2348))</f>
        <v>23638</v>
      </c>
      <c r="X2348" s="122">
        <f t="shared" ref="X2348:X2411" si="77">SUM(ABS(I2348),ABS(N2348),ABS(P2348),ABS(R2348),ABS(T2348),ABS(L2348))</f>
        <v>30545</v>
      </c>
      <c r="AA2348" t="s">
        <v>64</v>
      </c>
      <c r="AB2348" t="s">
        <v>406</v>
      </c>
      <c r="AC2348" t="s">
        <v>566</v>
      </c>
      <c r="AD2348" t="s">
        <v>425</v>
      </c>
      <c r="AE2348" t="s">
        <v>137</v>
      </c>
      <c r="AF2348">
        <v>1</v>
      </c>
      <c r="AG2348" s="122">
        <v>94</v>
      </c>
      <c r="AH2348" s="122">
        <v>677</v>
      </c>
      <c r="AI2348" s="122">
        <v>55089</v>
      </c>
      <c r="AJ2348" s="122">
        <v>50081</v>
      </c>
      <c r="AK2348">
        <v>65</v>
      </c>
      <c r="AL2348">
        <v>0</v>
      </c>
      <c r="AM2348" s="122">
        <v>0</v>
      </c>
      <c r="AN2348" s="122">
        <v>2054</v>
      </c>
      <c r="AO2348" s="122">
        <v>761</v>
      </c>
      <c r="AP2348" s="122">
        <v>351</v>
      </c>
      <c r="AQ2348" s="122">
        <v>130</v>
      </c>
      <c r="AR2348" s="122">
        <v>4003</v>
      </c>
      <c r="AS2348" s="122">
        <v>3639</v>
      </c>
      <c r="AT2348" s="122">
        <v>1901</v>
      </c>
      <c r="AU2348">
        <v>704</v>
      </c>
      <c r="AV2348" s="122">
        <v>55315</v>
      </c>
    </row>
    <row r="2349" spans="2:48" hidden="1">
      <c r="B2349" t="s">
        <v>379</v>
      </c>
      <c r="C2349" t="s">
        <v>52</v>
      </c>
      <c r="D2349" t="s">
        <v>407</v>
      </c>
      <c r="E2349" t="s">
        <v>407</v>
      </c>
      <c r="F2349" s="122">
        <v>5</v>
      </c>
      <c r="G2349" s="122">
        <v>855</v>
      </c>
      <c r="H2349" s="122">
        <v>563</v>
      </c>
      <c r="I2349" s="122">
        <v>51010</v>
      </c>
      <c r="J2349" s="122">
        <v>46373</v>
      </c>
      <c r="K2349" s="122">
        <v>89</v>
      </c>
      <c r="L2349" s="122">
        <v>17907</v>
      </c>
      <c r="M2349" s="122">
        <v>16279</v>
      </c>
      <c r="N2349" s="122">
        <v>12592</v>
      </c>
      <c r="O2349" s="122">
        <v>4664</v>
      </c>
      <c r="P2349" s="122">
        <v>2363</v>
      </c>
      <c r="Q2349" s="122">
        <v>875</v>
      </c>
      <c r="R2349" s="122">
        <v>15499</v>
      </c>
      <c r="S2349" s="122">
        <v>14090</v>
      </c>
      <c r="T2349" s="122">
        <v>0</v>
      </c>
      <c r="U2349" s="122">
        <v>0</v>
      </c>
      <c r="V2349" s="122">
        <v>82281</v>
      </c>
      <c r="W2349" s="122">
        <f t="shared" si="76"/>
        <v>82281</v>
      </c>
      <c r="X2349" s="122">
        <f t="shared" si="77"/>
        <v>99371</v>
      </c>
      <c r="AA2349" t="s">
        <v>64</v>
      </c>
      <c r="AB2349" t="s">
        <v>406</v>
      </c>
      <c r="AC2349" t="s">
        <v>566</v>
      </c>
      <c r="AD2349" t="s">
        <v>137</v>
      </c>
      <c r="AE2349" t="s">
        <v>566</v>
      </c>
      <c r="AF2349">
        <v>23</v>
      </c>
      <c r="AG2349" s="122">
        <v>2023</v>
      </c>
      <c r="AH2349" s="122">
        <v>13943</v>
      </c>
      <c r="AI2349" s="122">
        <v>991189</v>
      </c>
      <c r="AJ2349" s="122">
        <v>901081</v>
      </c>
      <c r="AK2349">
        <v>67</v>
      </c>
      <c r="AL2349">
        <v>0</v>
      </c>
      <c r="AM2349" s="122">
        <v>1549</v>
      </c>
      <c r="AN2349" s="122">
        <v>46386</v>
      </c>
      <c r="AO2349" s="122">
        <v>17180</v>
      </c>
      <c r="AP2349" s="122">
        <v>12420</v>
      </c>
      <c r="AQ2349" s="122">
        <v>4600</v>
      </c>
      <c r="AR2349" s="122">
        <v>162806</v>
      </c>
      <c r="AS2349" s="122">
        <v>60298</v>
      </c>
      <c r="AT2349" s="122">
        <v>0</v>
      </c>
      <c r="AU2349" s="122">
        <v>0</v>
      </c>
      <c r="AV2349" s="122">
        <v>984708</v>
      </c>
    </row>
    <row r="2350" spans="2:48" hidden="1">
      <c r="B2350" t="s">
        <v>379</v>
      </c>
      <c r="C2350" t="s">
        <v>52</v>
      </c>
      <c r="D2350" t="s">
        <v>408</v>
      </c>
      <c r="E2350" t="s">
        <v>408</v>
      </c>
      <c r="F2350" s="122">
        <v>1</v>
      </c>
      <c r="G2350" s="122">
        <v>259</v>
      </c>
      <c r="H2350" s="122">
        <v>124</v>
      </c>
      <c r="I2350" s="122">
        <v>19830</v>
      </c>
      <c r="J2350" s="122">
        <v>18027</v>
      </c>
      <c r="K2350" s="122">
        <v>81</v>
      </c>
      <c r="L2350" s="122">
        <v>2291</v>
      </c>
      <c r="M2350" s="122">
        <v>2083</v>
      </c>
      <c r="N2350" s="122">
        <v>3156</v>
      </c>
      <c r="O2350" s="122">
        <v>1169</v>
      </c>
      <c r="P2350" s="122">
        <v>1404</v>
      </c>
      <c r="Q2350" s="122">
        <v>520</v>
      </c>
      <c r="R2350" s="122">
        <v>5497</v>
      </c>
      <c r="S2350" s="122">
        <v>4997</v>
      </c>
      <c r="T2350" s="122">
        <v>0</v>
      </c>
      <c r="U2350" s="122">
        <v>0</v>
      </c>
      <c r="V2350" s="122">
        <v>26796</v>
      </c>
      <c r="W2350" s="122">
        <f t="shared" si="76"/>
        <v>26796</v>
      </c>
      <c r="X2350" s="122">
        <f t="shared" si="77"/>
        <v>32178</v>
      </c>
      <c r="AA2350" t="s">
        <v>64</v>
      </c>
      <c r="AB2350" t="s">
        <v>406</v>
      </c>
      <c r="AC2350" t="s">
        <v>566</v>
      </c>
      <c r="AD2350" t="s">
        <v>406</v>
      </c>
      <c r="AE2350" t="s">
        <v>137</v>
      </c>
      <c r="AF2350">
        <v>163</v>
      </c>
      <c r="AG2350" s="122">
        <v>12424</v>
      </c>
      <c r="AH2350" s="122">
        <v>89382</v>
      </c>
      <c r="AI2350" s="122">
        <v>5326572</v>
      </c>
      <c r="AJ2350" s="122">
        <v>4842339</v>
      </c>
      <c r="AK2350">
        <v>71</v>
      </c>
      <c r="AL2350">
        <v>0</v>
      </c>
      <c r="AM2350" s="122">
        <v>67306</v>
      </c>
      <c r="AN2350" s="122">
        <v>268918</v>
      </c>
      <c r="AO2350" s="122">
        <v>99599</v>
      </c>
      <c r="AP2350" s="122">
        <v>103545</v>
      </c>
      <c r="AQ2350" s="122">
        <v>38350</v>
      </c>
      <c r="AR2350" s="122">
        <v>692838</v>
      </c>
      <c r="AS2350" s="122">
        <v>629853</v>
      </c>
      <c r="AT2350" s="122">
        <v>342801</v>
      </c>
      <c r="AU2350" s="122">
        <v>126963</v>
      </c>
      <c r="AV2350" s="122">
        <v>5804410</v>
      </c>
    </row>
    <row r="2351" spans="2:48" hidden="1">
      <c r="B2351" t="s">
        <v>379</v>
      </c>
      <c r="C2351" t="s">
        <v>54</v>
      </c>
      <c r="D2351" t="s">
        <v>405</v>
      </c>
      <c r="E2351" t="s">
        <v>405</v>
      </c>
      <c r="F2351" s="122">
        <v>6</v>
      </c>
      <c r="G2351" s="122">
        <v>1482</v>
      </c>
      <c r="H2351" s="122">
        <v>833</v>
      </c>
      <c r="I2351" s="122">
        <v>125543</v>
      </c>
      <c r="J2351" s="122">
        <v>114130</v>
      </c>
      <c r="K2351" s="122">
        <v>90</v>
      </c>
      <c r="L2351" s="122">
        <v>21884</v>
      </c>
      <c r="M2351" s="122">
        <v>19895</v>
      </c>
      <c r="N2351" s="122">
        <v>27176</v>
      </c>
      <c r="O2351" s="122">
        <v>10065</v>
      </c>
      <c r="P2351" s="122">
        <v>6176</v>
      </c>
      <c r="Q2351" s="122">
        <v>2288</v>
      </c>
      <c r="R2351" s="122">
        <v>38195</v>
      </c>
      <c r="S2351" s="122">
        <v>34723</v>
      </c>
      <c r="T2351" s="122">
        <v>0</v>
      </c>
      <c r="U2351" s="122">
        <v>0</v>
      </c>
      <c r="V2351" s="122">
        <v>181101</v>
      </c>
      <c r="W2351" s="122">
        <f t="shared" si="76"/>
        <v>181101</v>
      </c>
      <c r="X2351" s="122">
        <f t="shared" si="77"/>
        <v>218974</v>
      </c>
      <c r="AA2351" t="s">
        <v>64</v>
      </c>
      <c r="AB2351" t="s">
        <v>406</v>
      </c>
      <c r="AC2351" t="s">
        <v>566</v>
      </c>
      <c r="AD2351" t="s">
        <v>406</v>
      </c>
      <c r="AE2351" t="s">
        <v>566</v>
      </c>
      <c r="AF2351">
        <v>62</v>
      </c>
      <c r="AG2351" s="122">
        <v>4881</v>
      </c>
      <c r="AH2351" s="122">
        <v>35560</v>
      </c>
      <c r="AI2351" s="122">
        <v>2240119</v>
      </c>
      <c r="AJ2351" s="122">
        <v>2036472</v>
      </c>
      <c r="AK2351">
        <v>68</v>
      </c>
      <c r="AL2351">
        <v>0</v>
      </c>
      <c r="AM2351" s="122">
        <v>5691</v>
      </c>
      <c r="AN2351" s="122">
        <v>104933</v>
      </c>
      <c r="AO2351" s="122">
        <v>38864</v>
      </c>
      <c r="AP2351" s="122">
        <v>37895</v>
      </c>
      <c r="AQ2351" s="122">
        <v>14035</v>
      </c>
      <c r="AR2351" s="122">
        <v>410363</v>
      </c>
      <c r="AS2351" s="122">
        <v>373058</v>
      </c>
      <c r="AT2351">
        <v>0</v>
      </c>
      <c r="AU2351">
        <v>0</v>
      </c>
      <c r="AV2351" s="122">
        <v>2468120</v>
      </c>
    </row>
    <row r="2352" spans="2:48" hidden="1">
      <c r="B2352" t="s">
        <v>379</v>
      </c>
      <c r="C2352" t="s">
        <v>54</v>
      </c>
      <c r="D2352" t="s">
        <v>137</v>
      </c>
      <c r="E2352" t="s">
        <v>137</v>
      </c>
      <c r="F2352" s="122">
        <v>5</v>
      </c>
      <c r="G2352" s="122">
        <v>1115</v>
      </c>
      <c r="H2352" s="122">
        <v>656</v>
      </c>
      <c r="I2352" s="122">
        <v>99134</v>
      </c>
      <c r="J2352" s="122">
        <v>36716</v>
      </c>
      <c r="K2352" s="122">
        <v>298</v>
      </c>
      <c r="L2352" s="122">
        <v>26108</v>
      </c>
      <c r="M2352" s="122">
        <v>18472</v>
      </c>
      <c r="N2352" s="122">
        <v>22902</v>
      </c>
      <c r="O2352" s="122">
        <v>8482</v>
      </c>
      <c r="P2352" s="122">
        <v>5569</v>
      </c>
      <c r="Q2352" s="122">
        <v>2063</v>
      </c>
      <c r="R2352" s="122">
        <v>40473</v>
      </c>
      <c r="S2352" s="122">
        <v>14990</v>
      </c>
      <c r="T2352" s="122">
        <v>4342</v>
      </c>
      <c r="U2352" s="122">
        <v>1608</v>
      </c>
      <c r="V2352" s="122">
        <v>82331</v>
      </c>
      <c r="W2352" s="122">
        <f t="shared" si="76"/>
        <v>82331</v>
      </c>
      <c r="X2352" s="122">
        <f t="shared" si="77"/>
        <v>198528</v>
      </c>
      <c r="AA2352" t="s">
        <v>64</v>
      </c>
      <c r="AB2352" t="s">
        <v>406</v>
      </c>
      <c r="AC2352" t="s">
        <v>566</v>
      </c>
      <c r="AD2352" t="s">
        <v>407</v>
      </c>
      <c r="AE2352" t="s">
        <v>137</v>
      </c>
      <c r="AF2352">
        <v>1</v>
      </c>
      <c r="AG2352">
        <v>63</v>
      </c>
      <c r="AH2352">
        <v>453</v>
      </c>
      <c r="AI2352" s="122">
        <v>24004</v>
      </c>
      <c r="AJ2352" s="122">
        <v>21821</v>
      </c>
      <c r="AK2352">
        <v>83</v>
      </c>
      <c r="AL2352">
        <v>0</v>
      </c>
      <c r="AM2352">
        <v>0</v>
      </c>
      <c r="AN2352" s="122">
        <v>1530</v>
      </c>
      <c r="AO2352">
        <v>567</v>
      </c>
      <c r="AP2352">
        <v>621</v>
      </c>
      <c r="AQ2352">
        <v>230</v>
      </c>
      <c r="AR2352" s="122">
        <v>2332</v>
      </c>
      <c r="AS2352" s="122">
        <v>2120</v>
      </c>
      <c r="AT2352">
        <v>0</v>
      </c>
      <c r="AU2352">
        <v>0</v>
      </c>
      <c r="AV2352" s="122">
        <v>24738</v>
      </c>
    </row>
    <row r="2353" spans="2:48" hidden="1">
      <c r="B2353" t="s">
        <v>379</v>
      </c>
      <c r="C2353" t="s">
        <v>54</v>
      </c>
      <c r="D2353" t="s">
        <v>137</v>
      </c>
      <c r="E2353" t="s">
        <v>408</v>
      </c>
      <c r="F2353" s="122">
        <v>1</v>
      </c>
      <c r="G2353" s="122">
        <v>187</v>
      </c>
      <c r="H2353" s="122">
        <v>141</v>
      </c>
      <c r="I2353" s="122">
        <v>14919</v>
      </c>
      <c r="J2353" s="122">
        <v>5526</v>
      </c>
      <c r="K2353" s="122">
        <v>320</v>
      </c>
      <c r="L2353" s="122">
        <v>2327</v>
      </c>
      <c r="M2353" s="122">
        <v>2116</v>
      </c>
      <c r="N2353" s="122">
        <v>3557</v>
      </c>
      <c r="O2353" s="122">
        <v>1317</v>
      </c>
      <c r="P2353" s="122">
        <v>351</v>
      </c>
      <c r="Q2353" s="122">
        <v>130</v>
      </c>
      <c r="R2353" s="122">
        <v>5294</v>
      </c>
      <c r="S2353" s="122">
        <v>4813</v>
      </c>
      <c r="T2353" s="122">
        <v>0</v>
      </c>
      <c r="U2353" s="122">
        <v>0</v>
      </c>
      <c r="V2353" s="122">
        <v>13902</v>
      </c>
      <c r="W2353" s="122">
        <f t="shared" si="76"/>
        <v>13902</v>
      </c>
      <c r="X2353" s="122">
        <f t="shared" si="77"/>
        <v>26448</v>
      </c>
      <c r="AA2353" t="s">
        <v>64</v>
      </c>
      <c r="AB2353" t="s">
        <v>406</v>
      </c>
      <c r="AC2353" t="s">
        <v>566</v>
      </c>
      <c r="AD2353" t="s">
        <v>579</v>
      </c>
      <c r="AE2353" t="s">
        <v>566</v>
      </c>
      <c r="AF2353">
        <v>1</v>
      </c>
      <c r="AG2353">
        <v>88</v>
      </c>
      <c r="AH2353" s="122">
        <v>703</v>
      </c>
      <c r="AI2353" s="122">
        <v>44154</v>
      </c>
      <c r="AJ2353" s="122">
        <v>40140</v>
      </c>
      <c r="AK2353">
        <v>75</v>
      </c>
      <c r="AL2353" s="122">
        <v>0</v>
      </c>
      <c r="AM2353" s="122">
        <v>0</v>
      </c>
      <c r="AN2353" s="122">
        <v>1990</v>
      </c>
      <c r="AO2353" s="122">
        <v>737</v>
      </c>
      <c r="AP2353" s="122">
        <v>270</v>
      </c>
      <c r="AQ2353">
        <v>100</v>
      </c>
      <c r="AR2353" s="122">
        <v>15620</v>
      </c>
      <c r="AS2353" s="122">
        <v>13017</v>
      </c>
      <c r="AT2353" s="122">
        <v>0</v>
      </c>
      <c r="AU2353" s="122">
        <v>0</v>
      </c>
      <c r="AV2353" s="122">
        <v>53994</v>
      </c>
    </row>
    <row r="2354" spans="2:48" hidden="1">
      <c r="B2354" t="s">
        <v>379</v>
      </c>
      <c r="C2354" t="s">
        <v>54</v>
      </c>
      <c r="D2354" t="s">
        <v>406</v>
      </c>
      <c r="E2354" t="s">
        <v>425</v>
      </c>
      <c r="F2354" s="122">
        <v>1</v>
      </c>
      <c r="G2354" s="122">
        <v>283</v>
      </c>
      <c r="H2354" s="122">
        <v>129</v>
      </c>
      <c r="I2354" s="122">
        <v>20870</v>
      </c>
      <c r="J2354" s="122">
        <v>18972</v>
      </c>
      <c r="K2354" s="122">
        <v>86</v>
      </c>
      <c r="L2354" s="122">
        <v>3312</v>
      </c>
      <c r="M2354" s="122">
        <v>3011</v>
      </c>
      <c r="N2354" s="122">
        <v>5000</v>
      </c>
      <c r="O2354" s="122">
        <v>1852</v>
      </c>
      <c r="P2354" s="122">
        <v>621</v>
      </c>
      <c r="Q2354" s="122">
        <v>230</v>
      </c>
      <c r="R2354" s="122">
        <v>6779</v>
      </c>
      <c r="S2354" s="122">
        <v>6163</v>
      </c>
      <c r="T2354" s="122">
        <v>0</v>
      </c>
      <c r="U2354" s="122">
        <v>0</v>
      </c>
      <c r="V2354" s="122">
        <v>30228</v>
      </c>
      <c r="W2354" s="122">
        <f t="shared" si="76"/>
        <v>30228</v>
      </c>
      <c r="X2354" s="122">
        <f t="shared" si="77"/>
        <v>36582</v>
      </c>
      <c r="AA2354" t="s">
        <v>64</v>
      </c>
      <c r="AB2354" t="s">
        <v>406</v>
      </c>
      <c r="AC2354" t="s">
        <v>481</v>
      </c>
      <c r="AD2354" t="s">
        <v>406</v>
      </c>
      <c r="AE2354" t="s">
        <v>137</v>
      </c>
      <c r="AF2354">
        <v>3</v>
      </c>
      <c r="AG2354">
        <v>268</v>
      </c>
      <c r="AH2354" s="122">
        <v>1743</v>
      </c>
      <c r="AI2354" s="122">
        <v>98052</v>
      </c>
      <c r="AJ2354" s="122">
        <v>89138</v>
      </c>
      <c r="AK2354">
        <v>74</v>
      </c>
      <c r="AL2354" s="122">
        <v>25545</v>
      </c>
      <c r="AM2354" s="122">
        <v>23222</v>
      </c>
      <c r="AN2354" s="122">
        <v>6217</v>
      </c>
      <c r="AO2354" s="122">
        <v>2302</v>
      </c>
      <c r="AP2354" s="122">
        <v>1863</v>
      </c>
      <c r="AQ2354">
        <v>690</v>
      </c>
      <c r="AR2354" s="122">
        <v>14623</v>
      </c>
      <c r="AS2354" s="122">
        <v>13293</v>
      </c>
      <c r="AT2354" s="122">
        <v>9275</v>
      </c>
      <c r="AU2354" s="122">
        <v>3435</v>
      </c>
      <c r="AV2354" s="122">
        <v>132081</v>
      </c>
    </row>
    <row r="2355" spans="2:48" hidden="1">
      <c r="B2355" t="s">
        <v>379</v>
      </c>
      <c r="C2355" t="s">
        <v>54</v>
      </c>
      <c r="D2355" t="s">
        <v>406</v>
      </c>
      <c r="E2355" t="s">
        <v>137</v>
      </c>
      <c r="F2355" s="122">
        <v>1</v>
      </c>
      <c r="G2355" s="122">
        <v>231</v>
      </c>
      <c r="H2355" s="122">
        <v>140</v>
      </c>
      <c r="I2355" s="122">
        <v>17422</v>
      </c>
      <c r="J2355" s="122">
        <v>15838</v>
      </c>
      <c r="K2355" s="122">
        <v>79</v>
      </c>
      <c r="L2355" s="122">
        <v>2353</v>
      </c>
      <c r="M2355" s="122">
        <v>2139</v>
      </c>
      <c r="N2355" s="122">
        <v>3512</v>
      </c>
      <c r="O2355" s="122">
        <v>1301</v>
      </c>
      <c r="P2355" s="122">
        <v>972</v>
      </c>
      <c r="Q2355" s="122">
        <v>360</v>
      </c>
      <c r="R2355" s="122">
        <v>8138</v>
      </c>
      <c r="S2355" s="122">
        <v>3014</v>
      </c>
      <c r="T2355" s="122">
        <v>0</v>
      </c>
      <c r="U2355" s="122">
        <v>0</v>
      </c>
      <c r="V2355" s="122">
        <v>22651</v>
      </c>
      <c r="W2355" s="122">
        <f t="shared" si="76"/>
        <v>22652</v>
      </c>
      <c r="X2355" s="122">
        <f t="shared" si="77"/>
        <v>32397</v>
      </c>
      <c r="AA2355" t="s">
        <v>64</v>
      </c>
      <c r="AB2355" t="s">
        <v>406</v>
      </c>
      <c r="AC2355" t="s">
        <v>481</v>
      </c>
      <c r="AD2355" t="s">
        <v>406</v>
      </c>
      <c r="AE2355" t="s">
        <v>566</v>
      </c>
      <c r="AF2355">
        <v>2</v>
      </c>
      <c r="AG2355">
        <v>166</v>
      </c>
      <c r="AH2355" s="122">
        <v>1089</v>
      </c>
      <c r="AI2355" s="122">
        <v>62048</v>
      </c>
      <c r="AJ2355" s="122">
        <v>56407</v>
      </c>
      <c r="AK2355">
        <v>86</v>
      </c>
      <c r="AL2355" s="122">
        <v>13655</v>
      </c>
      <c r="AM2355" s="122">
        <v>12413</v>
      </c>
      <c r="AN2355" s="122">
        <v>2027</v>
      </c>
      <c r="AO2355">
        <v>751</v>
      </c>
      <c r="AP2355" s="122">
        <v>1242</v>
      </c>
      <c r="AQ2355">
        <v>460</v>
      </c>
      <c r="AR2355" s="122">
        <v>11100</v>
      </c>
      <c r="AS2355" s="122">
        <v>10091</v>
      </c>
      <c r="AT2355" s="122">
        <v>0</v>
      </c>
      <c r="AU2355">
        <v>0</v>
      </c>
      <c r="AV2355" s="122">
        <v>80122</v>
      </c>
    </row>
    <row r="2356" spans="2:48" hidden="1">
      <c r="B2356" t="s">
        <v>379</v>
      </c>
      <c r="C2356" t="s">
        <v>54</v>
      </c>
      <c r="D2356" t="s">
        <v>406</v>
      </c>
      <c r="E2356" t="s">
        <v>406</v>
      </c>
      <c r="F2356" s="122">
        <v>256</v>
      </c>
      <c r="G2356" s="122">
        <v>54389</v>
      </c>
      <c r="H2356" s="122">
        <v>35863</v>
      </c>
      <c r="I2356" s="122">
        <v>4332277</v>
      </c>
      <c r="J2356" s="122">
        <v>3938433</v>
      </c>
      <c r="K2356" s="122">
        <v>88</v>
      </c>
      <c r="L2356" s="122">
        <v>927405</v>
      </c>
      <c r="M2356" s="122">
        <v>829885</v>
      </c>
      <c r="N2356" s="122">
        <v>1106949</v>
      </c>
      <c r="O2356" s="122">
        <v>409981</v>
      </c>
      <c r="P2356" s="122">
        <v>165385</v>
      </c>
      <c r="Q2356" s="122">
        <v>61254</v>
      </c>
      <c r="R2356" s="122">
        <v>1477999</v>
      </c>
      <c r="S2356" s="122">
        <v>1343636</v>
      </c>
      <c r="T2356" s="122">
        <v>71570</v>
      </c>
      <c r="U2356" s="122">
        <v>26507</v>
      </c>
      <c r="V2356" s="122">
        <v>6609696</v>
      </c>
      <c r="W2356" s="122">
        <f t="shared" si="76"/>
        <v>6609696</v>
      </c>
      <c r="X2356" s="122">
        <f t="shared" si="77"/>
        <v>8081585</v>
      </c>
      <c r="AA2356" t="s">
        <v>64</v>
      </c>
      <c r="AB2356" t="s">
        <v>406</v>
      </c>
      <c r="AC2356" t="s">
        <v>481</v>
      </c>
      <c r="AD2356" t="s">
        <v>426</v>
      </c>
      <c r="AE2356" t="s">
        <v>137</v>
      </c>
      <c r="AF2356">
        <v>1</v>
      </c>
      <c r="AG2356">
        <v>64</v>
      </c>
      <c r="AH2356">
        <v>518</v>
      </c>
      <c r="AI2356" s="122">
        <v>21552</v>
      </c>
      <c r="AJ2356" s="122">
        <v>19593</v>
      </c>
      <c r="AK2356">
        <v>79</v>
      </c>
      <c r="AL2356" s="122">
        <v>3265</v>
      </c>
      <c r="AM2356" s="122">
        <v>2969</v>
      </c>
      <c r="AN2356" s="122">
        <v>1571</v>
      </c>
      <c r="AO2356">
        <v>582</v>
      </c>
      <c r="AP2356">
        <v>972</v>
      </c>
      <c r="AQ2356">
        <v>360</v>
      </c>
      <c r="AR2356" s="122">
        <v>3743</v>
      </c>
      <c r="AS2356" s="122">
        <v>3403</v>
      </c>
      <c r="AT2356" s="122">
        <v>2309</v>
      </c>
      <c r="AU2356">
        <v>855</v>
      </c>
      <c r="AV2356" s="122">
        <v>27761</v>
      </c>
    </row>
    <row r="2357" spans="2:48" hidden="1">
      <c r="B2357" t="s">
        <v>379</v>
      </c>
      <c r="C2357" t="s">
        <v>54</v>
      </c>
      <c r="D2357" t="s">
        <v>406</v>
      </c>
      <c r="E2357" t="s">
        <v>407</v>
      </c>
      <c r="F2357" s="122">
        <v>1</v>
      </c>
      <c r="G2357" s="122">
        <v>150</v>
      </c>
      <c r="H2357" s="122">
        <v>128</v>
      </c>
      <c r="I2357" s="122">
        <v>8016</v>
      </c>
      <c r="J2357" s="122">
        <v>7288</v>
      </c>
      <c r="K2357" s="122">
        <v>93</v>
      </c>
      <c r="L2357" s="122">
        <v>1274</v>
      </c>
      <c r="M2357" s="122">
        <v>1159</v>
      </c>
      <c r="N2357" s="122">
        <v>3538</v>
      </c>
      <c r="O2357" s="122">
        <v>1311</v>
      </c>
      <c r="P2357" s="122">
        <v>621</v>
      </c>
      <c r="Q2357" s="122">
        <v>230</v>
      </c>
      <c r="R2357" s="122">
        <v>5814</v>
      </c>
      <c r="S2357" s="122">
        <v>5285</v>
      </c>
      <c r="T2357" s="122">
        <v>0</v>
      </c>
      <c r="U2357" s="122">
        <v>0</v>
      </c>
      <c r="V2357" s="122">
        <v>15272</v>
      </c>
      <c r="W2357" s="122">
        <f t="shared" si="76"/>
        <v>15273</v>
      </c>
      <c r="X2357" s="122">
        <f t="shared" si="77"/>
        <v>19263</v>
      </c>
      <c r="AA2357" t="s">
        <v>64</v>
      </c>
      <c r="AB2357" t="s">
        <v>406</v>
      </c>
      <c r="AC2357" t="s">
        <v>433</v>
      </c>
      <c r="AD2357" t="s">
        <v>137</v>
      </c>
      <c r="AE2357" t="s">
        <v>137</v>
      </c>
      <c r="AF2357">
        <v>1</v>
      </c>
      <c r="AG2357">
        <v>53</v>
      </c>
      <c r="AH2357" s="122">
        <v>884</v>
      </c>
      <c r="AI2357" s="122">
        <v>28158</v>
      </c>
      <c r="AJ2357" s="122">
        <v>25598</v>
      </c>
      <c r="AK2357">
        <v>70</v>
      </c>
      <c r="AL2357" s="122">
        <v>7300</v>
      </c>
      <c r="AM2357" s="122">
        <v>6636</v>
      </c>
      <c r="AN2357" s="122">
        <v>1078</v>
      </c>
      <c r="AO2357" s="122">
        <v>399</v>
      </c>
      <c r="AP2357" s="122">
        <v>0</v>
      </c>
      <c r="AQ2357">
        <v>0</v>
      </c>
      <c r="AR2357" s="122">
        <v>7650</v>
      </c>
      <c r="AS2357" s="122">
        <v>2833</v>
      </c>
      <c r="AT2357" s="122">
        <v>2681</v>
      </c>
      <c r="AU2357">
        <v>993</v>
      </c>
      <c r="AV2357" s="122">
        <v>36460</v>
      </c>
    </row>
    <row r="2358" spans="2:48" hidden="1">
      <c r="B2358" t="s">
        <v>379</v>
      </c>
      <c r="C2358" t="s">
        <v>54</v>
      </c>
      <c r="D2358" t="s">
        <v>407</v>
      </c>
      <c r="E2358" t="s">
        <v>407</v>
      </c>
      <c r="F2358" s="122">
        <v>13</v>
      </c>
      <c r="G2358" s="122">
        <v>2075</v>
      </c>
      <c r="H2358" s="122">
        <v>1828</v>
      </c>
      <c r="I2358" s="122">
        <v>155869</v>
      </c>
      <c r="J2358" s="122">
        <v>141699</v>
      </c>
      <c r="K2358" s="122">
        <v>89</v>
      </c>
      <c r="L2358" s="122">
        <v>34952</v>
      </c>
      <c r="M2358" s="122">
        <v>31775</v>
      </c>
      <c r="N2358" s="122">
        <v>37616</v>
      </c>
      <c r="O2358" s="122">
        <v>13932</v>
      </c>
      <c r="P2358" s="122">
        <v>6143</v>
      </c>
      <c r="Q2358" s="122">
        <v>2275</v>
      </c>
      <c r="R2358" s="122">
        <v>65556</v>
      </c>
      <c r="S2358" s="122">
        <v>59597</v>
      </c>
      <c r="T2358" s="122">
        <v>0</v>
      </c>
      <c r="U2358" s="122">
        <v>0</v>
      </c>
      <c r="V2358" s="122">
        <v>249278</v>
      </c>
      <c r="W2358" s="122">
        <f t="shared" si="76"/>
        <v>249278</v>
      </c>
      <c r="X2358" s="122">
        <f t="shared" si="77"/>
        <v>300136</v>
      </c>
      <c r="AA2358" t="s">
        <v>64</v>
      </c>
      <c r="AB2358" t="s">
        <v>406</v>
      </c>
      <c r="AC2358" t="s">
        <v>433</v>
      </c>
      <c r="AD2358" t="s">
        <v>137</v>
      </c>
      <c r="AE2358" t="s">
        <v>566</v>
      </c>
      <c r="AF2358">
        <v>4</v>
      </c>
      <c r="AG2358" s="122">
        <v>235</v>
      </c>
      <c r="AH2358" s="122">
        <v>2416</v>
      </c>
      <c r="AI2358" s="122">
        <v>91362</v>
      </c>
      <c r="AJ2358" s="122">
        <v>83056</v>
      </c>
      <c r="AK2358">
        <v>84</v>
      </c>
      <c r="AL2358" s="122">
        <v>19403</v>
      </c>
      <c r="AM2358" s="122">
        <v>17639</v>
      </c>
      <c r="AN2358" s="122">
        <v>5317</v>
      </c>
      <c r="AO2358" s="122">
        <v>1969</v>
      </c>
      <c r="AP2358" s="122">
        <v>2484</v>
      </c>
      <c r="AQ2358" s="122">
        <v>920</v>
      </c>
      <c r="AR2358" s="122">
        <v>17078</v>
      </c>
      <c r="AS2358" s="122">
        <v>6325</v>
      </c>
      <c r="AT2358" s="122">
        <v>0</v>
      </c>
      <c r="AU2358" s="122">
        <v>0</v>
      </c>
      <c r="AV2358" s="122">
        <v>109910</v>
      </c>
    </row>
    <row r="2359" spans="2:48" hidden="1">
      <c r="B2359" t="s">
        <v>379</v>
      </c>
      <c r="C2359" t="s">
        <v>54</v>
      </c>
      <c r="D2359" t="s">
        <v>408</v>
      </c>
      <c r="E2359" t="s">
        <v>408</v>
      </c>
      <c r="F2359" s="122">
        <v>2</v>
      </c>
      <c r="G2359" s="122">
        <v>570</v>
      </c>
      <c r="H2359" s="122">
        <v>297</v>
      </c>
      <c r="I2359" s="122">
        <v>51907</v>
      </c>
      <c r="J2359" s="122">
        <v>47188</v>
      </c>
      <c r="K2359" s="122">
        <v>75</v>
      </c>
      <c r="L2359" s="122">
        <v>9481</v>
      </c>
      <c r="M2359" s="122">
        <v>8619</v>
      </c>
      <c r="N2359" s="122">
        <v>6951</v>
      </c>
      <c r="O2359" s="122">
        <v>2574</v>
      </c>
      <c r="P2359" s="122">
        <v>702</v>
      </c>
      <c r="Q2359" s="122">
        <v>260</v>
      </c>
      <c r="R2359" s="122">
        <v>15621</v>
      </c>
      <c r="S2359" s="122">
        <v>14201</v>
      </c>
      <c r="T2359" s="122">
        <v>0</v>
      </c>
      <c r="U2359" s="122">
        <v>0</v>
      </c>
      <c r="V2359" s="122">
        <v>72842</v>
      </c>
      <c r="W2359" s="122">
        <f t="shared" si="76"/>
        <v>72842</v>
      </c>
      <c r="X2359" s="122">
        <f t="shared" si="77"/>
        <v>84662</v>
      </c>
      <c r="AA2359" t="s">
        <v>64</v>
      </c>
      <c r="AB2359" t="s">
        <v>406</v>
      </c>
      <c r="AC2359" t="s">
        <v>433</v>
      </c>
      <c r="AD2359" t="s">
        <v>406</v>
      </c>
      <c r="AE2359" t="s">
        <v>137</v>
      </c>
      <c r="AF2359">
        <v>106</v>
      </c>
      <c r="AG2359" s="122">
        <v>10573</v>
      </c>
      <c r="AH2359" s="122">
        <v>60765</v>
      </c>
      <c r="AI2359" s="122">
        <v>3980527</v>
      </c>
      <c r="AJ2359" s="122">
        <v>3618661</v>
      </c>
      <c r="AK2359">
        <v>74</v>
      </c>
      <c r="AL2359" s="122">
        <v>1215933</v>
      </c>
      <c r="AM2359" s="122">
        <v>1105393</v>
      </c>
      <c r="AN2359" s="122">
        <v>229509</v>
      </c>
      <c r="AO2359" s="122">
        <v>85003</v>
      </c>
      <c r="AP2359" s="122">
        <v>67276</v>
      </c>
      <c r="AQ2359" s="122">
        <v>24917</v>
      </c>
      <c r="AR2359" s="122">
        <v>536084</v>
      </c>
      <c r="AS2359" s="122">
        <v>487349</v>
      </c>
      <c r="AT2359" s="122">
        <v>221289</v>
      </c>
      <c r="AU2359" s="122">
        <v>81959</v>
      </c>
      <c r="AV2359" s="122">
        <v>5403282</v>
      </c>
    </row>
    <row r="2360" spans="2:48" hidden="1">
      <c r="B2360" t="s">
        <v>379</v>
      </c>
      <c r="C2360" t="s">
        <v>56</v>
      </c>
      <c r="D2360" t="s">
        <v>425</v>
      </c>
      <c r="E2360" t="s">
        <v>425</v>
      </c>
      <c r="F2360" s="122">
        <v>1</v>
      </c>
      <c r="G2360" s="122">
        <v>130</v>
      </c>
      <c r="H2360" s="122">
        <v>195</v>
      </c>
      <c r="I2360" s="122">
        <v>17280</v>
      </c>
      <c r="J2360" s="122">
        <v>15709</v>
      </c>
      <c r="K2360" s="122">
        <v>92</v>
      </c>
      <c r="L2360" s="122">
        <v>2585</v>
      </c>
      <c r="M2360" s="122">
        <v>2350</v>
      </c>
      <c r="N2360" s="122">
        <v>1579</v>
      </c>
      <c r="O2360" s="122">
        <v>585</v>
      </c>
      <c r="P2360" s="122">
        <v>473</v>
      </c>
      <c r="Q2360" s="122">
        <v>175</v>
      </c>
      <c r="R2360" s="122">
        <v>3307</v>
      </c>
      <c r="S2360" s="122">
        <v>3006</v>
      </c>
      <c r="T2360" s="122">
        <v>0</v>
      </c>
      <c r="U2360" s="122">
        <v>0</v>
      </c>
      <c r="V2360" s="122">
        <v>21825</v>
      </c>
      <c r="W2360" s="122">
        <f t="shared" si="76"/>
        <v>21825</v>
      </c>
      <c r="X2360" s="122">
        <f t="shared" si="77"/>
        <v>25224</v>
      </c>
      <c r="AA2360" t="s">
        <v>64</v>
      </c>
      <c r="AB2360" t="s">
        <v>406</v>
      </c>
      <c r="AC2360" t="s">
        <v>433</v>
      </c>
      <c r="AD2360" t="s">
        <v>406</v>
      </c>
      <c r="AE2360" t="s">
        <v>566</v>
      </c>
      <c r="AF2360">
        <v>62</v>
      </c>
      <c r="AG2360" s="122">
        <v>6724</v>
      </c>
      <c r="AH2360" s="122">
        <v>33389</v>
      </c>
      <c r="AI2360" s="122">
        <v>2535105</v>
      </c>
      <c r="AJ2360" s="122">
        <v>2304641</v>
      </c>
      <c r="AK2360">
        <v>74</v>
      </c>
      <c r="AL2360" s="122">
        <v>496268</v>
      </c>
      <c r="AM2360" s="122">
        <v>451153</v>
      </c>
      <c r="AN2360" s="122">
        <v>148875</v>
      </c>
      <c r="AO2360" s="122">
        <v>55139</v>
      </c>
      <c r="AP2360" s="122">
        <v>38664</v>
      </c>
      <c r="AQ2360" s="122">
        <v>14320</v>
      </c>
      <c r="AR2360" s="122">
        <v>421804</v>
      </c>
      <c r="AS2360" s="122">
        <v>383459</v>
      </c>
      <c r="AT2360" s="122">
        <v>0</v>
      </c>
      <c r="AU2360" s="122">
        <v>0</v>
      </c>
      <c r="AV2360" s="122">
        <v>3208711</v>
      </c>
    </row>
    <row r="2361" spans="2:48" hidden="1">
      <c r="B2361" t="s">
        <v>379</v>
      </c>
      <c r="C2361" t="s">
        <v>56</v>
      </c>
      <c r="D2361" t="s">
        <v>425</v>
      </c>
      <c r="E2361" t="s">
        <v>406</v>
      </c>
      <c r="F2361" s="122">
        <v>3</v>
      </c>
      <c r="G2361" s="122">
        <v>545</v>
      </c>
      <c r="H2361" s="122">
        <v>555</v>
      </c>
      <c r="I2361" s="122">
        <v>52178</v>
      </c>
      <c r="J2361" s="122">
        <v>47435</v>
      </c>
      <c r="K2361" s="122">
        <v>81</v>
      </c>
      <c r="L2361" s="122">
        <v>15096</v>
      </c>
      <c r="M2361" s="122">
        <v>13723</v>
      </c>
      <c r="N2361" s="122">
        <v>13119</v>
      </c>
      <c r="O2361" s="122">
        <v>4859</v>
      </c>
      <c r="P2361" s="122">
        <v>1863</v>
      </c>
      <c r="Q2361" s="122">
        <v>690</v>
      </c>
      <c r="R2361" s="122">
        <v>19214</v>
      </c>
      <c r="S2361" s="122">
        <v>17467</v>
      </c>
      <c r="T2361" s="122">
        <v>0</v>
      </c>
      <c r="U2361" s="122">
        <v>0</v>
      </c>
      <c r="V2361" s="122">
        <v>84174</v>
      </c>
      <c r="W2361" s="122">
        <f t="shared" si="76"/>
        <v>84174</v>
      </c>
      <c r="X2361" s="122">
        <f t="shared" si="77"/>
        <v>101470</v>
      </c>
      <c r="AA2361" t="s">
        <v>64</v>
      </c>
      <c r="AB2361" t="s">
        <v>406</v>
      </c>
      <c r="AC2361" t="s">
        <v>433</v>
      </c>
      <c r="AD2361" t="s">
        <v>426</v>
      </c>
      <c r="AE2361" t="s">
        <v>137</v>
      </c>
      <c r="AF2361">
        <v>1</v>
      </c>
      <c r="AG2361">
        <v>131</v>
      </c>
      <c r="AH2361">
        <v>576</v>
      </c>
      <c r="AI2361" s="122">
        <v>51843</v>
      </c>
      <c r="AJ2361" s="122">
        <v>47130</v>
      </c>
      <c r="AK2361">
        <v>86</v>
      </c>
      <c r="AL2361" s="122">
        <v>7796</v>
      </c>
      <c r="AM2361" s="122">
        <v>7087</v>
      </c>
      <c r="AN2361" s="122">
        <v>2168</v>
      </c>
      <c r="AO2361">
        <v>803</v>
      </c>
      <c r="AP2361">
        <v>621</v>
      </c>
      <c r="AQ2361">
        <v>230</v>
      </c>
      <c r="AR2361" s="122">
        <v>9252</v>
      </c>
      <c r="AS2361" s="122">
        <v>8411</v>
      </c>
      <c r="AT2361" s="122">
        <v>3695</v>
      </c>
      <c r="AU2361" s="122">
        <v>1368</v>
      </c>
      <c r="AV2361" s="122">
        <v>65030</v>
      </c>
    </row>
    <row r="2362" spans="2:48" hidden="1">
      <c r="B2362" t="s">
        <v>379</v>
      </c>
      <c r="C2362" t="s">
        <v>56</v>
      </c>
      <c r="D2362" t="s">
        <v>405</v>
      </c>
      <c r="E2362" t="s">
        <v>405</v>
      </c>
      <c r="F2362" s="122">
        <v>20</v>
      </c>
      <c r="G2362" s="122">
        <v>3771</v>
      </c>
      <c r="H2362" s="122">
        <v>3833</v>
      </c>
      <c r="I2362" s="122">
        <v>426630</v>
      </c>
      <c r="J2362" s="122">
        <v>387845</v>
      </c>
      <c r="K2362" s="122">
        <v>84</v>
      </c>
      <c r="L2362" s="122">
        <v>108010</v>
      </c>
      <c r="M2362" s="122">
        <v>94967</v>
      </c>
      <c r="N2362" s="122">
        <v>83568</v>
      </c>
      <c r="O2362" s="122">
        <v>30951</v>
      </c>
      <c r="P2362" s="122">
        <v>10908</v>
      </c>
      <c r="Q2362" s="122">
        <v>4040</v>
      </c>
      <c r="R2362" s="122">
        <v>133039</v>
      </c>
      <c r="S2362" s="122">
        <v>120945</v>
      </c>
      <c r="T2362" s="122">
        <v>0</v>
      </c>
      <c r="U2362" s="122">
        <v>0</v>
      </c>
      <c r="V2362" s="122">
        <v>638748</v>
      </c>
      <c r="W2362" s="122">
        <f t="shared" si="76"/>
        <v>638748</v>
      </c>
      <c r="X2362" s="122">
        <f t="shared" si="77"/>
        <v>762155</v>
      </c>
      <c r="AA2362" t="s">
        <v>64</v>
      </c>
      <c r="AB2362" t="s">
        <v>406</v>
      </c>
      <c r="AC2362" t="s">
        <v>433</v>
      </c>
      <c r="AD2362" t="s">
        <v>433</v>
      </c>
      <c r="AE2362" t="s">
        <v>566</v>
      </c>
      <c r="AF2362">
        <v>1</v>
      </c>
      <c r="AG2362">
        <v>93</v>
      </c>
      <c r="AH2362" s="122">
        <v>638</v>
      </c>
      <c r="AI2362" s="122">
        <v>39845</v>
      </c>
      <c r="AJ2362" s="122">
        <v>36223</v>
      </c>
      <c r="AK2362">
        <v>85</v>
      </c>
      <c r="AL2362" s="122">
        <v>7940</v>
      </c>
      <c r="AM2362" s="122">
        <v>7218</v>
      </c>
      <c r="AN2362" s="122">
        <v>2263</v>
      </c>
      <c r="AO2362" s="122">
        <v>838</v>
      </c>
      <c r="AP2362" s="122">
        <v>621</v>
      </c>
      <c r="AQ2362" s="122">
        <v>230</v>
      </c>
      <c r="AR2362" s="122">
        <v>8598</v>
      </c>
      <c r="AS2362" s="122">
        <v>7817</v>
      </c>
      <c r="AT2362" s="122">
        <v>0</v>
      </c>
      <c r="AU2362" s="122">
        <v>0</v>
      </c>
      <c r="AV2362" s="122">
        <v>52325</v>
      </c>
    </row>
    <row r="2363" spans="2:48" hidden="1">
      <c r="B2363" t="s">
        <v>379</v>
      </c>
      <c r="C2363" t="s">
        <v>56</v>
      </c>
      <c r="D2363" t="s">
        <v>137</v>
      </c>
      <c r="E2363" t="s">
        <v>137</v>
      </c>
      <c r="F2363" s="122">
        <v>11</v>
      </c>
      <c r="G2363" s="122">
        <v>2199</v>
      </c>
      <c r="H2363" s="122">
        <v>2301</v>
      </c>
      <c r="I2363" s="122">
        <v>313577</v>
      </c>
      <c r="J2363" s="122">
        <v>116140</v>
      </c>
      <c r="K2363" s="122">
        <v>132</v>
      </c>
      <c r="L2363" s="122">
        <v>27847</v>
      </c>
      <c r="M2363" s="122">
        <v>20622</v>
      </c>
      <c r="N2363" s="122">
        <v>54935</v>
      </c>
      <c r="O2363" s="122">
        <v>20346</v>
      </c>
      <c r="P2363" s="122">
        <v>1822</v>
      </c>
      <c r="Q2363" s="122">
        <v>675</v>
      </c>
      <c r="R2363" s="122">
        <v>95249</v>
      </c>
      <c r="S2363" s="122">
        <v>35277</v>
      </c>
      <c r="T2363" s="122">
        <v>0</v>
      </c>
      <c r="U2363" s="122">
        <v>0</v>
      </c>
      <c r="V2363" s="122">
        <v>193060</v>
      </c>
      <c r="W2363" s="122">
        <f t="shared" si="76"/>
        <v>193060</v>
      </c>
      <c r="X2363" s="122">
        <f t="shared" si="77"/>
        <v>493430</v>
      </c>
      <c r="AA2363" t="s">
        <v>64</v>
      </c>
      <c r="AB2363" t="s">
        <v>406</v>
      </c>
      <c r="AC2363" t="s">
        <v>429</v>
      </c>
      <c r="AD2363" t="s">
        <v>406</v>
      </c>
      <c r="AE2363" t="s">
        <v>137</v>
      </c>
      <c r="AF2363">
        <v>4</v>
      </c>
      <c r="AG2363">
        <v>399</v>
      </c>
      <c r="AH2363" s="122">
        <v>2361</v>
      </c>
      <c r="AI2363" s="122">
        <v>166667</v>
      </c>
      <c r="AJ2363" s="122">
        <v>151516</v>
      </c>
      <c r="AK2363">
        <v>77</v>
      </c>
      <c r="AL2363" s="122">
        <v>19052</v>
      </c>
      <c r="AM2363" s="122">
        <v>17320</v>
      </c>
      <c r="AN2363" s="122">
        <v>9502</v>
      </c>
      <c r="AO2363" s="122">
        <v>3519</v>
      </c>
      <c r="AP2363" s="122">
        <v>2938</v>
      </c>
      <c r="AQ2363" s="122">
        <v>1088</v>
      </c>
      <c r="AR2363" s="122">
        <v>18718</v>
      </c>
      <c r="AS2363" s="122">
        <v>17017</v>
      </c>
      <c r="AT2363" s="122">
        <v>12498</v>
      </c>
      <c r="AU2363" s="122">
        <v>4629</v>
      </c>
      <c r="AV2363" s="122">
        <v>195089</v>
      </c>
    </row>
    <row r="2364" spans="2:48" hidden="1">
      <c r="B2364" t="s">
        <v>379</v>
      </c>
      <c r="C2364" t="s">
        <v>56</v>
      </c>
      <c r="D2364" t="s">
        <v>406</v>
      </c>
      <c r="E2364" t="s">
        <v>555</v>
      </c>
      <c r="F2364" s="122">
        <v>1</v>
      </c>
      <c r="G2364" s="122">
        <v>169</v>
      </c>
      <c r="H2364" s="122">
        <v>185</v>
      </c>
      <c r="I2364" s="122">
        <v>15767</v>
      </c>
      <c r="J2364" s="122">
        <v>14334</v>
      </c>
      <c r="K2364" s="122">
        <v>85</v>
      </c>
      <c r="L2364" s="122">
        <v>4724</v>
      </c>
      <c r="M2364" s="122">
        <v>4295</v>
      </c>
      <c r="N2364" s="122">
        <v>4106</v>
      </c>
      <c r="O2364" s="122">
        <v>1521</v>
      </c>
      <c r="P2364" s="122">
        <v>621</v>
      </c>
      <c r="Q2364" s="122">
        <v>230</v>
      </c>
      <c r="R2364" s="122">
        <v>5938</v>
      </c>
      <c r="S2364" s="122">
        <v>5398</v>
      </c>
      <c r="T2364" s="122">
        <v>0</v>
      </c>
      <c r="U2364" s="122">
        <v>0</v>
      </c>
      <c r="V2364" s="122">
        <v>25777</v>
      </c>
      <c r="W2364" s="122">
        <f t="shared" si="76"/>
        <v>25778</v>
      </c>
      <c r="X2364" s="122">
        <f t="shared" si="77"/>
        <v>31156</v>
      </c>
      <c r="AA2364" t="s">
        <v>64</v>
      </c>
      <c r="AB2364" t="s">
        <v>427</v>
      </c>
      <c r="AC2364" t="s">
        <v>425</v>
      </c>
      <c r="AD2364" t="s">
        <v>427</v>
      </c>
      <c r="AE2364" t="s">
        <v>137</v>
      </c>
      <c r="AF2364">
        <v>2</v>
      </c>
      <c r="AG2364">
        <v>131</v>
      </c>
      <c r="AH2364" s="122">
        <v>1163</v>
      </c>
      <c r="AI2364" s="122">
        <v>50411</v>
      </c>
      <c r="AJ2364" s="122">
        <v>45829</v>
      </c>
      <c r="AK2364">
        <v>55</v>
      </c>
      <c r="AL2364" s="122">
        <v>5773</v>
      </c>
      <c r="AM2364" s="122">
        <v>5248</v>
      </c>
      <c r="AN2364" s="122">
        <v>2827</v>
      </c>
      <c r="AO2364" s="122">
        <v>1047</v>
      </c>
      <c r="AP2364">
        <v>702</v>
      </c>
      <c r="AQ2364">
        <v>260</v>
      </c>
      <c r="AR2364" s="122">
        <v>9466</v>
      </c>
      <c r="AS2364" s="122">
        <v>8605</v>
      </c>
      <c r="AT2364" s="122">
        <v>4507</v>
      </c>
      <c r="AU2364" s="122">
        <v>1669</v>
      </c>
      <c r="AV2364" s="122">
        <v>62659</v>
      </c>
    </row>
    <row r="2365" spans="2:48" hidden="1">
      <c r="B2365" t="s">
        <v>379</v>
      </c>
      <c r="C2365" t="s">
        <v>56</v>
      </c>
      <c r="D2365" t="s">
        <v>406</v>
      </c>
      <c r="E2365" t="s">
        <v>425</v>
      </c>
      <c r="F2365" s="122">
        <v>1</v>
      </c>
      <c r="G2365" s="122">
        <v>169</v>
      </c>
      <c r="H2365" s="122">
        <v>225</v>
      </c>
      <c r="I2365" s="122">
        <v>22955</v>
      </c>
      <c r="J2365" s="122">
        <v>20869</v>
      </c>
      <c r="K2365" s="122">
        <v>97</v>
      </c>
      <c r="L2365" s="122">
        <v>3729</v>
      </c>
      <c r="M2365" s="122">
        <v>3390</v>
      </c>
      <c r="N2365" s="122">
        <v>3948</v>
      </c>
      <c r="O2365" s="122">
        <v>1462</v>
      </c>
      <c r="P2365" s="122">
        <v>621</v>
      </c>
      <c r="Q2365" s="122">
        <v>230</v>
      </c>
      <c r="R2365" s="122">
        <v>6677</v>
      </c>
      <c r="S2365" s="122">
        <v>6070</v>
      </c>
      <c r="T2365" s="122">
        <v>0</v>
      </c>
      <c r="U2365" s="122">
        <v>0</v>
      </c>
      <c r="V2365" s="122">
        <v>32020</v>
      </c>
      <c r="W2365" s="122">
        <f t="shared" si="76"/>
        <v>32021</v>
      </c>
      <c r="X2365" s="122">
        <f t="shared" si="77"/>
        <v>37930</v>
      </c>
      <c r="AA2365" t="s">
        <v>64</v>
      </c>
      <c r="AB2365" t="s">
        <v>427</v>
      </c>
      <c r="AC2365" t="s">
        <v>137</v>
      </c>
      <c r="AD2365" t="s">
        <v>404</v>
      </c>
      <c r="AE2365" t="s">
        <v>137</v>
      </c>
      <c r="AF2365">
        <v>1</v>
      </c>
      <c r="AG2365">
        <v>73</v>
      </c>
      <c r="AH2365" s="122">
        <v>573</v>
      </c>
      <c r="AI2365" s="122">
        <v>30251</v>
      </c>
      <c r="AJ2365" s="122">
        <v>27501</v>
      </c>
      <c r="AK2365">
        <v>60</v>
      </c>
      <c r="AL2365" s="122">
        <v>4950</v>
      </c>
      <c r="AM2365" s="122">
        <v>1833</v>
      </c>
      <c r="AN2365" s="122">
        <v>1783</v>
      </c>
      <c r="AO2365" s="122">
        <v>660</v>
      </c>
      <c r="AP2365">
        <v>0</v>
      </c>
      <c r="AQ2365">
        <v>0</v>
      </c>
      <c r="AR2365" s="122">
        <v>3305</v>
      </c>
      <c r="AS2365" s="122">
        <v>1224</v>
      </c>
      <c r="AT2365" s="122">
        <v>1628</v>
      </c>
      <c r="AU2365">
        <v>603</v>
      </c>
      <c r="AV2365" s="122">
        <v>31822</v>
      </c>
    </row>
    <row r="2366" spans="2:48" hidden="1">
      <c r="B2366" t="s">
        <v>379</v>
      </c>
      <c r="C2366" t="s">
        <v>56</v>
      </c>
      <c r="D2366" t="s">
        <v>406</v>
      </c>
      <c r="E2366" t="s">
        <v>137</v>
      </c>
      <c r="F2366" s="122">
        <v>2</v>
      </c>
      <c r="G2366" s="122">
        <v>317</v>
      </c>
      <c r="H2366" s="122">
        <v>393</v>
      </c>
      <c r="I2366" s="122">
        <v>30106</v>
      </c>
      <c r="J2366" s="122">
        <v>27369</v>
      </c>
      <c r="K2366" s="122">
        <v>89</v>
      </c>
      <c r="L2366" s="122">
        <v>7051</v>
      </c>
      <c r="M2366" s="122">
        <v>6410</v>
      </c>
      <c r="N2366" s="122">
        <v>6562</v>
      </c>
      <c r="O2366" s="122">
        <v>2430</v>
      </c>
      <c r="P2366" s="122">
        <v>1242</v>
      </c>
      <c r="Q2366" s="122">
        <v>460</v>
      </c>
      <c r="R2366" s="122">
        <v>15369</v>
      </c>
      <c r="S2366" s="122">
        <v>5692</v>
      </c>
      <c r="T2366" s="122">
        <v>0</v>
      </c>
      <c r="U2366" s="122">
        <v>0</v>
      </c>
      <c r="V2366" s="122">
        <v>42361</v>
      </c>
      <c r="W2366" s="122">
        <f t="shared" si="76"/>
        <v>42361</v>
      </c>
      <c r="X2366" s="122">
        <f t="shared" si="77"/>
        <v>60330</v>
      </c>
      <c r="AA2366" t="s">
        <v>64</v>
      </c>
      <c r="AB2366" t="s">
        <v>427</v>
      </c>
      <c r="AC2366" t="s">
        <v>137</v>
      </c>
      <c r="AD2366" t="s">
        <v>137</v>
      </c>
      <c r="AE2366" t="s">
        <v>137</v>
      </c>
      <c r="AF2366">
        <v>7</v>
      </c>
      <c r="AG2366" s="122">
        <v>470</v>
      </c>
      <c r="AH2366" s="122">
        <v>8667</v>
      </c>
      <c r="AI2366" s="122">
        <v>455090</v>
      </c>
      <c r="AJ2366" s="122">
        <v>413718</v>
      </c>
      <c r="AK2366">
        <v>34</v>
      </c>
      <c r="AL2366" s="122">
        <v>49388</v>
      </c>
      <c r="AM2366" s="122">
        <v>18292</v>
      </c>
      <c r="AN2366" s="122">
        <v>11621</v>
      </c>
      <c r="AO2366" s="122">
        <v>4304</v>
      </c>
      <c r="AP2366" s="122">
        <v>0</v>
      </c>
      <c r="AQ2366" s="122">
        <v>0</v>
      </c>
      <c r="AR2366" s="122">
        <v>61936</v>
      </c>
      <c r="AS2366" s="122">
        <v>22939</v>
      </c>
      <c r="AT2366" s="122">
        <v>2000</v>
      </c>
      <c r="AU2366">
        <v>741</v>
      </c>
      <c r="AV2366" s="122">
        <v>459994</v>
      </c>
    </row>
    <row r="2367" spans="2:48" hidden="1">
      <c r="B2367" t="s">
        <v>379</v>
      </c>
      <c r="C2367" t="s">
        <v>56</v>
      </c>
      <c r="D2367" t="s">
        <v>406</v>
      </c>
      <c r="E2367" t="s">
        <v>406</v>
      </c>
      <c r="F2367" s="122">
        <v>1141</v>
      </c>
      <c r="G2367" s="122">
        <v>199595</v>
      </c>
      <c r="H2367" s="122">
        <v>215071</v>
      </c>
      <c r="I2367" s="122">
        <v>21570002</v>
      </c>
      <c r="J2367" s="122">
        <v>19609093</v>
      </c>
      <c r="K2367" s="122">
        <v>84</v>
      </c>
      <c r="L2367" s="122">
        <v>4821591</v>
      </c>
      <c r="M2367" s="122">
        <v>4255025</v>
      </c>
      <c r="N2367" s="122">
        <v>4221453</v>
      </c>
      <c r="O2367" s="122">
        <v>1563501</v>
      </c>
      <c r="P2367" s="122">
        <v>739307</v>
      </c>
      <c r="Q2367" s="122">
        <v>273817</v>
      </c>
      <c r="R2367" s="122">
        <v>6500269</v>
      </c>
      <c r="S2367" s="122">
        <v>5909335</v>
      </c>
      <c r="T2367" s="122">
        <v>1257023</v>
      </c>
      <c r="U2367" s="122">
        <v>465564</v>
      </c>
      <c r="V2367" s="122">
        <v>32076336</v>
      </c>
      <c r="W2367" s="122">
        <f t="shared" si="76"/>
        <v>32076335</v>
      </c>
      <c r="X2367" s="122">
        <f t="shared" si="77"/>
        <v>39109645</v>
      </c>
      <c r="AA2367" t="s">
        <v>64</v>
      </c>
      <c r="AB2367" t="s">
        <v>427</v>
      </c>
      <c r="AC2367" t="s">
        <v>137</v>
      </c>
      <c r="AD2367" t="s">
        <v>137</v>
      </c>
      <c r="AE2367" t="s">
        <v>566</v>
      </c>
      <c r="AF2367">
        <v>68</v>
      </c>
      <c r="AG2367" s="122">
        <v>5530</v>
      </c>
      <c r="AH2367" s="122">
        <v>77037</v>
      </c>
      <c r="AI2367" s="122">
        <v>4883348</v>
      </c>
      <c r="AJ2367" s="122">
        <v>4439407</v>
      </c>
      <c r="AK2367">
        <v>39</v>
      </c>
      <c r="AL2367" s="122">
        <v>598758</v>
      </c>
      <c r="AM2367" s="122">
        <v>221762</v>
      </c>
      <c r="AN2367" s="122">
        <v>131632</v>
      </c>
      <c r="AO2367" s="122">
        <v>48753</v>
      </c>
      <c r="AP2367" s="122">
        <v>3159</v>
      </c>
      <c r="AQ2367" s="122">
        <v>1170</v>
      </c>
      <c r="AR2367" s="122">
        <v>475767</v>
      </c>
      <c r="AS2367" s="122">
        <v>176210</v>
      </c>
      <c r="AT2367" s="122">
        <v>0</v>
      </c>
      <c r="AU2367" s="122">
        <v>0</v>
      </c>
      <c r="AV2367" s="122">
        <v>4887302</v>
      </c>
    </row>
    <row r="2368" spans="2:48" hidden="1">
      <c r="B2368" t="s">
        <v>379</v>
      </c>
      <c r="C2368" t="s">
        <v>56</v>
      </c>
      <c r="D2368" t="s">
        <v>406</v>
      </c>
      <c r="E2368" t="s">
        <v>427</v>
      </c>
      <c r="F2368" s="122">
        <v>1</v>
      </c>
      <c r="G2368" s="122">
        <v>97</v>
      </c>
      <c r="H2368" s="122">
        <v>177</v>
      </c>
      <c r="I2368" s="122">
        <v>9203</v>
      </c>
      <c r="J2368" s="122">
        <v>8366</v>
      </c>
      <c r="K2368" s="122">
        <v>93</v>
      </c>
      <c r="L2368" s="122">
        <v>2385</v>
      </c>
      <c r="M2368" s="122">
        <v>2168</v>
      </c>
      <c r="N2368" s="122">
        <v>1185</v>
      </c>
      <c r="O2368" s="122">
        <v>439</v>
      </c>
      <c r="P2368" s="122">
        <v>621</v>
      </c>
      <c r="Q2368" s="122">
        <v>230</v>
      </c>
      <c r="R2368" s="122">
        <v>3803</v>
      </c>
      <c r="S2368" s="122">
        <v>3457</v>
      </c>
      <c r="T2368" s="122">
        <v>0</v>
      </c>
      <c r="U2368" s="122">
        <v>0</v>
      </c>
      <c r="V2368" s="122">
        <v>14660</v>
      </c>
      <c r="W2368" s="122">
        <f t="shared" si="76"/>
        <v>14660</v>
      </c>
      <c r="X2368" s="122">
        <f t="shared" si="77"/>
        <v>17197</v>
      </c>
      <c r="AA2368" t="s">
        <v>64</v>
      </c>
      <c r="AB2368" t="s">
        <v>427</v>
      </c>
      <c r="AC2368" t="s">
        <v>137</v>
      </c>
      <c r="AD2368" t="s">
        <v>406</v>
      </c>
      <c r="AE2368" t="s">
        <v>137</v>
      </c>
      <c r="AF2368">
        <v>2</v>
      </c>
      <c r="AG2368" s="122">
        <v>220</v>
      </c>
      <c r="AH2368" s="122">
        <v>1358</v>
      </c>
      <c r="AI2368" s="122">
        <v>141386</v>
      </c>
      <c r="AJ2368" s="122">
        <v>128532</v>
      </c>
      <c r="AK2368">
        <v>43</v>
      </c>
      <c r="AL2368" s="122">
        <v>12357</v>
      </c>
      <c r="AM2368" s="122">
        <v>4577</v>
      </c>
      <c r="AN2368" s="122">
        <v>4522</v>
      </c>
      <c r="AO2368" s="122">
        <v>1675</v>
      </c>
      <c r="AP2368" s="122">
        <v>621</v>
      </c>
      <c r="AQ2368" s="122">
        <v>230</v>
      </c>
      <c r="AR2368" s="122">
        <v>11696</v>
      </c>
      <c r="AS2368" s="122">
        <v>10633</v>
      </c>
      <c r="AT2368" s="122">
        <v>5769</v>
      </c>
      <c r="AU2368" s="122">
        <v>2137</v>
      </c>
      <c r="AV2368" s="122">
        <v>147784</v>
      </c>
    </row>
    <row r="2369" spans="2:48" hidden="1">
      <c r="B2369" t="s">
        <v>379</v>
      </c>
      <c r="C2369" t="s">
        <v>56</v>
      </c>
      <c r="D2369" t="s">
        <v>406</v>
      </c>
      <c r="E2369" t="s">
        <v>426</v>
      </c>
      <c r="F2369" s="122">
        <v>2</v>
      </c>
      <c r="G2369" s="122">
        <v>437</v>
      </c>
      <c r="H2369" s="122">
        <v>376</v>
      </c>
      <c r="I2369" s="122">
        <v>44287</v>
      </c>
      <c r="J2369" s="122">
        <v>40261</v>
      </c>
      <c r="K2369" s="122">
        <v>82</v>
      </c>
      <c r="L2369" s="122">
        <v>8798</v>
      </c>
      <c r="M2369" s="122">
        <v>7998</v>
      </c>
      <c r="N2369" s="122">
        <v>9636</v>
      </c>
      <c r="O2369" s="122">
        <v>3569</v>
      </c>
      <c r="P2369" s="122">
        <v>1242</v>
      </c>
      <c r="Q2369" s="122">
        <v>460</v>
      </c>
      <c r="R2369" s="122">
        <v>16224</v>
      </c>
      <c r="S2369" s="122">
        <v>14750</v>
      </c>
      <c r="T2369" s="122">
        <v>0</v>
      </c>
      <c r="U2369" s="122">
        <v>0</v>
      </c>
      <c r="V2369" s="122">
        <v>67038</v>
      </c>
      <c r="W2369" s="122">
        <f t="shared" si="76"/>
        <v>67038</v>
      </c>
      <c r="X2369" s="122">
        <f t="shared" si="77"/>
        <v>80187</v>
      </c>
      <c r="AA2369" t="s">
        <v>64</v>
      </c>
      <c r="AB2369" t="s">
        <v>427</v>
      </c>
      <c r="AC2369" t="s">
        <v>137</v>
      </c>
      <c r="AD2369" t="s">
        <v>427</v>
      </c>
      <c r="AE2369" t="s">
        <v>137</v>
      </c>
      <c r="AF2369">
        <v>48</v>
      </c>
      <c r="AG2369" s="122">
        <v>3779</v>
      </c>
      <c r="AH2369" s="122">
        <v>33736</v>
      </c>
      <c r="AI2369" s="122">
        <v>1851538</v>
      </c>
      <c r="AJ2369" s="122">
        <v>1683217</v>
      </c>
      <c r="AK2369">
        <v>56</v>
      </c>
      <c r="AL2369" s="122">
        <v>369184</v>
      </c>
      <c r="AM2369" s="122">
        <v>136735</v>
      </c>
      <c r="AN2369" s="122">
        <v>86654</v>
      </c>
      <c r="AO2369" s="122">
        <v>32094</v>
      </c>
      <c r="AP2369" s="122">
        <v>13338</v>
      </c>
      <c r="AQ2369" s="122">
        <v>4940</v>
      </c>
      <c r="AR2369" s="122">
        <v>244914</v>
      </c>
      <c r="AS2369" s="122">
        <v>222649</v>
      </c>
      <c r="AT2369" s="122">
        <v>103946</v>
      </c>
      <c r="AU2369" s="122">
        <v>38499</v>
      </c>
      <c r="AV2369" s="122">
        <v>2118133</v>
      </c>
    </row>
    <row r="2370" spans="2:48" hidden="1">
      <c r="B2370" t="s">
        <v>379</v>
      </c>
      <c r="C2370" t="s">
        <v>56</v>
      </c>
      <c r="D2370" t="s">
        <v>407</v>
      </c>
      <c r="E2370" t="s">
        <v>407</v>
      </c>
      <c r="F2370" s="122">
        <v>50</v>
      </c>
      <c r="G2370" s="122">
        <v>7632</v>
      </c>
      <c r="H2370" s="122">
        <v>9478</v>
      </c>
      <c r="I2370" s="122">
        <v>778951</v>
      </c>
      <c r="J2370" s="122">
        <v>708137</v>
      </c>
      <c r="K2370" s="122">
        <v>85</v>
      </c>
      <c r="L2370" s="122">
        <v>191574</v>
      </c>
      <c r="M2370" s="122">
        <v>163280</v>
      </c>
      <c r="N2370" s="122">
        <v>154727</v>
      </c>
      <c r="O2370" s="122">
        <v>57306</v>
      </c>
      <c r="P2370" s="122">
        <v>23895</v>
      </c>
      <c r="Q2370" s="122">
        <v>8850</v>
      </c>
      <c r="R2370" s="122">
        <v>265657</v>
      </c>
      <c r="S2370" s="122">
        <v>241506</v>
      </c>
      <c r="T2370" s="122">
        <v>20962</v>
      </c>
      <c r="U2370" s="122">
        <v>7764</v>
      </c>
      <c r="V2370" s="122">
        <v>1186843</v>
      </c>
      <c r="W2370" s="122">
        <f t="shared" si="76"/>
        <v>1186843</v>
      </c>
      <c r="X2370" s="122">
        <f t="shared" si="77"/>
        <v>1435766</v>
      </c>
      <c r="AA2370" t="s">
        <v>64</v>
      </c>
      <c r="AB2370" t="s">
        <v>427</v>
      </c>
      <c r="AC2370" t="s">
        <v>137</v>
      </c>
      <c r="AD2370" t="s">
        <v>427</v>
      </c>
      <c r="AE2370" t="s">
        <v>566</v>
      </c>
      <c r="AF2370">
        <v>12</v>
      </c>
      <c r="AG2370">
        <v>862</v>
      </c>
      <c r="AH2370" s="122">
        <v>8438</v>
      </c>
      <c r="AI2370" s="122">
        <v>442047</v>
      </c>
      <c r="AJ2370" s="122">
        <v>401861</v>
      </c>
      <c r="AK2370">
        <v>53</v>
      </c>
      <c r="AL2370" s="122">
        <v>92507</v>
      </c>
      <c r="AM2370" s="122">
        <v>34262</v>
      </c>
      <c r="AN2370" s="122">
        <v>20079</v>
      </c>
      <c r="AO2370" s="122">
        <v>7437</v>
      </c>
      <c r="AP2370" s="122">
        <v>3510</v>
      </c>
      <c r="AQ2370" s="122">
        <v>1300</v>
      </c>
      <c r="AR2370" s="122">
        <v>96388</v>
      </c>
      <c r="AS2370" s="122">
        <v>87626</v>
      </c>
      <c r="AT2370">
        <v>0</v>
      </c>
      <c r="AU2370">
        <v>0</v>
      </c>
      <c r="AV2370" s="122">
        <v>532486</v>
      </c>
    </row>
    <row r="2371" spans="2:48" hidden="1">
      <c r="B2371" t="s">
        <v>379</v>
      </c>
      <c r="C2371" t="s">
        <v>56</v>
      </c>
      <c r="D2371" t="s">
        <v>426</v>
      </c>
      <c r="E2371" t="s">
        <v>426</v>
      </c>
      <c r="F2371" s="122">
        <v>5</v>
      </c>
      <c r="G2371" s="122">
        <v>1227</v>
      </c>
      <c r="H2371" s="122">
        <v>997</v>
      </c>
      <c r="I2371" s="122">
        <v>159245</v>
      </c>
      <c r="J2371" s="122">
        <v>144768</v>
      </c>
      <c r="K2371" s="122">
        <v>65</v>
      </c>
      <c r="L2371" s="122">
        <v>14066</v>
      </c>
      <c r="M2371" s="122">
        <v>12787</v>
      </c>
      <c r="N2371" s="122">
        <v>19126</v>
      </c>
      <c r="O2371" s="122">
        <v>7084</v>
      </c>
      <c r="P2371" s="122">
        <v>2565</v>
      </c>
      <c r="Q2371" s="122">
        <v>950</v>
      </c>
      <c r="R2371" s="122">
        <v>29926</v>
      </c>
      <c r="S2371" s="122">
        <v>27206</v>
      </c>
      <c r="T2371" s="122">
        <v>15660</v>
      </c>
      <c r="U2371" s="122">
        <v>5800</v>
      </c>
      <c r="V2371" s="122">
        <v>198594</v>
      </c>
      <c r="W2371" s="122">
        <f t="shared" si="76"/>
        <v>198595</v>
      </c>
      <c r="X2371" s="122">
        <f t="shared" si="77"/>
        <v>240588</v>
      </c>
      <c r="AA2371" t="s">
        <v>64</v>
      </c>
      <c r="AB2371" t="s">
        <v>427</v>
      </c>
      <c r="AC2371" t="s">
        <v>580</v>
      </c>
      <c r="AD2371" t="s">
        <v>137</v>
      </c>
      <c r="AE2371" t="s">
        <v>566</v>
      </c>
      <c r="AF2371">
        <v>2</v>
      </c>
      <c r="AG2371">
        <v>288</v>
      </c>
      <c r="AH2371" s="122">
        <v>1577</v>
      </c>
      <c r="AI2371" s="122">
        <v>197558</v>
      </c>
      <c r="AJ2371" s="122">
        <v>179598</v>
      </c>
      <c r="AK2371">
        <v>30</v>
      </c>
      <c r="AL2371" s="122">
        <v>7926</v>
      </c>
      <c r="AM2371" s="122">
        <v>7205</v>
      </c>
      <c r="AN2371" s="122">
        <v>5457</v>
      </c>
      <c r="AO2371" s="122">
        <v>2021</v>
      </c>
      <c r="AP2371">
        <v>621</v>
      </c>
      <c r="AQ2371">
        <v>230</v>
      </c>
      <c r="AR2371" s="122">
        <v>14032</v>
      </c>
      <c r="AS2371" s="122">
        <v>5197</v>
      </c>
      <c r="AT2371" s="122">
        <v>0</v>
      </c>
      <c r="AU2371">
        <v>0</v>
      </c>
      <c r="AV2371" s="122">
        <v>194252</v>
      </c>
    </row>
    <row r="2372" spans="2:48" hidden="1">
      <c r="B2372" t="s">
        <v>379</v>
      </c>
      <c r="C2372" t="s">
        <v>56</v>
      </c>
      <c r="D2372" t="s">
        <v>481</v>
      </c>
      <c r="E2372" t="s">
        <v>481</v>
      </c>
      <c r="F2372" s="122">
        <v>1</v>
      </c>
      <c r="G2372" s="122">
        <v>229</v>
      </c>
      <c r="H2372" s="122">
        <v>179</v>
      </c>
      <c r="I2372" s="122">
        <v>21356</v>
      </c>
      <c r="J2372" s="122">
        <v>19415</v>
      </c>
      <c r="K2372" s="122">
        <v>65</v>
      </c>
      <c r="L2372" s="122">
        <v>5141</v>
      </c>
      <c r="M2372" s="122">
        <v>4674</v>
      </c>
      <c r="N2372" s="122">
        <v>5581</v>
      </c>
      <c r="O2372" s="122">
        <v>2067</v>
      </c>
      <c r="P2372" s="122">
        <v>351</v>
      </c>
      <c r="Q2372" s="122">
        <v>130</v>
      </c>
      <c r="R2372" s="122">
        <v>8456</v>
      </c>
      <c r="S2372" s="122">
        <v>7687</v>
      </c>
      <c r="T2372" s="122">
        <v>0</v>
      </c>
      <c r="U2372" s="122">
        <v>0</v>
      </c>
      <c r="V2372" s="122">
        <v>33973</v>
      </c>
      <c r="W2372" s="122">
        <f t="shared" si="76"/>
        <v>33973</v>
      </c>
      <c r="X2372" s="122">
        <f t="shared" si="77"/>
        <v>40885</v>
      </c>
      <c r="AA2372" t="s">
        <v>64</v>
      </c>
      <c r="AB2372" t="s">
        <v>427</v>
      </c>
      <c r="AC2372" t="s">
        <v>580</v>
      </c>
      <c r="AD2372" t="s">
        <v>406</v>
      </c>
      <c r="AE2372" t="s">
        <v>137</v>
      </c>
      <c r="AF2372">
        <v>1</v>
      </c>
      <c r="AG2372">
        <v>116</v>
      </c>
      <c r="AH2372" s="122">
        <v>1181</v>
      </c>
      <c r="AI2372" s="122">
        <v>121251</v>
      </c>
      <c r="AJ2372" s="122">
        <v>110228</v>
      </c>
      <c r="AK2372">
        <v>30</v>
      </c>
      <c r="AL2372" s="122">
        <v>6736</v>
      </c>
      <c r="AM2372" s="122">
        <v>6124</v>
      </c>
      <c r="AN2372" s="122">
        <v>2765</v>
      </c>
      <c r="AO2372" s="122">
        <v>1024</v>
      </c>
      <c r="AP2372" s="122">
        <v>0</v>
      </c>
      <c r="AQ2372">
        <v>0</v>
      </c>
      <c r="AR2372" s="122">
        <v>4512</v>
      </c>
      <c r="AS2372" s="122">
        <v>4102</v>
      </c>
      <c r="AT2372" s="122">
        <v>2186</v>
      </c>
      <c r="AU2372" s="122">
        <v>810</v>
      </c>
      <c r="AV2372" s="122">
        <v>122288</v>
      </c>
    </row>
    <row r="2373" spans="2:48" hidden="1">
      <c r="B2373" t="s">
        <v>379</v>
      </c>
      <c r="C2373" t="s">
        <v>56</v>
      </c>
      <c r="D2373" t="s">
        <v>433</v>
      </c>
      <c r="E2373" t="s">
        <v>433</v>
      </c>
      <c r="F2373" s="122">
        <v>1</v>
      </c>
      <c r="G2373" s="122">
        <v>229</v>
      </c>
      <c r="H2373" s="122">
        <v>208</v>
      </c>
      <c r="I2373" s="122">
        <v>32114</v>
      </c>
      <c r="J2373" s="122">
        <v>29195</v>
      </c>
      <c r="K2373" s="122">
        <v>60</v>
      </c>
      <c r="L2373" s="122">
        <v>7137</v>
      </c>
      <c r="M2373" s="122">
        <v>6488</v>
      </c>
      <c r="N2373" s="122">
        <v>3230</v>
      </c>
      <c r="O2373" s="122">
        <v>1196</v>
      </c>
      <c r="P2373" s="122">
        <v>351</v>
      </c>
      <c r="Q2373" s="122">
        <v>130</v>
      </c>
      <c r="R2373" s="122">
        <v>4779</v>
      </c>
      <c r="S2373" s="122">
        <v>4344</v>
      </c>
      <c r="T2373" s="122">
        <v>0</v>
      </c>
      <c r="U2373" s="122">
        <v>0</v>
      </c>
      <c r="V2373" s="122">
        <v>41353</v>
      </c>
      <c r="W2373" s="122">
        <f t="shared" si="76"/>
        <v>41353</v>
      </c>
      <c r="X2373" s="122">
        <f t="shared" si="77"/>
        <v>47611</v>
      </c>
      <c r="AA2373" t="s">
        <v>64</v>
      </c>
      <c r="AB2373" t="s">
        <v>427</v>
      </c>
      <c r="AC2373" t="s">
        <v>580</v>
      </c>
      <c r="AD2373" t="s">
        <v>427</v>
      </c>
      <c r="AE2373" t="s">
        <v>137</v>
      </c>
      <c r="AF2373">
        <v>4</v>
      </c>
      <c r="AG2373">
        <v>364</v>
      </c>
      <c r="AH2373" s="122">
        <v>2165</v>
      </c>
      <c r="AI2373" s="122">
        <v>141152</v>
      </c>
      <c r="AJ2373" s="122">
        <v>128320</v>
      </c>
      <c r="AK2373">
        <v>60</v>
      </c>
      <c r="AL2373" s="122">
        <v>18808</v>
      </c>
      <c r="AM2373" s="122">
        <v>17098</v>
      </c>
      <c r="AN2373" s="122">
        <v>8467</v>
      </c>
      <c r="AO2373" s="122">
        <v>3136</v>
      </c>
      <c r="AP2373" s="122">
        <v>1593</v>
      </c>
      <c r="AQ2373">
        <v>590</v>
      </c>
      <c r="AR2373" s="122">
        <v>18613</v>
      </c>
      <c r="AS2373" s="122">
        <v>16921</v>
      </c>
      <c r="AT2373" s="122">
        <v>6503</v>
      </c>
      <c r="AU2373" s="122">
        <v>2408</v>
      </c>
      <c r="AV2373" s="122">
        <v>168473</v>
      </c>
    </row>
    <row r="2374" spans="2:48" hidden="1">
      <c r="B2374" t="s">
        <v>379</v>
      </c>
      <c r="C2374" t="s">
        <v>56</v>
      </c>
      <c r="D2374" t="s">
        <v>408</v>
      </c>
      <c r="E2374" t="s">
        <v>408</v>
      </c>
      <c r="F2374" s="122">
        <v>4</v>
      </c>
      <c r="G2374" s="122">
        <v>1018</v>
      </c>
      <c r="H2374" s="122">
        <v>726</v>
      </c>
      <c r="I2374" s="122">
        <v>126526</v>
      </c>
      <c r="J2374" s="122">
        <v>115023</v>
      </c>
      <c r="K2374" s="122">
        <v>65</v>
      </c>
      <c r="L2374" s="122">
        <v>14736</v>
      </c>
      <c r="M2374" s="122">
        <v>13397</v>
      </c>
      <c r="N2374" s="122">
        <v>24584</v>
      </c>
      <c r="O2374" s="122">
        <v>9105</v>
      </c>
      <c r="P2374" s="122">
        <v>1404</v>
      </c>
      <c r="Q2374" s="122">
        <v>520</v>
      </c>
      <c r="R2374" s="122">
        <v>35086</v>
      </c>
      <c r="S2374" s="122">
        <v>31897</v>
      </c>
      <c r="T2374" s="122">
        <v>0</v>
      </c>
      <c r="U2374" s="122">
        <v>0</v>
      </c>
      <c r="V2374" s="122">
        <v>169942</v>
      </c>
      <c r="W2374" s="122">
        <f t="shared" si="76"/>
        <v>169942</v>
      </c>
      <c r="X2374" s="122">
        <f t="shared" si="77"/>
        <v>202336</v>
      </c>
      <c r="AA2374" t="s">
        <v>64</v>
      </c>
      <c r="AB2374" t="s">
        <v>427</v>
      </c>
      <c r="AC2374" t="s">
        <v>427</v>
      </c>
      <c r="AD2374" t="s">
        <v>137</v>
      </c>
      <c r="AE2374" t="s">
        <v>137</v>
      </c>
      <c r="AF2374">
        <v>5</v>
      </c>
      <c r="AG2374" s="122">
        <v>424</v>
      </c>
      <c r="AH2374" s="122">
        <v>5528</v>
      </c>
      <c r="AI2374" s="122">
        <v>376202</v>
      </c>
      <c r="AJ2374" s="122">
        <v>342002</v>
      </c>
      <c r="AK2374">
        <v>42</v>
      </c>
      <c r="AL2374" s="122">
        <v>42927</v>
      </c>
      <c r="AM2374" s="122">
        <v>39025</v>
      </c>
      <c r="AN2374" s="122">
        <v>10112</v>
      </c>
      <c r="AO2374" s="122">
        <v>3745</v>
      </c>
      <c r="AP2374" s="122">
        <v>351</v>
      </c>
      <c r="AQ2374" s="122">
        <v>130</v>
      </c>
      <c r="AR2374" s="122">
        <v>42341</v>
      </c>
      <c r="AS2374" s="122">
        <v>15682</v>
      </c>
      <c r="AT2374" s="122">
        <v>1196</v>
      </c>
      <c r="AU2374">
        <v>443</v>
      </c>
      <c r="AV2374" s="122">
        <v>401027</v>
      </c>
    </row>
    <row r="2375" spans="2:48" hidden="1">
      <c r="B2375" t="s">
        <v>379</v>
      </c>
      <c r="C2375" t="s">
        <v>56</v>
      </c>
      <c r="D2375" t="s">
        <v>408</v>
      </c>
      <c r="E2375" t="s">
        <v>429</v>
      </c>
      <c r="F2375" s="122">
        <v>1</v>
      </c>
      <c r="G2375" s="122">
        <v>266</v>
      </c>
      <c r="H2375" s="122">
        <v>181</v>
      </c>
      <c r="I2375" s="122">
        <v>25656</v>
      </c>
      <c r="J2375" s="122">
        <v>23324</v>
      </c>
      <c r="K2375" s="122">
        <v>65</v>
      </c>
      <c r="L2375" s="122">
        <v>6176</v>
      </c>
      <c r="M2375" s="122">
        <v>5615</v>
      </c>
      <c r="N2375" s="122">
        <v>6481</v>
      </c>
      <c r="O2375" s="122">
        <v>2400</v>
      </c>
      <c r="P2375" s="122">
        <v>351</v>
      </c>
      <c r="Q2375" s="122">
        <v>130</v>
      </c>
      <c r="R2375" s="122">
        <v>9591</v>
      </c>
      <c r="S2375" s="122">
        <v>8719</v>
      </c>
      <c r="T2375" s="122">
        <v>0</v>
      </c>
      <c r="U2375" s="122">
        <v>0</v>
      </c>
      <c r="V2375" s="122">
        <v>40188</v>
      </c>
      <c r="W2375" s="122">
        <f t="shared" si="76"/>
        <v>40188</v>
      </c>
      <c r="X2375" s="122">
        <f t="shared" si="77"/>
        <v>48255</v>
      </c>
      <c r="AA2375" t="s">
        <v>64</v>
      </c>
      <c r="AB2375" t="s">
        <v>427</v>
      </c>
      <c r="AC2375" t="s">
        <v>427</v>
      </c>
      <c r="AD2375" t="s">
        <v>137</v>
      </c>
      <c r="AE2375" t="s">
        <v>566</v>
      </c>
      <c r="AF2375">
        <v>29</v>
      </c>
      <c r="AG2375" s="122">
        <v>3634</v>
      </c>
      <c r="AH2375" s="122">
        <v>33668</v>
      </c>
      <c r="AI2375" s="122">
        <v>2699710</v>
      </c>
      <c r="AJ2375" s="122">
        <v>2454282</v>
      </c>
      <c r="AK2375">
        <v>42</v>
      </c>
      <c r="AL2375" s="122">
        <v>381385</v>
      </c>
      <c r="AM2375" s="122">
        <v>346713</v>
      </c>
      <c r="AN2375" s="122">
        <v>85524</v>
      </c>
      <c r="AO2375" s="122">
        <v>31676</v>
      </c>
      <c r="AP2375" s="122">
        <v>2808</v>
      </c>
      <c r="AQ2375" s="122">
        <v>1040</v>
      </c>
      <c r="AR2375" s="122">
        <v>277148</v>
      </c>
      <c r="AS2375" s="122">
        <v>102647</v>
      </c>
      <c r="AT2375" s="122">
        <v>0</v>
      </c>
      <c r="AU2375" s="122">
        <v>0</v>
      </c>
      <c r="AV2375" s="122">
        <v>2936358</v>
      </c>
    </row>
    <row r="2376" spans="2:48" hidden="1">
      <c r="B2376" t="s">
        <v>379</v>
      </c>
      <c r="C2376" t="s">
        <v>58</v>
      </c>
      <c r="F2376" s="122">
        <v>1</v>
      </c>
      <c r="G2376" s="122">
        <v>43</v>
      </c>
      <c r="H2376" s="122">
        <v>298</v>
      </c>
      <c r="I2376" s="122"/>
      <c r="J2376" s="122">
        <v>0</v>
      </c>
      <c r="K2376" s="122"/>
      <c r="L2376" s="122"/>
      <c r="M2376" s="122">
        <v>0</v>
      </c>
      <c r="N2376" s="122">
        <v>631</v>
      </c>
      <c r="O2376" s="122">
        <v>234</v>
      </c>
      <c r="P2376" s="122">
        <v>0</v>
      </c>
      <c r="Q2376" s="122">
        <v>0</v>
      </c>
      <c r="R2376" s="122"/>
      <c r="S2376" s="122">
        <v>0</v>
      </c>
      <c r="T2376" s="122">
        <v>1557</v>
      </c>
      <c r="U2376" s="122">
        <v>577</v>
      </c>
      <c r="V2376" s="122">
        <v>811</v>
      </c>
      <c r="W2376" s="122">
        <f t="shared" si="76"/>
        <v>811</v>
      </c>
      <c r="X2376" s="122">
        <f t="shared" si="77"/>
        <v>2188</v>
      </c>
      <c r="AA2376" t="s">
        <v>64</v>
      </c>
      <c r="AB2376" t="s">
        <v>427</v>
      </c>
      <c r="AC2376" t="s">
        <v>427</v>
      </c>
      <c r="AD2376" t="s">
        <v>406</v>
      </c>
      <c r="AE2376" t="s">
        <v>137</v>
      </c>
      <c r="AF2376">
        <v>4</v>
      </c>
      <c r="AG2376" s="122">
        <v>359</v>
      </c>
      <c r="AH2376" s="122">
        <v>2621</v>
      </c>
      <c r="AI2376" s="122">
        <v>159540</v>
      </c>
      <c r="AJ2376" s="122">
        <v>145036</v>
      </c>
      <c r="AK2376">
        <v>48</v>
      </c>
      <c r="AL2376" s="122">
        <v>28003</v>
      </c>
      <c r="AM2376" s="122">
        <v>25457</v>
      </c>
      <c r="AN2376" s="122">
        <v>6966</v>
      </c>
      <c r="AO2376" s="122">
        <v>2580</v>
      </c>
      <c r="AP2376" s="122">
        <v>1404</v>
      </c>
      <c r="AQ2376" s="122">
        <v>520</v>
      </c>
      <c r="AR2376" s="122">
        <v>28997</v>
      </c>
      <c r="AS2376" s="122">
        <v>26361</v>
      </c>
      <c r="AT2376" s="122">
        <v>7278</v>
      </c>
      <c r="AU2376" s="122">
        <v>2696</v>
      </c>
      <c r="AV2376" s="122">
        <v>202649</v>
      </c>
    </row>
    <row r="2377" spans="2:48" hidden="1">
      <c r="B2377" t="s">
        <v>379</v>
      </c>
      <c r="C2377" t="s">
        <v>58</v>
      </c>
      <c r="D2377" t="s">
        <v>425</v>
      </c>
      <c r="E2377" t="s">
        <v>425</v>
      </c>
      <c r="F2377" s="122">
        <v>1</v>
      </c>
      <c r="G2377" s="122">
        <v>134</v>
      </c>
      <c r="H2377" s="122">
        <v>225</v>
      </c>
      <c r="I2377" s="122">
        <v>17766</v>
      </c>
      <c r="J2377" s="122">
        <v>16151</v>
      </c>
      <c r="K2377" s="122">
        <v>83</v>
      </c>
      <c r="L2377" s="122">
        <v>2393</v>
      </c>
      <c r="M2377" s="122">
        <v>2176</v>
      </c>
      <c r="N2377" s="122">
        <v>2614</v>
      </c>
      <c r="O2377" s="122">
        <v>968</v>
      </c>
      <c r="P2377" s="122">
        <v>473</v>
      </c>
      <c r="Q2377" s="122">
        <v>175</v>
      </c>
      <c r="R2377" s="122">
        <v>4121</v>
      </c>
      <c r="S2377" s="122">
        <v>3746</v>
      </c>
      <c r="T2377" s="122">
        <v>2841</v>
      </c>
      <c r="U2377" s="122">
        <v>1052</v>
      </c>
      <c r="V2377" s="122">
        <v>24268</v>
      </c>
      <c r="W2377" s="122">
        <f t="shared" si="76"/>
        <v>24268</v>
      </c>
      <c r="X2377" s="122">
        <f t="shared" si="77"/>
        <v>30208</v>
      </c>
      <c r="AA2377" t="s">
        <v>64</v>
      </c>
      <c r="AB2377" t="s">
        <v>427</v>
      </c>
      <c r="AC2377" t="s">
        <v>427</v>
      </c>
      <c r="AD2377" t="s">
        <v>427</v>
      </c>
      <c r="AE2377" t="s">
        <v>137</v>
      </c>
      <c r="AF2377">
        <v>145</v>
      </c>
      <c r="AG2377" s="122">
        <v>12973</v>
      </c>
      <c r="AH2377" s="122">
        <v>99277</v>
      </c>
      <c r="AI2377" s="122">
        <v>6308548</v>
      </c>
      <c r="AJ2377" s="122">
        <v>5735043</v>
      </c>
      <c r="AK2377">
        <v>53</v>
      </c>
      <c r="AL2377" s="122">
        <v>1068414</v>
      </c>
      <c r="AM2377" s="122">
        <v>971286</v>
      </c>
      <c r="AN2377" s="122">
        <v>286897</v>
      </c>
      <c r="AO2377" s="122">
        <v>106258</v>
      </c>
      <c r="AP2377" s="122">
        <v>48465</v>
      </c>
      <c r="AQ2377" s="122">
        <v>17950</v>
      </c>
      <c r="AR2377" s="122">
        <v>871433</v>
      </c>
      <c r="AS2377" s="122">
        <v>792212</v>
      </c>
      <c r="AT2377" s="122">
        <v>337922</v>
      </c>
      <c r="AU2377" s="122">
        <v>125156</v>
      </c>
      <c r="AV2377" s="122">
        <v>7747905</v>
      </c>
    </row>
    <row r="2378" spans="2:48" hidden="1">
      <c r="B2378" t="s">
        <v>379</v>
      </c>
      <c r="C2378" t="s">
        <v>58</v>
      </c>
      <c r="D2378" t="s">
        <v>405</v>
      </c>
      <c r="E2378" t="s">
        <v>405</v>
      </c>
      <c r="F2378" s="122">
        <v>8</v>
      </c>
      <c r="G2378" s="122">
        <v>1360</v>
      </c>
      <c r="H2378" s="122">
        <v>2074</v>
      </c>
      <c r="I2378" s="122">
        <v>229468</v>
      </c>
      <c r="J2378" s="122">
        <v>208607</v>
      </c>
      <c r="K2378" s="122">
        <v>82</v>
      </c>
      <c r="L2378" s="122">
        <v>45799</v>
      </c>
      <c r="M2378" s="122">
        <v>41635</v>
      </c>
      <c r="N2378" s="122">
        <v>29299</v>
      </c>
      <c r="O2378" s="122">
        <v>10851</v>
      </c>
      <c r="P2378" s="122">
        <v>4050</v>
      </c>
      <c r="Q2378" s="122">
        <v>1500</v>
      </c>
      <c r="R2378" s="122">
        <v>41527</v>
      </c>
      <c r="S2378" s="122">
        <v>37752</v>
      </c>
      <c r="T2378" s="122">
        <v>3506</v>
      </c>
      <c r="U2378" s="122">
        <v>1299</v>
      </c>
      <c r="V2378" s="122">
        <v>301644</v>
      </c>
      <c r="W2378" s="122">
        <f t="shared" si="76"/>
        <v>301644</v>
      </c>
      <c r="X2378" s="122">
        <f t="shared" si="77"/>
        <v>353649</v>
      </c>
      <c r="AA2378" t="s">
        <v>64</v>
      </c>
      <c r="AB2378" t="s">
        <v>427</v>
      </c>
      <c r="AC2378" t="s">
        <v>427</v>
      </c>
      <c r="AD2378" t="s">
        <v>427</v>
      </c>
      <c r="AE2378" t="s">
        <v>566</v>
      </c>
      <c r="AF2378">
        <v>66</v>
      </c>
      <c r="AG2378" s="122">
        <v>5588</v>
      </c>
      <c r="AH2378" s="122">
        <v>50380</v>
      </c>
      <c r="AI2378" s="122">
        <v>2982865</v>
      </c>
      <c r="AJ2378" s="122">
        <v>2711696</v>
      </c>
      <c r="AK2378">
        <v>54</v>
      </c>
      <c r="AL2378" s="122">
        <v>510806</v>
      </c>
      <c r="AM2378" s="122">
        <v>464369</v>
      </c>
      <c r="AN2378" s="122">
        <v>121910</v>
      </c>
      <c r="AO2378" s="122">
        <v>45152</v>
      </c>
      <c r="AP2378" s="122">
        <v>20547</v>
      </c>
      <c r="AQ2378" s="122">
        <v>7610</v>
      </c>
      <c r="AR2378" s="122">
        <v>517838</v>
      </c>
      <c r="AS2378" s="122">
        <v>470762</v>
      </c>
      <c r="AT2378">
        <v>0</v>
      </c>
      <c r="AU2378">
        <v>0</v>
      </c>
      <c r="AV2378" s="122">
        <v>3699589</v>
      </c>
    </row>
    <row r="2379" spans="2:48" hidden="1">
      <c r="B2379" t="s">
        <v>379</v>
      </c>
      <c r="C2379" t="s">
        <v>58</v>
      </c>
      <c r="D2379" t="s">
        <v>405</v>
      </c>
      <c r="E2379" t="s">
        <v>407</v>
      </c>
      <c r="F2379" s="122">
        <v>1</v>
      </c>
      <c r="G2379" s="122">
        <v>153</v>
      </c>
      <c r="H2379" s="122">
        <v>246</v>
      </c>
      <c r="I2379" s="122">
        <v>22343</v>
      </c>
      <c r="J2379" s="122">
        <v>20312</v>
      </c>
      <c r="K2379" s="122">
        <v>91</v>
      </c>
      <c r="L2379" s="122">
        <v>3567</v>
      </c>
      <c r="M2379" s="122">
        <v>3242</v>
      </c>
      <c r="N2379" s="122">
        <v>2990</v>
      </c>
      <c r="O2379" s="122">
        <v>1108</v>
      </c>
      <c r="P2379" s="122">
        <v>1094</v>
      </c>
      <c r="Q2379" s="122">
        <v>405</v>
      </c>
      <c r="R2379" s="122">
        <v>4320</v>
      </c>
      <c r="S2379" s="122">
        <v>3927</v>
      </c>
      <c r="T2379" s="122">
        <v>3413</v>
      </c>
      <c r="U2379" s="122">
        <v>1264</v>
      </c>
      <c r="V2379" s="122">
        <v>30258</v>
      </c>
      <c r="W2379" s="122">
        <f t="shared" si="76"/>
        <v>30258</v>
      </c>
      <c r="X2379" s="122">
        <f t="shared" si="77"/>
        <v>37727</v>
      </c>
      <c r="AA2379" t="s">
        <v>64</v>
      </c>
      <c r="AB2379" t="s">
        <v>427</v>
      </c>
      <c r="AC2379" t="s">
        <v>427</v>
      </c>
      <c r="AD2379" t="s">
        <v>431</v>
      </c>
      <c r="AE2379" t="s">
        <v>566</v>
      </c>
      <c r="AF2379">
        <v>1</v>
      </c>
      <c r="AG2379">
        <v>124</v>
      </c>
      <c r="AH2379" s="122">
        <v>502</v>
      </c>
      <c r="AI2379" s="122">
        <v>43271</v>
      </c>
      <c r="AJ2379" s="122">
        <v>39337</v>
      </c>
      <c r="AK2379">
        <v>55</v>
      </c>
      <c r="AL2379" s="122">
        <v>7555</v>
      </c>
      <c r="AM2379" s="122">
        <v>6868</v>
      </c>
      <c r="AN2379" s="122">
        <v>2425</v>
      </c>
      <c r="AO2379" s="122">
        <v>898</v>
      </c>
      <c r="AP2379">
        <v>351</v>
      </c>
      <c r="AQ2379">
        <v>130</v>
      </c>
      <c r="AR2379" s="122">
        <v>8843</v>
      </c>
      <c r="AS2379" s="122">
        <v>8039</v>
      </c>
      <c r="AT2379" s="122">
        <v>0</v>
      </c>
      <c r="AU2379" s="122">
        <v>0</v>
      </c>
      <c r="AV2379" s="122">
        <v>55272</v>
      </c>
    </row>
    <row r="2380" spans="2:48" hidden="1">
      <c r="B2380" t="s">
        <v>379</v>
      </c>
      <c r="C2380" t="s">
        <v>58</v>
      </c>
      <c r="D2380" t="s">
        <v>137</v>
      </c>
      <c r="E2380" t="s">
        <v>137</v>
      </c>
      <c r="F2380" s="122">
        <v>11</v>
      </c>
      <c r="G2380" s="122">
        <v>2188</v>
      </c>
      <c r="H2380" s="122">
        <v>2766</v>
      </c>
      <c r="I2380" s="122">
        <v>349215</v>
      </c>
      <c r="J2380" s="122">
        <v>129339</v>
      </c>
      <c r="K2380" s="122">
        <v>100</v>
      </c>
      <c r="L2380" s="122">
        <v>38889</v>
      </c>
      <c r="M2380" s="122">
        <v>31835</v>
      </c>
      <c r="N2380" s="122">
        <v>50917</v>
      </c>
      <c r="O2380" s="122">
        <v>18858</v>
      </c>
      <c r="P2380" s="122">
        <v>1944</v>
      </c>
      <c r="Q2380" s="122">
        <v>720</v>
      </c>
      <c r="R2380" s="122">
        <v>103757</v>
      </c>
      <c r="S2380" s="122">
        <v>38428</v>
      </c>
      <c r="T2380" s="122">
        <v>0</v>
      </c>
      <c r="U2380" s="122">
        <v>0</v>
      </c>
      <c r="V2380" s="122">
        <v>219181</v>
      </c>
      <c r="W2380" s="122">
        <f t="shared" si="76"/>
        <v>219180</v>
      </c>
      <c r="X2380" s="122">
        <f t="shared" si="77"/>
        <v>544722</v>
      </c>
      <c r="AA2380" t="s">
        <v>64</v>
      </c>
      <c r="AB2380" t="s">
        <v>427</v>
      </c>
      <c r="AC2380" t="s">
        <v>428</v>
      </c>
      <c r="AD2380" t="s">
        <v>427</v>
      </c>
      <c r="AE2380" t="s">
        <v>137</v>
      </c>
      <c r="AF2380">
        <v>2</v>
      </c>
      <c r="AG2380">
        <v>213</v>
      </c>
      <c r="AH2380" s="122">
        <v>1277</v>
      </c>
      <c r="AI2380" s="122">
        <v>101430</v>
      </c>
      <c r="AJ2380" s="122">
        <v>92209</v>
      </c>
      <c r="AK2380">
        <v>45</v>
      </c>
      <c r="AL2380" s="122">
        <v>13903</v>
      </c>
      <c r="AM2380" s="122">
        <v>12639</v>
      </c>
      <c r="AN2380" s="122">
        <v>3110</v>
      </c>
      <c r="AO2380" s="122">
        <v>1152</v>
      </c>
      <c r="AP2380">
        <v>702</v>
      </c>
      <c r="AQ2380">
        <v>260</v>
      </c>
      <c r="AR2380" s="122">
        <v>13221</v>
      </c>
      <c r="AS2380" s="122">
        <v>12019</v>
      </c>
      <c r="AT2380" s="122">
        <v>5019</v>
      </c>
      <c r="AU2380" s="122">
        <v>1859</v>
      </c>
      <c r="AV2380" s="122">
        <v>120137</v>
      </c>
    </row>
    <row r="2381" spans="2:48" hidden="1">
      <c r="B2381" t="s">
        <v>379</v>
      </c>
      <c r="C2381" t="s">
        <v>58</v>
      </c>
      <c r="D2381" t="s">
        <v>137</v>
      </c>
      <c r="E2381" t="s">
        <v>426</v>
      </c>
      <c r="F2381" s="122">
        <v>1</v>
      </c>
      <c r="G2381" s="122">
        <v>155</v>
      </c>
      <c r="H2381" s="122">
        <v>289</v>
      </c>
      <c r="I2381" s="122">
        <v>27163</v>
      </c>
      <c r="J2381" s="122">
        <v>10060</v>
      </c>
      <c r="K2381" s="122">
        <v>100</v>
      </c>
      <c r="L2381" s="122">
        <v>2732</v>
      </c>
      <c r="M2381" s="122">
        <v>2484</v>
      </c>
      <c r="N2381" s="122">
        <v>3414</v>
      </c>
      <c r="O2381" s="122">
        <v>1265</v>
      </c>
      <c r="P2381" s="122">
        <v>0</v>
      </c>
      <c r="Q2381" s="122">
        <v>0</v>
      </c>
      <c r="R2381" s="122">
        <v>8136</v>
      </c>
      <c r="S2381" s="122">
        <v>7397</v>
      </c>
      <c r="T2381" s="122">
        <v>3339</v>
      </c>
      <c r="U2381" s="122">
        <v>1237</v>
      </c>
      <c r="V2381" s="122">
        <v>22442</v>
      </c>
      <c r="W2381" s="122">
        <f t="shared" si="76"/>
        <v>22443</v>
      </c>
      <c r="X2381" s="122">
        <f t="shared" si="77"/>
        <v>44784</v>
      </c>
      <c r="AA2381" t="s">
        <v>64</v>
      </c>
      <c r="AB2381" t="s">
        <v>427</v>
      </c>
      <c r="AC2381" t="s">
        <v>428</v>
      </c>
      <c r="AD2381" t="s">
        <v>427</v>
      </c>
      <c r="AE2381" t="s">
        <v>566</v>
      </c>
      <c r="AF2381">
        <v>1</v>
      </c>
      <c r="AG2381">
        <v>89</v>
      </c>
      <c r="AH2381">
        <v>585</v>
      </c>
      <c r="AI2381" s="122">
        <v>37043</v>
      </c>
      <c r="AJ2381" s="122">
        <v>33675</v>
      </c>
      <c r="AK2381">
        <v>65</v>
      </c>
      <c r="AL2381" s="122">
        <v>7644</v>
      </c>
      <c r="AM2381" s="122">
        <v>6949</v>
      </c>
      <c r="AN2381" s="122">
        <v>1700</v>
      </c>
      <c r="AO2381">
        <v>630</v>
      </c>
      <c r="AP2381">
        <v>351</v>
      </c>
      <c r="AQ2381">
        <v>130</v>
      </c>
      <c r="AR2381" s="122">
        <v>5571</v>
      </c>
      <c r="AS2381" s="122">
        <v>5064</v>
      </c>
      <c r="AT2381">
        <v>0</v>
      </c>
      <c r="AU2381">
        <v>0</v>
      </c>
      <c r="AV2381" s="122">
        <v>46448</v>
      </c>
    </row>
    <row r="2382" spans="2:48" hidden="1">
      <c r="B2382" t="s">
        <v>379</v>
      </c>
      <c r="C2382" t="s">
        <v>58</v>
      </c>
      <c r="D2382" t="s">
        <v>406</v>
      </c>
      <c r="E2382" t="s">
        <v>425</v>
      </c>
      <c r="F2382" s="122">
        <v>1</v>
      </c>
      <c r="G2382" s="122">
        <v>157</v>
      </c>
      <c r="H2382" s="122">
        <v>264</v>
      </c>
      <c r="I2382" s="122">
        <v>23190</v>
      </c>
      <c r="J2382" s="122">
        <v>21082</v>
      </c>
      <c r="K2382" s="122">
        <v>70</v>
      </c>
      <c r="L2382" s="122">
        <v>5712</v>
      </c>
      <c r="M2382" s="122">
        <v>5192</v>
      </c>
      <c r="N2382" s="122">
        <v>1908</v>
      </c>
      <c r="O2382" s="122">
        <v>707</v>
      </c>
      <c r="P2382" s="122">
        <v>621</v>
      </c>
      <c r="Q2382" s="122">
        <v>230</v>
      </c>
      <c r="R2382" s="122">
        <v>6084</v>
      </c>
      <c r="S2382" s="122">
        <v>5531</v>
      </c>
      <c r="T2382" s="122">
        <v>3804</v>
      </c>
      <c r="U2382" s="122">
        <v>1409</v>
      </c>
      <c r="V2382" s="122">
        <v>34151</v>
      </c>
      <c r="W2382" s="122">
        <f t="shared" si="76"/>
        <v>34151</v>
      </c>
      <c r="X2382" s="122">
        <f t="shared" si="77"/>
        <v>41319</v>
      </c>
      <c r="AA2382" t="s">
        <v>64</v>
      </c>
      <c r="AB2382" t="s">
        <v>427</v>
      </c>
      <c r="AC2382" t="s">
        <v>431</v>
      </c>
      <c r="AD2382" t="s">
        <v>137</v>
      </c>
      <c r="AE2382" t="s">
        <v>566</v>
      </c>
      <c r="AF2382">
        <v>1</v>
      </c>
      <c r="AG2382">
        <v>58</v>
      </c>
      <c r="AH2382">
        <v>960</v>
      </c>
      <c r="AI2382" s="122">
        <v>41344</v>
      </c>
      <c r="AJ2382" s="122">
        <v>37585</v>
      </c>
      <c r="AK2382">
        <v>60</v>
      </c>
      <c r="AL2382" s="122">
        <v>9188</v>
      </c>
      <c r="AM2382" s="122">
        <v>8352</v>
      </c>
      <c r="AN2382" s="122">
        <v>1411</v>
      </c>
      <c r="AO2382">
        <v>522</v>
      </c>
      <c r="AP2382">
        <v>0</v>
      </c>
      <c r="AQ2382">
        <v>0</v>
      </c>
      <c r="AR2382" s="122">
        <v>3644</v>
      </c>
      <c r="AS2382" s="122">
        <v>1350</v>
      </c>
      <c r="AT2382">
        <v>0</v>
      </c>
      <c r="AU2382">
        <v>0</v>
      </c>
      <c r="AV2382" s="122">
        <v>47810</v>
      </c>
    </row>
    <row r="2383" spans="2:48" hidden="1">
      <c r="B2383" t="s">
        <v>379</v>
      </c>
      <c r="C2383" t="s">
        <v>58</v>
      </c>
      <c r="D2383" t="s">
        <v>406</v>
      </c>
      <c r="E2383" t="s">
        <v>137</v>
      </c>
      <c r="F2383" s="122">
        <v>2</v>
      </c>
      <c r="G2383" s="122">
        <v>339</v>
      </c>
      <c r="H2383" s="122">
        <v>531</v>
      </c>
      <c r="I2383" s="122">
        <v>52723</v>
      </c>
      <c r="J2383" s="122">
        <v>47930</v>
      </c>
      <c r="K2383" s="122">
        <v>72</v>
      </c>
      <c r="L2383" s="122">
        <v>10171</v>
      </c>
      <c r="M2383" s="122">
        <v>9246</v>
      </c>
      <c r="N2383" s="122">
        <v>7404</v>
      </c>
      <c r="O2383" s="122">
        <v>2742</v>
      </c>
      <c r="P2383" s="122">
        <v>1242</v>
      </c>
      <c r="Q2383" s="122">
        <v>460</v>
      </c>
      <c r="R2383" s="122">
        <v>17602</v>
      </c>
      <c r="S2383" s="122">
        <v>6519</v>
      </c>
      <c r="T2383" s="122">
        <v>0</v>
      </c>
      <c r="U2383" s="122">
        <v>0</v>
      </c>
      <c r="V2383" s="122">
        <v>66898</v>
      </c>
      <c r="W2383" s="122">
        <f t="shared" si="76"/>
        <v>66897</v>
      </c>
      <c r="X2383" s="122">
        <f t="shared" si="77"/>
        <v>89142</v>
      </c>
      <c r="AA2383" t="s">
        <v>64</v>
      </c>
      <c r="AB2383" t="s">
        <v>427</v>
      </c>
      <c r="AC2383" t="s">
        <v>431</v>
      </c>
      <c r="AD2383" t="s">
        <v>427</v>
      </c>
      <c r="AE2383" t="s">
        <v>566</v>
      </c>
      <c r="AF2383">
        <v>1</v>
      </c>
      <c r="AG2383">
        <v>72</v>
      </c>
      <c r="AH2383" s="122">
        <v>685</v>
      </c>
      <c r="AI2383" s="122">
        <v>34353</v>
      </c>
      <c r="AJ2383" s="122">
        <v>31230</v>
      </c>
      <c r="AK2383">
        <v>45</v>
      </c>
      <c r="AL2383" s="122">
        <v>5726</v>
      </c>
      <c r="AM2383" s="122">
        <v>5205</v>
      </c>
      <c r="AN2383" s="122">
        <v>1637</v>
      </c>
      <c r="AO2383" s="122">
        <v>606</v>
      </c>
      <c r="AP2383">
        <v>351</v>
      </c>
      <c r="AQ2383">
        <v>130</v>
      </c>
      <c r="AR2383" s="122">
        <v>7413</v>
      </c>
      <c r="AS2383" s="122">
        <v>6739</v>
      </c>
      <c r="AT2383">
        <v>0</v>
      </c>
      <c r="AU2383">
        <v>0</v>
      </c>
      <c r="AV2383" s="122">
        <v>43911</v>
      </c>
    </row>
    <row r="2384" spans="2:48" hidden="1">
      <c r="B2384" t="s">
        <v>379</v>
      </c>
      <c r="C2384" t="s">
        <v>58</v>
      </c>
      <c r="D2384" t="s">
        <v>406</v>
      </c>
      <c r="E2384" t="s">
        <v>406</v>
      </c>
      <c r="F2384" s="122">
        <v>858</v>
      </c>
      <c r="G2384" s="122">
        <v>118936</v>
      </c>
      <c r="H2384" s="122">
        <v>223623</v>
      </c>
      <c r="I2384" s="122">
        <v>18379711</v>
      </c>
      <c r="J2384" s="122">
        <v>16708828</v>
      </c>
      <c r="K2384" s="122">
        <v>77</v>
      </c>
      <c r="L2384" s="122">
        <v>3739514</v>
      </c>
      <c r="M2384" s="122">
        <v>3284589</v>
      </c>
      <c r="N2384" s="122">
        <v>2503910</v>
      </c>
      <c r="O2384" s="122">
        <v>927374</v>
      </c>
      <c r="P2384" s="122">
        <v>548175</v>
      </c>
      <c r="Q2384" s="122">
        <v>203028</v>
      </c>
      <c r="R2384" s="122">
        <v>4701542</v>
      </c>
      <c r="S2384" s="122">
        <v>4274129</v>
      </c>
      <c r="T2384" s="122">
        <v>1675567</v>
      </c>
      <c r="U2384" s="122">
        <v>620580</v>
      </c>
      <c r="V2384" s="122">
        <v>26018528</v>
      </c>
      <c r="W2384" s="122">
        <f t="shared" si="76"/>
        <v>26018528</v>
      </c>
      <c r="X2384" s="122">
        <f t="shared" si="77"/>
        <v>31548419</v>
      </c>
      <c r="AA2384" t="s">
        <v>64</v>
      </c>
      <c r="AB2384" t="s">
        <v>427</v>
      </c>
      <c r="AC2384" t="s">
        <v>426</v>
      </c>
      <c r="AD2384" t="s">
        <v>137</v>
      </c>
      <c r="AE2384" t="s">
        <v>566</v>
      </c>
      <c r="AF2384">
        <v>2</v>
      </c>
      <c r="AG2384">
        <v>158</v>
      </c>
      <c r="AH2384" s="122">
        <v>2479</v>
      </c>
      <c r="AI2384" s="122">
        <v>169245</v>
      </c>
      <c r="AJ2384" s="122">
        <v>153859</v>
      </c>
      <c r="AK2384">
        <v>30</v>
      </c>
      <c r="AL2384" s="122">
        <v>9403</v>
      </c>
      <c r="AM2384" s="122">
        <v>8548</v>
      </c>
      <c r="AN2384" s="122">
        <v>3628</v>
      </c>
      <c r="AO2384" s="122">
        <v>1344</v>
      </c>
      <c r="AP2384">
        <v>0</v>
      </c>
      <c r="AQ2384">
        <v>0</v>
      </c>
      <c r="AR2384" s="122">
        <v>12781</v>
      </c>
      <c r="AS2384" s="122">
        <v>4734</v>
      </c>
      <c r="AT2384" s="122">
        <v>0</v>
      </c>
      <c r="AU2384">
        <v>0</v>
      </c>
      <c r="AV2384" s="122">
        <v>168484</v>
      </c>
    </row>
    <row r="2385" spans="2:48" hidden="1">
      <c r="B2385" t="s">
        <v>379</v>
      </c>
      <c r="C2385" t="s">
        <v>58</v>
      </c>
      <c r="D2385" t="s">
        <v>406</v>
      </c>
      <c r="E2385" t="s">
        <v>427</v>
      </c>
      <c r="F2385" s="122">
        <v>1</v>
      </c>
      <c r="G2385" s="122">
        <v>218</v>
      </c>
      <c r="H2385" s="122">
        <v>252</v>
      </c>
      <c r="I2385" s="122">
        <v>38122</v>
      </c>
      <c r="J2385" s="122">
        <v>34656</v>
      </c>
      <c r="K2385" s="122">
        <v>79</v>
      </c>
      <c r="L2385" s="122">
        <v>5776</v>
      </c>
      <c r="M2385" s="122">
        <v>5251</v>
      </c>
      <c r="N2385" s="122">
        <v>2654</v>
      </c>
      <c r="O2385" s="122">
        <v>983</v>
      </c>
      <c r="P2385" s="122">
        <v>621</v>
      </c>
      <c r="Q2385" s="122">
        <v>230</v>
      </c>
      <c r="R2385" s="122">
        <v>7770</v>
      </c>
      <c r="S2385" s="122">
        <v>7064</v>
      </c>
      <c r="T2385" s="122">
        <v>0</v>
      </c>
      <c r="U2385" s="122">
        <v>0</v>
      </c>
      <c r="V2385" s="122">
        <v>48183</v>
      </c>
      <c r="W2385" s="122">
        <f t="shared" si="76"/>
        <v>48184</v>
      </c>
      <c r="X2385" s="122">
        <f t="shared" si="77"/>
        <v>54943</v>
      </c>
      <c r="AA2385" t="s">
        <v>64</v>
      </c>
      <c r="AB2385" t="s">
        <v>427</v>
      </c>
      <c r="AC2385" t="s">
        <v>426</v>
      </c>
      <c r="AD2385" t="s">
        <v>406</v>
      </c>
      <c r="AE2385" t="s">
        <v>137</v>
      </c>
      <c r="AF2385">
        <v>1</v>
      </c>
      <c r="AG2385">
        <v>62</v>
      </c>
      <c r="AH2385" s="122">
        <v>575</v>
      </c>
      <c r="AI2385" s="122">
        <v>27769</v>
      </c>
      <c r="AJ2385" s="122">
        <v>25244</v>
      </c>
      <c r="AK2385">
        <v>65</v>
      </c>
      <c r="AL2385" s="122">
        <v>0</v>
      </c>
      <c r="AM2385" s="122">
        <v>0</v>
      </c>
      <c r="AN2385" s="122">
        <v>857</v>
      </c>
      <c r="AO2385" s="122">
        <v>318</v>
      </c>
      <c r="AP2385" s="122">
        <v>351</v>
      </c>
      <c r="AQ2385">
        <v>130</v>
      </c>
      <c r="AR2385" s="122">
        <v>4273</v>
      </c>
      <c r="AS2385" s="122">
        <v>3885</v>
      </c>
      <c r="AT2385" s="122">
        <v>2271</v>
      </c>
      <c r="AU2385" s="122">
        <v>841</v>
      </c>
      <c r="AV2385" s="122">
        <v>30417</v>
      </c>
    </row>
    <row r="2386" spans="2:48" hidden="1">
      <c r="B2386" t="s">
        <v>379</v>
      </c>
      <c r="C2386" t="s">
        <v>58</v>
      </c>
      <c r="D2386" t="s">
        <v>406</v>
      </c>
      <c r="E2386" t="s">
        <v>556</v>
      </c>
      <c r="F2386" s="122">
        <v>1</v>
      </c>
      <c r="G2386" s="122">
        <v>167</v>
      </c>
      <c r="H2386" s="122">
        <v>226</v>
      </c>
      <c r="I2386" s="122">
        <v>18841</v>
      </c>
      <c r="J2386" s="122">
        <v>17128</v>
      </c>
      <c r="K2386" s="122">
        <v>75</v>
      </c>
      <c r="L2386" s="122">
        <v>7463</v>
      </c>
      <c r="M2386" s="122">
        <v>6785</v>
      </c>
      <c r="N2386" s="122">
        <v>2827</v>
      </c>
      <c r="O2386" s="122">
        <v>1047</v>
      </c>
      <c r="P2386" s="122">
        <v>621</v>
      </c>
      <c r="Q2386" s="122">
        <v>230</v>
      </c>
      <c r="R2386" s="122">
        <v>8020</v>
      </c>
      <c r="S2386" s="122">
        <v>6683</v>
      </c>
      <c r="T2386" s="122">
        <v>0</v>
      </c>
      <c r="U2386" s="122">
        <v>0</v>
      </c>
      <c r="V2386" s="122">
        <v>31873</v>
      </c>
      <c r="W2386" s="122">
        <f t="shared" si="76"/>
        <v>31873</v>
      </c>
      <c r="X2386" s="122">
        <f t="shared" si="77"/>
        <v>37772</v>
      </c>
      <c r="AA2386" t="s">
        <v>64</v>
      </c>
      <c r="AB2386" t="s">
        <v>427</v>
      </c>
      <c r="AC2386" t="s">
        <v>426</v>
      </c>
      <c r="AD2386" t="s">
        <v>427</v>
      </c>
      <c r="AE2386" t="s">
        <v>137</v>
      </c>
      <c r="AF2386">
        <v>3</v>
      </c>
      <c r="AG2386">
        <v>236</v>
      </c>
      <c r="AH2386" s="122">
        <v>1894</v>
      </c>
      <c r="AI2386" s="122">
        <v>123407</v>
      </c>
      <c r="AJ2386" s="122">
        <v>112188</v>
      </c>
      <c r="AK2386">
        <v>52</v>
      </c>
      <c r="AL2386" s="122">
        <v>16020</v>
      </c>
      <c r="AM2386" s="122">
        <v>14564</v>
      </c>
      <c r="AN2386" s="122">
        <v>5450</v>
      </c>
      <c r="AO2386" s="122">
        <v>2018</v>
      </c>
      <c r="AP2386" s="122">
        <v>1053</v>
      </c>
      <c r="AQ2386">
        <v>390</v>
      </c>
      <c r="AR2386" s="122">
        <v>19578</v>
      </c>
      <c r="AS2386" s="122">
        <v>17798</v>
      </c>
      <c r="AT2386" s="122">
        <v>9467</v>
      </c>
      <c r="AU2386" s="122">
        <v>3506</v>
      </c>
      <c r="AV2386" s="122">
        <v>150465</v>
      </c>
    </row>
    <row r="2387" spans="2:48" hidden="1">
      <c r="B2387" t="s">
        <v>379</v>
      </c>
      <c r="C2387" t="s">
        <v>58</v>
      </c>
      <c r="D2387" t="s">
        <v>406</v>
      </c>
      <c r="E2387" t="s">
        <v>426</v>
      </c>
      <c r="F2387" s="122">
        <v>1</v>
      </c>
      <c r="G2387" s="122">
        <v>173</v>
      </c>
      <c r="H2387" s="122">
        <v>284</v>
      </c>
      <c r="I2387" s="122">
        <v>32329</v>
      </c>
      <c r="J2387" s="122">
        <v>29390</v>
      </c>
      <c r="K2387" s="122">
        <v>65</v>
      </c>
      <c r="L2387" s="122">
        <v>3415</v>
      </c>
      <c r="M2387" s="122">
        <v>3105</v>
      </c>
      <c r="N2387" s="122">
        <v>3166</v>
      </c>
      <c r="O2387" s="122">
        <v>1172</v>
      </c>
      <c r="P2387" s="122">
        <v>621</v>
      </c>
      <c r="Q2387" s="122">
        <v>230</v>
      </c>
      <c r="R2387" s="122">
        <v>5991</v>
      </c>
      <c r="S2387" s="122">
        <v>5446</v>
      </c>
      <c r="T2387" s="122">
        <v>3621</v>
      </c>
      <c r="U2387" s="122">
        <v>1341</v>
      </c>
      <c r="V2387" s="122">
        <v>40685</v>
      </c>
      <c r="W2387" s="122">
        <f t="shared" si="76"/>
        <v>40684</v>
      </c>
      <c r="X2387" s="122">
        <f t="shared" si="77"/>
        <v>49143</v>
      </c>
      <c r="AA2387" t="s">
        <v>64</v>
      </c>
      <c r="AB2387" t="s">
        <v>427</v>
      </c>
      <c r="AC2387" t="s">
        <v>426</v>
      </c>
      <c r="AD2387" t="s">
        <v>427</v>
      </c>
      <c r="AE2387" t="s">
        <v>566</v>
      </c>
      <c r="AF2387">
        <v>1</v>
      </c>
      <c r="AG2387">
        <v>121</v>
      </c>
      <c r="AH2387" s="122">
        <v>659</v>
      </c>
      <c r="AI2387" s="122">
        <v>58842</v>
      </c>
      <c r="AJ2387" s="122">
        <v>53492</v>
      </c>
      <c r="AK2387">
        <v>55</v>
      </c>
      <c r="AL2387" s="122">
        <v>11986</v>
      </c>
      <c r="AM2387" s="122">
        <v>10897</v>
      </c>
      <c r="AN2387" s="122">
        <v>2459</v>
      </c>
      <c r="AO2387">
        <v>911</v>
      </c>
      <c r="AP2387">
        <v>351</v>
      </c>
      <c r="AQ2387">
        <v>130</v>
      </c>
      <c r="AR2387" s="122">
        <v>6028</v>
      </c>
      <c r="AS2387" s="122">
        <v>5480</v>
      </c>
      <c r="AT2387">
        <v>0</v>
      </c>
      <c r="AU2387">
        <v>0</v>
      </c>
      <c r="AV2387" s="122">
        <v>70910</v>
      </c>
    </row>
    <row r="2388" spans="2:48" hidden="1">
      <c r="B2388" t="s">
        <v>379</v>
      </c>
      <c r="C2388" t="s">
        <v>58</v>
      </c>
      <c r="D2388" t="s">
        <v>427</v>
      </c>
      <c r="E2388" t="s">
        <v>427</v>
      </c>
      <c r="F2388" s="122">
        <v>1</v>
      </c>
      <c r="G2388" s="122">
        <v>50</v>
      </c>
      <c r="H2388" s="122">
        <v>287</v>
      </c>
      <c r="I2388" s="122">
        <v>13237</v>
      </c>
      <c r="J2388" s="122">
        <v>12034</v>
      </c>
      <c r="K2388" s="122">
        <v>65</v>
      </c>
      <c r="L2388" s="122">
        <v>3187</v>
      </c>
      <c r="M2388" s="122">
        <v>2897</v>
      </c>
      <c r="N2388" s="122">
        <v>2121</v>
      </c>
      <c r="O2388" s="122">
        <v>785</v>
      </c>
      <c r="P2388" s="122">
        <v>351</v>
      </c>
      <c r="Q2388" s="122">
        <v>130</v>
      </c>
      <c r="R2388" s="122">
        <v>4918</v>
      </c>
      <c r="S2388" s="122">
        <v>4471</v>
      </c>
      <c r="T2388" s="122">
        <v>2778</v>
      </c>
      <c r="U2388" s="122">
        <v>1029</v>
      </c>
      <c r="V2388" s="122">
        <v>21346</v>
      </c>
      <c r="W2388" s="122">
        <f t="shared" si="76"/>
        <v>21346</v>
      </c>
      <c r="X2388" s="122">
        <f t="shared" si="77"/>
        <v>26592</v>
      </c>
      <c r="AA2388" t="s">
        <v>64</v>
      </c>
      <c r="AB2388" t="s">
        <v>427</v>
      </c>
      <c r="AC2388" t="s">
        <v>566</v>
      </c>
      <c r="AD2388" t="s">
        <v>578</v>
      </c>
      <c r="AE2388" t="s">
        <v>566</v>
      </c>
      <c r="AF2388">
        <v>1</v>
      </c>
      <c r="AG2388">
        <v>50</v>
      </c>
      <c r="AH2388" s="122">
        <v>1215</v>
      </c>
      <c r="AI2388" s="122">
        <v>46596</v>
      </c>
      <c r="AJ2388" s="122">
        <v>42360</v>
      </c>
      <c r="AK2388">
        <v>45</v>
      </c>
      <c r="AL2388">
        <v>0</v>
      </c>
      <c r="AM2388" s="122">
        <v>0</v>
      </c>
      <c r="AN2388" s="122">
        <v>1214</v>
      </c>
      <c r="AO2388" s="122">
        <v>450</v>
      </c>
      <c r="AP2388">
        <v>351</v>
      </c>
      <c r="AQ2388">
        <v>130</v>
      </c>
      <c r="AR2388" s="122">
        <v>12387</v>
      </c>
      <c r="AS2388" s="122">
        <v>11261</v>
      </c>
      <c r="AT2388" s="122">
        <v>0</v>
      </c>
      <c r="AU2388" s="122">
        <v>0</v>
      </c>
      <c r="AV2388" s="122">
        <v>54201</v>
      </c>
    </row>
    <row r="2389" spans="2:48" hidden="1">
      <c r="B2389" t="s">
        <v>379</v>
      </c>
      <c r="C2389" t="s">
        <v>58</v>
      </c>
      <c r="D2389" t="s">
        <v>407</v>
      </c>
      <c r="E2389" t="s">
        <v>407</v>
      </c>
      <c r="F2389" s="122">
        <v>12</v>
      </c>
      <c r="G2389" s="122">
        <v>1569</v>
      </c>
      <c r="H2389" s="122">
        <v>3254</v>
      </c>
      <c r="I2389" s="122">
        <v>228809</v>
      </c>
      <c r="J2389" s="122">
        <v>208008</v>
      </c>
      <c r="K2389" s="122">
        <v>82</v>
      </c>
      <c r="L2389" s="122">
        <v>78130</v>
      </c>
      <c r="M2389" s="122">
        <v>67527</v>
      </c>
      <c r="N2389" s="122">
        <v>33994</v>
      </c>
      <c r="O2389" s="122">
        <v>12590</v>
      </c>
      <c r="P2389" s="122">
        <v>5670</v>
      </c>
      <c r="Q2389" s="122">
        <v>2100</v>
      </c>
      <c r="R2389" s="122">
        <v>63451</v>
      </c>
      <c r="S2389" s="122">
        <v>57683</v>
      </c>
      <c r="T2389" s="122">
        <v>13576</v>
      </c>
      <c r="U2389" s="122">
        <v>5028</v>
      </c>
      <c r="V2389" s="122">
        <v>352937</v>
      </c>
      <c r="W2389" s="122">
        <f t="shared" si="76"/>
        <v>352936</v>
      </c>
      <c r="X2389" s="122">
        <f t="shared" si="77"/>
        <v>423630</v>
      </c>
      <c r="AA2389" t="s">
        <v>64</v>
      </c>
      <c r="AB2389" t="s">
        <v>427</v>
      </c>
      <c r="AC2389" t="s">
        <v>566</v>
      </c>
      <c r="AD2389" t="s">
        <v>137</v>
      </c>
      <c r="AE2389" t="s">
        <v>137</v>
      </c>
      <c r="AF2389">
        <v>3</v>
      </c>
      <c r="AG2389" s="122">
        <v>344</v>
      </c>
      <c r="AH2389" s="122">
        <v>2748</v>
      </c>
      <c r="AI2389" s="122">
        <v>270736</v>
      </c>
      <c r="AJ2389" s="122">
        <v>246124</v>
      </c>
      <c r="AK2389">
        <v>45</v>
      </c>
      <c r="AL2389">
        <v>0</v>
      </c>
      <c r="AM2389" s="122">
        <v>4624</v>
      </c>
      <c r="AN2389" s="122">
        <v>6819</v>
      </c>
      <c r="AO2389" s="122">
        <v>2526</v>
      </c>
      <c r="AP2389">
        <v>351</v>
      </c>
      <c r="AQ2389">
        <v>130</v>
      </c>
      <c r="AR2389" s="122">
        <v>38404</v>
      </c>
      <c r="AS2389" s="122">
        <v>14224</v>
      </c>
      <c r="AT2389" s="122">
        <v>6225</v>
      </c>
      <c r="AU2389" s="122">
        <v>2305</v>
      </c>
      <c r="AV2389" s="122">
        <v>269933</v>
      </c>
    </row>
    <row r="2390" spans="2:48" hidden="1">
      <c r="B2390" t="s">
        <v>379</v>
      </c>
      <c r="C2390" t="s">
        <v>58</v>
      </c>
      <c r="D2390" t="s">
        <v>426</v>
      </c>
      <c r="E2390" t="s">
        <v>426</v>
      </c>
      <c r="F2390" s="122">
        <v>28</v>
      </c>
      <c r="G2390" s="122">
        <v>4068</v>
      </c>
      <c r="H2390" s="122">
        <v>7357</v>
      </c>
      <c r="I2390" s="122">
        <v>659397</v>
      </c>
      <c r="J2390" s="122">
        <v>599452</v>
      </c>
      <c r="K2390" s="122">
        <v>64</v>
      </c>
      <c r="L2390" s="122">
        <v>81372</v>
      </c>
      <c r="M2390" s="122">
        <v>73975</v>
      </c>
      <c r="N2390" s="122">
        <v>86649</v>
      </c>
      <c r="O2390" s="122">
        <v>32092</v>
      </c>
      <c r="P2390" s="122">
        <v>14931</v>
      </c>
      <c r="Q2390" s="122">
        <v>5530</v>
      </c>
      <c r="R2390" s="122">
        <v>152386</v>
      </c>
      <c r="S2390" s="122">
        <v>138533</v>
      </c>
      <c r="T2390" s="122">
        <v>88189</v>
      </c>
      <c r="U2390" s="122">
        <v>32663</v>
      </c>
      <c r="V2390" s="122">
        <v>882244</v>
      </c>
      <c r="W2390" s="122">
        <f t="shared" si="76"/>
        <v>882245</v>
      </c>
      <c r="X2390" s="122">
        <f t="shared" si="77"/>
        <v>1082924</v>
      </c>
      <c r="AA2390" t="s">
        <v>64</v>
      </c>
      <c r="AB2390" t="s">
        <v>427</v>
      </c>
      <c r="AC2390" t="s">
        <v>566</v>
      </c>
      <c r="AD2390" t="s">
        <v>137</v>
      </c>
      <c r="AE2390" t="s">
        <v>566</v>
      </c>
      <c r="AF2390">
        <v>26</v>
      </c>
      <c r="AG2390" s="122">
        <v>2134</v>
      </c>
      <c r="AH2390" s="122">
        <v>31604</v>
      </c>
      <c r="AI2390" s="122">
        <v>2130677</v>
      </c>
      <c r="AJ2390" s="122">
        <v>1936979</v>
      </c>
      <c r="AK2390">
        <v>34</v>
      </c>
      <c r="AL2390">
        <v>0</v>
      </c>
      <c r="AM2390" s="122">
        <v>15722</v>
      </c>
      <c r="AN2390" s="122">
        <v>50805</v>
      </c>
      <c r="AO2390" s="122">
        <v>18817</v>
      </c>
      <c r="AP2390">
        <v>351</v>
      </c>
      <c r="AQ2390">
        <v>130</v>
      </c>
      <c r="AR2390" s="122">
        <v>233375</v>
      </c>
      <c r="AS2390" s="122">
        <v>86435</v>
      </c>
      <c r="AT2390" s="122">
        <v>0</v>
      </c>
      <c r="AU2390">
        <v>0</v>
      </c>
      <c r="AV2390" s="122">
        <v>2058083</v>
      </c>
    </row>
    <row r="2391" spans="2:48" hidden="1">
      <c r="B2391" t="s">
        <v>379</v>
      </c>
      <c r="C2391" t="s">
        <v>58</v>
      </c>
      <c r="D2391" t="s">
        <v>433</v>
      </c>
      <c r="E2391" t="s">
        <v>433</v>
      </c>
      <c r="F2391" s="122">
        <v>3</v>
      </c>
      <c r="G2391" s="122">
        <v>514</v>
      </c>
      <c r="H2391" s="122">
        <v>721</v>
      </c>
      <c r="I2391" s="122">
        <v>100282</v>
      </c>
      <c r="J2391" s="122">
        <v>91165</v>
      </c>
      <c r="K2391" s="122">
        <v>60</v>
      </c>
      <c r="L2391" s="122">
        <v>13975</v>
      </c>
      <c r="M2391" s="122">
        <v>12705</v>
      </c>
      <c r="N2391" s="122">
        <v>9995</v>
      </c>
      <c r="O2391" s="122">
        <v>3702</v>
      </c>
      <c r="P2391" s="122">
        <v>1593</v>
      </c>
      <c r="Q2391" s="122">
        <v>590</v>
      </c>
      <c r="R2391" s="122">
        <v>17464</v>
      </c>
      <c r="S2391" s="122">
        <v>15877</v>
      </c>
      <c r="T2391" s="122">
        <v>3735</v>
      </c>
      <c r="U2391" s="122">
        <v>1383</v>
      </c>
      <c r="V2391" s="122">
        <v>125422</v>
      </c>
      <c r="W2391" s="122">
        <f t="shared" si="76"/>
        <v>125422</v>
      </c>
      <c r="X2391" s="122">
        <f t="shared" si="77"/>
        <v>147044</v>
      </c>
      <c r="AA2391" t="s">
        <v>64</v>
      </c>
      <c r="AB2391" t="s">
        <v>427</v>
      </c>
      <c r="AC2391" t="s">
        <v>566</v>
      </c>
      <c r="AD2391" t="s">
        <v>406</v>
      </c>
      <c r="AE2391" t="s">
        <v>137</v>
      </c>
      <c r="AF2391">
        <v>1</v>
      </c>
      <c r="AG2391" s="122">
        <v>134</v>
      </c>
      <c r="AH2391" s="122">
        <v>657</v>
      </c>
      <c r="AI2391" s="122">
        <v>75455</v>
      </c>
      <c r="AJ2391" s="122">
        <v>68596</v>
      </c>
      <c r="AK2391">
        <v>45</v>
      </c>
      <c r="AL2391">
        <v>0</v>
      </c>
      <c r="AM2391" s="122">
        <v>0</v>
      </c>
      <c r="AN2391" s="122">
        <v>2978</v>
      </c>
      <c r="AO2391" s="122">
        <v>1103</v>
      </c>
      <c r="AP2391" s="122">
        <v>351</v>
      </c>
      <c r="AQ2391" s="122">
        <v>130</v>
      </c>
      <c r="AR2391" s="122">
        <v>6809</v>
      </c>
      <c r="AS2391" s="122">
        <v>6190</v>
      </c>
      <c r="AT2391" s="122">
        <v>2617</v>
      </c>
      <c r="AU2391" s="122">
        <v>969</v>
      </c>
      <c r="AV2391" s="122">
        <v>76988</v>
      </c>
    </row>
    <row r="2392" spans="2:48" hidden="1">
      <c r="B2392" t="s">
        <v>379</v>
      </c>
      <c r="C2392" t="s">
        <v>58</v>
      </c>
      <c r="D2392" t="s">
        <v>408</v>
      </c>
      <c r="E2392" t="s">
        <v>408</v>
      </c>
      <c r="F2392" s="122">
        <v>1</v>
      </c>
      <c r="G2392" s="122">
        <v>169</v>
      </c>
      <c r="H2392" s="122">
        <v>274</v>
      </c>
      <c r="I2392" s="122">
        <v>26687</v>
      </c>
      <c r="J2392" s="122">
        <v>24261</v>
      </c>
      <c r="K2392" s="122">
        <v>65</v>
      </c>
      <c r="L2392" s="122">
        <v>6425</v>
      </c>
      <c r="M2392" s="122">
        <v>5841</v>
      </c>
      <c r="N2392" s="122">
        <v>4107</v>
      </c>
      <c r="O2392" s="122">
        <v>1521</v>
      </c>
      <c r="P2392" s="122">
        <v>473</v>
      </c>
      <c r="Q2392" s="122">
        <v>175</v>
      </c>
      <c r="R2392" s="122">
        <v>8428</v>
      </c>
      <c r="S2392" s="122">
        <v>7662</v>
      </c>
      <c r="T2392" s="122">
        <v>0</v>
      </c>
      <c r="U2392" s="122">
        <v>0</v>
      </c>
      <c r="V2392" s="122">
        <v>39459</v>
      </c>
      <c r="W2392" s="122">
        <f t="shared" si="76"/>
        <v>39460</v>
      </c>
      <c r="X2392" s="122">
        <f t="shared" si="77"/>
        <v>46120</v>
      </c>
      <c r="AA2392" t="s">
        <v>64</v>
      </c>
      <c r="AB2392" t="s">
        <v>427</v>
      </c>
      <c r="AC2392" t="s">
        <v>566</v>
      </c>
      <c r="AD2392" t="s">
        <v>427</v>
      </c>
      <c r="AE2392" t="s">
        <v>137</v>
      </c>
      <c r="AF2392">
        <v>37</v>
      </c>
      <c r="AG2392" s="122">
        <v>2805</v>
      </c>
      <c r="AH2392" s="122">
        <v>23067</v>
      </c>
      <c r="AI2392" s="122">
        <v>1402250</v>
      </c>
      <c r="AJ2392" s="122">
        <v>1274772</v>
      </c>
      <c r="AK2392">
        <v>57</v>
      </c>
      <c r="AL2392">
        <v>0</v>
      </c>
      <c r="AM2392" s="122">
        <v>42148</v>
      </c>
      <c r="AN2392" s="122">
        <v>61708</v>
      </c>
      <c r="AO2392" s="122">
        <v>22855</v>
      </c>
      <c r="AP2392" s="122">
        <v>11583</v>
      </c>
      <c r="AQ2392" s="122">
        <v>4290</v>
      </c>
      <c r="AR2392" s="122">
        <v>207808</v>
      </c>
      <c r="AS2392" s="122">
        <v>188916</v>
      </c>
      <c r="AT2392" s="122">
        <v>79252</v>
      </c>
      <c r="AU2392" s="122">
        <v>29353</v>
      </c>
      <c r="AV2392" s="122">
        <v>1562334</v>
      </c>
    </row>
    <row r="2393" spans="2:48" hidden="1">
      <c r="B2393" t="s">
        <v>379</v>
      </c>
      <c r="C2393" t="s">
        <v>60</v>
      </c>
      <c r="D2393" t="s">
        <v>405</v>
      </c>
      <c r="E2393" t="s">
        <v>405</v>
      </c>
      <c r="F2393" s="122">
        <v>3</v>
      </c>
      <c r="G2393" s="122">
        <v>394</v>
      </c>
      <c r="H2393" s="122">
        <v>1000</v>
      </c>
      <c r="I2393" s="122">
        <v>87223</v>
      </c>
      <c r="J2393" s="122">
        <v>79293</v>
      </c>
      <c r="K2393" s="122">
        <v>78</v>
      </c>
      <c r="L2393" s="122">
        <v>14665</v>
      </c>
      <c r="M2393" s="122">
        <v>13331</v>
      </c>
      <c r="N2393" s="122">
        <v>7342</v>
      </c>
      <c r="O2393" s="122">
        <v>2719</v>
      </c>
      <c r="P2393" s="122">
        <v>1418</v>
      </c>
      <c r="Q2393" s="122">
        <v>525</v>
      </c>
      <c r="R2393" s="122">
        <v>14912</v>
      </c>
      <c r="S2393" s="122">
        <v>13556</v>
      </c>
      <c r="T2393" s="122">
        <v>5594</v>
      </c>
      <c r="U2393" s="122">
        <v>2072</v>
      </c>
      <c r="V2393" s="122">
        <v>111497</v>
      </c>
      <c r="W2393" s="122">
        <f t="shared" si="76"/>
        <v>111496</v>
      </c>
      <c r="X2393" s="122">
        <f t="shared" si="77"/>
        <v>131154</v>
      </c>
      <c r="AA2393" t="s">
        <v>64</v>
      </c>
      <c r="AB2393" t="s">
        <v>427</v>
      </c>
      <c r="AC2393" t="s">
        <v>566</v>
      </c>
      <c r="AD2393" t="s">
        <v>427</v>
      </c>
      <c r="AE2393" t="s">
        <v>566</v>
      </c>
      <c r="AF2393">
        <v>8</v>
      </c>
      <c r="AG2393">
        <v>528</v>
      </c>
      <c r="AH2393" s="122">
        <v>6616</v>
      </c>
      <c r="AI2393" s="122">
        <v>417493</v>
      </c>
      <c r="AJ2393" s="122">
        <v>379539</v>
      </c>
      <c r="AK2393">
        <v>53</v>
      </c>
      <c r="AL2393" s="122">
        <v>0</v>
      </c>
      <c r="AM2393" s="122">
        <v>0</v>
      </c>
      <c r="AN2393" s="122">
        <v>12409</v>
      </c>
      <c r="AO2393" s="122">
        <v>4596</v>
      </c>
      <c r="AP2393" s="122">
        <v>1755</v>
      </c>
      <c r="AQ2393">
        <v>650</v>
      </c>
      <c r="AR2393" s="122">
        <v>47639</v>
      </c>
      <c r="AS2393" s="122">
        <v>43308</v>
      </c>
      <c r="AT2393" s="122">
        <v>0</v>
      </c>
      <c r="AU2393">
        <v>0</v>
      </c>
      <c r="AV2393" s="122">
        <v>428093</v>
      </c>
    </row>
    <row r="2394" spans="2:48" hidden="1">
      <c r="B2394" t="s">
        <v>379</v>
      </c>
      <c r="C2394" t="s">
        <v>60</v>
      </c>
      <c r="D2394" t="s">
        <v>137</v>
      </c>
      <c r="E2394" t="s">
        <v>137</v>
      </c>
      <c r="F2394" s="122">
        <v>5</v>
      </c>
      <c r="G2394" s="122">
        <v>908</v>
      </c>
      <c r="H2394" s="122">
        <v>1701</v>
      </c>
      <c r="I2394" s="122">
        <v>200972</v>
      </c>
      <c r="J2394" s="122">
        <v>74434</v>
      </c>
      <c r="K2394" s="122">
        <v>100</v>
      </c>
      <c r="L2394" s="122">
        <v>44489</v>
      </c>
      <c r="M2394" s="122">
        <v>26812</v>
      </c>
      <c r="N2394" s="122">
        <v>22118</v>
      </c>
      <c r="O2394" s="122">
        <v>8192</v>
      </c>
      <c r="P2394" s="122">
        <v>0</v>
      </c>
      <c r="Q2394" s="122">
        <v>0</v>
      </c>
      <c r="R2394" s="122">
        <v>42548</v>
      </c>
      <c r="S2394" s="122">
        <v>15759</v>
      </c>
      <c r="T2394" s="122">
        <v>0</v>
      </c>
      <c r="U2394" s="122">
        <v>0</v>
      </c>
      <c r="V2394" s="122">
        <v>125196</v>
      </c>
      <c r="W2394" s="122">
        <f t="shared" si="76"/>
        <v>125197</v>
      </c>
      <c r="X2394" s="122">
        <f t="shared" si="77"/>
        <v>310127</v>
      </c>
      <c r="AA2394" t="s">
        <v>64</v>
      </c>
      <c r="AB2394" t="s">
        <v>427</v>
      </c>
      <c r="AC2394" t="s">
        <v>433</v>
      </c>
      <c r="AD2394" t="s">
        <v>427</v>
      </c>
      <c r="AE2394" t="s">
        <v>137</v>
      </c>
      <c r="AF2394">
        <v>1</v>
      </c>
      <c r="AG2394">
        <v>115</v>
      </c>
      <c r="AH2394" s="122">
        <v>869</v>
      </c>
      <c r="AI2394" s="122">
        <v>76093</v>
      </c>
      <c r="AJ2394" s="122">
        <v>69175</v>
      </c>
      <c r="AK2394">
        <v>45</v>
      </c>
      <c r="AL2394" s="122">
        <v>12682</v>
      </c>
      <c r="AM2394" s="122">
        <v>11529</v>
      </c>
      <c r="AN2394" s="122">
        <v>2377</v>
      </c>
      <c r="AO2394" s="122">
        <v>880</v>
      </c>
      <c r="AP2394">
        <v>351</v>
      </c>
      <c r="AQ2394">
        <v>130</v>
      </c>
      <c r="AR2394" s="122">
        <v>5979</v>
      </c>
      <c r="AS2394" s="122">
        <v>5435</v>
      </c>
      <c r="AT2394" s="122">
        <v>2166</v>
      </c>
      <c r="AU2394">
        <v>802</v>
      </c>
      <c r="AV2394" s="122">
        <v>87952</v>
      </c>
    </row>
    <row r="2395" spans="2:48" hidden="1">
      <c r="B2395" t="s">
        <v>379</v>
      </c>
      <c r="C2395" t="s">
        <v>60</v>
      </c>
      <c r="D2395" t="s">
        <v>406</v>
      </c>
      <c r="E2395" t="s">
        <v>406</v>
      </c>
      <c r="F2395" s="122">
        <v>380</v>
      </c>
      <c r="G2395" s="122">
        <v>47095</v>
      </c>
      <c r="H2395" s="122">
        <v>127868</v>
      </c>
      <c r="I2395" s="122">
        <v>9960311</v>
      </c>
      <c r="J2395" s="122">
        <v>9054828</v>
      </c>
      <c r="K2395" s="122">
        <v>73</v>
      </c>
      <c r="L2395" s="122">
        <v>1886962</v>
      </c>
      <c r="M2395" s="122">
        <v>1668162</v>
      </c>
      <c r="N2395" s="122">
        <v>998313</v>
      </c>
      <c r="O2395" s="122">
        <v>369746</v>
      </c>
      <c r="P2395" s="122">
        <v>241758</v>
      </c>
      <c r="Q2395" s="122">
        <v>89540</v>
      </c>
      <c r="R2395" s="122">
        <v>2059517</v>
      </c>
      <c r="S2395" s="122">
        <v>1872288</v>
      </c>
      <c r="T2395" s="122">
        <v>831598</v>
      </c>
      <c r="U2395" s="122">
        <v>307999</v>
      </c>
      <c r="V2395" s="122">
        <v>13362563</v>
      </c>
      <c r="W2395" s="122">
        <f t="shared" si="76"/>
        <v>13362563</v>
      </c>
      <c r="X2395" s="122">
        <f t="shared" si="77"/>
        <v>15978459</v>
      </c>
      <c r="AA2395" t="s">
        <v>64</v>
      </c>
      <c r="AB2395" t="s">
        <v>427</v>
      </c>
      <c r="AC2395" t="s">
        <v>433</v>
      </c>
      <c r="AD2395" t="s">
        <v>427</v>
      </c>
      <c r="AE2395" t="s">
        <v>566</v>
      </c>
      <c r="AF2395">
        <v>2</v>
      </c>
      <c r="AG2395">
        <v>229</v>
      </c>
      <c r="AH2395" s="122">
        <v>1201</v>
      </c>
      <c r="AI2395" s="122">
        <v>100623</v>
      </c>
      <c r="AJ2395" s="122">
        <v>91476</v>
      </c>
      <c r="AK2395">
        <v>50</v>
      </c>
      <c r="AL2395" s="122">
        <v>19440</v>
      </c>
      <c r="AM2395" s="122">
        <v>17673</v>
      </c>
      <c r="AN2395" s="122">
        <v>4479</v>
      </c>
      <c r="AO2395" s="122">
        <v>1659</v>
      </c>
      <c r="AP2395">
        <v>351</v>
      </c>
      <c r="AQ2395">
        <v>130</v>
      </c>
      <c r="AR2395" s="122">
        <v>17778</v>
      </c>
      <c r="AS2395" s="122">
        <v>16162</v>
      </c>
      <c r="AT2395">
        <v>0</v>
      </c>
      <c r="AU2395">
        <v>0</v>
      </c>
      <c r="AV2395" s="122">
        <v>127099</v>
      </c>
    </row>
    <row r="2396" spans="2:48" hidden="1">
      <c r="B2396" t="s">
        <v>379</v>
      </c>
      <c r="C2396" t="s">
        <v>60</v>
      </c>
      <c r="D2396" t="s">
        <v>406</v>
      </c>
      <c r="E2396" t="s">
        <v>426</v>
      </c>
      <c r="F2396" s="122">
        <v>1</v>
      </c>
      <c r="G2396" s="122">
        <v>106</v>
      </c>
      <c r="H2396" s="122">
        <v>308</v>
      </c>
      <c r="I2396" s="122">
        <v>20307</v>
      </c>
      <c r="J2396" s="122">
        <v>18461</v>
      </c>
      <c r="K2396" s="122">
        <v>70</v>
      </c>
      <c r="L2396" s="122">
        <v>2308</v>
      </c>
      <c r="M2396" s="122">
        <v>2099</v>
      </c>
      <c r="N2396" s="122">
        <v>2406</v>
      </c>
      <c r="O2396" s="122">
        <v>891</v>
      </c>
      <c r="P2396" s="122">
        <v>621</v>
      </c>
      <c r="Q2396" s="122">
        <v>230</v>
      </c>
      <c r="R2396" s="122">
        <v>4572</v>
      </c>
      <c r="S2396" s="122">
        <v>4156</v>
      </c>
      <c r="T2396" s="122">
        <v>2506</v>
      </c>
      <c r="U2396" s="122">
        <v>928</v>
      </c>
      <c r="V2396" s="122">
        <v>26765</v>
      </c>
      <c r="W2396" s="122">
        <f t="shared" si="76"/>
        <v>26765</v>
      </c>
      <c r="X2396" s="122">
        <f t="shared" si="77"/>
        <v>32720</v>
      </c>
      <c r="AA2396" t="s">
        <v>64</v>
      </c>
      <c r="AB2396" t="s">
        <v>407</v>
      </c>
      <c r="AC2396" t="s">
        <v>425</v>
      </c>
      <c r="AD2396" t="s">
        <v>407</v>
      </c>
      <c r="AE2396" t="s">
        <v>566</v>
      </c>
      <c r="AF2396">
        <v>1</v>
      </c>
      <c r="AG2396">
        <v>125</v>
      </c>
      <c r="AH2396">
        <v>478</v>
      </c>
      <c r="AI2396" s="122">
        <v>42308</v>
      </c>
      <c r="AJ2396" s="122">
        <v>38462</v>
      </c>
      <c r="AK2396">
        <v>79</v>
      </c>
      <c r="AL2396" s="122">
        <v>5589</v>
      </c>
      <c r="AM2396" s="122">
        <v>5081</v>
      </c>
      <c r="AN2396" s="122">
        <v>3052</v>
      </c>
      <c r="AO2396" s="122">
        <v>1130</v>
      </c>
      <c r="AP2396">
        <v>351</v>
      </c>
      <c r="AQ2396">
        <v>130</v>
      </c>
      <c r="AR2396" s="122">
        <v>8517</v>
      </c>
      <c r="AS2396" s="122">
        <v>7743</v>
      </c>
      <c r="AT2396" s="122">
        <v>0</v>
      </c>
      <c r="AU2396" s="122">
        <v>0</v>
      </c>
      <c r="AV2396" s="122">
        <v>52546</v>
      </c>
    </row>
    <row r="2397" spans="2:48" hidden="1">
      <c r="B2397" t="s">
        <v>379</v>
      </c>
      <c r="C2397" t="s">
        <v>60</v>
      </c>
      <c r="D2397" t="s">
        <v>427</v>
      </c>
      <c r="E2397" t="s">
        <v>427</v>
      </c>
      <c r="F2397" s="122">
        <v>1</v>
      </c>
      <c r="G2397" s="122">
        <v>112</v>
      </c>
      <c r="H2397" s="122">
        <v>323</v>
      </c>
      <c r="I2397" s="122">
        <v>23287</v>
      </c>
      <c r="J2397" s="122">
        <v>21170</v>
      </c>
      <c r="K2397" s="122">
        <v>55</v>
      </c>
      <c r="L2397" s="122">
        <v>3162</v>
      </c>
      <c r="M2397" s="122">
        <v>2875</v>
      </c>
      <c r="N2397" s="122">
        <v>1363</v>
      </c>
      <c r="O2397" s="122">
        <v>505</v>
      </c>
      <c r="P2397" s="122">
        <v>351</v>
      </c>
      <c r="Q2397" s="122">
        <v>130</v>
      </c>
      <c r="R2397" s="122">
        <v>5094</v>
      </c>
      <c r="S2397" s="122">
        <v>4631</v>
      </c>
      <c r="T2397" s="122">
        <v>2844</v>
      </c>
      <c r="U2397" s="122">
        <v>1053</v>
      </c>
      <c r="V2397" s="122">
        <v>30364</v>
      </c>
      <c r="W2397" s="122">
        <f t="shared" si="76"/>
        <v>30364</v>
      </c>
      <c r="X2397" s="122">
        <f t="shared" si="77"/>
        <v>36101</v>
      </c>
      <c r="AA2397" t="s">
        <v>64</v>
      </c>
      <c r="AB2397" t="s">
        <v>407</v>
      </c>
      <c r="AC2397" t="s">
        <v>137</v>
      </c>
      <c r="AD2397" t="s">
        <v>137</v>
      </c>
      <c r="AE2397" t="s">
        <v>137</v>
      </c>
      <c r="AF2397">
        <v>1</v>
      </c>
      <c r="AG2397">
        <v>139</v>
      </c>
      <c r="AH2397" s="122">
        <v>669</v>
      </c>
      <c r="AI2397" s="122">
        <v>63949</v>
      </c>
      <c r="AJ2397" s="122">
        <v>58136</v>
      </c>
      <c r="AK2397">
        <v>50</v>
      </c>
      <c r="AL2397" s="122">
        <v>13850</v>
      </c>
      <c r="AM2397" s="122">
        <v>5130</v>
      </c>
      <c r="AN2397" s="122">
        <v>3040</v>
      </c>
      <c r="AO2397" s="122">
        <v>1126</v>
      </c>
      <c r="AP2397">
        <v>0</v>
      </c>
      <c r="AQ2397">
        <v>0</v>
      </c>
      <c r="AR2397" s="122">
        <v>8086</v>
      </c>
      <c r="AS2397" s="122">
        <v>2995</v>
      </c>
      <c r="AT2397" s="122">
        <v>3783</v>
      </c>
      <c r="AU2397" s="122">
        <v>1401</v>
      </c>
      <c r="AV2397" s="122">
        <v>68787</v>
      </c>
    </row>
    <row r="2398" spans="2:48" hidden="1">
      <c r="B2398" t="s">
        <v>379</v>
      </c>
      <c r="C2398" t="s">
        <v>60</v>
      </c>
      <c r="D2398" t="s">
        <v>407</v>
      </c>
      <c r="E2398" t="s">
        <v>407</v>
      </c>
      <c r="F2398" s="122">
        <v>7</v>
      </c>
      <c r="G2398" s="122">
        <v>781</v>
      </c>
      <c r="H2398" s="122">
        <v>2275</v>
      </c>
      <c r="I2398" s="122">
        <v>163294</v>
      </c>
      <c r="J2398" s="122">
        <v>148449</v>
      </c>
      <c r="K2398" s="122">
        <v>80</v>
      </c>
      <c r="L2398" s="122">
        <v>31372</v>
      </c>
      <c r="M2398" s="122">
        <v>28520</v>
      </c>
      <c r="N2398" s="122">
        <v>18070</v>
      </c>
      <c r="O2398" s="122">
        <v>6693</v>
      </c>
      <c r="P2398" s="122">
        <v>3308</v>
      </c>
      <c r="Q2398" s="122">
        <v>1225</v>
      </c>
      <c r="R2398" s="122">
        <v>29850</v>
      </c>
      <c r="S2398" s="122">
        <v>27136</v>
      </c>
      <c r="T2398" s="122">
        <v>9239</v>
      </c>
      <c r="U2398" s="122">
        <v>3422</v>
      </c>
      <c r="V2398" s="122">
        <v>215445</v>
      </c>
      <c r="W2398" s="122">
        <f t="shared" si="76"/>
        <v>215445</v>
      </c>
      <c r="X2398" s="122">
        <f t="shared" si="77"/>
        <v>255133</v>
      </c>
      <c r="AA2398" t="s">
        <v>64</v>
      </c>
      <c r="AB2398" t="s">
        <v>407</v>
      </c>
      <c r="AC2398" t="s">
        <v>137</v>
      </c>
      <c r="AD2398" t="s">
        <v>137</v>
      </c>
      <c r="AE2398" t="s">
        <v>566</v>
      </c>
      <c r="AF2398">
        <v>2</v>
      </c>
      <c r="AG2398" s="122">
        <v>190</v>
      </c>
      <c r="AH2398" s="122">
        <v>1093</v>
      </c>
      <c r="AI2398" s="122">
        <v>100970</v>
      </c>
      <c r="AJ2398" s="122">
        <v>91791</v>
      </c>
      <c r="AK2398">
        <v>57</v>
      </c>
      <c r="AL2398" s="122">
        <v>14662</v>
      </c>
      <c r="AM2398" s="122">
        <v>5430</v>
      </c>
      <c r="AN2398" s="122">
        <v>5124</v>
      </c>
      <c r="AO2398" s="122">
        <v>1898</v>
      </c>
      <c r="AP2398" s="122">
        <v>0</v>
      </c>
      <c r="AQ2398" s="122">
        <v>0</v>
      </c>
      <c r="AR2398" s="122">
        <v>16112</v>
      </c>
      <c r="AS2398" s="122">
        <v>5968</v>
      </c>
      <c r="AT2398" s="122">
        <v>0</v>
      </c>
      <c r="AU2398" s="122">
        <v>0</v>
      </c>
      <c r="AV2398" s="122">
        <v>105087</v>
      </c>
    </row>
    <row r="2399" spans="2:48" hidden="1">
      <c r="B2399" t="s">
        <v>379</v>
      </c>
      <c r="C2399" t="s">
        <v>60</v>
      </c>
      <c r="D2399" t="s">
        <v>426</v>
      </c>
      <c r="E2399" t="s">
        <v>426</v>
      </c>
      <c r="F2399" s="122">
        <v>26</v>
      </c>
      <c r="G2399" s="122">
        <v>2986</v>
      </c>
      <c r="H2399" s="122">
        <v>8801</v>
      </c>
      <c r="I2399" s="122">
        <v>643947</v>
      </c>
      <c r="J2399" s="122">
        <v>585407</v>
      </c>
      <c r="K2399" s="122">
        <v>61</v>
      </c>
      <c r="L2399" s="122">
        <v>77976</v>
      </c>
      <c r="M2399" s="122">
        <v>70887</v>
      </c>
      <c r="N2399" s="122">
        <v>61553</v>
      </c>
      <c r="O2399" s="122">
        <v>22798</v>
      </c>
      <c r="P2399" s="122">
        <v>14688</v>
      </c>
      <c r="Q2399" s="122">
        <v>5440</v>
      </c>
      <c r="R2399" s="122">
        <v>144135</v>
      </c>
      <c r="S2399" s="122">
        <v>131031</v>
      </c>
      <c r="T2399" s="122">
        <v>66635</v>
      </c>
      <c r="U2399" s="122">
        <v>24680</v>
      </c>
      <c r="V2399" s="122">
        <v>840242</v>
      </c>
      <c r="W2399" s="122">
        <f t="shared" si="76"/>
        <v>840243</v>
      </c>
      <c r="X2399" s="122">
        <f t="shared" si="77"/>
        <v>1008934</v>
      </c>
      <c r="AA2399" t="s">
        <v>64</v>
      </c>
      <c r="AB2399" t="s">
        <v>407</v>
      </c>
      <c r="AC2399" t="s">
        <v>137</v>
      </c>
      <c r="AD2399" t="s">
        <v>407</v>
      </c>
      <c r="AE2399" t="s">
        <v>137</v>
      </c>
      <c r="AF2399">
        <v>19</v>
      </c>
      <c r="AG2399" s="122">
        <v>2221</v>
      </c>
      <c r="AH2399" s="122">
        <v>10337</v>
      </c>
      <c r="AI2399" s="122">
        <v>765154</v>
      </c>
      <c r="AJ2399" s="122">
        <v>695595</v>
      </c>
      <c r="AK2399">
        <v>73</v>
      </c>
      <c r="AL2399" s="122">
        <v>233760</v>
      </c>
      <c r="AM2399" s="122">
        <v>86578</v>
      </c>
      <c r="AN2399" s="122">
        <v>49122</v>
      </c>
      <c r="AO2399" s="122">
        <v>18193</v>
      </c>
      <c r="AP2399" s="122">
        <v>8856</v>
      </c>
      <c r="AQ2399" s="122">
        <v>3280</v>
      </c>
      <c r="AR2399" s="122">
        <v>94877</v>
      </c>
      <c r="AS2399" s="122">
        <v>86252</v>
      </c>
      <c r="AT2399" s="122">
        <v>39805</v>
      </c>
      <c r="AU2399" s="122">
        <v>14743</v>
      </c>
      <c r="AV2399" s="122">
        <v>904641</v>
      </c>
    </row>
    <row r="2400" spans="2:48" hidden="1">
      <c r="B2400" t="s">
        <v>379</v>
      </c>
      <c r="C2400" t="s">
        <v>60</v>
      </c>
      <c r="D2400" t="s">
        <v>408</v>
      </c>
      <c r="E2400" t="s">
        <v>408</v>
      </c>
      <c r="F2400" s="122">
        <v>2</v>
      </c>
      <c r="G2400" s="122">
        <v>202</v>
      </c>
      <c r="H2400" s="122">
        <v>641</v>
      </c>
      <c r="I2400" s="122">
        <v>51098</v>
      </c>
      <c r="J2400" s="122">
        <v>46453</v>
      </c>
      <c r="K2400" s="122">
        <v>89</v>
      </c>
      <c r="L2400" s="122">
        <v>11451</v>
      </c>
      <c r="M2400" s="122">
        <v>10410</v>
      </c>
      <c r="N2400" s="122">
        <v>3683</v>
      </c>
      <c r="O2400" s="122">
        <v>1364</v>
      </c>
      <c r="P2400" s="122">
        <v>702</v>
      </c>
      <c r="Q2400" s="122">
        <v>260</v>
      </c>
      <c r="R2400" s="122">
        <v>9881</v>
      </c>
      <c r="S2400" s="122">
        <v>8982</v>
      </c>
      <c r="T2400" s="122">
        <v>2881</v>
      </c>
      <c r="U2400" s="122">
        <v>1067</v>
      </c>
      <c r="V2400" s="122">
        <v>68536</v>
      </c>
      <c r="W2400" s="122">
        <f t="shared" si="76"/>
        <v>68536</v>
      </c>
      <c r="X2400" s="122">
        <f t="shared" si="77"/>
        <v>79696</v>
      </c>
      <c r="AA2400" t="s">
        <v>64</v>
      </c>
      <c r="AB2400" t="s">
        <v>407</v>
      </c>
      <c r="AC2400" t="s">
        <v>137</v>
      </c>
      <c r="AD2400" t="s">
        <v>407</v>
      </c>
      <c r="AE2400" t="s">
        <v>566</v>
      </c>
      <c r="AF2400">
        <v>16</v>
      </c>
      <c r="AG2400" s="122">
        <v>2027</v>
      </c>
      <c r="AH2400" s="122">
        <v>8479</v>
      </c>
      <c r="AI2400" s="122">
        <v>664157</v>
      </c>
      <c r="AJ2400" s="122">
        <v>603779</v>
      </c>
      <c r="AK2400">
        <v>73</v>
      </c>
      <c r="AL2400" s="122">
        <v>236223</v>
      </c>
      <c r="AM2400" s="122">
        <v>87490</v>
      </c>
      <c r="AN2400" s="122">
        <v>44792</v>
      </c>
      <c r="AO2400" s="122">
        <v>16589</v>
      </c>
      <c r="AP2400" s="122">
        <v>7439</v>
      </c>
      <c r="AQ2400" s="122">
        <v>2755</v>
      </c>
      <c r="AR2400" s="122">
        <v>113952</v>
      </c>
      <c r="AS2400" s="122">
        <v>103593</v>
      </c>
      <c r="AT2400" s="122">
        <v>0</v>
      </c>
      <c r="AU2400" s="122">
        <v>0</v>
      </c>
      <c r="AV2400" s="122">
        <v>814207</v>
      </c>
    </row>
    <row r="2401" spans="2:48" hidden="1">
      <c r="B2401" t="s">
        <v>379</v>
      </c>
      <c r="C2401" t="s">
        <v>62</v>
      </c>
      <c r="D2401" t="s">
        <v>405</v>
      </c>
      <c r="E2401" t="s">
        <v>405</v>
      </c>
      <c r="F2401" s="122">
        <v>1</v>
      </c>
      <c r="G2401" s="122">
        <v>56</v>
      </c>
      <c r="H2401" s="122">
        <v>423</v>
      </c>
      <c r="I2401" s="122">
        <v>14858</v>
      </c>
      <c r="J2401" s="122">
        <v>13507</v>
      </c>
      <c r="K2401" s="122">
        <v>65</v>
      </c>
      <c r="L2401" s="122">
        <v>1759</v>
      </c>
      <c r="M2401" s="122">
        <v>1599</v>
      </c>
      <c r="N2401" s="122">
        <v>758</v>
      </c>
      <c r="O2401" s="122">
        <v>281</v>
      </c>
      <c r="P2401" s="122">
        <v>473</v>
      </c>
      <c r="Q2401" s="122">
        <v>175</v>
      </c>
      <c r="R2401" s="122">
        <v>3533</v>
      </c>
      <c r="S2401" s="122">
        <v>3212</v>
      </c>
      <c r="T2401" s="122">
        <v>2094</v>
      </c>
      <c r="U2401" s="122">
        <v>776</v>
      </c>
      <c r="V2401" s="122">
        <v>19549</v>
      </c>
      <c r="W2401" s="122">
        <f t="shared" si="76"/>
        <v>19550</v>
      </c>
      <c r="X2401" s="122">
        <f t="shared" si="77"/>
        <v>23475</v>
      </c>
      <c r="AA2401" t="s">
        <v>64</v>
      </c>
      <c r="AB2401" t="s">
        <v>407</v>
      </c>
      <c r="AC2401" t="s">
        <v>580</v>
      </c>
      <c r="AD2401" t="s">
        <v>407</v>
      </c>
      <c r="AE2401" t="s">
        <v>137</v>
      </c>
      <c r="AF2401">
        <v>1</v>
      </c>
      <c r="AG2401" s="122">
        <v>202</v>
      </c>
      <c r="AH2401" s="122">
        <v>468</v>
      </c>
      <c r="AI2401" s="122">
        <v>71018</v>
      </c>
      <c r="AJ2401" s="122">
        <v>64562</v>
      </c>
      <c r="AK2401">
        <v>65</v>
      </c>
      <c r="AL2401" s="122">
        <v>8128</v>
      </c>
      <c r="AM2401" s="122">
        <v>7389</v>
      </c>
      <c r="AN2401" s="122">
        <v>4919</v>
      </c>
      <c r="AO2401" s="122">
        <v>1822</v>
      </c>
      <c r="AP2401" s="122">
        <v>743</v>
      </c>
      <c r="AQ2401" s="122">
        <v>275</v>
      </c>
      <c r="AR2401" s="122">
        <v>6198</v>
      </c>
      <c r="AS2401" s="122">
        <v>5635</v>
      </c>
      <c r="AT2401" s="122">
        <v>3540</v>
      </c>
      <c r="AU2401" s="122">
        <v>1311</v>
      </c>
      <c r="AV2401" s="122">
        <v>80994</v>
      </c>
    </row>
    <row r="2402" spans="2:48" hidden="1">
      <c r="B2402" t="s">
        <v>379</v>
      </c>
      <c r="C2402" t="s">
        <v>62</v>
      </c>
      <c r="D2402" t="s">
        <v>405</v>
      </c>
      <c r="E2402" t="s">
        <v>406</v>
      </c>
      <c r="F2402" s="122">
        <v>1</v>
      </c>
      <c r="G2402" s="122">
        <v>128</v>
      </c>
      <c r="H2402" s="122">
        <v>399</v>
      </c>
      <c r="I2402" s="122">
        <v>36293</v>
      </c>
      <c r="J2402" s="122">
        <v>32994</v>
      </c>
      <c r="K2402" s="122">
        <v>85</v>
      </c>
      <c r="L2402" s="122">
        <v>10848</v>
      </c>
      <c r="M2402" s="122">
        <v>9861</v>
      </c>
      <c r="N2402" s="122">
        <v>2659</v>
      </c>
      <c r="O2402" s="122">
        <v>985</v>
      </c>
      <c r="P2402" s="122">
        <v>621</v>
      </c>
      <c r="Q2402" s="122">
        <v>230</v>
      </c>
      <c r="R2402" s="122">
        <v>4429</v>
      </c>
      <c r="S2402" s="122">
        <v>4027</v>
      </c>
      <c r="T2402" s="122">
        <v>3237</v>
      </c>
      <c r="U2402" s="122">
        <v>1199</v>
      </c>
      <c r="V2402" s="122">
        <v>49296</v>
      </c>
      <c r="W2402" s="122">
        <f t="shared" si="76"/>
        <v>49296</v>
      </c>
      <c r="X2402" s="122">
        <f t="shared" si="77"/>
        <v>58087</v>
      </c>
      <c r="AA2402" t="s">
        <v>64</v>
      </c>
      <c r="AB2402" t="s">
        <v>407</v>
      </c>
      <c r="AC2402" t="s">
        <v>427</v>
      </c>
      <c r="AD2402" t="s">
        <v>407</v>
      </c>
      <c r="AE2402" t="s">
        <v>137</v>
      </c>
      <c r="AF2402">
        <v>38</v>
      </c>
      <c r="AG2402" s="122">
        <v>4213</v>
      </c>
      <c r="AH2402" s="122">
        <v>21228</v>
      </c>
      <c r="AI2402" s="122">
        <v>1608785</v>
      </c>
      <c r="AJ2402" s="122">
        <v>1462532</v>
      </c>
      <c r="AK2402">
        <v>72</v>
      </c>
      <c r="AL2402" s="122">
        <v>393665</v>
      </c>
      <c r="AM2402" s="122">
        <v>357877</v>
      </c>
      <c r="AN2402" s="122">
        <v>97864</v>
      </c>
      <c r="AO2402" s="122">
        <v>36246</v>
      </c>
      <c r="AP2402" s="122">
        <v>17591</v>
      </c>
      <c r="AQ2402" s="122">
        <v>6515</v>
      </c>
      <c r="AR2402" s="122">
        <v>210227</v>
      </c>
      <c r="AS2402" s="122">
        <v>191116</v>
      </c>
      <c r="AT2402" s="122">
        <v>93514</v>
      </c>
      <c r="AU2402" s="122">
        <v>34635</v>
      </c>
      <c r="AV2402" s="122">
        <v>2088921</v>
      </c>
    </row>
    <row r="2403" spans="2:48" hidden="1">
      <c r="B2403" t="s">
        <v>379</v>
      </c>
      <c r="C2403" t="s">
        <v>62</v>
      </c>
      <c r="D2403" t="s">
        <v>137</v>
      </c>
      <c r="E2403" t="s">
        <v>137</v>
      </c>
      <c r="F2403" s="122">
        <v>4</v>
      </c>
      <c r="G2403" s="122">
        <v>429</v>
      </c>
      <c r="H2403" s="122">
        <v>1649</v>
      </c>
      <c r="I2403" s="122">
        <v>124258</v>
      </c>
      <c r="J2403" s="122">
        <v>46022</v>
      </c>
      <c r="K2403" s="122">
        <v>100</v>
      </c>
      <c r="L2403" s="122">
        <v>13404</v>
      </c>
      <c r="M2403" s="122">
        <v>12185</v>
      </c>
      <c r="N2403" s="122">
        <v>8801</v>
      </c>
      <c r="O2403" s="122">
        <v>3260</v>
      </c>
      <c r="P2403" s="122">
        <v>351</v>
      </c>
      <c r="Q2403" s="122">
        <v>130</v>
      </c>
      <c r="R2403" s="122">
        <v>28179</v>
      </c>
      <c r="S2403" s="122">
        <v>10437</v>
      </c>
      <c r="T2403" s="122">
        <v>0</v>
      </c>
      <c r="U2403" s="122">
        <v>0</v>
      </c>
      <c r="V2403" s="122">
        <v>72033</v>
      </c>
      <c r="W2403" s="122">
        <f t="shared" si="76"/>
        <v>72034</v>
      </c>
      <c r="X2403" s="122">
        <f t="shared" si="77"/>
        <v>174993</v>
      </c>
      <c r="AA2403" t="s">
        <v>64</v>
      </c>
      <c r="AB2403" t="s">
        <v>407</v>
      </c>
      <c r="AC2403" t="s">
        <v>427</v>
      </c>
      <c r="AD2403" t="s">
        <v>407</v>
      </c>
      <c r="AE2403" t="s">
        <v>566</v>
      </c>
      <c r="AF2403">
        <v>23</v>
      </c>
      <c r="AG2403" s="122">
        <v>1908</v>
      </c>
      <c r="AH2403" s="122">
        <v>13289</v>
      </c>
      <c r="AI2403" s="122">
        <v>738401</v>
      </c>
      <c r="AJ2403" s="122">
        <v>671273</v>
      </c>
      <c r="AK2403">
        <v>74</v>
      </c>
      <c r="AL2403" s="122">
        <v>183287</v>
      </c>
      <c r="AM2403" s="122">
        <v>166625</v>
      </c>
      <c r="AN2403" s="122">
        <v>45056</v>
      </c>
      <c r="AO2403" s="122">
        <v>16687</v>
      </c>
      <c r="AP2403" s="122">
        <v>10746</v>
      </c>
      <c r="AQ2403" s="122">
        <v>3980</v>
      </c>
      <c r="AR2403" s="122">
        <v>148768</v>
      </c>
      <c r="AS2403" s="122">
        <v>135243</v>
      </c>
      <c r="AT2403">
        <v>0</v>
      </c>
      <c r="AU2403">
        <v>0</v>
      </c>
      <c r="AV2403" s="122">
        <v>993809</v>
      </c>
    </row>
    <row r="2404" spans="2:48" hidden="1">
      <c r="B2404" t="s">
        <v>379</v>
      </c>
      <c r="C2404" t="s">
        <v>62</v>
      </c>
      <c r="D2404" t="s">
        <v>406</v>
      </c>
      <c r="E2404" t="s">
        <v>137</v>
      </c>
      <c r="F2404" s="122">
        <v>1</v>
      </c>
      <c r="G2404" s="122">
        <v>197</v>
      </c>
      <c r="H2404" s="122">
        <v>396</v>
      </c>
      <c r="I2404" s="122">
        <v>42759</v>
      </c>
      <c r="J2404" s="122">
        <v>38872</v>
      </c>
      <c r="K2404" s="122">
        <v>60</v>
      </c>
      <c r="L2404" s="122">
        <v>10557</v>
      </c>
      <c r="M2404" s="122">
        <v>3910</v>
      </c>
      <c r="N2404" s="122">
        <v>3596</v>
      </c>
      <c r="O2404" s="122">
        <v>1332</v>
      </c>
      <c r="P2404" s="122">
        <v>621</v>
      </c>
      <c r="Q2404" s="122">
        <v>230</v>
      </c>
      <c r="R2404" s="122">
        <v>16791</v>
      </c>
      <c r="S2404" s="122">
        <v>6219</v>
      </c>
      <c r="T2404" s="122">
        <v>3627</v>
      </c>
      <c r="U2404" s="122">
        <v>1343</v>
      </c>
      <c r="V2404" s="122">
        <v>51906</v>
      </c>
      <c r="W2404" s="122">
        <f t="shared" si="76"/>
        <v>51906</v>
      </c>
      <c r="X2404" s="122">
        <f t="shared" si="77"/>
        <v>77951</v>
      </c>
      <c r="AA2404" t="s">
        <v>64</v>
      </c>
      <c r="AB2404" t="s">
        <v>407</v>
      </c>
      <c r="AC2404" t="s">
        <v>407</v>
      </c>
      <c r="AD2404" t="s">
        <v>137</v>
      </c>
      <c r="AE2404" t="s">
        <v>566</v>
      </c>
      <c r="AF2404">
        <v>4</v>
      </c>
      <c r="AG2404" s="122">
        <v>389</v>
      </c>
      <c r="AH2404" s="122">
        <v>2090</v>
      </c>
      <c r="AI2404" s="122">
        <v>124045</v>
      </c>
      <c r="AJ2404" s="122">
        <v>112768</v>
      </c>
      <c r="AK2404">
        <v>71</v>
      </c>
      <c r="AL2404" s="122">
        <v>26065</v>
      </c>
      <c r="AM2404" s="122">
        <v>23696</v>
      </c>
      <c r="AN2404" s="122">
        <v>9145</v>
      </c>
      <c r="AO2404" s="122">
        <v>3387</v>
      </c>
      <c r="AP2404" s="122">
        <v>1495</v>
      </c>
      <c r="AQ2404" s="122">
        <v>554</v>
      </c>
      <c r="AR2404" s="122">
        <v>38184</v>
      </c>
      <c r="AS2404" s="122">
        <v>14142</v>
      </c>
      <c r="AT2404" s="122">
        <v>0</v>
      </c>
      <c r="AU2404" s="122">
        <v>0</v>
      </c>
      <c r="AV2404" s="122">
        <v>154547</v>
      </c>
    </row>
    <row r="2405" spans="2:48" hidden="1">
      <c r="B2405" t="s">
        <v>379</v>
      </c>
      <c r="C2405" t="s">
        <v>62</v>
      </c>
      <c r="D2405" t="s">
        <v>406</v>
      </c>
      <c r="E2405" t="s">
        <v>406</v>
      </c>
      <c r="F2405" s="122">
        <v>158</v>
      </c>
      <c r="G2405" s="122">
        <v>17094</v>
      </c>
      <c r="H2405" s="122">
        <v>65568</v>
      </c>
      <c r="I2405" s="122">
        <v>4627657</v>
      </c>
      <c r="J2405" s="122">
        <v>4206961</v>
      </c>
      <c r="K2405" s="122">
        <v>72</v>
      </c>
      <c r="L2405" s="122">
        <v>907693</v>
      </c>
      <c r="M2405" s="122">
        <v>790765</v>
      </c>
      <c r="N2405" s="122">
        <v>361361</v>
      </c>
      <c r="O2405" s="122">
        <v>133837</v>
      </c>
      <c r="P2405" s="122">
        <v>99995</v>
      </c>
      <c r="Q2405" s="122">
        <v>37035</v>
      </c>
      <c r="R2405" s="122">
        <v>838334</v>
      </c>
      <c r="S2405" s="122">
        <v>762122</v>
      </c>
      <c r="T2405" s="122">
        <v>352657</v>
      </c>
      <c r="U2405" s="122">
        <v>130614</v>
      </c>
      <c r="V2405" s="122">
        <v>6061333</v>
      </c>
      <c r="W2405" s="122">
        <f t="shared" si="76"/>
        <v>6061334</v>
      </c>
      <c r="X2405" s="122">
        <f t="shared" si="77"/>
        <v>7187697</v>
      </c>
      <c r="AA2405" t="s">
        <v>64</v>
      </c>
      <c r="AB2405" t="s">
        <v>407</v>
      </c>
      <c r="AC2405" t="s">
        <v>407</v>
      </c>
      <c r="AD2405" t="s">
        <v>407</v>
      </c>
      <c r="AE2405" t="s">
        <v>137</v>
      </c>
      <c r="AF2405">
        <v>190</v>
      </c>
      <c r="AG2405" s="122">
        <v>22781</v>
      </c>
      <c r="AH2405" s="122">
        <v>99760</v>
      </c>
      <c r="AI2405" s="122">
        <v>7785870</v>
      </c>
      <c r="AJ2405" s="122">
        <v>7078064</v>
      </c>
      <c r="AK2405">
        <v>71</v>
      </c>
      <c r="AL2405" s="122">
        <v>2131936</v>
      </c>
      <c r="AM2405" s="122">
        <v>1938123</v>
      </c>
      <c r="AN2405" s="122">
        <v>508265</v>
      </c>
      <c r="AO2405" s="122">
        <v>188246</v>
      </c>
      <c r="AP2405" s="122">
        <v>88580</v>
      </c>
      <c r="AQ2405" s="122">
        <v>32807</v>
      </c>
      <c r="AR2405" s="122">
        <v>965057</v>
      </c>
      <c r="AS2405" s="122">
        <v>877324</v>
      </c>
      <c r="AT2405" s="122">
        <v>496649</v>
      </c>
      <c r="AU2405" s="122">
        <v>183944</v>
      </c>
      <c r="AV2405" s="122">
        <v>10298509</v>
      </c>
    </row>
    <row r="2406" spans="2:48" hidden="1">
      <c r="B2406" t="s">
        <v>379</v>
      </c>
      <c r="C2406" t="s">
        <v>62</v>
      </c>
      <c r="D2406" t="s">
        <v>427</v>
      </c>
      <c r="E2406" t="s">
        <v>427</v>
      </c>
      <c r="F2406" s="122">
        <v>3</v>
      </c>
      <c r="G2406" s="122">
        <v>368</v>
      </c>
      <c r="H2406" s="122">
        <v>1251</v>
      </c>
      <c r="I2406" s="122">
        <v>123926</v>
      </c>
      <c r="J2406" s="122">
        <v>112660</v>
      </c>
      <c r="K2406" s="122">
        <v>53</v>
      </c>
      <c r="L2406" s="122">
        <v>23398</v>
      </c>
      <c r="M2406" s="122">
        <v>21271</v>
      </c>
      <c r="N2406" s="122">
        <v>7396</v>
      </c>
      <c r="O2406" s="122">
        <v>2739</v>
      </c>
      <c r="P2406" s="122">
        <v>1053</v>
      </c>
      <c r="Q2406" s="122">
        <v>390</v>
      </c>
      <c r="R2406" s="122">
        <v>19171</v>
      </c>
      <c r="S2406" s="122">
        <v>17428</v>
      </c>
      <c r="T2406" s="122">
        <v>9554</v>
      </c>
      <c r="U2406" s="122">
        <v>3539</v>
      </c>
      <c r="V2406" s="122">
        <v>158027</v>
      </c>
      <c r="W2406" s="122">
        <f t="shared" si="76"/>
        <v>158027</v>
      </c>
      <c r="X2406" s="122">
        <f t="shared" si="77"/>
        <v>184498</v>
      </c>
      <c r="AA2406" t="s">
        <v>64</v>
      </c>
      <c r="AB2406" t="s">
        <v>407</v>
      </c>
      <c r="AC2406" t="s">
        <v>407</v>
      </c>
      <c r="AD2406" t="s">
        <v>407</v>
      </c>
      <c r="AE2406" t="s">
        <v>566</v>
      </c>
      <c r="AF2406">
        <v>62</v>
      </c>
      <c r="AG2406" s="122">
        <v>7002</v>
      </c>
      <c r="AH2406" s="122">
        <v>37008</v>
      </c>
      <c r="AI2406" s="122">
        <v>2477633</v>
      </c>
      <c r="AJ2406" s="122">
        <v>2252393</v>
      </c>
      <c r="AK2406">
        <v>72</v>
      </c>
      <c r="AL2406" s="122">
        <v>999860</v>
      </c>
      <c r="AM2406" s="122">
        <v>908964</v>
      </c>
      <c r="AN2406" s="122">
        <v>159464</v>
      </c>
      <c r="AO2406" s="122">
        <v>59061</v>
      </c>
      <c r="AP2406" s="122">
        <v>28944</v>
      </c>
      <c r="AQ2406" s="122">
        <v>10720</v>
      </c>
      <c r="AR2406" s="122">
        <v>458829</v>
      </c>
      <c r="AS2406" s="122">
        <v>417118</v>
      </c>
      <c r="AT2406">
        <v>0</v>
      </c>
      <c r="AU2406">
        <v>0</v>
      </c>
      <c r="AV2406" s="122">
        <v>3648256</v>
      </c>
    </row>
    <row r="2407" spans="2:48" hidden="1">
      <c r="B2407" t="s">
        <v>379</v>
      </c>
      <c r="C2407" t="s">
        <v>62</v>
      </c>
      <c r="D2407" t="s">
        <v>407</v>
      </c>
      <c r="E2407" t="s">
        <v>407</v>
      </c>
      <c r="F2407" s="122">
        <v>1</v>
      </c>
      <c r="G2407" s="122">
        <v>114</v>
      </c>
      <c r="H2407" s="122">
        <v>424</v>
      </c>
      <c r="I2407" s="122">
        <v>32855</v>
      </c>
      <c r="J2407" s="122">
        <v>29868</v>
      </c>
      <c r="K2407" s="122">
        <v>91</v>
      </c>
      <c r="L2407" s="122">
        <v>6841</v>
      </c>
      <c r="M2407" s="122">
        <v>6219</v>
      </c>
      <c r="N2407" s="122">
        <v>2133</v>
      </c>
      <c r="O2407" s="122">
        <v>790</v>
      </c>
      <c r="P2407" s="122">
        <v>473</v>
      </c>
      <c r="Q2407" s="122">
        <v>175</v>
      </c>
      <c r="R2407" s="122">
        <v>5919</v>
      </c>
      <c r="S2407" s="122">
        <v>5381</v>
      </c>
      <c r="T2407" s="122">
        <v>0</v>
      </c>
      <c r="U2407" s="122">
        <v>0</v>
      </c>
      <c r="V2407" s="122">
        <v>42433</v>
      </c>
      <c r="W2407" s="122">
        <f t="shared" si="76"/>
        <v>42433</v>
      </c>
      <c r="X2407" s="122">
        <f t="shared" si="77"/>
        <v>48221</v>
      </c>
      <c r="AA2407" t="s">
        <v>64</v>
      </c>
      <c r="AB2407" t="s">
        <v>407</v>
      </c>
      <c r="AC2407" t="s">
        <v>579</v>
      </c>
      <c r="AD2407" t="s">
        <v>137</v>
      </c>
      <c r="AE2407" t="s">
        <v>566</v>
      </c>
      <c r="AF2407">
        <v>6</v>
      </c>
      <c r="AG2407" s="122">
        <v>742</v>
      </c>
      <c r="AH2407" s="122">
        <v>3569</v>
      </c>
      <c r="AI2407" s="122">
        <v>262103</v>
      </c>
      <c r="AJ2407" s="122">
        <v>238275</v>
      </c>
      <c r="AK2407">
        <v>71</v>
      </c>
      <c r="AL2407" s="122">
        <v>73236</v>
      </c>
      <c r="AM2407" s="122">
        <v>61030</v>
      </c>
      <c r="AN2407" s="122">
        <v>16893</v>
      </c>
      <c r="AO2407" s="122">
        <v>6257</v>
      </c>
      <c r="AP2407" s="122">
        <v>2363</v>
      </c>
      <c r="AQ2407" s="122">
        <v>875</v>
      </c>
      <c r="AR2407" s="122">
        <v>56316</v>
      </c>
      <c r="AS2407" s="122">
        <v>20858</v>
      </c>
      <c r="AT2407" s="122">
        <v>0</v>
      </c>
      <c r="AU2407" s="122">
        <v>0</v>
      </c>
      <c r="AV2407" s="122">
        <v>327295</v>
      </c>
    </row>
    <row r="2408" spans="2:48" hidden="1">
      <c r="B2408" t="s">
        <v>379</v>
      </c>
      <c r="C2408" t="s">
        <v>62</v>
      </c>
      <c r="D2408" t="s">
        <v>556</v>
      </c>
      <c r="E2408" t="s">
        <v>556</v>
      </c>
      <c r="F2408" s="122">
        <v>1</v>
      </c>
      <c r="G2408" s="122">
        <v>126</v>
      </c>
      <c r="H2408" s="122">
        <v>398</v>
      </c>
      <c r="I2408" s="122">
        <v>33271</v>
      </c>
      <c r="J2408" s="122">
        <v>27726</v>
      </c>
      <c r="K2408" s="122">
        <v>45</v>
      </c>
      <c r="L2408" s="122">
        <v>2773</v>
      </c>
      <c r="M2408" s="122">
        <v>2311</v>
      </c>
      <c r="N2408" s="122">
        <v>2406</v>
      </c>
      <c r="O2408" s="122">
        <v>891</v>
      </c>
      <c r="P2408" s="122">
        <v>351</v>
      </c>
      <c r="Q2408" s="122">
        <v>130</v>
      </c>
      <c r="R2408" s="122">
        <v>8219</v>
      </c>
      <c r="S2408" s="122">
        <v>6849</v>
      </c>
      <c r="T2408" s="122">
        <v>3012</v>
      </c>
      <c r="U2408" s="122">
        <v>1115</v>
      </c>
      <c r="V2408" s="122">
        <v>39022</v>
      </c>
      <c r="W2408" s="122">
        <f t="shared" si="76"/>
        <v>39022</v>
      </c>
      <c r="X2408" s="122">
        <f t="shared" si="77"/>
        <v>50032</v>
      </c>
      <c r="AA2408" t="s">
        <v>64</v>
      </c>
      <c r="AB2408" t="s">
        <v>407</v>
      </c>
      <c r="AC2408" t="s">
        <v>579</v>
      </c>
      <c r="AD2408" t="s">
        <v>407</v>
      </c>
      <c r="AE2408" t="s">
        <v>137</v>
      </c>
      <c r="AF2408">
        <v>219</v>
      </c>
      <c r="AG2408" s="122">
        <v>27374</v>
      </c>
      <c r="AH2408" s="122">
        <v>117350</v>
      </c>
      <c r="AI2408" s="122">
        <v>9744080</v>
      </c>
      <c r="AJ2408" s="122">
        <v>8858254</v>
      </c>
      <c r="AK2408">
        <v>73</v>
      </c>
      <c r="AL2408" s="122">
        <v>2582812</v>
      </c>
      <c r="AM2408" s="122">
        <v>2152343</v>
      </c>
      <c r="AN2408" s="122">
        <v>601034</v>
      </c>
      <c r="AO2408" s="122">
        <v>222605</v>
      </c>
      <c r="AP2408" s="122">
        <v>103496</v>
      </c>
      <c r="AQ2408" s="122">
        <v>38332</v>
      </c>
      <c r="AR2408" s="122">
        <v>1074595</v>
      </c>
      <c r="AS2408" s="122">
        <v>976904</v>
      </c>
      <c r="AT2408" s="122">
        <v>571203</v>
      </c>
      <c r="AU2408" s="122">
        <v>211557</v>
      </c>
      <c r="AV2408" s="122">
        <v>12459996</v>
      </c>
    </row>
    <row r="2409" spans="2:48" hidden="1">
      <c r="B2409" t="s">
        <v>379</v>
      </c>
      <c r="C2409" t="s">
        <v>62</v>
      </c>
      <c r="D2409" t="s">
        <v>426</v>
      </c>
      <c r="E2409" t="s">
        <v>426</v>
      </c>
      <c r="F2409" s="122">
        <v>14</v>
      </c>
      <c r="G2409" s="122">
        <v>1424</v>
      </c>
      <c r="H2409" s="122">
        <v>5771</v>
      </c>
      <c r="I2409" s="122">
        <v>383139</v>
      </c>
      <c r="J2409" s="122">
        <v>348308</v>
      </c>
      <c r="K2409" s="122">
        <v>55</v>
      </c>
      <c r="L2409" s="122">
        <v>50575</v>
      </c>
      <c r="M2409" s="122">
        <v>45977</v>
      </c>
      <c r="N2409" s="122">
        <v>29689</v>
      </c>
      <c r="O2409" s="122">
        <v>10996</v>
      </c>
      <c r="P2409" s="122">
        <v>6615</v>
      </c>
      <c r="Q2409" s="122">
        <v>2450</v>
      </c>
      <c r="R2409" s="122">
        <v>85338</v>
      </c>
      <c r="S2409" s="122">
        <v>77580</v>
      </c>
      <c r="T2409" s="122">
        <v>32297</v>
      </c>
      <c r="U2409" s="122">
        <v>11962</v>
      </c>
      <c r="V2409" s="122">
        <v>497274</v>
      </c>
      <c r="W2409" s="122">
        <f t="shared" si="76"/>
        <v>497273</v>
      </c>
      <c r="X2409" s="122">
        <f t="shared" si="77"/>
        <v>587653</v>
      </c>
      <c r="AA2409" t="s">
        <v>64</v>
      </c>
      <c r="AB2409" t="s">
        <v>407</v>
      </c>
      <c r="AC2409" t="s">
        <v>579</v>
      </c>
      <c r="AD2409" t="s">
        <v>407</v>
      </c>
      <c r="AE2409" t="s">
        <v>566</v>
      </c>
      <c r="AF2409">
        <v>72</v>
      </c>
      <c r="AG2409" s="122">
        <v>8677</v>
      </c>
      <c r="AH2409" s="122">
        <v>37339</v>
      </c>
      <c r="AI2409" s="122">
        <v>3040803</v>
      </c>
      <c r="AJ2409" s="122">
        <v>2764367</v>
      </c>
      <c r="AK2409">
        <v>75</v>
      </c>
      <c r="AL2409" s="122">
        <v>832823</v>
      </c>
      <c r="AM2409" s="122">
        <v>694019</v>
      </c>
      <c r="AN2409" s="122">
        <v>186392</v>
      </c>
      <c r="AO2409" s="122">
        <v>69034</v>
      </c>
      <c r="AP2409" s="122">
        <v>33764</v>
      </c>
      <c r="AQ2409" s="122">
        <v>12505</v>
      </c>
      <c r="AR2409" s="122">
        <v>462090</v>
      </c>
      <c r="AS2409" s="122">
        <v>420082</v>
      </c>
      <c r="AT2409" s="122">
        <v>0</v>
      </c>
      <c r="AU2409" s="122">
        <v>0</v>
      </c>
      <c r="AV2409" s="122">
        <v>3960007</v>
      </c>
    </row>
    <row r="2410" spans="2:48" hidden="1">
      <c r="B2410" t="s">
        <v>379</v>
      </c>
      <c r="C2410" t="s">
        <v>62</v>
      </c>
      <c r="D2410" t="s">
        <v>433</v>
      </c>
      <c r="E2410" t="s">
        <v>433</v>
      </c>
      <c r="F2410" s="122">
        <v>1</v>
      </c>
      <c r="G2410" s="122">
        <v>110</v>
      </c>
      <c r="H2410" s="122">
        <v>420</v>
      </c>
      <c r="I2410" s="122">
        <v>35763</v>
      </c>
      <c r="J2410" s="122">
        <v>32512</v>
      </c>
      <c r="K2410" s="122">
        <v>70</v>
      </c>
      <c r="L2410" s="122">
        <v>4279</v>
      </c>
      <c r="M2410" s="122">
        <v>3890</v>
      </c>
      <c r="N2410" s="122">
        <v>2354</v>
      </c>
      <c r="O2410" s="122">
        <v>872</v>
      </c>
      <c r="P2410" s="122">
        <v>351</v>
      </c>
      <c r="Q2410" s="122">
        <v>130</v>
      </c>
      <c r="R2410" s="122">
        <v>2303</v>
      </c>
      <c r="S2410" s="122">
        <v>2093</v>
      </c>
      <c r="T2410" s="122">
        <v>1333</v>
      </c>
      <c r="U2410" s="122">
        <v>494</v>
      </c>
      <c r="V2410" s="122">
        <v>39991</v>
      </c>
      <c r="W2410" s="122">
        <f t="shared" si="76"/>
        <v>39991</v>
      </c>
      <c r="X2410" s="122">
        <f t="shared" si="77"/>
        <v>46383</v>
      </c>
      <c r="AA2410" t="s">
        <v>64</v>
      </c>
      <c r="AB2410" t="s">
        <v>407</v>
      </c>
      <c r="AC2410" t="s">
        <v>428</v>
      </c>
      <c r="AD2410" t="s">
        <v>407</v>
      </c>
      <c r="AE2410" t="s">
        <v>137</v>
      </c>
      <c r="AF2410">
        <v>2</v>
      </c>
      <c r="AG2410">
        <v>119</v>
      </c>
      <c r="AH2410" s="122">
        <v>1068</v>
      </c>
      <c r="AI2410" s="122">
        <v>41379</v>
      </c>
      <c r="AJ2410" s="122">
        <v>37618</v>
      </c>
      <c r="AK2410">
        <v>73</v>
      </c>
      <c r="AL2410" s="122">
        <v>5929</v>
      </c>
      <c r="AM2410" s="122">
        <v>5390</v>
      </c>
      <c r="AN2410" s="122">
        <v>1926</v>
      </c>
      <c r="AO2410" s="122">
        <v>713</v>
      </c>
      <c r="AP2410">
        <v>824</v>
      </c>
      <c r="AQ2410">
        <v>305</v>
      </c>
      <c r="AR2410" s="122">
        <v>8407</v>
      </c>
      <c r="AS2410" s="122">
        <v>7643</v>
      </c>
      <c r="AT2410" s="122">
        <v>4820</v>
      </c>
      <c r="AU2410" s="122">
        <v>1785</v>
      </c>
      <c r="AV2410" s="122">
        <v>53453</v>
      </c>
    </row>
    <row r="2411" spans="2:48" hidden="1">
      <c r="B2411" t="s">
        <v>379</v>
      </c>
      <c r="C2411" t="s">
        <v>64</v>
      </c>
      <c r="D2411" t="s">
        <v>405</v>
      </c>
      <c r="E2411" t="s">
        <v>137</v>
      </c>
      <c r="F2411" s="122">
        <v>1</v>
      </c>
      <c r="G2411" s="122">
        <v>39</v>
      </c>
      <c r="H2411" s="122">
        <v>1063</v>
      </c>
      <c r="I2411" s="122">
        <v>35253</v>
      </c>
      <c r="J2411" s="122">
        <v>32048</v>
      </c>
      <c r="K2411" s="122">
        <v>45</v>
      </c>
      <c r="L2411" s="122">
        <v>0</v>
      </c>
      <c r="M2411" s="122">
        <v>0</v>
      </c>
      <c r="N2411" s="122">
        <v>891</v>
      </c>
      <c r="O2411" s="122">
        <v>330</v>
      </c>
      <c r="P2411" s="122">
        <v>0</v>
      </c>
      <c r="Q2411" s="122">
        <v>0</v>
      </c>
      <c r="R2411" s="122">
        <v>5626</v>
      </c>
      <c r="S2411" s="122">
        <v>2084</v>
      </c>
      <c r="T2411" s="122">
        <v>0</v>
      </c>
      <c r="U2411" s="122">
        <v>0</v>
      </c>
      <c r="V2411" s="122">
        <v>34462</v>
      </c>
      <c r="W2411" s="122">
        <f t="shared" si="76"/>
        <v>34462</v>
      </c>
      <c r="X2411" s="122">
        <f t="shared" si="77"/>
        <v>41770</v>
      </c>
      <c r="AA2411" t="s">
        <v>64</v>
      </c>
      <c r="AB2411" t="s">
        <v>407</v>
      </c>
      <c r="AC2411" t="s">
        <v>431</v>
      </c>
      <c r="AD2411" t="s">
        <v>407</v>
      </c>
      <c r="AE2411" t="s">
        <v>566</v>
      </c>
      <c r="AF2411">
        <v>1</v>
      </c>
      <c r="AG2411">
        <v>122</v>
      </c>
      <c r="AH2411" s="122">
        <v>456</v>
      </c>
      <c r="AI2411" s="122">
        <v>35227</v>
      </c>
      <c r="AJ2411" s="122">
        <v>32024</v>
      </c>
      <c r="AK2411">
        <v>63</v>
      </c>
      <c r="AL2411" s="122">
        <v>7802</v>
      </c>
      <c r="AM2411" s="122">
        <v>7093</v>
      </c>
      <c r="AN2411" s="122">
        <v>2980</v>
      </c>
      <c r="AO2411" s="122">
        <v>1104</v>
      </c>
      <c r="AP2411" s="122">
        <v>473</v>
      </c>
      <c r="AQ2411">
        <v>175</v>
      </c>
      <c r="AR2411" s="122">
        <v>9287</v>
      </c>
      <c r="AS2411" s="122">
        <v>8443</v>
      </c>
      <c r="AT2411" s="122">
        <v>0</v>
      </c>
      <c r="AU2411" s="122">
        <v>0</v>
      </c>
      <c r="AV2411" s="122">
        <v>48839</v>
      </c>
    </row>
    <row r="2412" spans="2:48" hidden="1">
      <c r="B2412" t="s">
        <v>379</v>
      </c>
      <c r="C2412" t="s">
        <v>64</v>
      </c>
      <c r="D2412" t="s">
        <v>137</v>
      </c>
      <c r="E2412" t="s">
        <v>137</v>
      </c>
      <c r="F2412" s="122">
        <v>29</v>
      </c>
      <c r="G2412" s="122">
        <v>3040</v>
      </c>
      <c r="H2412" s="122">
        <v>20936</v>
      </c>
      <c r="I2412" s="122">
        <v>1597201</v>
      </c>
      <c r="J2412" s="122">
        <v>591556</v>
      </c>
      <c r="K2412" s="122">
        <v>100</v>
      </c>
      <c r="L2412" s="122">
        <v>223368</v>
      </c>
      <c r="M2412" s="122">
        <v>186651</v>
      </c>
      <c r="N2412" s="122">
        <v>73032</v>
      </c>
      <c r="O2412" s="122">
        <v>27049</v>
      </c>
      <c r="P2412" s="122">
        <v>0</v>
      </c>
      <c r="Q2412" s="122">
        <v>0</v>
      </c>
      <c r="R2412" s="122">
        <v>191710</v>
      </c>
      <c r="S2412" s="122">
        <v>71004</v>
      </c>
      <c r="T2412" s="122">
        <v>1317</v>
      </c>
      <c r="U2412" s="122">
        <v>488</v>
      </c>
      <c r="V2412" s="122">
        <v>876747</v>
      </c>
      <c r="W2412" s="122">
        <f t="shared" ref="W2412:W2475" si="78">SUM(ABS(J2412),ABS(M2412),ABS(O2412),ABS(Q2412),ABS(S2412),ABS(U2412))</f>
        <v>876748</v>
      </c>
      <c r="X2412" s="122">
        <f t="shared" ref="X2412:X2475" si="79">SUM(ABS(I2412),ABS(N2412),ABS(P2412),ABS(R2412),ABS(T2412),ABS(L2412))</f>
        <v>2086628</v>
      </c>
      <c r="AA2412" t="s">
        <v>64</v>
      </c>
      <c r="AB2412" t="s">
        <v>407</v>
      </c>
      <c r="AC2412" t="s">
        <v>426</v>
      </c>
      <c r="AD2412" t="s">
        <v>137</v>
      </c>
      <c r="AE2412" t="s">
        <v>137</v>
      </c>
      <c r="AF2412">
        <v>3</v>
      </c>
      <c r="AG2412">
        <v>407</v>
      </c>
      <c r="AH2412" s="122">
        <v>1867</v>
      </c>
      <c r="AI2412" s="122">
        <v>154336</v>
      </c>
      <c r="AJ2412" s="122">
        <v>140305</v>
      </c>
      <c r="AK2412">
        <v>69</v>
      </c>
      <c r="AL2412" s="122">
        <v>34775</v>
      </c>
      <c r="AM2412" s="122">
        <v>31614</v>
      </c>
      <c r="AN2412" s="122">
        <v>9917</v>
      </c>
      <c r="AO2412" s="122">
        <v>3673</v>
      </c>
      <c r="AP2412" s="122">
        <v>1566</v>
      </c>
      <c r="AQ2412">
        <v>580</v>
      </c>
      <c r="AR2412" s="122">
        <v>37695</v>
      </c>
      <c r="AS2412" s="122">
        <v>13961</v>
      </c>
      <c r="AT2412" s="122">
        <v>4989</v>
      </c>
      <c r="AU2412" s="122">
        <v>1848</v>
      </c>
      <c r="AV2412" s="122">
        <v>191981</v>
      </c>
    </row>
    <row r="2413" spans="2:48" hidden="1">
      <c r="B2413" t="s">
        <v>379</v>
      </c>
      <c r="C2413" t="s">
        <v>64</v>
      </c>
      <c r="D2413" t="s">
        <v>137</v>
      </c>
      <c r="E2413" t="s">
        <v>406</v>
      </c>
      <c r="F2413" s="122">
        <v>1</v>
      </c>
      <c r="G2413" s="122">
        <v>72</v>
      </c>
      <c r="H2413" s="122">
        <v>1138</v>
      </c>
      <c r="I2413" s="122">
        <v>63039</v>
      </c>
      <c r="J2413" s="122">
        <v>23348</v>
      </c>
      <c r="K2413" s="122">
        <v>100</v>
      </c>
      <c r="L2413" s="122">
        <v>4756</v>
      </c>
      <c r="M2413" s="122">
        <v>4324</v>
      </c>
      <c r="N2413" s="122">
        <v>1753</v>
      </c>
      <c r="O2413" s="122">
        <v>649</v>
      </c>
      <c r="P2413" s="122">
        <v>270</v>
      </c>
      <c r="Q2413" s="122">
        <v>100</v>
      </c>
      <c r="R2413" s="122">
        <v>7794</v>
      </c>
      <c r="S2413" s="122">
        <v>7086</v>
      </c>
      <c r="T2413" s="122">
        <v>4284</v>
      </c>
      <c r="U2413" s="122">
        <v>1587</v>
      </c>
      <c r="V2413" s="122">
        <v>37093</v>
      </c>
      <c r="W2413" s="122">
        <f t="shared" si="78"/>
        <v>37094</v>
      </c>
      <c r="X2413" s="122">
        <f t="shared" si="79"/>
        <v>81896</v>
      </c>
      <c r="AA2413" t="s">
        <v>64</v>
      </c>
      <c r="AB2413" t="s">
        <v>407</v>
      </c>
      <c r="AC2413" t="s">
        <v>426</v>
      </c>
      <c r="AD2413" t="s">
        <v>137</v>
      </c>
      <c r="AE2413" t="s">
        <v>566</v>
      </c>
      <c r="AF2413">
        <v>4</v>
      </c>
      <c r="AG2413" s="122">
        <v>401</v>
      </c>
      <c r="AH2413" s="122">
        <v>2132</v>
      </c>
      <c r="AI2413" s="122">
        <v>140095</v>
      </c>
      <c r="AJ2413" s="122">
        <v>127359</v>
      </c>
      <c r="AK2413">
        <v>78</v>
      </c>
      <c r="AL2413" s="122">
        <v>38633</v>
      </c>
      <c r="AM2413" s="122">
        <v>35121</v>
      </c>
      <c r="AN2413" s="122">
        <v>8839</v>
      </c>
      <c r="AO2413" s="122">
        <v>3274</v>
      </c>
      <c r="AP2413" s="122">
        <v>1890</v>
      </c>
      <c r="AQ2413" s="122">
        <v>700</v>
      </c>
      <c r="AR2413" s="122">
        <v>24061</v>
      </c>
      <c r="AS2413" s="122">
        <v>8911</v>
      </c>
      <c r="AT2413" s="122">
        <v>0</v>
      </c>
      <c r="AU2413" s="122">
        <v>0</v>
      </c>
      <c r="AV2413" s="122">
        <v>175365</v>
      </c>
    </row>
    <row r="2414" spans="2:48" hidden="1">
      <c r="B2414" t="s">
        <v>379</v>
      </c>
      <c r="C2414" t="s">
        <v>64</v>
      </c>
      <c r="D2414" t="s">
        <v>137</v>
      </c>
      <c r="E2414" t="s">
        <v>426</v>
      </c>
      <c r="F2414" s="122">
        <v>4</v>
      </c>
      <c r="G2414" s="122">
        <v>330</v>
      </c>
      <c r="H2414" s="122">
        <v>2540</v>
      </c>
      <c r="I2414" s="122">
        <v>150628</v>
      </c>
      <c r="J2414" s="122">
        <v>55788</v>
      </c>
      <c r="K2414" s="122">
        <v>100</v>
      </c>
      <c r="L2414" s="122">
        <v>17117</v>
      </c>
      <c r="M2414" s="122">
        <v>15561</v>
      </c>
      <c r="N2414" s="122">
        <v>7418</v>
      </c>
      <c r="O2414" s="122">
        <v>2747</v>
      </c>
      <c r="P2414" s="122">
        <v>0</v>
      </c>
      <c r="Q2414" s="122">
        <v>0</v>
      </c>
      <c r="R2414" s="122">
        <v>20855</v>
      </c>
      <c r="S2414" s="122">
        <v>18959</v>
      </c>
      <c r="T2414" s="122">
        <v>8785</v>
      </c>
      <c r="U2414" s="122">
        <v>3254</v>
      </c>
      <c r="V2414" s="122">
        <v>96309</v>
      </c>
      <c r="W2414" s="122">
        <f t="shared" si="78"/>
        <v>96309</v>
      </c>
      <c r="X2414" s="122">
        <f t="shared" si="79"/>
        <v>204803</v>
      </c>
      <c r="AA2414" t="s">
        <v>64</v>
      </c>
      <c r="AB2414" t="s">
        <v>407</v>
      </c>
      <c r="AC2414" t="s">
        <v>426</v>
      </c>
      <c r="AD2414" t="s">
        <v>407</v>
      </c>
      <c r="AE2414" t="s">
        <v>137</v>
      </c>
      <c r="AF2414">
        <v>113</v>
      </c>
      <c r="AG2414" s="122">
        <v>11869</v>
      </c>
      <c r="AH2414" s="122">
        <v>61490</v>
      </c>
      <c r="AI2414" s="122">
        <v>4368499</v>
      </c>
      <c r="AJ2414" s="122">
        <v>3971362</v>
      </c>
      <c r="AK2414">
        <v>73</v>
      </c>
      <c r="AL2414" s="122">
        <v>1035220</v>
      </c>
      <c r="AM2414" s="122">
        <v>941109</v>
      </c>
      <c r="AN2414" s="122">
        <v>267832</v>
      </c>
      <c r="AO2414" s="122">
        <v>99197</v>
      </c>
      <c r="AP2414" s="122">
        <v>52677</v>
      </c>
      <c r="AQ2414" s="122">
        <v>19510</v>
      </c>
      <c r="AR2414" s="122">
        <v>578168</v>
      </c>
      <c r="AS2414" s="122">
        <v>525607</v>
      </c>
      <c r="AT2414" s="122">
        <v>269503</v>
      </c>
      <c r="AU2414" s="122">
        <v>99816</v>
      </c>
      <c r="AV2414" s="122">
        <v>5656602</v>
      </c>
    </row>
    <row r="2415" spans="2:48" hidden="1">
      <c r="B2415" t="s">
        <v>379</v>
      </c>
      <c r="C2415" t="s">
        <v>64</v>
      </c>
      <c r="D2415" t="s">
        <v>137</v>
      </c>
      <c r="E2415" t="s">
        <v>433</v>
      </c>
      <c r="F2415" s="122">
        <v>1</v>
      </c>
      <c r="G2415" s="122">
        <v>73</v>
      </c>
      <c r="H2415" s="122">
        <v>989</v>
      </c>
      <c r="I2415" s="122">
        <v>54183</v>
      </c>
      <c r="J2415" s="122">
        <v>20068</v>
      </c>
      <c r="K2415" s="122">
        <v>100</v>
      </c>
      <c r="L2415" s="122">
        <v>4460</v>
      </c>
      <c r="M2415" s="122">
        <v>4054</v>
      </c>
      <c r="N2415" s="122">
        <v>1787</v>
      </c>
      <c r="O2415" s="122">
        <v>662</v>
      </c>
      <c r="P2415" s="122">
        <v>0</v>
      </c>
      <c r="Q2415" s="122">
        <v>0</v>
      </c>
      <c r="R2415" s="122">
        <v>12098</v>
      </c>
      <c r="S2415" s="122">
        <v>10998</v>
      </c>
      <c r="T2415" s="122">
        <v>0</v>
      </c>
      <c r="U2415" s="122">
        <v>0</v>
      </c>
      <c r="V2415" s="122">
        <v>35782</v>
      </c>
      <c r="W2415" s="122">
        <f t="shared" si="78"/>
        <v>35782</v>
      </c>
      <c r="X2415" s="122">
        <f t="shared" si="79"/>
        <v>72528</v>
      </c>
      <c r="AA2415" t="s">
        <v>64</v>
      </c>
      <c r="AB2415" t="s">
        <v>407</v>
      </c>
      <c r="AC2415" t="s">
        <v>426</v>
      </c>
      <c r="AD2415" t="s">
        <v>407</v>
      </c>
      <c r="AE2415" t="s">
        <v>566</v>
      </c>
      <c r="AF2415">
        <v>49</v>
      </c>
      <c r="AG2415" s="122">
        <v>5323</v>
      </c>
      <c r="AH2415" s="122">
        <v>28287</v>
      </c>
      <c r="AI2415" s="122">
        <v>1871999</v>
      </c>
      <c r="AJ2415" s="122">
        <v>1701817</v>
      </c>
      <c r="AK2415">
        <v>74</v>
      </c>
      <c r="AL2415" s="122">
        <v>1167033</v>
      </c>
      <c r="AM2415" s="122">
        <v>1060939</v>
      </c>
      <c r="AN2415" s="122">
        <v>120810</v>
      </c>
      <c r="AO2415" s="122">
        <v>44745</v>
      </c>
      <c r="AP2415" s="122">
        <v>23801</v>
      </c>
      <c r="AQ2415" s="122">
        <v>8815</v>
      </c>
      <c r="AR2415" s="122">
        <v>324813</v>
      </c>
      <c r="AS2415" s="122">
        <v>295285</v>
      </c>
      <c r="AT2415">
        <v>0</v>
      </c>
      <c r="AU2415">
        <v>0</v>
      </c>
      <c r="AV2415" s="122">
        <v>3111601</v>
      </c>
    </row>
    <row r="2416" spans="2:48" hidden="1">
      <c r="B2416" t="s">
        <v>379</v>
      </c>
      <c r="C2416" t="s">
        <v>64</v>
      </c>
      <c r="D2416" t="s">
        <v>406</v>
      </c>
      <c r="E2416" t="s">
        <v>137</v>
      </c>
      <c r="F2416" s="122">
        <v>3</v>
      </c>
      <c r="G2416" s="122">
        <v>460</v>
      </c>
      <c r="H2416" s="122">
        <v>1626</v>
      </c>
      <c r="I2416" s="122">
        <v>170309</v>
      </c>
      <c r="J2416" s="122">
        <v>154826</v>
      </c>
      <c r="K2416" s="122">
        <v>62</v>
      </c>
      <c r="L2416" s="122">
        <v>38477</v>
      </c>
      <c r="M2416" s="122">
        <v>34979</v>
      </c>
      <c r="N2416" s="122">
        <v>7344</v>
      </c>
      <c r="O2416" s="122">
        <v>2720</v>
      </c>
      <c r="P2416" s="122">
        <v>1242</v>
      </c>
      <c r="Q2416" s="122">
        <v>460</v>
      </c>
      <c r="R2416" s="122">
        <v>24723</v>
      </c>
      <c r="S2416" s="122">
        <v>9157</v>
      </c>
      <c r="T2416" s="122">
        <v>0</v>
      </c>
      <c r="U2416" s="122">
        <v>0</v>
      </c>
      <c r="V2416" s="122">
        <v>202142</v>
      </c>
      <c r="W2416" s="122">
        <f t="shared" si="78"/>
        <v>202142</v>
      </c>
      <c r="X2416" s="122">
        <f t="shared" si="79"/>
        <v>242095</v>
      </c>
      <c r="AA2416" t="s">
        <v>64</v>
      </c>
      <c r="AB2416" t="s">
        <v>407</v>
      </c>
      <c r="AC2416" t="s">
        <v>566</v>
      </c>
      <c r="AD2416" t="s">
        <v>137</v>
      </c>
      <c r="AE2416" t="s">
        <v>137</v>
      </c>
      <c r="AF2416">
        <v>1</v>
      </c>
      <c r="AG2416">
        <v>72</v>
      </c>
      <c r="AH2416" s="122">
        <v>453</v>
      </c>
      <c r="AI2416" s="122">
        <v>27102</v>
      </c>
      <c r="AJ2416" s="122">
        <v>24638</v>
      </c>
      <c r="AK2416">
        <v>68</v>
      </c>
      <c r="AL2416">
        <v>0</v>
      </c>
      <c r="AM2416">
        <v>0</v>
      </c>
      <c r="AN2416" s="122">
        <v>877</v>
      </c>
      <c r="AO2416" s="122">
        <v>325</v>
      </c>
      <c r="AP2416">
        <v>473</v>
      </c>
      <c r="AQ2416">
        <v>175</v>
      </c>
      <c r="AR2416" s="122">
        <v>4151</v>
      </c>
      <c r="AS2416" s="122">
        <v>1537</v>
      </c>
      <c r="AT2416">
        <v>0</v>
      </c>
      <c r="AU2416">
        <v>0</v>
      </c>
      <c r="AV2416" s="122">
        <v>26675</v>
      </c>
    </row>
    <row r="2417" spans="2:48" hidden="1">
      <c r="B2417" t="s">
        <v>379</v>
      </c>
      <c r="C2417" t="s">
        <v>64</v>
      </c>
      <c r="D2417" t="s">
        <v>406</v>
      </c>
      <c r="E2417" t="s">
        <v>406</v>
      </c>
      <c r="F2417" s="122">
        <v>195</v>
      </c>
      <c r="G2417" s="122">
        <v>20096</v>
      </c>
      <c r="H2417" s="122">
        <v>109907</v>
      </c>
      <c r="I2417" s="122">
        <v>7721721</v>
      </c>
      <c r="J2417" s="122">
        <v>7019747</v>
      </c>
      <c r="K2417" s="122">
        <v>70</v>
      </c>
      <c r="L2417" s="122">
        <v>1569058</v>
      </c>
      <c r="M2417" s="122">
        <v>1385065</v>
      </c>
      <c r="N2417" s="122">
        <v>448625</v>
      </c>
      <c r="O2417" s="122">
        <v>166158</v>
      </c>
      <c r="P2417" s="122">
        <v>120825</v>
      </c>
      <c r="Q2417" s="122">
        <v>44750</v>
      </c>
      <c r="R2417" s="122">
        <v>1030677</v>
      </c>
      <c r="S2417" s="122">
        <v>936980</v>
      </c>
      <c r="T2417" s="122">
        <v>375225</v>
      </c>
      <c r="U2417" s="122">
        <v>138972</v>
      </c>
      <c r="V2417" s="122">
        <v>9691670</v>
      </c>
      <c r="W2417" s="122">
        <f t="shared" si="78"/>
        <v>9691672</v>
      </c>
      <c r="X2417" s="122">
        <f t="shared" si="79"/>
        <v>11266131</v>
      </c>
      <c r="AA2417" t="s">
        <v>64</v>
      </c>
      <c r="AB2417" t="s">
        <v>407</v>
      </c>
      <c r="AC2417" t="s">
        <v>566</v>
      </c>
      <c r="AD2417" t="s">
        <v>137</v>
      </c>
      <c r="AE2417" t="s">
        <v>566</v>
      </c>
      <c r="AF2417">
        <v>4</v>
      </c>
      <c r="AG2417" s="122">
        <v>349</v>
      </c>
      <c r="AH2417" s="122">
        <v>2546</v>
      </c>
      <c r="AI2417" s="122">
        <v>187665</v>
      </c>
      <c r="AJ2417" s="122">
        <v>170604</v>
      </c>
      <c r="AK2417">
        <v>60</v>
      </c>
      <c r="AL2417">
        <v>0</v>
      </c>
      <c r="AM2417">
        <v>0</v>
      </c>
      <c r="AN2417" s="122">
        <v>7171</v>
      </c>
      <c r="AO2417" s="122">
        <v>2656</v>
      </c>
      <c r="AP2417" s="122">
        <v>945</v>
      </c>
      <c r="AQ2417" s="122">
        <v>350</v>
      </c>
      <c r="AR2417" s="122">
        <v>26032</v>
      </c>
      <c r="AS2417" s="122">
        <v>9642</v>
      </c>
      <c r="AT2417" s="122">
        <v>0</v>
      </c>
      <c r="AU2417" s="122">
        <v>0</v>
      </c>
      <c r="AV2417" s="122">
        <v>183252</v>
      </c>
    </row>
    <row r="2418" spans="2:48" hidden="1">
      <c r="B2418" t="s">
        <v>379</v>
      </c>
      <c r="C2418" t="s">
        <v>64</v>
      </c>
      <c r="D2418" t="s">
        <v>406</v>
      </c>
      <c r="E2418" t="s">
        <v>427</v>
      </c>
      <c r="F2418" s="122">
        <v>1</v>
      </c>
      <c r="G2418" s="122">
        <v>66</v>
      </c>
      <c r="H2418" s="122">
        <v>657</v>
      </c>
      <c r="I2418" s="122">
        <v>28628</v>
      </c>
      <c r="J2418" s="122">
        <v>26026</v>
      </c>
      <c r="K2418" s="122">
        <v>60</v>
      </c>
      <c r="L2418" s="122">
        <v>6044</v>
      </c>
      <c r="M2418" s="122">
        <v>5494</v>
      </c>
      <c r="N2418" s="122">
        <v>1507</v>
      </c>
      <c r="O2418" s="122">
        <v>558</v>
      </c>
      <c r="P2418" s="122">
        <v>621</v>
      </c>
      <c r="Q2418" s="122">
        <v>230</v>
      </c>
      <c r="R2418" s="122">
        <v>4711</v>
      </c>
      <c r="S2418" s="122">
        <v>4283</v>
      </c>
      <c r="T2418" s="122">
        <v>2159</v>
      </c>
      <c r="U2418" s="122">
        <v>800</v>
      </c>
      <c r="V2418" s="122">
        <v>37390</v>
      </c>
      <c r="W2418" s="122">
        <f t="shared" si="78"/>
        <v>37391</v>
      </c>
      <c r="X2418" s="122">
        <f t="shared" si="79"/>
        <v>43670</v>
      </c>
      <c r="AA2418" t="s">
        <v>64</v>
      </c>
      <c r="AB2418" t="s">
        <v>407</v>
      </c>
      <c r="AC2418" t="s">
        <v>566</v>
      </c>
      <c r="AD2418" t="s">
        <v>407</v>
      </c>
      <c r="AE2418" t="s">
        <v>137</v>
      </c>
      <c r="AF2418">
        <v>21</v>
      </c>
      <c r="AG2418" s="122">
        <v>1684</v>
      </c>
      <c r="AH2418" s="122">
        <v>11004</v>
      </c>
      <c r="AI2418" s="122">
        <v>721095</v>
      </c>
      <c r="AJ2418" s="122">
        <v>655541</v>
      </c>
      <c r="AK2418">
        <v>71</v>
      </c>
      <c r="AL2418">
        <v>0</v>
      </c>
      <c r="AM2418" s="122">
        <v>0</v>
      </c>
      <c r="AN2418" s="122">
        <v>33829</v>
      </c>
      <c r="AO2418" s="122">
        <v>12529</v>
      </c>
      <c r="AP2418" s="122">
        <v>9437</v>
      </c>
      <c r="AQ2418" s="122">
        <v>3495</v>
      </c>
      <c r="AR2418" s="122">
        <v>89129</v>
      </c>
      <c r="AS2418" s="122">
        <v>81027</v>
      </c>
      <c r="AT2418" s="122">
        <v>43650</v>
      </c>
      <c r="AU2418" s="122">
        <v>16167</v>
      </c>
      <c r="AV2418" s="122">
        <v>768759</v>
      </c>
    </row>
    <row r="2419" spans="2:48" hidden="1">
      <c r="B2419" t="s">
        <v>379</v>
      </c>
      <c r="C2419" t="s">
        <v>64</v>
      </c>
      <c r="D2419" t="s">
        <v>406</v>
      </c>
      <c r="E2419" t="s">
        <v>426</v>
      </c>
      <c r="F2419" s="122">
        <v>2</v>
      </c>
      <c r="G2419" s="122">
        <v>353</v>
      </c>
      <c r="H2419" s="122">
        <v>1158</v>
      </c>
      <c r="I2419" s="122">
        <v>153799</v>
      </c>
      <c r="J2419" s="122">
        <v>139818</v>
      </c>
      <c r="K2419" s="122">
        <v>65</v>
      </c>
      <c r="L2419" s="122">
        <v>22846</v>
      </c>
      <c r="M2419" s="122">
        <v>20770</v>
      </c>
      <c r="N2419" s="122">
        <v>7824</v>
      </c>
      <c r="O2419" s="122">
        <v>2898</v>
      </c>
      <c r="P2419" s="122">
        <v>1593</v>
      </c>
      <c r="Q2419" s="122">
        <v>590</v>
      </c>
      <c r="R2419" s="122">
        <v>11680</v>
      </c>
      <c r="S2419" s="122">
        <v>10618</v>
      </c>
      <c r="T2419" s="122">
        <v>6177</v>
      </c>
      <c r="U2419" s="122">
        <v>2288</v>
      </c>
      <c r="V2419" s="122">
        <v>176981</v>
      </c>
      <c r="W2419" s="122">
        <f t="shared" si="78"/>
        <v>176982</v>
      </c>
      <c r="X2419" s="122">
        <f t="shared" si="79"/>
        <v>203919</v>
      </c>
      <c r="AA2419" t="s">
        <v>64</v>
      </c>
      <c r="AB2419" t="s">
        <v>407</v>
      </c>
      <c r="AC2419" t="s">
        <v>566</v>
      </c>
      <c r="AD2419" t="s">
        <v>407</v>
      </c>
      <c r="AE2419" t="s">
        <v>566</v>
      </c>
      <c r="AF2419">
        <v>9</v>
      </c>
      <c r="AG2419">
        <v>584</v>
      </c>
      <c r="AH2419" s="122">
        <v>5416</v>
      </c>
      <c r="AI2419" s="122">
        <v>309377</v>
      </c>
      <c r="AJ2419" s="122">
        <v>281252</v>
      </c>
      <c r="AK2419">
        <v>74</v>
      </c>
      <c r="AL2419" s="122">
        <v>0</v>
      </c>
      <c r="AM2419" s="122">
        <v>3071868</v>
      </c>
      <c r="AN2419" s="122">
        <v>12411</v>
      </c>
      <c r="AO2419" s="122">
        <v>4597</v>
      </c>
      <c r="AP2419" s="122">
        <v>4523</v>
      </c>
      <c r="AQ2419" s="122">
        <v>1675</v>
      </c>
      <c r="AR2419" s="122">
        <v>48944</v>
      </c>
      <c r="AS2419" s="122">
        <v>44495</v>
      </c>
      <c r="AT2419" s="122">
        <v>0</v>
      </c>
      <c r="AU2419" s="122">
        <v>0</v>
      </c>
      <c r="AV2419" s="122">
        <v>3403887</v>
      </c>
    </row>
    <row r="2420" spans="2:48" hidden="1">
      <c r="B2420" t="s">
        <v>379</v>
      </c>
      <c r="C2420" t="s">
        <v>64</v>
      </c>
      <c r="D2420" t="s">
        <v>427</v>
      </c>
      <c r="E2420" t="s">
        <v>137</v>
      </c>
      <c r="F2420" s="122">
        <v>3</v>
      </c>
      <c r="G2420" s="122">
        <v>189</v>
      </c>
      <c r="H2420" s="122">
        <v>3327</v>
      </c>
      <c r="I2420" s="122">
        <v>155048</v>
      </c>
      <c r="J2420" s="122">
        <v>140953</v>
      </c>
      <c r="K2420" s="122">
        <v>50</v>
      </c>
      <c r="L2420" s="122">
        <v>24489</v>
      </c>
      <c r="M2420" s="122">
        <v>19134</v>
      </c>
      <c r="N2420" s="122">
        <v>4611</v>
      </c>
      <c r="O2420" s="122">
        <v>1708</v>
      </c>
      <c r="P2420" s="122">
        <v>351</v>
      </c>
      <c r="Q2420" s="122">
        <v>130</v>
      </c>
      <c r="R2420" s="122">
        <v>14335</v>
      </c>
      <c r="S2420" s="122">
        <v>5309</v>
      </c>
      <c r="T2420" s="122">
        <v>0</v>
      </c>
      <c r="U2420" s="122">
        <v>0</v>
      </c>
      <c r="V2420" s="122">
        <v>167234</v>
      </c>
      <c r="W2420" s="122">
        <f t="shared" si="78"/>
        <v>167234</v>
      </c>
      <c r="X2420" s="122">
        <f t="shared" si="79"/>
        <v>198834</v>
      </c>
      <c r="AA2420" t="s">
        <v>64</v>
      </c>
      <c r="AB2420" t="s">
        <v>407</v>
      </c>
      <c r="AC2420" t="s">
        <v>433</v>
      </c>
      <c r="AD2420" t="s">
        <v>407</v>
      </c>
      <c r="AE2420" t="s">
        <v>137</v>
      </c>
      <c r="AF2420">
        <v>2</v>
      </c>
      <c r="AG2420">
        <v>195</v>
      </c>
      <c r="AH2420" s="122">
        <v>1066</v>
      </c>
      <c r="AI2420" s="122">
        <v>72746</v>
      </c>
      <c r="AJ2420" s="122">
        <v>66132</v>
      </c>
      <c r="AK2420">
        <v>72</v>
      </c>
      <c r="AL2420" s="122">
        <v>13252</v>
      </c>
      <c r="AM2420" s="122">
        <v>12047</v>
      </c>
      <c r="AN2420" s="122">
        <v>3886</v>
      </c>
      <c r="AO2420" s="122">
        <v>1439</v>
      </c>
      <c r="AP2420" s="122">
        <v>1296</v>
      </c>
      <c r="AQ2420">
        <v>480</v>
      </c>
      <c r="AR2420" s="122">
        <v>7393</v>
      </c>
      <c r="AS2420" s="122">
        <v>6721</v>
      </c>
      <c r="AT2420" s="122">
        <v>5233</v>
      </c>
      <c r="AU2420" s="122">
        <v>1938</v>
      </c>
      <c r="AV2420" s="122">
        <v>88758</v>
      </c>
    </row>
    <row r="2421" spans="2:48" hidden="1">
      <c r="B2421" t="s">
        <v>379</v>
      </c>
      <c r="C2421" t="s">
        <v>64</v>
      </c>
      <c r="D2421" t="s">
        <v>427</v>
      </c>
      <c r="E2421" t="s">
        <v>427</v>
      </c>
      <c r="F2421" s="122">
        <v>4</v>
      </c>
      <c r="G2421" s="122">
        <v>255</v>
      </c>
      <c r="H2421" s="122">
        <v>3196</v>
      </c>
      <c r="I2421" s="122">
        <v>163119</v>
      </c>
      <c r="J2421" s="122">
        <v>148290</v>
      </c>
      <c r="K2421" s="122">
        <v>53</v>
      </c>
      <c r="L2421" s="122">
        <v>35677</v>
      </c>
      <c r="M2421" s="122">
        <v>25912</v>
      </c>
      <c r="N2421" s="122">
        <v>6843</v>
      </c>
      <c r="O2421" s="122">
        <v>2534</v>
      </c>
      <c r="P2421" s="122">
        <v>702</v>
      </c>
      <c r="Q2421" s="122">
        <v>260</v>
      </c>
      <c r="R2421" s="122">
        <v>21167</v>
      </c>
      <c r="S2421" s="122">
        <v>19243</v>
      </c>
      <c r="T2421" s="122">
        <v>4879</v>
      </c>
      <c r="U2421" s="122">
        <v>1807</v>
      </c>
      <c r="V2421" s="122">
        <v>198046</v>
      </c>
      <c r="W2421" s="122">
        <f t="shared" si="78"/>
        <v>198046</v>
      </c>
      <c r="X2421" s="122">
        <f t="shared" si="79"/>
        <v>232387</v>
      </c>
      <c r="AA2421" t="s">
        <v>64</v>
      </c>
      <c r="AB2421" t="s">
        <v>407</v>
      </c>
      <c r="AC2421" t="s">
        <v>433</v>
      </c>
      <c r="AD2421" t="s">
        <v>433</v>
      </c>
      <c r="AE2421" t="s">
        <v>566</v>
      </c>
      <c r="AF2421">
        <v>1</v>
      </c>
      <c r="AG2421">
        <v>45</v>
      </c>
      <c r="AH2421">
        <v>616</v>
      </c>
      <c r="AI2421" s="122">
        <v>19950</v>
      </c>
      <c r="AJ2421" s="122">
        <v>18137</v>
      </c>
      <c r="AK2421">
        <v>78</v>
      </c>
      <c r="AL2421" s="122">
        <v>2340</v>
      </c>
      <c r="AM2421" s="122">
        <v>2127</v>
      </c>
      <c r="AN2421" s="122">
        <v>1097</v>
      </c>
      <c r="AO2421" s="122">
        <v>406</v>
      </c>
      <c r="AP2421">
        <v>473</v>
      </c>
      <c r="AQ2421">
        <v>175</v>
      </c>
      <c r="AR2421" s="122">
        <v>3867</v>
      </c>
      <c r="AS2421" s="122">
        <v>3516</v>
      </c>
      <c r="AT2421" s="122">
        <v>0</v>
      </c>
      <c r="AU2421" s="122">
        <v>0</v>
      </c>
      <c r="AV2421" s="122">
        <v>24361</v>
      </c>
    </row>
    <row r="2422" spans="2:48" hidden="1">
      <c r="B2422" t="s">
        <v>379</v>
      </c>
      <c r="C2422" t="s">
        <v>64</v>
      </c>
      <c r="D2422" t="s">
        <v>407</v>
      </c>
      <c r="E2422" t="s">
        <v>407</v>
      </c>
      <c r="F2422" s="122">
        <v>1</v>
      </c>
      <c r="G2422" s="122">
        <v>66</v>
      </c>
      <c r="H2422" s="122">
        <v>476</v>
      </c>
      <c r="I2422" s="122">
        <v>19563</v>
      </c>
      <c r="J2422" s="122">
        <v>17785</v>
      </c>
      <c r="K2422" s="122">
        <v>63</v>
      </c>
      <c r="L2422" s="122">
        <v>2063</v>
      </c>
      <c r="M2422" s="122">
        <v>1876</v>
      </c>
      <c r="N2422" s="122">
        <v>1533</v>
      </c>
      <c r="O2422" s="122">
        <v>568</v>
      </c>
      <c r="P2422" s="122">
        <v>473</v>
      </c>
      <c r="Q2422" s="122">
        <v>175</v>
      </c>
      <c r="R2422" s="122">
        <v>4702</v>
      </c>
      <c r="S2422" s="122">
        <v>4275</v>
      </c>
      <c r="T2422" s="122">
        <v>2859</v>
      </c>
      <c r="U2422" s="122">
        <v>1059</v>
      </c>
      <c r="V2422" s="122">
        <v>25736</v>
      </c>
      <c r="W2422" s="122">
        <f t="shared" si="78"/>
        <v>25738</v>
      </c>
      <c r="X2422" s="122">
        <f t="shared" si="79"/>
        <v>31193</v>
      </c>
      <c r="AA2422" t="s">
        <v>64</v>
      </c>
      <c r="AB2422" t="s">
        <v>579</v>
      </c>
      <c r="AC2422" t="s">
        <v>425</v>
      </c>
      <c r="AD2422" t="s">
        <v>579</v>
      </c>
      <c r="AE2422" t="s">
        <v>137</v>
      </c>
      <c r="AF2422">
        <v>1</v>
      </c>
      <c r="AG2422">
        <v>406</v>
      </c>
      <c r="AH2422">
        <v>679</v>
      </c>
      <c r="AI2422" s="122">
        <v>197793</v>
      </c>
      <c r="AJ2422" s="122">
        <v>164828</v>
      </c>
      <c r="AK2422">
        <v>55</v>
      </c>
      <c r="AL2422" s="122">
        <v>55400</v>
      </c>
      <c r="AM2422" s="122">
        <v>50364</v>
      </c>
      <c r="AN2422" s="122">
        <v>9902</v>
      </c>
      <c r="AO2422" s="122">
        <v>3667</v>
      </c>
      <c r="AP2422">
        <v>351</v>
      </c>
      <c r="AQ2422">
        <v>130</v>
      </c>
      <c r="AR2422" s="122">
        <v>8322</v>
      </c>
      <c r="AS2422" s="122">
        <v>6935</v>
      </c>
      <c r="AT2422" s="122">
        <v>3985</v>
      </c>
      <c r="AU2422" s="122">
        <v>1476</v>
      </c>
      <c r="AV2422" s="122">
        <v>227400</v>
      </c>
    </row>
    <row r="2423" spans="2:48" hidden="1">
      <c r="B2423" t="s">
        <v>379</v>
      </c>
      <c r="C2423" t="s">
        <v>64</v>
      </c>
      <c r="D2423" t="s">
        <v>426</v>
      </c>
      <c r="E2423" t="s">
        <v>137</v>
      </c>
      <c r="F2423" s="122">
        <v>16</v>
      </c>
      <c r="G2423" s="122">
        <v>1370</v>
      </c>
      <c r="H2423" s="122">
        <v>17434</v>
      </c>
      <c r="I2423" s="122">
        <v>1203337</v>
      </c>
      <c r="J2423" s="122">
        <v>1093943</v>
      </c>
      <c r="K2423" s="122">
        <v>39</v>
      </c>
      <c r="L2423" s="122">
        <v>109142</v>
      </c>
      <c r="M2423" s="122">
        <v>59041</v>
      </c>
      <c r="N2423" s="122">
        <v>33235</v>
      </c>
      <c r="O2423" s="122">
        <v>12309</v>
      </c>
      <c r="P2423" s="122">
        <v>702</v>
      </c>
      <c r="Q2423" s="122">
        <v>260</v>
      </c>
      <c r="R2423" s="122">
        <v>92419</v>
      </c>
      <c r="S2423" s="122">
        <v>34229</v>
      </c>
      <c r="T2423" s="122">
        <v>0</v>
      </c>
      <c r="U2423" s="122">
        <v>0</v>
      </c>
      <c r="V2423" s="122">
        <v>1199782</v>
      </c>
      <c r="W2423" s="122">
        <f t="shared" si="78"/>
        <v>1199782</v>
      </c>
      <c r="X2423" s="122">
        <f t="shared" si="79"/>
        <v>1438835</v>
      </c>
      <c r="AA2423" t="s">
        <v>64</v>
      </c>
      <c r="AB2423" t="s">
        <v>579</v>
      </c>
      <c r="AC2423" t="s">
        <v>137</v>
      </c>
      <c r="AD2423" t="s">
        <v>425</v>
      </c>
      <c r="AE2423" t="s">
        <v>137</v>
      </c>
      <c r="AF2423">
        <v>1</v>
      </c>
      <c r="AG2423">
        <v>67</v>
      </c>
      <c r="AH2423" s="122">
        <v>643</v>
      </c>
      <c r="AI2423" s="122">
        <v>25177</v>
      </c>
      <c r="AJ2423" s="122">
        <v>20981</v>
      </c>
      <c r="AK2423">
        <v>86</v>
      </c>
      <c r="AL2423" s="122">
        <v>11528</v>
      </c>
      <c r="AM2423" s="122">
        <v>4270</v>
      </c>
      <c r="AN2423" s="122">
        <v>1626</v>
      </c>
      <c r="AO2423" s="122">
        <v>602</v>
      </c>
      <c r="AP2423">
        <v>621</v>
      </c>
      <c r="AQ2423">
        <v>230</v>
      </c>
      <c r="AR2423" s="122">
        <v>3982</v>
      </c>
      <c r="AS2423" s="122">
        <v>3620</v>
      </c>
      <c r="AT2423" s="122">
        <v>0</v>
      </c>
      <c r="AU2423" s="122">
        <v>0</v>
      </c>
      <c r="AV2423" s="122">
        <v>29703</v>
      </c>
    </row>
    <row r="2424" spans="2:48" hidden="1">
      <c r="B2424" t="s">
        <v>379</v>
      </c>
      <c r="C2424" t="s">
        <v>64</v>
      </c>
      <c r="D2424" t="s">
        <v>426</v>
      </c>
      <c r="E2424" t="s">
        <v>426</v>
      </c>
      <c r="F2424" s="122">
        <v>49</v>
      </c>
      <c r="G2424" s="122">
        <v>5295</v>
      </c>
      <c r="H2424" s="122">
        <v>37840</v>
      </c>
      <c r="I2424" s="122">
        <v>3094897</v>
      </c>
      <c r="J2424" s="122">
        <v>2813542</v>
      </c>
      <c r="K2424" s="122">
        <v>50</v>
      </c>
      <c r="L2424" s="122">
        <v>416095</v>
      </c>
      <c r="M2424" s="122">
        <v>320999</v>
      </c>
      <c r="N2424" s="122">
        <v>115354</v>
      </c>
      <c r="O2424" s="122">
        <v>42724</v>
      </c>
      <c r="P2424" s="122">
        <v>17874</v>
      </c>
      <c r="Q2424" s="122">
        <v>6620</v>
      </c>
      <c r="R2424" s="122">
        <v>302739</v>
      </c>
      <c r="S2424" s="122">
        <v>275218</v>
      </c>
      <c r="T2424" s="122">
        <v>118512</v>
      </c>
      <c r="U2424" s="122">
        <v>43893</v>
      </c>
      <c r="V2424" s="122">
        <v>3502997</v>
      </c>
      <c r="W2424" s="122">
        <f t="shared" si="78"/>
        <v>3502996</v>
      </c>
      <c r="X2424" s="122">
        <f t="shared" si="79"/>
        <v>4065471</v>
      </c>
      <c r="AA2424" t="s">
        <v>64</v>
      </c>
      <c r="AB2424" t="s">
        <v>579</v>
      </c>
      <c r="AC2424" t="s">
        <v>137</v>
      </c>
      <c r="AD2424" t="s">
        <v>137</v>
      </c>
      <c r="AE2424" t="s">
        <v>137</v>
      </c>
      <c r="AF2424">
        <v>3</v>
      </c>
      <c r="AG2424" s="122">
        <v>347</v>
      </c>
      <c r="AH2424" s="122">
        <v>3006</v>
      </c>
      <c r="AI2424" s="122">
        <v>286241</v>
      </c>
      <c r="AJ2424" s="122">
        <v>238534</v>
      </c>
      <c r="AK2424">
        <v>30</v>
      </c>
      <c r="AL2424" s="122">
        <v>27006</v>
      </c>
      <c r="AM2424" s="122">
        <v>10002</v>
      </c>
      <c r="AN2424" s="122">
        <v>7921</v>
      </c>
      <c r="AO2424" s="122">
        <v>2934</v>
      </c>
      <c r="AP2424" s="122">
        <v>0</v>
      </c>
      <c r="AQ2424">
        <v>0</v>
      </c>
      <c r="AR2424" s="122">
        <v>16309</v>
      </c>
      <c r="AS2424" s="122">
        <v>6040</v>
      </c>
      <c r="AT2424" s="122">
        <v>4577</v>
      </c>
      <c r="AU2424" s="122">
        <v>1695</v>
      </c>
      <c r="AV2424" s="122">
        <v>259205</v>
      </c>
    </row>
    <row r="2425" spans="2:48" hidden="1">
      <c r="B2425" t="s">
        <v>379</v>
      </c>
      <c r="C2425" t="s">
        <v>64</v>
      </c>
      <c r="D2425" t="s">
        <v>481</v>
      </c>
      <c r="E2425" t="s">
        <v>137</v>
      </c>
      <c r="F2425" s="122">
        <v>1</v>
      </c>
      <c r="G2425" s="122">
        <v>122</v>
      </c>
      <c r="H2425" s="122">
        <v>1082</v>
      </c>
      <c r="I2425" s="122">
        <v>108831</v>
      </c>
      <c r="J2425" s="122">
        <v>98937</v>
      </c>
      <c r="K2425" s="122">
        <v>30</v>
      </c>
      <c r="L2425" s="122">
        <v>14142</v>
      </c>
      <c r="M2425" s="122">
        <v>5238</v>
      </c>
      <c r="N2425" s="122">
        <v>2966</v>
      </c>
      <c r="O2425" s="122">
        <v>1099</v>
      </c>
      <c r="P2425" s="122">
        <v>0</v>
      </c>
      <c r="Q2425" s="122">
        <v>0</v>
      </c>
      <c r="R2425" s="122">
        <v>5796</v>
      </c>
      <c r="S2425" s="122">
        <v>2146</v>
      </c>
      <c r="T2425" s="122">
        <v>0</v>
      </c>
      <c r="U2425" s="122">
        <v>0</v>
      </c>
      <c r="V2425" s="122">
        <v>107420</v>
      </c>
      <c r="W2425" s="122">
        <f t="shared" si="78"/>
        <v>107420</v>
      </c>
      <c r="X2425" s="122">
        <f t="shared" si="79"/>
        <v>131735</v>
      </c>
      <c r="AA2425" t="s">
        <v>64</v>
      </c>
      <c r="AB2425" t="s">
        <v>579</v>
      </c>
      <c r="AC2425" t="s">
        <v>137</v>
      </c>
      <c r="AD2425" t="s">
        <v>137</v>
      </c>
      <c r="AE2425" t="s">
        <v>566</v>
      </c>
      <c r="AF2425">
        <v>50</v>
      </c>
      <c r="AG2425" s="122">
        <v>5220</v>
      </c>
      <c r="AH2425" s="122">
        <v>59704</v>
      </c>
      <c r="AI2425" s="122">
        <v>4964482</v>
      </c>
      <c r="AJ2425" s="122">
        <v>4137068</v>
      </c>
      <c r="AK2425">
        <v>35</v>
      </c>
      <c r="AL2425" s="122">
        <v>457483</v>
      </c>
      <c r="AM2425" s="122">
        <v>169438</v>
      </c>
      <c r="AN2425" s="122">
        <v>120686</v>
      </c>
      <c r="AO2425" s="122">
        <v>44699</v>
      </c>
      <c r="AP2425" s="122">
        <v>1053</v>
      </c>
      <c r="AQ2425">
        <v>390</v>
      </c>
      <c r="AR2425" s="122">
        <v>426581</v>
      </c>
      <c r="AS2425" s="122">
        <v>157993</v>
      </c>
      <c r="AT2425" s="122">
        <v>0</v>
      </c>
      <c r="AU2425" s="122">
        <v>0</v>
      </c>
      <c r="AV2425" s="122">
        <v>4509588</v>
      </c>
    </row>
    <row r="2426" spans="2:48" hidden="1">
      <c r="B2426" t="s">
        <v>380</v>
      </c>
      <c r="C2426" t="s">
        <v>48</v>
      </c>
      <c r="D2426" t="s">
        <v>137</v>
      </c>
      <c r="E2426" t="s">
        <v>137</v>
      </c>
      <c r="F2426" s="122">
        <v>65</v>
      </c>
      <c r="G2426" s="122">
        <v>14202</v>
      </c>
      <c r="H2426" s="122">
        <v>3804</v>
      </c>
      <c r="I2426" s="122">
        <v>145415</v>
      </c>
      <c r="J2426" s="122">
        <v>53857</v>
      </c>
      <c r="K2426" s="122">
        <v>454</v>
      </c>
      <c r="L2426" s="122">
        <v>35176</v>
      </c>
      <c r="M2426" s="122">
        <v>30340</v>
      </c>
      <c r="N2426" s="122">
        <v>185832</v>
      </c>
      <c r="O2426" s="122">
        <v>68827</v>
      </c>
      <c r="P2426" s="122">
        <v>104906</v>
      </c>
      <c r="Q2426" s="122">
        <v>38854</v>
      </c>
      <c r="R2426" s="122">
        <v>357581</v>
      </c>
      <c r="S2426" s="122">
        <v>132437</v>
      </c>
      <c r="T2426" s="122">
        <v>0</v>
      </c>
      <c r="U2426" s="122">
        <v>0</v>
      </c>
      <c r="V2426" s="122">
        <v>324316</v>
      </c>
      <c r="W2426" s="122">
        <f t="shared" si="78"/>
        <v>324315</v>
      </c>
      <c r="X2426" s="122">
        <f t="shared" si="79"/>
        <v>828910</v>
      </c>
      <c r="AA2426" t="s">
        <v>64</v>
      </c>
      <c r="AB2426" t="s">
        <v>579</v>
      </c>
      <c r="AC2426" t="s">
        <v>137</v>
      </c>
      <c r="AD2426" t="s">
        <v>406</v>
      </c>
      <c r="AE2426" t="s">
        <v>137</v>
      </c>
      <c r="AF2426">
        <v>4</v>
      </c>
      <c r="AG2426" s="122">
        <v>1020</v>
      </c>
      <c r="AH2426" s="122">
        <v>4332</v>
      </c>
      <c r="AI2426" s="122">
        <v>917537</v>
      </c>
      <c r="AJ2426" s="122">
        <v>764615</v>
      </c>
      <c r="AK2426">
        <v>30</v>
      </c>
      <c r="AL2426" s="122">
        <v>68815</v>
      </c>
      <c r="AM2426" s="122">
        <v>25487</v>
      </c>
      <c r="AN2426" s="122">
        <v>22021</v>
      </c>
      <c r="AO2426" s="122">
        <v>8156</v>
      </c>
      <c r="AP2426">
        <v>0</v>
      </c>
      <c r="AQ2426">
        <v>0</v>
      </c>
      <c r="AR2426" s="122">
        <v>36713</v>
      </c>
      <c r="AS2426" s="122">
        <v>33375</v>
      </c>
      <c r="AT2426" s="122">
        <v>18806</v>
      </c>
      <c r="AU2426" s="122">
        <v>6965</v>
      </c>
      <c r="AV2426" s="122">
        <v>838598</v>
      </c>
    </row>
    <row r="2427" spans="2:48" hidden="1">
      <c r="B2427" t="s">
        <v>380</v>
      </c>
      <c r="C2427" t="s">
        <v>48</v>
      </c>
      <c r="D2427" t="s">
        <v>137</v>
      </c>
      <c r="E2427" t="s">
        <v>406</v>
      </c>
      <c r="F2427" s="122">
        <v>1</v>
      </c>
      <c r="G2427" s="122">
        <v>246</v>
      </c>
      <c r="H2427" s="122">
        <v>51</v>
      </c>
      <c r="I2427" s="122">
        <v>4693</v>
      </c>
      <c r="J2427" s="122">
        <v>1738</v>
      </c>
      <c r="K2427" s="122">
        <v>468</v>
      </c>
      <c r="L2427" s="122">
        <v>1657</v>
      </c>
      <c r="M2427" s="122">
        <v>1506</v>
      </c>
      <c r="N2427" s="122">
        <v>3327</v>
      </c>
      <c r="O2427" s="122">
        <v>1232</v>
      </c>
      <c r="P2427" s="122">
        <v>351</v>
      </c>
      <c r="Q2427" s="122">
        <v>130</v>
      </c>
      <c r="R2427" s="122">
        <v>2412</v>
      </c>
      <c r="S2427" s="122">
        <v>2193</v>
      </c>
      <c r="T2427" s="122">
        <v>0</v>
      </c>
      <c r="U2427" s="122">
        <v>0</v>
      </c>
      <c r="V2427" s="122">
        <v>6800</v>
      </c>
      <c r="W2427" s="122">
        <f t="shared" si="78"/>
        <v>6799</v>
      </c>
      <c r="X2427" s="122">
        <f t="shared" si="79"/>
        <v>12440</v>
      </c>
      <c r="AA2427" t="s">
        <v>64</v>
      </c>
      <c r="AB2427" t="s">
        <v>579</v>
      </c>
      <c r="AC2427" t="s">
        <v>137</v>
      </c>
      <c r="AD2427" t="s">
        <v>406</v>
      </c>
      <c r="AE2427" t="s">
        <v>566</v>
      </c>
      <c r="AF2427">
        <v>2</v>
      </c>
      <c r="AG2427" s="122">
        <v>267</v>
      </c>
      <c r="AH2427" s="122">
        <v>2299</v>
      </c>
      <c r="AI2427" s="122">
        <v>266924</v>
      </c>
      <c r="AJ2427" s="122">
        <v>222436</v>
      </c>
      <c r="AK2427">
        <v>30</v>
      </c>
      <c r="AL2427" s="122">
        <v>20019</v>
      </c>
      <c r="AM2427" s="122">
        <v>7415</v>
      </c>
      <c r="AN2427" s="122">
        <v>5889</v>
      </c>
      <c r="AO2427" s="122">
        <v>2181</v>
      </c>
      <c r="AP2427" s="122">
        <v>270</v>
      </c>
      <c r="AQ2427" s="122">
        <v>100</v>
      </c>
      <c r="AR2427" s="122">
        <v>13380</v>
      </c>
      <c r="AS2427" s="122">
        <v>12164</v>
      </c>
      <c r="AT2427" s="122">
        <v>0</v>
      </c>
      <c r="AU2427" s="122">
        <v>0</v>
      </c>
      <c r="AV2427" s="122">
        <v>244296</v>
      </c>
    </row>
    <row r="2428" spans="2:48" hidden="1">
      <c r="B2428" t="s">
        <v>380</v>
      </c>
      <c r="C2428" t="s">
        <v>48</v>
      </c>
      <c r="D2428" t="s">
        <v>406</v>
      </c>
      <c r="E2428" t="s">
        <v>406</v>
      </c>
      <c r="F2428" s="122">
        <v>31</v>
      </c>
      <c r="G2428" s="122">
        <v>5875</v>
      </c>
      <c r="H2428" s="122">
        <v>2064</v>
      </c>
      <c r="I2428" s="122">
        <v>150280</v>
      </c>
      <c r="J2428" s="122">
        <v>136619</v>
      </c>
      <c r="K2428" s="122">
        <v>95</v>
      </c>
      <c r="L2428" s="122">
        <v>21794</v>
      </c>
      <c r="M2428" s="122">
        <v>18640</v>
      </c>
      <c r="N2428" s="122">
        <v>72911</v>
      </c>
      <c r="O2428" s="122">
        <v>27004</v>
      </c>
      <c r="P2428" s="122">
        <v>45378</v>
      </c>
      <c r="Q2428" s="122">
        <v>16807</v>
      </c>
      <c r="R2428" s="122">
        <v>104130</v>
      </c>
      <c r="S2428" s="122">
        <v>94664</v>
      </c>
      <c r="T2428" s="122">
        <v>0</v>
      </c>
      <c r="U2428" s="122">
        <v>0</v>
      </c>
      <c r="V2428" s="122">
        <v>293733</v>
      </c>
      <c r="W2428" s="122">
        <f t="shared" si="78"/>
        <v>293734</v>
      </c>
      <c r="X2428" s="122">
        <f t="shared" si="79"/>
        <v>394493</v>
      </c>
      <c r="AA2428" t="s">
        <v>64</v>
      </c>
      <c r="AB2428" t="s">
        <v>579</v>
      </c>
      <c r="AC2428" t="s">
        <v>137</v>
      </c>
      <c r="AD2428" t="s">
        <v>579</v>
      </c>
      <c r="AE2428" t="s">
        <v>137</v>
      </c>
      <c r="AF2428">
        <v>33</v>
      </c>
      <c r="AG2428" s="122">
        <v>3069</v>
      </c>
      <c r="AH2428" s="122">
        <v>26717</v>
      </c>
      <c r="AI2428" s="122">
        <v>2008268</v>
      </c>
      <c r="AJ2428" s="122">
        <v>1673557</v>
      </c>
      <c r="AK2428">
        <v>50</v>
      </c>
      <c r="AL2428" s="122">
        <v>228757</v>
      </c>
      <c r="AM2428" s="122">
        <v>84725</v>
      </c>
      <c r="AN2428" s="122">
        <v>66553</v>
      </c>
      <c r="AO2428" s="122">
        <v>24649</v>
      </c>
      <c r="AP2428" s="122">
        <v>7641</v>
      </c>
      <c r="AQ2428" s="122">
        <v>2830</v>
      </c>
      <c r="AR2428" s="122">
        <v>225263</v>
      </c>
      <c r="AS2428" s="122">
        <v>187719</v>
      </c>
      <c r="AT2428" s="122">
        <v>65968</v>
      </c>
      <c r="AU2428" s="122">
        <v>24433</v>
      </c>
      <c r="AV2428" s="122">
        <v>1997913</v>
      </c>
    </row>
    <row r="2429" spans="2:48" hidden="1">
      <c r="B2429" t="s">
        <v>380</v>
      </c>
      <c r="C2429" t="s">
        <v>48</v>
      </c>
      <c r="D2429" t="s">
        <v>433</v>
      </c>
      <c r="E2429" t="s">
        <v>137</v>
      </c>
      <c r="F2429" s="122">
        <v>1</v>
      </c>
      <c r="G2429" s="122">
        <v>230</v>
      </c>
      <c r="H2429" s="122">
        <v>56</v>
      </c>
      <c r="I2429" s="122">
        <v>3755</v>
      </c>
      <c r="J2429" s="122">
        <v>3414</v>
      </c>
      <c r="K2429" s="122">
        <v>70</v>
      </c>
      <c r="L2429" s="122">
        <v>390</v>
      </c>
      <c r="M2429" s="122">
        <v>355</v>
      </c>
      <c r="N2429" s="122">
        <v>2808</v>
      </c>
      <c r="O2429" s="122">
        <v>1040</v>
      </c>
      <c r="P2429" s="122">
        <v>2480</v>
      </c>
      <c r="Q2429" s="122">
        <v>919</v>
      </c>
      <c r="R2429" s="122">
        <v>3462</v>
      </c>
      <c r="S2429" s="122">
        <v>1282</v>
      </c>
      <c r="T2429" s="122">
        <v>0</v>
      </c>
      <c r="U2429" s="122">
        <v>0</v>
      </c>
      <c r="V2429" s="122">
        <v>7009</v>
      </c>
      <c r="W2429" s="122">
        <f t="shared" si="78"/>
        <v>7010</v>
      </c>
      <c r="X2429" s="122">
        <f t="shared" si="79"/>
        <v>12895</v>
      </c>
      <c r="AA2429" t="s">
        <v>64</v>
      </c>
      <c r="AB2429" t="s">
        <v>579</v>
      </c>
      <c r="AC2429" t="s">
        <v>137</v>
      </c>
      <c r="AD2429" t="s">
        <v>579</v>
      </c>
      <c r="AE2429" t="s">
        <v>566</v>
      </c>
      <c r="AF2429">
        <v>5</v>
      </c>
      <c r="AG2429" s="122">
        <v>362</v>
      </c>
      <c r="AH2429" s="122">
        <v>4553</v>
      </c>
      <c r="AI2429" s="122">
        <v>244752</v>
      </c>
      <c r="AJ2429" s="122">
        <v>203960</v>
      </c>
      <c r="AK2429">
        <v>50</v>
      </c>
      <c r="AL2429" s="122">
        <v>30495</v>
      </c>
      <c r="AM2429" s="122">
        <v>11294</v>
      </c>
      <c r="AN2429" s="122">
        <v>7359</v>
      </c>
      <c r="AO2429" s="122">
        <v>2726</v>
      </c>
      <c r="AP2429" s="122">
        <v>1404</v>
      </c>
      <c r="AQ2429" s="122">
        <v>520</v>
      </c>
      <c r="AR2429" s="122">
        <v>33479</v>
      </c>
      <c r="AS2429" s="122">
        <v>27899</v>
      </c>
      <c r="AT2429" s="122">
        <v>0</v>
      </c>
      <c r="AU2429" s="122">
        <v>0</v>
      </c>
      <c r="AV2429" s="122">
        <v>246399</v>
      </c>
    </row>
    <row r="2430" spans="2:48" hidden="1">
      <c r="B2430" t="s">
        <v>380</v>
      </c>
      <c r="C2430" t="s">
        <v>48</v>
      </c>
      <c r="D2430" t="s">
        <v>433</v>
      </c>
      <c r="E2430" t="s">
        <v>433</v>
      </c>
      <c r="F2430" s="122">
        <v>1</v>
      </c>
      <c r="G2430" s="122">
        <v>203</v>
      </c>
      <c r="H2430" s="122">
        <v>72</v>
      </c>
      <c r="I2430" s="122">
        <v>3387</v>
      </c>
      <c r="J2430" s="122">
        <v>3079</v>
      </c>
      <c r="K2430" s="122">
        <v>81</v>
      </c>
      <c r="L2430" s="122">
        <v>0</v>
      </c>
      <c r="M2430" s="122">
        <v>0</v>
      </c>
      <c r="N2430" s="122">
        <v>2473</v>
      </c>
      <c r="O2430" s="122">
        <v>916</v>
      </c>
      <c r="P2430" s="122">
        <v>2388</v>
      </c>
      <c r="Q2430" s="122">
        <v>884</v>
      </c>
      <c r="R2430" s="122">
        <v>6307</v>
      </c>
      <c r="S2430" s="122">
        <v>5734</v>
      </c>
      <c r="T2430" s="122">
        <v>0</v>
      </c>
      <c r="U2430" s="122">
        <v>0</v>
      </c>
      <c r="V2430" s="122">
        <v>10613</v>
      </c>
      <c r="W2430" s="122">
        <f t="shared" si="78"/>
        <v>10613</v>
      </c>
      <c r="X2430" s="122">
        <f t="shared" si="79"/>
        <v>14555</v>
      </c>
      <c r="AA2430" t="s">
        <v>64</v>
      </c>
      <c r="AB2430" t="s">
        <v>579</v>
      </c>
      <c r="AC2430" t="s">
        <v>580</v>
      </c>
      <c r="AD2430" t="s">
        <v>579</v>
      </c>
      <c r="AE2430" t="s">
        <v>137</v>
      </c>
      <c r="AF2430">
        <v>10</v>
      </c>
      <c r="AG2430" s="122">
        <v>1301</v>
      </c>
      <c r="AH2430" s="122">
        <v>5292</v>
      </c>
      <c r="AI2430" s="122">
        <v>495776</v>
      </c>
      <c r="AJ2430" s="122">
        <v>413147</v>
      </c>
      <c r="AK2430">
        <v>59</v>
      </c>
      <c r="AL2430" s="122">
        <v>44851</v>
      </c>
      <c r="AM2430" s="122">
        <v>40774</v>
      </c>
      <c r="AN2430" s="122">
        <v>25928</v>
      </c>
      <c r="AO2430" s="122">
        <v>9603</v>
      </c>
      <c r="AP2430" s="122">
        <v>6372</v>
      </c>
      <c r="AQ2430" s="122">
        <v>2360</v>
      </c>
      <c r="AR2430" s="122">
        <v>60641</v>
      </c>
      <c r="AS2430" s="122">
        <v>50534</v>
      </c>
      <c r="AT2430" s="122">
        <v>28822</v>
      </c>
      <c r="AU2430" s="122">
        <v>10675</v>
      </c>
      <c r="AV2430" s="122">
        <v>527093</v>
      </c>
    </row>
    <row r="2431" spans="2:48" hidden="1">
      <c r="B2431" t="s">
        <v>380</v>
      </c>
      <c r="C2431" t="s">
        <v>48</v>
      </c>
      <c r="D2431" t="s">
        <v>408</v>
      </c>
      <c r="E2431" t="s">
        <v>408</v>
      </c>
      <c r="F2431" s="122">
        <v>2</v>
      </c>
      <c r="G2431" s="122">
        <v>473</v>
      </c>
      <c r="H2431" s="122">
        <v>115</v>
      </c>
      <c r="I2431" s="122">
        <v>9174</v>
      </c>
      <c r="J2431" s="122">
        <v>8340</v>
      </c>
      <c r="K2431" s="122">
        <v>90</v>
      </c>
      <c r="L2431" s="122">
        <v>1199</v>
      </c>
      <c r="M2431" s="122">
        <v>1090</v>
      </c>
      <c r="N2431" s="122">
        <v>5766</v>
      </c>
      <c r="O2431" s="122">
        <v>2136</v>
      </c>
      <c r="P2431" s="122">
        <v>4924</v>
      </c>
      <c r="Q2431" s="122">
        <v>1824</v>
      </c>
      <c r="R2431" s="122">
        <v>6217</v>
      </c>
      <c r="S2431" s="122">
        <v>5652</v>
      </c>
      <c r="T2431" s="122">
        <v>0</v>
      </c>
      <c r="U2431" s="122">
        <v>0</v>
      </c>
      <c r="V2431" s="122">
        <v>19041</v>
      </c>
      <c r="W2431" s="122">
        <f t="shared" si="78"/>
        <v>19042</v>
      </c>
      <c r="X2431" s="122">
        <f t="shared" si="79"/>
        <v>27280</v>
      </c>
      <c r="AA2431" t="s">
        <v>64</v>
      </c>
      <c r="AB2431" t="s">
        <v>579</v>
      </c>
      <c r="AC2431" t="s">
        <v>580</v>
      </c>
      <c r="AD2431" t="s">
        <v>579</v>
      </c>
      <c r="AE2431" t="s">
        <v>566</v>
      </c>
      <c r="AF2431">
        <v>1</v>
      </c>
      <c r="AG2431">
        <v>89</v>
      </c>
      <c r="AH2431" s="122">
        <v>471</v>
      </c>
      <c r="AI2431" s="122">
        <v>29923</v>
      </c>
      <c r="AJ2431" s="122">
        <v>24936</v>
      </c>
      <c r="AK2431">
        <v>65</v>
      </c>
      <c r="AL2431" s="122">
        <v>2370</v>
      </c>
      <c r="AM2431" s="122">
        <v>2154</v>
      </c>
      <c r="AN2431" s="122">
        <v>1624</v>
      </c>
      <c r="AO2431" s="122">
        <v>601</v>
      </c>
      <c r="AP2431">
        <v>621</v>
      </c>
      <c r="AQ2431">
        <v>230</v>
      </c>
      <c r="AR2431" s="122">
        <v>7261</v>
      </c>
      <c r="AS2431" s="122">
        <v>6051</v>
      </c>
      <c r="AT2431">
        <v>0</v>
      </c>
      <c r="AU2431">
        <v>0</v>
      </c>
      <c r="AV2431" s="122">
        <v>33972</v>
      </c>
    </row>
    <row r="2432" spans="2:48" hidden="1">
      <c r="B2432" t="s">
        <v>380</v>
      </c>
      <c r="C2432" t="s">
        <v>50</v>
      </c>
      <c r="D2432" t="s">
        <v>137</v>
      </c>
      <c r="E2432" t="s">
        <v>137</v>
      </c>
      <c r="F2432" s="122">
        <v>13</v>
      </c>
      <c r="G2432" s="122">
        <v>3362</v>
      </c>
      <c r="H2432" s="122">
        <v>1154</v>
      </c>
      <c r="I2432" s="122">
        <v>116267</v>
      </c>
      <c r="J2432" s="122">
        <v>43062</v>
      </c>
      <c r="K2432" s="122">
        <v>385</v>
      </c>
      <c r="L2432" s="122">
        <v>34409</v>
      </c>
      <c r="M2432" s="122">
        <v>31281</v>
      </c>
      <c r="N2432" s="122">
        <v>45365</v>
      </c>
      <c r="O2432" s="122">
        <v>16802</v>
      </c>
      <c r="P2432" s="122">
        <v>16012</v>
      </c>
      <c r="Q2432" s="122">
        <v>5930</v>
      </c>
      <c r="R2432" s="122">
        <v>84068</v>
      </c>
      <c r="S2432" s="122">
        <v>31136</v>
      </c>
      <c r="T2432" s="122">
        <v>0</v>
      </c>
      <c r="U2432" s="122">
        <v>0</v>
      </c>
      <c r="V2432" s="122">
        <v>128211</v>
      </c>
      <c r="W2432" s="122">
        <f t="shared" si="78"/>
        <v>128211</v>
      </c>
      <c r="X2432" s="122">
        <f t="shared" si="79"/>
        <v>296121</v>
      </c>
      <c r="AA2432" t="s">
        <v>64</v>
      </c>
      <c r="AB2432" t="s">
        <v>579</v>
      </c>
      <c r="AC2432" t="s">
        <v>407</v>
      </c>
      <c r="AD2432" t="s">
        <v>137</v>
      </c>
      <c r="AE2432" t="s">
        <v>566</v>
      </c>
      <c r="AF2432">
        <v>2</v>
      </c>
      <c r="AG2432">
        <v>296</v>
      </c>
      <c r="AH2432" s="122">
        <v>2549</v>
      </c>
      <c r="AI2432" s="122">
        <v>305787</v>
      </c>
      <c r="AJ2432" s="122">
        <v>254823</v>
      </c>
      <c r="AK2432">
        <v>30</v>
      </c>
      <c r="AL2432" s="122">
        <v>18687</v>
      </c>
      <c r="AM2432" s="122">
        <v>16988</v>
      </c>
      <c r="AN2432" s="122">
        <v>7017</v>
      </c>
      <c r="AO2432" s="122">
        <v>2599</v>
      </c>
      <c r="AP2432">
        <v>0</v>
      </c>
      <c r="AQ2432">
        <v>0</v>
      </c>
      <c r="AR2432" s="122">
        <v>23569</v>
      </c>
      <c r="AS2432" s="122">
        <v>8729</v>
      </c>
      <c r="AT2432" s="122">
        <v>0</v>
      </c>
      <c r="AU2432">
        <v>0</v>
      </c>
      <c r="AV2432" s="122">
        <v>283139</v>
      </c>
    </row>
    <row r="2433" spans="2:48" hidden="1">
      <c r="B2433" t="s">
        <v>380</v>
      </c>
      <c r="C2433" t="s">
        <v>50</v>
      </c>
      <c r="D2433" t="s">
        <v>406</v>
      </c>
      <c r="E2433" t="s">
        <v>406</v>
      </c>
      <c r="F2433" s="122">
        <v>28</v>
      </c>
      <c r="G2433" s="122">
        <v>6598</v>
      </c>
      <c r="H2433" s="122">
        <v>2455</v>
      </c>
      <c r="I2433" s="122">
        <v>298356</v>
      </c>
      <c r="J2433" s="122">
        <v>271233</v>
      </c>
      <c r="K2433" s="122">
        <v>95</v>
      </c>
      <c r="L2433" s="122">
        <v>49380</v>
      </c>
      <c r="M2433" s="122">
        <v>44891</v>
      </c>
      <c r="N2433" s="122">
        <v>89792</v>
      </c>
      <c r="O2433" s="122">
        <v>33256</v>
      </c>
      <c r="P2433" s="122">
        <v>33091</v>
      </c>
      <c r="Q2433" s="122">
        <v>12256</v>
      </c>
      <c r="R2433" s="122">
        <v>113820</v>
      </c>
      <c r="S2433" s="122">
        <v>103473</v>
      </c>
      <c r="T2433" s="122">
        <v>764</v>
      </c>
      <c r="U2433" s="122">
        <v>283</v>
      </c>
      <c r="V2433" s="122">
        <v>465392</v>
      </c>
      <c r="W2433" s="122">
        <f t="shared" si="78"/>
        <v>465392</v>
      </c>
      <c r="X2433" s="122">
        <f t="shared" si="79"/>
        <v>585203</v>
      </c>
      <c r="AA2433" t="s">
        <v>64</v>
      </c>
      <c r="AB2433" t="s">
        <v>579</v>
      </c>
      <c r="AC2433" t="s">
        <v>407</v>
      </c>
      <c r="AD2433" t="s">
        <v>579</v>
      </c>
      <c r="AE2433" t="s">
        <v>137</v>
      </c>
      <c r="AF2433">
        <v>1</v>
      </c>
      <c r="AG2433">
        <v>117</v>
      </c>
      <c r="AH2433" s="122">
        <v>543</v>
      </c>
      <c r="AI2433" s="122">
        <v>47927</v>
      </c>
      <c r="AJ2433" s="122">
        <v>39939</v>
      </c>
      <c r="AK2433">
        <v>72</v>
      </c>
      <c r="AL2433" s="122">
        <v>5197</v>
      </c>
      <c r="AM2433" s="122">
        <v>4725</v>
      </c>
      <c r="AN2433" s="122">
        <v>2131</v>
      </c>
      <c r="AO2433" s="122">
        <v>789</v>
      </c>
      <c r="AP2433">
        <v>824</v>
      </c>
      <c r="AQ2433">
        <v>305</v>
      </c>
      <c r="AR2433" s="122">
        <v>4638</v>
      </c>
      <c r="AS2433" s="122">
        <v>3865</v>
      </c>
      <c r="AT2433" s="122">
        <v>2634</v>
      </c>
      <c r="AU2433">
        <v>976</v>
      </c>
      <c r="AV2433" s="122">
        <v>50599</v>
      </c>
    </row>
    <row r="2434" spans="2:48" hidden="1">
      <c r="B2434" t="s">
        <v>380</v>
      </c>
      <c r="C2434" t="s">
        <v>50</v>
      </c>
      <c r="D2434" t="s">
        <v>481</v>
      </c>
      <c r="E2434" t="s">
        <v>481</v>
      </c>
      <c r="F2434" s="122">
        <v>1</v>
      </c>
      <c r="G2434" s="122">
        <v>471</v>
      </c>
      <c r="H2434" s="122">
        <v>98</v>
      </c>
      <c r="I2434" s="122">
        <v>27378</v>
      </c>
      <c r="J2434" s="122">
        <v>24889</v>
      </c>
      <c r="K2434" s="122">
        <v>93</v>
      </c>
      <c r="L2434" s="122">
        <v>3536</v>
      </c>
      <c r="M2434" s="122">
        <v>3215</v>
      </c>
      <c r="N2434" s="122">
        <v>7288</v>
      </c>
      <c r="O2434" s="122">
        <v>2699</v>
      </c>
      <c r="P2434" s="122">
        <v>351</v>
      </c>
      <c r="Q2434" s="122">
        <v>130</v>
      </c>
      <c r="R2434" s="122">
        <v>7443</v>
      </c>
      <c r="S2434" s="122">
        <v>6767</v>
      </c>
      <c r="T2434" s="122">
        <v>0</v>
      </c>
      <c r="U2434" s="122">
        <v>0</v>
      </c>
      <c r="V2434" s="122">
        <v>37699</v>
      </c>
      <c r="W2434" s="122">
        <f t="shared" si="78"/>
        <v>37700</v>
      </c>
      <c r="X2434" s="122">
        <f t="shared" si="79"/>
        <v>45996</v>
      </c>
      <c r="AA2434" t="s">
        <v>64</v>
      </c>
      <c r="AB2434" t="s">
        <v>579</v>
      </c>
      <c r="AC2434" t="s">
        <v>579</v>
      </c>
      <c r="AD2434" t="s">
        <v>137</v>
      </c>
      <c r="AE2434" t="s">
        <v>137</v>
      </c>
      <c r="AF2434">
        <v>2</v>
      </c>
      <c r="AG2434" s="122">
        <v>314</v>
      </c>
      <c r="AH2434" s="122">
        <v>1377</v>
      </c>
      <c r="AI2434" s="122">
        <v>139914</v>
      </c>
      <c r="AJ2434" s="122">
        <v>116595</v>
      </c>
      <c r="AK2434">
        <v>60</v>
      </c>
      <c r="AL2434" s="122">
        <v>31362</v>
      </c>
      <c r="AM2434" s="122">
        <v>26135</v>
      </c>
      <c r="AN2434" s="122">
        <v>5371</v>
      </c>
      <c r="AO2434" s="122">
        <v>1989</v>
      </c>
      <c r="AP2434" s="122">
        <v>702</v>
      </c>
      <c r="AQ2434">
        <v>260</v>
      </c>
      <c r="AR2434" s="122">
        <v>15580</v>
      </c>
      <c r="AS2434" s="122">
        <v>5770</v>
      </c>
      <c r="AT2434">
        <v>0</v>
      </c>
      <c r="AU2434">
        <v>0</v>
      </c>
      <c r="AV2434" s="122">
        <v>150750</v>
      </c>
    </row>
    <row r="2435" spans="2:48" hidden="1">
      <c r="B2435" t="s">
        <v>380</v>
      </c>
      <c r="C2435" t="s">
        <v>50</v>
      </c>
      <c r="D2435" t="s">
        <v>408</v>
      </c>
      <c r="E2435" t="s">
        <v>408</v>
      </c>
      <c r="F2435" s="122">
        <v>3</v>
      </c>
      <c r="G2435" s="122">
        <v>781</v>
      </c>
      <c r="H2435" s="122">
        <v>250</v>
      </c>
      <c r="I2435" s="122">
        <v>32163</v>
      </c>
      <c r="J2435" s="122">
        <v>29239</v>
      </c>
      <c r="K2435" s="122">
        <v>88</v>
      </c>
      <c r="L2435" s="122">
        <v>4566</v>
      </c>
      <c r="M2435" s="122">
        <v>4151</v>
      </c>
      <c r="N2435" s="122">
        <v>12900</v>
      </c>
      <c r="O2435" s="122">
        <v>4778</v>
      </c>
      <c r="P2435" s="122">
        <v>1053</v>
      </c>
      <c r="Q2435" s="122">
        <v>390</v>
      </c>
      <c r="R2435" s="122">
        <v>14651</v>
      </c>
      <c r="S2435" s="122">
        <v>13319</v>
      </c>
      <c r="T2435" s="122">
        <v>0</v>
      </c>
      <c r="U2435" s="122">
        <v>0</v>
      </c>
      <c r="V2435" s="122">
        <v>51877</v>
      </c>
      <c r="W2435" s="122">
        <f t="shared" si="78"/>
        <v>51877</v>
      </c>
      <c r="X2435" s="122">
        <f t="shared" si="79"/>
        <v>65333</v>
      </c>
      <c r="AA2435" t="s">
        <v>64</v>
      </c>
      <c r="AB2435" t="s">
        <v>579</v>
      </c>
      <c r="AC2435" t="s">
        <v>579</v>
      </c>
      <c r="AD2435" t="s">
        <v>137</v>
      </c>
      <c r="AE2435" t="s">
        <v>566</v>
      </c>
      <c r="AF2435">
        <v>16</v>
      </c>
      <c r="AG2435" s="122">
        <v>1577</v>
      </c>
      <c r="AH2435" s="122">
        <v>17439</v>
      </c>
      <c r="AI2435" s="122">
        <v>1454621</v>
      </c>
      <c r="AJ2435" s="122">
        <v>1212184</v>
      </c>
      <c r="AK2435">
        <v>45</v>
      </c>
      <c r="AL2435" s="122">
        <v>114150</v>
      </c>
      <c r="AM2435" s="122">
        <v>95125</v>
      </c>
      <c r="AN2435" s="122">
        <v>34811</v>
      </c>
      <c r="AO2435" s="122">
        <v>12893</v>
      </c>
      <c r="AP2435" s="122">
        <v>2106</v>
      </c>
      <c r="AQ2435">
        <v>780</v>
      </c>
      <c r="AR2435" s="122">
        <v>127695</v>
      </c>
      <c r="AS2435" s="122">
        <v>47294</v>
      </c>
      <c r="AT2435" s="122">
        <v>0</v>
      </c>
      <c r="AU2435" s="122">
        <v>0</v>
      </c>
      <c r="AV2435" s="122">
        <v>1368277</v>
      </c>
    </row>
    <row r="2436" spans="2:48" hidden="1">
      <c r="B2436" t="s">
        <v>380</v>
      </c>
      <c r="C2436" t="s">
        <v>52</v>
      </c>
      <c r="D2436" t="s">
        <v>405</v>
      </c>
      <c r="E2436" t="s">
        <v>405</v>
      </c>
      <c r="F2436" s="122">
        <v>3</v>
      </c>
      <c r="G2436" s="122">
        <v>788</v>
      </c>
      <c r="H2436" s="122">
        <v>347</v>
      </c>
      <c r="I2436" s="122">
        <v>49580</v>
      </c>
      <c r="J2436" s="122">
        <v>45073</v>
      </c>
      <c r="K2436" s="122">
        <v>90</v>
      </c>
      <c r="L2436" s="122">
        <v>10764</v>
      </c>
      <c r="M2436" s="122">
        <v>9786</v>
      </c>
      <c r="N2436" s="122">
        <v>11604</v>
      </c>
      <c r="O2436" s="122">
        <v>4298</v>
      </c>
      <c r="P2436" s="122">
        <v>1418</v>
      </c>
      <c r="Q2436" s="122">
        <v>525</v>
      </c>
      <c r="R2436" s="122">
        <v>17883</v>
      </c>
      <c r="S2436" s="122">
        <v>16257</v>
      </c>
      <c r="T2436" s="122">
        <v>0</v>
      </c>
      <c r="U2436" s="122">
        <v>0</v>
      </c>
      <c r="V2436" s="122">
        <v>75939</v>
      </c>
      <c r="W2436" s="122">
        <f t="shared" si="78"/>
        <v>75939</v>
      </c>
      <c r="X2436" s="122">
        <f t="shared" si="79"/>
        <v>91249</v>
      </c>
      <c r="AA2436" t="s">
        <v>64</v>
      </c>
      <c r="AB2436" t="s">
        <v>579</v>
      </c>
      <c r="AC2436" t="s">
        <v>579</v>
      </c>
      <c r="AD2436" t="s">
        <v>406</v>
      </c>
      <c r="AE2436" t="s">
        <v>137</v>
      </c>
      <c r="AF2436">
        <v>1</v>
      </c>
      <c r="AG2436" s="122">
        <v>411</v>
      </c>
      <c r="AH2436" s="122">
        <v>918</v>
      </c>
      <c r="AI2436" s="122">
        <v>338683</v>
      </c>
      <c r="AJ2436" s="122">
        <v>282236</v>
      </c>
      <c r="AK2436">
        <v>30</v>
      </c>
      <c r="AL2436" s="122">
        <v>18816</v>
      </c>
      <c r="AM2436" s="122">
        <v>15680</v>
      </c>
      <c r="AN2436" s="122">
        <v>8968</v>
      </c>
      <c r="AO2436" s="122">
        <v>3321</v>
      </c>
      <c r="AP2436" s="122">
        <v>0</v>
      </c>
      <c r="AQ2436" s="122">
        <v>0</v>
      </c>
      <c r="AR2436" s="122">
        <v>6993</v>
      </c>
      <c r="AS2436" s="122">
        <v>6357</v>
      </c>
      <c r="AT2436" s="122">
        <v>3985</v>
      </c>
      <c r="AU2436" s="122">
        <v>1476</v>
      </c>
      <c r="AV2436" s="122">
        <v>309071</v>
      </c>
    </row>
    <row r="2437" spans="2:48" hidden="1">
      <c r="B2437" t="s">
        <v>380</v>
      </c>
      <c r="C2437" t="s">
        <v>52</v>
      </c>
      <c r="D2437" t="s">
        <v>137</v>
      </c>
      <c r="E2437" t="s">
        <v>137</v>
      </c>
      <c r="F2437" s="122">
        <v>17</v>
      </c>
      <c r="G2437" s="122">
        <v>4707</v>
      </c>
      <c r="H2437" s="122">
        <v>1940</v>
      </c>
      <c r="I2437" s="122">
        <v>225537</v>
      </c>
      <c r="J2437" s="122">
        <v>83532</v>
      </c>
      <c r="K2437" s="122">
        <v>349</v>
      </c>
      <c r="L2437" s="122">
        <v>69512</v>
      </c>
      <c r="M2437" s="122">
        <v>63193</v>
      </c>
      <c r="N2437" s="122">
        <v>79660</v>
      </c>
      <c r="O2437" s="122">
        <v>29504</v>
      </c>
      <c r="P2437" s="122">
        <v>19938</v>
      </c>
      <c r="Q2437" s="122">
        <v>7384</v>
      </c>
      <c r="R2437" s="122">
        <v>145215</v>
      </c>
      <c r="S2437" s="122">
        <v>53783</v>
      </c>
      <c r="T2437" s="122">
        <v>4341</v>
      </c>
      <c r="U2437" s="122">
        <v>1608</v>
      </c>
      <c r="V2437" s="122">
        <v>239004</v>
      </c>
      <c r="W2437" s="122">
        <f t="shared" si="78"/>
        <v>239004</v>
      </c>
      <c r="X2437" s="122">
        <f t="shared" si="79"/>
        <v>544203</v>
      </c>
      <c r="AA2437" t="s">
        <v>64</v>
      </c>
      <c r="AB2437" t="s">
        <v>579</v>
      </c>
      <c r="AC2437" t="s">
        <v>579</v>
      </c>
      <c r="AD2437" t="s">
        <v>579</v>
      </c>
      <c r="AE2437" t="s">
        <v>137</v>
      </c>
      <c r="AF2437">
        <v>129</v>
      </c>
      <c r="AG2437" s="122">
        <v>12570</v>
      </c>
      <c r="AH2437" s="122">
        <v>100521</v>
      </c>
      <c r="AI2437" s="122">
        <v>6922463</v>
      </c>
      <c r="AJ2437" s="122">
        <v>5768719</v>
      </c>
      <c r="AK2437">
        <v>52</v>
      </c>
      <c r="AL2437" s="122">
        <v>1128005</v>
      </c>
      <c r="AM2437" s="122">
        <v>940004</v>
      </c>
      <c r="AN2437" s="122">
        <v>259209</v>
      </c>
      <c r="AO2437" s="122">
        <v>96003</v>
      </c>
      <c r="AP2437" s="122">
        <v>43632</v>
      </c>
      <c r="AQ2437" s="122">
        <v>16160</v>
      </c>
      <c r="AR2437" s="122">
        <v>807271</v>
      </c>
      <c r="AS2437" s="122">
        <v>672726</v>
      </c>
      <c r="AT2437" s="122">
        <v>301367</v>
      </c>
      <c r="AU2437" s="122">
        <v>111618</v>
      </c>
      <c r="AV2437" s="122">
        <v>7605230</v>
      </c>
    </row>
    <row r="2438" spans="2:48" hidden="1">
      <c r="B2438" t="s">
        <v>380</v>
      </c>
      <c r="C2438" t="s">
        <v>52</v>
      </c>
      <c r="D2438" t="s">
        <v>406</v>
      </c>
      <c r="E2438" t="s">
        <v>406</v>
      </c>
      <c r="F2438" s="122">
        <v>66</v>
      </c>
      <c r="G2438" s="122">
        <v>14592</v>
      </c>
      <c r="H2438" s="122">
        <v>7617</v>
      </c>
      <c r="I2438" s="122">
        <v>943578</v>
      </c>
      <c r="J2438" s="122">
        <v>857798</v>
      </c>
      <c r="K2438" s="122">
        <v>92</v>
      </c>
      <c r="L2438" s="122">
        <v>158931</v>
      </c>
      <c r="M2438" s="122">
        <v>144482</v>
      </c>
      <c r="N2438" s="122">
        <v>245109</v>
      </c>
      <c r="O2438" s="122">
        <v>90781</v>
      </c>
      <c r="P2438" s="122">
        <v>56511</v>
      </c>
      <c r="Q2438" s="122">
        <v>20930</v>
      </c>
      <c r="R2438" s="122">
        <v>321863</v>
      </c>
      <c r="S2438" s="122">
        <v>292603</v>
      </c>
      <c r="T2438" s="122">
        <v>7726</v>
      </c>
      <c r="U2438" s="122">
        <v>2861</v>
      </c>
      <c r="V2438" s="122">
        <v>1409456</v>
      </c>
      <c r="W2438" s="122">
        <f t="shared" si="78"/>
        <v>1409455</v>
      </c>
      <c r="X2438" s="122">
        <f t="shared" si="79"/>
        <v>1733718</v>
      </c>
      <c r="AA2438" t="s">
        <v>64</v>
      </c>
      <c r="AB2438" t="s">
        <v>579</v>
      </c>
      <c r="AC2438" t="s">
        <v>579</v>
      </c>
      <c r="AD2438" t="s">
        <v>579</v>
      </c>
      <c r="AE2438" t="s">
        <v>566</v>
      </c>
      <c r="AF2438">
        <v>15</v>
      </c>
      <c r="AG2438" s="122">
        <v>1318</v>
      </c>
      <c r="AH2438" s="122">
        <v>12016</v>
      </c>
      <c r="AI2438" s="122">
        <v>833587</v>
      </c>
      <c r="AJ2438" s="122">
        <v>694656</v>
      </c>
      <c r="AK2438">
        <v>53</v>
      </c>
      <c r="AL2438" s="122">
        <v>124282</v>
      </c>
      <c r="AM2438" s="122">
        <v>103568</v>
      </c>
      <c r="AN2438" s="122">
        <v>29939</v>
      </c>
      <c r="AO2438" s="122">
        <v>11088</v>
      </c>
      <c r="AP2438" s="122">
        <v>2930</v>
      </c>
      <c r="AQ2438" s="122">
        <v>1085</v>
      </c>
      <c r="AR2438" s="122">
        <v>109271</v>
      </c>
      <c r="AS2438" s="122">
        <v>91059</v>
      </c>
      <c r="AT2438">
        <v>0</v>
      </c>
      <c r="AU2438">
        <v>0</v>
      </c>
      <c r="AV2438" s="122">
        <v>901457</v>
      </c>
    </row>
    <row r="2439" spans="2:48" hidden="1">
      <c r="B2439" t="s">
        <v>380</v>
      </c>
      <c r="C2439" t="s">
        <v>52</v>
      </c>
      <c r="D2439" t="s">
        <v>407</v>
      </c>
      <c r="E2439" t="s">
        <v>407</v>
      </c>
      <c r="F2439" s="122">
        <v>1</v>
      </c>
      <c r="G2439" s="122">
        <v>87</v>
      </c>
      <c r="H2439" s="122">
        <v>125</v>
      </c>
      <c r="I2439" s="122">
        <v>4174</v>
      </c>
      <c r="J2439" s="122">
        <v>3795</v>
      </c>
      <c r="K2439" s="122">
        <v>86</v>
      </c>
      <c r="L2439" s="122">
        <v>0</v>
      </c>
      <c r="M2439" s="122">
        <v>0</v>
      </c>
      <c r="N2439" s="122">
        <v>2114</v>
      </c>
      <c r="O2439" s="122">
        <v>783</v>
      </c>
      <c r="P2439" s="122">
        <v>473</v>
      </c>
      <c r="Q2439" s="122">
        <v>175</v>
      </c>
      <c r="R2439" s="122">
        <v>4042</v>
      </c>
      <c r="S2439" s="122">
        <v>3675</v>
      </c>
      <c r="T2439" s="122">
        <v>0</v>
      </c>
      <c r="U2439" s="122">
        <v>0</v>
      </c>
      <c r="V2439" s="122">
        <v>8427</v>
      </c>
      <c r="W2439" s="122">
        <f t="shared" si="78"/>
        <v>8428</v>
      </c>
      <c r="X2439" s="122">
        <f t="shared" si="79"/>
        <v>10803</v>
      </c>
      <c r="AA2439" t="s">
        <v>64</v>
      </c>
      <c r="AB2439" t="s">
        <v>579</v>
      </c>
      <c r="AC2439" t="s">
        <v>579</v>
      </c>
      <c r="AD2439" t="s">
        <v>426</v>
      </c>
      <c r="AE2439" t="s">
        <v>566</v>
      </c>
      <c r="AF2439">
        <v>1</v>
      </c>
      <c r="AG2439">
        <v>102</v>
      </c>
      <c r="AH2439" s="122">
        <v>738</v>
      </c>
      <c r="AI2439" s="122">
        <v>58564</v>
      </c>
      <c r="AJ2439" s="122">
        <v>48804</v>
      </c>
      <c r="AK2439">
        <v>55</v>
      </c>
      <c r="AL2439" s="122">
        <v>11930</v>
      </c>
      <c r="AM2439" s="122">
        <v>9941</v>
      </c>
      <c r="AN2439" s="122">
        <v>2492</v>
      </c>
      <c r="AO2439" s="122">
        <v>923</v>
      </c>
      <c r="AP2439">
        <v>351</v>
      </c>
      <c r="AQ2439">
        <v>130</v>
      </c>
      <c r="AR2439" s="122">
        <v>2110</v>
      </c>
      <c r="AS2439" s="122">
        <v>1918</v>
      </c>
      <c r="AT2439" s="122">
        <v>0</v>
      </c>
      <c r="AU2439" s="122">
        <v>0</v>
      </c>
      <c r="AV2439" s="122">
        <v>61716</v>
      </c>
    </row>
    <row r="2440" spans="2:48" hidden="1">
      <c r="B2440" t="s">
        <v>380</v>
      </c>
      <c r="C2440" t="s">
        <v>52</v>
      </c>
      <c r="D2440" t="s">
        <v>426</v>
      </c>
      <c r="E2440" t="s">
        <v>426</v>
      </c>
      <c r="F2440" s="122">
        <v>1</v>
      </c>
      <c r="G2440" s="122">
        <v>111</v>
      </c>
      <c r="H2440" s="122">
        <v>117</v>
      </c>
      <c r="I2440" s="122">
        <v>5854</v>
      </c>
      <c r="J2440" s="122">
        <v>5322</v>
      </c>
      <c r="K2440" s="122">
        <v>76</v>
      </c>
      <c r="L2440" s="122">
        <v>0</v>
      </c>
      <c r="M2440" s="122">
        <v>0</v>
      </c>
      <c r="N2440" s="122">
        <v>1358</v>
      </c>
      <c r="O2440" s="122">
        <v>503</v>
      </c>
      <c r="P2440" s="122">
        <v>1250</v>
      </c>
      <c r="Q2440" s="122">
        <v>463</v>
      </c>
      <c r="R2440" s="122">
        <v>2914</v>
      </c>
      <c r="S2440" s="122">
        <v>2649</v>
      </c>
      <c r="T2440" s="122">
        <v>1701</v>
      </c>
      <c r="U2440" s="122">
        <v>630</v>
      </c>
      <c r="V2440" s="122">
        <v>9567</v>
      </c>
      <c r="W2440" s="122">
        <f t="shared" si="78"/>
        <v>9567</v>
      </c>
      <c r="X2440" s="122">
        <f t="shared" si="79"/>
        <v>13077</v>
      </c>
      <c r="AA2440" t="s">
        <v>64</v>
      </c>
      <c r="AB2440" t="s">
        <v>579</v>
      </c>
      <c r="AC2440" t="s">
        <v>426</v>
      </c>
      <c r="AD2440" t="s">
        <v>579</v>
      </c>
      <c r="AE2440" t="s">
        <v>137</v>
      </c>
      <c r="AF2440">
        <v>2</v>
      </c>
      <c r="AG2440">
        <v>226</v>
      </c>
      <c r="AH2440" s="122">
        <v>1301</v>
      </c>
      <c r="AI2440" s="122">
        <v>101024</v>
      </c>
      <c r="AJ2440" s="122">
        <v>84187</v>
      </c>
      <c r="AK2440">
        <v>73</v>
      </c>
      <c r="AL2440" s="122">
        <v>24947</v>
      </c>
      <c r="AM2440" s="122">
        <v>22679</v>
      </c>
      <c r="AN2440" s="122">
        <v>4759</v>
      </c>
      <c r="AO2440" s="122">
        <v>1763</v>
      </c>
      <c r="AP2440">
        <v>702</v>
      </c>
      <c r="AQ2440">
        <v>260</v>
      </c>
      <c r="AR2440" s="122">
        <v>8734</v>
      </c>
      <c r="AS2440" s="122">
        <v>7278</v>
      </c>
      <c r="AT2440" s="122">
        <v>4856</v>
      </c>
      <c r="AU2440" s="122">
        <v>1798</v>
      </c>
      <c r="AV2440" s="122">
        <v>117965</v>
      </c>
    </row>
    <row r="2441" spans="2:48" hidden="1">
      <c r="B2441" t="s">
        <v>380</v>
      </c>
      <c r="C2441" t="s">
        <v>52</v>
      </c>
      <c r="D2441" t="s">
        <v>408</v>
      </c>
      <c r="E2441" t="s">
        <v>408</v>
      </c>
      <c r="F2441" s="122">
        <v>1</v>
      </c>
      <c r="G2441" s="122">
        <v>249</v>
      </c>
      <c r="H2441" s="122">
        <v>110</v>
      </c>
      <c r="I2441" s="122">
        <v>13649</v>
      </c>
      <c r="J2441" s="122">
        <v>12408</v>
      </c>
      <c r="K2441" s="122">
        <v>93</v>
      </c>
      <c r="L2441" s="122">
        <v>4706</v>
      </c>
      <c r="M2441" s="122">
        <v>4279</v>
      </c>
      <c r="N2441" s="122">
        <v>4923</v>
      </c>
      <c r="O2441" s="122">
        <v>1823</v>
      </c>
      <c r="P2441" s="122">
        <v>1404</v>
      </c>
      <c r="Q2441" s="122">
        <v>520</v>
      </c>
      <c r="R2441" s="122">
        <v>2734</v>
      </c>
      <c r="S2441" s="122">
        <v>2486</v>
      </c>
      <c r="T2441" s="122">
        <v>0</v>
      </c>
      <c r="U2441" s="122">
        <v>0</v>
      </c>
      <c r="V2441" s="122">
        <v>21516</v>
      </c>
      <c r="W2441" s="122">
        <f t="shared" si="78"/>
        <v>21516</v>
      </c>
      <c r="X2441" s="122">
        <f t="shared" si="79"/>
        <v>27416</v>
      </c>
      <c r="AA2441" t="s">
        <v>64</v>
      </c>
      <c r="AB2441" t="s">
        <v>579</v>
      </c>
      <c r="AC2441" t="s">
        <v>426</v>
      </c>
      <c r="AD2441" t="s">
        <v>579</v>
      </c>
      <c r="AE2441" t="s">
        <v>566</v>
      </c>
      <c r="AF2441">
        <v>1</v>
      </c>
      <c r="AG2441" s="122">
        <v>82</v>
      </c>
      <c r="AH2441" s="122">
        <v>500</v>
      </c>
      <c r="AI2441" s="122">
        <v>30565</v>
      </c>
      <c r="AJ2441" s="122">
        <v>25471</v>
      </c>
      <c r="AK2441">
        <v>71</v>
      </c>
      <c r="AL2441" s="122">
        <v>3420</v>
      </c>
      <c r="AM2441" s="122">
        <v>3109</v>
      </c>
      <c r="AN2441" s="122">
        <v>1499</v>
      </c>
      <c r="AO2441" s="122">
        <v>555</v>
      </c>
      <c r="AP2441">
        <v>351</v>
      </c>
      <c r="AQ2441">
        <v>130</v>
      </c>
      <c r="AR2441" s="122">
        <v>5162</v>
      </c>
      <c r="AS2441" s="122">
        <v>4302</v>
      </c>
      <c r="AT2441">
        <v>0</v>
      </c>
      <c r="AU2441">
        <v>0</v>
      </c>
      <c r="AV2441" s="122">
        <v>33567</v>
      </c>
    </row>
    <row r="2442" spans="2:48" hidden="1">
      <c r="B2442" t="s">
        <v>380</v>
      </c>
      <c r="C2442" t="s">
        <v>54</v>
      </c>
      <c r="D2442" t="s">
        <v>425</v>
      </c>
      <c r="E2442" t="s">
        <v>406</v>
      </c>
      <c r="F2442" s="122">
        <v>1</v>
      </c>
      <c r="G2442" s="122">
        <v>244</v>
      </c>
      <c r="H2442" s="122">
        <v>140</v>
      </c>
      <c r="I2442" s="122">
        <v>22842</v>
      </c>
      <c r="J2442" s="122">
        <v>20766</v>
      </c>
      <c r="K2442" s="122">
        <v>97</v>
      </c>
      <c r="L2442" s="122">
        <v>3896</v>
      </c>
      <c r="M2442" s="122">
        <v>3542</v>
      </c>
      <c r="N2442" s="122">
        <v>6741</v>
      </c>
      <c r="O2442" s="122">
        <v>2497</v>
      </c>
      <c r="P2442" s="122">
        <v>972</v>
      </c>
      <c r="Q2442" s="122">
        <v>360</v>
      </c>
      <c r="R2442" s="122">
        <v>6061</v>
      </c>
      <c r="S2442" s="122">
        <v>5510</v>
      </c>
      <c r="T2442" s="122">
        <v>0</v>
      </c>
      <c r="U2442" s="122">
        <v>0</v>
      </c>
      <c r="V2442" s="122">
        <v>32674</v>
      </c>
      <c r="W2442" s="122">
        <f t="shared" si="78"/>
        <v>32675</v>
      </c>
      <c r="X2442" s="122">
        <f t="shared" si="79"/>
        <v>40512</v>
      </c>
      <c r="AA2442" t="s">
        <v>64</v>
      </c>
      <c r="AB2442" t="s">
        <v>579</v>
      </c>
      <c r="AC2442" t="s">
        <v>566</v>
      </c>
      <c r="AD2442" t="s">
        <v>137</v>
      </c>
      <c r="AE2442" t="s">
        <v>566</v>
      </c>
      <c r="AF2442">
        <v>22</v>
      </c>
      <c r="AG2442" s="122">
        <v>2219</v>
      </c>
      <c r="AH2442" s="122">
        <v>32369</v>
      </c>
      <c r="AI2442" s="122">
        <v>2882715</v>
      </c>
      <c r="AJ2442" s="122">
        <v>2402262</v>
      </c>
      <c r="AK2442">
        <v>31</v>
      </c>
      <c r="AL2442">
        <v>0</v>
      </c>
      <c r="AM2442" s="122">
        <v>8098</v>
      </c>
      <c r="AN2442" s="122">
        <v>51583</v>
      </c>
      <c r="AO2442" s="122">
        <v>19105</v>
      </c>
      <c r="AP2442" s="122">
        <v>351</v>
      </c>
      <c r="AQ2442" s="122">
        <v>130</v>
      </c>
      <c r="AR2442" s="122">
        <v>136935</v>
      </c>
      <c r="AS2442" s="122">
        <v>50717</v>
      </c>
      <c r="AT2442" s="122">
        <v>0</v>
      </c>
      <c r="AU2442" s="122">
        <v>0</v>
      </c>
      <c r="AV2442" s="122">
        <v>2480312</v>
      </c>
    </row>
    <row r="2443" spans="2:48" hidden="1">
      <c r="B2443" t="s">
        <v>380</v>
      </c>
      <c r="C2443" t="s">
        <v>54</v>
      </c>
      <c r="D2443" t="s">
        <v>405</v>
      </c>
      <c r="E2443" t="s">
        <v>405</v>
      </c>
      <c r="F2443" s="122">
        <v>3</v>
      </c>
      <c r="G2443" s="122">
        <v>654</v>
      </c>
      <c r="H2443" s="122">
        <v>415</v>
      </c>
      <c r="I2443" s="122">
        <v>54819</v>
      </c>
      <c r="J2443" s="122">
        <v>49836</v>
      </c>
      <c r="K2443" s="122">
        <v>91</v>
      </c>
      <c r="L2443" s="122">
        <v>8395</v>
      </c>
      <c r="M2443" s="122">
        <v>7632</v>
      </c>
      <c r="N2443" s="122">
        <v>16284</v>
      </c>
      <c r="O2443" s="122">
        <v>6031</v>
      </c>
      <c r="P2443" s="122">
        <v>2822</v>
      </c>
      <c r="Q2443" s="122">
        <v>1045</v>
      </c>
      <c r="R2443" s="122">
        <v>19234</v>
      </c>
      <c r="S2443" s="122">
        <v>17485</v>
      </c>
      <c r="T2443" s="122">
        <v>0</v>
      </c>
      <c r="U2443" s="122">
        <v>0</v>
      </c>
      <c r="V2443" s="122">
        <v>82029</v>
      </c>
      <c r="W2443" s="122">
        <f t="shared" si="78"/>
        <v>82029</v>
      </c>
      <c r="X2443" s="122">
        <f t="shared" si="79"/>
        <v>101554</v>
      </c>
      <c r="AA2443" t="s">
        <v>64</v>
      </c>
      <c r="AB2443" t="s">
        <v>579</v>
      </c>
      <c r="AC2443" t="s">
        <v>566</v>
      </c>
      <c r="AD2443" t="s">
        <v>579</v>
      </c>
      <c r="AE2443" t="s">
        <v>137</v>
      </c>
      <c r="AF2443">
        <v>28</v>
      </c>
      <c r="AG2443" s="122">
        <v>1710</v>
      </c>
      <c r="AH2443" s="122">
        <v>18673</v>
      </c>
      <c r="AI2443" s="122">
        <v>923166</v>
      </c>
      <c r="AJ2443" s="122">
        <v>769305</v>
      </c>
      <c r="AK2443">
        <v>55</v>
      </c>
      <c r="AL2443">
        <v>0</v>
      </c>
      <c r="AM2443" s="122">
        <v>0</v>
      </c>
      <c r="AN2443" s="122">
        <v>36645</v>
      </c>
      <c r="AO2443" s="122">
        <v>13572</v>
      </c>
      <c r="AP2443" s="122">
        <v>9828</v>
      </c>
      <c r="AQ2443" s="122">
        <v>3640</v>
      </c>
      <c r="AR2443" s="122">
        <v>144727</v>
      </c>
      <c r="AS2443" s="122">
        <v>120606</v>
      </c>
      <c r="AT2443" s="122">
        <v>53969</v>
      </c>
      <c r="AU2443" s="122">
        <v>19988</v>
      </c>
      <c r="AV2443" s="122">
        <v>927112</v>
      </c>
    </row>
    <row r="2444" spans="2:48" hidden="1">
      <c r="B2444" t="s">
        <v>380</v>
      </c>
      <c r="C2444" t="s">
        <v>54</v>
      </c>
      <c r="D2444" t="s">
        <v>137</v>
      </c>
      <c r="E2444" t="s">
        <v>137</v>
      </c>
      <c r="F2444" s="122">
        <v>14</v>
      </c>
      <c r="G2444" s="122">
        <v>3045</v>
      </c>
      <c r="H2444" s="122">
        <v>1975</v>
      </c>
      <c r="I2444" s="122">
        <v>198483</v>
      </c>
      <c r="J2444" s="122">
        <v>73512</v>
      </c>
      <c r="K2444" s="122">
        <v>295</v>
      </c>
      <c r="L2444" s="122">
        <v>61103</v>
      </c>
      <c r="M2444" s="122">
        <v>55548</v>
      </c>
      <c r="N2444" s="122">
        <v>64054</v>
      </c>
      <c r="O2444" s="122">
        <v>23724</v>
      </c>
      <c r="P2444" s="122">
        <v>7722</v>
      </c>
      <c r="Q2444" s="122">
        <v>2860</v>
      </c>
      <c r="R2444" s="122">
        <v>113946</v>
      </c>
      <c r="S2444" s="122">
        <v>42202</v>
      </c>
      <c r="T2444" s="122">
        <v>0</v>
      </c>
      <c r="U2444" s="122">
        <v>0</v>
      </c>
      <c r="V2444" s="122">
        <v>197846</v>
      </c>
      <c r="W2444" s="122">
        <f t="shared" si="78"/>
        <v>197846</v>
      </c>
      <c r="X2444" s="122">
        <f t="shared" si="79"/>
        <v>445308</v>
      </c>
      <c r="AA2444" t="s">
        <v>64</v>
      </c>
      <c r="AB2444" t="s">
        <v>579</v>
      </c>
      <c r="AC2444" t="s">
        <v>566</v>
      </c>
      <c r="AD2444" t="s">
        <v>579</v>
      </c>
      <c r="AE2444" t="s">
        <v>566</v>
      </c>
      <c r="AF2444">
        <v>12</v>
      </c>
      <c r="AG2444" s="122">
        <v>1096</v>
      </c>
      <c r="AH2444" s="122">
        <v>9210</v>
      </c>
      <c r="AI2444" s="122">
        <v>722040</v>
      </c>
      <c r="AJ2444" s="122">
        <v>601700</v>
      </c>
      <c r="AK2444">
        <v>53</v>
      </c>
      <c r="AL2444">
        <v>0</v>
      </c>
      <c r="AM2444" s="122">
        <v>36510</v>
      </c>
      <c r="AN2444" s="122">
        <v>24412</v>
      </c>
      <c r="AO2444" s="122">
        <v>9042</v>
      </c>
      <c r="AP2444" s="122">
        <v>2106</v>
      </c>
      <c r="AQ2444">
        <v>780</v>
      </c>
      <c r="AR2444" s="122">
        <v>97103</v>
      </c>
      <c r="AS2444" s="122">
        <v>80919</v>
      </c>
      <c r="AT2444" s="122">
        <v>0</v>
      </c>
      <c r="AU2444">
        <v>0</v>
      </c>
      <c r="AV2444" s="122">
        <v>728951</v>
      </c>
    </row>
    <row r="2445" spans="2:48" hidden="1">
      <c r="B2445" t="s">
        <v>380</v>
      </c>
      <c r="C2445" t="s">
        <v>54</v>
      </c>
      <c r="D2445" t="s">
        <v>137</v>
      </c>
      <c r="E2445" t="s">
        <v>406</v>
      </c>
      <c r="F2445" s="122">
        <v>1</v>
      </c>
      <c r="G2445" s="122">
        <v>404</v>
      </c>
      <c r="H2445" s="122">
        <v>135</v>
      </c>
      <c r="I2445" s="122">
        <v>25369</v>
      </c>
      <c r="J2445" s="122">
        <v>9396</v>
      </c>
      <c r="K2445" s="122">
        <v>250</v>
      </c>
      <c r="L2445" s="122">
        <v>9570</v>
      </c>
      <c r="M2445" s="122">
        <v>8700</v>
      </c>
      <c r="N2445" s="122">
        <v>9586</v>
      </c>
      <c r="O2445" s="122">
        <v>3551</v>
      </c>
      <c r="P2445" s="122">
        <v>972</v>
      </c>
      <c r="Q2445" s="122">
        <v>360</v>
      </c>
      <c r="R2445" s="122">
        <v>8773</v>
      </c>
      <c r="S2445" s="122">
        <v>7975</v>
      </c>
      <c r="T2445" s="122">
        <v>0</v>
      </c>
      <c r="U2445" s="122">
        <v>0</v>
      </c>
      <c r="V2445" s="122">
        <v>29982</v>
      </c>
      <c r="W2445" s="122">
        <f t="shared" si="78"/>
        <v>29982</v>
      </c>
      <c r="X2445" s="122">
        <f t="shared" si="79"/>
        <v>54270</v>
      </c>
      <c r="AA2445" t="s">
        <v>64</v>
      </c>
      <c r="AB2445" t="s">
        <v>579</v>
      </c>
      <c r="AC2445" t="s">
        <v>566</v>
      </c>
      <c r="AD2445" t="s">
        <v>426</v>
      </c>
      <c r="AE2445" t="s">
        <v>137</v>
      </c>
      <c r="AF2445">
        <v>1</v>
      </c>
      <c r="AG2445">
        <v>37</v>
      </c>
      <c r="AH2445">
        <v>851</v>
      </c>
      <c r="AI2445" s="122">
        <v>24425</v>
      </c>
      <c r="AJ2445" s="122">
        <v>20354</v>
      </c>
      <c r="AK2445">
        <v>55</v>
      </c>
      <c r="AL2445" s="122">
        <v>0</v>
      </c>
      <c r="AM2445" s="122">
        <v>0</v>
      </c>
      <c r="AN2445" s="122">
        <v>893</v>
      </c>
      <c r="AO2445">
        <v>331</v>
      </c>
      <c r="AP2445">
        <v>351</v>
      </c>
      <c r="AQ2445">
        <v>130</v>
      </c>
      <c r="AR2445" s="122">
        <v>3965</v>
      </c>
      <c r="AS2445" s="122">
        <v>3604</v>
      </c>
      <c r="AT2445" s="122">
        <v>1549</v>
      </c>
      <c r="AU2445">
        <v>574</v>
      </c>
      <c r="AV2445" s="122">
        <v>24993</v>
      </c>
    </row>
    <row r="2446" spans="2:48" hidden="1">
      <c r="B2446" t="s">
        <v>380</v>
      </c>
      <c r="C2446" t="s">
        <v>54</v>
      </c>
      <c r="D2446" t="s">
        <v>430</v>
      </c>
      <c r="E2446" t="s">
        <v>430</v>
      </c>
      <c r="F2446" s="122">
        <v>1</v>
      </c>
      <c r="G2446" s="122">
        <v>141</v>
      </c>
      <c r="H2446" s="122">
        <v>129</v>
      </c>
      <c r="I2446" s="122">
        <v>5947</v>
      </c>
      <c r="J2446" s="122">
        <v>2202</v>
      </c>
      <c r="K2446" s="122">
        <v>250</v>
      </c>
      <c r="L2446" s="122">
        <v>0</v>
      </c>
      <c r="M2446" s="122">
        <v>0</v>
      </c>
      <c r="N2446" s="122">
        <v>3441</v>
      </c>
      <c r="O2446" s="122">
        <v>1275</v>
      </c>
      <c r="P2446" s="122">
        <v>1489</v>
      </c>
      <c r="Q2446" s="122">
        <v>552</v>
      </c>
      <c r="R2446" s="122">
        <v>4478</v>
      </c>
      <c r="S2446" s="122">
        <v>1659</v>
      </c>
      <c r="T2446" s="122">
        <v>2833</v>
      </c>
      <c r="U2446" s="122">
        <v>1049</v>
      </c>
      <c r="V2446" s="122">
        <v>6737</v>
      </c>
      <c r="W2446" s="122">
        <f t="shared" si="78"/>
        <v>6737</v>
      </c>
      <c r="X2446" s="122">
        <f t="shared" si="79"/>
        <v>18188</v>
      </c>
      <c r="AA2446" t="s">
        <v>64</v>
      </c>
      <c r="AB2446" t="s">
        <v>579</v>
      </c>
      <c r="AC2446" t="s">
        <v>429</v>
      </c>
      <c r="AD2446" t="s">
        <v>579</v>
      </c>
      <c r="AE2446" t="s">
        <v>137</v>
      </c>
      <c r="AF2446">
        <v>1</v>
      </c>
      <c r="AG2446">
        <v>76</v>
      </c>
      <c r="AH2446">
        <v>600</v>
      </c>
      <c r="AI2446" s="122">
        <v>49950</v>
      </c>
      <c r="AJ2446" s="122">
        <v>41625</v>
      </c>
      <c r="AK2446">
        <v>55</v>
      </c>
      <c r="AL2446" s="122">
        <v>4305</v>
      </c>
      <c r="AM2446" s="122">
        <v>3913</v>
      </c>
      <c r="AN2446" s="122">
        <v>1964</v>
      </c>
      <c r="AO2446" s="122">
        <v>728</v>
      </c>
      <c r="AP2446">
        <v>351</v>
      </c>
      <c r="AQ2446">
        <v>130</v>
      </c>
      <c r="AR2446" s="122">
        <v>7965</v>
      </c>
      <c r="AS2446" s="122">
        <v>6638</v>
      </c>
      <c r="AT2446" s="122">
        <v>0</v>
      </c>
      <c r="AU2446" s="122">
        <v>0</v>
      </c>
      <c r="AV2446" s="122">
        <v>53034</v>
      </c>
    </row>
    <row r="2447" spans="2:48" hidden="1">
      <c r="B2447" t="s">
        <v>380</v>
      </c>
      <c r="C2447" t="s">
        <v>54</v>
      </c>
      <c r="D2447" t="s">
        <v>406</v>
      </c>
      <c r="E2447" t="s">
        <v>137</v>
      </c>
      <c r="F2447" s="122">
        <v>1</v>
      </c>
      <c r="G2447" s="122">
        <v>162</v>
      </c>
      <c r="H2447" s="122">
        <v>145</v>
      </c>
      <c r="I2447" s="122">
        <v>22511</v>
      </c>
      <c r="J2447" s="122">
        <v>20465</v>
      </c>
      <c r="K2447" s="122">
        <v>85</v>
      </c>
      <c r="L2447" s="122">
        <v>7087</v>
      </c>
      <c r="M2447" s="122">
        <v>6443</v>
      </c>
      <c r="N2447" s="122">
        <v>4267</v>
      </c>
      <c r="O2447" s="122">
        <v>1581</v>
      </c>
      <c r="P2447" s="122">
        <v>621</v>
      </c>
      <c r="Q2447" s="122">
        <v>230</v>
      </c>
      <c r="R2447" s="122">
        <v>2564</v>
      </c>
      <c r="S2447" s="122">
        <v>950</v>
      </c>
      <c r="T2447" s="122">
        <v>0</v>
      </c>
      <c r="U2447" s="122">
        <v>0</v>
      </c>
      <c r="V2447" s="122">
        <v>29668</v>
      </c>
      <c r="W2447" s="122">
        <f t="shared" si="78"/>
        <v>29669</v>
      </c>
      <c r="X2447" s="122">
        <f t="shared" si="79"/>
        <v>37050</v>
      </c>
      <c r="AA2447" t="s">
        <v>64</v>
      </c>
      <c r="AB2447" t="s">
        <v>428</v>
      </c>
      <c r="AC2447" t="s">
        <v>137</v>
      </c>
      <c r="AD2447" t="s">
        <v>137</v>
      </c>
      <c r="AE2447" t="s">
        <v>137</v>
      </c>
      <c r="AF2447">
        <v>1</v>
      </c>
      <c r="AG2447">
        <v>100</v>
      </c>
      <c r="AH2447" s="122">
        <v>530</v>
      </c>
      <c r="AI2447" s="122">
        <v>37469</v>
      </c>
      <c r="AJ2447" s="122">
        <v>34062</v>
      </c>
      <c r="AK2447">
        <v>60</v>
      </c>
      <c r="AL2447" s="122">
        <v>6131</v>
      </c>
      <c r="AM2447" s="122">
        <v>2271</v>
      </c>
      <c r="AN2447" s="122">
        <v>3046</v>
      </c>
      <c r="AO2447" s="122">
        <v>1128</v>
      </c>
      <c r="AP2447">
        <v>0</v>
      </c>
      <c r="AQ2447">
        <v>0</v>
      </c>
      <c r="AR2447" s="122">
        <v>15948</v>
      </c>
      <c r="AS2447" s="122">
        <v>5907</v>
      </c>
      <c r="AT2447" s="122">
        <v>3626</v>
      </c>
      <c r="AU2447" s="122">
        <v>1343</v>
      </c>
      <c r="AV2447" s="122">
        <v>44711</v>
      </c>
    </row>
    <row r="2448" spans="2:48" hidden="1">
      <c r="B2448" t="s">
        <v>380</v>
      </c>
      <c r="C2448" t="s">
        <v>54</v>
      </c>
      <c r="D2448" t="s">
        <v>406</v>
      </c>
      <c r="E2448" t="s">
        <v>406</v>
      </c>
      <c r="F2448" s="122">
        <v>225</v>
      </c>
      <c r="G2448" s="122">
        <v>46011</v>
      </c>
      <c r="H2448" s="122">
        <v>31407</v>
      </c>
      <c r="I2448" s="122">
        <v>3798870</v>
      </c>
      <c r="J2448" s="122">
        <v>3453518</v>
      </c>
      <c r="K2448" s="122">
        <v>90</v>
      </c>
      <c r="L2448" s="122">
        <v>698908</v>
      </c>
      <c r="M2448" s="122">
        <v>651209</v>
      </c>
      <c r="N2448" s="122">
        <v>922300</v>
      </c>
      <c r="O2448" s="122">
        <v>341593</v>
      </c>
      <c r="P2448" s="122">
        <v>167832</v>
      </c>
      <c r="Q2448" s="122">
        <v>62160</v>
      </c>
      <c r="R2448" s="122">
        <v>1171505</v>
      </c>
      <c r="S2448" s="122">
        <v>1065005</v>
      </c>
      <c r="T2448" s="122">
        <v>100199</v>
      </c>
      <c r="U2448" s="122">
        <v>37111</v>
      </c>
      <c r="V2448" s="122">
        <v>5610595</v>
      </c>
      <c r="W2448" s="122">
        <f t="shared" si="78"/>
        <v>5610596</v>
      </c>
      <c r="X2448" s="122">
        <f t="shared" si="79"/>
        <v>6859614</v>
      </c>
      <c r="AA2448" t="s">
        <v>64</v>
      </c>
      <c r="AB2448" t="s">
        <v>428</v>
      </c>
      <c r="AC2448" t="s">
        <v>137</v>
      </c>
      <c r="AD2448" t="s">
        <v>137</v>
      </c>
      <c r="AE2448" t="s">
        <v>566</v>
      </c>
      <c r="AF2448">
        <v>2</v>
      </c>
      <c r="AG2448">
        <v>146</v>
      </c>
      <c r="AH2448" s="122">
        <v>1609</v>
      </c>
      <c r="AI2448" s="122">
        <v>77173</v>
      </c>
      <c r="AJ2448" s="122">
        <v>70157</v>
      </c>
      <c r="AK2448">
        <v>60</v>
      </c>
      <c r="AL2448" s="122">
        <v>28068</v>
      </c>
      <c r="AM2448" s="122">
        <v>10396</v>
      </c>
      <c r="AN2448" s="122">
        <v>3748</v>
      </c>
      <c r="AO2448" s="122">
        <v>1388</v>
      </c>
      <c r="AP2448" s="122">
        <v>0</v>
      </c>
      <c r="AQ2448">
        <v>0</v>
      </c>
      <c r="AR2448" s="122">
        <v>11711</v>
      </c>
      <c r="AS2448" s="122">
        <v>4337</v>
      </c>
      <c r="AT2448" s="122">
        <v>0</v>
      </c>
      <c r="AU2448" s="122">
        <v>0</v>
      </c>
      <c r="AV2448" s="122">
        <v>86279</v>
      </c>
    </row>
    <row r="2449" spans="2:48" hidden="1">
      <c r="B2449" t="s">
        <v>380</v>
      </c>
      <c r="C2449" t="s">
        <v>54</v>
      </c>
      <c r="D2449" t="s">
        <v>407</v>
      </c>
      <c r="E2449" t="s">
        <v>407</v>
      </c>
      <c r="F2449" s="122">
        <v>20</v>
      </c>
      <c r="G2449" s="122">
        <v>2710</v>
      </c>
      <c r="H2449" s="122">
        <v>2799</v>
      </c>
      <c r="I2449" s="122">
        <v>220156</v>
      </c>
      <c r="J2449" s="122">
        <v>200142</v>
      </c>
      <c r="K2449" s="122">
        <v>87</v>
      </c>
      <c r="L2449" s="122">
        <v>33475</v>
      </c>
      <c r="M2449" s="122">
        <v>31579</v>
      </c>
      <c r="N2449" s="122">
        <v>55967</v>
      </c>
      <c r="O2449" s="122">
        <v>20729</v>
      </c>
      <c r="P2449" s="122">
        <v>9450</v>
      </c>
      <c r="Q2449" s="122">
        <v>3500</v>
      </c>
      <c r="R2449" s="122">
        <v>96440</v>
      </c>
      <c r="S2449" s="122">
        <v>87673</v>
      </c>
      <c r="T2449" s="122">
        <v>0</v>
      </c>
      <c r="U2449" s="122">
        <v>0</v>
      </c>
      <c r="V2449" s="122">
        <v>343621</v>
      </c>
      <c r="W2449" s="122">
        <f t="shared" si="78"/>
        <v>343623</v>
      </c>
      <c r="X2449" s="122">
        <f t="shared" si="79"/>
        <v>415488</v>
      </c>
      <c r="AA2449" t="s">
        <v>64</v>
      </c>
      <c r="AB2449" t="s">
        <v>428</v>
      </c>
      <c r="AC2449" t="s">
        <v>137</v>
      </c>
      <c r="AD2449" t="s">
        <v>428</v>
      </c>
      <c r="AE2449" t="s">
        <v>137</v>
      </c>
      <c r="AF2449">
        <v>5</v>
      </c>
      <c r="AG2449">
        <v>367</v>
      </c>
      <c r="AH2449" s="122">
        <v>3093</v>
      </c>
      <c r="AI2449" s="122">
        <v>150349</v>
      </c>
      <c r="AJ2449" s="122">
        <v>136681</v>
      </c>
      <c r="AK2449">
        <v>53</v>
      </c>
      <c r="AL2449" s="122">
        <v>25054</v>
      </c>
      <c r="AM2449" s="122">
        <v>9279</v>
      </c>
      <c r="AN2449" s="122">
        <v>8123</v>
      </c>
      <c r="AO2449" s="122">
        <v>3009</v>
      </c>
      <c r="AP2449" s="122">
        <v>1755</v>
      </c>
      <c r="AQ2449">
        <v>650</v>
      </c>
      <c r="AR2449" s="122">
        <v>26409</v>
      </c>
      <c r="AS2449" s="122">
        <v>24008</v>
      </c>
      <c r="AT2449" s="122">
        <v>8779</v>
      </c>
      <c r="AU2449" s="122">
        <v>3252</v>
      </c>
      <c r="AV2449" s="122">
        <v>176878</v>
      </c>
    </row>
    <row r="2450" spans="2:48" hidden="1">
      <c r="B2450" t="s">
        <v>380</v>
      </c>
      <c r="C2450" t="s">
        <v>54</v>
      </c>
      <c r="D2450" t="s">
        <v>426</v>
      </c>
      <c r="E2450" t="s">
        <v>426</v>
      </c>
      <c r="F2450" s="122">
        <v>1</v>
      </c>
      <c r="G2450" s="122">
        <v>210</v>
      </c>
      <c r="H2450" s="122">
        <v>147</v>
      </c>
      <c r="I2450" s="122">
        <v>15029</v>
      </c>
      <c r="J2450" s="122">
        <v>13663</v>
      </c>
      <c r="K2450" s="122">
        <v>60</v>
      </c>
      <c r="L2450" s="122">
        <v>1670</v>
      </c>
      <c r="M2450" s="122">
        <v>1518</v>
      </c>
      <c r="N2450" s="122">
        <v>4824</v>
      </c>
      <c r="O2450" s="122">
        <v>1787</v>
      </c>
      <c r="P2450" s="122">
        <v>351</v>
      </c>
      <c r="Q2450" s="122">
        <v>130</v>
      </c>
      <c r="R2450" s="122">
        <v>5859</v>
      </c>
      <c r="S2450" s="122">
        <v>5326</v>
      </c>
      <c r="T2450" s="122">
        <v>3163</v>
      </c>
      <c r="U2450" s="122">
        <v>1171</v>
      </c>
      <c r="V2450" s="122">
        <v>23595</v>
      </c>
      <c r="W2450" s="122">
        <f t="shared" si="78"/>
        <v>23595</v>
      </c>
      <c r="X2450" s="122">
        <f t="shared" si="79"/>
        <v>30896</v>
      </c>
      <c r="AA2450" t="s">
        <v>64</v>
      </c>
      <c r="AB2450" t="s">
        <v>428</v>
      </c>
      <c r="AC2450" t="s">
        <v>137</v>
      </c>
      <c r="AD2450" t="s">
        <v>431</v>
      </c>
      <c r="AE2450" t="s">
        <v>137</v>
      </c>
      <c r="AF2450">
        <v>1</v>
      </c>
      <c r="AG2450">
        <v>108</v>
      </c>
      <c r="AH2450">
        <v>736</v>
      </c>
      <c r="AI2450" s="122">
        <v>82982</v>
      </c>
      <c r="AJ2450" s="122">
        <v>75438</v>
      </c>
      <c r="AK2450">
        <v>55</v>
      </c>
      <c r="AL2450" s="122">
        <v>19769</v>
      </c>
      <c r="AM2450" s="122">
        <v>7322</v>
      </c>
      <c r="AN2450" s="122">
        <v>3999</v>
      </c>
      <c r="AO2450" s="122">
        <v>1481</v>
      </c>
      <c r="AP2450">
        <v>0</v>
      </c>
      <c r="AQ2450">
        <v>0</v>
      </c>
      <c r="AR2450" s="122">
        <v>9139</v>
      </c>
      <c r="AS2450" s="122">
        <v>8308</v>
      </c>
      <c r="AT2450" s="122">
        <v>4989</v>
      </c>
      <c r="AU2450" s="122">
        <v>1848</v>
      </c>
      <c r="AV2450" s="122">
        <v>94397</v>
      </c>
    </row>
    <row r="2451" spans="2:48" hidden="1">
      <c r="B2451" t="s">
        <v>380</v>
      </c>
      <c r="C2451" t="s">
        <v>54</v>
      </c>
      <c r="D2451" t="s">
        <v>408</v>
      </c>
      <c r="E2451" t="s">
        <v>408</v>
      </c>
      <c r="F2451" s="122">
        <v>4</v>
      </c>
      <c r="G2451" s="122">
        <v>874</v>
      </c>
      <c r="H2451" s="122">
        <v>580</v>
      </c>
      <c r="I2451" s="122">
        <v>89238</v>
      </c>
      <c r="J2451" s="122">
        <v>81126</v>
      </c>
      <c r="K2451" s="122">
        <v>83</v>
      </c>
      <c r="L2451" s="122">
        <v>15064</v>
      </c>
      <c r="M2451" s="122">
        <v>13694</v>
      </c>
      <c r="N2451" s="122">
        <v>18289</v>
      </c>
      <c r="O2451" s="122">
        <v>6774</v>
      </c>
      <c r="P2451" s="122">
        <v>2025</v>
      </c>
      <c r="Q2451" s="122">
        <v>750</v>
      </c>
      <c r="R2451" s="122">
        <v>24279</v>
      </c>
      <c r="S2451" s="122">
        <v>22072</v>
      </c>
      <c r="T2451" s="122">
        <v>0</v>
      </c>
      <c r="U2451" s="122">
        <v>0</v>
      </c>
      <c r="V2451" s="122">
        <v>124416</v>
      </c>
      <c r="W2451" s="122">
        <f t="shared" si="78"/>
        <v>124416</v>
      </c>
      <c r="X2451" s="122">
        <f t="shared" si="79"/>
        <v>148895</v>
      </c>
      <c r="AA2451" t="s">
        <v>64</v>
      </c>
      <c r="AB2451" t="s">
        <v>428</v>
      </c>
      <c r="AC2451" t="s">
        <v>137</v>
      </c>
      <c r="AD2451" t="s">
        <v>426</v>
      </c>
      <c r="AE2451" t="s">
        <v>566</v>
      </c>
      <c r="AF2451">
        <v>1</v>
      </c>
      <c r="AG2451">
        <v>65</v>
      </c>
      <c r="AH2451" s="122">
        <v>691</v>
      </c>
      <c r="AI2451" s="122">
        <v>30861</v>
      </c>
      <c r="AJ2451" s="122">
        <v>28056</v>
      </c>
      <c r="AK2451">
        <v>65</v>
      </c>
      <c r="AL2451" s="122">
        <v>5471</v>
      </c>
      <c r="AM2451" s="122">
        <v>2026</v>
      </c>
      <c r="AN2451" s="122">
        <v>1584</v>
      </c>
      <c r="AO2451" s="122">
        <v>587</v>
      </c>
      <c r="AP2451">
        <v>351</v>
      </c>
      <c r="AQ2451">
        <v>130</v>
      </c>
      <c r="AR2451" s="122">
        <v>6634</v>
      </c>
      <c r="AS2451" s="122">
        <v>6031</v>
      </c>
      <c r="AT2451" s="122">
        <v>0</v>
      </c>
      <c r="AU2451" s="122">
        <v>0</v>
      </c>
      <c r="AV2451" s="122">
        <v>36829</v>
      </c>
    </row>
    <row r="2452" spans="2:48" hidden="1">
      <c r="B2452" t="s">
        <v>380</v>
      </c>
      <c r="C2452" t="s">
        <v>56</v>
      </c>
      <c r="D2452" t="s">
        <v>425</v>
      </c>
      <c r="E2452" t="s">
        <v>406</v>
      </c>
      <c r="F2452" s="122">
        <v>1</v>
      </c>
      <c r="G2452" s="122">
        <v>182</v>
      </c>
      <c r="H2452" s="122">
        <v>168</v>
      </c>
      <c r="I2452" s="122">
        <v>17476</v>
      </c>
      <c r="J2452" s="122">
        <v>15887</v>
      </c>
      <c r="K2452" s="122">
        <v>85</v>
      </c>
      <c r="L2452" s="122">
        <v>2118</v>
      </c>
      <c r="M2452" s="122">
        <v>1925</v>
      </c>
      <c r="N2452" s="122">
        <v>3406</v>
      </c>
      <c r="O2452" s="122">
        <v>1261</v>
      </c>
      <c r="P2452" s="122">
        <v>621</v>
      </c>
      <c r="Q2452" s="122">
        <v>230</v>
      </c>
      <c r="R2452" s="122">
        <v>6780</v>
      </c>
      <c r="S2452" s="122">
        <v>6163</v>
      </c>
      <c r="T2452" s="122">
        <v>0</v>
      </c>
      <c r="U2452" s="122">
        <v>0</v>
      </c>
      <c r="V2452" s="122">
        <v>25467</v>
      </c>
      <c r="W2452" s="122">
        <f t="shared" si="78"/>
        <v>25466</v>
      </c>
      <c r="X2452" s="122">
        <f t="shared" si="79"/>
        <v>30401</v>
      </c>
      <c r="AA2452" t="s">
        <v>64</v>
      </c>
      <c r="AB2452" t="s">
        <v>428</v>
      </c>
      <c r="AC2452" t="s">
        <v>580</v>
      </c>
      <c r="AD2452" t="s">
        <v>428</v>
      </c>
      <c r="AE2452" t="s">
        <v>137</v>
      </c>
      <c r="AF2452">
        <v>2</v>
      </c>
      <c r="AG2452">
        <v>237</v>
      </c>
      <c r="AH2452" s="122">
        <v>1278</v>
      </c>
      <c r="AI2452" s="122">
        <v>115107</v>
      </c>
      <c r="AJ2452" s="122">
        <v>104643</v>
      </c>
      <c r="AK2452">
        <v>55</v>
      </c>
      <c r="AL2452" s="122">
        <v>10523</v>
      </c>
      <c r="AM2452" s="122">
        <v>9567</v>
      </c>
      <c r="AN2452" s="122">
        <v>5045</v>
      </c>
      <c r="AO2452" s="122">
        <v>1869</v>
      </c>
      <c r="AP2452">
        <v>972</v>
      </c>
      <c r="AQ2452">
        <v>360</v>
      </c>
      <c r="AR2452" s="122">
        <v>13167</v>
      </c>
      <c r="AS2452" s="122">
        <v>11970</v>
      </c>
      <c r="AT2452" s="122">
        <v>6024</v>
      </c>
      <c r="AU2452" s="122">
        <v>2231</v>
      </c>
      <c r="AV2452" s="122">
        <v>130639</v>
      </c>
    </row>
    <row r="2453" spans="2:48" hidden="1">
      <c r="B2453" t="s">
        <v>380</v>
      </c>
      <c r="C2453" t="s">
        <v>56</v>
      </c>
      <c r="D2453" t="s">
        <v>405</v>
      </c>
      <c r="E2453" t="s">
        <v>405</v>
      </c>
      <c r="F2453" s="122">
        <v>25</v>
      </c>
      <c r="G2453" s="122">
        <v>3814</v>
      </c>
      <c r="H2453" s="122">
        <v>4835</v>
      </c>
      <c r="I2453" s="122">
        <v>438628</v>
      </c>
      <c r="J2453" s="122">
        <v>398752</v>
      </c>
      <c r="K2453" s="122">
        <v>89</v>
      </c>
      <c r="L2453" s="122">
        <v>103927</v>
      </c>
      <c r="M2453" s="122">
        <v>91500</v>
      </c>
      <c r="N2453" s="122">
        <v>79612</v>
      </c>
      <c r="O2453" s="122">
        <v>29486</v>
      </c>
      <c r="P2453" s="122">
        <v>13014</v>
      </c>
      <c r="Q2453" s="122">
        <v>4820</v>
      </c>
      <c r="R2453" s="122">
        <v>137420</v>
      </c>
      <c r="S2453" s="122">
        <v>124927</v>
      </c>
      <c r="T2453" s="122">
        <v>6990</v>
      </c>
      <c r="U2453" s="122">
        <v>2589</v>
      </c>
      <c r="V2453" s="122">
        <v>652074</v>
      </c>
      <c r="W2453" s="122">
        <f t="shared" si="78"/>
        <v>652074</v>
      </c>
      <c r="X2453" s="122">
        <f t="shared" si="79"/>
        <v>779591</v>
      </c>
      <c r="AA2453" t="s">
        <v>64</v>
      </c>
      <c r="AB2453" t="s">
        <v>428</v>
      </c>
      <c r="AC2453" t="s">
        <v>427</v>
      </c>
      <c r="AD2453" t="s">
        <v>428</v>
      </c>
      <c r="AE2453" t="s">
        <v>137</v>
      </c>
      <c r="AF2453">
        <v>1</v>
      </c>
      <c r="AG2453">
        <v>109</v>
      </c>
      <c r="AH2453" s="122">
        <v>993</v>
      </c>
      <c r="AI2453" s="122">
        <v>83148</v>
      </c>
      <c r="AJ2453" s="122">
        <v>75589</v>
      </c>
      <c r="AK2453">
        <v>45</v>
      </c>
      <c r="AL2453" s="122">
        <v>13858</v>
      </c>
      <c r="AM2453" s="122">
        <v>12598</v>
      </c>
      <c r="AN2453" s="122">
        <v>2650</v>
      </c>
      <c r="AO2453">
        <v>982</v>
      </c>
      <c r="AP2453">
        <v>351</v>
      </c>
      <c r="AQ2453">
        <v>130</v>
      </c>
      <c r="AR2453" s="122">
        <v>5844</v>
      </c>
      <c r="AS2453" s="122">
        <v>5312</v>
      </c>
      <c r="AT2453" s="122">
        <v>2092</v>
      </c>
      <c r="AU2453">
        <v>775</v>
      </c>
      <c r="AV2453" s="122">
        <v>95386</v>
      </c>
    </row>
    <row r="2454" spans="2:48" hidden="1">
      <c r="B2454" t="s">
        <v>380</v>
      </c>
      <c r="C2454" t="s">
        <v>56</v>
      </c>
      <c r="D2454" t="s">
        <v>137</v>
      </c>
      <c r="E2454" t="s">
        <v>137</v>
      </c>
      <c r="F2454" s="122">
        <v>12</v>
      </c>
      <c r="G2454" s="122">
        <v>2730</v>
      </c>
      <c r="H2454" s="122">
        <v>2188</v>
      </c>
      <c r="I2454" s="122">
        <v>251935</v>
      </c>
      <c r="J2454" s="122">
        <v>93309</v>
      </c>
      <c r="K2454" s="122">
        <v>257</v>
      </c>
      <c r="L2454" s="122">
        <v>76995</v>
      </c>
      <c r="M2454" s="122">
        <v>69996</v>
      </c>
      <c r="N2454" s="122">
        <v>59779</v>
      </c>
      <c r="O2454" s="122">
        <v>22140</v>
      </c>
      <c r="P2454" s="122">
        <v>8524</v>
      </c>
      <c r="Q2454" s="122">
        <v>3157</v>
      </c>
      <c r="R2454" s="122">
        <v>104442</v>
      </c>
      <c r="S2454" s="122">
        <v>38682</v>
      </c>
      <c r="T2454" s="122">
        <v>0</v>
      </c>
      <c r="U2454" s="122">
        <v>0</v>
      </c>
      <c r="V2454" s="122">
        <v>227285</v>
      </c>
      <c r="W2454" s="122">
        <f t="shared" si="78"/>
        <v>227284</v>
      </c>
      <c r="X2454" s="122">
        <f t="shared" si="79"/>
        <v>501675</v>
      </c>
      <c r="AA2454" t="s">
        <v>64</v>
      </c>
      <c r="AB2454" t="s">
        <v>428</v>
      </c>
      <c r="AC2454" t="s">
        <v>579</v>
      </c>
      <c r="AD2454" t="s">
        <v>428</v>
      </c>
      <c r="AE2454" t="s">
        <v>566</v>
      </c>
      <c r="AF2454">
        <v>1</v>
      </c>
      <c r="AG2454">
        <v>52</v>
      </c>
      <c r="AH2454" s="122">
        <v>1048</v>
      </c>
      <c r="AI2454" s="122">
        <v>42110</v>
      </c>
      <c r="AJ2454" s="122">
        <v>38282</v>
      </c>
      <c r="AK2454">
        <v>45</v>
      </c>
      <c r="AL2454" s="122">
        <v>7656</v>
      </c>
      <c r="AM2454" s="122">
        <v>6380</v>
      </c>
      <c r="AN2454" s="122">
        <v>1267</v>
      </c>
      <c r="AO2454">
        <v>469</v>
      </c>
      <c r="AP2454">
        <v>351</v>
      </c>
      <c r="AQ2454">
        <v>130</v>
      </c>
      <c r="AR2454" s="122">
        <v>3102</v>
      </c>
      <c r="AS2454" s="122">
        <v>2820</v>
      </c>
      <c r="AT2454">
        <v>0</v>
      </c>
      <c r="AU2454">
        <v>0</v>
      </c>
      <c r="AV2454" s="122">
        <v>48082</v>
      </c>
    </row>
    <row r="2455" spans="2:48" hidden="1">
      <c r="B2455" t="s">
        <v>380</v>
      </c>
      <c r="C2455" t="s">
        <v>56</v>
      </c>
      <c r="D2455" t="s">
        <v>137</v>
      </c>
      <c r="E2455" t="s">
        <v>406</v>
      </c>
      <c r="F2455" s="122">
        <v>1</v>
      </c>
      <c r="G2455" s="122">
        <v>325</v>
      </c>
      <c r="H2455" s="122">
        <v>196</v>
      </c>
      <c r="I2455" s="122">
        <v>35364</v>
      </c>
      <c r="J2455" s="122">
        <v>13098</v>
      </c>
      <c r="K2455" s="122">
        <v>300</v>
      </c>
      <c r="L2455" s="122">
        <v>5603</v>
      </c>
      <c r="M2455" s="122">
        <v>5094</v>
      </c>
      <c r="N2455" s="122">
        <v>7094</v>
      </c>
      <c r="O2455" s="122">
        <v>2627</v>
      </c>
      <c r="P2455" s="122">
        <v>972</v>
      </c>
      <c r="Q2455" s="122">
        <v>360</v>
      </c>
      <c r="R2455" s="122">
        <v>9153</v>
      </c>
      <c r="S2455" s="122">
        <v>8321</v>
      </c>
      <c r="T2455" s="122">
        <v>5552</v>
      </c>
      <c r="U2455" s="122">
        <v>2056</v>
      </c>
      <c r="V2455" s="122">
        <v>31556</v>
      </c>
      <c r="W2455" s="122">
        <f t="shared" si="78"/>
        <v>31556</v>
      </c>
      <c r="X2455" s="122">
        <f t="shared" si="79"/>
        <v>63738</v>
      </c>
      <c r="AA2455" t="s">
        <v>64</v>
      </c>
      <c r="AB2455" t="s">
        <v>428</v>
      </c>
      <c r="AC2455" t="s">
        <v>428</v>
      </c>
      <c r="AD2455" t="s">
        <v>137</v>
      </c>
      <c r="AE2455" t="s">
        <v>137</v>
      </c>
      <c r="AF2455">
        <v>1</v>
      </c>
      <c r="AG2455" s="122">
        <v>36</v>
      </c>
      <c r="AH2455" s="122">
        <v>1680</v>
      </c>
      <c r="AI2455" s="122">
        <v>50877</v>
      </c>
      <c r="AJ2455" s="122">
        <v>46251</v>
      </c>
      <c r="AK2455">
        <v>30</v>
      </c>
      <c r="AL2455" s="122">
        <v>5653</v>
      </c>
      <c r="AM2455" s="122">
        <v>5139</v>
      </c>
      <c r="AN2455" s="122">
        <v>873</v>
      </c>
      <c r="AO2455" s="122">
        <v>323</v>
      </c>
      <c r="AP2455" s="122">
        <v>0</v>
      </c>
      <c r="AQ2455" s="122">
        <v>0</v>
      </c>
      <c r="AR2455" s="122">
        <v>2813</v>
      </c>
      <c r="AS2455" s="122">
        <v>1042</v>
      </c>
      <c r="AT2455" s="122">
        <v>0</v>
      </c>
      <c r="AU2455" s="122">
        <v>0</v>
      </c>
      <c r="AV2455" s="122">
        <v>52756</v>
      </c>
    </row>
    <row r="2456" spans="2:48" hidden="1">
      <c r="B2456" t="s">
        <v>380</v>
      </c>
      <c r="C2456" t="s">
        <v>56</v>
      </c>
      <c r="D2456" t="s">
        <v>406</v>
      </c>
      <c r="E2456" t="s">
        <v>425</v>
      </c>
      <c r="F2456" s="122">
        <v>1</v>
      </c>
      <c r="G2456" s="122">
        <v>136</v>
      </c>
      <c r="H2456" s="122">
        <v>210</v>
      </c>
      <c r="I2456" s="122">
        <v>14199</v>
      </c>
      <c r="J2456" s="122">
        <v>12908</v>
      </c>
      <c r="K2456" s="122">
        <v>85</v>
      </c>
      <c r="L2456" s="122">
        <v>4244</v>
      </c>
      <c r="M2456" s="122">
        <v>3858</v>
      </c>
      <c r="N2456" s="122">
        <v>3181</v>
      </c>
      <c r="O2456" s="122">
        <v>1178</v>
      </c>
      <c r="P2456" s="122">
        <v>621</v>
      </c>
      <c r="Q2456" s="122">
        <v>230</v>
      </c>
      <c r="R2456" s="122">
        <v>6243</v>
      </c>
      <c r="S2456" s="122">
        <v>5676</v>
      </c>
      <c r="T2456" s="122">
        <v>0</v>
      </c>
      <c r="U2456" s="122">
        <v>0</v>
      </c>
      <c r="V2456" s="122">
        <v>23850</v>
      </c>
      <c r="W2456" s="122">
        <f t="shared" si="78"/>
        <v>23850</v>
      </c>
      <c r="X2456" s="122">
        <f t="shared" si="79"/>
        <v>28488</v>
      </c>
      <c r="AA2456" t="s">
        <v>64</v>
      </c>
      <c r="AB2456" t="s">
        <v>428</v>
      </c>
      <c r="AC2456" t="s">
        <v>428</v>
      </c>
      <c r="AD2456" t="s">
        <v>428</v>
      </c>
      <c r="AE2456" t="s">
        <v>137</v>
      </c>
      <c r="AF2456">
        <v>15</v>
      </c>
      <c r="AG2456" s="122">
        <v>1414</v>
      </c>
      <c r="AH2456" s="122">
        <v>9820</v>
      </c>
      <c r="AI2456" s="122">
        <v>685207</v>
      </c>
      <c r="AJ2456" s="122">
        <v>622916</v>
      </c>
      <c r="AK2456">
        <v>51</v>
      </c>
      <c r="AL2456" s="122">
        <v>99723</v>
      </c>
      <c r="AM2456" s="122">
        <v>90657</v>
      </c>
      <c r="AN2456" s="122">
        <v>28448</v>
      </c>
      <c r="AO2456" s="122">
        <v>10536</v>
      </c>
      <c r="AP2456" s="122">
        <v>5265</v>
      </c>
      <c r="AQ2456" s="122">
        <v>1950</v>
      </c>
      <c r="AR2456" s="122">
        <v>85326</v>
      </c>
      <c r="AS2456" s="122">
        <v>77569</v>
      </c>
      <c r="AT2456" s="122">
        <v>35068</v>
      </c>
      <c r="AU2456" s="122">
        <v>12988</v>
      </c>
      <c r="AV2456" s="122">
        <v>816616</v>
      </c>
    </row>
    <row r="2457" spans="2:48" hidden="1">
      <c r="B2457" t="s">
        <v>380</v>
      </c>
      <c r="C2457" t="s">
        <v>56</v>
      </c>
      <c r="D2457" t="s">
        <v>406</v>
      </c>
      <c r="E2457" t="s">
        <v>405</v>
      </c>
      <c r="F2457" s="122">
        <v>1</v>
      </c>
      <c r="G2457" s="122">
        <v>111</v>
      </c>
      <c r="H2457" s="122">
        <v>199</v>
      </c>
      <c r="I2457" s="122">
        <v>10187</v>
      </c>
      <c r="J2457" s="122">
        <v>9261</v>
      </c>
      <c r="K2457" s="122">
        <v>93</v>
      </c>
      <c r="L2457" s="122">
        <v>3509</v>
      </c>
      <c r="M2457" s="122">
        <v>3190</v>
      </c>
      <c r="N2457" s="122">
        <v>2705</v>
      </c>
      <c r="O2457" s="122">
        <v>1002</v>
      </c>
      <c r="P2457" s="122">
        <v>621</v>
      </c>
      <c r="Q2457" s="122">
        <v>230</v>
      </c>
      <c r="R2457" s="122">
        <v>5026</v>
      </c>
      <c r="S2457" s="122">
        <v>4569</v>
      </c>
      <c r="T2457" s="122">
        <v>0</v>
      </c>
      <c r="U2457" s="122">
        <v>0</v>
      </c>
      <c r="V2457" s="122">
        <v>18252</v>
      </c>
      <c r="W2457" s="122">
        <f t="shared" si="78"/>
        <v>18252</v>
      </c>
      <c r="X2457" s="122">
        <f t="shared" si="79"/>
        <v>22048</v>
      </c>
      <c r="AA2457" t="s">
        <v>64</v>
      </c>
      <c r="AB2457" t="s">
        <v>428</v>
      </c>
      <c r="AC2457" t="s">
        <v>428</v>
      </c>
      <c r="AD2457" t="s">
        <v>428</v>
      </c>
      <c r="AE2457" t="s">
        <v>566</v>
      </c>
      <c r="AF2457">
        <v>8</v>
      </c>
      <c r="AG2457">
        <v>775</v>
      </c>
      <c r="AH2457" s="122">
        <v>5375</v>
      </c>
      <c r="AI2457" s="122">
        <v>353837</v>
      </c>
      <c r="AJ2457" s="122">
        <v>321670</v>
      </c>
      <c r="AK2457">
        <v>49</v>
      </c>
      <c r="AL2457" s="122">
        <v>52176</v>
      </c>
      <c r="AM2457" s="122">
        <v>47433</v>
      </c>
      <c r="AN2457" s="122">
        <v>17457</v>
      </c>
      <c r="AO2457" s="122">
        <v>6465</v>
      </c>
      <c r="AP2457" s="122">
        <v>2646</v>
      </c>
      <c r="AQ2457">
        <v>980</v>
      </c>
      <c r="AR2457" s="122">
        <v>81333</v>
      </c>
      <c r="AS2457" s="122">
        <v>73939</v>
      </c>
      <c r="AT2457">
        <v>0</v>
      </c>
      <c r="AU2457">
        <v>0</v>
      </c>
      <c r="AV2457" s="122">
        <v>450487</v>
      </c>
    </row>
    <row r="2458" spans="2:48" hidden="1">
      <c r="B2458" t="s">
        <v>380</v>
      </c>
      <c r="C2458" t="s">
        <v>56</v>
      </c>
      <c r="D2458" t="s">
        <v>406</v>
      </c>
      <c r="E2458" t="s">
        <v>137</v>
      </c>
      <c r="F2458" s="122">
        <v>1</v>
      </c>
      <c r="G2458" s="122">
        <v>196</v>
      </c>
      <c r="H2458" s="122">
        <v>184</v>
      </c>
      <c r="I2458" s="122">
        <v>21277</v>
      </c>
      <c r="J2458" s="122">
        <v>19343</v>
      </c>
      <c r="K2458" s="122">
        <v>86</v>
      </c>
      <c r="L2458" s="122">
        <v>2138</v>
      </c>
      <c r="M2458" s="122">
        <v>1944</v>
      </c>
      <c r="N2458" s="122">
        <v>4330</v>
      </c>
      <c r="O2458" s="122">
        <v>1604</v>
      </c>
      <c r="P2458" s="122">
        <v>621</v>
      </c>
      <c r="Q2458" s="122">
        <v>230</v>
      </c>
      <c r="R2458" s="122">
        <v>7841</v>
      </c>
      <c r="S2458" s="122">
        <v>2904</v>
      </c>
      <c r="T2458" s="122">
        <v>0</v>
      </c>
      <c r="U2458" s="122">
        <v>0</v>
      </c>
      <c r="V2458" s="122">
        <v>26024</v>
      </c>
      <c r="W2458" s="122">
        <f t="shared" si="78"/>
        <v>26025</v>
      </c>
      <c r="X2458" s="122">
        <f t="shared" si="79"/>
        <v>36207</v>
      </c>
      <c r="AA2458" t="s">
        <v>64</v>
      </c>
      <c r="AB2458" t="s">
        <v>428</v>
      </c>
      <c r="AC2458" t="s">
        <v>431</v>
      </c>
      <c r="AD2458" t="s">
        <v>428</v>
      </c>
      <c r="AE2458" t="s">
        <v>566</v>
      </c>
      <c r="AF2458">
        <v>1</v>
      </c>
      <c r="AG2458">
        <v>90</v>
      </c>
      <c r="AH2458" s="122">
        <v>645</v>
      </c>
      <c r="AI2458" s="122">
        <v>39044</v>
      </c>
      <c r="AJ2458" s="122">
        <v>35495</v>
      </c>
      <c r="AK2458">
        <v>60</v>
      </c>
      <c r="AL2458" s="122">
        <v>8677</v>
      </c>
      <c r="AM2458" s="122">
        <v>7888</v>
      </c>
      <c r="AN2458" s="122">
        <v>1535</v>
      </c>
      <c r="AO2458" s="122">
        <v>569</v>
      </c>
      <c r="AP2458">
        <v>351</v>
      </c>
      <c r="AQ2458">
        <v>130</v>
      </c>
      <c r="AR2458" s="122">
        <v>8432</v>
      </c>
      <c r="AS2458" s="122">
        <v>7666</v>
      </c>
      <c r="AT2458" s="122">
        <v>0</v>
      </c>
      <c r="AU2458">
        <v>0</v>
      </c>
      <c r="AV2458" s="122">
        <v>51747</v>
      </c>
    </row>
    <row r="2459" spans="2:48" hidden="1">
      <c r="B2459" t="s">
        <v>380</v>
      </c>
      <c r="C2459" t="s">
        <v>56</v>
      </c>
      <c r="D2459" t="s">
        <v>406</v>
      </c>
      <c r="E2459" t="s">
        <v>406</v>
      </c>
      <c r="F2459" s="122">
        <v>1538</v>
      </c>
      <c r="G2459" s="122">
        <v>243806</v>
      </c>
      <c r="H2459" s="122">
        <v>296552</v>
      </c>
      <c r="I2459" s="122">
        <v>27966078</v>
      </c>
      <c r="J2459" s="122">
        <v>25423708</v>
      </c>
      <c r="K2459" s="122">
        <v>86</v>
      </c>
      <c r="L2459" s="122">
        <v>5459228</v>
      </c>
      <c r="M2459" s="122">
        <v>4932779</v>
      </c>
      <c r="N2459" s="122">
        <v>5154239</v>
      </c>
      <c r="O2459" s="122">
        <v>1908977</v>
      </c>
      <c r="P2459" s="122">
        <v>1051623</v>
      </c>
      <c r="Q2459" s="122">
        <v>389490</v>
      </c>
      <c r="R2459" s="122">
        <v>8439866</v>
      </c>
      <c r="S2459" s="122">
        <v>7672605</v>
      </c>
      <c r="T2459" s="122">
        <v>1487527</v>
      </c>
      <c r="U2459" s="122">
        <v>550936</v>
      </c>
      <c r="V2459" s="122">
        <v>40878495</v>
      </c>
      <c r="W2459" s="122">
        <f t="shared" si="78"/>
        <v>40878495</v>
      </c>
      <c r="X2459" s="122">
        <f t="shared" si="79"/>
        <v>49558561</v>
      </c>
      <c r="AA2459" t="s">
        <v>64</v>
      </c>
      <c r="AB2459" t="s">
        <v>428</v>
      </c>
      <c r="AC2459" t="s">
        <v>426</v>
      </c>
      <c r="AD2459" t="s">
        <v>428</v>
      </c>
      <c r="AE2459" t="s">
        <v>137</v>
      </c>
      <c r="AF2459">
        <v>2</v>
      </c>
      <c r="AG2459">
        <v>223</v>
      </c>
      <c r="AH2459" s="122">
        <v>1076</v>
      </c>
      <c r="AI2459" s="122">
        <v>85279</v>
      </c>
      <c r="AJ2459" s="122">
        <v>77526</v>
      </c>
      <c r="AK2459">
        <v>45</v>
      </c>
      <c r="AL2459" s="122">
        <v>10245</v>
      </c>
      <c r="AM2459" s="122">
        <v>9314</v>
      </c>
      <c r="AN2459" s="122">
        <v>4715</v>
      </c>
      <c r="AO2459" s="122">
        <v>1746</v>
      </c>
      <c r="AP2459">
        <v>702</v>
      </c>
      <c r="AQ2459">
        <v>260</v>
      </c>
      <c r="AR2459" s="122">
        <v>16807</v>
      </c>
      <c r="AS2459" s="122">
        <v>15279</v>
      </c>
      <c r="AT2459" s="122">
        <v>2532</v>
      </c>
      <c r="AU2459">
        <v>938</v>
      </c>
      <c r="AV2459" s="122">
        <v>105063</v>
      </c>
    </row>
    <row r="2460" spans="2:48" hidden="1">
      <c r="B2460" t="s">
        <v>380</v>
      </c>
      <c r="C2460" t="s">
        <v>56</v>
      </c>
      <c r="D2460" t="s">
        <v>406</v>
      </c>
      <c r="E2460" t="s">
        <v>407</v>
      </c>
      <c r="F2460" s="122">
        <v>1</v>
      </c>
      <c r="G2460" s="122">
        <v>127</v>
      </c>
      <c r="H2460" s="122">
        <v>217</v>
      </c>
      <c r="I2460" s="122">
        <v>14549</v>
      </c>
      <c r="J2460" s="122">
        <v>13226</v>
      </c>
      <c r="K2460" s="122">
        <v>85</v>
      </c>
      <c r="L2460" s="122">
        <v>2007</v>
      </c>
      <c r="M2460" s="122">
        <v>1825</v>
      </c>
      <c r="N2460" s="122">
        <v>2975</v>
      </c>
      <c r="O2460" s="122">
        <v>1102</v>
      </c>
      <c r="P2460" s="122">
        <v>972</v>
      </c>
      <c r="Q2460" s="122">
        <v>360</v>
      </c>
      <c r="R2460" s="122">
        <v>6960</v>
      </c>
      <c r="S2460" s="122">
        <v>6327</v>
      </c>
      <c r="T2460" s="122">
        <v>0</v>
      </c>
      <c r="U2460" s="122">
        <v>0</v>
      </c>
      <c r="V2460" s="122">
        <v>22839</v>
      </c>
      <c r="W2460" s="122">
        <f t="shared" si="78"/>
        <v>22840</v>
      </c>
      <c r="X2460" s="122">
        <f t="shared" si="79"/>
        <v>27463</v>
      </c>
      <c r="AA2460" t="s">
        <v>64</v>
      </c>
      <c r="AB2460" t="s">
        <v>428</v>
      </c>
      <c r="AC2460" t="s">
        <v>566</v>
      </c>
      <c r="AD2460" t="s">
        <v>137</v>
      </c>
      <c r="AE2460" t="s">
        <v>566</v>
      </c>
      <c r="AF2460">
        <v>1</v>
      </c>
      <c r="AG2460">
        <v>95</v>
      </c>
      <c r="AH2460" s="122">
        <v>1416</v>
      </c>
      <c r="AI2460" s="122">
        <v>127100</v>
      </c>
      <c r="AJ2460" s="122">
        <v>115545</v>
      </c>
      <c r="AK2460">
        <v>30</v>
      </c>
      <c r="AL2460">
        <v>0</v>
      </c>
      <c r="AM2460">
        <v>0</v>
      </c>
      <c r="AN2460" s="122">
        <v>2312</v>
      </c>
      <c r="AO2460" s="122">
        <v>856</v>
      </c>
      <c r="AP2460" s="122">
        <v>0</v>
      </c>
      <c r="AQ2460">
        <v>0</v>
      </c>
      <c r="AR2460" s="122">
        <v>4935</v>
      </c>
      <c r="AS2460" s="122">
        <v>1828</v>
      </c>
      <c r="AT2460" s="122">
        <v>0</v>
      </c>
      <c r="AU2460" s="122">
        <v>0</v>
      </c>
      <c r="AV2460" s="122">
        <v>118229</v>
      </c>
    </row>
    <row r="2461" spans="2:48" hidden="1">
      <c r="B2461" t="s">
        <v>380</v>
      </c>
      <c r="C2461" t="s">
        <v>56</v>
      </c>
      <c r="D2461" t="s">
        <v>406</v>
      </c>
      <c r="E2461" t="s">
        <v>556</v>
      </c>
      <c r="F2461" s="122">
        <v>1</v>
      </c>
      <c r="G2461" s="122">
        <v>119</v>
      </c>
      <c r="H2461" s="122">
        <v>196</v>
      </c>
      <c r="I2461" s="122">
        <v>21812</v>
      </c>
      <c r="J2461" s="122">
        <v>19829</v>
      </c>
      <c r="K2461" s="122">
        <v>97</v>
      </c>
      <c r="L2461" s="122">
        <v>3746</v>
      </c>
      <c r="M2461" s="122">
        <v>3122</v>
      </c>
      <c r="N2461" s="122">
        <v>2735</v>
      </c>
      <c r="O2461" s="122">
        <v>1013</v>
      </c>
      <c r="P2461" s="122">
        <v>621</v>
      </c>
      <c r="Q2461" s="122">
        <v>230</v>
      </c>
      <c r="R2461" s="122">
        <v>4395</v>
      </c>
      <c r="S2461" s="122">
        <v>3662</v>
      </c>
      <c r="T2461" s="122">
        <v>3401</v>
      </c>
      <c r="U2461" s="122">
        <v>1260</v>
      </c>
      <c r="V2461" s="122">
        <v>29116</v>
      </c>
      <c r="W2461" s="122">
        <f t="shared" si="78"/>
        <v>29116</v>
      </c>
      <c r="X2461" s="122">
        <f t="shared" si="79"/>
        <v>36710</v>
      </c>
      <c r="AA2461" t="s">
        <v>64</v>
      </c>
      <c r="AB2461" t="s">
        <v>428</v>
      </c>
      <c r="AC2461" t="s">
        <v>566</v>
      </c>
      <c r="AD2461" t="s">
        <v>428</v>
      </c>
      <c r="AE2461" t="s">
        <v>137</v>
      </c>
      <c r="AF2461">
        <v>6</v>
      </c>
      <c r="AG2461">
        <v>356</v>
      </c>
      <c r="AH2461" s="122">
        <v>4992</v>
      </c>
      <c r="AI2461" s="122">
        <v>259953</v>
      </c>
      <c r="AJ2461" s="122">
        <v>236321</v>
      </c>
      <c r="AK2461">
        <v>49</v>
      </c>
      <c r="AL2461" s="122">
        <v>0</v>
      </c>
      <c r="AM2461" s="122">
        <v>0</v>
      </c>
      <c r="AN2461" s="122">
        <v>7637</v>
      </c>
      <c r="AO2461" s="122">
        <v>2829</v>
      </c>
      <c r="AP2461" s="122">
        <v>1755</v>
      </c>
      <c r="AQ2461">
        <v>650</v>
      </c>
      <c r="AR2461" s="122">
        <v>31315</v>
      </c>
      <c r="AS2461" s="122">
        <v>28468</v>
      </c>
      <c r="AT2461" s="122">
        <v>13866</v>
      </c>
      <c r="AU2461" s="122">
        <v>5135</v>
      </c>
      <c r="AV2461" s="122">
        <v>273403</v>
      </c>
    </row>
    <row r="2462" spans="2:48" hidden="1">
      <c r="B2462" t="s">
        <v>380</v>
      </c>
      <c r="C2462" t="s">
        <v>56</v>
      </c>
      <c r="D2462" t="s">
        <v>406</v>
      </c>
      <c r="E2462" t="s">
        <v>426</v>
      </c>
      <c r="F2462" s="122">
        <v>6</v>
      </c>
      <c r="G2462" s="122">
        <v>977</v>
      </c>
      <c r="H2462" s="122">
        <v>1181</v>
      </c>
      <c r="I2462" s="122">
        <v>102035</v>
      </c>
      <c r="J2462" s="122">
        <v>92759</v>
      </c>
      <c r="K2462" s="122">
        <v>83</v>
      </c>
      <c r="L2462" s="122">
        <v>20186</v>
      </c>
      <c r="M2462" s="122">
        <v>18350</v>
      </c>
      <c r="N2462" s="122">
        <v>20209</v>
      </c>
      <c r="O2462" s="122">
        <v>7485</v>
      </c>
      <c r="P2462" s="122">
        <v>3726</v>
      </c>
      <c r="Q2462" s="122">
        <v>1380</v>
      </c>
      <c r="R2462" s="122">
        <v>40705</v>
      </c>
      <c r="S2462" s="122">
        <v>37005</v>
      </c>
      <c r="T2462" s="122">
        <v>0</v>
      </c>
      <c r="U2462" s="122">
        <v>0</v>
      </c>
      <c r="V2462" s="122">
        <v>156979</v>
      </c>
      <c r="W2462" s="122">
        <f t="shared" si="78"/>
        <v>156979</v>
      </c>
      <c r="X2462" s="122">
        <f t="shared" si="79"/>
        <v>186861</v>
      </c>
      <c r="AA2462" t="s">
        <v>64</v>
      </c>
      <c r="AB2462" t="s">
        <v>428</v>
      </c>
      <c r="AC2462" t="s">
        <v>433</v>
      </c>
      <c r="AD2462" t="s">
        <v>428</v>
      </c>
      <c r="AE2462" t="s">
        <v>137</v>
      </c>
      <c r="AF2462">
        <v>3</v>
      </c>
      <c r="AG2462">
        <v>422</v>
      </c>
      <c r="AH2462" s="122">
        <v>1629</v>
      </c>
      <c r="AI2462" s="122">
        <v>178536</v>
      </c>
      <c r="AJ2462" s="122">
        <v>162305</v>
      </c>
      <c r="AK2462">
        <v>45</v>
      </c>
      <c r="AL2462" s="122">
        <v>17389</v>
      </c>
      <c r="AM2462" s="122">
        <v>15808</v>
      </c>
      <c r="AN2462" s="122">
        <v>7277</v>
      </c>
      <c r="AO2462" s="122">
        <v>2695</v>
      </c>
      <c r="AP2462" s="122">
        <v>1053</v>
      </c>
      <c r="AQ2462">
        <v>390</v>
      </c>
      <c r="AR2462" s="122">
        <v>21950</v>
      </c>
      <c r="AS2462" s="122">
        <v>19954</v>
      </c>
      <c r="AT2462" s="122">
        <v>8680</v>
      </c>
      <c r="AU2462" s="122">
        <v>3215</v>
      </c>
      <c r="AV2462" s="122">
        <v>204368</v>
      </c>
    </row>
    <row r="2463" spans="2:48" hidden="1">
      <c r="B2463" t="s">
        <v>380</v>
      </c>
      <c r="C2463" t="s">
        <v>56</v>
      </c>
      <c r="D2463" t="s">
        <v>406</v>
      </c>
      <c r="E2463" t="s">
        <v>481</v>
      </c>
      <c r="F2463" s="122">
        <v>1</v>
      </c>
      <c r="G2463" s="122">
        <v>192</v>
      </c>
      <c r="H2463" s="122">
        <v>217</v>
      </c>
      <c r="I2463" s="122">
        <v>23056</v>
      </c>
      <c r="J2463" s="122">
        <v>20960</v>
      </c>
      <c r="K2463" s="122">
        <v>85</v>
      </c>
      <c r="L2463" s="122">
        <v>6891</v>
      </c>
      <c r="M2463" s="122">
        <v>6265</v>
      </c>
      <c r="N2463" s="122">
        <v>2805</v>
      </c>
      <c r="O2463" s="122">
        <v>1039</v>
      </c>
      <c r="P2463" s="122">
        <v>621</v>
      </c>
      <c r="Q2463" s="122">
        <v>230</v>
      </c>
      <c r="R2463" s="122">
        <v>8294</v>
      </c>
      <c r="S2463" s="122">
        <v>7540</v>
      </c>
      <c r="T2463" s="122">
        <v>0</v>
      </c>
      <c r="U2463" s="122">
        <v>0</v>
      </c>
      <c r="V2463" s="122">
        <v>36033</v>
      </c>
      <c r="W2463" s="122">
        <f t="shared" si="78"/>
        <v>36034</v>
      </c>
      <c r="X2463" s="122">
        <f t="shared" si="79"/>
        <v>41667</v>
      </c>
      <c r="AA2463" t="s">
        <v>64</v>
      </c>
      <c r="AB2463" t="s">
        <v>431</v>
      </c>
      <c r="AC2463" t="s">
        <v>137</v>
      </c>
      <c r="AD2463" t="s">
        <v>137</v>
      </c>
      <c r="AE2463" t="s">
        <v>137</v>
      </c>
      <c r="AF2463">
        <v>1</v>
      </c>
      <c r="AG2463" s="122">
        <v>115</v>
      </c>
      <c r="AH2463" s="122">
        <v>584</v>
      </c>
      <c r="AI2463" s="122">
        <v>52394</v>
      </c>
      <c r="AJ2463" s="122">
        <v>47631</v>
      </c>
      <c r="AK2463">
        <v>30</v>
      </c>
      <c r="AL2463" s="122">
        <v>4287</v>
      </c>
      <c r="AM2463" s="122">
        <v>1588</v>
      </c>
      <c r="AN2463" s="122">
        <v>2551</v>
      </c>
      <c r="AO2463" s="122">
        <v>945</v>
      </c>
      <c r="AP2463">
        <v>0</v>
      </c>
      <c r="AQ2463">
        <v>0</v>
      </c>
      <c r="AR2463" s="122">
        <v>7925</v>
      </c>
      <c r="AS2463" s="122">
        <v>2935</v>
      </c>
      <c r="AT2463">
        <v>0</v>
      </c>
      <c r="AU2463">
        <v>0</v>
      </c>
      <c r="AV2463" s="122">
        <v>53099</v>
      </c>
    </row>
    <row r="2464" spans="2:48" hidden="1">
      <c r="B2464" t="s">
        <v>380</v>
      </c>
      <c r="C2464" t="s">
        <v>56</v>
      </c>
      <c r="D2464" t="s">
        <v>427</v>
      </c>
      <c r="E2464" t="s">
        <v>427</v>
      </c>
      <c r="F2464" s="122">
        <v>1</v>
      </c>
      <c r="G2464" s="122">
        <v>237</v>
      </c>
      <c r="H2464" s="122">
        <v>215</v>
      </c>
      <c r="I2464" s="122">
        <v>41398</v>
      </c>
      <c r="J2464" s="122">
        <v>37635</v>
      </c>
      <c r="K2464" s="122">
        <v>71</v>
      </c>
      <c r="L2464" s="122">
        <v>7298</v>
      </c>
      <c r="M2464" s="122">
        <v>6635</v>
      </c>
      <c r="N2464" s="122">
        <v>5725</v>
      </c>
      <c r="O2464" s="122">
        <v>2120</v>
      </c>
      <c r="P2464" s="122">
        <v>702</v>
      </c>
      <c r="Q2464" s="122">
        <v>260</v>
      </c>
      <c r="R2464" s="122">
        <v>9244</v>
      </c>
      <c r="S2464" s="122">
        <v>8404</v>
      </c>
      <c r="T2464" s="122">
        <v>0</v>
      </c>
      <c r="U2464" s="122">
        <v>0</v>
      </c>
      <c r="V2464" s="122">
        <v>55053</v>
      </c>
      <c r="W2464" s="122">
        <f t="shared" si="78"/>
        <v>55054</v>
      </c>
      <c r="X2464" s="122">
        <f t="shared" si="79"/>
        <v>64367</v>
      </c>
      <c r="AA2464" t="s">
        <v>64</v>
      </c>
      <c r="AB2464" t="s">
        <v>431</v>
      </c>
      <c r="AC2464" t="s">
        <v>137</v>
      </c>
      <c r="AD2464" t="s">
        <v>137</v>
      </c>
      <c r="AE2464" t="s">
        <v>566</v>
      </c>
      <c r="AF2464">
        <v>19</v>
      </c>
      <c r="AG2464" s="122">
        <v>1194</v>
      </c>
      <c r="AH2464" s="122">
        <v>22829</v>
      </c>
      <c r="AI2464" s="122">
        <v>1127153</v>
      </c>
      <c r="AJ2464" s="122">
        <v>1024685</v>
      </c>
      <c r="AK2464">
        <v>39</v>
      </c>
      <c r="AL2464" s="122">
        <v>174330</v>
      </c>
      <c r="AM2464" s="122">
        <v>64567</v>
      </c>
      <c r="AN2464" s="122">
        <v>28351</v>
      </c>
      <c r="AO2464" s="122">
        <v>10500</v>
      </c>
      <c r="AP2464" s="122">
        <v>0</v>
      </c>
      <c r="AQ2464" s="122">
        <v>0</v>
      </c>
      <c r="AR2464" s="122">
        <v>106279</v>
      </c>
      <c r="AS2464" s="122">
        <v>39363</v>
      </c>
      <c r="AT2464" s="122">
        <v>0</v>
      </c>
      <c r="AU2464" s="122">
        <v>0</v>
      </c>
      <c r="AV2464" s="122">
        <v>1139114</v>
      </c>
    </row>
    <row r="2465" spans="2:48" hidden="1">
      <c r="B2465" t="s">
        <v>380</v>
      </c>
      <c r="C2465" t="s">
        <v>56</v>
      </c>
      <c r="D2465" t="s">
        <v>407</v>
      </c>
      <c r="E2465" t="s">
        <v>407</v>
      </c>
      <c r="F2465" s="122">
        <v>93</v>
      </c>
      <c r="G2465" s="122">
        <v>11522</v>
      </c>
      <c r="H2465" s="122">
        <v>17585</v>
      </c>
      <c r="I2465" s="122">
        <v>1127156</v>
      </c>
      <c r="J2465" s="122">
        <v>1024687</v>
      </c>
      <c r="K2465" s="122">
        <v>81</v>
      </c>
      <c r="L2465" s="122">
        <v>279571</v>
      </c>
      <c r="M2465" s="122">
        <v>248728</v>
      </c>
      <c r="N2465" s="122">
        <v>221999</v>
      </c>
      <c r="O2465" s="122">
        <v>82222</v>
      </c>
      <c r="P2465" s="122">
        <v>46049</v>
      </c>
      <c r="Q2465" s="122">
        <v>17055</v>
      </c>
      <c r="R2465" s="122">
        <v>481799</v>
      </c>
      <c r="S2465" s="122">
        <v>437999</v>
      </c>
      <c r="T2465" s="122">
        <v>20458</v>
      </c>
      <c r="U2465" s="122">
        <v>7577</v>
      </c>
      <c r="V2465" s="122">
        <v>1818268</v>
      </c>
      <c r="W2465" s="122">
        <f t="shared" si="78"/>
        <v>1818268</v>
      </c>
      <c r="X2465" s="122">
        <f t="shared" si="79"/>
        <v>2177032</v>
      </c>
      <c r="AA2465" t="s">
        <v>64</v>
      </c>
      <c r="AB2465" t="s">
        <v>431</v>
      </c>
      <c r="AC2465" t="s">
        <v>137</v>
      </c>
      <c r="AD2465" t="s">
        <v>431</v>
      </c>
      <c r="AE2465" t="s">
        <v>137</v>
      </c>
      <c r="AF2465">
        <v>25</v>
      </c>
      <c r="AG2465" s="122">
        <v>2127</v>
      </c>
      <c r="AH2465" s="122">
        <v>17668</v>
      </c>
      <c r="AI2465" s="122">
        <v>994299</v>
      </c>
      <c r="AJ2465" s="122">
        <v>903908</v>
      </c>
      <c r="AK2465">
        <v>50</v>
      </c>
      <c r="AL2465" s="122">
        <v>205801</v>
      </c>
      <c r="AM2465" s="122">
        <v>76223</v>
      </c>
      <c r="AN2465" s="122">
        <v>47197</v>
      </c>
      <c r="AO2465" s="122">
        <v>17480</v>
      </c>
      <c r="AP2465" s="122">
        <v>5967</v>
      </c>
      <c r="AQ2465" s="122">
        <v>2210</v>
      </c>
      <c r="AR2465" s="122">
        <v>150648</v>
      </c>
      <c r="AS2465" s="122">
        <v>136952</v>
      </c>
      <c r="AT2465" s="122">
        <v>54758</v>
      </c>
      <c r="AU2465" s="122">
        <v>20281</v>
      </c>
      <c r="AV2465" s="122">
        <v>1157054</v>
      </c>
    </row>
    <row r="2466" spans="2:48" hidden="1">
      <c r="B2466" t="s">
        <v>380</v>
      </c>
      <c r="C2466" t="s">
        <v>56</v>
      </c>
      <c r="D2466" t="s">
        <v>426</v>
      </c>
      <c r="E2466" t="s">
        <v>426</v>
      </c>
      <c r="F2466" s="122">
        <v>7</v>
      </c>
      <c r="G2466" s="122">
        <v>1195</v>
      </c>
      <c r="H2466" s="122">
        <v>1440</v>
      </c>
      <c r="I2466" s="122">
        <v>183635</v>
      </c>
      <c r="J2466" s="122">
        <v>166941</v>
      </c>
      <c r="K2466" s="122">
        <v>70</v>
      </c>
      <c r="L2466" s="122">
        <v>14640</v>
      </c>
      <c r="M2466" s="122">
        <v>13309</v>
      </c>
      <c r="N2466" s="122">
        <v>25632</v>
      </c>
      <c r="O2466" s="122">
        <v>9493</v>
      </c>
      <c r="P2466" s="122">
        <v>4509</v>
      </c>
      <c r="Q2466" s="122">
        <v>1670</v>
      </c>
      <c r="R2466" s="122">
        <v>48710</v>
      </c>
      <c r="S2466" s="122">
        <v>44281</v>
      </c>
      <c r="T2466" s="122">
        <v>15416</v>
      </c>
      <c r="U2466" s="122">
        <v>5710</v>
      </c>
      <c r="V2466" s="122">
        <v>241405</v>
      </c>
      <c r="W2466" s="122">
        <f t="shared" si="78"/>
        <v>241404</v>
      </c>
      <c r="X2466" s="122">
        <f t="shared" si="79"/>
        <v>292542</v>
      </c>
      <c r="AA2466" t="s">
        <v>64</v>
      </c>
      <c r="AB2466" t="s">
        <v>431</v>
      </c>
      <c r="AC2466" t="s">
        <v>137</v>
      </c>
      <c r="AD2466" t="s">
        <v>431</v>
      </c>
      <c r="AE2466" t="s">
        <v>566</v>
      </c>
      <c r="AF2466">
        <v>7</v>
      </c>
      <c r="AG2466">
        <v>622</v>
      </c>
      <c r="AH2466" s="122">
        <v>5001</v>
      </c>
      <c r="AI2466" s="122">
        <v>340616</v>
      </c>
      <c r="AJ2466" s="122">
        <v>309651</v>
      </c>
      <c r="AK2466">
        <v>51</v>
      </c>
      <c r="AL2466" s="122">
        <v>49132</v>
      </c>
      <c r="AM2466" s="122">
        <v>18197</v>
      </c>
      <c r="AN2466" s="122">
        <v>10335</v>
      </c>
      <c r="AO2466" s="122">
        <v>3828</v>
      </c>
      <c r="AP2466" s="122">
        <v>2025</v>
      </c>
      <c r="AQ2466" s="122">
        <v>750</v>
      </c>
      <c r="AR2466" s="122">
        <v>56974</v>
      </c>
      <c r="AS2466" s="122">
        <v>51795</v>
      </c>
      <c r="AT2466" s="122">
        <v>0</v>
      </c>
      <c r="AU2466" s="122">
        <v>0</v>
      </c>
      <c r="AV2466" s="122">
        <v>384220</v>
      </c>
    </row>
    <row r="2467" spans="2:48" hidden="1">
      <c r="B2467" t="s">
        <v>380</v>
      </c>
      <c r="C2467" t="s">
        <v>56</v>
      </c>
      <c r="D2467" t="s">
        <v>433</v>
      </c>
      <c r="E2467" t="s">
        <v>433</v>
      </c>
      <c r="F2467" s="122">
        <v>2</v>
      </c>
      <c r="G2467" s="122">
        <v>300</v>
      </c>
      <c r="H2467" s="122">
        <v>381</v>
      </c>
      <c r="I2467" s="122">
        <v>48558</v>
      </c>
      <c r="J2467" s="122">
        <v>44144</v>
      </c>
      <c r="K2467" s="122">
        <v>70</v>
      </c>
      <c r="L2467" s="122">
        <v>5530</v>
      </c>
      <c r="M2467" s="122">
        <v>5027</v>
      </c>
      <c r="N2467" s="122">
        <v>7678</v>
      </c>
      <c r="O2467" s="122">
        <v>2844</v>
      </c>
      <c r="P2467" s="122">
        <v>702</v>
      </c>
      <c r="Q2467" s="122">
        <v>260</v>
      </c>
      <c r="R2467" s="122">
        <v>14336</v>
      </c>
      <c r="S2467" s="122">
        <v>13033</v>
      </c>
      <c r="T2467" s="122">
        <v>0</v>
      </c>
      <c r="U2467" s="122">
        <v>0</v>
      </c>
      <c r="V2467" s="122">
        <v>65307</v>
      </c>
      <c r="W2467" s="122">
        <f t="shared" si="78"/>
        <v>65308</v>
      </c>
      <c r="X2467" s="122">
        <f t="shared" si="79"/>
        <v>76804</v>
      </c>
      <c r="AA2467" t="s">
        <v>64</v>
      </c>
      <c r="AB2467" t="s">
        <v>431</v>
      </c>
      <c r="AC2467" t="s">
        <v>580</v>
      </c>
      <c r="AD2467" t="s">
        <v>431</v>
      </c>
      <c r="AE2467" t="s">
        <v>137</v>
      </c>
      <c r="AF2467">
        <v>9</v>
      </c>
      <c r="AG2467">
        <v>997</v>
      </c>
      <c r="AH2467" s="122">
        <v>5099</v>
      </c>
      <c r="AI2467" s="122">
        <v>427300</v>
      </c>
      <c r="AJ2467" s="122">
        <v>388454</v>
      </c>
      <c r="AK2467">
        <v>60</v>
      </c>
      <c r="AL2467" s="122">
        <v>37351</v>
      </c>
      <c r="AM2467" s="122">
        <v>33956</v>
      </c>
      <c r="AN2467" s="122">
        <v>20844</v>
      </c>
      <c r="AO2467" s="122">
        <v>7720</v>
      </c>
      <c r="AP2467" s="122">
        <v>6021</v>
      </c>
      <c r="AQ2467" s="122">
        <v>2230</v>
      </c>
      <c r="AR2467" s="122">
        <v>52530</v>
      </c>
      <c r="AS2467" s="122">
        <v>47755</v>
      </c>
      <c r="AT2467" s="122">
        <v>23519</v>
      </c>
      <c r="AU2467" s="122">
        <v>8711</v>
      </c>
      <c r="AV2467" s="122">
        <v>488825</v>
      </c>
    </row>
    <row r="2468" spans="2:48" hidden="1">
      <c r="B2468" t="s">
        <v>380</v>
      </c>
      <c r="C2468" t="s">
        <v>56</v>
      </c>
      <c r="D2468" t="s">
        <v>408</v>
      </c>
      <c r="E2468" t="s">
        <v>408</v>
      </c>
      <c r="F2468" s="122">
        <v>10</v>
      </c>
      <c r="G2468" s="122">
        <v>1865</v>
      </c>
      <c r="H2468" s="122">
        <v>1909</v>
      </c>
      <c r="I2468" s="122">
        <v>222520</v>
      </c>
      <c r="J2468" s="122">
        <v>202291</v>
      </c>
      <c r="K2468" s="122">
        <v>77</v>
      </c>
      <c r="L2468" s="122">
        <v>40537</v>
      </c>
      <c r="M2468" s="122">
        <v>36852</v>
      </c>
      <c r="N2468" s="122">
        <v>37047</v>
      </c>
      <c r="O2468" s="122">
        <v>13721</v>
      </c>
      <c r="P2468" s="122">
        <v>4131</v>
      </c>
      <c r="Q2468" s="122">
        <v>1530</v>
      </c>
      <c r="R2468" s="122">
        <v>59915</v>
      </c>
      <c r="S2468" s="122">
        <v>54468</v>
      </c>
      <c r="T2468" s="122">
        <v>7100</v>
      </c>
      <c r="U2468" s="122">
        <v>2630</v>
      </c>
      <c r="V2468" s="122">
        <v>311492</v>
      </c>
      <c r="W2468" s="122">
        <f t="shared" si="78"/>
        <v>311492</v>
      </c>
      <c r="X2468" s="122">
        <f t="shared" si="79"/>
        <v>371250</v>
      </c>
      <c r="AA2468" t="s">
        <v>64</v>
      </c>
      <c r="AB2468" t="s">
        <v>431</v>
      </c>
      <c r="AC2468" t="s">
        <v>580</v>
      </c>
      <c r="AD2468" t="s">
        <v>431</v>
      </c>
      <c r="AE2468" t="s">
        <v>566</v>
      </c>
      <c r="AF2468">
        <v>3</v>
      </c>
      <c r="AG2468">
        <v>315</v>
      </c>
      <c r="AH2468" s="122">
        <v>2073</v>
      </c>
      <c r="AI2468" s="122">
        <v>158744</v>
      </c>
      <c r="AJ2468" s="122">
        <v>144312</v>
      </c>
      <c r="AK2468">
        <v>52</v>
      </c>
      <c r="AL2468" s="122">
        <v>18105</v>
      </c>
      <c r="AM2468" s="122">
        <v>16459</v>
      </c>
      <c r="AN2468" s="122">
        <v>5717</v>
      </c>
      <c r="AO2468" s="122">
        <v>2117</v>
      </c>
      <c r="AP2468" s="122">
        <v>1863</v>
      </c>
      <c r="AQ2468">
        <v>690</v>
      </c>
      <c r="AR2468" s="122">
        <v>33919</v>
      </c>
      <c r="AS2468" s="122">
        <v>30836</v>
      </c>
      <c r="AT2468" s="122">
        <v>0</v>
      </c>
      <c r="AU2468" s="122">
        <v>0</v>
      </c>
      <c r="AV2468" s="122">
        <v>194414</v>
      </c>
    </row>
    <row r="2469" spans="2:48" hidden="1">
      <c r="B2469" t="s">
        <v>380</v>
      </c>
      <c r="C2469" t="s">
        <v>56</v>
      </c>
      <c r="D2469" t="s">
        <v>429</v>
      </c>
      <c r="E2469" t="s">
        <v>429</v>
      </c>
      <c r="F2469" s="122">
        <v>6</v>
      </c>
      <c r="G2469" s="122">
        <v>740</v>
      </c>
      <c r="H2469" s="122">
        <v>1183</v>
      </c>
      <c r="I2469" s="122">
        <v>94012</v>
      </c>
      <c r="J2469" s="122">
        <v>85466</v>
      </c>
      <c r="K2469" s="122">
        <v>85</v>
      </c>
      <c r="L2469" s="122">
        <v>12879</v>
      </c>
      <c r="M2469" s="122">
        <v>11708</v>
      </c>
      <c r="N2469" s="122">
        <v>15380</v>
      </c>
      <c r="O2469" s="122">
        <v>5696</v>
      </c>
      <c r="P2469" s="122">
        <v>5494</v>
      </c>
      <c r="Q2469" s="122">
        <v>2035</v>
      </c>
      <c r="R2469" s="122">
        <v>30355</v>
      </c>
      <c r="S2469" s="122">
        <v>27596</v>
      </c>
      <c r="T2469" s="122">
        <v>5412</v>
      </c>
      <c r="U2469" s="122">
        <v>2005</v>
      </c>
      <c r="V2469" s="122">
        <v>134506</v>
      </c>
      <c r="W2469" s="122">
        <f t="shared" si="78"/>
        <v>134506</v>
      </c>
      <c r="X2469" s="122">
        <f t="shared" si="79"/>
        <v>163532</v>
      </c>
      <c r="AA2469" t="s">
        <v>64</v>
      </c>
      <c r="AB2469" t="s">
        <v>431</v>
      </c>
      <c r="AC2469" t="s">
        <v>427</v>
      </c>
      <c r="AD2469" t="s">
        <v>431</v>
      </c>
      <c r="AE2469" t="s">
        <v>137</v>
      </c>
      <c r="AF2469">
        <v>2</v>
      </c>
      <c r="AG2469">
        <v>181</v>
      </c>
      <c r="AH2469" s="122">
        <v>1424</v>
      </c>
      <c r="AI2469" s="122">
        <v>95422</v>
      </c>
      <c r="AJ2469" s="122">
        <v>86748</v>
      </c>
      <c r="AK2469">
        <v>50</v>
      </c>
      <c r="AL2469" s="122">
        <v>16948</v>
      </c>
      <c r="AM2469" s="122">
        <v>15407</v>
      </c>
      <c r="AN2469" s="122">
        <v>3118</v>
      </c>
      <c r="AO2469" s="122">
        <v>1155</v>
      </c>
      <c r="AP2469">
        <v>702</v>
      </c>
      <c r="AQ2469">
        <v>260</v>
      </c>
      <c r="AR2469" s="122">
        <v>10312</v>
      </c>
      <c r="AS2469" s="122">
        <v>9374</v>
      </c>
      <c r="AT2469" s="122">
        <v>5005</v>
      </c>
      <c r="AU2469" s="122">
        <v>1854</v>
      </c>
      <c r="AV2469" s="122">
        <v>114798</v>
      </c>
    </row>
    <row r="2470" spans="2:48" hidden="1">
      <c r="B2470" t="s">
        <v>380</v>
      </c>
      <c r="C2470" t="s">
        <v>58</v>
      </c>
      <c r="D2470" t="s">
        <v>425</v>
      </c>
      <c r="E2470" t="s">
        <v>425</v>
      </c>
      <c r="F2470" s="122">
        <v>1</v>
      </c>
      <c r="G2470" s="122">
        <v>171</v>
      </c>
      <c r="H2470" s="122">
        <v>251</v>
      </c>
      <c r="I2470" s="122">
        <v>21743</v>
      </c>
      <c r="J2470" s="122">
        <v>19766</v>
      </c>
      <c r="K2470" s="122">
        <v>78</v>
      </c>
      <c r="L2470" s="122">
        <v>8963</v>
      </c>
      <c r="M2470" s="122">
        <v>8148</v>
      </c>
      <c r="N2470" s="122">
        <v>4155</v>
      </c>
      <c r="O2470" s="122">
        <v>1539</v>
      </c>
      <c r="P2470" s="122">
        <v>473</v>
      </c>
      <c r="Q2470" s="122">
        <v>175</v>
      </c>
      <c r="R2470" s="122">
        <v>7417</v>
      </c>
      <c r="S2470" s="122">
        <v>6743</v>
      </c>
      <c r="T2470" s="122">
        <v>0</v>
      </c>
      <c r="U2470" s="122">
        <v>0</v>
      </c>
      <c r="V2470" s="122">
        <v>36371</v>
      </c>
      <c r="W2470" s="122">
        <f t="shared" si="78"/>
        <v>36371</v>
      </c>
      <c r="X2470" s="122">
        <f t="shared" si="79"/>
        <v>42751</v>
      </c>
      <c r="AA2470" t="s">
        <v>64</v>
      </c>
      <c r="AB2470" t="s">
        <v>431</v>
      </c>
      <c r="AC2470" t="s">
        <v>427</v>
      </c>
      <c r="AD2470" t="s">
        <v>431</v>
      </c>
      <c r="AE2470" t="s">
        <v>566</v>
      </c>
      <c r="AF2470">
        <v>1</v>
      </c>
      <c r="AG2470">
        <v>50</v>
      </c>
      <c r="AH2470" s="122">
        <v>846</v>
      </c>
      <c r="AI2470" s="122">
        <v>28589</v>
      </c>
      <c r="AJ2470" s="122">
        <v>25990</v>
      </c>
      <c r="AK2470">
        <v>45</v>
      </c>
      <c r="AL2470" s="122">
        <v>4084</v>
      </c>
      <c r="AM2470" s="122">
        <v>3713</v>
      </c>
      <c r="AN2470" s="122">
        <v>1106</v>
      </c>
      <c r="AO2470" s="122">
        <v>410</v>
      </c>
      <c r="AP2470">
        <v>351</v>
      </c>
      <c r="AQ2470">
        <v>130</v>
      </c>
      <c r="AR2470" s="122">
        <v>8525</v>
      </c>
      <c r="AS2470" s="122">
        <v>7750</v>
      </c>
      <c r="AT2470" s="122">
        <v>0</v>
      </c>
      <c r="AU2470" s="122">
        <v>0</v>
      </c>
      <c r="AV2470" s="122">
        <v>37993</v>
      </c>
    </row>
    <row r="2471" spans="2:48" hidden="1">
      <c r="B2471" t="s">
        <v>380</v>
      </c>
      <c r="C2471" t="s">
        <v>58</v>
      </c>
      <c r="D2471" t="s">
        <v>425</v>
      </c>
      <c r="E2471" t="s">
        <v>406</v>
      </c>
      <c r="F2471" s="122">
        <v>2</v>
      </c>
      <c r="G2471" s="122">
        <v>183</v>
      </c>
      <c r="H2471" s="122">
        <v>465</v>
      </c>
      <c r="I2471" s="122">
        <v>34627</v>
      </c>
      <c r="J2471" s="122">
        <v>31479</v>
      </c>
      <c r="K2471" s="122">
        <v>77</v>
      </c>
      <c r="L2471" s="122">
        <v>4503</v>
      </c>
      <c r="M2471" s="122">
        <v>3988</v>
      </c>
      <c r="N2471" s="122">
        <v>3175</v>
      </c>
      <c r="O2471" s="122">
        <v>1176</v>
      </c>
      <c r="P2471" s="122">
        <v>1242</v>
      </c>
      <c r="Q2471" s="122">
        <v>460</v>
      </c>
      <c r="R2471" s="122">
        <v>10883</v>
      </c>
      <c r="S2471" s="122">
        <v>9894</v>
      </c>
      <c r="T2471" s="122">
        <v>0</v>
      </c>
      <c r="U2471" s="122">
        <v>0</v>
      </c>
      <c r="V2471" s="122">
        <v>46997</v>
      </c>
      <c r="W2471" s="122">
        <f t="shared" si="78"/>
        <v>46997</v>
      </c>
      <c r="X2471" s="122">
        <f t="shared" si="79"/>
        <v>54430</v>
      </c>
      <c r="AA2471" t="s">
        <v>64</v>
      </c>
      <c r="AB2471" t="s">
        <v>431</v>
      </c>
      <c r="AC2471" t="s">
        <v>428</v>
      </c>
      <c r="AD2471" t="s">
        <v>431</v>
      </c>
      <c r="AE2471" t="s">
        <v>137</v>
      </c>
      <c r="AF2471">
        <v>2</v>
      </c>
      <c r="AG2471">
        <v>165</v>
      </c>
      <c r="AH2471" s="122">
        <v>1348</v>
      </c>
      <c r="AI2471" s="122">
        <v>80239</v>
      </c>
      <c r="AJ2471" s="122">
        <v>72945</v>
      </c>
      <c r="AK2471">
        <v>45</v>
      </c>
      <c r="AL2471" s="122">
        <v>9937</v>
      </c>
      <c r="AM2471" s="122">
        <v>9034</v>
      </c>
      <c r="AN2471" s="122">
        <v>3571</v>
      </c>
      <c r="AO2471" s="122">
        <v>1323</v>
      </c>
      <c r="AP2471">
        <v>824</v>
      </c>
      <c r="AQ2471">
        <v>305</v>
      </c>
      <c r="AR2471" s="122">
        <v>11580</v>
      </c>
      <c r="AS2471" s="122">
        <v>10528</v>
      </c>
      <c r="AT2471" s="122">
        <v>4670</v>
      </c>
      <c r="AU2471" s="122">
        <v>1729</v>
      </c>
      <c r="AV2471" s="122">
        <v>95863</v>
      </c>
    </row>
    <row r="2472" spans="2:48" hidden="1">
      <c r="B2472" t="s">
        <v>380</v>
      </c>
      <c r="C2472" t="s">
        <v>58</v>
      </c>
      <c r="D2472" t="s">
        <v>405</v>
      </c>
      <c r="E2472" t="s">
        <v>405</v>
      </c>
      <c r="F2472" s="122">
        <v>14</v>
      </c>
      <c r="G2472" s="122">
        <v>1933</v>
      </c>
      <c r="H2472" s="122">
        <v>3781</v>
      </c>
      <c r="I2472" s="122">
        <v>335945</v>
      </c>
      <c r="J2472" s="122">
        <v>305405</v>
      </c>
      <c r="K2472" s="122">
        <v>87</v>
      </c>
      <c r="L2472" s="122">
        <v>76820</v>
      </c>
      <c r="M2472" s="122">
        <v>69836</v>
      </c>
      <c r="N2472" s="122">
        <v>40236</v>
      </c>
      <c r="O2472" s="122">
        <v>14902</v>
      </c>
      <c r="P2472" s="122">
        <v>6993</v>
      </c>
      <c r="Q2472" s="122">
        <v>2590</v>
      </c>
      <c r="R2472" s="122">
        <v>63278</v>
      </c>
      <c r="S2472" s="122">
        <v>57526</v>
      </c>
      <c r="T2472" s="122">
        <v>5514</v>
      </c>
      <c r="U2472" s="122">
        <v>2042</v>
      </c>
      <c r="V2472" s="122">
        <v>452301</v>
      </c>
      <c r="W2472" s="122">
        <f t="shared" si="78"/>
        <v>452301</v>
      </c>
      <c r="X2472" s="122">
        <f t="shared" si="79"/>
        <v>528786</v>
      </c>
      <c r="AA2472" t="s">
        <v>64</v>
      </c>
      <c r="AB2472" t="s">
        <v>431</v>
      </c>
      <c r="AC2472" t="s">
        <v>431</v>
      </c>
      <c r="AD2472" t="s">
        <v>425</v>
      </c>
      <c r="AE2472" t="s">
        <v>566</v>
      </c>
      <c r="AF2472">
        <v>2</v>
      </c>
      <c r="AG2472">
        <v>247</v>
      </c>
      <c r="AH2472" s="122">
        <v>1878</v>
      </c>
      <c r="AI2472" s="122">
        <v>198120</v>
      </c>
      <c r="AJ2472" s="122">
        <v>180109</v>
      </c>
      <c r="AK2472">
        <v>30</v>
      </c>
      <c r="AL2472" s="122">
        <v>20913</v>
      </c>
      <c r="AM2472" s="122">
        <v>19011</v>
      </c>
      <c r="AN2472" s="122">
        <v>3009</v>
      </c>
      <c r="AO2472" s="122">
        <v>1115</v>
      </c>
      <c r="AP2472">
        <v>0</v>
      </c>
      <c r="AQ2472">
        <v>0</v>
      </c>
      <c r="AR2472" s="122">
        <v>8619</v>
      </c>
      <c r="AS2472" s="122">
        <v>7836</v>
      </c>
      <c r="AT2472">
        <v>0</v>
      </c>
      <c r="AU2472">
        <v>0</v>
      </c>
      <c r="AV2472" s="122">
        <v>208071</v>
      </c>
    </row>
    <row r="2473" spans="2:48" hidden="1">
      <c r="B2473" t="s">
        <v>380</v>
      </c>
      <c r="C2473" t="s">
        <v>58</v>
      </c>
      <c r="D2473" t="s">
        <v>405</v>
      </c>
      <c r="E2473" t="s">
        <v>407</v>
      </c>
      <c r="F2473" s="122">
        <v>1</v>
      </c>
      <c r="G2473" s="122">
        <v>88</v>
      </c>
      <c r="H2473" s="122">
        <v>263</v>
      </c>
      <c r="I2473" s="122">
        <v>13649</v>
      </c>
      <c r="J2473" s="122">
        <v>12408</v>
      </c>
      <c r="K2473" s="122">
        <v>91</v>
      </c>
      <c r="L2473" s="122">
        <v>4358</v>
      </c>
      <c r="M2473" s="122">
        <v>3961</v>
      </c>
      <c r="N2473" s="122">
        <v>2119</v>
      </c>
      <c r="O2473" s="122">
        <v>785</v>
      </c>
      <c r="P2473" s="122">
        <v>473</v>
      </c>
      <c r="Q2473" s="122">
        <v>175</v>
      </c>
      <c r="R2473" s="122">
        <v>2623</v>
      </c>
      <c r="S2473" s="122">
        <v>2384</v>
      </c>
      <c r="T2473" s="122">
        <v>0</v>
      </c>
      <c r="U2473" s="122">
        <v>0</v>
      </c>
      <c r="V2473" s="122">
        <v>19714</v>
      </c>
      <c r="W2473" s="122">
        <f t="shared" si="78"/>
        <v>19713</v>
      </c>
      <c r="X2473" s="122">
        <f t="shared" si="79"/>
        <v>23222</v>
      </c>
      <c r="AA2473" t="s">
        <v>64</v>
      </c>
      <c r="AB2473" t="s">
        <v>431</v>
      </c>
      <c r="AC2473" t="s">
        <v>431</v>
      </c>
      <c r="AD2473" t="s">
        <v>137</v>
      </c>
      <c r="AE2473" t="s">
        <v>137</v>
      </c>
      <c r="AF2473">
        <v>2</v>
      </c>
      <c r="AG2473">
        <v>160</v>
      </c>
      <c r="AH2473" s="122">
        <v>2290</v>
      </c>
      <c r="AI2473" s="122">
        <v>143857</v>
      </c>
      <c r="AJ2473" s="122">
        <v>130779</v>
      </c>
      <c r="AK2473">
        <v>30</v>
      </c>
      <c r="AL2473" s="122">
        <v>15984</v>
      </c>
      <c r="AM2473" s="122">
        <v>14531</v>
      </c>
      <c r="AN2473" s="122">
        <v>3751</v>
      </c>
      <c r="AO2473" s="122">
        <v>1389</v>
      </c>
      <c r="AP2473">
        <v>351</v>
      </c>
      <c r="AQ2473">
        <v>130</v>
      </c>
      <c r="AR2473" s="122">
        <v>17722</v>
      </c>
      <c r="AS2473" s="122">
        <v>6564</v>
      </c>
      <c r="AT2473">
        <v>0</v>
      </c>
      <c r="AU2473">
        <v>0</v>
      </c>
      <c r="AV2473" s="122">
        <v>153393</v>
      </c>
    </row>
    <row r="2474" spans="2:48" hidden="1">
      <c r="B2474" t="s">
        <v>380</v>
      </c>
      <c r="C2474" t="s">
        <v>58</v>
      </c>
      <c r="D2474" t="s">
        <v>137</v>
      </c>
      <c r="E2474" t="s">
        <v>137</v>
      </c>
      <c r="F2474" s="122">
        <v>17</v>
      </c>
      <c r="G2474" s="122">
        <v>2985</v>
      </c>
      <c r="H2474" s="122">
        <v>4604</v>
      </c>
      <c r="I2474" s="122">
        <v>520179</v>
      </c>
      <c r="J2474" s="122">
        <v>192659</v>
      </c>
      <c r="K2474" s="122">
        <v>118</v>
      </c>
      <c r="L2474" s="122">
        <v>74142</v>
      </c>
      <c r="M2474" s="122">
        <v>66186</v>
      </c>
      <c r="N2474" s="122">
        <v>67388</v>
      </c>
      <c r="O2474" s="122">
        <v>24959</v>
      </c>
      <c r="P2474" s="122">
        <v>3161</v>
      </c>
      <c r="Q2474" s="122">
        <v>1171</v>
      </c>
      <c r="R2474" s="122">
        <v>151619</v>
      </c>
      <c r="S2474" s="122">
        <v>56155</v>
      </c>
      <c r="T2474" s="122">
        <v>0</v>
      </c>
      <c r="U2474" s="122">
        <v>0</v>
      </c>
      <c r="V2474" s="122">
        <v>341130</v>
      </c>
      <c r="W2474" s="122">
        <f t="shared" si="78"/>
        <v>341130</v>
      </c>
      <c r="X2474" s="122">
        <f t="shared" si="79"/>
        <v>816489</v>
      </c>
      <c r="AA2474" t="s">
        <v>64</v>
      </c>
      <c r="AB2474" t="s">
        <v>431</v>
      </c>
      <c r="AC2474" t="s">
        <v>431</v>
      </c>
      <c r="AD2474" t="s">
        <v>137</v>
      </c>
      <c r="AE2474" t="s">
        <v>566</v>
      </c>
      <c r="AF2474">
        <v>9</v>
      </c>
      <c r="AG2474">
        <v>658</v>
      </c>
      <c r="AH2474" s="122">
        <v>12256</v>
      </c>
      <c r="AI2474" s="122">
        <v>718144</v>
      </c>
      <c r="AJ2474" s="122">
        <v>652858</v>
      </c>
      <c r="AK2474">
        <v>39</v>
      </c>
      <c r="AL2474" s="122">
        <v>77709</v>
      </c>
      <c r="AM2474" s="122">
        <v>70644</v>
      </c>
      <c r="AN2474" s="122">
        <v>15475</v>
      </c>
      <c r="AO2474" s="122">
        <v>5732</v>
      </c>
      <c r="AP2474">
        <v>0</v>
      </c>
      <c r="AQ2474">
        <v>0</v>
      </c>
      <c r="AR2474" s="122">
        <v>57008</v>
      </c>
      <c r="AS2474" s="122">
        <v>21114</v>
      </c>
      <c r="AT2474" s="122">
        <v>0</v>
      </c>
      <c r="AU2474">
        <v>0</v>
      </c>
      <c r="AV2474" s="122">
        <v>750348</v>
      </c>
    </row>
    <row r="2475" spans="2:48" hidden="1">
      <c r="B2475" t="s">
        <v>380</v>
      </c>
      <c r="C2475" t="s">
        <v>58</v>
      </c>
      <c r="D2475" t="s">
        <v>406</v>
      </c>
      <c r="E2475" t="s">
        <v>137</v>
      </c>
      <c r="F2475" s="122">
        <v>2</v>
      </c>
      <c r="G2475" s="122">
        <v>174</v>
      </c>
      <c r="H2475" s="122">
        <v>508</v>
      </c>
      <c r="I2475" s="122">
        <v>27940</v>
      </c>
      <c r="J2475" s="122">
        <v>25400</v>
      </c>
      <c r="K2475" s="122">
        <v>83</v>
      </c>
      <c r="L2475" s="122">
        <v>2424</v>
      </c>
      <c r="M2475" s="122">
        <v>2204</v>
      </c>
      <c r="N2475" s="122">
        <v>3129</v>
      </c>
      <c r="O2475" s="122">
        <v>1159</v>
      </c>
      <c r="P2475" s="122">
        <v>1242</v>
      </c>
      <c r="Q2475" s="122">
        <v>460</v>
      </c>
      <c r="R2475" s="122">
        <v>7107</v>
      </c>
      <c r="S2475" s="122">
        <v>2632</v>
      </c>
      <c r="T2475" s="122">
        <v>0</v>
      </c>
      <c r="U2475" s="122">
        <v>0</v>
      </c>
      <c r="V2475" s="122">
        <v>31855</v>
      </c>
      <c r="W2475" s="122">
        <f t="shared" si="78"/>
        <v>31855</v>
      </c>
      <c r="X2475" s="122">
        <f t="shared" si="79"/>
        <v>41842</v>
      </c>
      <c r="AA2475" t="s">
        <v>64</v>
      </c>
      <c r="AB2475" t="s">
        <v>431</v>
      </c>
      <c r="AC2475" t="s">
        <v>431</v>
      </c>
      <c r="AD2475" t="s">
        <v>428</v>
      </c>
      <c r="AE2475" t="s">
        <v>137</v>
      </c>
      <c r="AF2475">
        <v>1</v>
      </c>
      <c r="AG2475" s="122">
        <v>47</v>
      </c>
      <c r="AH2475" s="122">
        <v>716</v>
      </c>
      <c r="AI2475" s="122">
        <v>21487</v>
      </c>
      <c r="AJ2475" s="122">
        <v>19534</v>
      </c>
      <c r="AK2475">
        <v>65</v>
      </c>
      <c r="AL2475" s="122">
        <v>5173</v>
      </c>
      <c r="AM2475" s="122">
        <v>4703</v>
      </c>
      <c r="AN2475" s="122">
        <v>1083</v>
      </c>
      <c r="AO2475" s="122">
        <v>401</v>
      </c>
      <c r="AP2475" s="122">
        <v>351</v>
      </c>
      <c r="AQ2475" s="122">
        <v>130</v>
      </c>
      <c r="AR2475" s="122">
        <v>3542</v>
      </c>
      <c r="AS2475" s="122">
        <v>3220</v>
      </c>
      <c r="AT2475" s="122">
        <v>1696</v>
      </c>
      <c r="AU2475" s="122">
        <v>628</v>
      </c>
      <c r="AV2475" s="122">
        <v>28616</v>
      </c>
    </row>
    <row r="2476" spans="2:48" hidden="1">
      <c r="B2476" t="s">
        <v>380</v>
      </c>
      <c r="C2476" t="s">
        <v>58</v>
      </c>
      <c r="D2476" t="s">
        <v>406</v>
      </c>
      <c r="E2476" t="s">
        <v>406</v>
      </c>
      <c r="F2476" s="122">
        <v>1043</v>
      </c>
      <c r="G2476" s="122">
        <v>135010</v>
      </c>
      <c r="H2476" s="122">
        <v>271285</v>
      </c>
      <c r="I2476" s="122">
        <v>21078908</v>
      </c>
      <c r="J2476" s="122">
        <v>19162644</v>
      </c>
      <c r="K2476" s="122">
        <v>82</v>
      </c>
      <c r="L2476" s="122">
        <v>4167789</v>
      </c>
      <c r="M2476" s="122">
        <v>3734678</v>
      </c>
      <c r="N2476" s="122">
        <v>2799757</v>
      </c>
      <c r="O2476" s="122">
        <v>1036947</v>
      </c>
      <c r="P2476" s="122">
        <v>723623</v>
      </c>
      <c r="Q2476" s="122">
        <v>268008</v>
      </c>
      <c r="R2476" s="122">
        <v>5403875</v>
      </c>
      <c r="S2476" s="122">
        <v>4912613</v>
      </c>
      <c r="T2476" s="122">
        <v>1542603</v>
      </c>
      <c r="U2476" s="122">
        <v>571335</v>
      </c>
      <c r="V2476" s="122">
        <v>29686225</v>
      </c>
      <c r="W2476" s="122">
        <f t="shared" ref="W2476:W2539" si="80">SUM(ABS(J2476),ABS(M2476),ABS(O2476),ABS(Q2476),ABS(S2476),ABS(U2476))</f>
        <v>29686225</v>
      </c>
      <c r="X2476" s="122">
        <f t="shared" ref="X2476:X2539" si="81">SUM(ABS(I2476),ABS(N2476),ABS(P2476),ABS(R2476),ABS(T2476),ABS(L2476))</f>
        <v>35716555</v>
      </c>
      <c r="AA2476" t="s">
        <v>64</v>
      </c>
      <c r="AB2476" t="s">
        <v>431</v>
      </c>
      <c r="AC2476" t="s">
        <v>431</v>
      </c>
      <c r="AD2476" t="s">
        <v>431</v>
      </c>
      <c r="AE2476" t="s">
        <v>137</v>
      </c>
      <c r="AF2476">
        <v>179</v>
      </c>
      <c r="AG2476" s="122">
        <v>16598</v>
      </c>
      <c r="AH2476" s="122">
        <v>120711</v>
      </c>
      <c r="AI2476" s="122">
        <v>7813658</v>
      </c>
      <c r="AJ2476" s="122">
        <v>7103326</v>
      </c>
      <c r="AK2476">
        <v>50</v>
      </c>
      <c r="AL2476" s="122">
        <v>1240423</v>
      </c>
      <c r="AM2476" s="122">
        <v>1127657</v>
      </c>
      <c r="AN2476" s="122">
        <v>349243</v>
      </c>
      <c r="AO2476" s="122">
        <v>129349</v>
      </c>
      <c r="AP2476" s="122">
        <v>58204</v>
      </c>
      <c r="AQ2476" s="122">
        <v>21557</v>
      </c>
      <c r="AR2476" s="122">
        <v>1094464</v>
      </c>
      <c r="AS2476" s="122">
        <v>994968</v>
      </c>
      <c r="AT2476" s="122">
        <v>456030</v>
      </c>
      <c r="AU2476" s="122">
        <v>168900</v>
      </c>
      <c r="AV2476" s="122">
        <v>9545757</v>
      </c>
    </row>
    <row r="2477" spans="2:48" hidden="1">
      <c r="B2477" t="s">
        <v>380</v>
      </c>
      <c r="C2477" t="s">
        <v>58</v>
      </c>
      <c r="D2477" t="s">
        <v>427</v>
      </c>
      <c r="E2477" t="s">
        <v>427</v>
      </c>
      <c r="F2477" s="122">
        <v>2</v>
      </c>
      <c r="G2477" s="122">
        <v>251</v>
      </c>
      <c r="H2477" s="122">
        <v>592</v>
      </c>
      <c r="I2477" s="122">
        <v>54396</v>
      </c>
      <c r="J2477" s="122">
        <v>49451</v>
      </c>
      <c r="K2477" s="122">
        <v>65</v>
      </c>
      <c r="L2477" s="122">
        <v>0</v>
      </c>
      <c r="M2477" s="122">
        <v>0</v>
      </c>
      <c r="N2477" s="122">
        <v>4753</v>
      </c>
      <c r="O2477" s="122">
        <v>1760</v>
      </c>
      <c r="P2477" s="122">
        <v>702</v>
      </c>
      <c r="Q2477" s="122">
        <v>260</v>
      </c>
      <c r="R2477" s="122">
        <v>9040</v>
      </c>
      <c r="S2477" s="122">
        <v>8218</v>
      </c>
      <c r="T2477" s="122">
        <v>5473</v>
      </c>
      <c r="U2477" s="122">
        <v>2027</v>
      </c>
      <c r="V2477" s="122">
        <v>61717</v>
      </c>
      <c r="W2477" s="122">
        <f t="shared" si="80"/>
        <v>61716</v>
      </c>
      <c r="X2477" s="122">
        <f t="shared" si="81"/>
        <v>74364</v>
      </c>
      <c r="AA2477" t="s">
        <v>64</v>
      </c>
      <c r="AB2477" t="s">
        <v>431</v>
      </c>
      <c r="AC2477" t="s">
        <v>431</v>
      </c>
      <c r="AD2477" t="s">
        <v>431</v>
      </c>
      <c r="AE2477" t="s">
        <v>566</v>
      </c>
      <c r="AF2477">
        <v>66</v>
      </c>
      <c r="AG2477" s="122">
        <v>6444</v>
      </c>
      <c r="AH2477" s="122">
        <v>48251</v>
      </c>
      <c r="AI2477" s="122">
        <v>3221266</v>
      </c>
      <c r="AJ2477" s="122">
        <v>2928424</v>
      </c>
      <c r="AK2477">
        <v>48</v>
      </c>
      <c r="AL2477" s="122">
        <v>492117</v>
      </c>
      <c r="AM2477" s="122">
        <v>447379</v>
      </c>
      <c r="AN2477" s="122">
        <v>134390</v>
      </c>
      <c r="AO2477" s="122">
        <v>49774</v>
      </c>
      <c r="AP2477" s="122">
        <v>19656</v>
      </c>
      <c r="AQ2477" s="122">
        <v>7280</v>
      </c>
      <c r="AR2477" s="122">
        <v>666680</v>
      </c>
      <c r="AS2477" s="122">
        <v>606073</v>
      </c>
      <c r="AT2477">
        <v>0</v>
      </c>
      <c r="AU2477">
        <v>0</v>
      </c>
      <c r="AV2477" s="122">
        <v>4038930</v>
      </c>
    </row>
    <row r="2478" spans="2:48" hidden="1">
      <c r="B2478" t="s">
        <v>380</v>
      </c>
      <c r="C2478" t="s">
        <v>58</v>
      </c>
      <c r="D2478" t="s">
        <v>407</v>
      </c>
      <c r="E2478" t="s">
        <v>407</v>
      </c>
      <c r="F2478" s="122">
        <v>13</v>
      </c>
      <c r="G2478" s="122">
        <v>1504</v>
      </c>
      <c r="H2478" s="122">
        <v>3231</v>
      </c>
      <c r="I2478" s="122">
        <v>207604</v>
      </c>
      <c r="J2478" s="122">
        <v>188731</v>
      </c>
      <c r="K2478" s="122">
        <v>77</v>
      </c>
      <c r="L2478" s="122">
        <v>54415</v>
      </c>
      <c r="M2478" s="122">
        <v>49468</v>
      </c>
      <c r="N2478" s="122">
        <v>28398</v>
      </c>
      <c r="O2478" s="122">
        <v>10518</v>
      </c>
      <c r="P2478" s="122">
        <v>6143</v>
      </c>
      <c r="Q2478" s="122">
        <v>2275</v>
      </c>
      <c r="R2478" s="122">
        <v>67606</v>
      </c>
      <c r="S2478" s="122">
        <v>61460</v>
      </c>
      <c r="T2478" s="122">
        <v>7602</v>
      </c>
      <c r="U2478" s="122">
        <v>2816</v>
      </c>
      <c r="V2478" s="122">
        <v>315268</v>
      </c>
      <c r="W2478" s="122">
        <f t="shared" si="80"/>
        <v>315268</v>
      </c>
      <c r="X2478" s="122">
        <f t="shared" si="81"/>
        <v>371768</v>
      </c>
      <c r="AA2478" t="s">
        <v>64</v>
      </c>
      <c r="AB2478" t="s">
        <v>431</v>
      </c>
      <c r="AC2478" t="s">
        <v>426</v>
      </c>
      <c r="AD2478" t="s">
        <v>137</v>
      </c>
      <c r="AE2478" t="s">
        <v>566</v>
      </c>
      <c r="AF2478">
        <v>1</v>
      </c>
      <c r="AG2478">
        <v>163</v>
      </c>
      <c r="AH2478" s="122">
        <v>530</v>
      </c>
      <c r="AI2478" s="122">
        <v>64130</v>
      </c>
      <c r="AJ2478" s="122">
        <v>58300</v>
      </c>
      <c r="AK2478">
        <v>45</v>
      </c>
      <c r="AL2478" s="122">
        <v>5344</v>
      </c>
      <c r="AM2478" s="122">
        <v>4858</v>
      </c>
      <c r="AN2478" s="122">
        <v>3862</v>
      </c>
      <c r="AO2478" s="122">
        <v>1430</v>
      </c>
      <c r="AP2478" s="122">
        <v>351</v>
      </c>
      <c r="AQ2478">
        <v>130</v>
      </c>
      <c r="AR2478" s="122">
        <v>12880</v>
      </c>
      <c r="AS2478" s="122">
        <v>4770</v>
      </c>
      <c r="AT2478" s="122">
        <v>0</v>
      </c>
      <c r="AU2478" s="122">
        <v>0</v>
      </c>
      <c r="AV2478" s="122">
        <v>69489</v>
      </c>
    </row>
    <row r="2479" spans="2:48" hidden="1">
      <c r="B2479" t="s">
        <v>380</v>
      </c>
      <c r="C2479" t="s">
        <v>58</v>
      </c>
      <c r="D2479" t="s">
        <v>428</v>
      </c>
      <c r="E2479" t="s">
        <v>428</v>
      </c>
      <c r="F2479" s="122">
        <v>1</v>
      </c>
      <c r="G2479" s="122">
        <v>124</v>
      </c>
      <c r="H2479" s="122">
        <v>256</v>
      </c>
      <c r="I2479" s="122">
        <v>19785</v>
      </c>
      <c r="J2479" s="122">
        <v>17986</v>
      </c>
      <c r="K2479" s="122">
        <v>70</v>
      </c>
      <c r="L2479" s="122">
        <v>2565</v>
      </c>
      <c r="M2479" s="122">
        <v>2332</v>
      </c>
      <c r="N2479" s="122">
        <v>2005</v>
      </c>
      <c r="O2479" s="122">
        <v>743</v>
      </c>
      <c r="P2479" s="122">
        <v>351</v>
      </c>
      <c r="Q2479" s="122">
        <v>130</v>
      </c>
      <c r="R2479" s="122">
        <v>7012</v>
      </c>
      <c r="S2479" s="122">
        <v>6375</v>
      </c>
      <c r="T2479" s="122">
        <v>0</v>
      </c>
      <c r="U2479" s="122">
        <v>0</v>
      </c>
      <c r="V2479" s="122">
        <v>27565</v>
      </c>
      <c r="W2479" s="122">
        <f t="shared" si="80"/>
        <v>27566</v>
      </c>
      <c r="X2479" s="122">
        <f t="shared" si="81"/>
        <v>31718</v>
      </c>
      <c r="AA2479" t="s">
        <v>64</v>
      </c>
      <c r="AB2479" t="s">
        <v>431</v>
      </c>
      <c r="AC2479" t="s">
        <v>426</v>
      </c>
      <c r="AD2479" t="s">
        <v>431</v>
      </c>
      <c r="AE2479" t="s">
        <v>137</v>
      </c>
      <c r="AF2479">
        <v>5</v>
      </c>
      <c r="AG2479">
        <v>408</v>
      </c>
      <c r="AH2479" s="122">
        <v>3674</v>
      </c>
      <c r="AI2479" s="122">
        <v>218633</v>
      </c>
      <c r="AJ2479" s="122">
        <v>198758</v>
      </c>
      <c r="AK2479">
        <v>45</v>
      </c>
      <c r="AL2479" s="122">
        <v>33277</v>
      </c>
      <c r="AM2479" s="122">
        <v>30252</v>
      </c>
      <c r="AN2479" s="122">
        <v>9155</v>
      </c>
      <c r="AO2479" s="122">
        <v>3391</v>
      </c>
      <c r="AP2479" s="122">
        <v>1755</v>
      </c>
      <c r="AQ2479">
        <v>650</v>
      </c>
      <c r="AR2479" s="122">
        <v>28556</v>
      </c>
      <c r="AS2479" s="122">
        <v>25960</v>
      </c>
      <c r="AT2479" s="122">
        <v>11187</v>
      </c>
      <c r="AU2479" s="122">
        <v>4143</v>
      </c>
      <c r="AV2479" s="122">
        <v>263153</v>
      </c>
    </row>
    <row r="2480" spans="2:48" hidden="1">
      <c r="B2480" t="s">
        <v>380</v>
      </c>
      <c r="C2480" t="s">
        <v>58</v>
      </c>
      <c r="D2480" t="s">
        <v>431</v>
      </c>
      <c r="E2480" t="s">
        <v>431</v>
      </c>
      <c r="F2480" s="122">
        <v>2</v>
      </c>
      <c r="G2480" s="122">
        <v>171</v>
      </c>
      <c r="H2480" s="122">
        <v>556</v>
      </c>
      <c r="I2480" s="122">
        <v>32717</v>
      </c>
      <c r="J2480" s="122">
        <v>29743</v>
      </c>
      <c r="K2480" s="122">
        <v>65</v>
      </c>
      <c r="L2480" s="122">
        <v>9501</v>
      </c>
      <c r="M2480" s="122">
        <v>4257</v>
      </c>
      <c r="N2480" s="122">
        <v>4608</v>
      </c>
      <c r="O2480" s="122">
        <v>1707</v>
      </c>
      <c r="P2480" s="122">
        <v>702</v>
      </c>
      <c r="Q2480" s="122">
        <v>260</v>
      </c>
      <c r="R2480" s="122">
        <v>9749</v>
      </c>
      <c r="S2480" s="122">
        <v>8863</v>
      </c>
      <c r="T2480" s="122">
        <v>3479</v>
      </c>
      <c r="U2480" s="122">
        <v>1288</v>
      </c>
      <c r="V2480" s="122">
        <v>46118</v>
      </c>
      <c r="W2480" s="122">
        <f t="shared" si="80"/>
        <v>46118</v>
      </c>
      <c r="X2480" s="122">
        <f t="shared" si="81"/>
        <v>60756</v>
      </c>
      <c r="AA2480" t="s">
        <v>64</v>
      </c>
      <c r="AB2480" t="s">
        <v>431</v>
      </c>
      <c r="AC2480" t="s">
        <v>426</v>
      </c>
      <c r="AD2480" t="s">
        <v>431</v>
      </c>
      <c r="AE2480" t="s">
        <v>566</v>
      </c>
      <c r="AF2480">
        <v>3</v>
      </c>
      <c r="AG2480">
        <v>193</v>
      </c>
      <c r="AH2480" s="122">
        <v>2662</v>
      </c>
      <c r="AI2480" s="122">
        <v>120542</v>
      </c>
      <c r="AJ2480" s="122">
        <v>109584</v>
      </c>
      <c r="AK2480">
        <v>53</v>
      </c>
      <c r="AL2480" s="122">
        <v>19623</v>
      </c>
      <c r="AM2480" s="122">
        <v>17839</v>
      </c>
      <c r="AN2480" s="122">
        <v>4262</v>
      </c>
      <c r="AO2480" s="122">
        <v>1579</v>
      </c>
      <c r="AP2480">
        <v>702</v>
      </c>
      <c r="AQ2480">
        <v>260</v>
      </c>
      <c r="AR2480" s="122">
        <v>25938</v>
      </c>
      <c r="AS2480" s="122">
        <v>23580</v>
      </c>
      <c r="AT2480">
        <v>0</v>
      </c>
      <c r="AU2480">
        <v>0</v>
      </c>
      <c r="AV2480" s="122">
        <v>152841</v>
      </c>
    </row>
    <row r="2481" spans="2:48" hidden="1">
      <c r="B2481" t="s">
        <v>380</v>
      </c>
      <c r="C2481" t="s">
        <v>58</v>
      </c>
      <c r="D2481" t="s">
        <v>426</v>
      </c>
      <c r="E2481" t="s">
        <v>426</v>
      </c>
      <c r="F2481" s="122">
        <v>85</v>
      </c>
      <c r="G2481" s="122">
        <v>10846</v>
      </c>
      <c r="H2481" s="122">
        <v>23196</v>
      </c>
      <c r="I2481" s="122">
        <v>1970419</v>
      </c>
      <c r="J2481" s="122">
        <v>1791290</v>
      </c>
      <c r="K2481" s="122">
        <v>62</v>
      </c>
      <c r="L2481" s="122">
        <v>289637</v>
      </c>
      <c r="M2481" s="122">
        <v>256350</v>
      </c>
      <c r="N2481" s="122">
        <v>210900</v>
      </c>
      <c r="O2481" s="122">
        <v>78111</v>
      </c>
      <c r="P2481" s="122">
        <v>35964</v>
      </c>
      <c r="Q2481" s="122">
        <v>13320</v>
      </c>
      <c r="R2481" s="122">
        <v>454403</v>
      </c>
      <c r="S2481" s="122">
        <v>413093</v>
      </c>
      <c r="T2481" s="122">
        <v>207012</v>
      </c>
      <c r="U2481" s="122">
        <v>76671</v>
      </c>
      <c r="V2481" s="122">
        <v>2628835</v>
      </c>
      <c r="W2481" s="122">
        <f t="shared" si="80"/>
        <v>2628835</v>
      </c>
      <c r="X2481" s="122">
        <f t="shared" si="81"/>
        <v>3168335</v>
      </c>
      <c r="AA2481" t="s">
        <v>64</v>
      </c>
      <c r="AB2481" t="s">
        <v>431</v>
      </c>
      <c r="AC2481" t="s">
        <v>566</v>
      </c>
      <c r="AD2481" t="s">
        <v>425</v>
      </c>
      <c r="AE2481" t="s">
        <v>566</v>
      </c>
      <c r="AF2481">
        <v>1</v>
      </c>
      <c r="AG2481">
        <v>612</v>
      </c>
      <c r="AH2481">
        <v>806</v>
      </c>
      <c r="AI2481" s="122">
        <v>633507</v>
      </c>
      <c r="AJ2481" s="122">
        <v>575915</v>
      </c>
      <c r="AK2481">
        <v>30</v>
      </c>
      <c r="AL2481">
        <v>0</v>
      </c>
      <c r="AM2481">
        <v>0</v>
      </c>
      <c r="AN2481" s="122">
        <v>19884</v>
      </c>
      <c r="AO2481" s="122">
        <v>7364</v>
      </c>
      <c r="AP2481">
        <v>0</v>
      </c>
      <c r="AQ2481">
        <v>0</v>
      </c>
      <c r="AR2481" s="122">
        <v>4182</v>
      </c>
      <c r="AS2481" s="122">
        <v>3802</v>
      </c>
      <c r="AT2481">
        <v>0</v>
      </c>
      <c r="AU2481">
        <v>0</v>
      </c>
      <c r="AV2481" s="122">
        <v>587082</v>
      </c>
    </row>
    <row r="2482" spans="2:48" hidden="1">
      <c r="B2482" t="s">
        <v>380</v>
      </c>
      <c r="C2482" t="s">
        <v>58</v>
      </c>
      <c r="D2482" t="s">
        <v>426</v>
      </c>
      <c r="E2482" t="s">
        <v>481</v>
      </c>
      <c r="F2482" s="122">
        <v>2</v>
      </c>
      <c r="G2482" s="122">
        <v>303</v>
      </c>
      <c r="H2482" s="122">
        <v>571</v>
      </c>
      <c r="I2482" s="122">
        <v>66543</v>
      </c>
      <c r="J2482" s="122">
        <v>60494</v>
      </c>
      <c r="K2482" s="122">
        <v>55</v>
      </c>
      <c r="L2482" s="122">
        <v>3521</v>
      </c>
      <c r="M2482" s="122">
        <v>3201</v>
      </c>
      <c r="N2482" s="122">
        <v>7510</v>
      </c>
      <c r="O2482" s="122">
        <v>2782</v>
      </c>
      <c r="P2482" s="122">
        <v>1404</v>
      </c>
      <c r="Q2482" s="122">
        <v>520</v>
      </c>
      <c r="R2482" s="122">
        <v>14272</v>
      </c>
      <c r="S2482" s="122">
        <v>12974</v>
      </c>
      <c r="T2482" s="122">
        <v>3446</v>
      </c>
      <c r="U2482" s="122">
        <v>1276</v>
      </c>
      <c r="V2482" s="122">
        <v>81247</v>
      </c>
      <c r="W2482" s="122">
        <f t="shared" si="80"/>
        <v>81247</v>
      </c>
      <c r="X2482" s="122">
        <f t="shared" si="81"/>
        <v>96696</v>
      </c>
      <c r="AA2482" t="s">
        <v>64</v>
      </c>
      <c r="AB2482" t="s">
        <v>431</v>
      </c>
      <c r="AC2482" t="s">
        <v>566</v>
      </c>
      <c r="AD2482" t="s">
        <v>137</v>
      </c>
      <c r="AE2482" t="s">
        <v>137</v>
      </c>
      <c r="AF2482">
        <v>1</v>
      </c>
      <c r="AG2482">
        <v>130</v>
      </c>
      <c r="AH2482" s="122">
        <v>738</v>
      </c>
      <c r="AI2482" s="122">
        <v>80624</v>
      </c>
      <c r="AJ2482" s="122">
        <v>73294</v>
      </c>
      <c r="AK2482">
        <v>55</v>
      </c>
      <c r="AL2482">
        <v>0</v>
      </c>
      <c r="AM2482" s="122">
        <v>0</v>
      </c>
      <c r="AN2482" s="122">
        <v>3168</v>
      </c>
      <c r="AO2482" s="122">
        <v>1173</v>
      </c>
      <c r="AP2482">
        <v>351</v>
      </c>
      <c r="AQ2482">
        <v>130</v>
      </c>
      <c r="AR2482" s="122">
        <v>11760</v>
      </c>
      <c r="AS2482" s="122">
        <v>4355</v>
      </c>
      <c r="AT2482">
        <v>0</v>
      </c>
      <c r="AU2482">
        <v>0</v>
      </c>
      <c r="AV2482" s="122">
        <v>78953</v>
      </c>
    </row>
    <row r="2483" spans="2:48" hidden="1">
      <c r="B2483" t="s">
        <v>380</v>
      </c>
      <c r="C2483" t="s">
        <v>58</v>
      </c>
      <c r="D2483" t="s">
        <v>433</v>
      </c>
      <c r="E2483" t="s">
        <v>433</v>
      </c>
      <c r="F2483" s="122">
        <v>1</v>
      </c>
      <c r="G2483" s="122">
        <v>100</v>
      </c>
      <c r="H2483" s="122">
        <v>262</v>
      </c>
      <c r="I2483" s="122">
        <v>16931</v>
      </c>
      <c r="J2483" s="122">
        <v>15392</v>
      </c>
      <c r="K2483" s="122">
        <v>65</v>
      </c>
      <c r="L2483" s="122">
        <v>0</v>
      </c>
      <c r="M2483" s="122">
        <v>0</v>
      </c>
      <c r="N2483" s="122">
        <v>1984</v>
      </c>
      <c r="O2483" s="122">
        <v>735</v>
      </c>
      <c r="P2483" s="122">
        <v>351</v>
      </c>
      <c r="Q2483" s="122">
        <v>130</v>
      </c>
      <c r="R2483" s="122">
        <v>4491</v>
      </c>
      <c r="S2483" s="122">
        <v>4083</v>
      </c>
      <c r="T2483" s="122">
        <v>2426</v>
      </c>
      <c r="U2483" s="122">
        <v>899</v>
      </c>
      <c r="V2483" s="122">
        <v>21238</v>
      </c>
      <c r="W2483" s="122">
        <f t="shared" si="80"/>
        <v>21239</v>
      </c>
      <c r="X2483" s="122">
        <f t="shared" si="81"/>
        <v>26183</v>
      </c>
      <c r="AA2483" t="s">
        <v>64</v>
      </c>
      <c r="AB2483" t="s">
        <v>431</v>
      </c>
      <c r="AC2483" t="s">
        <v>566</v>
      </c>
      <c r="AD2483" t="s">
        <v>137</v>
      </c>
      <c r="AE2483" t="s">
        <v>566</v>
      </c>
      <c r="AF2483">
        <v>8</v>
      </c>
      <c r="AG2483" s="122">
        <v>482</v>
      </c>
      <c r="AH2483" s="122">
        <v>12405</v>
      </c>
      <c r="AI2483" s="122">
        <v>661523</v>
      </c>
      <c r="AJ2483" s="122">
        <v>601385</v>
      </c>
      <c r="AK2483">
        <v>34</v>
      </c>
      <c r="AL2483">
        <v>0</v>
      </c>
      <c r="AM2483" s="122">
        <v>2813</v>
      </c>
      <c r="AN2483" s="122">
        <v>10991</v>
      </c>
      <c r="AO2483" s="122">
        <v>4071</v>
      </c>
      <c r="AP2483" s="122">
        <v>0</v>
      </c>
      <c r="AQ2483" s="122">
        <v>0</v>
      </c>
      <c r="AR2483" s="122">
        <v>55825</v>
      </c>
      <c r="AS2483" s="122">
        <v>20676</v>
      </c>
      <c r="AT2483" s="122">
        <v>0</v>
      </c>
      <c r="AU2483" s="122">
        <v>0</v>
      </c>
      <c r="AV2483" s="122">
        <v>628944</v>
      </c>
    </row>
    <row r="2484" spans="2:48" hidden="1">
      <c r="B2484" t="s">
        <v>380</v>
      </c>
      <c r="C2484" t="s">
        <v>58</v>
      </c>
      <c r="D2484" t="s">
        <v>429</v>
      </c>
      <c r="E2484" t="s">
        <v>429</v>
      </c>
      <c r="F2484" s="122">
        <v>2</v>
      </c>
      <c r="G2484" s="122">
        <v>220</v>
      </c>
      <c r="H2484" s="122">
        <v>499</v>
      </c>
      <c r="I2484" s="122">
        <v>34332</v>
      </c>
      <c r="J2484" s="122">
        <v>31211</v>
      </c>
      <c r="K2484" s="122">
        <v>86</v>
      </c>
      <c r="L2484" s="122">
        <v>3994</v>
      </c>
      <c r="M2484" s="122">
        <v>3630</v>
      </c>
      <c r="N2484" s="122">
        <v>3679</v>
      </c>
      <c r="O2484" s="122">
        <v>1363</v>
      </c>
      <c r="P2484" s="122">
        <v>1944</v>
      </c>
      <c r="Q2484" s="122">
        <v>720</v>
      </c>
      <c r="R2484" s="122">
        <v>6133</v>
      </c>
      <c r="S2484" s="122">
        <v>5575</v>
      </c>
      <c r="T2484" s="122">
        <v>4209</v>
      </c>
      <c r="U2484" s="122">
        <v>1559</v>
      </c>
      <c r="V2484" s="122">
        <v>44059</v>
      </c>
      <c r="W2484" s="122">
        <f t="shared" si="80"/>
        <v>44058</v>
      </c>
      <c r="X2484" s="122">
        <f t="shared" si="81"/>
        <v>54291</v>
      </c>
      <c r="AA2484" t="s">
        <v>64</v>
      </c>
      <c r="AB2484" t="s">
        <v>431</v>
      </c>
      <c r="AC2484" t="s">
        <v>566</v>
      </c>
      <c r="AD2484" t="s">
        <v>431</v>
      </c>
      <c r="AE2484" t="s">
        <v>137</v>
      </c>
      <c r="AF2484">
        <v>19</v>
      </c>
      <c r="AG2484" s="122">
        <v>1418</v>
      </c>
      <c r="AH2484" s="122">
        <v>12159</v>
      </c>
      <c r="AI2484" s="122">
        <v>681989</v>
      </c>
      <c r="AJ2484" s="122">
        <v>619990</v>
      </c>
      <c r="AK2484">
        <v>53</v>
      </c>
      <c r="AL2484">
        <v>0</v>
      </c>
      <c r="AM2484" s="122">
        <v>0</v>
      </c>
      <c r="AN2484" s="122">
        <v>30745</v>
      </c>
      <c r="AO2484" s="122">
        <v>11387</v>
      </c>
      <c r="AP2484" s="122">
        <v>6318</v>
      </c>
      <c r="AQ2484" s="122">
        <v>2340</v>
      </c>
      <c r="AR2484" s="122">
        <v>125250</v>
      </c>
      <c r="AS2484" s="122">
        <v>113864</v>
      </c>
      <c r="AT2484" s="122">
        <v>47082</v>
      </c>
      <c r="AU2484" s="122">
        <v>17438</v>
      </c>
      <c r="AV2484" s="122">
        <v>765019</v>
      </c>
    </row>
    <row r="2485" spans="2:48" hidden="1">
      <c r="B2485" t="s">
        <v>380</v>
      </c>
      <c r="C2485" t="s">
        <v>60</v>
      </c>
      <c r="D2485" t="s">
        <v>425</v>
      </c>
      <c r="E2485" t="s">
        <v>425</v>
      </c>
      <c r="F2485" s="122">
        <v>1</v>
      </c>
      <c r="G2485" s="122">
        <v>268</v>
      </c>
      <c r="H2485" s="122">
        <v>302</v>
      </c>
      <c r="I2485" s="122">
        <v>58413</v>
      </c>
      <c r="J2485" s="122">
        <v>53103</v>
      </c>
      <c r="K2485" s="122">
        <v>79</v>
      </c>
      <c r="L2485" s="122">
        <v>8113</v>
      </c>
      <c r="M2485" s="122">
        <v>7375</v>
      </c>
      <c r="N2485" s="122">
        <v>5220</v>
      </c>
      <c r="O2485" s="122">
        <v>1933</v>
      </c>
      <c r="P2485" s="122">
        <v>473</v>
      </c>
      <c r="Q2485" s="122">
        <v>175</v>
      </c>
      <c r="R2485" s="122">
        <v>8703</v>
      </c>
      <c r="S2485" s="122">
        <v>7912</v>
      </c>
      <c r="T2485" s="122">
        <v>0</v>
      </c>
      <c r="U2485" s="122">
        <v>0</v>
      </c>
      <c r="V2485" s="122">
        <v>70499</v>
      </c>
      <c r="W2485" s="122">
        <f t="shared" si="80"/>
        <v>70498</v>
      </c>
      <c r="X2485" s="122">
        <f t="shared" si="81"/>
        <v>80922</v>
      </c>
      <c r="AA2485" t="s">
        <v>64</v>
      </c>
      <c r="AB2485" t="s">
        <v>431</v>
      </c>
      <c r="AC2485" t="s">
        <v>566</v>
      </c>
      <c r="AD2485" t="s">
        <v>431</v>
      </c>
      <c r="AE2485" t="s">
        <v>566</v>
      </c>
      <c r="AF2485">
        <v>9</v>
      </c>
      <c r="AG2485">
        <v>645</v>
      </c>
      <c r="AH2485" s="122">
        <v>8297</v>
      </c>
      <c r="AI2485" s="122">
        <v>443228</v>
      </c>
      <c r="AJ2485" s="122">
        <v>402934</v>
      </c>
      <c r="AK2485">
        <v>53</v>
      </c>
      <c r="AL2485" s="122">
        <v>0</v>
      </c>
      <c r="AM2485" s="122">
        <v>18960</v>
      </c>
      <c r="AN2485" s="122">
        <v>15598</v>
      </c>
      <c r="AO2485" s="122">
        <v>5777</v>
      </c>
      <c r="AP2485" s="122">
        <v>2106</v>
      </c>
      <c r="AQ2485">
        <v>780</v>
      </c>
      <c r="AR2485" s="122">
        <v>75178</v>
      </c>
      <c r="AS2485" s="122">
        <v>68343</v>
      </c>
      <c r="AT2485">
        <v>0</v>
      </c>
      <c r="AU2485">
        <v>0</v>
      </c>
      <c r="AV2485" s="122">
        <v>496795</v>
      </c>
    </row>
    <row r="2486" spans="2:48" hidden="1">
      <c r="B2486" t="s">
        <v>380</v>
      </c>
      <c r="C2486" t="s">
        <v>60</v>
      </c>
      <c r="D2486" t="s">
        <v>405</v>
      </c>
      <c r="E2486" t="s">
        <v>405</v>
      </c>
      <c r="F2486" s="122">
        <v>1</v>
      </c>
      <c r="G2486" s="122">
        <v>197</v>
      </c>
      <c r="H2486" s="122">
        <v>311</v>
      </c>
      <c r="I2486" s="122">
        <v>34980</v>
      </c>
      <c r="J2486" s="122">
        <v>31800</v>
      </c>
      <c r="K2486" s="122">
        <v>75</v>
      </c>
      <c r="L2486" s="122">
        <v>13914</v>
      </c>
      <c r="M2486" s="122">
        <v>12649</v>
      </c>
      <c r="N2486" s="122">
        <v>4805</v>
      </c>
      <c r="O2486" s="122">
        <v>1780</v>
      </c>
      <c r="P2486" s="122">
        <v>473</v>
      </c>
      <c r="Q2486" s="122">
        <v>175</v>
      </c>
      <c r="R2486" s="122">
        <v>7195</v>
      </c>
      <c r="S2486" s="122">
        <v>6541</v>
      </c>
      <c r="T2486" s="122">
        <v>0</v>
      </c>
      <c r="U2486" s="122">
        <v>0</v>
      </c>
      <c r="V2486" s="122">
        <v>52944</v>
      </c>
      <c r="W2486" s="122">
        <f t="shared" si="80"/>
        <v>52945</v>
      </c>
      <c r="X2486" s="122">
        <f t="shared" si="81"/>
        <v>61367</v>
      </c>
      <c r="AA2486" t="s">
        <v>64</v>
      </c>
      <c r="AB2486" t="s">
        <v>431</v>
      </c>
      <c r="AC2486" t="s">
        <v>433</v>
      </c>
      <c r="AD2486" t="s">
        <v>405</v>
      </c>
      <c r="AE2486" t="s">
        <v>566</v>
      </c>
      <c r="AF2486">
        <v>1</v>
      </c>
      <c r="AG2486">
        <v>57</v>
      </c>
      <c r="AH2486" s="122">
        <v>1491</v>
      </c>
      <c r="AI2486" s="122">
        <v>71744</v>
      </c>
      <c r="AJ2486" s="122">
        <v>65222</v>
      </c>
      <c r="AK2486">
        <v>30</v>
      </c>
      <c r="AL2486" s="122">
        <v>7573</v>
      </c>
      <c r="AM2486" s="122">
        <v>6885</v>
      </c>
      <c r="AN2486" s="122">
        <v>1169</v>
      </c>
      <c r="AO2486">
        <v>433</v>
      </c>
      <c r="AP2486">
        <v>0</v>
      </c>
      <c r="AQ2486">
        <v>0</v>
      </c>
      <c r="AR2486" s="122">
        <v>5185</v>
      </c>
      <c r="AS2486" s="122">
        <v>4714</v>
      </c>
      <c r="AT2486">
        <v>0</v>
      </c>
      <c r="AU2486">
        <v>0</v>
      </c>
      <c r="AV2486" s="122">
        <v>77253</v>
      </c>
    </row>
    <row r="2487" spans="2:48" hidden="1">
      <c r="B2487" t="s">
        <v>380</v>
      </c>
      <c r="C2487" t="s">
        <v>60</v>
      </c>
      <c r="D2487" t="s">
        <v>137</v>
      </c>
      <c r="E2487" t="s">
        <v>137</v>
      </c>
      <c r="F2487" s="122">
        <v>21</v>
      </c>
      <c r="G2487" s="122">
        <v>3258</v>
      </c>
      <c r="H2487" s="122">
        <v>7267</v>
      </c>
      <c r="I2487" s="122">
        <v>749073</v>
      </c>
      <c r="J2487" s="122">
        <v>277434</v>
      </c>
      <c r="K2487" s="122">
        <v>100</v>
      </c>
      <c r="L2487" s="122">
        <v>118124</v>
      </c>
      <c r="M2487" s="122">
        <v>100259</v>
      </c>
      <c r="N2487" s="122">
        <v>76627</v>
      </c>
      <c r="O2487" s="122">
        <v>28381</v>
      </c>
      <c r="P2487" s="122">
        <v>351</v>
      </c>
      <c r="Q2487" s="122">
        <v>130</v>
      </c>
      <c r="R2487" s="122">
        <v>186009</v>
      </c>
      <c r="S2487" s="122">
        <v>68892</v>
      </c>
      <c r="T2487" s="122">
        <v>0</v>
      </c>
      <c r="U2487" s="122">
        <v>0</v>
      </c>
      <c r="V2487" s="122">
        <v>475096</v>
      </c>
      <c r="W2487" s="122">
        <f t="shared" si="80"/>
        <v>475096</v>
      </c>
      <c r="X2487" s="122">
        <f t="shared" si="81"/>
        <v>1130184</v>
      </c>
      <c r="AA2487" t="s">
        <v>64</v>
      </c>
      <c r="AB2487" t="s">
        <v>431</v>
      </c>
      <c r="AC2487" t="s">
        <v>433</v>
      </c>
      <c r="AD2487" t="s">
        <v>431</v>
      </c>
      <c r="AE2487" t="s">
        <v>566</v>
      </c>
      <c r="AF2487">
        <v>1</v>
      </c>
      <c r="AG2487">
        <v>62</v>
      </c>
      <c r="AH2487" s="122">
        <v>470</v>
      </c>
      <c r="AI2487" s="122">
        <v>18135</v>
      </c>
      <c r="AJ2487" s="122">
        <v>16486</v>
      </c>
      <c r="AK2487">
        <v>45</v>
      </c>
      <c r="AL2487" s="122">
        <v>1511</v>
      </c>
      <c r="AM2487" s="122">
        <v>1374</v>
      </c>
      <c r="AN2487" s="122">
        <v>1388</v>
      </c>
      <c r="AO2487">
        <v>514</v>
      </c>
      <c r="AP2487">
        <v>351</v>
      </c>
      <c r="AQ2487">
        <v>130</v>
      </c>
      <c r="AR2487" s="122">
        <v>7728</v>
      </c>
      <c r="AS2487" s="122">
        <v>7025</v>
      </c>
      <c r="AT2487">
        <v>0</v>
      </c>
      <c r="AU2487">
        <v>0</v>
      </c>
      <c r="AV2487" s="122">
        <v>25530</v>
      </c>
    </row>
    <row r="2488" spans="2:48" hidden="1">
      <c r="B2488" t="s">
        <v>380</v>
      </c>
      <c r="C2488" t="s">
        <v>60</v>
      </c>
      <c r="D2488" t="s">
        <v>406</v>
      </c>
      <c r="E2488" t="s">
        <v>137</v>
      </c>
      <c r="F2488" s="122">
        <v>5</v>
      </c>
      <c r="G2488" s="122">
        <v>671</v>
      </c>
      <c r="H2488" s="122">
        <v>1647</v>
      </c>
      <c r="I2488" s="122">
        <v>161445</v>
      </c>
      <c r="J2488" s="122">
        <v>146768</v>
      </c>
      <c r="K2488" s="122">
        <v>78</v>
      </c>
      <c r="L2488" s="122">
        <v>25666</v>
      </c>
      <c r="M2488" s="122">
        <v>23333</v>
      </c>
      <c r="N2488" s="122">
        <v>16683</v>
      </c>
      <c r="O2488" s="122">
        <v>6179</v>
      </c>
      <c r="P2488" s="122">
        <v>3807</v>
      </c>
      <c r="Q2488" s="122">
        <v>1410</v>
      </c>
      <c r="R2488" s="122">
        <v>38483</v>
      </c>
      <c r="S2488" s="122">
        <v>14253</v>
      </c>
      <c r="T2488" s="122">
        <v>0</v>
      </c>
      <c r="U2488" s="122">
        <v>0</v>
      </c>
      <c r="V2488" s="122">
        <v>191943</v>
      </c>
      <c r="W2488" s="122">
        <f t="shared" si="80"/>
        <v>191943</v>
      </c>
      <c r="X2488" s="122">
        <f t="shared" si="81"/>
        <v>246084</v>
      </c>
      <c r="AA2488" t="s">
        <v>64</v>
      </c>
      <c r="AB2488" t="s">
        <v>426</v>
      </c>
      <c r="AC2488" t="s">
        <v>425</v>
      </c>
      <c r="AD2488" t="s">
        <v>137</v>
      </c>
      <c r="AE2488" t="s">
        <v>566</v>
      </c>
      <c r="AF2488">
        <v>1</v>
      </c>
      <c r="AG2488">
        <v>82</v>
      </c>
      <c r="AH2488" s="122">
        <v>1154</v>
      </c>
      <c r="AI2488" s="122">
        <v>80471</v>
      </c>
      <c r="AJ2488" s="122">
        <v>73156</v>
      </c>
      <c r="AK2488">
        <v>30</v>
      </c>
      <c r="AL2488" s="122">
        <v>4127</v>
      </c>
      <c r="AM2488" s="122">
        <v>3752</v>
      </c>
      <c r="AN2488" s="122">
        <v>1755</v>
      </c>
      <c r="AO2488" s="122">
        <v>650</v>
      </c>
      <c r="AP2488" s="122">
        <v>0</v>
      </c>
      <c r="AQ2488" s="122">
        <v>0</v>
      </c>
      <c r="AR2488" s="122">
        <v>8601</v>
      </c>
      <c r="AS2488" s="122">
        <v>3185</v>
      </c>
      <c r="AT2488" s="122">
        <v>0</v>
      </c>
      <c r="AU2488" s="122">
        <v>0</v>
      </c>
      <c r="AV2488" s="122">
        <v>80743</v>
      </c>
    </row>
    <row r="2489" spans="2:48" hidden="1">
      <c r="B2489" t="s">
        <v>380</v>
      </c>
      <c r="C2489" t="s">
        <v>60</v>
      </c>
      <c r="D2489" t="s">
        <v>406</v>
      </c>
      <c r="E2489" t="s">
        <v>406</v>
      </c>
      <c r="F2489" s="122">
        <v>374</v>
      </c>
      <c r="G2489" s="122">
        <v>46547</v>
      </c>
      <c r="H2489" s="122">
        <v>126339</v>
      </c>
      <c r="I2489" s="122">
        <v>10087646</v>
      </c>
      <c r="J2489" s="122">
        <v>9170587</v>
      </c>
      <c r="K2489" s="122">
        <v>79</v>
      </c>
      <c r="L2489" s="122">
        <v>1989104</v>
      </c>
      <c r="M2489" s="122">
        <v>1792465</v>
      </c>
      <c r="N2489" s="122">
        <v>991483</v>
      </c>
      <c r="O2489" s="122">
        <v>367216</v>
      </c>
      <c r="P2489" s="122">
        <v>258255</v>
      </c>
      <c r="Q2489" s="122">
        <v>95650</v>
      </c>
      <c r="R2489" s="122">
        <v>1954599</v>
      </c>
      <c r="S2489" s="122">
        <v>1776908</v>
      </c>
      <c r="T2489" s="122">
        <v>589010</v>
      </c>
      <c r="U2489" s="122">
        <v>218152</v>
      </c>
      <c r="V2489" s="122">
        <v>13420978</v>
      </c>
      <c r="W2489" s="122">
        <f t="shared" si="80"/>
        <v>13420978</v>
      </c>
      <c r="X2489" s="122">
        <f t="shared" si="81"/>
        <v>15870097</v>
      </c>
      <c r="AA2489" t="s">
        <v>64</v>
      </c>
      <c r="AB2489" t="s">
        <v>426</v>
      </c>
      <c r="AC2489" t="s">
        <v>425</v>
      </c>
      <c r="AD2489" t="s">
        <v>426</v>
      </c>
      <c r="AE2489" t="s">
        <v>137</v>
      </c>
      <c r="AF2489">
        <v>8</v>
      </c>
      <c r="AG2489">
        <v>792</v>
      </c>
      <c r="AH2489" s="122">
        <v>5018</v>
      </c>
      <c r="AI2489" s="122">
        <v>324848</v>
      </c>
      <c r="AJ2489" s="122">
        <v>295317</v>
      </c>
      <c r="AK2489">
        <v>50</v>
      </c>
      <c r="AL2489" s="122">
        <v>70101</v>
      </c>
      <c r="AM2489" s="122">
        <v>63729</v>
      </c>
      <c r="AN2489" s="122">
        <v>18351</v>
      </c>
      <c r="AO2489" s="122">
        <v>6797</v>
      </c>
      <c r="AP2489" s="122">
        <v>2808</v>
      </c>
      <c r="AQ2489" s="122">
        <v>1040</v>
      </c>
      <c r="AR2489" s="122">
        <v>57883</v>
      </c>
      <c r="AS2489" s="122">
        <v>52621</v>
      </c>
      <c r="AT2489" s="122">
        <v>22483</v>
      </c>
      <c r="AU2489" s="122">
        <v>8327</v>
      </c>
      <c r="AV2489" s="122">
        <v>427830</v>
      </c>
    </row>
    <row r="2490" spans="2:48" hidden="1">
      <c r="B2490" t="s">
        <v>380</v>
      </c>
      <c r="C2490" t="s">
        <v>60</v>
      </c>
      <c r="D2490" t="s">
        <v>427</v>
      </c>
      <c r="E2490" t="s">
        <v>427</v>
      </c>
      <c r="F2490" s="122">
        <v>6</v>
      </c>
      <c r="G2490" s="122">
        <v>643</v>
      </c>
      <c r="H2490" s="122">
        <v>2024</v>
      </c>
      <c r="I2490" s="122">
        <v>137514</v>
      </c>
      <c r="J2490" s="122">
        <v>125013</v>
      </c>
      <c r="K2490" s="122">
        <v>58</v>
      </c>
      <c r="L2490" s="122">
        <v>26847</v>
      </c>
      <c r="M2490" s="122">
        <v>22442</v>
      </c>
      <c r="N2490" s="122">
        <v>10202</v>
      </c>
      <c r="O2490" s="122">
        <v>3779</v>
      </c>
      <c r="P2490" s="122">
        <v>2106</v>
      </c>
      <c r="Q2490" s="122">
        <v>780</v>
      </c>
      <c r="R2490" s="122">
        <v>29595</v>
      </c>
      <c r="S2490" s="122">
        <v>26905</v>
      </c>
      <c r="T2490" s="122">
        <v>11117</v>
      </c>
      <c r="U2490" s="122">
        <v>4117</v>
      </c>
      <c r="V2490" s="122">
        <v>183035</v>
      </c>
      <c r="W2490" s="122">
        <f t="shared" si="80"/>
        <v>183036</v>
      </c>
      <c r="X2490" s="122">
        <f t="shared" si="81"/>
        <v>217381</v>
      </c>
      <c r="AA2490" t="s">
        <v>64</v>
      </c>
      <c r="AB2490" t="s">
        <v>426</v>
      </c>
      <c r="AC2490" t="s">
        <v>425</v>
      </c>
      <c r="AD2490" t="s">
        <v>426</v>
      </c>
      <c r="AE2490" t="s">
        <v>566</v>
      </c>
      <c r="AF2490">
        <v>2</v>
      </c>
      <c r="AG2490">
        <v>140</v>
      </c>
      <c r="AH2490" s="122">
        <v>1549</v>
      </c>
      <c r="AI2490" s="122">
        <v>83250</v>
      </c>
      <c r="AJ2490" s="122">
        <v>75682</v>
      </c>
      <c r="AK2490">
        <v>43</v>
      </c>
      <c r="AL2490" s="122">
        <v>4746</v>
      </c>
      <c r="AM2490" s="122">
        <v>4315</v>
      </c>
      <c r="AN2490" s="122">
        <v>3305</v>
      </c>
      <c r="AO2490" s="122">
        <v>1224</v>
      </c>
      <c r="AP2490">
        <v>351</v>
      </c>
      <c r="AQ2490">
        <v>130</v>
      </c>
      <c r="AR2490" s="122">
        <v>11355</v>
      </c>
      <c r="AS2490" s="122">
        <v>10323</v>
      </c>
      <c r="AT2490" s="122">
        <v>0</v>
      </c>
      <c r="AU2490">
        <v>0</v>
      </c>
      <c r="AV2490" s="122">
        <v>91674</v>
      </c>
    </row>
    <row r="2491" spans="2:48" hidden="1">
      <c r="B2491" t="s">
        <v>380</v>
      </c>
      <c r="C2491" t="s">
        <v>60</v>
      </c>
      <c r="D2491" t="s">
        <v>556</v>
      </c>
      <c r="E2491" t="s">
        <v>556</v>
      </c>
      <c r="F2491" s="122">
        <v>4</v>
      </c>
      <c r="G2491" s="122">
        <v>499</v>
      </c>
      <c r="H2491" s="122">
        <v>1392</v>
      </c>
      <c r="I2491" s="122">
        <v>110443</v>
      </c>
      <c r="J2491" s="122">
        <v>92036</v>
      </c>
      <c r="K2491" s="122">
        <v>60</v>
      </c>
      <c r="L2491" s="122">
        <v>17205</v>
      </c>
      <c r="M2491" s="122">
        <v>14337</v>
      </c>
      <c r="N2491" s="122">
        <v>10455</v>
      </c>
      <c r="O2491" s="122">
        <v>3872</v>
      </c>
      <c r="P2491" s="122">
        <v>1404</v>
      </c>
      <c r="Q2491" s="122">
        <v>520</v>
      </c>
      <c r="R2491" s="122">
        <v>24050</v>
      </c>
      <c r="S2491" s="122">
        <v>20042</v>
      </c>
      <c r="T2491" s="122">
        <v>10194</v>
      </c>
      <c r="U2491" s="122">
        <v>3776</v>
      </c>
      <c r="V2491" s="122">
        <v>134582</v>
      </c>
      <c r="W2491" s="122">
        <f t="shared" si="80"/>
        <v>134583</v>
      </c>
      <c r="X2491" s="122">
        <f t="shared" si="81"/>
        <v>173751</v>
      </c>
      <c r="AA2491" t="s">
        <v>64</v>
      </c>
      <c r="AB2491" t="s">
        <v>426</v>
      </c>
      <c r="AC2491" t="s">
        <v>405</v>
      </c>
      <c r="AD2491" t="s">
        <v>426</v>
      </c>
      <c r="AE2491" t="s">
        <v>137</v>
      </c>
      <c r="AF2491">
        <v>1</v>
      </c>
      <c r="AG2491">
        <v>55</v>
      </c>
      <c r="AH2491" s="122">
        <v>628</v>
      </c>
      <c r="AI2491" s="122">
        <v>26518</v>
      </c>
      <c r="AJ2491" s="122">
        <v>24107</v>
      </c>
      <c r="AK2491">
        <v>60</v>
      </c>
      <c r="AL2491" s="122">
        <v>0</v>
      </c>
      <c r="AM2491" s="122">
        <v>0</v>
      </c>
      <c r="AN2491" s="122">
        <v>1341</v>
      </c>
      <c r="AO2491">
        <v>497</v>
      </c>
      <c r="AP2491">
        <v>351</v>
      </c>
      <c r="AQ2491">
        <v>130</v>
      </c>
      <c r="AR2491" s="122">
        <v>4075</v>
      </c>
      <c r="AS2491" s="122">
        <v>3705</v>
      </c>
      <c r="AT2491" s="122">
        <v>2265</v>
      </c>
      <c r="AU2491">
        <v>839</v>
      </c>
      <c r="AV2491" s="122">
        <v>29277</v>
      </c>
    </row>
    <row r="2492" spans="2:48" hidden="1">
      <c r="B2492" t="s">
        <v>380</v>
      </c>
      <c r="C2492" t="s">
        <v>60</v>
      </c>
      <c r="D2492" t="s">
        <v>428</v>
      </c>
      <c r="E2492" t="s">
        <v>428</v>
      </c>
      <c r="F2492" s="122">
        <v>3</v>
      </c>
      <c r="G2492" s="122">
        <v>286</v>
      </c>
      <c r="H2492" s="122">
        <v>993</v>
      </c>
      <c r="I2492" s="122">
        <v>53806</v>
      </c>
      <c r="J2492" s="122">
        <v>48914</v>
      </c>
      <c r="K2492" s="122">
        <v>62</v>
      </c>
      <c r="L2492" s="122">
        <v>12279</v>
      </c>
      <c r="M2492" s="122">
        <v>11163</v>
      </c>
      <c r="N2492" s="122">
        <v>4687</v>
      </c>
      <c r="O2492" s="122">
        <v>1736</v>
      </c>
      <c r="P2492" s="122">
        <v>1053</v>
      </c>
      <c r="Q2492" s="122">
        <v>390</v>
      </c>
      <c r="R2492" s="122">
        <v>20300</v>
      </c>
      <c r="S2492" s="122">
        <v>18454</v>
      </c>
      <c r="T2492" s="122">
        <v>2912</v>
      </c>
      <c r="U2492" s="122">
        <v>1079</v>
      </c>
      <c r="V2492" s="122">
        <v>81736</v>
      </c>
      <c r="W2492" s="122">
        <f t="shared" si="80"/>
        <v>81736</v>
      </c>
      <c r="X2492" s="122">
        <f t="shared" si="81"/>
        <v>95037</v>
      </c>
      <c r="AA2492" t="s">
        <v>64</v>
      </c>
      <c r="AB2492" t="s">
        <v>426</v>
      </c>
      <c r="AC2492" t="s">
        <v>137</v>
      </c>
      <c r="AD2492" t="s">
        <v>425</v>
      </c>
      <c r="AE2492" t="s">
        <v>566</v>
      </c>
      <c r="AF2492">
        <v>1</v>
      </c>
      <c r="AG2492">
        <v>48</v>
      </c>
      <c r="AH2492" s="122">
        <v>1255</v>
      </c>
      <c r="AI2492" s="122">
        <v>52901</v>
      </c>
      <c r="AJ2492" s="122">
        <v>48092</v>
      </c>
      <c r="AK2492">
        <v>30</v>
      </c>
      <c r="AL2492" s="122">
        <v>4328</v>
      </c>
      <c r="AM2492" s="122">
        <v>1603</v>
      </c>
      <c r="AN2492" s="122">
        <v>1171</v>
      </c>
      <c r="AO2492">
        <v>434</v>
      </c>
      <c r="AP2492">
        <v>0</v>
      </c>
      <c r="AQ2492">
        <v>0</v>
      </c>
      <c r="AR2492" s="122">
        <v>1908</v>
      </c>
      <c r="AS2492" s="122">
        <v>1735</v>
      </c>
      <c r="AT2492">
        <v>0</v>
      </c>
      <c r="AU2492">
        <v>0</v>
      </c>
      <c r="AV2492" s="122">
        <v>51864</v>
      </c>
    </row>
    <row r="2493" spans="2:48" hidden="1">
      <c r="B2493" t="s">
        <v>380</v>
      </c>
      <c r="C2493" t="s">
        <v>60</v>
      </c>
      <c r="D2493" t="s">
        <v>431</v>
      </c>
      <c r="E2493" t="s">
        <v>431</v>
      </c>
      <c r="F2493" s="122">
        <v>6</v>
      </c>
      <c r="G2493" s="122">
        <v>809</v>
      </c>
      <c r="H2493" s="122">
        <v>2063</v>
      </c>
      <c r="I2493" s="122">
        <v>182408</v>
      </c>
      <c r="J2493" s="122">
        <v>165825</v>
      </c>
      <c r="K2493" s="122">
        <v>58</v>
      </c>
      <c r="L2493" s="122">
        <v>26998</v>
      </c>
      <c r="M2493" s="122">
        <v>22490</v>
      </c>
      <c r="N2493" s="122">
        <v>17213</v>
      </c>
      <c r="O2493" s="122">
        <v>6375</v>
      </c>
      <c r="P2493" s="122">
        <v>2376</v>
      </c>
      <c r="Q2493" s="122">
        <v>880</v>
      </c>
      <c r="R2493" s="122">
        <v>38267</v>
      </c>
      <c r="S2493" s="122">
        <v>34788</v>
      </c>
      <c r="T2493" s="122">
        <v>12448</v>
      </c>
      <c r="U2493" s="122">
        <v>4610</v>
      </c>
      <c r="V2493" s="122">
        <v>234969</v>
      </c>
      <c r="W2493" s="122">
        <f t="shared" si="80"/>
        <v>234968</v>
      </c>
      <c r="X2493" s="122">
        <f t="shared" si="81"/>
        <v>279710</v>
      </c>
      <c r="AA2493" t="s">
        <v>64</v>
      </c>
      <c r="AB2493" t="s">
        <v>426</v>
      </c>
      <c r="AC2493" t="s">
        <v>137</v>
      </c>
      <c r="AD2493" t="s">
        <v>405</v>
      </c>
      <c r="AE2493" t="s">
        <v>566</v>
      </c>
      <c r="AF2493">
        <v>1</v>
      </c>
      <c r="AG2493" s="122">
        <v>82</v>
      </c>
      <c r="AH2493" s="122">
        <v>1189</v>
      </c>
      <c r="AI2493" s="122">
        <v>84832</v>
      </c>
      <c r="AJ2493" s="122">
        <v>77120</v>
      </c>
      <c r="AK2493">
        <v>30</v>
      </c>
      <c r="AL2493" s="122">
        <v>6941</v>
      </c>
      <c r="AM2493" s="122">
        <v>2571</v>
      </c>
      <c r="AN2493" s="122">
        <v>1989</v>
      </c>
      <c r="AO2493" s="122">
        <v>737</v>
      </c>
      <c r="AP2493" s="122">
        <v>0</v>
      </c>
      <c r="AQ2493">
        <v>0</v>
      </c>
      <c r="AR2493" s="122">
        <v>3309</v>
      </c>
      <c r="AS2493" s="122">
        <v>3008</v>
      </c>
      <c r="AT2493" s="122">
        <v>0</v>
      </c>
      <c r="AU2493" s="122">
        <v>0</v>
      </c>
      <c r="AV2493" s="122">
        <v>83436</v>
      </c>
    </row>
    <row r="2494" spans="2:48" hidden="1">
      <c r="B2494" t="s">
        <v>380</v>
      </c>
      <c r="C2494" t="s">
        <v>60</v>
      </c>
      <c r="D2494" t="s">
        <v>426</v>
      </c>
      <c r="E2494" t="s">
        <v>426</v>
      </c>
      <c r="F2494" s="122">
        <v>105</v>
      </c>
      <c r="G2494" s="122">
        <v>12483</v>
      </c>
      <c r="H2494" s="122">
        <v>36158</v>
      </c>
      <c r="I2494" s="122">
        <v>2772508</v>
      </c>
      <c r="J2494" s="122">
        <v>2520462</v>
      </c>
      <c r="K2494" s="122">
        <v>56</v>
      </c>
      <c r="L2494" s="122">
        <v>416104</v>
      </c>
      <c r="M2494" s="122">
        <v>376440</v>
      </c>
      <c r="N2494" s="122">
        <v>255295</v>
      </c>
      <c r="O2494" s="122">
        <v>94554</v>
      </c>
      <c r="P2494" s="122">
        <v>41391</v>
      </c>
      <c r="Q2494" s="122">
        <v>15330</v>
      </c>
      <c r="R2494" s="122">
        <v>648248</v>
      </c>
      <c r="S2494" s="122">
        <v>589316</v>
      </c>
      <c r="T2494" s="122">
        <v>252631</v>
      </c>
      <c r="U2494" s="122">
        <v>93567</v>
      </c>
      <c r="V2494" s="122">
        <v>3689668</v>
      </c>
      <c r="W2494" s="122">
        <f t="shared" si="80"/>
        <v>3689669</v>
      </c>
      <c r="X2494" s="122">
        <f t="shared" si="81"/>
        <v>4386177</v>
      </c>
      <c r="AA2494" t="s">
        <v>64</v>
      </c>
      <c r="AB2494" t="s">
        <v>426</v>
      </c>
      <c r="AC2494" t="s">
        <v>137</v>
      </c>
      <c r="AD2494" t="s">
        <v>137</v>
      </c>
      <c r="AE2494" t="s">
        <v>137</v>
      </c>
      <c r="AF2494">
        <v>33</v>
      </c>
      <c r="AG2494" s="122">
        <v>2580</v>
      </c>
      <c r="AH2494" s="122">
        <v>36270</v>
      </c>
      <c r="AI2494" s="122">
        <v>2116159</v>
      </c>
      <c r="AJ2494" s="122">
        <v>1923781</v>
      </c>
      <c r="AK2494">
        <v>41</v>
      </c>
      <c r="AL2494" s="122">
        <v>274769</v>
      </c>
      <c r="AM2494" s="122">
        <v>101766</v>
      </c>
      <c r="AN2494" s="122">
        <v>60686</v>
      </c>
      <c r="AO2494" s="122">
        <v>22476</v>
      </c>
      <c r="AP2494" s="122">
        <v>2106</v>
      </c>
      <c r="AQ2494" s="122">
        <v>780</v>
      </c>
      <c r="AR2494" s="122">
        <v>233645</v>
      </c>
      <c r="AS2494" s="122">
        <v>86535</v>
      </c>
      <c r="AT2494" s="122">
        <v>16436</v>
      </c>
      <c r="AU2494" s="122">
        <v>6087</v>
      </c>
      <c r="AV2494" s="122">
        <v>2141426</v>
      </c>
    </row>
    <row r="2495" spans="2:48" hidden="1">
      <c r="B2495" t="s">
        <v>380</v>
      </c>
      <c r="C2495" t="s">
        <v>60</v>
      </c>
      <c r="D2495" t="s">
        <v>433</v>
      </c>
      <c r="E2495" t="s">
        <v>433</v>
      </c>
      <c r="F2495" s="122">
        <v>1</v>
      </c>
      <c r="G2495" s="122">
        <v>162</v>
      </c>
      <c r="H2495" s="122">
        <v>323</v>
      </c>
      <c r="I2495" s="122">
        <v>45462</v>
      </c>
      <c r="J2495" s="122">
        <v>41329</v>
      </c>
      <c r="K2495" s="122">
        <v>92</v>
      </c>
      <c r="L2495" s="122">
        <v>7728</v>
      </c>
      <c r="M2495" s="122">
        <v>7026</v>
      </c>
      <c r="N2495" s="122">
        <v>3219</v>
      </c>
      <c r="O2495" s="122">
        <v>1192</v>
      </c>
      <c r="P2495" s="122">
        <v>351</v>
      </c>
      <c r="Q2495" s="122">
        <v>130</v>
      </c>
      <c r="R2495" s="122">
        <v>1642</v>
      </c>
      <c r="S2495" s="122">
        <v>1493</v>
      </c>
      <c r="T2495" s="122">
        <v>0</v>
      </c>
      <c r="U2495" s="122">
        <v>0</v>
      </c>
      <c r="V2495" s="122">
        <v>51170</v>
      </c>
      <c r="W2495" s="122">
        <f t="shared" si="80"/>
        <v>51170</v>
      </c>
      <c r="X2495" s="122">
        <f t="shared" si="81"/>
        <v>58402</v>
      </c>
      <c r="AA2495" t="s">
        <v>64</v>
      </c>
      <c r="AB2495" t="s">
        <v>426</v>
      </c>
      <c r="AC2495" t="s">
        <v>137</v>
      </c>
      <c r="AD2495" t="s">
        <v>137</v>
      </c>
      <c r="AE2495" t="s">
        <v>566</v>
      </c>
      <c r="AF2495">
        <v>686</v>
      </c>
      <c r="AG2495" s="122">
        <v>59638</v>
      </c>
      <c r="AH2495" s="122">
        <v>771048</v>
      </c>
      <c r="AI2495" s="122">
        <v>52753323</v>
      </c>
      <c r="AJ2495" s="122">
        <v>47957566</v>
      </c>
      <c r="AK2495">
        <v>38</v>
      </c>
      <c r="AL2495" s="122">
        <v>5711803</v>
      </c>
      <c r="AM2495" s="122">
        <v>2115482</v>
      </c>
      <c r="AN2495" s="122">
        <v>1373072</v>
      </c>
      <c r="AO2495" s="122">
        <v>508545</v>
      </c>
      <c r="AP2495" s="122">
        <v>16499</v>
      </c>
      <c r="AQ2495" s="122">
        <v>6111</v>
      </c>
      <c r="AR2495" s="122">
        <v>4436516</v>
      </c>
      <c r="AS2495" s="122">
        <v>1643154</v>
      </c>
      <c r="AT2495" s="122">
        <v>0</v>
      </c>
      <c r="AU2495" s="122">
        <v>0</v>
      </c>
      <c r="AV2495" s="122">
        <v>52230858</v>
      </c>
    </row>
    <row r="2496" spans="2:48" hidden="1">
      <c r="B2496" t="s">
        <v>380</v>
      </c>
      <c r="C2496" t="s">
        <v>60</v>
      </c>
      <c r="D2496" t="s">
        <v>408</v>
      </c>
      <c r="E2496" t="s">
        <v>408</v>
      </c>
      <c r="F2496" s="122">
        <v>1</v>
      </c>
      <c r="G2496" s="122">
        <v>228</v>
      </c>
      <c r="H2496" s="122">
        <v>353</v>
      </c>
      <c r="I2496" s="122">
        <v>80683</v>
      </c>
      <c r="J2496" s="122">
        <v>73348</v>
      </c>
      <c r="K2496" s="122">
        <v>60</v>
      </c>
      <c r="L2496" s="122">
        <v>8965</v>
      </c>
      <c r="M2496" s="122">
        <v>8150</v>
      </c>
      <c r="N2496" s="122">
        <v>5132</v>
      </c>
      <c r="O2496" s="122">
        <v>1901</v>
      </c>
      <c r="P2496" s="122">
        <v>351</v>
      </c>
      <c r="Q2496" s="122">
        <v>130</v>
      </c>
      <c r="R2496" s="122">
        <v>4279</v>
      </c>
      <c r="S2496" s="122">
        <v>3890</v>
      </c>
      <c r="T2496" s="122">
        <v>-136</v>
      </c>
      <c r="U2496" s="122">
        <v>-50</v>
      </c>
      <c r="V2496" s="122">
        <v>87368</v>
      </c>
      <c r="W2496" s="122">
        <f t="shared" si="80"/>
        <v>87469</v>
      </c>
      <c r="X2496" s="122">
        <f t="shared" si="81"/>
        <v>99546</v>
      </c>
      <c r="AA2496" t="s">
        <v>64</v>
      </c>
      <c r="AB2496" t="s">
        <v>426</v>
      </c>
      <c r="AC2496" t="s">
        <v>137</v>
      </c>
      <c r="AD2496" t="s">
        <v>406</v>
      </c>
      <c r="AE2496" t="s">
        <v>137</v>
      </c>
      <c r="AF2496">
        <v>7</v>
      </c>
      <c r="AG2496" s="122">
        <v>1687</v>
      </c>
      <c r="AH2496" s="122">
        <v>7352</v>
      </c>
      <c r="AI2496" s="122">
        <v>1379377</v>
      </c>
      <c r="AJ2496" s="122">
        <v>1253979</v>
      </c>
      <c r="AK2496">
        <v>35</v>
      </c>
      <c r="AL2496" s="122">
        <v>132178</v>
      </c>
      <c r="AM2496" s="122">
        <v>48955</v>
      </c>
      <c r="AN2496" s="122">
        <v>36487</v>
      </c>
      <c r="AO2496" s="122">
        <v>13514</v>
      </c>
      <c r="AP2496" s="122">
        <v>2133</v>
      </c>
      <c r="AQ2496">
        <v>790</v>
      </c>
      <c r="AR2496" s="122">
        <v>46243</v>
      </c>
      <c r="AS2496" s="122">
        <v>42039</v>
      </c>
      <c r="AT2496" s="122">
        <v>18767</v>
      </c>
      <c r="AU2496" s="122">
        <v>6951</v>
      </c>
      <c r="AV2496" s="122">
        <v>1366227</v>
      </c>
    </row>
    <row r="2497" spans="2:48" hidden="1">
      <c r="B2497" t="s">
        <v>380</v>
      </c>
      <c r="C2497" t="s">
        <v>62</v>
      </c>
      <c r="F2497" s="122">
        <v>1</v>
      </c>
      <c r="G2497" s="122">
        <v>120</v>
      </c>
      <c r="H2497" s="122">
        <v>414</v>
      </c>
      <c r="I2497" s="122"/>
      <c r="J2497" s="122">
        <v>0</v>
      </c>
      <c r="K2497" s="122"/>
      <c r="L2497" s="122"/>
      <c r="M2497" s="122">
        <v>0</v>
      </c>
      <c r="N2497" s="122">
        <v>2918</v>
      </c>
      <c r="O2497" s="122">
        <v>1081</v>
      </c>
      <c r="P2497" s="122">
        <v>0</v>
      </c>
      <c r="Q2497" s="122">
        <v>0</v>
      </c>
      <c r="R2497" s="122"/>
      <c r="S2497" s="122">
        <v>0</v>
      </c>
      <c r="T2497" s="122">
        <v>2227</v>
      </c>
      <c r="U2497" s="122">
        <v>825</v>
      </c>
      <c r="V2497" s="122">
        <v>1906</v>
      </c>
      <c r="W2497" s="122">
        <f t="shared" si="80"/>
        <v>1906</v>
      </c>
      <c r="X2497" s="122">
        <f t="shared" si="81"/>
        <v>5145</v>
      </c>
      <c r="AA2497" t="s">
        <v>64</v>
      </c>
      <c r="AB2497" t="s">
        <v>426</v>
      </c>
      <c r="AC2497" t="s">
        <v>137</v>
      </c>
      <c r="AD2497" t="s">
        <v>406</v>
      </c>
      <c r="AE2497" t="s">
        <v>566</v>
      </c>
      <c r="AF2497">
        <v>3</v>
      </c>
      <c r="AG2497" s="122">
        <v>626</v>
      </c>
      <c r="AH2497" s="122">
        <v>3811</v>
      </c>
      <c r="AI2497" s="122">
        <v>600328</v>
      </c>
      <c r="AJ2497" s="122">
        <v>545753</v>
      </c>
      <c r="AK2497">
        <v>30</v>
      </c>
      <c r="AL2497" s="122">
        <v>49118</v>
      </c>
      <c r="AM2497" s="122">
        <v>18192</v>
      </c>
      <c r="AN2497" s="122">
        <v>13592</v>
      </c>
      <c r="AO2497" s="122">
        <v>5034</v>
      </c>
      <c r="AP2497" s="122">
        <v>621</v>
      </c>
      <c r="AQ2497" s="122">
        <v>230</v>
      </c>
      <c r="AR2497" s="122">
        <v>26185</v>
      </c>
      <c r="AS2497" s="122">
        <v>23804</v>
      </c>
      <c r="AT2497" s="122">
        <v>0</v>
      </c>
      <c r="AU2497" s="122">
        <v>0</v>
      </c>
      <c r="AV2497" s="122">
        <v>593013</v>
      </c>
    </row>
    <row r="2498" spans="2:48" hidden="1">
      <c r="B2498" t="s">
        <v>380</v>
      </c>
      <c r="C2498" t="s">
        <v>62</v>
      </c>
      <c r="D2498" t="s">
        <v>425</v>
      </c>
      <c r="E2498" t="s">
        <v>425</v>
      </c>
      <c r="F2498" s="122">
        <v>1</v>
      </c>
      <c r="G2498" s="122">
        <v>85</v>
      </c>
      <c r="H2498" s="122">
        <v>393</v>
      </c>
      <c r="I2498" s="122">
        <v>20775</v>
      </c>
      <c r="J2498" s="122">
        <v>18886</v>
      </c>
      <c r="K2498" s="122">
        <v>73</v>
      </c>
      <c r="L2498" s="122">
        <v>2465</v>
      </c>
      <c r="M2498" s="122">
        <v>2241</v>
      </c>
      <c r="N2498" s="122">
        <v>1736</v>
      </c>
      <c r="O2498" s="122">
        <v>643</v>
      </c>
      <c r="P2498" s="122">
        <v>824</v>
      </c>
      <c r="Q2498" s="122">
        <v>305</v>
      </c>
      <c r="R2498" s="122">
        <v>4814</v>
      </c>
      <c r="S2498" s="122">
        <v>4377</v>
      </c>
      <c r="T2498" s="122">
        <v>2949</v>
      </c>
      <c r="U2498" s="122">
        <v>1092</v>
      </c>
      <c r="V2498" s="122">
        <v>27544</v>
      </c>
      <c r="W2498" s="122">
        <f t="shared" si="80"/>
        <v>27544</v>
      </c>
      <c r="X2498" s="122">
        <f t="shared" si="81"/>
        <v>33563</v>
      </c>
      <c r="AA2498" t="s">
        <v>64</v>
      </c>
      <c r="AB2498" t="s">
        <v>426</v>
      </c>
      <c r="AC2498" t="s">
        <v>137</v>
      </c>
      <c r="AD2498" t="s">
        <v>426</v>
      </c>
      <c r="AE2498" t="s">
        <v>137</v>
      </c>
      <c r="AF2498">
        <v>619</v>
      </c>
      <c r="AG2498" s="122">
        <v>50385</v>
      </c>
      <c r="AH2498" s="122">
        <v>461000</v>
      </c>
      <c r="AI2498" s="122">
        <v>26664163</v>
      </c>
      <c r="AJ2498" s="122">
        <v>24240148</v>
      </c>
      <c r="AK2498">
        <v>53</v>
      </c>
      <c r="AL2498" s="122">
        <v>4490240</v>
      </c>
      <c r="AM2498" s="122">
        <v>1663052</v>
      </c>
      <c r="AN2498" s="122">
        <v>1103396</v>
      </c>
      <c r="AO2498" s="122">
        <v>408665</v>
      </c>
      <c r="AP2498" s="122">
        <v>171850</v>
      </c>
      <c r="AQ2498" s="122">
        <v>63648</v>
      </c>
      <c r="AR2498" s="122">
        <v>3402454</v>
      </c>
      <c r="AS2498" s="122">
        <v>3093140</v>
      </c>
      <c r="AT2498" s="122">
        <v>1354075</v>
      </c>
      <c r="AU2498" s="122">
        <v>501509</v>
      </c>
      <c r="AV2498" s="122">
        <v>29970163</v>
      </c>
    </row>
    <row r="2499" spans="2:48" hidden="1">
      <c r="B2499" t="s">
        <v>380</v>
      </c>
      <c r="C2499" t="s">
        <v>62</v>
      </c>
      <c r="D2499" t="s">
        <v>405</v>
      </c>
      <c r="E2499" t="s">
        <v>405</v>
      </c>
      <c r="F2499" s="122">
        <v>1</v>
      </c>
      <c r="G2499" s="122">
        <v>487</v>
      </c>
      <c r="H2499" s="122">
        <v>402</v>
      </c>
      <c r="I2499" s="122">
        <v>137894</v>
      </c>
      <c r="J2499" s="122">
        <v>125358</v>
      </c>
      <c r="K2499" s="122">
        <v>73</v>
      </c>
      <c r="L2499" s="122">
        <v>35444</v>
      </c>
      <c r="M2499" s="122">
        <v>32222</v>
      </c>
      <c r="N2499" s="122">
        <v>11866</v>
      </c>
      <c r="O2499" s="122">
        <v>4395</v>
      </c>
      <c r="P2499" s="122">
        <v>473</v>
      </c>
      <c r="Q2499" s="122">
        <v>175</v>
      </c>
      <c r="R2499" s="122">
        <v>10124</v>
      </c>
      <c r="S2499" s="122">
        <v>9204</v>
      </c>
      <c r="T2499" s="122">
        <v>0</v>
      </c>
      <c r="U2499" s="122">
        <v>0</v>
      </c>
      <c r="V2499" s="122">
        <v>171353</v>
      </c>
      <c r="W2499" s="122">
        <f t="shared" si="80"/>
        <v>171354</v>
      </c>
      <c r="X2499" s="122">
        <f t="shared" si="81"/>
        <v>195801</v>
      </c>
      <c r="AA2499" t="s">
        <v>64</v>
      </c>
      <c r="AB2499" t="s">
        <v>426</v>
      </c>
      <c r="AC2499" t="s">
        <v>137</v>
      </c>
      <c r="AD2499" t="s">
        <v>426</v>
      </c>
      <c r="AE2499" t="s">
        <v>566</v>
      </c>
      <c r="AF2499">
        <v>121</v>
      </c>
      <c r="AG2499" s="122">
        <v>10475</v>
      </c>
      <c r="AH2499" s="122">
        <v>98856</v>
      </c>
      <c r="AI2499" s="122">
        <v>6262171</v>
      </c>
      <c r="AJ2499" s="122">
        <v>5692882</v>
      </c>
      <c r="AK2499">
        <v>49</v>
      </c>
      <c r="AL2499" s="122">
        <v>1122565</v>
      </c>
      <c r="AM2499" s="122">
        <v>415765</v>
      </c>
      <c r="AN2499" s="122">
        <v>237046</v>
      </c>
      <c r="AO2499" s="122">
        <v>87795</v>
      </c>
      <c r="AP2499" s="122">
        <v>26296</v>
      </c>
      <c r="AQ2499" s="122">
        <v>9739</v>
      </c>
      <c r="AR2499" s="122">
        <v>888762</v>
      </c>
      <c r="AS2499" s="122">
        <v>807965</v>
      </c>
      <c r="AT2499">
        <v>0</v>
      </c>
      <c r="AU2499">
        <v>0</v>
      </c>
      <c r="AV2499" s="122">
        <v>7014146</v>
      </c>
    </row>
    <row r="2500" spans="2:48" hidden="1">
      <c r="B2500" t="s">
        <v>380</v>
      </c>
      <c r="C2500" t="s">
        <v>62</v>
      </c>
      <c r="D2500" t="s">
        <v>137</v>
      </c>
      <c r="E2500" t="s">
        <v>137</v>
      </c>
      <c r="F2500" s="122">
        <v>13</v>
      </c>
      <c r="G2500" s="122">
        <v>1468</v>
      </c>
      <c r="H2500" s="122">
        <v>5346</v>
      </c>
      <c r="I2500" s="122">
        <v>438997</v>
      </c>
      <c r="J2500" s="122">
        <v>162591</v>
      </c>
      <c r="K2500" s="122">
        <v>100</v>
      </c>
      <c r="L2500" s="122">
        <v>69145</v>
      </c>
      <c r="M2500" s="122">
        <v>69451</v>
      </c>
      <c r="N2500" s="122">
        <v>34705</v>
      </c>
      <c r="O2500" s="122">
        <v>12854</v>
      </c>
      <c r="P2500" s="122">
        <v>0</v>
      </c>
      <c r="Q2500" s="122">
        <v>0</v>
      </c>
      <c r="R2500" s="122">
        <v>87549</v>
      </c>
      <c r="S2500" s="122">
        <v>32425</v>
      </c>
      <c r="T2500" s="122">
        <v>0</v>
      </c>
      <c r="U2500" s="122">
        <v>0</v>
      </c>
      <c r="V2500" s="122">
        <v>277322</v>
      </c>
      <c r="W2500" s="122">
        <f t="shared" si="80"/>
        <v>277321</v>
      </c>
      <c r="X2500" s="122">
        <f t="shared" si="81"/>
        <v>630396</v>
      </c>
      <c r="AA2500" t="s">
        <v>64</v>
      </c>
      <c r="AB2500" t="s">
        <v>426</v>
      </c>
      <c r="AC2500" t="s">
        <v>580</v>
      </c>
      <c r="AD2500" t="s">
        <v>137</v>
      </c>
      <c r="AE2500" t="s">
        <v>566</v>
      </c>
      <c r="AF2500">
        <v>11</v>
      </c>
      <c r="AG2500" s="122">
        <v>1514</v>
      </c>
      <c r="AH2500" s="122">
        <v>13066</v>
      </c>
      <c r="AI2500" s="122">
        <v>1476831</v>
      </c>
      <c r="AJ2500" s="122">
        <v>1342574</v>
      </c>
      <c r="AK2500">
        <v>33</v>
      </c>
      <c r="AL2500" s="122">
        <v>85399</v>
      </c>
      <c r="AM2500" s="122">
        <v>77635</v>
      </c>
      <c r="AN2500" s="122">
        <v>34490</v>
      </c>
      <c r="AO2500" s="122">
        <v>12774</v>
      </c>
      <c r="AP2500" s="122">
        <v>1431</v>
      </c>
      <c r="AQ2500">
        <v>530</v>
      </c>
      <c r="AR2500" s="122">
        <v>73450</v>
      </c>
      <c r="AS2500" s="122">
        <v>27204</v>
      </c>
      <c r="AT2500" s="122">
        <v>0</v>
      </c>
      <c r="AU2500" s="122">
        <v>0</v>
      </c>
      <c r="AV2500" s="122">
        <v>1460717</v>
      </c>
    </row>
    <row r="2501" spans="2:48" hidden="1">
      <c r="B2501" t="s">
        <v>380</v>
      </c>
      <c r="C2501" t="s">
        <v>62</v>
      </c>
      <c r="D2501" t="s">
        <v>137</v>
      </c>
      <c r="E2501" t="s">
        <v>426</v>
      </c>
      <c r="F2501" s="122">
        <v>2</v>
      </c>
      <c r="G2501" s="122">
        <v>147</v>
      </c>
      <c r="H2501" s="122">
        <v>838</v>
      </c>
      <c r="I2501" s="122">
        <v>39976</v>
      </c>
      <c r="J2501" s="122">
        <v>14806</v>
      </c>
      <c r="K2501" s="122">
        <v>100</v>
      </c>
      <c r="L2501" s="122">
        <v>4850</v>
      </c>
      <c r="M2501" s="122">
        <v>4409</v>
      </c>
      <c r="N2501" s="122">
        <v>2682</v>
      </c>
      <c r="O2501" s="122">
        <v>993</v>
      </c>
      <c r="P2501" s="122">
        <v>0</v>
      </c>
      <c r="Q2501" s="122">
        <v>0</v>
      </c>
      <c r="R2501" s="122">
        <v>9269</v>
      </c>
      <c r="S2501" s="122">
        <v>8426</v>
      </c>
      <c r="T2501" s="122">
        <v>4419</v>
      </c>
      <c r="U2501" s="122">
        <v>1637</v>
      </c>
      <c r="V2501" s="122">
        <v>30271</v>
      </c>
      <c r="W2501" s="122">
        <f t="shared" si="80"/>
        <v>30271</v>
      </c>
      <c r="X2501" s="122">
        <f t="shared" si="81"/>
        <v>61196</v>
      </c>
      <c r="AA2501" t="s">
        <v>64</v>
      </c>
      <c r="AB2501" t="s">
        <v>426</v>
      </c>
      <c r="AC2501" t="s">
        <v>580</v>
      </c>
      <c r="AD2501" t="s">
        <v>406</v>
      </c>
      <c r="AE2501" t="s">
        <v>137</v>
      </c>
      <c r="AF2501">
        <v>3</v>
      </c>
      <c r="AG2501" s="122">
        <v>414</v>
      </c>
      <c r="AH2501" s="122">
        <v>2704</v>
      </c>
      <c r="AI2501" s="122">
        <v>314648</v>
      </c>
      <c r="AJ2501" s="122">
        <v>286043</v>
      </c>
      <c r="AK2501">
        <v>35</v>
      </c>
      <c r="AL2501" s="122">
        <v>13112</v>
      </c>
      <c r="AM2501" s="122">
        <v>11920</v>
      </c>
      <c r="AN2501" s="122">
        <v>8867</v>
      </c>
      <c r="AO2501" s="122">
        <v>3284</v>
      </c>
      <c r="AP2501" s="122">
        <v>2214</v>
      </c>
      <c r="AQ2501" s="122">
        <v>820</v>
      </c>
      <c r="AR2501" s="122">
        <v>19100</v>
      </c>
      <c r="AS2501" s="122">
        <v>17364</v>
      </c>
      <c r="AT2501" s="122">
        <v>4613</v>
      </c>
      <c r="AU2501" s="122">
        <v>1708</v>
      </c>
      <c r="AV2501" s="122">
        <v>321139</v>
      </c>
    </row>
    <row r="2502" spans="2:48" hidden="1">
      <c r="B2502" t="s">
        <v>380</v>
      </c>
      <c r="C2502" t="s">
        <v>62</v>
      </c>
      <c r="D2502" t="s">
        <v>406</v>
      </c>
      <c r="E2502" t="s">
        <v>425</v>
      </c>
      <c r="F2502" s="122">
        <v>2</v>
      </c>
      <c r="G2502" s="122">
        <v>248</v>
      </c>
      <c r="H2502" s="122">
        <v>831</v>
      </c>
      <c r="I2502" s="122">
        <v>76715</v>
      </c>
      <c r="J2502" s="122">
        <v>69741</v>
      </c>
      <c r="K2502" s="122">
        <v>68</v>
      </c>
      <c r="L2502" s="122">
        <v>8214</v>
      </c>
      <c r="M2502" s="122">
        <v>7467</v>
      </c>
      <c r="N2502" s="122">
        <v>4711</v>
      </c>
      <c r="O2502" s="122">
        <v>1745</v>
      </c>
      <c r="P2502" s="122">
        <v>1944</v>
      </c>
      <c r="Q2502" s="122">
        <v>720</v>
      </c>
      <c r="R2502" s="122">
        <v>8217</v>
      </c>
      <c r="S2502" s="122">
        <v>7470</v>
      </c>
      <c r="T2502" s="122">
        <v>3381</v>
      </c>
      <c r="U2502" s="122">
        <v>1252</v>
      </c>
      <c r="V2502" s="122">
        <v>88395</v>
      </c>
      <c r="W2502" s="122">
        <f t="shared" si="80"/>
        <v>88395</v>
      </c>
      <c r="X2502" s="122">
        <f t="shared" si="81"/>
        <v>103182</v>
      </c>
      <c r="AA2502" t="s">
        <v>64</v>
      </c>
      <c r="AB2502" t="s">
        <v>426</v>
      </c>
      <c r="AC2502" t="s">
        <v>580</v>
      </c>
      <c r="AD2502" t="s">
        <v>426</v>
      </c>
      <c r="AE2502" t="s">
        <v>137</v>
      </c>
      <c r="AF2502">
        <v>152</v>
      </c>
      <c r="AG2502" s="122">
        <v>16906</v>
      </c>
      <c r="AH2502" s="122">
        <v>85586</v>
      </c>
      <c r="AI2502" s="122">
        <v>7199326</v>
      </c>
      <c r="AJ2502" s="122">
        <v>6544842</v>
      </c>
      <c r="AK2502">
        <v>58</v>
      </c>
      <c r="AL2502" s="122">
        <v>670975</v>
      </c>
      <c r="AM2502" s="122">
        <v>609978</v>
      </c>
      <c r="AN2502" s="122">
        <v>363355</v>
      </c>
      <c r="AO2502" s="122">
        <v>134576</v>
      </c>
      <c r="AP2502" s="122">
        <v>112914</v>
      </c>
      <c r="AQ2502" s="122">
        <v>41820</v>
      </c>
      <c r="AR2502" s="122">
        <v>839022</v>
      </c>
      <c r="AS2502" s="122">
        <v>762747</v>
      </c>
      <c r="AT2502" s="122">
        <v>396114</v>
      </c>
      <c r="AU2502" s="122">
        <v>146709</v>
      </c>
      <c r="AV2502" s="122">
        <v>8240672</v>
      </c>
    </row>
    <row r="2503" spans="2:48" hidden="1">
      <c r="B2503" t="s">
        <v>380</v>
      </c>
      <c r="C2503" t="s">
        <v>62</v>
      </c>
      <c r="D2503" t="s">
        <v>406</v>
      </c>
      <c r="E2503" t="s">
        <v>137</v>
      </c>
      <c r="F2503" s="122">
        <v>3</v>
      </c>
      <c r="G2503" s="122">
        <v>429</v>
      </c>
      <c r="H2503" s="122">
        <v>1206</v>
      </c>
      <c r="I2503" s="122">
        <v>110361</v>
      </c>
      <c r="J2503" s="122">
        <v>100328</v>
      </c>
      <c r="K2503" s="122">
        <v>62</v>
      </c>
      <c r="L2503" s="122">
        <v>18704</v>
      </c>
      <c r="M2503" s="122">
        <v>17004</v>
      </c>
      <c r="N2503" s="122">
        <v>9725</v>
      </c>
      <c r="O2503" s="122">
        <v>3602</v>
      </c>
      <c r="P2503" s="122">
        <v>2214</v>
      </c>
      <c r="Q2503" s="122">
        <v>820</v>
      </c>
      <c r="R2503" s="122">
        <v>31053</v>
      </c>
      <c r="S2503" s="122">
        <v>11501</v>
      </c>
      <c r="T2503" s="122">
        <v>0</v>
      </c>
      <c r="U2503" s="122">
        <v>0</v>
      </c>
      <c r="V2503" s="122">
        <v>133255</v>
      </c>
      <c r="W2503" s="122">
        <f t="shared" si="80"/>
        <v>133255</v>
      </c>
      <c r="X2503" s="122">
        <f t="shared" si="81"/>
        <v>172057</v>
      </c>
      <c r="AA2503" t="s">
        <v>64</v>
      </c>
      <c r="AB2503" t="s">
        <v>426</v>
      </c>
      <c r="AC2503" t="s">
        <v>580</v>
      </c>
      <c r="AD2503" t="s">
        <v>426</v>
      </c>
      <c r="AE2503" t="s">
        <v>566</v>
      </c>
      <c r="AF2503">
        <v>7</v>
      </c>
      <c r="AG2503">
        <v>829</v>
      </c>
      <c r="AH2503" s="122">
        <v>4464</v>
      </c>
      <c r="AI2503" s="122">
        <v>420296</v>
      </c>
      <c r="AJ2503" s="122">
        <v>382087</v>
      </c>
      <c r="AK2503">
        <v>52</v>
      </c>
      <c r="AL2503" s="122">
        <v>34035</v>
      </c>
      <c r="AM2503" s="122">
        <v>30941</v>
      </c>
      <c r="AN2503" s="122">
        <v>19111</v>
      </c>
      <c r="AO2503" s="122">
        <v>7078</v>
      </c>
      <c r="AP2503" s="122">
        <v>5049</v>
      </c>
      <c r="AQ2503" s="122">
        <v>1870</v>
      </c>
      <c r="AR2503" s="122">
        <v>61653</v>
      </c>
      <c r="AS2503" s="122">
        <v>56048</v>
      </c>
      <c r="AT2503">
        <v>0</v>
      </c>
      <c r="AU2503">
        <v>0</v>
      </c>
      <c r="AV2503" s="122">
        <v>478025</v>
      </c>
    </row>
    <row r="2504" spans="2:48" hidden="1">
      <c r="B2504" t="s">
        <v>380</v>
      </c>
      <c r="C2504" t="s">
        <v>62</v>
      </c>
      <c r="D2504" t="s">
        <v>406</v>
      </c>
      <c r="E2504" t="s">
        <v>406</v>
      </c>
      <c r="F2504" s="122">
        <v>183</v>
      </c>
      <c r="G2504" s="122">
        <v>20085</v>
      </c>
      <c r="H2504" s="122">
        <v>75748</v>
      </c>
      <c r="I2504" s="122">
        <v>5598482</v>
      </c>
      <c r="J2504" s="122">
        <v>5089529</v>
      </c>
      <c r="K2504" s="122">
        <v>77</v>
      </c>
      <c r="L2504" s="122">
        <v>1054806</v>
      </c>
      <c r="M2504" s="122">
        <v>935529</v>
      </c>
      <c r="N2504" s="122">
        <v>420148</v>
      </c>
      <c r="O2504" s="122">
        <v>155610</v>
      </c>
      <c r="P2504" s="122">
        <v>123822</v>
      </c>
      <c r="Q2504" s="122">
        <v>45860</v>
      </c>
      <c r="R2504" s="122">
        <v>890533</v>
      </c>
      <c r="S2504" s="122">
        <v>809575</v>
      </c>
      <c r="T2504" s="122">
        <v>330974</v>
      </c>
      <c r="U2504" s="122">
        <v>122583</v>
      </c>
      <c r="V2504" s="122">
        <v>7158686</v>
      </c>
      <c r="W2504" s="122">
        <f t="shared" si="80"/>
        <v>7158686</v>
      </c>
      <c r="X2504" s="122">
        <f t="shared" si="81"/>
        <v>8418765</v>
      </c>
      <c r="AA2504" t="s">
        <v>64</v>
      </c>
      <c r="AB2504" t="s">
        <v>426</v>
      </c>
      <c r="AC2504" t="s">
        <v>427</v>
      </c>
      <c r="AD2504" t="s">
        <v>137</v>
      </c>
      <c r="AE2504" t="s">
        <v>566</v>
      </c>
      <c r="AF2504">
        <v>1</v>
      </c>
      <c r="AG2504" s="122">
        <v>89</v>
      </c>
      <c r="AH2504" s="122">
        <v>996</v>
      </c>
      <c r="AI2504" s="122">
        <v>69600</v>
      </c>
      <c r="AJ2504" s="122">
        <v>63272</v>
      </c>
      <c r="AK2504">
        <v>45</v>
      </c>
      <c r="AL2504" s="122">
        <v>11600</v>
      </c>
      <c r="AM2504" s="122">
        <v>10545</v>
      </c>
      <c r="AN2504" s="122">
        <v>2162</v>
      </c>
      <c r="AO2504" s="122">
        <v>801</v>
      </c>
      <c r="AP2504" s="122">
        <v>0</v>
      </c>
      <c r="AQ2504" s="122">
        <v>0</v>
      </c>
      <c r="AR2504" s="122">
        <v>4978</v>
      </c>
      <c r="AS2504" s="122">
        <v>1844</v>
      </c>
      <c r="AT2504" s="122">
        <v>0</v>
      </c>
      <c r="AU2504" s="122">
        <v>0</v>
      </c>
      <c r="AV2504" s="122">
        <v>76462</v>
      </c>
    </row>
    <row r="2505" spans="2:48" hidden="1">
      <c r="B2505" t="s">
        <v>380</v>
      </c>
      <c r="C2505" t="s">
        <v>62</v>
      </c>
      <c r="D2505" t="s">
        <v>406</v>
      </c>
      <c r="E2505" t="s">
        <v>426</v>
      </c>
      <c r="F2505" s="122">
        <v>3</v>
      </c>
      <c r="G2505" s="122">
        <v>485</v>
      </c>
      <c r="H2505" s="122">
        <v>1233</v>
      </c>
      <c r="I2505" s="122">
        <v>149640</v>
      </c>
      <c r="J2505" s="122">
        <v>136036</v>
      </c>
      <c r="K2505" s="122">
        <v>81</v>
      </c>
      <c r="L2505" s="122">
        <v>22293</v>
      </c>
      <c r="M2505" s="122">
        <v>26641</v>
      </c>
      <c r="N2505" s="122">
        <v>10001</v>
      </c>
      <c r="O2505" s="122">
        <v>3704</v>
      </c>
      <c r="P2505" s="122">
        <v>1863</v>
      </c>
      <c r="Q2505" s="122">
        <v>690</v>
      </c>
      <c r="R2505" s="122">
        <v>24058</v>
      </c>
      <c r="S2505" s="122">
        <v>21871</v>
      </c>
      <c r="T2505" s="122">
        <v>6378</v>
      </c>
      <c r="U2505" s="122">
        <v>2362</v>
      </c>
      <c r="V2505" s="122">
        <v>191304</v>
      </c>
      <c r="W2505" s="122">
        <f t="shared" si="80"/>
        <v>191304</v>
      </c>
      <c r="X2505" s="122">
        <f t="shared" si="81"/>
        <v>214233</v>
      </c>
      <c r="AA2505" t="s">
        <v>64</v>
      </c>
      <c r="AB2505" t="s">
        <v>426</v>
      </c>
      <c r="AC2505" t="s">
        <v>427</v>
      </c>
      <c r="AD2505" t="s">
        <v>426</v>
      </c>
      <c r="AE2505" t="s">
        <v>137</v>
      </c>
      <c r="AF2505">
        <v>40</v>
      </c>
      <c r="AG2505" s="122">
        <v>3937</v>
      </c>
      <c r="AH2505" s="122">
        <v>28125</v>
      </c>
      <c r="AI2505" s="122">
        <v>1934829</v>
      </c>
      <c r="AJ2505" s="122">
        <v>1758935</v>
      </c>
      <c r="AK2505">
        <v>54</v>
      </c>
      <c r="AL2505" s="122">
        <v>374844</v>
      </c>
      <c r="AM2505" s="122">
        <v>340768</v>
      </c>
      <c r="AN2505" s="122">
        <v>89800</v>
      </c>
      <c r="AO2505" s="122">
        <v>33259</v>
      </c>
      <c r="AP2505" s="122">
        <v>15660</v>
      </c>
      <c r="AQ2505" s="122">
        <v>5800</v>
      </c>
      <c r="AR2505" s="122">
        <v>239027</v>
      </c>
      <c r="AS2505" s="122">
        <v>217298</v>
      </c>
      <c r="AT2505" s="122">
        <v>107545</v>
      </c>
      <c r="AU2505" s="122">
        <v>39832</v>
      </c>
      <c r="AV2505" s="122">
        <v>2395891</v>
      </c>
    </row>
    <row r="2506" spans="2:48" hidden="1">
      <c r="B2506" t="s">
        <v>380</v>
      </c>
      <c r="C2506" t="s">
        <v>62</v>
      </c>
      <c r="D2506" t="s">
        <v>556</v>
      </c>
      <c r="E2506" t="s">
        <v>556</v>
      </c>
      <c r="F2506" s="122">
        <v>1</v>
      </c>
      <c r="G2506" s="122">
        <v>62</v>
      </c>
      <c r="H2506" s="122">
        <v>444</v>
      </c>
      <c r="I2506" s="122">
        <v>15531</v>
      </c>
      <c r="J2506" s="122">
        <v>12942</v>
      </c>
      <c r="K2506" s="122">
        <v>55</v>
      </c>
      <c r="L2506" s="122">
        <v>3164</v>
      </c>
      <c r="M2506" s="122">
        <v>2636</v>
      </c>
      <c r="N2506" s="122">
        <v>1502</v>
      </c>
      <c r="O2506" s="122">
        <v>556</v>
      </c>
      <c r="P2506" s="122">
        <v>351</v>
      </c>
      <c r="Q2506" s="122">
        <v>130</v>
      </c>
      <c r="R2506" s="122">
        <v>4922</v>
      </c>
      <c r="S2506" s="122">
        <v>4102</v>
      </c>
      <c r="T2506" s="122">
        <v>1913</v>
      </c>
      <c r="U2506" s="122">
        <v>708</v>
      </c>
      <c r="V2506" s="122">
        <v>21075</v>
      </c>
      <c r="W2506" s="122">
        <f t="shared" si="80"/>
        <v>21074</v>
      </c>
      <c r="X2506" s="122">
        <f t="shared" si="81"/>
        <v>27383</v>
      </c>
      <c r="AA2506" t="s">
        <v>64</v>
      </c>
      <c r="AB2506" t="s">
        <v>426</v>
      </c>
      <c r="AC2506" t="s">
        <v>427</v>
      </c>
      <c r="AD2506" t="s">
        <v>426</v>
      </c>
      <c r="AE2506" t="s">
        <v>566</v>
      </c>
      <c r="AF2506">
        <v>7</v>
      </c>
      <c r="AG2506">
        <v>691</v>
      </c>
      <c r="AH2506" s="122">
        <v>5443</v>
      </c>
      <c r="AI2506" s="122">
        <v>377092</v>
      </c>
      <c r="AJ2506" s="122">
        <v>342811</v>
      </c>
      <c r="AK2506">
        <v>49</v>
      </c>
      <c r="AL2506" s="122">
        <v>66819</v>
      </c>
      <c r="AM2506" s="122">
        <v>60745</v>
      </c>
      <c r="AN2506" s="122">
        <v>14160</v>
      </c>
      <c r="AO2506" s="122">
        <v>5244</v>
      </c>
      <c r="AP2506" s="122">
        <v>2106</v>
      </c>
      <c r="AQ2506">
        <v>780</v>
      </c>
      <c r="AR2506" s="122">
        <v>65085</v>
      </c>
      <c r="AS2506" s="122">
        <v>59168</v>
      </c>
      <c r="AT2506" s="122">
        <v>0</v>
      </c>
      <c r="AU2506" s="122">
        <v>0</v>
      </c>
      <c r="AV2506" s="122">
        <v>468748</v>
      </c>
    </row>
    <row r="2507" spans="2:48" hidden="1">
      <c r="B2507" t="s">
        <v>380</v>
      </c>
      <c r="C2507" t="s">
        <v>62</v>
      </c>
      <c r="D2507" t="s">
        <v>431</v>
      </c>
      <c r="E2507" t="s">
        <v>431</v>
      </c>
      <c r="F2507" s="122">
        <v>8</v>
      </c>
      <c r="G2507" s="122">
        <v>919</v>
      </c>
      <c r="H2507" s="122">
        <v>3360</v>
      </c>
      <c r="I2507" s="122">
        <v>257658</v>
      </c>
      <c r="J2507" s="122">
        <v>234234</v>
      </c>
      <c r="K2507" s="122">
        <v>57</v>
      </c>
      <c r="L2507" s="122">
        <v>37485</v>
      </c>
      <c r="M2507" s="122">
        <v>28053</v>
      </c>
      <c r="N2507" s="122">
        <v>20117</v>
      </c>
      <c r="O2507" s="122">
        <v>7451</v>
      </c>
      <c r="P2507" s="122">
        <v>3159</v>
      </c>
      <c r="Q2507" s="122">
        <v>1170</v>
      </c>
      <c r="R2507" s="122">
        <v>52407</v>
      </c>
      <c r="S2507" s="122">
        <v>47642</v>
      </c>
      <c r="T2507" s="122">
        <v>15099</v>
      </c>
      <c r="U2507" s="122">
        <v>5592</v>
      </c>
      <c r="V2507" s="122">
        <v>324143</v>
      </c>
      <c r="W2507" s="122">
        <f t="shared" si="80"/>
        <v>324142</v>
      </c>
      <c r="X2507" s="122">
        <f t="shared" si="81"/>
        <v>385925</v>
      </c>
      <c r="AA2507" t="s">
        <v>64</v>
      </c>
      <c r="AB2507" t="s">
        <v>426</v>
      </c>
      <c r="AC2507" t="s">
        <v>407</v>
      </c>
      <c r="AD2507" t="s">
        <v>426</v>
      </c>
      <c r="AE2507" t="s">
        <v>137</v>
      </c>
      <c r="AF2507">
        <v>1</v>
      </c>
      <c r="AG2507">
        <v>143</v>
      </c>
      <c r="AH2507" s="122">
        <v>858</v>
      </c>
      <c r="AI2507" s="122">
        <v>80732</v>
      </c>
      <c r="AJ2507" s="122">
        <v>73393</v>
      </c>
      <c r="AK2507">
        <v>55</v>
      </c>
      <c r="AL2507" s="122">
        <v>24668</v>
      </c>
      <c r="AM2507" s="122">
        <v>22425</v>
      </c>
      <c r="AN2507" s="122">
        <v>2964</v>
      </c>
      <c r="AO2507" s="122">
        <v>1098</v>
      </c>
      <c r="AP2507" s="122">
        <v>702</v>
      </c>
      <c r="AQ2507">
        <v>260</v>
      </c>
      <c r="AR2507" s="122">
        <v>8594</v>
      </c>
      <c r="AS2507" s="122">
        <v>7813</v>
      </c>
      <c r="AT2507" s="122">
        <v>5171</v>
      </c>
      <c r="AU2507" s="122">
        <v>1915</v>
      </c>
      <c r="AV2507" s="122">
        <v>106903</v>
      </c>
    </row>
    <row r="2508" spans="2:48" hidden="1">
      <c r="B2508" t="s">
        <v>380</v>
      </c>
      <c r="C2508" t="s">
        <v>62</v>
      </c>
      <c r="D2508" t="s">
        <v>426</v>
      </c>
      <c r="E2508" t="s">
        <v>406</v>
      </c>
      <c r="F2508" s="122">
        <v>1</v>
      </c>
      <c r="G2508" s="122">
        <v>161</v>
      </c>
      <c r="H2508" s="122">
        <v>420</v>
      </c>
      <c r="I2508" s="122">
        <v>49442</v>
      </c>
      <c r="J2508" s="122">
        <v>44948</v>
      </c>
      <c r="K2508" s="122">
        <v>65</v>
      </c>
      <c r="L2508" s="122">
        <v>4761</v>
      </c>
      <c r="M2508" s="122">
        <v>4328</v>
      </c>
      <c r="N2508" s="122">
        <v>3525</v>
      </c>
      <c r="O2508" s="122">
        <v>1305</v>
      </c>
      <c r="P2508" s="122">
        <v>972</v>
      </c>
      <c r="Q2508" s="122">
        <v>360</v>
      </c>
      <c r="R2508" s="122">
        <v>5698</v>
      </c>
      <c r="S2508" s="122">
        <v>5180</v>
      </c>
      <c r="T2508" s="122">
        <v>3046</v>
      </c>
      <c r="U2508" s="122">
        <v>1128</v>
      </c>
      <c r="V2508" s="122">
        <v>57250</v>
      </c>
      <c r="W2508" s="122">
        <f t="shared" si="80"/>
        <v>57249</v>
      </c>
      <c r="X2508" s="122">
        <f t="shared" si="81"/>
        <v>67444</v>
      </c>
      <c r="AA2508" t="s">
        <v>64</v>
      </c>
      <c r="AB2508" t="s">
        <v>426</v>
      </c>
      <c r="AC2508" t="s">
        <v>579</v>
      </c>
      <c r="AD2508" t="s">
        <v>426</v>
      </c>
      <c r="AE2508" t="s">
        <v>137</v>
      </c>
      <c r="AF2508">
        <v>5</v>
      </c>
      <c r="AG2508">
        <v>469</v>
      </c>
      <c r="AH2508" s="122">
        <v>2868</v>
      </c>
      <c r="AI2508" s="122">
        <v>170337</v>
      </c>
      <c r="AJ2508" s="122">
        <v>154851</v>
      </c>
      <c r="AK2508">
        <v>47</v>
      </c>
      <c r="AL2508" s="122">
        <v>31851</v>
      </c>
      <c r="AM2508" s="122">
        <v>26542</v>
      </c>
      <c r="AN2508" s="122">
        <v>10552</v>
      </c>
      <c r="AO2508" s="122">
        <v>3908</v>
      </c>
      <c r="AP2508" s="122">
        <v>1755</v>
      </c>
      <c r="AQ2508">
        <v>650</v>
      </c>
      <c r="AR2508" s="122">
        <v>28739</v>
      </c>
      <c r="AS2508" s="122">
        <v>26126</v>
      </c>
      <c r="AT2508" s="122">
        <v>12301</v>
      </c>
      <c r="AU2508" s="122">
        <v>4556</v>
      </c>
      <c r="AV2508" s="122">
        <v>216634</v>
      </c>
    </row>
    <row r="2509" spans="2:48" hidden="1">
      <c r="B2509" t="s">
        <v>380</v>
      </c>
      <c r="C2509" t="s">
        <v>62</v>
      </c>
      <c r="D2509" t="s">
        <v>426</v>
      </c>
      <c r="E2509" t="s">
        <v>426</v>
      </c>
      <c r="F2509" s="122">
        <v>95</v>
      </c>
      <c r="G2509" s="122">
        <v>10454</v>
      </c>
      <c r="H2509" s="122">
        <v>39574</v>
      </c>
      <c r="I2509" s="122">
        <v>2815711</v>
      </c>
      <c r="J2509" s="122">
        <v>2559738</v>
      </c>
      <c r="K2509" s="122">
        <v>51</v>
      </c>
      <c r="L2509" s="122">
        <v>420273</v>
      </c>
      <c r="M2509" s="122">
        <v>379457</v>
      </c>
      <c r="N2509" s="122">
        <v>215602</v>
      </c>
      <c r="O2509" s="122">
        <v>79853</v>
      </c>
      <c r="P2509" s="122">
        <v>35492</v>
      </c>
      <c r="Q2509" s="122">
        <v>13145</v>
      </c>
      <c r="R2509" s="122">
        <v>638474</v>
      </c>
      <c r="S2509" s="122">
        <v>580431</v>
      </c>
      <c r="T2509" s="122">
        <v>227774</v>
      </c>
      <c r="U2509" s="122">
        <v>84361</v>
      </c>
      <c r="V2509" s="122">
        <v>3696984</v>
      </c>
      <c r="W2509" s="122">
        <f t="shared" si="80"/>
        <v>3696985</v>
      </c>
      <c r="X2509" s="122">
        <f t="shared" si="81"/>
        <v>4353326</v>
      </c>
      <c r="AA2509" t="s">
        <v>64</v>
      </c>
      <c r="AB2509" t="s">
        <v>426</v>
      </c>
      <c r="AC2509" t="s">
        <v>579</v>
      </c>
      <c r="AD2509" t="s">
        <v>426</v>
      </c>
      <c r="AE2509" t="s">
        <v>566</v>
      </c>
      <c r="AF2509">
        <v>3</v>
      </c>
      <c r="AG2509">
        <v>380</v>
      </c>
      <c r="AH2509" s="122">
        <v>1517</v>
      </c>
      <c r="AI2509" s="122">
        <v>127742</v>
      </c>
      <c r="AJ2509" s="122">
        <v>116129</v>
      </c>
      <c r="AK2509">
        <v>50</v>
      </c>
      <c r="AL2509" s="122">
        <v>26009</v>
      </c>
      <c r="AM2509" s="122">
        <v>21674</v>
      </c>
      <c r="AN2509" s="122">
        <v>8091</v>
      </c>
      <c r="AO2509" s="122">
        <v>2997</v>
      </c>
      <c r="AP2509" s="122">
        <v>1053</v>
      </c>
      <c r="AQ2509">
        <v>390</v>
      </c>
      <c r="AR2509" s="122">
        <v>31517</v>
      </c>
      <c r="AS2509" s="122">
        <v>28652</v>
      </c>
      <c r="AT2509">
        <v>0</v>
      </c>
      <c r="AU2509">
        <v>0</v>
      </c>
      <c r="AV2509" s="122">
        <v>169842</v>
      </c>
    </row>
    <row r="2510" spans="2:48" hidden="1">
      <c r="B2510" t="s">
        <v>380</v>
      </c>
      <c r="C2510" t="s">
        <v>62</v>
      </c>
      <c r="D2510" t="s">
        <v>433</v>
      </c>
      <c r="E2510" t="s">
        <v>433</v>
      </c>
      <c r="F2510" s="122">
        <v>1</v>
      </c>
      <c r="G2510" s="122">
        <v>93</v>
      </c>
      <c r="H2510" s="122">
        <v>394</v>
      </c>
      <c r="I2510" s="122">
        <v>23043</v>
      </c>
      <c r="J2510" s="122">
        <v>20948</v>
      </c>
      <c r="K2510" s="122">
        <v>65</v>
      </c>
      <c r="L2510" s="122">
        <v>5547</v>
      </c>
      <c r="M2510" s="122">
        <v>5043</v>
      </c>
      <c r="N2510" s="122">
        <v>2038</v>
      </c>
      <c r="O2510" s="122">
        <v>755</v>
      </c>
      <c r="P2510" s="122">
        <v>351</v>
      </c>
      <c r="Q2510" s="122">
        <v>130</v>
      </c>
      <c r="R2510" s="122">
        <v>3790</v>
      </c>
      <c r="S2510" s="122">
        <v>3446</v>
      </c>
      <c r="T2510" s="122">
        <v>1891</v>
      </c>
      <c r="U2510" s="122">
        <v>700</v>
      </c>
      <c r="V2510" s="122">
        <v>31022</v>
      </c>
      <c r="W2510" s="122">
        <f t="shared" si="80"/>
        <v>31022</v>
      </c>
      <c r="X2510" s="122">
        <f t="shared" si="81"/>
        <v>36660</v>
      </c>
      <c r="AA2510" t="s">
        <v>64</v>
      </c>
      <c r="AB2510" t="s">
        <v>426</v>
      </c>
      <c r="AC2510" t="s">
        <v>428</v>
      </c>
      <c r="AD2510" t="s">
        <v>426</v>
      </c>
      <c r="AE2510" t="s">
        <v>137</v>
      </c>
      <c r="AF2510">
        <v>2</v>
      </c>
      <c r="AG2510">
        <v>180</v>
      </c>
      <c r="AH2510" s="122">
        <v>1011</v>
      </c>
      <c r="AI2510" s="122">
        <v>80747</v>
      </c>
      <c r="AJ2510" s="122">
        <v>73407</v>
      </c>
      <c r="AK2510">
        <v>55</v>
      </c>
      <c r="AL2510" s="122">
        <v>11288</v>
      </c>
      <c r="AM2510" s="122">
        <v>10262</v>
      </c>
      <c r="AN2510" s="122">
        <v>4306</v>
      </c>
      <c r="AO2510" s="122">
        <v>1595</v>
      </c>
      <c r="AP2510" s="122">
        <v>702</v>
      </c>
      <c r="AQ2510">
        <v>260</v>
      </c>
      <c r="AR2510" s="122">
        <v>18466</v>
      </c>
      <c r="AS2510" s="122">
        <v>16788</v>
      </c>
      <c r="AT2510" s="122">
        <v>0</v>
      </c>
      <c r="AU2510" s="122">
        <v>0</v>
      </c>
      <c r="AV2510" s="122">
        <v>102311</v>
      </c>
    </row>
    <row r="2511" spans="2:48" hidden="1">
      <c r="B2511" t="s">
        <v>380</v>
      </c>
      <c r="C2511" t="s">
        <v>62</v>
      </c>
      <c r="D2511" t="s">
        <v>408</v>
      </c>
      <c r="E2511" t="s">
        <v>408</v>
      </c>
      <c r="F2511" s="122">
        <v>1</v>
      </c>
      <c r="G2511" s="122">
        <v>189</v>
      </c>
      <c r="H2511" s="122">
        <v>400</v>
      </c>
      <c r="I2511" s="122">
        <v>53169</v>
      </c>
      <c r="J2511" s="122">
        <v>48336</v>
      </c>
      <c r="K2511" s="122">
        <v>65</v>
      </c>
      <c r="L2511" s="122">
        <v>12800</v>
      </c>
      <c r="M2511" s="122">
        <v>11636</v>
      </c>
      <c r="N2511" s="122">
        <v>3910</v>
      </c>
      <c r="O2511" s="122">
        <v>1448</v>
      </c>
      <c r="P2511" s="122">
        <v>702</v>
      </c>
      <c r="Q2511" s="122">
        <v>260</v>
      </c>
      <c r="R2511" s="122">
        <v>3831</v>
      </c>
      <c r="S2511" s="122">
        <v>3483</v>
      </c>
      <c r="T2511" s="122">
        <v>1057</v>
      </c>
      <c r="U2511" s="122">
        <v>391</v>
      </c>
      <c r="V2511" s="122">
        <v>65554</v>
      </c>
      <c r="W2511" s="122">
        <f t="shared" si="80"/>
        <v>65554</v>
      </c>
      <c r="X2511" s="122">
        <f t="shared" si="81"/>
        <v>75469</v>
      </c>
      <c r="AA2511" t="s">
        <v>64</v>
      </c>
      <c r="AB2511" t="s">
        <v>426</v>
      </c>
      <c r="AC2511" t="s">
        <v>431</v>
      </c>
      <c r="AD2511" t="s">
        <v>426</v>
      </c>
      <c r="AE2511" t="s">
        <v>137</v>
      </c>
      <c r="AF2511">
        <v>4</v>
      </c>
      <c r="AG2511">
        <v>355</v>
      </c>
      <c r="AH2511" s="122">
        <v>2642</v>
      </c>
      <c r="AI2511" s="122">
        <v>158661</v>
      </c>
      <c r="AJ2511" s="122">
        <v>144237</v>
      </c>
      <c r="AK2511">
        <v>49</v>
      </c>
      <c r="AL2511" s="122">
        <v>24668</v>
      </c>
      <c r="AM2511" s="122">
        <v>22425</v>
      </c>
      <c r="AN2511" s="122">
        <v>7639</v>
      </c>
      <c r="AO2511" s="122">
        <v>2829</v>
      </c>
      <c r="AP2511" s="122">
        <v>1674</v>
      </c>
      <c r="AQ2511">
        <v>620</v>
      </c>
      <c r="AR2511" s="122">
        <v>20746</v>
      </c>
      <c r="AS2511" s="122">
        <v>18860</v>
      </c>
      <c r="AT2511" s="122">
        <v>8996</v>
      </c>
      <c r="AU2511" s="122">
        <v>3332</v>
      </c>
      <c r="AV2511" s="122">
        <v>192303</v>
      </c>
    </row>
    <row r="2512" spans="2:48" hidden="1">
      <c r="B2512" t="s">
        <v>380</v>
      </c>
      <c r="C2512" t="s">
        <v>64</v>
      </c>
      <c r="D2512" t="s">
        <v>405</v>
      </c>
      <c r="E2512" t="s">
        <v>425</v>
      </c>
      <c r="F2512" s="122">
        <v>1</v>
      </c>
      <c r="G2512" s="122">
        <v>99</v>
      </c>
      <c r="H2512" s="122">
        <v>505</v>
      </c>
      <c r="I2512" s="122">
        <v>31740</v>
      </c>
      <c r="J2512" s="122">
        <v>28854</v>
      </c>
      <c r="K2512" s="122">
        <v>63</v>
      </c>
      <c r="L2512" s="122">
        <v>7030</v>
      </c>
      <c r="M2512" s="122">
        <v>6391</v>
      </c>
      <c r="N2512" s="122">
        <v>1632</v>
      </c>
      <c r="O2512" s="122">
        <v>604</v>
      </c>
      <c r="P2512" s="122">
        <v>351</v>
      </c>
      <c r="Q2512" s="122">
        <v>130</v>
      </c>
      <c r="R2512" s="122">
        <v>5816</v>
      </c>
      <c r="S2512" s="122">
        <v>5287</v>
      </c>
      <c r="T2512" s="122">
        <v>3121</v>
      </c>
      <c r="U2512" s="122">
        <v>1156</v>
      </c>
      <c r="V2512" s="122">
        <v>42422</v>
      </c>
      <c r="W2512" s="122">
        <f t="shared" si="80"/>
        <v>42422</v>
      </c>
      <c r="X2512" s="122">
        <f t="shared" si="81"/>
        <v>49690</v>
      </c>
      <c r="AA2512" t="s">
        <v>64</v>
      </c>
      <c r="AB2512" t="s">
        <v>426</v>
      </c>
      <c r="AC2512" t="s">
        <v>426</v>
      </c>
      <c r="AD2512" t="s">
        <v>425</v>
      </c>
      <c r="AE2512" t="s">
        <v>566</v>
      </c>
      <c r="AF2512">
        <v>2</v>
      </c>
      <c r="AG2512" s="122">
        <v>142</v>
      </c>
      <c r="AH2512" s="122">
        <v>1473</v>
      </c>
      <c r="AI2512" s="122">
        <v>76110</v>
      </c>
      <c r="AJ2512" s="122">
        <v>69191</v>
      </c>
      <c r="AK2512">
        <v>60</v>
      </c>
      <c r="AL2512" s="122">
        <v>12520</v>
      </c>
      <c r="AM2512" s="122">
        <v>11382</v>
      </c>
      <c r="AN2512" s="122">
        <v>2804</v>
      </c>
      <c r="AO2512" s="122">
        <v>1039</v>
      </c>
      <c r="AP2512" s="122">
        <v>0</v>
      </c>
      <c r="AQ2512" s="122">
        <v>0</v>
      </c>
      <c r="AR2512" s="122">
        <v>7323</v>
      </c>
      <c r="AS2512" s="122">
        <v>6657</v>
      </c>
      <c r="AT2512" s="122">
        <v>0</v>
      </c>
      <c r="AU2512" s="122">
        <v>0</v>
      </c>
      <c r="AV2512" s="122">
        <v>88269</v>
      </c>
    </row>
    <row r="2513" spans="2:48" hidden="1">
      <c r="B2513" t="s">
        <v>380</v>
      </c>
      <c r="C2513" t="s">
        <v>64</v>
      </c>
      <c r="D2513" t="s">
        <v>405</v>
      </c>
      <c r="E2513" t="s">
        <v>405</v>
      </c>
      <c r="F2513" s="122">
        <v>2</v>
      </c>
      <c r="G2513" s="122">
        <v>290</v>
      </c>
      <c r="H2513" s="122">
        <v>999</v>
      </c>
      <c r="I2513" s="122">
        <v>98385</v>
      </c>
      <c r="J2513" s="122">
        <v>89441</v>
      </c>
      <c r="K2513" s="122">
        <v>69</v>
      </c>
      <c r="L2513" s="122">
        <v>23447</v>
      </c>
      <c r="M2513" s="122">
        <v>21316</v>
      </c>
      <c r="N2513" s="122">
        <v>6485</v>
      </c>
      <c r="O2513" s="122">
        <v>2402</v>
      </c>
      <c r="P2513" s="122">
        <v>945</v>
      </c>
      <c r="Q2513" s="122">
        <v>350</v>
      </c>
      <c r="R2513" s="122">
        <v>14046</v>
      </c>
      <c r="S2513" s="122">
        <v>12769</v>
      </c>
      <c r="T2513" s="122">
        <v>3583</v>
      </c>
      <c r="U2513" s="122">
        <v>1327</v>
      </c>
      <c r="V2513" s="122">
        <v>127605</v>
      </c>
      <c r="W2513" s="122">
        <f t="shared" si="80"/>
        <v>127605</v>
      </c>
      <c r="X2513" s="122">
        <f t="shared" si="81"/>
        <v>146891</v>
      </c>
      <c r="AA2513" t="s">
        <v>64</v>
      </c>
      <c r="AB2513" t="s">
        <v>426</v>
      </c>
      <c r="AC2513" t="s">
        <v>426</v>
      </c>
      <c r="AD2513" t="s">
        <v>137</v>
      </c>
      <c r="AE2513" t="s">
        <v>137</v>
      </c>
      <c r="AF2513">
        <v>36</v>
      </c>
      <c r="AG2513" s="122">
        <v>3467</v>
      </c>
      <c r="AH2513" s="122">
        <v>36371</v>
      </c>
      <c r="AI2513" s="122">
        <v>2483946</v>
      </c>
      <c r="AJ2513" s="122">
        <v>2258133</v>
      </c>
      <c r="AK2513">
        <v>48</v>
      </c>
      <c r="AL2513" s="122">
        <v>365478</v>
      </c>
      <c r="AM2513" s="122">
        <v>332252</v>
      </c>
      <c r="AN2513" s="122">
        <v>79052</v>
      </c>
      <c r="AO2513" s="122">
        <v>29278</v>
      </c>
      <c r="AP2513" s="122">
        <v>3159</v>
      </c>
      <c r="AQ2513" s="122">
        <v>1170</v>
      </c>
      <c r="AR2513" s="122">
        <v>293103</v>
      </c>
      <c r="AS2513" s="122">
        <v>108557</v>
      </c>
      <c r="AT2513" s="122">
        <v>39135</v>
      </c>
      <c r="AU2513" s="122">
        <v>14494</v>
      </c>
      <c r="AV2513" s="122">
        <v>2743885</v>
      </c>
    </row>
    <row r="2514" spans="2:48" hidden="1">
      <c r="B2514" t="s">
        <v>380</v>
      </c>
      <c r="C2514" t="s">
        <v>64</v>
      </c>
      <c r="D2514" t="s">
        <v>137</v>
      </c>
      <c r="E2514" t="s">
        <v>137</v>
      </c>
      <c r="F2514" s="122">
        <v>32</v>
      </c>
      <c r="G2514" s="122">
        <v>2781</v>
      </c>
      <c r="H2514" s="122">
        <v>24652</v>
      </c>
      <c r="I2514" s="122">
        <v>1512129</v>
      </c>
      <c r="J2514" s="122">
        <v>560048</v>
      </c>
      <c r="K2514" s="122">
        <v>100</v>
      </c>
      <c r="L2514" s="122">
        <v>266506</v>
      </c>
      <c r="M2514" s="122">
        <v>229104</v>
      </c>
      <c r="N2514" s="122">
        <v>61469</v>
      </c>
      <c r="O2514" s="122">
        <v>22766</v>
      </c>
      <c r="P2514" s="122">
        <v>702</v>
      </c>
      <c r="Q2514" s="122">
        <v>260</v>
      </c>
      <c r="R2514" s="122">
        <v>181927</v>
      </c>
      <c r="S2514" s="122">
        <v>67380</v>
      </c>
      <c r="T2514" s="122">
        <v>0</v>
      </c>
      <c r="U2514" s="122">
        <v>0</v>
      </c>
      <c r="V2514" s="122">
        <v>879558</v>
      </c>
      <c r="W2514" s="122">
        <f t="shared" si="80"/>
        <v>879558</v>
      </c>
      <c r="X2514" s="122">
        <f t="shared" si="81"/>
        <v>2022733</v>
      </c>
      <c r="AA2514" t="s">
        <v>64</v>
      </c>
      <c r="AB2514" t="s">
        <v>426</v>
      </c>
      <c r="AC2514" t="s">
        <v>426</v>
      </c>
      <c r="AD2514" t="s">
        <v>137</v>
      </c>
      <c r="AE2514" t="s">
        <v>566</v>
      </c>
      <c r="AF2514">
        <v>400</v>
      </c>
      <c r="AG2514" s="122">
        <v>34669</v>
      </c>
      <c r="AH2514" s="122">
        <v>449975</v>
      </c>
      <c r="AI2514" s="122">
        <v>27271995</v>
      </c>
      <c r="AJ2514" s="122">
        <v>24792723</v>
      </c>
      <c r="AK2514">
        <v>46</v>
      </c>
      <c r="AL2514" s="122">
        <v>6341281</v>
      </c>
      <c r="AM2514" s="122">
        <v>5764801</v>
      </c>
      <c r="AN2514" s="122">
        <v>795465</v>
      </c>
      <c r="AO2514" s="122">
        <v>294617</v>
      </c>
      <c r="AP2514" s="122">
        <v>27895</v>
      </c>
      <c r="AQ2514" s="122">
        <v>10332</v>
      </c>
      <c r="AR2514" s="122">
        <v>2494272</v>
      </c>
      <c r="AS2514" s="122">
        <v>923804</v>
      </c>
      <c r="AT2514" s="122">
        <v>0</v>
      </c>
      <c r="AU2514" s="122">
        <v>0</v>
      </c>
      <c r="AV2514" s="122">
        <v>31786276</v>
      </c>
    </row>
    <row r="2515" spans="2:48" hidden="1">
      <c r="B2515" t="s">
        <v>380</v>
      </c>
      <c r="C2515" t="s">
        <v>64</v>
      </c>
      <c r="D2515" t="s">
        <v>137</v>
      </c>
      <c r="E2515" t="s">
        <v>406</v>
      </c>
      <c r="F2515" s="122">
        <v>1</v>
      </c>
      <c r="G2515" s="122">
        <v>62</v>
      </c>
      <c r="H2515" s="122">
        <v>604</v>
      </c>
      <c r="I2515" s="122">
        <v>28291</v>
      </c>
      <c r="J2515" s="122">
        <v>10478</v>
      </c>
      <c r="K2515" s="122">
        <v>100</v>
      </c>
      <c r="L2515" s="122">
        <v>2134</v>
      </c>
      <c r="M2515" s="122">
        <v>1940</v>
      </c>
      <c r="N2515" s="122">
        <v>1516</v>
      </c>
      <c r="O2515" s="122">
        <v>561</v>
      </c>
      <c r="P2515" s="122">
        <v>621</v>
      </c>
      <c r="Q2515" s="122">
        <v>230</v>
      </c>
      <c r="R2515" s="122">
        <v>3532</v>
      </c>
      <c r="S2515" s="122">
        <v>3211</v>
      </c>
      <c r="T2515" s="122">
        <v>1475</v>
      </c>
      <c r="U2515" s="122">
        <v>546</v>
      </c>
      <c r="V2515" s="122">
        <v>16968</v>
      </c>
      <c r="W2515" s="122">
        <f t="shared" si="80"/>
        <v>16966</v>
      </c>
      <c r="X2515" s="122">
        <f t="shared" si="81"/>
        <v>37569</v>
      </c>
      <c r="AA2515" t="s">
        <v>64</v>
      </c>
      <c r="AB2515" t="s">
        <v>426</v>
      </c>
      <c r="AC2515" t="s">
        <v>426</v>
      </c>
      <c r="AD2515" t="s">
        <v>406</v>
      </c>
      <c r="AE2515" t="s">
        <v>137</v>
      </c>
      <c r="AF2515">
        <v>4</v>
      </c>
      <c r="AG2515">
        <v>546</v>
      </c>
      <c r="AH2515" s="122">
        <v>3338</v>
      </c>
      <c r="AI2515" s="122">
        <v>419750</v>
      </c>
      <c r="AJ2515" s="122">
        <v>381591</v>
      </c>
      <c r="AK2515">
        <v>41</v>
      </c>
      <c r="AL2515" s="122">
        <v>37539</v>
      </c>
      <c r="AM2515" s="122">
        <v>34126</v>
      </c>
      <c r="AN2515" s="122">
        <v>12991</v>
      </c>
      <c r="AO2515" s="122">
        <v>4812</v>
      </c>
      <c r="AP2515" s="122">
        <v>1242</v>
      </c>
      <c r="AQ2515">
        <v>460</v>
      </c>
      <c r="AR2515" s="122">
        <v>24488</v>
      </c>
      <c r="AS2515" s="122">
        <v>22262</v>
      </c>
      <c r="AT2515" s="122">
        <v>13275</v>
      </c>
      <c r="AU2515" s="122">
        <v>4917</v>
      </c>
      <c r="AV2515" s="122">
        <v>448167</v>
      </c>
    </row>
    <row r="2516" spans="2:48" hidden="1">
      <c r="B2516" t="s">
        <v>380</v>
      </c>
      <c r="C2516" t="s">
        <v>64</v>
      </c>
      <c r="D2516" t="s">
        <v>137</v>
      </c>
      <c r="E2516" t="s">
        <v>431</v>
      </c>
      <c r="F2516" s="122">
        <v>2</v>
      </c>
      <c r="G2516" s="122">
        <v>205</v>
      </c>
      <c r="H2516" s="122">
        <v>1471</v>
      </c>
      <c r="I2516" s="122">
        <v>130360</v>
      </c>
      <c r="J2516" s="122">
        <v>48282</v>
      </c>
      <c r="K2516" s="122">
        <v>83</v>
      </c>
      <c r="L2516" s="122">
        <v>8875</v>
      </c>
      <c r="M2516" s="122">
        <v>8068</v>
      </c>
      <c r="N2516" s="122">
        <v>4238</v>
      </c>
      <c r="O2516" s="122">
        <v>1570</v>
      </c>
      <c r="P2516" s="122">
        <v>0</v>
      </c>
      <c r="Q2516" s="122">
        <v>0</v>
      </c>
      <c r="R2516" s="122">
        <v>12993</v>
      </c>
      <c r="S2516" s="122">
        <v>11812</v>
      </c>
      <c r="T2516" s="122">
        <v>3286</v>
      </c>
      <c r="U2516" s="122">
        <v>1217</v>
      </c>
      <c r="V2516" s="122">
        <v>70948</v>
      </c>
      <c r="W2516" s="122">
        <f t="shared" si="80"/>
        <v>70949</v>
      </c>
      <c r="X2516" s="122">
        <f t="shared" si="81"/>
        <v>159752</v>
      </c>
      <c r="AA2516" t="s">
        <v>64</v>
      </c>
      <c r="AB2516" t="s">
        <v>426</v>
      </c>
      <c r="AC2516" t="s">
        <v>426</v>
      </c>
      <c r="AD2516" t="s">
        <v>579</v>
      </c>
      <c r="AE2516" t="s">
        <v>137</v>
      </c>
      <c r="AF2516" s="122">
        <v>1</v>
      </c>
      <c r="AG2516" s="122">
        <v>63</v>
      </c>
      <c r="AH2516" s="122">
        <v>866</v>
      </c>
      <c r="AI2516" s="122">
        <v>37783</v>
      </c>
      <c r="AJ2516" s="122">
        <v>34348</v>
      </c>
      <c r="AK2516">
        <v>74</v>
      </c>
      <c r="AL2516" s="122">
        <v>8924</v>
      </c>
      <c r="AM2516" s="122">
        <v>8113</v>
      </c>
      <c r="AN2516" s="122">
        <v>1525</v>
      </c>
      <c r="AO2516" s="122">
        <v>565</v>
      </c>
      <c r="AP2516" s="122">
        <v>351</v>
      </c>
      <c r="AQ2516" s="122">
        <v>130</v>
      </c>
      <c r="AR2516" s="122">
        <v>3655</v>
      </c>
      <c r="AS2516" s="122">
        <v>3046</v>
      </c>
      <c r="AT2516" s="122">
        <v>1926</v>
      </c>
      <c r="AU2516" s="122">
        <v>713</v>
      </c>
      <c r="AV2516" s="122">
        <v>46914</v>
      </c>
    </row>
    <row r="2517" spans="2:48" hidden="1">
      <c r="B2517" t="s">
        <v>380</v>
      </c>
      <c r="C2517" t="s">
        <v>64</v>
      </c>
      <c r="D2517" t="s">
        <v>137</v>
      </c>
      <c r="E2517" t="s">
        <v>426</v>
      </c>
      <c r="F2517" s="122">
        <v>6</v>
      </c>
      <c r="G2517" s="122">
        <v>509</v>
      </c>
      <c r="H2517" s="122">
        <v>4678</v>
      </c>
      <c r="I2517" s="122">
        <v>277065</v>
      </c>
      <c r="J2517" s="122">
        <v>102617</v>
      </c>
      <c r="K2517" s="122">
        <v>100</v>
      </c>
      <c r="L2517" s="122">
        <v>35741</v>
      </c>
      <c r="M2517" s="122">
        <v>32492</v>
      </c>
      <c r="N2517" s="122">
        <v>11807</v>
      </c>
      <c r="O2517" s="122">
        <v>4373</v>
      </c>
      <c r="P2517" s="122">
        <v>1404</v>
      </c>
      <c r="Q2517" s="122">
        <v>520</v>
      </c>
      <c r="R2517" s="122">
        <v>28898</v>
      </c>
      <c r="S2517" s="122">
        <v>26271</v>
      </c>
      <c r="T2517" s="122">
        <v>11964</v>
      </c>
      <c r="U2517" s="122">
        <v>4431</v>
      </c>
      <c r="V2517" s="122">
        <v>170703</v>
      </c>
      <c r="W2517" s="122">
        <f t="shared" si="80"/>
        <v>170704</v>
      </c>
      <c r="X2517" s="122">
        <f t="shared" si="81"/>
        <v>366879</v>
      </c>
      <c r="AA2517" t="s">
        <v>64</v>
      </c>
      <c r="AB2517" t="s">
        <v>426</v>
      </c>
      <c r="AC2517" t="s">
        <v>426</v>
      </c>
      <c r="AD2517" t="s">
        <v>426</v>
      </c>
      <c r="AE2517" t="s">
        <v>137</v>
      </c>
      <c r="AF2517" s="122">
        <v>2642</v>
      </c>
      <c r="AG2517" s="122">
        <v>247386</v>
      </c>
      <c r="AH2517" s="122">
        <v>1853876</v>
      </c>
      <c r="AI2517" s="122">
        <v>123662990</v>
      </c>
      <c r="AJ2517" s="122">
        <v>112420900</v>
      </c>
      <c r="AK2517">
        <v>51</v>
      </c>
      <c r="AL2517" s="122">
        <v>19903160</v>
      </c>
      <c r="AM2517" s="122">
        <v>18093782</v>
      </c>
      <c r="AN2517" s="122">
        <v>5318040</v>
      </c>
      <c r="AO2517" s="122">
        <v>1969645</v>
      </c>
      <c r="AP2517" s="122">
        <v>881390</v>
      </c>
      <c r="AQ2517" s="122">
        <v>326441</v>
      </c>
      <c r="AR2517" s="122">
        <v>15689336</v>
      </c>
      <c r="AS2517" s="122">
        <v>14263032</v>
      </c>
      <c r="AT2517" s="122">
        <v>6264886</v>
      </c>
      <c r="AU2517" s="122">
        <v>2320328</v>
      </c>
      <c r="AV2517" s="122">
        <v>149394127</v>
      </c>
    </row>
    <row r="2518" spans="2:48" hidden="1">
      <c r="B2518" t="s">
        <v>380</v>
      </c>
      <c r="C2518" t="s">
        <v>64</v>
      </c>
      <c r="D2518" t="s">
        <v>406</v>
      </c>
      <c r="E2518" t="s">
        <v>137</v>
      </c>
      <c r="F2518" s="122">
        <v>1</v>
      </c>
      <c r="G2518" s="122">
        <v>81</v>
      </c>
      <c r="H2518" s="122">
        <v>462</v>
      </c>
      <c r="I2518" s="122">
        <v>25880</v>
      </c>
      <c r="J2518" s="122">
        <v>23527</v>
      </c>
      <c r="K2518" s="122">
        <v>79</v>
      </c>
      <c r="L2518" s="122">
        <v>4793</v>
      </c>
      <c r="M2518" s="122">
        <v>4357</v>
      </c>
      <c r="N2518" s="122">
        <v>1596</v>
      </c>
      <c r="O2518" s="122">
        <v>591</v>
      </c>
      <c r="P2518" s="122">
        <v>621</v>
      </c>
      <c r="Q2518" s="122">
        <v>230</v>
      </c>
      <c r="R2518" s="122">
        <v>4462</v>
      </c>
      <c r="S2518" s="122">
        <v>1653</v>
      </c>
      <c r="T2518" s="122">
        <v>0</v>
      </c>
      <c r="U2518" s="122">
        <v>0</v>
      </c>
      <c r="V2518" s="122">
        <v>30358</v>
      </c>
      <c r="W2518" s="122">
        <f t="shared" si="80"/>
        <v>30358</v>
      </c>
      <c r="X2518" s="122">
        <f t="shared" si="81"/>
        <v>37352</v>
      </c>
      <c r="AA2518" t="s">
        <v>64</v>
      </c>
      <c r="AB2518" t="s">
        <v>426</v>
      </c>
      <c r="AC2518" t="s">
        <v>426</v>
      </c>
      <c r="AD2518" t="s">
        <v>426</v>
      </c>
      <c r="AE2518" t="s">
        <v>566</v>
      </c>
      <c r="AF2518">
        <v>378</v>
      </c>
      <c r="AG2518" s="122">
        <v>35730</v>
      </c>
      <c r="AH2518" s="122">
        <v>287142</v>
      </c>
      <c r="AI2518" s="122">
        <v>19329567</v>
      </c>
      <c r="AJ2518" s="122">
        <v>17572334</v>
      </c>
      <c r="AK2518">
        <v>51</v>
      </c>
      <c r="AL2518" s="122">
        <v>3109757</v>
      </c>
      <c r="AM2518" s="122">
        <v>2827052</v>
      </c>
      <c r="AN2518" s="122">
        <v>779286</v>
      </c>
      <c r="AO2518" s="122">
        <v>288624</v>
      </c>
      <c r="AP2518" s="122">
        <v>110492</v>
      </c>
      <c r="AQ2518" s="122">
        <v>40923</v>
      </c>
      <c r="AR2518" s="122">
        <v>3267120</v>
      </c>
      <c r="AS2518" s="122">
        <v>2970109</v>
      </c>
      <c r="AT2518" s="122">
        <v>0</v>
      </c>
      <c r="AU2518" s="122">
        <v>0</v>
      </c>
      <c r="AV2518" s="122">
        <v>23699042</v>
      </c>
    </row>
    <row r="2519" spans="2:48" hidden="1">
      <c r="B2519" t="s">
        <v>380</v>
      </c>
      <c r="C2519" t="s">
        <v>64</v>
      </c>
      <c r="D2519" t="s">
        <v>406</v>
      </c>
      <c r="E2519" t="s">
        <v>406</v>
      </c>
      <c r="F2519" s="122">
        <v>183</v>
      </c>
      <c r="G2519" s="122">
        <v>18314</v>
      </c>
      <c r="H2519" s="122">
        <v>106033</v>
      </c>
      <c r="I2519" s="122">
        <v>6817843</v>
      </c>
      <c r="J2519" s="122">
        <v>6198039</v>
      </c>
      <c r="K2519" s="122">
        <v>74</v>
      </c>
      <c r="L2519" s="122">
        <v>2094293</v>
      </c>
      <c r="M2519" s="122">
        <v>1894735</v>
      </c>
      <c r="N2519" s="122">
        <v>392267</v>
      </c>
      <c r="O2519" s="122">
        <v>145284</v>
      </c>
      <c r="P2519" s="122">
        <v>125496</v>
      </c>
      <c r="Q2519" s="122">
        <v>46480</v>
      </c>
      <c r="R2519" s="122">
        <v>919643</v>
      </c>
      <c r="S2519" s="122">
        <v>836039</v>
      </c>
      <c r="T2519" s="122">
        <v>313530</v>
      </c>
      <c r="U2519" s="122">
        <v>116122</v>
      </c>
      <c r="V2519" s="122">
        <v>9236699</v>
      </c>
      <c r="W2519" s="122">
        <f t="shared" si="80"/>
        <v>9236699</v>
      </c>
      <c r="X2519" s="122">
        <f t="shared" si="81"/>
        <v>10663072</v>
      </c>
      <c r="AA2519" t="s">
        <v>64</v>
      </c>
      <c r="AB2519" t="s">
        <v>426</v>
      </c>
      <c r="AC2519" t="s">
        <v>426</v>
      </c>
      <c r="AD2519" t="s">
        <v>481</v>
      </c>
      <c r="AE2519" t="s">
        <v>137</v>
      </c>
      <c r="AF2519">
        <v>2</v>
      </c>
      <c r="AG2519">
        <v>122</v>
      </c>
      <c r="AH2519" s="122">
        <v>1535</v>
      </c>
      <c r="AI2519" s="122">
        <v>64262</v>
      </c>
      <c r="AJ2519" s="122">
        <v>58420</v>
      </c>
      <c r="AK2519">
        <v>45</v>
      </c>
      <c r="AL2519" s="122">
        <v>10569</v>
      </c>
      <c r="AM2519" s="122">
        <v>9608</v>
      </c>
      <c r="AN2519" s="122">
        <v>2734</v>
      </c>
      <c r="AO2519" s="122">
        <v>1013</v>
      </c>
      <c r="AP2519">
        <v>702</v>
      </c>
      <c r="AQ2519">
        <v>260</v>
      </c>
      <c r="AR2519" s="122">
        <v>10714</v>
      </c>
      <c r="AS2519" s="122">
        <v>9740</v>
      </c>
      <c r="AT2519" s="122">
        <v>3489</v>
      </c>
      <c r="AU2519" s="122">
        <v>1292</v>
      </c>
      <c r="AV2519" s="122">
        <v>80333</v>
      </c>
    </row>
    <row r="2520" spans="2:48" hidden="1">
      <c r="B2520" t="s">
        <v>380</v>
      </c>
      <c r="C2520" t="s">
        <v>64</v>
      </c>
      <c r="D2520" t="s">
        <v>427</v>
      </c>
      <c r="E2520" t="s">
        <v>427</v>
      </c>
      <c r="F2520" s="122">
        <v>2</v>
      </c>
      <c r="G2520" s="122">
        <v>173</v>
      </c>
      <c r="H2520" s="122">
        <v>1399</v>
      </c>
      <c r="I2520" s="122">
        <v>79606</v>
      </c>
      <c r="J2520" s="122">
        <v>72369</v>
      </c>
      <c r="K2520" s="122">
        <v>45</v>
      </c>
      <c r="L2520" s="122">
        <v>13268</v>
      </c>
      <c r="M2520" s="122">
        <v>12061</v>
      </c>
      <c r="N2520" s="122">
        <v>2219</v>
      </c>
      <c r="O2520" s="122">
        <v>822</v>
      </c>
      <c r="P2520" s="122">
        <v>702</v>
      </c>
      <c r="Q2520" s="122">
        <v>260</v>
      </c>
      <c r="R2520" s="122">
        <v>19430</v>
      </c>
      <c r="S2520" s="122">
        <v>17664</v>
      </c>
      <c r="T2520" s="122">
        <v>4437</v>
      </c>
      <c r="U2520" s="122">
        <v>1644</v>
      </c>
      <c r="V2520" s="122">
        <v>104820</v>
      </c>
      <c r="W2520" s="122">
        <f t="shared" si="80"/>
        <v>104820</v>
      </c>
      <c r="X2520" s="122">
        <f t="shared" si="81"/>
        <v>119662</v>
      </c>
      <c r="AA2520" t="s">
        <v>64</v>
      </c>
      <c r="AB2520" t="s">
        <v>426</v>
      </c>
      <c r="AC2520" t="s">
        <v>426</v>
      </c>
      <c r="AD2520" t="s">
        <v>481</v>
      </c>
      <c r="AE2520" t="s">
        <v>566</v>
      </c>
      <c r="AF2520">
        <v>1</v>
      </c>
      <c r="AG2520">
        <v>77</v>
      </c>
      <c r="AH2520">
        <v>565</v>
      </c>
      <c r="AI2520" s="122">
        <v>28610</v>
      </c>
      <c r="AJ2520" s="122">
        <v>26009</v>
      </c>
      <c r="AK2520">
        <v>65</v>
      </c>
      <c r="AL2520" s="122">
        <v>6888</v>
      </c>
      <c r="AM2520" s="122">
        <v>6262</v>
      </c>
      <c r="AN2520" s="122">
        <v>1268</v>
      </c>
      <c r="AO2520">
        <v>469</v>
      </c>
      <c r="AP2520">
        <v>351</v>
      </c>
      <c r="AQ2520">
        <v>130</v>
      </c>
      <c r="AR2520" s="122">
        <v>6089</v>
      </c>
      <c r="AS2520" s="122">
        <v>5535</v>
      </c>
      <c r="AT2520">
        <v>0</v>
      </c>
      <c r="AU2520">
        <v>0</v>
      </c>
      <c r="AV2520" s="122">
        <v>38406</v>
      </c>
    </row>
    <row r="2521" spans="2:48" hidden="1">
      <c r="B2521" t="s">
        <v>380</v>
      </c>
      <c r="C2521" t="s">
        <v>64</v>
      </c>
      <c r="D2521" t="s">
        <v>427</v>
      </c>
      <c r="E2521" t="s">
        <v>431</v>
      </c>
      <c r="F2521" s="122">
        <v>1</v>
      </c>
      <c r="G2521" s="122">
        <v>124</v>
      </c>
      <c r="H2521" s="122">
        <v>502</v>
      </c>
      <c r="I2521" s="122">
        <v>43271</v>
      </c>
      <c r="J2521" s="122">
        <v>39337</v>
      </c>
      <c r="K2521" s="122">
        <v>55</v>
      </c>
      <c r="L2521" s="122">
        <v>7555</v>
      </c>
      <c r="M2521" s="122">
        <v>6868</v>
      </c>
      <c r="N2521" s="122">
        <v>2425</v>
      </c>
      <c r="O2521" s="122">
        <v>898</v>
      </c>
      <c r="P2521" s="122">
        <v>351</v>
      </c>
      <c r="Q2521" s="122">
        <v>130</v>
      </c>
      <c r="R2521" s="122">
        <v>8843</v>
      </c>
      <c r="S2521" s="122">
        <v>8039</v>
      </c>
      <c r="T2521" s="122">
        <v>0</v>
      </c>
      <c r="U2521" s="122">
        <v>0</v>
      </c>
      <c r="V2521" s="122">
        <v>55272</v>
      </c>
      <c r="W2521" s="122">
        <f t="shared" si="80"/>
        <v>55272</v>
      </c>
      <c r="X2521" s="122">
        <f t="shared" si="81"/>
        <v>62445</v>
      </c>
      <c r="AA2521" t="s">
        <v>64</v>
      </c>
      <c r="AB2521" t="s">
        <v>426</v>
      </c>
      <c r="AC2521" t="s">
        <v>566</v>
      </c>
      <c r="AD2521" t="s">
        <v>425</v>
      </c>
      <c r="AE2521" t="s">
        <v>566</v>
      </c>
      <c r="AF2521">
        <v>1</v>
      </c>
      <c r="AG2521">
        <v>110</v>
      </c>
      <c r="AH2521" s="122">
        <v>481</v>
      </c>
      <c r="AI2521" s="122">
        <v>46610</v>
      </c>
      <c r="AJ2521" s="122">
        <v>42373</v>
      </c>
      <c r="AK2521">
        <v>60</v>
      </c>
      <c r="AL2521">
        <v>0</v>
      </c>
      <c r="AM2521" s="122">
        <v>0</v>
      </c>
      <c r="AN2521" s="122">
        <v>2432</v>
      </c>
      <c r="AO2521" s="122">
        <v>901</v>
      </c>
      <c r="AP2521">
        <v>0</v>
      </c>
      <c r="AQ2521">
        <v>0</v>
      </c>
      <c r="AR2521" s="122">
        <v>4010</v>
      </c>
      <c r="AS2521" s="122">
        <v>3646</v>
      </c>
      <c r="AT2521" s="122">
        <v>0</v>
      </c>
      <c r="AU2521" s="122">
        <v>0</v>
      </c>
      <c r="AV2521" s="122">
        <v>46919</v>
      </c>
    </row>
    <row r="2522" spans="2:48" hidden="1">
      <c r="B2522" t="s">
        <v>380</v>
      </c>
      <c r="C2522" t="s">
        <v>64</v>
      </c>
      <c r="D2522" t="s">
        <v>407</v>
      </c>
      <c r="E2522" t="s">
        <v>407</v>
      </c>
      <c r="F2522" s="122">
        <v>1</v>
      </c>
      <c r="G2522" s="122">
        <v>84</v>
      </c>
      <c r="H2522" s="122">
        <v>483</v>
      </c>
      <c r="I2522" s="122">
        <v>28274</v>
      </c>
      <c r="J2522" s="122">
        <v>25703</v>
      </c>
      <c r="K2522" s="122">
        <v>65</v>
      </c>
      <c r="L2522" s="122">
        <v>4854</v>
      </c>
      <c r="M2522" s="122">
        <v>4412</v>
      </c>
      <c r="N2522" s="122">
        <v>1956</v>
      </c>
      <c r="O2522" s="122">
        <v>724</v>
      </c>
      <c r="P2522" s="122">
        <v>473</v>
      </c>
      <c r="Q2522" s="122">
        <v>175</v>
      </c>
      <c r="R2522" s="122">
        <v>3098</v>
      </c>
      <c r="S2522" s="122">
        <v>2816</v>
      </c>
      <c r="T2522" s="122">
        <v>1769</v>
      </c>
      <c r="U2522" s="122">
        <v>655</v>
      </c>
      <c r="V2522" s="122">
        <v>34486</v>
      </c>
      <c r="W2522" s="122">
        <f t="shared" si="80"/>
        <v>34485</v>
      </c>
      <c r="X2522" s="122">
        <f t="shared" si="81"/>
        <v>40424</v>
      </c>
      <c r="AA2522" t="s">
        <v>64</v>
      </c>
      <c r="AB2522" t="s">
        <v>426</v>
      </c>
      <c r="AC2522" t="s">
        <v>566</v>
      </c>
      <c r="AD2522" t="s">
        <v>137</v>
      </c>
      <c r="AE2522" t="s">
        <v>137</v>
      </c>
      <c r="AF2522">
        <v>4</v>
      </c>
      <c r="AG2522" s="122">
        <v>570</v>
      </c>
      <c r="AH2522" s="122">
        <v>5408</v>
      </c>
      <c r="AI2522" s="122">
        <v>593219</v>
      </c>
      <c r="AJ2522" s="122">
        <v>539290</v>
      </c>
      <c r="AK2522">
        <v>30</v>
      </c>
      <c r="AL2522">
        <v>0</v>
      </c>
      <c r="AM2522" s="122">
        <v>9668</v>
      </c>
      <c r="AN2522" s="122">
        <v>12557</v>
      </c>
      <c r="AO2522" s="122">
        <v>4651</v>
      </c>
      <c r="AP2522" s="122">
        <v>0</v>
      </c>
      <c r="AQ2522" s="122">
        <v>0</v>
      </c>
      <c r="AR2522" s="122">
        <v>45023</v>
      </c>
      <c r="AS2522" s="122">
        <v>16675</v>
      </c>
      <c r="AT2522" s="122">
        <v>5647</v>
      </c>
      <c r="AU2522" s="122">
        <v>2092</v>
      </c>
      <c r="AV2522" s="122">
        <v>572375</v>
      </c>
    </row>
    <row r="2523" spans="2:48" hidden="1">
      <c r="B2523" t="s">
        <v>380</v>
      </c>
      <c r="C2523" t="s">
        <v>64</v>
      </c>
      <c r="D2523" t="s">
        <v>556</v>
      </c>
      <c r="E2523" t="s">
        <v>556</v>
      </c>
      <c r="F2523" s="122">
        <v>2</v>
      </c>
      <c r="G2523" s="122">
        <v>176</v>
      </c>
      <c r="H2523" s="122">
        <v>2258</v>
      </c>
      <c r="I2523" s="122">
        <v>134379</v>
      </c>
      <c r="J2523" s="122">
        <v>111982</v>
      </c>
      <c r="K2523" s="122">
        <v>48</v>
      </c>
      <c r="L2523" s="122">
        <v>7845</v>
      </c>
      <c r="M2523" s="122">
        <v>6538</v>
      </c>
      <c r="N2523" s="122">
        <v>4237</v>
      </c>
      <c r="O2523" s="122">
        <v>1569</v>
      </c>
      <c r="P2523" s="122">
        <v>351</v>
      </c>
      <c r="Q2523" s="122">
        <v>130</v>
      </c>
      <c r="R2523" s="122">
        <v>11242</v>
      </c>
      <c r="S2523" s="122">
        <v>9369</v>
      </c>
      <c r="T2523" s="122">
        <v>1178</v>
      </c>
      <c r="U2523" s="122">
        <v>436</v>
      </c>
      <c r="V2523" s="122">
        <v>130024</v>
      </c>
      <c r="W2523" s="122">
        <f t="shared" si="80"/>
        <v>130024</v>
      </c>
      <c r="X2523" s="122">
        <f t="shared" si="81"/>
        <v>159232</v>
      </c>
      <c r="AA2523" t="s">
        <v>64</v>
      </c>
      <c r="AB2523" t="s">
        <v>426</v>
      </c>
      <c r="AC2523" t="s">
        <v>566</v>
      </c>
      <c r="AD2523" t="s">
        <v>137</v>
      </c>
      <c r="AE2523" t="s">
        <v>566</v>
      </c>
      <c r="AF2523">
        <v>247</v>
      </c>
      <c r="AG2523" s="122">
        <v>20155</v>
      </c>
      <c r="AH2523" s="122">
        <v>318987</v>
      </c>
      <c r="AI2523" s="122">
        <v>22811768</v>
      </c>
      <c r="AJ2523" s="122">
        <v>20737971</v>
      </c>
      <c r="AK2523">
        <v>35</v>
      </c>
      <c r="AL2523">
        <v>0</v>
      </c>
      <c r="AM2523" s="122">
        <v>4109844</v>
      </c>
      <c r="AN2523" s="122">
        <v>470093</v>
      </c>
      <c r="AO2523" s="122">
        <v>174108</v>
      </c>
      <c r="AP2523" s="122">
        <v>4914</v>
      </c>
      <c r="AQ2523" s="122">
        <v>1820</v>
      </c>
      <c r="AR2523" s="122">
        <v>1514369</v>
      </c>
      <c r="AS2523" s="122">
        <v>560877</v>
      </c>
      <c r="AT2523" s="122">
        <v>0</v>
      </c>
      <c r="AU2523" s="122">
        <v>0</v>
      </c>
      <c r="AV2523" s="122">
        <v>25584621</v>
      </c>
    </row>
    <row r="2524" spans="2:48" hidden="1">
      <c r="B2524" t="s">
        <v>380</v>
      </c>
      <c r="C2524" t="s">
        <v>64</v>
      </c>
      <c r="D2524" t="s">
        <v>428</v>
      </c>
      <c r="E2524" t="s">
        <v>428</v>
      </c>
      <c r="F2524" s="122">
        <v>6</v>
      </c>
      <c r="G2524" s="122">
        <v>664</v>
      </c>
      <c r="H2524" s="122">
        <v>4205</v>
      </c>
      <c r="I2524" s="122">
        <v>343715</v>
      </c>
      <c r="J2524" s="122">
        <v>312468</v>
      </c>
      <c r="K2524" s="122">
        <v>47</v>
      </c>
      <c r="L2524" s="122">
        <v>47596</v>
      </c>
      <c r="M2524" s="122">
        <v>43269</v>
      </c>
      <c r="N2524" s="122">
        <v>12509</v>
      </c>
      <c r="O2524" s="122">
        <v>4633</v>
      </c>
      <c r="P2524" s="122">
        <v>2106</v>
      </c>
      <c r="Q2524" s="122">
        <v>780</v>
      </c>
      <c r="R2524" s="122">
        <v>39263</v>
      </c>
      <c r="S2524" s="122">
        <v>35694</v>
      </c>
      <c r="T2524" s="122">
        <v>11911</v>
      </c>
      <c r="U2524" s="122">
        <v>4411</v>
      </c>
      <c r="V2524" s="122">
        <v>401256</v>
      </c>
      <c r="W2524" s="122">
        <f t="shared" si="80"/>
        <v>401255</v>
      </c>
      <c r="X2524" s="122">
        <f t="shared" si="81"/>
        <v>457100</v>
      </c>
      <c r="AA2524" t="s">
        <v>64</v>
      </c>
      <c r="AB2524" t="s">
        <v>426</v>
      </c>
      <c r="AC2524" t="s">
        <v>566</v>
      </c>
      <c r="AD2524" t="s">
        <v>406</v>
      </c>
      <c r="AE2524" t="s">
        <v>137</v>
      </c>
      <c r="AF2524">
        <v>2</v>
      </c>
      <c r="AG2524">
        <v>296</v>
      </c>
      <c r="AH2524" s="122">
        <v>1271</v>
      </c>
      <c r="AI2524" s="122">
        <v>161775</v>
      </c>
      <c r="AJ2524" s="122">
        <v>147068</v>
      </c>
      <c r="AK2524">
        <v>45</v>
      </c>
      <c r="AL2524">
        <v>0</v>
      </c>
      <c r="AM2524">
        <v>0</v>
      </c>
      <c r="AN2524" s="122">
        <v>6867</v>
      </c>
      <c r="AO2524" s="122">
        <v>2543</v>
      </c>
      <c r="AP2524">
        <v>351</v>
      </c>
      <c r="AQ2524">
        <v>130</v>
      </c>
      <c r="AR2524" s="122">
        <v>16067</v>
      </c>
      <c r="AS2524" s="122">
        <v>14606</v>
      </c>
      <c r="AT2524" s="122">
        <v>5546</v>
      </c>
      <c r="AU2524" s="122">
        <v>2054</v>
      </c>
      <c r="AV2524" s="122">
        <v>166401</v>
      </c>
    </row>
    <row r="2525" spans="2:48" hidden="1">
      <c r="B2525" t="s">
        <v>380</v>
      </c>
      <c r="C2525" t="s">
        <v>64</v>
      </c>
      <c r="D2525" t="s">
        <v>428</v>
      </c>
      <c r="E2525" t="s">
        <v>426</v>
      </c>
      <c r="F2525" s="122">
        <v>1</v>
      </c>
      <c r="G2525" s="122">
        <v>65</v>
      </c>
      <c r="H2525" s="122">
        <v>691</v>
      </c>
      <c r="I2525" s="122">
        <v>30861</v>
      </c>
      <c r="J2525" s="122">
        <v>28056</v>
      </c>
      <c r="K2525" s="122">
        <v>65</v>
      </c>
      <c r="L2525" s="122">
        <v>5471</v>
      </c>
      <c r="M2525" s="122">
        <v>2026</v>
      </c>
      <c r="N2525" s="122">
        <v>1584</v>
      </c>
      <c r="O2525" s="122">
        <v>587</v>
      </c>
      <c r="P2525" s="122">
        <v>351</v>
      </c>
      <c r="Q2525" s="122">
        <v>130</v>
      </c>
      <c r="R2525" s="122">
        <v>6634</v>
      </c>
      <c r="S2525" s="122">
        <v>6031</v>
      </c>
      <c r="T2525" s="122">
        <v>0</v>
      </c>
      <c r="U2525" s="122">
        <v>0</v>
      </c>
      <c r="V2525" s="122">
        <v>36829</v>
      </c>
      <c r="W2525" s="122">
        <f t="shared" si="80"/>
        <v>36830</v>
      </c>
      <c r="X2525" s="122">
        <f t="shared" si="81"/>
        <v>44901</v>
      </c>
      <c r="AA2525" t="s">
        <v>64</v>
      </c>
      <c r="AB2525" t="s">
        <v>426</v>
      </c>
      <c r="AC2525" t="s">
        <v>566</v>
      </c>
      <c r="AD2525" t="s">
        <v>406</v>
      </c>
      <c r="AE2525" t="s">
        <v>566</v>
      </c>
      <c r="AF2525">
        <v>1</v>
      </c>
      <c r="AG2525" s="122">
        <v>54</v>
      </c>
      <c r="AH2525" s="122">
        <v>464</v>
      </c>
      <c r="AI2525" s="122">
        <v>17944</v>
      </c>
      <c r="AJ2525" s="122">
        <v>16312</v>
      </c>
      <c r="AK2525">
        <v>55</v>
      </c>
      <c r="AL2525">
        <v>0</v>
      </c>
      <c r="AM2525" s="122">
        <v>0</v>
      </c>
      <c r="AN2525" s="122">
        <v>1326</v>
      </c>
      <c r="AO2525" s="122">
        <v>491</v>
      </c>
      <c r="AP2525" s="122">
        <v>351</v>
      </c>
      <c r="AQ2525" s="122">
        <v>130</v>
      </c>
      <c r="AR2525" s="122">
        <v>5624</v>
      </c>
      <c r="AS2525" s="122">
        <v>5112</v>
      </c>
      <c r="AT2525" s="122">
        <v>0</v>
      </c>
      <c r="AU2525" s="122">
        <v>0</v>
      </c>
      <c r="AV2525" s="122">
        <v>22046</v>
      </c>
    </row>
    <row r="2526" spans="2:48" hidden="1">
      <c r="B2526" t="s">
        <v>380</v>
      </c>
      <c r="C2526" t="s">
        <v>64</v>
      </c>
      <c r="D2526" t="s">
        <v>431</v>
      </c>
      <c r="E2526" t="s">
        <v>137</v>
      </c>
      <c r="F2526" s="122">
        <v>1</v>
      </c>
      <c r="G2526" s="122">
        <v>49</v>
      </c>
      <c r="H2526" s="122">
        <v>1282</v>
      </c>
      <c r="I2526" s="122">
        <v>52987</v>
      </c>
      <c r="J2526" s="122">
        <v>48170</v>
      </c>
      <c r="K2526" s="122">
        <v>30</v>
      </c>
      <c r="L2526" s="122">
        <v>4335</v>
      </c>
      <c r="M2526" s="122">
        <v>1606</v>
      </c>
      <c r="N2526" s="122">
        <v>595</v>
      </c>
      <c r="O2526" s="122">
        <v>220</v>
      </c>
      <c r="P2526" s="122">
        <v>0</v>
      </c>
      <c r="Q2526" s="122">
        <v>0</v>
      </c>
      <c r="R2526" s="122">
        <v>4657</v>
      </c>
      <c r="S2526" s="122">
        <v>1725</v>
      </c>
      <c r="T2526" s="122">
        <v>0</v>
      </c>
      <c r="U2526" s="122">
        <v>0</v>
      </c>
      <c r="V2526" s="122">
        <v>51721</v>
      </c>
      <c r="W2526" s="122">
        <f t="shared" si="80"/>
        <v>51721</v>
      </c>
      <c r="X2526" s="122">
        <f t="shared" si="81"/>
        <v>62574</v>
      </c>
      <c r="AA2526" t="s">
        <v>64</v>
      </c>
      <c r="AB2526" t="s">
        <v>426</v>
      </c>
      <c r="AC2526" t="s">
        <v>566</v>
      </c>
      <c r="AD2526" t="s">
        <v>426</v>
      </c>
      <c r="AE2526" t="s">
        <v>137</v>
      </c>
      <c r="AF2526">
        <v>533</v>
      </c>
      <c r="AG2526" s="122">
        <v>37087</v>
      </c>
      <c r="AH2526" s="122">
        <v>363417</v>
      </c>
      <c r="AI2526" s="122">
        <v>20228119</v>
      </c>
      <c r="AJ2526" s="122">
        <v>18389199</v>
      </c>
      <c r="AK2526">
        <v>54</v>
      </c>
      <c r="AL2526">
        <v>0</v>
      </c>
      <c r="AM2526" s="122">
        <v>193293</v>
      </c>
      <c r="AN2526" s="122">
        <v>784562</v>
      </c>
      <c r="AO2526" s="122">
        <v>290579</v>
      </c>
      <c r="AP2526" s="122">
        <v>180420</v>
      </c>
      <c r="AQ2526" s="122">
        <v>66822</v>
      </c>
      <c r="AR2526" s="122">
        <v>2758354</v>
      </c>
      <c r="AS2526" s="122">
        <v>2507595</v>
      </c>
      <c r="AT2526" s="122">
        <v>1120633</v>
      </c>
      <c r="AU2526" s="122">
        <v>415049</v>
      </c>
      <c r="AV2526" s="122">
        <v>21862537</v>
      </c>
    </row>
    <row r="2527" spans="2:48" hidden="1">
      <c r="B2527" t="s">
        <v>380</v>
      </c>
      <c r="C2527" t="s">
        <v>64</v>
      </c>
      <c r="D2527" t="s">
        <v>431</v>
      </c>
      <c r="E2527" t="s">
        <v>431</v>
      </c>
      <c r="F2527" s="122">
        <v>36</v>
      </c>
      <c r="G2527" s="122">
        <v>3222</v>
      </c>
      <c r="H2527" s="122">
        <v>25445</v>
      </c>
      <c r="I2527" s="122">
        <v>1592008</v>
      </c>
      <c r="J2527" s="122">
        <v>1447280</v>
      </c>
      <c r="K2527" s="122">
        <v>49</v>
      </c>
      <c r="L2527" s="122">
        <v>220514</v>
      </c>
      <c r="M2527" s="122">
        <v>193114</v>
      </c>
      <c r="N2527" s="122">
        <v>67233</v>
      </c>
      <c r="O2527" s="122">
        <v>24901</v>
      </c>
      <c r="P2527" s="122">
        <v>11934</v>
      </c>
      <c r="Q2527" s="122">
        <v>4420</v>
      </c>
      <c r="R2527" s="122">
        <v>247332</v>
      </c>
      <c r="S2527" s="122">
        <v>224847</v>
      </c>
      <c r="T2527" s="122">
        <v>60840</v>
      </c>
      <c r="U2527" s="122">
        <v>22533</v>
      </c>
      <c r="V2527" s="122">
        <v>1917095</v>
      </c>
      <c r="W2527" s="122">
        <f t="shared" si="80"/>
        <v>1917095</v>
      </c>
      <c r="X2527" s="122">
        <f t="shared" si="81"/>
        <v>2199861</v>
      </c>
      <c r="AA2527" t="s">
        <v>64</v>
      </c>
      <c r="AB2527" t="s">
        <v>426</v>
      </c>
      <c r="AC2527" t="s">
        <v>566</v>
      </c>
      <c r="AD2527" t="s">
        <v>426</v>
      </c>
      <c r="AE2527" t="s">
        <v>566</v>
      </c>
      <c r="AF2527">
        <v>81</v>
      </c>
      <c r="AG2527" s="122">
        <v>5592</v>
      </c>
      <c r="AH2527" s="122">
        <v>67477</v>
      </c>
      <c r="AI2527" s="122">
        <v>3883946</v>
      </c>
      <c r="AJ2527" s="122">
        <v>3530860</v>
      </c>
      <c r="AK2527">
        <v>51</v>
      </c>
      <c r="AL2527">
        <v>0</v>
      </c>
      <c r="AM2527" s="122">
        <v>101288</v>
      </c>
      <c r="AN2527" s="122">
        <v>124200</v>
      </c>
      <c r="AO2527" s="122">
        <v>46000</v>
      </c>
      <c r="AP2527" s="122">
        <v>19473</v>
      </c>
      <c r="AQ2527" s="122">
        <v>7212</v>
      </c>
      <c r="AR2527" s="122">
        <v>581935</v>
      </c>
      <c r="AS2527" s="122">
        <v>529032</v>
      </c>
      <c r="AT2527" s="122">
        <v>0</v>
      </c>
      <c r="AU2527">
        <v>0</v>
      </c>
      <c r="AV2527" s="122">
        <v>4214392</v>
      </c>
    </row>
    <row r="2528" spans="2:48" hidden="1">
      <c r="B2528" t="s">
        <v>380</v>
      </c>
      <c r="C2528" t="s">
        <v>64</v>
      </c>
      <c r="D2528" t="s">
        <v>426</v>
      </c>
      <c r="E2528" t="s">
        <v>137</v>
      </c>
      <c r="F2528" s="122">
        <v>22</v>
      </c>
      <c r="G2528" s="122">
        <v>1902</v>
      </c>
      <c r="H2528" s="122">
        <v>25717</v>
      </c>
      <c r="I2528" s="122">
        <v>1776216</v>
      </c>
      <c r="J2528" s="122">
        <v>1614742</v>
      </c>
      <c r="K2528" s="122">
        <v>40</v>
      </c>
      <c r="L2528" s="122">
        <v>176420</v>
      </c>
      <c r="M2528" s="122">
        <v>128105</v>
      </c>
      <c r="N2528" s="122">
        <v>41138</v>
      </c>
      <c r="O2528" s="122">
        <v>15236</v>
      </c>
      <c r="P2528" s="122">
        <v>1169</v>
      </c>
      <c r="Q2528" s="122">
        <v>433</v>
      </c>
      <c r="R2528" s="122">
        <v>116538</v>
      </c>
      <c r="S2528" s="122">
        <v>43162</v>
      </c>
      <c r="T2528" s="122">
        <v>0</v>
      </c>
      <c r="U2528" s="122">
        <v>0</v>
      </c>
      <c r="V2528" s="122">
        <v>1801678</v>
      </c>
      <c r="W2528" s="122">
        <f t="shared" si="80"/>
        <v>1801678</v>
      </c>
      <c r="X2528" s="122">
        <f t="shared" si="81"/>
        <v>2111481</v>
      </c>
      <c r="AA2528" t="s">
        <v>64</v>
      </c>
      <c r="AB2528" t="s">
        <v>426</v>
      </c>
      <c r="AC2528" t="s">
        <v>566</v>
      </c>
      <c r="AD2528" t="s">
        <v>481</v>
      </c>
      <c r="AE2528" t="s">
        <v>137</v>
      </c>
      <c r="AF2528">
        <v>1</v>
      </c>
      <c r="AG2528">
        <v>129</v>
      </c>
      <c r="AH2528" s="122">
        <v>569</v>
      </c>
      <c r="AI2528" s="122">
        <v>63342</v>
      </c>
      <c r="AJ2528" s="122">
        <v>57584</v>
      </c>
      <c r="AK2528">
        <v>65</v>
      </c>
      <c r="AL2528" s="122">
        <v>0</v>
      </c>
      <c r="AM2528" s="122">
        <v>0</v>
      </c>
      <c r="AN2528" s="122">
        <v>3147</v>
      </c>
      <c r="AO2528" s="122">
        <v>1166</v>
      </c>
      <c r="AP2528" s="122">
        <v>351</v>
      </c>
      <c r="AQ2528">
        <v>130</v>
      </c>
      <c r="AR2528" s="122">
        <v>4358</v>
      </c>
      <c r="AS2528" s="122">
        <v>3962</v>
      </c>
      <c r="AT2528" s="122">
        <v>2338</v>
      </c>
      <c r="AU2528" s="122">
        <v>866</v>
      </c>
      <c r="AV2528" s="122">
        <v>63708</v>
      </c>
    </row>
    <row r="2529" spans="2:48" hidden="1">
      <c r="B2529" t="s">
        <v>380</v>
      </c>
      <c r="C2529" t="s">
        <v>64</v>
      </c>
      <c r="D2529" t="s">
        <v>426</v>
      </c>
      <c r="E2529" t="s">
        <v>406</v>
      </c>
      <c r="F2529" s="122">
        <v>1</v>
      </c>
      <c r="G2529" s="122">
        <v>140</v>
      </c>
      <c r="H2529" s="122">
        <v>474</v>
      </c>
      <c r="I2529" s="122">
        <v>54231</v>
      </c>
      <c r="J2529" s="122">
        <v>49301</v>
      </c>
      <c r="K2529" s="122">
        <v>60</v>
      </c>
      <c r="L2529" s="122">
        <v>0</v>
      </c>
      <c r="M2529" s="122">
        <v>0</v>
      </c>
      <c r="N2529" s="122">
        <v>3070</v>
      </c>
      <c r="O2529" s="122">
        <v>1137</v>
      </c>
      <c r="P2529" s="122">
        <v>351</v>
      </c>
      <c r="Q2529" s="122">
        <v>130</v>
      </c>
      <c r="R2529" s="122">
        <v>5798</v>
      </c>
      <c r="S2529" s="122">
        <v>5271</v>
      </c>
      <c r="T2529" s="122">
        <v>2908</v>
      </c>
      <c r="U2529" s="122">
        <v>1077</v>
      </c>
      <c r="V2529" s="122">
        <v>56916</v>
      </c>
      <c r="W2529" s="122">
        <f t="shared" si="80"/>
        <v>56916</v>
      </c>
      <c r="X2529" s="122">
        <f t="shared" si="81"/>
        <v>66358</v>
      </c>
      <c r="AA2529" t="s">
        <v>64</v>
      </c>
      <c r="AB2529" t="s">
        <v>426</v>
      </c>
      <c r="AC2529" t="s">
        <v>481</v>
      </c>
      <c r="AD2529" t="s">
        <v>426</v>
      </c>
      <c r="AE2529" t="s">
        <v>137</v>
      </c>
      <c r="AF2529">
        <v>6</v>
      </c>
      <c r="AG2529">
        <v>451</v>
      </c>
      <c r="AH2529" s="122">
        <v>4052</v>
      </c>
      <c r="AI2529" s="122">
        <v>202630</v>
      </c>
      <c r="AJ2529" s="122">
        <v>184209</v>
      </c>
      <c r="AK2529">
        <v>53</v>
      </c>
      <c r="AL2529" s="122">
        <v>33606</v>
      </c>
      <c r="AM2529" s="122">
        <v>30551</v>
      </c>
      <c r="AN2529" s="122">
        <v>8114</v>
      </c>
      <c r="AO2529" s="122">
        <v>3005</v>
      </c>
      <c r="AP2529" s="122">
        <v>1404</v>
      </c>
      <c r="AQ2529">
        <v>520</v>
      </c>
      <c r="AR2529" s="122">
        <v>35944</v>
      </c>
      <c r="AS2529" s="122">
        <v>32676</v>
      </c>
      <c r="AT2529" s="122">
        <v>12820</v>
      </c>
      <c r="AU2529" s="122">
        <v>4748</v>
      </c>
      <c r="AV2529" s="122">
        <v>255709</v>
      </c>
    </row>
    <row r="2530" spans="2:48" hidden="1">
      <c r="B2530" t="s">
        <v>380</v>
      </c>
      <c r="C2530" t="s">
        <v>64</v>
      </c>
      <c r="D2530" t="s">
        <v>426</v>
      </c>
      <c r="E2530" t="s">
        <v>426</v>
      </c>
      <c r="F2530" s="122">
        <v>228</v>
      </c>
      <c r="G2530" s="122">
        <v>21495</v>
      </c>
      <c r="H2530" s="122">
        <v>161319</v>
      </c>
      <c r="I2530" s="122">
        <v>10827789</v>
      </c>
      <c r="J2530" s="122">
        <v>9843444</v>
      </c>
      <c r="K2530" s="122">
        <v>51</v>
      </c>
      <c r="L2530" s="122">
        <v>1595332</v>
      </c>
      <c r="M2530" s="122">
        <v>1405633</v>
      </c>
      <c r="N2530" s="122">
        <v>445395</v>
      </c>
      <c r="O2530" s="122">
        <v>164961</v>
      </c>
      <c r="P2530" s="122">
        <v>77436</v>
      </c>
      <c r="Q2530" s="122">
        <v>28680</v>
      </c>
      <c r="R2530" s="122">
        <v>1475870</v>
      </c>
      <c r="S2530" s="122">
        <v>1341700</v>
      </c>
      <c r="T2530" s="122">
        <v>471549</v>
      </c>
      <c r="U2530" s="122">
        <v>174648</v>
      </c>
      <c r="V2530" s="122">
        <v>12959066</v>
      </c>
      <c r="W2530" s="122">
        <f t="shared" si="80"/>
        <v>12959066</v>
      </c>
      <c r="X2530" s="122">
        <f t="shared" si="81"/>
        <v>14893371</v>
      </c>
      <c r="AA2530" t="s">
        <v>64</v>
      </c>
      <c r="AB2530" t="s">
        <v>426</v>
      </c>
      <c r="AC2530" t="s">
        <v>481</v>
      </c>
      <c r="AD2530" t="s">
        <v>426</v>
      </c>
      <c r="AE2530" t="s">
        <v>566</v>
      </c>
      <c r="AF2530">
        <v>1</v>
      </c>
      <c r="AG2530">
        <v>42</v>
      </c>
      <c r="AH2530" s="122">
        <v>903</v>
      </c>
      <c r="AI2530" s="122">
        <v>51782</v>
      </c>
      <c r="AJ2530" s="122">
        <v>47074</v>
      </c>
      <c r="AK2530">
        <v>45</v>
      </c>
      <c r="AL2530" s="122">
        <v>8189</v>
      </c>
      <c r="AM2530" s="122">
        <v>7445</v>
      </c>
      <c r="AN2530" s="122">
        <v>1864</v>
      </c>
      <c r="AO2530" s="122">
        <v>690</v>
      </c>
      <c r="AP2530" s="122">
        <v>0</v>
      </c>
      <c r="AQ2530">
        <v>0</v>
      </c>
      <c r="AR2530" s="122">
        <v>7245</v>
      </c>
      <c r="AS2530" s="122">
        <v>6587</v>
      </c>
      <c r="AT2530" s="122">
        <v>0</v>
      </c>
      <c r="AU2530">
        <v>0</v>
      </c>
      <c r="AV2530" s="122">
        <v>61796</v>
      </c>
    </row>
    <row r="2531" spans="2:48" hidden="1">
      <c r="B2531" t="s">
        <v>380</v>
      </c>
      <c r="C2531" t="s">
        <v>64</v>
      </c>
      <c r="D2531" t="s">
        <v>433</v>
      </c>
      <c r="E2531" t="s">
        <v>433</v>
      </c>
      <c r="F2531" s="122">
        <v>1</v>
      </c>
      <c r="G2531" s="122">
        <v>81</v>
      </c>
      <c r="H2531" s="122">
        <v>666</v>
      </c>
      <c r="I2531" s="122">
        <v>38148</v>
      </c>
      <c r="J2531" s="122">
        <v>34680</v>
      </c>
      <c r="K2531" s="122">
        <v>65</v>
      </c>
      <c r="L2531" s="122">
        <v>9184</v>
      </c>
      <c r="M2531" s="122">
        <v>8349</v>
      </c>
      <c r="N2531" s="122">
        <v>1084</v>
      </c>
      <c r="O2531" s="122">
        <v>402</v>
      </c>
      <c r="P2531" s="122">
        <v>351</v>
      </c>
      <c r="Q2531" s="122">
        <v>130</v>
      </c>
      <c r="R2531" s="122">
        <v>3180</v>
      </c>
      <c r="S2531" s="122">
        <v>2891</v>
      </c>
      <c r="T2531" s="122">
        <v>1955</v>
      </c>
      <c r="U2531" s="122">
        <v>724</v>
      </c>
      <c r="V2531" s="122">
        <v>47175</v>
      </c>
      <c r="W2531" s="122">
        <f t="shared" si="80"/>
        <v>47176</v>
      </c>
      <c r="X2531" s="122">
        <f t="shared" si="81"/>
        <v>53902</v>
      </c>
      <c r="AA2531" t="s">
        <v>64</v>
      </c>
      <c r="AB2531" t="s">
        <v>426</v>
      </c>
      <c r="AC2531" t="s">
        <v>433</v>
      </c>
      <c r="AD2531" t="s">
        <v>426</v>
      </c>
      <c r="AE2531" t="s">
        <v>137</v>
      </c>
      <c r="AF2531">
        <v>3</v>
      </c>
      <c r="AG2531">
        <v>259</v>
      </c>
      <c r="AH2531" s="122">
        <v>1563</v>
      </c>
      <c r="AI2531" s="122">
        <v>91742</v>
      </c>
      <c r="AJ2531" s="122">
        <v>83402</v>
      </c>
      <c r="AK2531">
        <v>52</v>
      </c>
      <c r="AL2531" s="122">
        <v>11440</v>
      </c>
      <c r="AM2531" s="122">
        <v>10400</v>
      </c>
      <c r="AN2531" s="122">
        <v>4052</v>
      </c>
      <c r="AO2531" s="122">
        <v>1501</v>
      </c>
      <c r="AP2531" s="122">
        <v>1053</v>
      </c>
      <c r="AQ2531">
        <v>390</v>
      </c>
      <c r="AR2531" s="122">
        <v>21300</v>
      </c>
      <c r="AS2531" s="122">
        <v>19363</v>
      </c>
      <c r="AT2531" s="122">
        <v>1515</v>
      </c>
      <c r="AU2531">
        <v>561</v>
      </c>
      <c r="AV2531" s="122">
        <v>115617</v>
      </c>
    </row>
    <row r="2532" spans="2:48" hidden="1">
      <c r="B2532" t="s">
        <v>380</v>
      </c>
      <c r="C2532" t="s">
        <v>64</v>
      </c>
      <c r="D2532" t="s">
        <v>429</v>
      </c>
      <c r="E2532" t="s">
        <v>429</v>
      </c>
      <c r="F2532" s="122">
        <v>1</v>
      </c>
      <c r="G2532" s="122">
        <v>81</v>
      </c>
      <c r="H2532" s="122">
        <v>543</v>
      </c>
      <c r="I2532" s="122">
        <v>31866</v>
      </c>
      <c r="J2532" s="122">
        <v>28969</v>
      </c>
      <c r="K2532" s="122">
        <v>65</v>
      </c>
      <c r="L2532" s="122">
        <v>3836</v>
      </c>
      <c r="M2532" s="122">
        <v>3487</v>
      </c>
      <c r="N2532" s="122">
        <v>1678</v>
      </c>
      <c r="O2532" s="122">
        <v>621</v>
      </c>
      <c r="P2532" s="122">
        <v>351</v>
      </c>
      <c r="Q2532" s="122">
        <v>130</v>
      </c>
      <c r="R2532" s="122">
        <v>4100</v>
      </c>
      <c r="S2532" s="122">
        <v>3727</v>
      </c>
      <c r="T2532" s="122">
        <v>2135</v>
      </c>
      <c r="U2532" s="122">
        <v>791</v>
      </c>
      <c r="V2532" s="122">
        <v>37726</v>
      </c>
      <c r="W2532" s="122">
        <f t="shared" si="80"/>
        <v>37725</v>
      </c>
      <c r="X2532" s="122">
        <f t="shared" si="81"/>
        <v>43966</v>
      </c>
      <c r="AA2532" t="s">
        <v>64</v>
      </c>
      <c r="AB2532" t="s">
        <v>481</v>
      </c>
      <c r="AC2532" t="s">
        <v>137</v>
      </c>
      <c r="AD2532" t="s">
        <v>137</v>
      </c>
      <c r="AE2532" t="s">
        <v>566</v>
      </c>
      <c r="AF2532">
        <v>2</v>
      </c>
      <c r="AG2532">
        <v>262</v>
      </c>
      <c r="AH2532" s="122">
        <v>1763</v>
      </c>
      <c r="AI2532" s="122">
        <v>187999</v>
      </c>
      <c r="AJ2532" s="122">
        <v>170908</v>
      </c>
      <c r="AK2532">
        <v>30</v>
      </c>
      <c r="AL2532" s="122">
        <v>20620</v>
      </c>
      <c r="AM2532" s="122">
        <v>7637</v>
      </c>
      <c r="AN2532" s="122">
        <v>6382</v>
      </c>
      <c r="AO2532" s="122">
        <v>2364</v>
      </c>
      <c r="AP2532">
        <v>0</v>
      </c>
      <c r="AQ2532">
        <v>0</v>
      </c>
      <c r="AR2532" s="122">
        <v>12144</v>
      </c>
      <c r="AS2532" s="122">
        <v>4498</v>
      </c>
      <c r="AT2532" s="122">
        <v>0</v>
      </c>
      <c r="AU2532">
        <v>0</v>
      </c>
      <c r="AV2532" s="122">
        <v>185406</v>
      </c>
    </row>
    <row r="2533" spans="2:48" hidden="1">
      <c r="B2533" t="s">
        <v>381</v>
      </c>
      <c r="C2533" t="s">
        <v>48</v>
      </c>
      <c r="D2533" t="s">
        <v>405</v>
      </c>
      <c r="E2533" t="s">
        <v>405</v>
      </c>
      <c r="F2533" s="122">
        <v>2</v>
      </c>
      <c r="G2533" s="122">
        <v>678</v>
      </c>
      <c r="H2533" s="122">
        <v>120</v>
      </c>
      <c r="I2533" s="122">
        <v>16547</v>
      </c>
      <c r="J2533" s="122">
        <v>15042</v>
      </c>
      <c r="K2533" s="122">
        <v>91</v>
      </c>
      <c r="L2533" s="122">
        <v>2050</v>
      </c>
      <c r="M2533" s="122">
        <v>1864</v>
      </c>
      <c r="N2533" s="122">
        <v>8919</v>
      </c>
      <c r="O2533" s="122">
        <v>3304</v>
      </c>
      <c r="P2533" s="122">
        <v>6882</v>
      </c>
      <c r="Q2533" s="122">
        <v>2549</v>
      </c>
      <c r="R2533" s="122">
        <v>3271</v>
      </c>
      <c r="S2533" s="122">
        <v>2974</v>
      </c>
      <c r="T2533" s="122">
        <v>0</v>
      </c>
      <c r="U2533" s="122">
        <v>0</v>
      </c>
      <c r="V2533" s="122">
        <v>25732</v>
      </c>
      <c r="W2533" s="122">
        <f t="shared" si="80"/>
        <v>25733</v>
      </c>
      <c r="X2533" s="122">
        <f t="shared" si="81"/>
        <v>37669</v>
      </c>
      <c r="AA2533" t="s">
        <v>64</v>
      </c>
      <c r="AB2533" t="s">
        <v>481</v>
      </c>
      <c r="AC2533" t="s">
        <v>426</v>
      </c>
      <c r="AD2533" t="s">
        <v>426</v>
      </c>
      <c r="AE2533" t="s">
        <v>137</v>
      </c>
      <c r="AF2533">
        <v>1</v>
      </c>
      <c r="AG2533">
        <v>104</v>
      </c>
      <c r="AH2533">
        <v>527</v>
      </c>
      <c r="AI2533" s="122">
        <v>36591</v>
      </c>
      <c r="AJ2533" s="122">
        <v>33264</v>
      </c>
      <c r="AK2533">
        <v>65</v>
      </c>
      <c r="AL2533" s="122">
        <v>8809</v>
      </c>
      <c r="AM2533" s="122">
        <v>8008</v>
      </c>
      <c r="AN2533" s="122">
        <v>2174</v>
      </c>
      <c r="AO2533">
        <v>805</v>
      </c>
      <c r="AP2533">
        <v>351</v>
      </c>
      <c r="AQ2533">
        <v>130</v>
      </c>
      <c r="AR2533" s="122">
        <v>4542</v>
      </c>
      <c r="AS2533" s="122">
        <v>4129</v>
      </c>
      <c r="AT2533" s="122">
        <v>2482</v>
      </c>
      <c r="AU2533">
        <v>919</v>
      </c>
      <c r="AV2533" s="122">
        <v>47256</v>
      </c>
    </row>
    <row r="2534" spans="2:48" hidden="1">
      <c r="B2534" t="s">
        <v>381</v>
      </c>
      <c r="C2534" t="s">
        <v>48</v>
      </c>
      <c r="D2534" t="s">
        <v>137</v>
      </c>
      <c r="E2534" t="s">
        <v>137</v>
      </c>
      <c r="F2534" s="122">
        <v>62</v>
      </c>
      <c r="G2534" s="122">
        <v>13692</v>
      </c>
      <c r="H2534" s="122">
        <v>3585</v>
      </c>
      <c r="I2534" s="122">
        <v>135912</v>
      </c>
      <c r="J2534" s="122">
        <v>50338</v>
      </c>
      <c r="K2534" s="122">
        <v>451</v>
      </c>
      <c r="L2534" s="122">
        <v>39595</v>
      </c>
      <c r="M2534" s="122">
        <v>35337</v>
      </c>
      <c r="N2534" s="122">
        <v>191166</v>
      </c>
      <c r="O2534" s="122">
        <v>70802</v>
      </c>
      <c r="P2534" s="122">
        <v>95513</v>
      </c>
      <c r="Q2534" s="122">
        <v>35375</v>
      </c>
      <c r="R2534" s="122">
        <v>316782</v>
      </c>
      <c r="S2534" s="122">
        <v>117327</v>
      </c>
      <c r="T2534" s="122">
        <v>0</v>
      </c>
      <c r="U2534" s="122">
        <v>0</v>
      </c>
      <c r="V2534" s="122">
        <v>309179</v>
      </c>
      <c r="W2534" s="122">
        <f t="shared" si="80"/>
        <v>309179</v>
      </c>
      <c r="X2534" s="122">
        <f t="shared" si="81"/>
        <v>778968</v>
      </c>
      <c r="AA2534" t="s">
        <v>64</v>
      </c>
      <c r="AB2534" t="s">
        <v>481</v>
      </c>
      <c r="AC2534" t="s">
        <v>426</v>
      </c>
      <c r="AD2534" t="s">
        <v>426</v>
      </c>
      <c r="AE2534" t="s">
        <v>566</v>
      </c>
      <c r="AF2534">
        <v>1</v>
      </c>
      <c r="AG2534">
        <v>68</v>
      </c>
      <c r="AH2534">
        <v>715</v>
      </c>
      <c r="AI2534" s="122">
        <v>33501</v>
      </c>
      <c r="AJ2534" s="122">
        <v>30455</v>
      </c>
      <c r="AK2534">
        <v>60</v>
      </c>
      <c r="AL2534" s="122">
        <v>7445</v>
      </c>
      <c r="AM2534" s="122">
        <v>6768</v>
      </c>
      <c r="AN2534" s="122">
        <v>1284</v>
      </c>
      <c r="AO2534">
        <v>476</v>
      </c>
      <c r="AP2534">
        <v>0</v>
      </c>
      <c r="AQ2534">
        <v>0</v>
      </c>
      <c r="AR2534" s="122">
        <v>6357</v>
      </c>
      <c r="AS2534" s="122">
        <v>5779</v>
      </c>
      <c r="AT2534" s="122">
        <v>0</v>
      </c>
      <c r="AU2534">
        <v>0</v>
      </c>
      <c r="AV2534" s="122">
        <v>43477</v>
      </c>
    </row>
    <row r="2535" spans="2:48" hidden="1">
      <c r="B2535" t="s">
        <v>381</v>
      </c>
      <c r="C2535" t="s">
        <v>48</v>
      </c>
      <c r="D2535" t="s">
        <v>406</v>
      </c>
      <c r="E2535" t="s">
        <v>430</v>
      </c>
      <c r="F2535" s="122">
        <v>1</v>
      </c>
      <c r="G2535" s="122">
        <v>166</v>
      </c>
      <c r="H2535" s="122">
        <v>61</v>
      </c>
      <c r="I2535" s="122">
        <v>4399</v>
      </c>
      <c r="J2535" s="122">
        <v>3999</v>
      </c>
      <c r="K2535" s="122">
        <v>93</v>
      </c>
      <c r="L2535" s="122">
        <v>0</v>
      </c>
      <c r="M2535" s="122">
        <v>0</v>
      </c>
      <c r="N2535" s="122">
        <v>2016</v>
      </c>
      <c r="O2535" s="122">
        <v>747</v>
      </c>
      <c r="P2535" s="122">
        <v>621</v>
      </c>
      <c r="Q2535" s="122">
        <v>230</v>
      </c>
      <c r="R2535" s="122">
        <v>3015</v>
      </c>
      <c r="S2535" s="122">
        <v>1117</v>
      </c>
      <c r="T2535" s="122">
        <v>0</v>
      </c>
      <c r="U2535" s="122">
        <v>0</v>
      </c>
      <c r="V2535" s="122">
        <v>6093</v>
      </c>
      <c r="W2535" s="122">
        <f t="shared" si="80"/>
        <v>6093</v>
      </c>
      <c r="X2535" s="122">
        <f t="shared" si="81"/>
        <v>10051</v>
      </c>
      <c r="AA2535" t="s">
        <v>64</v>
      </c>
      <c r="AB2535" t="s">
        <v>433</v>
      </c>
      <c r="AC2535" t="s">
        <v>425</v>
      </c>
      <c r="AD2535" t="s">
        <v>433</v>
      </c>
      <c r="AE2535" t="s">
        <v>137</v>
      </c>
      <c r="AF2535">
        <v>1</v>
      </c>
      <c r="AG2535">
        <v>119</v>
      </c>
      <c r="AH2535" s="122">
        <v>500</v>
      </c>
      <c r="AI2535" s="122">
        <v>38546</v>
      </c>
      <c r="AJ2535" s="122">
        <v>35042</v>
      </c>
      <c r="AK2535">
        <v>45</v>
      </c>
      <c r="AL2535" s="122">
        <v>9637</v>
      </c>
      <c r="AM2535" s="122">
        <v>8761</v>
      </c>
      <c r="AN2535" s="122">
        <v>2530</v>
      </c>
      <c r="AO2535">
        <v>937</v>
      </c>
      <c r="AP2535">
        <v>351</v>
      </c>
      <c r="AQ2535">
        <v>130</v>
      </c>
      <c r="AR2535" s="122">
        <v>6066</v>
      </c>
      <c r="AS2535" s="122">
        <v>5514</v>
      </c>
      <c r="AT2535" s="122">
        <v>2213</v>
      </c>
      <c r="AU2535">
        <v>820</v>
      </c>
      <c r="AV2535" s="122">
        <v>51204</v>
      </c>
    </row>
    <row r="2536" spans="2:48" hidden="1">
      <c r="B2536" t="s">
        <v>381</v>
      </c>
      <c r="C2536" t="s">
        <v>48</v>
      </c>
      <c r="D2536" t="s">
        <v>406</v>
      </c>
      <c r="E2536" t="s">
        <v>406</v>
      </c>
      <c r="F2536" s="122">
        <v>10</v>
      </c>
      <c r="G2536" s="122">
        <v>2318</v>
      </c>
      <c r="H2536" s="122">
        <v>606</v>
      </c>
      <c r="I2536" s="122">
        <v>42026</v>
      </c>
      <c r="J2536" s="122">
        <v>38205</v>
      </c>
      <c r="K2536" s="122">
        <v>94</v>
      </c>
      <c r="L2536" s="122">
        <v>4904</v>
      </c>
      <c r="M2536" s="122">
        <v>4458</v>
      </c>
      <c r="N2536" s="122">
        <v>35373</v>
      </c>
      <c r="O2536" s="122">
        <v>13101</v>
      </c>
      <c r="P2536" s="122">
        <v>16709</v>
      </c>
      <c r="Q2536" s="122">
        <v>6188</v>
      </c>
      <c r="R2536" s="122">
        <v>38918</v>
      </c>
      <c r="S2536" s="122">
        <v>35380</v>
      </c>
      <c r="T2536" s="122">
        <v>0</v>
      </c>
      <c r="U2536" s="122">
        <v>0</v>
      </c>
      <c r="V2536" s="122">
        <v>97332</v>
      </c>
      <c r="W2536" s="122">
        <f t="shared" si="80"/>
        <v>97332</v>
      </c>
      <c r="X2536" s="122">
        <f t="shared" si="81"/>
        <v>137930</v>
      </c>
      <c r="AA2536" t="s">
        <v>64</v>
      </c>
      <c r="AB2536" t="s">
        <v>433</v>
      </c>
      <c r="AC2536" t="s">
        <v>137</v>
      </c>
      <c r="AD2536" t="s">
        <v>425</v>
      </c>
      <c r="AE2536" t="s">
        <v>566</v>
      </c>
      <c r="AF2536">
        <v>1</v>
      </c>
      <c r="AG2536">
        <v>51</v>
      </c>
      <c r="AH2536" s="122">
        <v>1033</v>
      </c>
      <c r="AI2536" s="122">
        <v>44377</v>
      </c>
      <c r="AJ2536" s="122">
        <v>40343</v>
      </c>
      <c r="AK2536">
        <v>30</v>
      </c>
      <c r="AL2536" s="122">
        <v>3631</v>
      </c>
      <c r="AM2536" s="122">
        <v>1345</v>
      </c>
      <c r="AN2536" s="122">
        <v>1251</v>
      </c>
      <c r="AO2536" s="122">
        <v>463</v>
      </c>
      <c r="AP2536">
        <v>0</v>
      </c>
      <c r="AQ2536">
        <v>0</v>
      </c>
      <c r="AR2536" s="122">
        <v>3743</v>
      </c>
      <c r="AS2536" s="122">
        <v>3403</v>
      </c>
      <c r="AT2536" s="122">
        <v>0</v>
      </c>
      <c r="AU2536">
        <v>0</v>
      </c>
      <c r="AV2536" s="122">
        <v>45554</v>
      </c>
    </row>
    <row r="2537" spans="2:48" hidden="1">
      <c r="B2537" t="s">
        <v>381</v>
      </c>
      <c r="C2537" t="s">
        <v>50</v>
      </c>
      <c r="D2537" t="s">
        <v>137</v>
      </c>
      <c r="E2537" t="s">
        <v>137</v>
      </c>
      <c r="F2537" s="122">
        <v>16</v>
      </c>
      <c r="G2537" s="122">
        <v>3128</v>
      </c>
      <c r="H2537" s="122">
        <v>1444</v>
      </c>
      <c r="I2537" s="122">
        <v>117981</v>
      </c>
      <c r="J2537" s="122">
        <v>43697</v>
      </c>
      <c r="K2537" s="122">
        <v>385</v>
      </c>
      <c r="L2537" s="122">
        <v>42643</v>
      </c>
      <c r="M2537" s="122">
        <v>37639</v>
      </c>
      <c r="N2537" s="122">
        <v>61054</v>
      </c>
      <c r="O2537" s="122">
        <v>22613</v>
      </c>
      <c r="P2537" s="122">
        <v>11317</v>
      </c>
      <c r="Q2537" s="122">
        <v>4192</v>
      </c>
      <c r="R2537" s="122">
        <v>74264</v>
      </c>
      <c r="S2537" s="122">
        <v>27505</v>
      </c>
      <c r="T2537" s="122">
        <v>0</v>
      </c>
      <c r="U2537" s="122">
        <v>0</v>
      </c>
      <c r="V2537" s="122">
        <v>135645</v>
      </c>
      <c r="W2537" s="122">
        <f t="shared" si="80"/>
        <v>135646</v>
      </c>
      <c r="X2537" s="122">
        <f t="shared" si="81"/>
        <v>307259</v>
      </c>
      <c r="AA2537" t="s">
        <v>64</v>
      </c>
      <c r="AB2537" t="s">
        <v>433</v>
      </c>
      <c r="AC2537" t="s">
        <v>137</v>
      </c>
      <c r="AD2537" t="s">
        <v>137</v>
      </c>
      <c r="AE2537" t="s">
        <v>137</v>
      </c>
      <c r="AF2537">
        <v>2</v>
      </c>
      <c r="AG2537">
        <v>132</v>
      </c>
      <c r="AH2537" s="122">
        <v>2569</v>
      </c>
      <c r="AI2537" s="122">
        <v>179197</v>
      </c>
      <c r="AJ2537" s="122">
        <v>162907</v>
      </c>
      <c r="AK2537">
        <v>30</v>
      </c>
      <c r="AL2537" s="122">
        <v>32989</v>
      </c>
      <c r="AM2537" s="122">
        <v>12218</v>
      </c>
      <c r="AN2537" s="122">
        <v>4043</v>
      </c>
      <c r="AO2537" s="122">
        <v>1497</v>
      </c>
      <c r="AP2537">
        <v>0</v>
      </c>
      <c r="AQ2537">
        <v>0</v>
      </c>
      <c r="AR2537" s="122">
        <v>12025</v>
      </c>
      <c r="AS2537" s="122">
        <v>4454</v>
      </c>
      <c r="AT2537" s="122">
        <v>1685</v>
      </c>
      <c r="AU2537">
        <v>624</v>
      </c>
      <c r="AV2537" s="122">
        <v>181700</v>
      </c>
    </row>
    <row r="2538" spans="2:48" hidden="1">
      <c r="B2538" t="s">
        <v>381</v>
      </c>
      <c r="C2538" t="s">
        <v>50</v>
      </c>
      <c r="D2538" t="s">
        <v>406</v>
      </c>
      <c r="E2538" t="s">
        <v>406</v>
      </c>
      <c r="F2538" s="122">
        <v>11</v>
      </c>
      <c r="G2538" s="122">
        <v>3123</v>
      </c>
      <c r="H2538" s="122">
        <v>1019</v>
      </c>
      <c r="I2538" s="122">
        <v>163155</v>
      </c>
      <c r="J2538" s="122">
        <v>148323</v>
      </c>
      <c r="K2538" s="122">
        <v>94</v>
      </c>
      <c r="L2538" s="122">
        <v>26267</v>
      </c>
      <c r="M2538" s="122">
        <v>23880</v>
      </c>
      <c r="N2538" s="122">
        <v>48024</v>
      </c>
      <c r="O2538" s="122">
        <v>17787</v>
      </c>
      <c r="P2538" s="122">
        <v>12192</v>
      </c>
      <c r="Q2538" s="122">
        <v>4516</v>
      </c>
      <c r="R2538" s="122">
        <v>41031</v>
      </c>
      <c r="S2538" s="122">
        <v>37301</v>
      </c>
      <c r="T2538" s="122">
        <v>0</v>
      </c>
      <c r="U2538" s="122">
        <v>0</v>
      </c>
      <c r="V2538" s="122">
        <v>231806</v>
      </c>
      <c r="W2538" s="122">
        <f t="shared" si="80"/>
        <v>231807</v>
      </c>
      <c r="X2538" s="122">
        <f t="shared" si="81"/>
        <v>290669</v>
      </c>
      <c r="AA2538" t="s">
        <v>64</v>
      </c>
      <c r="AB2538" t="s">
        <v>433</v>
      </c>
      <c r="AC2538" t="s">
        <v>137</v>
      </c>
      <c r="AD2538" t="s">
        <v>137</v>
      </c>
      <c r="AE2538" t="s">
        <v>566</v>
      </c>
      <c r="AF2538">
        <v>10</v>
      </c>
      <c r="AG2538">
        <v>821</v>
      </c>
      <c r="AH2538" s="122">
        <v>10824</v>
      </c>
      <c r="AI2538" s="122">
        <v>641348</v>
      </c>
      <c r="AJ2538" s="122">
        <v>583043</v>
      </c>
      <c r="AK2538">
        <v>40</v>
      </c>
      <c r="AL2538" s="122">
        <v>78903</v>
      </c>
      <c r="AM2538" s="122">
        <v>29223</v>
      </c>
      <c r="AN2538" s="122">
        <v>18772</v>
      </c>
      <c r="AO2538" s="122">
        <v>6953</v>
      </c>
      <c r="AP2538" s="122">
        <v>0</v>
      </c>
      <c r="AQ2538" s="122">
        <v>0</v>
      </c>
      <c r="AR2538" s="122">
        <v>81620</v>
      </c>
      <c r="AS2538" s="122">
        <v>30229</v>
      </c>
      <c r="AT2538" s="122">
        <v>0</v>
      </c>
      <c r="AU2538" s="122">
        <v>0</v>
      </c>
      <c r="AV2538" s="122">
        <v>649449</v>
      </c>
    </row>
    <row r="2539" spans="2:48" hidden="1">
      <c r="B2539" t="s">
        <v>381</v>
      </c>
      <c r="C2539" t="s">
        <v>50</v>
      </c>
      <c r="D2539" t="s">
        <v>426</v>
      </c>
      <c r="E2539" t="s">
        <v>137</v>
      </c>
      <c r="F2539" s="122">
        <v>1</v>
      </c>
      <c r="G2539" s="122">
        <v>160</v>
      </c>
      <c r="H2539" s="122">
        <v>97</v>
      </c>
      <c r="I2539" s="122">
        <v>6648</v>
      </c>
      <c r="J2539" s="122">
        <v>6044</v>
      </c>
      <c r="K2539" s="122">
        <v>79</v>
      </c>
      <c r="L2539" s="122">
        <v>0</v>
      </c>
      <c r="M2539" s="122">
        <v>0</v>
      </c>
      <c r="N2539" s="122">
        <v>1951</v>
      </c>
      <c r="O2539" s="122">
        <v>723</v>
      </c>
      <c r="P2539" s="122">
        <v>0</v>
      </c>
      <c r="Q2539" s="122">
        <v>0</v>
      </c>
      <c r="R2539" s="122">
        <v>6911</v>
      </c>
      <c r="S2539" s="122">
        <v>2560</v>
      </c>
      <c r="T2539" s="122">
        <v>0</v>
      </c>
      <c r="U2539" s="122">
        <v>0</v>
      </c>
      <c r="V2539" s="122">
        <v>9326</v>
      </c>
      <c r="W2539" s="122">
        <f t="shared" si="80"/>
        <v>9327</v>
      </c>
      <c r="X2539" s="122">
        <f t="shared" si="81"/>
        <v>15510</v>
      </c>
      <c r="AA2539" t="s">
        <v>64</v>
      </c>
      <c r="AB2539" t="s">
        <v>433</v>
      </c>
      <c r="AC2539" t="s">
        <v>137</v>
      </c>
      <c r="AD2539" t="s">
        <v>433</v>
      </c>
      <c r="AE2539" t="s">
        <v>137</v>
      </c>
      <c r="AF2539">
        <v>10</v>
      </c>
      <c r="AG2539">
        <v>892</v>
      </c>
      <c r="AH2539" s="122">
        <v>7544</v>
      </c>
      <c r="AI2539" s="122">
        <v>455742</v>
      </c>
      <c r="AJ2539" s="122">
        <v>414311</v>
      </c>
      <c r="AK2539">
        <v>57</v>
      </c>
      <c r="AL2539" s="122">
        <v>82229</v>
      </c>
      <c r="AM2539" s="122">
        <v>30455</v>
      </c>
      <c r="AN2539" s="122">
        <v>18249</v>
      </c>
      <c r="AO2539" s="122">
        <v>6759</v>
      </c>
      <c r="AP2539" s="122">
        <v>3159</v>
      </c>
      <c r="AQ2539" s="122">
        <v>1170</v>
      </c>
      <c r="AR2539" s="122">
        <v>51034</v>
      </c>
      <c r="AS2539" s="122">
        <v>46395</v>
      </c>
      <c r="AT2539" s="122">
        <v>24891</v>
      </c>
      <c r="AU2539" s="122">
        <v>9219</v>
      </c>
      <c r="AV2539" s="122">
        <v>508309</v>
      </c>
    </row>
    <row r="2540" spans="2:48" hidden="1">
      <c r="B2540" t="s">
        <v>381</v>
      </c>
      <c r="C2540" t="s">
        <v>52</v>
      </c>
      <c r="D2540" t="s">
        <v>405</v>
      </c>
      <c r="E2540" t="s">
        <v>405</v>
      </c>
      <c r="F2540" s="122">
        <v>8</v>
      </c>
      <c r="G2540" s="122">
        <v>1475</v>
      </c>
      <c r="H2540" s="122">
        <v>948</v>
      </c>
      <c r="I2540" s="122">
        <v>100643</v>
      </c>
      <c r="J2540" s="122">
        <v>91494</v>
      </c>
      <c r="K2540" s="122">
        <v>89</v>
      </c>
      <c r="L2540" s="122">
        <v>21128</v>
      </c>
      <c r="M2540" s="122">
        <v>19207</v>
      </c>
      <c r="N2540" s="122">
        <v>22061</v>
      </c>
      <c r="O2540" s="122">
        <v>8171</v>
      </c>
      <c r="P2540" s="122">
        <v>3780</v>
      </c>
      <c r="Q2540" s="122">
        <v>1400</v>
      </c>
      <c r="R2540" s="122">
        <v>40715</v>
      </c>
      <c r="S2540" s="122">
        <v>37013</v>
      </c>
      <c r="T2540" s="122">
        <v>0</v>
      </c>
      <c r="U2540" s="122">
        <v>0</v>
      </c>
      <c r="V2540" s="122">
        <v>157285</v>
      </c>
      <c r="W2540" s="122">
        <f t="shared" ref="W2540:W2603" si="82">SUM(ABS(J2540),ABS(M2540),ABS(O2540),ABS(Q2540),ABS(S2540),ABS(U2540))</f>
        <v>157285</v>
      </c>
      <c r="X2540" s="122">
        <f t="shared" ref="X2540:X2603" si="83">SUM(ABS(I2540),ABS(N2540),ABS(P2540),ABS(R2540),ABS(T2540),ABS(L2540))</f>
        <v>188327</v>
      </c>
      <c r="AA2540" t="s">
        <v>64</v>
      </c>
      <c r="AB2540" t="s">
        <v>433</v>
      </c>
      <c r="AC2540" t="s">
        <v>137</v>
      </c>
      <c r="AD2540" t="s">
        <v>433</v>
      </c>
      <c r="AE2540" t="s">
        <v>566</v>
      </c>
      <c r="AF2540">
        <v>2</v>
      </c>
      <c r="AG2540">
        <v>146</v>
      </c>
      <c r="AH2540" s="122">
        <v>2201</v>
      </c>
      <c r="AI2540" s="122">
        <v>101200</v>
      </c>
      <c r="AJ2540" s="122">
        <v>92000</v>
      </c>
      <c r="AK2540">
        <v>38</v>
      </c>
      <c r="AL2540" s="122">
        <v>15927</v>
      </c>
      <c r="AM2540" s="122">
        <v>5899</v>
      </c>
      <c r="AN2540" s="122">
        <v>3016</v>
      </c>
      <c r="AO2540" s="122">
        <v>1117</v>
      </c>
      <c r="AP2540">
        <v>351</v>
      </c>
      <c r="AQ2540">
        <v>130</v>
      </c>
      <c r="AR2540" s="122">
        <v>14002</v>
      </c>
      <c r="AS2540" s="122">
        <v>12729</v>
      </c>
      <c r="AT2540" s="122">
        <v>0</v>
      </c>
      <c r="AU2540" s="122">
        <v>0</v>
      </c>
      <c r="AV2540" s="122">
        <v>111875</v>
      </c>
    </row>
    <row r="2541" spans="2:48" hidden="1">
      <c r="B2541" t="s">
        <v>381</v>
      </c>
      <c r="C2541" t="s">
        <v>52</v>
      </c>
      <c r="D2541" t="s">
        <v>137</v>
      </c>
      <c r="E2541" t="s">
        <v>137</v>
      </c>
      <c r="F2541" s="122">
        <v>15</v>
      </c>
      <c r="G2541" s="122">
        <v>3111</v>
      </c>
      <c r="H2541" s="122">
        <v>1742</v>
      </c>
      <c r="I2541" s="122">
        <v>158558</v>
      </c>
      <c r="J2541" s="122">
        <v>58725</v>
      </c>
      <c r="K2541" s="122">
        <v>338</v>
      </c>
      <c r="L2541" s="122">
        <v>45927</v>
      </c>
      <c r="M2541" s="122">
        <v>39964</v>
      </c>
      <c r="N2541" s="122">
        <v>63336</v>
      </c>
      <c r="O2541" s="122">
        <v>23458</v>
      </c>
      <c r="P2541" s="122">
        <v>7831</v>
      </c>
      <c r="Q2541" s="122">
        <v>2900</v>
      </c>
      <c r="R2541" s="122">
        <v>99139</v>
      </c>
      <c r="S2541" s="122">
        <v>36718</v>
      </c>
      <c r="T2541" s="122">
        <v>8172</v>
      </c>
      <c r="U2541" s="122">
        <v>3027</v>
      </c>
      <c r="V2541" s="122">
        <v>164792</v>
      </c>
      <c r="W2541" s="122">
        <f t="shared" si="82"/>
        <v>164792</v>
      </c>
      <c r="X2541" s="122">
        <f t="shared" si="83"/>
        <v>382963</v>
      </c>
      <c r="AA2541" t="s">
        <v>64</v>
      </c>
      <c r="AB2541" t="s">
        <v>433</v>
      </c>
      <c r="AC2541" t="s">
        <v>580</v>
      </c>
      <c r="AD2541" t="s">
        <v>406</v>
      </c>
      <c r="AE2541" t="s">
        <v>137</v>
      </c>
      <c r="AF2541">
        <v>1</v>
      </c>
      <c r="AG2541">
        <v>168</v>
      </c>
      <c r="AH2541">
        <v>632</v>
      </c>
      <c r="AI2541" s="122">
        <v>82235</v>
      </c>
      <c r="AJ2541" s="122">
        <v>74759</v>
      </c>
      <c r="AK2541">
        <v>60</v>
      </c>
      <c r="AL2541" s="122">
        <v>7832</v>
      </c>
      <c r="AM2541" s="122">
        <v>7120</v>
      </c>
      <c r="AN2541" s="122">
        <v>4088</v>
      </c>
      <c r="AO2541" s="122">
        <v>1514</v>
      </c>
      <c r="AP2541">
        <v>0</v>
      </c>
      <c r="AQ2541">
        <v>0</v>
      </c>
      <c r="AR2541" s="122">
        <v>6424</v>
      </c>
      <c r="AS2541" s="122">
        <v>5840</v>
      </c>
      <c r="AT2541" s="122">
        <v>5436</v>
      </c>
      <c r="AU2541" s="122">
        <v>2013</v>
      </c>
      <c r="AV2541" s="122">
        <v>91247</v>
      </c>
    </row>
    <row r="2542" spans="2:48" hidden="1">
      <c r="B2542" t="s">
        <v>381</v>
      </c>
      <c r="C2542" t="s">
        <v>52</v>
      </c>
      <c r="D2542" t="s">
        <v>137</v>
      </c>
      <c r="E2542" t="s">
        <v>406</v>
      </c>
      <c r="F2542" s="122">
        <v>1</v>
      </c>
      <c r="G2542" s="122">
        <v>307</v>
      </c>
      <c r="H2542" s="122">
        <v>114</v>
      </c>
      <c r="I2542" s="122">
        <v>17931</v>
      </c>
      <c r="J2542" s="122">
        <v>6641</v>
      </c>
      <c r="K2542" s="122">
        <v>320</v>
      </c>
      <c r="L2542" s="122">
        <v>4329</v>
      </c>
      <c r="M2542" s="122">
        <v>3935</v>
      </c>
      <c r="N2542" s="122">
        <v>7476</v>
      </c>
      <c r="O2542" s="122">
        <v>2769</v>
      </c>
      <c r="P2542" s="122">
        <v>702</v>
      </c>
      <c r="Q2542" s="122">
        <v>260</v>
      </c>
      <c r="R2542" s="122">
        <v>4563</v>
      </c>
      <c r="S2542" s="122">
        <v>4148</v>
      </c>
      <c r="T2542" s="122">
        <v>0</v>
      </c>
      <c r="U2542" s="122">
        <v>0</v>
      </c>
      <c r="V2542" s="122">
        <v>17754</v>
      </c>
      <c r="W2542" s="122">
        <f t="shared" si="82"/>
        <v>17753</v>
      </c>
      <c r="X2542" s="122">
        <f t="shared" si="83"/>
        <v>35001</v>
      </c>
      <c r="AA2542" t="s">
        <v>64</v>
      </c>
      <c r="AB2542" t="s">
        <v>433</v>
      </c>
      <c r="AC2542" t="s">
        <v>580</v>
      </c>
      <c r="AD2542" t="s">
        <v>426</v>
      </c>
      <c r="AE2542" t="s">
        <v>566</v>
      </c>
      <c r="AF2542">
        <v>1</v>
      </c>
      <c r="AG2542">
        <v>69</v>
      </c>
      <c r="AH2542">
        <v>631</v>
      </c>
      <c r="AI2542" s="122">
        <v>63522</v>
      </c>
      <c r="AJ2542" s="122">
        <v>57747</v>
      </c>
      <c r="AK2542">
        <v>55</v>
      </c>
      <c r="AL2542" s="122">
        <v>6470</v>
      </c>
      <c r="AM2542" s="122">
        <v>5882</v>
      </c>
      <c r="AN2542" s="122">
        <v>3165</v>
      </c>
      <c r="AO2542" s="122">
        <v>1172</v>
      </c>
      <c r="AP2542">
        <v>351</v>
      </c>
      <c r="AQ2542">
        <v>130</v>
      </c>
      <c r="AR2542" s="122">
        <v>8488</v>
      </c>
      <c r="AS2542" s="122">
        <v>7716</v>
      </c>
      <c r="AT2542" s="122">
        <v>0</v>
      </c>
      <c r="AU2542" s="122">
        <v>0</v>
      </c>
      <c r="AV2542" s="122">
        <v>72647</v>
      </c>
    </row>
    <row r="2543" spans="2:48" hidden="1">
      <c r="B2543" t="s">
        <v>381</v>
      </c>
      <c r="C2543" t="s">
        <v>52</v>
      </c>
      <c r="D2543" t="s">
        <v>406</v>
      </c>
      <c r="E2543" t="s">
        <v>137</v>
      </c>
      <c r="F2543" s="122">
        <v>2</v>
      </c>
      <c r="G2543" s="122">
        <v>456</v>
      </c>
      <c r="H2543" s="122">
        <v>226</v>
      </c>
      <c r="I2543" s="122">
        <v>23410</v>
      </c>
      <c r="J2543" s="122">
        <v>21281</v>
      </c>
      <c r="K2543" s="122">
        <v>95</v>
      </c>
      <c r="L2543" s="122">
        <v>4091</v>
      </c>
      <c r="M2543" s="122">
        <v>3719</v>
      </c>
      <c r="N2543" s="122">
        <v>8270</v>
      </c>
      <c r="O2543" s="122">
        <v>3063</v>
      </c>
      <c r="P2543" s="122">
        <v>1242</v>
      </c>
      <c r="Q2543" s="122">
        <v>460</v>
      </c>
      <c r="R2543" s="122">
        <v>15320</v>
      </c>
      <c r="S2543" s="122">
        <v>5674</v>
      </c>
      <c r="T2543" s="122">
        <v>0</v>
      </c>
      <c r="U2543" s="122">
        <v>0</v>
      </c>
      <c r="V2543" s="122">
        <v>34198</v>
      </c>
      <c r="W2543" s="122">
        <f t="shared" si="82"/>
        <v>34197</v>
      </c>
      <c r="X2543" s="122">
        <f t="shared" si="83"/>
        <v>52333</v>
      </c>
      <c r="AA2543" t="s">
        <v>64</v>
      </c>
      <c r="AB2543" t="s">
        <v>433</v>
      </c>
      <c r="AC2543" t="s">
        <v>580</v>
      </c>
      <c r="AD2543" t="s">
        <v>433</v>
      </c>
      <c r="AE2543" t="s">
        <v>137</v>
      </c>
      <c r="AF2543">
        <v>1</v>
      </c>
      <c r="AG2543">
        <v>168</v>
      </c>
      <c r="AH2543">
        <v>483</v>
      </c>
      <c r="AI2543" s="122">
        <v>54352</v>
      </c>
      <c r="AJ2543" s="122">
        <v>49411</v>
      </c>
      <c r="AK2543">
        <v>55</v>
      </c>
      <c r="AL2543" s="122">
        <v>11497</v>
      </c>
      <c r="AM2543" s="122">
        <v>10452</v>
      </c>
      <c r="AN2543" s="122">
        <v>4095</v>
      </c>
      <c r="AO2543" s="122">
        <v>1517</v>
      </c>
      <c r="AP2543">
        <v>621</v>
      </c>
      <c r="AQ2543">
        <v>230</v>
      </c>
      <c r="AR2543" s="122">
        <v>7001</v>
      </c>
      <c r="AS2543" s="122">
        <v>6364</v>
      </c>
      <c r="AT2543" s="122">
        <v>3568</v>
      </c>
      <c r="AU2543" s="122">
        <v>1322</v>
      </c>
      <c r="AV2543" s="122">
        <v>69296</v>
      </c>
    </row>
    <row r="2544" spans="2:48" hidden="1">
      <c r="B2544" t="s">
        <v>381</v>
      </c>
      <c r="C2544" t="s">
        <v>52</v>
      </c>
      <c r="D2544" t="s">
        <v>406</v>
      </c>
      <c r="E2544" t="s">
        <v>406</v>
      </c>
      <c r="F2544" s="122">
        <v>69</v>
      </c>
      <c r="G2544" s="122">
        <v>16407</v>
      </c>
      <c r="H2544" s="122">
        <v>8075</v>
      </c>
      <c r="I2544" s="122">
        <v>1055195</v>
      </c>
      <c r="J2544" s="122">
        <v>959268</v>
      </c>
      <c r="K2544" s="122">
        <v>91</v>
      </c>
      <c r="L2544" s="122">
        <v>193121</v>
      </c>
      <c r="M2544" s="122">
        <v>170969</v>
      </c>
      <c r="N2544" s="122">
        <v>304929</v>
      </c>
      <c r="O2544" s="122">
        <v>112937</v>
      </c>
      <c r="P2544" s="122">
        <v>62782</v>
      </c>
      <c r="Q2544" s="122">
        <v>23253</v>
      </c>
      <c r="R2544" s="122">
        <v>367492</v>
      </c>
      <c r="S2544" s="122">
        <v>334084</v>
      </c>
      <c r="T2544" s="122">
        <v>16837</v>
      </c>
      <c r="U2544" s="122">
        <v>6236</v>
      </c>
      <c r="V2544" s="122">
        <v>1606746</v>
      </c>
      <c r="W2544" s="122">
        <f t="shared" si="82"/>
        <v>1606747</v>
      </c>
      <c r="X2544" s="122">
        <f t="shared" si="83"/>
        <v>2000356</v>
      </c>
      <c r="AA2544" t="s">
        <v>64</v>
      </c>
      <c r="AB2544" t="s">
        <v>433</v>
      </c>
      <c r="AC2544" t="s">
        <v>580</v>
      </c>
      <c r="AD2544" t="s">
        <v>433</v>
      </c>
      <c r="AE2544" t="s">
        <v>566</v>
      </c>
      <c r="AF2544">
        <v>1</v>
      </c>
      <c r="AG2544">
        <v>100</v>
      </c>
      <c r="AH2544">
        <v>480</v>
      </c>
      <c r="AI2544" s="122">
        <v>31515</v>
      </c>
      <c r="AJ2544" s="122">
        <v>28650</v>
      </c>
      <c r="AK2544">
        <v>65</v>
      </c>
      <c r="AL2544" s="122">
        <v>3329</v>
      </c>
      <c r="AM2544" s="122">
        <v>3027</v>
      </c>
      <c r="AN2544" s="122">
        <v>1405</v>
      </c>
      <c r="AO2544">
        <v>520</v>
      </c>
      <c r="AP2544">
        <v>351</v>
      </c>
      <c r="AQ2544">
        <v>130</v>
      </c>
      <c r="AR2544" s="122">
        <v>11486</v>
      </c>
      <c r="AS2544" s="122">
        <v>10442</v>
      </c>
      <c r="AT2544">
        <v>0</v>
      </c>
      <c r="AU2544">
        <v>0</v>
      </c>
      <c r="AV2544" s="122">
        <v>42769</v>
      </c>
    </row>
    <row r="2545" spans="2:48" hidden="1">
      <c r="B2545" t="s">
        <v>381</v>
      </c>
      <c r="C2545" t="s">
        <v>52</v>
      </c>
      <c r="D2545" t="s">
        <v>406</v>
      </c>
      <c r="E2545" t="s">
        <v>427</v>
      </c>
      <c r="F2545" s="122">
        <v>1</v>
      </c>
      <c r="G2545" s="122">
        <v>142</v>
      </c>
      <c r="H2545" s="122">
        <v>118</v>
      </c>
      <c r="I2545" s="122">
        <v>15012</v>
      </c>
      <c r="J2545" s="122">
        <v>13647</v>
      </c>
      <c r="K2545" s="122">
        <v>97</v>
      </c>
      <c r="L2545" s="122">
        <v>2560</v>
      </c>
      <c r="M2545" s="122">
        <v>2328</v>
      </c>
      <c r="N2545" s="122">
        <v>2709</v>
      </c>
      <c r="O2545" s="122">
        <v>1003</v>
      </c>
      <c r="P2545" s="122">
        <v>621</v>
      </c>
      <c r="Q2545" s="122">
        <v>230</v>
      </c>
      <c r="R2545" s="122">
        <v>5413</v>
      </c>
      <c r="S2545" s="122">
        <v>4921</v>
      </c>
      <c r="T2545" s="122">
        <v>0</v>
      </c>
      <c r="U2545" s="122">
        <v>0</v>
      </c>
      <c r="V2545" s="122">
        <v>22129</v>
      </c>
      <c r="W2545" s="122">
        <f t="shared" si="82"/>
        <v>22129</v>
      </c>
      <c r="X2545" s="122">
        <f t="shared" si="83"/>
        <v>26315</v>
      </c>
      <c r="AA2545" t="s">
        <v>64</v>
      </c>
      <c r="AB2545" t="s">
        <v>433</v>
      </c>
      <c r="AC2545" t="s">
        <v>427</v>
      </c>
      <c r="AD2545" t="s">
        <v>137</v>
      </c>
      <c r="AE2545" t="s">
        <v>566</v>
      </c>
      <c r="AF2545">
        <v>1</v>
      </c>
      <c r="AG2545">
        <v>110</v>
      </c>
      <c r="AH2545">
        <v>695</v>
      </c>
      <c r="AI2545" s="122">
        <v>53505</v>
      </c>
      <c r="AJ2545" s="122">
        <v>48641</v>
      </c>
      <c r="AK2545">
        <v>60</v>
      </c>
      <c r="AL2545" s="122">
        <v>11890</v>
      </c>
      <c r="AM2545" s="122">
        <v>10809</v>
      </c>
      <c r="AN2545" s="122">
        <v>1526</v>
      </c>
      <c r="AO2545">
        <v>565</v>
      </c>
      <c r="AP2545">
        <v>351</v>
      </c>
      <c r="AQ2545">
        <v>130</v>
      </c>
      <c r="AR2545" s="122">
        <v>9041</v>
      </c>
      <c r="AS2545" s="122">
        <v>3348</v>
      </c>
      <c r="AT2545" s="122">
        <v>0</v>
      </c>
      <c r="AU2545">
        <v>0</v>
      </c>
      <c r="AV2545" s="122">
        <v>63493</v>
      </c>
    </row>
    <row r="2546" spans="2:48" hidden="1">
      <c r="B2546" t="s">
        <v>381</v>
      </c>
      <c r="C2546" t="s">
        <v>52</v>
      </c>
      <c r="D2546" t="s">
        <v>433</v>
      </c>
      <c r="E2546" t="s">
        <v>433</v>
      </c>
      <c r="F2546" s="122">
        <v>1</v>
      </c>
      <c r="G2546" s="122">
        <v>191</v>
      </c>
      <c r="H2546" s="122">
        <v>114</v>
      </c>
      <c r="I2546" s="122">
        <v>12033</v>
      </c>
      <c r="J2546" s="122">
        <v>10939</v>
      </c>
      <c r="K2546" s="122">
        <v>92</v>
      </c>
      <c r="L2546" s="122">
        <v>1500</v>
      </c>
      <c r="M2546" s="122">
        <v>1364</v>
      </c>
      <c r="N2546" s="122">
        <v>3070</v>
      </c>
      <c r="O2546" s="122">
        <v>1137</v>
      </c>
      <c r="P2546" s="122">
        <v>621</v>
      </c>
      <c r="Q2546" s="122">
        <v>230</v>
      </c>
      <c r="R2546" s="122">
        <v>4621</v>
      </c>
      <c r="S2546" s="122">
        <v>4201</v>
      </c>
      <c r="T2546" s="122">
        <v>0</v>
      </c>
      <c r="U2546" s="122">
        <v>0</v>
      </c>
      <c r="V2546" s="122">
        <v>17871</v>
      </c>
      <c r="W2546" s="122">
        <f t="shared" si="82"/>
        <v>17871</v>
      </c>
      <c r="X2546" s="122">
        <f t="shared" si="83"/>
        <v>21845</v>
      </c>
      <c r="AA2546" t="s">
        <v>64</v>
      </c>
      <c r="AB2546" t="s">
        <v>433</v>
      </c>
      <c r="AC2546" t="s">
        <v>427</v>
      </c>
      <c r="AD2546" t="s">
        <v>427</v>
      </c>
      <c r="AE2546" t="s">
        <v>137</v>
      </c>
      <c r="AF2546">
        <v>1</v>
      </c>
      <c r="AG2546">
        <v>75</v>
      </c>
      <c r="AH2546" s="122">
        <v>711</v>
      </c>
      <c r="AI2546" s="122">
        <v>37353</v>
      </c>
      <c r="AJ2546" s="122">
        <v>33957</v>
      </c>
      <c r="AK2546">
        <v>45</v>
      </c>
      <c r="AL2546" s="122">
        <v>6225</v>
      </c>
      <c r="AM2546" s="122">
        <v>5660</v>
      </c>
      <c r="AN2546" s="122">
        <v>1238</v>
      </c>
      <c r="AO2546" s="122">
        <v>458</v>
      </c>
      <c r="AP2546">
        <v>351</v>
      </c>
      <c r="AQ2546">
        <v>130</v>
      </c>
      <c r="AR2546" s="122">
        <v>5847</v>
      </c>
      <c r="AS2546" s="122">
        <v>5316</v>
      </c>
      <c r="AT2546" s="122">
        <v>2094</v>
      </c>
      <c r="AU2546" s="122">
        <v>776</v>
      </c>
      <c r="AV2546" s="122">
        <v>46296</v>
      </c>
    </row>
    <row r="2547" spans="2:48" hidden="1">
      <c r="B2547" t="s">
        <v>381</v>
      </c>
      <c r="C2547" t="s">
        <v>54</v>
      </c>
      <c r="D2547" t="s">
        <v>425</v>
      </c>
      <c r="E2547" t="s">
        <v>425</v>
      </c>
      <c r="F2547" s="122">
        <v>2</v>
      </c>
      <c r="G2547" s="122">
        <v>538</v>
      </c>
      <c r="H2547" s="122">
        <v>281</v>
      </c>
      <c r="I2547" s="122">
        <v>42678</v>
      </c>
      <c r="J2547" s="122">
        <v>38798</v>
      </c>
      <c r="K2547" s="122">
        <v>78</v>
      </c>
      <c r="L2547" s="122">
        <v>5384</v>
      </c>
      <c r="M2547" s="122">
        <v>4895</v>
      </c>
      <c r="N2547" s="122">
        <v>10074</v>
      </c>
      <c r="O2547" s="122">
        <v>3731</v>
      </c>
      <c r="P2547" s="122">
        <v>945</v>
      </c>
      <c r="Q2547" s="122">
        <v>350</v>
      </c>
      <c r="R2547" s="122">
        <v>12518</v>
      </c>
      <c r="S2547" s="122">
        <v>11380</v>
      </c>
      <c r="T2547" s="122">
        <v>4322</v>
      </c>
      <c r="U2547" s="122">
        <v>1601</v>
      </c>
      <c r="V2547" s="122">
        <v>60754</v>
      </c>
      <c r="W2547" s="122">
        <f t="shared" si="82"/>
        <v>60755</v>
      </c>
      <c r="X2547" s="122">
        <f t="shared" si="83"/>
        <v>75921</v>
      </c>
      <c r="AA2547" t="s">
        <v>64</v>
      </c>
      <c r="AB2547" t="s">
        <v>433</v>
      </c>
      <c r="AC2547" t="s">
        <v>427</v>
      </c>
      <c r="AD2547" t="s">
        <v>433</v>
      </c>
      <c r="AE2547" t="s">
        <v>137</v>
      </c>
      <c r="AF2547">
        <v>2</v>
      </c>
      <c r="AG2547">
        <v>218</v>
      </c>
      <c r="AH2547" s="122">
        <v>1184</v>
      </c>
      <c r="AI2547" s="122">
        <v>86714</v>
      </c>
      <c r="AJ2547" s="122">
        <v>78831</v>
      </c>
      <c r="AK2547">
        <v>60</v>
      </c>
      <c r="AL2547" s="122">
        <v>11629</v>
      </c>
      <c r="AM2547" s="122">
        <v>10572</v>
      </c>
      <c r="AN2547" s="122">
        <v>4890</v>
      </c>
      <c r="AO2547" s="122">
        <v>1811</v>
      </c>
      <c r="AP2547">
        <v>702</v>
      </c>
      <c r="AQ2547">
        <v>260</v>
      </c>
      <c r="AR2547" s="122">
        <v>9161</v>
      </c>
      <c r="AS2547" s="122">
        <v>8328</v>
      </c>
      <c r="AT2547" s="122">
        <v>4899</v>
      </c>
      <c r="AU2547" s="122">
        <v>1814</v>
      </c>
      <c r="AV2547" s="122">
        <v>101617</v>
      </c>
    </row>
    <row r="2548" spans="2:48" hidden="1">
      <c r="B2548" t="s">
        <v>381</v>
      </c>
      <c r="C2548" t="s">
        <v>54</v>
      </c>
      <c r="D2548" t="s">
        <v>425</v>
      </c>
      <c r="E2548" t="s">
        <v>405</v>
      </c>
      <c r="F2548" s="122">
        <v>1</v>
      </c>
      <c r="G2548" s="122">
        <v>134</v>
      </c>
      <c r="H2548" s="122">
        <v>137</v>
      </c>
      <c r="I2548" s="122">
        <v>10019</v>
      </c>
      <c r="J2548" s="122">
        <v>9108</v>
      </c>
      <c r="K2548" s="122">
        <v>93</v>
      </c>
      <c r="L2548" s="122">
        <v>1596</v>
      </c>
      <c r="M2548" s="122">
        <v>1451</v>
      </c>
      <c r="N2548" s="122">
        <v>1637</v>
      </c>
      <c r="O2548" s="122">
        <v>606</v>
      </c>
      <c r="P2548" s="122">
        <v>473</v>
      </c>
      <c r="Q2548" s="122">
        <v>175</v>
      </c>
      <c r="R2548" s="122">
        <v>4665</v>
      </c>
      <c r="S2548" s="122">
        <v>4241</v>
      </c>
      <c r="T2548" s="122">
        <v>0</v>
      </c>
      <c r="U2548" s="122">
        <v>0</v>
      </c>
      <c r="V2548" s="122">
        <v>15582</v>
      </c>
      <c r="W2548" s="122">
        <f t="shared" si="82"/>
        <v>15581</v>
      </c>
      <c r="X2548" s="122">
        <f t="shared" si="83"/>
        <v>18390</v>
      </c>
      <c r="AA2548" t="s">
        <v>64</v>
      </c>
      <c r="AB2548" t="s">
        <v>433</v>
      </c>
      <c r="AC2548" t="s">
        <v>427</v>
      </c>
      <c r="AD2548" t="s">
        <v>433</v>
      </c>
      <c r="AE2548" t="s">
        <v>566</v>
      </c>
      <c r="AF2548">
        <v>2</v>
      </c>
      <c r="AG2548">
        <v>140</v>
      </c>
      <c r="AH2548" s="122">
        <v>1680</v>
      </c>
      <c r="AI2548" s="122">
        <v>92389</v>
      </c>
      <c r="AJ2548" s="122">
        <v>83990</v>
      </c>
      <c r="AK2548">
        <v>53</v>
      </c>
      <c r="AL2548" s="122">
        <v>17072</v>
      </c>
      <c r="AM2548" s="122">
        <v>15520</v>
      </c>
      <c r="AN2548" s="122">
        <v>3349</v>
      </c>
      <c r="AO2548" s="122">
        <v>1240</v>
      </c>
      <c r="AP2548">
        <v>351</v>
      </c>
      <c r="AQ2548">
        <v>130</v>
      </c>
      <c r="AR2548" s="122">
        <v>16536</v>
      </c>
      <c r="AS2548" s="122">
        <v>15033</v>
      </c>
      <c r="AT2548" s="122">
        <v>0</v>
      </c>
      <c r="AU2548" s="122">
        <v>0</v>
      </c>
      <c r="AV2548" s="122">
        <v>115913</v>
      </c>
    </row>
    <row r="2549" spans="2:48" hidden="1">
      <c r="B2549" t="s">
        <v>381</v>
      </c>
      <c r="C2549" t="s">
        <v>54</v>
      </c>
      <c r="D2549" t="s">
        <v>405</v>
      </c>
      <c r="E2549" t="s">
        <v>405</v>
      </c>
      <c r="F2549" s="122">
        <v>17</v>
      </c>
      <c r="G2549" s="122">
        <v>3402</v>
      </c>
      <c r="H2549" s="122">
        <v>2395</v>
      </c>
      <c r="I2549" s="122">
        <v>280194</v>
      </c>
      <c r="J2549" s="122">
        <v>254721</v>
      </c>
      <c r="K2549" s="122">
        <v>87</v>
      </c>
      <c r="L2549" s="122">
        <v>56621</v>
      </c>
      <c r="M2549" s="122">
        <v>50864</v>
      </c>
      <c r="N2549" s="122">
        <v>70276</v>
      </c>
      <c r="O2549" s="122">
        <v>26028</v>
      </c>
      <c r="P2549" s="122">
        <v>8640</v>
      </c>
      <c r="Q2549" s="122">
        <v>3200</v>
      </c>
      <c r="R2549" s="122">
        <v>90648</v>
      </c>
      <c r="S2549" s="122">
        <v>82408</v>
      </c>
      <c r="T2549" s="122">
        <v>0</v>
      </c>
      <c r="U2549" s="122">
        <v>0</v>
      </c>
      <c r="V2549" s="122">
        <v>417221</v>
      </c>
      <c r="W2549" s="122">
        <f t="shared" si="82"/>
        <v>417221</v>
      </c>
      <c r="X2549" s="122">
        <f t="shared" si="83"/>
        <v>506379</v>
      </c>
      <c r="AA2549" t="s">
        <v>64</v>
      </c>
      <c r="AB2549" t="s">
        <v>433</v>
      </c>
      <c r="AC2549" t="s">
        <v>579</v>
      </c>
      <c r="AD2549" t="s">
        <v>433</v>
      </c>
      <c r="AE2549" t="s">
        <v>137</v>
      </c>
      <c r="AF2549">
        <v>1</v>
      </c>
      <c r="AG2549">
        <v>218</v>
      </c>
      <c r="AH2549">
        <v>636</v>
      </c>
      <c r="AI2549" s="122">
        <v>110174</v>
      </c>
      <c r="AJ2549" s="122">
        <v>100158</v>
      </c>
      <c r="AK2549">
        <v>55</v>
      </c>
      <c r="AL2549" s="122">
        <v>13354</v>
      </c>
      <c r="AM2549" s="122">
        <v>11129</v>
      </c>
      <c r="AN2549" s="122">
        <v>4910</v>
      </c>
      <c r="AO2549" s="122">
        <v>1818</v>
      </c>
      <c r="AP2549">
        <v>351</v>
      </c>
      <c r="AQ2549">
        <v>130</v>
      </c>
      <c r="AR2549" s="122">
        <v>6501</v>
      </c>
      <c r="AS2549" s="122">
        <v>5910</v>
      </c>
      <c r="AT2549" s="122">
        <v>3235</v>
      </c>
      <c r="AU2549" s="122">
        <v>1198</v>
      </c>
      <c r="AV2549" s="122">
        <v>120343</v>
      </c>
    </row>
    <row r="2550" spans="2:48" hidden="1">
      <c r="B2550" t="s">
        <v>381</v>
      </c>
      <c r="C2550" t="s">
        <v>54</v>
      </c>
      <c r="D2550" t="s">
        <v>137</v>
      </c>
      <c r="E2550" t="s">
        <v>137</v>
      </c>
      <c r="F2550" s="122">
        <v>7</v>
      </c>
      <c r="G2550" s="122">
        <v>1073</v>
      </c>
      <c r="H2550" s="122">
        <v>962</v>
      </c>
      <c r="I2550" s="122">
        <v>70690</v>
      </c>
      <c r="J2550" s="122">
        <v>26182</v>
      </c>
      <c r="K2550" s="122">
        <v>344</v>
      </c>
      <c r="L2550" s="122">
        <v>27766</v>
      </c>
      <c r="M2550" s="122">
        <v>25242</v>
      </c>
      <c r="N2550" s="122">
        <v>20946</v>
      </c>
      <c r="O2550" s="122">
        <v>7758</v>
      </c>
      <c r="P2550" s="122">
        <v>3510</v>
      </c>
      <c r="Q2550" s="122">
        <v>1300</v>
      </c>
      <c r="R2550" s="122">
        <v>32980</v>
      </c>
      <c r="S2550" s="122">
        <v>12215</v>
      </c>
      <c r="T2550" s="122">
        <v>0</v>
      </c>
      <c r="U2550" s="122">
        <v>0</v>
      </c>
      <c r="V2550" s="122">
        <v>72696</v>
      </c>
      <c r="W2550" s="122">
        <f t="shared" si="82"/>
        <v>72697</v>
      </c>
      <c r="X2550" s="122">
        <f t="shared" si="83"/>
        <v>155892</v>
      </c>
      <c r="AA2550" t="s">
        <v>64</v>
      </c>
      <c r="AB2550" t="s">
        <v>433</v>
      </c>
      <c r="AC2550" t="s">
        <v>428</v>
      </c>
      <c r="AD2550" t="s">
        <v>433</v>
      </c>
      <c r="AE2550" t="s">
        <v>137</v>
      </c>
      <c r="AF2550">
        <v>1</v>
      </c>
      <c r="AG2550">
        <v>96</v>
      </c>
      <c r="AH2550" s="122">
        <v>590</v>
      </c>
      <c r="AI2550" s="122">
        <v>39446</v>
      </c>
      <c r="AJ2550" s="122">
        <v>35860</v>
      </c>
      <c r="AK2550">
        <v>50</v>
      </c>
      <c r="AL2550" s="122">
        <v>7305</v>
      </c>
      <c r="AM2550" s="122">
        <v>6641</v>
      </c>
      <c r="AN2550" s="122">
        <v>1682</v>
      </c>
      <c r="AO2550">
        <v>623</v>
      </c>
      <c r="AP2550">
        <v>0</v>
      </c>
      <c r="AQ2550">
        <v>0</v>
      </c>
      <c r="AR2550" s="122">
        <v>5727</v>
      </c>
      <c r="AS2550" s="122">
        <v>5206</v>
      </c>
      <c r="AT2550" s="122">
        <v>2375</v>
      </c>
      <c r="AU2550">
        <v>880</v>
      </c>
      <c r="AV2550" s="122">
        <v>49210</v>
      </c>
    </row>
    <row r="2551" spans="2:48" hidden="1">
      <c r="B2551" t="s">
        <v>381</v>
      </c>
      <c r="C2551" t="s">
        <v>54</v>
      </c>
      <c r="D2551" t="s">
        <v>406</v>
      </c>
      <c r="E2551" t="s">
        <v>137</v>
      </c>
      <c r="F2551" s="122">
        <v>1</v>
      </c>
      <c r="G2551" s="122">
        <v>255</v>
      </c>
      <c r="H2551" s="122">
        <v>148</v>
      </c>
      <c r="I2551" s="122">
        <v>11367</v>
      </c>
      <c r="J2551" s="122">
        <v>10333</v>
      </c>
      <c r="K2551" s="122">
        <v>79</v>
      </c>
      <c r="L2551" s="122">
        <v>3326</v>
      </c>
      <c r="M2551" s="122">
        <v>3024</v>
      </c>
      <c r="N2551" s="122">
        <v>3104</v>
      </c>
      <c r="O2551" s="122">
        <v>1150</v>
      </c>
      <c r="P2551" s="122">
        <v>621</v>
      </c>
      <c r="Q2551" s="122">
        <v>230</v>
      </c>
      <c r="R2551" s="122">
        <v>19408</v>
      </c>
      <c r="S2551" s="122">
        <v>7188</v>
      </c>
      <c r="T2551" s="122">
        <v>0</v>
      </c>
      <c r="U2551" s="122">
        <v>0</v>
      </c>
      <c r="V2551" s="122">
        <v>21925</v>
      </c>
      <c r="W2551" s="122">
        <f t="shared" si="82"/>
        <v>21925</v>
      </c>
      <c r="X2551" s="122">
        <f t="shared" si="83"/>
        <v>37826</v>
      </c>
      <c r="AA2551" t="s">
        <v>64</v>
      </c>
      <c r="AB2551" t="s">
        <v>433</v>
      </c>
      <c r="AC2551" t="s">
        <v>428</v>
      </c>
      <c r="AD2551" t="s">
        <v>433</v>
      </c>
      <c r="AE2551" t="s">
        <v>566</v>
      </c>
      <c r="AF2551">
        <v>1</v>
      </c>
      <c r="AG2551">
        <v>47</v>
      </c>
      <c r="AH2551" s="122">
        <v>1017</v>
      </c>
      <c r="AI2551" s="122">
        <v>33463</v>
      </c>
      <c r="AJ2551" s="122">
        <v>30421</v>
      </c>
      <c r="AK2551">
        <v>45</v>
      </c>
      <c r="AL2551" s="122">
        <v>5577</v>
      </c>
      <c r="AM2551" s="122">
        <v>5070</v>
      </c>
      <c r="AN2551" s="122">
        <v>861</v>
      </c>
      <c r="AO2551" s="122">
        <v>319</v>
      </c>
      <c r="AP2551" s="122">
        <v>351</v>
      </c>
      <c r="AQ2551">
        <v>130</v>
      </c>
      <c r="AR2551" s="122">
        <v>7658</v>
      </c>
      <c r="AS2551" s="122">
        <v>6962</v>
      </c>
      <c r="AT2551" s="122">
        <v>0</v>
      </c>
      <c r="AU2551" s="122">
        <v>0</v>
      </c>
      <c r="AV2551" s="122">
        <v>42901</v>
      </c>
    </row>
    <row r="2552" spans="2:48" hidden="1">
      <c r="B2552" t="s">
        <v>381</v>
      </c>
      <c r="C2552" t="s">
        <v>54</v>
      </c>
      <c r="D2552" t="s">
        <v>406</v>
      </c>
      <c r="E2552" t="s">
        <v>406</v>
      </c>
      <c r="F2552" s="122">
        <v>326</v>
      </c>
      <c r="G2552" s="122">
        <v>65066</v>
      </c>
      <c r="H2552" s="122">
        <v>45850</v>
      </c>
      <c r="I2552" s="122">
        <v>5238525</v>
      </c>
      <c r="J2552" s="122">
        <v>4762296</v>
      </c>
      <c r="K2552" s="122">
        <v>89</v>
      </c>
      <c r="L2552" s="122">
        <v>953715</v>
      </c>
      <c r="M2552" s="122">
        <v>851116</v>
      </c>
      <c r="N2552" s="122">
        <v>1311938</v>
      </c>
      <c r="O2552" s="122">
        <v>485903</v>
      </c>
      <c r="P2552" s="122">
        <v>236084</v>
      </c>
      <c r="Q2552" s="122">
        <v>87438</v>
      </c>
      <c r="R2552" s="122">
        <v>1826975</v>
      </c>
      <c r="S2552" s="122">
        <v>1660886</v>
      </c>
      <c r="T2552" s="122">
        <v>123578</v>
      </c>
      <c r="U2552" s="122">
        <v>45770</v>
      </c>
      <c r="V2552" s="122">
        <v>7893409</v>
      </c>
      <c r="W2552" s="122">
        <f t="shared" si="82"/>
        <v>7893409</v>
      </c>
      <c r="X2552" s="122">
        <f t="shared" si="83"/>
        <v>9690815</v>
      </c>
      <c r="AA2552" t="s">
        <v>64</v>
      </c>
      <c r="AB2552" t="s">
        <v>433</v>
      </c>
      <c r="AC2552" t="s">
        <v>431</v>
      </c>
      <c r="AD2552" t="s">
        <v>433</v>
      </c>
      <c r="AE2552" t="s">
        <v>137</v>
      </c>
      <c r="AF2552">
        <v>5</v>
      </c>
      <c r="AG2552">
        <v>407</v>
      </c>
      <c r="AH2552" s="122">
        <v>3410</v>
      </c>
      <c r="AI2552" s="122">
        <v>207181</v>
      </c>
      <c r="AJ2552" s="122">
        <v>188347</v>
      </c>
      <c r="AK2552">
        <v>50</v>
      </c>
      <c r="AL2552" s="122">
        <v>22561</v>
      </c>
      <c r="AM2552" s="122">
        <v>20510</v>
      </c>
      <c r="AN2552" s="122">
        <v>7953</v>
      </c>
      <c r="AO2552" s="122">
        <v>2945</v>
      </c>
      <c r="AP2552" s="122">
        <v>1755</v>
      </c>
      <c r="AQ2552">
        <v>650</v>
      </c>
      <c r="AR2552" s="122">
        <v>32431</v>
      </c>
      <c r="AS2552" s="122">
        <v>29483</v>
      </c>
      <c r="AT2552" s="122">
        <v>6764</v>
      </c>
      <c r="AU2552" s="122">
        <v>2505</v>
      </c>
      <c r="AV2552" s="122">
        <v>244441</v>
      </c>
    </row>
    <row r="2553" spans="2:48" hidden="1">
      <c r="B2553" t="s">
        <v>381</v>
      </c>
      <c r="C2553" t="s">
        <v>54</v>
      </c>
      <c r="D2553" t="s">
        <v>406</v>
      </c>
      <c r="E2553" t="s">
        <v>427</v>
      </c>
      <c r="F2553" s="122">
        <v>1</v>
      </c>
      <c r="G2553" s="122">
        <v>280</v>
      </c>
      <c r="H2553" s="122">
        <v>130</v>
      </c>
      <c r="I2553" s="122">
        <v>25945</v>
      </c>
      <c r="J2553" s="122">
        <v>23586</v>
      </c>
      <c r="K2553" s="122">
        <v>79</v>
      </c>
      <c r="L2553" s="122">
        <v>3253</v>
      </c>
      <c r="M2553" s="122">
        <v>2958</v>
      </c>
      <c r="N2553" s="122">
        <v>4611</v>
      </c>
      <c r="O2553" s="122">
        <v>1708</v>
      </c>
      <c r="P2553" s="122">
        <v>891</v>
      </c>
      <c r="Q2553" s="122">
        <v>330</v>
      </c>
      <c r="R2553" s="122">
        <v>1662</v>
      </c>
      <c r="S2553" s="122">
        <v>1511</v>
      </c>
      <c r="T2553" s="122">
        <v>0</v>
      </c>
      <c r="U2553" s="122">
        <v>0</v>
      </c>
      <c r="V2553" s="122">
        <v>30093</v>
      </c>
      <c r="W2553" s="122">
        <f t="shared" si="82"/>
        <v>30093</v>
      </c>
      <c r="X2553" s="122">
        <f t="shared" si="83"/>
        <v>36362</v>
      </c>
      <c r="AA2553" t="s">
        <v>64</v>
      </c>
      <c r="AB2553" t="s">
        <v>433</v>
      </c>
      <c r="AC2553" t="s">
        <v>426</v>
      </c>
      <c r="AD2553" t="s">
        <v>406</v>
      </c>
      <c r="AE2553" t="s">
        <v>566</v>
      </c>
      <c r="AF2553">
        <v>1</v>
      </c>
      <c r="AG2553">
        <v>218</v>
      </c>
      <c r="AH2553" s="122">
        <v>574</v>
      </c>
      <c r="AI2553" s="122">
        <v>103272</v>
      </c>
      <c r="AJ2553" s="122">
        <v>93883</v>
      </c>
      <c r="AK2553">
        <v>55</v>
      </c>
      <c r="AL2553" s="122">
        <v>10518</v>
      </c>
      <c r="AM2553" s="122">
        <v>9562</v>
      </c>
      <c r="AN2553" s="122">
        <v>4204</v>
      </c>
      <c r="AO2553" s="122">
        <v>1557</v>
      </c>
      <c r="AP2553" s="122">
        <v>351</v>
      </c>
      <c r="AQ2553">
        <v>130</v>
      </c>
      <c r="AR2553" s="122">
        <v>7103</v>
      </c>
      <c r="AS2553" s="122">
        <v>6457</v>
      </c>
      <c r="AT2553" s="122">
        <v>0</v>
      </c>
      <c r="AU2553" s="122">
        <v>0</v>
      </c>
      <c r="AV2553" s="122">
        <v>111590</v>
      </c>
    </row>
    <row r="2554" spans="2:48" hidden="1">
      <c r="B2554" t="s">
        <v>381</v>
      </c>
      <c r="C2554" t="s">
        <v>54</v>
      </c>
      <c r="D2554" t="s">
        <v>407</v>
      </c>
      <c r="E2554" t="s">
        <v>407</v>
      </c>
      <c r="F2554" s="122">
        <v>16</v>
      </c>
      <c r="G2554" s="122">
        <v>2375</v>
      </c>
      <c r="H2554" s="122">
        <v>2306</v>
      </c>
      <c r="I2554" s="122">
        <v>189761</v>
      </c>
      <c r="J2554" s="122">
        <v>172510</v>
      </c>
      <c r="K2554" s="122">
        <v>88</v>
      </c>
      <c r="L2554" s="122">
        <v>33356</v>
      </c>
      <c r="M2554" s="122">
        <v>37167</v>
      </c>
      <c r="N2554" s="122">
        <v>42520</v>
      </c>
      <c r="O2554" s="122">
        <v>15748</v>
      </c>
      <c r="P2554" s="122">
        <v>9580</v>
      </c>
      <c r="Q2554" s="122">
        <v>3548</v>
      </c>
      <c r="R2554" s="122">
        <v>78265</v>
      </c>
      <c r="S2554" s="122">
        <v>71150</v>
      </c>
      <c r="T2554" s="122">
        <v>5245</v>
      </c>
      <c r="U2554" s="122">
        <v>1943</v>
      </c>
      <c r="V2554" s="122">
        <v>302066</v>
      </c>
      <c r="W2554" s="122">
        <f t="shared" si="82"/>
        <v>302066</v>
      </c>
      <c r="X2554" s="122">
        <f t="shared" si="83"/>
        <v>358727</v>
      </c>
      <c r="AA2554" t="s">
        <v>64</v>
      </c>
      <c r="AB2554" t="s">
        <v>433</v>
      </c>
      <c r="AC2554" t="s">
        <v>426</v>
      </c>
      <c r="AD2554" t="s">
        <v>433</v>
      </c>
      <c r="AE2554" t="s">
        <v>137</v>
      </c>
      <c r="AF2554">
        <v>5</v>
      </c>
      <c r="AG2554">
        <v>729</v>
      </c>
      <c r="AH2554" s="122">
        <v>3274</v>
      </c>
      <c r="AI2554" s="122">
        <v>311495</v>
      </c>
      <c r="AJ2554" s="122">
        <v>283177</v>
      </c>
      <c r="AK2554">
        <v>57</v>
      </c>
      <c r="AL2554" s="122">
        <v>45587</v>
      </c>
      <c r="AM2554" s="122">
        <v>41442</v>
      </c>
      <c r="AN2554" s="122">
        <v>14773</v>
      </c>
      <c r="AO2554" s="122">
        <v>5471</v>
      </c>
      <c r="AP2554" s="122">
        <v>1755</v>
      </c>
      <c r="AQ2554">
        <v>650</v>
      </c>
      <c r="AR2554" s="122">
        <v>31732</v>
      </c>
      <c r="AS2554" s="122">
        <v>28847</v>
      </c>
      <c r="AT2554" s="122">
        <v>15013</v>
      </c>
      <c r="AU2554" s="122">
        <v>5560</v>
      </c>
      <c r="AV2554" s="122">
        <v>365148</v>
      </c>
    </row>
    <row r="2555" spans="2:48" hidden="1">
      <c r="B2555" t="s">
        <v>381</v>
      </c>
      <c r="C2555" t="s">
        <v>54</v>
      </c>
      <c r="D2555" t="s">
        <v>426</v>
      </c>
      <c r="E2555" t="s">
        <v>426</v>
      </c>
      <c r="F2555" s="122">
        <v>1</v>
      </c>
      <c r="G2555" s="122">
        <v>313</v>
      </c>
      <c r="H2555" s="122">
        <v>144</v>
      </c>
      <c r="I2555" s="122">
        <v>25160</v>
      </c>
      <c r="J2555" s="122">
        <v>22873</v>
      </c>
      <c r="K2555" s="122">
        <v>70</v>
      </c>
      <c r="L2555" s="122">
        <v>6476</v>
      </c>
      <c r="M2555" s="122">
        <v>5888</v>
      </c>
      <c r="N2555" s="122">
        <v>3809</v>
      </c>
      <c r="O2555" s="122">
        <v>1411</v>
      </c>
      <c r="P2555" s="122">
        <v>702</v>
      </c>
      <c r="Q2555" s="122">
        <v>260</v>
      </c>
      <c r="R2555" s="122">
        <v>8897</v>
      </c>
      <c r="S2555" s="122">
        <v>8088</v>
      </c>
      <c r="T2555" s="122">
        <v>0</v>
      </c>
      <c r="U2555" s="122">
        <v>0</v>
      </c>
      <c r="V2555" s="122">
        <v>38519</v>
      </c>
      <c r="W2555" s="122">
        <f t="shared" si="82"/>
        <v>38520</v>
      </c>
      <c r="X2555" s="122">
        <f t="shared" si="83"/>
        <v>45044</v>
      </c>
      <c r="AA2555" t="s">
        <v>64</v>
      </c>
      <c r="AB2555" t="s">
        <v>433</v>
      </c>
      <c r="AC2555" t="s">
        <v>566</v>
      </c>
      <c r="AD2555" t="s">
        <v>137</v>
      </c>
      <c r="AE2555" t="s">
        <v>566</v>
      </c>
      <c r="AF2555">
        <v>4</v>
      </c>
      <c r="AG2555">
        <v>322</v>
      </c>
      <c r="AH2555" s="122">
        <v>3339</v>
      </c>
      <c r="AI2555" s="122">
        <v>220740</v>
      </c>
      <c r="AJ2555" s="122">
        <v>200672</v>
      </c>
      <c r="AK2555">
        <v>44</v>
      </c>
      <c r="AL2555">
        <v>0</v>
      </c>
      <c r="AM2555" s="122">
        <v>10125</v>
      </c>
      <c r="AN2555" s="122">
        <v>6835</v>
      </c>
      <c r="AO2555" s="122">
        <v>2531</v>
      </c>
      <c r="AP2555" s="122">
        <v>0</v>
      </c>
      <c r="AQ2555" s="122">
        <v>0</v>
      </c>
      <c r="AR2555" s="122">
        <v>26800</v>
      </c>
      <c r="AS2555" s="122">
        <v>9926</v>
      </c>
      <c r="AT2555" s="122">
        <v>0</v>
      </c>
      <c r="AU2555" s="122">
        <v>0</v>
      </c>
      <c r="AV2555" s="122">
        <v>223255</v>
      </c>
    </row>
    <row r="2556" spans="2:48" hidden="1">
      <c r="B2556" t="s">
        <v>381</v>
      </c>
      <c r="C2556" t="s">
        <v>54</v>
      </c>
      <c r="D2556" t="s">
        <v>408</v>
      </c>
      <c r="E2556" t="s">
        <v>137</v>
      </c>
      <c r="F2556" s="122">
        <v>1</v>
      </c>
      <c r="G2556" s="122">
        <v>199</v>
      </c>
      <c r="H2556" s="122">
        <v>128</v>
      </c>
      <c r="I2556" s="122">
        <v>12029</v>
      </c>
      <c r="J2556" s="122">
        <v>10936</v>
      </c>
      <c r="K2556" s="122">
        <v>90</v>
      </c>
      <c r="L2556" s="122">
        <v>1998</v>
      </c>
      <c r="M2556" s="122">
        <v>1817</v>
      </c>
      <c r="N2556" s="122">
        <v>3460</v>
      </c>
      <c r="O2556" s="122">
        <v>1282</v>
      </c>
      <c r="P2556" s="122">
        <v>351</v>
      </c>
      <c r="Q2556" s="122">
        <v>130</v>
      </c>
      <c r="R2556" s="122">
        <v>7533</v>
      </c>
      <c r="S2556" s="122">
        <v>2790</v>
      </c>
      <c r="T2556" s="122">
        <v>0</v>
      </c>
      <c r="U2556" s="122">
        <v>0</v>
      </c>
      <c r="V2556" s="122">
        <v>16954</v>
      </c>
      <c r="W2556" s="122">
        <f t="shared" si="82"/>
        <v>16955</v>
      </c>
      <c r="X2556" s="122">
        <f t="shared" si="83"/>
        <v>25371</v>
      </c>
      <c r="AA2556" t="s">
        <v>64</v>
      </c>
      <c r="AB2556" t="s">
        <v>433</v>
      </c>
      <c r="AC2556" t="s">
        <v>566</v>
      </c>
      <c r="AD2556" t="s">
        <v>433</v>
      </c>
      <c r="AE2556" t="s">
        <v>137</v>
      </c>
      <c r="AF2556">
        <v>13</v>
      </c>
      <c r="AG2556">
        <v>889</v>
      </c>
      <c r="AH2556" s="122">
        <v>7912</v>
      </c>
      <c r="AI2556" s="122">
        <v>424309</v>
      </c>
      <c r="AJ2556" s="122">
        <v>385736</v>
      </c>
      <c r="AK2556">
        <v>59</v>
      </c>
      <c r="AL2556">
        <v>0</v>
      </c>
      <c r="AM2556" s="122">
        <v>0</v>
      </c>
      <c r="AN2556" s="122">
        <v>19322</v>
      </c>
      <c r="AO2556" s="122">
        <v>7156</v>
      </c>
      <c r="AP2556" s="122">
        <v>4563</v>
      </c>
      <c r="AQ2556" s="122">
        <v>1690</v>
      </c>
      <c r="AR2556" s="122">
        <v>58293</v>
      </c>
      <c r="AS2556" s="122">
        <v>52994</v>
      </c>
      <c r="AT2556" s="122">
        <v>27493</v>
      </c>
      <c r="AU2556" s="122">
        <v>10182</v>
      </c>
      <c r="AV2556" s="122">
        <v>457758</v>
      </c>
    </row>
    <row r="2557" spans="2:48" hidden="1">
      <c r="B2557" t="s">
        <v>381</v>
      </c>
      <c r="C2557" t="s">
        <v>54</v>
      </c>
      <c r="D2557" t="s">
        <v>408</v>
      </c>
      <c r="E2557" t="s">
        <v>408</v>
      </c>
      <c r="F2557" s="122">
        <v>7</v>
      </c>
      <c r="G2557" s="122">
        <v>1618</v>
      </c>
      <c r="H2557" s="122">
        <v>993</v>
      </c>
      <c r="I2557" s="122">
        <v>145793</v>
      </c>
      <c r="J2557" s="122">
        <v>132539</v>
      </c>
      <c r="K2557" s="122">
        <v>75</v>
      </c>
      <c r="L2557" s="122">
        <v>19989</v>
      </c>
      <c r="M2557" s="122">
        <v>18172</v>
      </c>
      <c r="N2557" s="122">
        <v>29241</v>
      </c>
      <c r="O2557" s="122">
        <v>10830</v>
      </c>
      <c r="P2557" s="122">
        <v>2457</v>
      </c>
      <c r="Q2557" s="122">
        <v>910</v>
      </c>
      <c r="R2557" s="122">
        <v>34583</v>
      </c>
      <c r="S2557" s="122">
        <v>31439</v>
      </c>
      <c r="T2557" s="122">
        <v>0</v>
      </c>
      <c r="U2557" s="122">
        <v>0</v>
      </c>
      <c r="V2557" s="122">
        <v>193890</v>
      </c>
      <c r="W2557" s="122">
        <f t="shared" si="82"/>
        <v>193890</v>
      </c>
      <c r="X2557" s="122">
        <f t="shared" si="83"/>
        <v>232063</v>
      </c>
      <c r="AA2557" t="s">
        <v>64</v>
      </c>
      <c r="AB2557" t="s">
        <v>433</v>
      </c>
      <c r="AC2557" t="s">
        <v>566</v>
      </c>
      <c r="AD2557" t="s">
        <v>433</v>
      </c>
      <c r="AE2557" t="s">
        <v>566</v>
      </c>
      <c r="AF2557">
        <v>3</v>
      </c>
      <c r="AG2557">
        <v>291</v>
      </c>
      <c r="AH2557" s="122">
        <v>1835</v>
      </c>
      <c r="AI2557" s="122">
        <v>144705</v>
      </c>
      <c r="AJ2557" s="122">
        <v>131550</v>
      </c>
      <c r="AK2557">
        <v>68</v>
      </c>
      <c r="AL2557" s="122">
        <v>0</v>
      </c>
      <c r="AM2557" s="122">
        <v>13480</v>
      </c>
      <c r="AN2557" s="122">
        <v>6716</v>
      </c>
      <c r="AO2557" s="122">
        <v>2487</v>
      </c>
      <c r="AP2557" s="122">
        <v>1053</v>
      </c>
      <c r="AQ2557">
        <v>390</v>
      </c>
      <c r="AR2557" s="122">
        <v>19742</v>
      </c>
      <c r="AS2557" s="122">
        <v>17947</v>
      </c>
      <c r="AT2557">
        <v>0</v>
      </c>
      <c r="AU2557">
        <v>0</v>
      </c>
      <c r="AV2557" s="122">
        <v>165854</v>
      </c>
    </row>
    <row r="2558" spans="2:48" hidden="1">
      <c r="B2558" t="s">
        <v>381</v>
      </c>
      <c r="C2558" t="s">
        <v>56</v>
      </c>
      <c r="F2558" s="122">
        <v>1</v>
      </c>
      <c r="G2558" s="122">
        <v>541</v>
      </c>
      <c r="H2558" s="122">
        <v>174</v>
      </c>
      <c r="I2558" s="122"/>
      <c r="J2558" s="122">
        <v>0</v>
      </c>
      <c r="K2558" s="122"/>
      <c r="L2558" s="122"/>
      <c r="M2558" s="122">
        <v>0</v>
      </c>
      <c r="N2558" s="122">
        <v>6986</v>
      </c>
      <c r="O2558" s="122">
        <v>2588</v>
      </c>
      <c r="P2558" s="122">
        <v>621</v>
      </c>
      <c r="Q2558" s="122">
        <v>230</v>
      </c>
      <c r="R2558" s="122"/>
      <c r="S2558" s="122">
        <v>0</v>
      </c>
      <c r="T2558" s="122">
        <v>0</v>
      </c>
      <c r="U2558" s="122">
        <v>0</v>
      </c>
      <c r="V2558" s="122">
        <v>2818</v>
      </c>
      <c r="W2558" s="122">
        <f t="shared" si="82"/>
        <v>2818</v>
      </c>
      <c r="X2558" s="122">
        <f t="shared" si="83"/>
        <v>7607</v>
      </c>
      <c r="AA2558" t="s">
        <v>64</v>
      </c>
      <c r="AB2558" t="s">
        <v>433</v>
      </c>
      <c r="AC2558" t="s">
        <v>433</v>
      </c>
      <c r="AD2558" t="s">
        <v>137</v>
      </c>
      <c r="AE2558" t="s">
        <v>566</v>
      </c>
      <c r="AF2558">
        <v>3</v>
      </c>
      <c r="AG2558" s="122">
        <v>306</v>
      </c>
      <c r="AH2558" s="122">
        <v>2415</v>
      </c>
      <c r="AI2558" s="122">
        <v>176908</v>
      </c>
      <c r="AJ2558" s="122">
        <v>160826</v>
      </c>
      <c r="AK2558">
        <v>52</v>
      </c>
      <c r="AL2558" s="122">
        <v>24054</v>
      </c>
      <c r="AM2558" s="122">
        <v>21867</v>
      </c>
      <c r="AN2558" s="122">
        <v>6636</v>
      </c>
      <c r="AO2558" s="122">
        <v>2458</v>
      </c>
      <c r="AP2558" s="122">
        <v>0</v>
      </c>
      <c r="AQ2558" s="122">
        <v>0</v>
      </c>
      <c r="AR2558" s="122">
        <v>29051</v>
      </c>
      <c r="AS2558" s="122">
        <v>10760</v>
      </c>
      <c r="AT2558" s="122">
        <v>0</v>
      </c>
      <c r="AU2558" s="122">
        <v>0</v>
      </c>
      <c r="AV2558" s="122">
        <v>195910</v>
      </c>
    </row>
    <row r="2559" spans="2:48" hidden="1">
      <c r="B2559" t="s">
        <v>381</v>
      </c>
      <c r="C2559" t="s">
        <v>56</v>
      </c>
      <c r="D2559" t="s">
        <v>425</v>
      </c>
      <c r="E2559" t="s">
        <v>425</v>
      </c>
      <c r="F2559" s="122">
        <v>4</v>
      </c>
      <c r="G2559" s="122">
        <v>883</v>
      </c>
      <c r="H2559" s="122">
        <v>689</v>
      </c>
      <c r="I2559" s="122">
        <v>96418</v>
      </c>
      <c r="J2559" s="122">
        <v>87652</v>
      </c>
      <c r="K2559" s="122">
        <v>88</v>
      </c>
      <c r="L2559" s="122">
        <v>15729</v>
      </c>
      <c r="M2559" s="122">
        <v>14299</v>
      </c>
      <c r="N2559" s="122">
        <v>18091</v>
      </c>
      <c r="O2559" s="122">
        <v>6700</v>
      </c>
      <c r="P2559" s="122">
        <v>2511</v>
      </c>
      <c r="Q2559" s="122">
        <v>930</v>
      </c>
      <c r="R2559" s="122">
        <v>21075</v>
      </c>
      <c r="S2559" s="122">
        <v>19159</v>
      </c>
      <c r="T2559" s="122">
        <v>4241</v>
      </c>
      <c r="U2559" s="122">
        <v>1571</v>
      </c>
      <c r="V2559" s="122">
        <v>130312</v>
      </c>
      <c r="W2559" s="122">
        <f t="shared" si="82"/>
        <v>130311</v>
      </c>
      <c r="X2559" s="122">
        <f t="shared" si="83"/>
        <v>158065</v>
      </c>
      <c r="AA2559" t="s">
        <v>64</v>
      </c>
      <c r="AB2559" t="s">
        <v>433</v>
      </c>
      <c r="AC2559" t="s">
        <v>433</v>
      </c>
      <c r="AD2559" t="s">
        <v>433</v>
      </c>
      <c r="AE2559" t="s">
        <v>137</v>
      </c>
      <c r="AF2559">
        <v>38</v>
      </c>
      <c r="AG2559" s="122">
        <v>3877</v>
      </c>
      <c r="AH2559" s="122">
        <v>24912</v>
      </c>
      <c r="AI2559" s="122">
        <v>1838733</v>
      </c>
      <c r="AJ2559" s="122">
        <v>1671575</v>
      </c>
      <c r="AK2559">
        <v>53</v>
      </c>
      <c r="AL2559" s="122">
        <v>254552</v>
      </c>
      <c r="AM2559" s="122">
        <v>231411</v>
      </c>
      <c r="AN2559" s="122">
        <v>87419</v>
      </c>
      <c r="AO2559" s="122">
        <v>32378</v>
      </c>
      <c r="AP2559" s="122">
        <v>13527</v>
      </c>
      <c r="AQ2559" s="122">
        <v>5010</v>
      </c>
      <c r="AR2559" s="122">
        <v>236907</v>
      </c>
      <c r="AS2559" s="122">
        <v>215370</v>
      </c>
      <c r="AT2559" s="122">
        <v>96187</v>
      </c>
      <c r="AU2559" s="122">
        <v>35625</v>
      </c>
      <c r="AV2559" s="122">
        <v>2191369</v>
      </c>
    </row>
    <row r="2560" spans="2:48" hidden="1">
      <c r="B2560" t="s">
        <v>381</v>
      </c>
      <c r="C2560" t="s">
        <v>56</v>
      </c>
      <c r="D2560" t="s">
        <v>405</v>
      </c>
      <c r="E2560" t="s">
        <v>405</v>
      </c>
      <c r="F2560" s="122">
        <v>76</v>
      </c>
      <c r="G2560" s="122">
        <v>11633</v>
      </c>
      <c r="H2560" s="122">
        <v>14057</v>
      </c>
      <c r="I2560" s="122">
        <v>1169985</v>
      </c>
      <c r="J2560" s="122">
        <v>1063622</v>
      </c>
      <c r="K2560" s="122">
        <v>85</v>
      </c>
      <c r="L2560" s="122">
        <v>287356</v>
      </c>
      <c r="M2560" s="122">
        <v>256656</v>
      </c>
      <c r="N2560" s="122">
        <v>250537</v>
      </c>
      <c r="O2560" s="122">
        <v>92791</v>
      </c>
      <c r="P2560" s="122">
        <v>43005</v>
      </c>
      <c r="Q2560" s="122">
        <v>15928</v>
      </c>
      <c r="R2560" s="122">
        <v>382779</v>
      </c>
      <c r="S2560" s="122">
        <v>347981</v>
      </c>
      <c r="T2560" s="122">
        <v>31971</v>
      </c>
      <c r="U2560" s="122">
        <v>11841</v>
      </c>
      <c r="V2560" s="122">
        <v>1788819</v>
      </c>
      <c r="W2560" s="122">
        <f t="shared" si="82"/>
        <v>1788819</v>
      </c>
      <c r="X2560" s="122">
        <f t="shared" si="83"/>
        <v>2165633</v>
      </c>
      <c r="AA2560" t="s">
        <v>64</v>
      </c>
      <c r="AB2560" t="s">
        <v>433</v>
      </c>
      <c r="AC2560" t="s">
        <v>433</v>
      </c>
      <c r="AD2560" t="s">
        <v>433</v>
      </c>
      <c r="AE2560" t="s">
        <v>566</v>
      </c>
      <c r="AF2560">
        <v>10</v>
      </c>
      <c r="AG2560">
        <v>797</v>
      </c>
      <c r="AH2560" s="122">
        <v>9233</v>
      </c>
      <c r="AI2560" s="122">
        <v>497505</v>
      </c>
      <c r="AJ2560" s="122">
        <v>452277</v>
      </c>
      <c r="AK2560">
        <v>48</v>
      </c>
      <c r="AL2560" s="122">
        <v>78889</v>
      </c>
      <c r="AM2560" s="122">
        <v>71717</v>
      </c>
      <c r="AN2560" s="122">
        <v>16870</v>
      </c>
      <c r="AO2560" s="122">
        <v>6248</v>
      </c>
      <c r="AP2560" s="122">
        <v>2930</v>
      </c>
      <c r="AQ2560" s="122">
        <v>1085</v>
      </c>
      <c r="AR2560" s="122">
        <v>94042</v>
      </c>
      <c r="AS2560" s="122">
        <v>85493</v>
      </c>
      <c r="AT2560">
        <v>0</v>
      </c>
      <c r="AU2560">
        <v>0</v>
      </c>
      <c r="AV2560" s="122">
        <v>616821</v>
      </c>
    </row>
    <row r="2561" spans="2:48" hidden="1">
      <c r="B2561" t="s">
        <v>381</v>
      </c>
      <c r="C2561" t="s">
        <v>56</v>
      </c>
      <c r="D2561" t="s">
        <v>405</v>
      </c>
      <c r="E2561" t="s">
        <v>137</v>
      </c>
      <c r="F2561" s="122">
        <v>2</v>
      </c>
      <c r="G2561" s="122">
        <v>330</v>
      </c>
      <c r="H2561" s="122">
        <v>309</v>
      </c>
      <c r="I2561" s="122">
        <v>30539</v>
      </c>
      <c r="J2561" s="122">
        <v>27763</v>
      </c>
      <c r="K2561" s="122">
        <v>92</v>
      </c>
      <c r="L2561" s="122">
        <v>6461</v>
      </c>
      <c r="M2561" s="122">
        <v>5873</v>
      </c>
      <c r="N2561" s="122">
        <v>7644</v>
      </c>
      <c r="O2561" s="122">
        <v>2831</v>
      </c>
      <c r="P2561" s="122">
        <v>945</v>
      </c>
      <c r="Q2561" s="122">
        <v>350</v>
      </c>
      <c r="R2561" s="122">
        <v>15434</v>
      </c>
      <c r="S2561" s="122">
        <v>5716</v>
      </c>
      <c r="T2561" s="122">
        <v>0</v>
      </c>
      <c r="U2561" s="122">
        <v>0</v>
      </c>
      <c r="V2561" s="122">
        <v>42534</v>
      </c>
      <c r="W2561" s="122">
        <f t="shared" si="82"/>
        <v>42533</v>
      </c>
      <c r="X2561" s="122">
        <f t="shared" si="83"/>
        <v>61023</v>
      </c>
      <c r="AA2561" t="s">
        <v>64</v>
      </c>
      <c r="AB2561" t="s">
        <v>408</v>
      </c>
      <c r="AC2561" t="s">
        <v>137</v>
      </c>
      <c r="AD2561" t="s">
        <v>137</v>
      </c>
      <c r="AE2561" t="s">
        <v>566</v>
      </c>
      <c r="AF2561">
        <v>2</v>
      </c>
      <c r="AG2561">
        <v>87</v>
      </c>
      <c r="AH2561" s="122">
        <v>1302</v>
      </c>
      <c r="AI2561" s="122">
        <v>36032</v>
      </c>
      <c r="AJ2561" s="122">
        <v>32756</v>
      </c>
      <c r="AK2561">
        <v>65</v>
      </c>
      <c r="AL2561" s="122">
        <v>6387</v>
      </c>
      <c r="AM2561" s="122">
        <v>2366</v>
      </c>
      <c r="AN2561" s="122">
        <v>1549</v>
      </c>
      <c r="AO2561" s="122">
        <v>574</v>
      </c>
      <c r="AP2561">
        <v>351</v>
      </c>
      <c r="AQ2561">
        <v>130</v>
      </c>
      <c r="AR2561" s="122">
        <v>11377</v>
      </c>
      <c r="AS2561" s="122">
        <v>4214</v>
      </c>
      <c r="AT2561" s="122">
        <v>0</v>
      </c>
      <c r="AU2561" s="122">
        <v>0</v>
      </c>
      <c r="AV2561" s="122">
        <v>40039</v>
      </c>
    </row>
    <row r="2562" spans="2:48" hidden="1">
      <c r="B2562" t="s">
        <v>381</v>
      </c>
      <c r="C2562" t="s">
        <v>56</v>
      </c>
      <c r="D2562" t="s">
        <v>405</v>
      </c>
      <c r="E2562" t="s">
        <v>406</v>
      </c>
      <c r="F2562" s="122">
        <v>1</v>
      </c>
      <c r="G2562" s="122">
        <v>153</v>
      </c>
      <c r="H2562" s="122">
        <v>182</v>
      </c>
      <c r="I2562" s="122">
        <v>13525</v>
      </c>
      <c r="J2562" s="122">
        <v>12295</v>
      </c>
      <c r="K2562" s="122">
        <v>79</v>
      </c>
      <c r="L2562" s="122">
        <v>3757</v>
      </c>
      <c r="M2562" s="122">
        <v>3415</v>
      </c>
      <c r="N2562" s="122">
        <v>3201</v>
      </c>
      <c r="O2562" s="122">
        <v>1186</v>
      </c>
      <c r="P2562" s="122">
        <v>473</v>
      </c>
      <c r="Q2562" s="122">
        <v>175</v>
      </c>
      <c r="R2562" s="122">
        <v>6805</v>
      </c>
      <c r="S2562" s="122">
        <v>6186</v>
      </c>
      <c r="T2562" s="122">
        <v>0</v>
      </c>
      <c r="U2562" s="122">
        <v>0</v>
      </c>
      <c r="V2562" s="122">
        <v>23258</v>
      </c>
      <c r="W2562" s="122">
        <f t="shared" si="82"/>
        <v>23257</v>
      </c>
      <c r="X2562" s="122">
        <f t="shared" si="83"/>
        <v>27761</v>
      </c>
      <c r="AA2562" t="s">
        <v>64</v>
      </c>
      <c r="AB2562" t="s">
        <v>408</v>
      </c>
      <c r="AC2562" t="s">
        <v>427</v>
      </c>
      <c r="AD2562" t="s">
        <v>408</v>
      </c>
      <c r="AE2562" t="s">
        <v>137</v>
      </c>
      <c r="AF2562">
        <v>2</v>
      </c>
      <c r="AG2562">
        <v>232</v>
      </c>
      <c r="AH2562" s="122">
        <v>1151</v>
      </c>
      <c r="AI2562" s="122">
        <v>96729</v>
      </c>
      <c r="AJ2562" s="122">
        <v>87935</v>
      </c>
      <c r="AK2562">
        <v>65</v>
      </c>
      <c r="AL2562" s="122">
        <v>16364</v>
      </c>
      <c r="AM2562" s="122">
        <v>14876</v>
      </c>
      <c r="AN2562" s="122">
        <v>4824</v>
      </c>
      <c r="AO2562" s="122">
        <v>1787</v>
      </c>
      <c r="AP2562">
        <v>702</v>
      </c>
      <c r="AQ2562">
        <v>260</v>
      </c>
      <c r="AR2562" s="122">
        <v>9330</v>
      </c>
      <c r="AS2562" s="122">
        <v>8481</v>
      </c>
      <c r="AT2562" s="122">
        <v>5157</v>
      </c>
      <c r="AU2562" s="122">
        <v>1910</v>
      </c>
      <c r="AV2562" s="122">
        <v>115250</v>
      </c>
    </row>
    <row r="2563" spans="2:48" hidden="1">
      <c r="B2563" t="s">
        <v>381</v>
      </c>
      <c r="C2563" t="s">
        <v>56</v>
      </c>
      <c r="D2563" t="s">
        <v>137</v>
      </c>
      <c r="E2563" t="s">
        <v>137</v>
      </c>
      <c r="F2563" s="122">
        <v>6</v>
      </c>
      <c r="G2563" s="122">
        <v>974</v>
      </c>
      <c r="H2563" s="122">
        <v>1128</v>
      </c>
      <c r="I2563" s="122">
        <v>97121</v>
      </c>
      <c r="J2563" s="122">
        <v>35971</v>
      </c>
      <c r="K2563" s="122">
        <v>229</v>
      </c>
      <c r="L2563" s="122">
        <v>24044</v>
      </c>
      <c r="M2563" s="122">
        <v>27117</v>
      </c>
      <c r="N2563" s="122">
        <v>21709</v>
      </c>
      <c r="O2563" s="122">
        <v>8040</v>
      </c>
      <c r="P2563" s="122">
        <v>1323</v>
      </c>
      <c r="Q2563" s="122">
        <v>490</v>
      </c>
      <c r="R2563" s="122">
        <v>39658</v>
      </c>
      <c r="S2563" s="122">
        <v>14688</v>
      </c>
      <c r="T2563" s="122">
        <v>0</v>
      </c>
      <c r="U2563" s="122">
        <v>0</v>
      </c>
      <c r="V2563" s="122">
        <v>86306</v>
      </c>
      <c r="W2563" s="122">
        <f t="shared" si="82"/>
        <v>86306</v>
      </c>
      <c r="X2563" s="122">
        <f t="shared" si="83"/>
        <v>183855</v>
      </c>
      <c r="AA2563" t="s">
        <v>64</v>
      </c>
      <c r="AB2563" t="s">
        <v>408</v>
      </c>
      <c r="AC2563" t="s">
        <v>579</v>
      </c>
      <c r="AD2563" t="s">
        <v>408</v>
      </c>
      <c r="AE2563" t="s">
        <v>137</v>
      </c>
      <c r="AF2563">
        <v>1</v>
      </c>
      <c r="AG2563">
        <v>125</v>
      </c>
      <c r="AH2563">
        <v>668</v>
      </c>
      <c r="AI2563" s="122">
        <v>56785</v>
      </c>
      <c r="AJ2563" s="122">
        <v>51623</v>
      </c>
      <c r="AK2563">
        <v>65</v>
      </c>
      <c r="AL2563" s="122">
        <v>14913</v>
      </c>
      <c r="AM2563" s="122">
        <v>12428</v>
      </c>
      <c r="AN2563" s="122">
        <v>3039</v>
      </c>
      <c r="AO2563" s="122">
        <v>1125</v>
      </c>
      <c r="AP2563">
        <v>351</v>
      </c>
      <c r="AQ2563">
        <v>130</v>
      </c>
      <c r="AR2563" s="122">
        <v>5199</v>
      </c>
      <c r="AS2563" s="122">
        <v>4726</v>
      </c>
      <c r="AT2563" s="122">
        <v>2998</v>
      </c>
      <c r="AU2563" s="122">
        <v>1111</v>
      </c>
      <c r="AV2563" s="122">
        <v>71143</v>
      </c>
    </row>
    <row r="2564" spans="2:48" hidden="1">
      <c r="B2564" t="s">
        <v>381</v>
      </c>
      <c r="C2564" t="s">
        <v>56</v>
      </c>
      <c r="D2564" t="s">
        <v>406</v>
      </c>
      <c r="E2564" t="s">
        <v>137</v>
      </c>
      <c r="F2564" s="122">
        <v>2</v>
      </c>
      <c r="G2564" s="122">
        <v>259</v>
      </c>
      <c r="H2564" s="122">
        <v>327</v>
      </c>
      <c r="I2564" s="122">
        <v>23613</v>
      </c>
      <c r="J2564" s="122">
        <v>21466</v>
      </c>
      <c r="K2564" s="122">
        <v>89</v>
      </c>
      <c r="L2564" s="122">
        <v>1410</v>
      </c>
      <c r="M2564" s="122">
        <v>1282</v>
      </c>
      <c r="N2564" s="122">
        <v>6312</v>
      </c>
      <c r="O2564" s="122">
        <v>2338</v>
      </c>
      <c r="P2564" s="122">
        <v>1242</v>
      </c>
      <c r="Q2564" s="122">
        <v>460</v>
      </c>
      <c r="R2564" s="122">
        <v>10004</v>
      </c>
      <c r="S2564" s="122">
        <v>3705</v>
      </c>
      <c r="T2564" s="122">
        <v>0</v>
      </c>
      <c r="U2564" s="122">
        <v>0</v>
      </c>
      <c r="V2564" s="122">
        <v>29252</v>
      </c>
      <c r="W2564" s="122">
        <f t="shared" si="82"/>
        <v>29251</v>
      </c>
      <c r="X2564" s="122">
        <f t="shared" si="83"/>
        <v>42581</v>
      </c>
      <c r="AA2564" t="s">
        <v>64</v>
      </c>
      <c r="AB2564" t="s">
        <v>408</v>
      </c>
      <c r="AC2564" t="s">
        <v>426</v>
      </c>
      <c r="AD2564" t="s">
        <v>137</v>
      </c>
      <c r="AE2564" t="s">
        <v>566</v>
      </c>
      <c r="AF2564">
        <v>1</v>
      </c>
      <c r="AG2564">
        <v>65</v>
      </c>
      <c r="AH2564">
        <v>502</v>
      </c>
      <c r="AI2564" s="122">
        <v>21058</v>
      </c>
      <c r="AJ2564" s="122">
        <v>19144</v>
      </c>
      <c r="AK2564">
        <v>65</v>
      </c>
      <c r="AL2564" s="122">
        <v>5069</v>
      </c>
      <c r="AM2564" s="122">
        <v>4609</v>
      </c>
      <c r="AN2564" s="122">
        <v>1587</v>
      </c>
      <c r="AO2564">
        <v>588</v>
      </c>
      <c r="AP2564">
        <v>351</v>
      </c>
      <c r="AQ2564">
        <v>130</v>
      </c>
      <c r="AR2564" s="122">
        <v>4595</v>
      </c>
      <c r="AS2564" s="122">
        <v>1702</v>
      </c>
      <c r="AT2564" s="122">
        <v>0</v>
      </c>
      <c r="AU2564">
        <v>0</v>
      </c>
      <c r="AV2564" s="122">
        <v>26172</v>
      </c>
    </row>
    <row r="2565" spans="2:48" hidden="1">
      <c r="B2565" t="s">
        <v>381</v>
      </c>
      <c r="C2565" t="s">
        <v>56</v>
      </c>
      <c r="D2565" t="s">
        <v>406</v>
      </c>
      <c r="E2565" t="s">
        <v>406</v>
      </c>
      <c r="F2565" s="122">
        <v>2036</v>
      </c>
      <c r="G2565" s="122">
        <v>325814</v>
      </c>
      <c r="H2565" s="122">
        <v>388027</v>
      </c>
      <c r="I2565" s="122">
        <v>34919235</v>
      </c>
      <c r="J2565" s="122">
        <v>31744759</v>
      </c>
      <c r="K2565" s="122">
        <v>85</v>
      </c>
      <c r="L2565" s="122">
        <v>7350688</v>
      </c>
      <c r="M2565" s="122">
        <v>6604174</v>
      </c>
      <c r="N2565" s="122">
        <v>6883426</v>
      </c>
      <c r="O2565" s="122">
        <v>2549417</v>
      </c>
      <c r="P2565" s="122">
        <v>1327445</v>
      </c>
      <c r="Q2565" s="122">
        <v>491646</v>
      </c>
      <c r="R2565" s="122">
        <v>10710931</v>
      </c>
      <c r="S2565" s="122">
        <v>9737210</v>
      </c>
      <c r="T2565" s="122">
        <v>2915649</v>
      </c>
      <c r="U2565" s="122">
        <v>1079870</v>
      </c>
      <c r="V2565" s="122">
        <v>52207077</v>
      </c>
      <c r="W2565" s="122">
        <f t="shared" si="82"/>
        <v>52207076</v>
      </c>
      <c r="X2565" s="122">
        <f t="shared" si="83"/>
        <v>64107374</v>
      </c>
      <c r="AA2565" t="s">
        <v>64</v>
      </c>
      <c r="AB2565" t="s">
        <v>408</v>
      </c>
      <c r="AC2565" t="s">
        <v>426</v>
      </c>
      <c r="AD2565" t="s">
        <v>406</v>
      </c>
      <c r="AE2565" t="s">
        <v>137</v>
      </c>
      <c r="AF2565">
        <v>1</v>
      </c>
      <c r="AG2565">
        <v>83</v>
      </c>
      <c r="AH2565" s="122">
        <v>490</v>
      </c>
      <c r="AI2565" s="122">
        <v>24970</v>
      </c>
      <c r="AJ2565" s="122">
        <v>22700</v>
      </c>
      <c r="AK2565">
        <v>85</v>
      </c>
      <c r="AL2565" s="122">
        <v>7463</v>
      </c>
      <c r="AM2565" s="122">
        <v>6785</v>
      </c>
      <c r="AN2565" s="122">
        <v>2023</v>
      </c>
      <c r="AO2565" s="122">
        <v>749</v>
      </c>
      <c r="AP2565" s="122">
        <v>621</v>
      </c>
      <c r="AQ2565">
        <v>230</v>
      </c>
      <c r="AR2565" s="122">
        <v>3374</v>
      </c>
      <c r="AS2565" s="122">
        <v>3067</v>
      </c>
      <c r="AT2565" s="122">
        <v>2207</v>
      </c>
      <c r="AU2565" s="122">
        <v>817</v>
      </c>
      <c r="AV2565" s="122">
        <v>34349</v>
      </c>
    </row>
    <row r="2566" spans="2:48" hidden="1">
      <c r="B2566" t="s">
        <v>381</v>
      </c>
      <c r="C2566" t="s">
        <v>56</v>
      </c>
      <c r="D2566" t="s">
        <v>406</v>
      </c>
      <c r="E2566" t="s">
        <v>556</v>
      </c>
      <c r="F2566" s="122">
        <v>1</v>
      </c>
      <c r="G2566" s="122">
        <v>174</v>
      </c>
      <c r="H2566" s="122">
        <v>186</v>
      </c>
      <c r="I2566" s="122">
        <v>15696</v>
      </c>
      <c r="J2566" s="122">
        <v>14269</v>
      </c>
      <c r="K2566" s="122">
        <v>86</v>
      </c>
      <c r="L2566" s="122">
        <v>4970</v>
      </c>
      <c r="M2566" s="122">
        <v>4519</v>
      </c>
      <c r="N2566" s="122">
        <v>3851</v>
      </c>
      <c r="O2566" s="122">
        <v>1426</v>
      </c>
      <c r="P2566" s="122">
        <v>621</v>
      </c>
      <c r="Q2566" s="122">
        <v>230</v>
      </c>
      <c r="R2566" s="122">
        <v>7073</v>
      </c>
      <c r="S2566" s="122">
        <v>5894</v>
      </c>
      <c r="T2566" s="122">
        <v>0</v>
      </c>
      <c r="U2566" s="122">
        <v>0</v>
      </c>
      <c r="V2566" s="122">
        <v>26338</v>
      </c>
      <c r="W2566" s="122">
        <f t="shared" si="82"/>
        <v>26338</v>
      </c>
      <c r="X2566" s="122">
        <f t="shared" si="83"/>
        <v>32211</v>
      </c>
      <c r="AA2566" t="s">
        <v>64</v>
      </c>
      <c r="AB2566" t="s">
        <v>408</v>
      </c>
      <c r="AC2566" t="s">
        <v>426</v>
      </c>
      <c r="AD2566" t="s">
        <v>408</v>
      </c>
      <c r="AE2566" t="s">
        <v>137</v>
      </c>
      <c r="AF2566">
        <v>6</v>
      </c>
      <c r="AG2566">
        <v>825</v>
      </c>
      <c r="AH2566" s="122">
        <v>3424</v>
      </c>
      <c r="AI2566" s="122">
        <v>342166</v>
      </c>
      <c r="AJ2566" s="122">
        <v>311060</v>
      </c>
      <c r="AK2566">
        <v>64</v>
      </c>
      <c r="AL2566" s="122">
        <v>65834</v>
      </c>
      <c r="AM2566" s="122">
        <v>59849</v>
      </c>
      <c r="AN2566" s="122">
        <v>15890</v>
      </c>
      <c r="AO2566" s="122">
        <v>5885</v>
      </c>
      <c r="AP2566" s="122">
        <v>2228</v>
      </c>
      <c r="AQ2566">
        <v>825</v>
      </c>
      <c r="AR2566" s="122">
        <v>28298</v>
      </c>
      <c r="AS2566" s="122">
        <v>25725</v>
      </c>
      <c r="AT2566" s="122">
        <v>17014</v>
      </c>
      <c r="AU2566" s="122">
        <v>6302</v>
      </c>
      <c r="AV2566" s="122">
        <v>409645</v>
      </c>
    </row>
    <row r="2567" spans="2:48" hidden="1">
      <c r="B2567" t="s">
        <v>381</v>
      </c>
      <c r="C2567" t="s">
        <v>56</v>
      </c>
      <c r="D2567" t="s">
        <v>406</v>
      </c>
      <c r="E2567" t="s">
        <v>431</v>
      </c>
      <c r="F2567" s="122">
        <v>1</v>
      </c>
      <c r="G2567" s="122">
        <v>190</v>
      </c>
      <c r="H2567" s="122">
        <v>179</v>
      </c>
      <c r="I2567" s="122">
        <v>17904</v>
      </c>
      <c r="J2567" s="122">
        <v>16277</v>
      </c>
      <c r="K2567" s="122">
        <v>86</v>
      </c>
      <c r="L2567" s="122">
        <v>5605</v>
      </c>
      <c r="M2567" s="122">
        <v>5096</v>
      </c>
      <c r="N2567" s="122">
        <v>2662</v>
      </c>
      <c r="O2567" s="122">
        <v>986</v>
      </c>
      <c r="P2567" s="122">
        <v>621</v>
      </c>
      <c r="Q2567" s="122">
        <v>230</v>
      </c>
      <c r="R2567" s="122">
        <v>3810</v>
      </c>
      <c r="S2567" s="122">
        <v>3464</v>
      </c>
      <c r="T2567" s="122">
        <v>3429</v>
      </c>
      <c r="U2567" s="122">
        <v>1270</v>
      </c>
      <c r="V2567" s="122">
        <v>27322</v>
      </c>
      <c r="W2567" s="122">
        <f t="shared" si="82"/>
        <v>27323</v>
      </c>
      <c r="X2567" s="122">
        <f t="shared" si="83"/>
        <v>34031</v>
      </c>
      <c r="AA2567" t="s">
        <v>64</v>
      </c>
      <c r="AB2567" t="s">
        <v>408</v>
      </c>
      <c r="AC2567" t="s">
        <v>426</v>
      </c>
      <c r="AD2567" t="s">
        <v>408</v>
      </c>
      <c r="AE2567" t="s">
        <v>566</v>
      </c>
      <c r="AF2567">
        <v>2</v>
      </c>
      <c r="AG2567">
        <v>211</v>
      </c>
      <c r="AH2567" s="122">
        <v>1057</v>
      </c>
      <c r="AI2567" s="122">
        <v>75907</v>
      </c>
      <c r="AJ2567" s="122">
        <v>69006</v>
      </c>
      <c r="AK2567">
        <v>65</v>
      </c>
      <c r="AL2567" s="122">
        <v>15102</v>
      </c>
      <c r="AM2567" s="122">
        <v>13729</v>
      </c>
      <c r="AN2567" s="122">
        <v>4849</v>
      </c>
      <c r="AO2567" s="122">
        <v>1796</v>
      </c>
      <c r="AP2567" s="122">
        <v>1053</v>
      </c>
      <c r="AQ2567">
        <v>390</v>
      </c>
      <c r="AR2567" s="122">
        <v>14281</v>
      </c>
      <c r="AS2567" s="122">
        <v>12983</v>
      </c>
      <c r="AT2567" s="122">
        <v>0</v>
      </c>
      <c r="AU2567">
        <v>0</v>
      </c>
      <c r="AV2567" s="122">
        <v>97904</v>
      </c>
    </row>
    <row r="2568" spans="2:48" hidden="1">
      <c r="B2568" t="s">
        <v>381</v>
      </c>
      <c r="C2568" t="s">
        <v>56</v>
      </c>
      <c r="D2568" t="s">
        <v>406</v>
      </c>
      <c r="E2568" t="s">
        <v>426</v>
      </c>
      <c r="F2568" s="122">
        <v>4</v>
      </c>
      <c r="G2568" s="122">
        <v>919</v>
      </c>
      <c r="H2568" s="122">
        <v>784</v>
      </c>
      <c r="I2568" s="122">
        <v>104273</v>
      </c>
      <c r="J2568" s="122">
        <v>94794</v>
      </c>
      <c r="K2568" s="122">
        <v>83</v>
      </c>
      <c r="L2568" s="122">
        <v>16882</v>
      </c>
      <c r="M2568" s="122">
        <v>15347</v>
      </c>
      <c r="N2568" s="122">
        <v>18713</v>
      </c>
      <c r="O2568" s="122">
        <v>6931</v>
      </c>
      <c r="P2568" s="122">
        <v>2835</v>
      </c>
      <c r="Q2568" s="122">
        <v>1050</v>
      </c>
      <c r="R2568" s="122">
        <v>21891</v>
      </c>
      <c r="S2568" s="122">
        <v>19901</v>
      </c>
      <c r="T2568" s="122">
        <v>11684</v>
      </c>
      <c r="U2568" s="122">
        <v>4327</v>
      </c>
      <c r="V2568" s="122">
        <v>142350</v>
      </c>
      <c r="W2568" s="122">
        <f t="shared" si="82"/>
        <v>142350</v>
      </c>
      <c r="X2568" s="122">
        <f t="shared" si="83"/>
        <v>176278</v>
      </c>
      <c r="AA2568" t="s">
        <v>64</v>
      </c>
      <c r="AB2568" t="s">
        <v>408</v>
      </c>
      <c r="AC2568" t="s">
        <v>433</v>
      </c>
      <c r="AD2568" t="s">
        <v>408</v>
      </c>
      <c r="AE2568" t="s">
        <v>137</v>
      </c>
      <c r="AF2568">
        <v>1</v>
      </c>
      <c r="AG2568">
        <v>58</v>
      </c>
      <c r="AH2568" s="122">
        <v>730</v>
      </c>
      <c r="AI2568" s="122">
        <v>31015</v>
      </c>
      <c r="AJ2568" s="122">
        <v>28195</v>
      </c>
      <c r="AK2568">
        <v>60</v>
      </c>
      <c r="AL2568" s="122">
        <v>3446</v>
      </c>
      <c r="AM2568" s="122">
        <v>3133</v>
      </c>
      <c r="AN2568" s="122">
        <v>809</v>
      </c>
      <c r="AO2568" s="122">
        <v>300</v>
      </c>
      <c r="AP2568">
        <v>351</v>
      </c>
      <c r="AQ2568">
        <v>130</v>
      </c>
      <c r="AR2568" s="122">
        <v>4303</v>
      </c>
      <c r="AS2568" s="122">
        <v>3912</v>
      </c>
      <c r="AT2568" s="122">
        <v>2578</v>
      </c>
      <c r="AU2568" s="122">
        <v>955</v>
      </c>
      <c r="AV2568" s="122">
        <v>36624</v>
      </c>
    </row>
    <row r="2569" spans="2:48" hidden="1">
      <c r="B2569" t="s">
        <v>381</v>
      </c>
      <c r="C2569" t="s">
        <v>56</v>
      </c>
      <c r="D2569" t="s">
        <v>407</v>
      </c>
      <c r="E2569" t="s">
        <v>407</v>
      </c>
      <c r="F2569" s="122">
        <v>43</v>
      </c>
      <c r="G2569" s="122">
        <v>6092</v>
      </c>
      <c r="H2569" s="122">
        <v>7735</v>
      </c>
      <c r="I2569" s="122">
        <v>558179</v>
      </c>
      <c r="J2569" s="122">
        <v>507435</v>
      </c>
      <c r="K2569" s="122">
        <v>80</v>
      </c>
      <c r="L2569" s="122">
        <v>134630</v>
      </c>
      <c r="M2569" s="122">
        <v>138431</v>
      </c>
      <c r="N2569" s="122">
        <v>125785</v>
      </c>
      <c r="O2569" s="122">
        <v>46587</v>
      </c>
      <c r="P2569" s="122">
        <v>24300</v>
      </c>
      <c r="Q2569" s="122">
        <v>9000</v>
      </c>
      <c r="R2569" s="122">
        <v>224122</v>
      </c>
      <c r="S2569" s="122">
        <v>203747</v>
      </c>
      <c r="T2569" s="122">
        <v>32394</v>
      </c>
      <c r="U2569" s="122">
        <v>11998</v>
      </c>
      <c r="V2569" s="122">
        <v>917198</v>
      </c>
      <c r="W2569" s="122">
        <f t="shared" si="82"/>
        <v>917198</v>
      </c>
      <c r="X2569" s="122">
        <f t="shared" si="83"/>
        <v>1099410</v>
      </c>
      <c r="AA2569" t="s">
        <v>64</v>
      </c>
      <c r="AB2569" t="s">
        <v>429</v>
      </c>
      <c r="AC2569" t="s">
        <v>426</v>
      </c>
      <c r="AD2569" t="s">
        <v>429</v>
      </c>
      <c r="AE2569" t="s">
        <v>137</v>
      </c>
      <c r="AF2569">
        <v>2</v>
      </c>
      <c r="AG2569">
        <v>189</v>
      </c>
      <c r="AH2569" s="122">
        <v>1131</v>
      </c>
      <c r="AI2569" s="122">
        <v>74941</v>
      </c>
      <c r="AJ2569" s="122">
        <v>68128</v>
      </c>
      <c r="AK2569">
        <v>65</v>
      </c>
      <c r="AL2569" s="122">
        <v>14206</v>
      </c>
      <c r="AM2569" s="122">
        <v>12914</v>
      </c>
      <c r="AN2569" s="122">
        <v>4023</v>
      </c>
      <c r="AO2569" s="122">
        <v>1490</v>
      </c>
      <c r="AP2569">
        <v>702</v>
      </c>
      <c r="AQ2569">
        <v>260</v>
      </c>
      <c r="AR2569" s="122">
        <v>8873</v>
      </c>
      <c r="AS2569" s="122">
        <v>8067</v>
      </c>
      <c r="AT2569" s="122">
        <v>4799</v>
      </c>
      <c r="AU2569" s="122">
        <v>1777</v>
      </c>
      <c r="AV2569" s="122">
        <v>92636</v>
      </c>
    </row>
    <row r="2570" spans="2:48">
      <c r="B2570" t="s">
        <v>381</v>
      </c>
      <c r="C2570" t="s">
        <v>56</v>
      </c>
      <c r="D2570" t="s">
        <v>407</v>
      </c>
      <c r="E2570" t="s">
        <v>426</v>
      </c>
      <c r="F2570" s="122">
        <v>1</v>
      </c>
      <c r="G2570" s="122">
        <v>175</v>
      </c>
      <c r="H2570" s="122">
        <v>171</v>
      </c>
      <c r="I2570" s="122">
        <v>15509</v>
      </c>
      <c r="J2570" s="122">
        <v>14099</v>
      </c>
      <c r="K2570" s="122">
        <v>79</v>
      </c>
      <c r="L2570" s="122">
        <v>4538</v>
      </c>
      <c r="M2570" s="122">
        <v>4125</v>
      </c>
      <c r="N2570" s="122">
        <v>3191</v>
      </c>
      <c r="O2570" s="122">
        <v>1182</v>
      </c>
      <c r="P2570" s="122">
        <v>473</v>
      </c>
      <c r="Q2570" s="122">
        <v>175</v>
      </c>
      <c r="R2570" s="122">
        <v>6181</v>
      </c>
      <c r="S2570" s="122">
        <v>5619</v>
      </c>
      <c r="T2570" s="122">
        <v>0</v>
      </c>
      <c r="U2570" s="122">
        <v>0</v>
      </c>
      <c r="V2570" s="122">
        <v>25200</v>
      </c>
      <c r="W2570" s="122">
        <f t="shared" si="82"/>
        <v>25200</v>
      </c>
      <c r="X2570" s="122">
        <f t="shared" si="83"/>
        <v>29892</v>
      </c>
    </row>
    <row r="2571" spans="2:48">
      <c r="B2571" t="s">
        <v>381</v>
      </c>
      <c r="C2571" t="s">
        <v>56</v>
      </c>
      <c r="D2571" t="s">
        <v>426</v>
      </c>
      <c r="E2571" t="s">
        <v>426</v>
      </c>
      <c r="F2571" s="122">
        <v>6</v>
      </c>
      <c r="G2571" s="122">
        <v>788</v>
      </c>
      <c r="H2571" s="122">
        <v>1244</v>
      </c>
      <c r="I2571" s="122">
        <v>115148</v>
      </c>
      <c r="J2571" s="122">
        <v>104680</v>
      </c>
      <c r="K2571" s="122">
        <v>73</v>
      </c>
      <c r="L2571" s="122">
        <v>11244</v>
      </c>
      <c r="M2571" s="122">
        <v>10222</v>
      </c>
      <c r="N2571" s="122">
        <v>16034</v>
      </c>
      <c r="O2571" s="122">
        <v>5939</v>
      </c>
      <c r="P2571" s="122">
        <v>3267</v>
      </c>
      <c r="Q2571" s="122">
        <v>1210</v>
      </c>
      <c r="R2571" s="122">
        <v>29692</v>
      </c>
      <c r="S2571" s="122">
        <v>26993</v>
      </c>
      <c r="T2571" s="122">
        <v>10114</v>
      </c>
      <c r="U2571" s="122">
        <v>3746</v>
      </c>
      <c r="V2571" s="122">
        <v>152790</v>
      </c>
      <c r="W2571" s="122">
        <f t="shared" si="82"/>
        <v>152790</v>
      </c>
      <c r="X2571" s="122">
        <f t="shared" si="83"/>
        <v>185499</v>
      </c>
    </row>
    <row r="2572" spans="2:48">
      <c r="B2572" t="s">
        <v>381</v>
      </c>
      <c r="C2572" t="s">
        <v>56</v>
      </c>
      <c r="D2572" t="s">
        <v>426</v>
      </c>
      <c r="E2572" t="s">
        <v>433</v>
      </c>
      <c r="F2572" s="122">
        <v>1</v>
      </c>
      <c r="G2572" s="122">
        <v>251</v>
      </c>
      <c r="H2572" s="122">
        <v>204</v>
      </c>
      <c r="I2572" s="122">
        <v>33508</v>
      </c>
      <c r="J2572" s="122">
        <v>30462</v>
      </c>
      <c r="K2572" s="122">
        <v>55</v>
      </c>
      <c r="L2572" s="122">
        <v>2395</v>
      </c>
      <c r="M2572" s="122">
        <v>2177</v>
      </c>
      <c r="N2572" s="122">
        <v>4580</v>
      </c>
      <c r="O2572" s="122">
        <v>1696</v>
      </c>
      <c r="P2572" s="122">
        <v>351</v>
      </c>
      <c r="Q2572" s="122">
        <v>130</v>
      </c>
      <c r="R2572" s="122">
        <v>10368</v>
      </c>
      <c r="S2572" s="122">
        <v>9426</v>
      </c>
      <c r="T2572" s="122">
        <v>0</v>
      </c>
      <c r="U2572" s="122">
        <v>0</v>
      </c>
      <c r="V2572" s="122">
        <v>43891</v>
      </c>
      <c r="W2572" s="122">
        <f t="shared" si="82"/>
        <v>43891</v>
      </c>
      <c r="X2572" s="122">
        <f t="shared" si="83"/>
        <v>51202</v>
      </c>
    </row>
    <row r="2573" spans="2:48">
      <c r="B2573" t="s">
        <v>381</v>
      </c>
      <c r="C2573" t="s">
        <v>56</v>
      </c>
      <c r="D2573" t="s">
        <v>408</v>
      </c>
      <c r="E2573" t="s">
        <v>408</v>
      </c>
      <c r="F2573" s="122">
        <v>9</v>
      </c>
      <c r="G2573" s="122">
        <v>1507</v>
      </c>
      <c r="H2573" s="122">
        <v>1668</v>
      </c>
      <c r="I2573" s="122">
        <v>198997</v>
      </c>
      <c r="J2573" s="122">
        <v>180906</v>
      </c>
      <c r="K2573" s="122">
        <v>72</v>
      </c>
      <c r="L2573" s="122">
        <v>31051</v>
      </c>
      <c r="M2573" s="122">
        <v>28228</v>
      </c>
      <c r="N2573" s="122">
        <v>30937</v>
      </c>
      <c r="O2573" s="122">
        <v>11458</v>
      </c>
      <c r="P2573" s="122">
        <v>4050</v>
      </c>
      <c r="Q2573" s="122">
        <v>1500</v>
      </c>
      <c r="R2573" s="122">
        <v>57316</v>
      </c>
      <c r="S2573" s="122">
        <v>52106</v>
      </c>
      <c r="T2573" s="122">
        <v>10379</v>
      </c>
      <c r="U2573" s="122">
        <v>3844</v>
      </c>
      <c r="V2573" s="122">
        <v>278042</v>
      </c>
      <c r="W2573" s="122">
        <f t="shared" si="82"/>
        <v>278042</v>
      </c>
      <c r="X2573" s="122">
        <f t="shared" si="83"/>
        <v>332730</v>
      </c>
    </row>
    <row r="2574" spans="2:48">
      <c r="B2574" t="s">
        <v>381</v>
      </c>
      <c r="C2574" t="s">
        <v>58</v>
      </c>
      <c r="D2574" t="s">
        <v>425</v>
      </c>
      <c r="E2574" t="s">
        <v>425</v>
      </c>
      <c r="F2574" s="122">
        <v>1</v>
      </c>
      <c r="G2574" s="122">
        <v>186</v>
      </c>
      <c r="H2574" s="122">
        <v>295</v>
      </c>
      <c r="I2574" s="122">
        <v>31689</v>
      </c>
      <c r="J2574" s="122">
        <v>28808</v>
      </c>
      <c r="K2574" s="122">
        <v>65</v>
      </c>
      <c r="L2574" s="122">
        <v>3348</v>
      </c>
      <c r="M2574" s="122">
        <v>3043</v>
      </c>
      <c r="N2574" s="122">
        <v>4399</v>
      </c>
      <c r="O2574" s="122">
        <v>1629</v>
      </c>
      <c r="P2574" s="122">
        <v>824</v>
      </c>
      <c r="Q2574" s="122">
        <v>305</v>
      </c>
      <c r="R2574" s="122">
        <v>8983</v>
      </c>
      <c r="S2574" s="122">
        <v>8167</v>
      </c>
      <c r="T2574" s="122">
        <v>5619</v>
      </c>
      <c r="U2574" s="122">
        <v>2081</v>
      </c>
      <c r="V2574" s="122">
        <v>44033</v>
      </c>
      <c r="W2574" s="122">
        <f t="shared" si="82"/>
        <v>44033</v>
      </c>
      <c r="X2574" s="122">
        <f t="shared" si="83"/>
        <v>54862</v>
      </c>
    </row>
    <row r="2575" spans="2:48">
      <c r="B2575" t="s">
        <v>381</v>
      </c>
      <c r="C2575" t="s">
        <v>58</v>
      </c>
      <c r="D2575" t="s">
        <v>405</v>
      </c>
      <c r="E2575" t="s">
        <v>405</v>
      </c>
      <c r="F2575" s="122">
        <v>15</v>
      </c>
      <c r="G2575" s="122">
        <v>1787</v>
      </c>
      <c r="H2575" s="122">
        <v>3797</v>
      </c>
      <c r="I2575" s="122">
        <v>270034</v>
      </c>
      <c r="J2575" s="122">
        <v>245485</v>
      </c>
      <c r="K2575" s="122">
        <v>80</v>
      </c>
      <c r="L2575" s="122">
        <v>66014</v>
      </c>
      <c r="M2575" s="122">
        <v>50784</v>
      </c>
      <c r="N2575" s="122">
        <v>37713</v>
      </c>
      <c r="O2575" s="122">
        <v>13968</v>
      </c>
      <c r="P2575" s="122">
        <v>6723</v>
      </c>
      <c r="Q2575" s="122">
        <v>2490</v>
      </c>
      <c r="R2575" s="122">
        <v>71440</v>
      </c>
      <c r="S2575" s="122">
        <v>64945</v>
      </c>
      <c r="T2575" s="122">
        <v>15117</v>
      </c>
      <c r="U2575" s="122">
        <v>5599</v>
      </c>
      <c r="V2575" s="122">
        <v>383271</v>
      </c>
      <c r="W2575" s="122">
        <f t="shared" si="82"/>
        <v>383271</v>
      </c>
      <c r="X2575" s="122">
        <f t="shared" si="83"/>
        <v>467041</v>
      </c>
    </row>
    <row r="2576" spans="2:48">
      <c r="B2576" t="s">
        <v>381</v>
      </c>
      <c r="C2576" t="s">
        <v>58</v>
      </c>
      <c r="D2576" t="s">
        <v>137</v>
      </c>
      <c r="E2576" t="s">
        <v>137</v>
      </c>
      <c r="F2576" s="122">
        <v>55</v>
      </c>
      <c r="G2576" s="122">
        <v>8635</v>
      </c>
      <c r="H2576" s="122">
        <v>14276</v>
      </c>
      <c r="I2576" s="122">
        <v>1445193</v>
      </c>
      <c r="J2576" s="122">
        <v>535257</v>
      </c>
      <c r="K2576" s="122">
        <v>104</v>
      </c>
      <c r="L2576" s="122">
        <v>266831</v>
      </c>
      <c r="M2576" s="122">
        <v>227307</v>
      </c>
      <c r="N2576" s="122">
        <v>217380</v>
      </c>
      <c r="O2576" s="122">
        <v>80511</v>
      </c>
      <c r="P2576" s="122">
        <v>11724</v>
      </c>
      <c r="Q2576" s="122">
        <v>4342</v>
      </c>
      <c r="R2576" s="122">
        <v>525063</v>
      </c>
      <c r="S2576" s="122">
        <v>194468</v>
      </c>
      <c r="T2576" s="122">
        <v>0</v>
      </c>
      <c r="U2576" s="122">
        <v>0</v>
      </c>
      <c r="V2576" s="122">
        <v>1041886</v>
      </c>
      <c r="W2576" s="122">
        <f t="shared" si="82"/>
        <v>1041885</v>
      </c>
      <c r="X2576" s="122">
        <f t="shared" si="83"/>
        <v>2466191</v>
      </c>
    </row>
    <row r="2577" spans="2:24">
      <c r="B2577" t="s">
        <v>381</v>
      </c>
      <c r="C2577" t="s">
        <v>58</v>
      </c>
      <c r="D2577" t="s">
        <v>406</v>
      </c>
      <c r="E2577" t="s">
        <v>137</v>
      </c>
      <c r="F2577" s="122">
        <v>9</v>
      </c>
      <c r="G2577" s="122">
        <v>1406</v>
      </c>
      <c r="H2577" s="122">
        <v>2290</v>
      </c>
      <c r="I2577" s="122">
        <v>228361</v>
      </c>
      <c r="J2577" s="122">
        <v>207601</v>
      </c>
      <c r="K2577" s="122">
        <v>85</v>
      </c>
      <c r="L2577" s="122">
        <v>48974</v>
      </c>
      <c r="M2577" s="122">
        <v>44522</v>
      </c>
      <c r="N2577" s="122">
        <v>30091</v>
      </c>
      <c r="O2577" s="122">
        <v>11145</v>
      </c>
      <c r="P2577" s="122">
        <v>4968</v>
      </c>
      <c r="Q2577" s="122">
        <v>1840</v>
      </c>
      <c r="R2577" s="122">
        <v>59753</v>
      </c>
      <c r="S2577" s="122">
        <v>22131</v>
      </c>
      <c r="T2577" s="122">
        <v>0</v>
      </c>
      <c r="U2577" s="122">
        <v>0</v>
      </c>
      <c r="V2577" s="122">
        <v>287238</v>
      </c>
      <c r="W2577" s="122">
        <f t="shared" si="82"/>
        <v>287239</v>
      </c>
      <c r="X2577" s="122">
        <f t="shared" si="83"/>
        <v>372147</v>
      </c>
    </row>
    <row r="2578" spans="2:24">
      <c r="B2578" t="s">
        <v>381</v>
      </c>
      <c r="C2578" t="s">
        <v>58</v>
      </c>
      <c r="D2578" t="s">
        <v>406</v>
      </c>
      <c r="E2578" t="s">
        <v>406</v>
      </c>
      <c r="F2578" s="122">
        <v>1229</v>
      </c>
      <c r="G2578" s="122">
        <v>156815</v>
      </c>
      <c r="H2578" s="122">
        <v>320182</v>
      </c>
      <c r="I2578" s="122">
        <v>23888034</v>
      </c>
      <c r="J2578" s="122">
        <v>21716394</v>
      </c>
      <c r="K2578" s="122">
        <v>80</v>
      </c>
      <c r="L2578" s="122">
        <v>4660649</v>
      </c>
      <c r="M2578" s="122">
        <v>4185537</v>
      </c>
      <c r="N2578" s="122">
        <v>3300049</v>
      </c>
      <c r="O2578" s="122">
        <v>1222240</v>
      </c>
      <c r="P2578" s="122">
        <v>805964</v>
      </c>
      <c r="Q2578" s="122">
        <v>298505</v>
      </c>
      <c r="R2578" s="122">
        <v>5969264</v>
      </c>
      <c r="S2578" s="122">
        <v>5426604</v>
      </c>
      <c r="T2578" s="122">
        <v>2536531</v>
      </c>
      <c r="U2578" s="122">
        <v>939456</v>
      </c>
      <c r="V2578" s="122">
        <v>33788736</v>
      </c>
      <c r="W2578" s="122">
        <f t="shared" si="82"/>
        <v>33788736</v>
      </c>
      <c r="X2578" s="122">
        <f t="shared" si="83"/>
        <v>41160491</v>
      </c>
    </row>
    <row r="2579" spans="2:24">
      <c r="B2579" t="s">
        <v>381</v>
      </c>
      <c r="C2579" t="s">
        <v>58</v>
      </c>
      <c r="D2579" t="s">
        <v>406</v>
      </c>
      <c r="E2579" t="s">
        <v>427</v>
      </c>
      <c r="F2579" s="122">
        <v>2</v>
      </c>
      <c r="G2579" s="122">
        <v>189</v>
      </c>
      <c r="H2579" s="122">
        <v>552</v>
      </c>
      <c r="I2579" s="122">
        <v>28289</v>
      </c>
      <c r="J2579" s="122">
        <v>25717</v>
      </c>
      <c r="K2579" s="122">
        <v>75</v>
      </c>
      <c r="L2579" s="122">
        <v>4934</v>
      </c>
      <c r="M2579" s="122">
        <v>4485</v>
      </c>
      <c r="N2579" s="122">
        <v>4320</v>
      </c>
      <c r="O2579" s="122">
        <v>1600</v>
      </c>
      <c r="P2579" s="122">
        <v>1242</v>
      </c>
      <c r="Q2579" s="122">
        <v>460</v>
      </c>
      <c r="R2579" s="122">
        <v>13111</v>
      </c>
      <c r="S2579" s="122">
        <v>11919</v>
      </c>
      <c r="T2579" s="122">
        <v>0</v>
      </c>
      <c r="U2579" s="122">
        <v>0</v>
      </c>
      <c r="V2579" s="122">
        <v>44182</v>
      </c>
      <c r="W2579" s="122">
        <f t="shared" si="82"/>
        <v>44181</v>
      </c>
      <c r="X2579" s="122">
        <f t="shared" si="83"/>
        <v>51896</v>
      </c>
    </row>
    <row r="2580" spans="2:24">
      <c r="B2580" t="s">
        <v>381</v>
      </c>
      <c r="C2580" t="s">
        <v>58</v>
      </c>
      <c r="D2580" t="s">
        <v>406</v>
      </c>
      <c r="E2580" t="s">
        <v>431</v>
      </c>
      <c r="F2580" s="122">
        <v>2</v>
      </c>
      <c r="G2580" s="122">
        <v>314</v>
      </c>
      <c r="H2580" s="122">
        <v>533</v>
      </c>
      <c r="I2580" s="122">
        <v>47177</v>
      </c>
      <c r="J2580" s="122">
        <v>42888</v>
      </c>
      <c r="K2580" s="122">
        <v>79</v>
      </c>
      <c r="L2580" s="122">
        <v>6950</v>
      </c>
      <c r="M2580" s="122">
        <v>6318</v>
      </c>
      <c r="N2580" s="122">
        <v>6656</v>
      </c>
      <c r="O2580" s="122">
        <v>2465</v>
      </c>
      <c r="P2580" s="122">
        <v>1863</v>
      </c>
      <c r="Q2580" s="122">
        <v>690</v>
      </c>
      <c r="R2580" s="122">
        <v>13192</v>
      </c>
      <c r="S2580" s="122">
        <v>11993</v>
      </c>
      <c r="T2580" s="122">
        <v>6657</v>
      </c>
      <c r="U2580" s="122">
        <v>2466</v>
      </c>
      <c r="V2580" s="122">
        <v>66820</v>
      </c>
      <c r="W2580" s="122">
        <f t="shared" si="82"/>
        <v>66820</v>
      </c>
      <c r="X2580" s="122">
        <f t="shared" si="83"/>
        <v>82495</v>
      </c>
    </row>
    <row r="2581" spans="2:24">
      <c r="B2581" t="s">
        <v>381</v>
      </c>
      <c r="C2581" t="s">
        <v>58</v>
      </c>
      <c r="D2581" t="s">
        <v>406</v>
      </c>
      <c r="E2581" t="s">
        <v>426</v>
      </c>
      <c r="F2581" s="122">
        <v>3</v>
      </c>
      <c r="G2581" s="122">
        <v>402</v>
      </c>
      <c r="H2581" s="122">
        <v>829</v>
      </c>
      <c r="I2581" s="122">
        <v>74588</v>
      </c>
      <c r="J2581" s="122">
        <v>67807</v>
      </c>
      <c r="K2581" s="122">
        <v>67</v>
      </c>
      <c r="L2581" s="122">
        <v>14697</v>
      </c>
      <c r="M2581" s="122">
        <v>13361</v>
      </c>
      <c r="N2581" s="122">
        <v>8565</v>
      </c>
      <c r="O2581" s="122">
        <v>3172</v>
      </c>
      <c r="P2581" s="122">
        <v>1863</v>
      </c>
      <c r="Q2581" s="122">
        <v>690</v>
      </c>
      <c r="R2581" s="122">
        <v>22594</v>
      </c>
      <c r="S2581" s="122">
        <v>20540</v>
      </c>
      <c r="T2581" s="122">
        <v>6021</v>
      </c>
      <c r="U2581" s="122">
        <v>2230</v>
      </c>
      <c r="V2581" s="122">
        <v>107800</v>
      </c>
      <c r="W2581" s="122">
        <f t="shared" si="82"/>
        <v>107800</v>
      </c>
      <c r="X2581" s="122">
        <f t="shared" si="83"/>
        <v>128328</v>
      </c>
    </row>
    <row r="2582" spans="2:24">
      <c r="B2582" t="s">
        <v>381</v>
      </c>
      <c r="C2582" t="s">
        <v>58</v>
      </c>
      <c r="D2582" t="s">
        <v>407</v>
      </c>
      <c r="E2582" t="s">
        <v>407</v>
      </c>
      <c r="F2582" s="122">
        <v>5</v>
      </c>
      <c r="G2582" s="122">
        <v>619</v>
      </c>
      <c r="H2582" s="122">
        <v>1238</v>
      </c>
      <c r="I2582" s="122">
        <v>86608</v>
      </c>
      <c r="J2582" s="122">
        <v>78735</v>
      </c>
      <c r="K2582" s="122">
        <v>77</v>
      </c>
      <c r="L2582" s="122">
        <v>21509</v>
      </c>
      <c r="M2582" s="122">
        <v>19553</v>
      </c>
      <c r="N2582" s="122">
        <v>11635</v>
      </c>
      <c r="O2582" s="122">
        <v>4309</v>
      </c>
      <c r="P2582" s="122">
        <v>2363</v>
      </c>
      <c r="Q2582" s="122">
        <v>875</v>
      </c>
      <c r="R2582" s="122">
        <v>26647</v>
      </c>
      <c r="S2582" s="122">
        <v>24224</v>
      </c>
      <c r="T2582" s="122">
        <v>2191</v>
      </c>
      <c r="U2582" s="122">
        <v>811</v>
      </c>
      <c r="V2582" s="122">
        <v>128507</v>
      </c>
      <c r="W2582" s="122">
        <f t="shared" si="82"/>
        <v>128507</v>
      </c>
      <c r="X2582" s="122">
        <f t="shared" si="83"/>
        <v>150953</v>
      </c>
    </row>
    <row r="2583" spans="2:24">
      <c r="B2583" t="s">
        <v>381</v>
      </c>
      <c r="C2583" t="s">
        <v>58</v>
      </c>
      <c r="D2583" t="s">
        <v>428</v>
      </c>
      <c r="E2583" t="s">
        <v>428</v>
      </c>
      <c r="F2583" s="122">
        <v>1</v>
      </c>
      <c r="G2583" s="122">
        <v>142</v>
      </c>
      <c r="H2583" s="122">
        <v>272</v>
      </c>
      <c r="I2583" s="122">
        <v>23459</v>
      </c>
      <c r="J2583" s="122">
        <v>21327</v>
      </c>
      <c r="K2583" s="122">
        <v>65</v>
      </c>
      <c r="L2583" s="122">
        <v>2607</v>
      </c>
      <c r="M2583" s="122">
        <v>2370</v>
      </c>
      <c r="N2583" s="122">
        <v>3189</v>
      </c>
      <c r="O2583" s="122">
        <v>1181</v>
      </c>
      <c r="P2583" s="122">
        <v>621</v>
      </c>
      <c r="Q2583" s="122">
        <v>230</v>
      </c>
      <c r="R2583" s="122">
        <v>5446</v>
      </c>
      <c r="S2583" s="122">
        <v>4951</v>
      </c>
      <c r="T2583" s="122">
        <v>3193</v>
      </c>
      <c r="U2583" s="122">
        <v>1183</v>
      </c>
      <c r="V2583" s="122">
        <v>31241</v>
      </c>
      <c r="W2583" s="122">
        <f t="shared" si="82"/>
        <v>31242</v>
      </c>
      <c r="X2583" s="122">
        <f t="shared" si="83"/>
        <v>38515</v>
      </c>
    </row>
    <row r="2584" spans="2:24">
      <c r="B2584" t="s">
        <v>381</v>
      </c>
      <c r="C2584" t="s">
        <v>58</v>
      </c>
      <c r="D2584" t="s">
        <v>431</v>
      </c>
      <c r="E2584" t="s">
        <v>431</v>
      </c>
      <c r="F2584" s="122">
        <v>1</v>
      </c>
      <c r="G2584" s="122">
        <v>228</v>
      </c>
      <c r="H2584" s="122">
        <v>243</v>
      </c>
      <c r="I2584" s="122">
        <v>37543</v>
      </c>
      <c r="J2584" s="122">
        <v>34130</v>
      </c>
      <c r="K2584" s="122">
        <v>55</v>
      </c>
      <c r="L2584" s="122">
        <v>3278</v>
      </c>
      <c r="M2584" s="122">
        <v>2980</v>
      </c>
      <c r="N2584" s="122">
        <v>4866</v>
      </c>
      <c r="O2584" s="122">
        <v>1802</v>
      </c>
      <c r="P2584" s="122">
        <v>621</v>
      </c>
      <c r="Q2584" s="122">
        <v>230</v>
      </c>
      <c r="R2584" s="122">
        <v>9177</v>
      </c>
      <c r="S2584" s="122">
        <v>8343</v>
      </c>
      <c r="T2584" s="122">
        <v>0</v>
      </c>
      <c r="U2584" s="122">
        <v>0</v>
      </c>
      <c r="V2584" s="122">
        <v>47485</v>
      </c>
      <c r="W2584" s="122">
        <f t="shared" si="82"/>
        <v>47485</v>
      </c>
      <c r="X2584" s="122">
        <f t="shared" si="83"/>
        <v>55485</v>
      </c>
    </row>
    <row r="2585" spans="2:24">
      <c r="B2585" t="s">
        <v>381</v>
      </c>
      <c r="C2585" t="s">
        <v>58</v>
      </c>
      <c r="D2585" t="s">
        <v>426</v>
      </c>
      <c r="E2585" t="s">
        <v>426</v>
      </c>
      <c r="F2585" s="122">
        <v>35</v>
      </c>
      <c r="G2585" s="122">
        <v>4888</v>
      </c>
      <c r="H2585" s="122">
        <v>9456</v>
      </c>
      <c r="I2585" s="122">
        <v>869211</v>
      </c>
      <c r="J2585" s="122">
        <v>790192</v>
      </c>
      <c r="K2585" s="122">
        <v>65</v>
      </c>
      <c r="L2585" s="122">
        <v>105952</v>
      </c>
      <c r="M2585" s="122">
        <v>89640</v>
      </c>
      <c r="N2585" s="122">
        <v>96003</v>
      </c>
      <c r="O2585" s="122">
        <v>35557</v>
      </c>
      <c r="P2585" s="122">
        <v>18882</v>
      </c>
      <c r="Q2585" s="122">
        <v>6993</v>
      </c>
      <c r="R2585" s="122">
        <v>204102</v>
      </c>
      <c r="S2585" s="122">
        <v>185547</v>
      </c>
      <c r="T2585" s="122">
        <v>77104</v>
      </c>
      <c r="U2585" s="122">
        <v>28557</v>
      </c>
      <c r="V2585" s="122">
        <v>1136485</v>
      </c>
      <c r="W2585" s="122">
        <f t="shared" si="82"/>
        <v>1136486</v>
      </c>
      <c r="X2585" s="122">
        <f t="shared" si="83"/>
        <v>1371254</v>
      </c>
    </row>
    <row r="2586" spans="2:24">
      <c r="B2586" t="s">
        <v>381</v>
      </c>
      <c r="C2586" t="s">
        <v>58</v>
      </c>
      <c r="D2586" t="s">
        <v>433</v>
      </c>
      <c r="E2586" t="s">
        <v>433</v>
      </c>
      <c r="F2586" s="122">
        <v>2</v>
      </c>
      <c r="G2586" s="122">
        <v>420</v>
      </c>
      <c r="H2586" s="122">
        <v>501</v>
      </c>
      <c r="I2586" s="122">
        <v>100652</v>
      </c>
      <c r="J2586" s="122">
        <v>91502</v>
      </c>
      <c r="K2586" s="122">
        <v>53</v>
      </c>
      <c r="L2586" s="122">
        <v>10594</v>
      </c>
      <c r="M2586" s="122">
        <v>9631</v>
      </c>
      <c r="N2586" s="122">
        <v>9605</v>
      </c>
      <c r="O2586" s="122">
        <v>3557</v>
      </c>
      <c r="P2586" s="122">
        <v>1175</v>
      </c>
      <c r="Q2586" s="122">
        <v>435</v>
      </c>
      <c r="R2586" s="122">
        <v>12933</v>
      </c>
      <c r="S2586" s="122">
        <v>11757</v>
      </c>
      <c r="T2586" s="122">
        <v>4274</v>
      </c>
      <c r="U2586" s="122">
        <v>1583</v>
      </c>
      <c r="V2586" s="122">
        <v>118465</v>
      </c>
      <c r="W2586" s="122">
        <f t="shared" si="82"/>
        <v>118465</v>
      </c>
      <c r="X2586" s="122">
        <f t="shared" si="83"/>
        <v>139233</v>
      </c>
    </row>
    <row r="2587" spans="2:24">
      <c r="B2587" t="s">
        <v>381</v>
      </c>
      <c r="C2587" t="s">
        <v>58</v>
      </c>
      <c r="D2587" t="s">
        <v>408</v>
      </c>
      <c r="E2587" t="s">
        <v>408</v>
      </c>
      <c r="F2587" s="122">
        <v>4</v>
      </c>
      <c r="G2587" s="122">
        <v>739</v>
      </c>
      <c r="H2587" s="122">
        <v>1032</v>
      </c>
      <c r="I2587" s="122">
        <v>125436</v>
      </c>
      <c r="J2587" s="122">
        <v>114033</v>
      </c>
      <c r="K2587" s="122">
        <v>68</v>
      </c>
      <c r="L2587" s="122">
        <v>16058</v>
      </c>
      <c r="M2587" s="122">
        <v>11370</v>
      </c>
      <c r="N2587" s="122">
        <v>15624</v>
      </c>
      <c r="O2587" s="122">
        <v>5787</v>
      </c>
      <c r="P2587" s="122">
        <v>1674</v>
      </c>
      <c r="Q2587" s="122">
        <v>620</v>
      </c>
      <c r="R2587" s="122">
        <v>25135</v>
      </c>
      <c r="S2587" s="122">
        <v>22850</v>
      </c>
      <c r="T2587" s="122">
        <v>7101</v>
      </c>
      <c r="U2587" s="122">
        <v>2630</v>
      </c>
      <c r="V2587" s="122">
        <v>157290</v>
      </c>
      <c r="W2587" s="122">
        <f t="shared" si="82"/>
        <v>157290</v>
      </c>
      <c r="X2587" s="122">
        <f t="shared" si="83"/>
        <v>191028</v>
      </c>
    </row>
    <row r="2588" spans="2:24">
      <c r="B2588" t="s">
        <v>381</v>
      </c>
      <c r="C2588" t="s">
        <v>60</v>
      </c>
      <c r="D2588" t="s">
        <v>425</v>
      </c>
      <c r="E2588" t="s">
        <v>425</v>
      </c>
      <c r="F2588" s="122">
        <v>2</v>
      </c>
      <c r="G2588" s="122">
        <v>309</v>
      </c>
      <c r="H2588" s="122">
        <v>667</v>
      </c>
      <c r="I2588" s="122">
        <v>70244</v>
      </c>
      <c r="J2588" s="122">
        <v>63858</v>
      </c>
      <c r="K2588" s="122">
        <v>69</v>
      </c>
      <c r="L2588" s="122">
        <v>11731</v>
      </c>
      <c r="M2588" s="122">
        <v>10664</v>
      </c>
      <c r="N2588" s="122">
        <v>7522</v>
      </c>
      <c r="O2588" s="122">
        <v>2786</v>
      </c>
      <c r="P2588" s="122">
        <v>1175</v>
      </c>
      <c r="Q2588" s="122">
        <v>435</v>
      </c>
      <c r="R2588" s="122">
        <v>12761</v>
      </c>
      <c r="S2588" s="122">
        <v>11601</v>
      </c>
      <c r="T2588" s="122">
        <v>0</v>
      </c>
      <c r="U2588" s="122">
        <v>0</v>
      </c>
      <c r="V2588" s="122">
        <v>89345</v>
      </c>
      <c r="W2588" s="122">
        <f t="shared" si="82"/>
        <v>89344</v>
      </c>
      <c r="X2588" s="122">
        <f t="shared" si="83"/>
        <v>103433</v>
      </c>
    </row>
    <row r="2589" spans="2:24">
      <c r="B2589" t="s">
        <v>381</v>
      </c>
      <c r="C2589" t="s">
        <v>60</v>
      </c>
      <c r="D2589" t="s">
        <v>425</v>
      </c>
      <c r="E2589" t="s">
        <v>406</v>
      </c>
      <c r="F2589" s="122">
        <v>1</v>
      </c>
      <c r="G2589" s="122">
        <v>123</v>
      </c>
      <c r="H2589" s="122">
        <v>374</v>
      </c>
      <c r="I2589" s="122">
        <v>31685</v>
      </c>
      <c r="J2589" s="122">
        <v>28805</v>
      </c>
      <c r="K2589" s="122">
        <v>85</v>
      </c>
      <c r="L2589" s="122">
        <v>5166</v>
      </c>
      <c r="M2589" s="122">
        <v>4696</v>
      </c>
      <c r="N2589" s="122">
        <v>2901</v>
      </c>
      <c r="O2589" s="122">
        <v>1074</v>
      </c>
      <c r="P2589" s="122">
        <v>621</v>
      </c>
      <c r="Q2589" s="122">
        <v>230</v>
      </c>
      <c r="R2589" s="122">
        <v>5745</v>
      </c>
      <c r="S2589" s="122">
        <v>5223</v>
      </c>
      <c r="T2589" s="122">
        <v>0</v>
      </c>
      <c r="U2589" s="122">
        <v>0</v>
      </c>
      <c r="V2589" s="122">
        <v>40028</v>
      </c>
      <c r="W2589" s="122">
        <f t="shared" si="82"/>
        <v>40028</v>
      </c>
      <c r="X2589" s="122">
        <f t="shared" si="83"/>
        <v>46118</v>
      </c>
    </row>
    <row r="2590" spans="2:24">
      <c r="B2590" t="s">
        <v>381</v>
      </c>
      <c r="C2590" t="s">
        <v>60</v>
      </c>
      <c r="D2590" t="s">
        <v>405</v>
      </c>
      <c r="E2590" t="s">
        <v>405</v>
      </c>
      <c r="F2590" s="122">
        <v>5</v>
      </c>
      <c r="G2590" s="122">
        <v>621</v>
      </c>
      <c r="H2590" s="122">
        <v>1652</v>
      </c>
      <c r="I2590" s="122">
        <v>125015</v>
      </c>
      <c r="J2590" s="122">
        <v>113650</v>
      </c>
      <c r="K2590" s="122">
        <v>80</v>
      </c>
      <c r="L2590" s="122">
        <v>27440</v>
      </c>
      <c r="M2590" s="122">
        <v>24945</v>
      </c>
      <c r="N2590" s="122">
        <v>13096</v>
      </c>
      <c r="O2590" s="122">
        <v>4850</v>
      </c>
      <c r="P2590" s="122">
        <v>2417</v>
      </c>
      <c r="Q2590" s="122">
        <v>895</v>
      </c>
      <c r="R2590" s="122">
        <v>25563</v>
      </c>
      <c r="S2590" s="122">
        <v>23239</v>
      </c>
      <c r="T2590" s="122">
        <v>9521</v>
      </c>
      <c r="U2590" s="122">
        <v>3526</v>
      </c>
      <c r="V2590" s="122">
        <v>171106</v>
      </c>
      <c r="W2590" s="122">
        <f t="shared" si="82"/>
        <v>171105</v>
      </c>
      <c r="X2590" s="122">
        <f t="shared" si="83"/>
        <v>203052</v>
      </c>
    </row>
    <row r="2591" spans="2:24">
      <c r="B2591" t="s">
        <v>381</v>
      </c>
      <c r="C2591" t="s">
        <v>60</v>
      </c>
      <c r="D2591" t="s">
        <v>137</v>
      </c>
      <c r="E2591" t="s">
        <v>137</v>
      </c>
      <c r="F2591" s="122">
        <v>27</v>
      </c>
      <c r="G2591" s="122">
        <v>2874</v>
      </c>
      <c r="H2591" s="122">
        <v>9196</v>
      </c>
      <c r="I2591" s="122">
        <v>613121</v>
      </c>
      <c r="J2591" s="122">
        <v>227082</v>
      </c>
      <c r="K2591" s="122">
        <v>100</v>
      </c>
      <c r="L2591" s="122">
        <v>124785</v>
      </c>
      <c r="M2591" s="122">
        <v>106328</v>
      </c>
      <c r="N2591" s="122">
        <v>65583</v>
      </c>
      <c r="O2591" s="122">
        <v>24290</v>
      </c>
      <c r="P2591" s="122">
        <v>351</v>
      </c>
      <c r="Q2591" s="122">
        <v>130</v>
      </c>
      <c r="R2591" s="122">
        <v>178677</v>
      </c>
      <c r="S2591" s="122">
        <v>66177</v>
      </c>
      <c r="T2591" s="122">
        <v>1934</v>
      </c>
      <c r="U2591" s="122">
        <v>716</v>
      </c>
      <c r="V2591" s="122">
        <v>424722</v>
      </c>
      <c r="W2591" s="122">
        <f t="shared" si="82"/>
        <v>424723</v>
      </c>
      <c r="X2591" s="122">
        <f t="shared" si="83"/>
        <v>984451</v>
      </c>
    </row>
    <row r="2592" spans="2:24">
      <c r="B2592" t="s">
        <v>381</v>
      </c>
      <c r="C2592" t="s">
        <v>60</v>
      </c>
      <c r="D2592" t="s">
        <v>137</v>
      </c>
      <c r="E2592" t="s">
        <v>406</v>
      </c>
      <c r="F2592" s="122">
        <v>1</v>
      </c>
      <c r="G2592" s="122">
        <v>87</v>
      </c>
      <c r="H2592" s="122">
        <v>333</v>
      </c>
      <c r="I2592" s="122">
        <v>21025</v>
      </c>
      <c r="J2592" s="122">
        <v>7787</v>
      </c>
      <c r="K2592" s="122">
        <v>100</v>
      </c>
      <c r="L2592" s="122">
        <v>1360</v>
      </c>
      <c r="M2592" s="122">
        <v>1236</v>
      </c>
      <c r="N2592" s="122">
        <v>1056</v>
      </c>
      <c r="O2592" s="122">
        <v>391</v>
      </c>
      <c r="P2592" s="122">
        <v>0</v>
      </c>
      <c r="Q2592" s="122">
        <v>0</v>
      </c>
      <c r="R2592" s="122">
        <v>5407</v>
      </c>
      <c r="S2592" s="122">
        <v>4915</v>
      </c>
      <c r="T2592" s="122">
        <v>0</v>
      </c>
      <c r="U2592" s="122">
        <v>0</v>
      </c>
      <c r="V2592" s="122">
        <v>14330</v>
      </c>
      <c r="W2592" s="122">
        <f t="shared" si="82"/>
        <v>14329</v>
      </c>
      <c r="X2592" s="122">
        <f t="shared" si="83"/>
        <v>28848</v>
      </c>
    </row>
    <row r="2593" spans="2:24">
      <c r="B2593" t="s">
        <v>381</v>
      </c>
      <c r="C2593" t="s">
        <v>60</v>
      </c>
      <c r="D2593" t="s">
        <v>406</v>
      </c>
      <c r="E2593" t="s">
        <v>425</v>
      </c>
      <c r="F2593" s="122">
        <v>1</v>
      </c>
      <c r="G2593" s="122">
        <v>219</v>
      </c>
      <c r="H2593" s="122">
        <v>325</v>
      </c>
      <c r="I2593" s="122">
        <v>47911</v>
      </c>
      <c r="J2593" s="122">
        <v>43556</v>
      </c>
      <c r="K2593" s="122">
        <v>65</v>
      </c>
      <c r="L2593" s="122">
        <v>7311</v>
      </c>
      <c r="M2593" s="122">
        <v>6646</v>
      </c>
      <c r="N2593" s="122">
        <v>4273</v>
      </c>
      <c r="O2593" s="122">
        <v>1583</v>
      </c>
      <c r="P2593" s="122">
        <v>621</v>
      </c>
      <c r="Q2593" s="122">
        <v>230</v>
      </c>
      <c r="R2593" s="122">
        <v>6999</v>
      </c>
      <c r="S2593" s="122">
        <v>6363</v>
      </c>
      <c r="T2593" s="122">
        <v>4138</v>
      </c>
      <c r="U2593" s="122">
        <v>1533</v>
      </c>
      <c r="V2593" s="122">
        <v>59910</v>
      </c>
      <c r="W2593" s="122">
        <f t="shared" si="82"/>
        <v>59911</v>
      </c>
      <c r="X2593" s="122">
        <f t="shared" si="83"/>
        <v>71253</v>
      </c>
    </row>
    <row r="2594" spans="2:24">
      <c r="B2594" t="s">
        <v>381</v>
      </c>
      <c r="C2594" t="s">
        <v>60</v>
      </c>
      <c r="D2594" t="s">
        <v>406</v>
      </c>
      <c r="E2594" t="s">
        <v>137</v>
      </c>
      <c r="F2594" s="122">
        <v>5</v>
      </c>
      <c r="G2594" s="122">
        <v>690</v>
      </c>
      <c r="H2594" s="122">
        <v>1677</v>
      </c>
      <c r="I2594" s="122">
        <v>145803</v>
      </c>
      <c r="J2594" s="122">
        <v>132548</v>
      </c>
      <c r="K2594" s="122">
        <v>74</v>
      </c>
      <c r="L2594" s="122">
        <v>24607</v>
      </c>
      <c r="M2594" s="122">
        <v>22370</v>
      </c>
      <c r="N2594" s="122">
        <v>15504</v>
      </c>
      <c r="O2594" s="122">
        <v>5742</v>
      </c>
      <c r="P2594" s="122">
        <v>3105</v>
      </c>
      <c r="Q2594" s="122">
        <v>1150</v>
      </c>
      <c r="R2594" s="122">
        <v>39796</v>
      </c>
      <c r="S2594" s="122">
        <v>14739</v>
      </c>
      <c r="T2594" s="122">
        <v>0</v>
      </c>
      <c r="U2594" s="122">
        <v>0</v>
      </c>
      <c r="V2594" s="122">
        <v>176549</v>
      </c>
      <c r="W2594" s="122">
        <f t="shared" si="82"/>
        <v>176549</v>
      </c>
      <c r="X2594" s="122">
        <f t="shared" si="83"/>
        <v>228815</v>
      </c>
    </row>
    <row r="2595" spans="2:24">
      <c r="B2595" t="s">
        <v>381</v>
      </c>
      <c r="C2595" t="s">
        <v>60</v>
      </c>
      <c r="D2595" t="s">
        <v>406</v>
      </c>
      <c r="E2595" t="s">
        <v>406</v>
      </c>
      <c r="F2595" s="122">
        <v>568</v>
      </c>
      <c r="G2595" s="122">
        <v>63676</v>
      </c>
      <c r="H2595" s="122">
        <v>190584</v>
      </c>
      <c r="I2595" s="122">
        <v>13493518</v>
      </c>
      <c r="J2595" s="122">
        <v>12266834</v>
      </c>
      <c r="K2595" s="122">
        <v>78</v>
      </c>
      <c r="L2595" s="122">
        <v>2567488</v>
      </c>
      <c r="M2595" s="122">
        <v>2312927</v>
      </c>
      <c r="N2595" s="122">
        <v>1344037</v>
      </c>
      <c r="O2595" s="122">
        <v>497792</v>
      </c>
      <c r="P2595" s="122">
        <v>366387</v>
      </c>
      <c r="Q2595" s="122">
        <v>135699</v>
      </c>
      <c r="R2595" s="122">
        <v>2739202</v>
      </c>
      <c r="S2595" s="122">
        <v>2490184</v>
      </c>
      <c r="T2595" s="122">
        <v>1088840</v>
      </c>
      <c r="U2595" s="122">
        <v>403274</v>
      </c>
      <c r="V2595" s="122">
        <v>18106709</v>
      </c>
      <c r="W2595" s="122">
        <f t="shared" si="82"/>
        <v>18106710</v>
      </c>
      <c r="X2595" s="122">
        <f t="shared" si="83"/>
        <v>21599472</v>
      </c>
    </row>
    <row r="2596" spans="2:24">
      <c r="B2596" t="s">
        <v>381</v>
      </c>
      <c r="C2596" t="s">
        <v>60</v>
      </c>
      <c r="D2596" t="s">
        <v>406</v>
      </c>
      <c r="E2596" t="s">
        <v>426</v>
      </c>
      <c r="F2596" s="122">
        <v>2</v>
      </c>
      <c r="G2596" s="122">
        <v>191</v>
      </c>
      <c r="H2596" s="122">
        <v>668</v>
      </c>
      <c r="I2596" s="122">
        <v>37024</v>
      </c>
      <c r="J2596" s="122">
        <v>33658</v>
      </c>
      <c r="K2596" s="122">
        <v>85</v>
      </c>
      <c r="L2596" s="122">
        <v>6034</v>
      </c>
      <c r="M2596" s="122">
        <v>5486</v>
      </c>
      <c r="N2596" s="122">
        <v>3640</v>
      </c>
      <c r="O2596" s="122">
        <v>1348</v>
      </c>
      <c r="P2596" s="122">
        <v>1242</v>
      </c>
      <c r="Q2596" s="122">
        <v>460</v>
      </c>
      <c r="R2596" s="122">
        <v>8636</v>
      </c>
      <c r="S2596" s="122">
        <v>7851</v>
      </c>
      <c r="T2596" s="122">
        <v>6959</v>
      </c>
      <c r="U2596" s="122">
        <v>2578</v>
      </c>
      <c r="V2596" s="122">
        <v>51380</v>
      </c>
      <c r="W2596" s="122">
        <f t="shared" si="82"/>
        <v>51381</v>
      </c>
      <c r="X2596" s="122">
        <f t="shared" si="83"/>
        <v>63535</v>
      </c>
    </row>
    <row r="2597" spans="2:24">
      <c r="B2597" t="s">
        <v>381</v>
      </c>
      <c r="C2597" t="s">
        <v>60</v>
      </c>
      <c r="D2597" t="s">
        <v>427</v>
      </c>
      <c r="E2597" t="s">
        <v>427</v>
      </c>
      <c r="F2597" s="122">
        <v>5</v>
      </c>
      <c r="G2597" s="122">
        <v>575</v>
      </c>
      <c r="H2597" s="122">
        <v>1652</v>
      </c>
      <c r="I2597" s="122">
        <v>116937</v>
      </c>
      <c r="J2597" s="122">
        <v>106307</v>
      </c>
      <c r="K2597" s="122">
        <v>61</v>
      </c>
      <c r="L2597" s="122">
        <v>22460</v>
      </c>
      <c r="M2597" s="122">
        <v>20418</v>
      </c>
      <c r="N2597" s="122">
        <v>12390</v>
      </c>
      <c r="O2597" s="122">
        <v>4589</v>
      </c>
      <c r="P2597" s="122">
        <v>1674</v>
      </c>
      <c r="Q2597" s="122">
        <v>620</v>
      </c>
      <c r="R2597" s="122">
        <v>26661</v>
      </c>
      <c r="S2597" s="122">
        <v>24237</v>
      </c>
      <c r="T2597" s="122">
        <v>13949</v>
      </c>
      <c r="U2597" s="122">
        <v>5166</v>
      </c>
      <c r="V2597" s="122">
        <v>161336</v>
      </c>
      <c r="W2597" s="122">
        <f t="shared" si="82"/>
        <v>161337</v>
      </c>
      <c r="X2597" s="122">
        <f t="shared" si="83"/>
        <v>194071</v>
      </c>
    </row>
    <row r="2598" spans="2:24">
      <c r="B2598" t="s">
        <v>381</v>
      </c>
      <c r="C2598" t="s">
        <v>60</v>
      </c>
      <c r="D2598" t="s">
        <v>556</v>
      </c>
      <c r="E2598" t="s">
        <v>556</v>
      </c>
      <c r="F2598" s="122">
        <v>2</v>
      </c>
      <c r="G2598" s="122">
        <v>95</v>
      </c>
      <c r="H2598" s="122">
        <v>714</v>
      </c>
      <c r="I2598" s="122">
        <v>19203</v>
      </c>
      <c r="J2598" s="122">
        <v>16003</v>
      </c>
      <c r="K2598" s="122">
        <v>65</v>
      </c>
      <c r="L2598" s="122">
        <v>1067</v>
      </c>
      <c r="M2598" s="122">
        <v>395</v>
      </c>
      <c r="N2598" s="122">
        <v>1785</v>
      </c>
      <c r="O2598" s="122">
        <v>661</v>
      </c>
      <c r="P2598" s="122">
        <v>702</v>
      </c>
      <c r="Q2598" s="122">
        <v>260</v>
      </c>
      <c r="R2598" s="122">
        <v>6740</v>
      </c>
      <c r="S2598" s="122">
        <v>5616</v>
      </c>
      <c r="T2598" s="122">
        <v>3768</v>
      </c>
      <c r="U2598" s="122">
        <v>1395</v>
      </c>
      <c r="V2598" s="122">
        <v>24331</v>
      </c>
      <c r="W2598" s="122">
        <f t="shared" si="82"/>
        <v>24330</v>
      </c>
      <c r="X2598" s="122">
        <f t="shared" si="83"/>
        <v>33265</v>
      </c>
    </row>
    <row r="2599" spans="2:24">
      <c r="B2599" t="s">
        <v>381</v>
      </c>
      <c r="C2599" t="s">
        <v>60</v>
      </c>
      <c r="D2599" t="s">
        <v>428</v>
      </c>
      <c r="E2599" t="s">
        <v>428</v>
      </c>
      <c r="F2599" s="122">
        <v>2</v>
      </c>
      <c r="G2599" s="122">
        <v>314</v>
      </c>
      <c r="H2599" s="122">
        <v>722</v>
      </c>
      <c r="I2599" s="122">
        <v>76236</v>
      </c>
      <c r="J2599" s="122">
        <v>69306</v>
      </c>
      <c r="K2599" s="122">
        <v>60</v>
      </c>
      <c r="L2599" s="122">
        <v>9748</v>
      </c>
      <c r="M2599" s="122">
        <v>8862</v>
      </c>
      <c r="N2599" s="122">
        <v>6656</v>
      </c>
      <c r="O2599" s="122">
        <v>2465</v>
      </c>
      <c r="P2599" s="122">
        <v>1323</v>
      </c>
      <c r="Q2599" s="122">
        <v>490</v>
      </c>
      <c r="R2599" s="122">
        <v>14470</v>
      </c>
      <c r="S2599" s="122">
        <v>13155</v>
      </c>
      <c r="T2599" s="122">
        <v>3510</v>
      </c>
      <c r="U2599" s="122">
        <v>1300</v>
      </c>
      <c r="V2599" s="122">
        <v>95577</v>
      </c>
      <c r="W2599" s="122">
        <f t="shared" si="82"/>
        <v>95578</v>
      </c>
      <c r="X2599" s="122">
        <f t="shared" si="83"/>
        <v>111943</v>
      </c>
    </row>
    <row r="2600" spans="2:24">
      <c r="B2600" t="s">
        <v>381</v>
      </c>
      <c r="C2600" t="s">
        <v>60</v>
      </c>
      <c r="D2600" t="s">
        <v>431</v>
      </c>
      <c r="E2600" t="s">
        <v>431</v>
      </c>
      <c r="F2600" s="122">
        <v>4</v>
      </c>
      <c r="G2600" s="122">
        <v>456</v>
      </c>
      <c r="H2600" s="122">
        <v>1284</v>
      </c>
      <c r="I2600" s="122">
        <v>97248</v>
      </c>
      <c r="J2600" s="122">
        <v>88407</v>
      </c>
      <c r="K2600" s="122">
        <v>60</v>
      </c>
      <c r="L2600" s="122">
        <v>8373</v>
      </c>
      <c r="M2600" s="122">
        <v>7611</v>
      </c>
      <c r="N2600" s="122">
        <v>9196</v>
      </c>
      <c r="O2600" s="122">
        <v>3406</v>
      </c>
      <c r="P2600" s="122">
        <v>2295</v>
      </c>
      <c r="Q2600" s="122">
        <v>850</v>
      </c>
      <c r="R2600" s="122">
        <v>19737</v>
      </c>
      <c r="S2600" s="122">
        <v>17942</v>
      </c>
      <c r="T2600" s="122">
        <v>10750</v>
      </c>
      <c r="U2600" s="122">
        <v>3981</v>
      </c>
      <c r="V2600" s="122">
        <v>122198</v>
      </c>
      <c r="W2600" s="122">
        <f t="shared" si="82"/>
        <v>122197</v>
      </c>
      <c r="X2600" s="122">
        <f t="shared" si="83"/>
        <v>147599</v>
      </c>
    </row>
    <row r="2601" spans="2:24">
      <c r="B2601" t="s">
        <v>381</v>
      </c>
      <c r="C2601" t="s">
        <v>60</v>
      </c>
      <c r="D2601" t="s">
        <v>426</v>
      </c>
      <c r="E2601" t="s">
        <v>137</v>
      </c>
      <c r="F2601" s="122">
        <v>1</v>
      </c>
      <c r="G2601" s="122">
        <v>123</v>
      </c>
      <c r="H2601" s="122">
        <v>377</v>
      </c>
      <c r="I2601" s="122">
        <v>26219</v>
      </c>
      <c r="J2601" s="122">
        <v>23835</v>
      </c>
      <c r="K2601" s="122">
        <v>55</v>
      </c>
      <c r="L2601" s="122">
        <v>5341</v>
      </c>
      <c r="M2601" s="122">
        <v>4855</v>
      </c>
      <c r="N2601" s="122">
        <v>2842</v>
      </c>
      <c r="O2601" s="122">
        <v>1053</v>
      </c>
      <c r="P2601" s="122">
        <v>351</v>
      </c>
      <c r="Q2601" s="122">
        <v>130</v>
      </c>
      <c r="R2601" s="122">
        <v>8625</v>
      </c>
      <c r="S2601" s="122">
        <v>3195</v>
      </c>
      <c r="T2601" s="122">
        <v>3161</v>
      </c>
      <c r="U2601" s="122">
        <v>1171</v>
      </c>
      <c r="V2601" s="122">
        <v>34239</v>
      </c>
      <c r="W2601" s="122">
        <f t="shared" si="82"/>
        <v>34239</v>
      </c>
      <c r="X2601" s="122">
        <f t="shared" si="83"/>
        <v>46539</v>
      </c>
    </row>
    <row r="2602" spans="2:24">
      <c r="B2602" t="s">
        <v>381</v>
      </c>
      <c r="C2602" t="s">
        <v>60</v>
      </c>
      <c r="D2602" t="s">
        <v>426</v>
      </c>
      <c r="E2602" t="s">
        <v>426</v>
      </c>
      <c r="F2602" s="122">
        <v>63</v>
      </c>
      <c r="G2602" s="122">
        <v>6823</v>
      </c>
      <c r="H2602" s="122">
        <v>21329</v>
      </c>
      <c r="I2602" s="122">
        <v>1465830</v>
      </c>
      <c r="J2602" s="122">
        <v>1332573</v>
      </c>
      <c r="K2602" s="122">
        <v>59</v>
      </c>
      <c r="L2602" s="122">
        <v>211527</v>
      </c>
      <c r="M2602" s="122">
        <v>180299</v>
      </c>
      <c r="N2602" s="122">
        <v>140311</v>
      </c>
      <c r="O2602" s="122">
        <v>51967</v>
      </c>
      <c r="P2602" s="122">
        <v>26960</v>
      </c>
      <c r="Q2602" s="122">
        <v>9985</v>
      </c>
      <c r="R2602" s="122">
        <v>362149</v>
      </c>
      <c r="S2602" s="122">
        <v>329227</v>
      </c>
      <c r="T2602" s="122">
        <v>134924</v>
      </c>
      <c r="U2602" s="122">
        <v>49972</v>
      </c>
      <c r="V2602" s="122">
        <v>1954023</v>
      </c>
      <c r="W2602" s="122">
        <f t="shared" si="82"/>
        <v>1954023</v>
      </c>
      <c r="X2602" s="122">
        <f t="shared" si="83"/>
        <v>2341701</v>
      </c>
    </row>
    <row r="2603" spans="2:24">
      <c r="B2603" t="s">
        <v>381</v>
      </c>
      <c r="C2603" t="s">
        <v>60</v>
      </c>
      <c r="D2603" t="s">
        <v>433</v>
      </c>
      <c r="E2603" t="s">
        <v>433</v>
      </c>
      <c r="F2603" s="122">
        <v>1</v>
      </c>
      <c r="G2603" s="122">
        <v>304</v>
      </c>
      <c r="H2603" s="122">
        <v>339</v>
      </c>
      <c r="I2603" s="122">
        <v>82130</v>
      </c>
      <c r="J2603" s="122">
        <v>74664</v>
      </c>
      <c r="K2603" s="122">
        <v>55</v>
      </c>
      <c r="L2603" s="122">
        <v>9126</v>
      </c>
      <c r="M2603" s="122">
        <v>8296</v>
      </c>
      <c r="N2603" s="122">
        <v>5401</v>
      </c>
      <c r="O2603" s="122">
        <v>2000</v>
      </c>
      <c r="P2603" s="122">
        <v>621</v>
      </c>
      <c r="Q2603" s="122">
        <v>230</v>
      </c>
      <c r="R2603" s="122">
        <v>5783</v>
      </c>
      <c r="S2603" s="122">
        <v>5257</v>
      </c>
      <c r="T2603" s="122">
        <v>0</v>
      </c>
      <c r="U2603" s="122">
        <v>0</v>
      </c>
      <c r="V2603" s="122">
        <v>90447</v>
      </c>
      <c r="W2603" s="122">
        <f t="shared" si="82"/>
        <v>90447</v>
      </c>
      <c r="X2603" s="122">
        <f t="shared" si="83"/>
        <v>103061</v>
      </c>
    </row>
    <row r="2604" spans="2:24">
      <c r="B2604" t="s">
        <v>381</v>
      </c>
      <c r="C2604" t="s">
        <v>60</v>
      </c>
      <c r="D2604" t="s">
        <v>408</v>
      </c>
      <c r="E2604" t="s">
        <v>408</v>
      </c>
      <c r="F2604" s="122">
        <v>1</v>
      </c>
      <c r="G2604" s="122">
        <v>165</v>
      </c>
      <c r="H2604" s="122">
        <v>324</v>
      </c>
      <c r="I2604" s="122">
        <v>39036</v>
      </c>
      <c r="J2604" s="122">
        <v>35488</v>
      </c>
      <c r="K2604" s="122">
        <v>65</v>
      </c>
      <c r="L2604" s="122">
        <v>4337</v>
      </c>
      <c r="M2604" s="122">
        <v>3943</v>
      </c>
      <c r="N2604" s="122">
        <v>3649</v>
      </c>
      <c r="O2604" s="122">
        <v>1351</v>
      </c>
      <c r="P2604" s="122">
        <v>2025</v>
      </c>
      <c r="Q2604" s="122">
        <v>750</v>
      </c>
      <c r="R2604" s="122">
        <v>3289</v>
      </c>
      <c r="S2604" s="122">
        <v>2990</v>
      </c>
      <c r="T2604" s="122">
        <v>1336</v>
      </c>
      <c r="U2604" s="122">
        <v>495</v>
      </c>
      <c r="V2604" s="122">
        <v>45017</v>
      </c>
      <c r="W2604" s="122">
        <f t="shared" ref="W2604:W2667" si="84">SUM(ABS(J2604),ABS(M2604),ABS(O2604),ABS(Q2604),ABS(S2604),ABS(U2604))</f>
        <v>45017</v>
      </c>
      <c r="X2604" s="122">
        <f t="shared" ref="X2604:X2667" si="85">SUM(ABS(I2604),ABS(N2604),ABS(P2604),ABS(R2604),ABS(T2604),ABS(L2604))</f>
        <v>53672</v>
      </c>
    </row>
    <row r="2605" spans="2:24">
      <c r="B2605" t="s">
        <v>381</v>
      </c>
      <c r="C2605" t="s">
        <v>62</v>
      </c>
      <c r="D2605" t="s">
        <v>425</v>
      </c>
      <c r="E2605" t="s">
        <v>425</v>
      </c>
      <c r="F2605" s="122">
        <v>1</v>
      </c>
      <c r="G2605" s="122">
        <v>84</v>
      </c>
      <c r="H2605" s="122">
        <v>381</v>
      </c>
      <c r="I2605" s="122">
        <v>23620</v>
      </c>
      <c r="J2605" s="122">
        <v>21473</v>
      </c>
      <c r="K2605" s="122">
        <v>90</v>
      </c>
      <c r="L2605" s="122">
        <v>3507</v>
      </c>
      <c r="M2605" s="122">
        <v>3189</v>
      </c>
      <c r="N2605" s="122">
        <v>1670</v>
      </c>
      <c r="O2605" s="122">
        <v>619</v>
      </c>
      <c r="P2605" s="122">
        <v>473</v>
      </c>
      <c r="Q2605" s="122">
        <v>175</v>
      </c>
      <c r="R2605" s="122">
        <v>2545</v>
      </c>
      <c r="S2605" s="122">
        <v>2314</v>
      </c>
      <c r="T2605" s="122">
        <v>0</v>
      </c>
      <c r="U2605" s="122">
        <v>0</v>
      </c>
      <c r="V2605" s="122">
        <v>27769</v>
      </c>
      <c r="W2605" s="122">
        <f t="shared" si="84"/>
        <v>27770</v>
      </c>
      <c r="X2605" s="122">
        <f t="shared" si="85"/>
        <v>31815</v>
      </c>
    </row>
    <row r="2606" spans="2:24">
      <c r="B2606" t="s">
        <v>381</v>
      </c>
      <c r="C2606" t="s">
        <v>62</v>
      </c>
      <c r="D2606" t="s">
        <v>405</v>
      </c>
      <c r="E2606" t="s">
        <v>405</v>
      </c>
      <c r="F2606" s="122">
        <v>4</v>
      </c>
      <c r="G2606" s="122">
        <v>591</v>
      </c>
      <c r="H2606" s="122">
        <v>1667</v>
      </c>
      <c r="I2606" s="122">
        <v>173152</v>
      </c>
      <c r="J2606" s="122">
        <v>157410</v>
      </c>
      <c r="K2606" s="122">
        <v>68</v>
      </c>
      <c r="L2606" s="122">
        <v>25097</v>
      </c>
      <c r="M2606" s="122">
        <v>22816</v>
      </c>
      <c r="N2606" s="122">
        <v>13860</v>
      </c>
      <c r="O2606" s="122">
        <v>5133</v>
      </c>
      <c r="P2606" s="122">
        <v>2268</v>
      </c>
      <c r="Q2606" s="122">
        <v>840</v>
      </c>
      <c r="R2606" s="122">
        <v>21259</v>
      </c>
      <c r="S2606" s="122">
        <v>19326</v>
      </c>
      <c r="T2606" s="122">
        <v>12136</v>
      </c>
      <c r="U2606" s="122">
        <v>4495</v>
      </c>
      <c r="V2606" s="122">
        <v>210021</v>
      </c>
      <c r="W2606" s="122">
        <f t="shared" si="84"/>
        <v>210020</v>
      </c>
      <c r="X2606" s="122">
        <f t="shared" si="85"/>
        <v>247772</v>
      </c>
    </row>
    <row r="2607" spans="2:24">
      <c r="B2607" t="s">
        <v>381</v>
      </c>
      <c r="C2607" t="s">
        <v>62</v>
      </c>
      <c r="D2607" t="s">
        <v>405</v>
      </c>
      <c r="E2607" t="s">
        <v>137</v>
      </c>
      <c r="F2607" s="122">
        <v>1</v>
      </c>
      <c r="G2607" s="122">
        <v>171</v>
      </c>
      <c r="H2607" s="122">
        <v>434</v>
      </c>
      <c r="I2607" s="122">
        <v>63751</v>
      </c>
      <c r="J2607" s="122">
        <v>57955</v>
      </c>
      <c r="K2607" s="122">
        <v>83</v>
      </c>
      <c r="L2607" s="122">
        <v>0</v>
      </c>
      <c r="M2607" s="122">
        <v>0</v>
      </c>
      <c r="N2607" s="122">
        <v>2355</v>
      </c>
      <c r="O2607" s="122">
        <v>872</v>
      </c>
      <c r="P2607" s="122">
        <v>473</v>
      </c>
      <c r="Q2607" s="122">
        <v>175</v>
      </c>
      <c r="R2607" s="122">
        <v>7583</v>
      </c>
      <c r="S2607" s="122">
        <v>2808</v>
      </c>
      <c r="T2607" s="122">
        <v>0</v>
      </c>
      <c r="U2607" s="122">
        <v>0</v>
      </c>
      <c r="V2607" s="122">
        <v>61811</v>
      </c>
      <c r="W2607" s="122">
        <f t="shared" si="84"/>
        <v>61810</v>
      </c>
      <c r="X2607" s="122">
        <f t="shared" si="85"/>
        <v>74162</v>
      </c>
    </row>
    <row r="2608" spans="2:24">
      <c r="B2608" t="s">
        <v>381</v>
      </c>
      <c r="C2608" t="s">
        <v>62</v>
      </c>
      <c r="D2608" t="s">
        <v>137</v>
      </c>
      <c r="E2608" t="s">
        <v>137</v>
      </c>
      <c r="F2608" s="122">
        <v>20</v>
      </c>
      <c r="G2608" s="122">
        <v>2185</v>
      </c>
      <c r="H2608" s="122">
        <v>8330</v>
      </c>
      <c r="I2608" s="122">
        <v>644062</v>
      </c>
      <c r="J2608" s="122">
        <v>238541</v>
      </c>
      <c r="K2608" s="122">
        <v>100</v>
      </c>
      <c r="L2608" s="122">
        <v>80320</v>
      </c>
      <c r="M2608" s="122">
        <v>71656</v>
      </c>
      <c r="N2608" s="122">
        <v>50980</v>
      </c>
      <c r="O2608" s="122">
        <v>18881</v>
      </c>
      <c r="P2608" s="122">
        <v>351</v>
      </c>
      <c r="Q2608" s="122">
        <v>130</v>
      </c>
      <c r="R2608" s="122">
        <v>134384</v>
      </c>
      <c r="S2608" s="122">
        <v>49772</v>
      </c>
      <c r="T2608" s="122">
        <v>0</v>
      </c>
      <c r="U2608" s="122">
        <v>0</v>
      </c>
      <c r="V2608" s="122">
        <v>378980</v>
      </c>
      <c r="W2608" s="122">
        <f t="shared" si="84"/>
        <v>378980</v>
      </c>
      <c r="X2608" s="122">
        <f t="shared" si="85"/>
        <v>910097</v>
      </c>
    </row>
    <row r="2609" spans="2:24">
      <c r="B2609" t="s">
        <v>381</v>
      </c>
      <c r="C2609" t="s">
        <v>62</v>
      </c>
      <c r="D2609" t="s">
        <v>137</v>
      </c>
      <c r="E2609" t="s">
        <v>426</v>
      </c>
      <c r="F2609" s="122">
        <v>1</v>
      </c>
      <c r="G2609" s="122">
        <v>77</v>
      </c>
      <c r="H2609" s="122">
        <v>384</v>
      </c>
      <c r="I2609" s="122">
        <v>17237</v>
      </c>
      <c r="J2609" s="122">
        <v>6384</v>
      </c>
      <c r="K2609" s="122">
        <v>100</v>
      </c>
      <c r="L2609" s="122">
        <v>2754</v>
      </c>
      <c r="M2609" s="122">
        <v>2504</v>
      </c>
      <c r="N2609" s="122">
        <v>1679</v>
      </c>
      <c r="O2609" s="122">
        <v>622</v>
      </c>
      <c r="P2609" s="122">
        <v>0</v>
      </c>
      <c r="Q2609" s="122">
        <v>0</v>
      </c>
      <c r="R2609" s="122">
        <v>5916</v>
      </c>
      <c r="S2609" s="122">
        <v>5378</v>
      </c>
      <c r="T2609" s="122">
        <v>2132</v>
      </c>
      <c r="U2609" s="122">
        <v>789</v>
      </c>
      <c r="V2609" s="122">
        <v>15677</v>
      </c>
      <c r="W2609" s="122">
        <f t="shared" si="84"/>
        <v>15677</v>
      </c>
      <c r="X2609" s="122">
        <f t="shared" si="85"/>
        <v>29718</v>
      </c>
    </row>
    <row r="2610" spans="2:24">
      <c r="B2610" t="s">
        <v>381</v>
      </c>
      <c r="C2610" t="s">
        <v>62</v>
      </c>
      <c r="D2610" t="s">
        <v>406</v>
      </c>
      <c r="E2610" t="s">
        <v>137</v>
      </c>
      <c r="F2610" s="122">
        <v>3</v>
      </c>
      <c r="G2610" s="122">
        <v>614</v>
      </c>
      <c r="H2610" s="122">
        <v>1295</v>
      </c>
      <c r="I2610" s="122">
        <v>195496</v>
      </c>
      <c r="J2610" s="122">
        <v>177723</v>
      </c>
      <c r="K2610" s="122">
        <v>81</v>
      </c>
      <c r="L2610" s="122">
        <v>53092</v>
      </c>
      <c r="M2610" s="122">
        <v>48266</v>
      </c>
      <c r="N2610" s="122">
        <v>15696</v>
      </c>
      <c r="O2610" s="122">
        <v>5813</v>
      </c>
      <c r="P2610" s="122">
        <v>1863</v>
      </c>
      <c r="Q2610" s="122">
        <v>690</v>
      </c>
      <c r="R2610" s="122">
        <v>27695</v>
      </c>
      <c r="S2610" s="122">
        <v>10257</v>
      </c>
      <c r="T2610" s="122">
        <v>0</v>
      </c>
      <c r="U2610" s="122">
        <v>0</v>
      </c>
      <c r="V2610" s="122">
        <v>242749</v>
      </c>
      <c r="W2610" s="122">
        <f t="shared" si="84"/>
        <v>242749</v>
      </c>
      <c r="X2610" s="122">
        <f t="shared" si="85"/>
        <v>293842</v>
      </c>
    </row>
    <row r="2611" spans="2:24">
      <c r="B2611" t="s">
        <v>381</v>
      </c>
      <c r="C2611" t="s">
        <v>62</v>
      </c>
      <c r="D2611" t="s">
        <v>406</v>
      </c>
      <c r="E2611" t="s">
        <v>406</v>
      </c>
      <c r="F2611" s="122">
        <v>289</v>
      </c>
      <c r="G2611" s="122">
        <v>32032</v>
      </c>
      <c r="H2611" s="122">
        <v>120026</v>
      </c>
      <c r="I2611" s="122">
        <v>8900715</v>
      </c>
      <c r="J2611" s="122">
        <v>8091559</v>
      </c>
      <c r="K2611" s="122">
        <v>76</v>
      </c>
      <c r="L2611" s="122">
        <v>1673810</v>
      </c>
      <c r="M2611" s="122">
        <v>1500214</v>
      </c>
      <c r="N2611" s="122">
        <v>684713</v>
      </c>
      <c r="O2611" s="122">
        <v>253597</v>
      </c>
      <c r="P2611" s="122">
        <v>185996</v>
      </c>
      <c r="Q2611" s="122">
        <v>68888</v>
      </c>
      <c r="R2611" s="122">
        <v>1372815</v>
      </c>
      <c r="S2611" s="122">
        <v>1248013</v>
      </c>
      <c r="T2611" s="122">
        <v>568735</v>
      </c>
      <c r="U2611" s="122">
        <v>210643</v>
      </c>
      <c r="V2611" s="122">
        <v>11372914</v>
      </c>
      <c r="W2611" s="122">
        <f t="shared" si="84"/>
        <v>11372914</v>
      </c>
      <c r="X2611" s="122">
        <f t="shared" si="85"/>
        <v>13386784</v>
      </c>
    </row>
    <row r="2612" spans="2:24">
      <c r="B2612" t="s">
        <v>381</v>
      </c>
      <c r="C2612" t="s">
        <v>62</v>
      </c>
      <c r="D2612" t="s">
        <v>427</v>
      </c>
      <c r="E2612" t="s">
        <v>406</v>
      </c>
      <c r="F2612" s="122">
        <v>1</v>
      </c>
      <c r="G2612" s="122">
        <v>117</v>
      </c>
      <c r="H2612" s="122">
        <v>448</v>
      </c>
      <c r="I2612" s="122">
        <v>36586</v>
      </c>
      <c r="J2612" s="122">
        <v>33260</v>
      </c>
      <c r="K2612" s="122">
        <v>86</v>
      </c>
      <c r="L2612" s="122">
        <v>7335</v>
      </c>
      <c r="M2612" s="122">
        <v>6668</v>
      </c>
      <c r="N2612" s="122">
        <v>2235</v>
      </c>
      <c r="O2612" s="122">
        <v>828</v>
      </c>
      <c r="P2612" s="122">
        <v>621</v>
      </c>
      <c r="Q2612" s="122">
        <v>230</v>
      </c>
      <c r="R2612" s="122">
        <v>3339</v>
      </c>
      <c r="S2612" s="122">
        <v>3035</v>
      </c>
      <c r="T2612" s="122">
        <v>2191</v>
      </c>
      <c r="U2612" s="122">
        <v>812</v>
      </c>
      <c r="V2612" s="122">
        <v>44833</v>
      </c>
      <c r="W2612" s="122">
        <f t="shared" si="84"/>
        <v>44833</v>
      </c>
      <c r="X2612" s="122">
        <f t="shared" si="85"/>
        <v>52307</v>
      </c>
    </row>
    <row r="2613" spans="2:24">
      <c r="B2613" t="s">
        <v>381</v>
      </c>
      <c r="C2613" t="s">
        <v>62</v>
      </c>
      <c r="D2613" t="s">
        <v>427</v>
      </c>
      <c r="E2613" t="s">
        <v>427</v>
      </c>
      <c r="F2613" s="122">
        <v>2</v>
      </c>
      <c r="G2613" s="122">
        <v>156</v>
      </c>
      <c r="H2613" s="122">
        <v>785</v>
      </c>
      <c r="I2613" s="122">
        <v>37558</v>
      </c>
      <c r="J2613" s="122">
        <v>34144</v>
      </c>
      <c r="K2613" s="122">
        <v>45</v>
      </c>
      <c r="L2613" s="122">
        <v>3461</v>
      </c>
      <c r="M2613" s="122">
        <v>3146</v>
      </c>
      <c r="N2613" s="122">
        <v>3483</v>
      </c>
      <c r="O2613" s="122">
        <v>1290</v>
      </c>
      <c r="P2613" s="122">
        <v>702</v>
      </c>
      <c r="Q2613" s="122">
        <v>260</v>
      </c>
      <c r="R2613" s="122">
        <v>11340</v>
      </c>
      <c r="S2613" s="122">
        <v>10309</v>
      </c>
      <c r="T2613" s="122">
        <v>4539</v>
      </c>
      <c r="U2613" s="122">
        <v>1681</v>
      </c>
      <c r="V2613" s="122">
        <v>50830</v>
      </c>
      <c r="W2613" s="122">
        <f t="shared" si="84"/>
        <v>50830</v>
      </c>
      <c r="X2613" s="122">
        <f t="shared" si="85"/>
        <v>61083</v>
      </c>
    </row>
    <row r="2614" spans="2:24">
      <c r="B2614" t="s">
        <v>381</v>
      </c>
      <c r="C2614" t="s">
        <v>62</v>
      </c>
      <c r="D2614" t="s">
        <v>556</v>
      </c>
      <c r="E2614" t="s">
        <v>556</v>
      </c>
      <c r="F2614" s="122">
        <v>1</v>
      </c>
      <c r="G2614" s="122">
        <v>121</v>
      </c>
      <c r="H2614" s="122">
        <v>442</v>
      </c>
      <c r="I2614" s="122">
        <v>35640</v>
      </c>
      <c r="J2614" s="122">
        <v>29700</v>
      </c>
      <c r="K2614" s="122">
        <v>65</v>
      </c>
      <c r="L2614" s="122">
        <v>5792</v>
      </c>
      <c r="M2614" s="122">
        <v>2145</v>
      </c>
      <c r="N2614" s="122">
        <v>2066</v>
      </c>
      <c r="O2614" s="122">
        <v>765</v>
      </c>
      <c r="P2614" s="122">
        <v>351</v>
      </c>
      <c r="Q2614" s="122">
        <v>130</v>
      </c>
      <c r="R2614" s="122">
        <v>6230</v>
      </c>
      <c r="S2614" s="122">
        <v>5192</v>
      </c>
      <c r="T2614" s="122">
        <v>3401</v>
      </c>
      <c r="U2614" s="122">
        <v>1260</v>
      </c>
      <c r="V2614" s="122">
        <v>39192</v>
      </c>
      <c r="W2614" s="122">
        <f t="shared" si="84"/>
        <v>39192</v>
      </c>
      <c r="X2614" s="122">
        <f t="shared" si="85"/>
        <v>53480</v>
      </c>
    </row>
    <row r="2615" spans="2:24">
      <c r="B2615" t="s">
        <v>381</v>
      </c>
      <c r="C2615" t="s">
        <v>62</v>
      </c>
      <c r="D2615" t="s">
        <v>431</v>
      </c>
      <c r="E2615" t="s">
        <v>431</v>
      </c>
      <c r="F2615" s="122">
        <v>4</v>
      </c>
      <c r="G2615" s="122">
        <v>424</v>
      </c>
      <c r="H2615" s="122">
        <v>1597</v>
      </c>
      <c r="I2615" s="122">
        <v>121957</v>
      </c>
      <c r="J2615" s="122">
        <v>110870</v>
      </c>
      <c r="K2615" s="122">
        <v>53</v>
      </c>
      <c r="L2615" s="122">
        <v>18983</v>
      </c>
      <c r="M2615" s="122">
        <v>17258</v>
      </c>
      <c r="N2615" s="122">
        <v>9195</v>
      </c>
      <c r="O2615" s="122">
        <v>3406</v>
      </c>
      <c r="P2615" s="122">
        <v>1674</v>
      </c>
      <c r="Q2615" s="122">
        <v>620</v>
      </c>
      <c r="R2615" s="122">
        <v>26589</v>
      </c>
      <c r="S2615" s="122">
        <v>24172</v>
      </c>
      <c r="T2615" s="122">
        <v>8938</v>
      </c>
      <c r="U2615" s="122">
        <v>3310</v>
      </c>
      <c r="V2615" s="122">
        <v>159635</v>
      </c>
      <c r="W2615" s="122">
        <f t="shared" si="84"/>
        <v>159636</v>
      </c>
      <c r="X2615" s="122">
        <f t="shared" si="85"/>
        <v>187336</v>
      </c>
    </row>
    <row r="2616" spans="2:24">
      <c r="B2616" t="s">
        <v>381</v>
      </c>
      <c r="C2616" t="s">
        <v>62</v>
      </c>
      <c r="D2616" t="s">
        <v>426</v>
      </c>
      <c r="E2616" t="s">
        <v>406</v>
      </c>
      <c r="F2616" s="122">
        <v>1</v>
      </c>
      <c r="G2616" s="122">
        <v>83</v>
      </c>
      <c r="H2616" s="122">
        <v>405</v>
      </c>
      <c r="I2616" s="122">
        <v>18033</v>
      </c>
      <c r="J2616" s="122">
        <v>16393</v>
      </c>
      <c r="K2616" s="122">
        <v>45</v>
      </c>
      <c r="L2616" s="122">
        <v>3005</v>
      </c>
      <c r="M2616" s="122">
        <v>2732</v>
      </c>
      <c r="N2616" s="122">
        <v>2028</v>
      </c>
      <c r="O2616" s="122">
        <v>751</v>
      </c>
      <c r="P2616" s="122">
        <v>351</v>
      </c>
      <c r="Q2616" s="122">
        <v>130</v>
      </c>
      <c r="R2616" s="122">
        <v>7369</v>
      </c>
      <c r="S2616" s="122">
        <v>6699</v>
      </c>
      <c r="T2616" s="122">
        <v>2922</v>
      </c>
      <c r="U2616" s="122">
        <v>1082</v>
      </c>
      <c r="V2616" s="122">
        <v>27788</v>
      </c>
      <c r="W2616" s="122">
        <f t="shared" si="84"/>
        <v>27787</v>
      </c>
      <c r="X2616" s="122">
        <f t="shared" si="85"/>
        <v>33708</v>
      </c>
    </row>
    <row r="2617" spans="2:24">
      <c r="B2617" t="s">
        <v>381</v>
      </c>
      <c r="C2617" t="s">
        <v>62</v>
      </c>
      <c r="D2617" t="s">
        <v>426</v>
      </c>
      <c r="E2617" t="s">
        <v>426</v>
      </c>
      <c r="F2617" s="122">
        <v>68</v>
      </c>
      <c r="G2617" s="122">
        <v>7073</v>
      </c>
      <c r="H2617" s="122">
        <v>28448</v>
      </c>
      <c r="I2617" s="122">
        <v>1923881</v>
      </c>
      <c r="J2617" s="122">
        <v>1748983</v>
      </c>
      <c r="K2617" s="122">
        <v>52</v>
      </c>
      <c r="L2617" s="122">
        <v>272479</v>
      </c>
      <c r="M2617" s="122">
        <v>245267</v>
      </c>
      <c r="N2617" s="122">
        <v>148284</v>
      </c>
      <c r="O2617" s="122">
        <v>54920</v>
      </c>
      <c r="P2617" s="122">
        <v>27014</v>
      </c>
      <c r="Q2617" s="122">
        <v>10005</v>
      </c>
      <c r="R2617" s="122">
        <v>428346</v>
      </c>
      <c r="S2617" s="122">
        <v>389405</v>
      </c>
      <c r="T2617" s="122">
        <v>153049</v>
      </c>
      <c r="U2617" s="122">
        <v>56685</v>
      </c>
      <c r="V2617" s="122">
        <v>2505266</v>
      </c>
      <c r="W2617" s="122">
        <f t="shared" si="84"/>
        <v>2505265</v>
      </c>
      <c r="X2617" s="122">
        <f t="shared" si="85"/>
        <v>2953053</v>
      </c>
    </row>
    <row r="2618" spans="2:24">
      <c r="B2618" t="s">
        <v>381</v>
      </c>
      <c r="C2618" t="s">
        <v>62</v>
      </c>
      <c r="D2618" t="s">
        <v>433</v>
      </c>
      <c r="E2618" t="s">
        <v>433</v>
      </c>
      <c r="F2618" s="122">
        <v>2</v>
      </c>
      <c r="G2618" s="122">
        <v>249</v>
      </c>
      <c r="H2618" s="122">
        <v>841</v>
      </c>
      <c r="I2618" s="122">
        <v>71754</v>
      </c>
      <c r="J2618" s="122">
        <v>65231</v>
      </c>
      <c r="K2618" s="122">
        <v>58</v>
      </c>
      <c r="L2618" s="122">
        <v>12335</v>
      </c>
      <c r="M2618" s="122">
        <v>11214</v>
      </c>
      <c r="N2618" s="122">
        <v>4396</v>
      </c>
      <c r="O2618" s="122">
        <v>1628</v>
      </c>
      <c r="P2618" s="122">
        <v>702</v>
      </c>
      <c r="Q2618" s="122">
        <v>260</v>
      </c>
      <c r="R2618" s="122">
        <v>12745</v>
      </c>
      <c r="S2618" s="122">
        <v>11586</v>
      </c>
      <c r="T2618" s="122">
        <v>2727</v>
      </c>
      <c r="U2618" s="122">
        <v>1010</v>
      </c>
      <c r="V2618" s="122">
        <v>90929</v>
      </c>
      <c r="W2618" s="122">
        <f t="shared" si="84"/>
        <v>90929</v>
      </c>
      <c r="X2618" s="122">
        <f t="shared" si="85"/>
        <v>104659</v>
      </c>
    </row>
    <row r="2619" spans="2:24">
      <c r="B2619" t="s">
        <v>381</v>
      </c>
      <c r="C2619" t="s">
        <v>62</v>
      </c>
      <c r="D2619" t="s">
        <v>408</v>
      </c>
      <c r="E2619" t="s">
        <v>408</v>
      </c>
      <c r="F2619" s="122">
        <v>1</v>
      </c>
      <c r="G2619" s="122">
        <v>72</v>
      </c>
      <c r="H2619" s="122">
        <v>405</v>
      </c>
      <c r="I2619" s="122">
        <v>17746</v>
      </c>
      <c r="J2619" s="122">
        <v>16133</v>
      </c>
      <c r="K2619" s="122">
        <v>65</v>
      </c>
      <c r="L2619" s="122">
        <v>3146</v>
      </c>
      <c r="M2619" s="122">
        <v>1165</v>
      </c>
      <c r="N2619" s="122">
        <v>1155</v>
      </c>
      <c r="O2619" s="122">
        <v>428</v>
      </c>
      <c r="P2619" s="122">
        <v>351</v>
      </c>
      <c r="Q2619" s="122">
        <v>130</v>
      </c>
      <c r="R2619" s="122">
        <v>4338</v>
      </c>
      <c r="S2619" s="122">
        <v>3944</v>
      </c>
      <c r="T2619" s="122">
        <v>2322</v>
      </c>
      <c r="U2619" s="122">
        <v>860</v>
      </c>
      <c r="V2619" s="122">
        <v>22660</v>
      </c>
      <c r="W2619" s="122">
        <f t="shared" si="84"/>
        <v>22660</v>
      </c>
      <c r="X2619" s="122">
        <f t="shared" si="85"/>
        <v>29058</v>
      </c>
    </row>
    <row r="2620" spans="2:24">
      <c r="B2620" t="s">
        <v>381</v>
      </c>
      <c r="C2620" t="s">
        <v>64</v>
      </c>
      <c r="D2620" t="s">
        <v>425</v>
      </c>
      <c r="E2620" t="s">
        <v>425</v>
      </c>
      <c r="F2620" s="122">
        <v>2</v>
      </c>
      <c r="G2620" s="122">
        <v>206</v>
      </c>
      <c r="H2620" s="122">
        <v>1110</v>
      </c>
      <c r="I2620" s="122">
        <v>80525</v>
      </c>
      <c r="J2620" s="122">
        <v>73204</v>
      </c>
      <c r="K2620" s="122">
        <v>76</v>
      </c>
      <c r="L2620" s="122">
        <v>16915</v>
      </c>
      <c r="M2620" s="122">
        <v>14964</v>
      </c>
      <c r="N2620" s="122">
        <v>4778</v>
      </c>
      <c r="O2620" s="122">
        <v>1770</v>
      </c>
      <c r="P2620" s="122">
        <v>945</v>
      </c>
      <c r="Q2620" s="122">
        <v>350</v>
      </c>
      <c r="R2620" s="122">
        <v>8926</v>
      </c>
      <c r="S2620" s="122">
        <v>8114</v>
      </c>
      <c r="T2620" s="122">
        <v>1877</v>
      </c>
      <c r="U2620" s="122">
        <v>695</v>
      </c>
      <c r="V2620" s="122">
        <v>99097</v>
      </c>
      <c r="W2620" s="122">
        <f t="shared" si="84"/>
        <v>99097</v>
      </c>
      <c r="X2620" s="122">
        <f t="shared" si="85"/>
        <v>113966</v>
      </c>
    </row>
    <row r="2621" spans="2:24">
      <c r="B2621" t="s">
        <v>381</v>
      </c>
      <c r="C2621" t="s">
        <v>64</v>
      </c>
      <c r="D2621" t="s">
        <v>425</v>
      </c>
      <c r="E2621" t="s">
        <v>137</v>
      </c>
      <c r="F2621" s="122">
        <v>2</v>
      </c>
      <c r="G2621" s="122">
        <v>165</v>
      </c>
      <c r="H2621" s="122">
        <v>1051</v>
      </c>
      <c r="I2621" s="122">
        <v>56817</v>
      </c>
      <c r="J2621" s="122">
        <v>51652</v>
      </c>
      <c r="K2621" s="122">
        <v>84</v>
      </c>
      <c r="L2621" s="122">
        <v>16693</v>
      </c>
      <c r="M2621" s="122">
        <v>15176</v>
      </c>
      <c r="N2621" s="122">
        <v>3758</v>
      </c>
      <c r="O2621" s="122">
        <v>1392</v>
      </c>
      <c r="P2621" s="122">
        <v>351</v>
      </c>
      <c r="Q2621" s="122">
        <v>130</v>
      </c>
      <c r="R2621" s="122">
        <v>8974</v>
      </c>
      <c r="S2621" s="122">
        <v>3324</v>
      </c>
      <c r="T2621" s="122">
        <v>0</v>
      </c>
      <c r="U2621" s="122">
        <v>0</v>
      </c>
      <c r="V2621" s="122">
        <v>71673</v>
      </c>
      <c r="W2621" s="122">
        <f t="shared" si="84"/>
        <v>71674</v>
      </c>
      <c r="X2621" s="122">
        <f t="shared" si="85"/>
        <v>86593</v>
      </c>
    </row>
    <row r="2622" spans="2:24">
      <c r="B2622" t="s">
        <v>381</v>
      </c>
      <c r="C2622" t="s">
        <v>64</v>
      </c>
      <c r="D2622" t="s">
        <v>405</v>
      </c>
      <c r="E2622" t="s">
        <v>405</v>
      </c>
      <c r="F2622" s="122">
        <v>4</v>
      </c>
      <c r="G2622" s="122">
        <v>424</v>
      </c>
      <c r="H2622" s="122">
        <v>2225</v>
      </c>
      <c r="I2622" s="122">
        <v>157293</v>
      </c>
      <c r="J2622" s="122">
        <v>142994</v>
      </c>
      <c r="K2622" s="122">
        <v>79</v>
      </c>
      <c r="L2622" s="122">
        <v>39190</v>
      </c>
      <c r="M2622" s="122">
        <v>35627</v>
      </c>
      <c r="N2622" s="122">
        <v>9578</v>
      </c>
      <c r="O2622" s="122">
        <v>3547</v>
      </c>
      <c r="P2622" s="122">
        <v>1647</v>
      </c>
      <c r="Q2622" s="122">
        <v>610</v>
      </c>
      <c r="R2622" s="122">
        <v>15064</v>
      </c>
      <c r="S2622" s="122">
        <v>13694</v>
      </c>
      <c r="T2622" s="122">
        <v>0</v>
      </c>
      <c r="U2622" s="122">
        <v>0</v>
      </c>
      <c r="V2622" s="122">
        <v>196473</v>
      </c>
      <c r="W2622" s="122">
        <f t="shared" si="84"/>
        <v>196472</v>
      </c>
      <c r="X2622" s="122">
        <f t="shared" si="85"/>
        <v>222772</v>
      </c>
    </row>
    <row r="2623" spans="2:24">
      <c r="B2623" t="s">
        <v>381</v>
      </c>
      <c r="C2623" t="s">
        <v>64</v>
      </c>
      <c r="D2623" t="s">
        <v>137</v>
      </c>
      <c r="E2623" t="s">
        <v>137</v>
      </c>
      <c r="F2623" s="122">
        <v>120</v>
      </c>
      <c r="G2623" s="122">
        <v>11836</v>
      </c>
      <c r="H2623" s="122">
        <v>89400</v>
      </c>
      <c r="I2623" s="122">
        <v>6171816</v>
      </c>
      <c r="J2623" s="122">
        <v>2285858</v>
      </c>
      <c r="K2623" s="122">
        <v>100</v>
      </c>
      <c r="L2623" s="122">
        <v>1067218</v>
      </c>
      <c r="M2623" s="122">
        <v>926406</v>
      </c>
      <c r="N2623" s="122">
        <v>272193</v>
      </c>
      <c r="O2623" s="122">
        <v>100812</v>
      </c>
      <c r="P2623" s="122">
        <v>1404</v>
      </c>
      <c r="Q2623" s="122">
        <v>520</v>
      </c>
      <c r="R2623" s="122">
        <v>843929</v>
      </c>
      <c r="S2623" s="122">
        <v>312566</v>
      </c>
      <c r="T2623" s="122">
        <v>15140</v>
      </c>
      <c r="U2623" s="122">
        <v>5608</v>
      </c>
      <c r="V2623" s="122">
        <v>3631770</v>
      </c>
      <c r="W2623" s="122">
        <f t="shared" si="84"/>
        <v>3631770</v>
      </c>
      <c r="X2623" s="122">
        <f t="shared" si="85"/>
        <v>8371700</v>
      </c>
    </row>
    <row r="2624" spans="2:24">
      <c r="B2624" t="s">
        <v>381</v>
      </c>
      <c r="C2624" t="s">
        <v>64</v>
      </c>
      <c r="D2624" t="s">
        <v>137</v>
      </c>
      <c r="E2624" t="s">
        <v>406</v>
      </c>
      <c r="F2624" s="122">
        <v>2</v>
      </c>
      <c r="G2624" s="122">
        <v>222</v>
      </c>
      <c r="H2624" s="122">
        <v>1003</v>
      </c>
      <c r="I2624" s="122">
        <v>82514</v>
      </c>
      <c r="J2624" s="122">
        <v>30561</v>
      </c>
      <c r="K2624" s="122">
        <v>100</v>
      </c>
      <c r="L2624" s="122">
        <v>10260</v>
      </c>
      <c r="M2624" s="122">
        <v>9327</v>
      </c>
      <c r="N2624" s="122">
        <v>4552</v>
      </c>
      <c r="O2624" s="122">
        <v>1686</v>
      </c>
      <c r="P2624" s="122">
        <v>621</v>
      </c>
      <c r="Q2624" s="122">
        <v>230</v>
      </c>
      <c r="R2624" s="122">
        <v>9453</v>
      </c>
      <c r="S2624" s="122">
        <v>8594</v>
      </c>
      <c r="T2624" s="122">
        <v>4759</v>
      </c>
      <c r="U2624" s="122">
        <v>1763</v>
      </c>
      <c r="V2624" s="122">
        <v>52160</v>
      </c>
      <c r="W2624" s="122">
        <f t="shared" si="84"/>
        <v>52161</v>
      </c>
      <c r="X2624" s="122">
        <f t="shared" si="85"/>
        <v>112159</v>
      </c>
    </row>
    <row r="2625" spans="2:24">
      <c r="B2625" t="s">
        <v>381</v>
      </c>
      <c r="C2625" t="s">
        <v>64</v>
      </c>
      <c r="D2625" t="s">
        <v>137</v>
      </c>
      <c r="E2625" t="s">
        <v>556</v>
      </c>
      <c r="F2625" s="122">
        <v>1</v>
      </c>
      <c r="G2625" s="122">
        <v>74</v>
      </c>
      <c r="H2625" s="122">
        <v>652</v>
      </c>
      <c r="I2625" s="122">
        <v>32068</v>
      </c>
      <c r="J2625" s="122">
        <v>11877</v>
      </c>
      <c r="K2625" s="122">
        <v>100</v>
      </c>
      <c r="L2625" s="122">
        <v>5279</v>
      </c>
      <c r="M2625" s="122">
        <v>4399</v>
      </c>
      <c r="N2625" s="122">
        <v>1806</v>
      </c>
      <c r="O2625" s="122">
        <v>669</v>
      </c>
      <c r="P2625" s="122">
        <v>351</v>
      </c>
      <c r="Q2625" s="122">
        <v>130</v>
      </c>
      <c r="R2625" s="122">
        <v>6370</v>
      </c>
      <c r="S2625" s="122">
        <v>5308</v>
      </c>
      <c r="T2625" s="122">
        <v>2443</v>
      </c>
      <c r="U2625" s="122">
        <v>905</v>
      </c>
      <c r="V2625" s="122">
        <v>23288</v>
      </c>
      <c r="W2625" s="122">
        <f t="shared" si="84"/>
        <v>23288</v>
      </c>
      <c r="X2625" s="122">
        <f t="shared" si="85"/>
        <v>48317</v>
      </c>
    </row>
    <row r="2626" spans="2:24">
      <c r="B2626" t="s">
        <v>381</v>
      </c>
      <c r="C2626" t="s">
        <v>64</v>
      </c>
      <c r="D2626" t="s">
        <v>137</v>
      </c>
      <c r="E2626" t="s">
        <v>426</v>
      </c>
      <c r="F2626" s="122">
        <v>22</v>
      </c>
      <c r="G2626" s="122">
        <v>2081</v>
      </c>
      <c r="H2626" s="122">
        <v>15593</v>
      </c>
      <c r="I2626" s="122">
        <v>1064252</v>
      </c>
      <c r="J2626" s="122">
        <v>394168</v>
      </c>
      <c r="K2626" s="122">
        <v>100</v>
      </c>
      <c r="L2626" s="122">
        <v>157994</v>
      </c>
      <c r="M2626" s="122">
        <v>143631</v>
      </c>
      <c r="N2626" s="122">
        <v>47967</v>
      </c>
      <c r="O2626" s="122">
        <v>17766</v>
      </c>
      <c r="P2626" s="122">
        <v>1755</v>
      </c>
      <c r="Q2626" s="122">
        <v>650</v>
      </c>
      <c r="R2626" s="122">
        <v>143254</v>
      </c>
      <c r="S2626" s="122">
        <v>130231</v>
      </c>
      <c r="T2626" s="122">
        <v>37036</v>
      </c>
      <c r="U2626" s="122">
        <v>13717</v>
      </c>
      <c r="V2626" s="122">
        <v>700162</v>
      </c>
      <c r="W2626" s="122">
        <f t="shared" si="84"/>
        <v>700163</v>
      </c>
      <c r="X2626" s="122">
        <f t="shared" si="85"/>
        <v>1452258</v>
      </c>
    </row>
    <row r="2627" spans="2:24">
      <c r="B2627" t="s">
        <v>381</v>
      </c>
      <c r="C2627" t="s">
        <v>64</v>
      </c>
      <c r="D2627" t="s">
        <v>406</v>
      </c>
      <c r="E2627" t="s">
        <v>137</v>
      </c>
      <c r="F2627" s="122">
        <v>20</v>
      </c>
      <c r="G2627" s="122">
        <v>1765</v>
      </c>
      <c r="H2627" s="122">
        <v>13176</v>
      </c>
      <c r="I2627" s="122">
        <v>824545</v>
      </c>
      <c r="J2627" s="122">
        <v>749586</v>
      </c>
      <c r="K2627" s="122">
        <v>68</v>
      </c>
      <c r="L2627" s="122">
        <v>160409</v>
      </c>
      <c r="M2627" s="122">
        <v>141184</v>
      </c>
      <c r="N2627" s="122">
        <v>38582</v>
      </c>
      <c r="O2627" s="122">
        <v>14290</v>
      </c>
      <c r="P2627" s="122">
        <v>9855</v>
      </c>
      <c r="Q2627" s="122">
        <v>3650</v>
      </c>
      <c r="R2627" s="122">
        <v>106893</v>
      </c>
      <c r="S2627" s="122">
        <v>39590</v>
      </c>
      <c r="T2627" s="122">
        <v>0</v>
      </c>
      <c r="U2627" s="122">
        <v>0</v>
      </c>
      <c r="V2627" s="122">
        <v>948300</v>
      </c>
      <c r="W2627" s="122">
        <f t="shared" si="84"/>
        <v>948300</v>
      </c>
      <c r="X2627" s="122">
        <f t="shared" si="85"/>
        <v>1140284</v>
      </c>
    </row>
    <row r="2628" spans="2:24">
      <c r="B2628" t="s">
        <v>381</v>
      </c>
      <c r="C2628" t="s">
        <v>64</v>
      </c>
      <c r="D2628" t="s">
        <v>406</v>
      </c>
      <c r="E2628" t="s">
        <v>406</v>
      </c>
      <c r="F2628" s="122">
        <v>376</v>
      </c>
      <c r="G2628" s="122">
        <v>35862</v>
      </c>
      <c r="H2628" s="122">
        <v>212215</v>
      </c>
      <c r="I2628" s="122">
        <v>13770727</v>
      </c>
      <c r="J2628" s="122">
        <v>12518842</v>
      </c>
      <c r="K2628" s="122">
        <v>73</v>
      </c>
      <c r="L2628" s="122">
        <v>2745651</v>
      </c>
      <c r="M2628" s="122">
        <v>2476040</v>
      </c>
      <c r="N2628" s="122">
        <v>794759</v>
      </c>
      <c r="O2628" s="122">
        <v>294355</v>
      </c>
      <c r="P2628" s="122">
        <v>239436</v>
      </c>
      <c r="Q2628" s="122">
        <v>88680</v>
      </c>
      <c r="R2628" s="122">
        <v>1771703</v>
      </c>
      <c r="S2628" s="122">
        <v>1610639</v>
      </c>
      <c r="T2628" s="122">
        <v>706041</v>
      </c>
      <c r="U2628" s="122">
        <v>261497</v>
      </c>
      <c r="V2628" s="122">
        <v>17250054</v>
      </c>
      <c r="W2628" s="122">
        <f t="shared" si="84"/>
        <v>17250053</v>
      </c>
      <c r="X2628" s="122">
        <f t="shared" si="85"/>
        <v>20028317</v>
      </c>
    </row>
    <row r="2629" spans="2:24">
      <c r="B2629" t="s">
        <v>381</v>
      </c>
      <c r="C2629" t="s">
        <v>64</v>
      </c>
      <c r="D2629" t="s">
        <v>406</v>
      </c>
      <c r="E2629" t="s">
        <v>556</v>
      </c>
      <c r="F2629" s="122">
        <v>1</v>
      </c>
      <c r="G2629" s="122">
        <v>67</v>
      </c>
      <c r="H2629" s="122">
        <v>558</v>
      </c>
      <c r="I2629" s="122">
        <v>25416</v>
      </c>
      <c r="J2629" s="122">
        <v>23105</v>
      </c>
      <c r="K2629" s="122">
        <v>85</v>
      </c>
      <c r="L2629" s="122">
        <v>4144</v>
      </c>
      <c r="M2629" s="122">
        <v>3453</v>
      </c>
      <c r="N2629" s="122">
        <v>1274</v>
      </c>
      <c r="O2629" s="122">
        <v>472</v>
      </c>
      <c r="P2629" s="122">
        <v>621</v>
      </c>
      <c r="Q2629" s="122">
        <v>230</v>
      </c>
      <c r="R2629" s="122">
        <v>3579</v>
      </c>
      <c r="S2629" s="122">
        <v>2983</v>
      </c>
      <c r="T2629" s="122">
        <v>2116</v>
      </c>
      <c r="U2629" s="122">
        <v>784</v>
      </c>
      <c r="V2629" s="122">
        <v>31026</v>
      </c>
      <c r="W2629" s="122">
        <f t="shared" si="84"/>
        <v>31027</v>
      </c>
      <c r="X2629" s="122">
        <f t="shared" si="85"/>
        <v>37150</v>
      </c>
    </row>
    <row r="2630" spans="2:24">
      <c r="B2630" t="s">
        <v>381</v>
      </c>
      <c r="C2630" t="s">
        <v>64</v>
      </c>
      <c r="D2630" t="s">
        <v>406</v>
      </c>
      <c r="E2630" t="s">
        <v>431</v>
      </c>
      <c r="F2630" s="122">
        <v>1</v>
      </c>
      <c r="G2630" s="122">
        <v>69</v>
      </c>
      <c r="H2630" s="122">
        <v>590</v>
      </c>
      <c r="I2630" s="122">
        <v>25557</v>
      </c>
      <c r="J2630" s="122">
        <v>23234</v>
      </c>
      <c r="K2630" s="122">
        <v>79</v>
      </c>
      <c r="L2630" s="122">
        <v>4733</v>
      </c>
      <c r="M2630" s="122">
        <v>4303</v>
      </c>
      <c r="N2630" s="122">
        <v>1477</v>
      </c>
      <c r="O2630" s="122">
        <v>547</v>
      </c>
      <c r="P2630" s="122">
        <v>621</v>
      </c>
      <c r="Q2630" s="122">
        <v>230</v>
      </c>
      <c r="R2630" s="122">
        <v>6202</v>
      </c>
      <c r="S2630" s="122">
        <v>5638</v>
      </c>
      <c r="T2630" s="122">
        <v>2287</v>
      </c>
      <c r="U2630" s="122">
        <v>847</v>
      </c>
      <c r="V2630" s="122">
        <v>34798</v>
      </c>
      <c r="W2630" s="122">
        <f t="shared" si="84"/>
        <v>34799</v>
      </c>
      <c r="X2630" s="122">
        <f t="shared" si="85"/>
        <v>40877</v>
      </c>
    </row>
    <row r="2631" spans="2:24">
      <c r="B2631" t="s">
        <v>381</v>
      </c>
      <c r="C2631" t="s">
        <v>64</v>
      </c>
      <c r="D2631" t="s">
        <v>406</v>
      </c>
      <c r="E2631" t="s">
        <v>426</v>
      </c>
      <c r="F2631" s="122">
        <v>1</v>
      </c>
      <c r="G2631" s="122">
        <v>151</v>
      </c>
      <c r="H2631" s="122">
        <v>544</v>
      </c>
      <c r="I2631" s="122">
        <v>62118</v>
      </c>
      <c r="J2631" s="122">
        <v>56471</v>
      </c>
      <c r="K2631" s="122">
        <v>65</v>
      </c>
      <c r="L2631" s="122">
        <v>7755</v>
      </c>
      <c r="M2631" s="122">
        <v>7050</v>
      </c>
      <c r="N2631" s="122">
        <v>3538</v>
      </c>
      <c r="O2631" s="122">
        <v>1311</v>
      </c>
      <c r="P2631" s="122">
        <v>621</v>
      </c>
      <c r="Q2631" s="122">
        <v>230</v>
      </c>
      <c r="R2631" s="122">
        <v>8249</v>
      </c>
      <c r="S2631" s="122">
        <v>7499</v>
      </c>
      <c r="T2631" s="122">
        <v>0</v>
      </c>
      <c r="U2631" s="122">
        <v>0</v>
      </c>
      <c r="V2631" s="122">
        <v>72561</v>
      </c>
      <c r="W2631" s="122">
        <f t="shared" si="84"/>
        <v>72561</v>
      </c>
      <c r="X2631" s="122">
        <f t="shared" si="85"/>
        <v>82281</v>
      </c>
    </row>
    <row r="2632" spans="2:24">
      <c r="B2632" t="s">
        <v>381</v>
      </c>
      <c r="C2632" t="s">
        <v>64</v>
      </c>
      <c r="D2632" t="s">
        <v>427</v>
      </c>
      <c r="E2632" t="s">
        <v>404</v>
      </c>
      <c r="F2632" s="122">
        <v>1</v>
      </c>
      <c r="G2632" s="122">
        <v>73</v>
      </c>
      <c r="H2632" s="122">
        <v>573</v>
      </c>
      <c r="I2632" s="122">
        <v>30251</v>
      </c>
      <c r="J2632" s="122">
        <v>27501</v>
      </c>
      <c r="K2632" s="122">
        <v>60</v>
      </c>
      <c r="L2632" s="122">
        <v>4950</v>
      </c>
      <c r="M2632" s="122">
        <v>1833</v>
      </c>
      <c r="N2632" s="122">
        <v>1783</v>
      </c>
      <c r="O2632" s="122">
        <v>660</v>
      </c>
      <c r="P2632" s="122">
        <v>0</v>
      </c>
      <c r="Q2632" s="122">
        <v>0</v>
      </c>
      <c r="R2632" s="122">
        <v>3305</v>
      </c>
      <c r="S2632" s="122">
        <v>1224</v>
      </c>
      <c r="T2632" s="122">
        <v>1628</v>
      </c>
      <c r="U2632" s="122">
        <v>603</v>
      </c>
      <c r="V2632" s="122">
        <v>31822</v>
      </c>
      <c r="W2632" s="122">
        <f t="shared" si="84"/>
        <v>31821</v>
      </c>
      <c r="X2632" s="122">
        <f t="shared" si="85"/>
        <v>41917</v>
      </c>
    </row>
    <row r="2633" spans="2:24">
      <c r="B2633" t="s">
        <v>381</v>
      </c>
      <c r="C2633" t="s">
        <v>64</v>
      </c>
      <c r="D2633" t="s">
        <v>427</v>
      </c>
      <c r="E2633" t="s">
        <v>137</v>
      </c>
      <c r="F2633" s="122">
        <v>3</v>
      </c>
      <c r="G2633" s="122">
        <v>219</v>
      </c>
      <c r="H2633" s="122">
        <v>3095</v>
      </c>
      <c r="I2633" s="122">
        <v>169782</v>
      </c>
      <c r="J2633" s="122">
        <v>154347</v>
      </c>
      <c r="K2633" s="122">
        <v>52</v>
      </c>
      <c r="L2633" s="122">
        <v>15171</v>
      </c>
      <c r="M2633" s="122">
        <v>11602</v>
      </c>
      <c r="N2633" s="122">
        <v>4925</v>
      </c>
      <c r="O2633" s="122">
        <v>1824</v>
      </c>
      <c r="P2633" s="122">
        <v>0</v>
      </c>
      <c r="Q2633" s="122">
        <v>0</v>
      </c>
      <c r="R2633" s="122">
        <v>33415</v>
      </c>
      <c r="S2633" s="122">
        <v>12376</v>
      </c>
      <c r="T2633" s="122">
        <v>0</v>
      </c>
      <c r="U2633" s="122">
        <v>0</v>
      </c>
      <c r="V2633" s="122">
        <v>180149</v>
      </c>
      <c r="W2633" s="122">
        <f t="shared" si="84"/>
        <v>180149</v>
      </c>
      <c r="X2633" s="122">
        <f t="shared" si="85"/>
        <v>223293</v>
      </c>
    </row>
    <row r="2634" spans="2:24">
      <c r="B2634" t="s">
        <v>381</v>
      </c>
      <c r="C2634" t="s">
        <v>64</v>
      </c>
      <c r="D2634" t="s">
        <v>427</v>
      </c>
      <c r="E2634" t="s">
        <v>427</v>
      </c>
      <c r="F2634" s="122">
        <v>12</v>
      </c>
      <c r="G2634" s="122">
        <v>1052</v>
      </c>
      <c r="H2634" s="122">
        <v>8660</v>
      </c>
      <c r="I2634" s="122">
        <v>546677</v>
      </c>
      <c r="J2634" s="122">
        <v>496979</v>
      </c>
      <c r="K2634" s="122">
        <v>55</v>
      </c>
      <c r="L2634" s="122">
        <v>103619</v>
      </c>
      <c r="M2634" s="122">
        <v>75812</v>
      </c>
      <c r="N2634" s="122">
        <v>22419</v>
      </c>
      <c r="O2634" s="122">
        <v>8303</v>
      </c>
      <c r="P2634" s="122">
        <v>4401</v>
      </c>
      <c r="Q2634" s="122">
        <v>1630</v>
      </c>
      <c r="R2634" s="122">
        <v>63110</v>
      </c>
      <c r="S2634" s="122">
        <v>57373</v>
      </c>
      <c r="T2634" s="122">
        <v>10693</v>
      </c>
      <c r="U2634" s="122">
        <v>3960</v>
      </c>
      <c r="V2634" s="122">
        <v>644058</v>
      </c>
      <c r="W2634" s="122">
        <f t="shared" si="84"/>
        <v>644057</v>
      </c>
      <c r="X2634" s="122">
        <f t="shared" si="85"/>
        <v>750919</v>
      </c>
    </row>
    <row r="2635" spans="2:24">
      <c r="B2635" t="s">
        <v>381</v>
      </c>
      <c r="C2635" t="s">
        <v>64</v>
      </c>
      <c r="D2635" t="s">
        <v>556</v>
      </c>
      <c r="E2635" t="s">
        <v>556</v>
      </c>
      <c r="F2635" s="122">
        <v>7</v>
      </c>
      <c r="G2635" s="122">
        <v>655</v>
      </c>
      <c r="H2635" s="122">
        <v>7602</v>
      </c>
      <c r="I2635" s="122">
        <v>517306</v>
      </c>
      <c r="J2635" s="122">
        <v>431088</v>
      </c>
      <c r="K2635" s="122">
        <v>54</v>
      </c>
      <c r="L2635" s="122">
        <v>98694</v>
      </c>
      <c r="M2635" s="122">
        <v>82245</v>
      </c>
      <c r="N2635" s="122">
        <v>12473</v>
      </c>
      <c r="O2635" s="122">
        <v>4620</v>
      </c>
      <c r="P2635" s="122">
        <v>2106</v>
      </c>
      <c r="Q2635" s="122">
        <v>780</v>
      </c>
      <c r="R2635" s="122">
        <v>37351</v>
      </c>
      <c r="S2635" s="122">
        <v>31126</v>
      </c>
      <c r="T2635" s="122">
        <v>14387</v>
      </c>
      <c r="U2635" s="122">
        <v>5328</v>
      </c>
      <c r="V2635" s="122">
        <v>555187</v>
      </c>
      <c r="W2635" s="122">
        <f t="shared" si="84"/>
        <v>555187</v>
      </c>
      <c r="X2635" s="122">
        <f t="shared" si="85"/>
        <v>682317</v>
      </c>
    </row>
    <row r="2636" spans="2:24">
      <c r="B2636" t="s">
        <v>381</v>
      </c>
      <c r="C2636" t="s">
        <v>64</v>
      </c>
      <c r="D2636" t="s">
        <v>431</v>
      </c>
      <c r="E2636" t="s">
        <v>137</v>
      </c>
      <c r="F2636" s="122">
        <v>1</v>
      </c>
      <c r="G2636" s="122">
        <v>61</v>
      </c>
      <c r="H2636" s="122">
        <v>714</v>
      </c>
      <c r="I2636" s="122">
        <v>29035</v>
      </c>
      <c r="J2636" s="122">
        <v>26395</v>
      </c>
      <c r="K2636" s="122">
        <v>60</v>
      </c>
      <c r="L2636" s="122">
        <v>0</v>
      </c>
      <c r="M2636" s="122">
        <v>0</v>
      </c>
      <c r="N2636" s="122">
        <v>746</v>
      </c>
      <c r="O2636" s="122">
        <v>276</v>
      </c>
      <c r="P2636" s="122">
        <v>0</v>
      </c>
      <c r="Q2636" s="122">
        <v>0</v>
      </c>
      <c r="R2636" s="122">
        <v>13923</v>
      </c>
      <c r="S2636" s="122">
        <v>5157</v>
      </c>
      <c r="T2636" s="122">
        <v>0</v>
      </c>
      <c r="U2636" s="122">
        <v>0</v>
      </c>
      <c r="V2636" s="122">
        <v>31828</v>
      </c>
      <c r="W2636" s="122">
        <f t="shared" si="84"/>
        <v>31828</v>
      </c>
      <c r="X2636" s="122">
        <f t="shared" si="85"/>
        <v>43704</v>
      </c>
    </row>
    <row r="2637" spans="2:24">
      <c r="B2637" t="s">
        <v>381</v>
      </c>
      <c r="C2637" t="s">
        <v>64</v>
      </c>
      <c r="D2637" t="s">
        <v>431</v>
      </c>
      <c r="E2637" t="s">
        <v>431</v>
      </c>
      <c r="F2637" s="122">
        <v>11</v>
      </c>
      <c r="G2637" s="122">
        <v>974</v>
      </c>
      <c r="H2637" s="122">
        <v>8703</v>
      </c>
      <c r="I2637" s="122">
        <v>571807</v>
      </c>
      <c r="J2637" s="122">
        <v>519824</v>
      </c>
      <c r="K2637" s="122">
        <v>46</v>
      </c>
      <c r="L2637" s="122">
        <v>75630</v>
      </c>
      <c r="M2637" s="122">
        <v>68755</v>
      </c>
      <c r="N2637" s="122">
        <v>20742</v>
      </c>
      <c r="O2637" s="122">
        <v>7682</v>
      </c>
      <c r="P2637" s="122">
        <v>3348</v>
      </c>
      <c r="Q2637" s="122">
        <v>1240</v>
      </c>
      <c r="R2637" s="122">
        <v>79512</v>
      </c>
      <c r="S2637" s="122">
        <v>72284</v>
      </c>
      <c r="T2637" s="122">
        <v>19054</v>
      </c>
      <c r="U2637" s="122">
        <v>7057</v>
      </c>
      <c r="V2637" s="122">
        <v>676842</v>
      </c>
      <c r="W2637" s="122">
        <f t="shared" si="84"/>
        <v>676842</v>
      </c>
      <c r="X2637" s="122">
        <f t="shared" si="85"/>
        <v>770093</v>
      </c>
    </row>
    <row r="2638" spans="2:24">
      <c r="B2638" t="s">
        <v>381</v>
      </c>
      <c r="C2638" t="s">
        <v>64</v>
      </c>
      <c r="D2638" t="s">
        <v>426</v>
      </c>
      <c r="E2638" t="s">
        <v>137</v>
      </c>
      <c r="F2638" s="122">
        <v>59</v>
      </c>
      <c r="G2638" s="122">
        <v>4881</v>
      </c>
      <c r="H2638" s="122">
        <v>69884</v>
      </c>
      <c r="I2638" s="122">
        <v>4578676</v>
      </c>
      <c r="J2638" s="122">
        <v>4162433</v>
      </c>
      <c r="K2638" s="122">
        <v>39</v>
      </c>
      <c r="L2638" s="122">
        <v>438898</v>
      </c>
      <c r="M2638" s="122">
        <v>257910</v>
      </c>
      <c r="N2638" s="122">
        <v>112655</v>
      </c>
      <c r="O2638" s="122">
        <v>41724</v>
      </c>
      <c r="P2638" s="122">
        <v>1053</v>
      </c>
      <c r="Q2638" s="122">
        <v>390</v>
      </c>
      <c r="R2638" s="122">
        <v>354958</v>
      </c>
      <c r="S2638" s="122">
        <v>131466</v>
      </c>
      <c r="T2638" s="122">
        <v>0</v>
      </c>
      <c r="U2638" s="122">
        <v>0</v>
      </c>
      <c r="V2638" s="122">
        <v>4593923</v>
      </c>
      <c r="W2638" s="122">
        <f t="shared" si="84"/>
        <v>4593923</v>
      </c>
      <c r="X2638" s="122">
        <f t="shared" si="85"/>
        <v>5486240</v>
      </c>
    </row>
    <row r="2639" spans="2:24">
      <c r="B2639" t="s">
        <v>381</v>
      </c>
      <c r="C2639" t="s">
        <v>64</v>
      </c>
      <c r="D2639" t="s">
        <v>426</v>
      </c>
      <c r="E2639" t="s">
        <v>406</v>
      </c>
      <c r="F2639" s="122">
        <v>1</v>
      </c>
      <c r="G2639" s="122">
        <v>156</v>
      </c>
      <c r="H2639" s="122">
        <v>797</v>
      </c>
      <c r="I2639" s="122">
        <v>107543</v>
      </c>
      <c r="J2639" s="122">
        <v>97766</v>
      </c>
      <c r="K2639" s="122">
        <v>30</v>
      </c>
      <c r="L2639" s="122">
        <v>0</v>
      </c>
      <c r="M2639" s="122">
        <v>0</v>
      </c>
      <c r="N2639" s="122">
        <v>3796</v>
      </c>
      <c r="O2639" s="122">
        <v>1406</v>
      </c>
      <c r="P2639" s="122">
        <v>0</v>
      </c>
      <c r="Q2639" s="122">
        <v>0</v>
      </c>
      <c r="R2639" s="122">
        <v>10269</v>
      </c>
      <c r="S2639" s="122">
        <v>9335</v>
      </c>
      <c r="T2639" s="122">
        <v>2637</v>
      </c>
      <c r="U2639" s="122">
        <v>977</v>
      </c>
      <c r="V2639" s="122">
        <v>109485</v>
      </c>
      <c r="W2639" s="122">
        <f t="shared" si="84"/>
        <v>109484</v>
      </c>
      <c r="X2639" s="122">
        <f t="shared" si="85"/>
        <v>124245</v>
      </c>
    </row>
    <row r="2640" spans="2:24">
      <c r="B2640" t="s">
        <v>381</v>
      </c>
      <c r="C2640" t="s">
        <v>64</v>
      </c>
      <c r="D2640" t="s">
        <v>426</v>
      </c>
      <c r="E2640" t="s">
        <v>426</v>
      </c>
      <c r="F2640" s="122">
        <v>242</v>
      </c>
      <c r="G2640" s="122">
        <v>22211</v>
      </c>
      <c r="H2640" s="122">
        <v>175793</v>
      </c>
      <c r="I2640" s="122">
        <v>11616199</v>
      </c>
      <c r="J2640" s="122">
        <v>10560181</v>
      </c>
      <c r="K2640" s="122">
        <v>51</v>
      </c>
      <c r="L2640" s="122">
        <v>1792348</v>
      </c>
      <c r="M2640" s="122">
        <v>1568533</v>
      </c>
      <c r="N2640" s="122">
        <v>494438</v>
      </c>
      <c r="O2640" s="122">
        <v>183125</v>
      </c>
      <c r="P2640" s="122">
        <v>81738</v>
      </c>
      <c r="Q2640" s="122">
        <v>30273</v>
      </c>
      <c r="R2640" s="122">
        <v>1537733</v>
      </c>
      <c r="S2640" s="122">
        <v>1397939</v>
      </c>
      <c r="T2640" s="122">
        <v>478112</v>
      </c>
      <c r="U2640" s="122">
        <v>177079</v>
      </c>
      <c r="V2640" s="122">
        <v>13917130</v>
      </c>
      <c r="W2640" s="122">
        <f t="shared" si="84"/>
        <v>13917130</v>
      </c>
      <c r="X2640" s="122">
        <f t="shared" si="85"/>
        <v>16000568</v>
      </c>
    </row>
    <row r="2641" spans="2:24">
      <c r="B2641" t="s">
        <v>381</v>
      </c>
      <c r="C2641" t="s">
        <v>64</v>
      </c>
      <c r="D2641" t="s">
        <v>433</v>
      </c>
      <c r="E2641" t="s">
        <v>137</v>
      </c>
      <c r="F2641" s="122">
        <v>1</v>
      </c>
      <c r="G2641" s="122">
        <v>69</v>
      </c>
      <c r="H2641" s="122">
        <v>1222</v>
      </c>
      <c r="I2641" s="122">
        <v>72783</v>
      </c>
      <c r="J2641" s="122">
        <v>66167</v>
      </c>
      <c r="K2641" s="122">
        <v>30</v>
      </c>
      <c r="L2641" s="122">
        <v>5955</v>
      </c>
      <c r="M2641" s="122">
        <v>2206</v>
      </c>
      <c r="N2641" s="122">
        <v>1684</v>
      </c>
      <c r="O2641" s="122">
        <v>624</v>
      </c>
      <c r="P2641" s="122">
        <v>0</v>
      </c>
      <c r="Q2641" s="122">
        <v>0</v>
      </c>
      <c r="R2641" s="122">
        <v>4048</v>
      </c>
      <c r="S2641" s="122">
        <v>1499</v>
      </c>
      <c r="T2641" s="122">
        <v>0</v>
      </c>
      <c r="U2641" s="122">
        <v>0</v>
      </c>
      <c r="V2641" s="122">
        <v>70495</v>
      </c>
      <c r="W2641" s="122">
        <f t="shared" si="84"/>
        <v>70496</v>
      </c>
      <c r="X2641" s="122">
        <f t="shared" si="85"/>
        <v>84470</v>
      </c>
    </row>
    <row r="2642" spans="2:24">
      <c r="B2642" t="s">
        <v>381</v>
      </c>
      <c r="C2642" t="s">
        <v>64</v>
      </c>
      <c r="D2642" t="s">
        <v>433</v>
      </c>
      <c r="E2642" t="s">
        <v>433</v>
      </c>
      <c r="F2642" s="122">
        <v>3</v>
      </c>
      <c r="G2642" s="122">
        <v>229</v>
      </c>
      <c r="H2642" s="122">
        <v>2985</v>
      </c>
      <c r="I2642" s="122">
        <v>172677</v>
      </c>
      <c r="J2642" s="122">
        <v>156979</v>
      </c>
      <c r="K2642" s="122">
        <v>48</v>
      </c>
      <c r="L2642" s="122">
        <v>15845</v>
      </c>
      <c r="M2642" s="122">
        <v>14405</v>
      </c>
      <c r="N2642" s="122">
        <v>5055</v>
      </c>
      <c r="O2642" s="122">
        <v>1872</v>
      </c>
      <c r="P2642" s="122">
        <v>1053</v>
      </c>
      <c r="Q2642" s="122">
        <v>390</v>
      </c>
      <c r="R2642" s="122">
        <v>25462</v>
      </c>
      <c r="S2642" s="122">
        <v>23147</v>
      </c>
      <c r="T2642" s="122">
        <v>4159</v>
      </c>
      <c r="U2642" s="122">
        <v>1540</v>
      </c>
      <c r="V2642" s="122">
        <v>198334</v>
      </c>
      <c r="W2642" s="122">
        <f t="shared" si="84"/>
        <v>198333</v>
      </c>
      <c r="X2642" s="122">
        <f t="shared" si="85"/>
        <v>224251</v>
      </c>
    </row>
    <row r="2643" spans="2:24">
      <c r="B2643" t="s">
        <v>381</v>
      </c>
      <c r="C2643" t="s">
        <v>64</v>
      </c>
      <c r="D2643" t="s">
        <v>408</v>
      </c>
      <c r="E2643" t="s">
        <v>408</v>
      </c>
      <c r="F2643" s="122">
        <v>1</v>
      </c>
      <c r="G2643" s="122">
        <v>113</v>
      </c>
      <c r="H2643" s="122">
        <v>488</v>
      </c>
      <c r="I2643" s="122">
        <v>39531</v>
      </c>
      <c r="J2643" s="122">
        <v>35937</v>
      </c>
      <c r="K2643" s="122">
        <v>65</v>
      </c>
      <c r="L2643" s="122">
        <v>6344</v>
      </c>
      <c r="M2643" s="122">
        <v>5768</v>
      </c>
      <c r="N2643" s="122">
        <v>2441</v>
      </c>
      <c r="O2643" s="122">
        <v>904</v>
      </c>
      <c r="P2643" s="122">
        <v>702</v>
      </c>
      <c r="Q2643" s="122">
        <v>260</v>
      </c>
      <c r="R2643" s="122">
        <v>5941</v>
      </c>
      <c r="S2643" s="122">
        <v>5401</v>
      </c>
      <c r="T2643" s="122">
        <v>0</v>
      </c>
      <c r="U2643" s="122">
        <v>0</v>
      </c>
      <c r="V2643" s="122">
        <v>48270</v>
      </c>
      <c r="W2643" s="122">
        <f t="shared" si="84"/>
        <v>48270</v>
      </c>
      <c r="X2643" s="122">
        <f t="shared" si="85"/>
        <v>54959</v>
      </c>
    </row>
    <row r="2644" spans="2:24">
      <c r="B2644" t="s">
        <v>382</v>
      </c>
      <c r="C2644" t="s">
        <v>48</v>
      </c>
      <c r="D2644" t="s">
        <v>405</v>
      </c>
      <c r="E2644" t="s">
        <v>405</v>
      </c>
      <c r="F2644" s="122">
        <v>1</v>
      </c>
      <c r="G2644" s="122">
        <v>281</v>
      </c>
      <c r="H2644" s="122">
        <v>71</v>
      </c>
      <c r="I2644" s="122">
        <v>8156</v>
      </c>
      <c r="J2644" s="122">
        <v>7415</v>
      </c>
      <c r="K2644" s="122">
        <v>92</v>
      </c>
      <c r="L2644" s="122">
        <v>1287</v>
      </c>
      <c r="M2644" s="122">
        <v>1170</v>
      </c>
      <c r="N2644" s="122">
        <v>3426</v>
      </c>
      <c r="O2644" s="122">
        <v>1269</v>
      </c>
      <c r="P2644" s="122">
        <v>2801</v>
      </c>
      <c r="Q2644" s="122">
        <v>1037</v>
      </c>
      <c r="R2644" s="122">
        <v>4395</v>
      </c>
      <c r="S2644" s="122">
        <v>3996</v>
      </c>
      <c r="T2644" s="122">
        <v>0</v>
      </c>
      <c r="U2644" s="122">
        <v>0</v>
      </c>
      <c r="V2644" s="122">
        <v>14886</v>
      </c>
      <c r="W2644" s="122">
        <f t="shared" si="84"/>
        <v>14887</v>
      </c>
      <c r="X2644" s="122">
        <f t="shared" si="85"/>
        <v>20065</v>
      </c>
    </row>
    <row r="2645" spans="2:24">
      <c r="B2645" t="s">
        <v>382</v>
      </c>
      <c r="C2645" t="s">
        <v>48</v>
      </c>
      <c r="D2645" t="s">
        <v>405</v>
      </c>
      <c r="E2645" t="s">
        <v>137</v>
      </c>
      <c r="F2645" s="122">
        <v>1</v>
      </c>
      <c r="G2645" s="122">
        <v>245</v>
      </c>
      <c r="H2645" s="122">
        <v>69</v>
      </c>
      <c r="I2645" s="122">
        <v>4510</v>
      </c>
      <c r="J2645" s="122">
        <v>4100</v>
      </c>
      <c r="K2645" s="122">
        <v>92</v>
      </c>
      <c r="L2645" s="122">
        <v>772</v>
      </c>
      <c r="M2645" s="122">
        <v>702</v>
      </c>
      <c r="N2645" s="122">
        <v>3100</v>
      </c>
      <c r="O2645" s="122">
        <v>1148</v>
      </c>
      <c r="P2645" s="122">
        <v>2857</v>
      </c>
      <c r="Q2645" s="122">
        <v>1058</v>
      </c>
      <c r="R2645" s="122">
        <v>5707</v>
      </c>
      <c r="S2645" s="122">
        <v>2114</v>
      </c>
      <c r="T2645" s="122">
        <v>0</v>
      </c>
      <c r="U2645" s="122">
        <v>0</v>
      </c>
      <c r="V2645" s="122">
        <v>9122</v>
      </c>
      <c r="W2645" s="122">
        <f t="shared" si="84"/>
        <v>9122</v>
      </c>
      <c r="X2645" s="122">
        <f t="shared" si="85"/>
        <v>16946</v>
      </c>
    </row>
    <row r="2646" spans="2:24">
      <c r="B2646" t="s">
        <v>382</v>
      </c>
      <c r="C2646" t="s">
        <v>48</v>
      </c>
      <c r="D2646" t="s">
        <v>137</v>
      </c>
      <c r="E2646" t="s">
        <v>137</v>
      </c>
      <c r="F2646" s="122">
        <v>109</v>
      </c>
      <c r="G2646" s="122">
        <v>26062</v>
      </c>
      <c r="H2646" s="122">
        <v>6129</v>
      </c>
      <c r="I2646" s="122">
        <v>227655</v>
      </c>
      <c r="J2646" s="122">
        <v>84317</v>
      </c>
      <c r="K2646" s="122">
        <v>452</v>
      </c>
      <c r="L2646" s="122">
        <v>62120</v>
      </c>
      <c r="M2646" s="122">
        <v>56834</v>
      </c>
      <c r="N2646" s="122">
        <v>351247</v>
      </c>
      <c r="O2646" s="122">
        <v>130092</v>
      </c>
      <c r="P2646" s="122">
        <v>196551</v>
      </c>
      <c r="Q2646" s="122">
        <v>72797</v>
      </c>
      <c r="R2646" s="122">
        <v>616040</v>
      </c>
      <c r="S2646" s="122">
        <v>228163</v>
      </c>
      <c r="T2646" s="122">
        <v>0</v>
      </c>
      <c r="U2646" s="122">
        <v>0</v>
      </c>
      <c r="V2646" s="122">
        <v>572202</v>
      </c>
      <c r="W2646" s="122">
        <f t="shared" si="84"/>
        <v>572203</v>
      </c>
      <c r="X2646" s="122">
        <f t="shared" si="85"/>
        <v>1453613</v>
      </c>
    </row>
    <row r="2647" spans="2:24">
      <c r="B2647" t="s">
        <v>382</v>
      </c>
      <c r="C2647" t="s">
        <v>48</v>
      </c>
      <c r="D2647" t="s">
        <v>406</v>
      </c>
      <c r="E2647" t="s">
        <v>137</v>
      </c>
      <c r="F2647" s="122">
        <v>7</v>
      </c>
      <c r="G2647" s="122">
        <v>1530</v>
      </c>
      <c r="H2647" s="122">
        <v>402</v>
      </c>
      <c r="I2647" s="122">
        <v>22040</v>
      </c>
      <c r="J2647" s="122">
        <v>20037</v>
      </c>
      <c r="K2647" s="122">
        <v>96</v>
      </c>
      <c r="L2647" s="122">
        <v>3461</v>
      </c>
      <c r="M2647" s="122">
        <v>3146</v>
      </c>
      <c r="N2647" s="122">
        <v>18638</v>
      </c>
      <c r="O2647" s="122">
        <v>6903</v>
      </c>
      <c r="P2647" s="122">
        <v>16321</v>
      </c>
      <c r="Q2647" s="122">
        <v>6045</v>
      </c>
      <c r="R2647" s="122">
        <v>26313</v>
      </c>
      <c r="S2647" s="122">
        <v>9746</v>
      </c>
      <c r="T2647" s="122">
        <v>0</v>
      </c>
      <c r="U2647" s="122">
        <v>0</v>
      </c>
      <c r="V2647" s="122">
        <v>45877</v>
      </c>
      <c r="W2647" s="122">
        <f t="shared" si="84"/>
        <v>45877</v>
      </c>
      <c r="X2647" s="122">
        <f t="shared" si="85"/>
        <v>86773</v>
      </c>
    </row>
    <row r="2648" spans="2:24">
      <c r="B2648" t="s">
        <v>382</v>
      </c>
      <c r="C2648" t="s">
        <v>48</v>
      </c>
      <c r="D2648" t="s">
        <v>406</v>
      </c>
      <c r="E2648" t="s">
        <v>406</v>
      </c>
      <c r="F2648" s="122">
        <v>15</v>
      </c>
      <c r="G2648" s="122">
        <v>3963</v>
      </c>
      <c r="H2648" s="122">
        <v>954</v>
      </c>
      <c r="I2648" s="122">
        <v>100660</v>
      </c>
      <c r="J2648" s="122">
        <v>91509</v>
      </c>
      <c r="K2648" s="122">
        <v>95</v>
      </c>
      <c r="L2648" s="122">
        <v>16390</v>
      </c>
      <c r="M2648" s="122">
        <v>14821</v>
      </c>
      <c r="N2648" s="122">
        <v>48802</v>
      </c>
      <c r="O2648" s="122">
        <v>18075</v>
      </c>
      <c r="P2648" s="122">
        <v>37200</v>
      </c>
      <c r="Q2648" s="122">
        <v>13778</v>
      </c>
      <c r="R2648" s="122">
        <v>54672</v>
      </c>
      <c r="S2648" s="122">
        <v>49702</v>
      </c>
      <c r="T2648" s="122">
        <v>0</v>
      </c>
      <c r="U2648" s="122">
        <v>0</v>
      </c>
      <c r="V2648" s="122">
        <v>187885</v>
      </c>
      <c r="W2648" s="122">
        <f t="shared" si="84"/>
        <v>187885</v>
      </c>
      <c r="X2648" s="122">
        <f t="shared" si="85"/>
        <v>257724</v>
      </c>
    </row>
    <row r="2649" spans="2:24">
      <c r="B2649" t="s">
        <v>382</v>
      </c>
      <c r="C2649" t="s">
        <v>50</v>
      </c>
      <c r="D2649" t="s">
        <v>405</v>
      </c>
      <c r="E2649" t="s">
        <v>405</v>
      </c>
      <c r="F2649" s="122">
        <v>1</v>
      </c>
      <c r="G2649" s="122">
        <v>255</v>
      </c>
      <c r="H2649" s="122">
        <v>100</v>
      </c>
      <c r="I2649" s="122">
        <v>14658</v>
      </c>
      <c r="J2649" s="122">
        <v>13326</v>
      </c>
      <c r="K2649" s="122">
        <v>90</v>
      </c>
      <c r="L2649" s="122">
        <v>1896</v>
      </c>
      <c r="M2649" s="122">
        <v>1724</v>
      </c>
      <c r="N2649" s="122">
        <v>3576</v>
      </c>
      <c r="O2649" s="122">
        <v>1324</v>
      </c>
      <c r="P2649" s="122">
        <v>473</v>
      </c>
      <c r="Q2649" s="122">
        <v>175</v>
      </c>
      <c r="R2649" s="122">
        <v>4851</v>
      </c>
      <c r="S2649" s="122">
        <v>4410</v>
      </c>
      <c r="T2649" s="122">
        <v>0</v>
      </c>
      <c r="U2649" s="122">
        <v>0</v>
      </c>
      <c r="V2649" s="122">
        <v>20959</v>
      </c>
      <c r="W2649" s="122">
        <f t="shared" si="84"/>
        <v>20959</v>
      </c>
      <c r="X2649" s="122">
        <f t="shared" si="85"/>
        <v>25454</v>
      </c>
    </row>
    <row r="2650" spans="2:24">
      <c r="B2650" t="s">
        <v>382</v>
      </c>
      <c r="C2650" t="s">
        <v>50</v>
      </c>
      <c r="D2650" t="s">
        <v>137</v>
      </c>
      <c r="E2650" t="s">
        <v>137</v>
      </c>
      <c r="F2650" s="122">
        <v>18</v>
      </c>
      <c r="G2650" s="122">
        <v>4354</v>
      </c>
      <c r="H2650" s="122">
        <v>1591</v>
      </c>
      <c r="I2650" s="122">
        <v>119749</v>
      </c>
      <c r="J2650" s="122">
        <v>44352</v>
      </c>
      <c r="K2650" s="122">
        <v>396</v>
      </c>
      <c r="L2650" s="122">
        <v>36694</v>
      </c>
      <c r="M2650" s="122">
        <v>32819</v>
      </c>
      <c r="N2650" s="122">
        <v>76420</v>
      </c>
      <c r="O2650" s="122">
        <v>28304</v>
      </c>
      <c r="P2650" s="122">
        <v>20386</v>
      </c>
      <c r="Q2650" s="122">
        <v>7550</v>
      </c>
      <c r="R2650" s="122">
        <v>140810</v>
      </c>
      <c r="S2650" s="122">
        <v>52152</v>
      </c>
      <c r="T2650" s="122">
        <v>4503</v>
      </c>
      <c r="U2650" s="122">
        <v>1668</v>
      </c>
      <c r="V2650" s="122">
        <v>166844</v>
      </c>
      <c r="W2650" s="122">
        <f t="shared" si="84"/>
        <v>166845</v>
      </c>
      <c r="X2650" s="122">
        <f t="shared" si="85"/>
        <v>398562</v>
      </c>
    </row>
    <row r="2651" spans="2:24">
      <c r="B2651" t="s">
        <v>382</v>
      </c>
      <c r="C2651" t="s">
        <v>50</v>
      </c>
      <c r="D2651" t="s">
        <v>430</v>
      </c>
      <c r="E2651" t="s">
        <v>430</v>
      </c>
      <c r="F2651" s="122">
        <v>1</v>
      </c>
      <c r="G2651" s="122">
        <v>238</v>
      </c>
      <c r="H2651" s="122">
        <v>100</v>
      </c>
      <c r="I2651" s="122">
        <v>10403</v>
      </c>
      <c r="J2651" s="122">
        <v>3853</v>
      </c>
      <c r="K2651" s="122">
        <v>320</v>
      </c>
      <c r="L2651" s="122">
        <v>2740</v>
      </c>
      <c r="M2651" s="122">
        <v>2491</v>
      </c>
      <c r="N2651" s="122">
        <v>2896</v>
      </c>
      <c r="O2651" s="122">
        <v>1072</v>
      </c>
      <c r="P2651" s="122">
        <v>2439</v>
      </c>
      <c r="Q2651" s="122">
        <v>903</v>
      </c>
      <c r="R2651" s="122">
        <v>5200</v>
      </c>
      <c r="S2651" s="122">
        <v>1926</v>
      </c>
      <c r="T2651" s="122">
        <v>0</v>
      </c>
      <c r="U2651" s="122">
        <v>0</v>
      </c>
      <c r="V2651" s="122">
        <v>10245</v>
      </c>
      <c r="W2651" s="122">
        <f t="shared" si="84"/>
        <v>10245</v>
      </c>
      <c r="X2651" s="122">
        <f t="shared" si="85"/>
        <v>23678</v>
      </c>
    </row>
    <row r="2652" spans="2:24">
      <c r="B2652" t="s">
        <v>382</v>
      </c>
      <c r="C2652" t="s">
        <v>50</v>
      </c>
      <c r="D2652" t="s">
        <v>406</v>
      </c>
      <c r="E2652" t="s">
        <v>137</v>
      </c>
      <c r="F2652" s="122">
        <v>2</v>
      </c>
      <c r="G2652" s="122">
        <v>465</v>
      </c>
      <c r="H2652" s="122">
        <v>154</v>
      </c>
      <c r="I2652" s="122">
        <v>19957</v>
      </c>
      <c r="J2652" s="122">
        <v>18142</v>
      </c>
      <c r="K2652" s="122">
        <v>93</v>
      </c>
      <c r="L2652" s="122">
        <v>2790</v>
      </c>
      <c r="M2652" s="122">
        <v>2536</v>
      </c>
      <c r="N2652" s="122">
        <v>5717</v>
      </c>
      <c r="O2652" s="122">
        <v>2117</v>
      </c>
      <c r="P2652" s="122">
        <v>1242</v>
      </c>
      <c r="Q2652" s="122">
        <v>460</v>
      </c>
      <c r="R2652" s="122">
        <v>6111</v>
      </c>
      <c r="S2652" s="122">
        <v>2263</v>
      </c>
      <c r="T2652" s="122">
        <v>0</v>
      </c>
      <c r="U2652" s="122">
        <v>0</v>
      </c>
      <c r="V2652" s="122">
        <v>25519</v>
      </c>
      <c r="W2652" s="122">
        <f t="shared" si="84"/>
        <v>25518</v>
      </c>
      <c r="X2652" s="122">
        <f t="shared" si="85"/>
        <v>35817</v>
      </c>
    </row>
    <row r="2653" spans="2:24">
      <c r="B2653" t="s">
        <v>382</v>
      </c>
      <c r="C2653" t="s">
        <v>50</v>
      </c>
      <c r="D2653" t="s">
        <v>406</v>
      </c>
      <c r="E2653" t="s">
        <v>406</v>
      </c>
      <c r="F2653" s="122">
        <v>43</v>
      </c>
      <c r="G2653" s="122">
        <v>9818</v>
      </c>
      <c r="H2653" s="122">
        <v>3829</v>
      </c>
      <c r="I2653" s="122">
        <v>441226</v>
      </c>
      <c r="J2653" s="122">
        <v>401115</v>
      </c>
      <c r="K2653" s="122">
        <v>93</v>
      </c>
      <c r="L2653" s="122">
        <v>72732</v>
      </c>
      <c r="M2653" s="122">
        <v>63828</v>
      </c>
      <c r="N2653" s="122">
        <v>135464</v>
      </c>
      <c r="O2653" s="122">
        <v>50172</v>
      </c>
      <c r="P2653" s="122">
        <v>44245</v>
      </c>
      <c r="Q2653" s="122">
        <v>16387</v>
      </c>
      <c r="R2653" s="122">
        <v>194328</v>
      </c>
      <c r="S2653" s="122">
        <v>176661</v>
      </c>
      <c r="T2653" s="122">
        <v>0</v>
      </c>
      <c r="U2653" s="122">
        <v>0</v>
      </c>
      <c r="V2653" s="122">
        <v>708163</v>
      </c>
      <c r="W2653" s="122">
        <f t="shared" si="84"/>
        <v>708163</v>
      </c>
      <c r="X2653" s="122">
        <f t="shared" si="85"/>
        <v>887995</v>
      </c>
    </row>
    <row r="2654" spans="2:24">
      <c r="B2654" t="s">
        <v>382</v>
      </c>
      <c r="C2654" t="s">
        <v>50</v>
      </c>
      <c r="D2654" t="s">
        <v>426</v>
      </c>
      <c r="E2654" t="s">
        <v>426</v>
      </c>
      <c r="F2654" s="122">
        <v>1</v>
      </c>
      <c r="G2654" s="122">
        <v>303</v>
      </c>
      <c r="H2654" s="122">
        <v>97</v>
      </c>
      <c r="I2654" s="122">
        <v>12551</v>
      </c>
      <c r="J2654" s="122">
        <v>11410</v>
      </c>
      <c r="K2654" s="122">
        <v>72</v>
      </c>
      <c r="L2654" s="122">
        <v>2465</v>
      </c>
      <c r="M2654" s="122">
        <v>913</v>
      </c>
      <c r="N2654" s="122">
        <v>3692</v>
      </c>
      <c r="O2654" s="122">
        <v>1368</v>
      </c>
      <c r="P2654" s="122">
        <v>621</v>
      </c>
      <c r="Q2654" s="122">
        <v>230</v>
      </c>
      <c r="R2654" s="122">
        <v>5593</v>
      </c>
      <c r="S2654" s="122">
        <v>5084</v>
      </c>
      <c r="T2654" s="122">
        <v>4547</v>
      </c>
      <c r="U2654" s="122">
        <v>1684</v>
      </c>
      <c r="V2654" s="122">
        <v>20689</v>
      </c>
      <c r="W2654" s="122">
        <f t="shared" si="84"/>
        <v>20689</v>
      </c>
      <c r="X2654" s="122">
        <f t="shared" si="85"/>
        <v>29469</v>
      </c>
    </row>
    <row r="2655" spans="2:24">
      <c r="B2655" t="s">
        <v>382</v>
      </c>
      <c r="C2655" t="s">
        <v>50</v>
      </c>
      <c r="D2655" t="s">
        <v>433</v>
      </c>
      <c r="E2655" t="s">
        <v>137</v>
      </c>
      <c r="F2655" s="122">
        <v>1</v>
      </c>
      <c r="G2655" s="122">
        <v>244</v>
      </c>
      <c r="H2655" s="122">
        <v>83</v>
      </c>
      <c r="I2655" s="122">
        <v>6325</v>
      </c>
      <c r="J2655" s="122">
        <v>5750</v>
      </c>
      <c r="K2655" s="122">
        <v>81</v>
      </c>
      <c r="L2655" s="122">
        <v>1397</v>
      </c>
      <c r="M2655" s="122">
        <v>518</v>
      </c>
      <c r="N2655" s="122">
        <v>3126</v>
      </c>
      <c r="O2655" s="122">
        <v>1158</v>
      </c>
      <c r="P2655" s="122">
        <v>2950</v>
      </c>
      <c r="Q2655" s="122">
        <v>1092</v>
      </c>
      <c r="R2655" s="122">
        <v>6446</v>
      </c>
      <c r="S2655" s="122">
        <v>2388</v>
      </c>
      <c r="T2655" s="122">
        <v>0</v>
      </c>
      <c r="U2655" s="122">
        <v>0</v>
      </c>
      <c r="V2655" s="122">
        <v>10906</v>
      </c>
      <c r="W2655" s="122">
        <f t="shared" si="84"/>
        <v>10906</v>
      </c>
      <c r="X2655" s="122">
        <f t="shared" si="85"/>
        <v>20244</v>
      </c>
    </row>
    <row r="2656" spans="2:24">
      <c r="B2656" t="s">
        <v>382</v>
      </c>
      <c r="C2656" t="s">
        <v>52</v>
      </c>
      <c r="D2656" t="s">
        <v>405</v>
      </c>
      <c r="E2656" t="s">
        <v>405</v>
      </c>
      <c r="F2656" s="122">
        <v>3</v>
      </c>
      <c r="G2656" s="122">
        <v>466</v>
      </c>
      <c r="H2656" s="122">
        <v>371</v>
      </c>
      <c r="I2656" s="122">
        <v>28497</v>
      </c>
      <c r="J2656" s="122">
        <v>25906</v>
      </c>
      <c r="K2656" s="122">
        <v>91</v>
      </c>
      <c r="L2656" s="122">
        <v>4658</v>
      </c>
      <c r="M2656" s="122">
        <v>4235</v>
      </c>
      <c r="N2656" s="122">
        <v>10769</v>
      </c>
      <c r="O2656" s="122">
        <v>3988</v>
      </c>
      <c r="P2656" s="122">
        <v>1175</v>
      </c>
      <c r="Q2656" s="122">
        <v>435</v>
      </c>
      <c r="R2656" s="122">
        <v>12554</v>
      </c>
      <c r="S2656" s="122">
        <v>11413</v>
      </c>
      <c r="T2656" s="122">
        <v>0</v>
      </c>
      <c r="U2656" s="122">
        <v>0</v>
      </c>
      <c r="V2656" s="122">
        <v>45977</v>
      </c>
      <c r="W2656" s="122">
        <f t="shared" si="84"/>
        <v>45977</v>
      </c>
      <c r="X2656" s="122">
        <f t="shared" si="85"/>
        <v>57653</v>
      </c>
    </row>
    <row r="2657" spans="2:24">
      <c r="B2657" t="s">
        <v>382</v>
      </c>
      <c r="C2657" t="s">
        <v>52</v>
      </c>
      <c r="D2657" t="s">
        <v>137</v>
      </c>
      <c r="E2657" t="s">
        <v>137</v>
      </c>
      <c r="F2657" s="122">
        <v>13</v>
      </c>
      <c r="G2657" s="122">
        <v>2370</v>
      </c>
      <c r="H2657" s="122">
        <v>1471</v>
      </c>
      <c r="I2657" s="122">
        <v>120258</v>
      </c>
      <c r="J2657" s="122">
        <v>44540</v>
      </c>
      <c r="K2657" s="122">
        <v>364</v>
      </c>
      <c r="L2657" s="122">
        <v>32658</v>
      </c>
      <c r="M2657" s="122">
        <v>29381</v>
      </c>
      <c r="N2657" s="122">
        <v>43129</v>
      </c>
      <c r="O2657" s="122">
        <v>15974</v>
      </c>
      <c r="P2657" s="122">
        <v>8090</v>
      </c>
      <c r="Q2657" s="122">
        <v>2996</v>
      </c>
      <c r="R2657" s="122">
        <v>105040</v>
      </c>
      <c r="S2657" s="122">
        <v>38904</v>
      </c>
      <c r="T2657" s="122">
        <v>0</v>
      </c>
      <c r="U2657" s="122">
        <v>0</v>
      </c>
      <c r="V2657" s="122">
        <v>131794</v>
      </c>
      <c r="W2657" s="122">
        <f t="shared" si="84"/>
        <v>131795</v>
      </c>
      <c r="X2657" s="122">
        <f t="shared" si="85"/>
        <v>309175</v>
      </c>
    </row>
    <row r="2658" spans="2:24">
      <c r="B2658" t="s">
        <v>382</v>
      </c>
      <c r="C2658" t="s">
        <v>52</v>
      </c>
      <c r="D2658" t="s">
        <v>406</v>
      </c>
      <c r="E2658" t="s">
        <v>137</v>
      </c>
      <c r="F2658" s="122">
        <v>1</v>
      </c>
      <c r="G2658" s="122">
        <v>306</v>
      </c>
      <c r="H2658" s="122">
        <v>102</v>
      </c>
      <c r="I2658" s="122">
        <v>19725</v>
      </c>
      <c r="J2658" s="122">
        <v>17932</v>
      </c>
      <c r="K2658" s="122">
        <v>82</v>
      </c>
      <c r="L2658" s="122">
        <v>2489</v>
      </c>
      <c r="M2658" s="122">
        <v>2263</v>
      </c>
      <c r="N2658" s="122">
        <v>3725</v>
      </c>
      <c r="O2658" s="122">
        <v>1379</v>
      </c>
      <c r="P2658" s="122">
        <v>621</v>
      </c>
      <c r="Q2658" s="122">
        <v>230</v>
      </c>
      <c r="R2658" s="122">
        <v>4680</v>
      </c>
      <c r="S2658" s="122">
        <v>1733</v>
      </c>
      <c r="T2658" s="122">
        <v>0</v>
      </c>
      <c r="U2658" s="122">
        <v>0</v>
      </c>
      <c r="V2658" s="122">
        <v>23537</v>
      </c>
      <c r="W2658" s="122">
        <f t="shared" si="84"/>
        <v>23537</v>
      </c>
      <c r="X2658" s="122">
        <f t="shared" si="85"/>
        <v>31240</v>
      </c>
    </row>
    <row r="2659" spans="2:24">
      <c r="B2659" t="s">
        <v>382</v>
      </c>
      <c r="C2659" t="s">
        <v>52</v>
      </c>
      <c r="D2659" t="s">
        <v>406</v>
      </c>
      <c r="E2659" t="s">
        <v>406</v>
      </c>
      <c r="F2659" s="122">
        <v>92</v>
      </c>
      <c r="G2659" s="122">
        <v>18970</v>
      </c>
      <c r="H2659" s="122">
        <v>10775</v>
      </c>
      <c r="I2659" s="122">
        <v>1228319</v>
      </c>
      <c r="J2659" s="122">
        <v>1116654</v>
      </c>
      <c r="K2659" s="122">
        <v>93</v>
      </c>
      <c r="L2659" s="122">
        <v>211061</v>
      </c>
      <c r="M2659" s="122">
        <v>188914</v>
      </c>
      <c r="N2659" s="122">
        <v>333562</v>
      </c>
      <c r="O2659" s="122">
        <v>123542</v>
      </c>
      <c r="P2659" s="122">
        <v>73962</v>
      </c>
      <c r="Q2659" s="122">
        <v>27393</v>
      </c>
      <c r="R2659" s="122">
        <v>445235</v>
      </c>
      <c r="S2659" s="122">
        <v>404759</v>
      </c>
      <c r="T2659" s="122">
        <v>20465</v>
      </c>
      <c r="U2659" s="122">
        <v>7580</v>
      </c>
      <c r="V2659" s="122">
        <v>1868842</v>
      </c>
      <c r="W2659" s="122">
        <f t="shared" si="84"/>
        <v>1868842</v>
      </c>
      <c r="X2659" s="122">
        <f t="shared" si="85"/>
        <v>2312604</v>
      </c>
    </row>
    <row r="2660" spans="2:24">
      <c r="B2660" t="s">
        <v>382</v>
      </c>
      <c r="C2660" t="s">
        <v>52</v>
      </c>
      <c r="D2660" t="s">
        <v>407</v>
      </c>
      <c r="E2660" t="s">
        <v>407</v>
      </c>
      <c r="F2660" s="122">
        <v>1</v>
      </c>
      <c r="G2660" s="122">
        <v>145</v>
      </c>
      <c r="H2660" s="122">
        <v>116</v>
      </c>
      <c r="I2660" s="122">
        <v>16308</v>
      </c>
      <c r="J2660" s="122">
        <v>14826</v>
      </c>
      <c r="K2660" s="122">
        <v>92</v>
      </c>
      <c r="L2660" s="122">
        <v>0</v>
      </c>
      <c r="M2660" s="122">
        <v>2406</v>
      </c>
      <c r="N2660" s="122">
        <v>5329</v>
      </c>
      <c r="O2660" s="122">
        <v>1974</v>
      </c>
      <c r="P2660" s="122">
        <v>473</v>
      </c>
      <c r="Q2660" s="122">
        <v>175</v>
      </c>
      <c r="R2660" s="122">
        <v>4492</v>
      </c>
      <c r="S2660" s="122">
        <v>4084</v>
      </c>
      <c r="T2660" s="122">
        <v>0</v>
      </c>
      <c r="U2660" s="122">
        <v>0</v>
      </c>
      <c r="V2660" s="122">
        <v>23464</v>
      </c>
      <c r="W2660" s="122">
        <f t="shared" si="84"/>
        <v>23465</v>
      </c>
      <c r="X2660" s="122">
        <f t="shared" si="85"/>
        <v>26602</v>
      </c>
    </row>
    <row r="2661" spans="2:24">
      <c r="B2661" t="s">
        <v>382</v>
      </c>
      <c r="C2661" t="s">
        <v>52</v>
      </c>
      <c r="D2661" t="s">
        <v>433</v>
      </c>
      <c r="E2661" t="s">
        <v>433</v>
      </c>
      <c r="F2661" s="122">
        <v>2</v>
      </c>
      <c r="G2661" s="122">
        <v>595</v>
      </c>
      <c r="H2661" s="122">
        <v>237</v>
      </c>
      <c r="I2661" s="122">
        <v>36949</v>
      </c>
      <c r="J2661" s="122">
        <v>33590</v>
      </c>
      <c r="K2661" s="122">
        <v>65</v>
      </c>
      <c r="L2661" s="122">
        <v>6308</v>
      </c>
      <c r="M2661" s="122">
        <v>5735</v>
      </c>
      <c r="N2661" s="122">
        <v>9772</v>
      </c>
      <c r="O2661" s="122">
        <v>3619</v>
      </c>
      <c r="P2661" s="122">
        <v>3328</v>
      </c>
      <c r="Q2661" s="122">
        <v>1233</v>
      </c>
      <c r="R2661" s="122">
        <v>13908</v>
      </c>
      <c r="S2661" s="122">
        <v>12644</v>
      </c>
      <c r="T2661" s="122">
        <v>0</v>
      </c>
      <c r="U2661" s="122">
        <v>0</v>
      </c>
      <c r="V2661" s="122">
        <v>56820</v>
      </c>
      <c r="W2661" s="122">
        <f t="shared" si="84"/>
        <v>56821</v>
      </c>
      <c r="X2661" s="122">
        <f t="shared" si="85"/>
        <v>70265</v>
      </c>
    </row>
    <row r="2662" spans="2:24">
      <c r="B2662" t="s">
        <v>382</v>
      </c>
      <c r="C2662" t="s">
        <v>54</v>
      </c>
      <c r="D2662" t="s">
        <v>425</v>
      </c>
      <c r="E2662" t="s">
        <v>425</v>
      </c>
      <c r="F2662" s="122">
        <v>3</v>
      </c>
      <c r="G2662" s="122">
        <v>661</v>
      </c>
      <c r="H2662" s="122">
        <v>428</v>
      </c>
      <c r="I2662" s="122">
        <v>59870</v>
      </c>
      <c r="J2662" s="122">
        <v>54427</v>
      </c>
      <c r="K2662" s="122">
        <v>88</v>
      </c>
      <c r="L2662" s="122">
        <v>13445</v>
      </c>
      <c r="M2662" s="122">
        <v>12032</v>
      </c>
      <c r="N2662" s="122">
        <v>12095</v>
      </c>
      <c r="O2662" s="122">
        <v>4480</v>
      </c>
      <c r="P2662" s="122">
        <v>1418</v>
      </c>
      <c r="Q2662" s="122">
        <v>525</v>
      </c>
      <c r="R2662" s="122">
        <v>16303</v>
      </c>
      <c r="S2662" s="122">
        <v>14821</v>
      </c>
      <c r="T2662" s="122">
        <v>0</v>
      </c>
      <c r="U2662" s="122">
        <v>0</v>
      </c>
      <c r="V2662" s="122">
        <v>86285</v>
      </c>
      <c r="W2662" s="122">
        <f t="shared" si="84"/>
        <v>86285</v>
      </c>
      <c r="X2662" s="122">
        <f t="shared" si="85"/>
        <v>103131</v>
      </c>
    </row>
    <row r="2663" spans="2:24">
      <c r="B2663" t="s">
        <v>382</v>
      </c>
      <c r="C2663" t="s">
        <v>54</v>
      </c>
      <c r="D2663" t="s">
        <v>405</v>
      </c>
      <c r="E2663" t="s">
        <v>405</v>
      </c>
      <c r="F2663" s="122">
        <v>29</v>
      </c>
      <c r="G2663" s="122">
        <v>5031</v>
      </c>
      <c r="H2663" s="122">
        <v>3991</v>
      </c>
      <c r="I2663" s="122">
        <v>370607</v>
      </c>
      <c r="J2663" s="122">
        <v>336915</v>
      </c>
      <c r="K2663" s="122">
        <v>90</v>
      </c>
      <c r="L2663" s="122">
        <v>83499</v>
      </c>
      <c r="M2663" s="122">
        <v>62445</v>
      </c>
      <c r="N2663" s="122">
        <v>93208</v>
      </c>
      <c r="O2663" s="122">
        <v>34521</v>
      </c>
      <c r="P2663" s="122">
        <v>13095</v>
      </c>
      <c r="Q2663" s="122">
        <v>4850</v>
      </c>
      <c r="R2663" s="122">
        <v>142306</v>
      </c>
      <c r="S2663" s="122">
        <v>129369</v>
      </c>
      <c r="T2663" s="122">
        <v>2948</v>
      </c>
      <c r="U2663" s="122">
        <v>1092</v>
      </c>
      <c r="V2663" s="122">
        <v>569193</v>
      </c>
      <c r="W2663" s="122">
        <f t="shared" si="84"/>
        <v>569192</v>
      </c>
      <c r="X2663" s="122">
        <f t="shared" si="85"/>
        <v>705663</v>
      </c>
    </row>
    <row r="2664" spans="2:24">
      <c r="B2664" t="s">
        <v>382</v>
      </c>
      <c r="C2664" t="s">
        <v>54</v>
      </c>
      <c r="D2664" t="s">
        <v>137</v>
      </c>
      <c r="E2664" t="s">
        <v>137</v>
      </c>
      <c r="F2664" s="122">
        <v>17</v>
      </c>
      <c r="G2664" s="122">
        <v>3303</v>
      </c>
      <c r="H2664" s="122">
        <v>2364</v>
      </c>
      <c r="I2664" s="122">
        <v>229577</v>
      </c>
      <c r="J2664" s="122">
        <v>85029</v>
      </c>
      <c r="K2664" s="122">
        <v>324</v>
      </c>
      <c r="L2664" s="122">
        <v>62441</v>
      </c>
      <c r="M2664" s="122">
        <v>56572</v>
      </c>
      <c r="N2664" s="122">
        <v>67288</v>
      </c>
      <c r="O2664" s="122">
        <v>24922</v>
      </c>
      <c r="P2664" s="122">
        <v>21068</v>
      </c>
      <c r="Q2664" s="122">
        <v>7803</v>
      </c>
      <c r="R2664" s="122">
        <v>113730</v>
      </c>
      <c r="S2664" s="122">
        <v>42122</v>
      </c>
      <c r="T2664" s="122">
        <v>0</v>
      </c>
      <c r="U2664" s="122">
        <v>0</v>
      </c>
      <c r="V2664" s="122">
        <v>216447</v>
      </c>
      <c r="W2664" s="122">
        <f t="shared" si="84"/>
        <v>216448</v>
      </c>
      <c r="X2664" s="122">
        <f t="shared" si="85"/>
        <v>494104</v>
      </c>
    </row>
    <row r="2665" spans="2:24">
      <c r="B2665" t="s">
        <v>382</v>
      </c>
      <c r="C2665" t="s">
        <v>54</v>
      </c>
      <c r="D2665" t="s">
        <v>406</v>
      </c>
      <c r="E2665" t="s">
        <v>137</v>
      </c>
      <c r="F2665" s="122">
        <v>1</v>
      </c>
      <c r="G2665" s="122">
        <v>149</v>
      </c>
      <c r="H2665" s="122">
        <v>127</v>
      </c>
      <c r="I2665" s="122">
        <v>17214</v>
      </c>
      <c r="J2665" s="122">
        <v>15649</v>
      </c>
      <c r="K2665" s="122">
        <v>86</v>
      </c>
      <c r="L2665" s="122">
        <v>2516</v>
      </c>
      <c r="M2665" s="122">
        <v>2287</v>
      </c>
      <c r="N2665" s="122">
        <v>2946</v>
      </c>
      <c r="O2665" s="122">
        <v>1091</v>
      </c>
      <c r="P2665" s="122">
        <v>621</v>
      </c>
      <c r="Q2665" s="122">
        <v>230</v>
      </c>
      <c r="R2665" s="122">
        <v>7498</v>
      </c>
      <c r="S2665" s="122">
        <v>2777</v>
      </c>
      <c r="T2665" s="122">
        <v>0</v>
      </c>
      <c r="U2665" s="122">
        <v>0</v>
      </c>
      <c r="V2665" s="122">
        <v>22034</v>
      </c>
      <c r="W2665" s="122">
        <f t="shared" si="84"/>
        <v>22034</v>
      </c>
      <c r="X2665" s="122">
        <f t="shared" si="85"/>
        <v>30795</v>
      </c>
    </row>
    <row r="2666" spans="2:24">
      <c r="B2666" t="s">
        <v>382</v>
      </c>
      <c r="C2666" t="s">
        <v>54</v>
      </c>
      <c r="D2666" t="s">
        <v>406</v>
      </c>
      <c r="E2666" t="s">
        <v>406</v>
      </c>
      <c r="F2666" s="122">
        <v>322</v>
      </c>
      <c r="G2666" s="122">
        <v>60393</v>
      </c>
      <c r="H2666" s="122">
        <v>45393</v>
      </c>
      <c r="I2666" s="122">
        <v>4871764</v>
      </c>
      <c r="J2666" s="122">
        <v>4428876</v>
      </c>
      <c r="K2666" s="122">
        <v>90</v>
      </c>
      <c r="L2666" s="122">
        <v>945203</v>
      </c>
      <c r="M2666" s="122">
        <v>835491</v>
      </c>
      <c r="N2666" s="122">
        <v>1195059</v>
      </c>
      <c r="O2666" s="122">
        <v>442614</v>
      </c>
      <c r="P2666" s="122">
        <v>231745</v>
      </c>
      <c r="Q2666" s="122">
        <v>85831</v>
      </c>
      <c r="R2666" s="122">
        <v>1696042</v>
      </c>
      <c r="S2666" s="122">
        <v>1541857</v>
      </c>
      <c r="T2666" s="122">
        <v>124130</v>
      </c>
      <c r="U2666" s="122">
        <v>45974</v>
      </c>
      <c r="V2666" s="122">
        <v>7380643</v>
      </c>
      <c r="W2666" s="122">
        <f t="shared" si="84"/>
        <v>7380643</v>
      </c>
      <c r="X2666" s="122">
        <f t="shared" si="85"/>
        <v>9063943</v>
      </c>
    </row>
    <row r="2667" spans="2:24">
      <c r="B2667" t="s">
        <v>382</v>
      </c>
      <c r="C2667" t="s">
        <v>54</v>
      </c>
      <c r="D2667" t="s">
        <v>406</v>
      </c>
      <c r="E2667" t="s">
        <v>427</v>
      </c>
      <c r="F2667" s="122">
        <v>1</v>
      </c>
      <c r="G2667" s="122">
        <v>176</v>
      </c>
      <c r="H2667" s="122">
        <v>135</v>
      </c>
      <c r="I2667" s="122">
        <v>15717</v>
      </c>
      <c r="J2667" s="122">
        <v>14288</v>
      </c>
      <c r="K2667" s="122">
        <v>85</v>
      </c>
      <c r="L2667" s="122">
        <v>2284</v>
      </c>
      <c r="M2667" s="122">
        <v>2076</v>
      </c>
      <c r="N2667" s="122">
        <v>2480</v>
      </c>
      <c r="O2667" s="122">
        <v>919</v>
      </c>
      <c r="P2667" s="122">
        <v>621</v>
      </c>
      <c r="Q2667" s="122">
        <v>230</v>
      </c>
      <c r="R2667" s="122">
        <v>2659</v>
      </c>
      <c r="S2667" s="122">
        <v>2417</v>
      </c>
      <c r="T2667" s="122">
        <v>0</v>
      </c>
      <c r="U2667" s="122">
        <v>0</v>
      </c>
      <c r="V2667" s="122">
        <v>19929</v>
      </c>
      <c r="W2667" s="122">
        <f t="shared" si="84"/>
        <v>19930</v>
      </c>
      <c r="X2667" s="122">
        <f t="shared" si="85"/>
        <v>23761</v>
      </c>
    </row>
    <row r="2668" spans="2:24">
      <c r="B2668" t="s">
        <v>382</v>
      </c>
      <c r="C2668" t="s">
        <v>54</v>
      </c>
      <c r="D2668" t="s">
        <v>407</v>
      </c>
      <c r="E2668" t="s">
        <v>407</v>
      </c>
      <c r="F2668" s="122">
        <v>2</v>
      </c>
      <c r="G2668" s="122">
        <v>272</v>
      </c>
      <c r="H2668" s="122">
        <v>285</v>
      </c>
      <c r="I2668" s="122">
        <v>28397</v>
      </c>
      <c r="J2668" s="122">
        <v>25816</v>
      </c>
      <c r="K2668" s="122">
        <v>91</v>
      </c>
      <c r="L2668" s="122">
        <v>1808</v>
      </c>
      <c r="M2668" s="122">
        <v>1643</v>
      </c>
      <c r="N2668" s="122">
        <v>8665</v>
      </c>
      <c r="O2668" s="122">
        <v>3209</v>
      </c>
      <c r="P2668" s="122">
        <v>1296</v>
      </c>
      <c r="Q2668" s="122">
        <v>480</v>
      </c>
      <c r="R2668" s="122">
        <v>10961</v>
      </c>
      <c r="S2668" s="122">
        <v>9964</v>
      </c>
      <c r="T2668" s="122">
        <v>0</v>
      </c>
      <c r="U2668" s="122">
        <v>0</v>
      </c>
      <c r="V2668" s="122">
        <v>41112</v>
      </c>
      <c r="W2668" s="122">
        <f t="shared" ref="W2668:W2731" si="86">SUM(ABS(J2668),ABS(M2668),ABS(O2668),ABS(Q2668),ABS(S2668),ABS(U2668))</f>
        <v>41112</v>
      </c>
      <c r="X2668" s="122">
        <f t="shared" ref="X2668:X2731" si="87">SUM(ABS(I2668),ABS(N2668),ABS(P2668),ABS(R2668),ABS(T2668),ABS(L2668))</f>
        <v>51127</v>
      </c>
    </row>
    <row r="2669" spans="2:24">
      <c r="B2669" t="s">
        <v>382</v>
      </c>
      <c r="C2669" t="s">
        <v>54</v>
      </c>
      <c r="D2669" t="s">
        <v>433</v>
      </c>
      <c r="E2669" t="s">
        <v>433</v>
      </c>
      <c r="F2669" s="122">
        <v>1</v>
      </c>
      <c r="G2669" s="122">
        <v>212</v>
      </c>
      <c r="H2669" s="122">
        <v>138</v>
      </c>
      <c r="I2669" s="122">
        <v>18562</v>
      </c>
      <c r="J2669" s="122">
        <v>16874</v>
      </c>
      <c r="K2669" s="122">
        <v>71</v>
      </c>
      <c r="L2669" s="122">
        <v>0</v>
      </c>
      <c r="M2669" s="122">
        <v>0</v>
      </c>
      <c r="N2669" s="122">
        <v>2581</v>
      </c>
      <c r="O2669" s="122">
        <v>956</v>
      </c>
      <c r="P2669" s="122">
        <v>351</v>
      </c>
      <c r="Q2669" s="122">
        <v>130</v>
      </c>
      <c r="R2669" s="122">
        <v>7720</v>
      </c>
      <c r="S2669" s="122">
        <v>7018</v>
      </c>
      <c r="T2669" s="122">
        <v>0</v>
      </c>
      <c r="U2669" s="122">
        <v>0</v>
      </c>
      <c r="V2669" s="122">
        <v>24978</v>
      </c>
      <c r="W2669" s="122">
        <f t="shared" si="86"/>
        <v>24978</v>
      </c>
      <c r="X2669" s="122">
        <f t="shared" si="87"/>
        <v>29214</v>
      </c>
    </row>
    <row r="2670" spans="2:24">
      <c r="B2670" t="s">
        <v>382</v>
      </c>
      <c r="C2670" t="s">
        <v>54</v>
      </c>
      <c r="D2670" t="s">
        <v>408</v>
      </c>
      <c r="E2670" t="s">
        <v>408</v>
      </c>
      <c r="F2670" s="122">
        <v>1</v>
      </c>
      <c r="G2670" s="122">
        <v>287</v>
      </c>
      <c r="H2670" s="122">
        <v>150</v>
      </c>
      <c r="I2670" s="122">
        <v>27425</v>
      </c>
      <c r="J2670" s="122">
        <v>24932</v>
      </c>
      <c r="K2670" s="122">
        <v>87</v>
      </c>
      <c r="L2670" s="122">
        <v>4175</v>
      </c>
      <c r="M2670" s="122">
        <v>3795</v>
      </c>
      <c r="N2670" s="122">
        <v>3501</v>
      </c>
      <c r="O2670" s="122">
        <v>1297</v>
      </c>
      <c r="P2670" s="122">
        <v>351</v>
      </c>
      <c r="Q2670" s="122">
        <v>130</v>
      </c>
      <c r="R2670" s="122">
        <v>7530</v>
      </c>
      <c r="S2670" s="122">
        <v>6846</v>
      </c>
      <c r="T2670" s="122">
        <v>0</v>
      </c>
      <c r="U2670" s="122">
        <v>0</v>
      </c>
      <c r="V2670" s="122">
        <v>37000</v>
      </c>
      <c r="W2670" s="122">
        <f t="shared" si="86"/>
        <v>37000</v>
      </c>
      <c r="X2670" s="122">
        <f t="shared" si="87"/>
        <v>42982</v>
      </c>
    </row>
    <row r="2671" spans="2:24">
      <c r="B2671" t="s">
        <v>382</v>
      </c>
      <c r="C2671" t="s">
        <v>56</v>
      </c>
      <c r="D2671" t="s">
        <v>425</v>
      </c>
      <c r="E2671" t="s">
        <v>425</v>
      </c>
      <c r="F2671" s="122">
        <v>5</v>
      </c>
      <c r="G2671" s="122">
        <v>648</v>
      </c>
      <c r="H2671" s="122">
        <v>949</v>
      </c>
      <c r="I2671" s="122">
        <v>69041</v>
      </c>
      <c r="J2671" s="122">
        <v>62764</v>
      </c>
      <c r="K2671" s="122">
        <v>87</v>
      </c>
      <c r="L2671" s="122">
        <v>20431</v>
      </c>
      <c r="M2671" s="122">
        <v>18573</v>
      </c>
      <c r="N2671" s="122">
        <v>12994</v>
      </c>
      <c r="O2671" s="122">
        <v>4813</v>
      </c>
      <c r="P2671" s="122">
        <v>2363</v>
      </c>
      <c r="Q2671" s="122">
        <v>875</v>
      </c>
      <c r="R2671" s="122">
        <v>23097</v>
      </c>
      <c r="S2671" s="122">
        <v>20997</v>
      </c>
      <c r="T2671" s="122">
        <v>2679</v>
      </c>
      <c r="U2671" s="122">
        <v>992</v>
      </c>
      <c r="V2671" s="122">
        <v>109015</v>
      </c>
      <c r="W2671" s="122">
        <f t="shared" si="86"/>
        <v>109014</v>
      </c>
      <c r="X2671" s="122">
        <f t="shared" si="87"/>
        <v>130605</v>
      </c>
    </row>
    <row r="2672" spans="2:24">
      <c r="B2672" t="s">
        <v>382</v>
      </c>
      <c r="C2672" t="s">
        <v>56</v>
      </c>
      <c r="D2672" t="s">
        <v>425</v>
      </c>
      <c r="E2672" t="s">
        <v>406</v>
      </c>
      <c r="F2672" s="122">
        <v>1</v>
      </c>
      <c r="G2672" s="122">
        <v>208</v>
      </c>
      <c r="H2672" s="122">
        <v>185</v>
      </c>
      <c r="I2672" s="122">
        <v>20032</v>
      </c>
      <c r="J2672" s="122">
        <v>18211</v>
      </c>
      <c r="K2672" s="122">
        <v>86</v>
      </c>
      <c r="L2672" s="122">
        <v>3020</v>
      </c>
      <c r="M2672" s="122">
        <v>2745</v>
      </c>
      <c r="N2672" s="122">
        <v>5064</v>
      </c>
      <c r="O2672" s="122">
        <v>1876</v>
      </c>
      <c r="P2672" s="122">
        <v>621</v>
      </c>
      <c r="Q2672" s="122">
        <v>230</v>
      </c>
      <c r="R2672" s="122">
        <v>5480</v>
      </c>
      <c r="S2672" s="122">
        <v>4981</v>
      </c>
      <c r="T2672" s="122">
        <v>4306</v>
      </c>
      <c r="U2672" s="122">
        <v>1595</v>
      </c>
      <c r="V2672" s="122">
        <v>29638</v>
      </c>
      <c r="W2672" s="122">
        <f t="shared" si="86"/>
        <v>29638</v>
      </c>
      <c r="X2672" s="122">
        <f t="shared" si="87"/>
        <v>38523</v>
      </c>
    </row>
    <row r="2673" spans="2:24">
      <c r="B2673" t="s">
        <v>382</v>
      </c>
      <c r="C2673" t="s">
        <v>56</v>
      </c>
      <c r="D2673" t="s">
        <v>405</v>
      </c>
      <c r="E2673" t="s">
        <v>425</v>
      </c>
      <c r="F2673" s="122">
        <v>2</v>
      </c>
      <c r="G2673" s="122">
        <v>249</v>
      </c>
      <c r="H2673" s="122">
        <v>372</v>
      </c>
      <c r="I2673" s="122">
        <v>28428</v>
      </c>
      <c r="J2673" s="122">
        <v>25844</v>
      </c>
      <c r="K2673" s="122">
        <v>86</v>
      </c>
      <c r="L2673" s="122">
        <v>2527</v>
      </c>
      <c r="M2673" s="122">
        <v>3825</v>
      </c>
      <c r="N2673" s="122">
        <v>4615</v>
      </c>
      <c r="O2673" s="122">
        <v>1709</v>
      </c>
      <c r="P2673" s="122">
        <v>945</v>
      </c>
      <c r="Q2673" s="122">
        <v>350</v>
      </c>
      <c r="R2673" s="122">
        <v>10448</v>
      </c>
      <c r="S2673" s="122">
        <v>9498</v>
      </c>
      <c r="T2673" s="122">
        <v>0</v>
      </c>
      <c r="U2673" s="122">
        <v>0</v>
      </c>
      <c r="V2673" s="122">
        <v>41226</v>
      </c>
      <c r="W2673" s="122">
        <f t="shared" si="86"/>
        <v>41226</v>
      </c>
      <c r="X2673" s="122">
        <f t="shared" si="87"/>
        <v>46963</v>
      </c>
    </row>
    <row r="2674" spans="2:24">
      <c r="B2674" t="s">
        <v>382</v>
      </c>
      <c r="C2674" t="s">
        <v>56</v>
      </c>
      <c r="D2674" t="s">
        <v>405</v>
      </c>
      <c r="E2674" t="s">
        <v>405</v>
      </c>
      <c r="F2674" s="122">
        <v>64</v>
      </c>
      <c r="G2674" s="122">
        <v>9978</v>
      </c>
      <c r="H2674" s="122">
        <v>11957</v>
      </c>
      <c r="I2674" s="122">
        <v>1025482</v>
      </c>
      <c r="J2674" s="122">
        <v>932257</v>
      </c>
      <c r="K2674" s="122">
        <v>83</v>
      </c>
      <c r="L2674" s="122">
        <v>253033</v>
      </c>
      <c r="M2674" s="122">
        <v>224036</v>
      </c>
      <c r="N2674" s="122">
        <v>206204</v>
      </c>
      <c r="O2674" s="122">
        <v>76372</v>
      </c>
      <c r="P2674" s="122">
        <v>36747</v>
      </c>
      <c r="Q2674" s="122">
        <v>13610</v>
      </c>
      <c r="R2674" s="122">
        <v>333466</v>
      </c>
      <c r="S2674" s="122">
        <v>303151</v>
      </c>
      <c r="T2674" s="122">
        <v>46169</v>
      </c>
      <c r="U2674" s="122">
        <v>17100</v>
      </c>
      <c r="V2674" s="122">
        <v>1566525</v>
      </c>
      <c r="W2674" s="122">
        <f t="shared" si="86"/>
        <v>1566526</v>
      </c>
      <c r="X2674" s="122">
        <f t="shared" si="87"/>
        <v>1901101</v>
      </c>
    </row>
    <row r="2675" spans="2:24">
      <c r="B2675" t="s">
        <v>382</v>
      </c>
      <c r="C2675" t="s">
        <v>56</v>
      </c>
      <c r="D2675" t="s">
        <v>405</v>
      </c>
      <c r="E2675" t="s">
        <v>137</v>
      </c>
      <c r="F2675" s="122">
        <v>2</v>
      </c>
      <c r="G2675" s="122">
        <v>587</v>
      </c>
      <c r="H2675" s="122">
        <v>357</v>
      </c>
      <c r="I2675" s="122">
        <v>59568</v>
      </c>
      <c r="J2675" s="122">
        <v>54153</v>
      </c>
      <c r="K2675" s="122">
        <v>92</v>
      </c>
      <c r="L2675" s="122">
        <v>14490</v>
      </c>
      <c r="M2675" s="122">
        <v>7138</v>
      </c>
      <c r="N2675" s="122">
        <v>8300</v>
      </c>
      <c r="O2675" s="122">
        <v>3074</v>
      </c>
      <c r="P2675" s="122">
        <v>945</v>
      </c>
      <c r="Q2675" s="122">
        <v>350</v>
      </c>
      <c r="R2675" s="122">
        <v>13959</v>
      </c>
      <c r="S2675" s="122">
        <v>5170</v>
      </c>
      <c r="T2675" s="122">
        <v>0</v>
      </c>
      <c r="U2675" s="122">
        <v>0</v>
      </c>
      <c r="V2675" s="122">
        <v>69885</v>
      </c>
      <c r="W2675" s="122">
        <f t="shared" si="86"/>
        <v>69885</v>
      </c>
      <c r="X2675" s="122">
        <f t="shared" si="87"/>
        <v>97262</v>
      </c>
    </row>
    <row r="2676" spans="2:24">
      <c r="B2676" t="s">
        <v>382</v>
      </c>
      <c r="C2676" t="s">
        <v>56</v>
      </c>
      <c r="D2676" t="s">
        <v>137</v>
      </c>
      <c r="E2676" t="s">
        <v>137</v>
      </c>
      <c r="F2676" s="122">
        <v>19</v>
      </c>
      <c r="G2676" s="122">
        <v>2814</v>
      </c>
      <c r="H2676" s="122">
        <v>3741</v>
      </c>
      <c r="I2676" s="122">
        <v>283818</v>
      </c>
      <c r="J2676" s="122">
        <v>105118</v>
      </c>
      <c r="K2676" s="122">
        <v>158</v>
      </c>
      <c r="L2676" s="122">
        <v>69832</v>
      </c>
      <c r="M2676" s="122">
        <v>54649</v>
      </c>
      <c r="N2676" s="122">
        <v>60493</v>
      </c>
      <c r="O2676" s="122">
        <v>22405</v>
      </c>
      <c r="P2676" s="122">
        <v>3699</v>
      </c>
      <c r="Q2676" s="122">
        <v>1370</v>
      </c>
      <c r="R2676" s="122">
        <v>160698</v>
      </c>
      <c r="S2676" s="122">
        <v>59518</v>
      </c>
      <c r="T2676" s="122">
        <v>0</v>
      </c>
      <c r="U2676" s="122">
        <v>0</v>
      </c>
      <c r="V2676" s="122">
        <v>243059</v>
      </c>
      <c r="W2676" s="122">
        <f t="shared" si="86"/>
        <v>243060</v>
      </c>
      <c r="X2676" s="122">
        <f t="shared" si="87"/>
        <v>578540</v>
      </c>
    </row>
    <row r="2677" spans="2:24">
      <c r="B2677" t="s">
        <v>382</v>
      </c>
      <c r="C2677" t="s">
        <v>56</v>
      </c>
      <c r="D2677" t="s">
        <v>406</v>
      </c>
      <c r="E2677" t="s">
        <v>555</v>
      </c>
      <c r="F2677" s="122">
        <v>1</v>
      </c>
      <c r="G2677" s="122">
        <v>145</v>
      </c>
      <c r="H2677" s="122">
        <v>175</v>
      </c>
      <c r="I2677" s="122">
        <v>11000</v>
      </c>
      <c r="J2677" s="122">
        <v>10000</v>
      </c>
      <c r="K2677" s="122">
        <v>95</v>
      </c>
      <c r="L2677" s="122">
        <v>5512</v>
      </c>
      <c r="M2677" s="122">
        <v>5011</v>
      </c>
      <c r="N2677" s="122">
        <v>3146</v>
      </c>
      <c r="O2677" s="122">
        <v>1165</v>
      </c>
      <c r="P2677" s="122">
        <v>972</v>
      </c>
      <c r="Q2677" s="122">
        <v>360</v>
      </c>
      <c r="R2677" s="122">
        <v>4739</v>
      </c>
      <c r="S2677" s="122">
        <v>4308</v>
      </c>
      <c r="T2677" s="122">
        <v>0</v>
      </c>
      <c r="U2677" s="122">
        <v>0</v>
      </c>
      <c r="V2677" s="122">
        <v>20845</v>
      </c>
      <c r="W2677" s="122">
        <f t="shared" si="86"/>
        <v>20844</v>
      </c>
      <c r="X2677" s="122">
        <f t="shared" si="87"/>
        <v>25369</v>
      </c>
    </row>
    <row r="2678" spans="2:24">
      <c r="B2678" t="s">
        <v>382</v>
      </c>
      <c r="C2678" t="s">
        <v>56</v>
      </c>
      <c r="D2678" t="s">
        <v>406</v>
      </c>
      <c r="E2678" t="s">
        <v>425</v>
      </c>
      <c r="F2678" s="122">
        <v>1</v>
      </c>
      <c r="G2678" s="122">
        <v>123</v>
      </c>
      <c r="H2678" s="122">
        <v>218</v>
      </c>
      <c r="I2678" s="122">
        <v>15059</v>
      </c>
      <c r="J2678" s="122">
        <v>13690</v>
      </c>
      <c r="K2678" s="122">
        <v>79</v>
      </c>
      <c r="L2678" s="122">
        <v>2282</v>
      </c>
      <c r="M2678" s="122">
        <v>2074</v>
      </c>
      <c r="N2678" s="122">
        <v>2695</v>
      </c>
      <c r="O2678" s="122">
        <v>998</v>
      </c>
      <c r="P2678" s="122">
        <v>621</v>
      </c>
      <c r="Q2678" s="122">
        <v>230</v>
      </c>
      <c r="R2678" s="122">
        <v>6173</v>
      </c>
      <c r="S2678" s="122">
        <v>5611</v>
      </c>
      <c r="T2678" s="122">
        <v>0</v>
      </c>
      <c r="U2678" s="122">
        <v>0</v>
      </c>
      <c r="V2678" s="122">
        <v>22604</v>
      </c>
      <c r="W2678" s="122">
        <f t="shared" si="86"/>
        <v>22603</v>
      </c>
      <c r="X2678" s="122">
        <f t="shared" si="87"/>
        <v>26830</v>
      </c>
    </row>
    <row r="2679" spans="2:24">
      <c r="B2679" t="s">
        <v>382</v>
      </c>
      <c r="C2679" t="s">
        <v>56</v>
      </c>
      <c r="D2679" t="s">
        <v>406</v>
      </c>
      <c r="E2679" t="s">
        <v>137</v>
      </c>
      <c r="F2679" s="122">
        <v>5</v>
      </c>
      <c r="G2679" s="122">
        <v>824</v>
      </c>
      <c r="H2679" s="122">
        <v>916</v>
      </c>
      <c r="I2679" s="122">
        <v>73760</v>
      </c>
      <c r="J2679" s="122">
        <v>67055</v>
      </c>
      <c r="K2679" s="122">
        <v>85</v>
      </c>
      <c r="L2679" s="122">
        <v>17881</v>
      </c>
      <c r="M2679" s="122">
        <v>16256</v>
      </c>
      <c r="N2679" s="122">
        <v>15791</v>
      </c>
      <c r="O2679" s="122">
        <v>5849</v>
      </c>
      <c r="P2679" s="122">
        <v>3105</v>
      </c>
      <c r="Q2679" s="122">
        <v>1150</v>
      </c>
      <c r="R2679" s="122">
        <v>32075</v>
      </c>
      <c r="S2679" s="122">
        <v>11880</v>
      </c>
      <c r="T2679" s="122">
        <v>1963</v>
      </c>
      <c r="U2679" s="122">
        <v>727</v>
      </c>
      <c r="V2679" s="122">
        <v>102916</v>
      </c>
      <c r="W2679" s="122">
        <f t="shared" si="86"/>
        <v>102917</v>
      </c>
      <c r="X2679" s="122">
        <f t="shared" si="87"/>
        <v>144575</v>
      </c>
    </row>
    <row r="2680" spans="2:24">
      <c r="B2680" t="s">
        <v>382</v>
      </c>
      <c r="C2680" t="s">
        <v>56</v>
      </c>
      <c r="D2680" t="s">
        <v>406</v>
      </c>
      <c r="E2680" t="s">
        <v>406</v>
      </c>
      <c r="F2680" s="122">
        <v>1618</v>
      </c>
      <c r="G2680" s="122">
        <v>254270</v>
      </c>
      <c r="H2680" s="122">
        <v>308815</v>
      </c>
      <c r="I2680" s="122">
        <v>28021583</v>
      </c>
      <c r="J2680" s="122">
        <v>25474167</v>
      </c>
      <c r="K2680" s="122">
        <v>86</v>
      </c>
      <c r="L2680" s="122">
        <v>6110814</v>
      </c>
      <c r="M2680" s="122">
        <v>5441098</v>
      </c>
      <c r="N2680" s="122">
        <v>5441424</v>
      </c>
      <c r="O2680" s="122">
        <v>2015342</v>
      </c>
      <c r="P2680" s="122">
        <v>1087500</v>
      </c>
      <c r="Q2680" s="122">
        <v>402778</v>
      </c>
      <c r="R2680" s="122">
        <v>8457100</v>
      </c>
      <c r="S2680" s="122">
        <v>7688273</v>
      </c>
      <c r="T2680" s="122">
        <v>1933832</v>
      </c>
      <c r="U2680" s="122">
        <v>716234</v>
      </c>
      <c r="V2680" s="122">
        <v>41737891</v>
      </c>
      <c r="W2680" s="122">
        <f t="shared" si="86"/>
        <v>41737892</v>
      </c>
      <c r="X2680" s="122">
        <f t="shared" si="87"/>
        <v>51052253</v>
      </c>
    </row>
    <row r="2681" spans="2:24">
      <c r="B2681" t="s">
        <v>382</v>
      </c>
      <c r="C2681" t="s">
        <v>56</v>
      </c>
      <c r="D2681" t="s">
        <v>406</v>
      </c>
      <c r="E2681" t="s">
        <v>427</v>
      </c>
      <c r="F2681" s="122">
        <v>1</v>
      </c>
      <c r="G2681" s="122">
        <v>169</v>
      </c>
      <c r="H2681" s="122">
        <v>168</v>
      </c>
      <c r="I2681" s="122">
        <v>16200</v>
      </c>
      <c r="J2681" s="122">
        <v>14727</v>
      </c>
      <c r="K2681" s="122">
        <v>86</v>
      </c>
      <c r="L2681" s="122">
        <v>1928</v>
      </c>
      <c r="M2681" s="122">
        <v>1753</v>
      </c>
      <c r="N2681" s="122">
        <v>4084</v>
      </c>
      <c r="O2681" s="122">
        <v>1512</v>
      </c>
      <c r="P2681" s="122">
        <v>621</v>
      </c>
      <c r="Q2681" s="122">
        <v>230</v>
      </c>
      <c r="R2681" s="122">
        <v>5579</v>
      </c>
      <c r="S2681" s="122">
        <v>5071</v>
      </c>
      <c r="T2681" s="122">
        <v>0</v>
      </c>
      <c r="U2681" s="122">
        <v>0</v>
      </c>
      <c r="V2681" s="122">
        <v>23294</v>
      </c>
      <c r="W2681" s="122">
        <f t="shared" si="86"/>
        <v>23293</v>
      </c>
      <c r="X2681" s="122">
        <f t="shared" si="87"/>
        <v>28412</v>
      </c>
    </row>
    <row r="2682" spans="2:24">
      <c r="B2682" t="s">
        <v>382</v>
      </c>
      <c r="C2682" t="s">
        <v>56</v>
      </c>
      <c r="D2682" t="s">
        <v>427</v>
      </c>
      <c r="E2682" t="s">
        <v>406</v>
      </c>
      <c r="F2682" s="122">
        <v>1</v>
      </c>
      <c r="G2682" s="122">
        <v>136</v>
      </c>
      <c r="H2682" s="122">
        <v>193</v>
      </c>
      <c r="I2682" s="122">
        <v>24664</v>
      </c>
      <c r="J2682" s="122">
        <v>22422</v>
      </c>
      <c r="K2682" s="122">
        <v>95</v>
      </c>
      <c r="L2682" s="122">
        <v>4734</v>
      </c>
      <c r="M2682" s="122">
        <v>3945</v>
      </c>
      <c r="N2682" s="122">
        <v>2335</v>
      </c>
      <c r="O2682" s="122">
        <v>865</v>
      </c>
      <c r="P2682" s="122">
        <v>621</v>
      </c>
      <c r="Q2682" s="122">
        <v>230</v>
      </c>
      <c r="R2682" s="122">
        <v>3831</v>
      </c>
      <c r="S2682" s="122">
        <v>3483</v>
      </c>
      <c r="T2682" s="122">
        <v>0</v>
      </c>
      <c r="U2682" s="122">
        <v>0</v>
      </c>
      <c r="V2682" s="122">
        <v>30944</v>
      </c>
      <c r="W2682" s="122">
        <f t="shared" si="86"/>
        <v>30945</v>
      </c>
      <c r="X2682" s="122">
        <f t="shared" si="87"/>
        <v>36185</v>
      </c>
    </row>
    <row r="2683" spans="2:24">
      <c r="B2683" t="s">
        <v>382</v>
      </c>
      <c r="C2683" t="s">
        <v>56</v>
      </c>
      <c r="D2683" t="s">
        <v>427</v>
      </c>
      <c r="E2683" t="s">
        <v>427</v>
      </c>
      <c r="F2683" s="122">
        <v>3</v>
      </c>
      <c r="G2683" s="122">
        <v>656</v>
      </c>
      <c r="H2683" s="122">
        <v>556</v>
      </c>
      <c r="I2683" s="122">
        <v>74775</v>
      </c>
      <c r="J2683" s="122">
        <v>67978</v>
      </c>
      <c r="K2683" s="122">
        <v>66</v>
      </c>
      <c r="L2683" s="122">
        <v>12399</v>
      </c>
      <c r="M2683" s="122">
        <v>11272</v>
      </c>
      <c r="N2683" s="122">
        <v>11070</v>
      </c>
      <c r="O2683" s="122">
        <v>4100</v>
      </c>
      <c r="P2683" s="122">
        <v>1323</v>
      </c>
      <c r="Q2683" s="122">
        <v>490</v>
      </c>
      <c r="R2683" s="122">
        <v>19921</v>
      </c>
      <c r="S2683" s="122">
        <v>18110</v>
      </c>
      <c r="T2683" s="122">
        <v>2567</v>
      </c>
      <c r="U2683" s="122">
        <v>951</v>
      </c>
      <c r="V2683" s="122">
        <v>102900</v>
      </c>
      <c r="W2683" s="122">
        <f t="shared" si="86"/>
        <v>102901</v>
      </c>
      <c r="X2683" s="122">
        <f t="shared" si="87"/>
        <v>122055</v>
      </c>
    </row>
    <row r="2684" spans="2:24">
      <c r="B2684" t="s">
        <v>382</v>
      </c>
      <c r="C2684" t="s">
        <v>56</v>
      </c>
      <c r="D2684" t="s">
        <v>407</v>
      </c>
      <c r="E2684" t="s">
        <v>407</v>
      </c>
      <c r="F2684" s="122">
        <v>11</v>
      </c>
      <c r="G2684" s="122">
        <v>1600</v>
      </c>
      <c r="H2684" s="122">
        <v>2107</v>
      </c>
      <c r="I2684" s="122">
        <v>149470</v>
      </c>
      <c r="J2684" s="122">
        <v>135882</v>
      </c>
      <c r="K2684" s="122">
        <v>89</v>
      </c>
      <c r="L2684" s="122">
        <v>48096</v>
      </c>
      <c r="M2684" s="122">
        <v>38620</v>
      </c>
      <c r="N2684" s="122">
        <v>33810</v>
      </c>
      <c r="O2684" s="122">
        <v>12522</v>
      </c>
      <c r="P2684" s="122">
        <v>5198</v>
      </c>
      <c r="Q2684" s="122">
        <v>1925</v>
      </c>
      <c r="R2684" s="122">
        <v>54844</v>
      </c>
      <c r="S2684" s="122">
        <v>49858</v>
      </c>
      <c r="T2684" s="122">
        <v>12170</v>
      </c>
      <c r="U2684" s="122">
        <v>4507</v>
      </c>
      <c r="V2684" s="122">
        <v>243315</v>
      </c>
      <c r="W2684" s="122">
        <f t="shared" si="86"/>
        <v>243314</v>
      </c>
      <c r="X2684" s="122">
        <f t="shared" si="87"/>
        <v>303588</v>
      </c>
    </row>
    <row r="2685" spans="2:24">
      <c r="B2685" t="s">
        <v>382</v>
      </c>
      <c r="C2685" t="s">
        <v>56</v>
      </c>
      <c r="D2685" t="s">
        <v>426</v>
      </c>
      <c r="E2685" t="s">
        <v>426</v>
      </c>
      <c r="F2685" s="122">
        <v>10</v>
      </c>
      <c r="G2685" s="122">
        <v>1915</v>
      </c>
      <c r="H2685" s="122">
        <v>2076</v>
      </c>
      <c r="I2685" s="122">
        <v>297511</v>
      </c>
      <c r="J2685" s="122">
        <v>270464</v>
      </c>
      <c r="K2685" s="122">
        <v>65</v>
      </c>
      <c r="L2685" s="122">
        <v>25971</v>
      </c>
      <c r="M2685" s="122">
        <v>23610</v>
      </c>
      <c r="N2685" s="122">
        <v>40711</v>
      </c>
      <c r="O2685" s="122">
        <v>15078</v>
      </c>
      <c r="P2685" s="122">
        <v>8046</v>
      </c>
      <c r="Q2685" s="122">
        <v>2980</v>
      </c>
      <c r="R2685" s="122">
        <v>68701</v>
      </c>
      <c r="S2685" s="122">
        <v>62456</v>
      </c>
      <c r="T2685" s="122">
        <v>24508</v>
      </c>
      <c r="U2685" s="122">
        <v>9077</v>
      </c>
      <c r="V2685" s="122">
        <v>383664</v>
      </c>
      <c r="W2685" s="122">
        <f t="shared" si="86"/>
        <v>383665</v>
      </c>
      <c r="X2685" s="122">
        <f t="shared" si="87"/>
        <v>465448</v>
      </c>
    </row>
    <row r="2686" spans="2:24">
      <c r="B2686" t="s">
        <v>382</v>
      </c>
      <c r="C2686" t="s">
        <v>56</v>
      </c>
      <c r="D2686" t="s">
        <v>408</v>
      </c>
      <c r="E2686" t="s">
        <v>408</v>
      </c>
      <c r="F2686" s="122">
        <v>4</v>
      </c>
      <c r="G2686" s="122">
        <v>747</v>
      </c>
      <c r="H2686" s="122">
        <v>778</v>
      </c>
      <c r="I2686" s="122">
        <v>92535</v>
      </c>
      <c r="J2686" s="122">
        <v>84123</v>
      </c>
      <c r="K2686" s="122">
        <v>72</v>
      </c>
      <c r="L2686" s="122">
        <v>13759</v>
      </c>
      <c r="M2686" s="122">
        <v>12508</v>
      </c>
      <c r="N2686" s="122">
        <v>16609</v>
      </c>
      <c r="O2686" s="122">
        <v>6152</v>
      </c>
      <c r="P2686" s="122">
        <v>1944</v>
      </c>
      <c r="Q2686" s="122">
        <v>720</v>
      </c>
      <c r="R2686" s="122">
        <v>30297</v>
      </c>
      <c r="S2686" s="122">
        <v>27543</v>
      </c>
      <c r="T2686" s="122">
        <v>0</v>
      </c>
      <c r="U2686" s="122">
        <v>0</v>
      </c>
      <c r="V2686" s="122">
        <v>131045</v>
      </c>
      <c r="W2686" s="122">
        <f t="shared" si="86"/>
        <v>131046</v>
      </c>
      <c r="X2686" s="122">
        <f t="shared" si="87"/>
        <v>155144</v>
      </c>
    </row>
    <row r="2687" spans="2:24">
      <c r="B2687" t="s">
        <v>382</v>
      </c>
      <c r="C2687" t="s">
        <v>56</v>
      </c>
      <c r="D2687" t="s">
        <v>408</v>
      </c>
      <c r="E2687" t="s">
        <v>429</v>
      </c>
      <c r="F2687" s="122">
        <v>1</v>
      </c>
      <c r="G2687" s="122">
        <v>99</v>
      </c>
      <c r="H2687" s="122">
        <v>157</v>
      </c>
      <c r="I2687" s="122">
        <v>7757</v>
      </c>
      <c r="J2687" s="122">
        <v>7052</v>
      </c>
      <c r="K2687" s="122">
        <v>65</v>
      </c>
      <c r="L2687" s="122">
        <v>0</v>
      </c>
      <c r="M2687" s="122">
        <v>0</v>
      </c>
      <c r="N2687" s="122">
        <v>1565</v>
      </c>
      <c r="O2687" s="122">
        <v>580</v>
      </c>
      <c r="P2687" s="122">
        <v>702</v>
      </c>
      <c r="Q2687" s="122">
        <v>260</v>
      </c>
      <c r="R2687" s="122">
        <v>5446</v>
      </c>
      <c r="S2687" s="122">
        <v>4951</v>
      </c>
      <c r="T2687" s="122">
        <v>0</v>
      </c>
      <c r="U2687" s="122">
        <v>0</v>
      </c>
      <c r="V2687" s="122">
        <v>12842</v>
      </c>
      <c r="W2687" s="122">
        <f t="shared" si="86"/>
        <v>12843</v>
      </c>
      <c r="X2687" s="122">
        <f t="shared" si="87"/>
        <v>15470</v>
      </c>
    </row>
    <row r="2688" spans="2:24">
      <c r="B2688" t="s">
        <v>382</v>
      </c>
      <c r="C2688" t="s">
        <v>58</v>
      </c>
      <c r="F2688" s="122">
        <v>1</v>
      </c>
      <c r="G2688" s="122">
        <v>165</v>
      </c>
      <c r="H2688" s="122">
        <v>228</v>
      </c>
      <c r="I2688" s="122"/>
      <c r="J2688" s="122">
        <v>0</v>
      </c>
      <c r="K2688" s="122"/>
      <c r="L2688" s="122"/>
      <c r="M2688" s="122">
        <v>0</v>
      </c>
      <c r="N2688" s="122">
        <v>3913</v>
      </c>
      <c r="O2688" s="122">
        <v>1449</v>
      </c>
      <c r="P2688" s="122">
        <v>891</v>
      </c>
      <c r="Q2688" s="122">
        <v>330</v>
      </c>
      <c r="R2688" s="122"/>
      <c r="S2688" s="122">
        <v>0</v>
      </c>
      <c r="T2688" s="122">
        <v>3355</v>
      </c>
      <c r="U2688" s="122">
        <v>1243</v>
      </c>
      <c r="V2688" s="122">
        <v>3022</v>
      </c>
      <c r="W2688" s="122">
        <f t="shared" si="86"/>
        <v>3022</v>
      </c>
      <c r="X2688" s="122">
        <f t="shared" si="87"/>
        <v>8159</v>
      </c>
    </row>
    <row r="2689" spans="2:24">
      <c r="B2689" t="s">
        <v>382</v>
      </c>
      <c r="C2689" t="s">
        <v>58</v>
      </c>
      <c r="D2689" t="s">
        <v>425</v>
      </c>
      <c r="E2689" t="s">
        <v>425</v>
      </c>
      <c r="F2689" s="122">
        <v>1</v>
      </c>
      <c r="G2689" s="122">
        <v>148</v>
      </c>
      <c r="H2689" s="122">
        <v>291</v>
      </c>
      <c r="I2689" s="122">
        <v>27148</v>
      </c>
      <c r="J2689" s="122">
        <v>24680</v>
      </c>
      <c r="K2689" s="122">
        <v>81</v>
      </c>
      <c r="L2689" s="122">
        <v>8104</v>
      </c>
      <c r="M2689" s="122">
        <v>7368</v>
      </c>
      <c r="N2689" s="122">
        <v>3487</v>
      </c>
      <c r="O2689" s="122">
        <v>1291</v>
      </c>
      <c r="P2689" s="122">
        <v>473</v>
      </c>
      <c r="Q2689" s="122">
        <v>175</v>
      </c>
      <c r="R2689" s="122">
        <v>3914</v>
      </c>
      <c r="S2689" s="122">
        <v>3558</v>
      </c>
      <c r="T2689" s="122">
        <v>0</v>
      </c>
      <c r="U2689" s="122">
        <v>0</v>
      </c>
      <c r="V2689" s="122">
        <v>37073</v>
      </c>
      <c r="W2689" s="122">
        <f t="shared" si="86"/>
        <v>37072</v>
      </c>
      <c r="X2689" s="122">
        <f t="shared" si="87"/>
        <v>43126</v>
      </c>
    </row>
    <row r="2690" spans="2:24">
      <c r="B2690" t="s">
        <v>382</v>
      </c>
      <c r="C2690" t="s">
        <v>58</v>
      </c>
      <c r="D2690" t="s">
        <v>425</v>
      </c>
      <c r="E2690" t="s">
        <v>406</v>
      </c>
      <c r="F2690" s="122">
        <v>1</v>
      </c>
      <c r="G2690" s="122">
        <v>103</v>
      </c>
      <c r="H2690" s="122">
        <v>277</v>
      </c>
      <c r="I2690" s="122">
        <v>14438</v>
      </c>
      <c r="J2690" s="122">
        <v>13125</v>
      </c>
      <c r="K2690" s="122">
        <v>92</v>
      </c>
      <c r="L2690" s="122">
        <v>5379</v>
      </c>
      <c r="M2690" s="122">
        <v>4482</v>
      </c>
      <c r="N2690" s="122">
        <v>1594</v>
      </c>
      <c r="O2690" s="122">
        <v>590</v>
      </c>
      <c r="P2690" s="122">
        <v>621</v>
      </c>
      <c r="Q2690" s="122">
        <v>230</v>
      </c>
      <c r="R2690" s="122">
        <v>3587</v>
      </c>
      <c r="S2690" s="122">
        <v>3261</v>
      </c>
      <c r="T2690" s="122">
        <v>2911</v>
      </c>
      <c r="U2690" s="122">
        <v>1078</v>
      </c>
      <c r="V2690" s="122">
        <v>22767</v>
      </c>
      <c r="W2690" s="122">
        <f t="shared" si="86"/>
        <v>22766</v>
      </c>
      <c r="X2690" s="122">
        <f t="shared" si="87"/>
        <v>28530</v>
      </c>
    </row>
    <row r="2691" spans="2:24">
      <c r="B2691" t="s">
        <v>382</v>
      </c>
      <c r="C2691" t="s">
        <v>58</v>
      </c>
      <c r="D2691" t="s">
        <v>405</v>
      </c>
      <c r="E2691" t="s">
        <v>405</v>
      </c>
      <c r="F2691" s="122">
        <v>23</v>
      </c>
      <c r="G2691" s="122">
        <v>3075</v>
      </c>
      <c r="H2691" s="122">
        <v>5929</v>
      </c>
      <c r="I2691" s="122">
        <v>454656</v>
      </c>
      <c r="J2691" s="122">
        <v>413324</v>
      </c>
      <c r="K2691" s="122">
        <v>81</v>
      </c>
      <c r="L2691" s="122">
        <v>123860</v>
      </c>
      <c r="M2691" s="122">
        <v>102270</v>
      </c>
      <c r="N2691" s="122">
        <v>64375</v>
      </c>
      <c r="O2691" s="122">
        <v>23842</v>
      </c>
      <c r="P2691" s="122">
        <v>10611</v>
      </c>
      <c r="Q2691" s="122">
        <v>3930</v>
      </c>
      <c r="R2691" s="122">
        <v>107895</v>
      </c>
      <c r="S2691" s="122">
        <v>98087</v>
      </c>
      <c r="T2691" s="122">
        <v>25349</v>
      </c>
      <c r="U2691" s="122">
        <v>9388</v>
      </c>
      <c r="V2691" s="122">
        <v>650841</v>
      </c>
      <c r="W2691" s="122">
        <f t="shared" si="86"/>
        <v>650841</v>
      </c>
      <c r="X2691" s="122">
        <f t="shared" si="87"/>
        <v>786746</v>
      </c>
    </row>
    <row r="2692" spans="2:24">
      <c r="B2692" t="s">
        <v>382</v>
      </c>
      <c r="C2692" t="s">
        <v>58</v>
      </c>
      <c r="D2692" t="s">
        <v>405</v>
      </c>
      <c r="E2692" t="s">
        <v>406</v>
      </c>
      <c r="F2692" s="122">
        <v>2</v>
      </c>
      <c r="G2692" s="122">
        <v>396</v>
      </c>
      <c r="H2692" s="122">
        <v>535</v>
      </c>
      <c r="I2692" s="122">
        <v>65924</v>
      </c>
      <c r="J2692" s="122">
        <v>59931</v>
      </c>
      <c r="K2692" s="122">
        <v>89</v>
      </c>
      <c r="L2692" s="122">
        <v>13999</v>
      </c>
      <c r="M2692" s="122">
        <v>12726</v>
      </c>
      <c r="N2692" s="122">
        <v>8890</v>
      </c>
      <c r="O2692" s="122">
        <v>3293</v>
      </c>
      <c r="P2692" s="122">
        <v>1094</v>
      </c>
      <c r="Q2692" s="122">
        <v>405</v>
      </c>
      <c r="R2692" s="122">
        <v>9116</v>
      </c>
      <c r="S2692" s="122">
        <v>8288</v>
      </c>
      <c r="T2692" s="122">
        <v>7113</v>
      </c>
      <c r="U2692" s="122">
        <v>2634</v>
      </c>
      <c r="V2692" s="122">
        <v>87276</v>
      </c>
      <c r="W2692" s="122">
        <f t="shared" si="86"/>
        <v>87277</v>
      </c>
      <c r="X2692" s="122">
        <f t="shared" si="87"/>
        <v>106136</v>
      </c>
    </row>
    <row r="2693" spans="2:24">
      <c r="B2693" t="s">
        <v>382</v>
      </c>
      <c r="C2693" t="s">
        <v>58</v>
      </c>
      <c r="D2693" t="s">
        <v>137</v>
      </c>
      <c r="E2693" t="s">
        <v>137</v>
      </c>
      <c r="F2693" s="122">
        <v>37</v>
      </c>
      <c r="G2693" s="122">
        <v>4671</v>
      </c>
      <c r="H2693" s="122">
        <v>9793</v>
      </c>
      <c r="I2693" s="122">
        <v>789605</v>
      </c>
      <c r="J2693" s="122">
        <v>292446</v>
      </c>
      <c r="K2693" s="122">
        <v>100</v>
      </c>
      <c r="L2693" s="122">
        <v>123537</v>
      </c>
      <c r="M2693" s="122">
        <v>87843</v>
      </c>
      <c r="N2693" s="122">
        <v>112210</v>
      </c>
      <c r="O2693" s="122">
        <v>41559</v>
      </c>
      <c r="P2693" s="122">
        <v>1323</v>
      </c>
      <c r="Q2693" s="122">
        <v>490</v>
      </c>
      <c r="R2693" s="122">
        <v>310337</v>
      </c>
      <c r="S2693" s="122">
        <v>114940</v>
      </c>
      <c r="T2693" s="122">
        <v>2172</v>
      </c>
      <c r="U2693" s="122">
        <v>804</v>
      </c>
      <c r="V2693" s="122">
        <v>538082</v>
      </c>
      <c r="W2693" s="122">
        <f t="shared" si="86"/>
        <v>538082</v>
      </c>
      <c r="X2693" s="122">
        <f t="shared" si="87"/>
        <v>1339184</v>
      </c>
    </row>
    <row r="2694" spans="2:24">
      <c r="B2694" t="s">
        <v>382</v>
      </c>
      <c r="C2694" t="s">
        <v>58</v>
      </c>
      <c r="D2694" t="s">
        <v>406</v>
      </c>
      <c r="E2694" t="s">
        <v>555</v>
      </c>
      <c r="F2694" s="122">
        <v>1</v>
      </c>
      <c r="G2694" s="122">
        <v>128</v>
      </c>
      <c r="H2694" s="122">
        <v>254</v>
      </c>
      <c r="I2694" s="122">
        <v>19737</v>
      </c>
      <c r="J2694" s="122">
        <v>17943</v>
      </c>
      <c r="K2694" s="122">
        <v>65</v>
      </c>
      <c r="L2694" s="122">
        <v>2085</v>
      </c>
      <c r="M2694" s="122">
        <v>1895</v>
      </c>
      <c r="N2694" s="122">
        <v>2612</v>
      </c>
      <c r="O2694" s="122">
        <v>968</v>
      </c>
      <c r="P2694" s="122">
        <v>621</v>
      </c>
      <c r="Q2694" s="122">
        <v>230</v>
      </c>
      <c r="R2694" s="122">
        <v>7524</v>
      </c>
      <c r="S2694" s="122">
        <v>6840</v>
      </c>
      <c r="T2694" s="122">
        <v>0</v>
      </c>
      <c r="U2694" s="122">
        <v>0</v>
      </c>
      <c r="V2694" s="122">
        <v>27876</v>
      </c>
      <c r="W2694" s="122">
        <f t="shared" si="86"/>
        <v>27876</v>
      </c>
      <c r="X2694" s="122">
        <f t="shared" si="87"/>
        <v>32579</v>
      </c>
    </row>
    <row r="2695" spans="2:24">
      <c r="B2695" t="s">
        <v>382</v>
      </c>
      <c r="C2695" t="s">
        <v>58</v>
      </c>
      <c r="D2695" t="s">
        <v>406</v>
      </c>
      <c r="E2695" t="s">
        <v>137</v>
      </c>
      <c r="F2695" s="122">
        <v>4</v>
      </c>
      <c r="G2695" s="122">
        <v>518</v>
      </c>
      <c r="H2695" s="122">
        <v>1054</v>
      </c>
      <c r="I2695" s="122">
        <v>95980</v>
      </c>
      <c r="J2695" s="122">
        <v>87255</v>
      </c>
      <c r="K2695" s="122">
        <v>80</v>
      </c>
      <c r="L2695" s="122">
        <v>14105</v>
      </c>
      <c r="M2695" s="122">
        <v>12823</v>
      </c>
      <c r="N2695" s="122">
        <v>11663</v>
      </c>
      <c r="O2695" s="122">
        <v>4320</v>
      </c>
      <c r="P2695" s="122">
        <v>2484</v>
      </c>
      <c r="Q2695" s="122">
        <v>920</v>
      </c>
      <c r="R2695" s="122">
        <v>30077</v>
      </c>
      <c r="S2695" s="122">
        <v>11140</v>
      </c>
      <c r="T2695" s="122">
        <v>0</v>
      </c>
      <c r="U2695" s="122">
        <v>0</v>
      </c>
      <c r="V2695" s="122">
        <v>116457</v>
      </c>
      <c r="W2695" s="122">
        <f t="shared" si="86"/>
        <v>116458</v>
      </c>
      <c r="X2695" s="122">
        <f t="shared" si="87"/>
        <v>154309</v>
      </c>
    </row>
    <row r="2696" spans="2:24">
      <c r="B2696" t="s">
        <v>382</v>
      </c>
      <c r="C2696" t="s">
        <v>58</v>
      </c>
      <c r="D2696" t="s">
        <v>406</v>
      </c>
      <c r="E2696" t="s">
        <v>406</v>
      </c>
      <c r="F2696" s="122">
        <v>1123</v>
      </c>
      <c r="G2696" s="122">
        <v>142302</v>
      </c>
      <c r="H2696" s="122">
        <v>293022</v>
      </c>
      <c r="I2696" s="122">
        <v>21982724</v>
      </c>
      <c r="J2696" s="122">
        <v>19984294</v>
      </c>
      <c r="K2696" s="122">
        <v>80</v>
      </c>
      <c r="L2696" s="122">
        <v>4649003</v>
      </c>
      <c r="M2696" s="122">
        <v>4108826</v>
      </c>
      <c r="N2696" s="122">
        <v>3020080</v>
      </c>
      <c r="O2696" s="122">
        <v>1118548</v>
      </c>
      <c r="P2696" s="122">
        <v>736519</v>
      </c>
      <c r="Q2696" s="122">
        <v>272785</v>
      </c>
      <c r="R2696" s="122">
        <v>5655727</v>
      </c>
      <c r="S2696" s="122">
        <v>5141570</v>
      </c>
      <c r="T2696" s="122">
        <v>2021749</v>
      </c>
      <c r="U2696" s="122">
        <v>748796</v>
      </c>
      <c r="V2696" s="122">
        <v>31374819</v>
      </c>
      <c r="W2696" s="122">
        <f t="shared" si="86"/>
        <v>31374819</v>
      </c>
      <c r="X2696" s="122">
        <f t="shared" si="87"/>
        <v>38065802</v>
      </c>
    </row>
    <row r="2697" spans="2:24">
      <c r="B2697" t="s">
        <v>382</v>
      </c>
      <c r="C2697" t="s">
        <v>58</v>
      </c>
      <c r="D2697" t="s">
        <v>406</v>
      </c>
      <c r="E2697" t="s">
        <v>426</v>
      </c>
      <c r="F2697" s="122">
        <v>2</v>
      </c>
      <c r="G2697" s="122">
        <v>329</v>
      </c>
      <c r="H2697" s="122">
        <v>541</v>
      </c>
      <c r="I2697" s="122">
        <v>46313</v>
      </c>
      <c r="J2697" s="122">
        <v>42103</v>
      </c>
      <c r="K2697" s="122">
        <v>78</v>
      </c>
      <c r="L2697" s="122">
        <v>23610</v>
      </c>
      <c r="M2697" s="122">
        <v>11567</v>
      </c>
      <c r="N2697" s="122">
        <v>6790</v>
      </c>
      <c r="O2697" s="122">
        <v>2515</v>
      </c>
      <c r="P2697" s="122">
        <v>1242</v>
      </c>
      <c r="Q2697" s="122">
        <v>460</v>
      </c>
      <c r="R2697" s="122">
        <v>8079</v>
      </c>
      <c r="S2697" s="122">
        <v>7344</v>
      </c>
      <c r="T2697" s="122">
        <v>2871</v>
      </c>
      <c r="U2697" s="122">
        <v>1063</v>
      </c>
      <c r="V2697" s="122">
        <v>65052</v>
      </c>
      <c r="W2697" s="122">
        <f t="shared" si="86"/>
        <v>65052</v>
      </c>
      <c r="X2697" s="122">
        <f t="shared" si="87"/>
        <v>88905</v>
      </c>
    </row>
    <row r="2698" spans="2:24">
      <c r="B2698" t="s">
        <v>382</v>
      </c>
      <c r="C2698" t="s">
        <v>58</v>
      </c>
      <c r="D2698" t="s">
        <v>406</v>
      </c>
      <c r="E2698" t="s">
        <v>481</v>
      </c>
      <c r="F2698" s="122">
        <v>1</v>
      </c>
      <c r="G2698" s="122">
        <v>129</v>
      </c>
      <c r="H2698" s="122">
        <v>292</v>
      </c>
      <c r="I2698" s="122">
        <v>21909</v>
      </c>
      <c r="J2698" s="122">
        <v>19917</v>
      </c>
      <c r="K2698" s="122">
        <v>83</v>
      </c>
      <c r="L2698" s="122">
        <v>6394</v>
      </c>
      <c r="M2698" s="122">
        <v>5813</v>
      </c>
      <c r="N2698" s="122">
        <v>2714</v>
      </c>
      <c r="O2698" s="122">
        <v>1005</v>
      </c>
      <c r="P2698" s="122">
        <v>621</v>
      </c>
      <c r="Q2698" s="122">
        <v>230</v>
      </c>
      <c r="R2698" s="122">
        <v>3588</v>
      </c>
      <c r="S2698" s="122">
        <v>3262</v>
      </c>
      <c r="T2698" s="122">
        <v>2333</v>
      </c>
      <c r="U2698" s="122">
        <v>864</v>
      </c>
      <c r="V2698" s="122">
        <v>31091</v>
      </c>
      <c r="W2698" s="122">
        <f t="shared" si="86"/>
        <v>31091</v>
      </c>
      <c r="X2698" s="122">
        <f t="shared" si="87"/>
        <v>37559</v>
      </c>
    </row>
    <row r="2699" spans="2:24">
      <c r="B2699" t="s">
        <v>382</v>
      </c>
      <c r="C2699" t="s">
        <v>58</v>
      </c>
      <c r="D2699" t="s">
        <v>427</v>
      </c>
      <c r="E2699" t="s">
        <v>427</v>
      </c>
      <c r="F2699" s="122">
        <v>1</v>
      </c>
      <c r="G2699" s="122">
        <v>183</v>
      </c>
      <c r="H2699" s="122">
        <v>291</v>
      </c>
      <c r="I2699" s="122">
        <v>37599</v>
      </c>
      <c r="J2699" s="122">
        <v>34181</v>
      </c>
      <c r="K2699" s="122">
        <v>55</v>
      </c>
      <c r="L2699" s="122">
        <v>5640</v>
      </c>
      <c r="M2699" s="122">
        <v>2089</v>
      </c>
      <c r="N2699" s="122">
        <v>3493</v>
      </c>
      <c r="O2699" s="122">
        <v>1294</v>
      </c>
      <c r="P2699" s="122">
        <v>351</v>
      </c>
      <c r="Q2699" s="122">
        <v>130</v>
      </c>
      <c r="R2699" s="122">
        <v>4646</v>
      </c>
      <c r="S2699" s="122">
        <v>4224</v>
      </c>
      <c r="T2699" s="122">
        <v>1455</v>
      </c>
      <c r="U2699" s="122">
        <v>539</v>
      </c>
      <c r="V2699" s="122">
        <v>42456</v>
      </c>
      <c r="W2699" s="122">
        <f t="shared" si="86"/>
        <v>42457</v>
      </c>
      <c r="X2699" s="122">
        <f t="shared" si="87"/>
        <v>53184</v>
      </c>
    </row>
    <row r="2700" spans="2:24">
      <c r="B2700" t="s">
        <v>382</v>
      </c>
      <c r="C2700" t="s">
        <v>58</v>
      </c>
      <c r="D2700" t="s">
        <v>407</v>
      </c>
      <c r="E2700" t="s">
        <v>407</v>
      </c>
      <c r="F2700" s="122">
        <v>3</v>
      </c>
      <c r="G2700" s="122">
        <v>326</v>
      </c>
      <c r="H2700" s="122">
        <v>814</v>
      </c>
      <c r="I2700" s="122">
        <v>50118</v>
      </c>
      <c r="J2700" s="122">
        <v>45561</v>
      </c>
      <c r="K2700" s="122">
        <v>74</v>
      </c>
      <c r="L2700" s="122">
        <v>9939</v>
      </c>
      <c r="M2700" s="122">
        <v>9348</v>
      </c>
      <c r="N2700" s="122">
        <v>7164</v>
      </c>
      <c r="O2700" s="122">
        <v>2653</v>
      </c>
      <c r="P2700" s="122">
        <v>1418</v>
      </c>
      <c r="Q2700" s="122">
        <v>525</v>
      </c>
      <c r="R2700" s="122">
        <v>11469</v>
      </c>
      <c r="S2700" s="122">
        <v>10426</v>
      </c>
      <c r="T2700" s="122">
        <v>7953</v>
      </c>
      <c r="U2700" s="122">
        <v>2946</v>
      </c>
      <c r="V2700" s="122">
        <v>71460</v>
      </c>
      <c r="W2700" s="122">
        <f t="shared" si="86"/>
        <v>71459</v>
      </c>
      <c r="X2700" s="122">
        <f t="shared" si="87"/>
        <v>88061</v>
      </c>
    </row>
    <row r="2701" spans="2:24">
      <c r="B2701" t="s">
        <v>382</v>
      </c>
      <c r="C2701" t="s">
        <v>58</v>
      </c>
      <c r="D2701" t="s">
        <v>556</v>
      </c>
      <c r="E2701" t="s">
        <v>556</v>
      </c>
      <c r="F2701" s="122">
        <v>1</v>
      </c>
      <c r="G2701" s="122">
        <v>83</v>
      </c>
      <c r="H2701" s="122">
        <v>297</v>
      </c>
      <c r="I2701" s="122">
        <v>13013</v>
      </c>
      <c r="J2701" s="122">
        <v>10844</v>
      </c>
      <c r="K2701" s="122">
        <v>55</v>
      </c>
      <c r="L2701" s="122">
        <v>814</v>
      </c>
      <c r="M2701" s="122">
        <v>740</v>
      </c>
      <c r="N2701" s="122">
        <v>1779</v>
      </c>
      <c r="O2701" s="122">
        <v>659</v>
      </c>
      <c r="P2701" s="122">
        <v>621</v>
      </c>
      <c r="Q2701" s="122">
        <v>230</v>
      </c>
      <c r="R2701" s="122">
        <v>5906</v>
      </c>
      <c r="S2701" s="122">
        <v>4922</v>
      </c>
      <c r="T2701" s="122">
        <v>2333</v>
      </c>
      <c r="U2701" s="122">
        <v>864</v>
      </c>
      <c r="V2701" s="122">
        <v>18259</v>
      </c>
      <c r="W2701" s="122">
        <f t="shared" si="86"/>
        <v>18259</v>
      </c>
      <c r="X2701" s="122">
        <f t="shared" si="87"/>
        <v>24466</v>
      </c>
    </row>
    <row r="2702" spans="2:24">
      <c r="B2702" t="s">
        <v>382</v>
      </c>
      <c r="C2702" t="s">
        <v>58</v>
      </c>
      <c r="D2702" t="s">
        <v>431</v>
      </c>
      <c r="E2702" t="s">
        <v>431</v>
      </c>
      <c r="F2702" s="122">
        <v>2</v>
      </c>
      <c r="G2702" s="122">
        <v>295</v>
      </c>
      <c r="H2702" s="122">
        <v>580</v>
      </c>
      <c r="I2702" s="122">
        <v>67802</v>
      </c>
      <c r="J2702" s="122">
        <v>61638</v>
      </c>
      <c r="K2702" s="122">
        <v>58</v>
      </c>
      <c r="L2702" s="122">
        <v>5825</v>
      </c>
      <c r="M2702" s="122">
        <v>5296</v>
      </c>
      <c r="N2702" s="122">
        <v>8844</v>
      </c>
      <c r="O2702" s="122">
        <v>3276</v>
      </c>
      <c r="P2702" s="122">
        <v>1242</v>
      </c>
      <c r="Q2702" s="122">
        <v>460</v>
      </c>
      <c r="R2702" s="122">
        <v>20404</v>
      </c>
      <c r="S2702" s="122">
        <v>18549</v>
      </c>
      <c r="T2702" s="122">
        <v>4175</v>
      </c>
      <c r="U2702" s="122">
        <v>1546</v>
      </c>
      <c r="V2702" s="122">
        <v>90765</v>
      </c>
      <c r="W2702" s="122">
        <f t="shared" si="86"/>
        <v>90765</v>
      </c>
      <c r="X2702" s="122">
        <f t="shared" si="87"/>
        <v>108292</v>
      </c>
    </row>
    <row r="2703" spans="2:24">
      <c r="B2703" t="s">
        <v>382</v>
      </c>
      <c r="C2703" t="s">
        <v>58</v>
      </c>
      <c r="D2703" t="s">
        <v>426</v>
      </c>
      <c r="E2703" t="s">
        <v>137</v>
      </c>
      <c r="F2703" s="122">
        <v>1</v>
      </c>
      <c r="G2703" s="122">
        <v>149</v>
      </c>
      <c r="H2703" s="122">
        <v>273</v>
      </c>
      <c r="I2703" s="122">
        <v>46084</v>
      </c>
      <c r="J2703" s="122">
        <v>41895</v>
      </c>
      <c r="K2703" s="122">
        <v>45</v>
      </c>
      <c r="L2703" s="122">
        <v>3657</v>
      </c>
      <c r="M2703" s="122">
        <v>3325</v>
      </c>
      <c r="N2703" s="122">
        <v>3849</v>
      </c>
      <c r="O2703" s="122">
        <v>1426</v>
      </c>
      <c r="P2703" s="122">
        <v>351</v>
      </c>
      <c r="Q2703" s="122">
        <v>130</v>
      </c>
      <c r="R2703" s="122">
        <v>2720</v>
      </c>
      <c r="S2703" s="122">
        <v>1007</v>
      </c>
      <c r="T2703" s="122">
        <v>0</v>
      </c>
      <c r="U2703" s="122">
        <v>0</v>
      </c>
      <c r="V2703" s="122">
        <v>47783</v>
      </c>
      <c r="W2703" s="122">
        <f t="shared" si="86"/>
        <v>47783</v>
      </c>
      <c r="X2703" s="122">
        <f t="shared" si="87"/>
        <v>56661</v>
      </c>
    </row>
    <row r="2704" spans="2:24">
      <c r="B2704" t="s">
        <v>382</v>
      </c>
      <c r="C2704" t="s">
        <v>58</v>
      </c>
      <c r="D2704" t="s">
        <v>426</v>
      </c>
      <c r="E2704" t="s">
        <v>426</v>
      </c>
      <c r="F2704" s="122">
        <v>49</v>
      </c>
      <c r="G2704" s="122">
        <v>6687</v>
      </c>
      <c r="H2704" s="122">
        <v>13242</v>
      </c>
      <c r="I2704" s="122">
        <v>1229850</v>
      </c>
      <c r="J2704" s="122">
        <v>1118045</v>
      </c>
      <c r="K2704" s="122">
        <v>64</v>
      </c>
      <c r="L2704" s="122">
        <v>151645</v>
      </c>
      <c r="M2704" s="122">
        <v>133576</v>
      </c>
      <c r="N2704" s="122">
        <v>151646</v>
      </c>
      <c r="O2704" s="122">
        <v>56165</v>
      </c>
      <c r="P2704" s="122">
        <v>34668</v>
      </c>
      <c r="Q2704" s="122">
        <v>12840</v>
      </c>
      <c r="R2704" s="122">
        <v>281735</v>
      </c>
      <c r="S2704" s="122">
        <v>256123</v>
      </c>
      <c r="T2704" s="122">
        <v>133474</v>
      </c>
      <c r="U2704" s="122">
        <v>49435</v>
      </c>
      <c r="V2704" s="122">
        <v>1626184</v>
      </c>
      <c r="W2704" s="122">
        <f t="shared" si="86"/>
        <v>1626184</v>
      </c>
      <c r="X2704" s="122">
        <f t="shared" si="87"/>
        <v>1983018</v>
      </c>
    </row>
    <row r="2705" spans="2:24">
      <c r="B2705" t="s">
        <v>382</v>
      </c>
      <c r="C2705" t="s">
        <v>58</v>
      </c>
      <c r="D2705" t="s">
        <v>433</v>
      </c>
      <c r="E2705" t="s">
        <v>433</v>
      </c>
      <c r="F2705" s="122">
        <v>2</v>
      </c>
      <c r="G2705" s="122">
        <v>262</v>
      </c>
      <c r="H2705" s="122">
        <v>510</v>
      </c>
      <c r="I2705" s="122">
        <v>40721</v>
      </c>
      <c r="J2705" s="122">
        <v>37019</v>
      </c>
      <c r="K2705" s="122">
        <v>70</v>
      </c>
      <c r="L2705" s="122">
        <v>8508</v>
      </c>
      <c r="M2705" s="122">
        <v>5053</v>
      </c>
      <c r="N2705" s="122">
        <v>5585</v>
      </c>
      <c r="O2705" s="122">
        <v>2068</v>
      </c>
      <c r="P2705" s="122">
        <v>702</v>
      </c>
      <c r="Q2705" s="122">
        <v>260</v>
      </c>
      <c r="R2705" s="122">
        <v>7508</v>
      </c>
      <c r="S2705" s="122">
        <v>6825</v>
      </c>
      <c r="T2705" s="122">
        <v>5411</v>
      </c>
      <c r="U2705" s="122">
        <v>2004</v>
      </c>
      <c r="V2705" s="122">
        <v>53230</v>
      </c>
      <c r="W2705" s="122">
        <f t="shared" si="86"/>
        <v>53229</v>
      </c>
      <c r="X2705" s="122">
        <f t="shared" si="87"/>
        <v>68435</v>
      </c>
    </row>
    <row r="2706" spans="2:24">
      <c r="B2706" t="s">
        <v>382</v>
      </c>
      <c r="C2706" t="s">
        <v>58</v>
      </c>
      <c r="D2706" t="s">
        <v>408</v>
      </c>
      <c r="E2706" t="s">
        <v>408</v>
      </c>
      <c r="F2706" s="122">
        <v>1</v>
      </c>
      <c r="G2706" s="122">
        <v>122</v>
      </c>
      <c r="H2706" s="122">
        <v>271</v>
      </c>
      <c r="I2706" s="122">
        <v>19763</v>
      </c>
      <c r="J2706" s="122">
        <v>17967</v>
      </c>
      <c r="K2706" s="122">
        <v>65</v>
      </c>
      <c r="L2706" s="122">
        <v>2595</v>
      </c>
      <c r="M2706" s="122">
        <v>2359</v>
      </c>
      <c r="N2706" s="122">
        <v>2596</v>
      </c>
      <c r="O2706" s="122">
        <v>962</v>
      </c>
      <c r="P2706" s="122">
        <v>621</v>
      </c>
      <c r="Q2706" s="122">
        <v>230</v>
      </c>
      <c r="R2706" s="122">
        <v>4758</v>
      </c>
      <c r="S2706" s="122">
        <v>4326</v>
      </c>
      <c r="T2706" s="122">
        <v>2652</v>
      </c>
      <c r="U2706" s="122">
        <v>982</v>
      </c>
      <c r="V2706" s="122">
        <v>26825</v>
      </c>
      <c r="W2706" s="122">
        <f t="shared" si="86"/>
        <v>26826</v>
      </c>
      <c r="X2706" s="122">
        <f t="shared" si="87"/>
        <v>32985</v>
      </c>
    </row>
    <row r="2707" spans="2:24">
      <c r="B2707" t="s">
        <v>382</v>
      </c>
      <c r="C2707" t="s">
        <v>60</v>
      </c>
      <c r="F2707" s="122">
        <v>2</v>
      </c>
      <c r="G2707" s="122">
        <v>85</v>
      </c>
      <c r="H2707" s="122">
        <v>704</v>
      </c>
      <c r="I2707" s="122"/>
      <c r="J2707" s="122">
        <v>0</v>
      </c>
      <c r="K2707" s="122"/>
      <c r="L2707" s="122"/>
      <c r="M2707" s="122">
        <v>0</v>
      </c>
      <c r="N2707" s="122">
        <v>1583</v>
      </c>
      <c r="O2707" s="122">
        <v>586</v>
      </c>
      <c r="P2707" s="122">
        <v>0</v>
      </c>
      <c r="Q2707" s="122">
        <v>0</v>
      </c>
      <c r="R2707" s="122"/>
      <c r="S2707" s="122">
        <v>0</v>
      </c>
      <c r="T2707" s="122">
        <v>5406</v>
      </c>
      <c r="U2707" s="122">
        <v>2002</v>
      </c>
      <c r="V2707" s="122">
        <v>2589</v>
      </c>
      <c r="W2707" s="122">
        <f t="shared" si="86"/>
        <v>2588</v>
      </c>
      <c r="X2707" s="122">
        <f t="shared" si="87"/>
        <v>6989</v>
      </c>
    </row>
    <row r="2708" spans="2:24">
      <c r="B2708" t="s">
        <v>382</v>
      </c>
      <c r="C2708" t="s">
        <v>60</v>
      </c>
      <c r="D2708" t="s">
        <v>425</v>
      </c>
      <c r="E2708" t="s">
        <v>425</v>
      </c>
      <c r="F2708" s="122">
        <v>1</v>
      </c>
      <c r="G2708" s="122">
        <v>63</v>
      </c>
      <c r="H2708" s="122">
        <v>355</v>
      </c>
      <c r="I2708" s="122">
        <v>13704</v>
      </c>
      <c r="J2708" s="122">
        <v>12458</v>
      </c>
      <c r="K2708" s="122">
        <v>74</v>
      </c>
      <c r="L2708" s="122">
        <v>1743</v>
      </c>
      <c r="M2708" s="122">
        <v>1584</v>
      </c>
      <c r="N2708" s="122">
        <v>1329</v>
      </c>
      <c r="O2708" s="122">
        <v>492</v>
      </c>
      <c r="P2708" s="122">
        <v>351</v>
      </c>
      <c r="Q2708" s="122">
        <v>130</v>
      </c>
      <c r="R2708" s="122">
        <v>5233</v>
      </c>
      <c r="S2708" s="122">
        <v>4757</v>
      </c>
      <c r="T2708" s="122">
        <v>0</v>
      </c>
      <c r="U2708" s="122">
        <v>0</v>
      </c>
      <c r="V2708" s="122">
        <v>19421</v>
      </c>
      <c r="W2708" s="122">
        <f t="shared" si="86"/>
        <v>19421</v>
      </c>
      <c r="X2708" s="122">
        <f t="shared" si="87"/>
        <v>22360</v>
      </c>
    </row>
    <row r="2709" spans="2:24">
      <c r="B2709" t="s">
        <v>382</v>
      </c>
      <c r="C2709" t="s">
        <v>60</v>
      </c>
      <c r="D2709" t="s">
        <v>405</v>
      </c>
      <c r="E2709" t="s">
        <v>405</v>
      </c>
      <c r="F2709" s="122">
        <v>9</v>
      </c>
      <c r="G2709" s="122">
        <v>1157</v>
      </c>
      <c r="H2709" s="122">
        <v>3125</v>
      </c>
      <c r="I2709" s="122">
        <v>258537</v>
      </c>
      <c r="J2709" s="122">
        <v>235033</v>
      </c>
      <c r="K2709" s="122">
        <v>82</v>
      </c>
      <c r="L2709" s="122">
        <v>61387</v>
      </c>
      <c r="M2709" s="122">
        <v>55273</v>
      </c>
      <c r="N2709" s="122">
        <v>25793</v>
      </c>
      <c r="O2709" s="122">
        <v>9553</v>
      </c>
      <c r="P2709" s="122">
        <v>5022</v>
      </c>
      <c r="Q2709" s="122">
        <v>1860</v>
      </c>
      <c r="R2709" s="122">
        <v>44847</v>
      </c>
      <c r="S2709" s="122">
        <v>40770</v>
      </c>
      <c r="T2709" s="122">
        <v>16274</v>
      </c>
      <c r="U2709" s="122">
        <v>6028</v>
      </c>
      <c r="V2709" s="122">
        <v>348517</v>
      </c>
      <c r="W2709" s="122">
        <f t="shared" si="86"/>
        <v>348517</v>
      </c>
      <c r="X2709" s="122">
        <f t="shared" si="87"/>
        <v>411860</v>
      </c>
    </row>
    <row r="2710" spans="2:24">
      <c r="B2710" t="s">
        <v>382</v>
      </c>
      <c r="C2710" t="s">
        <v>60</v>
      </c>
      <c r="D2710" t="s">
        <v>405</v>
      </c>
      <c r="E2710" t="s">
        <v>137</v>
      </c>
      <c r="F2710" s="122">
        <v>1</v>
      </c>
      <c r="G2710" s="122">
        <v>99</v>
      </c>
      <c r="H2710" s="122">
        <v>371</v>
      </c>
      <c r="I2710" s="122">
        <v>20990</v>
      </c>
      <c r="J2710" s="122">
        <v>19082</v>
      </c>
      <c r="K2710" s="122">
        <v>68</v>
      </c>
      <c r="L2710" s="122">
        <v>2511</v>
      </c>
      <c r="M2710" s="122">
        <v>2283</v>
      </c>
      <c r="N2710" s="122">
        <v>2226</v>
      </c>
      <c r="O2710" s="122">
        <v>824</v>
      </c>
      <c r="P2710" s="122">
        <v>351</v>
      </c>
      <c r="Q2710" s="122">
        <v>130</v>
      </c>
      <c r="R2710" s="122">
        <v>10601</v>
      </c>
      <c r="S2710" s="122">
        <v>3926</v>
      </c>
      <c r="T2710" s="122">
        <v>0</v>
      </c>
      <c r="U2710" s="122">
        <v>0</v>
      </c>
      <c r="V2710" s="122">
        <v>26245</v>
      </c>
      <c r="W2710" s="122">
        <f t="shared" si="86"/>
        <v>26245</v>
      </c>
      <c r="X2710" s="122">
        <f t="shared" si="87"/>
        <v>36679</v>
      </c>
    </row>
    <row r="2711" spans="2:24">
      <c r="B2711" t="s">
        <v>382</v>
      </c>
      <c r="C2711" t="s">
        <v>60</v>
      </c>
      <c r="D2711" t="s">
        <v>137</v>
      </c>
      <c r="E2711" t="s">
        <v>137</v>
      </c>
      <c r="F2711" s="122">
        <v>51</v>
      </c>
      <c r="G2711" s="122">
        <v>5471</v>
      </c>
      <c r="H2711" s="122">
        <v>17033</v>
      </c>
      <c r="I2711" s="122">
        <v>1368676</v>
      </c>
      <c r="J2711" s="122">
        <v>506917</v>
      </c>
      <c r="K2711" s="122">
        <v>100</v>
      </c>
      <c r="L2711" s="122">
        <v>162756</v>
      </c>
      <c r="M2711" s="122">
        <v>128693</v>
      </c>
      <c r="N2711" s="122">
        <v>137029</v>
      </c>
      <c r="O2711" s="122">
        <v>50752</v>
      </c>
      <c r="P2711" s="122">
        <v>0</v>
      </c>
      <c r="Q2711" s="122">
        <v>0</v>
      </c>
      <c r="R2711" s="122">
        <v>391401</v>
      </c>
      <c r="S2711" s="122">
        <v>144963</v>
      </c>
      <c r="T2711" s="122">
        <v>0</v>
      </c>
      <c r="U2711" s="122">
        <v>0</v>
      </c>
      <c r="V2711" s="122">
        <v>831325</v>
      </c>
      <c r="W2711" s="122">
        <f t="shared" si="86"/>
        <v>831325</v>
      </c>
      <c r="X2711" s="122">
        <f t="shared" si="87"/>
        <v>2059862</v>
      </c>
    </row>
    <row r="2712" spans="2:24">
      <c r="B2712" t="s">
        <v>382</v>
      </c>
      <c r="C2712" t="s">
        <v>60</v>
      </c>
      <c r="D2712" t="s">
        <v>137</v>
      </c>
      <c r="E2712" t="s">
        <v>406</v>
      </c>
      <c r="F2712" s="122">
        <v>1</v>
      </c>
      <c r="G2712" s="122">
        <v>90</v>
      </c>
      <c r="H2712" s="122">
        <v>356</v>
      </c>
      <c r="I2712" s="122">
        <v>21504</v>
      </c>
      <c r="J2712" s="122">
        <v>7964</v>
      </c>
      <c r="K2712" s="122">
        <v>100</v>
      </c>
      <c r="L2712" s="122">
        <v>1622</v>
      </c>
      <c r="M2712" s="122">
        <v>1475</v>
      </c>
      <c r="N2712" s="122">
        <v>1649</v>
      </c>
      <c r="O2712" s="122">
        <v>611</v>
      </c>
      <c r="P2712" s="122">
        <v>0</v>
      </c>
      <c r="Q2712" s="122">
        <v>0</v>
      </c>
      <c r="R2712" s="122">
        <v>7339</v>
      </c>
      <c r="S2712" s="122">
        <v>6672</v>
      </c>
      <c r="T2712" s="122">
        <v>0</v>
      </c>
      <c r="U2712" s="122">
        <v>0</v>
      </c>
      <c r="V2712" s="122">
        <v>16722</v>
      </c>
      <c r="W2712" s="122">
        <f t="shared" si="86"/>
        <v>16722</v>
      </c>
      <c r="X2712" s="122">
        <f t="shared" si="87"/>
        <v>32114</v>
      </c>
    </row>
    <row r="2713" spans="2:24">
      <c r="B2713" t="s">
        <v>382</v>
      </c>
      <c r="C2713" t="s">
        <v>60</v>
      </c>
      <c r="D2713" t="s">
        <v>406</v>
      </c>
      <c r="E2713" t="s">
        <v>137</v>
      </c>
      <c r="F2713" s="122">
        <v>2</v>
      </c>
      <c r="G2713" s="122">
        <v>257</v>
      </c>
      <c r="H2713" s="122">
        <v>699</v>
      </c>
      <c r="I2713" s="122">
        <v>56769</v>
      </c>
      <c r="J2713" s="122">
        <v>51608</v>
      </c>
      <c r="K2713" s="122">
        <v>70</v>
      </c>
      <c r="L2713" s="122">
        <v>14761</v>
      </c>
      <c r="M2713" s="122">
        <v>12711</v>
      </c>
      <c r="N2713" s="122">
        <v>5809</v>
      </c>
      <c r="O2713" s="122">
        <v>2152</v>
      </c>
      <c r="P2713" s="122">
        <v>1242</v>
      </c>
      <c r="Q2713" s="122">
        <v>460</v>
      </c>
      <c r="R2713" s="122">
        <v>12333</v>
      </c>
      <c r="S2713" s="122">
        <v>4568</v>
      </c>
      <c r="T2713" s="122">
        <v>0</v>
      </c>
      <c r="U2713" s="122">
        <v>0</v>
      </c>
      <c r="V2713" s="122">
        <v>71498</v>
      </c>
      <c r="W2713" s="122">
        <f t="shared" si="86"/>
        <v>71499</v>
      </c>
      <c r="X2713" s="122">
        <f t="shared" si="87"/>
        <v>90914</v>
      </c>
    </row>
    <row r="2714" spans="2:24">
      <c r="B2714" t="s">
        <v>382</v>
      </c>
      <c r="C2714" t="s">
        <v>60</v>
      </c>
      <c r="D2714" t="s">
        <v>406</v>
      </c>
      <c r="E2714" t="s">
        <v>406</v>
      </c>
      <c r="F2714" s="122">
        <v>486</v>
      </c>
      <c r="G2714" s="122">
        <v>57898</v>
      </c>
      <c r="H2714" s="122">
        <v>164879</v>
      </c>
      <c r="I2714" s="122">
        <v>12690151</v>
      </c>
      <c r="J2714" s="122">
        <v>11536501</v>
      </c>
      <c r="K2714" s="122">
        <v>76</v>
      </c>
      <c r="L2714" s="122">
        <v>2446205</v>
      </c>
      <c r="M2714" s="122">
        <v>2179793</v>
      </c>
      <c r="N2714" s="122">
        <v>1223312</v>
      </c>
      <c r="O2714" s="122">
        <v>453078</v>
      </c>
      <c r="P2714" s="122">
        <v>322327</v>
      </c>
      <c r="Q2714" s="122">
        <v>119381</v>
      </c>
      <c r="R2714" s="122">
        <v>2496391</v>
      </c>
      <c r="S2714" s="122">
        <v>2269447</v>
      </c>
      <c r="T2714" s="122">
        <v>875942</v>
      </c>
      <c r="U2714" s="122">
        <v>324423</v>
      </c>
      <c r="V2714" s="122">
        <v>16882623</v>
      </c>
      <c r="W2714" s="122">
        <f t="shared" si="86"/>
        <v>16882623</v>
      </c>
      <c r="X2714" s="122">
        <f t="shared" si="87"/>
        <v>20054328</v>
      </c>
    </row>
    <row r="2715" spans="2:24">
      <c r="B2715" t="s">
        <v>382</v>
      </c>
      <c r="C2715" t="s">
        <v>60</v>
      </c>
      <c r="D2715" t="s">
        <v>406</v>
      </c>
      <c r="E2715" t="s">
        <v>426</v>
      </c>
      <c r="F2715" s="122">
        <v>3</v>
      </c>
      <c r="G2715" s="122">
        <v>271</v>
      </c>
      <c r="H2715" s="122">
        <v>1003</v>
      </c>
      <c r="I2715" s="122">
        <v>52212</v>
      </c>
      <c r="J2715" s="122">
        <v>47465</v>
      </c>
      <c r="K2715" s="122">
        <v>77</v>
      </c>
      <c r="L2715" s="122">
        <v>8354</v>
      </c>
      <c r="M2715" s="122">
        <v>7595</v>
      </c>
      <c r="N2715" s="122">
        <v>5900</v>
      </c>
      <c r="O2715" s="122">
        <v>2185</v>
      </c>
      <c r="P2715" s="122">
        <v>1863</v>
      </c>
      <c r="Q2715" s="122">
        <v>690</v>
      </c>
      <c r="R2715" s="122">
        <v>18071</v>
      </c>
      <c r="S2715" s="122">
        <v>16428</v>
      </c>
      <c r="T2715" s="122">
        <v>3392</v>
      </c>
      <c r="U2715" s="122">
        <v>1256</v>
      </c>
      <c r="V2715" s="122">
        <v>75620</v>
      </c>
      <c r="W2715" s="122">
        <f t="shared" si="86"/>
        <v>75619</v>
      </c>
      <c r="X2715" s="122">
        <f t="shared" si="87"/>
        <v>89792</v>
      </c>
    </row>
    <row r="2716" spans="2:24">
      <c r="B2716" t="s">
        <v>382</v>
      </c>
      <c r="C2716" t="s">
        <v>60</v>
      </c>
      <c r="D2716" t="s">
        <v>427</v>
      </c>
      <c r="E2716" t="s">
        <v>137</v>
      </c>
      <c r="F2716" s="122">
        <v>1</v>
      </c>
      <c r="G2716" s="122">
        <v>43</v>
      </c>
      <c r="H2716" s="122">
        <v>331</v>
      </c>
      <c r="I2716" s="122">
        <v>9100</v>
      </c>
      <c r="J2716" s="122">
        <v>8273</v>
      </c>
      <c r="K2716" s="122">
        <v>60</v>
      </c>
      <c r="L2716" s="122">
        <v>1489</v>
      </c>
      <c r="M2716" s="122">
        <v>552</v>
      </c>
      <c r="N2716" s="122">
        <v>659</v>
      </c>
      <c r="O2716" s="122">
        <v>244</v>
      </c>
      <c r="P2716" s="122">
        <v>0</v>
      </c>
      <c r="Q2716" s="122">
        <v>0</v>
      </c>
      <c r="R2716" s="122">
        <v>3099</v>
      </c>
      <c r="S2716" s="122">
        <v>1148</v>
      </c>
      <c r="T2716" s="122">
        <v>0</v>
      </c>
      <c r="U2716" s="122">
        <v>0</v>
      </c>
      <c r="V2716" s="122">
        <v>10216</v>
      </c>
      <c r="W2716" s="122">
        <f t="shared" si="86"/>
        <v>10217</v>
      </c>
      <c r="X2716" s="122">
        <f t="shared" si="87"/>
        <v>14347</v>
      </c>
    </row>
    <row r="2717" spans="2:24">
      <c r="B2717" t="s">
        <v>382</v>
      </c>
      <c r="C2717" t="s">
        <v>60</v>
      </c>
      <c r="D2717" t="s">
        <v>427</v>
      </c>
      <c r="E2717" t="s">
        <v>427</v>
      </c>
      <c r="F2717" s="122">
        <v>3</v>
      </c>
      <c r="G2717" s="122">
        <v>313</v>
      </c>
      <c r="H2717" s="122">
        <v>1118</v>
      </c>
      <c r="I2717" s="122">
        <v>69375</v>
      </c>
      <c r="J2717" s="122">
        <v>63069</v>
      </c>
      <c r="K2717" s="122">
        <v>60</v>
      </c>
      <c r="L2717" s="122">
        <v>14352</v>
      </c>
      <c r="M2717" s="122">
        <v>11302</v>
      </c>
      <c r="N2717" s="122">
        <v>6317</v>
      </c>
      <c r="O2717" s="122">
        <v>2340</v>
      </c>
      <c r="P2717" s="122">
        <v>1053</v>
      </c>
      <c r="Q2717" s="122">
        <v>390</v>
      </c>
      <c r="R2717" s="122">
        <v>16704</v>
      </c>
      <c r="S2717" s="122">
        <v>15186</v>
      </c>
      <c r="T2717" s="122">
        <v>8866</v>
      </c>
      <c r="U2717" s="122">
        <v>3284</v>
      </c>
      <c r="V2717" s="122">
        <v>95570</v>
      </c>
      <c r="W2717" s="122">
        <f t="shared" si="86"/>
        <v>95571</v>
      </c>
      <c r="X2717" s="122">
        <f t="shared" si="87"/>
        <v>116667</v>
      </c>
    </row>
    <row r="2718" spans="2:24">
      <c r="B2718" t="s">
        <v>382</v>
      </c>
      <c r="C2718" t="s">
        <v>60</v>
      </c>
      <c r="D2718" t="s">
        <v>556</v>
      </c>
      <c r="E2718" t="s">
        <v>556</v>
      </c>
      <c r="F2718" s="122">
        <v>4</v>
      </c>
      <c r="G2718" s="122">
        <v>396</v>
      </c>
      <c r="H2718" s="122">
        <v>1284</v>
      </c>
      <c r="I2718" s="122">
        <v>72767</v>
      </c>
      <c r="J2718" s="122">
        <v>60639</v>
      </c>
      <c r="K2718" s="122">
        <v>55</v>
      </c>
      <c r="L2718" s="122">
        <v>9320</v>
      </c>
      <c r="M2718" s="122">
        <v>7997</v>
      </c>
      <c r="N2718" s="122">
        <v>8599</v>
      </c>
      <c r="O2718" s="122">
        <v>3185</v>
      </c>
      <c r="P2718" s="122">
        <v>1944</v>
      </c>
      <c r="Q2718" s="122">
        <v>720</v>
      </c>
      <c r="R2718" s="122">
        <v>24303</v>
      </c>
      <c r="S2718" s="122">
        <v>20253</v>
      </c>
      <c r="T2718" s="122">
        <v>10095</v>
      </c>
      <c r="U2718" s="122">
        <v>3739</v>
      </c>
      <c r="V2718" s="122">
        <v>96533</v>
      </c>
      <c r="W2718" s="122">
        <f t="shared" si="86"/>
        <v>96533</v>
      </c>
      <c r="X2718" s="122">
        <f t="shared" si="87"/>
        <v>127028</v>
      </c>
    </row>
    <row r="2719" spans="2:24">
      <c r="B2719" t="s">
        <v>382</v>
      </c>
      <c r="C2719" t="s">
        <v>60</v>
      </c>
      <c r="D2719" t="s">
        <v>426</v>
      </c>
      <c r="E2719" t="s">
        <v>137</v>
      </c>
      <c r="F2719" s="122">
        <v>1</v>
      </c>
      <c r="G2719" s="122">
        <v>127</v>
      </c>
      <c r="H2719" s="122">
        <v>315</v>
      </c>
      <c r="I2719" s="122">
        <v>24578</v>
      </c>
      <c r="J2719" s="122">
        <v>22343</v>
      </c>
      <c r="K2719" s="122">
        <v>60</v>
      </c>
      <c r="L2719" s="122">
        <v>4022</v>
      </c>
      <c r="M2719" s="122">
        <v>1490</v>
      </c>
      <c r="N2719" s="122">
        <v>3103</v>
      </c>
      <c r="O2719" s="122">
        <v>1149</v>
      </c>
      <c r="P2719" s="122">
        <v>0</v>
      </c>
      <c r="Q2719" s="122">
        <v>0</v>
      </c>
      <c r="R2719" s="122">
        <v>8370</v>
      </c>
      <c r="S2719" s="122">
        <v>3100</v>
      </c>
      <c r="T2719" s="122">
        <v>0</v>
      </c>
      <c r="U2719" s="122">
        <v>0</v>
      </c>
      <c r="V2719" s="122">
        <v>28082</v>
      </c>
      <c r="W2719" s="122">
        <f t="shared" si="86"/>
        <v>28082</v>
      </c>
      <c r="X2719" s="122">
        <f t="shared" si="87"/>
        <v>40073</v>
      </c>
    </row>
    <row r="2720" spans="2:24">
      <c r="B2720" t="s">
        <v>382</v>
      </c>
      <c r="C2720" t="s">
        <v>60</v>
      </c>
      <c r="D2720" t="s">
        <v>426</v>
      </c>
      <c r="E2720" t="s">
        <v>426</v>
      </c>
      <c r="F2720" s="122">
        <v>55</v>
      </c>
      <c r="G2720" s="122">
        <v>5909</v>
      </c>
      <c r="H2720" s="122">
        <v>19004</v>
      </c>
      <c r="I2720" s="122">
        <v>1312720</v>
      </c>
      <c r="J2720" s="122">
        <v>1193381</v>
      </c>
      <c r="K2720" s="122">
        <v>58</v>
      </c>
      <c r="L2720" s="122">
        <v>193815</v>
      </c>
      <c r="M2720" s="122">
        <v>171287</v>
      </c>
      <c r="N2720" s="122">
        <v>125348</v>
      </c>
      <c r="O2720" s="122">
        <v>46425</v>
      </c>
      <c r="P2720" s="122">
        <v>26325</v>
      </c>
      <c r="Q2720" s="122">
        <v>9750</v>
      </c>
      <c r="R2720" s="122">
        <v>316480</v>
      </c>
      <c r="S2720" s="122">
        <v>287709</v>
      </c>
      <c r="T2720" s="122">
        <v>133739</v>
      </c>
      <c r="U2720" s="122">
        <v>49533</v>
      </c>
      <c r="V2720" s="122">
        <v>1758085</v>
      </c>
      <c r="W2720" s="122">
        <f t="shared" si="86"/>
        <v>1758085</v>
      </c>
      <c r="X2720" s="122">
        <f t="shared" si="87"/>
        <v>2108427</v>
      </c>
    </row>
    <row r="2721" spans="2:24">
      <c r="B2721" t="s">
        <v>382</v>
      </c>
      <c r="C2721" t="s">
        <v>62</v>
      </c>
      <c r="D2721" t="s">
        <v>405</v>
      </c>
      <c r="E2721" t="s">
        <v>405</v>
      </c>
      <c r="F2721" s="122">
        <v>3</v>
      </c>
      <c r="G2721" s="122">
        <v>292</v>
      </c>
      <c r="H2721" s="122">
        <v>1264</v>
      </c>
      <c r="I2721" s="122">
        <v>74801</v>
      </c>
      <c r="J2721" s="122">
        <v>68001</v>
      </c>
      <c r="K2721" s="122">
        <v>70</v>
      </c>
      <c r="L2721" s="122">
        <v>16668</v>
      </c>
      <c r="M2721" s="122">
        <v>12707</v>
      </c>
      <c r="N2721" s="122">
        <v>4974</v>
      </c>
      <c r="O2721" s="122">
        <v>1842</v>
      </c>
      <c r="P2721" s="122">
        <v>1418</v>
      </c>
      <c r="Q2721" s="122">
        <v>525</v>
      </c>
      <c r="R2721" s="122">
        <v>22497</v>
      </c>
      <c r="S2721" s="122">
        <v>20452</v>
      </c>
      <c r="T2721" s="122">
        <v>2421</v>
      </c>
      <c r="U2721" s="122">
        <v>897</v>
      </c>
      <c r="V2721" s="122">
        <v>104423</v>
      </c>
      <c r="W2721" s="122">
        <f t="shared" si="86"/>
        <v>104424</v>
      </c>
      <c r="X2721" s="122">
        <f t="shared" si="87"/>
        <v>122779</v>
      </c>
    </row>
    <row r="2722" spans="2:24">
      <c r="B2722" t="s">
        <v>382</v>
      </c>
      <c r="C2722" t="s">
        <v>62</v>
      </c>
      <c r="D2722" t="s">
        <v>137</v>
      </c>
      <c r="E2722" t="s">
        <v>137</v>
      </c>
      <c r="F2722" s="122">
        <v>15</v>
      </c>
      <c r="G2722" s="122">
        <v>1718</v>
      </c>
      <c r="H2722" s="122">
        <v>6253</v>
      </c>
      <c r="I2722" s="122">
        <v>526943</v>
      </c>
      <c r="J2722" s="122">
        <v>195164</v>
      </c>
      <c r="K2722" s="122">
        <v>100</v>
      </c>
      <c r="L2722" s="122">
        <v>77199</v>
      </c>
      <c r="M2722" s="122">
        <v>58670</v>
      </c>
      <c r="N2722" s="122">
        <v>40758</v>
      </c>
      <c r="O2722" s="122">
        <v>15095</v>
      </c>
      <c r="P2722" s="122">
        <v>0</v>
      </c>
      <c r="Q2722" s="122">
        <v>0</v>
      </c>
      <c r="R2722" s="122">
        <v>124417</v>
      </c>
      <c r="S2722" s="122">
        <v>46080</v>
      </c>
      <c r="T2722" s="122">
        <v>0</v>
      </c>
      <c r="U2722" s="122">
        <v>0</v>
      </c>
      <c r="V2722" s="122">
        <v>315010</v>
      </c>
      <c r="W2722" s="122">
        <f t="shared" si="86"/>
        <v>315009</v>
      </c>
      <c r="X2722" s="122">
        <f t="shared" si="87"/>
        <v>769317</v>
      </c>
    </row>
    <row r="2723" spans="2:24">
      <c r="B2723" t="s">
        <v>382</v>
      </c>
      <c r="C2723" t="s">
        <v>62</v>
      </c>
      <c r="D2723" t="s">
        <v>137</v>
      </c>
      <c r="E2723" t="s">
        <v>426</v>
      </c>
      <c r="F2723" s="122">
        <v>2</v>
      </c>
      <c r="G2723" s="122">
        <v>129</v>
      </c>
      <c r="H2723" s="122">
        <v>812</v>
      </c>
      <c r="I2723" s="122">
        <v>29519</v>
      </c>
      <c r="J2723" s="122">
        <v>10933</v>
      </c>
      <c r="K2723" s="122">
        <v>100</v>
      </c>
      <c r="L2723" s="122">
        <v>3469</v>
      </c>
      <c r="M2723" s="122">
        <v>3154</v>
      </c>
      <c r="N2723" s="122">
        <v>2929</v>
      </c>
      <c r="O2723" s="122">
        <v>1085</v>
      </c>
      <c r="P2723" s="122">
        <v>0</v>
      </c>
      <c r="Q2723" s="122">
        <v>0</v>
      </c>
      <c r="R2723" s="122">
        <v>13681</v>
      </c>
      <c r="S2723" s="122">
        <v>12437</v>
      </c>
      <c r="T2723" s="122">
        <v>2755</v>
      </c>
      <c r="U2723" s="122">
        <v>1020</v>
      </c>
      <c r="V2723" s="122">
        <v>28630</v>
      </c>
      <c r="W2723" s="122">
        <f t="shared" si="86"/>
        <v>28629</v>
      </c>
      <c r="X2723" s="122">
        <f t="shared" si="87"/>
        <v>52353</v>
      </c>
    </row>
    <row r="2724" spans="2:24">
      <c r="B2724" t="s">
        <v>382</v>
      </c>
      <c r="C2724" t="s">
        <v>62</v>
      </c>
      <c r="D2724" t="s">
        <v>406</v>
      </c>
      <c r="E2724" t="s">
        <v>406</v>
      </c>
      <c r="F2724" s="122">
        <v>271</v>
      </c>
      <c r="G2724" s="122">
        <v>28971</v>
      </c>
      <c r="H2724" s="122">
        <v>112084</v>
      </c>
      <c r="I2724" s="122">
        <v>7925694</v>
      </c>
      <c r="J2724" s="122">
        <v>7205177</v>
      </c>
      <c r="K2724" s="122">
        <v>78</v>
      </c>
      <c r="L2724" s="122">
        <v>1524473</v>
      </c>
      <c r="M2724" s="122">
        <v>1342487</v>
      </c>
      <c r="N2724" s="122">
        <v>603207</v>
      </c>
      <c r="O2724" s="122">
        <v>223410</v>
      </c>
      <c r="P2724" s="122">
        <v>177097</v>
      </c>
      <c r="Q2724" s="122">
        <v>65591</v>
      </c>
      <c r="R2724" s="122">
        <v>1312086</v>
      </c>
      <c r="S2724" s="122">
        <v>1192806</v>
      </c>
      <c r="T2724" s="122">
        <v>542837</v>
      </c>
      <c r="U2724" s="122">
        <v>201051</v>
      </c>
      <c r="V2724" s="122">
        <v>10230521</v>
      </c>
      <c r="W2724" s="122">
        <f t="shared" si="86"/>
        <v>10230522</v>
      </c>
      <c r="X2724" s="122">
        <f t="shared" si="87"/>
        <v>12085394</v>
      </c>
    </row>
    <row r="2725" spans="2:24">
      <c r="B2725" t="s">
        <v>382</v>
      </c>
      <c r="C2725" t="s">
        <v>62</v>
      </c>
      <c r="D2725" t="s">
        <v>406</v>
      </c>
      <c r="E2725" t="s">
        <v>431</v>
      </c>
      <c r="F2725" s="122">
        <v>1</v>
      </c>
      <c r="G2725" s="122">
        <v>151</v>
      </c>
      <c r="H2725" s="122">
        <v>407</v>
      </c>
      <c r="I2725" s="122">
        <v>68109</v>
      </c>
      <c r="J2725" s="122">
        <v>61917</v>
      </c>
      <c r="K2725" s="122">
        <v>73</v>
      </c>
      <c r="L2725" s="122">
        <v>12891</v>
      </c>
      <c r="M2725" s="122">
        <v>4774</v>
      </c>
      <c r="N2725" s="122">
        <v>6082</v>
      </c>
      <c r="O2725" s="122">
        <v>2253</v>
      </c>
      <c r="P2725" s="122">
        <v>621</v>
      </c>
      <c r="Q2725" s="122">
        <v>230</v>
      </c>
      <c r="R2725" s="122">
        <v>14318</v>
      </c>
      <c r="S2725" s="122">
        <v>13017</v>
      </c>
      <c r="T2725" s="122">
        <v>0</v>
      </c>
      <c r="U2725" s="122">
        <v>0</v>
      </c>
      <c r="V2725" s="122">
        <v>82191</v>
      </c>
      <c r="W2725" s="122">
        <f t="shared" si="86"/>
        <v>82191</v>
      </c>
      <c r="X2725" s="122">
        <f t="shared" si="87"/>
        <v>102021</v>
      </c>
    </row>
    <row r="2726" spans="2:24">
      <c r="B2726" t="s">
        <v>382</v>
      </c>
      <c r="C2726" t="s">
        <v>62</v>
      </c>
      <c r="D2726" t="s">
        <v>406</v>
      </c>
      <c r="E2726" t="s">
        <v>426</v>
      </c>
      <c r="F2726" s="122">
        <v>2</v>
      </c>
      <c r="G2726" s="122">
        <v>169</v>
      </c>
      <c r="H2726" s="122">
        <v>876</v>
      </c>
      <c r="I2726" s="122">
        <v>40490</v>
      </c>
      <c r="J2726" s="122">
        <v>36809</v>
      </c>
      <c r="K2726" s="122">
        <v>85</v>
      </c>
      <c r="L2726" s="122">
        <v>6652</v>
      </c>
      <c r="M2726" s="122">
        <v>6047</v>
      </c>
      <c r="N2726" s="122">
        <v>3608</v>
      </c>
      <c r="O2726" s="122">
        <v>1336</v>
      </c>
      <c r="P2726" s="122">
        <v>1242</v>
      </c>
      <c r="Q2726" s="122">
        <v>460</v>
      </c>
      <c r="R2726" s="122">
        <v>19669</v>
      </c>
      <c r="S2726" s="122">
        <v>17881</v>
      </c>
      <c r="T2726" s="122">
        <v>2192</v>
      </c>
      <c r="U2726" s="122">
        <v>812</v>
      </c>
      <c r="V2726" s="122">
        <v>63345</v>
      </c>
      <c r="W2726" s="122">
        <f t="shared" si="86"/>
        <v>63345</v>
      </c>
      <c r="X2726" s="122">
        <f t="shared" si="87"/>
        <v>73853</v>
      </c>
    </row>
    <row r="2727" spans="2:24">
      <c r="B2727" t="s">
        <v>382</v>
      </c>
      <c r="C2727" t="s">
        <v>62</v>
      </c>
      <c r="D2727" t="s">
        <v>427</v>
      </c>
      <c r="E2727" t="s">
        <v>406</v>
      </c>
      <c r="F2727" s="122">
        <v>1</v>
      </c>
      <c r="G2727" s="122">
        <v>118</v>
      </c>
      <c r="H2727" s="122">
        <v>432</v>
      </c>
      <c r="I2727" s="122">
        <v>29302</v>
      </c>
      <c r="J2727" s="122">
        <v>26638</v>
      </c>
      <c r="K2727" s="122">
        <v>74</v>
      </c>
      <c r="L2727" s="122">
        <v>13306</v>
      </c>
      <c r="M2727" s="122">
        <v>4928</v>
      </c>
      <c r="N2727" s="122">
        <v>2505</v>
      </c>
      <c r="O2727" s="122">
        <v>928</v>
      </c>
      <c r="P2727" s="122">
        <v>621</v>
      </c>
      <c r="Q2727" s="122">
        <v>230</v>
      </c>
      <c r="R2727" s="122">
        <v>4983</v>
      </c>
      <c r="S2727" s="122">
        <v>4530</v>
      </c>
      <c r="T2727" s="122">
        <v>0</v>
      </c>
      <c r="U2727" s="122">
        <v>0</v>
      </c>
      <c r="V2727" s="122">
        <v>37254</v>
      </c>
      <c r="W2727" s="122">
        <f t="shared" si="86"/>
        <v>37254</v>
      </c>
      <c r="X2727" s="122">
        <f t="shared" si="87"/>
        <v>50717</v>
      </c>
    </row>
    <row r="2728" spans="2:24">
      <c r="B2728" t="s">
        <v>382</v>
      </c>
      <c r="C2728" t="s">
        <v>62</v>
      </c>
      <c r="D2728" t="s">
        <v>427</v>
      </c>
      <c r="E2728" t="s">
        <v>427</v>
      </c>
      <c r="F2728" s="122">
        <v>1</v>
      </c>
      <c r="G2728" s="122">
        <v>94</v>
      </c>
      <c r="H2728" s="122">
        <v>450</v>
      </c>
      <c r="I2728" s="122">
        <v>27030</v>
      </c>
      <c r="J2728" s="122">
        <v>24572</v>
      </c>
      <c r="K2728" s="122">
        <v>65</v>
      </c>
      <c r="L2728" s="122">
        <v>5578</v>
      </c>
      <c r="M2728" s="122">
        <v>5071</v>
      </c>
      <c r="N2728" s="122">
        <v>1827</v>
      </c>
      <c r="O2728" s="122">
        <v>677</v>
      </c>
      <c r="P2728" s="122">
        <v>351</v>
      </c>
      <c r="Q2728" s="122">
        <v>130</v>
      </c>
      <c r="R2728" s="122">
        <v>7368</v>
      </c>
      <c r="S2728" s="122">
        <v>6698</v>
      </c>
      <c r="T2728" s="122">
        <v>0</v>
      </c>
      <c r="U2728" s="122">
        <v>0</v>
      </c>
      <c r="V2728" s="122">
        <v>37148</v>
      </c>
      <c r="W2728" s="122">
        <f t="shared" si="86"/>
        <v>37148</v>
      </c>
      <c r="X2728" s="122">
        <f t="shared" si="87"/>
        <v>42154</v>
      </c>
    </row>
    <row r="2729" spans="2:24">
      <c r="B2729" t="s">
        <v>382</v>
      </c>
      <c r="C2729" t="s">
        <v>62</v>
      </c>
      <c r="D2729" t="s">
        <v>556</v>
      </c>
      <c r="E2729" t="s">
        <v>556</v>
      </c>
      <c r="F2729" s="122">
        <v>2</v>
      </c>
      <c r="G2729" s="122">
        <v>152</v>
      </c>
      <c r="H2729" s="122">
        <v>894</v>
      </c>
      <c r="I2729" s="122">
        <v>48283</v>
      </c>
      <c r="J2729" s="122">
        <v>40236</v>
      </c>
      <c r="K2729" s="122">
        <v>55</v>
      </c>
      <c r="L2729" s="122">
        <v>2042</v>
      </c>
      <c r="M2729" s="122">
        <v>1857</v>
      </c>
      <c r="N2729" s="122">
        <v>2748</v>
      </c>
      <c r="O2729" s="122">
        <v>1018</v>
      </c>
      <c r="P2729" s="122">
        <v>972</v>
      </c>
      <c r="Q2729" s="122">
        <v>360</v>
      </c>
      <c r="R2729" s="122">
        <v>9584</v>
      </c>
      <c r="S2729" s="122">
        <v>7987</v>
      </c>
      <c r="T2729" s="122">
        <v>4211</v>
      </c>
      <c r="U2729" s="122">
        <v>1560</v>
      </c>
      <c r="V2729" s="122">
        <v>53017</v>
      </c>
      <c r="W2729" s="122">
        <f t="shared" si="86"/>
        <v>53018</v>
      </c>
      <c r="X2729" s="122">
        <f t="shared" si="87"/>
        <v>67840</v>
      </c>
    </row>
    <row r="2730" spans="2:24">
      <c r="B2730" t="s">
        <v>382</v>
      </c>
      <c r="C2730" t="s">
        <v>62</v>
      </c>
      <c r="D2730" t="s">
        <v>431</v>
      </c>
      <c r="E2730" t="s">
        <v>431</v>
      </c>
      <c r="F2730" s="122">
        <v>1</v>
      </c>
      <c r="G2730" s="122">
        <v>109</v>
      </c>
      <c r="H2730" s="122">
        <v>408</v>
      </c>
      <c r="I2730" s="122">
        <v>28714</v>
      </c>
      <c r="J2730" s="122">
        <v>26104</v>
      </c>
      <c r="K2730" s="122">
        <v>45</v>
      </c>
      <c r="L2730" s="122">
        <v>4786</v>
      </c>
      <c r="M2730" s="122">
        <v>4351</v>
      </c>
      <c r="N2730" s="122">
        <v>2503</v>
      </c>
      <c r="O2730" s="122">
        <v>927</v>
      </c>
      <c r="P2730" s="122">
        <v>351</v>
      </c>
      <c r="Q2730" s="122">
        <v>130</v>
      </c>
      <c r="R2730" s="122">
        <v>5842</v>
      </c>
      <c r="S2730" s="122">
        <v>5311</v>
      </c>
      <c r="T2730" s="122">
        <v>2091</v>
      </c>
      <c r="U2730" s="122">
        <v>774</v>
      </c>
      <c r="V2730" s="122">
        <v>37597</v>
      </c>
      <c r="W2730" s="122">
        <f t="shared" si="86"/>
        <v>37597</v>
      </c>
      <c r="X2730" s="122">
        <f t="shared" si="87"/>
        <v>44287</v>
      </c>
    </row>
    <row r="2731" spans="2:24">
      <c r="B2731" t="s">
        <v>382</v>
      </c>
      <c r="C2731" t="s">
        <v>62</v>
      </c>
      <c r="D2731" t="s">
        <v>426</v>
      </c>
      <c r="E2731" t="s">
        <v>137</v>
      </c>
      <c r="F2731" s="122">
        <v>3</v>
      </c>
      <c r="G2731" s="122">
        <v>215</v>
      </c>
      <c r="H2731" s="122">
        <v>1279</v>
      </c>
      <c r="I2731" s="122">
        <v>63719</v>
      </c>
      <c r="J2731" s="122">
        <v>57926</v>
      </c>
      <c r="K2731" s="122">
        <v>50</v>
      </c>
      <c r="L2731" s="122">
        <v>8947</v>
      </c>
      <c r="M2731" s="122">
        <v>6408</v>
      </c>
      <c r="N2731" s="122">
        <v>4508</v>
      </c>
      <c r="O2731" s="122">
        <v>1670</v>
      </c>
      <c r="P2731" s="122">
        <v>0</v>
      </c>
      <c r="Q2731" s="122">
        <v>0</v>
      </c>
      <c r="R2731" s="122">
        <v>14550</v>
      </c>
      <c r="S2731" s="122">
        <v>5389</v>
      </c>
      <c r="T2731" s="122">
        <v>0</v>
      </c>
      <c r="U2731" s="122">
        <v>0</v>
      </c>
      <c r="V2731" s="122">
        <v>71393</v>
      </c>
      <c r="W2731" s="122">
        <f t="shared" si="86"/>
        <v>71393</v>
      </c>
      <c r="X2731" s="122">
        <f t="shared" si="87"/>
        <v>91724</v>
      </c>
    </row>
    <row r="2732" spans="2:24">
      <c r="B2732" t="s">
        <v>382</v>
      </c>
      <c r="C2732" t="s">
        <v>62</v>
      </c>
      <c r="D2732" t="s">
        <v>426</v>
      </c>
      <c r="E2732" t="s">
        <v>406</v>
      </c>
      <c r="F2732" s="122">
        <v>1</v>
      </c>
      <c r="G2732" s="122">
        <v>77</v>
      </c>
      <c r="H2732" s="122">
        <v>449</v>
      </c>
      <c r="I2732" s="122">
        <v>20186</v>
      </c>
      <c r="J2732" s="122">
        <v>18351</v>
      </c>
      <c r="K2732" s="122">
        <v>45</v>
      </c>
      <c r="L2732" s="122">
        <v>3364</v>
      </c>
      <c r="M2732" s="122">
        <v>3059</v>
      </c>
      <c r="N2732" s="122">
        <v>1398</v>
      </c>
      <c r="O2732" s="122">
        <v>518</v>
      </c>
      <c r="P2732" s="122">
        <v>351</v>
      </c>
      <c r="Q2732" s="122">
        <v>130</v>
      </c>
      <c r="R2732" s="122">
        <v>6548</v>
      </c>
      <c r="S2732" s="122">
        <v>5952</v>
      </c>
      <c r="T2732" s="122">
        <v>2475</v>
      </c>
      <c r="U2732" s="122">
        <v>917</v>
      </c>
      <c r="V2732" s="122">
        <v>28927</v>
      </c>
      <c r="W2732" s="122">
        <f t="shared" ref="W2732:W2795" si="88">SUM(ABS(J2732),ABS(M2732),ABS(O2732),ABS(Q2732),ABS(S2732),ABS(U2732))</f>
        <v>28927</v>
      </c>
      <c r="X2732" s="122">
        <f t="shared" ref="X2732:X2795" si="89">SUM(ABS(I2732),ABS(N2732),ABS(P2732),ABS(R2732),ABS(T2732),ABS(L2732))</f>
        <v>34322</v>
      </c>
    </row>
    <row r="2733" spans="2:24">
      <c r="B2733" t="s">
        <v>382</v>
      </c>
      <c r="C2733" t="s">
        <v>62</v>
      </c>
      <c r="D2733" t="s">
        <v>426</v>
      </c>
      <c r="E2733" t="s">
        <v>426</v>
      </c>
      <c r="F2733" s="122">
        <v>77</v>
      </c>
      <c r="G2733" s="122">
        <v>7362</v>
      </c>
      <c r="H2733" s="122">
        <v>32079</v>
      </c>
      <c r="I2733" s="122">
        <v>1945955</v>
      </c>
      <c r="J2733" s="122">
        <v>1769050</v>
      </c>
      <c r="K2733" s="122">
        <v>50</v>
      </c>
      <c r="L2733" s="122">
        <v>310168</v>
      </c>
      <c r="M2733" s="122">
        <v>262981</v>
      </c>
      <c r="N2733" s="122">
        <v>147744</v>
      </c>
      <c r="O2733" s="122">
        <v>54720</v>
      </c>
      <c r="P2733" s="122">
        <v>29538</v>
      </c>
      <c r="Q2733" s="122">
        <v>10940</v>
      </c>
      <c r="R2733" s="122">
        <v>480811</v>
      </c>
      <c r="S2733" s="122">
        <v>437101</v>
      </c>
      <c r="T2733" s="122">
        <v>165036</v>
      </c>
      <c r="U2733" s="122">
        <v>61125</v>
      </c>
      <c r="V2733" s="122">
        <v>2595917</v>
      </c>
      <c r="W2733" s="122">
        <f t="shared" si="88"/>
        <v>2595917</v>
      </c>
      <c r="X2733" s="122">
        <f t="shared" si="89"/>
        <v>3079252</v>
      </c>
    </row>
    <row r="2734" spans="2:24">
      <c r="B2734" t="s">
        <v>382</v>
      </c>
      <c r="C2734" t="s">
        <v>64</v>
      </c>
      <c r="D2734" t="s">
        <v>425</v>
      </c>
      <c r="E2734" t="s">
        <v>425</v>
      </c>
      <c r="F2734" s="122">
        <v>2</v>
      </c>
      <c r="G2734" s="122">
        <v>168</v>
      </c>
      <c r="H2734" s="122">
        <v>1003</v>
      </c>
      <c r="I2734" s="122">
        <v>59573</v>
      </c>
      <c r="J2734" s="122">
        <v>54158</v>
      </c>
      <c r="K2734" s="122">
        <v>73</v>
      </c>
      <c r="L2734" s="122">
        <v>7488</v>
      </c>
      <c r="M2734" s="122">
        <v>6807</v>
      </c>
      <c r="N2734" s="122">
        <v>3501</v>
      </c>
      <c r="O2734" s="122">
        <v>1297</v>
      </c>
      <c r="P2734" s="122">
        <v>824</v>
      </c>
      <c r="Q2734" s="122">
        <v>305</v>
      </c>
      <c r="R2734" s="122">
        <v>7587</v>
      </c>
      <c r="S2734" s="122">
        <v>6898</v>
      </c>
      <c r="T2734" s="122">
        <v>3981</v>
      </c>
      <c r="U2734" s="122">
        <v>1474</v>
      </c>
      <c r="V2734" s="122">
        <v>70938</v>
      </c>
      <c r="W2734" s="122">
        <f t="shared" si="88"/>
        <v>70939</v>
      </c>
      <c r="X2734" s="122">
        <f t="shared" si="89"/>
        <v>82954</v>
      </c>
    </row>
    <row r="2735" spans="2:24">
      <c r="B2735" t="s">
        <v>382</v>
      </c>
      <c r="C2735" t="s">
        <v>64</v>
      </c>
      <c r="D2735" t="s">
        <v>405</v>
      </c>
      <c r="E2735" t="s">
        <v>405</v>
      </c>
      <c r="F2735" s="122">
        <v>5</v>
      </c>
      <c r="G2735" s="122">
        <v>447</v>
      </c>
      <c r="H2735" s="122">
        <v>2736</v>
      </c>
      <c r="I2735" s="122">
        <v>169052</v>
      </c>
      <c r="J2735" s="122">
        <v>153684</v>
      </c>
      <c r="K2735" s="122">
        <v>71</v>
      </c>
      <c r="L2735" s="122">
        <v>27360</v>
      </c>
      <c r="M2735" s="122">
        <v>21339</v>
      </c>
      <c r="N2735" s="122">
        <v>8739</v>
      </c>
      <c r="O2735" s="122">
        <v>3237</v>
      </c>
      <c r="P2735" s="122">
        <v>2241</v>
      </c>
      <c r="Q2735" s="122">
        <v>830</v>
      </c>
      <c r="R2735" s="122">
        <v>24240</v>
      </c>
      <c r="S2735" s="122">
        <v>22036</v>
      </c>
      <c r="T2735" s="122">
        <v>6679</v>
      </c>
      <c r="U2735" s="122">
        <v>2474</v>
      </c>
      <c r="V2735" s="122">
        <v>203599</v>
      </c>
      <c r="W2735" s="122">
        <f t="shared" si="88"/>
        <v>203600</v>
      </c>
      <c r="X2735" s="122">
        <f t="shared" si="89"/>
        <v>238311</v>
      </c>
    </row>
    <row r="2736" spans="2:24">
      <c r="B2736" t="s">
        <v>382</v>
      </c>
      <c r="C2736" t="s">
        <v>64</v>
      </c>
      <c r="D2736" t="s">
        <v>405</v>
      </c>
      <c r="E2736" t="s">
        <v>137</v>
      </c>
      <c r="F2736" s="122">
        <v>1</v>
      </c>
      <c r="G2736" s="122">
        <v>81</v>
      </c>
      <c r="H2736" s="122">
        <v>702</v>
      </c>
      <c r="I2736" s="122">
        <v>37369</v>
      </c>
      <c r="J2736" s="122">
        <v>33972</v>
      </c>
      <c r="K2736" s="122">
        <v>68</v>
      </c>
      <c r="L2736" s="122">
        <v>8941</v>
      </c>
      <c r="M2736" s="122">
        <v>8128</v>
      </c>
      <c r="N2736" s="122">
        <v>1183</v>
      </c>
      <c r="O2736" s="122">
        <v>438</v>
      </c>
      <c r="P2736" s="122">
        <v>473</v>
      </c>
      <c r="Q2736" s="122">
        <v>175</v>
      </c>
      <c r="R2736" s="122">
        <v>6629</v>
      </c>
      <c r="S2736" s="122">
        <v>2455</v>
      </c>
      <c r="T2736" s="122">
        <v>2178</v>
      </c>
      <c r="U2736" s="122">
        <v>807</v>
      </c>
      <c r="V2736" s="122">
        <v>45975</v>
      </c>
      <c r="W2736" s="122">
        <f t="shared" si="88"/>
        <v>45975</v>
      </c>
      <c r="X2736" s="122">
        <f t="shared" si="89"/>
        <v>56773</v>
      </c>
    </row>
    <row r="2737" spans="2:24">
      <c r="B2737" t="s">
        <v>382</v>
      </c>
      <c r="C2737" t="s">
        <v>64</v>
      </c>
      <c r="D2737" t="s">
        <v>137</v>
      </c>
      <c r="E2737" t="s">
        <v>137</v>
      </c>
      <c r="F2737" s="122">
        <v>85</v>
      </c>
      <c r="G2737" s="122">
        <v>7391</v>
      </c>
      <c r="H2737" s="122">
        <v>64083</v>
      </c>
      <c r="I2737" s="122">
        <v>3934984</v>
      </c>
      <c r="J2737" s="122">
        <v>1457401</v>
      </c>
      <c r="K2737" s="122">
        <v>100</v>
      </c>
      <c r="L2737" s="122">
        <v>604452</v>
      </c>
      <c r="M2737" s="122">
        <v>508036</v>
      </c>
      <c r="N2737" s="122">
        <v>162775</v>
      </c>
      <c r="O2737" s="122">
        <v>60287</v>
      </c>
      <c r="P2737" s="122">
        <v>351</v>
      </c>
      <c r="Q2737" s="122">
        <v>130</v>
      </c>
      <c r="R2737" s="122">
        <v>624715</v>
      </c>
      <c r="S2737" s="122">
        <v>231376</v>
      </c>
      <c r="T2737" s="122">
        <v>0</v>
      </c>
      <c r="U2737" s="122">
        <v>0</v>
      </c>
      <c r="V2737" s="122">
        <v>2257230</v>
      </c>
      <c r="W2737" s="122">
        <f t="shared" si="88"/>
        <v>2257230</v>
      </c>
      <c r="X2737" s="122">
        <f t="shared" si="89"/>
        <v>5327277</v>
      </c>
    </row>
    <row r="2738" spans="2:24">
      <c r="B2738" t="s">
        <v>382</v>
      </c>
      <c r="C2738" t="s">
        <v>64</v>
      </c>
      <c r="D2738" t="s">
        <v>137</v>
      </c>
      <c r="E2738" t="s">
        <v>406</v>
      </c>
      <c r="F2738" s="122">
        <v>2</v>
      </c>
      <c r="G2738" s="122">
        <v>207</v>
      </c>
      <c r="H2738" s="122">
        <v>1375</v>
      </c>
      <c r="I2738" s="122">
        <v>115785</v>
      </c>
      <c r="J2738" s="122">
        <v>42883</v>
      </c>
      <c r="K2738" s="122">
        <v>100</v>
      </c>
      <c r="L2738" s="122">
        <v>8064</v>
      </c>
      <c r="M2738" s="122">
        <v>7330</v>
      </c>
      <c r="N2738" s="122">
        <v>4891</v>
      </c>
      <c r="O2738" s="122">
        <v>1812</v>
      </c>
      <c r="P2738" s="122">
        <v>621</v>
      </c>
      <c r="Q2738" s="122">
        <v>230</v>
      </c>
      <c r="R2738" s="122">
        <v>10194</v>
      </c>
      <c r="S2738" s="122">
        <v>9268</v>
      </c>
      <c r="T2738" s="122">
        <v>3092</v>
      </c>
      <c r="U2738" s="122">
        <v>1145</v>
      </c>
      <c r="V2738" s="122">
        <v>62668</v>
      </c>
      <c r="W2738" s="122">
        <f t="shared" si="88"/>
        <v>62668</v>
      </c>
      <c r="X2738" s="122">
        <f t="shared" si="89"/>
        <v>142647</v>
      </c>
    </row>
    <row r="2739" spans="2:24">
      <c r="B2739" t="s">
        <v>382</v>
      </c>
      <c r="C2739" t="s">
        <v>64</v>
      </c>
      <c r="D2739" t="s">
        <v>137</v>
      </c>
      <c r="E2739" t="s">
        <v>427</v>
      </c>
      <c r="F2739" s="122">
        <v>2</v>
      </c>
      <c r="G2739" s="122">
        <v>114</v>
      </c>
      <c r="H2739" s="122">
        <v>2336</v>
      </c>
      <c r="I2739" s="122">
        <v>103963</v>
      </c>
      <c r="J2739" s="122">
        <v>38505</v>
      </c>
      <c r="K2739" s="122">
        <v>100</v>
      </c>
      <c r="L2739" s="122">
        <v>8832</v>
      </c>
      <c r="M2739" s="122">
        <v>8029</v>
      </c>
      <c r="N2739" s="122">
        <v>2398</v>
      </c>
      <c r="O2739" s="122">
        <v>888</v>
      </c>
      <c r="P2739" s="122">
        <v>351</v>
      </c>
      <c r="Q2739" s="122">
        <v>130</v>
      </c>
      <c r="R2739" s="122">
        <v>16681</v>
      </c>
      <c r="S2739" s="122">
        <v>15164</v>
      </c>
      <c r="T2739" s="122">
        <v>0</v>
      </c>
      <c r="U2739" s="122">
        <v>0</v>
      </c>
      <c r="V2739" s="122">
        <v>62716</v>
      </c>
      <c r="W2739" s="122">
        <f t="shared" si="88"/>
        <v>62716</v>
      </c>
      <c r="X2739" s="122">
        <f t="shared" si="89"/>
        <v>132225</v>
      </c>
    </row>
    <row r="2740" spans="2:24">
      <c r="B2740" t="s">
        <v>382</v>
      </c>
      <c r="C2740" t="s">
        <v>64</v>
      </c>
      <c r="D2740" t="s">
        <v>137</v>
      </c>
      <c r="E2740" t="s">
        <v>431</v>
      </c>
      <c r="F2740" s="122">
        <v>1</v>
      </c>
      <c r="G2740" s="122">
        <v>65</v>
      </c>
      <c r="H2740" s="122">
        <v>990</v>
      </c>
      <c r="I2740" s="122">
        <v>54723</v>
      </c>
      <c r="J2740" s="122">
        <v>20268</v>
      </c>
      <c r="K2740" s="122">
        <v>100</v>
      </c>
      <c r="L2740" s="122">
        <v>4954</v>
      </c>
      <c r="M2740" s="122">
        <v>4504</v>
      </c>
      <c r="N2740" s="122">
        <v>1549</v>
      </c>
      <c r="O2740" s="122">
        <v>574</v>
      </c>
      <c r="P2740" s="122">
        <v>0</v>
      </c>
      <c r="Q2740" s="122">
        <v>0</v>
      </c>
      <c r="R2740" s="122">
        <v>1793</v>
      </c>
      <c r="S2740" s="122">
        <v>1630</v>
      </c>
      <c r="T2740" s="122">
        <v>1517</v>
      </c>
      <c r="U2740" s="122">
        <v>562</v>
      </c>
      <c r="V2740" s="122">
        <v>27537</v>
      </c>
      <c r="W2740" s="122">
        <f t="shared" si="88"/>
        <v>27538</v>
      </c>
      <c r="X2740" s="122">
        <f t="shared" si="89"/>
        <v>64536</v>
      </c>
    </row>
    <row r="2741" spans="2:24">
      <c r="B2741" t="s">
        <v>382</v>
      </c>
      <c r="C2741" t="s">
        <v>64</v>
      </c>
      <c r="D2741" t="s">
        <v>137</v>
      </c>
      <c r="E2741" t="s">
        <v>426</v>
      </c>
      <c r="F2741" s="122">
        <v>13</v>
      </c>
      <c r="G2741" s="122">
        <v>1255</v>
      </c>
      <c r="H2741" s="122">
        <v>10395</v>
      </c>
      <c r="I2741" s="122">
        <v>781185</v>
      </c>
      <c r="J2741" s="122">
        <v>289328</v>
      </c>
      <c r="K2741" s="122">
        <v>100</v>
      </c>
      <c r="L2741" s="122">
        <v>91385</v>
      </c>
      <c r="M2741" s="122">
        <v>82575</v>
      </c>
      <c r="N2741" s="122">
        <v>26691</v>
      </c>
      <c r="O2741" s="122">
        <v>9885</v>
      </c>
      <c r="P2741" s="122">
        <v>351</v>
      </c>
      <c r="Q2741" s="122">
        <v>130</v>
      </c>
      <c r="R2741" s="122">
        <v>101138</v>
      </c>
      <c r="S2741" s="122">
        <v>91944</v>
      </c>
      <c r="T2741" s="122">
        <v>22478</v>
      </c>
      <c r="U2741" s="122">
        <v>8325</v>
      </c>
      <c r="V2741" s="122">
        <v>482187</v>
      </c>
      <c r="W2741" s="122">
        <f t="shared" si="88"/>
        <v>482187</v>
      </c>
      <c r="X2741" s="122">
        <f t="shared" si="89"/>
        <v>1023228</v>
      </c>
    </row>
    <row r="2742" spans="2:24">
      <c r="B2742" t="s">
        <v>382</v>
      </c>
      <c r="C2742" t="s">
        <v>64</v>
      </c>
      <c r="D2742" t="s">
        <v>406</v>
      </c>
      <c r="E2742" t="s">
        <v>555</v>
      </c>
      <c r="F2742" s="122">
        <v>1</v>
      </c>
      <c r="G2742" s="122">
        <v>92</v>
      </c>
      <c r="H2742" s="122">
        <v>589</v>
      </c>
      <c r="I2742" s="122">
        <v>35429</v>
      </c>
      <c r="J2742" s="122">
        <v>32209</v>
      </c>
      <c r="K2742" s="122">
        <v>79</v>
      </c>
      <c r="L2742" s="122">
        <v>9842</v>
      </c>
      <c r="M2742" s="122">
        <v>8947</v>
      </c>
      <c r="N2742" s="122">
        <v>2246</v>
      </c>
      <c r="O2742" s="122">
        <v>832</v>
      </c>
      <c r="P2742" s="122">
        <v>621</v>
      </c>
      <c r="Q2742" s="122">
        <v>230</v>
      </c>
      <c r="R2742" s="122">
        <v>3763</v>
      </c>
      <c r="S2742" s="122">
        <v>3421</v>
      </c>
      <c r="T2742" s="122">
        <v>2327</v>
      </c>
      <c r="U2742" s="122">
        <v>862</v>
      </c>
      <c r="V2742" s="122">
        <v>46500</v>
      </c>
      <c r="W2742" s="122">
        <f t="shared" si="88"/>
        <v>46501</v>
      </c>
      <c r="X2742" s="122">
        <f t="shared" si="89"/>
        <v>54228</v>
      </c>
    </row>
    <row r="2743" spans="2:24">
      <c r="B2743" t="s">
        <v>382</v>
      </c>
      <c r="C2743" t="s">
        <v>64</v>
      </c>
      <c r="D2743" t="s">
        <v>406</v>
      </c>
      <c r="E2743" t="s">
        <v>137</v>
      </c>
      <c r="F2743" s="122">
        <v>5</v>
      </c>
      <c r="G2743" s="122">
        <v>931</v>
      </c>
      <c r="H2743" s="122">
        <v>2647</v>
      </c>
      <c r="I2743" s="122">
        <v>323664</v>
      </c>
      <c r="J2743" s="122">
        <v>294240</v>
      </c>
      <c r="K2743" s="122">
        <v>67</v>
      </c>
      <c r="L2743" s="122">
        <v>70657</v>
      </c>
      <c r="M2743" s="122">
        <v>59105</v>
      </c>
      <c r="N2743" s="122">
        <v>21533</v>
      </c>
      <c r="O2743" s="122">
        <v>7975</v>
      </c>
      <c r="P2743" s="122">
        <v>2484</v>
      </c>
      <c r="Q2743" s="122">
        <v>920</v>
      </c>
      <c r="R2743" s="122">
        <v>50610</v>
      </c>
      <c r="S2743" s="122">
        <v>18744</v>
      </c>
      <c r="T2743" s="122">
        <v>0</v>
      </c>
      <c r="U2743" s="122">
        <v>0</v>
      </c>
      <c r="V2743" s="122">
        <v>380984</v>
      </c>
      <c r="W2743" s="122">
        <f t="shared" si="88"/>
        <v>380984</v>
      </c>
      <c r="X2743" s="122">
        <f t="shared" si="89"/>
        <v>468948</v>
      </c>
    </row>
    <row r="2744" spans="2:24">
      <c r="B2744" t="s">
        <v>382</v>
      </c>
      <c r="C2744" t="s">
        <v>64</v>
      </c>
      <c r="D2744" t="s">
        <v>406</v>
      </c>
      <c r="E2744" t="s">
        <v>406</v>
      </c>
      <c r="F2744" s="122">
        <v>293</v>
      </c>
      <c r="G2744" s="122">
        <v>29051</v>
      </c>
      <c r="H2744" s="122">
        <v>161704</v>
      </c>
      <c r="I2744" s="122">
        <v>10711786</v>
      </c>
      <c r="J2744" s="122">
        <v>9737987</v>
      </c>
      <c r="K2744" s="122">
        <v>74</v>
      </c>
      <c r="L2744" s="122">
        <v>2558478</v>
      </c>
      <c r="M2744" s="122">
        <v>2278960</v>
      </c>
      <c r="N2744" s="122">
        <v>646844</v>
      </c>
      <c r="O2744" s="122">
        <v>239572</v>
      </c>
      <c r="P2744" s="122">
        <v>191943</v>
      </c>
      <c r="Q2744" s="122">
        <v>71090</v>
      </c>
      <c r="R2744" s="122">
        <v>1409717</v>
      </c>
      <c r="S2744" s="122">
        <v>1281561</v>
      </c>
      <c r="T2744" s="122">
        <v>540849</v>
      </c>
      <c r="U2744" s="122">
        <v>200314</v>
      </c>
      <c r="V2744" s="122">
        <v>13809484</v>
      </c>
      <c r="W2744" s="122">
        <f t="shared" si="88"/>
        <v>13809484</v>
      </c>
      <c r="X2744" s="122">
        <f t="shared" si="89"/>
        <v>16059617</v>
      </c>
    </row>
    <row r="2745" spans="2:24">
      <c r="B2745" t="s">
        <v>382</v>
      </c>
      <c r="C2745" t="s">
        <v>64</v>
      </c>
      <c r="D2745" t="s">
        <v>406</v>
      </c>
      <c r="E2745" t="s">
        <v>426</v>
      </c>
      <c r="F2745" s="122">
        <v>1</v>
      </c>
      <c r="G2745" s="122">
        <v>77</v>
      </c>
      <c r="H2745" s="122">
        <v>534</v>
      </c>
      <c r="I2745" s="122">
        <v>28786</v>
      </c>
      <c r="J2745" s="122">
        <v>26169</v>
      </c>
      <c r="K2745" s="122">
        <v>65</v>
      </c>
      <c r="L2745" s="122">
        <v>3594</v>
      </c>
      <c r="M2745" s="122">
        <v>3267</v>
      </c>
      <c r="N2745" s="122">
        <v>1563</v>
      </c>
      <c r="O2745" s="122">
        <v>579</v>
      </c>
      <c r="P2745" s="122">
        <v>621</v>
      </c>
      <c r="Q2745" s="122">
        <v>230</v>
      </c>
      <c r="R2745" s="122">
        <v>4299</v>
      </c>
      <c r="S2745" s="122">
        <v>3909</v>
      </c>
      <c r="T2745" s="122">
        <v>2123</v>
      </c>
      <c r="U2745" s="122">
        <v>786</v>
      </c>
      <c r="V2745" s="122">
        <v>34940</v>
      </c>
      <c r="W2745" s="122">
        <f t="shared" si="88"/>
        <v>34940</v>
      </c>
      <c r="X2745" s="122">
        <f t="shared" si="89"/>
        <v>40986</v>
      </c>
    </row>
    <row r="2746" spans="2:24">
      <c r="B2746" t="s">
        <v>382</v>
      </c>
      <c r="C2746" t="s">
        <v>64</v>
      </c>
      <c r="D2746" t="s">
        <v>427</v>
      </c>
      <c r="E2746" t="s">
        <v>137</v>
      </c>
      <c r="F2746" s="122">
        <v>6</v>
      </c>
      <c r="G2746" s="122">
        <v>332</v>
      </c>
      <c r="H2746" s="122">
        <v>8099</v>
      </c>
      <c r="I2746" s="122">
        <v>365848</v>
      </c>
      <c r="J2746" s="122">
        <v>332589</v>
      </c>
      <c r="K2746" s="122">
        <v>42</v>
      </c>
      <c r="L2746" s="122">
        <v>45525</v>
      </c>
      <c r="M2746" s="122">
        <v>22957</v>
      </c>
      <c r="N2746" s="122">
        <v>7877</v>
      </c>
      <c r="O2746" s="122">
        <v>2917</v>
      </c>
      <c r="P2746" s="122">
        <v>0</v>
      </c>
      <c r="Q2746" s="122">
        <v>0</v>
      </c>
      <c r="R2746" s="122">
        <v>30726</v>
      </c>
      <c r="S2746" s="122">
        <v>11380</v>
      </c>
      <c r="T2746" s="122">
        <v>0</v>
      </c>
      <c r="U2746" s="122">
        <v>0</v>
      </c>
      <c r="V2746" s="122">
        <v>369843</v>
      </c>
      <c r="W2746" s="122">
        <f t="shared" si="88"/>
        <v>369843</v>
      </c>
      <c r="X2746" s="122">
        <f t="shared" si="89"/>
        <v>449976</v>
      </c>
    </row>
    <row r="2747" spans="2:24">
      <c r="B2747" t="s">
        <v>382</v>
      </c>
      <c r="C2747" t="s">
        <v>64</v>
      </c>
      <c r="D2747" t="s">
        <v>427</v>
      </c>
      <c r="E2747" t="s">
        <v>427</v>
      </c>
      <c r="F2747" s="122">
        <v>6</v>
      </c>
      <c r="G2747" s="122">
        <v>548</v>
      </c>
      <c r="H2747" s="122">
        <v>3940</v>
      </c>
      <c r="I2747" s="122">
        <v>253851</v>
      </c>
      <c r="J2747" s="122">
        <v>230774</v>
      </c>
      <c r="K2747" s="122">
        <v>55</v>
      </c>
      <c r="L2747" s="122">
        <v>47057</v>
      </c>
      <c r="M2747" s="122">
        <v>34079</v>
      </c>
      <c r="N2747" s="122">
        <v>11814</v>
      </c>
      <c r="O2747" s="122">
        <v>4375</v>
      </c>
      <c r="P2747" s="122">
        <v>1755</v>
      </c>
      <c r="Q2747" s="122">
        <v>650</v>
      </c>
      <c r="R2747" s="122">
        <v>34990</v>
      </c>
      <c r="S2747" s="122">
        <v>31809</v>
      </c>
      <c r="T2747" s="122">
        <v>11143</v>
      </c>
      <c r="U2747" s="122">
        <v>4127</v>
      </c>
      <c r="V2747" s="122">
        <v>305815</v>
      </c>
      <c r="W2747" s="122">
        <f t="shared" si="88"/>
        <v>305814</v>
      </c>
      <c r="X2747" s="122">
        <f t="shared" si="89"/>
        <v>360610</v>
      </c>
    </row>
    <row r="2748" spans="2:24">
      <c r="B2748" t="s">
        <v>382</v>
      </c>
      <c r="C2748" t="s">
        <v>64</v>
      </c>
      <c r="D2748" t="s">
        <v>556</v>
      </c>
      <c r="E2748" t="s">
        <v>556</v>
      </c>
      <c r="F2748" s="122">
        <v>3</v>
      </c>
      <c r="G2748" s="122">
        <v>318</v>
      </c>
      <c r="H2748" s="122">
        <v>2347</v>
      </c>
      <c r="I2748" s="122">
        <v>165303</v>
      </c>
      <c r="J2748" s="122">
        <v>137752</v>
      </c>
      <c r="K2748" s="122">
        <v>58</v>
      </c>
      <c r="L2748" s="122">
        <v>26327</v>
      </c>
      <c r="M2748" s="122">
        <v>19661</v>
      </c>
      <c r="N2748" s="122">
        <v>6629</v>
      </c>
      <c r="O2748" s="122">
        <v>2455</v>
      </c>
      <c r="P2748" s="122">
        <v>1053</v>
      </c>
      <c r="Q2748" s="122">
        <v>390</v>
      </c>
      <c r="R2748" s="122">
        <v>18341</v>
      </c>
      <c r="S2748" s="122">
        <v>15284</v>
      </c>
      <c r="T2748" s="122">
        <v>8436</v>
      </c>
      <c r="U2748" s="122">
        <v>3124</v>
      </c>
      <c r="V2748" s="122">
        <v>178667</v>
      </c>
      <c r="W2748" s="122">
        <f t="shared" si="88"/>
        <v>178666</v>
      </c>
      <c r="X2748" s="122">
        <f t="shared" si="89"/>
        <v>226089</v>
      </c>
    </row>
    <row r="2749" spans="2:24">
      <c r="B2749" t="s">
        <v>382</v>
      </c>
      <c r="C2749" t="s">
        <v>64</v>
      </c>
      <c r="D2749" t="s">
        <v>431</v>
      </c>
      <c r="E2749" t="s">
        <v>137</v>
      </c>
      <c r="F2749" s="122">
        <v>4</v>
      </c>
      <c r="G2749" s="122">
        <v>232</v>
      </c>
      <c r="H2749" s="122">
        <v>6303</v>
      </c>
      <c r="I2749" s="122">
        <v>297412</v>
      </c>
      <c r="J2749" s="122">
        <v>270374</v>
      </c>
      <c r="K2749" s="122">
        <v>30</v>
      </c>
      <c r="L2749" s="122">
        <v>41085</v>
      </c>
      <c r="M2749" s="122">
        <v>15217</v>
      </c>
      <c r="N2749" s="122">
        <v>5647</v>
      </c>
      <c r="O2749" s="122">
        <v>2092</v>
      </c>
      <c r="P2749" s="122">
        <v>0</v>
      </c>
      <c r="Q2749" s="122">
        <v>0</v>
      </c>
      <c r="R2749" s="122">
        <v>24588</v>
      </c>
      <c r="S2749" s="122">
        <v>9107</v>
      </c>
      <c r="T2749" s="122">
        <v>0</v>
      </c>
      <c r="U2749" s="122">
        <v>0</v>
      </c>
      <c r="V2749" s="122">
        <v>296789</v>
      </c>
      <c r="W2749" s="122">
        <f t="shared" si="88"/>
        <v>296790</v>
      </c>
      <c r="X2749" s="122">
        <f t="shared" si="89"/>
        <v>368732</v>
      </c>
    </row>
    <row r="2750" spans="2:24">
      <c r="B2750" t="s">
        <v>382</v>
      </c>
      <c r="C2750" t="s">
        <v>64</v>
      </c>
      <c r="D2750" t="s">
        <v>431</v>
      </c>
      <c r="E2750" t="s">
        <v>431</v>
      </c>
      <c r="F2750" s="122">
        <v>4</v>
      </c>
      <c r="G2750" s="122">
        <v>358</v>
      </c>
      <c r="H2750" s="122">
        <v>2570</v>
      </c>
      <c r="I2750" s="122">
        <v>171133</v>
      </c>
      <c r="J2750" s="122">
        <v>155575</v>
      </c>
      <c r="K2750" s="122">
        <v>50</v>
      </c>
      <c r="L2750" s="122">
        <v>22180</v>
      </c>
      <c r="M2750" s="122">
        <v>28278</v>
      </c>
      <c r="N2750" s="122">
        <v>7907</v>
      </c>
      <c r="O2750" s="122">
        <v>2929</v>
      </c>
      <c r="P2750" s="122">
        <v>1404</v>
      </c>
      <c r="Q2750" s="122">
        <v>520</v>
      </c>
      <c r="R2750" s="122">
        <v>22159</v>
      </c>
      <c r="S2750" s="122">
        <v>20144</v>
      </c>
      <c r="T2750" s="122">
        <v>6632</v>
      </c>
      <c r="U2750" s="122">
        <v>2456</v>
      </c>
      <c r="V2750" s="122">
        <v>209902</v>
      </c>
      <c r="W2750" s="122">
        <f t="shared" si="88"/>
        <v>209902</v>
      </c>
      <c r="X2750" s="122">
        <f t="shared" si="89"/>
        <v>231415</v>
      </c>
    </row>
    <row r="2751" spans="2:24">
      <c r="B2751" t="s">
        <v>382</v>
      </c>
      <c r="C2751" t="s">
        <v>64</v>
      </c>
      <c r="D2751" t="s">
        <v>426</v>
      </c>
      <c r="E2751" t="s">
        <v>137</v>
      </c>
      <c r="F2751" s="122">
        <v>42</v>
      </c>
      <c r="G2751" s="122">
        <v>3484</v>
      </c>
      <c r="H2751" s="122">
        <v>48703</v>
      </c>
      <c r="I2751" s="122">
        <v>3296891</v>
      </c>
      <c r="J2751" s="122">
        <v>2997174</v>
      </c>
      <c r="K2751" s="122">
        <v>42</v>
      </c>
      <c r="L2751" s="122">
        <v>268582</v>
      </c>
      <c r="M2751" s="122">
        <v>165871</v>
      </c>
      <c r="N2751" s="122">
        <v>76939</v>
      </c>
      <c r="O2751" s="122">
        <v>28496</v>
      </c>
      <c r="P2751" s="122">
        <v>1404</v>
      </c>
      <c r="Q2751" s="122">
        <v>520</v>
      </c>
      <c r="R2751" s="122">
        <v>257000</v>
      </c>
      <c r="S2751" s="122">
        <v>95185</v>
      </c>
      <c r="T2751" s="122">
        <v>1604</v>
      </c>
      <c r="U2751" s="122">
        <v>594</v>
      </c>
      <c r="V2751" s="122">
        <v>3287840</v>
      </c>
      <c r="W2751" s="122">
        <f t="shared" si="88"/>
        <v>3287840</v>
      </c>
      <c r="X2751" s="122">
        <f t="shared" si="89"/>
        <v>3902420</v>
      </c>
    </row>
    <row r="2752" spans="2:24">
      <c r="B2752" t="s">
        <v>382</v>
      </c>
      <c r="C2752" t="s">
        <v>64</v>
      </c>
      <c r="D2752" t="s">
        <v>426</v>
      </c>
      <c r="E2752" t="s">
        <v>426</v>
      </c>
      <c r="F2752" s="122">
        <v>146</v>
      </c>
      <c r="G2752" s="122">
        <v>12296</v>
      </c>
      <c r="H2752" s="122">
        <v>100674</v>
      </c>
      <c r="I2752" s="122">
        <v>6027348</v>
      </c>
      <c r="J2752" s="122">
        <v>5479407</v>
      </c>
      <c r="K2752" s="122">
        <v>51</v>
      </c>
      <c r="L2752" s="122">
        <v>890567</v>
      </c>
      <c r="M2752" s="122">
        <v>748992</v>
      </c>
      <c r="N2752" s="122">
        <v>270652</v>
      </c>
      <c r="O2752" s="122">
        <v>100242</v>
      </c>
      <c r="P2752" s="122">
        <v>54610</v>
      </c>
      <c r="Q2752" s="122">
        <v>20226</v>
      </c>
      <c r="R2752" s="122">
        <v>877856</v>
      </c>
      <c r="S2752" s="122">
        <v>798051</v>
      </c>
      <c r="T2752" s="122">
        <v>300644</v>
      </c>
      <c r="U2752" s="122">
        <v>111350</v>
      </c>
      <c r="V2752" s="122">
        <v>7258267</v>
      </c>
      <c r="W2752" s="122">
        <f t="shared" si="88"/>
        <v>7258268</v>
      </c>
      <c r="X2752" s="122">
        <f t="shared" si="89"/>
        <v>8421677</v>
      </c>
    </row>
    <row r="2753" spans="2:24">
      <c r="B2753" t="s">
        <v>382</v>
      </c>
      <c r="C2753" t="s">
        <v>64</v>
      </c>
      <c r="D2753" t="s">
        <v>481</v>
      </c>
      <c r="E2753" t="s">
        <v>426</v>
      </c>
      <c r="F2753" s="122">
        <v>1</v>
      </c>
      <c r="G2753" s="122">
        <v>104</v>
      </c>
      <c r="H2753" s="122">
        <v>527</v>
      </c>
      <c r="I2753" s="122">
        <v>36591</v>
      </c>
      <c r="J2753" s="122">
        <v>33264</v>
      </c>
      <c r="K2753" s="122">
        <v>65</v>
      </c>
      <c r="L2753" s="122">
        <v>8809</v>
      </c>
      <c r="M2753" s="122">
        <v>8008</v>
      </c>
      <c r="N2753" s="122">
        <v>2174</v>
      </c>
      <c r="O2753" s="122">
        <v>805</v>
      </c>
      <c r="P2753" s="122">
        <v>351</v>
      </c>
      <c r="Q2753" s="122">
        <v>130</v>
      </c>
      <c r="R2753" s="122">
        <v>4542</v>
      </c>
      <c r="S2753" s="122">
        <v>4129</v>
      </c>
      <c r="T2753" s="122">
        <v>2482</v>
      </c>
      <c r="U2753" s="122">
        <v>919</v>
      </c>
      <c r="V2753" s="122">
        <v>47256</v>
      </c>
      <c r="W2753" s="122">
        <f t="shared" si="88"/>
        <v>47255</v>
      </c>
      <c r="X2753" s="122">
        <f t="shared" si="89"/>
        <v>54949</v>
      </c>
    </row>
    <row r="2754" spans="2:24">
      <c r="B2754" t="s">
        <v>382</v>
      </c>
      <c r="C2754" t="s">
        <v>64</v>
      </c>
      <c r="D2754" t="s">
        <v>433</v>
      </c>
      <c r="E2754" t="s">
        <v>433</v>
      </c>
      <c r="F2754" s="122">
        <v>4</v>
      </c>
      <c r="G2754" s="122">
        <v>282</v>
      </c>
      <c r="H2754" s="122">
        <v>2275</v>
      </c>
      <c r="I2754" s="122">
        <v>116967</v>
      </c>
      <c r="J2754" s="122">
        <v>106333</v>
      </c>
      <c r="K2754" s="122">
        <v>56</v>
      </c>
      <c r="L2754" s="122">
        <v>11024</v>
      </c>
      <c r="M2754" s="122">
        <v>9059</v>
      </c>
      <c r="N2754" s="122">
        <v>4929</v>
      </c>
      <c r="O2754" s="122">
        <v>1826</v>
      </c>
      <c r="P2754" s="122">
        <v>1404</v>
      </c>
      <c r="Q2754" s="122">
        <v>520</v>
      </c>
      <c r="R2754" s="122">
        <v>21268</v>
      </c>
      <c r="S2754" s="122">
        <v>19335</v>
      </c>
      <c r="T2754" s="122">
        <v>4225</v>
      </c>
      <c r="U2754" s="122">
        <v>1565</v>
      </c>
      <c r="V2754" s="122">
        <v>138638</v>
      </c>
      <c r="W2754" s="122">
        <f t="shared" si="88"/>
        <v>138638</v>
      </c>
      <c r="X2754" s="122">
        <f t="shared" si="89"/>
        <v>159817</v>
      </c>
    </row>
    <row r="2755" spans="2:24">
      <c r="B2755" t="s">
        <v>383</v>
      </c>
      <c r="C2755" t="s">
        <v>48</v>
      </c>
      <c r="F2755" s="122">
        <v>8</v>
      </c>
      <c r="G2755" s="122">
        <v>1584</v>
      </c>
      <c r="H2755" s="122">
        <v>510</v>
      </c>
      <c r="I2755" s="122"/>
      <c r="J2755" s="122">
        <v>0</v>
      </c>
      <c r="K2755" s="122"/>
      <c r="L2755" s="122"/>
      <c r="M2755" s="122">
        <v>0</v>
      </c>
      <c r="N2755" s="122">
        <v>19413</v>
      </c>
      <c r="O2755" s="122">
        <v>7190</v>
      </c>
      <c r="P2755" s="122">
        <v>16329</v>
      </c>
      <c r="Q2755" s="122">
        <v>6048</v>
      </c>
      <c r="R2755" s="122"/>
      <c r="S2755" s="122">
        <v>0</v>
      </c>
      <c r="T2755" s="122">
        <v>0</v>
      </c>
      <c r="U2755" s="122">
        <v>0</v>
      </c>
      <c r="V2755" s="122">
        <v>13238</v>
      </c>
      <c r="W2755" s="122">
        <f t="shared" si="88"/>
        <v>13238</v>
      </c>
      <c r="X2755" s="122">
        <f t="shared" si="89"/>
        <v>35742</v>
      </c>
    </row>
    <row r="2756" spans="2:24">
      <c r="B2756" t="s">
        <v>383</v>
      </c>
      <c r="C2756" t="s">
        <v>48</v>
      </c>
      <c r="D2756" t="s">
        <v>405</v>
      </c>
      <c r="E2756" t="s">
        <v>405</v>
      </c>
      <c r="F2756" s="122">
        <v>2</v>
      </c>
      <c r="G2756" s="122">
        <v>276</v>
      </c>
      <c r="H2756" s="122">
        <v>122</v>
      </c>
      <c r="I2756" s="122">
        <v>4309</v>
      </c>
      <c r="J2756" s="122">
        <v>3917</v>
      </c>
      <c r="K2756" s="122">
        <v>91</v>
      </c>
      <c r="L2756" s="122">
        <v>571</v>
      </c>
      <c r="M2756" s="122">
        <v>519</v>
      </c>
      <c r="N2756" s="122">
        <v>3358</v>
      </c>
      <c r="O2756" s="122">
        <v>1244</v>
      </c>
      <c r="P2756" s="122">
        <v>945</v>
      </c>
      <c r="Q2756" s="122">
        <v>350</v>
      </c>
      <c r="R2756" s="122">
        <v>7620</v>
      </c>
      <c r="S2756" s="122">
        <v>6927</v>
      </c>
      <c r="T2756" s="122">
        <v>0</v>
      </c>
      <c r="U2756" s="122">
        <v>0</v>
      </c>
      <c r="V2756" s="122">
        <v>12958</v>
      </c>
      <c r="W2756" s="122">
        <f t="shared" si="88"/>
        <v>12957</v>
      </c>
      <c r="X2756" s="122">
        <f t="shared" si="89"/>
        <v>16803</v>
      </c>
    </row>
    <row r="2757" spans="2:24">
      <c r="B2757" t="s">
        <v>383</v>
      </c>
      <c r="C2757" t="s">
        <v>48</v>
      </c>
      <c r="D2757" t="s">
        <v>137</v>
      </c>
      <c r="E2757" t="s">
        <v>137</v>
      </c>
      <c r="F2757" s="122">
        <v>171</v>
      </c>
      <c r="G2757" s="122">
        <v>36598</v>
      </c>
      <c r="H2757" s="122">
        <v>9764</v>
      </c>
      <c r="I2757" s="122">
        <v>289456</v>
      </c>
      <c r="J2757" s="122">
        <v>107206</v>
      </c>
      <c r="K2757" s="122">
        <v>446</v>
      </c>
      <c r="L2757" s="122">
        <v>82996</v>
      </c>
      <c r="M2757" s="122">
        <v>69965</v>
      </c>
      <c r="N2757" s="122">
        <v>485886</v>
      </c>
      <c r="O2757" s="122">
        <v>179958</v>
      </c>
      <c r="P2757" s="122">
        <v>284377</v>
      </c>
      <c r="Q2757" s="122">
        <v>105325</v>
      </c>
      <c r="R2757" s="122">
        <v>911009</v>
      </c>
      <c r="S2757" s="122">
        <v>337411</v>
      </c>
      <c r="T2757" s="122">
        <v>4005</v>
      </c>
      <c r="U2757" s="122">
        <v>1483</v>
      </c>
      <c r="V2757" s="122">
        <v>801347</v>
      </c>
      <c r="W2757" s="122">
        <f t="shared" si="88"/>
        <v>801348</v>
      </c>
      <c r="X2757" s="122">
        <f t="shared" si="89"/>
        <v>2057729</v>
      </c>
    </row>
    <row r="2758" spans="2:24">
      <c r="B2758" t="s">
        <v>383</v>
      </c>
      <c r="C2758" t="s">
        <v>48</v>
      </c>
      <c r="D2758" t="s">
        <v>137</v>
      </c>
      <c r="E2758" t="s">
        <v>406</v>
      </c>
      <c r="F2758" s="122">
        <v>1</v>
      </c>
      <c r="G2758" s="122">
        <v>430</v>
      </c>
      <c r="H2758" s="122">
        <v>75</v>
      </c>
      <c r="I2758" s="122">
        <v>19083</v>
      </c>
      <c r="J2758" s="122">
        <v>7068</v>
      </c>
      <c r="K2758" s="122">
        <v>400</v>
      </c>
      <c r="L2758" s="122">
        <v>3645</v>
      </c>
      <c r="M2758" s="122">
        <v>3314</v>
      </c>
      <c r="N2758" s="122">
        <v>5233</v>
      </c>
      <c r="O2758" s="122">
        <v>1938</v>
      </c>
      <c r="P2758" s="122">
        <v>621</v>
      </c>
      <c r="Q2758" s="122">
        <v>230</v>
      </c>
      <c r="R2758" s="122">
        <v>3612</v>
      </c>
      <c r="S2758" s="122">
        <v>3284</v>
      </c>
      <c r="T2758" s="122">
        <v>0</v>
      </c>
      <c r="U2758" s="122">
        <v>0</v>
      </c>
      <c r="V2758" s="122">
        <v>15833</v>
      </c>
      <c r="W2758" s="122">
        <f t="shared" si="88"/>
        <v>15834</v>
      </c>
      <c r="X2758" s="122">
        <f t="shared" si="89"/>
        <v>32194</v>
      </c>
    </row>
    <row r="2759" spans="2:24">
      <c r="B2759" t="s">
        <v>383</v>
      </c>
      <c r="C2759" t="s">
        <v>48</v>
      </c>
      <c r="D2759" t="s">
        <v>406</v>
      </c>
      <c r="E2759" t="s">
        <v>137</v>
      </c>
      <c r="F2759" s="122">
        <v>1</v>
      </c>
      <c r="G2759" s="122">
        <v>297</v>
      </c>
      <c r="H2759" s="122">
        <v>44</v>
      </c>
      <c r="I2759" s="122">
        <v>-129</v>
      </c>
      <c r="J2759" s="122">
        <v>-118</v>
      </c>
      <c r="K2759" s="122">
        <v>93</v>
      </c>
      <c r="L2759" s="122">
        <v>-20</v>
      </c>
      <c r="M2759" s="122">
        <v>-19</v>
      </c>
      <c r="N2759" s="122">
        <v>3723</v>
      </c>
      <c r="O2759" s="122">
        <v>1379</v>
      </c>
      <c r="P2759" s="122">
        <v>3435</v>
      </c>
      <c r="Q2759" s="122">
        <v>1272</v>
      </c>
      <c r="R2759" s="122">
        <v>6132</v>
      </c>
      <c r="S2759" s="122">
        <v>2271</v>
      </c>
      <c r="T2759" s="122">
        <v>0</v>
      </c>
      <c r="U2759" s="122">
        <v>0</v>
      </c>
      <c r="V2759" s="122">
        <v>4786</v>
      </c>
      <c r="W2759" s="122">
        <f t="shared" si="88"/>
        <v>5059</v>
      </c>
      <c r="X2759" s="122">
        <f t="shared" si="89"/>
        <v>13439</v>
      </c>
    </row>
    <row r="2760" spans="2:24">
      <c r="B2760" t="s">
        <v>383</v>
      </c>
      <c r="C2760" t="s">
        <v>48</v>
      </c>
      <c r="D2760" t="s">
        <v>406</v>
      </c>
      <c r="E2760" t="s">
        <v>406</v>
      </c>
      <c r="F2760" s="122">
        <v>40</v>
      </c>
      <c r="G2760" s="122">
        <v>8166</v>
      </c>
      <c r="H2760" s="122">
        <v>2430</v>
      </c>
      <c r="I2760" s="122">
        <v>172844</v>
      </c>
      <c r="J2760" s="122">
        <v>157131</v>
      </c>
      <c r="K2760" s="122">
        <v>95</v>
      </c>
      <c r="L2760" s="122">
        <v>25221</v>
      </c>
      <c r="M2760" s="122">
        <v>22929</v>
      </c>
      <c r="N2760" s="122">
        <v>107856</v>
      </c>
      <c r="O2760" s="122">
        <v>39947</v>
      </c>
      <c r="P2760" s="122">
        <v>41669</v>
      </c>
      <c r="Q2760" s="122">
        <v>15433</v>
      </c>
      <c r="R2760" s="122">
        <v>145250</v>
      </c>
      <c r="S2760" s="122">
        <v>132046</v>
      </c>
      <c r="T2760" s="122">
        <v>0</v>
      </c>
      <c r="U2760" s="122">
        <v>0</v>
      </c>
      <c r="V2760" s="122">
        <v>367485</v>
      </c>
      <c r="W2760" s="122">
        <f t="shared" si="88"/>
        <v>367486</v>
      </c>
      <c r="X2760" s="122">
        <f t="shared" si="89"/>
        <v>492840</v>
      </c>
    </row>
    <row r="2761" spans="2:24">
      <c r="B2761" t="s">
        <v>383</v>
      </c>
      <c r="C2761" t="s">
        <v>48</v>
      </c>
      <c r="D2761" t="s">
        <v>407</v>
      </c>
      <c r="E2761" t="s">
        <v>407</v>
      </c>
      <c r="F2761" s="122">
        <v>10</v>
      </c>
      <c r="G2761" s="122">
        <v>1982</v>
      </c>
      <c r="H2761" s="122">
        <v>567</v>
      </c>
      <c r="I2761" s="122">
        <v>37147</v>
      </c>
      <c r="J2761" s="122">
        <v>33770</v>
      </c>
      <c r="K2761" s="122">
        <v>91</v>
      </c>
      <c r="L2761" s="122">
        <v>3624</v>
      </c>
      <c r="M2761" s="122">
        <v>3295</v>
      </c>
      <c r="N2761" s="122">
        <v>24148</v>
      </c>
      <c r="O2761" s="122">
        <v>8944</v>
      </c>
      <c r="P2761" s="122">
        <v>8983</v>
      </c>
      <c r="Q2761" s="122">
        <v>3327</v>
      </c>
      <c r="R2761" s="122">
        <v>38649</v>
      </c>
      <c r="S2761" s="122">
        <v>35136</v>
      </c>
      <c r="T2761" s="122">
        <v>0</v>
      </c>
      <c r="U2761" s="122">
        <v>0</v>
      </c>
      <c r="V2761" s="122">
        <v>84472</v>
      </c>
      <c r="W2761" s="122">
        <f t="shared" si="88"/>
        <v>84472</v>
      </c>
      <c r="X2761" s="122">
        <f t="shared" si="89"/>
        <v>112551</v>
      </c>
    </row>
    <row r="2762" spans="2:24">
      <c r="B2762" t="s">
        <v>383</v>
      </c>
      <c r="C2762" t="s">
        <v>50</v>
      </c>
      <c r="F2762" s="122">
        <v>14</v>
      </c>
      <c r="G2762" s="122">
        <v>2472</v>
      </c>
      <c r="H2762" s="122">
        <v>1259</v>
      </c>
      <c r="I2762" s="122"/>
      <c r="J2762" s="122">
        <v>0</v>
      </c>
      <c r="K2762" s="122"/>
      <c r="L2762" s="122"/>
      <c r="M2762" s="122">
        <v>0</v>
      </c>
      <c r="N2762" s="122">
        <v>35801</v>
      </c>
      <c r="O2762" s="122">
        <v>13260</v>
      </c>
      <c r="P2762" s="122">
        <v>12602</v>
      </c>
      <c r="Q2762" s="122">
        <v>4667</v>
      </c>
      <c r="R2762" s="122"/>
      <c r="S2762" s="122">
        <v>0</v>
      </c>
      <c r="T2762" s="122">
        <v>0</v>
      </c>
      <c r="U2762" s="122">
        <v>0</v>
      </c>
      <c r="V2762" s="122">
        <v>17927</v>
      </c>
      <c r="W2762" s="122">
        <f t="shared" si="88"/>
        <v>17927</v>
      </c>
      <c r="X2762" s="122">
        <f t="shared" si="89"/>
        <v>48403</v>
      </c>
    </row>
    <row r="2763" spans="2:24">
      <c r="B2763" t="s">
        <v>383</v>
      </c>
      <c r="C2763" t="s">
        <v>50</v>
      </c>
      <c r="D2763" t="s">
        <v>405</v>
      </c>
      <c r="E2763" t="s">
        <v>405</v>
      </c>
      <c r="F2763" s="122">
        <v>1</v>
      </c>
      <c r="G2763" s="122">
        <v>237</v>
      </c>
      <c r="H2763" s="122">
        <v>88</v>
      </c>
      <c r="I2763" s="122">
        <v>11310</v>
      </c>
      <c r="J2763" s="122">
        <v>10282</v>
      </c>
      <c r="K2763" s="122">
        <v>90</v>
      </c>
      <c r="L2763" s="122">
        <v>1379</v>
      </c>
      <c r="M2763" s="122">
        <v>1254</v>
      </c>
      <c r="N2763" s="122">
        <v>2885</v>
      </c>
      <c r="O2763" s="122">
        <v>1069</v>
      </c>
      <c r="P2763" s="122">
        <v>473</v>
      </c>
      <c r="Q2763" s="122">
        <v>175</v>
      </c>
      <c r="R2763" s="122">
        <v>4855</v>
      </c>
      <c r="S2763" s="122">
        <v>4414</v>
      </c>
      <c r="T2763" s="122">
        <v>0</v>
      </c>
      <c r="U2763" s="122">
        <v>0</v>
      </c>
      <c r="V2763" s="122">
        <v>17193</v>
      </c>
      <c r="W2763" s="122">
        <f t="shared" si="88"/>
        <v>17194</v>
      </c>
      <c r="X2763" s="122">
        <f t="shared" si="89"/>
        <v>20902</v>
      </c>
    </row>
    <row r="2764" spans="2:24">
      <c r="B2764" t="s">
        <v>383</v>
      </c>
      <c r="C2764" t="s">
        <v>50</v>
      </c>
      <c r="D2764" t="s">
        <v>137</v>
      </c>
      <c r="E2764" t="s">
        <v>137</v>
      </c>
      <c r="F2764" s="122">
        <v>52</v>
      </c>
      <c r="G2764" s="122">
        <v>10779</v>
      </c>
      <c r="H2764" s="122">
        <v>4596</v>
      </c>
      <c r="I2764" s="122">
        <v>353522</v>
      </c>
      <c r="J2764" s="122">
        <v>130934</v>
      </c>
      <c r="K2764" s="122">
        <v>371</v>
      </c>
      <c r="L2764" s="122">
        <v>89518</v>
      </c>
      <c r="M2764" s="122">
        <v>80123</v>
      </c>
      <c r="N2764" s="122">
        <v>174774</v>
      </c>
      <c r="O2764" s="122">
        <v>64731</v>
      </c>
      <c r="P2764" s="122">
        <v>58569</v>
      </c>
      <c r="Q2764" s="122">
        <v>21692</v>
      </c>
      <c r="R2764" s="122">
        <v>312746</v>
      </c>
      <c r="S2764" s="122">
        <v>115832</v>
      </c>
      <c r="T2764" s="122">
        <v>0</v>
      </c>
      <c r="U2764" s="122">
        <v>0</v>
      </c>
      <c r="V2764" s="122">
        <v>413313</v>
      </c>
      <c r="W2764" s="122">
        <f t="shared" si="88"/>
        <v>413312</v>
      </c>
      <c r="X2764" s="122">
        <f t="shared" si="89"/>
        <v>989129</v>
      </c>
    </row>
    <row r="2765" spans="2:24">
      <c r="B2765" t="s">
        <v>383</v>
      </c>
      <c r="C2765" t="s">
        <v>50</v>
      </c>
      <c r="D2765" t="s">
        <v>406</v>
      </c>
      <c r="E2765" t="s">
        <v>137</v>
      </c>
      <c r="F2765" s="122">
        <v>1</v>
      </c>
      <c r="G2765" s="122">
        <v>294</v>
      </c>
      <c r="H2765" s="122">
        <v>81</v>
      </c>
      <c r="I2765" s="122">
        <v>3215</v>
      </c>
      <c r="J2765" s="122">
        <v>2923</v>
      </c>
      <c r="K2765" s="122">
        <v>219</v>
      </c>
      <c r="L2765" s="122">
        <v>1304</v>
      </c>
      <c r="M2765" s="122">
        <v>1185</v>
      </c>
      <c r="N2765" s="122">
        <v>3582</v>
      </c>
      <c r="O2765" s="122">
        <v>1327</v>
      </c>
      <c r="P2765" s="122">
        <v>621</v>
      </c>
      <c r="Q2765" s="122">
        <v>230</v>
      </c>
      <c r="R2765" s="122">
        <v>14974</v>
      </c>
      <c r="S2765" s="122">
        <v>5546</v>
      </c>
      <c r="T2765" s="122">
        <v>0</v>
      </c>
      <c r="U2765" s="122">
        <v>0</v>
      </c>
      <c r="V2765" s="122">
        <v>11211</v>
      </c>
      <c r="W2765" s="122">
        <f t="shared" si="88"/>
        <v>11211</v>
      </c>
      <c r="X2765" s="122">
        <f t="shared" si="89"/>
        <v>23696</v>
      </c>
    </row>
    <row r="2766" spans="2:24">
      <c r="B2766" t="s">
        <v>383</v>
      </c>
      <c r="C2766" t="s">
        <v>50</v>
      </c>
      <c r="D2766" t="s">
        <v>406</v>
      </c>
      <c r="E2766" t="s">
        <v>406</v>
      </c>
      <c r="F2766" s="122">
        <v>66</v>
      </c>
      <c r="G2766" s="122">
        <v>13390</v>
      </c>
      <c r="H2766" s="122">
        <v>5897</v>
      </c>
      <c r="I2766" s="122">
        <v>626354</v>
      </c>
      <c r="J2766" s="122">
        <v>569413</v>
      </c>
      <c r="K2766" s="122">
        <v>94</v>
      </c>
      <c r="L2766" s="122">
        <v>90500</v>
      </c>
      <c r="M2766" s="122">
        <v>82564</v>
      </c>
      <c r="N2766" s="122">
        <v>198372</v>
      </c>
      <c r="O2766" s="122">
        <v>73471</v>
      </c>
      <c r="P2766" s="122">
        <v>46944</v>
      </c>
      <c r="Q2766" s="122">
        <v>17387</v>
      </c>
      <c r="R2766" s="122">
        <v>251137</v>
      </c>
      <c r="S2766" s="122">
        <v>228307</v>
      </c>
      <c r="T2766" s="122">
        <v>7210</v>
      </c>
      <c r="U2766" s="122">
        <v>2670</v>
      </c>
      <c r="V2766" s="122">
        <v>973812</v>
      </c>
      <c r="W2766" s="122">
        <f t="shared" si="88"/>
        <v>973812</v>
      </c>
      <c r="X2766" s="122">
        <f t="shared" si="89"/>
        <v>1220517</v>
      </c>
    </row>
    <row r="2767" spans="2:24">
      <c r="B2767" t="s">
        <v>383</v>
      </c>
      <c r="C2767" t="s">
        <v>50</v>
      </c>
      <c r="D2767" t="s">
        <v>407</v>
      </c>
      <c r="E2767" t="s">
        <v>407</v>
      </c>
      <c r="F2767" s="122">
        <v>7</v>
      </c>
      <c r="G2767" s="122">
        <v>1333</v>
      </c>
      <c r="H2767" s="122">
        <v>659</v>
      </c>
      <c r="I2767" s="122">
        <v>64309</v>
      </c>
      <c r="J2767" s="122">
        <v>58463</v>
      </c>
      <c r="K2767" s="122">
        <v>91</v>
      </c>
      <c r="L2767" s="122">
        <v>9802</v>
      </c>
      <c r="M2767" s="122">
        <v>8755</v>
      </c>
      <c r="N2767" s="122">
        <v>16637</v>
      </c>
      <c r="O2767" s="122">
        <v>6162</v>
      </c>
      <c r="P2767" s="122">
        <v>5901</v>
      </c>
      <c r="Q2767" s="122">
        <v>2185</v>
      </c>
      <c r="R2767" s="122">
        <v>28631</v>
      </c>
      <c r="S2767" s="122">
        <v>26028</v>
      </c>
      <c r="T2767" s="122">
        <v>0</v>
      </c>
      <c r="U2767" s="122">
        <v>0</v>
      </c>
      <c r="V2767" s="122">
        <v>101593</v>
      </c>
      <c r="W2767" s="122">
        <f t="shared" si="88"/>
        <v>101593</v>
      </c>
      <c r="X2767" s="122">
        <f t="shared" si="89"/>
        <v>125280</v>
      </c>
    </row>
    <row r="2768" spans="2:24">
      <c r="B2768" t="s">
        <v>383</v>
      </c>
      <c r="C2768" t="s">
        <v>50</v>
      </c>
      <c r="D2768" t="s">
        <v>408</v>
      </c>
      <c r="E2768" t="s">
        <v>408</v>
      </c>
      <c r="F2768" s="122">
        <v>2</v>
      </c>
      <c r="G2768" s="122">
        <v>499</v>
      </c>
      <c r="H2768" s="122">
        <v>187</v>
      </c>
      <c r="I2768" s="122">
        <v>28879</v>
      </c>
      <c r="J2768" s="122">
        <v>26254</v>
      </c>
      <c r="K2768" s="122">
        <v>93</v>
      </c>
      <c r="L2768" s="122">
        <v>4160</v>
      </c>
      <c r="M2768" s="122">
        <v>3782</v>
      </c>
      <c r="N2768" s="122">
        <v>11886</v>
      </c>
      <c r="O2768" s="122">
        <v>4402</v>
      </c>
      <c r="P2768" s="122">
        <v>1404</v>
      </c>
      <c r="Q2768" s="122">
        <v>520</v>
      </c>
      <c r="R2768" s="122">
        <v>10552</v>
      </c>
      <c r="S2768" s="122">
        <v>9593</v>
      </c>
      <c r="T2768" s="122">
        <v>0</v>
      </c>
      <c r="U2768" s="122">
        <v>0</v>
      </c>
      <c r="V2768" s="122">
        <v>44551</v>
      </c>
      <c r="W2768" s="122">
        <f t="shared" si="88"/>
        <v>44551</v>
      </c>
      <c r="X2768" s="122">
        <f t="shared" si="89"/>
        <v>56881</v>
      </c>
    </row>
    <row r="2769" spans="2:24">
      <c r="B2769" t="s">
        <v>383</v>
      </c>
      <c r="C2769" t="s">
        <v>52</v>
      </c>
      <c r="F2769" s="122">
        <v>1</v>
      </c>
      <c r="G2769" s="122">
        <v>85</v>
      </c>
      <c r="H2769" s="122">
        <v>115</v>
      </c>
      <c r="I2769" s="122"/>
      <c r="J2769" s="122">
        <v>0</v>
      </c>
      <c r="K2769" s="122"/>
      <c r="L2769" s="122"/>
      <c r="M2769" s="122">
        <v>0</v>
      </c>
      <c r="N2769" s="122">
        <v>1039</v>
      </c>
      <c r="O2769" s="122">
        <v>385</v>
      </c>
      <c r="P2769" s="122">
        <v>702</v>
      </c>
      <c r="Q2769" s="122">
        <v>260</v>
      </c>
      <c r="R2769" s="122"/>
      <c r="S2769" s="122">
        <v>0</v>
      </c>
      <c r="T2769" s="122">
        <v>0</v>
      </c>
      <c r="U2769" s="122">
        <v>0</v>
      </c>
      <c r="V2769" s="122">
        <v>645</v>
      </c>
      <c r="W2769" s="122">
        <f t="shared" si="88"/>
        <v>645</v>
      </c>
      <c r="X2769" s="122">
        <f t="shared" si="89"/>
        <v>1741</v>
      </c>
    </row>
    <row r="2770" spans="2:24">
      <c r="B2770" t="s">
        <v>383</v>
      </c>
      <c r="C2770" t="s">
        <v>52</v>
      </c>
      <c r="D2770" t="s">
        <v>405</v>
      </c>
      <c r="E2770" t="s">
        <v>405</v>
      </c>
      <c r="F2770" s="122">
        <v>2</v>
      </c>
      <c r="G2770" s="122">
        <v>437</v>
      </c>
      <c r="H2770" s="122">
        <v>236</v>
      </c>
      <c r="I2770" s="122">
        <v>31080</v>
      </c>
      <c r="J2770" s="122">
        <v>28254</v>
      </c>
      <c r="K2770" s="122">
        <v>92</v>
      </c>
      <c r="L2770" s="122">
        <v>4183</v>
      </c>
      <c r="M2770" s="122">
        <v>3802</v>
      </c>
      <c r="N2770" s="122">
        <v>9414</v>
      </c>
      <c r="O2770" s="122">
        <v>3487</v>
      </c>
      <c r="P2770" s="122">
        <v>1647</v>
      </c>
      <c r="Q2770" s="122">
        <v>610</v>
      </c>
      <c r="R2770" s="122">
        <v>6693</v>
      </c>
      <c r="S2770" s="122">
        <v>6085</v>
      </c>
      <c r="T2770" s="122">
        <v>2129</v>
      </c>
      <c r="U2770" s="122">
        <v>788</v>
      </c>
      <c r="V2770" s="122">
        <v>43026</v>
      </c>
      <c r="W2770" s="122">
        <f t="shared" si="88"/>
        <v>43026</v>
      </c>
      <c r="X2770" s="122">
        <f t="shared" si="89"/>
        <v>55146</v>
      </c>
    </row>
    <row r="2771" spans="2:24">
      <c r="B2771" t="s">
        <v>383</v>
      </c>
      <c r="C2771" t="s">
        <v>52</v>
      </c>
      <c r="D2771" t="s">
        <v>137</v>
      </c>
      <c r="E2771" t="s">
        <v>137</v>
      </c>
      <c r="F2771" s="122">
        <v>46</v>
      </c>
      <c r="G2771" s="122">
        <v>9276</v>
      </c>
      <c r="H2771" s="122">
        <v>5097</v>
      </c>
      <c r="I2771" s="122">
        <v>476761</v>
      </c>
      <c r="J2771" s="122">
        <v>176578</v>
      </c>
      <c r="K2771" s="122">
        <v>337</v>
      </c>
      <c r="L2771" s="122">
        <v>123464</v>
      </c>
      <c r="M2771" s="122">
        <v>105882</v>
      </c>
      <c r="N2771" s="122">
        <v>161906</v>
      </c>
      <c r="O2771" s="122">
        <v>59965</v>
      </c>
      <c r="P2771" s="122">
        <v>43040</v>
      </c>
      <c r="Q2771" s="122">
        <v>15941</v>
      </c>
      <c r="R2771" s="122">
        <v>255143</v>
      </c>
      <c r="S2771" s="122">
        <v>94497</v>
      </c>
      <c r="T2771" s="122">
        <v>0</v>
      </c>
      <c r="U2771" s="122">
        <v>0</v>
      </c>
      <c r="V2771" s="122">
        <v>452863</v>
      </c>
      <c r="W2771" s="122">
        <f t="shared" si="88"/>
        <v>452863</v>
      </c>
      <c r="X2771" s="122">
        <f t="shared" si="89"/>
        <v>1060314</v>
      </c>
    </row>
    <row r="2772" spans="2:24">
      <c r="B2772" t="s">
        <v>383</v>
      </c>
      <c r="C2772" t="s">
        <v>52</v>
      </c>
      <c r="D2772" t="s">
        <v>406</v>
      </c>
      <c r="E2772" t="s">
        <v>405</v>
      </c>
      <c r="F2772" s="122">
        <v>1</v>
      </c>
      <c r="G2772" s="122">
        <v>242</v>
      </c>
      <c r="H2772" s="122">
        <v>112</v>
      </c>
      <c r="I2772" s="122">
        <v>14186</v>
      </c>
      <c r="J2772" s="122">
        <v>12897</v>
      </c>
      <c r="K2772" s="122">
        <v>83</v>
      </c>
      <c r="L2772" s="122">
        <v>1911</v>
      </c>
      <c r="M2772" s="122">
        <v>1737</v>
      </c>
      <c r="N2772" s="122">
        <v>4281</v>
      </c>
      <c r="O2772" s="122">
        <v>1585</v>
      </c>
      <c r="P2772" s="122">
        <v>621</v>
      </c>
      <c r="Q2772" s="122">
        <v>230</v>
      </c>
      <c r="R2772" s="122">
        <v>3217</v>
      </c>
      <c r="S2772" s="122">
        <v>2924</v>
      </c>
      <c r="T2772" s="122">
        <v>2919</v>
      </c>
      <c r="U2772" s="122">
        <v>1081</v>
      </c>
      <c r="V2772" s="122">
        <v>20455</v>
      </c>
      <c r="W2772" s="122">
        <f t="shared" si="88"/>
        <v>20454</v>
      </c>
      <c r="X2772" s="122">
        <f t="shared" si="89"/>
        <v>27135</v>
      </c>
    </row>
    <row r="2773" spans="2:24">
      <c r="B2773" t="s">
        <v>383</v>
      </c>
      <c r="C2773" t="s">
        <v>52</v>
      </c>
      <c r="D2773" t="s">
        <v>406</v>
      </c>
      <c r="E2773" t="s">
        <v>406</v>
      </c>
      <c r="F2773" s="122">
        <v>193</v>
      </c>
      <c r="G2773" s="122">
        <v>43358</v>
      </c>
      <c r="H2773" s="122">
        <v>22580</v>
      </c>
      <c r="I2773" s="122">
        <v>2994905</v>
      </c>
      <c r="J2773" s="122">
        <v>2722641</v>
      </c>
      <c r="K2773" s="122">
        <v>92</v>
      </c>
      <c r="L2773" s="122">
        <v>541673</v>
      </c>
      <c r="M2773" s="122">
        <v>497070</v>
      </c>
      <c r="N2773" s="122">
        <v>776217</v>
      </c>
      <c r="O2773" s="122">
        <v>287488</v>
      </c>
      <c r="P2773" s="122">
        <v>140181</v>
      </c>
      <c r="Q2773" s="122">
        <v>51919</v>
      </c>
      <c r="R2773" s="122">
        <v>897361</v>
      </c>
      <c r="S2773" s="122">
        <v>815783</v>
      </c>
      <c r="T2773" s="122">
        <v>52087</v>
      </c>
      <c r="U2773" s="122">
        <v>19292</v>
      </c>
      <c r="V2773" s="122">
        <v>4394192</v>
      </c>
      <c r="W2773" s="122">
        <f t="shared" si="88"/>
        <v>4394193</v>
      </c>
      <c r="X2773" s="122">
        <f t="shared" si="89"/>
        <v>5402424</v>
      </c>
    </row>
    <row r="2774" spans="2:24">
      <c r="B2774" t="s">
        <v>383</v>
      </c>
      <c r="C2774" t="s">
        <v>52</v>
      </c>
      <c r="D2774" t="s">
        <v>407</v>
      </c>
      <c r="E2774" t="s">
        <v>137</v>
      </c>
      <c r="F2774" s="122">
        <v>6</v>
      </c>
      <c r="G2774" s="122">
        <v>1108</v>
      </c>
      <c r="H2774" s="122">
        <v>655</v>
      </c>
      <c r="I2774" s="122">
        <v>63877</v>
      </c>
      <c r="J2774" s="122">
        <v>58070</v>
      </c>
      <c r="K2774" s="122">
        <v>91</v>
      </c>
      <c r="L2774" s="122">
        <v>10636</v>
      </c>
      <c r="M2774" s="122">
        <v>9534</v>
      </c>
      <c r="N2774" s="122">
        <v>18740</v>
      </c>
      <c r="O2774" s="122">
        <v>6941</v>
      </c>
      <c r="P2774" s="122">
        <v>4590</v>
      </c>
      <c r="Q2774" s="122">
        <v>1700</v>
      </c>
      <c r="R2774" s="122">
        <v>23594</v>
      </c>
      <c r="S2774" s="122">
        <v>8738</v>
      </c>
      <c r="T2774" s="122">
        <v>0</v>
      </c>
      <c r="U2774" s="122">
        <v>0</v>
      </c>
      <c r="V2774" s="122">
        <v>84983</v>
      </c>
      <c r="W2774" s="122">
        <f t="shared" si="88"/>
        <v>84983</v>
      </c>
      <c r="X2774" s="122">
        <f t="shared" si="89"/>
        <v>121437</v>
      </c>
    </row>
    <row r="2775" spans="2:24">
      <c r="B2775" t="s">
        <v>383</v>
      </c>
      <c r="C2775" t="s">
        <v>52</v>
      </c>
      <c r="D2775" t="s">
        <v>407</v>
      </c>
      <c r="E2775" t="s">
        <v>407</v>
      </c>
      <c r="F2775" s="122">
        <v>23</v>
      </c>
      <c r="G2775" s="122">
        <v>4998</v>
      </c>
      <c r="H2775" s="122">
        <v>2717</v>
      </c>
      <c r="I2775" s="122">
        <v>328967</v>
      </c>
      <c r="J2775" s="122">
        <v>299061</v>
      </c>
      <c r="K2775" s="122">
        <v>90</v>
      </c>
      <c r="L2775" s="122">
        <v>58120</v>
      </c>
      <c r="M2775" s="122">
        <v>51985</v>
      </c>
      <c r="N2775" s="122">
        <v>91552</v>
      </c>
      <c r="O2775" s="122">
        <v>33908</v>
      </c>
      <c r="P2775" s="122">
        <v>11921</v>
      </c>
      <c r="Q2775" s="122">
        <v>4415</v>
      </c>
      <c r="R2775" s="122">
        <v>107614</v>
      </c>
      <c r="S2775" s="122">
        <v>97831</v>
      </c>
      <c r="T2775" s="122">
        <v>2256</v>
      </c>
      <c r="U2775" s="122">
        <v>835</v>
      </c>
      <c r="V2775" s="122">
        <v>488035</v>
      </c>
      <c r="W2775" s="122">
        <f t="shared" si="88"/>
        <v>488035</v>
      </c>
      <c r="X2775" s="122">
        <f t="shared" si="89"/>
        <v>600430</v>
      </c>
    </row>
    <row r="2776" spans="2:24">
      <c r="B2776" t="s">
        <v>383</v>
      </c>
      <c r="C2776" t="s">
        <v>52</v>
      </c>
      <c r="D2776" t="s">
        <v>433</v>
      </c>
      <c r="E2776" t="s">
        <v>433</v>
      </c>
      <c r="F2776" s="122">
        <v>1</v>
      </c>
      <c r="G2776" s="122">
        <v>375</v>
      </c>
      <c r="H2776" s="122">
        <v>124</v>
      </c>
      <c r="I2776" s="122">
        <v>30773</v>
      </c>
      <c r="J2776" s="122">
        <v>27976</v>
      </c>
      <c r="K2776" s="122">
        <v>83</v>
      </c>
      <c r="L2776" s="122">
        <v>4178</v>
      </c>
      <c r="M2776" s="122">
        <v>3798</v>
      </c>
      <c r="N2776" s="122">
        <v>6116</v>
      </c>
      <c r="O2776" s="122">
        <v>2265</v>
      </c>
      <c r="P2776" s="122">
        <v>2457</v>
      </c>
      <c r="Q2776" s="122">
        <v>910</v>
      </c>
      <c r="R2776" s="122">
        <v>2804</v>
      </c>
      <c r="S2776" s="122">
        <v>2549</v>
      </c>
      <c r="T2776" s="122">
        <v>0</v>
      </c>
      <c r="U2776" s="122">
        <v>0</v>
      </c>
      <c r="V2776" s="122">
        <v>37498</v>
      </c>
      <c r="W2776" s="122">
        <f t="shared" si="88"/>
        <v>37498</v>
      </c>
      <c r="X2776" s="122">
        <f t="shared" si="89"/>
        <v>46328</v>
      </c>
    </row>
    <row r="2777" spans="2:24">
      <c r="B2777" t="s">
        <v>383</v>
      </c>
      <c r="C2777" t="s">
        <v>54</v>
      </c>
      <c r="D2777" t="s">
        <v>425</v>
      </c>
      <c r="E2777" t="s">
        <v>425</v>
      </c>
      <c r="F2777" s="122">
        <v>3</v>
      </c>
      <c r="G2777" s="122">
        <v>1010</v>
      </c>
      <c r="H2777" s="122">
        <v>406</v>
      </c>
      <c r="I2777" s="122">
        <v>88951</v>
      </c>
      <c r="J2777" s="122">
        <v>80865</v>
      </c>
      <c r="K2777" s="122">
        <v>88</v>
      </c>
      <c r="L2777" s="122">
        <v>17784</v>
      </c>
      <c r="M2777" s="122">
        <v>16168</v>
      </c>
      <c r="N2777" s="122">
        <v>19661</v>
      </c>
      <c r="O2777" s="122">
        <v>7282</v>
      </c>
      <c r="P2777" s="122">
        <v>3065</v>
      </c>
      <c r="Q2777" s="122">
        <v>1135</v>
      </c>
      <c r="R2777" s="122">
        <v>19362</v>
      </c>
      <c r="S2777" s="122">
        <v>17601</v>
      </c>
      <c r="T2777" s="122">
        <v>0</v>
      </c>
      <c r="U2777" s="122">
        <v>0</v>
      </c>
      <c r="V2777" s="122">
        <v>123051</v>
      </c>
      <c r="W2777" s="122">
        <f t="shared" si="88"/>
        <v>123051</v>
      </c>
      <c r="X2777" s="122">
        <f t="shared" si="89"/>
        <v>148823</v>
      </c>
    </row>
    <row r="2778" spans="2:24">
      <c r="B2778" t="s">
        <v>383</v>
      </c>
      <c r="C2778" t="s">
        <v>54</v>
      </c>
      <c r="D2778" t="s">
        <v>425</v>
      </c>
      <c r="E2778" t="s">
        <v>405</v>
      </c>
      <c r="F2778" s="122">
        <v>1</v>
      </c>
      <c r="G2778" s="122">
        <v>268</v>
      </c>
      <c r="H2778" s="122">
        <v>136</v>
      </c>
      <c r="I2778" s="122">
        <v>18517</v>
      </c>
      <c r="J2778" s="122">
        <v>16833</v>
      </c>
      <c r="K2778" s="122">
        <v>90</v>
      </c>
      <c r="L2778" s="122">
        <v>4408</v>
      </c>
      <c r="M2778" s="122">
        <v>4007</v>
      </c>
      <c r="N2778" s="122">
        <v>6537</v>
      </c>
      <c r="O2778" s="122">
        <v>2421</v>
      </c>
      <c r="P2778" s="122">
        <v>473</v>
      </c>
      <c r="Q2778" s="122">
        <v>175</v>
      </c>
      <c r="R2778" s="122">
        <v>6578</v>
      </c>
      <c r="S2778" s="122">
        <v>5980</v>
      </c>
      <c r="T2778" s="122">
        <v>0</v>
      </c>
      <c r="U2778" s="122">
        <v>0</v>
      </c>
      <c r="V2778" s="122">
        <v>29417</v>
      </c>
      <c r="W2778" s="122">
        <f t="shared" si="88"/>
        <v>29416</v>
      </c>
      <c r="X2778" s="122">
        <f t="shared" si="89"/>
        <v>36513</v>
      </c>
    </row>
    <row r="2779" spans="2:24">
      <c r="B2779" t="s">
        <v>383</v>
      </c>
      <c r="C2779" t="s">
        <v>54</v>
      </c>
      <c r="D2779" t="s">
        <v>405</v>
      </c>
      <c r="E2779" t="s">
        <v>405</v>
      </c>
      <c r="F2779" s="122">
        <v>20</v>
      </c>
      <c r="G2779" s="122">
        <v>3716</v>
      </c>
      <c r="H2779" s="122">
        <v>2831</v>
      </c>
      <c r="I2779" s="122">
        <v>287332</v>
      </c>
      <c r="J2779" s="122">
        <v>261211</v>
      </c>
      <c r="K2779" s="122">
        <v>87</v>
      </c>
      <c r="L2779" s="122">
        <v>53961</v>
      </c>
      <c r="M2779" s="122">
        <v>49056</v>
      </c>
      <c r="N2779" s="122">
        <v>60693</v>
      </c>
      <c r="O2779" s="122">
        <v>22479</v>
      </c>
      <c r="P2779" s="122">
        <v>12275</v>
      </c>
      <c r="Q2779" s="122">
        <v>4546</v>
      </c>
      <c r="R2779" s="122">
        <v>104230</v>
      </c>
      <c r="S2779" s="122">
        <v>94755</v>
      </c>
      <c r="T2779" s="122">
        <v>4389</v>
      </c>
      <c r="U2779" s="122">
        <v>1625</v>
      </c>
      <c r="V2779" s="122">
        <v>433672</v>
      </c>
      <c r="W2779" s="122">
        <f t="shared" si="88"/>
        <v>433672</v>
      </c>
      <c r="X2779" s="122">
        <f t="shared" si="89"/>
        <v>522880</v>
      </c>
    </row>
    <row r="2780" spans="2:24">
      <c r="B2780" t="s">
        <v>383</v>
      </c>
      <c r="C2780" t="s">
        <v>54</v>
      </c>
      <c r="D2780" t="s">
        <v>137</v>
      </c>
      <c r="E2780" t="s">
        <v>137</v>
      </c>
      <c r="F2780" s="122">
        <v>24</v>
      </c>
      <c r="G2780" s="122">
        <v>4732</v>
      </c>
      <c r="H2780" s="122">
        <v>3298</v>
      </c>
      <c r="I2780" s="122">
        <v>367075</v>
      </c>
      <c r="J2780" s="122">
        <v>135954</v>
      </c>
      <c r="K2780" s="122">
        <v>292</v>
      </c>
      <c r="L2780" s="122">
        <v>89680</v>
      </c>
      <c r="M2780" s="122">
        <v>83093</v>
      </c>
      <c r="N2780" s="122">
        <v>99840</v>
      </c>
      <c r="O2780" s="122">
        <v>36978</v>
      </c>
      <c r="P2780" s="122">
        <v>28149</v>
      </c>
      <c r="Q2780" s="122">
        <v>10425</v>
      </c>
      <c r="R2780" s="122">
        <v>155472</v>
      </c>
      <c r="S2780" s="122">
        <v>57582</v>
      </c>
      <c r="T2780" s="122">
        <v>0</v>
      </c>
      <c r="U2780" s="122">
        <v>0</v>
      </c>
      <c r="V2780" s="122">
        <v>324033</v>
      </c>
      <c r="W2780" s="122">
        <f t="shared" si="88"/>
        <v>324032</v>
      </c>
      <c r="X2780" s="122">
        <f t="shared" si="89"/>
        <v>740216</v>
      </c>
    </row>
    <row r="2781" spans="2:24">
      <c r="B2781" t="s">
        <v>383</v>
      </c>
      <c r="C2781" t="s">
        <v>54</v>
      </c>
      <c r="D2781" t="s">
        <v>137</v>
      </c>
      <c r="E2781" t="s">
        <v>406</v>
      </c>
      <c r="F2781" s="122">
        <v>1</v>
      </c>
      <c r="G2781" s="122">
        <v>147</v>
      </c>
      <c r="H2781" s="122">
        <v>141</v>
      </c>
      <c r="I2781" s="122">
        <v>11316</v>
      </c>
      <c r="J2781" s="122">
        <v>4191</v>
      </c>
      <c r="K2781" s="122">
        <v>320</v>
      </c>
      <c r="L2781" s="122">
        <v>2732</v>
      </c>
      <c r="M2781" s="122">
        <v>2484</v>
      </c>
      <c r="N2781" s="122">
        <v>2064</v>
      </c>
      <c r="O2781" s="122">
        <v>764</v>
      </c>
      <c r="P2781" s="122">
        <v>972</v>
      </c>
      <c r="Q2781" s="122">
        <v>360</v>
      </c>
      <c r="R2781" s="122">
        <v>3736</v>
      </c>
      <c r="S2781" s="122">
        <v>3396</v>
      </c>
      <c r="T2781" s="122">
        <v>0</v>
      </c>
      <c r="U2781" s="122">
        <v>0</v>
      </c>
      <c r="V2781" s="122">
        <v>11195</v>
      </c>
      <c r="W2781" s="122">
        <f t="shared" si="88"/>
        <v>11195</v>
      </c>
      <c r="X2781" s="122">
        <f t="shared" si="89"/>
        <v>20820</v>
      </c>
    </row>
    <row r="2782" spans="2:24">
      <c r="B2782" t="s">
        <v>383</v>
      </c>
      <c r="C2782" t="s">
        <v>54</v>
      </c>
      <c r="D2782" t="s">
        <v>406</v>
      </c>
      <c r="E2782" t="s">
        <v>137</v>
      </c>
      <c r="F2782" s="122">
        <v>3</v>
      </c>
      <c r="G2782" s="122">
        <v>626</v>
      </c>
      <c r="H2782" s="122">
        <v>426</v>
      </c>
      <c r="I2782" s="122">
        <v>63722</v>
      </c>
      <c r="J2782" s="122">
        <v>57929</v>
      </c>
      <c r="K2782" s="122">
        <v>86</v>
      </c>
      <c r="L2782" s="122">
        <v>13256</v>
      </c>
      <c r="M2782" s="122">
        <v>12050</v>
      </c>
      <c r="N2782" s="122">
        <v>13825</v>
      </c>
      <c r="O2782" s="122">
        <v>5120</v>
      </c>
      <c r="P2782" s="122">
        <v>1863</v>
      </c>
      <c r="Q2782" s="122">
        <v>690</v>
      </c>
      <c r="R2782" s="122">
        <v>10483</v>
      </c>
      <c r="S2782" s="122">
        <v>3883</v>
      </c>
      <c r="T2782" s="122">
        <v>0</v>
      </c>
      <c r="U2782" s="122">
        <v>0</v>
      </c>
      <c r="V2782" s="122">
        <v>79672</v>
      </c>
      <c r="W2782" s="122">
        <f t="shared" si="88"/>
        <v>79672</v>
      </c>
      <c r="X2782" s="122">
        <f t="shared" si="89"/>
        <v>103149</v>
      </c>
    </row>
    <row r="2783" spans="2:24">
      <c r="B2783" t="s">
        <v>383</v>
      </c>
      <c r="C2783" t="s">
        <v>54</v>
      </c>
      <c r="D2783" t="s">
        <v>406</v>
      </c>
      <c r="E2783" t="s">
        <v>406</v>
      </c>
      <c r="F2783" s="122">
        <v>607</v>
      </c>
      <c r="G2783" s="122">
        <v>122123</v>
      </c>
      <c r="H2783" s="122">
        <v>85222</v>
      </c>
      <c r="I2783" s="122">
        <v>9990550</v>
      </c>
      <c r="J2783" s="122">
        <v>9082318</v>
      </c>
      <c r="K2783" s="122">
        <v>90</v>
      </c>
      <c r="L2783" s="122">
        <v>1994319</v>
      </c>
      <c r="M2783" s="122">
        <v>1967082</v>
      </c>
      <c r="N2783" s="122">
        <v>2428355</v>
      </c>
      <c r="O2783" s="122">
        <v>899391</v>
      </c>
      <c r="P2783" s="122">
        <v>409695</v>
      </c>
      <c r="Q2783" s="122">
        <v>151739</v>
      </c>
      <c r="R2783" s="122">
        <v>3154666</v>
      </c>
      <c r="S2783" s="122">
        <v>2867878</v>
      </c>
      <c r="T2783" s="122">
        <v>295130</v>
      </c>
      <c r="U2783" s="122">
        <v>109307</v>
      </c>
      <c r="V2783" s="122">
        <v>15077716</v>
      </c>
      <c r="W2783" s="122">
        <f t="shared" si="88"/>
        <v>15077715</v>
      </c>
      <c r="X2783" s="122">
        <f t="shared" si="89"/>
        <v>18272715</v>
      </c>
    </row>
    <row r="2784" spans="2:24">
      <c r="B2784" t="s">
        <v>383</v>
      </c>
      <c r="C2784" t="s">
        <v>54</v>
      </c>
      <c r="D2784" t="s">
        <v>406</v>
      </c>
      <c r="E2784" t="s">
        <v>427</v>
      </c>
      <c r="F2784" s="122">
        <v>1</v>
      </c>
      <c r="G2784" s="122">
        <v>190</v>
      </c>
      <c r="H2784" s="122">
        <v>129</v>
      </c>
      <c r="I2784" s="122">
        <v>13552</v>
      </c>
      <c r="J2784" s="122">
        <v>12320</v>
      </c>
      <c r="K2784" s="122">
        <v>93</v>
      </c>
      <c r="L2784" s="122">
        <v>2341</v>
      </c>
      <c r="M2784" s="122">
        <v>2129</v>
      </c>
      <c r="N2784" s="122">
        <v>2738</v>
      </c>
      <c r="O2784" s="122">
        <v>1014</v>
      </c>
      <c r="P2784" s="122">
        <v>621</v>
      </c>
      <c r="Q2784" s="122">
        <v>230</v>
      </c>
      <c r="R2784" s="122">
        <v>5263</v>
      </c>
      <c r="S2784" s="122">
        <v>4785</v>
      </c>
      <c r="T2784" s="122">
        <v>0</v>
      </c>
      <c r="U2784" s="122">
        <v>0</v>
      </c>
      <c r="V2784" s="122">
        <v>20478</v>
      </c>
      <c r="W2784" s="122">
        <f t="shared" si="88"/>
        <v>20478</v>
      </c>
      <c r="X2784" s="122">
        <f t="shared" si="89"/>
        <v>24515</v>
      </c>
    </row>
    <row r="2785" spans="2:24">
      <c r="B2785" t="s">
        <v>383</v>
      </c>
      <c r="C2785" t="s">
        <v>54</v>
      </c>
      <c r="D2785" t="s">
        <v>407</v>
      </c>
      <c r="E2785" t="s">
        <v>407</v>
      </c>
      <c r="F2785" s="122">
        <v>104</v>
      </c>
      <c r="G2785" s="122">
        <v>19325</v>
      </c>
      <c r="H2785" s="122">
        <v>14604</v>
      </c>
      <c r="I2785" s="122">
        <v>1484035</v>
      </c>
      <c r="J2785" s="122">
        <v>1349122</v>
      </c>
      <c r="K2785" s="122">
        <v>87</v>
      </c>
      <c r="L2785" s="122">
        <v>284903</v>
      </c>
      <c r="M2785" s="122">
        <v>254111</v>
      </c>
      <c r="N2785" s="122">
        <v>350788</v>
      </c>
      <c r="O2785" s="122">
        <v>129921</v>
      </c>
      <c r="P2785" s="122">
        <v>59429</v>
      </c>
      <c r="Q2785" s="122">
        <v>22011</v>
      </c>
      <c r="R2785" s="122">
        <v>555920</v>
      </c>
      <c r="S2785" s="122">
        <v>505381</v>
      </c>
      <c r="T2785" s="122">
        <v>20654</v>
      </c>
      <c r="U2785" s="122">
        <v>7649</v>
      </c>
      <c r="V2785" s="122">
        <v>2268196</v>
      </c>
      <c r="W2785" s="122">
        <f t="shared" si="88"/>
        <v>2268195</v>
      </c>
      <c r="X2785" s="122">
        <f t="shared" si="89"/>
        <v>2755729</v>
      </c>
    </row>
    <row r="2786" spans="2:24">
      <c r="B2786" t="s">
        <v>383</v>
      </c>
      <c r="C2786" t="s">
        <v>54</v>
      </c>
      <c r="D2786" t="s">
        <v>426</v>
      </c>
      <c r="E2786" t="s">
        <v>137</v>
      </c>
      <c r="F2786" s="122">
        <v>2</v>
      </c>
      <c r="G2786" s="122">
        <v>359</v>
      </c>
      <c r="H2786" s="122">
        <v>294</v>
      </c>
      <c r="I2786" s="122">
        <v>46370</v>
      </c>
      <c r="J2786" s="122">
        <v>42155</v>
      </c>
      <c r="K2786" s="122">
        <v>70</v>
      </c>
      <c r="L2786" s="122">
        <v>2681</v>
      </c>
      <c r="M2786" s="122">
        <v>2437</v>
      </c>
      <c r="N2786" s="122">
        <v>7419</v>
      </c>
      <c r="O2786" s="122">
        <v>2748</v>
      </c>
      <c r="P2786" s="122">
        <v>351</v>
      </c>
      <c r="Q2786" s="122">
        <v>130</v>
      </c>
      <c r="R2786" s="122">
        <v>11289</v>
      </c>
      <c r="S2786" s="122">
        <v>4181</v>
      </c>
      <c r="T2786" s="122">
        <v>0</v>
      </c>
      <c r="U2786" s="122">
        <v>0</v>
      </c>
      <c r="V2786" s="122">
        <v>51651</v>
      </c>
      <c r="W2786" s="122">
        <f t="shared" si="88"/>
        <v>51651</v>
      </c>
      <c r="X2786" s="122">
        <f t="shared" si="89"/>
        <v>68110</v>
      </c>
    </row>
    <row r="2787" spans="2:24">
      <c r="B2787" t="s">
        <v>383</v>
      </c>
      <c r="C2787" t="s">
        <v>54</v>
      </c>
      <c r="D2787" t="s">
        <v>426</v>
      </c>
      <c r="E2787" t="s">
        <v>426</v>
      </c>
      <c r="F2787" s="122">
        <v>1</v>
      </c>
      <c r="G2787" s="122">
        <v>217</v>
      </c>
      <c r="H2787" s="122">
        <v>143</v>
      </c>
      <c r="I2787" s="122">
        <v>36093</v>
      </c>
      <c r="J2787" s="122">
        <v>32812</v>
      </c>
      <c r="K2787" s="122">
        <v>86</v>
      </c>
      <c r="L2787" s="122">
        <v>3992</v>
      </c>
      <c r="M2787" s="122">
        <v>3629</v>
      </c>
      <c r="N2787" s="122">
        <v>8567</v>
      </c>
      <c r="O2787" s="122">
        <v>3173</v>
      </c>
      <c r="P2787" s="122">
        <v>351</v>
      </c>
      <c r="Q2787" s="122">
        <v>130</v>
      </c>
      <c r="R2787" s="122">
        <v>1184</v>
      </c>
      <c r="S2787" s="122">
        <v>1076</v>
      </c>
      <c r="T2787" s="122">
        <v>0</v>
      </c>
      <c r="U2787" s="122">
        <v>0</v>
      </c>
      <c r="V2787" s="122">
        <v>40819</v>
      </c>
      <c r="W2787" s="122">
        <f t="shared" si="88"/>
        <v>40820</v>
      </c>
      <c r="X2787" s="122">
        <f t="shared" si="89"/>
        <v>50187</v>
      </c>
    </row>
    <row r="2788" spans="2:24">
      <c r="B2788" t="s">
        <v>383</v>
      </c>
      <c r="C2788" t="s">
        <v>54</v>
      </c>
      <c r="D2788" t="s">
        <v>481</v>
      </c>
      <c r="E2788" t="s">
        <v>481</v>
      </c>
      <c r="F2788" s="122">
        <v>1</v>
      </c>
      <c r="G2788" s="122">
        <v>287</v>
      </c>
      <c r="H2788" s="122">
        <v>142</v>
      </c>
      <c r="I2788" s="122">
        <v>24606</v>
      </c>
      <c r="J2788" s="122">
        <v>22369</v>
      </c>
      <c r="K2788" s="122">
        <v>85</v>
      </c>
      <c r="L2788" s="122">
        <v>3873</v>
      </c>
      <c r="M2788" s="122">
        <v>3521</v>
      </c>
      <c r="N2788" s="122">
        <v>5245</v>
      </c>
      <c r="O2788" s="122">
        <v>1943</v>
      </c>
      <c r="P2788" s="122">
        <v>351</v>
      </c>
      <c r="Q2788" s="122">
        <v>130</v>
      </c>
      <c r="R2788" s="122">
        <v>6771</v>
      </c>
      <c r="S2788" s="122">
        <v>6156</v>
      </c>
      <c r="T2788" s="122">
        <v>0</v>
      </c>
      <c r="U2788" s="122">
        <v>0</v>
      </c>
      <c r="V2788" s="122">
        <v>34119</v>
      </c>
      <c r="W2788" s="122">
        <f t="shared" si="88"/>
        <v>34119</v>
      </c>
      <c r="X2788" s="122">
        <f t="shared" si="89"/>
        <v>40846</v>
      </c>
    </row>
    <row r="2789" spans="2:24">
      <c r="B2789" t="s">
        <v>383</v>
      </c>
      <c r="C2789" t="s">
        <v>54</v>
      </c>
      <c r="D2789" t="s">
        <v>408</v>
      </c>
      <c r="E2789" t="s">
        <v>408</v>
      </c>
      <c r="F2789" s="122">
        <v>8</v>
      </c>
      <c r="G2789" s="122">
        <v>1890</v>
      </c>
      <c r="H2789" s="122">
        <v>1122</v>
      </c>
      <c r="I2789" s="122">
        <v>171005</v>
      </c>
      <c r="J2789" s="122">
        <v>155459</v>
      </c>
      <c r="K2789" s="122">
        <v>76</v>
      </c>
      <c r="L2789" s="122">
        <v>27758</v>
      </c>
      <c r="M2789" s="122">
        <v>25235</v>
      </c>
      <c r="N2789" s="122">
        <v>34690</v>
      </c>
      <c r="O2789" s="122">
        <v>12848</v>
      </c>
      <c r="P2789" s="122">
        <v>5535</v>
      </c>
      <c r="Q2789" s="122">
        <v>2050</v>
      </c>
      <c r="R2789" s="122">
        <v>40918</v>
      </c>
      <c r="S2789" s="122">
        <v>37198</v>
      </c>
      <c r="T2789" s="122">
        <v>4785</v>
      </c>
      <c r="U2789" s="122">
        <v>1772</v>
      </c>
      <c r="V2789" s="122">
        <v>234562</v>
      </c>
      <c r="W2789" s="122">
        <f t="shared" si="88"/>
        <v>234562</v>
      </c>
      <c r="X2789" s="122">
        <f t="shared" si="89"/>
        <v>284691</v>
      </c>
    </row>
    <row r="2790" spans="2:24">
      <c r="B2790" t="s">
        <v>383</v>
      </c>
      <c r="C2790" t="s">
        <v>56</v>
      </c>
      <c r="F2790" s="122">
        <v>1</v>
      </c>
      <c r="G2790" s="122">
        <v>317</v>
      </c>
      <c r="H2790" s="122">
        <v>172</v>
      </c>
      <c r="I2790" s="122"/>
      <c r="J2790" s="122">
        <v>0</v>
      </c>
      <c r="K2790" s="122"/>
      <c r="L2790" s="122"/>
      <c r="M2790" s="122">
        <v>0</v>
      </c>
      <c r="N2790" s="122">
        <v>4673</v>
      </c>
      <c r="O2790" s="122">
        <v>1731</v>
      </c>
      <c r="P2790" s="122">
        <v>351</v>
      </c>
      <c r="Q2790" s="122">
        <v>130</v>
      </c>
      <c r="R2790" s="122"/>
      <c r="S2790" s="122">
        <v>0</v>
      </c>
      <c r="T2790" s="122">
        <v>0</v>
      </c>
      <c r="U2790" s="122">
        <v>0</v>
      </c>
      <c r="V2790" s="122">
        <v>1861</v>
      </c>
      <c r="W2790" s="122">
        <f t="shared" si="88"/>
        <v>1861</v>
      </c>
      <c r="X2790" s="122">
        <f t="shared" si="89"/>
        <v>5024</v>
      </c>
    </row>
    <row r="2791" spans="2:24">
      <c r="B2791" t="s">
        <v>383</v>
      </c>
      <c r="C2791" t="s">
        <v>56</v>
      </c>
      <c r="D2791" t="s">
        <v>425</v>
      </c>
      <c r="E2791" t="s">
        <v>425</v>
      </c>
      <c r="F2791" s="122">
        <v>7</v>
      </c>
      <c r="G2791" s="122">
        <v>1019</v>
      </c>
      <c r="H2791" s="122">
        <v>1273</v>
      </c>
      <c r="I2791" s="122">
        <v>129384</v>
      </c>
      <c r="J2791" s="122">
        <v>117622</v>
      </c>
      <c r="K2791" s="122">
        <v>89</v>
      </c>
      <c r="L2791" s="122">
        <v>20173</v>
      </c>
      <c r="M2791" s="122">
        <v>19904</v>
      </c>
      <c r="N2791" s="122">
        <v>22541</v>
      </c>
      <c r="O2791" s="122">
        <v>8348</v>
      </c>
      <c r="P2791" s="122">
        <v>3335</v>
      </c>
      <c r="Q2791" s="122">
        <v>1235</v>
      </c>
      <c r="R2791" s="122">
        <v>35320</v>
      </c>
      <c r="S2791" s="122">
        <v>32109</v>
      </c>
      <c r="T2791" s="122">
        <v>0</v>
      </c>
      <c r="U2791" s="122">
        <v>0</v>
      </c>
      <c r="V2791" s="122">
        <v>179219</v>
      </c>
      <c r="W2791" s="122">
        <f t="shared" si="88"/>
        <v>179218</v>
      </c>
      <c r="X2791" s="122">
        <f t="shared" si="89"/>
        <v>210753</v>
      </c>
    </row>
    <row r="2792" spans="2:24">
      <c r="B2792" t="s">
        <v>383</v>
      </c>
      <c r="C2792" t="s">
        <v>56</v>
      </c>
      <c r="D2792" t="s">
        <v>425</v>
      </c>
      <c r="E2792" t="s">
        <v>406</v>
      </c>
      <c r="F2792" s="122">
        <v>1</v>
      </c>
      <c r="G2792" s="122">
        <v>218</v>
      </c>
      <c r="H2792" s="122">
        <v>155</v>
      </c>
      <c r="I2792" s="122">
        <v>19278</v>
      </c>
      <c r="J2792" s="122">
        <v>17525</v>
      </c>
      <c r="K2792" s="122">
        <v>92</v>
      </c>
      <c r="L2792" s="122">
        <v>3591</v>
      </c>
      <c r="M2792" s="122">
        <v>3264</v>
      </c>
      <c r="N2792" s="122">
        <v>5190</v>
      </c>
      <c r="O2792" s="122">
        <v>1922</v>
      </c>
      <c r="P2792" s="122">
        <v>621</v>
      </c>
      <c r="Q2792" s="122">
        <v>230</v>
      </c>
      <c r="R2792" s="122">
        <v>5246</v>
      </c>
      <c r="S2792" s="122">
        <v>4769</v>
      </c>
      <c r="T2792" s="122">
        <v>0</v>
      </c>
      <c r="U2792" s="122">
        <v>0</v>
      </c>
      <c r="V2792" s="122">
        <v>27711</v>
      </c>
      <c r="W2792" s="122">
        <f t="shared" si="88"/>
        <v>27710</v>
      </c>
      <c r="X2792" s="122">
        <f t="shared" si="89"/>
        <v>33926</v>
      </c>
    </row>
    <row r="2793" spans="2:24">
      <c r="B2793" t="s">
        <v>383</v>
      </c>
      <c r="C2793" t="s">
        <v>56</v>
      </c>
      <c r="D2793" t="s">
        <v>405</v>
      </c>
      <c r="E2793" t="s">
        <v>405</v>
      </c>
      <c r="F2793" s="122">
        <v>89</v>
      </c>
      <c r="G2793" s="122">
        <v>12565</v>
      </c>
      <c r="H2793" s="122">
        <v>17142</v>
      </c>
      <c r="I2793" s="122">
        <v>1406172</v>
      </c>
      <c r="J2793" s="122">
        <v>1278338</v>
      </c>
      <c r="K2793" s="122">
        <v>85</v>
      </c>
      <c r="L2793" s="122">
        <v>282353</v>
      </c>
      <c r="M2793" s="122">
        <v>246471</v>
      </c>
      <c r="N2793" s="122">
        <v>269395</v>
      </c>
      <c r="O2793" s="122">
        <v>99776</v>
      </c>
      <c r="P2793" s="122">
        <v>43524</v>
      </c>
      <c r="Q2793" s="122">
        <v>16120</v>
      </c>
      <c r="R2793" s="122">
        <v>427167</v>
      </c>
      <c r="S2793" s="122">
        <v>388334</v>
      </c>
      <c r="T2793" s="122">
        <v>62103</v>
      </c>
      <c r="U2793" s="122">
        <v>23001</v>
      </c>
      <c r="V2793" s="122">
        <v>2052040</v>
      </c>
      <c r="W2793" s="122">
        <f t="shared" si="88"/>
        <v>2052040</v>
      </c>
      <c r="X2793" s="122">
        <f t="shared" si="89"/>
        <v>2490714</v>
      </c>
    </row>
    <row r="2794" spans="2:24">
      <c r="B2794" t="s">
        <v>383</v>
      </c>
      <c r="C2794" t="s">
        <v>56</v>
      </c>
      <c r="D2794" t="s">
        <v>137</v>
      </c>
      <c r="E2794" t="s">
        <v>137</v>
      </c>
      <c r="F2794" s="122">
        <v>30</v>
      </c>
      <c r="G2794" s="122">
        <v>5724</v>
      </c>
      <c r="H2794" s="122">
        <v>5389</v>
      </c>
      <c r="I2794" s="122">
        <v>609265</v>
      </c>
      <c r="J2794" s="122">
        <v>225654</v>
      </c>
      <c r="K2794" s="122">
        <v>241</v>
      </c>
      <c r="L2794" s="122">
        <v>116674</v>
      </c>
      <c r="M2794" s="122">
        <v>94255</v>
      </c>
      <c r="N2794" s="122">
        <v>113420</v>
      </c>
      <c r="O2794" s="122">
        <v>42007</v>
      </c>
      <c r="P2794" s="122">
        <v>16884</v>
      </c>
      <c r="Q2794" s="122">
        <v>6253</v>
      </c>
      <c r="R2794" s="122">
        <v>227580</v>
      </c>
      <c r="S2794" s="122">
        <v>84289</v>
      </c>
      <c r="T2794" s="122">
        <v>0</v>
      </c>
      <c r="U2794" s="122">
        <v>0</v>
      </c>
      <c r="V2794" s="122">
        <v>452458</v>
      </c>
      <c r="W2794" s="122">
        <f t="shared" si="88"/>
        <v>452458</v>
      </c>
      <c r="X2794" s="122">
        <f t="shared" si="89"/>
        <v>1083823</v>
      </c>
    </row>
    <row r="2795" spans="2:24">
      <c r="B2795" t="s">
        <v>383</v>
      </c>
      <c r="C2795" t="s">
        <v>56</v>
      </c>
      <c r="D2795" t="s">
        <v>406</v>
      </c>
      <c r="E2795" t="s">
        <v>425</v>
      </c>
      <c r="F2795" s="122">
        <v>2</v>
      </c>
      <c r="G2795" s="122">
        <v>309</v>
      </c>
      <c r="H2795" s="122">
        <v>396</v>
      </c>
      <c r="I2795" s="122">
        <v>41830</v>
      </c>
      <c r="J2795" s="122">
        <v>38027</v>
      </c>
      <c r="K2795" s="122">
        <v>82</v>
      </c>
      <c r="L2795" s="122">
        <v>5609</v>
      </c>
      <c r="M2795" s="122">
        <v>5100</v>
      </c>
      <c r="N2795" s="122">
        <v>5585</v>
      </c>
      <c r="O2795" s="122">
        <v>2069</v>
      </c>
      <c r="P2795" s="122">
        <v>1242</v>
      </c>
      <c r="Q2795" s="122">
        <v>460</v>
      </c>
      <c r="R2795" s="122">
        <v>6083</v>
      </c>
      <c r="S2795" s="122">
        <v>5530</v>
      </c>
      <c r="T2795" s="122">
        <v>803</v>
      </c>
      <c r="U2795" s="122">
        <v>297</v>
      </c>
      <c r="V2795" s="122">
        <v>51483</v>
      </c>
      <c r="W2795" s="122">
        <f t="shared" si="88"/>
        <v>51483</v>
      </c>
      <c r="X2795" s="122">
        <f t="shared" si="89"/>
        <v>61152</v>
      </c>
    </row>
    <row r="2796" spans="2:24">
      <c r="B2796" t="s">
        <v>383</v>
      </c>
      <c r="C2796" t="s">
        <v>56</v>
      </c>
      <c r="D2796" t="s">
        <v>406</v>
      </c>
      <c r="E2796" t="s">
        <v>137</v>
      </c>
      <c r="F2796" s="122">
        <v>10</v>
      </c>
      <c r="G2796" s="122">
        <v>1425</v>
      </c>
      <c r="H2796" s="122">
        <v>1912</v>
      </c>
      <c r="I2796" s="122">
        <v>193673</v>
      </c>
      <c r="J2796" s="122">
        <v>176067</v>
      </c>
      <c r="K2796" s="122">
        <v>86</v>
      </c>
      <c r="L2796" s="122">
        <v>38084</v>
      </c>
      <c r="M2796" s="122">
        <v>34622</v>
      </c>
      <c r="N2796" s="122">
        <v>33001</v>
      </c>
      <c r="O2796" s="122">
        <v>12223</v>
      </c>
      <c r="P2796" s="122">
        <v>6561</v>
      </c>
      <c r="Q2796" s="122">
        <v>2430</v>
      </c>
      <c r="R2796" s="122">
        <v>54402</v>
      </c>
      <c r="S2796" s="122">
        <v>20149</v>
      </c>
      <c r="T2796" s="122">
        <v>0</v>
      </c>
      <c r="U2796" s="122">
        <v>0</v>
      </c>
      <c r="V2796" s="122">
        <v>245490</v>
      </c>
      <c r="W2796" s="122">
        <f t="shared" ref="W2796:W2859" si="90">SUM(ABS(J2796),ABS(M2796),ABS(O2796),ABS(Q2796),ABS(S2796),ABS(U2796))</f>
        <v>245491</v>
      </c>
      <c r="X2796" s="122">
        <f t="shared" ref="X2796:X2859" si="91">SUM(ABS(I2796),ABS(N2796),ABS(P2796),ABS(R2796),ABS(T2796),ABS(L2796))</f>
        <v>325721</v>
      </c>
    </row>
    <row r="2797" spans="2:24">
      <c r="B2797" t="s">
        <v>383</v>
      </c>
      <c r="C2797" t="s">
        <v>56</v>
      </c>
      <c r="D2797" t="s">
        <v>406</v>
      </c>
      <c r="E2797" t="s">
        <v>406</v>
      </c>
      <c r="F2797" s="122">
        <v>3666</v>
      </c>
      <c r="G2797" s="122">
        <v>594081</v>
      </c>
      <c r="H2797" s="122">
        <v>700501</v>
      </c>
      <c r="I2797" s="122">
        <v>66125755</v>
      </c>
      <c r="J2797" s="122">
        <v>60114323</v>
      </c>
      <c r="K2797" s="122">
        <v>85</v>
      </c>
      <c r="L2797" s="122">
        <v>13740349</v>
      </c>
      <c r="M2797" s="122">
        <v>12325779</v>
      </c>
      <c r="N2797" s="122">
        <v>12385295</v>
      </c>
      <c r="O2797" s="122">
        <v>4587146</v>
      </c>
      <c r="P2797" s="122">
        <v>2375699</v>
      </c>
      <c r="Q2797" s="122">
        <v>879888</v>
      </c>
      <c r="R2797" s="122">
        <v>19616490</v>
      </c>
      <c r="S2797" s="122">
        <v>17833172</v>
      </c>
      <c r="T2797" s="122">
        <v>4138708</v>
      </c>
      <c r="U2797" s="122">
        <v>1532855</v>
      </c>
      <c r="V2797" s="122">
        <v>97273164</v>
      </c>
      <c r="W2797" s="122">
        <f t="shared" si="90"/>
        <v>97273163</v>
      </c>
      <c r="X2797" s="122">
        <f t="shared" si="91"/>
        <v>118382296</v>
      </c>
    </row>
    <row r="2798" spans="2:24">
      <c r="B2798" t="s">
        <v>383</v>
      </c>
      <c r="C2798" t="s">
        <v>56</v>
      </c>
      <c r="D2798" t="s">
        <v>406</v>
      </c>
      <c r="E2798" t="s">
        <v>426</v>
      </c>
      <c r="F2798" s="122">
        <v>2</v>
      </c>
      <c r="G2798" s="122">
        <v>252</v>
      </c>
      <c r="H2798" s="122">
        <v>405</v>
      </c>
      <c r="I2798" s="122">
        <v>27659</v>
      </c>
      <c r="J2798" s="122">
        <v>25145</v>
      </c>
      <c r="K2798" s="122">
        <v>87</v>
      </c>
      <c r="L2798" s="122">
        <v>4269</v>
      </c>
      <c r="M2798" s="122">
        <v>3881</v>
      </c>
      <c r="N2798" s="122">
        <v>5378</v>
      </c>
      <c r="O2798" s="122">
        <v>1992</v>
      </c>
      <c r="P2798" s="122">
        <v>1242</v>
      </c>
      <c r="Q2798" s="122">
        <v>460</v>
      </c>
      <c r="R2798" s="122">
        <v>7161</v>
      </c>
      <c r="S2798" s="122">
        <v>6510</v>
      </c>
      <c r="T2798" s="122">
        <v>5492</v>
      </c>
      <c r="U2798" s="122">
        <v>2034</v>
      </c>
      <c r="V2798" s="122">
        <v>40021</v>
      </c>
      <c r="W2798" s="122">
        <f t="shared" si="90"/>
        <v>40022</v>
      </c>
      <c r="X2798" s="122">
        <f t="shared" si="91"/>
        <v>51201</v>
      </c>
    </row>
    <row r="2799" spans="2:24">
      <c r="B2799" t="s">
        <v>383</v>
      </c>
      <c r="C2799" t="s">
        <v>56</v>
      </c>
      <c r="D2799" t="s">
        <v>406</v>
      </c>
      <c r="E2799" t="s">
        <v>433</v>
      </c>
      <c r="F2799" s="122">
        <v>1</v>
      </c>
      <c r="G2799" s="122">
        <v>247</v>
      </c>
      <c r="H2799" s="122">
        <v>172</v>
      </c>
      <c r="I2799" s="122">
        <v>24024</v>
      </c>
      <c r="J2799" s="122">
        <v>21840</v>
      </c>
      <c r="K2799" s="122">
        <v>86</v>
      </c>
      <c r="L2799" s="122">
        <v>3635</v>
      </c>
      <c r="M2799" s="122">
        <v>3304</v>
      </c>
      <c r="N2799" s="122">
        <v>5781</v>
      </c>
      <c r="O2799" s="122">
        <v>2141</v>
      </c>
      <c r="P2799" s="122">
        <v>1670</v>
      </c>
      <c r="Q2799" s="122">
        <v>619</v>
      </c>
      <c r="R2799" s="122">
        <v>7493</v>
      </c>
      <c r="S2799" s="122">
        <v>6812</v>
      </c>
      <c r="T2799" s="122">
        <v>0</v>
      </c>
      <c r="U2799" s="122">
        <v>0</v>
      </c>
      <c r="V2799" s="122">
        <v>34716</v>
      </c>
      <c r="W2799" s="122">
        <f t="shared" si="90"/>
        <v>34716</v>
      </c>
      <c r="X2799" s="122">
        <f t="shared" si="91"/>
        <v>42603</v>
      </c>
    </row>
    <row r="2800" spans="2:24">
      <c r="B2800" t="s">
        <v>383</v>
      </c>
      <c r="C2800" t="s">
        <v>56</v>
      </c>
      <c r="D2800" t="s">
        <v>406</v>
      </c>
      <c r="E2800" t="s">
        <v>429</v>
      </c>
      <c r="F2800" s="122">
        <v>1</v>
      </c>
      <c r="G2800" s="122">
        <v>175</v>
      </c>
      <c r="H2800" s="122">
        <v>206</v>
      </c>
      <c r="I2800" s="122">
        <v>21032</v>
      </c>
      <c r="J2800" s="122">
        <v>19120</v>
      </c>
      <c r="K2800" s="122">
        <v>79</v>
      </c>
      <c r="L2800" s="122">
        <v>2696</v>
      </c>
      <c r="M2800" s="122">
        <v>2451</v>
      </c>
      <c r="N2800" s="122">
        <v>4270</v>
      </c>
      <c r="O2800" s="122">
        <v>1582</v>
      </c>
      <c r="P2800" s="122">
        <v>621</v>
      </c>
      <c r="Q2800" s="122">
        <v>230</v>
      </c>
      <c r="R2800" s="122">
        <v>7411</v>
      </c>
      <c r="S2800" s="122">
        <v>6738</v>
      </c>
      <c r="T2800" s="122">
        <v>0</v>
      </c>
      <c r="U2800" s="122">
        <v>0</v>
      </c>
      <c r="V2800" s="122">
        <v>30121</v>
      </c>
      <c r="W2800" s="122">
        <f t="shared" si="90"/>
        <v>30121</v>
      </c>
      <c r="X2800" s="122">
        <f t="shared" si="91"/>
        <v>36030</v>
      </c>
    </row>
    <row r="2801" spans="2:24">
      <c r="B2801" t="s">
        <v>383</v>
      </c>
      <c r="C2801" t="s">
        <v>56</v>
      </c>
      <c r="D2801" t="s">
        <v>427</v>
      </c>
      <c r="E2801" t="s">
        <v>406</v>
      </c>
      <c r="F2801" s="122">
        <v>1</v>
      </c>
      <c r="G2801" s="122">
        <v>204</v>
      </c>
      <c r="H2801" s="122">
        <v>187</v>
      </c>
      <c r="I2801" s="122">
        <v>21076</v>
      </c>
      <c r="J2801" s="122">
        <v>19160</v>
      </c>
      <c r="K2801" s="122">
        <v>79</v>
      </c>
      <c r="L2801" s="122">
        <v>2342</v>
      </c>
      <c r="M2801" s="122">
        <v>2129</v>
      </c>
      <c r="N2801" s="122">
        <v>5340</v>
      </c>
      <c r="O2801" s="122">
        <v>1978</v>
      </c>
      <c r="P2801" s="122">
        <v>621</v>
      </c>
      <c r="Q2801" s="122">
        <v>230</v>
      </c>
      <c r="R2801" s="122">
        <v>11526</v>
      </c>
      <c r="S2801" s="122">
        <v>10478</v>
      </c>
      <c r="T2801" s="122">
        <v>0</v>
      </c>
      <c r="U2801" s="122">
        <v>0</v>
      </c>
      <c r="V2801" s="122">
        <v>33975</v>
      </c>
      <c r="W2801" s="122">
        <f t="shared" si="90"/>
        <v>33975</v>
      </c>
      <c r="X2801" s="122">
        <f t="shared" si="91"/>
        <v>40905</v>
      </c>
    </row>
    <row r="2802" spans="2:24">
      <c r="B2802" t="s">
        <v>383</v>
      </c>
      <c r="C2802" t="s">
        <v>56</v>
      </c>
      <c r="D2802" t="s">
        <v>427</v>
      </c>
      <c r="E2802" t="s">
        <v>427</v>
      </c>
      <c r="F2802" s="122">
        <v>1</v>
      </c>
      <c r="G2802" s="122">
        <v>94</v>
      </c>
      <c r="H2802" s="122">
        <v>174</v>
      </c>
      <c r="I2802" s="122">
        <v>7956</v>
      </c>
      <c r="J2802" s="122">
        <v>7233</v>
      </c>
      <c r="K2802" s="122">
        <v>65</v>
      </c>
      <c r="L2802" s="122">
        <v>0</v>
      </c>
      <c r="M2802" s="122">
        <v>580</v>
      </c>
      <c r="N2802" s="122">
        <v>1142</v>
      </c>
      <c r="O2802" s="122">
        <v>423</v>
      </c>
      <c r="P2802" s="122">
        <v>351</v>
      </c>
      <c r="Q2802" s="122">
        <v>130</v>
      </c>
      <c r="R2802" s="122">
        <v>4133</v>
      </c>
      <c r="S2802" s="122">
        <v>3757</v>
      </c>
      <c r="T2802" s="122">
        <v>2704</v>
      </c>
      <c r="U2802" s="122">
        <v>1002</v>
      </c>
      <c r="V2802" s="122">
        <v>13125</v>
      </c>
      <c r="W2802" s="122">
        <f t="shared" si="90"/>
        <v>13125</v>
      </c>
      <c r="X2802" s="122">
        <f t="shared" si="91"/>
        <v>16286</v>
      </c>
    </row>
    <row r="2803" spans="2:24">
      <c r="B2803" t="s">
        <v>383</v>
      </c>
      <c r="C2803" t="s">
        <v>56</v>
      </c>
      <c r="D2803" t="s">
        <v>407</v>
      </c>
      <c r="E2803" t="s">
        <v>406</v>
      </c>
      <c r="F2803" s="122">
        <v>1</v>
      </c>
      <c r="G2803" s="122">
        <v>159</v>
      </c>
      <c r="H2803" s="122">
        <v>200</v>
      </c>
      <c r="I2803" s="122">
        <v>19338</v>
      </c>
      <c r="J2803" s="122">
        <v>17580</v>
      </c>
      <c r="K2803" s="122">
        <v>78</v>
      </c>
      <c r="L2803" s="122">
        <v>2531</v>
      </c>
      <c r="M2803" s="122">
        <v>2301</v>
      </c>
      <c r="N2803" s="122">
        <v>2511</v>
      </c>
      <c r="O2803" s="122">
        <v>930</v>
      </c>
      <c r="P2803" s="122">
        <v>473</v>
      </c>
      <c r="Q2803" s="122">
        <v>175</v>
      </c>
      <c r="R2803" s="122">
        <v>6839</v>
      </c>
      <c r="S2803" s="122">
        <v>6217</v>
      </c>
      <c r="T2803" s="122">
        <v>0</v>
      </c>
      <c r="U2803" s="122">
        <v>0</v>
      </c>
      <c r="V2803" s="122">
        <v>27203</v>
      </c>
      <c r="W2803" s="122">
        <f t="shared" si="90"/>
        <v>27203</v>
      </c>
      <c r="X2803" s="122">
        <f t="shared" si="91"/>
        <v>31692</v>
      </c>
    </row>
    <row r="2804" spans="2:24">
      <c r="B2804" t="s">
        <v>383</v>
      </c>
      <c r="C2804" t="s">
        <v>56</v>
      </c>
      <c r="D2804" t="s">
        <v>407</v>
      </c>
      <c r="E2804" t="s">
        <v>407</v>
      </c>
      <c r="F2804" s="122">
        <v>538</v>
      </c>
      <c r="G2804" s="122">
        <v>83029</v>
      </c>
      <c r="H2804" s="122">
        <v>100145</v>
      </c>
      <c r="I2804" s="122">
        <v>8348161</v>
      </c>
      <c r="J2804" s="122">
        <v>7589237</v>
      </c>
      <c r="K2804" s="122">
        <v>82</v>
      </c>
      <c r="L2804" s="122">
        <v>1988729</v>
      </c>
      <c r="M2804" s="122">
        <v>1765526</v>
      </c>
      <c r="N2804" s="122">
        <v>1702635</v>
      </c>
      <c r="O2804" s="122">
        <v>630605</v>
      </c>
      <c r="P2804" s="122">
        <v>261527</v>
      </c>
      <c r="Q2804" s="122">
        <v>96862</v>
      </c>
      <c r="R2804" s="122">
        <v>3005147</v>
      </c>
      <c r="S2804" s="122">
        <v>2731952</v>
      </c>
      <c r="T2804" s="122">
        <v>366897</v>
      </c>
      <c r="U2804" s="122">
        <v>135888</v>
      </c>
      <c r="V2804" s="122">
        <v>12950070</v>
      </c>
      <c r="W2804" s="122">
        <f t="shared" si="90"/>
        <v>12950070</v>
      </c>
      <c r="X2804" s="122">
        <f t="shared" si="91"/>
        <v>15673096</v>
      </c>
    </row>
    <row r="2805" spans="2:24">
      <c r="B2805" t="s">
        <v>383</v>
      </c>
      <c r="C2805" t="s">
        <v>56</v>
      </c>
      <c r="D2805" t="s">
        <v>407</v>
      </c>
      <c r="E2805" t="s">
        <v>426</v>
      </c>
      <c r="F2805" s="122">
        <v>1</v>
      </c>
      <c r="G2805" s="122">
        <v>219</v>
      </c>
      <c r="H2805" s="122">
        <v>155</v>
      </c>
      <c r="I2805" s="122">
        <v>16543</v>
      </c>
      <c r="J2805" s="122">
        <v>15039</v>
      </c>
      <c r="K2805" s="122">
        <v>78</v>
      </c>
      <c r="L2805" s="122">
        <v>4779</v>
      </c>
      <c r="M2805" s="122">
        <v>4345</v>
      </c>
      <c r="N2805" s="122">
        <v>5328</v>
      </c>
      <c r="O2805" s="122">
        <v>1973</v>
      </c>
      <c r="P2805" s="122">
        <v>702</v>
      </c>
      <c r="Q2805" s="122">
        <v>260</v>
      </c>
      <c r="R2805" s="122">
        <v>6627</v>
      </c>
      <c r="S2805" s="122">
        <v>6024</v>
      </c>
      <c r="T2805" s="122">
        <v>0</v>
      </c>
      <c r="U2805" s="122">
        <v>0</v>
      </c>
      <c r="V2805" s="122">
        <v>27642</v>
      </c>
      <c r="W2805" s="122">
        <f t="shared" si="90"/>
        <v>27641</v>
      </c>
      <c r="X2805" s="122">
        <f t="shared" si="91"/>
        <v>33979</v>
      </c>
    </row>
    <row r="2806" spans="2:24">
      <c r="B2806" t="s">
        <v>383</v>
      </c>
      <c r="C2806" t="s">
        <v>56</v>
      </c>
      <c r="D2806" t="s">
        <v>556</v>
      </c>
      <c r="E2806" t="s">
        <v>137</v>
      </c>
      <c r="F2806" s="122">
        <v>1</v>
      </c>
      <c r="G2806" s="122">
        <v>102</v>
      </c>
      <c r="H2806" s="122">
        <v>220</v>
      </c>
      <c r="I2806" s="122">
        <v>15116</v>
      </c>
      <c r="J2806" s="122">
        <v>12597</v>
      </c>
      <c r="K2806" s="122">
        <v>65</v>
      </c>
      <c r="L2806" s="122">
        <v>2456</v>
      </c>
      <c r="M2806" s="122">
        <v>910</v>
      </c>
      <c r="N2806" s="122">
        <v>1239</v>
      </c>
      <c r="O2806" s="122">
        <v>459</v>
      </c>
      <c r="P2806" s="122">
        <v>0</v>
      </c>
      <c r="Q2806" s="122">
        <v>0</v>
      </c>
      <c r="R2806" s="122">
        <v>3535</v>
      </c>
      <c r="S2806" s="122">
        <v>1309</v>
      </c>
      <c r="T2806" s="122">
        <v>0</v>
      </c>
      <c r="U2806" s="122">
        <v>0</v>
      </c>
      <c r="V2806" s="122">
        <v>15275</v>
      </c>
      <c r="W2806" s="122">
        <f t="shared" si="90"/>
        <v>15275</v>
      </c>
      <c r="X2806" s="122">
        <f t="shared" si="91"/>
        <v>22346</v>
      </c>
    </row>
    <row r="2807" spans="2:24">
      <c r="B2807" t="s">
        <v>383</v>
      </c>
      <c r="C2807" t="s">
        <v>56</v>
      </c>
      <c r="D2807" t="s">
        <v>426</v>
      </c>
      <c r="E2807" t="s">
        <v>406</v>
      </c>
      <c r="F2807" s="122">
        <v>1</v>
      </c>
      <c r="G2807" s="122">
        <v>155</v>
      </c>
      <c r="H2807" s="122">
        <v>161</v>
      </c>
      <c r="I2807" s="122">
        <v>12937</v>
      </c>
      <c r="J2807" s="122">
        <v>11761</v>
      </c>
      <c r="K2807" s="122">
        <v>79</v>
      </c>
      <c r="L2807" s="122">
        <v>0</v>
      </c>
      <c r="M2807" s="122">
        <v>3267</v>
      </c>
      <c r="N2807" s="122">
        <v>3779</v>
      </c>
      <c r="O2807" s="122">
        <v>1400</v>
      </c>
      <c r="P2807" s="122">
        <v>621</v>
      </c>
      <c r="Q2807" s="122">
        <v>230</v>
      </c>
      <c r="R2807" s="122">
        <v>4538</v>
      </c>
      <c r="S2807" s="122">
        <v>4125</v>
      </c>
      <c r="T2807" s="122">
        <v>3030</v>
      </c>
      <c r="U2807" s="122">
        <v>1122</v>
      </c>
      <c r="V2807" s="122">
        <v>21906</v>
      </c>
      <c r="W2807" s="122">
        <f t="shared" si="90"/>
        <v>21905</v>
      </c>
      <c r="X2807" s="122">
        <f t="shared" si="91"/>
        <v>24905</v>
      </c>
    </row>
    <row r="2808" spans="2:24">
      <c r="B2808" t="s">
        <v>383</v>
      </c>
      <c r="C2808" t="s">
        <v>56</v>
      </c>
      <c r="D2808" t="s">
        <v>426</v>
      </c>
      <c r="E2808" t="s">
        <v>426</v>
      </c>
      <c r="F2808" s="122">
        <v>16</v>
      </c>
      <c r="G2808" s="122">
        <v>2819</v>
      </c>
      <c r="H2808" s="122">
        <v>3252</v>
      </c>
      <c r="I2808" s="122">
        <v>392431</v>
      </c>
      <c r="J2808" s="122">
        <v>356755</v>
      </c>
      <c r="K2808" s="122">
        <v>67</v>
      </c>
      <c r="L2808" s="122">
        <v>44445</v>
      </c>
      <c r="M2808" s="122">
        <v>38826</v>
      </c>
      <c r="N2808" s="122">
        <v>58153</v>
      </c>
      <c r="O2808" s="122">
        <v>21538</v>
      </c>
      <c r="P2808" s="122">
        <v>7398</v>
      </c>
      <c r="Q2808" s="122">
        <v>2740</v>
      </c>
      <c r="R2808" s="122">
        <v>92874</v>
      </c>
      <c r="S2808" s="122">
        <v>84431</v>
      </c>
      <c r="T2808" s="122">
        <v>37500</v>
      </c>
      <c r="U2808" s="122">
        <v>13889</v>
      </c>
      <c r="V2808" s="122">
        <v>518179</v>
      </c>
      <c r="W2808" s="122">
        <f t="shared" si="90"/>
        <v>518179</v>
      </c>
      <c r="X2808" s="122">
        <f t="shared" si="91"/>
        <v>632801</v>
      </c>
    </row>
    <row r="2809" spans="2:24">
      <c r="B2809" t="s">
        <v>383</v>
      </c>
      <c r="C2809" t="s">
        <v>56</v>
      </c>
      <c r="D2809" t="s">
        <v>481</v>
      </c>
      <c r="E2809" t="s">
        <v>481</v>
      </c>
      <c r="F2809" s="122">
        <v>1</v>
      </c>
      <c r="G2809" s="122">
        <v>167</v>
      </c>
      <c r="H2809" s="122">
        <v>199</v>
      </c>
      <c r="I2809" s="122">
        <v>19176</v>
      </c>
      <c r="J2809" s="122">
        <v>17433</v>
      </c>
      <c r="K2809" s="122">
        <v>65</v>
      </c>
      <c r="L2809" s="122">
        <v>0</v>
      </c>
      <c r="M2809" s="122">
        <v>0</v>
      </c>
      <c r="N2809" s="122">
        <v>3660</v>
      </c>
      <c r="O2809" s="122">
        <v>1355</v>
      </c>
      <c r="P2809" s="122">
        <v>1404</v>
      </c>
      <c r="Q2809" s="122">
        <v>520</v>
      </c>
      <c r="R2809" s="122">
        <v>5625</v>
      </c>
      <c r="S2809" s="122">
        <v>5113</v>
      </c>
      <c r="T2809" s="122">
        <v>3333</v>
      </c>
      <c r="U2809" s="122">
        <v>1234</v>
      </c>
      <c r="V2809" s="122">
        <v>25656</v>
      </c>
      <c r="W2809" s="122">
        <f t="shared" si="90"/>
        <v>25655</v>
      </c>
      <c r="X2809" s="122">
        <f t="shared" si="91"/>
        <v>33198</v>
      </c>
    </row>
    <row r="2810" spans="2:24">
      <c r="B2810" t="s">
        <v>383</v>
      </c>
      <c r="C2810" t="s">
        <v>56</v>
      </c>
      <c r="D2810" t="s">
        <v>433</v>
      </c>
      <c r="E2810" t="s">
        <v>137</v>
      </c>
      <c r="F2810" s="122">
        <v>1</v>
      </c>
      <c r="G2810" s="122">
        <v>149</v>
      </c>
      <c r="H2810" s="122">
        <v>204</v>
      </c>
      <c r="I2810" s="122">
        <v>17754</v>
      </c>
      <c r="J2810" s="122">
        <v>16140</v>
      </c>
      <c r="K2810" s="122">
        <v>60</v>
      </c>
      <c r="L2810" s="122">
        <v>2905</v>
      </c>
      <c r="M2810" s="122">
        <v>1076</v>
      </c>
      <c r="N2810" s="122">
        <v>1815</v>
      </c>
      <c r="O2810" s="122">
        <v>672</v>
      </c>
      <c r="P2810" s="122">
        <v>1235</v>
      </c>
      <c r="Q2810" s="122">
        <v>457</v>
      </c>
      <c r="R2810" s="122">
        <v>6688</v>
      </c>
      <c r="S2810" s="122">
        <v>2477</v>
      </c>
      <c r="T2810" s="122">
        <v>0</v>
      </c>
      <c r="U2810" s="122">
        <v>0</v>
      </c>
      <c r="V2810" s="122">
        <v>20823</v>
      </c>
      <c r="W2810" s="122">
        <f t="shared" si="90"/>
        <v>20822</v>
      </c>
      <c r="X2810" s="122">
        <f t="shared" si="91"/>
        <v>30397</v>
      </c>
    </row>
    <row r="2811" spans="2:24">
      <c r="B2811" t="s">
        <v>383</v>
      </c>
      <c r="C2811" t="s">
        <v>56</v>
      </c>
      <c r="D2811" t="s">
        <v>433</v>
      </c>
      <c r="E2811" t="s">
        <v>433</v>
      </c>
      <c r="F2811" s="122">
        <v>2</v>
      </c>
      <c r="G2811" s="122">
        <v>250</v>
      </c>
      <c r="H2811" s="122">
        <v>396</v>
      </c>
      <c r="I2811" s="122">
        <v>31134</v>
      </c>
      <c r="J2811" s="122">
        <v>28304</v>
      </c>
      <c r="K2811" s="122">
        <v>71</v>
      </c>
      <c r="L2811" s="122">
        <v>3892</v>
      </c>
      <c r="M2811" s="122">
        <v>3538</v>
      </c>
      <c r="N2811" s="122">
        <v>3402</v>
      </c>
      <c r="O2811" s="122">
        <v>1260</v>
      </c>
      <c r="P2811" s="122">
        <v>702</v>
      </c>
      <c r="Q2811" s="122">
        <v>260</v>
      </c>
      <c r="R2811" s="122">
        <v>7362</v>
      </c>
      <c r="S2811" s="122">
        <v>6693</v>
      </c>
      <c r="T2811" s="122">
        <v>2594</v>
      </c>
      <c r="U2811" s="122">
        <v>961</v>
      </c>
      <c r="V2811" s="122">
        <v>41016</v>
      </c>
      <c r="W2811" s="122">
        <f t="shared" si="90"/>
        <v>41016</v>
      </c>
      <c r="X2811" s="122">
        <f t="shared" si="91"/>
        <v>49086</v>
      </c>
    </row>
    <row r="2812" spans="2:24">
      <c r="B2812" t="s">
        <v>383</v>
      </c>
      <c r="C2812" t="s">
        <v>56</v>
      </c>
      <c r="D2812" t="s">
        <v>408</v>
      </c>
      <c r="E2812" t="s">
        <v>408</v>
      </c>
      <c r="F2812" s="122">
        <v>16</v>
      </c>
      <c r="G2812" s="122">
        <v>3505</v>
      </c>
      <c r="H2812" s="122">
        <v>2909</v>
      </c>
      <c r="I2812" s="122">
        <v>444309</v>
      </c>
      <c r="J2812" s="122">
        <v>403917</v>
      </c>
      <c r="K2812" s="122">
        <v>77</v>
      </c>
      <c r="L2812" s="122">
        <v>74122</v>
      </c>
      <c r="M2812" s="122">
        <v>67384</v>
      </c>
      <c r="N2812" s="122">
        <v>72823</v>
      </c>
      <c r="O2812" s="122">
        <v>26971</v>
      </c>
      <c r="P2812" s="122">
        <v>7722</v>
      </c>
      <c r="Q2812" s="122">
        <v>2860</v>
      </c>
      <c r="R2812" s="122">
        <v>95383</v>
      </c>
      <c r="S2812" s="122">
        <v>86712</v>
      </c>
      <c r="T2812" s="122">
        <v>6438</v>
      </c>
      <c r="U2812" s="122">
        <v>2384</v>
      </c>
      <c r="V2812" s="122">
        <v>590229</v>
      </c>
      <c r="W2812" s="122">
        <f t="shared" si="90"/>
        <v>590228</v>
      </c>
      <c r="X2812" s="122">
        <f t="shared" si="91"/>
        <v>700797</v>
      </c>
    </row>
    <row r="2813" spans="2:24">
      <c r="B2813" t="s">
        <v>383</v>
      </c>
      <c r="C2813" t="s">
        <v>58</v>
      </c>
      <c r="D2813" t="s">
        <v>425</v>
      </c>
      <c r="E2813" t="s">
        <v>425</v>
      </c>
      <c r="F2813" s="122">
        <v>3</v>
      </c>
      <c r="G2813" s="122">
        <v>472</v>
      </c>
      <c r="H2813" s="122">
        <v>784</v>
      </c>
      <c r="I2813" s="122">
        <v>82735</v>
      </c>
      <c r="J2813" s="122">
        <v>75214</v>
      </c>
      <c r="K2813" s="122">
        <v>79</v>
      </c>
      <c r="L2813" s="122">
        <v>16961</v>
      </c>
      <c r="M2813" s="122">
        <v>15419</v>
      </c>
      <c r="N2813" s="122">
        <v>12298</v>
      </c>
      <c r="O2813" s="122">
        <v>4555</v>
      </c>
      <c r="P2813" s="122">
        <v>1418</v>
      </c>
      <c r="Q2813" s="122">
        <v>525</v>
      </c>
      <c r="R2813" s="122">
        <v>20053</v>
      </c>
      <c r="S2813" s="122">
        <v>18230</v>
      </c>
      <c r="T2813" s="122">
        <v>3828</v>
      </c>
      <c r="U2813" s="122">
        <v>1418</v>
      </c>
      <c r="V2813" s="122">
        <v>115360</v>
      </c>
      <c r="W2813" s="122">
        <f t="shared" si="90"/>
        <v>115361</v>
      </c>
      <c r="X2813" s="122">
        <f t="shared" si="91"/>
        <v>137293</v>
      </c>
    </row>
    <row r="2814" spans="2:24">
      <c r="B2814" t="s">
        <v>383</v>
      </c>
      <c r="C2814" t="s">
        <v>58</v>
      </c>
      <c r="D2814" t="s">
        <v>425</v>
      </c>
      <c r="E2814" t="s">
        <v>406</v>
      </c>
      <c r="F2814" s="122">
        <v>1</v>
      </c>
      <c r="G2814" s="122">
        <v>135</v>
      </c>
      <c r="H2814" s="122">
        <v>253</v>
      </c>
      <c r="I2814" s="122">
        <v>20886</v>
      </c>
      <c r="J2814" s="122">
        <v>18987</v>
      </c>
      <c r="K2814" s="122">
        <v>85</v>
      </c>
      <c r="L2814" s="122">
        <v>3143</v>
      </c>
      <c r="M2814" s="122">
        <v>2619</v>
      </c>
      <c r="N2814" s="122">
        <v>2920</v>
      </c>
      <c r="O2814" s="122">
        <v>1082</v>
      </c>
      <c r="P2814" s="122">
        <v>621</v>
      </c>
      <c r="Q2814" s="122">
        <v>230</v>
      </c>
      <c r="R2814" s="122">
        <v>6709</v>
      </c>
      <c r="S2814" s="122">
        <v>6099</v>
      </c>
      <c r="T2814" s="122">
        <v>0</v>
      </c>
      <c r="U2814" s="122">
        <v>0</v>
      </c>
      <c r="V2814" s="122">
        <v>29017</v>
      </c>
      <c r="W2814" s="122">
        <f t="shared" si="90"/>
        <v>29017</v>
      </c>
      <c r="X2814" s="122">
        <f t="shared" si="91"/>
        <v>34279</v>
      </c>
    </row>
    <row r="2815" spans="2:24">
      <c r="B2815" t="s">
        <v>383</v>
      </c>
      <c r="C2815" t="s">
        <v>58</v>
      </c>
      <c r="D2815" t="s">
        <v>405</v>
      </c>
      <c r="E2815" t="s">
        <v>405</v>
      </c>
      <c r="F2815" s="122">
        <v>27</v>
      </c>
      <c r="G2815" s="122">
        <v>3821</v>
      </c>
      <c r="H2815" s="122">
        <v>6835</v>
      </c>
      <c r="I2815" s="122">
        <v>582773</v>
      </c>
      <c r="J2815" s="122">
        <v>529794</v>
      </c>
      <c r="K2815" s="122">
        <v>77</v>
      </c>
      <c r="L2815" s="122">
        <v>119554</v>
      </c>
      <c r="M2815" s="122">
        <v>108685</v>
      </c>
      <c r="N2815" s="122">
        <v>81601</v>
      </c>
      <c r="O2815" s="122">
        <v>30223</v>
      </c>
      <c r="P2815" s="122">
        <v>13311</v>
      </c>
      <c r="Q2815" s="122">
        <v>4930</v>
      </c>
      <c r="R2815" s="122">
        <v>167479</v>
      </c>
      <c r="S2815" s="122">
        <v>152254</v>
      </c>
      <c r="T2815" s="122">
        <v>26004</v>
      </c>
      <c r="U2815" s="122">
        <v>9631</v>
      </c>
      <c r="V2815" s="122">
        <v>835517</v>
      </c>
      <c r="W2815" s="122">
        <f t="shared" si="90"/>
        <v>835517</v>
      </c>
      <c r="X2815" s="122">
        <f t="shared" si="91"/>
        <v>990722</v>
      </c>
    </row>
    <row r="2816" spans="2:24">
      <c r="B2816" t="s">
        <v>383</v>
      </c>
      <c r="C2816" t="s">
        <v>58</v>
      </c>
      <c r="D2816" t="s">
        <v>405</v>
      </c>
      <c r="E2816" t="s">
        <v>406</v>
      </c>
      <c r="F2816" s="122">
        <v>1</v>
      </c>
      <c r="G2816" s="122">
        <v>78</v>
      </c>
      <c r="H2816" s="122">
        <v>296</v>
      </c>
      <c r="I2816" s="122">
        <v>17473</v>
      </c>
      <c r="J2816" s="122">
        <v>15885</v>
      </c>
      <c r="K2816" s="122">
        <v>60</v>
      </c>
      <c r="L2816" s="122">
        <v>5533</v>
      </c>
      <c r="M2816" s="122">
        <v>5030</v>
      </c>
      <c r="N2816" s="122">
        <v>2723</v>
      </c>
      <c r="O2816" s="122">
        <v>1008</v>
      </c>
      <c r="P2816" s="122">
        <v>351</v>
      </c>
      <c r="Q2816" s="122">
        <v>130</v>
      </c>
      <c r="R2816" s="122">
        <v>13306</v>
      </c>
      <c r="S2816" s="122">
        <v>12096</v>
      </c>
      <c r="T2816" s="122">
        <v>0</v>
      </c>
      <c r="U2816" s="122">
        <v>0</v>
      </c>
      <c r="V2816" s="122">
        <v>34149</v>
      </c>
      <c r="W2816" s="122">
        <f t="shared" si="90"/>
        <v>34149</v>
      </c>
      <c r="X2816" s="122">
        <f t="shared" si="91"/>
        <v>39386</v>
      </c>
    </row>
    <row r="2817" spans="2:24">
      <c r="B2817" t="s">
        <v>383</v>
      </c>
      <c r="C2817" t="s">
        <v>58</v>
      </c>
      <c r="D2817" t="s">
        <v>137</v>
      </c>
      <c r="E2817" t="s">
        <v>137</v>
      </c>
      <c r="F2817" s="122">
        <v>44</v>
      </c>
      <c r="G2817" s="122">
        <v>6474</v>
      </c>
      <c r="H2817" s="122">
        <v>11950</v>
      </c>
      <c r="I2817" s="122">
        <v>1213032</v>
      </c>
      <c r="J2817" s="122">
        <v>449271</v>
      </c>
      <c r="K2817" s="122">
        <v>111</v>
      </c>
      <c r="L2817" s="122">
        <v>227368</v>
      </c>
      <c r="M2817" s="122">
        <v>184412</v>
      </c>
      <c r="N2817" s="122">
        <v>161183</v>
      </c>
      <c r="O2817" s="122">
        <v>59697</v>
      </c>
      <c r="P2817" s="122">
        <v>2808</v>
      </c>
      <c r="Q2817" s="122">
        <v>1040</v>
      </c>
      <c r="R2817" s="122">
        <v>375964</v>
      </c>
      <c r="S2817" s="122">
        <v>139246</v>
      </c>
      <c r="T2817" s="122">
        <v>0</v>
      </c>
      <c r="U2817" s="122">
        <v>0</v>
      </c>
      <c r="V2817" s="122">
        <v>833666</v>
      </c>
      <c r="W2817" s="122">
        <f t="shared" si="90"/>
        <v>833666</v>
      </c>
      <c r="X2817" s="122">
        <f t="shared" si="91"/>
        <v>1980355</v>
      </c>
    </row>
    <row r="2818" spans="2:24">
      <c r="B2818" t="s">
        <v>383</v>
      </c>
      <c r="C2818" t="s">
        <v>58</v>
      </c>
      <c r="D2818" t="s">
        <v>406</v>
      </c>
      <c r="E2818" t="s">
        <v>425</v>
      </c>
      <c r="F2818" s="122">
        <v>2</v>
      </c>
      <c r="G2818" s="122">
        <v>248</v>
      </c>
      <c r="H2818" s="122">
        <v>584</v>
      </c>
      <c r="I2818" s="122">
        <v>44554</v>
      </c>
      <c r="J2818" s="122">
        <v>40504</v>
      </c>
      <c r="K2818" s="122">
        <v>81</v>
      </c>
      <c r="L2818" s="122">
        <v>8975</v>
      </c>
      <c r="M2818" s="122">
        <v>8159</v>
      </c>
      <c r="N2818" s="122">
        <v>3017</v>
      </c>
      <c r="O2818" s="122">
        <v>1117</v>
      </c>
      <c r="P2818" s="122">
        <v>1242</v>
      </c>
      <c r="Q2818" s="122">
        <v>460</v>
      </c>
      <c r="R2818" s="122">
        <v>8655</v>
      </c>
      <c r="S2818" s="122">
        <v>7868</v>
      </c>
      <c r="T2818" s="122">
        <v>5752</v>
      </c>
      <c r="U2818" s="122">
        <v>2130</v>
      </c>
      <c r="V2818" s="122">
        <v>60239</v>
      </c>
      <c r="W2818" s="122">
        <f t="shared" si="90"/>
        <v>60238</v>
      </c>
      <c r="X2818" s="122">
        <f t="shared" si="91"/>
        <v>72195</v>
      </c>
    </row>
    <row r="2819" spans="2:24">
      <c r="B2819" t="s">
        <v>383</v>
      </c>
      <c r="C2819" t="s">
        <v>58</v>
      </c>
      <c r="D2819" t="s">
        <v>406</v>
      </c>
      <c r="E2819" t="s">
        <v>137</v>
      </c>
      <c r="F2819" s="122">
        <v>7</v>
      </c>
      <c r="G2819" s="122">
        <v>1023</v>
      </c>
      <c r="H2819" s="122">
        <v>1902</v>
      </c>
      <c r="I2819" s="122">
        <v>184068</v>
      </c>
      <c r="J2819" s="122">
        <v>167335</v>
      </c>
      <c r="K2819" s="122">
        <v>85</v>
      </c>
      <c r="L2819" s="122">
        <v>26666</v>
      </c>
      <c r="M2819" s="122">
        <v>24242</v>
      </c>
      <c r="N2819" s="122">
        <v>19976</v>
      </c>
      <c r="O2819" s="122">
        <v>7398</v>
      </c>
      <c r="P2819" s="122">
        <v>5049</v>
      </c>
      <c r="Q2819" s="122">
        <v>1870</v>
      </c>
      <c r="R2819" s="122">
        <v>52039</v>
      </c>
      <c r="S2819" s="122">
        <v>19274</v>
      </c>
      <c r="T2819" s="122">
        <v>0</v>
      </c>
      <c r="U2819" s="122">
        <v>0</v>
      </c>
      <c r="V2819" s="122">
        <v>220118</v>
      </c>
      <c r="W2819" s="122">
        <f t="shared" si="90"/>
        <v>220119</v>
      </c>
      <c r="X2819" s="122">
        <f t="shared" si="91"/>
        <v>287798</v>
      </c>
    </row>
    <row r="2820" spans="2:24">
      <c r="B2820" t="s">
        <v>383</v>
      </c>
      <c r="C2820" t="s">
        <v>58</v>
      </c>
      <c r="D2820" t="s">
        <v>406</v>
      </c>
      <c r="E2820" t="s">
        <v>406</v>
      </c>
      <c r="F2820" s="122">
        <v>2838</v>
      </c>
      <c r="G2820" s="122">
        <v>366601</v>
      </c>
      <c r="H2820" s="122">
        <v>741292</v>
      </c>
      <c r="I2820" s="122">
        <v>57371977</v>
      </c>
      <c r="J2820" s="122">
        <v>52156343</v>
      </c>
      <c r="K2820" s="122">
        <v>80</v>
      </c>
      <c r="L2820" s="122">
        <v>11529295</v>
      </c>
      <c r="M2820" s="122">
        <v>10302355</v>
      </c>
      <c r="N2820" s="122">
        <v>7695896</v>
      </c>
      <c r="O2820" s="122">
        <v>2850332</v>
      </c>
      <c r="P2820" s="122">
        <v>1810007</v>
      </c>
      <c r="Q2820" s="122">
        <v>670373</v>
      </c>
      <c r="R2820" s="122">
        <v>15156337</v>
      </c>
      <c r="S2820" s="122">
        <v>13778488</v>
      </c>
      <c r="T2820" s="122">
        <v>4133523</v>
      </c>
      <c r="U2820" s="122">
        <v>1530935</v>
      </c>
      <c r="V2820" s="122">
        <v>81288826</v>
      </c>
      <c r="W2820" s="122">
        <f t="shared" si="90"/>
        <v>81288826</v>
      </c>
      <c r="X2820" s="122">
        <f t="shared" si="91"/>
        <v>97697035</v>
      </c>
    </row>
    <row r="2821" spans="2:24">
      <c r="B2821" t="s">
        <v>383</v>
      </c>
      <c r="C2821" t="s">
        <v>58</v>
      </c>
      <c r="D2821" t="s">
        <v>406</v>
      </c>
      <c r="E2821" t="s">
        <v>427</v>
      </c>
      <c r="F2821" s="122">
        <v>3</v>
      </c>
      <c r="G2821" s="122">
        <v>574</v>
      </c>
      <c r="H2821" s="122">
        <v>838</v>
      </c>
      <c r="I2821" s="122">
        <v>99456</v>
      </c>
      <c r="J2821" s="122">
        <v>90415</v>
      </c>
      <c r="K2821" s="122">
        <v>72</v>
      </c>
      <c r="L2821" s="122">
        <v>18993</v>
      </c>
      <c r="M2821" s="122">
        <v>16792</v>
      </c>
      <c r="N2821" s="122">
        <v>10245</v>
      </c>
      <c r="O2821" s="122">
        <v>3794</v>
      </c>
      <c r="P2821" s="122">
        <v>1863</v>
      </c>
      <c r="Q2821" s="122">
        <v>690</v>
      </c>
      <c r="R2821" s="122">
        <v>21373</v>
      </c>
      <c r="S2821" s="122">
        <v>19430</v>
      </c>
      <c r="T2821" s="122">
        <v>7589</v>
      </c>
      <c r="U2821" s="122">
        <v>2811</v>
      </c>
      <c r="V2821" s="122">
        <v>133931</v>
      </c>
      <c r="W2821" s="122">
        <f t="shared" si="90"/>
        <v>133932</v>
      </c>
      <c r="X2821" s="122">
        <f t="shared" si="91"/>
        <v>159519</v>
      </c>
    </row>
    <row r="2822" spans="2:24">
      <c r="B2822" t="s">
        <v>383</v>
      </c>
      <c r="C2822" t="s">
        <v>58</v>
      </c>
      <c r="D2822" t="s">
        <v>406</v>
      </c>
      <c r="E2822" t="s">
        <v>407</v>
      </c>
      <c r="F2822" s="122">
        <v>1</v>
      </c>
      <c r="G2822" s="122">
        <v>93</v>
      </c>
      <c r="H2822" s="122">
        <v>244</v>
      </c>
      <c r="I2822" s="122">
        <v>13039</v>
      </c>
      <c r="J2822" s="122">
        <v>11853</v>
      </c>
      <c r="K2822" s="122">
        <v>86</v>
      </c>
      <c r="L2822" s="122">
        <v>2064</v>
      </c>
      <c r="M2822" s="122">
        <v>1877</v>
      </c>
      <c r="N2822" s="122">
        <v>2068</v>
      </c>
      <c r="O2822" s="122">
        <v>766</v>
      </c>
      <c r="P2822" s="122">
        <v>621</v>
      </c>
      <c r="Q2822" s="122">
        <v>230</v>
      </c>
      <c r="R2822" s="122">
        <v>4799</v>
      </c>
      <c r="S2822" s="122">
        <v>4362</v>
      </c>
      <c r="T2822" s="122">
        <v>0</v>
      </c>
      <c r="U2822" s="122">
        <v>0</v>
      </c>
      <c r="V2822" s="122">
        <v>19089</v>
      </c>
      <c r="W2822" s="122">
        <f t="shared" si="90"/>
        <v>19088</v>
      </c>
      <c r="X2822" s="122">
        <f t="shared" si="91"/>
        <v>22591</v>
      </c>
    </row>
    <row r="2823" spans="2:24">
      <c r="B2823" t="s">
        <v>383</v>
      </c>
      <c r="C2823" t="s">
        <v>58</v>
      </c>
      <c r="D2823" t="s">
        <v>406</v>
      </c>
      <c r="E2823" t="s">
        <v>426</v>
      </c>
      <c r="F2823" s="122">
        <v>5</v>
      </c>
      <c r="G2823" s="122">
        <v>693</v>
      </c>
      <c r="H2823" s="122">
        <v>1303</v>
      </c>
      <c r="I2823" s="122">
        <v>95203</v>
      </c>
      <c r="J2823" s="122">
        <v>86548</v>
      </c>
      <c r="K2823" s="122">
        <v>86</v>
      </c>
      <c r="L2823" s="122">
        <v>19225</v>
      </c>
      <c r="M2823" s="122">
        <v>17477</v>
      </c>
      <c r="N2823" s="122">
        <v>13717</v>
      </c>
      <c r="O2823" s="122">
        <v>5080</v>
      </c>
      <c r="P2823" s="122">
        <v>3456</v>
      </c>
      <c r="Q2823" s="122">
        <v>1280</v>
      </c>
      <c r="R2823" s="122">
        <v>40111</v>
      </c>
      <c r="S2823" s="122">
        <v>36465</v>
      </c>
      <c r="T2823" s="122">
        <v>5093</v>
      </c>
      <c r="U2823" s="122">
        <v>1886</v>
      </c>
      <c r="V2823" s="122">
        <v>148737</v>
      </c>
      <c r="W2823" s="122">
        <f t="shared" si="90"/>
        <v>148736</v>
      </c>
      <c r="X2823" s="122">
        <f t="shared" si="91"/>
        <v>176805</v>
      </c>
    </row>
    <row r="2824" spans="2:24">
      <c r="B2824" t="s">
        <v>383</v>
      </c>
      <c r="C2824" t="s">
        <v>58</v>
      </c>
      <c r="D2824" t="s">
        <v>406</v>
      </c>
      <c r="E2824" t="s">
        <v>433</v>
      </c>
      <c r="F2824" s="122">
        <v>1</v>
      </c>
      <c r="G2824" s="122">
        <v>67</v>
      </c>
      <c r="H2824" s="122">
        <v>273</v>
      </c>
      <c r="I2824" s="122">
        <v>11169</v>
      </c>
      <c r="J2824" s="122">
        <v>10153</v>
      </c>
      <c r="K2824" s="122">
        <v>79</v>
      </c>
      <c r="L2824" s="122">
        <v>0</v>
      </c>
      <c r="M2824" s="122">
        <v>0</v>
      </c>
      <c r="N2824" s="122">
        <v>977</v>
      </c>
      <c r="O2824" s="122">
        <v>362</v>
      </c>
      <c r="P2824" s="122">
        <v>621</v>
      </c>
      <c r="Q2824" s="122">
        <v>230</v>
      </c>
      <c r="R2824" s="122">
        <v>5495</v>
      </c>
      <c r="S2824" s="122">
        <v>4995</v>
      </c>
      <c r="T2824" s="122">
        <v>0</v>
      </c>
      <c r="U2824" s="122">
        <v>0</v>
      </c>
      <c r="V2824" s="122">
        <v>15740</v>
      </c>
      <c r="W2824" s="122">
        <f t="shared" si="90"/>
        <v>15740</v>
      </c>
      <c r="X2824" s="122">
        <f t="shared" si="91"/>
        <v>18262</v>
      </c>
    </row>
    <row r="2825" spans="2:24">
      <c r="B2825" t="s">
        <v>383</v>
      </c>
      <c r="C2825" t="s">
        <v>58</v>
      </c>
      <c r="D2825" t="s">
        <v>427</v>
      </c>
      <c r="E2825" t="s">
        <v>137</v>
      </c>
      <c r="F2825" s="122">
        <v>1</v>
      </c>
      <c r="G2825" s="122">
        <v>187</v>
      </c>
      <c r="H2825" s="122">
        <v>291</v>
      </c>
      <c r="I2825" s="122">
        <v>29019</v>
      </c>
      <c r="J2825" s="122">
        <v>26381</v>
      </c>
      <c r="K2825" s="122">
        <v>65</v>
      </c>
      <c r="L2825" s="122">
        <v>5144</v>
      </c>
      <c r="M2825" s="122">
        <v>1905</v>
      </c>
      <c r="N2825" s="122">
        <v>4567</v>
      </c>
      <c r="O2825" s="122">
        <v>1692</v>
      </c>
      <c r="P2825" s="122">
        <v>351</v>
      </c>
      <c r="Q2825" s="122">
        <v>130</v>
      </c>
      <c r="R2825" s="122">
        <v>15459</v>
      </c>
      <c r="S2825" s="122">
        <v>5726</v>
      </c>
      <c r="T2825" s="122">
        <v>0</v>
      </c>
      <c r="U2825" s="122">
        <v>0</v>
      </c>
      <c r="V2825" s="122">
        <v>35833</v>
      </c>
      <c r="W2825" s="122">
        <f t="shared" si="90"/>
        <v>35834</v>
      </c>
      <c r="X2825" s="122">
        <f t="shared" si="91"/>
        <v>54540</v>
      </c>
    </row>
    <row r="2826" spans="2:24">
      <c r="B2826" t="s">
        <v>383</v>
      </c>
      <c r="C2826" t="s">
        <v>58</v>
      </c>
      <c r="D2826" t="s">
        <v>427</v>
      </c>
      <c r="E2826" t="s">
        <v>427</v>
      </c>
      <c r="F2826" s="122">
        <v>6</v>
      </c>
      <c r="G2826" s="122">
        <v>650</v>
      </c>
      <c r="H2826" s="122">
        <v>1710</v>
      </c>
      <c r="I2826" s="122">
        <v>112933</v>
      </c>
      <c r="J2826" s="122">
        <v>102666</v>
      </c>
      <c r="K2826" s="122">
        <v>65</v>
      </c>
      <c r="L2826" s="122">
        <v>17552</v>
      </c>
      <c r="M2826" s="122">
        <v>15957</v>
      </c>
      <c r="N2826" s="122">
        <v>13305</v>
      </c>
      <c r="O2826" s="122">
        <v>4928</v>
      </c>
      <c r="P2826" s="122">
        <v>1877</v>
      </c>
      <c r="Q2826" s="122">
        <v>695</v>
      </c>
      <c r="R2826" s="122">
        <v>30533</v>
      </c>
      <c r="S2826" s="122">
        <v>27757</v>
      </c>
      <c r="T2826" s="122">
        <v>9501</v>
      </c>
      <c r="U2826" s="122">
        <v>3519</v>
      </c>
      <c r="V2826" s="122">
        <v>155522</v>
      </c>
      <c r="W2826" s="122">
        <f t="shared" si="90"/>
        <v>155522</v>
      </c>
      <c r="X2826" s="122">
        <f t="shared" si="91"/>
        <v>185701</v>
      </c>
    </row>
    <row r="2827" spans="2:24">
      <c r="B2827" t="s">
        <v>383</v>
      </c>
      <c r="C2827" t="s">
        <v>58</v>
      </c>
      <c r="D2827" t="s">
        <v>407</v>
      </c>
      <c r="E2827" t="s">
        <v>137</v>
      </c>
      <c r="F2827" s="122">
        <v>1</v>
      </c>
      <c r="G2827" s="122">
        <v>53</v>
      </c>
      <c r="H2827" s="122">
        <v>298</v>
      </c>
      <c r="I2827" s="122">
        <v>8207</v>
      </c>
      <c r="J2827" s="122">
        <v>7461</v>
      </c>
      <c r="K2827" s="122">
        <v>79</v>
      </c>
      <c r="L2827" s="122">
        <v>1084</v>
      </c>
      <c r="M2827" s="122">
        <v>986</v>
      </c>
      <c r="N2827" s="122">
        <v>1282</v>
      </c>
      <c r="O2827" s="122">
        <v>475</v>
      </c>
      <c r="P2827" s="122">
        <v>473</v>
      </c>
      <c r="Q2827" s="122">
        <v>175</v>
      </c>
      <c r="R2827" s="122">
        <v>4608</v>
      </c>
      <c r="S2827" s="122">
        <v>1707</v>
      </c>
      <c r="T2827" s="122">
        <v>0</v>
      </c>
      <c r="U2827" s="122">
        <v>0</v>
      </c>
      <c r="V2827" s="122">
        <v>10803</v>
      </c>
      <c r="W2827" s="122">
        <f t="shared" si="90"/>
        <v>10804</v>
      </c>
      <c r="X2827" s="122">
        <f t="shared" si="91"/>
        <v>15654</v>
      </c>
    </row>
    <row r="2828" spans="2:24">
      <c r="B2828" t="s">
        <v>383</v>
      </c>
      <c r="C2828" t="s">
        <v>58</v>
      </c>
      <c r="D2828" t="s">
        <v>407</v>
      </c>
      <c r="E2828" t="s">
        <v>407</v>
      </c>
      <c r="F2828" s="122">
        <v>151</v>
      </c>
      <c r="G2828" s="122">
        <v>18824</v>
      </c>
      <c r="H2828" s="122">
        <v>38536</v>
      </c>
      <c r="I2828" s="122">
        <v>2700566</v>
      </c>
      <c r="J2828" s="122">
        <v>2455060</v>
      </c>
      <c r="K2828" s="122">
        <v>77</v>
      </c>
      <c r="L2828" s="122">
        <v>669922</v>
      </c>
      <c r="M2828" s="122">
        <v>583557</v>
      </c>
      <c r="N2828" s="122">
        <v>383948</v>
      </c>
      <c r="O2828" s="122">
        <v>142203</v>
      </c>
      <c r="P2828" s="122">
        <v>72198</v>
      </c>
      <c r="Q2828" s="122">
        <v>26740</v>
      </c>
      <c r="R2828" s="122">
        <v>835583</v>
      </c>
      <c r="S2828" s="122">
        <v>759621</v>
      </c>
      <c r="T2828" s="122">
        <v>213644</v>
      </c>
      <c r="U2828" s="122">
        <v>79128</v>
      </c>
      <c r="V2828" s="122">
        <v>4046308</v>
      </c>
      <c r="W2828" s="122">
        <f t="shared" si="90"/>
        <v>4046309</v>
      </c>
      <c r="X2828" s="122">
        <f t="shared" si="91"/>
        <v>4875861</v>
      </c>
    </row>
    <row r="2829" spans="2:24">
      <c r="B2829" t="s">
        <v>383</v>
      </c>
      <c r="C2829" t="s">
        <v>58</v>
      </c>
      <c r="D2829" t="s">
        <v>556</v>
      </c>
      <c r="E2829" t="s">
        <v>556</v>
      </c>
      <c r="F2829" s="122">
        <v>2</v>
      </c>
      <c r="G2829" s="122">
        <v>241</v>
      </c>
      <c r="H2829" s="122">
        <v>569</v>
      </c>
      <c r="I2829" s="122">
        <v>45235</v>
      </c>
      <c r="J2829" s="122">
        <v>37695</v>
      </c>
      <c r="K2829" s="122">
        <v>70</v>
      </c>
      <c r="L2829" s="122">
        <v>5387</v>
      </c>
      <c r="M2829" s="122">
        <v>4489</v>
      </c>
      <c r="N2829" s="122">
        <v>5574</v>
      </c>
      <c r="O2829" s="122">
        <v>2064</v>
      </c>
      <c r="P2829" s="122">
        <v>702</v>
      </c>
      <c r="Q2829" s="122">
        <v>260</v>
      </c>
      <c r="R2829" s="122">
        <v>14942</v>
      </c>
      <c r="S2829" s="122">
        <v>12452</v>
      </c>
      <c r="T2829" s="122">
        <v>2236</v>
      </c>
      <c r="U2829" s="122">
        <v>828</v>
      </c>
      <c r="V2829" s="122">
        <v>57789</v>
      </c>
      <c r="W2829" s="122">
        <f t="shared" si="90"/>
        <v>57788</v>
      </c>
      <c r="X2829" s="122">
        <f t="shared" si="91"/>
        <v>74076</v>
      </c>
    </row>
    <row r="2830" spans="2:24">
      <c r="B2830" t="s">
        <v>383</v>
      </c>
      <c r="C2830" t="s">
        <v>58</v>
      </c>
      <c r="D2830" t="s">
        <v>431</v>
      </c>
      <c r="E2830" t="s">
        <v>431</v>
      </c>
      <c r="F2830" s="122">
        <v>2</v>
      </c>
      <c r="G2830" s="122">
        <v>269</v>
      </c>
      <c r="H2830" s="122">
        <v>525</v>
      </c>
      <c r="I2830" s="122">
        <v>39979</v>
      </c>
      <c r="J2830" s="122">
        <v>36344</v>
      </c>
      <c r="K2830" s="122">
        <v>58</v>
      </c>
      <c r="L2830" s="122">
        <v>6517</v>
      </c>
      <c r="M2830" s="122">
        <v>3891</v>
      </c>
      <c r="N2830" s="122">
        <v>5450</v>
      </c>
      <c r="O2830" s="122">
        <v>2019</v>
      </c>
      <c r="P2830" s="122">
        <v>972</v>
      </c>
      <c r="Q2830" s="122">
        <v>360</v>
      </c>
      <c r="R2830" s="122">
        <v>13485</v>
      </c>
      <c r="S2830" s="122">
        <v>12259</v>
      </c>
      <c r="T2830" s="122">
        <v>2697</v>
      </c>
      <c r="U2830" s="122">
        <v>999</v>
      </c>
      <c r="V2830" s="122">
        <v>55872</v>
      </c>
      <c r="W2830" s="122">
        <f t="shared" si="90"/>
        <v>55872</v>
      </c>
      <c r="X2830" s="122">
        <f t="shared" si="91"/>
        <v>69100</v>
      </c>
    </row>
    <row r="2831" spans="2:24">
      <c r="B2831" t="s">
        <v>383</v>
      </c>
      <c r="C2831" t="s">
        <v>58</v>
      </c>
      <c r="D2831" t="s">
        <v>426</v>
      </c>
      <c r="E2831" t="s">
        <v>137</v>
      </c>
      <c r="F2831" s="122">
        <v>2</v>
      </c>
      <c r="G2831" s="122">
        <v>201</v>
      </c>
      <c r="H2831" s="122">
        <v>553</v>
      </c>
      <c r="I2831" s="122">
        <v>31752</v>
      </c>
      <c r="J2831" s="122">
        <v>28865</v>
      </c>
      <c r="K2831" s="122">
        <v>63</v>
      </c>
      <c r="L2831" s="122">
        <v>4342</v>
      </c>
      <c r="M2831" s="122">
        <v>2888</v>
      </c>
      <c r="N2831" s="122">
        <v>4321</v>
      </c>
      <c r="O2831" s="122">
        <v>1600</v>
      </c>
      <c r="P2831" s="122">
        <v>351</v>
      </c>
      <c r="Q2831" s="122">
        <v>130</v>
      </c>
      <c r="R2831" s="122">
        <v>15289</v>
      </c>
      <c r="S2831" s="122">
        <v>5662</v>
      </c>
      <c r="T2831" s="122">
        <v>0</v>
      </c>
      <c r="U2831" s="122">
        <v>0</v>
      </c>
      <c r="V2831" s="122">
        <v>39145</v>
      </c>
      <c r="W2831" s="122">
        <f t="shared" si="90"/>
        <v>39145</v>
      </c>
      <c r="X2831" s="122">
        <f t="shared" si="91"/>
        <v>56055</v>
      </c>
    </row>
    <row r="2832" spans="2:24">
      <c r="B2832" t="s">
        <v>383</v>
      </c>
      <c r="C2832" t="s">
        <v>58</v>
      </c>
      <c r="D2832" t="s">
        <v>426</v>
      </c>
      <c r="E2832" t="s">
        <v>426</v>
      </c>
      <c r="F2832" s="122">
        <v>90</v>
      </c>
      <c r="G2832" s="122">
        <v>11064</v>
      </c>
      <c r="H2832" s="122">
        <v>24457</v>
      </c>
      <c r="I2832" s="122">
        <v>1916167</v>
      </c>
      <c r="J2832" s="122">
        <v>1741970</v>
      </c>
      <c r="K2832" s="122">
        <v>64</v>
      </c>
      <c r="L2832" s="122">
        <v>227203</v>
      </c>
      <c r="M2832" s="122">
        <v>196728</v>
      </c>
      <c r="N2832" s="122">
        <v>224279</v>
      </c>
      <c r="O2832" s="122">
        <v>83066</v>
      </c>
      <c r="P2832" s="122">
        <v>36585</v>
      </c>
      <c r="Q2832" s="122">
        <v>13550</v>
      </c>
      <c r="R2832" s="122">
        <v>479796</v>
      </c>
      <c r="S2832" s="122">
        <v>436178</v>
      </c>
      <c r="T2832" s="122">
        <v>211493</v>
      </c>
      <c r="U2832" s="122">
        <v>78331</v>
      </c>
      <c r="V2832" s="122">
        <v>2549823</v>
      </c>
      <c r="W2832" s="122">
        <f t="shared" si="90"/>
        <v>2549823</v>
      </c>
      <c r="X2832" s="122">
        <f t="shared" si="91"/>
        <v>3095523</v>
      </c>
    </row>
    <row r="2833" spans="2:24">
      <c r="B2833" t="s">
        <v>383</v>
      </c>
      <c r="C2833" t="s">
        <v>58</v>
      </c>
      <c r="D2833" t="s">
        <v>433</v>
      </c>
      <c r="E2833" t="s">
        <v>433</v>
      </c>
      <c r="F2833" s="122">
        <v>10</v>
      </c>
      <c r="G2833" s="122">
        <v>1608</v>
      </c>
      <c r="H2833" s="122">
        <v>2648</v>
      </c>
      <c r="I2833" s="122">
        <v>269677</v>
      </c>
      <c r="J2833" s="122">
        <v>245161</v>
      </c>
      <c r="K2833" s="122">
        <v>63</v>
      </c>
      <c r="L2833" s="122">
        <v>44212</v>
      </c>
      <c r="M2833" s="122">
        <v>40193</v>
      </c>
      <c r="N2833" s="122">
        <v>32134</v>
      </c>
      <c r="O2833" s="122">
        <v>11901</v>
      </c>
      <c r="P2833" s="122">
        <v>4131</v>
      </c>
      <c r="Q2833" s="122">
        <v>1530</v>
      </c>
      <c r="R2833" s="122">
        <v>76694</v>
      </c>
      <c r="S2833" s="122">
        <v>69722</v>
      </c>
      <c r="T2833" s="122">
        <v>9797</v>
      </c>
      <c r="U2833" s="122">
        <v>3628</v>
      </c>
      <c r="V2833" s="122">
        <v>372136</v>
      </c>
      <c r="W2833" s="122">
        <f t="shared" si="90"/>
        <v>372135</v>
      </c>
      <c r="X2833" s="122">
        <f t="shared" si="91"/>
        <v>436645</v>
      </c>
    </row>
    <row r="2834" spans="2:24">
      <c r="B2834" t="s">
        <v>383</v>
      </c>
      <c r="C2834" t="s">
        <v>58</v>
      </c>
      <c r="D2834" t="s">
        <v>408</v>
      </c>
      <c r="E2834" t="s">
        <v>408</v>
      </c>
      <c r="F2834" s="122">
        <v>8</v>
      </c>
      <c r="G2834" s="122">
        <v>1604</v>
      </c>
      <c r="H2834" s="122">
        <v>2061</v>
      </c>
      <c r="I2834" s="122">
        <v>294930</v>
      </c>
      <c r="J2834" s="122">
        <v>268118</v>
      </c>
      <c r="K2834" s="122">
        <v>68</v>
      </c>
      <c r="L2834" s="122">
        <v>43955</v>
      </c>
      <c r="M2834" s="122">
        <v>39960</v>
      </c>
      <c r="N2834" s="122">
        <v>34657</v>
      </c>
      <c r="O2834" s="122">
        <v>12836</v>
      </c>
      <c r="P2834" s="122">
        <v>3078</v>
      </c>
      <c r="Q2834" s="122">
        <v>1140</v>
      </c>
      <c r="R2834" s="122">
        <v>50587</v>
      </c>
      <c r="S2834" s="122">
        <v>45988</v>
      </c>
      <c r="T2834" s="122">
        <v>8474</v>
      </c>
      <c r="U2834" s="122">
        <v>3139</v>
      </c>
      <c r="V2834" s="122">
        <v>371180</v>
      </c>
      <c r="W2834" s="122">
        <f t="shared" si="90"/>
        <v>371181</v>
      </c>
      <c r="X2834" s="122">
        <f t="shared" si="91"/>
        <v>435681</v>
      </c>
    </row>
    <row r="2835" spans="2:24">
      <c r="B2835" t="s">
        <v>383</v>
      </c>
      <c r="C2835" t="s">
        <v>58</v>
      </c>
      <c r="D2835" t="s">
        <v>429</v>
      </c>
      <c r="E2835" t="s">
        <v>429</v>
      </c>
      <c r="F2835" s="122">
        <v>1</v>
      </c>
      <c r="G2835" s="122">
        <v>67</v>
      </c>
      <c r="H2835" s="122">
        <v>270</v>
      </c>
      <c r="I2835" s="122">
        <v>10305</v>
      </c>
      <c r="J2835" s="122">
        <v>9368</v>
      </c>
      <c r="K2835" s="122">
        <v>65</v>
      </c>
      <c r="L2835" s="122">
        <v>1145</v>
      </c>
      <c r="M2835" s="122">
        <v>1041</v>
      </c>
      <c r="N2835" s="122">
        <v>929</v>
      </c>
      <c r="O2835" s="122">
        <v>344</v>
      </c>
      <c r="P2835" s="122">
        <v>351</v>
      </c>
      <c r="Q2835" s="122">
        <v>130</v>
      </c>
      <c r="R2835" s="122">
        <v>5314</v>
      </c>
      <c r="S2835" s="122">
        <v>4831</v>
      </c>
      <c r="T2835" s="122">
        <v>0</v>
      </c>
      <c r="U2835" s="122">
        <v>0</v>
      </c>
      <c r="V2835" s="122">
        <v>15714</v>
      </c>
      <c r="W2835" s="122">
        <f t="shared" si="90"/>
        <v>15714</v>
      </c>
      <c r="X2835" s="122">
        <f t="shared" si="91"/>
        <v>18044</v>
      </c>
    </row>
    <row r="2836" spans="2:24">
      <c r="B2836" t="s">
        <v>383</v>
      </c>
      <c r="C2836" t="s">
        <v>60</v>
      </c>
      <c r="F2836" s="122">
        <v>1</v>
      </c>
      <c r="G2836" s="122">
        <v>83</v>
      </c>
      <c r="H2836" s="122">
        <v>372</v>
      </c>
      <c r="I2836" s="122"/>
      <c r="J2836" s="122">
        <v>0</v>
      </c>
      <c r="K2836" s="122"/>
      <c r="L2836" s="122"/>
      <c r="M2836" s="122">
        <v>0</v>
      </c>
      <c r="N2836" s="122">
        <v>1976</v>
      </c>
      <c r="O2836" s="122">
        <v>732</v>
      </c>
      <c r="P2836" s="122">
        <v>621</v>
      </c>
      <c r="Q2836" s="122">
        <v>230</v>
      </c>
      <c r="R2836" s="122"/>
      <c r="S2836" s="122">
        <v>0</v>
      </c>
      <c r="T2836" s="122">
        <v>2654</v>
      </c>
      <c r="U2836" s="122">
        <v>983</v>
      </c>
      <c r="V2836" s="122">
        <v>1945</v>
      </c>
      <c r="W2836" s="122">
        <f t="shared" si="90"/>
        <v>1945</v>
      </c>
      <c r="X2836" s="122">
        <f t="shared" si="91"/>
        <v>5251</v>
      </c>
    </row>
    <row r="2837" spans="2:24">
      <c r="B2837" t="s">
        <v>383</v>
      </c>
      <c r="C2837" t="s">
        <v>60</v>
      </c>
      <c r="D2837" t="s">
        <v>425</v>
      </c>
      <c r="E2837" t="s">
        <v>425</v>
      </c>
      <c r="F2837" s="122">
        <v>2</v>
      </c>
      <c r="G2837" s="122">
        <v>339</v>
      </c>
      <c r="H2837" s="122">
        <v>619</v>
      </c>
      <c r="I2837" s="122">
        <v>67958</v>
      </c>
      <c r="J2837" s="122">
        <v>61780</v>
      </c>
      <c r="K2837" s="122">
        <v>74</v>
      </c>
      <c r="L2837" s="122">
        <v>10113</v>
      </c>
      <c r="M2837" s="122">
        <v>9194</v>
      </c>
      <c r="N2837" s="122">
        <v>5793</v>
      </c>
      <c r="O2837" s="122">
        <v>2146</v>
      </c>
      <c r="P2837" s="122">
        <v>945</v>
      </c>
      <c r="Q2837" s="122">
        <v>350</v>
      </c>
      <c r="R2837" s="122">
        <v>14779</v>
      </c>
      <c r="S2837" s="122">
        <v>13435</v>
      </c>
      <c r="T2837" s="122">
        <v>5967</v>
      </c>
      <c r="U2837" s="122">
        <v>2210</v>
      </c>
      <c r="V2837" s="122">
        <v>89115</v>
      </c>
      <c r="W2837" s="122">
        <f t="shared" si="90"/>
        <v>89115</v>
      </c>
      <c r="X2837" s="122">
        <f t="shared" si="91"/>
        <v>105555</v>
      </c>
    </row>
    <row r="2838" spans="2:24">
      <c r="B2838" t="s">
        <v>383</v>
      </c>
      <c r="C2838" t="s">
        <v>60</v>
      </c>
      <c r="D2838" t="s">
        <v>405</v>
      </c>
      <c r="E2838" t="s">
        <v>405</v>
      </c>
      <c r="F2838" s="122">
        <v>8</v>
      </c>
      <c r="G2838" s="122">
        <v>773</v>
      </c>
      <c r="H2838" s="122">
        <v>2732</v>
      </c>
      <c r="I2838" s="122">
        <v>173461</v>
      </c>
      <c r="J2838" s="122">
        <v>157691</v>
      </c>
      <c r="K2838" s="122">
        <v>80</v>
      </c>
      <c r="L2838" s="122">
        <v>34043</v>
      </c>
      <c r="M2838" s="122">
        <v>30949</v>
      </c>
      <c r="N2838" s="122">
        <v>15920</v>
      </c>
      <c r="O2838" s="122">
        <v>5896</v>
      </c>
      <c r="P2838" s="122">
        <v>3659</v>
      </c>
      <c r="Q2838" s="122">
        <v>1355</v>
      </c>
      <c r="R2838" s="122">
        <v>30676</v>
      </c>
      <c r="S2838" s="122">
        <v>27887</v>
      </c>
      <c r="T2838" s="122">
        <v>13954</v>
      </c>
      <c r="U2838" s="122">
        <v>5168</v>
      </c>
      <c r="V2838" s="122">
        <v>228947</v>
      </c>
      <c r="W2838" s="122">
        <f t="shared" si="90"/>
        <v>228946</v>
      </c>
      <c r="X2838" s="122">
        <f t="shared" si="91"/>
        <v>271713</v>
      </c>
    </row>
    <row r="2839" spans="2:24">
      <c r="B2839" t="s">
        <v>383</v>
      </c>
      <c r="C2839" t="s">
        <v>60</v>
      </c>
      <c r="D2839" t="s">
        <v>137</v>
      </c>
      <c r="E2839" t="s">
        <v>137</v>
      </c>
      <c r="F2839" s="122">
        <v>58</v>
      </c>
      <c r="G2839" s="122">
        <v>6358</v>
      </c>
      <c r="H2839" s="122">
        <v>19592</v>
      </c>
      <c r="I2839" s="122">
        <v>1459040</v>
      </c>
      <c r="J2839" s="122">
        <v>540385</v>
      </c>
      <c r="K2839" s="122">
        <v>103</v>
      </c>
      <c r="L2839" s="122">
        <v>205498</v>
      </c>
      <c r="M2839" s="122">
        <v>168671</v>
      </c>
      <c r="N2839" s="122">
        <v>147934</v>
      </c>
      <c r="O2839" s="122">
        <v>54790</v>
      </c>
      <c r="P2839" s="122">
        <v>1674</v>
      </c>
      <c r="Q2839" s="122">
        <v>620</v>
      </c>
      <c r="R2839" s="122">
        <v>456448</v>
      </c>
      <c r="S2839" s="122">
        <v>169055</v>
      </c>
      <c r="T2839" s="122">
        <v>0</v>
      </c>
      <c r="U2839" s="122">
        <v>0</v>
      </c>
      <c r="V2839" s="122">
        <v>933521</v>
      </c>
      <c r="W2839" s="122">
        <f t="shared" si="90"/>
        <v>933521</v>
      </c>
      <c r="X2839" s="122">
        <f t="shared" si="91"/>
        <v>2270594</v>
      </c>
    </row>
    <row r="2840" spans="2:24">
      <c r="B2840" t="s">
        <v>383</v>
      </c>
      <c r="C2840" t="s">
        <v>60</v>
      </c>
      <c r="D2840" t="s">
        <v>137</v>
      </c>
      <c r="E2840" t="s">
        <v>406</v>
      </c>
      <c r="F2840" s="122">
        <v>2</v>
      </c>
      <c r="G2840" s="122">
        <v>219</v>
      </c>
      <c r="H2840" s="122">
        <v>690</v>
      </c>
      <c r="I2840" s="122">
        <v>45276</v>
      </c>
      <c r="J2840" s="122">
        <v>16769</v>
      </c>
      <c r="K2840" s="122">
        <v>100</v>
      </c>
      <c r="L2840" s="122">
        <v>5730</v>
      </c>
      <c r="M2840" s="122">
        <v>5209</v>
      </c>
      <c r="N2840" s="122">
        <v>4299</v>
      </c>
      <c r="O2840" s="122">
        <v>1592</v>
      </c>
      <c r="P2840" s="122">
        <v>270</v>
      </c>
      <c r="Q2840" s="122">
        <v>100</v>
      </c>
      <c r="R2840" s="122">
        <v>13134</v>
      </c>
      <c r="S2840" s="122">
        <v>11940</v>
      </c>
      <c r="T2840" s="122">
        <v>6877</v>
      </c>
      <c r="U2840" s="122">
        <v>2547</v>
      </c>
      <c r="V2840" s="122">
        <v>38157</v>
      </c>
      <c r="W2840" s="122">
        <f t="shared" si="90"/>
        <v>38157</v>
      </c>
      <c r="X2840" s="122">
        <f t="shared" si="91"/>
        <v>75586</v>
      </c>
    </row>
    <row r="2841" spans="2:24">
      <c r="B2841" t="s">
        <v>383</v>
      </c>
      <c r="C2841" t="s">
        <v>60</v>
      </c>
      <c r="D2841" t="s">
        <v>406</v>
      </c>
      <c r="E2841" t="s">
        <v>137</v>
      </c>
      <c r="F2841" s="122">
        <v>6</v>
      </c>
      <c r="G2841" s="122">
        <v>878</v>
      </c>
      <c r="H2841" s="122">
        <v>1919</v>
      </c>
      <c r="I2841" s="122">
        <v>176776</v>
      </c>
      <c r="J2841" s="122">
        <v>160706</v>
      </c>
      <c r="K2841" s="122">
        <v>80</v>
      </c>
      <c r="L2841" s="122">
        <v>39839</v>
      </c>
      <c r="M2841" s="122">
        <v>36217</v>
      </c>
      <c r="N2841" s="122">
        <v>19301</v>
      </c>
      <c r="O2841" s="122">
        <v>7148</v>
      </c>
      <c r="P2841" s="122">
        <v>3375</v>
      </c>
      <c r="Q2841" s="122">
        <v>1250</v>
      </c>
      <c r="R2841" s="122">
        <v>56481</v>
      </c>
      <c r="S2841" s="122">
        <v>20919</v>
      </c>
      <c r="T2841" s="122">
        <v>0</v>
      </c>
      <c r="U2841" s="122">
        <v>0</v>
      </c>
      <c r="V2841" s="122">
        <v>226241</v>
      </c>
      <c r="W2841" s="122">
        <f t="shared" si="90"/>
        <v>226240</v>
      </c>
      <c r="X2841" s="122">
        <f t="shared" si="91"/>
        <v>295772</v>
      </c>
    </row>
    <row r="2842" spans="2:24">
      <c r="B2842" t="s">
        <v>383</v>
      </c>
      <c r="C2842" t="s">
        <v>60</v>
      </c>
      <c r="D2842" t="s">
        <v>406</v>
      </c>
      <c r="E2842" t="s">
        <v>406</v>
      </c>
      <c r="F2842" s="122">
        <v>1283</v>
      </c>
      <c r="G2842" s="122">
        <v>151536</v>
      </c>
      <c r="H2842" s="122">
        <v>432469</v>
      </c>
      <c r="I2842" s="122">
        <v>32883955</v>
      </c>
      <c r="J2842" s="122">
        <v>29894505</v>
      </c>
      <c r="K2842" s="122">
        <v>76</v>
      </c>
      <c r="L2842" s="122">
        <v>6227050</v>
      </c>
      <c r="M2842" s="122">
        <v>5514853</v>
      </c>
      <c r="N2842" s="122">
        <v>3205060</v>
      </c>
      <c r="O2842" s="122">
        <v>1187059</v>
      </c>
      <c r="P2842" s="122">
        <v>819290</v>
      </c>
      <c r="Q2842" s="122">
        <v>303441</v>
      </c>
      <c r="R2842" s="122">
        <v>6867859</v>
      </c>
      <c r="S2842" s="122">
        <v>6243508</v>
      </c>
      <c r="T2842" s="122">
        <v>2138084</v>
      </c>
      <c r="U2842" s="122">
        <v>791883</v>
      </c>
      <c r="V2842" s="122">
        <v>43935248</v>
      </c>
      <c r="W2842" s="122">
        <f t="shared" si="90"/>
        <v>43935249</v>
      </c>
      <c r="X2842" s="122">
        <f t="shared" si="91"/>
        <v>52141298</v>
      </c>
    </row>
    <row r="2843" spans="2:24">
      <c r="B2843" t="s">
        <v>383</v>
      </c>
      <c r="C2843" t="s">
        <v>60</v>
      </c>
      <c r="D2843" t="s">
        <v>406</v>
      </c>
      <c r="E2843" t="s">
        <v>427</v>
      </c>
      <c r="F2843" s="122">
        <v>2</v>
      </c>
      <c r="G2843" s="122">
        <v>208</v>
      </c>
      <c r="H2843" s="122">
        <v>664</v>
      </c>
      <c r="I2843" s="122">
        <v>39330</v>
      </c>
      <c r="J2843" s="122">
        <v>35755</v>
      </c>
      <c r="K2843" s="122">
        <v>75</v>
      </c>
      <c r="L2843" s="122">
        <v>10177</v>
      </c>
      <c r="M2843" s="122">
        <v>9252</v>
      </c>
      <c r="N2843" s="122">
        <v>4926</v>
      </c>
      <c r="O2843" s="122">
        <v>1824</v>
      </c>
      <c r="P2843" s="122">
        <v>1242</v>
      </c>
      <c r="Q2843" s="122">
        <v>460</v>
      </c>
      <c r="R2843" s="122">
        <v>10416</v>
      </c>
      <c r="S2843" s="122">
        <v>9469</v>
      </c>
      <c r="T2843" s="122">
        <v>3395</v>
      </c>
      <c r="U2843" s="122">
        <v>1257</v>
      </c>
      <c r="V2843" s="122">
        <v>58017</v>
      </c>
      <c r="W2843" s="122">
        <f t="shared" si="90"/>
        <v>58017</v>
      </c>
      <c r="X2843" s="122">
        <f t="shared" si="91"/>
        <v>69486</v>
      </c>
    </row>
    <row r="2844" spans="2:24">
      <c r="B2844" t="s">
        <v>383</v>
      </c>
      <c r="C2844" t="s">
        <v>60</v>
      </c>
      <c r="D2844" t="s">
        <v>406</v>
      </c>
      <c r="E2844" t="s">
        <v>556</v>
      </c>
      <c r="F2844" s="122">
        <v>1</v>
      </c>
      <c r="G2844" s="122">
        <v>121</v>
      </c>
      <c r="H2844" s="122">
        <v>321</v>
      </c>
      <c r="I2844" s="122">
        <v>22531</v>
      </c>
      <c r="J2844" s="122">
        <v>20483</v>
      </c>
      <c r="K2844" s="122">
        <v>70</v>
      </c>
      <c r="L2844" s="122">
        <v>3823</v>
      </c>
      <c r="M2844" s="122">
        <v>3186</v>
      </c>
      <c r="N2844" s="122">
        <v>2948</v>
      </c>
      <c r="O2844" s="122">
        <v>1092</v>
      </c>
      <c r="P2844" s="122">
        <v>621</v>
      </c>
      <c r="Q2844" s="122">
        <v>230</v>
      </c>
      <c r="R2844" s="122">
        <v>8976</v>
      </c>
      <c r="S2844" s="122">
        <v>7480</v>
      </c>
      <c r="T2844" s="122">
        <v>0</v>
      </c>
      <c r="U2844" s="122">
        <v>0</v>
      </c>
      <c r="V2844" s="122">
        <v>32471</v>
      </c>
      <c r="W2844" s="122">
        <f t="shared" si="90"/>
        <v>32471</v>
      </c>
      <c r="X2844" s="122">
        <f t="shared" si="91"/>
        <v>38899</v>
      </c>
    </row>
    <row r="2845" spans="2:24">
      <c r="B2845" t="s">
        <v>383</v>
      </c>
      <c r="C2845" t="s">
        <v>60</v>
      </c>
      <c r="D2845" t="s">
        <v>406</v>
      </c>
      <c r="E2845" t="s">
        <v>426</v>
      </c>
      <c r="F2845" s="122">
        <v>2</v>
      </c>
      <c r="G2845" s="122">
        <v>340</v>
      </c>
      <c r="H2845" s="122">
        <v>709</v>
      </c>
      <c r="I2845" s="122">
        <v>78153</v>
      </c>
      <c r="J2845" s="122">
        <v>71048</v>
      </c>
      <c r="K2845" s="122">
        <v>73</v>
      </c>
      <c r="L2845" s="122">
        <v>9200</v>
      </c>
      <c r="M2845" s="122">
        <v>8364</v>
      </c>
      <c r="N2845" s="122">
        <v>7820</v>
      </c>
      <c r="O2845" s="122">
        <v>2896</v>
      </c>
      <c r="P2845" s="122">
        <v>1242</v>
      </c>
      <c r="Q2845" s="122">
        <v>460</v>
      </c>
      <c r="R2845" s="122">
        <v>20463</v>
      </c>
      <c r="S2845" s="122">
        <v>18603</v>
      </c>
      <c r="T2845" s="122">
        <v>4377</v>
      </c>
      <c r="U2845" s="122">
        <v>1621</v>
      </c>
      <c r="V2845" s="122">
        <v>102992</v>
      </c>
      <c r="W2845" s="122">
        <f t="shared" si="90"/>
        <v>102992</v>
      </c>
      <c r="X2845" s="122">
        <f t="shared" si="91"/>
        <v>121255</v>
      </c>
    </row>
    <row r="2846" spans="2:24">
      <c r="B2846" t="s">
        <v>383</v>
      </c>
      <c r="C2846" t="s">
        <v>60</v>
      </c>
      <c r="D2846" t="s">
        <v>427</v>
      </c>
      <c r="E2846" t="s">
        <v>427</v>
      </c>
      <c r="F2846" s="122">
        <v>11</v>
      </c>
      <c r="G2846" s="122">
        <v>1094</v>
      </c>
      <c r="H2846" s="122">
        <v>3667</v>
      </c>
      <c r="I2846" s="122">
        <v>216618</v>
      </c>
      <c r="J2846" s="122">
        <v>196925</v>
      </c>
      <c r="K2846" s="122">
        <v>64</v>
      </c>
      <c r="L2846" s="122">
        <v>36871</v>
      </c>
      <c r="M2846" s="122">
        <v>31777</v>
      </c>
      <c r="N2846" s="122">
        <v>22725</v>
      </c>
      <c r="O2846" s="122">
        <v>8417</v>
      </c>
      <c r="P2846" s="122">
        <v>3861</v>
      </c>
      <c r="Q2846" s="122">
        <v>1430</v>
      </c>
      <c r="R2846" s="122">
        <v>63589</v>
      </c>
      <c r="S2846" s="122">
        <v>57809</v>
      </c>
      <c r="T2846" s="122">
        <v>18814</v>
      </c>
      <c r="U2846" s="122">
        <v>6968</v>
      </c>
      <c r="V2846" s="122">
        <v>303326</v>
      </c>
      <c r="W2846" s="122">
        <f t="shared" si="90"/>
        <v>303326</v>
      </c>
      <c r="X2846" s="122">
        <f t="shared" si="91"/>
        <v>362478</v>
      </c>
    </row>
    <row r="2847" spans="2:24">
      <c r="B2847" t="s">
        <v>383</v>
      </c>
      <c r="C2847" t="s">
        <v>60</v>
      </c>
      <c r="D2847" t="s">
        <v>407</v>
      </c>
      <c r="E2847" t="s">
        <v>137</v>
      </c>
      <c r="F2847" s="122">
        <v>1</v>
      </c>
      <c r="G2847" s="122">
        <v>91</v>
      </c>
      <c r="H2847" s="122">
        <v>345</v>
      </c>
      <c r="I2847" s="122">
        <v>18866</v>
      </c>
      <c r="J2847" s="122">
        <v>17151</v>
      </c>
      <c r="K2847" s="122">
        <v>69</v>
      </c>
      <c r="L2847" s="122">
        <v>2296</v>
      </c>
      <c r="M2847" s="122">
        <v>2087</v>
      </c>
      <c r="N2847" s="122">
        <v>2222</v>
      </c>
      <c r="O2847" s="122">
        <v>823</v>
      </c>
      <c r="P2847" s="122">
        <v>351</v>
      </c>
      <c r="Q2847" s="122">
        <v>130</v>
      </c>
      <c r="R2847" s="122">
        <v>7687</v>
      </c>
      <c r="S2847" s="122">
        <v>2847</v>
      </c>
      <c r="T2847" s="122">
        <v>0</v>
      </c>
      <c r="U2847" s="122">
        <v>0</v>
      </c>
      <c r="V2847" s="122">
        <v>23039</v>
      </c>
      <c r="W2847" s="122">
        <f t="shared" si="90"/>
        <v>23038</v>
      </c>
      <c r="X2847" s="122">
        <f t="shared" si="91"/>
        <v>31422</v>
      </c>
    </row>
    <row r="2848" spans="2:24">
      <c r="B2848" t="s">
        <v>383</v>
      </c>
      <c r="C2848" t="s">
        <v>60</v>
      </c>
      <c r="D2848" t="s">
        <v>407</v>
      </c>
      <c r="E2848" t="s">
        <v>407</v>
      </c>
      <c r="F2848" s="122">
        <v>37</v>
      </c>
      <c r="G2848" s="122">
        <v>3835</v>
      </c>
      <c r="H2848" s="122">
        <v>12392</v>
      </c>
      <c r="I2848" s="122">
        <v>794070</v>
      </c>
      <c r="J2848" s="122">
        <v>721882</v>
      </c>
      <c r="K2848" s="122">
        <v>76</v>
      </c>
      <c r="L2848" s="122">
        <v>180624</v>
      </c>
      <c r="M2848" s="122">
        <v>157929</v>
      </c>
      <c r="N2848" s="122">
        <v>76610</v>
      </c>
      <c r="O2848" s="122">
        <v>28374</v>
      </c>
      <c r="P2848" s="122">
        <v>17510</v>
      </c>
      <c r="Q2848" s="122">
        <v>6485</v>
      </c>
      <c r="R2848" s="122">
        <v>180835</v>
      </c>
      <c r="S2848" s="122">
        <v>164395</v>
      </c>
      <c r="T2848" s="122">
        <v>58241</v>
      </c>
      <c r="U2848" s="122">
        <v>21571</v>
      </c>
      <c r="V2848" s="122">
        <v>1100636</v>
      </c>
      <c r="W2848" s="122">
        <f t="shared" si="90"/>
        <v>1100636</v>
      </c>
      <c r="X2848" s="122">
        <f t="shared" si="91"/>
        <v>1307890</v>
      </c>
    </row>
    <row r="2849" spans="2:24">
      <c r="B2849" t="s">
        <v>383</v>
      </c>
      <c r="C2849" t="s">
        <v>60</v>
      </c>
      <c r="D2849" t="s">
        <v>556</v>
      </c>
      <c r="E2849" t="s">
        <v>556</v>
      </c>
      <c r="F2849" s="122">
        <v>5</v>
      </c>
      <c r="G2849" s="122">
        <v>581</v>
      </c>
      <c r="H2849" s="122">
        <v>1812</v>
      </c>
      <c r="I2849" s="122">
        <v>148789</v>
      </c>
      <c r="J2849" s="122">
        <v>123991</v>
      </c>
      <c r="K2849" s="122">
        <v>64</v>
      </c>
      <c r="L2849" s="122">
        <v>18516</v>
      </c>
      <c r="M2849" s="122">
        <v>13740</v>
      </c>
      <c r="N2849" s="122">
        <v>11299</v>
      </c>
      <c r="O2849" s="122">
        <v>4185</v>
      </c>
      <c r="P2849" s="122">
        <v>2517</v>
      </c>
      <c r="Q2849" s="122">
        <v>932</v>
      </c>
      <c r="R2849" s="122">
        <v>22262</v>
      </c>
      <c r="S2849" s="122">
        <v>18551</v>
      </c>
      <c r="T2849" s="122">
        <v>6705</v>
      </c>
      <c r="U2849" s="122">
        <v>2483</v>
      </c>
      <c r="V2849" s="122">
        <v>163883</v>
      </c>
      <c r="W2849" s="122">
        <f t="shared" si="90"/>
        <v>163882</v>
      </c>
      <c r="X2849" s="122">
        <f t="shared" si="91"/>
        <v>210088</v>
      </c>
    </row>
    <row r="2850" spans="2:24">
      <c r="B2850" t="s">
        <v>383</v>
      </c>
      <c r="C2850" t="s">
        <v>60</v>
      </c>
      <c r="D2850" t="s">
        <v>428</v>
      </c>
      <c r="E2850" t="s">
        <v>428</v>
      </c>
      <c r="F2850" s="122">
        <v>1</v>
      </c>
      <c r="G2850" s="122">
        <v>88</v>
      </c>
      <c r="H2850" s="122">
        <v>349</v>
      </c>
      <c r="I2850" s="122">
        <v>17856</v>
      </c>
      <c r="J2850" s="122">
        <v>16233</v>
      </c>
      <c r="K2850" s="122">
        <v>55</v>
      </c>
      <c r="L2850" s="122">
        <v>3637</v>
      </c>
      <c r="M2850" s="122">
        <v>3307</v>
      </c>
      <c r="N2850" s="122">
        <v>1376</v>
      </c>
      <c r="O2850" s="122">
        <v>510</v>
      </c>
      <c r="P2850" s="122">
        <v>351</v>
      </c>
      <c r="Q2850" s="122">
        <v>130</v>
      </c>
      <c r="R2850" s="122">
        <v>5043</v>
      </c>
      <c r="S2850" s="122">
        <v>4585</v>
      </c>
      <c r="T2850" s="122">
        <v>2266</v>
      </c>
      <c r="U2850" s="122">
        <v>839</v>
      </c>
      <c r="V2850" s="122">
        <v>25603</v>
      </c>
      <c r="W2850" s="122">
        <f t="shared" si="90"/>
        <v>25604</v>
      </c>
      <c r="X2850" s="122">
        <f t="shared" si="91"/>
        <v>30529</v>
      </c>
    </row>
    <row r="2851" spans="2:24">
      <c r="B2851" t="s">
        <v>383</v>
      </c>
      <c r="C2851" t="s">
        <v>60</v>
      </c>
      <c r="D2851" t="s">
        <v>431</v>
      </c>
      <c r="E2851" t="s">
        <v>431</v>
      </c>
      <c r="F2851" s="122">
        <v>5</v>
      </c>
      <c r="G2851" s="122">
        <v>496</v>
      </c>
      <c r="H2851" s="122">
        <v>1645</v>
      </c>
      <c r="I2851" s="122">
        <v>116812</v>
      </c>
      <c r="J2851" s="122">
        <v>106193</v>
      </c>
      <c r="K2851" s="122">
        <v>59</v>
      </c>
      <c r="L2851" s="122">
        <v>10663</v>
      </c>
      <c r="M2851" s="122">
        <v>9693</v>
      </c>
      <c r="N2851" s="122">
        <v>8929</v>
      </c>
      <c r="O2851" s="122">
        <v>3307</v>
      </c>
      <c r="P2851" s="122">
        <v>2106</v>
      </c>
      <c r="Q2851" s="122">
        <v>780</v>
      </c>
      <c r="R2851" s="122">
        <v>26886</v>
      </c>
      <c r="S2851" s="122">
        <v>24442</v>
      </c>
      <c r="T2851" s="122">
        <v>7814</v>
      </c>
      <c r="U2851" s="122">
        <v>2894</v>
      </c>
      <c r="V2851" s="122">
        <v>147309</v>
      </c>
      <c r="W2851" s="122">
        <f t="shared" si="90"/>
        <v>147309</v>
      </c>
      <c r="X2851" s="122">
        <f t="shared" si="91"/>
        <v>173210</v>
      </c>
    </row>
    <row r="2852" spans="2:24">
      <c r="B2852" t="s">
        <v>383</v>
      </c>
      <c r="C2852" t="s">
        <v>60</v>
      </c>
      <c r="D2852" t="s">
        <v>426</v>
      </c>
      <c r="E2852" t="s">
        <v>137</v>
      </c>
      <c r="F2852" s="122">
        <v>6</v>
      </c>
      <c r="G2852" s="122">
        <v>808</v>
      </c>
      <c r="H2852" s="122">
        <v>2163</v>
      </c>
      <c r="I2852" s="122">
        <v>197580</v>
      </c>
      <c r="J2852" s="122">
        <v>179618</v>
      </c>
      <c r="K2852" s="122">
        <v>57</v>
      </c>
      <c r="L2852" s="122">
        <v>23522</v>
      </c>
      <c r="M2852" s="122">
        <v>24997</v>
      </c>
      <c r="N2852" s="122">
        <v>16341</v>
      </c>
      <c r="O2852" s="122">
        <v>6052</v>
      </c>
      <c r="P2852" s="122">
        <v>351</v>
      </c>
      <c r="Q2852" s="122">
        <v>130</v>
      </c>
      <c r="R2852" s="122">
        <v>52783</v>
      </c>
      <c r="S2852" s="122">
        <v>19549</v>
      </c>
      <c r="T2852" s="122">
        <v>0</v>
      </c>
      <c r="U2852" s="122">
        <v>0</v>
      </c>
      <c r="V2852" s="122">
        <v>230347</v>
      </c>
      <c r="W2852" s="122">
        <f t="shared" si="90"/>
        <v>230346</v>
      </c>
      <c r="X2852" s="122">
        <f t="shared" si="91"/>
        <v>290577</v>
      </c>
    </row>
    <row r="2853" spans="2:24">
      <c r="B2853" t="s">
        <v>383</v>
      </c>
      <c r="C2853" t="s">
        <v>60</v>
      </c>
      <c r="D2853" t="s">
        <v>426</v>
      </c>
      <c r="E2853" t="s">
        <v>406</v>
      </c>
      <c r="F2853" s="122">
        <v>2</v>
      </c>
      <c r="G2853" s="122">
        <v>366</v>
      </c>
      <c r="H2853" s="122">
        <v>757</v>
      </c>
      <c r="I2853" s="122">
        <v>94701</v>
      </c>
      <c r="J2853" s="122">
        <v>86092</v>
      </c>
      <c r="K2853" s="122">
        <v>63</v>
      </c>
      <c r="L2853" s="122">
        <v>17733</v>
      </c>
      <c r="M2853" s="122">
        <v>16121</v>
      </c>
      <c r="N2853" s="122">
        <v>7620</v>
      </c>
      <c r="O2853" s="122">
        <v>2822</v>
      </c>
      <c r="P2853" s="122">
        <v>621</v>
      </c>
      <c r="Q2853" s="122">
        <v>230</v>
      </c>
      <c r="R2853" s="122">
        <v>10870</v>
      </c>
      <c r="S2853" s="122">
        <v>9882</v>
      </c>
      <c r="T2853" s="122">
        <v>6706</v>
      </c>
      <c r="U2853" s="122">
        <v>2484</v>
      </c>
      <c r="V2853" s="122">
        <v>117631</v>
      </c>
      <c r="W2853" s="122">
        <f t="shared" si="90"/>
        <v>117631</v>
      </c>
      <c r="X2853" s="122">
        <f t="shared" si="91"/>
        <v>138251</v>
      </c>
    </row>
    <row r="2854" spans="2:24">
      <c r="B2854" t="s">
        <v>383</v>
      </c>
      <c r="C2854" t="s">
        <v>60</v>
      </c>
      <c r="D2854" t="s">
        <v>426</v>
      </c>
      <c r="E2854" t="s">
        <v>426</v>
      </c>
      <c r="F2854" s="122">
        <v>135</v>
      </c>
      <c r="G2854" s="122">
        <v>13591</v>
      </c>
      <c r="H2854" s="122">
        <v>46128</v>
      </c>
      <c r="I2854" s="122">
        <v>2891587</v>
      </c>
      <c r="J2854" s="122">
        <v>2628715</v>
      </c>
      <c r="K2854" s="122">
        <v>59</v>
      </c>
      <c r="L2854" s="122">
        <v>415619</v>
      </c>
      <c r="M2854" s="122">
        <v>355245</v>
      </c>
      <c r="N2854" s="122">
        <v>264932</v>
      </c>
      <c r="O2854" s="122">
        <v>98123</v>
      </c>
      <c r="P2854" s="122">
        <v>49275</v>
      </c>
      <c r="Q2854" s="122">
        <v>18250</v>
      </c>
      <c r="R2854" s="122">
        <v>740311</v>
      </c>
      <c r="S2854" s="122">
        <v>673010</v>
      </c>
      <c r="T2854" s="122">
        <v>320677</v>
      </c>
      <c r="U2854" s="122">
        <v>118769</v>
      </c>
      <c r="V2854" s="122">
        <v>3892113</v>
      </c>
      <c r="W2854" s="122">
        <f t="shared" si="90"/>
        <v>3892112</v>
      </c>
      <c r="X2854" s="122">
        <f t="shared" si="91"/>
        <v>4682401</v>
      </c>
    </row>
    <row r="2855" spans="2:24">
      <c r="B2855" t="s">
        <v>383</v>
      </c>
      <c r="C2855" t="s">
        <v>60</v>
      </c>
      <c r="D2855" t="s">
        <v>433</v>
      </c>
      <c r="E2855" t="s">
        <v>433</v>
      </c>
      <c r="F2855" s="122">
        <v>7</v>
      </c>
      <c r="G2855" s="122">
        <v>802</v>
      </c>
      <c r="H2855" s="122">
        <v>2489</v>
      </c>
      <c r="I2855" s="122">
        <v>187296</v>
      </c>
      <c r="J2855" s="122">
        <v>170269</v>
      </c>
      <c r="K2855" s="122">
        <v>60</v>
      </c>
      <c r="L2855" s="122">
        <v>22228</v>
      </c>
      <c r="M2855" s="122">
        <v>20207</v>
      </c>
      <c r="N2855" s="122">
        <v>15812</v>
      </c>
      <c r="O2855" s="122">
        <v>5856</v>
      </c>
      <c r="P2855" s="122">
        <v>2808</v>
      </c>
      <c r="Q2855" s="122">
        <v>1040</v>
      </c>
      <c r="R2855" s="122">
        <v>40921</v>
      </c>
      <c r="S2855" s="122">
        <v>37201</v>
      </c>
      <c r="T2855" s="122">
        <v>17700</v>
      </c>
      <c r="U2855" s="122">
        <v>6556</v>
      </c>
      <c r="V2855" s="122">
        <v>241129</v>
      </c>
      <c r="W2855" s="122">
        <f t="shared" si="90"/>
        <v>241129</v>
      </c>
      <c r="X2855" s="122">
        <f t="shared" si="91"/>
        <v>286765</v>
      </c>
    </row>
    <row r="2856" spans="2:24">
      <c r="B2856" t="s">
        <v>383</v>
      </c>
      <c r="C2856" t="s">
        <v>60</v>
      </c>
      <c r="D2856" t="s">
        <v>408</v>
      </c>
      <c r="E2856" t="s">
        <v>137</v>
      </c>
      <c r="F2856" s="122">
        <v>1</v>
      </c>
      <c r="G2856" s="122">
        <v>45</v>
      </c>
      <c r="H2856" s="122">
        <v>353</v>
      </c>
      <c r="I2856" s="122">
        <v>9902</v>
      </c>
      <c r="J2856" s="122">
        <v>9002</v>
      </c>
      <c r="K2856" s="122">
        <v>65</v>
      </c>
      <c r="L2856" s="122">
        <v>0</v>
      </c>
      <c r="M2856" s="122">
        <v>0</v>
      </c>
      <c r="N2856" s="122">
        <v>1101</v>
      </c>
      <c r="O2856" s="122">
        <v>408</v>
      </c>
      <c r="P2856" s="122">
        <v>0</v>
      </c>
      <c r="Q2856" s="122">
        <v>0</v>
      </c>
      <c r="R2856" s="122">
        <v>4944</v>
      </c>
      <c r="S2856" s="122">
        <v>1831</v>
      </c>
      <c r="T2856" s="122">
        <v>0</v>
      </c>
      <c r="U2856" s="122">
        <v>0</v>
      </c>
      <c r="V2856" s="122">
        <v>11241</v>
      </c>
      <c r="W2856" s="122">
        <f t="shared" si="90"/>
        <v>11241</v>
      </c>
      <c r="X2856" s="122">
        <f t="shared" si="91"/>
        <v>15947</v>
      </c>
    </row>
    <row r="2857" spans="2:24">
      <c r="B2857" t="s">
        <v>383</v>
      </c>
      <c r="C2857" t="s">
        <v>62</v>
      </c>
      <c r="D2857" t="s">
        <v>555</v>
      </c>
      <c r="E2857" t="s">
        <v>555</v>
      </c>
      <c r="F2857" s="122">
        <v>1</v>
      </c>
      <c r="G2857" s="122">
        <v>59</v>
      </c>
      <c r="H2857" s="122">
        <v>423</v>
      </c>
      <c r="I2857" s="122">
        <v>18345</v>
      </c>
      <c r="J2857" s="122">
        <v>16678</v>
      </c>
      <c r="K2857" s="122">
        <v>60</v>
      </c>
      <c r="L2857" s="122">
        <v>0</v>
      </c>
      <c r="M2857" s="122">
        <v>0</v>
      </c>
      <c r="N2857" s="122">
        <v>718</v>
      </c>
      <c r="O2857" s="122">
        <v>266</v>
      </c>
      <c r="P2857" s="122">
        <v>351</v>
      </c>
      <c r="Q2857" s="122">
        <v>130</v>
      </c>
      <c r="R2857" s="122">
        <v>3518</v>
      </c>
      <c r="S2857" s="122">
        <v>3198</v>
      </c>
      <c r="T2857" s="122">
        <v>2008</v>
      </c>
      <c r="U2857" s="122">
        <v>744</v>
      </c>
      <c r="V2857" s="122">
        <v>21015</v>
      </c>
      <c r="W2857" s="122">
        <f t="shared" si="90"/>
        <v>21016</v>
      </c>
      <c r="X2857" s="122">
        <f t="shared" si="91"/>
        <v>24940</v>
      </c>
    </row>
    <row r="2858" spans="2:24">
      <c r="B2858" t="s">
        <v>383</v>
      </c>
      <c r="C2858" t="s">
        <v>62</v>
      </c>
      <c r="D2858" t="s">
        <v>425</v>
      </c>
      <c r="E2858" t="s">
        <v>425</v>
      </c>
      <c r="F2858" s="122">
        <v>1</v>
      </c>
      <c r="G2858" s="122">
        <v>66</v>
      </c>
      <c r="H2858" s="122">
        <v>405</v>
      </c>
      <c r="I2858" s="122">
        <v>20092</v>
      </c>
      <c r="J2858" s="122">
        <v>18265</v>
      </c>
      <c r="K2858" s="122">
        <v>73</v>
      </c>
      <c r="L2858" s="122">
        <v>0</v>
      </c>
      <c r="M2858" s="122">
        <v>0</v>
      </c>
      <c r="N2858" s="122">
        <v>1617</v>
      </c>
      <c r="O2858" s="122">
        <v>599</v>
      </c>
      <c r="P2858" s="122">
        <v>473</v>
      </c>
      <c r="Q2858" s="122">
        <v>175</v>
      </c>
      <c r="R2858" s="122">
        <v>4665</v>
      </c>
      <c r="S2858" s="122">
        <v>4241</v>
      </c>
      <c r="T2858" s="122">
        <v>0</v>
      </c>
      <c r="U2858" s="122">
        <v>0</v>
      </c>
      <c r="V2858" s="122">
        <v>23280</v>
      </c>
      <c r="W2858" s="122">
        <f t="shared" si="90"/>
        <v>23280</v>
      </c>
      <c r="X2858" s="122">
        <f t="shared" si="91"/>
        <v>26847</v>
      </c>
    </row>
    <row r="2859" spans="2:24">
      <c r="B2859" t="s">
        <v>383</v>
      </c>
      <c r="C2859" t="s">
        <v>62</v>
      </c>
      <c r="D2859" t="s">
        <v>405</v>
      </c>
      <c r="E2859" t="s">
        <v>405</v>
      </c>
      <c r="F2859" s="122">
        <v>3</v>
      </c>
      <c r="G2859" s="122">
        <v>259</v>
      </c>
      <c r="H2859" s="122">
        <v>1291</v>
      </c>
      <c r="I2859" s="122">
        <v>70837</v>
      </c>
      <c r="J2859" s="122">
        <v>64398</v>
      </c>
      <c r="K2859" s="122">
        <v>71</v>
      </c>
      <c r="L2859" s="122">
        <v>14866</v>
      </c>
      <c r="M2859" s="122">
        <v>13515</v>
      </c>
      <c r="N2859" s="122">
        <v>5869</v>
      </c>
      <c r="O2859" s="122">
        <v>2174</v>
      </c>
      <c r="P2859" s="122">
        <v>1296</v>
      </c>
      <c r="Q2859" s="122">
        <v>480</v>
      </c>
      <c r="R2859" s="122">
        <v>18071</v>
      </c>
      <c r="S2859" s="122">
        <v>16428</v>
      </c>
      <c r="T2859" s="122">
        <v>0</v>
      </c>
      <c r="U2859" s="122">
        <v>0</v>
      </c>
      <c r="V2859" s="122">
        <v>96994</v>
      </c>
      <c r="W2859" s="122">
        <f t="shared" si="90"/>
        <v>96995</v>
      </c>
      <c r="X2859" s="122">
        <f t="shared" si="91"/>
        <v>110939</v>
      </c>
    </row>
    <row r="2860" spans="2:24">
      <c r="B2860" t="s">
        <v>383</v>
      </c>
      <c r="C2860" t="s">
        <v>62</v>
      </c>
      <c r="D2860" t="s">
        <v>137</v>
      </c>
      <c r="E2860" t="s">
        <v>137</v>
      </c>
      <c r="F2860" s="122">
        <v>28</v>
      </c>
      <c r="G2860" s="122">
        <v>2727</v>
      </c>
      <c r="H2860" s="122">
        <v>11416</v>
      </c>
      <c r="I2860" s="122">
        <v>734940</v>
      </c>
      <c r="J2860" s="122">
        <v>272200</v>
      </c>
      <c r="K2860" s="122">
        <v>105</v>
      </c>
      <c r="L2860" s="122">
        <v>93891</v>
      </c>
      <c r="M2860" s="122">
        <v>79049</v>
      </c>
      <c r="N2860" s="122">
        <v>60867</v>
      </c>
      <c r="O2860" s="122">
        <v>22543</v>
      </c>
      <c r="P2860" s="122">
        <v>1344</v>
      </c>
      <c r="Q2860" s="122">
        <v>498</v>
      </c>
      <c r="R2860" s="122">
        <v>242160</v>
      </c>
      <c r="S2860" s="122">
        <v>89689</v>
      </c>
      <c r="T2860" s="122">
        <v>0</v>
      </c>
      <c r="U2860" s="122">
        <v>0</v>
      </c>
      <c r="V2860" s="122">
        <v>463979</v>
      </c>
      <c r="W2860" s="122">
        <f t="shared" ref="W2860:W2923" si="92">SUM(ABS(J2860),ABS(M2860),ABS(O2860),ABS(Q2860),ABS(S2860),ABS(U2860))</f>
        <v>463979</v>
      </c>
      <c r="X2860" s="122">
        <f t="shared" ref="X2860:X2923" si="93">SUM(ABS(I2860),ABS(N2860),ABS(P2860),ABS(R2860),ABS(T2860),ABS(L2860))</f>
        <v>1133202</v>
      </c>
    </row>
    <row r="2861" spans="2:24">
      <c r="B2861" t="s">
        <v>383</v>
      </c>
      <c r="C2861" t="s">
        <v>62</v>
      </c>
      <c r="D2861" t="s">
        <v>137</v>
      </c>
      <c r="E2861" t="s">
        <v>427</v>
      </c>
      <c r="F2861" s="122">
        <v>1</v>
      </c>
      <c r="G2861" s="122">
        <v>93</v>
      </c>
      <c r="H2861" s="122">
        <v>384</v>
      </c>
      <c r="I2861" s="122">
        <v>24910</v>
      </c>
      <c r="J2861" s="122">
        <v>9226</v>
      </c>
      <c r="K2861" s="122">
        <v>100</v>
      </c>
      <c r="L2861" s="122">
        <v>1735</v>
      </c>
      <c r="M2861" s="122">
        <v>1577</v>
      </c>
      <c r="N2861" s="122">
        <v>2259</v>
      </c>
      <c r="O2861" s="122">
        <v>837</v>
      </c>
      <c r="P2861" s="122">
        <v>0</v>
      </c>
      <c r="Q2861" s="122">
        <v>0</v>
      </c>
      <c r="R2861" s="122">
        <v>4353</v>
      </c>
      <c r="S2861" s="122">
        <v>3957</v>
      </c>
      <c r="T2861" s="122">
        <v>2334</v>
      </c>
      <c r="U2861" s="122">
        <v>864</v>
      </c>
      <c r="V2861" s="122">
        <v>16462</v>
      </c>
      <c r="W2861" s="122">
        <f t="shared" si="92"/>
        <v>16461</v>
      </c>
      <c r="X2861" s="122">
        <f t="shared" si="93"/>
        <v>35591</v>
      </c>
    </row>
    <row r="2862" spans="2:24">
      <c r="B2862" t="s">
        <v>383</v>
      </c>
      <c r="C2862" t="s">
        <v>62</v>
      </c>
      <c r="D2862" t="s">
        <v>137</v>
      </c>
      <c r="E2862" t="s">
        <v>426</v>
      </c>
      <c r="F2862" s="122">
        <v>5</v>
      </c>
      <c r="G2862" s="122">
        <v>402</v>
      </c>
      <c r="H2862" s="122">
        <v>2134</v>
      </c>
      <c r="I2862" s="122">
        <v>98017</v>
      </c>
      <c r="J2862" s="122">
        <v>36303</v>
      </c>
      <c r="K2862" s="122">
        <v>100</v>
      </c>
      <c r="L2862" s="122">
        <v>9126</v>
      </c>
      <c r="M2862" s="122">
        <v>8296</v>
      </c>
      <c r="N2862" s="122">
        <v>8697</v>
      </c>
      <c r="O2862" s="122">
        <v>3221</v>
      </c>
      <c r="P2862" s="122">
        <v>0</v>
      </c>
      <c r="Q2862" s="122">
        <v>0</v>
      </c>
      <c r="R2862" s="122">
        <v>49612</v>
      </c>
      <c r="S2862" s="122">
        <v>45102</v>
      </c>
      <c r="T2862" s="122">
        <v>6563</v>
      </c>
      <c r="U2862" s="122">
        <v>2431</v>
      </c>
      <c r="V2862" s="122">
        <v>95353</v>
      </c>
      <c r="W2862" s="122">
        <f t="shared" si="92"/>
        <v>95353</v>
      </c>
      <c r="X2862" s="122">
        <f t="shared" si="93"/>
        <v>172015</v>
      </c>
    </row>
    <row r="2863" spans="2:24">
      <c r="B2863" t="s">
        <v>383</v>
      </c>
      <c r="C2863" t="s">
        <v>62</v>
      </c>
      <c r="D2863" t="s">
        <v>406</v>
      </c>
      <c r="E2863" t="s">
        <v>137</v>
      </c>
      <c r="F2863" s="122">
        <v>7</v>
      </c>
      <c r="G2863" s="122">
        <v>636</v>
      </c>
      <c r="H2863" s="122">
        <v>2878</v>
      </c>
      <c r="I2863" s="122">
        <v>179803</v>
      </c>
      <c r="J2863" s="122">
        <v>163457</v>
      </c>
      <c r="K2863" s="122">
        <v>79</v>
      </c>
      <c r="L2863" s="122">
        <v>28903</v>
      </c>
      <c r="M2863" s="122">
        <v>26275</v>
      </c>
      <c r="N2863" s="122">
        <v>14417</v>
      </c>
      <c r="O2863" s="122">
        <v>5339</v>
      </c>
      <c r="P2863" s="122">
        <v>4347</v>
      </c>
      <c r="Q2863" s="122">
        <v>1610</v>
      </c>
      <c r="R2863" s="122">
        <v>44019</v>
      </c>
      <c r="S2863" s="122">
        <v>16303</v>
      </c>
      <c r="T2863" s="122">
        <v>0</v>
      </c>
      <c r="U2863" s="122">
        <v>0</v>
      </c>
      <c r="V2863" s="122">
        <v>212986</v>
      </c>
      <c r="W2863" s="122">
        <f t="shared" si="92"/>
        <v>212984</v>
      </c>
      <c r="X2863" s="122">
        <f t="shared" si="93"/>
        <v>271489</v>
      </c>
    </row>
    <row r="2864" spans="2:24">
      <c r="B2864" t="s">
        <v>383</v>
      </c>
      <c r="C2864" t="s">
        <v>62</v>
      </c>
      <c r="D2864" t="s">
        <v>406</v>
      </c>
      <c r="E2864" t="s">
        <v>406</v>
      </c>
      <c r="F2864" s="122">
        <v>613</v>
      </c>
      <c r="G2864" s="122">
        <v>68688</v>
      </c>
      <c r="H2864" s="122">
        <v>254207</v>
      </c>
      <c r="I2864" s="122">
        <v>19174307</v>
      </c>
      <c r="J2864" s="122">
        <v>17431188</v>
      </c>
      <c r="K2864" s="122">
        <v>76</v>
      </c>
      <c r="L2864" s="122">
        <v>3686764</v>
      </c>
      <c r="M2864" s="122">
        <v>3271880</v>
      </c>
      <c r="N2864" s="122">
        <v>1470373</v>
      </c>
      <c r="O2864" s="122">
        <v>544583</v>
      </c>
      <c r="P2864" s="122">
        <v>394970</v>
      </c>
      <c r="Q2864" s="122">
        <v>146285</v>
      </c>
      <c r="R2864" s="122">
        <v>3174910</v>
      </c>
      <c r="S2864" s="122">
        <v>2886282</v>
      </c>
      <c r="T2864" s="122">
        <v>980944</v>
      </c>
      <c r="U2864" s="122">
        <v>363312</v>
      </c>
      <c r="V2864" s="122">
        <v>24643530</v>
      </c>
      <c r="W2864" s="122">
        <f t="shared" si="92"/>
        <v>24643530</v>
      </c>
      <c r="X2864" s="122">
        <f t="shared" si="93"/>
        <v>28882268</v>
      </c>
    </row>
    <row r="2865" spans="2:24">
      <c r="B2865" t="s">
        <v>383</v>
      </c>
      <c r="C2865" t="s">
        <v>62</v>
      </c>
      <c r="D2865" t="s">
        <v>406</v>
      </c>
      <c r="E2865" t="s">
        <v>427</v>
      </c>
      <c r="F2865" s="122">
        <v>1</v>
      </c>
      <c r="G2865" s="122">
        <v>115</v>
      </c>
      <c r="H2865" s="122">
        <v>438</v>
      </c>
      <c r="I2865" s="122">
        <v>26934</v>
      </c>
      <c r="J2865" s="122">
        <v>24485</v>
      </c>
      <c r="K2865" s="122">
        <v>60</v>
      </c>
      <c r="L2865" s="122">
        <v>5686</v>
      </c>
      <c r="M2865" s="122">
        <v>5169</v>
      </c>
      <c r="N2865" s="122">
        <v>2795</v>
      </c>
      <c r="O2865" s="122">
        <v>1035</v>
      </c>
      <c r="P2865" s="122">
        <v>621</v>
      </c>
      <c r="Q2865" s="122">
        <v>230</v>
      </c>
      <c r="R2865" s="122">
        <v>9381</v>
      </c>
      <c r="S2865" s="122">
        <v>8528</v>
      </c>
      <c r="T2865" s="122">
        <v>4839</v>
      </c>
      <c r="U2865" s="122">
        <v>1792</v>
      </c>
      <c r="V2865" s="122">
        <v>41240</v>
      </c>
      <c r="W2865" s="122">
        <f t="shared" si="92"/>
        <v>41239</v>
      </c>
      <c r="X2865" s="122">
        <f t="shared" si="93"/>
        <v>50256</v>
      </c>
    </row>
    <row r="2866" spans="2:24">
      <c r="B2866" t="s">
        <v>383</v>
      </c>
      <c r="C2866" t="s">
        <v>62</v>
      </c>
      <c r="D2866" t="s">
        <v>406</v>
      </c>
      <c r="E2866" t="s">
        <v>407</v>
      </c>
      <c r="F2866" s="122">
        <v>2</v>
      </c>
      <c r="G2866" s="122">
        <v>289</v>
      </c>
      <c r="H2866" s="122">
        <v>840</v>
      </c>
      <c r="I2866" s="122">
        <v>86255</v>
      </c>
      <c r="J2866" s="122">
        <v>78413</v>
      </c>
      <c r="K2866" s="122">
        <v>82</v>
      </c>
      <c r="L2866" s="122">
        <v>15289</v>
      </c>
      <c r="M2866" s="122">
        <v>13899</v>
      </c>
      <c r="N2866" s="122">
        <v>6106</v>
      </c>
      <c r="O2866" s="122">
        <v>2262</v>
      </c>
      <c r="P2866" s="122">
        <v>1242</v>
      </c>
      <c r="Q2866" s="122">
        <v>460</v>
      </c>
      <c r="R2866" s="122">
        <v>11735</v>
      </c>
      <c r="S2866" s="122">
        <v>10669</v>
      </c>
      <c r="T2866" s="122">
        <v>2401</v>
      </c>
      <c r="U2866" s="122">
        <v>889</v>
      </c>
      <c r="V2866" s="122">
        <v>106592</v>
      </c>
      <c r="W2866" s="122">
        <f t="shared" si="92"/>
        <v>106592</v>
      </c>
      <c r="X2866" s="122">
        <f t="shared" si="93"/>
        <v>123028</v>
      </c>
    </row>
    <row r="2867" spans="2:24">
      <c r="B2867" t="s">
        <v>383</v>
      </c>
      <c r="C2867" t="s">
        <v>62</v>
      </c>
      <c r="D2867" t="s">
        <v>406</v>
      </c>
      <c r="E2867" t="s">
        <v>426</v>
      </c>
      <c r="F2867" s="122">
        <v>2</v>
      </c>
      <c r="G2867" s="122">
        <v>256</v>
      </c>
      <c r="H2867" s="122">
        <v>856</v>
      </c>
      <c r="I2867" s="122">
        <v>63072</v>
      </c>
      <c r="J2867" s="122">
        <v>57338</v>
      </c>
      <c r="K2867" s="122">
        <v>78</v>
      </c>
      <c r="L2867" s="122">
        <v>17344</v>
      </c>
      <c r="M2867" s="122">
        <v>15767</v>
      </c>
      <c r="N2867" s="122">
        <v>5566</v>
      </c>
      <c r="O2867" s="122">
        <v>2061</v>
      </c>
      <c r="P2867" s="122">
        <v>1242</v>
      </c>
      <c r="Q2867" s="122">
        <v>460</v>
      </c>
      <c r="R2867" s="122">
        <v>18695</v>
      </c>
      <c r="S2867" s="122">
        <v>16995</v>
      </c>
      <c r="T2867" s="122">
        <v>3005</v>
      </c>
      <c r="U2867" s="122">
        <v>1113</v>
      </c>
      <c r="V2867" s="122">
        <v>93735</v>
      </c>
      <c r="W2867" s="122">
        <f t="shared" si="92"/>
        <v>93734</v>
      </c>
      <c r="X2867" s="122">
        <f t="shared" si="93"/>
        <v>108924</v>
      </c>
    </row>
    <row r="2868" spans="2:24">
      <c r="B2868" t="s">
        <v>383</v>
      </c>
      <c r="C2868" t="s">
        <v>62</v>
      </c>
      <c r="D2868" t="s">
        <v>427</v>
      </c>
      <c r="E2868" t="s">
        <v>137</v>
      </c>
      <c r="F2868" s="122">
        <v>1</v>
      </c>
      <c r="G2868" s="122">
        <v>120</v>
      </c>
      <c r="H2868" s="122">
        <v>387</v>
      </c>
      <c r="I2868" s="122">
        <v>27387</v>
      </c>
      <c r="J2868" s="122">
        <v>24897</v>
      </c>
      <c r="K2868" s="122">
        <v>60</v>
      </c>
      <c r="L2868" s="122">
        <v>6086</v>
      </c>
      <c r="M2868" s="122">
        <v>5533</v>
      </c>
      <c r="N2868" s="122">
        <v>2529</v>
      </c>
      <c r="O2868" s="122">
        <v>937</v>
      </c>
      <c r="P2868" s="122">
        <v>351</v>
      </c>
      <c r="Q2868" s="122">
        <v>130</v>
      </c>
      <c r="R2868" s="122">
        <v>10051</v>
      </c>
      <c r="S2868" s="122">
        <v>3723</v>
      </c>
      <c r="T2868" s="122">
        <v>0</v>
      </c>
      <c r="U2868" s="122">
        <v>0</v>
      </c>
      <c r="V2868" s="122">
        <v>35220</v>
      </c>
      <c r="W2868" s="122">
        <f t="shared" si="92"/>
        <v>35220</v>
      </c>
      <c r="X2868" s="122">
        <f t="shared" si="93"/>
        <v>46404</v>
      </c>
    </row>
    <row r="2869" spans="2:24">
      <c r="B2869" t="s">
        <v>383</v>
      </c>
      <c r="C2869" t="s">
        <v>62</v>
      </c>
      <c r="D2869" t="s">
        <v>427</v>
      </c>
      <c r="E2869" t="s">
        <v>427</v>
      </c>
      <c r="F2869" s="122">
        <v>15</v>
      </c>
      <c r="G2869" s="122">
        <v>1567</v>
      </c>
      <c r="H2869" s="122">
        <v>6260</v>
      </c>
      <c r="I2869" s="122">
        <v>445603</v>
      </c>
      <c r="J2869" s="122">
        <v>405093</v>
      </c>
      <c r="K2869" s="122">
        <v>55</v>
      </c>
      <c r="L2869" s="122">
        <v>60798</v>
      </c>
      <c r="M2869" s="122">
        <v>55271</v>
      </c>
      <c r="N2869" s="122">
        <v>32696</v>
      </c>
      <c r="O2869" s="122">
        <v>12110</v>
      </c>
      <c r="P2869" s="122">
        <v>4914</v>
      </c>
      <c r="Q2869" s="122">
        <v>1820</v>
      </c>
      <c r="R2869" s="122">
        <v>105293</v>
      </c>
      <c r="S2869" s="122">
        <v>95721</v>
      </c>
      <c r="T2869" s="122">
        <v>34537</v>
      </c>
      <c r="U2869" s="122">
        <v>12792</v>
      </c>
      <c r="V2869" s="122">
        <v>582806</v>
      </c>
      <c r="W2869" s="122">
        <f t="shared" si="92"/>
        <v>582807</v>
      </c>
      <c r="X2869" s="122">
        <f t="shared" si="93"/>
        <v>683841</v>
      </c>
    </row>
    <row r="2870" spans="2:24">
      <c r="B2870" t="s">
        <v>383</v>
      </c>
      <c r="C2870" t="s">
        <v>62</v>
      </c>
      <c r="D2870" t="s">
        <v>407</v>
      </c>
      <c r="E2870" t="s">
        <v>407</v>
      </c>
      <c r="F2870" s="122">
        <v>13</v>
      </c>
      <c r="G2870" s="122">
        <v>1705</v>
      </c>
      <c r="H2870" s="122">
        <v>5407</v>
      </c>
      <c r="I2870" s="122">
        <v>556027</v>
      </c>
      <c r="J2870" s="122">
        <v>505479</v>
      </c>
      <c r="K2870" s="122">
        <v>70</v>
      </c>
      <c r="L2870" s="122">
        <v>94708</v>
      </c>
      <c r="M2870" s="122">
        <v>85119</v>
      </c>
      <c r="N2870" s="122">
        <v>42597</v>
      </c>
      <c r="O2870" s="122">
        <v>15777</v>
      </c>
      <c r="P2870" s="122">
        <v>6372</v>
      </c>
      <c r="Q2870" s="122">
        <v>2360</v>
      </c>
      <c r="R2870" s="122">
        <v>72974</v>
      </c>
      <c r="S2870" s="122">
        <v>66340</v>
      </c>
      <c r="T2870" s="122">
        <v>25238</v>
      </c>
      <c r="U2870" s="122">
        <v>9347</v>
      </c>
      <c r="V2870" s="122">
        <v>684421</v>
      </c>
      <c r="W2870" s="122">
        <f t="shared" si="92"/>
        <v>684422</v>
      </c>
      <c r="X2870" s="122">
        <f t="shared" si="93"/>
        <v>797916</v>
      </c>
    </row>
    <row r="2871" spans="2:24">
      <c r="B2871" t="s">
        <v>383</v>
      </c>
      <c r="C2871" t="s">
        <v>62</v>
      </c>
      <c r="D2871" t="s">
        <v>556</v>
      </c>
      <c r="E2871" t="s">
        <v>556</v>
      </c>
      <c r="F2871" s="122">
        <v>9</v>
      </c>
      <c r="G2871" s="122">
        <v>786</v>
      </c>
      <c r="H2871" s="122">
        <v>3815</v>
      </c>
      <c r="I2871" s="122">
        <v>206894</v>
      </c>
      <c r="J2871" s="122">
        <v>172412</v>
      </c>
      <c r="K2871" s="122">
        <v>56</v>
      </c>
      <c r="L2871" s="122">
        <v>29483</v>
      </c>
      <c r="M2871" s="122">
        <v>23870</v>
      </c>
      <c r="N2871" s="122">
        <v>16975</v>
      </c>
      <c r="O2871" s="122">
        <v>6287</v>
      </c>
      <c r="P2871" s="122">
        <v>2727</v>
      </c>
      <c r="Q2871" s="122">
        <v>1010</v>
      </c>
      <c r="R2871" s="122">
        <v>65991</v>
      </c>
      <c r="S2871" s="122">
        <v>54993</v>
      </c>
      <c r="T2871" s="122">
        <v>10138</v>
      </c>
      <c r="U2871" s="122">
        <v>3755</v>
      </c>
      <c r="V2871" s="122">
        <v>262326</v>
      </c>
      <c r="W2871" s="122">
        <f t="shared" si="92"/>
        <v>262327</v>
      </c>
      <c r="X2871" s="122">
        <f t="shared" si="93"/>
        <v>332208</v>
      </c>
    </row>
    <row r="2872" spans="2:24">
      <c r="B2872" t="s">
        <v>383</v>
      </c>
      <c r="C2872" t="s">
        <v>62</v>
      </c>
      <c r="D2872" t="s">
        <v>428</v>
      </c>
      <c r="E2872" t="s">
        <v>428</v>
      </c>
      <c r="F2872" s="122">
        <v>2</v>
      </c>
      <c r="G2872" s="122">
        <v>206</v>
      </c>
      <c r="H2872" s="122">
        <v>897</v>
      </c>
      <c r="I2872" s="122">
        <v>78948</v>
      </c>
      <c r="J2872" s="122">
        <v>71771</v>
      </c>
      <c r="K2872" s="122">
        <v>55</v>
      </c>
      <c r="L2872" s="122">
        <v>13154</v>
      </c>
      <c r="M2872" s="122">
        <v>11958</v>
      </c>
      <c r="N2872" s="122">
        <v>5831</v>
      </c>
      <c r="O2872" s="122">
        <v>2160</v>
      </c>
      <c r="P2872" s="122">
        <v>702</v>
      </c>
      <c r="Q2872" s="122">
        <v>260</v>
      </c>
      <c r="R2872" s="122">
        <v>18302</v>
      </c>
      <c r="S2872" s="122">
        <v>16638</v>
      </c>
      <c r="T2872" s="122">
        <v>2755</v>
      </c>
      <c r="U2872" s="122">
        <v>1020</v>
      </c>
      <c r="V2872" s="122">
        <v>103807</v>
      </c>
      <c r="W2872" s="122">
        <f t="shared" si="92"/>
        <v>103807</v>
      </c>
      <c r="X2872" s="122">
        <f t="shared" si="93"/>
        <v>119692</v>
      </c>
    </row>
    <row r="2873" spans="2:24">
      <c r="B2873" t="s">
        <v>383</v>
      </c>
      <c r="C2873" t="s">
        <v>62</v>
      </c>
      <c r="D2873" t="s">
        <v>431</v>
      </c>
      <c r="E2873" t="s">
        <v>431</v>
      </c>
      <c r="F2873" s="122">
        <v>1</v>
      </c>
      <c r="G2873" s="122">
        <v>47</v>
      </c>
      <c r="H2873" s="122">
        <v>419</v>
      </c>
      <c r="I2873" s="122">
        <v>12360</v>
      </c>
      <c r="J2873" s="122">
        <v>11236</v>
      </c>
      <c r="K2873" s="122">
        <v>55</v>
      </c>
      <c r="L2873" s="122">
        <v>1373</v>
      </c>
      <c r="M2873" s="122">
        <v>1248</v>
      </c>
      <c r="N2873" s="122">
        <v>574</v>
      </c>
      <c r="O2873" s="122">
        <v>213</v>
      </c>
      <c r="P2873" s="122">
        <v>351</v>
      </c>
      <c r="Q2873" s="122">
        <v>130</v>
      </c>
      <c r="R2873" s="122">
        <v>3380</v>
      </c>
      <c r="S2873" s="122">
        <v>3073</v>
      </c>
      <c r="T2873" s="122">
        <v>1704</v>
      </c>
      <c r="U2873" s="122">
        <v>631</v>
      </c>
      <c r="V2873" s="122">
        <v>16531</v>
      </c>
      <c r="W2873" s="122">
        <f t="shared" si="92"/>
        <v>16531</v>
      </c>
      <c r="X2873" s="122">
        <f t="shared" si="93"/>
        <v>19742</v>
      </c>
    </row>
    <row r="2874" spans="2:24">
      <c r="B2874" t="s">
        <v>383</v>
      </c>
      <c r="C2874" t="s">
        <v>62</v>
      </c>
      <c r="D2874" t="s">
        <v>426</v>
      </c>
      <c r="E2874" t="s">
        <v>137</v>
      </c>
      <c r="F2874" s="122">
        <v>1</v>
      </c>
      <c r="G2874" s="122">
        <v>92</v>
      </c>
      <c r="H2874" s="122">
        <v>412</v>
      </c>
      <c r="I2874" s="122">
        <v>24499</v>
      </c>
      <c r="J2874" s="122">
        <v>22271</v>
      </c>
      <c r="K2874" s="122">
        <v>65</v>
      </c>
      <c r="L2874" s="122">
        <v>0</v>
      </c>
      <c r="M2874" s="122">
        <v>0</v>
      </c>
      <c r="N2874" s="122">
        <v>1763</v>
      </c>
      <c r="O2874" s="122">
        <v>653</v>
      </c>
      <c r="P2874" s="122">
        <v>351</v>
      </c>
      <c r="Q2874" s="122">
        <v>130</v>
      </c>
      <c r="R2874" s="122">
        <v>11131</v>
      </c>
      <c r="S2874" s="122">
        <v>4123</v>
      </c>
      <c r="T2874" s="122">
        <v>0</v>
      </c>
      <c r="U2874" s="122">
        <v>0</v>
      </c>
      <c r="V2874" s="122">
        <v>27177</v>
      </c>
      <c r="W2874" s="122">
        <f t="shared" si="92"/>
        <v>27177</v>
      </c>
      <c r="X2874" s="122">
        <f t="shared" si="93"/>
        <v>37744</v>
      </c>
    </row>
    <row r="2875" spans="2:24">
      <c r="B2875" t="s">
        <v>383</v>
      </c>
      <c r="C2875" t="s">
        <v>62</v>
      </c>
      <c r="D2875" t="s">
        <v>426</v>
      </c>
      <c r="E2875" t="s">
        <v>406</v>
      </c>
      <c r="F2875" s="122">
        <v>1</v>
      </c>
      <c r="G2875" s="122">
        <v>132</v>
      </c>
      <c r="H2875" s="122">
        <v>430</v>
      </c>
      <c r="I2875" s="122">
        <v>36312</v>
      </c>
      <c r="J2875" s="122">
        <v>33011</v>
      </c>
      <c r="K2875" s="122">
        <v>45</v>
      </c>
      <c r="L2875" s="122">
        <v>5743</v>
      </c>
      <c r="M2875" s="122">
        <v>5221</v>
      </c>
      <c r="N2875" s="122">
        <v>2416</v>
      </c>
      <c r="O2875" s="122">
        <v>895</v>
      </c>
      <c r="P2875" s="122">
        <v>621</v>
      </c>
      <c r="Q2875" s="122">
        <v>230</v>
      </c>
      <c r="R2875" s="122">
        <v>8419</v>
      </c>
      <c r="S2875" s="122">
        <v>7654</v>
      </c>
      <c r="T2875" s="122">
        <v>3264</v>
      </c>
      <c r="U2875" s="122">
        <v>1209</v>
      </c>
      <c r="V2875" s="122">
        <v>48220</v>
      </c>
      <c r="W2875" s="122">
        <f t="shared" si="92"/>
        <v>48220</v>
      </c>
      <c r="X2875" s="122">
        <f t="shared" si="93"/>
        <v>56775</v>
      </c>
    </row>
    <row r="2876" spans="2:24">
      <c r="B2876" t="s">
        <v>383</v>
      </c>
      <c r="C2876" t="s">
        <v>62</v>
      </c>
      <c r="D2876" t="s">
        <v>426</v>
      </c>
      <c r="E2876" t="s">
        <v>426</v>
      </c>
      <c r="F2876" s="122">
        <v>155</v>
      </c>
      <c r="G2876" s="122">
        <v>14399</v>
      </c>
      <c r="H2876" s="122">
        <v>64272</v>
      </c>
      <c r="I2876" s="122">
        <v>3950114</v>
      </c>
      <c r="J2876" s="122">
        <v>3591013</v>
      </c>
      <c r="K2876" s="122">
        <v>53</v>
      </c>
      <c r="L2876" s="122">
        <v>515851</v>
      </c>
      <c r="M2876" s="122">
        <v>424549</v>
      </c>
      <c r="N2876" s="122">
        <v>295432</v>
      </c>
      <c r="O2876" s="122">
        <v>109419</v>
      </c>
      <c r="P2876" s="122">
        <v>53541</v>
      </c>
      <c r="Q2876" s="122">
        <v>19830</v>
      </c>
      <c r="R2876" s="122">
        <v>938211</v>
      </c>
      <c r="S2876" s="122">
        <v>852919</v>
      </c>
      <c r="T2876" s="122">
        <v>349973</v>
      </c>
      <c r="U2876" s="122">
        <v>129620</v>
      </c>
      <c r="V2876" s="122">
        <v>5127350</v>
      </c>
      <c r="W2876" s="122">
        <f t="shared" si="92"/>
        <v>5127350</v>
      </c>
      <c r="X2876" s="122">
        <f t="shared" si="93"/>
        <v>6103122</v>
      </c>
    </row>
    <row r="2877" spans="2:24">
      <c r="B2877" t="s">
        <v>383</v>
      </c>
      <c r="C2877" t="s">
        <v>62</v>
      </c>
      <c r="D2877" t="s">
        <v>433</v>
      </c>
      <c r="E2877" t="s">
        <v>433</v>
      </c>
      <c r="F2877" s="122">
        <v>5</v>
      </c>
      <c r="G2877" s="122">
        <v>457</v>
      </c>
      <c r="H2877" s="122">
        <v>2063</v>
      </c>
      <c r="I2877" s="122">
        <v>120037</v>
      </c>
      <c r="J2877" s="122">
        <v>109125</v>
      </c>
      <c r="K2877" s="122">
        <v>59</v>
      </c>
      <c r="L2877" s="122">
        <v>18908</v>
      </c>
      <c r="M2877" s="122">
        <v>17189</v>
      </c>
      <c r="N2877" s="122">
        <v>7572</v>
      </c>
      <c r="O2877" s="122">
        <v>2804</v>
      </c>
      <c r="P2877" s="122">
        <v>1755</v>
      </c>
      <c r="Q2877" s="122">
        <v>650</v>
      </c>
      <c r="R2877" s="122">
        <v>26336</v>
      </c>
      <c r="S2877" s="122">
        <v>23942</v>
      </c>
      <c r="T2877" s="122">
        <v>14567</v>
      </c>
      <c r="U2877" s="122">
        <v>5395</v>
      </c>
      <c r="V2877" s="122">
        <v>159105</v>
      </c>
      <c r="W2877" s="122">
        <f t="shared" si="92"/>
        <v>159105</v>
      </c>
      <c r="X2877" s="122">
        <f t="shared" si="93"/>
        <v>189175</v>
      </c>
    </row>
    <row r="2878" spans="2:24">
      <c r="B2878" t="s">
        <v>383</v>
      </c>
      <c r="C2878" t="s">
        <v>62</v>
      </c>
      <c r="D2878" t="s">
        <v>408</v>
      </c>
      <c r="E2878" t="s">
        <v>408</v>
      </c>
      <c r="F2878" s="122">
        <v>1</v>
      </c>
      <c r="G2878" s="122">
        <v>137</v>
      </c>
      <c r="H2878" s="122">
        <v>404</v>
      </c>
      <c r="I2878" s="122">
        <v>34961</v>
      </c>
      <c r="J2878" s="122">
        <v>31782</v>
      </c>
      <c r="K2878" s="122">
        <v>65</v>
      </c>
      <c r="L2878" s="122">
        <v>8416</v>
      </c>
      <c r="M2878" s="122">
        <v>7651</v>
      </c>
      <c r="N2878" s="122">
        <v>2834</v>
      </c>
      <c r="O2878" s="122">
        <v>1050</v>
      </c>
      <c r="P2878" s="122">
        <v>351</v>
      </c>
      <c r="Q2878" s="122">
        <v>130</v>
      </c>
      <c r="R2878" s="122">
        <v>5492</v>
      </c>
      <c r="S2878" s="122">
        <v>4993</v>
      </c>
      <c r="T2878" s="122">
        <v>3229</v>
      </c>
      <c r="U2878" s="122">
        <v>1196</v>
      </c>
      <c r="V2878" s="122">
        <v>46803</v>
      </c>
      <c r="W2878" s="122">
        <f t="shared" si="92"/>
        <v>46802</v>
      </c>
      <c r="X2878" s="122">
        <f t="shared" si="93"/>
        <v>55283</v>
      </c>
    </row>
    <row r="2879" spans="2:24">
      <c r="B2879" t="s">
        <v>383</v>
      </c>
      <c r="C2879" t="s">
        <v>62</v>
      </c>
      <c r="D2879" t="s">
        <v>429</v>
      </c>
      <c r="E2879" t="s">
        <v>408</v>
      </c>
      <c r="F2879" s="122">
        <v>1</v>
      </c>
      <c r="G2879" s="122">
        <v>119</v>
      </c>
      <c r="H2879" s="122">
        <v>389</v>
      </c>
      <c r="I2879" s="122">
        <v>34082</v>
      </c>
      <c r="J2879" s="122">
        <v>30984</v>
      </c>
      <c r="K2879" s="122">
        <v>83</v>
      </c>
      <c r="L2879" s="122">
        <v>4806</v>
      </c>
      <c r="M2879" s="122">
        <v>4370</v>
      </c>
      <c r="N2879" s="122">
        <v>1923</v>
      </c>
      <c r="O2879" s="122">
        <v>712</v>
      </c>
      <c r="P2879" s="122">
        <v>351</v>
      </c>
      <c r="Q2879" s="122">
        <v>130</v>
      </c>
      <c r="R2879" s="122">
        <v>4992</v>
      </c>
      <c r="S2879" s="122">
        <v>4539</v>
      </c>
      <c r="T2879" s="122">
        <v>0</v>
      </c>
      <c r="U2879" s="122">
        <v>0</v>
      </c>
      <c r="V2879" s="122">
        <v>40734</v>
      </c>
      <c r="W2879" s="122">
        <f t="shared" si="92"/>
        <v>40735</v>
      </c>
      <c r="X2879" s="122">
        <f t="shared" si="93"/>
        <v>46154</v>
      </c>
    </row>
    <row r="2880" spans="2:24">
      <c r="B2880" t="s">
        <v>383</v>
      </c>
      <c r="C2880" t="s">
        <v>64</v>
      </c>
      <c r="D2880" t="s">
        <v>425</v>
      </c>
      <c r="E2880" t="s">
        <v>425</v>
      </c>
      <c r="F2880" s="122">
        <v>1</v>
      </c>
      <c r="G2880" s="122">
        <v>67</v>
      </c>
      <c r="H2880" s="122">
        <v>568</v>
      </c>
      <c r="I2880" s="122">
        <v>26318</v>
      </c>
      <c r="J2880" s="122">
        <v>23926</v>
      </c>
      <c r="K2880" s="122">
        <v>78</v>
      </c>
      <c r="L2880" s="122">
        <v>3439</v>
      </c>
      <c r="M2880" s="122">
        <v>3127</v>
      </c>
      <c r="N2880" s="122">
        <v>1495</v>
      </c>
      <c r="O2880" s="122">
        <v>554</v>
      </c>
      <c r="P2880" s="122">
        <v>473</v>
      </c>
      <c r="Q2880" s="122">
        <v>175</v>
      </c>
      <c r="R2880" s="122">
        <v>3826</v>
      </c>
      <c r="S2880" s="122">
        <v>3478</v>
      </c>
      <c r="T2880" s="122">
        <v>2340</v>
      </c>
      <c r="U2880" s="122">
        <v>867</v>
      </c>
      <c r="V2880" s="122">
        <v>32126</v>
      </c>
      <c r="W2880" s="122">
        <f t="shared" si="92"/>
        <v>32127</v>
      </c>
      <c r="X2880" s="122">
        <f t="shared" si="93"/>
        <v>37891</v>
      </c>
    </row>
    <row r="2881" spans="2:24">
      <c r="B2881" t="s">
        <v>383</v>
      </c>
      <c r="C2881" t="s">
        <v>64</v>
      </c>
      <c r="D2881" t="s">
        <v>405</v>
      </c>
      <c r="E2881" t="s">
        <v>405</v>
      </c>
      <c r="F2881" s="122">
        <v>4</v>
      </c>
      <c r="G2881" s="122">
        <v>363</v>
      </c>
      <c r="H2881" s="122">
        <v>2301</v>
      </c>
      <c r="I2881" s="122">
        <v>139964</v>
      </c>
      <c r="J2881" s="122">
        <v>127240</v>
      </c>
      <c r="K2881" s="122">
        <v>70</v>
      </c>
      <c r="L2881" s="122">
        <v>35340</v>
      </c>
      <c r="M2881" s="122">
        <v>31605</v>
      </c>
      <c r="N2881" s="122">
        <v>8749</v>
      </c>
      <c r="O2881" s="122">
        <v>3241</v>
      </c>
      <c r="P2881" s="122">
        <v>1769</v>
      </c>
      <c r="Q2881" s="122">
        <v>655</v>
      </c>
      <c r="R2881" s="122">
        <v>16147</v>
      </c>
      <c r="S2881" s="122">
        <v>14679</v>
      </c>
      <c r="T2881" s="122">
        <v>4837</v>
      </c>
      <c r="U2881" s="122">
        <v>1791</v>
      </c>
      <c r="V2881" s="122">
        <v>179211</v>
      </c>
      <c r="W2881" s="122">
        <f t="shared" si="92"/>
        <v>179211</v>
      </c>
      <c r="X2881" s="122">
        <f t="shared" si="93"/>
        <v>206806</v>
      </c>
    </row>
    <row r="2882" spans="2:24">
      <c r="B2882" t="s">
        <v>383</v>
      </c>
      <c r="C2882" t="s">
        <v>64</v>
      </c>
      <c r="D2882" t="s">
        <v>137</v>
      </c>
      <c r="E2882" t="s">
        <v>555</v>
      </c>
      <c r="F2882" s="122">
        <v>1</v>
      </c>
      <c r="G2882" s="122">
        <v>61</v>
      </c>
      <c r="H2882" s="122">
        <v>553</v>
      </c>
      <c r="I2882" s="122">
        <v>23268</v>
      </c>
      <c r="J2882" s="122">
        <v>8618</v>
      </c>
      <c r="K2882" s="122">
        <v>100</v>
      </c>
      <c r="L2882" s="122">
        <v>2341</v>
      </c>
      <c r="M2882" s="122">
        <v>2128</v>
      </c>
      <c r="N2882" s="122">
        <v>1283</v>
      </c>
      <c r="O2882" s="122">
        <v>475</v>
      </c>
      <c r="P2882" s="122">
        <v>0</v>
      </c>
      <c r="Q2882" s="122">
        <v>0</v>
      </c>
      <c r="R2882" s="122">
        <v>6992</v>
      </c>
      <c r="S2882" s="122">
        <v>6356</v>
      </c>
      <c r="T2882" s="122">
        <v>0</v>
      </c>
      <c r="U2882" s="122">
        <v>0</v>
      </c>
      <c r="V2882" s="122">
        <v>17577</v>
      </c>
      <c r="W2882" s="122">
        <f t="shared" si="92"/>
        <v>17577</v>
      </c>
      <c r="X2882" s="122">
        <f t="shared" si="93"/>
        <v>33884</v>
      </c>
    </row>
    <row r="2883" spans="2:24">
      <c r="B2883" t="s">
        <v>383</v>
      </c>
      <c r="C2883" t="s">
        <v>64</v>
      </c>
      <c r="D2883" t="s">
        <v>137</v>
      </c>
      <c r="E2883" t="s">
        <v>405</v>
      </c>
      <c r="F2883" s="122">
        <v>1</v>
      </c>
      <c r="G2883" s="122">
        <v>88</v>
      </c>
      <c r="H2883" s="122">
        <v>1344</v>
      </c>
      <c r="I2883" s="122">
        <v>94319</v>
      </c>
      <c r="J2883" s="122">
        <v>34933</v>
      </c>
      <c r="K2883" s="122">
        <v>100</v>
      </c>
      <c r="L2883" s="122">
        <v>14232</v>
      </c>
      <c r="M2883" s="122">
        <v>12938</v>
      </c>
      <c r="N2883" s="122">
        <v>2029</v>
      </c>
      <c r="O2883" s="122">
        <v>751</v>
      </c>
      <c r="P2883" s="122">
        <v>621</v>
      </c>
      <c r="Q2883" s="122">
        <v>230</v>
      </c>
      <c r="R2883" s="122">
        <v>7198</v>
      </c>
      <c r="S2883" s="122">
        <v>6544</v>
      </c>
      <c r="T2883" s="122">
        <v>0</v>
      </c>
      <c r="U2883" s="122">
        <v>0</v>
      </c>
      <c r="V2883" s="122">
        <v>55396</v>
      </c>
      <c r="W2883" s="122">
        <f t="shared" si="92"/>
        <v>55396</v>
      </c>
      <c r="X2883" s="122">
        <f t="shared" si="93"/>
        <v>118399</v>
      </c>
    </row>
    <row r="2884" spans="2:24">
      <c r="B2884" t="s">
        <v>383</v>
      </c>
      <c r="C2884" t="s">
        <v>64</v>
      </c>
      <c r="D2884" t="s">
        <v>137</v>
      </c>
      <c r="E2884" t="s">
        <v>137</v>
      </c>
      <c r="F2884" s="122">
        <v>225</v>
      </c>
      <c r="G2884" s="122">
        <v>19704</v>
      </c>
      <c r="H2884" s="122">
        <v>171566</v>
      </c>
      <c r="I2884" s="122">
        <v>11145689</v>
      </c>
      <c r="J2884" s="122">
        <v>4128033</v>
      </c>
      <c r="K2884" s="122">
        <v>100</v>
      </c>
      <c r="L2884" s="122">
        <v>1812399</v>
      </c>
      <c r="M2884" s="122">
        <v>1554886</v>
      </c>
      <c r="N2884" s="122">
        <v>459623</v>
      </c>
      <c r="O2884" s="122">
        <v>170231</v>
      </c>
      <c r="P2884" s="122">
        <v>5184</v>
      </c>
      <c r="Q2884" s="122">
        <v>1920</v>
      </c>
      <c r="R2884" s="122">
        <v>1490123</v>
      </c>
      <c r="S2884" s="122">
        <v>551897</v>
      </c>
      <c r="T2884" s="122">
        <v>5301</v>
      </c>
      <c r="U2884" s="122">
        <v>1963</v>
      </c>
      <c r="V2884" s="122">
        <v>6408930</v>
      </c>
      <c r="W2884" s="122">
        <f t="shared" si="92"/>
        <v>6408930</v>
      </c>
      <c r="X2884" s="122">
        <f t="shared" si="93"/>
        <v>14918319</v>
      </c>
    </row>
    <row r="2885" spans="2:24">
      <c r="B2885" t="s">
        <v>383</v>
      </c>
      <c r="C2885" t="s">
        <v>64</v>
      </c>
      <c r="D2885" t="s">
        <v>137</v>
      </c>
      <c r="E2885" t="s">
        <v>406</v>
      </c>
      <c r="F2885" s="122">
        <v>3</v>
      </c>
      <c r="G2885" s="122">
        <v>217</v>
      </c>
      <c r="H2885" s="122">
        <v>2451</v>
      </c>
      <c r="I2885" s="122">
        <v>133284</v>
      </c>
      <c r="J2885" s="122">
        <v>49364</v>
      </c>
      <c r="K2885" s="122">
        <v>100</v>
      </c>
      <c r="L2885" s="122">
        <v>24319</v>
      </c>
      <c r="M2885" s="122">
        <v>22109</v>
      </c>
      <c r="N2885" s="122">
        <v>4425</v>
      </c>
      <c r="O2885" s="122">
        <v>1639</v>
      </c>
      <c r="P2885" s="122">
        <v>0</v>
      </c>
      <c r="Q2885" s="122">
        <v>0</v>
      </c>
      <c r="R2885" s="122">
        <v>14945</v>
      </c>
      <c r="S2885" s="122">
        <v>13586</v>
      </c>
      <c r="T2885" s="122">
        <v>2002</v>
      </c>
      <c r="U2885" s="122">
        <v>742</v>
      </c>
      <c r="V2885" s="122">
        <v>87440</v>
      </c>
      <c r="W2885" s="122">
        <f t="shared" si="92"/>
        <v>87440</v>
      </c>
      <c r="X2885" s="122">
        <f t="shared" si="93"/>
        <v>178975</v>
      </c>
    </row>
    <row r="2886" spans="2:24">
      <c r="B2886" t="s">
        <v>383</v>
      </c>
      <c r="C2886" t="s">
        <v>64</v>
      </c>
      <c r="D2886" t="s">
        <v>137</v>
      </c>
      <c r="E2886" t="s">
        <v>427</v>
      </c>
      <c r="F2886" s="122">
        <v>2</v>
      </c>
      <c r="G2886" s="122">
        <v>212</v>
      </c>
      <c r="H2886" s="122">
        <v>1548</v>
      </c>
      <c r="I2886" s="122">
        <v>114442</v>
      </c>
      <c r="J2886" s="122">
        <v>42386</v>
      </c>
      <c r="K2886" s="122">
        <v>100</v>
      </c>
      <c r="L2886" s="122">
        <v>17268</v>
      </c>
      <c r="M2886" s="122">
        <v>15699</v>
      </c>
      <c r="N2886" s="122">
        <v>3822</v>
      </c>
      <c r="O2886" s="122">
        <v>1415</v>
      </c>
      <c r="P2886" s="122">
        <v>0</v>
      </c>
      <c r="Q2886" s="122">
        <v>0</v>
      </c>
      <c r="R2886" s="122">
        <v>15727</v>
      </c>
      <c r="S2886" s="122">
        <v>14297</v>
      </c>
      <c r="T2886" s="122">
        <v>7670</v>
      </c>
      <c r="U2886" s="122">
        <v>2841</v>
      </c>
      <c r="V2886" s="122">
        <v>76638</v>
      </c>
      <c r="W2886" s="122">
        <f t="shared" si="92"/>
        <v>76638</v>
      </c>
      <c r="X2886" s="122">
        <f t="shared" si="93"/>
        <v>158929</v>
      </c>
    </row>
    <row r="2887" spans="2:24">
      <c r="B2887" t="s">
        <v>383</v>
      </c>
      <c r="C2887" t="s">
        <v>64</v>
      </c>
      <c r="D2887" t="s">
        <v>137</v>
      </c>
      <c r="E2887" t="s">
        <v>426</v>
      </c>
      <c r="F2887" s="122">
        <v>15</v>
      </c>
      <c r="G2887" s="122">
        <v>1914</v>
      </c>
      <c r="H2887" s="122">
        <v>10201</v>
      </c>
      <c r="I2887" s="122">
        <v>999080</v>
      </c>
      <c r="J2887" s="122">
        <v>370030</v>
      </c>
      <c r="K2887" s="122">
        <v>100</v>
      </c>
      <c r="L2887" s="122">
        <v>135252</v>
      </c>
      <c r="M2887" s="122">
        <v>118995</v>
      </c>
      <c r="N2887" s="122">
        <v>42868</v>
      </c>
      <c r="O2887" s="122">
        <v>15877</v>
      </c>
      <c r="P2887" s="122">
        <v>702</v>
      </c>
      <c r="Q2887" s="122">
        <v>260</v>
      </c>
      <c r="R2887" s="122">
        <v>82658</v>
      </c>
      <c r="S2887" s="122">
        <v>75144</v>
      </c>
      <c r="T2887" s="122">
        <v>36115</v>
      </c>
      <c r="U2887" s="122">
        <v>13376</v>
      </c>
      <c r="V2887" s="122">
        <v>593681</v>
      </c>
      <c r="W2887" s="122">
        <f t="shared" si="92"/>
        <v>593682</v>
      </c>
      <c r="X2887" s="122">
        <f t="shared" si="93"/>
        <v>1296675</v>
      </c>
    </row>
    <row r="2888" spans="2:24">
      <c r="B2888" t="s">
        <v>383</v>
      </c>
      <c r="C2888" t="s">
        <v>64</v>
      </c>
      <c r="D2888" t="s">
        <v>406</v>
      </c>
      <c r="E2888" t="s">
        <v>137</v>
      </c>
      <c r="F2888" s="122">
        <v>21</v>
      </c>
      <c r="G2888" s="122">
        <v>2323</v>
      </c>
      <c r="H2888" s="122">
        <v>12638</v>
      </c>
      <c r="I2888" s="122">
        <v>976127</v>
      </c>
      <c r="J2888" s="122">
        <v>887388</v>
      </c>
      <c r="K2888" s="122">
        <v>69</v>
      </c>
      <c r="L2888" s="122">
        <v>160699</v>
      </c>
      <c r="M2888" s="122">
        <v>140333</v>
      </c>
      <c r="N2888" s="122">
        <v>51780</v>
      </c>
      <c r="O2888" s="122">
        <v>19178</v>
      </c>
      <c r="P2888" s="122">
        <v>12069</v>
      </c>
      <c r="Q2888" s="122">
        <v>4470</v>
      </c>
      <c r="R2888" s="122">
        <v>167153</v>
      </c>
      <c r="S2888" s="122">
        <v>61909</v>
      </c>
      <c r="T2888" s="122">
        <v>0</v>
      </c>
      <c r="U2888" s="122">
        <v>0</v>
      </c>
      <c r="V2888" s="122">
        <v>1113277</v>
      </c>
      <c r="W2888" s="122">
        <f t="shared" si="92"/>
        <v>1113278</v>
      </c>
      <c r="X2888" s="122">
        <f t="shared" si="93"/>
        <v>1367828</v>
      </c>
    </row>
    <row r="2889" spans="2:24">
      <c r="B2889" t="s">
        <v>383</v>
      </c>
      <c r="C2889" t="s">
        <v>64</v>
      </c>
      <c r="D2889" t="s">
        <v>406</v>
      </c>
      <c r="E2889" t="s">
        <v>406</v>
      </c>
      <c r="F2889" s="122">
        <v>733</v>
      </c>
      <c r="G2889" s="122">
        <v>73671</v>
      </c>
      <c r="H2889" s="122">
        <v>407804</v>
      </c>
      <c r="I2889" s="122">
        <v>28599744</v>
      </c>
      <c r="J2889" s="122">
        <v>25999767</v>
      </c>
      <c r="K2889" s="122">
        <v>71</v>
      </c>
      <c r="L2889" s="122">
        <v>5663038</v>
      </c>
      <c r="M2889" s="122">
        <v>4983608</v>
      </c>
      <c r="N2889" s="122">
        <v>1654890</v>
      </c>
      <c r="O2889" s="122">
        <v>612922</v>
      </c>
      <c r="P2889" s="122">
        <v>461052</v>
      </c>
      <c r="Q2889" s="122">
        <v>170760</v>
      </c>
      <c r="R2889" s="122">
        <v>3962453</v>
      </c>
      <c r="S2889" s="122">
        <v>3602230</v>
      </c>
      <c r="T2889" s="122">
        <v>1256281</v>
      </c>
      <c r="U2889" s="122">
        <v>465289</v>
      </c>
      <c r="V2889" s="122">
        <v>35834577</v>
      </c>
      <c r="W2889" s="122">
        <f t="shared" si="92"/>
        <v>35834576</v>
      </c>
      <c r="X2889" s="122">
        <f t="shared" si="93"/>
        <v>41597458</v>
      </c>
    </row>
    <row r="2890" spans="2:24">
      <c r="B2890" t="s">
        <v>383</v>
      </c>
      <c r="C2890" t="s">
        <v>64</v>
      </c>
      <c r="D2890" t="s">
        <v>406</v>
      </c>
      <c r="E2890" t="s">
        <v>427</v>
      </c>
      <c r="F2890" s="122">
        <v>1</v>
      </c>
      <c r="G2890" s="122">
        <v>299</v>
      </c>
      <c r="H2890" s="122">
        <v>517</v>
      </c>
      <c r="I2890" s="122">
        <v>100885</v>
      </c>
      <c r="J2890" s="122">
        <v>91714</v>
      </c>
      <c r="K2890" s="122">
        <v>86</v>
      </c>
      <c r="L2890" s="122">
        <v>32022</v>
      </c>
      <c r="M2890" s="122">
        <v>29111</v>
      </c>
      <c r="N2890" s="122">
        <v>6705</v>
      </c>
      <c r="O2890" s="122">
        <v>2484</v>
      </c>
      <c r="P2890" s="122">
        <v>621</v>
      </c>
      <c r="Q2890" s="122">
        <v>230</v>
      </c>
      <c r="R2890" s="122">
        <v>9580</v>
      </c>
      <c r="S2890" s="122">
        <v>8709</v>
      </c>
      <c r="T2890" s="122">
        <v>4704</v>
      </c>
      <c r="U2890" s="122">
        <v>1742</v>
      </c>
      <c r="V2890" s="122">
        <v>133989</v>
      </c>
      <c r="W2890" s="122">
        <f t="shared" si="92"/>
        <v>133990</v>
      </c>
      <c r="X2890" s="122">
        <f t="shared" si="93"/>
        <v>154517</v>
      </c>
    </row>
    <row r="2891" spans="2:24">
      <c r="B2891" t="s">
        <v>383</v>
      </c>
      <c r="C2891" t="s">
        <v>64</v>
      </c>
      <c r="D2891" t="s">
        <v>406</v>
      </c>
      <c r="E2891" t="s">
        <v>556</v>
      </c>
      <c r="F2891" s="122">
        <v>1</v>
      </c>
      <c r="G2891" s="122">
        <v>88</v>
      </c>
      <c r="H2891" s="122">
        <v>703</v>
      </c>
      <c r="I2891" s="122">
        <v>44154</v>
      </c>
      <c r="J2891" s="122">
        <v>40140</v>
      </c>
      <c r="K2891" s="122">
        <v>75</v>
      </c>
      <c r="L2891" s="122">
        <v>0</v>
      </c>
      <c r="M2891" s="122">
        <v>0</v>
      </c>
      <c r="N2891" s="122">
        <v>1990</v>
      </c>
      <c r="O2891" s="122">
        <v>737</v>
      </c>
      <c r="P2891" s="122">
        <v>270</v>
      </c>
      <c r="Q2891" s="122">
        <v>100</v>
      </c>
      <c r="R2891" s="122">
        <v>15620</v>
      </c>
      <c r="S2891" s="122">
        <v>13017</v>
      </c>
      <c r="T2891" s="122">
        <v>0</v>
      </c>
      <c r="U2891" s="122">
        <v>0</v>
      </c>
      <c r="V2891" s="122">
        <v>53994</v>
      </c>
      <c r="W2891" s="122">
        <f t="shared" si="92"/>
        <v>53994</v>
      </c>
      <c r="X2891" s="122">
        <f t="shared" si="93"/>
        <v>62034</v>
      </c>
    </row>
    <row r="2892" spans="2:24">
      <c r="B2892" t="s">
        <v>383</v>
      </c>
      <c r="C2892" t="s">
        <v>64</v>
      </c>
      <c r="D2892" t="s">
        <v>406</v>
      </c>
      <c r="E2892" t="s">
        <v>431</v>
      </c>
      <c r="F2892" s="122">
        <v>1</v>
      </c>
      <c r="G2892" s="122">
        <v>116</v>
      </c>
      <c r="H2892" s="122">
        <v>495</v>
      </c>
      <c r="I2892" s="122">
        <v>34072</v>
      </c>
      <c r="J2892" s="122">
        <v>30974</v>
      </c>
      <c r="K2892" s="122">
        <v>65</v>
      </c>
      <c r="L2892" s="122">
        <v>3899</v>
      </c>
      <c r="M2892" s="122">
        <v>3545</v>
      </c>
      <c r="N2892" s="122">
        <v>2573</v>
      </c>
      <c r="O2892" s="122">
        <v>953</v>
      </c>
      <c r="P2892" s="122">
        <v>621</v>
      </c>
      <c r="Q2892" s="122">
        <v>230</v>
      </c>
      <c r="R2892" s="122">
        <v>16302</v>
      </c>
      <c r="S2892" s="122">
        <v>14820</v>
      </c>
      <c r="T2892" s="122">
        <v>0</v>
      </c>
      <c r="U2892" s="122">
        <v>0</v>
      </c>
      <c r="V2892" s="122">
        <v>50522</v>
      </c>
      <c r="W2892" s="122">
        <f t="shared" si="92"/>
        <v>50522</v>
      </c>
      <c r="X2892" s="122">
        <f t="shared" si="93"/>
        <v>57467</v>
      </c>
    </row>
    <row r="2893" spans="2:24">
      <c r="B2893" t="s">
        <v>383</v>
      </c>
      <c r="C2893" t="s">
        <v>64</v>
      </c>
      <c r="D2893" t="s">
        <v>406</v>
      </c>
      <c r="E2893" t="s">
        <v>426</v>
      </c>
      <c r="F2893" s="122">
        <v>3</v>
      </c>
      <c r="G2893" s="122">
        <v>423</v>
      </c>
      <c r="H2893" s="122">
        <v>1608</v>
      </c>
      <c r="I2893" s="122">
        <v>153160</v>
      </c>
      <c r="J2893" s="122">
        <v>139236</v>
      </c>
      <c r="K2893" s="122">
        <v>71</v>
      </c>
      <c r="L2893" s="122">
        <v>27184</v>
      </c>
      <c r="M2893" s="122">
        <v>24713</v>
      </c>
      <c r="N2893" s="122">
        <v>9327</v>
      </c>
      <c r="O2893" s="122">
        <v>3455</v>
      </c>
      <c r="P2893" s="122">
        <v>1863</v>
      </c>
      <c r="Q2893" s="122">
        <v>690</v>
      </c>
      <c r="R2893" s="122">
        <v>23351</v>
      </c>
      <c r="S2893" s="122">
        <v>21229</v>
      </c>
      <c r="T2893" s="122">
        <v>5601</v>
      </c>
      <c r="U2893" s="122">
        <v>2075</v>
      </c>
      <c r="V2893" s="122">
        <v>191397</v>
      </c>
      <c r="W2893" s="122">
        <f t="shared" si="92"/>
        <v>191398</v>
      </c>
      <c r="X2893" s="122">
        <f t="shared" si="93"/>
        <v>220486</v>
      </c>
    </row>
    <row r="2894" spans="2:24">
      <c r="B2894" t="s">
        <v>383</v>
      </c>
      <c r="C2894" t="s">
        <v>64</v>
      </c>
      <c r="D2894" t="s">
        <v>406</v>
      </c>
      <c r="E2894" t="s">
        <v>433</v>
      </c>
      <c r="F2894" s="122">
        <v>1</v>
      </c>
      <c r="G2894" s="122">
        <v>93</v>
      </c>
      <c r="H2894" s="122">
        <v>638</v>
      </c>
      <c r="I2894" s="122">
        <v>39845</v>
      </c>
      <c r="J2894" s="122">
        <v>36223</v>
      </c>
      <c r="K2894" s="122">
        <v>85</v>
      </c>
      <c r="L2894" s="122">
        <v>7940</v>
      </c>
      <c r="M2894" s="122">
        <v>7218</v>
      </c>
      <c r="N2894" s="122">
        <v>2263</v>
      </c>
      <c r="O2894" s="122">
        <v>838</v>
      </c>
      <c r="P2894" s="122">
        <v>621</v>
      </c>
      <c r="Q2894" s="122">
        <v>230</v>
      </c>
      <c r="R2894" s="122">
        <v>8598</v>
      </c>
      <c r="S2894" s="122">
        <v>7817</v>
      </c>
      <c r="T2894" s="122">
        <v>0</v>
      </c>
      <c r="U2894" s="122">
        <v>0</v>
      </c>
      <c r="V2894" s="122">
        <v>52325</v>
      </c>
      <c r="W2894" s="122">
        <f t="shared" si="92"/>
        <v>52326</v>
      </c>
      <c r="X2894" s="122">
        <f t="shared" si="93"/>
        <v>59267</v>
      </c>
    </row>
    <row r="2895" spans="2:24">
      <c r="B2895" t="s">
        <v>383</v>
      </c>
      <c r="C2895" t="s">
        <v>64</v>
      </c>
      <c r="D2895" t="s">
        <v>427</v>
      </c>
      <c r="E2895" t="s">
        <v>137</v>
      </c>
      <c r="F2895" s="122">
        <v>6</v>
      </c>
      <c r="G2895" s="122">
        <v>341</v>
      </c>
      <c r="H2895" s="122">
        <v>6419</v>
      </c>
      <c r="I2895" s="122">
        <v>297035</v>
      </c>
      <c r="J2895" s="122">
        <v>270032</v>
      </c>
      <c r="K2895" s="122">
        <v>45</v>
      </c>
      <c r="L2895" s="122">
        <v>26778</v>
      </c>
      <c r="M2895" s="122">
        <v>24344</v>
      </c>
      <c r="N2895" s="122">
        <v>8311</v>
      </c>
      <c r="O2895" s="122">
        <v>3078</v>
      </c>
      <c r="P2895" s="122">
        <v>351</v>
      </c>
      <c r="Q2895" s="122">
        <v>130</v>
      </c>
      <c r="R2895" s="122">
        <v>36504</v>
      </c>
      <c r="S2895" s="122">
        <v>13520</v>
      </c>
      <c r="T2895" s="122">
        <v>0</v>
      </c>
      <c r="U2895" s="122">
        <v>0</v>
      </c>
      <c r="V2895" s="122">
        <v>311104</v>
      </c>
      <c r="W2895" s="122">
        <f t="shared" si="92"/>
        <v>311104</v>
      </c>
      <c r="X2895" s="122">
        <f t="shared" si="93"/>
        <v>368979</v>
      </c>
    </row>
    <row r="2896" spans="2:24">
      <c r="B2896" t="s">
        <v>383</v>
      </c>
      <c r="C2896" t="s">
        <v>64</v>
      </c>
      <c r="D2896" t="s">
        <v>427</v>
      </c>
      <c r="E2896" t="s">
        <v>427</v>
      </c>
      <c r="F2896" s="122">
        <v>19</v>
      </c>
      <c r="G2896" s="122">
        <v>1733</v>
      </c>
      <c r="H2896" s="122">
        <v>12640</v>
      </c>
      <c r="I2896" s="122">
        <v>882283</v>
      </c>
      <c r="J2896" s="122">
        <v>802075</v>
      </c>
      <c r="K2896" s="122">
        <v>54</v>
      </c>
      <c r="L2896" s="122">
        <v>114789</v>
      </c>
      <c r="M2896" s="122">
        <v>104353</v>
      </c>
      <c r="N2896" s="122">
        <v>38354</v>
      </c>
      <c r="O2896" s="122">
        <v>14205</v>
      </c>
      <c r="P2896" s="122">
        <v>6669</v>
      </c>
      <c r="Q2896" s="122">
        <v>2470</v>
      </c>
      <c r="R2896" s="122">
        <v>125394</v>
      </c>
      <c r="S2896" s="122">
        <v>113995</v>
      </c>
      <c r="T2896" s="122">
        <v>22906</v>
      </c>
      <c r="U2896" s="122">
        <v>8484</v>
      </c>
      <c r="V2896" s="122">
        <v>1045582</v>
      </c>
      <c r="W2896" s="122">
        <f t="shared" si="92"/>
        <v>1045582</v>
      </c>
      <c r="X2896" s="122">
        <f t="shared" si="93"/>
        <v>1190395</v>
      </c>
    </row>
    <row r="2897" spans="2:24">
      <c r="B2897" t="s">
        <v>383</v>
      </c>
      <c r="C2897" t="s">
        <v>64</v>
      </c>
      <c r="D2897" t="s">
        <v>407</v>
      </c>
      <c r="E2897" t="s">
        <v>137</v>
      </c>
      <c r="F2897" s="122">
        <v>1</v>
      </c>
      <c r="G2897" s="122">
        <v>85</v>
      </c>
      <c r="H2897" s="122">
        <v>563</v>
      </c>
      <c r="I2897" s="122">
        <v>31994</v>
      </c>
      <c r="J2897" s="122">
        <v>29085</v>
      </c>
      <c r="K2897" s="122">
        <v>79</v>
      </c>
      <c r="L2897" s="122">
        <v>8899</v>
      </c>
      <c r="M2897" s="122">
        <v>8090</v>
      </c>
      <c r="N2897" s="122">
        <v>1918</v>
      </c>
      <c r="O2897" s="122">
        <v>710</v>
      </c>
      <c r="P2897" s="122">
        <v>473</v>
      </c>
      <c r="Q2897" s="122">
        <v>175</v>
      </c>
      <c r="R2897" s="122">
        <v>4607</v>
      </c>
      <c r="S2897" s="122">
        <v>1706</v>
      </c>
      <c r="T2897" s="122">
        <v>0</v>
      </c>
      <c r="U2897" s="122">
        <v>0</v>
      </c>
      <c r="V2897" s="122">
        <v>39767</v>
      </c>
      <c r="W2897" s="122">
        <f t="shared" si="92"/>
        <v>39766</v>
      </c>
      <c r="X2897" s="122">
        <f t="shared" si="93"/>
        <v>47891</v>
      </c>
    </row>
    <row r="2898" spans="2:24">
      <c r="B2898" t="s">
        <v>383</v>
      </c>
      <c r="C2898" t="s">
        <v>64</v>
      </c>
      <c r="D2898" t="s">
        <v>407</v>
      </c>
      <c r="E2898" t="s">
        <v>407</v>
      </c>
      <c r="F2898" s="122">
        <v>11</v>
      </c>
      <c r="G2898" s="122">
        <v>1198</v>
      </c>
      <c r="H2898" s="122">
        <v>5830</v>
      </c>
      <c r="I2898" s="122">
        <v>421321</v>
      </c>
      <c r="J2898" s="122">
        <v>383019</v>
      </c>
      <c r="K2898" s="122">
        <v>66</v>
      </c>
      <c r="L2898" s="122">
        <v>78610</v>
      </c>
      <c r="M2898" s="122">
        <v>70672</v>
      </c>
      <c r="N2898" s="122">
        <v>26985</v>
      </c>
      <c r="O2898" s="122">
        <v>9995</v>
      </c>
      <c r="P2898" s="122">
        <v>4955</v>
      </c>
      <c r="Q2898" s="122">
        <v>1835</v>
      </c>
      <c r="R2898" s="122">
        <v>63795</v>
      </c>
      <c r="S2898" s="122">
        <v>57995</v>
      </c>
      <c r="T2898" s="122">
        <v>23308</v>
      </c>
      <c r="U2898" s="122">
        <v>8633</v>
      </c>
      <c r="V2898" s="122">
        <v>532148</v>
      </c>
      <c r="W2898" s="122">
        <f t="shared" si="92"/>
        <v>532149</v>
      </c>
      <c r="X2898" s="122">
        <f t="shared" si="93"/>
        <v>618974</v>
      </c>
    </row>
    <row r="2899" spans="2:24">
      <c r="B2899" t="s">
        <v>383</v>
      </c>
      <c r="C2899" t="s">
        <v>64</v>
      </c>
      <c r="D2899" t="s">
        <v>556</v>
      </c>
      <c r="E2899" t="s">
        <v>137</v>
      </c>
      <c r="F2899" s="122">
        <v>1</v>
      </c>
      <c r="G2899" s="122">
        <v>110</v>
      </c>
      <c r="H2899" s="122">
        <v>1368</v>
      </c>
      <c r="I2899" s="122">
        <v>94851</v>
      </c>
      <c r="J2899" s="122">
        <v>79043</v>
      </c>
      <c r="K2899" s="122">
        <v>30</v>
      </c>
      <c r="L2899" s="122">
        <v>6758</v>
      </c>
      <c r="M2899" s="122">
        <v>2503</v>
      </c>
      <c r="N2899" s="122">
        <v>2682</v>
      </c>
      <c r="O2899" s="122">
        <v>993</v>
      </c>
      <c r="P2899" s="122">
        <v>0</v>
      </c>
      <c r="Q2899" s="122">
        <v>0</v>
      </c>
      <c r="R2899" s="122">
        <v>46292</v>
      </c>
      <c r="S2899" s="122">
        <v>17145</v>
      </c>
      <c r="T2899" s="122">
        <v>0</v>
      </c>
      <c r="U2899" s="122">
        <v>0</v>
      </c>
      <c r="V2899" s="122">
        <v>99684</v>
      </c>
      <c r="W2899" s="122">
        <f t="shared" si="92"/>
        <v>99684</v>
      </c>
      <c r="X2899" s="122">
        <f t="shared" si="93"/>
        <v>150583</v>
      </c>
    </row>
    <row r="2900" spans="2:24">
      <c r="B2900" t="s">
        <v>383</v>
      </c>
      <c r="C2900" t="s">
        <v>64</v>
      </c>
      <c r="D2900" t="s">
        <v>556</v>
      </c>
      <c r="E2900" t="s">
        <v>556</v>
      </c>
      <c r="F2900" s="122">
        <v>14</v>
      </c>
      <c r="G2900" s="122">
        <v>1154</v>
      </c>
      <c r="H2900" s="122">
        <v>9222</v>
      </c>
      <c r="I2900" s="122">
        <v>585766</v>
      </c>
      <c r="J2900" s="122">
        <v>488138</v>
      </c>
      <c r="K2900" s="122">
        <v>54</v>
      </c>
      <c r="L2900" s="122">
        <v>55704</v>
      </c>
      <c r="M2900" s="122">
        <v>82930</v>
      </c>
      <c r="N2900" s="122">
        <v>25474</v>
      </c>
      <c r="O2900" s="122">
        <v>9435</v>
      </c>
      <c r="P2900" s="122">
        <v>2930</v>
      </c>
      <c r="Q2900" s="122">
        <v>1085</v>
      </c>
      <c r="R2900" s="122">
        <v>104225</v>
      </c>
      <c r="S2900" s="122">
        <v>86854</v>
      </c>
      <c r="T2900" s="122">
        <v>7197</v>
      </c>
      <c r="U2900" s="122">
        <v>2665</v>
      </c>
      <c r="V2900" s="122">
        <v>671107</v>
      </c>
      <c r="W2900" s="122">
        <f t="shared" si="92"/>
        <v>671107</v>
      </c>
      <c r="X2900" s="122">
        <f t="shared" si="93"/>
        <v>781296</v>
      </c>
    </row>
    <row r="2901" spans="2:24">
      <c r="B2901" t="s">
        <v>383</v>
      </c>
      <c r="C2901" t="s">
        <v>64</v>
      </c>
      <c r="D2901" t="s">
        <v>428</v>
      </c>
      <c r="E2901" t="s">
        <v>428</v>
      </c>
      <c r="F2901" s="122">
        <v>1</v>
      </c>
      <c r="G2901" s="122">
        <v>51</v>
      </c>
      <c r="H2901" s="122">
        <v>839</v>
      </c>
      <c r="I2901" s="122">
        <v>32175</v>
      </c>
      <c r="J2901" s="122">
        <v>29250</v>
      </c>
      <c r="K2901" s="122">
        <v>65</v>
      </c>
      <c r="L2901" s="122">
        <v>3682</v>
      </c>
      <c r="M2901" s="122">
        <v>3348</v>
      </c>
      <c r="N2901" s="122">
        <v>1185</v>
      </c>
      <c r="O2901" s="122">
        <v>439</v>
      </c>
      <c r="P2901" s="122">
        <v>351</v>
      </c>
      <c r="Q2901" s="122">
        <v>130</v>
      </c>
      <c r="R2901" s="122">
        <v>3819</v>
      </c>
      <c r="S2901" s="122">
        <v>3472</v>
      </c>
      <c r="T2901" s="122">
        <v>1764</v>
      </c>
      <c r="U2901" s="122">
        <v>653</v>
      </c>
      <c r="V2901" s="122">
        <v>37292</v>
      </c>
      <c r="W2901" s="122">
        <f t="shared" si="92"/>
        <v>37292</v>
      </c>
      <c r="X2901" s="122">
        <f t="shared" si="93"/>
        <v>42976</v>
      </c>
    </row>
    <row r="2902" spans="2:24">
      <c r="B2902" t="s">
        <v>383</v>
      </c>
      <c r="C2902" t="s">
        <v>64</v>
      </c>
      <c r="D2902" t="s">
        <v>431</v>
      </c>
      <c r="E2902" t="s">
        <v>137</v>
      </c>
      <c r="F2902" s="122">
        <v>2</v>
      </c>
      <c r="G2902" s="122">
        <v>216</v>
      </c>
      <c r="H2902" s="122">
        <v>1505</v>
      </c>
      <c r="I2902" s="122">
        <v>113506</v>
      </c>
      <c r="J2902" s="122">
        <v>103187</v>
      </c>
      <c r="K2902" s="122">
        <v>53</v>
      </c>
      <c r="L2902" s="122">
        <v>32276</v>
      </c>
      <c r="M2902" s="122">
        <v>14833</v>
      </c>
      <c r="N2902" s="122">
        <v>5511</v>
      </c>
      <c r="O2902" s="122">
        <v>2041</v>
      </c>
      <c r="P2902" s="122">
        <v>351</v>
      </c>
      <c r="Q2902" s="122">
        <v>130</v>
      </c>
      <c r="R2902" s="122">
        <v>17469</v>
      </c>
      <c r="S2902" s="122">
        <v>6470</v>
      </c>
      <c r="T2902" s="122">
        <v>0</v>
      </c>
      <c r="U2902" s="122">
        <v>0</v>
      </c>
      <c r="V2902" s="122">
        <v>126662</v>
      </c>
      <c r="W2902" s="122">
        <f t="shared" si="92"/>
        <v>126661</v>
      </c>
      <c r="X2902" s="122">
        <f t="shared" si="93"/>
        <v>169113</v>
      </c>
    </row>
    <row r="2903" spans="2:24">
      <c r="B2903" t="s">
        <v>383</v>
      </c>
      <c r="C2903" t="s">
        <v>64</v>
      </c>
      <c r="D2903" t="s">
        <v>431</v>
      </c>
      <c r="E2903" t="s">
        <v>431</v>
      </c>
      <c r="F2903" s="122">
        <v>12</v>
      </c>
      <c r="G2903" s="122">
        <v>1020</v>
      </c>
      <c r="H2903" s="122">
        <v>8413</v>
      </c>
      <c r="I2903" s="122">
        <v>498867</v>
      </c>
      <c r="J2903" s="122">
        <v>453515</v>
      </c>
      <c r="K2903" s="122">
        <v>50</v>
      </c>
      <c r="L2903" s="122">
        <v>81806</v>
      </c>
      <c r="M2903" s="122">
        <v>63648</v>
      </c>
      <c r="N2903" s="122">
        <v>20333</v>
      </c>
      <c r="O2903" s="122">
        <v>7531</v>
      </c>
      <c r="P2903" s="122">
        <v>4212</v>
      </c>
      <c r="Q2903" s="122">
        <v>1560</v>
      </c>
      <c r="R2903" s="122">
        <v>76950</v>
      </c>
      <c r="S2903" s="122">
        <v>69954</v>
      </c>
      <c r="T2903" s="122">
        <v>13786</v>
      </c>
      <c r="U2903" s="122">
        <v>5106</v>
      </c>
      <c r="V2903" s="122">
        <v>601315</v>
      </c>
      <c r="W2903" s="122">
        <f t="shared" si="92"/>
        <v>601314</v>
      </c>
      <c r="X2903" s="122">
        <f t="shared" si="93"/>
        <v>695954</v>
      </c>
    </row>
    <row r="2904" spans="2:24">
      <c r="B2904" t="s">
        <v>383</v>
      </c>
      <c r="C2904" t="s">
        <v>64</v>
      </c>
      <c r="D2904" t="s">
        <v>426</v>
      </c>
      <c r="E2904" t="s">
        <v>425</v>
      </c>
      <c r="F2904" s="122">
        <v>1</v>
      </c>
      <c r="G2904" s="122">
        <v>48</v>
      </c>
      <c r="H2904" s="122">
        <v>1255</v>
      </c>
      <c r="I2904" s="122">
        <v>52901</v>
      </c>
      <c r="J2904" s="122">
        <v>48092</v>
      </c>
      <c r="K2904" s="122">
        <v>30</v>
      </c>
      <c r="L2904" s="122">
        <v>4328</v>
      </c>
      <c r="M2904" s="122">
        <v>1603</v>
      </c>
      <c r="N2904" s="122">
        <v>1171</v>
      </c>
      <c r="O2904" s="122">
        <v>434</v>
      </c>
      <c r="P2904" s="122">
        <v>0</v>
      </c>
      <c r="Q2904" s="122">
        <v>0</v>
      </c>
      <c r="R2904" s="122">
        <v>1908</v>
      </c>
      <c r="S2904" s="122">
        <v>1735</v>
      </c>
      <c r="T2904" s="122">
        <v>0</v>
      </c>
      <c r="U2904" s="122">
        <v>0</v>
      </c>
      <c r="V2904" s="122">
        <v>51864</v>
      </c>
      <c r="W2904" s="122">
        <f t="shared" si="92"/>
        <v>51864</v>
      </c>
      <c r="X2904" s="122">
        <f t="shared" si="93"/>
        <v>60308</v>
      </c>
    </row>
    <row r="2905" spans="2:24">
      <c r="B2905" t="s">
        <v>383</v>
      </c>
      <c r="C2905" t="s">
        <v>64</v>
      </c>
      <c r="D2905" t="s">
        <v>426</v>
      </c>
      <c r="E2905" t="s">
        <v>137</v>
      </c>
      <c r="F2905" s="122">
        <v>79</v>
      </c>
      <c r="G2905" s="122">
        <v>6789</v>
      </c>
      <c r="H2905" s="122">
        <v>80530</v>
      </c>
      <c r="I2905" s="122">
        <v>5572437</v>
      </c>
      <c r="J2905" s="122">
        <v>5065851</v>
      </c>
      <c r="K2905" s="122">
        <v>44</v>
      </c>
      <c r="L2905" s="122">
        <v>619293</v>
      </c>
      <c r="M2905" s="122">
        <v>382894</v>
      </c>
      <c r="N2905" s="122">
        <v>155567</v>
      </c>
      <c r="O2905" s="122">
        <v>57618</v>
      </c>
      <c r="P2905" s="122">
        <v>4482</v>
      </c>
      <c r="Q2905" s="122">
        <v>1660</v>
      </c>
      <c r="R2905" s="122">
        <v>498707</v>
      </c>
      <c r="S2905" s="122">
        <v>184706</v>
      </c>
      <c r="T2905" s="122">
        <v>9377</v>
      </c>
      <c r="U2905" s="122">
        <v>3473</v>
      </c>
      <c r="V2905" s="122">
        <v>5696203</v>
      </c>
      <c r="W2905" s="122">
        <f t="shared" si="92"/>
        <v>5696202</v>
      </c>
      <c r="X2905" s="122">
        <f t="shared" si="93"/>
        <v>6859863</v>
      </c>
    </row>
    <row r="2906" spans="2:24">
      <c r="B2906" t="s">
        <v>383</v>
      </c>
      <c r="C2906" t="s">
        <v>64</v>
      </c>
      <c r="D2906" t="s">
        <v>426</v>
      </c>
      <c r="E2906" t="s">
        <v>406</v>
      </c>
      <c r="F2906" s="122">
        <v>2</v>
      </c>
      <c r="G2906" s="122">
        <v>553</v>
      </c>
      <c r="H2906" s="122">
        <v>1628</v>
      </c>
      <c r="I2906" s="122">
        <v>430319</v>
      </c>
      <c r="J2906" s="122">
        <v>391199</v>
      </c>
      <c r="K2906" s="122">
        <v>38</v>
      </c>
      <c r="L2906" s="122">
        <v>33528</v>
      </c>
      <c r="M2906" s="122">
        <v>14686</v>
      </c>
      <c r="N2906" s="122">
        <v>10969</v>
      </c>
      <c r="O2906" s="122">
        <v>4063</v>
      </c>
      <c r="P2906" s="122">
        <v>1593</v>
      </c>
      <c r="Q2906" s="122">
        <v>590</v>
      </c>
      <c r="R2906" s="122">
        <v>28517</v>
      </c>
      <c r="S2906" s="122">
        <v>25925</v>
      </c>
      <c r="T2906" s="122">
        <v>0</v>
      </c>
      <c r="U2906" s="122">
        <v>0</v>
      </c>
      <c r="V2906" s="122">
        <v>436463</v>
      </c>
      <c r="W2906" s="122">
        <f t="shared" si="92"/>
        <v>436463</v>
      </c>
      <c r="X2906" s="122">
        <f t="shared" si="93"/>
        <v>504926</v>
      </c>
    </row>
    <row r="2907" spans="2:24">
      <c r="B2907" t="s">
        <v>383</v>
      </c>
      <c r="C2907" t="s">
        <v>64</v>
      </c>
      <c r="D2907" t="s">
        <v>426</v>
      </c>
      <c r="E2907" t="s">
        <v>426</v>
      </c>
      <c r="F2907" s="122">
        <v>323</v>
      </c>
      <c r="G2907" s="122">
        <v>28666</v>
      </c>
      <c r="H2907" s="122">
        <v>225057</v>
      </c>
      <c r="I2907" s="122">
        <v>14416115</v>
      </c>
      <c r="J2907" s="122">
        <v>13105559</v>
      </c>
      <c r="K2907" s="122">
        <v>52</v>
      </c>
      <c r="L2907" s="122">
        <v>2000415</v>
      </c>
      <c r="M2907" s="122">
        <v>1616495</v>
      </c>
      <c r="N2907" s="122">
        <v>627888</v>
      </c>
      <c r="O2907" s="122">
        <v>232551</v>
      </c>
      <c r="P2907" s="122">
        <v>108041</v>
      </c>
      <c r="Q2907" s="122">
        <v>40015</v>
      </c>
      <c r="R2907" s="122">
        <v>1975057</v>
      </c>
      <c r="S2907" s="122">
        <v>1795506</v>
      </c>
      <c r="T2907" s="122">
        <v>665112</v>
      </c>
      <c r="U2907" s="122">
        <v>246338</v>
      </c>
      <c r="V2907" s="122">
        <v>17036464</v>
      </c>
      <c r="W2907" s="122">
        <f t="shared" si="92"/>
        <v>17036464</v>
      </c>
      <c r="X2907" s="122">
        <f t="shared" si="93"/>
        <v>19792628</v>
      </c>
    </row>
    <row r="2908" spans="2:24">
      <c r="B2908" t="s">
        <v>383</v>
      </c>
      <c r="C2908" t="s">
        <v>64</v>
      </c>
      <c r="D2908" t="s">
        <v>433</v>
      </c>
      <c r="E2908" t="s">
        <v>137</v>
      </c>
      <c r="F2908" s="122">
        <v>2</v>
      </c>
      <c r="G2908" s="122">
        <v>230</v>
      </c>
      <c r="H2908" s="122">
        <v>1218</v>
      </c>
      <c r="I2908" s="122">
        <v>92892</v>
      </c>
      <c r="J2908" s="122">
        <v>84447</v>
      </c>
      <c r="K2908" s="122">
        <v>60</v>
      </c>
      <c r="L2908" s="122">
        <v>18013</v>
      </c>
      <c r="M2908" s="122">
        <v>13077</v>
      </c>
      <c r="N2908" s="122">
        <v>3968</v>
      </c>
      <c r="O2908" s="122">
        <v>1470</v>
      </c>
      <c r="P2908" s="122">
        <v>351</v>
      </c>
      <c r="Q2908" s="122">
        <v>130</v>
      </c>
      <c r="R2908" s="122">
        <v>23899</v>
      </c>
      <c r="S2908" s="122">
        <v>8852</v>
      </c>
      <c r="T2908" s="122">
        <v>0</v>
      </c>
      <c r="U2908" s="122">
        <v>0</v>
      </c>
      <c r="V2908" s="122">
        <v>107975</v>
      </c>
      <c r="W2908" s="122">
        <f t="shared" si="92"/>
        <v>107976</v>
      </c>
      <c r="X2908" s="122">
        <f t="shared" si="93"/>
        <v>139123</v>
      </c>
    </row>
    <row r="2909" spans="2:24">
      <c r="B2909" t="s">
        <v>383</v>
      </c>
      <c r="C2909" t="s">
        <v>64</v>
      </c>
      <c r="D2909" t="s">
        <v>433</v>
      </c>
      <c r="E2909" t="s">
        <v>406</v>
      </c>
      <c r="F2909" s="122">
        <v>1</v>
      </c>
      <c r="G2909" s="122">
        <v>218</v>
      </c>
      <c r="H2909" s="122">
        <v>574</v>
      </c>
      <c r="I2909" s="122">
        <v>103272</v>
      </c>
      <c r="J2909" s="122">
        <v>93883</v>
      </c>
      <c r="K2909" s="122">
        <v>55</v>
      </c>
      <c r="L2909" s="122">
        <v>10518</v>
      </c>
      <c r="M2909" s="122">
        <v>9562</v>
      </c>
      <c r="N2909" s="122">
        <v>4204</v>
      </c>
      <c r="O2909" s="122">
        <v>1557</v>
      </c>
      <c r="P2909" s="122">
        <v>351</v>
      </c>
      <c r="Q2909" s="122">
        <v>130</v>
      </c>
      <c r="R2909" s="122">
        <v>7103</v>
      </c>
      <c r="S2909" s="122">
        <v>6457</v>
      </c>
      <c r="T2909" s="122">
        <v>0</v>
      </c>
      <c r="U2909" s="122">
        <v>0</v>
      </c>
      <c r="V2909" s="122">
        <v>111590</v>
      </c>
      <c r="W2909" s="122">
        <f t="shared" si="92"/>
        <v>111589</v>
      </c>
      <c r="X2909" s="122">
        <f t="shared" si="93"/>
        <v>125448</v>
      </c>
    </row>
    <row r="2910" spans="2:24">
      <c r="B2910" t="s">
        <v>383</v>
      </c>
      <c r="C2910" t="s">
        <v>64</v>
      </c>
      <c r="D2910" t="s">
        <v>433</v>
      </c>
      <c r="E2910" t="s">
        <v>433</v>
      </c>
      <c r="F2910" s="122">
        <v>10</v>
      </c>
      <c r="G2910" s="122">
        <v>913</v>
      </c>
      <c r="H2910" s="122">
        <v>6229</v>
      </c>
      <c r="I2910" s="122">
        <v>389412</v>
      </c>
      <c r="J2910" s="122">
        <v>354011</v>
      </c>
      <c r="K2910" s="122">
        <v>53</v>
      </c>
      <c r="L2910" s="122">
        <v>55223</v>
      </c>
      <c r="M2910" s="122">
        <v>44801</v>
      </c>
      <c r="N2910" s="122">
        <v>16659</v>
      </c>
      <c r="O2910" s="122">
        <v>6170</v>
      </c>
      <c r="P2910" s="122">
        <v>3159</v>
      </c>
      <c r="Q2910" s="122">
        <v>1170</v>
      </c>
      <c r="R2910" s="122">
        <v>62105</v>
      </c>
      <c r="S2910" s="122">
        <v>56459</v>
      </c>
      <c r="T2910" s="122">
        <v>17074</v>
      </c>
      <c r="U2910" s="122">
        <v>6324</v>
      </c>
      <c r="V2910" s="122">
        <v>468935</v>
      </c>
      <c r="W2910" s="122">
        <f t="shared" si="92"/>
        <v>468935</v>
      </c>
      <c r="X2910" s="122">
        <f t="shared" si="93"/>
        <v>543632</v>
      </c>
    </row>
    <row r="2911" spans="2:24">
      <c r="B2911" t="s">
        <v>384</v>
      </c>
      <c r="C2911" t="s">
        <v>48</v>
      </c>
      <c r="D2911" t="s">
        <v>137</v>
      </c>
      <c r="E2911" t="s">
        <v>137</v>
      </c>
      <c r="F2911" s="122">
        <v>230</v>
      </c>
      <c r="G2911" s="122">
        <v>42954</v>
      </c>
      <c r="H2911" s="122">
        <v>12797</v>
      </c>
      <c r="I2911" s="122">
        <v>391481</v>
      </c>
      <c r="J2911" s="122">
        <v>144993</v>
      </c>
      <c r="K2911" s="122">
        <v>452</v>
      </c>
      <c r="L2911" s="122">
        <v>111953</v>
      </c>
      <c r="M2911" s="122">
        <v>94305</v>
      </c>
      <c r="N2911" s="122">
        <v>569388</v>
      </c>
      <c r="O2911" s="122">
        <v>210884</v>
      </c>
      <c r="P2911" s="122">
        <v>190175</v>
      </c>
      <c r="Q2911" s="122">
        <v>70435</v>
      </c>
      <c r="R2911" s="122">
        <v>1118523</v>
      </c>
      <c r="S2911" s="122">
        <v>414268</v>
      </c>
      <c r="T2911" s="122">
        <v>4258</v>
      </c>
      <c r="U2911" s="122">
        <v>1577</v>
      </c>
      <c r="V2911" s="122">
        <v>936462</v>
      </c>
      <c r="W2911" s="122">
        <f t="shared" si="92"/>
        <v>936462</v>
      </c>
      <c r="X2911" s="122">
        <f t="shared" si="93"/>
        <v>2385778</v>
      </c>
    </row>
    <row r="2912" spans="2:24">
      <c r="B2912" t="s">
        <v>384</v>
      </c>
      <c r="C2912" t="s">
        <v>48</v>
      </c>
      <c r="D2912" t="s">
        <v>137</v>
      </c>
      <c r="E2912" t="s">
        <v>407</v>
      </c>
      <c r="F2912" s="122">
        <v>1</v>
      </c>
      <c r="G2912" s="122">
        <v>652</v>
      </c>
      <c r="H2912" s="122">
        <v>44</v>
      </c>
      <c r="I2912" s="122">
        <v>10451</v>
      </c>
      <c r="J2912" s="122">
        <v>3871</v>
      </c>
      <c r="K2912" s="122">
        <v>337</v>
      </c>
      <c r="L2912" s="122">
        <v>2181</v>
      </c>
      <c r="M2912" s="122">
        <v>1983</v>
      </c>
      <c r="N2912" s="122">
        <v>8740</v>
      </c>
      <c r="O2912" s="122">
        <v>3237</v>
      </c>
      <c r="P2912" s="122">
        <v>824</v>
      </c>
      <c r="Q2912" s="122">
        <v>305</v>
      </c>
      <c r="R2912" s="122">
        <v>6192</v>
      </c>
      <c r="S2912" s="122">
        <v>5629</v>
      </c>
      <c r="T2912" s="122">
        <v>0</v>
      </c>
      <c r="U2912" s="122">
        <v>0</v>
      </c>
      <c r="V2912" s="122">
        <v>15025</v>
      </c>
      <c r="W2912" s="122">
        <f t="shared" si="92"/>
        <v>15025</v>
      </c>
      <c r="X2912" s="122">
        <f t="shared" si="93"/>
        <v>28388</v>
      </c>
    </row>
    <row r="2913" spans="2:24">
      <c r="B2913" t="s">
        <v>384</v>
      </c>
      <c r="C2913" t="s">
        <v>48</v>
      </c>
      <c r="D2913" t="s">
        <v>406</v>
      </c>
      <c r="E2913" t="s">
        <v>406</v>
      </c>
      <c r="F2913" s="122">
        <v>38</v>
      </c>
      <c r="G2913" s="122">
        <v>8048</v>
      </c>
      <c r="H2913" s="122">
        <v>2382</v>
      </c>
      <c r="I2913" s="122">
        <v>196961</v>
      </c>
      <c r="J2913" s="122">
        <v>179056</v>
      </c>
      <c r="K2913" s="122">
        <v>95</v>
      </c>
      <c r="L2913" s="122">
        <v>29162</v>
      </c>
      <c r="M2913" s="122">
        <v>26354</v>
      </c>
      <c r="N2913" s="122">
        <v>99652</v>
      </c>
      <c r="O2913" s="122">
        <v>36908</v>
      </c>
      <c r="P2913" s="122">
        <v>41179</v>
      </c>
      <c r="Q2913" s="122">
        <v>15252</v>
      </c>
      <c r="R2913" s="122">
        <v>138595</v>
      </c>
      <c r="S2913" s="122">
        <v>125995</v>
      </c>
      <c r="T2913" s="122">
        <v>0</v>
      </c>
      <c r="U2913" s="122">
        <v>0</v>
      </c>
      <c r="V2913" s="122">
        <v>383565</v>
      </c>
      <c r="W2913" s="122">
        <f t="shared" si="92"/>
        <v>383565</v>
      </c>
      <c r="X2913" s="122">
        <f t="shared" si="93"/>
        <v>505549</v>
      </c>
    </row>
    <row r="2914" spans="2:24">
      <c r="B2914" t="s">
        <v>384</v>
      </c>
      <c r="C2914" t="s">
        <v>48</v>
      </c>
      <c r="D2914" t="s">
        <v>407</v>
      </c>
      <c r="E2914" t="s">
        <v>407</v>
      </c>
      <c r="F2914" s="122">
        <v>11</v>
      </c>
      <c r="G2914" s="122">
        <v>1773</v>
      </c>
      <c r="H2914" s="122">
        <v>642</v>
      </c>
      <c r="I2914" s="122">
        <v>21838</v>
      </c>
      <c r="J2914" s="122">
        <v>19853</v>
      </c>
      <c r="K2914" s="122">
        <v>90</v>
      </c>
      <c r="L2914" s="122">
        <v>2631</v>
      </c>
      <c r="M2914" s="122">
        <v>2331</v>
      </c>
      <c r="N2914" s="122">
        <v>23105</v>
      </c>
      <c r="O2914" s="122">
        <v>8557</v>
      </c>
      <c r="P2914" s="122">
        <v>9525</v>
      </c>
      <c r="Q2914" s="122">
        <v>3528</v>
      </c>
      <c r="R2914" s="122">
        <v>44667</v>
      </c>
      <c r="S2914" s="122">
        <v>40607</v>
      </c>
      <c r="T2914" s="122">
        <v>0</v>
      </c>
      <c r="U2914" s="122">
        <v>0</v>
      </c>
      <c r="V2914" s="122">
        <v>74875</v>
      </c>
      <c r="W2914" s="122">
        <f t="shared" si="92"/>
        <v>74876</v>
      </c>
      <c r="X2914" s="122">
        <f t="shared" si="93"/>
        <v>101766</v>
      </c>
    </row>
    <row r="2915" spans="2:24">
      <c r="B2915" t="s">
        <v>384</v>
      </c>
      <c r="C2915" t="s">
        <v>50</v>
      </c>
      <c r="D2915" t="s">
        <v>405</v>
      </c>
      <c r="E2915" t="s">
        <v>405</v>
      </c>
      <c r="F2915" s="122">
        <v>3</v>
      </c>
      <c r="G2915" s="122">
        <v>1309</v>
      </c>
      <c r="H2915" s="122">
        <v>257</v>
      </c>
      <c r="I2915" s="122">
        <v>75457</v>
      </c>
      <c r="J2915" s="122">
        <v>68597</v>
      </c>
      <c r="K2915" s="122">
        <v>92</v>
      </c>
      <c r="L2915" s="122">
        <v>6919</v>
      </c>
      <c r="M2915" s="122">
        <v>6290</v>
      </c>
      <c r="N2915" s="122">
        <v>17814</v>
      </c>
      <c r="O2915" s="122">
        <v>6598</v>
      </c>
      <c r="P2915" s="122">
        <v>4996</v>
      </c>
      <c r="Q2915" s="122">
        <v>1850</v>
      </c>
      <c r="R2915" s="122">
        <v>8920</v>
      </c>
      <c r="S2915" s="122">
        <v>8109</v>
      </c>
      <c r="T2915" s="122">
        <v>0</v>
      </c>
      <c r="U2915" s="122">
        <v>0</v>
      </c>
      <c r="V2915" s="122">
        <v>91445</v>
      </c>
      <c r="W2915" s="122">
        <f t="shared" si="92"/>
        <v>91444</v>
      </c>
      <c r="X2915" s="122">
        <f t="shared" si="93"/>
        <v>114106</v>
      </c>
    </row>
    <row r="2916" spans="2:24">
      <c r="B2916" t="s">
        <v>384</v>
      </c>
      <c r="C2916" t="s">
        <v>50</v>
      </c>
      <c r="D2916" t="s">
        <v>137</v>
      </c>
      <c r="E2916" t="s">
        <v>137</v>
      </c>
      <c r="F2916" s="122">
        <v>22</v>
      </c>
      <c r="G2916" s="122">
        <v>4275</v>
      </c>
      <c r="H2916" s="122">
        <v>1909</v>
      </c>
      <c r="I2916" s="122">
        <v>138927</v>
      </c>
      <c r="J2916" s="122">
        <v>51455</v>
      </c>
      <c r="K2916" s="122">
        <v>375</v>
      </c>
      <c r="L2916" s="122">
        <v>39333</v>
      </c>
      <c r="M2916" s="122">
        <v>35380</v>
      </c>
      <c r="N2916" s="122">
        <v>83427</v>
      </c>
      <c r="O2916" s="122">
        <v>30899</v>
      </c>
      <c r="P2916" s="122">
        <v>9964</v>
      </c>
      <c r="Q2916" s="122">
        <v>3690</v>
      </c>
      <c r="R2916" s="122">
        <v>122524</v>
      </c>
      <c r="S2916" s="122">
        <v>45379</v>
      </c>
      <c r="T2916" s="122">
        <v>0</v>
      </c>
      <c r="U2916" s="122">
        <v>0</v>
      </c>
      <c r="V2916" s="122">
        <v>166803</v>
      </c>
      <c r="W2916" s="122">
        <f t="shared" si="92"/>
        <v>166803</v>
      </c>
      <c r="X2916" s="122">
        <f t="shared" si="93"/>
        <v>394175</v>
      </c>
    </row>
    <row r="2917" spans="2:24">
      <c r="B2917" t="s">
        <v>384</v>
      </c>
      <c r="C2917" t="s">
        <v>50</v>
      </c>
      <c r="D2917" t="s">
        <v>137</v>
      </c>
      <c r="E2917" t="s">
        <v>406</v>
      </c>
      <c r="F2917" s="122">
        <v>1</v>
      </c>
      <c r="G2917" s="122">
        <v>483</v>
      </c>
      <c r="H2917" s="122">
        <v>91</v>
      </c>
      <c r="I2917" s="122">
        <v>23554</v>
      </c>
      <c r="J2917" s="122">
        <v>8724</v>
      </c>
      <c r="K2917" s="122">
        <v>320</v>
      </c>
      <c r="L2917" s="122">
        <v>5687</v>
      </c>
      <c r="M2917" s="122">
        <v>5170</v>
      </c>
      <c r="N2917" s="122">
        <v>13233</v>
      </c>
      <c r="O2917" s="122">
        <v>4901</v>
      </c>
      <c r="P2917" s="122">
        <v>351</v>
      </c>
      <c r="Q2917" s="122">
        <v>130</v>
      </c>
      <c r="R2917" s="122">
        <v>7808</v>
      </c>
      <c r="S2917" s="122">
        <v>7098</v>
      </c>
      <c r="T2917" s="122">
        <v>0</v>
      </c>
      <c r="U2917" s="122">
        <v>0</v>
      </c>
      <c r="V2917" s="122">
        <v>26023</v>
      </c>
      <c r="W2917" s="122">
        <f t="shared" si="92"/>
        <v>26023</v>
      </c>
      <c r="X2917" s="122">
        <f t="shared" si="93"/>
        <v>50633</v>
      </c>
    </row>
    <row r="2918" spans="2:24">
      <c r="B2918" t="s">
        <v>384</v>
      </c>
      <c r="C2918" t="s">
        <v>50</v>
      </c>
      <c r="D2918" t="s">
        <v>406</v>
      </c>
      <c r="E2918" t="s">
        <v>406</v>
      </c>
      <c r="F2918" s="122">
        <v>49</v>
      </c>
      <c r="G2918" s="122">
        <v>11703</v>
      </c>
      <c r="H2918" s="122">
        <v>4466</v>
      </c>
      <c r="I2918" s="122">
        <v>568782</v>
      </c>
      <c r="J2918" s="122">
        <v>517074</v>
      </c>
      <c r="K2918" s="122">
        <v>94</v>
      </c>
      <c r="L2918" s="122">
        <v>108620</v>
      </c>
      <c r="M2918" s="122">
        <v>103501</v>
      </c>
      <c r="N2918" s="122">
        <v>178282</v>
      </c>
      <c r="O2918" s="122">
        <v>66030</v>
      </c>
      <c r="P2918" s="122">
        <v>47992</v>
      </c>
      <c r="Q2918" s="122">
        <v>17775</v>
      </c>
      <c r="R2918" s="122">
        <v>204698</v>
      </c>
      <c r="S2918" s="122">
        <v>186089</v>
      </c>
      <c r="T2918" s="122">
        <v>0</v>
      </c>
      <c r="U2918" s="122">
        <v>0</v>
      </c>
      <c r="V2918" s="122">
        <v>890469</v>
      </c>
      <c r="W2918" s="122">
        <f t="shared" si="92"/>
        <v>890469</v>
      </c>
      <c r="X2918" s="122">
        <f t="shared" si="93"/>
        <v>1108374</v>
      </c>
    </row>
    <row r="2919" spans="2:24">
      <c r="B2919" t="s">
        <v>384</v>
      </c>
      <c r="C2919" t="s">
        <v>50</v>
      </c>
      <c r="D2919" t="s">
        <v>407</v>
      </c>
      <c r="E2919" t="s">
        <v>407</v>
      </c>
      <c r="F2919" s="122">
        <v>24</v>
      </c>
      <c r="G2919" s="122">
        <v>3489</v>
      </c>
      <c r="H2919" s="122">
        <v>2301</v>
      </c>
      <c r="I2919" s="122">
        <v>168751</v>
      </c>
      <c r="J2919" s="122">
        <v>153410</v>
      </c>
      <c r="K2919" s="122">
        <v>90</v>
      </c>
      <c r="L2919" s="122">
        <v>21338</v>
      </c>
      <c r="M2919" s="122">
        <v>17647</v>
      </c>
      <c r="N2919" s="122">
        <v>46733</v>
      </c>
      <c r="O2919" s="122">
        <v>17308</v>
      </c>
      <c r="P2919" s="122">
        <v>18083</v>
      </c>
      <c r="Q2919" s="122">
        <v>6697</v>
      </c>
      <c r="R2919" s="122">
        <v>80120</v>
      </c>
      <c r="S2919" s="122">
        <v>72836</v>
      </c>
      <c r="T2919" s="122">
        <v>0</v>
      </c>
      <c r="U2919" s="122">
        <v>0</v>
      </c>
      <c r="V2919" s="122">
        <v>267899</v>
      </c>
      <c r="W2919" s="122">
        <f t="shared" si="92"/>
        <v>267898</v>
      </c>
      <c r="X2919" s="122">
        <f t="shared" si="93"/>
        <v>335025</v>
      </c>
    </row>
    <row r="2920" spans="2:24">
      <c r="B2920" t="s">
        <v>384</v>
      </c>
      <c r="C2920" t="s">
        <v>52</v>
      </c>
      <c r="D2920" t="s">
        <v>405</v>
      </c>
      <c r="E2920" t="s">
        <v>405</v>
      </c>
      <c r="F2920" s="122">
        <v>3</v>
      </c>
      <c r="G2920" s="122">
        <v>853</v>
      </c>
      <c r="H2920" s="122">
        <v>347</v>
      </c>
      <c r="I2920" s="122">
        <v>57391</v>
      </c>
      <c r="J2920" s="122">
        <v>52174</v>
      </c>
      <c r="K2920" s="122">
        <v>91</v>
      </c>
      <c r="L2920" s="122">
        <v>12900</v>
      </c>
      <c r="M2920" s="122">
        <v>11727</v>
      </c>
      <c r="N2920" s="122">
        <v>11303</v>
      </c>
      <c r="O2920" s="122">
        <v>4186</v>
      </c>
      <c r="P2920" s="122">
        <v>1418</v>
      </c>
      <c r="Q2920" s="122">
        <v>525</v>
      </c>
      <c r="R2920" s="122">
        <v>14492</v>
      </c>
      <c r="S2920" s="122">
        <v>13175</v>
      </c>
      <c r="T2920" s="122">
        <v>0</v>
      </c>
      <c r="U2920" s="122">
        <v>0</v>
      </c>
      <c r="V2920" s="122">
        <v>81787</v>
      </c>
      <c r="W2920" s="122">
        <f t="shared" si="92"/>
        <v>81787</v>
      </c>
      <c r="X2920" s="122">
        <f t="shared" si="93"/>
        <v>97504</v>
      </c>
    </row>
    <row r="2921" spans="2:24">
      <c r="B2921" t="s">
        <v>384</v>
      </c>
      <c r="C2921" t="s">
        <v>52</v>
      </c>
      <c r="D2921" t="s">
        <v>137</v>
      </c>
      <c r="E2921" t="s">
        <v>137</v>
      </c>
      <c r="F2921" s="122">
        <v>21</v>
      </c>
      <c r="G2921" s="122">
        <v>4687</v>
      </c>
      <c r="H2921" s="122">
        <v>2464</v>
      </c>
      <c r="I2921" s="122">
        <v>280507</v>
      </c>
      <c r="J2921" s="122">
        <v>103892</v>
      </c>
      <c r="K2921" s="122">
        <v>314</v>
      </c>
      <c r="L2921" s="122">
        <v>55608</v>
      </c>
      <c r="M2921" s="122">
        <v>48478</v>
      </c>
      <c r="N2921" s="122">
        <v>84672</v>
      </c>
      <c r="O2921" s="122">
        <v>31360</v>
      </c>
      <c r="P2921" s="122">
        <v>13192</v>
      </c>
      <c r="Q2921" s="122">
        <v>4886</v>
      </c>
      <c r="R2921" s="122">
        <v>173194</v>
      </c>
      <c r="S2921" s="122">
        <v>64146</v>
      </c>
      <c r="T2921" s="122">
        <v>0</v>
      </c>
      <c r="U2921" s="122">
        <v>0</v>
      </c>
      <c r="V2921" s="122">
        <v>252761</v>
      </c>
      <c r="W2921" s="122">
        <f t="shared" si="92"/>
        <v>252762</v>
      </c>
      <c r="X2921" s="122">
        <f t="shared" si="93"/>
        <v>607173</v>
      </c>
    </row>
    <row r="2922" spans="2:24">
      <c r="B2922" t="s">
        <v>384</v>
      </c>
      <c r="C2922" t="s">
        <v>52</v>
      </c>
      <c r="D2922" t="s">
        <v>406</v>
      </c>
      <c r="E2922" t="s">
        <v>406</v>
      </c>
      <c r="F2922" s="122">
        <v>133</v>
      </c>
      <c r="G2922" s="122">
        <v>28826</v>
      </c>
      <c r="H2922" s="122">
        <v>15478</v>
      </c>
      <c r="I2922" s="122">
        <v>1969199</v>
      </c>
      <c r="J2922" s="122">
        <v>1790181</v>
      </c>
      <c r="K2922" s="122">
        <v>92</v>
      </c>
      <c r="L2922" s="122">
        <v>344421</v>
      </c>
      <c r="M2922" s="122">
        <v>309019</v>
      </c>
      <c r="N2922" s="122">
        <v>509153</v>
      </c>
      <c r="O2922" s="122">
        <v>188575</v>
      </c>
      <c r="P2922" s="122">
        <v>89772</v>
      </c>
      <c r="Q2922" s="122">
        <v>33249</v>
      </c>
      <c r="R2922" s="122">
        <v>651569</v>
      </c>
      <c r="S2922" s="122">
        <v>592335</v>
      </c>
      <c r="T2922" s="122">
        <v>22915</v>
      </c>
      <c r="U2922" s="122">
        <v>8487</v>
      </c>
      <c r="V2922" s="122">
        <v>2921847</v>
      </c>
      <c r="W2922" s="122">
        <f t="shared" si="92"/>
        <v>2921846</v>
      </c>
      <c r="X2922" s="122">
        <f t="shared" si="93"/>
        <v>3587029</v>
      </c>
    </row>
    <row r="2923" spans="2:24">
      <c r="B2923" t="s">
        <v>384</v>
      </c>
      <c r="C2923" t="s">
        <v>52</v>
      </c>
      <c r="D2923" t="s">
        <v>406</v>
      </c>
      <c r="E2923" t="s">
        <v>407</v>
      </c>
      <c r="F2923" s="122">
        <v>1</v>
      </c>
      <c r="G2923" s="122">
        <v>386</v>
      </c>
      <c r="H2923" s="122">
        <v>123</v>
      </c>
      <c r="I2923" s="122">
        <v>29183</v>
      </c>
      <c r="J2923" s="122">
        <v>26530</v>
      </c>
      <c r="K2923" s="122">
        <v>86</v>
      </c>
      <c r="L2923" s="122">
        <v>4061</v>
      </c>
      <c r="M2923" s="122">
        <v>3692</v>
      </c>
      <c r="N2923" s="122">
        <v>4703</v>
      </c>
      <c r="O2923" s="122">
        <v>1742</v>
      </c>
      <c r="P2923" s="122">
        <v>621</v>
      </c>
      <c r="Q2923" s="122">
        <v>230</v>
      </c>
      <c r="R2923" s="122">
        <v>4737</v>
      </c>
      <c r="S2923" s="122">
        <v>4306</v>
      </c>
      <c r="T2923" s="122">
        <v>4342</v>
      </c>
      <c r="U2923" s="122">
        <v>1608</v>
      </c>
      <c r="V2923" s="122">
        <v>38108</v>
      </c>
      <c r="W2923" s="122">
        <f t="shared" si="92"/>
        <v>38108</v>
      </c>
      <c r="X2923" s="122">
        <f t="shared" si="93"/>
        <v>47647</v>
      </c>
    </row>
    <row r="2924" spans="2:24">
      <c r="B2924" t="s">
        <v>384</v>
      </c>
      <c r="C2924" t="s">
        <v>52</v>
      </c>
      <c r="D2924" t="s">
        <v>407</v>
      </c>
      <c r="E2924" t="s">
        <v>137</v>
      </c>
      <c r="F2924" s="122">
        <v>1</v>
      </c>
      <c r="G2924" s="122">
        <v>201</v>
      </c>
      <c r="H2924" s="122">
        <v>105</v>
      </c>
      <c r="I2924" s="122">
        <v>11697</v>
      </c>
      <c r="J2924" s="122">
        <v>10634</v>
      </c>
      <c r="K2924" s="122">
        <v>90</v>
      </c>
      <c r="L2924" s="122">
        <v>2129</v>
      </c>
      <c r="M2924" s="122">
        <v>1774</v>
      </c>
      <c r="N2924" s="122">
        <v>2443</v>
      </c>
      <c r="O2924" s="122">
        <v>905</v>
      </c>
      <c r="P2924" s="122">
        <v>473</v>
      </c>
      <c r="Q2924" s="122">
        <v>175</v>
      </c>
      <c r="R2924" s="122">
        <v>4409</v>
      </c>
      <c r="S2924" s="122">
        <v>1633</v>
      </c>
      <c r="T2924" s="122">
        <v>0</v>
      </c>
      <c r="U2924" s="122">
        <v>0</v>
      </c>
      <c r="V2924" s="122">
        <v>15121</v>
      </c>
      <c r="W2924" s="122">
        <f t="shared" ref="W2924:W2987" si="94">SUM(ABS(J2924),ABS(M2924),ABS(O2924),ABS(Q2924),ABS(S2924),ABS(U2924))</f>
        <v>15121</v>
      </c>
      <c r="X2924" s="122">
        <f t="shared" ref="X2924:X2987" si="95">SUM(ABS(I2924),ABS(N2924),ABS(P2924),ABS(R2924),ABS(T2924),ABS(L2924))</f>
        <v>21151</v>
      </c>
    </row>
    <row r="2925" spans="2:24">
      <c r="B2925" t="s">
        <v>384</v>
      </c>
      <c r="C2925" t="s">
        <v>52</v>
      </c>
      <c r="D2925" t="s">
        <v>407</v>
      </c>
      <c r="E2925" t="s">
        <v>407</v>
      </c>
      <c r="F2925" s="122">
        <v>30</v>
      </c>
      <c r="G2925" s="122">
        <v>5551</v>
      </c>
      <c r="H2925" s="122">
        <v>3512</v>
      </c>
      <c r="I2925" s="122">
        <v>339662</v>
      </c>
      <c r="J2925" s="122">
        <v>308783</v>
      </c>
      <c r="K2925" s="122">
        <v>88</v>
      </c>
      <c r="L2925" s="122">
        <v>59694</v>
      </c>
      <c r="M2925" s="122">
        <v>50834</v>
      </c>
      <c r="N2925" s="122">
        <v>97013</v>
      </c>
      <c r="O2925" s="122">
        <v>35931</v>
      </c>
      <c r="P2925" s="122">
        <v>16943</v>
      </c>
      <c r="Q2925" s="122">
        <v>6275</v>
      </c>
      <c r="R2925" s="122">
        <v>133162</v>
      </c>
      <c r="S2925" s="122">
        <v>121056</v>
      </c>
      <c r="T2925" s="122">
        <v>3126</v>
      </c>
      <c r="U2925" s="122">
        <v>1158</v>
      </c>
      <c r="V2925" s="122">
        <v>524037</v>
      </c>
      <c r="W2925" s="122">
        <f t="shared" si="94"/>
        <v>524037</v>
      </c>
      <c r="X2925" s="122">
        <f t="shared" si="95"/>
        <v>649600</v>
      </c>
    </row>
    <row r="2926" spans="2:24">
      <c r="B2926" t="s">
        <v>384</v>
      </c>
      <c r="C2926" t="s">
        <v>52</v>
      </c>
      <c r="D2926" t="s">
        <v>408</v>
      </c>
      <c r="E2926" t="s">
        <v>408</v>
      </c>
      <c r="F2926" s="122">
        <v>1</v>
      </c>
      <c r="G2926" s="122">
        <v>199</v>
      </c>
      <c r="H2926" s="122">
        <v>118</v>
      </c>
      <c r="I2926" s="122">
        <v>14320</v>
      </c>
      <c r="J2926" s="122">
        <v>13018</v>
      </c>
      <c r="K2926" s="122">
        <v>91</v>
      </c>
      <c r="L2926" s="122">
        <v>2413</v>
      </c>
      <c r="M2926" s="122">
        <v>2194</v>
      </c>
      <c r="N2926" s="122">
        <v>3128</v>
      </c>
      <c r="O2926" s="122">
        <v>1158</v>
      </c>
      <c r="P2926" s="122">
        <v>351</v>
      </c>
      <c r="Q2926" s="122">
        <v>130</v>
      </c>
      <c r="R2926" s="122">
        <v>3229</v>
      </c>
      <c r="S2926" s="122">
        <v>2936</v>
      </c>
      <c r="T2926" s="122">
        <v>0</v>
      </c>
      <c r="U2926" s="122">
        <v>0</v>
      </c>
      <c r="V2926" s="122">
        <v>19436</v>
      </c>
      <c r="W2926" s="122">
        <f t="shared" si="94"/>
        <v>19436</v>
      </c>
      <c r="X2926" s="122">
        <f t="shared" si="95"/>
        <v>23441</v>
      </c>
    </row>
    <row r="2927" spans="2:24">
      <c r="B2927" t="s">
        <v>384</v>
      </c>
      <c r="C2927" t="s">
        <v>54</v>
      </c>
      <c r="D2927" t="s">
        <v>405</v>
      </c>
      <c r="E2927" t="s">
        <v>425</v>
      </c>
      <c r="F2927" s="122">
        <v>1</v>
      </c>
      <c r="G2927" s="122">
        <v>341</v>
      </c>
      <c r="H2927" s="122">
        <v>148</v>
      </c>
      <c r="I2927" s="122">
        <v>35915</v>
      </c>
      <c r="J2927" s="122">
        <v>32650</v>
      </c>
      <c r="K2927" s="122">
        <v>92</v>
      </c>
      <c r="L2927" s="122">
        <v>6146</v>
      </c>
      <c r="M2927" s="122">
        <v>5587</v>
      </c>
      <c r="N2927" s="122">
        <v>6052</v>
      </c>
      <c r="O2927" s="122">
        <v>2241</v>
      </c>
      <c r="P2927" s="122">
        <v>473</v>
      </c>
      <c r="Q2927" s="122">
        <v>175</v>
      </c>
      <c r="R2927" s="122">
        <v>6587</v>
      </c>
      <c r="S2927" s="122">
        <v>5988</v>
      </c>
      <c r="T2927" s="122">
        <v>0</v>
      </c>
      <c r="U2927" s="122">
        <v>0</v>
      </c>
      <c r="V2927" s="122">
        <v>46642</v>
      </c>
      <c r="W2927" s="122">
        <f t="shared" si="94"/>
        <v>46641</v>
      </c>
      <c r="X2927" s="122">
        <f t="shared" si="95"/>
        <v>55173</v>
      </c>
    </row>
    <row r="2928" spans="2:24">
      <c r="B2928" t="s">
        <v>384</v>
      </c>
      <c r="C2928" t="s">
        <v>54</v>
      </c>
      <c r="D2928" t="s">
        <v>405</v>
      </c>
      <c r="E2928" t="s">
        <v>405</v>
      </c>
      <c r="F2928" s="122">
        <v>7</v>
      </c>
      <c r="G2928" s="122">
        <v>1323</v>
      </c>
      <c r="H2928" s="122">
        <v>963</v>
      </c>
      <c r="I2928" s="122">
        <v>136797</v>
      </c>
      <c r="J2928" s="122">
        <v>124361</v>
      </c>
      <c r="K2928" s="122">
        <v>91</v>
      </c>
      <c r="L2928" s="122">
        <v>21729</v>
      </c>
      <c r="M2928" s="122">
        <v>19754</v>
      </c>
      <c r="N2928" s="122">
        <v>31133</v>
      </c>
      <c r="O2928" s="122">
        <v>11531</v>
      </c>
      <c r="P2928" s="122">
        <v>3456</v>
      </c>
      <c r="Q2928" s="122">
        <v>1280</v>
      </c>
      <c r="R2928" s="122">
        <v>37447</v>
      </c>
      <c r="S2928" s="122">
        <v>34043</v>
      </c>
      <c r="T2928" s="122">
        <v>0</v>
      </c>
      <c r="U2928" s="122">
        <v>0</v>
      </c>
      <c r="V2928" s="122">
        <v>190969</v>
      </c>
      <c r="W2928" s="122">
        <f t="shared" si="94"/>
        <v>190969</v>
      </c>
      <c r="X2928" s="122">
        <f t="shared" si="95"/>
        <v>230562</v>
      </c>
    </row>
    <row r="2929" spans="2:24">
      <c r="B2929" t="s">
        <v>384</v>
      </c>
      <c r="C2929" t="s">
        <v>54</v>
      </c>
      <c r="D2929" t="s">
        <v>137</v>
      </c>
      <c r="E2929" t="s">
        <v>137</v>
      </c>
      <c r="F2929" s="122">
        <v>23</v>
      </c>
      <c r="G2929" s="122">
        <v>5988</v>
      </c>
      <c r="H2929" s="122">
        <v>3224</v>
      </c>
      <c r="I2929" s="122">
        <v>439178</v>
      </c>
      <c r="J2929" s="122">
        <v>162659</v>
      </c>
      <c r="K2929" s="122">
        <v>306</v>
      </c>
      <c r="L2929" s="122">
        <v>103354</v>
      </c>
      <c r="M2929" s="122">
        <v>93958</v>
      </c>
      <c r="N2929" s="122">
        <v>116095</v>
      </c>
      <c r="O2929" s="122">
        <v>42998</v>
      </c>
      <c r="P2929" s="122">
        <v>11792</v>
      </c>
      <c r="Q2929" s="122">
        <v>4367</v>
      </c>
      <c r="R2929" s="122">
        <v>188404</v>
      </c>
      <c r="S2929" s="122">
        <v>69779</v>
      </c>
      <c r="T2929" s="122">
        <v>0</v>
      </c>
      <c r="U2929" s="122">
        <v>0</v>
      </c>
      <c r="V2929" s="122">
        <v>373761</v>
      </c>
      <c r="W2929" s="122">
        <f t="shared" si="94"/>
        <v>373761</v>
      </c>
      <c r="X2929" s="122">
        <f t="shared" si="95"/>
        <v>858823</v>
      </c>
    </row>
    <row r="2930" spans="2:24">
      <c r="B2930" t="s">
        <v>384</v>
      </c>
      <c r="C2930" t="s">
        <v>54</v>
      </c>
      <c r="D2930" t="s">
        <v>406</v>
      </c>
      <c r="E2930" t="s">
        <v>406</v>
      </c>
      <c r="F2930" s="122">
        <v>357</v>
      </c>
      <c r="G2930" s="122">
        <v>72398</v>
      </c>
      <c r="H2930" s="122">
        <v>50232</v>
      </c>
      <c r="I2930" s="122">
        <v>5881512</v>
      </c>
      <c r="J2930" s="122">
        <v>5346829</v>
      </c>
      <c r="K2930" s="122">
        <v>90</v>
      </c>
      <c r="L2930" s="122">
        <v>1206188</v>
      </c>
      <c r="M2930" s="122">
        <v>1093556</v>
      </c>
      <c r="N2930" s="122">
        <v>1348494</v>
      </c>
      <c r="O2930" s="122">
        <v>499442</v>
      </c>
      <c r="P2930" s="122">
        <v>238316</v>
      </c>
      <c r="Q2930" s="122">
        <v>88265</v>
      </c>
      <c r="R2930" s="122">
        <v>1892319</v>
      </c>
      <c r="S2930" s="122">
        <v>1720290</v>
      </c>
      <c r="T2930" s="122">
        <v>103854</v>
      </c>
      <c r="U2930" s="122">
        <v>38465</v>
      </c>
      <c r="V2930" s="122">
        <v>8786847</v>
      </c>
      <c r="W2930" s="122">
        <f t="shared" si="94"/>
        <v>8786847</v>
      </c>
      <c r="X2930" s="122">
        <f t="shared" si="95"/>
        <v>10670683</v>
      </c>
    </row>
    <row r="2931" spans="2:24">
      <c r="B2931" t="s">
        <v>384</v>
      </c>
      <c r="C2931" t="s">
        <v>54</v>
      </c>
      <c r="D2931" t="s">
        <v>407</v>
      </c>
      <c r="E2931" t="s">
        <v>407</v>
      </c>
      <c r="F2931" s="122">
        <v>167</v>
      </c>
      <c r="G2931" s="122">
        <v>28490</v>
      </c>
      <c r="H2931" s="122">
        <v>23470</v>
      </c>
      <c r="I2931" s="122">
        <v>2159947</v>
      </c>
      <c r="J2931" s="122">
        <v>1963588</v>
      </c>
      <c r="K2931" s="122">
        <v>88</v>
      </c>
      <c r="L2931" s="122">
        <v>434466</v>
      </c>
      <c r="M2931" s="122">
        <v>1220624</v>
      </c>
      <c r="N2931" s="122">
        <v>544255</v>
      </c>
      <c r="O2931" s="122">
        <v>201576</v>
      </c>
      <c r="P2931" s="122">
        <v>83133</v>
      </c>
      <c r="Q2931" s="122">
        <v>30790</v>
      </c>
      <c r="R2931" s="122">
        <v>853299</v>
      </c>
      <c r="S2931" s="122">
        <v>775727</v>
      </c>
      <c r="T2931" s="122">
        <v>54334</v>
      </c>
      <c r="U2931" s="122">
        <v>20124</v>
      </c>
      <c r="V2931" s="122">
        <v>4212429</v>
      </c>
      <c r="W2931" s="122">
        <f t="shared" si="94"/>
        <v>4212429</v>
      </c>
      <c r="X2931" s="122">
        <f t="shared" si="95"/>
        <v>4129434</v>
      </c>
    </row>
    <row r="2932" spans="2:24">
      <c r="B2932" t="s">
        <v>384</v>
      </c>
      <c r="C2932" t="s">
        <v>54</v>
      </c>
      <c r="D2932" t="s">
        <v>433</v>
      </c>
      <c r="E2932" t="s">
        <v>433</v>
      </c>
      <c r="F2932" s="122">
        <v>1</v>
      </c>
      <c r="G2932" s="122">
        <v>171</v>
      </c>
      <c r="H2932" s="122">
        <v>130</v>
      </c>
      <c r="I2932" s="122">
        <v>18364</v>
      </c>
      <c r="J2932" s="122">
        <v>16694</v>
      </c>
      <c r="K2932" s="122">
        <v>55</v>
      </c>
      <c r="L2932" s="122">
        <v>1870</v>
      </c>
      <c r="M2932" s="122">
        <v>1700</v>
      </c>
      <c r="N2932" s="122">
        <v>2376</v>
      </c>
      <c r="O2932" s="122">
        <v>880</v>
      </c>
      <c r="P2932" s="122">
        <v>351</v>
      </c>
      <c r="Q2932" s="122">
        <v>130</v>
      </c>
      <c r="R2932" s="122">
        <v>-646</v>
      </c>
      <c r="S2932" s="122">
        <v>-587</v>
      </c>
      <c r="T2932" s="122">
        <v>0</v>
      </c>
      <c r="U2932" s="122">
        <v>0</v>
      </c>
      <c r="V2932" s="122">
        <v>18817</v>
      </c>
      <c r="W2932" s="122">
        <f t="shared" si="94"/>
        <v>19991</v>
      </c>
      <c r="X2932" s="122">
        <f t="shared" si="95"/>
        <v>23607</v>
      </c>
    </row>
    <row r="2933" spans="2:24">
      <c r="B2933" t="s">
        <v>384</v>
      </c>
      <c r="C2933" t="s">
        <v>54</v>
      </c>
      <c r="D2933" t="s">
        <v>408</v>
      </c>
      <c r="E2933" t="s">
        <v>408</v>
      </c>
      <c r="F2933" s="122">
        <v>2</v>
      </c>
      <c r="G2933" s="122">
        <v>553</v>
      </c>
      <c r="H2933" s="122">
        <v>273</v>
      </c>
      <c r="I2933" s="122">
        <v>51516</v>
      </c>
      <c r="J2933" s="122">
        <v>46832</v>
      </c>
      <c r="K2933" s="122">
        <v>79</v>
      </c>
      <c r="L2933" s="122">
        <v>6601</v>
      </c>
      <c r="M2933" s="122">
        <v>6001</v>
      </c>
      <c r="N2933" s="122">
        <v>10236</v>
      </c>
      <c r="O2933" s="122">
        <v>3791</v>
      </c>
      <c r="P2933" s="122">
        <v>4781</v>
      </c>
      <c r="Q2933" s="122">
        <v>1771</v>
      </c>
      <c r="R2933" s="122">
        <v>14419</v>
      </c>
      <c r="S2933" s="122">
        <v>13108</v>
      </c>
      <c r="T2933" s="122">
        <v>0</v>
      </c>
      <c r="U2933" s="122">
        <v>0</v>
      </c>
      <c r="V2933" s="122">
        <v>71503</v>
      </c>
      <c r="W2933" s="122">
        <f t="shared" si="94"/>
        <v>71503</v>
      </c>
      <c r="X2933" s="122">
        <f t="shared" si="95"/>
        <v>87553</v>
      </c>
    </row>
    <row r="2934" spans="2:24">
      <c r="B2934" t="s">
        <v>384</v>
      </c>
      <c r="C2934" t="s">
        <v>56</v>
      </c>
      <c r="D2934" t="s">
        <v>555</v>
      </c>
      <c r="E2934" t="s">
        <v>555</v>
      </c>
      <c r="F2934" s="122">
        <v>1</v>
      </c>
      <c r="G2934" s="122">
        <v>160</v>
      </c>
      <c r="H2934" s="122">
        <v>221</v>
      </c>
      <c r="I2934" s="122">
        <v>21443</v>
      </c>
      <c r="J2934" s="122">
        <v>19493</v>
      </c>
      <c r="K2934" s="122">
        <v>86</v>
      </c>
      <c r="L2934" s="122">
        <v>2586</v>
      </c>
      <c r="M2934" s="122">
        <v>2351</v>
      </c>
      <c r="N2934" s="122">
        <v>3899</v>
      </c>
      <c r="O2934" s="122">
        <v>1444</v>
      </c>
      <c r="P2934" s="122">
        <v>621</v>
      </c>
      <c r="Q2934" s="122">
        <v>230</v>
      </c>
      <c r="R2934" s="122">
        <v>3449</v>
      </c>
      <c r="S2934" s="122">
        <v>3135</v>
      </c>
      <c r="T2934" s="122">
        <v>3395</v>
      </c>
      <c r="U2934" s="122">
        <v>1257</v>
      </c>
      <c r="V2934" s="122">
        <v>27910</v>
      </c>
      <c r="W2934" s="122">
        <f t="shared" si="94"/>
        <v>27910</v>
      </c>
      <c r="X2934" s="122">
        <f t="shared" si="95"/>
        <v>35393</v>
      </c>
    </row>
    <row r="2935" spans="2:24">
      <c r="B2935" t="s">
        <v>384</v>
      </c>
      <c r="C2935" t="s">
        <v>56</v>
      </c>
      <c r="D2935" t="s">
        <v>425</v>
      </c>
      <c r="E2935" t="s">
        <v>425</v>
      </c>
      <c r="F2935" s="122">
        <v>4</v>
      </c>
      <c r="G2935" s="122">
        <v>714</v>
      </c>
      <c r="H2935" s="122">
        <v>768</v>
      </c>
      <c r="I2935" s="122">
        <v>77071</v>
      </c>
      <c r="J2935" s="122">
        <v>70065</v>
      </c>
      <c r="K2935" s="122">
        <v>85</v>
      </c>
      <c r="L2935" s="122">
        <v>21842</v>
      </c>
      <c r="M2935" s="122">
        <v>19857</v>
      </c>
      <c r="N2935" s="122">
        <v>11820</v>
      </c>
      <c r="O2935" s="122">
        <v>4378</v>
      </c>
      <c r="P2935" s="122">
        <v>1890</v>
      </c>
      <c r="Q2935" s="122">
        <v>700</v>
      </c>
      <c r="R2935" s="122">
        <v>25399</v>
      </c>
      <c r="S2935" s="122">
        <v>23090</v>
      </c>
      <c r="T2935" s="122">
        <v>0</v>
      </c>
      <c r="U2935" s="122">
        <v>0</v>
      </c>
      <c r="V2935" s="122">
        <v>118089</v>
      </c>
      <c r="W2935" s="122">
        <f t="shared" si="94"/>
        <v>118090</v>
      </c>
      <c r="X2935" s="122">
        <f t="shared" si="95"/>
        <v>138022</v>
      </c>
    </row>
    <row r="2936" spans="2:24">
      <c r="B2936" t="s">
        <v>384</v>
      </c>
      <c r="C2936" t="s">
        <v>56</v>
      </c>
      <c r="D2936" t="s">
        <v>425</v>
      </c>
      <c r="E2936" t="s">
        <v>405</v>
      </c>
      <c r="F2936" s="122">
        <v>1</v>
      </c>
      <c r="G2936" s="122">
        <v>194</v>
      </c>
      <c r="H2936" s="122">
        <v>158</v>
      </c>
      <c r="I2936" s="122">
        <v>19441</v>
      </c>
      <c r="J2936" s="122">
        <v>17674</v>
      </c>
      <c r="K2936" s="122">
        <v>92</v>
      </c>
      <c r="L2936" s="122">
        <v>3309</v>
      </c>
      <c r="M2936" s="122">
        <v>3008</v>
      </c>
      <c r="N2936" s="122">
        <v>2359</v>
      </c>
      <c r="O2936" s="122">
        <v>874</v>
      </c>
      <c r="P2936" s="122">
        <v>473</v>
      </c>
      <c r="Q2936" s="122">
        <v>175</v>
      </c>
      <c r="R2936" s="122">
        <v>4964</v>
      </c>
      <c r="S2936" s="122">
        <v>4513</v>
      </c>
      <c r="T2936" s="122">
        <v>0</v>
      </c>
      <c r="U2936" s="122">
        <v>0</v>
      </c>
      <c r="V2936" s="122">
        <v>26243</v>
      </c>
      <c r="W2936" s="122">
        <f t="shared" si="94"/>
        <v>26244</v>
      </c>
      <c r="X2936" s="122">
        <f t="shared" si="95"/>
        <v>30546</v>
      </c>
    </row>
    <row r="2937" spans="2:24">
      <c r="B2937" t="s">
        <v>384</v>
      </c>
      <c r="C2937" t="s">
        <v>56</v>
      </c>
      <c r="D2937" t="s">
        <v>405</v>
      </c>
      <c r="E2937" t="s">
        <v>405</v>
      </c>
      <c r="F2937" s="122">
        <v>100</v>
      </c>
      <c r="G2937" s="122">
        <v>15974</v>
      </c>
      <c r="H2937" s="122">
        <v>18727</v>
      </c>
      <c r="I2937" s="122">
        <v>1812397</v>
      </c>
      <c r="J2937" s="122">
        <v>1647634</v>
      </c>
      <c r="K2937" s="122">
        <v>86</v>
      </c>
      <c r="L2937" s="122">
        <v>343457</v>
      </c>
      <c r="M2937" s="122">
        <v>305930</v>
      </c>
      <c r="N2937" s="122">
        <v>312674</v>
      </c>
      <c r="O2937" s="122">
        <v>115805</v>
      </c>
      <c r="P2937" s="122">
        <v>48033</v>
      </c>
      <c r="Q2937" s="122">
        <v>17790</v>
      </c>
      <c r="R2937" s="122">
        <v>495522</v>
      </c>
      <c r="S2937" s="122">
        <v>450474</v>
      </c>
      <c r="T2937" s="122">
        <v>62423</v>
      </c>
      <c r="U2937" s="122">
        <v>23120</v>
      </c>
      <c r="V2937" s="122">
        <v>2560753</v>
      </c>
      <c r="W2937" s="122">
        <f t="shared" si="94"/>
        <v>2560753</v>
      </c>
      <c r="X2937" s="122">
        <f t="shared" si="95"/>
        <v>3074506</v>
      </c>
    </row>
    <row r="2938" spans="2:24">
      <c r="B2938" t="s">
        <v>384</v>
      </c>
      <c r="C2938" t="s">
        <v>56</v>
      </c>
      <c r="D2938" t="s">
        <v>137</v>
      </c>
      <c r="E2938" t="s">
        <v>137</v>
      </c>
      <c r="F2938" s="122">
        <v>17</v>
      </c>
      <c r="G2938" s="122">
        <v>2821</v>
      </c>
      <c r="H2938" s="122">
        <v>3020</v>
      </c>
      <c r="I2938" s="122">
        <v>302715</v>
      </c>
      <c r="J2938" s="122">
        <v>112117</v>
      </c>
      <c r="K2938" s="122">
        <v>217</v>
      </c>
      <c r="L2938" s="122">
        <v>38245</v>
      </c>
      <c r="M2938" s="122">
        <v>34609</v>
      </c>
      <c r="N2938" s="122">
        <v>45484</v>
      </c>
      <c r="O2938" s="122">
        <v>16846</v>
      </c>
      <c r="P2938" s="122">
        <v>4752</v>
      </c>
      <c r="Q2938" s="122">
        <v>1760</v>
      </c>
      <c r="R2938" s="122">
        <v>101927</v>
      </c>
      <c r="S2938" s="122">
        <v>37751</v>
      </c>
      <c r="T2938" s="122">
        <v>0</v>
      </c>
      <c r="U2938" s="122">
        <v>0</v>
      </c>
      <c r="V2938" s="122">
        <v>203082</v>
      </c>
      <c r="W2938" s="122">
        <f t="shared" si="94"/>
        <v>203083</v>
      </c>
      <c r="X2938" s="122">
        <f t="shared" si="95"/>
        <v>493123</v>
      </c>
    </row>
    <row r="2939" spans="2:24">
      <c r="B2939" t="s">
        <v>384</v>
      </c>
      <c r="C2939" t="s">
        <v>56</v>
      </c>
      <c r="D2939" t="s">
        <v>406</v>
      </c>
      <c r="E2939" t="s">
        <v>425</v>
      </c>
      <c r="F2939" s="122">
        <v>2</v>
      </c>
      <c r="G2939" s="122">
        <v>373</v>
      </c>
      <c r="H2939" s="122">
        <v>354</v>
      </c>
      <c r="I2939" s="122">
        <v>40649</v>
      </c>
      <c r="J2939" s="122">
        <v>36954</v>
      </c>
      <c r="K2939" s="122">
        <v>92</v>
      </c>
      <c r="L2939" s="122">
        <v>6744</v>
      </c>
      <c r="M2939" s="122">
        <v>6131</v>
      </c>
      <c r="N2939" s="122">
        <v>4546</v>
      </c>
      <c r="O2939" s="122">
        <v>1684</v>
      </c>
      <c r="P2939" s="122">
        <v>1242</v>
      </c>
      <c r="Q2939" s="122">
        <v>460</v>
      </c>
      <c r="R2939" s="122">
        <v>8904</v>
      </c>
      <c r="S2939" s="122">
        <v>8095</v>
      </c>
      <c r="T2939" s="122">
        <v>2944</v>
      </c>
      <c r="U2939" s="122">
        <v>1090</v>
      </c>
      <c r="V2939" s="122">
        <v>54413</v>
      </c>
      <c r="W2939" s="122">
        <f t="shared" si="94"/>
        <v>54414</v>
      </c>
      <c r="X2939" s="122">
        <f t="shared" si="95"/>
        <v>65029</v>
      </c>
    </row>
    <row r="2940" spans="2:24">
      <c r="B2940" t="s">
        <v>384</v>
      </c>
      <c r="C2940" t="s">
        <v>56</v>
      </c>
      <c r="D2940" t="s">
        <v>406</v>
      </c>
      <c r="E2940" t="s">
        <v>137</v>
      </c>
      <c r="F2940" s="122">
        <v>9</v>
      </c>
      <c r="G2940" s="122">
        <v>1873</v>
      </c>
      <c r="H2940" s="122">
        <v>1801</v>
      </c>
      <c r="I2940" s="122">
        <v>195512</v>
      </c>
      <c r="J2940" s="122">
        <v>177738</v>
      </c>
      <c r="K2940" s="122">
        <v>84</v>
      </c>
      <c r="L2940" s="122">
        <v>49628</v>
      </c>
      <c r="M2940" s="122">
        <v>40301</v>
      </c>
      <c r="N2940" s="122">
        <v>39300</v>
      </c>
      <c r="O2940" s="122">
        <v>14556</v>
      </c>
      <c r="P2940" s="122">
        <v>5589</v>
      </c>
      <c r="Q2940" s="122">
        <v>2070</v>
      </c>
      <c r="R2940" s="122">
        <v>81082</v>
      </c>
      <c r="S2940" s="122">
        <v>30030</v>
      </c>
      <c r="T2940" s="122">
        <v>3772</v>
      </c>
      <c r="U2940" s="122">
        <v>1397</v>
      </c>
      <c r="V2940" s="122">
        <v>266093</v>
      </c>
      <c r="W2940" s="122">
        <f t="shared" si="94"/>
        <v>266092</v>
      </c>
      <c r="X2940" s="122">
        <f t="shared" si="95"/>
        <v>374883</v>
      </c>
    </row>
    <row r="2941" spans="2:24">
      <c r="B2941" t="s">
        <v>384</v>
      </c>
      <c r="C2941" t="s">
        <v>56</v>
      </c>
      <c r="D2941" t="s">
        <v>406</v>
      </c>
      <c r="E2941" t="s">
        <v>406</v>
      </c>
      <c r="F2941" s="122">
        <v>1873</v>
      </c>
      <c r="G2941" s="122">
        <v>314482</v>
      </c>
      <c r="H2941" s="122">
        <v>357596</v>
      </c>
      <c r="I2941" s="122">
        <v>34801275</v>
      </c>
      <c r="J2941" s="122">
        <v>31637522</v>
      </c>
      <c r="K2941" s="122">
        <v>86</v>
      </c>
      <c r="L2941" s="122">
        <v>7470515</v>
      </c>
      <c r="M2941" s="122">
        <v>6651928</v>
      </c>
      <c r="N2941" s="122">
        <v>6317643</v>
      </c>
      <c r="O2941" s="122">
        <v>2339868</v>
      </c>
      <c r="P2941" s="122">
        <v>1219179</v>
      </c>
      <c r="Q2941" s="122">
        <v>451548</v>
      </c>
      <c r="R2941" s="122">
        <v>10027478</v>
      </c>
      <c r="S2941" s="122">
        <v>9115889</v>
      </c>
      <c r="T2941" s="122">
        <v>1998530</v>
      </c>
      <c r="U2941" s="122">
        <v>740196</v>
      </c>
      <c r="V2941" s="122">
        <v>50936951</v>
      </c>
      <c r="W2941" s="122">
        <f t="shared" si="94"/>
        <v>50936951</v>
      </c>
      <c r="X2941" s="122">
        <f t="shared" si="95"/>
        <v>61834620</v>
      </c>
    </row>
    <row r="2942" spans="2:24">
      <c r="B2942" t="s">
        <v>384</v>
      </c>
      <c r="C2942" t="s">
        <v>56</v>
      </c>
      <c r="D2942" t="s">
        <v>406</v>
      </c>
      <c r="E2942" t="s">
        <v>407</v>
      </c>
      <c r="F2942" s="122">
        <v>1</v>
      </c>
      <c r="G2942" s="122">
        <v>212</v>
      </c>
      <c r="H2942" s="122">
        <v>164</v>
      </c>
      <c r="I2942" s="122">
        <v>20708</v>
      </c>
      <c r="J2942" s="122">
        <v>18826</v>
      </c>
      <c r="K2942" s="122">
        <v>86</v>
      </c>
      <c r="L2942" s="122">
        <v>2881</v>
      </c>
      <c r="M2942" s="122">
        <v>2619</v>
      </c>
      <c r="N2942" s="122">
        <v>3124</v>
      </c>
      <c r="O2942" s="122">
        <v>1157</v>
      </c>
      <c r="P2942" s="122">
        <v>621</v>
      </c>
      <c r="Q2942" s="122">
        <v>230</v>
      </c>
      <c r="R2942" s="122">
        <v>7356</v>
      </c>
      <c r="S2942" s="122">
        <v>6687</v>
      </c>
      <c r="T2942" s="122">
        <v>0</v>
      </c>
      <c r="U2942" s="122">
        <v>0</v>
      </c>
      <c r="V2942" s="122">
        <v>29519</v>
      </c>
      <c r="W2942" s="122">
        <f t="shared" si="94"/>
        <v>29519</v>
      </c>
      <c r="X2942" s="122">
        <f t="shared" si="95"/>
        <v>34690</v>
      </c>
    </row>
    <row r="2943" spans="2:24">
      <c r="B2943" t="s">
        <v>384</v>
      </c>
      <c r="C2943" t="s">
        <v>56</v>
      </c>
      <c r="D2943" t="s">
        <v>406</v>
      </c>
      <c r="E2943" t="s">
        <v>426</v>
      </c>
      <c r="F2943" s="122">
        <v>1</v>
      </c>
      <c r="G2943" s="122">
        <v>388</v>
      </c>
      <c r="H2943" s="122">
        <v>224</v>
      </c>
      <c r="I2943" s="122">
        <v>52602</v>
      </c>
      <c r="J2943" s="122">
        <v>47820</v>
      </c>
      <c r="K2943" s="122">
        <v>65</v>
      </c>
      <c r="L2943" s="122">
        <v>9030</v>
      </c>
      <c r="M2943" s="122">
        <v>8209</v>
      </c>
      <c r="N2943" s="122">
        <v>7557</v>
      </c>
      <c r="O2943" s="122">
        <v>2799</v>
      </c>
      <c r="P2943" s="122">
        <v>621</v>
      </c>
      <c r="Q2943" s="122">
        <v>230</v>
      </c>
      <c r="R2943" s="122">
        <v>10375</v>
      </c>
      <c r="S2943" s="122">
        <v>9432</v>
      </c>
      <c r="T2943" s="122">
        <v>6658</v>
      </c>
      <c r="U2943" s="122">
        <v>2466</v>
      </c>
      <c r="V2943" s="122">
        <v>70956</v>
      </c>
      <c r="W2943" s="122">
        <f t="shared" si="94"/>
        <v>70956</v>
      </c>
      <c r="X2943" s="122">
        <f t="shared" si="95"/>
        <v>86843</v>
      </c>
    </row>
    <row r="2944" spans="2:24">
      <c r="B2944" t="s">
        <v>384</v>
      </c>
      <c r="C2944" t="s">
        <v>56</v>
      </c>
      <c r="D2944" t="s">
        <v>427</v>
      </c>
      <c r="E2944" t="s">
        <v>427</v>
      </c>
      <c r="F2944" s="122">
        <v>3</v>
      </c>
      <c r="G2944" s="122">
        <v>500</v>
      </c>
      <c r="H2944" s="122">
        <v>563</v>
      </c>
      <c r="I2944" s="122">
        <v>60230</v>
      </c>
      <c r="J2944" s="122">
        <v>54755</v>
      </c>
      <c r="K2944" s="122">
        <v>67</v>
      </c>
      <c r="L2944" s="122">
        <v>8491</v>
      </c>
      <c r="M2944" s="122">
        <v>5444</v>
      </c>
      <c r="N2944" s="122">
        <v>8413</v>
      </c>
      <c r="O2944" s="122">
        <v>3116</v>
      </c>
      <c r="P2944" s="122">
        <v>1445</v>
      </c>
      <c r="Q2944" s="122">
        <v>535</v>
      </c>
      <c r="R2944" s="122">
        <v>8540</v>
      </c>
      <c r="S2944" s="122">
        <v>7763</v>
      </c>
      <c r="T2944" s="122">
        <v>2238</v>
      </c>
      <c r="U2944" s="122">
        <v>829</v>
      </c>
      <c r="V2944" s="122">
        <v>72442</v>
      </c>
      <c r="W2944" s="122">
        <f t="shared" si="94"/>
        <v>72442</v>
      </c>
      <c r="X2944" s="122">
        <f t="shared" si="95"/>
        <v>89357</v>
      </c>
    </row>
    <row r="2945" spans="2:24">
      <c r="B2945" t="s">
        <v>384</v>
      </c>
      <c r="C2945" t="s">
        <v>56</v>
      </c>
      <c r="D2945" t="s">
        <v>407</v>
      </c>
      <c r="E2945" t="s">
        <v>405</v>
      </c>
      <c r="F2945" s="122">
        <v>1</v>
      </c>
      <c r="G2945" s="122">
        <v>183</v>
      </c>
      <c r="H2945" s="122">
        <v>183</v>
      </c>
      <c r="I2945" s="122">
        <v>18568</v>
      </c>
      <c r="J2945" s="122">
        <v>16880</v>
      </c>
      <c r="K2945" s="122">
        <v>90</v>
      </c>
      <c r="L2945" s="122">
        <v>6774</v>
      </c>
      <c r="M2945" s="122">
        <v>5645</v>
      </c>
      <c r="N2945" s="122">
        <v>3034</v>
      </c>
      <c r="O2945" s="122">
        <v>1124</v>
      </c>
      <c r="P2945" s="122">
        <v>473</v>
      </c>
      <c r="Q2945" s="122">
        <v>175</v>
      </c>
      <c r="R2945" s="122">
        <v>4732</v>
      </c>
      <c r="S2945" s="122">
        <v>4302</v>
      </c>
      <c r="T2945" s="122">
        <v>0</v>
      </c>
      <c r="U2945" s="122">
        <v>0</v>
      </c>
      <c r="V2945" s="122">
        <v>28126</v>
      </c>
      <c r="W2945" s="122">
        <f t="shared" si="94"/>
        <v>28126</v>
      </c>
      <c r="X2945" s="122">
        <f t="shared" si="95"/>
        <v>33581</v>
      </c>
    </row>
    <row r="2946" spans="2:24">
      <c r="B2946" t="s">
        <v>384</v>
      </c>
      <c r="C2946" t="s">
        <v>56</v>
      </c>
      <c r="D2946" t="s">
        <v>407</v>
      </c>
      <c r="E2946" t="s">
        <v>137</v>
      </c>
      <c r="F2946" s="122">
        <v>3</v>
      </c>
      <c r="G2946" s="122">
        <v>739</v>
      </c>
      <c r="H2946" s="122">
        <v>595</v>
      </c>
      <c r="I2946" s="122">
        <v>77382</v>
      </c>
      <c r="J2946" s="122">
        <v>70347</v>
      </c>
      <c r="K2946" s="122">
        <v>87</v>
      </c>
      <c r="L2946" s="122">
        <v>23991</v>
      </c>
      <c r="M2946" s="122">
        <v>20639</v>
      </c>
      <c r="N2946" s="122">
        <v>16810</v>
      </c>
      <c r="O2946" s="122">
        <v>6226</v>
      </c>
      <c r="P2946" s="122">
        <v>3705</v>
      </c>
      <c r="Q2946" s="122">
        <v>1372</v>
      </c>
      <c r="R2946" s="122">
        <v>24441</v>
      </c>
      <c r="S2946" s="122">
        <v>9052</v>
      </c>
      <c r="T2946" s="122">
        <v>0</v>
      </c>
      <c r="U2946" s="122">
        <v>0</v>
      </c>
      <c r="V2946" s="122">
        <v>107637</v>
      </c>
      <c r="W2946" s="122">
        <f t="shared" si="94"/>
        <v>107636</v>
      </c>
      <c r="X2946" s="122">
        <f t="shared" si="95"/>
        <v>146329</v>
      </c>
    </row>
    <row r="2947" spans="2:24">
      <c r="B2947" t="s">
        <v>384</v>
      </c>
      <c r="C2947" t="s">
        <v>56</v>
      </c>
      <c r="D2947" t="s">
        <v>407</v>
      </c>
      <c r="E2947" t="s">
        <v>407</v>
      </c>
      <c r="F2947" s="122">
        <v>752</v>
      </c>
      <c r="G2947" s="122">
        <v>112967</v>
      </c>
      <c r="H2947" s="122">
        <v>141116</v>
      </c>
      <c r="I2947" s="122">
        <v>11475498</v>
      </c>
      <c r="J2947" s="122">
        <v>10432271</v>
      </c>
      <c r="K2947" s="122">
        <v>83</v>
      </c>
      <c r="L2947" s="122">
        <v>2603657</v>
      </c>
      <c r="M2947" s="122">
        <v>2296857</v>
      </c>
      <c r="N2947" s="122">
        <v>2224094</v>
      </c>
      <c r="O2947" s="122">
        <v>823738</v>
      </c>
      <c r="P2947" s="122">
        <v>365109</v>
      </c>
      <c r="Q2947" s="122">
        <v>135225</v>
      </c>
      <c r="R2947" s="122">
        <v>3920577</v>
      </c>
      <c r="S2947" s="122">
        <v>3564161</v>
      </c>
      <c r="T2947" s="122">
        <v>637371</v>
      </c>
      <c r="U2947" s="122">
        <v>236063</v>
      </c>
      <c r="V2947" s="122">
        <v>17488316</v>
      </c>
      <c r="W2947" s="122">
        <f t="shared" si="94"/>
        <v>17488315</v>
      </c>
      <c r="X2947" s="122">
        <f t="shared" si="95"/>
        <v>21226306</v>
      </c>
    </row>
    <row r="2948" spans="2:24">
      <c r="B2948" t="s">
        <v>384</v>
      </c>
      <c r="C2948" t="s">
        <v>56</v>
      </c>
      <c r="D2948" t="s">
        <v>426</v>
      </c>
      <c r="E2948" t="s">
        <v>137</v>
      </c>
      <c r="F2948" s="122">
        <v>1</v>
      </c>
      <c r="G2948" s="122">
        <v>155</v>
      </c>
      <c r="H2948" s="122">
        <v>193</v>
      </c>
      <c r="I2948" s="122">
        <v>16759</v>
      </c>
      <c r="J2948" s="122">
        <v>15235</v>
      </c>
      <c r="K2948" s="122">
        <v>60</v>
      </c>
      <c r="L2948" s="122">
        <v>2742</v>
      </c>
      <c r="M2948" s="122">
        <v>1016</v>
      </c>
      <c r="N2948" s="122">
        <v>2438</v>
      </c>
      <c r="O2948" s="122">
        <v>903</v>
      </c>
      <c r="P2948" s="122">
        <v>0</v>
      </c>
      <c r="Q2948" s="122">
        <v>0</v>
      </c>
      <c r="R2948" s="122">
        <v>7970</v>
      </c>
      <c r="S2948" s="122">
        <v>2952</v>
      </c>
      <c r="T2948" s="122">
        <v>0</v>
      </c>
      <c r="U2948" s="122">
        <v>0</v>
      </c>
      <c r="V2948" s="122">
        <v>20106</v>
      </c>
      <c r="W2948" s="122">
        <f t="shared" si="94"/>
        <v>20106</v>
      </c>
      <c r="X2948" s="122">
        <f t="shared" si="95"/>
        <v>29909</v>
      </c>
    </row>
    <row r="2949" spans="2:24">
      <c r="B2949" t="s">
        <v>384</v>
      </c>
      <c r="C2949" t="s">
        <v>56</v>
      </c>
      <c r="D2949" t="s">
        <v>426</v>
      </c>
      <c r="E2949" t="s">
        <v>426</v>
      </c>
      <c r="F2949" s="122">
        <v>1</v>
      </c>
      <c r="G2949" s="122">
        <v>165</v>
      </c>
      <c r="H2949" s="122">
        <v>189</v>
      </c>
      <c r="I2949" s="122">
        <v>18755</v>
      </c>
      <c r="J2949" s="122">
        <v>17050</v>
      </c>
      <c r="K2949" s="122">
        <v>65</v>
      </c>
      <c r="L2949" s="122">
        <v>2084</v>
      </c>
      <c r="M2949" s="122">
        <v>1894</v>
      </c>
      <c r="N2949" s="122">
        <v>4012</v>
      </c>
      <c r="O2949" s="122">
        <v>1486</v>
      </c>
      <c r="P2949" s="122">
        <v>351</v>
      </c>
      <c r="Q2949" s="122">
        <v>130</v>
      </c>
      <c r="R2949" s="122">
        <v>5846</v>
      </c>
      <c r="S2949" s="122">
        <v>5315</v>
      </c>
      <c r="T2949" s="122">
        <v>0</v>
      </c>
      <c r="U2949" s="122">
        <v>0</v>
      </c>
      <c r="V2949" s="122">
        <v>25875</v>
      </c>
      <c r="W2949" s="122">
        <f t="shared" si="94"/>
        <v>25875</v>
      </c>
      <c r="X2949" s="122">
        <f t="shared" si="95"/>
        <v>31048</v>
      </c>
    </row>
    <row r="2950" spans="2:24">
      <c r="B2950" t="s">
        <v>384</v>
      </c>
      <c r="C2950" t="s">
        <v>56</v>
      </c>
      <c r="D2950" t="s">
        <v>481</v>
      </c>
      <c r="E2950" t="s">
        <v>481</v>
      </c>
      <c r="F2950" s="122">
        <v>1</v>
      </c>
      <c r="G2950" s="122">
        <v>169</v>
      </c>
      <c r="H2950" s="122">
        <v>210</v>
      </c>
      <c r="I2950" s="122">
        <v>22164</v>
      </c>
      <c r="J2950" s="122">
        <v>20149</v>
      </c>
      <c r="K2950" s="122">
        <v>91</v>
      </c>
      <c r="L2950" s="122">
        <v>3751</v>
      </c>
      <c r="M2950" s="122">
        <v>3410</v>
      </c>
      <c r="N2950" s="122">
        <v>3810</v>
      </c>
      <c r="O2950" s="122">
        <v>1411</v>
      </c>
      <c r="P2950" s="122">
        <v>621</v>
      </c>
      <c r="Q2950" s="122">
        <v>230</v>
      </c>
      <c r="R2950" s="122">
        <v>5086</v>
      </c>
      <c r="S2950" s="122">
        <v>4623</v>
      </c>
      <c r="T2950" s="122">
        <v>0</v>
      </c>
      <c r="U2950" s="122">
        <v>0</v>
      </c>
      <c r="V2950" s="122">
        <v>29823</v>
      </c>
      <c r="W2950" s="122">
        <f t="shared" si="94"/>
        <v>29823</v>
      </c>
      <c r="X2950" s="122">
        <f t="shared" si="95"/>
        <v>35432</v>
      </c>
    </row>
    <row r="2951" spans="2:24">
      <c r="B2951" t="s">
        <v>384</v>
      </c>
      <c r="C2951" t="s">
        <v>56</v>
      </c>
      <c r="D2951" t="s">
        <v>433</v>
      </c>
      <c r="E2951" t="s">
        <v>433</v>
      </c>
      <c r="F2951" s="122">
        <v>1</v>
      </c>
      <c r="G2951" s="122">
        <v>184</v>
      </c>
      <c r="H2951" s="122">
        <v>190</v>
      </c>
      <c r="I2951" s="122">
        <v>21273</v>
      </c>
      <c r="J2951" s="122">
        <v>19339</v>
      </c>
      <c r="K2951" s="122">
        <v>55</v>
      </c>
      <c r="L2951" s="122">
        <v>1693</v>
      </c>
      <c r="M2951" s="122">
        <v>1539</v>
      </c>
      <c r="N2951" s="122">
        <v>2918</v>
      </c>
      <c r="O2951" s="122">
        <v>1081</v>
      </c>
      <c r="P2951" s="122">
        <v>351</v>
      </c>
      <c r="Q2951" s="122">
        <v>130</v>
      </c>
      <c r="R2951" s="122">
        <v>8794</v>
      </c>
      <c r="S2951" s="122">
        <v>7994</v>
      </c>
      <c r="T2951" s="122">
        <v>0</v>
      </c>
      <c r="U2951" s="122">
        <v>0</v>
      </c>
      <c r="V2951" s="122">
        <v>30083</v>
      </c>
      <c r="W2951" s="122">
        <f t="shared" si="94"/>
        <v>30083</v>
      </c>
      <c r="X2951" s="122">
        <f t="shared" si="95"/>
        <v>35029</v>
      </c>
    </row>
    <row r="2952" spans="2:24">
      <c r="B2952" t="s">
        <v>384</v>
      </c>
      <c r="C2952" t="s">
        <v>56</v>
      </c>
      <c r="D2952" t="s">
        <v>408</v>
      </c>
      <c r="E2952" t="s">
        <v>408</v>
      </c>
      <c r="F2952" s="122">
        <v>11</v>
      </c>
      <c r="G2952" s="122">
        <v>2613</v>
      </c>
      <c r="H2952" s="122">
        <v>1950</v>
      </c>
      <c r="I2952" s="122">
        <v>338018</v>
      </c>
      <c r="J2952" s="122">
        <v>307289</v>
      </c>
      <c r="K2952" s="122">
        <v>80</v>
      </c>
      <c r="L2952" s="122">
        <v>47834</v>
      </c>
      <c r="M2952" s="122">
        <v>43485</v>
      </c>
      <c r="N2952" s="122">
        <v>50205</v>
      </c>
      <c r="O2952" s="122">
        <v>18594</v>
      </c>
      <c r="P2952" s="122">
        <v>5306</v>
      </c>
      <c r="Q2952" s="122">
        <v>1965</v>
      </c>
      <c r="R2952" s="122">
        <v>52981</v>
      </c>
      <c r="S2952" s="122">
        <v>48164</v>
      </c>
      <c r="T2952" s="122">
        <v>3523</v>
      </c>
      <c r="U2952" s="122">
        <v>1305</v>
      </c>
      <c r="V2952" s="122">
        <v>420803</v>
      </c>
      <c r="W2952" s="122">
        <f t="shared" si="94"/>
        <v>420802</v>
      </c>
      <c r="X2952" s="122">
        <f t="shared" si="95"/>
        <v>497867</v>
      </c>
    </row>
    <row r="2953" spans="2:24">
      <c r="B2953" t="s">
        <v>384</v>
      </c>
      <c r="C2953" t="s">
        <v>56</v>
      </c>
      <c r="D2953" t="s">
        <v>429</v>
      </c>
      <c r="E2953" t="s">
        <v>429</v>
      </c>
      <c r="F2953" s="122">
        <v>2</v>
      </c>
      <c r="G2953" s="122">
        <v>368</v>
      </c>
      <c r="H2953" s="122">
        <v>410</v>
      </c>
      <c r="I2953" s="122">
        <v>44104</v>
      </c>
      <c r="J2953" s="122">
        <v>40095</v>
      </c>
      <c r="K2953" s="122">
        <v>77</v>
      </c>
      <c r="L2953" s="122">
        <v>7544</v>
      </c>
      <c r="M2953" s="122">
        <v>6858</v>
      </c>
      <c r="N2953" s="122">
        <v>7499</v>
      </c>
      <c r="O2953" s="122">
        <v>2777</v>
      </c>
      <c r="P2953" s="122">
        <v>702</v>
      </c>
      <c r="Q2953" s="122">
        <v>260</v>
      </c>
      <c r="R2953" s="122">
        <v>9355</v>
      </c>
      <c r="S2953" s="122">
        <v>8505</v>
      </c>
      <c r="T2953" s="122">
        <v>6666</v>
      </c>
      <c r="U2953" s="122">
        <v>2469</v>
      </c>
      <c r="V2953" s="122">
        <v>60964</v>
      </c>
      <c r="W2953" s="122">
        <f t="shared" si="94"/>
        <v>60964</v>
      </c>
      <c r="X2953" s="122">
        <f t="shared" si="95"/>
        <v>75870</v>
      </c>
    </row>
    <row r="2954" spans="2:24">
      <c r="B2954" t="s">
        <v>384</v>
      </c>
      <c r="C2954" t="s">
        <v>58</v>
      </c>
      <c r="D2954" t="s">
        <v>425</v>
      </c>
      <c r="E2954" t="s">
        <v>425</v>
      </c>
      <c r="F2954" s="122">
        <v>1</v>
      </c>
      <c r="G2954" s="122">
        <v>122</v>
      </c>
      <c r="H2954" s="122">
        <v>244</v>
      </c>
      <c r="I2954" s="122">
        <v>19209</v>
      </c>
      <c r="J2954" s="122">
        <v>17463</v>
      </c>
      <c r="K2954" s="122">
        <v>92</v>
      </c>
      <c r="L2954" s="122">
        <v>3124</v>
      </c>
      <c r="M2954" s="122">
        <v>2840</v>
      </c>
      <c r="N2954" s="122">
        <v>2829</v>
      </c>
      <c r="O2954" s="122">
        <v>1048</v>
      </c>
      <c r="P2954" s="122">
        <v>473</v>
      </c>
      <c r="Q2954" s="122">
        <v>175</v>
      </c>
      <c r="R2954" s="122">
        <v>4037</v>
      </c>
      <c r="S2954" s="122">
        <v>3670</v>
      </c>
      <c r="T2954" s="122">
        <v>0</v>
      </c>
      <c r="U2954" s="122">
        <v>0</v>
      </c>
      <c r="V2954" s="122">
        <v>25195</v>
      </c>
      <c r="W2954" s="122">
        <f t="shared" si="94"/>
        <v>25196</v>
      </c>
      <c r="X2954" s="122">
        <f t="shared" si="95"/>
        <v>29672</v>
      </c>
    </row>
    <row r="2955" spans="2:24">
      <c r="B2955" t="s">
        <v>384</v>
      </c>
      <c r="C2955" t="s">
        <v>58</v>
      </c>
      <c r="D2955" t="s">
        <v>425</v>
      </c>
      <c r="E2955" t="s">
        <v>556</v>
      </c>
      <c r="F2955" s="122">
        <v>1</v>
      </c>
      <c r="G2955" s="122">
        <v>86</v>
      </c>
      <c r="H2955" s="122">
        <v>233</v>
      </c>
      <c r="I2955" s="122">
        <v>9856</v>
      </c>
      <c r="J2955" s="122">
        <v>8960</v>
      </c>
      <c r="K2955" s="122">
        <v>63</v>
      </c>
      <c r="L2955" s="122">
        <v>2509</v>
      </c>
      <c r="M2955" s="122">
        <v>2091</v>
      </c>
      <c r="N2955" s="122">
        <v>1054</v>
      </c>
      <c r="O2955" s="122">
        <v>390</v>
      </c>
      <c r="P2955" s="122">
        <v>0</v>
      </c>
      <c r="Q2955" s="122">
        <v>0</v>
      </c>
      <c r="R2955" s="122">
        <v>4253</v>
      </c>
      <c r="S2955" s="122">
        <v>3544</v>
      </c>
      <c r="T2955" s="122">
        <v>2520</v>
      </c>
      <c r="U2955" s="122">
        <v>933</v>
      </c>
      <c r="V2955" s="122">
        <v>15918</v>
      </c>
      <c r="W2955" s="122">
        <f t="shared" si="94"/>
        <v>15918</v>
      </c>
      <c r="X2955" s="122">
        <f t="shared" si="95"/>
        <v>20192</v>
      </c>
    </row>
    <row r="2956" spans="2:24">
      <c r="B2956" t="s">
        <v>384</v>
      </c>
      <c r="C2956" t="s">
        <v>58</v>
      </c>
      <c r="D2956" t="s">
        <v>405</v>
      </c>
      <c r="E2956" t="s">
        <v>425</v>
      </c>
      <c r="F2956" s="122">
        <v>3</v>
      </c>
      <c r="G2956" s="122">
        <v>273</v>
      </c>
      <c r="H2956" s="122">
        <v>823</v>
      </c>
      <c r="I2956" s="122">
        <v>42705</v>
      </c>
      <c r="J2956" s="122">
        <v>38822</v>
      </c>
      <c r="K2956" s="122">
        <v>79</v>
      </c>
      <c r="L2956" s="122">
        <v>10030</v>
      </c>
      <c r="M2956" s="122">
        <v>9118</v>
      </c>
      <c r="N2956" s="122">
        <v>5031</v>
      </c>
      <c r="O2956" s="122">
        <v>1863</v>
      </c>
      <c r="P2956" s="122">
        <v>1418</v>
      </c>
      <c r="Q2956" s="122">
        <v>525</v>
      </c>
      <c r="R2956" s="122">
        <v>12542</v>
      </c>
      <c r="S2956" s="122">
        <v>11402</v>
      </c>
      <c r="T2956" s="122">
        <v>2528</v>
      </c>
      <c r="U2956" s="122">
        <v>936</v>
      </c>
      <c r="V2956" s="122">
        <v>62667</v>
      </c>
      <c r="W2956" s="122">
        <f t="shared" si="94"/>
        <v>62666</v>
      </c>
      <c r="X2956" s="122">
        <f t="shared" si="95"/>
        <v>74254</v>
      </c>
    </row>
    <row r="2957" spans="2:24">
      <c r="B2957" t="s">
        <v>384</v>
      </c>
      <c r="C2957" t="s">
        <v>58</v>
      </c>
      <c r="D2957" t="s">
        <v>405</v>
      </c>
      <c r="E2957" t="s">
        <v>405</v>
      </c>
      <c r="F2957" s="122">
        <v>44</v>
      </c>
      <c r="G2957" s="122">
        <v>5731</v>
      </c>
      <c r="H2957" s="122">
        <v>11339</v>
      </c>
      <c r="I2957" s="122">
        <v>903921</v>
      </c>
      <c r="J2957" s="122">
        <v>821746</v>
      </c>
      <c r="K2957" s="122">
        <v>81</v>
      </c>
      <c r="L2957" s="122">
        <v>213737</v>
      </c>
      <c r="M2957" s="122">
        <v>192625</v>
      </c>
      <c r="N2957" s="122">
        <v>118708</v>
      </c>
      <c r="O2957" s="122">
        <v>43966</v>
      </c>
      <c r="P2957" s="122">
        <v>21573</v>
      </c>
      <c r="Q2957" s="122">
        <v>7990</v>
      </c>
      <c r="R2957" s="122">
        <v>220590</v>
      </c>
      <c r="S2957" s="122">
        <v>200537</v>
      </c>
      <c r="T2957" s="122">
        <v>46176</v>
      </c>
      <c r="U2957" s="122">
        <v>17102</v>
      </c>
      <c r="V2957" s="122">
        <v>1283966</v>
      </c>
      <c r="W2957" s="122">
        <f t="shared" si="94"/>
        <v>1283966</v>
      </c>
      <c r="X2957" s="122">
        <f t="shared" si="95"/>
        <v>1524705</v>
      </c>
    </row>
    <row r="2958" spans="2:24">
      <c r="B2958" t="s">
        <v>384</v>
      </c>
      <c r="C2958" t="s">
        <v>58</v>
      </c>
      <c r="D2958" t="s">
        <v>405</v>
      </c>
      <c r="E2958" t="s">
        <v>137</v>
      </c>
      <c r="F2958" s="122">
        <v>1</v>
      </c>
      <c r="G2958" s="122">
        <v>179</v>
      </c>
      <c r="H2958" s="122">
        <v>234</v>
      </c>
      <c r="I2958" s="122">
        <v>24661</v>
      </c>
      <c r="J2958" s="122">
        <v>22419</v>
      </c>
      <c r="K2958" s="122">
        <v>72</v>
      </c>
      <c r="L2958" s="122">
        <v>2975</v>
      </c>
      <c r="M2958" s="122">
        <v>2705</v>
      </c>
      <c r="N2958" s="122">
        <v>2879</v>
      </c>
      <c r="O2958" s="122">
        <v>1066</v>
      </c>
      <c r="P2958" s="122">
        <v>473</v>
      </c>
      <c r="Q2958" s="122">
        <v>175</v>
      </c>
      <c r="R2958" s="122">
        <v>10921</v>
      </c>
      <c r="S2958" s="122">
        <v>4045</v>
      </c>
      <c r="T2958" s="122">
        <v>0</v>
      </c>
      <c r="U2958" s="122">
        <v>0</v>
      </c>
      <c r="V2958" s="122">
        <v>30410</v>
      </c>
      <c r="W2958" s="122">
        <f t="shared" si="94"/>
        <v>30410</v>
      </c>
      <c r="X2958" s="122">
        <f t="shared" si="95"/>
        <v>41909</v>
      </c>
    </row>
    <row r="2959" spans="2:24">
      <c r="B2959" t="s">
        <v>384</v>
      </c>
      <c r="C2959" t="s">
        <v>58</v>
      </c>
      <c r="D2959" t="s">
        <v>405</v>
      </c>
      <c r="E2959" t="s">
        <v>407</v>
      </c>
      <c r="F2959" s="122">
        <v>1</v>
      </c>
      <c r="G2959" s="122">
        <v>131</v>
      </c>
      <c r="H2959" s="122">
        <v>235</v>
      </c>
      <c r="I2959" s="122">
        <v>15165</v>
      </c>
      <c r="J2959" s="122">
        <v>13786</v>
      </c>
      <c r="K2959" s="122">
        <v>91</v>
      </c>
      <c r="L2959" s="122">
        <v>5306</v>
      </c>
      <c r="M2959" s="122">
        <v>4422</v>
      </c>
      <c r="N2959" s="122">
        <v>2691</v>
      </c>
      <c r="O2959" s="122">
        <v>997</v>
      </c>
      <c r="P2959" s="122">
        <v>473</v>
      </c>
      <c r="Q2959" s="122">
        <v>175</v>
      </c>
      <c r="R2959" s="122">
        <v>4061</v>
      </c>
      <c r="S2959" s="122">
        <v>3692</v>
      </c>
      <c r="T2959" s="122">
        <v>3167</v>
      </c>
      <c r="U2959" s="122">
        <v>1173</v>
      </c>
      <c r="V2959" s="122">
        <v>24244</v>
      </c>
      <c r="W2959" s="122">
        <f t="shared" si="94"/>
        <v>24245</v>
      </c>
      <c r="X2959" s="122">
        <f t="shared" si="95"/>
        <v>30863</v>
      </c>
    </row>
    <row r="2960" spans="2:24">
      <c r="B2960" t="s">
        <v>384</v>
      </c>
      <c r="C2960" t="s">
        <v>58</v>
      </c>
      <c r="D2960" t="s">
        <v>137</v>
      </c>
      <c r="E2960" t="s">
        <v>137</v>
      </c>
      <c r="F2960" s="122">
        <v>37</v>
      </c>
      <c r="G2960" s="122">
        <v>5576</v>
      </c>
      <c r="H2960" s="122">
        <v>10110</v>
      </c>
      <c r="I2960" s="122">
        <v>946421</v>
      </c>
      <c r="J2960" s="122">
        <v>350526</v>
      </c>
      <c r="K2960" s="122">
        <v>117</v>
      </c>
      <c r="L2960" s="122">
        <v>181018</v>
      </c>
      <c r="M2960" s="122">
        <v>157576</v>
      </c>
      <c r="N2960" s="122">
        <v>117260</v>
      </c>
      <c r="O2960" s="122">
        <v>43429</v>
      </c>
      <c r="P2960" s="122">
        <v>3676</v>
      </c>
      <c r="Q2960" s="122">
        <v>1361</v>
      </c>
      <c r="R2960" s="122">
        <v>331481</v>
      </c>
      <c r="S2960" s="122">
        <v>122771</v>
      </c>
      <c r="T2960" s="122">
        <v>9277</v>
      </c>
      <c r="U2960" s="122">
        <v>3436</v>
      </c>
      <c r="V2960" s="122">
        <v>679100</v>
      </c>
      <c r="W2960" s="122">
        <f t="shared" si="94"/>
        <v>679099</v>
      </c>
      <c r="X2960" s="122">
        <f t="shared" si="95"/>
        <v>1589133</v>
      </c>
    </row>
    <row r="2961" spans="2:24">
      <c r="B2961" t="s">
        <v>384</v>
      </c>
      <c r="C2961" t="s">
        <v>58</v>
      </c>
      <c r="D2961" t="s">
        <v>137</v>
      </c>
      <c r="E2961" t="s">
        <v>427</v>
      </c>
      <c r="F2961" s="122">
        <v>1</v>
      </c>
      <c r="G2961" s="122">
        <v>157</v>
      </c>
      <c r="H2961" s="122">
        <v>275</v>
      </c>
      <c r="I2961" s="122">
        <v>29895</v>
      </c>
      <c r="J2961" s="122">
        <v>11072</v>
      </c>
      <c r="K2961" s="122">
        <v>100</v>
      </c>
      <c r="L2961" s="122">
        <v>2082</v>
      </c>
      <c r="M2961" s="122">
        <v>1893</v>
      </c>
      <c r="N2961" s="122">
        <v>2973</v>
      </c>
      <c r="O2961" s="122">
        <v>1101</v>
      </c>
      <c r="P2961" s="122">
        <v>351</v>
      </c>
      <c r="Q2961" s="122">
        <v>130</v>
      </c>
      <c r="R2961" s="122">
        <v>7953</v>
      </c>
      <c r="S2961" s="122">
        <v>7230</v>
      </c>
      <c r="T2961" s="122">
        <v>0</v>
      </c>
      <c r="U2961" s="122">
        <v>0</v>
      </c>
      <c r="V2961" s="122">
        <v>21426</v>
      </c>
      <c r="W2961" s="122">
        <f t="shared" si="94"/>
        <v>21426</v>
      </c>
      <c r="X2961" s="122">
        <f t="shared" si="95"/>
        <v>43254</v>
      </c>
    </row>
    <row r="2962" spans="2:24">
      <c r="B2962" t="s">
        <v>384</v>
      </c>
      <c r="C2962" t="s">
        <v>58</v>
      </c>
      <c r="D2962" t="s">
        <v>406</v>
      </c>
      <c r="E2962" t="s">
        <v>137</v>
      </c>
      <c r="F2962" s="122">
        <v>4</v>
      </c>
      <c r="G2962" s="122">
        <v>603</v>
      </c>
      <c r="H2962" s="122">
        <v>973</v>
      </c>
      <c r="I2962" s="122">
        <v>71757</v>
      </c>
      <c r="J2962" s="122">
        <v>65234</v>
      </c>
      <c r="K2962" s="122">
        <v>88</v>
      </c>
      <c r="L2962" s="122">
        <v>20748</v>
      </c>
      <c r="M2962" s="122">
        <v>18862</v>
      </c>
      <c r="N2962" s="122">
        <v>14443</v>
      </c>
      <c r="O2962" s="122">
        <v>5349</v>
      </c>
      <c r="P2962" s="122">
        <v>2484</v>
      </c>
      <c r="Q2962" s="122">
        <v>920</v>
      </c>
      <c r="R2962" s="122">
        <v>31495</v>
      </c>
      <c r="S2962" s="122">
        <v>11665</v>
      </c>
      <c r="T2962" s="122">
        <v>0</v>
      </c>
      <c r="U2962" s="122">
        <v>0</v>
      </c>
      <c r="V2962" s="122">
        <v>102030</v>
      </c>
      <c r="W2962" s="122">
        <f t="shared" si="94"/>
        <v>102030</v>
      </c>
      <c r="X2962" s="122">
        <f t="shared" si="95"/>
        <v>140927</v>
      </c>
    </row>
    <row r="2963" spans="2:24">
      <c r="B2963" t="s">
        <v>384</v>
      </c>
      <c r="C2963" t="s">
        <v>58</v>
      </c>
      <c r="D2963" t="s">
        <v>406</v>
      </c>
      <c r="E2963" t="s">
        <v>406</v>
      </c>
      <c r="F2963" s="122">
        <v>1302</v>
      </c>
      <c r="G2963" s="122">
        <v>171029</v>
      </c>
      <c r="H2963" s="122">
        <v>339180</v>
      </c>
      <c r="I2963" s="122">
        <v>26582868</v>
      </c>
      <c r="J2963" s="122">
        <v>24166244</v>
      </c>
      <c r="K2963" s="122">
        <v>80</v>
      </c>
      <c r="L2963" s="122">
        <v>5550437</v>
      </c>
      <c r="M2963" s="122">
        <v>4896844</v>
      </c>
      <c r="N2963" s="122">
        <v>3450375</v>
      </c>
      <c r="O2963" s="122">
        <v>1277917</v>
      </c>
      <c r="P2963" s="122">
        <v>841045</v>
      </c>
      <c r="Q2963" s="122">
        <v>311498</v>
      </c>
      <c r="R2963" s="122">
        <v>6775986</v>
      </c>
      <c r="S2963" s="122">
        <v>6159987</v>
      </c>
      <c r="T2963" s="122">
        <v>2044920</v>
      </c>
      <c r="U2963" s="122">
        <v>757378</v>
      </c>
      <c r="V2963" s="122">
        <v>37569867</v>
      </c>
      <c r="W2963" s="122">
        <f t="shared" si="94"/>
        <v>37569868</v>
      </c>
      <c r="X2963" s="122">
        <f t="shared" si="95"/>
        <v>45245631</v>
      </c>
    </row>
    <row r="2964" spans="2:24">
      <c r="B2964" t="s">
        <v>384</v>
      </c>
      <c r="C2964" t="s">
        <v>58</v>
      </c>
      <c r="D2964" t="s">
        <v>406</v>
      </c>
      <c r="E2964" t="s">
        <v>427</v>
      </c>
      <c r="F2964" s="122">
        <v>2</v>
      </c>
      <c r="G2964" s="122">
        <v>228</v>
      </c>
      <c r="H2964" s="122">
        <v>565</v>
      </c>
      <c r="I2964" s="122">
        <v>39350</v>
      </c>
      <c r="J2964" s="122">
        <v>35773</v>
      </c>
      <c r="K2964" s="122">
        <v>75</v>
      </c>
      <c r="L2964" s="122">
        <v>5513</v>
      </c>
      <c r="M2964" s="122">
        <v>4760</v>
      </c>
      <c r="N2964" s="122">
        <v>4499</v>
      </c>
      <c r="O2964" s="122">
        <v>1666</v>
      </c>
      <c r="P2964" s="122">
        <v>1242</v>
      </c>
      <c r="Q2964" s="122">
        <v>460</v>
      </c>
      <c r="R2964" s="122">
        <v>10692</v>
      </c>
      <c r="S2964" s="122">
        <v>9720</v>
      </c>
      <c r="T2964" s="122">
        <v>2814</v>
      </c>
      <c r="U2964" s="122">
        <v>1042</v>
      </c>
      <c r="V2964" s="122">
        <v>53421</v>
      </c>
      <c r="W2964" s="122">
        <f t="shared" si="94"/>
        <v>53421</v>
      </c>
      <c r="X2964" s="122">
        <f t="shared" si="95"/>
        <v>64110</v>
      </c>
    </row>
    <row r="2965" spans="2:24">
      <c r="B2965" t="s">
        <v>384</v>
      </c>
      <c r="C2965" t="s">
        <v>58</v>
      </c>
      <c r="D2965" t="s">
        <v>406</v>
      </c>
      <c r="E2965" t="s">
        <v>407</v>
      </c>
      <c r="F2965" s="122">
        <v>4</v>
      </c>
      <c r="G2965" s="122">
        <v>702</v>
      </c>
      <c r="H2965" s="122">
        <v>1051</v>
      </c>
      <c r="I2965" s="122">
        <v>119026</v>
      </c>
      <c r="J2965" s="122">
        <v>108206</v>
      </c>
      <c r="K2965" s="122">
        <v>77</v>
      </c>
      <c r="L2965" s="122">
        <v>21694</v>
      </c>
      <c r="M2965" s="122">
        <v>19721</v>
      </c>
      <c r="N2965" s="122">
        <v>13372</v>
      </c>
      <c r="O2965" s="122">
        <v>4953</v>
      </c>
      <c r="P2965" s="122">
        <v>2484</v>
      </c>
      <c r="Q2965" s="122">
        <v>920</v>
      </c>
      <c r="R2965" s="122">
        <v>23005</v>
      </c>
      <c r="S2965" s="122">
        <v>20914</v>
      </c>
      <c r="T2965" s="122">
        <v>5985</v>
      </c>
      <c r="U2965" s="122">
        <v>2217</v>
      </c>
      <c r="V2965" s="122">
        <v>156930</v>
      </c>
      <c r="W2965" s="122">
        <f t="shared" si="94"/>
        <v>156931</v>
      </c>
      <c r="X2965" s="122">
        <f t="shared" si="95"/>
        <v>185566</v>
      </c>
    </row>
    <row r="2966" spans="2:24">
      <c r="B2966" t="s">
        <v>384</v>
      </c>
      <c r="C2966" t="s">
        <v>58</v>
      </c>
      <c r="D2966" t="s">
        <v>406</v>
      </c>
      <c r="E2966" t="s">
        <v>426</v>
      </c>
      <c r="F2966" s="122">
        <v>1</v>
      </c>
      <c r="G2966" s="122">
        <v>135</v>
      </c>
      <c r="H2966" s="122">
        <v>250</v>
      </c>
      <c r="I2966" s="122">
        <v>18524</v>
      </c>
      <c r="J2966" s="122">
        <v>16840</v>
      </c>
      <c r="K2966" s="122">
        <v>84</v>
      </c>
      <c r="L2966" s="122">
        <v>2536</v>
      </c>
      <c r="M2966" s="122">
        <v>2306</v>
      </c>
      <c r="N2966" s="122">
        <v>3083</v>
      </c>
      <c r="O2966" s="122">
        <v>1142</v>
      </c>
      <c r="P2966" s="122">
        <v>621</v>
      </c>
      <c r="Q2966" s="122">
        <v>230</v>
      </c>
      <c r="R2966" s="122">
        <v>5507</v>
      </c>
      <c r="S2966" s="122">
        <v>5006</v>
      </c>
      <c r="T2966" s="122">
        <v>3568</v>
      </c>
      <c r="U2966" s="122">
        <v>1321</v>
      </c>
      <c r="V2966" s="122">
        <v>26845</v>
      </c>
      <c r="W2966" s="122">
        <f t="shared" si="94"/>
        <v>26845</v>
      </c>
      <c r="X2966" s="122">
        <f t="shared" si="95"/>
        <v>33839</v>
      </c>
    </row>
    <row r="2967" spans="2:24">
      <c r="B2967" t="s">
        <v>384</v>
      </c>
      <c r="C2967" t="s">
        <v>58</v>
      </c>
      <c r="D2967" t="s">
        <v>406</v>
      </c>
      <c r="E2967" t="s">
        <v>433</v>
      </c>
      <c r="F2967" s="122">
        <v>1</v>
      </c>
      <c r="G2967" s="122">
        <v>101</v>
      </c>
      <c r="H2967" s="122">
        <v>239</v>
      </c>
      <c r="I2967" s="122">
        <v>15313</v>
      </c>
      <c r="J2967" s="122">
        <v>13921</v>
      </c>
      <c r="K2967" s="122">
        <v>85</v>
      </c>
      <c r="L2967" s="122">
        <v>2049</v>
      </c>
      <c r="M2967" s="122">
        <v>1863</v>
      </c>
      <c r="N2967" s="122">
        <v>2281</v>
      </c>
      <c r="O2967" s="122">
        <v>845</v>
      </c>
      <c r="P2967" s="122">
        <v>621</v>
      </c>
      <c r="Q2967" s="122">
        <v>230</v>
      </c>
      <c r="R2967" s="122">
        <v>3885</v>
      </c>
      <c r="S2967" s="122">
        <v>3532</v>
      </c>
      <c r="T2967" s="122">
        <v>0</v>
      </c>
      <c r="U2967" s="122">
        <v>0</v>
      </c>
      <c r="V2967" s="122">
        <v>20390</v>
      </c>
      <c r="W2967" s="122">
        <f t="shared" si="94"/>
        <v>20391</v>
      </c>
      <c r="X2967" s="122">
        <f t="shared" si="95"/>
        <v>24149</v>
      </c>
    </row>
    <row r="2968" spans="2:24">
      <c r="B2968" t="s">
        <v>384</v>
      </c>
      <c r="C2968" t="s">
        <v>58</v>
      </c>
      <c r="D2968" t="s">
        <v>427</v>
      </c>
      <c r="E2968" t="s">
        <v>427</v>
      </c>
      <c r="F2968" s="122">
        <v>6</v>
      </c>
      <c r="G2968" s="122">
        <v>647</v>
      </c>
      <c r="H2968" s="122">
        <v>1698</v>
      </c>
      <c r="I2968" s="122">
        <v>131201</v>
      </c>
      <c r="J2968" s="122">
        <v>119273</v>
      </c>
      <c r="K2968" s="122">
        <v>63</v>
      </c>
      <c r="L2968" s="122">
        <v>14403</v>
      </c>
      <c r="M2968" s="122">
        <v>10926</v>
      </c>
      <c r="N2968" s="122">
        <v>11620</v>
      </c>
      <c r="O2968" s="122">
        <v>4304</v>
      </c>
      <c r="P2968" s="122">
        <v>2376</v>
      </c>
      <c r="Q2968" s="122">
        <v>880</v>
      </c>
      <c r="R2968" s="122">
        <v>30704</v>
      </c>
      <c r="S2968" s="122">
        <v>27913</v>
      </c>
      <c r="T2968" s="122">
        <v>12084</v>
      </c>
      <c r="U2968" s="122">
        <v>4476</v>
      </c>
      <c r="V2968" s="122">
        <v>167772</v>
      </c>
      <c r="W2968" s="122">
        <f t="shared" si="94"/>
        <v>167772</v>
      </c>
      <c r="X2968" s="122">
        <f t="shared" si="95"/>
        <v>202388</v>
      </c>
    </row>
    <row r="2969" spans="2:24">
      <c r="B2969" t="s">
        <v>384</v>
      </c>
      <c r="C2969" t="s">
        <v>58</v>
      </c>
      <c r="D2969" t="s">
        <v>407</v>
      </c>
      <c r="E2969" t="s">
        <v>406</v>
      </c>
      <c r="F2969" s="122">
        <v>2</v>
      </c>
      <c r="G2969" s="122">
        <v>207</v>
      </c>
      <c r="H2969" s="122">
        <v>473</v>
      </c>
      <c r="I2969" s="122">
        <v>26853</v>
      </c>
      <c r="J2969" s="122">
        <v>24412</v>
      </c>
      <c r="K2969" s="122">
        <v>79</v>
      </c>
      <c r="L2969" s="122">
        <v>5774</v>
      </c>
      <c r="M2969" s="122">
        <v>4988</v>
      </c>
      <c r="N2969" s="122">
        <v>2959</v>
      </c>
      <c r="O2969" s="122">
        <v>1096</v>
      </c>
      <c r="P2969" s="122">
        <v>945</v>
      </c>
      <c r="Q2969" s="122">
        <v>350</v>
      </c>
      <c r="R2969" s="122">
        <v>7408</v>
      </c>
      <c r="S2969" s="122">
        <v>6734</v>
      </c>
      <c r="T2969" s="122">
        <v>5079</v>
      </c>
      <c r="U2969" s="122">
        <v>1881</v>
      </c>
      <c r="V2969" s="122">
        <v>39462</v>
      </c>
      <c r="W2969" s="122">
        <f t="shared" si="94"/>
        <v>39461</v>
      </c>
      <c r="X2969" s="122">
        <f t="shared" si="95"/>
        <v>49018</v>
      </c>
    </row>
    <row r="2970" spans="2:24">
      <c r="B2970" t="s">
        <v>384</v>
      </c>
      <c r="C2970" t="s">
        <v>58</v>
      </c>
      <c r="D2970" t="s">
        <v>407</v>
      </c>
      <c r="E2970" t="s">
        <v>407</v>
      </c>
      <c r="F2970" s="122">
        <v>328</v>
      </c>
      <c r="G2970" s="122">
        <v>37291</v>
      </c>
      <c r="H2970" s="122">
        <v>85176</v>
      </c>
      <c r="I2970" s="122">
        <v>5426647</v>
      </c>
      <c r="J2970" s="122">
        <v>4933316</v>
      </c>
      <c r="K2970" s="122">
        <v>79</v>
      </c>
      <c r="L2970" s="122">
        <v>1300918</v>
      </c>
      <c r="M2970" s="122">
        <v>1140338</v>
      </c>
      <c r="N2970" s="122">
        <v>711904</v>
      </c>
      <c r="O2970" s="122">
        <v>263668</v>
      </c>
      <c r="P2970" s="122">
        <v>155237</v>
      </c>
      <c r="Q2970" s="122">
        <v>57495</v>
      </c>
      <c r="R2970" s="122">
        <v>1558244</v>
      </c>
      <c r="S2970" s="122">
        <v>1416585</v>
      </c>
      <c r="T2970" s="122">
        <v>523831</v>
      </c>
      <c r="U2970" s="122">
        <v>194011</v>
      </c>
      <c r="V2970" s="122">
        <v>8005413</v>
      </c>
      <c r="W2970" s="122">
        <f t="shared" si="94"/>
        <v>8005413</v>
      </c>
      <c r="X2970" s="122">
        <f t="shared" si="95"/>
        <v>9676781</v>
      </c>
    </row>
    <row r="2971" spans="2:24">
      <c r="B2971" t="s">
        <v>384</v>
      </c>
      <c r="C2971" t="s">
        <v>58</v>
      </c>
      <c r="D2971" t="s">
        <v>407</v>
      </c>
      <c r="E2971" t="s">
        <v>556</v>
      </c>
      <c r="F2971" s="122">
        <v>1</v>
      </c>
      <c r="G2971" s="122">
        <v>141</v>
      </c>
      <c r="H2971" s="122">
        <v>297</v>
      </c>
      <c r="I2971" s="122">
        <v>24394</v>
      </c>
      <c r="J2971" s="122">
        <v>22176</v>
      </c>
      <c r="K2971" s="122">
        <v>77</v>
      </c>
      <c r="L2971" s="122">
        <v>6622</v>
      </c>
      <c r="M2971" s="122">
        <v>6020</v>
      </c>
      <c r="N2971" s="122">
        <v>3373</v>
      </c>
      <c r="O2971" s="122">
        <v>1249</v>
      </c>
      <c r="P2971" s="122">
        <v>473</v>
      </c>
      <c r="Q2971" s="122">
        <v>175</v>
      </c>
      <c r="R2971" s="122">
        <v>4375</v>
      </c>
      <c r="S2971" s="122">
        <v>3646</v>
      </c>
      <c r="T2971" s="122">
        <v>2469</v>
      </c>
      <c r="U2971" s="122">
        <v>914</v>
      </c>
      <c r="V2971" s="122">
        <v>34180</v>
      </c>
      <c r="W2971" s="122">
        <f t="shared" si="94"/>
        <v>34180</v>
      </c>
      <c r="X2971" s="122">
        <f t="shared" si="95"/>
        <v>41706</v>
      </c>
    </row>
    <row r="2972" spans="2:24">
      <c r="B2972" t="s">
        <v>384</v>
      </c>
      <c r="C2972" t="s">
        <v>58</v>
      </c>
      <c r="D2972" t="s">
        <v>556</v>
      </c>
      <c r="E2972" t="s">
        <v>556</v>
      </c>
      <c r="F2972" s="122">
        <v>5</v>
      </c>
      <c r="G2972" s="122">
        <v>682</v>
      </c>
      <c r="H2972" s="122">
        <v>1426</v>
      </c>
      <c r="I2972" s="122">
        <v>137001</v>
      </c>
      <c r="J2972" s="122">
        <v>114167</v>
      </c>
      <c r="K2972" s="122">
        <v>64</v>
      </c>
      <c r="L2972" s="122">
        <v>14893</v>
      </c>
      <c r="M2972" s="122">
        <v>12601</v>
      </c>
      <c r="N2972" s="122">
        <v>14076</v>
      </c>
      <c r="O2972" s="122">
        <v>5213</v>
      </c>
      <c r="P2972" s="122">
        <v>2025</v>
      </c>
      <c r="Q2972" s="122">
        <v>750</v>
      </c>
      <c r="R2972" s="122">
        <v>29588</v>
      </c>
      <c r="S2972" s="122">
        <v>24657</v>
      </c>
      <c r="T2972" s="122">
        <v>15299</v>
      </c>
      <c r="U2972" s="122">
        <v>5666</v>
      </c>
      <c r="V2972" s="122">
        <v>163055</v>
      </c>
      <c r="W2972" s="122">
        <f t="shared" si="94"/>
        <v>163054</v>
      </c>
      <c r="X2972" s="122">
        <f t="shared" si="95"/>
        <v>212882</v>
      </c>
    </row>
    <row r="2973" spans="2:24">
      <c r="B2973" t="s">
        <v>384</v>
      </c>
      <c r="C2973" t="s">
        <v>58</v>
      </c>
      <c r="D2973" t="s">
        <v>426</v>
      </c>
      <c r="E2973" t="s">
        <v>426</v>
      </c>
      <c r="F2973" s="122">
        <v>25</v>
      </c>
      <c r="G2973" s="122">
        <v>3043</v>
      </c>
      <c r="H2973" s="122">
        <v>6811</v>
      </c>
      <c r="I2973" s="122">
        <v>533279</v>
      </c>
      <c r="J2973" s="122">
        <v>484799</v>
      </c>
      <c r="K2973" s="122">
        <v>64</v>
      </c>
      <c r="L2973" s="122">
        <v>47885</v>
      </c>
      <c r="M2973" s="122">
        <v>43149</v>
      </c>
      <c r="N2973" s="122">
        <v>57513</v>
      </c>
      <c r="O2973" s="122">
        <v>21301</v>
      </c>
      <c r="P2973" s="122">
        <v>10058</v>
      </c>
      <c r="Q2973" s="122">
        <v>3725</v>
      </c>
      <c r="R2973" s="122">
        <v>118774</v>
      </c>
      <c r="S2973" s="122">
        <v>107976</v>
      </c>
      <c r="T2973" s="122">
        <v>66665</v>
      </c>
      <c r="U2973" s="122">
        <v>24691</v>
      </c>
      <c r="V2973" s="122">
        <v>685642</v>
      </c>
      <c r="W2973" s="122">
        <f t="shared" si="94"/>
        <v>685641</v>
      </c>
      <c r="X2973" s="122">
        <f t="shared" si="95"/>
        <v>834174</v>
      </c>
    </row>
    <row r="2974" spans="2:24">
      <c r="B2974" t="s">
        <v>384</v>
      </c>
      <c r="C2974" t="s">
        <v>58</v>
      </c>
      <c r="D2974" t="s">
        <v>433</v>
      </c>
      <c r="E2974" t="s">
        <v>433</v>
      </c>
      <c r="F2974" s="122">
        <v>3</v>
      </c>
      <c r="G2974" s="122">
        <v>297</v>
      </c>
      <c r="H2974" s="122">
        <v>810</v>
      </c>
      <c r="I2974" s="122">
        <v>52742</v>
      </c>
      <c r="J2974" s="122">
        <v>47948</v>
      </c>
      <c r="K2974" s="122">
        <v>68</v>
      </c>
      <c r="L2974" s="122">
        <v>3819</v>
      </c>
      <c r="M2974" s="122">
        <v>1414</v>
      </c>
      <c r="N2974" s="122">
        <v>3620</v>
      </c>
      <c r="O2974" s="122">
        <v>1341</v>
      </c>
      <c r="P2974" s="122">
        <v>1053</v>
      </c>
      <c r="Q2974" s="122">
        <v>390</v>
      </c>
      <c r="R2974" s="122">
        <v>12015</v>
      </c>
      <c r="S2974" s="122">
        <v>10923</v>
      </c>
      <c r="T2974" s="122">
        <v>7320</v>
      </c>
      <c r="U2974" s="122">
        <v>2711</v>
      </c>
      <c r="V2974" s="122">
        <v>64727</v>
      </c>
      <c r="W2974" s="122">
        <f t="shared" si="94"/>
        <v>64727</v>
      </c>
      <c r="X2974" s="122">
        <f t="shared" si="95"/>
        <v>80569</v>
      </c>
    </row>
    <row r="2975" spans="2:24">
      <c r="B2975" t="s">
        <v>384</v>
      </c>
      <c r="C2975" t="s">
        <v>58</v>
      </c>
      <c r="D2975" t="s">
        <v>408</v>
      </c>
      <c r="E2975" t="s">
        <v>408</v>
      </c>
      <c r="F2975" s="122">
        <v>2</v>
      </c>
      <c r="G2975" s="122">
        <v>241</v>
      </c>
      <c r="H2975" s="122">
        <v>477</v>
      </c>
      <c r="I2975" s="122">
        <v>45993</v>
      </c>
      <c r="J2975" s="122">
        <v>41812</v>
      </c>
      <c r="K2975" s="122">
        <v>63</v>
      </c>
      <c r="L2975" s="122">
        <v>6244</v>
      </c>
      <c r="M2975" s="122">
        <v>3884</v>
      </c>
      <c r="N2975" s="122">
        <v>4388</v>
      </c>
      <c r="O2975" s="122">
        <v>1625</v>
      </c>
      <c r="P2975" s="122">
        <v>702</v>
      </c>
      <c r="Q2975" s="122">
        <v>260</v>
      </c>
      <c r="R2975" s="122">
        <v>11814</v>
      </c>
      <c r="S2975" s="122">
        <v>10740</v>
      </c>
      <c r="T2975" s="122">
        <v>2256</v>
      </c>
      <c r="U2975" s="122">
        <v>836</v>
      </c>
      <c r="V2975" s="122">
        <v>59157</v>
      </c>
      <c r="W2975" s="122">
        <f t="shared" si="94"/>
        <v>59157</v>
      </c>
      <c r="X2975" s="122">
        <f t="shared" si="95"/>
        <v>71397</v>
      </c>
    </row>
    <row r="2976" spans="2:24">
      <c r="B2976" t="s">
        <v>384</v>
      </c>
      <c r="C2976" t="s">
        <v>60</v>
      </c>
      <c r="F2976" s="122">
        <v>1</v>
      </c>
      <c r="G2976" s="122">
        <v>131</v>
      </c>
      <c r="H2976" s="122">
        <v>371</v>
      </c>
      <c r="I2976" s="122"/>
      <c r="J2976" s="122">
        <v>0</v>
      </c>
      <c r="K2976" s="122"/>
      <c r="L2976" s="122"/>
      <c r="M2976" s="122">
        <v>0</v>
      </c>
      <c r="N2976" s="122">
        <v>1994</v>
      </c>
      <c r="O2976" s="122">
        <v>738</v>
      </c>
      <c r="P2976" s="122">
        <v>621</v>
      </c>
      <c r="Q2976" s="122">
        <v>230</v>
      </c>
      <c r="R2976" s="122"/>
      <c r="S2976" s="122">
        <v>0</v>
      </c>
      <c r="T2976" s="122">
        <v>0</v>
      </c>
      <c r="U2976" s="122">
        <v>0</v>
      </c>
      <c r="V2976" s="122">
        <v>968</v>
      </c>
      <c r="W2976" s="122">
        <f t="shared" si="94"/>
        <v>968</v>
      </c>
      <c r="X2976" s="122">
        <f t="shared" si="95"/>
        <v>2615</v>
      </c>
    </row>
    <row r="2977" spans="2:24">
      <c r="B2977" t="s">
        <v>384</v>
      </c>
      <c r="C2977" t="s">
        <v>60</v>
      </c>
      <c r="D2977" t="s">
        <v>555</v>
      </c>
      <c r="E2977" t="s">
        <v>555</v>
      </c>
      <c r="F2977" s="122">
        <v>1</v>
      </c>
      <c r="G2977" s="122">
        <v>132</v>
      </c>
      <c r="H2977" s="122">
        <v>357</v>
      </c>
      <c r="I2977" s="122">
        <v>27855</v>
      </c>
      <c r="J2977" s="122">
        <v>25323</v>
      </c>
      <c r="K2977" s="122">
        <v>72</v>
      </c>
      <c r="L2977" s="122">
        <v>7469</v>
      </c>
      <c r="M2977" s="122">
        <v>6790</v>
      </c>
      <c r="N2977" s="122">
        <v>2772</v>
      </c>
      <c r="O2977" s="122">
        <v>1027</v>
      </c>
      <c r="P2977" s="122">
        <v>351</v>
      </c>
      <c r="Q2977" s="122">
        <v>130</v>
      </c>
      <c r="R2977" s="122">
        <v>5278</v>
      </c>
      <c r="S2977" s="122">
        <v>4798</v>
      </c>
      <c r="T2977" s="122">
        <v>3533</v>
      </c>
      <c r="U2977" s="122">
        <v>1308</v>
      </c>
      <c r="V2977" s="122">
        <v>39376</v>
      </c>
      <c r="W2977" s="122">
        <f t="shared" si="94"/>
        <v>39376</v>
      </c>
      <c r="X2977" s="122">
        <f t="shared" si="95"/>
        <v>47258</v>
      </c>
    </row>
    <row r="2978" spans="2:24">
      <c r="B2978" t="s">
        <v>384</v>
      </c>
      <c r="C2978" t="s">
        <v>60</v>
      </c>
      <c r="D2978" t="s">
        <v>425</v>
      </c>
      <c r="E2978" t="s">
        <v>425</v>
      </c>
      <c r="F2978" s="122">
        <v>3</v>
      </c>
      <c r="G2978" s="122">
        <v>327</v>
      </c>
      <c r="H2978" s="122">
        <v>1007</v>
      </c>
      <c r="I2978" s="122">
        <v>81951</v>
      </c>
      <c r="J2978" s="122">
        <v>74501</v>
      </c>
      <c r="K2978" s="122">
        <v>74</v>
      </c>
      <c r="L2978" s="122">
        <v>15054</v>
      </c>
      <c r="M2978" s="122">
        <v>10706</v>
      </c>
      <c r="N2978" s="122">
        <v>8073</v>
      </c>
      <c r="O2978" s="122">
        <v>2990</v>
      </c>
      <c r="P2978" s="122">
        <v>1418</v>
      </c>
      <c r="Q2978" s="122">
        <v>525</v>
      </c>
      <c r="R2978" s="122">
        <v>17909</v>
      </c>
      <c r="S2978" s="122">
        <v>16280</v>
      </c>
      <c r="T2978" s="122">
        <v>0</v>
      </c>
      <c r="U2978" s="122">
        <v>0</v>
      </c>
      <c r="V2978" s="122">
        <v>105003</v>
      </c>
      <c r="W2978" s="122">
        <f t="shared" si="94"/>
        <v>105002</v>
      </c>
      <c r="X2978" s="122">
        <f t="shared" si="95"/>
        <v>124405</v>
      </c>
    </row>
    <row r="2979" spans="2:24">
      <c r="B2979" t="s">
        <v>384</v>
      </c>
      <c r="C2979" t="s">
        <v>60</v>
      </c>
      <c r="D2979" t="s">
        <v>405</v>
      </c>
      <c r="E2979" t="s">
        <v>405</v>
      </c>
      <c r="F2979" s="122">
        <v>7</v>
      </c>
      <c r="G2979" s="122">
        <v>725</v>
      </c>
      <c r="H2979" s="122">
        <v>2436</v>
      </c>
      <c r="I2979" s="122">
        <v>154674</v>
      </c>
      <c r="J2979" s="122">
        <v>140612</v>
      </c>
      <c r="K2979" s="122">
        <v>73</v>
      </c>
      <c r="L2979" s="122">
        <v>31578</v>
      </c>
      <c r="M2979" s="122">
        <v>27206</v>
      </c>
      <c r="N2979" s="122">
        <v>16744</v>
      </c>
      <c r="O2979" s="122">
        <v>6202</v>
      </c>
      <c r="P2979" s="122">
        <v>3578</v>
      </c>
      <c r="Q2979" s="122">
        <v>1325</v>
      </c>
      <c r="R2979" s="122">
        <v>41146</v>
      </c>
      <c r="S2979" s="122">
        <v>37405</v>
      </c>
      <c r="T2979" s="122">
        <v>5164</v>
      </c>
      <c r="U2979" s="122">
        <v>1913</v>
      </c>
      <c r="V2979" s="122">
        <v>214663</v>
      </c>
      <c r="W2979" s="122">
        <f t="shared" si="94"/>
        <v>214663</v>
      </c>
      <c r="X2979" s="122">
        <f t="shared" si="95"/>
        <v>252884</v>
      </c>
    </row>
    <row r="2980" spans="2:24">
      <c r="B2980" t="s">
        <v>384</v>
      </c>
      <c r="C2980" t="s">
        <v>60</v>
      </c>
      <c r="D2980" t="s">
        <v>137</v>
      </c>
      <c r="E2980" t="s">
        <v>137</v>
      </c>
      <c r="F2980" s="122">
        <v>32</v>
      </c>
      <c r="G2980" s="122">
        <v>3909</v>
      </c>
      <c r="H2980" s="122">
        <v>10783</v>
      </c>
      <c r="I2980" s="122">
        <v>838932</v>
      </c>
      <c r="J2980" s="122">
        <v>310716</v>
      </c>
      <c r="K2980" s="122">
        <v>100</v>
      </c>
      <c r="L2980" s="122">
        <v>150681</v>
      </c>
      <c r="M2980" s="122">
        <v>117526</v>
      </c>
      <c r="N2980" s="122">
        <v>80279</v>
      </c>
      <c r="O2980" s="122">
        <v>29733</v>
      </c>
      <c r="P2980" s="122">
        <v>0</v>
      </c>
      <c r="Q2980" s="122">
        <v>0</v>
      </c>
      <c r="R2980" s="122">
        <v>254538</v>
      </c>
      <c r="S2980" s="122">
        <v>94273</v>
      </c>
      <c r="T2980" s="122">
        <v>0</v>
      </c>
      <c r="U2980" s="122">
        <v>0</v>
      </c>
      <c r="V2980" s="122">
        <v>552248</v>
      </c>
      <c r="W2980" s="122">
        <f t="shared" si="94"/>
        <v>552248</v>
      </c>
      <c r="X2980" s="122">
        <f t="shared" si="95"/>
        <v>1324430</v>
      </c>
    </row>
    <row r="2981" spans="2:24">
      <c r="B2981" t="s">
        <v>384</v>
      </c>
      <c r="C2981" t="s">
        <v>60</v>
      </c>
      <c r="D2981" t="s">
        <v>406</v>
      </c>
      <c r="E2981" t="s">
        <v>425</v>
      </c>
      <c r="F2981" s="122">
        <v>3</v>
      </c>
      <c r="G2981" s="122">
        <v>363</v>
      </c>
      <c r="H2981" s="122">
        <v>959</v>
      </c>
      <c r="I2981" s="122">
        <v>71654</v>
      </c>
      <c r="J2981" s="122">
        <v>65140</v>
      </c>
      <c r="K2981" s="122">
        <v>77</v>
      </c>
      <c r="L2981" s="122">
        <v>11703</v>
      </c>
      <c r="M2981" s="122">
        <v>10639</v>
      </c>
      <c r="N2981" s="122">
        <v>7375</v>
      </c>
      <c r="O2981" s="122">
        <v>2731</v>
      </c>
      <c r="P2981" s="122">
        <v>1863</v>
      </c>
      <c r="Q2981" s="122">
        <v>690</v>
      </c>
      <c r="R2981" s="122">
        <v>19905</v>
      </c>
      <c r="S2981" s="122">
        <v>18096</v>
      </c>
      <c r="T2981" s="122">
        <v>2886</v>
      </c>
      <c r="U2981" s="122">
        <v>1069</v>
      </c>
      <c r="V2981" s="122">
        <v>98365</v>
      </c>
      <c r="W2981" s="122">
        <f t="shared" si="94"/>
        <v>98365</v>
      </c>
      <c r="X2981" s="122">
        <f t="shared" si="95"/>
        <v>115386</v>
      </c>
    </row>
    <row r="2982" spans="2:24">
      <c r="B2982" t="s">
        <v>384</v>
      </c>
      <c r="C2982" t="s">
        <v>60</v>
      </c>
      <c r="D2982" t="s">
        <v>406</v>
      </c>
      <c r="E2982" t="s">
        <v>137</v>
      </c>
      <c r="F2982" s="122">
        <v>8</v>
      </c>
      <c r="G2982" s="122">
        <v>1151</v>
      </c>
      <c r="H2982" s="122">
        <v>2656</v>
      </c>
      <c r="I2982" s="122">
        <v>227714</v>
      </c>
      <c r="J2982" s="122">
        <v>207013</v>
      </c>
      <c r="K2982" s="122">
        <v>85</v>
      </c>
      <c r="L2982" s="122">
        <v>57921</v>
      </c>
      <c r="M2982" s="122">
        <v>52656</v>
      </c>
      <c r="N2982" s="122">
        <v>26144</v>
      </c>
      <c r="O2982" s="122">
        <v>9683</v>
      </c>
      <c r="P2982" s="122">
        <v>4968</v>
      </c>
      <c r="Q2982" s="122">
        <v>1840</v>
      </c>
      <c r="R2982" s="122">
        <v>61531</v>
      </c>
      <c r="S2982" s="122">
        <v>22789</v>
      </c>
      <c r="T2982" s="122">
        <v>0</v>
      </c>
      <c r="U2982" s="122">
        <v>0</v>
      </c>
      <c r="V2982" s="122">
        <v>293981</v>
      </c>
      <c r="W2982" s="122">
        <f t="shared" si="94"/>
        <v>293981</v>
      </c>
      <c r="X2982" s="122">
        <f t="shared" si="95"/>
        <v>378278</v>
      </c>
    </row>
    <row r="2983" spans="2:24">
      <c r="B2983" t="s">
        <v>384</v>
      </c>
      <c r="C2983" t="s">
        <v>60</v>
      </c>
      <c r="D2983" t="s">
        <v>406</v>
      </c>
      <c r="E2983" t="s">
        <v>406</v>
      </c>
      <c r="F2983" s="122">
        <v>440</v>
      </c>
      <c r="G2983" s="122">
        <v>52619</v>
      </c>
      <c r="H2983" s="122">
        <v>149429</v>
      </c>
      <c r="I2983" s="122">
        <v>11466678</v>
      </c>
      <c r="J2983" s="122">
        <v>10424253</v>
      </c>
      <c r="K2983" s="122">
        <v>77</v>
      </c>
      <c r="L2983" s="122">
        <v>2276142</v>
      </c>
      <c r="M2983" s="122">
        <v>2032032</v>
      </c>
      <c r="N2983" s="122">
        <v>1084005</v>
      </c>
      <c r="O2983" s="122">
        <v>401483</v>
      </c>
      <c r="P2983" s="122">
        <v>286894</v>
      </c>
      <c r="Q2983" s="122">
        <v>106257</v>
      </c>
      <c r="R2983" s="122">
        <v>2280613</v>
      </c>
      <c r="S2983" s="122">
        <v>2073285</v>
      </c>
      <c r="T2983" s="122">
        <v>723705</v>
      </c>
      <c r="U2983" s="122">
        <v>268039</v>
      </c>
      <c r="V2983" s="122">
        <v>15305349</v>
      </c>
      <c r="W2983" s="122">
        <f t="shared" si="94"/>
        <v>15305349</v>
      </c>
      <c r="X2983" s="122">
        <f t="shared" si="95"/>
        <v>18118037</v>
      </c>
    </row>
    <row r="2984" spans="2:24">
      <c r="B2984" t="s">
        <v>384</v>
      </c>
      <c r="C2984" t="s">
        <v>60</v>
      </c>
      <c r="D2984" t="s">
        <v>406</v>
      </c>
      <c r="E2984" t="s">
        <v>407</v>
      </c>
      <c r="F2984" s="122">
        <v>1</v>
      </c>
      <c r="G2984" s="122">
        <v>126</v>
      </c>
      <c r="H2984" s="122">
        <v>328</v>
      </c>
      <c r="I2984" s="122">
        <v>24981</v>
      </c>
      <c r="J2984" s="122">
        <v>22710</v>
      </c>
      <c r="K2984" s="122">
        <v>70</v>
      </c>
      <c r="L2984" s="122">
        <v>4614</v>
      </c>
      <c r="M2984" s="122">
        <v>4195</v>
      </c>
      <c r="N2984" s="122">
        <v>2795</v>
      </c>
      <c r="O2984" s="122">
        <v>1035</v>
      </c>
      <c r="P2984" s="122">
        <v>621</v>
      </c>
      <c r="Q2984" s="122">
        <v>230</v>
      </c>
      <c r="R2984" s="122">
        <v>5212</v>
      </c>
      <c r="S2984" s="122">
        <v>4738</v>
      </c>
      <c r="T2984" s="122">
        <v>3103</v>
      </c>
      <c r="U2984" s="122">
        <v>1149</v>
      </c>
      <c r="V2984" s="122">
        <v>34057</v>
      </c>
      <c r="W2984" s="122">
        <f t="shared" si="94"/>
        <v>34057</v>
      </c>
      <c r="X2984" s="122">
        <f t="shared" si="95"/>
        <v>41326</v>
      </c>
    </row>
    <row r="2985" spans="2:24">
      <c r="B2985" t="s">
        <v>384</v>
      </c>
      <c r="C2985" t="s">
        <v>60</v>
      </c>
      <c r="D2985" t="s">
        <v>427</v>
      </c>
      <c r="E2985" t="s">
        <v>406</v>
      </c>
      <c r="F2985" s="122">
        <v>1</v>
      </c>
      <c r="G2985" s="122">
        <v>97</v>
      </c>
      <c r="H2985" s="122">
        <v>336</v>
      </c>
      <c r="I2985" s="122">
        <v>18325</v>
      </c>
      <c r="J2985" s="122">
        <v>16659</v>
      </c>
      <c r="K2985" s="122">
        <v>79</v>
      </c>
      <c r="L2985" s="122">
        <v>5090</v>
      </c>
      <c r="M2985" s="122">
        <v>4627</v>
      </c>
      <c r="N2985" s="122">
        <v>2229</v>
      </c>
      <c r="O2985" s="122">
        <v>825</v>
      </c>
      <c r="P2985" s="122">
        <v>621</v>
      </c>
      <c r="Q2985" s="122">
        <v>230</v>
      </c>
      <c r="R2985" s="122">
        <v>6458</v>
      </c>
      <c r="S2985" s="122">
        <v>5870</v>
      </c>
      <c r="T2985" s="122">
        <v>0</v>
      </c>
      <c r="U2985" s="122">
        <v>0</v>
      </c>
      <c r="V2985" s="122">
        <v>28212</v>
      </c>
      <c r="W2985" s="122">
        <f t="shared" si="94"/>
        <v>28211</v>
      </c>
      <c r="X2985" s="122">
        <f t="shared" si="95"/>
        <v>32723</v>
      </c>
    </row>
    <row r="2986" spans="2:24">
      <c r="B2986" t="s">
        <v>384</v>
      </c>
      <c r="C2986" t="s">
        <v>60</v>
      </c>
      <c r="D2986" t="s">
        <v>427</v>
      </c>
      <c r="E2986" t="s">
        <v>427</v>
      </c>
      <c r="F2986" s="122">
        <v>6</v>
      </c>
      <c r="G2986" s="122">
        <v>681</v>
      </c>
      <c r="H2986" s="122">
        <v>2126</v>
      </c>
      <c r="I2986" s="122">
        <v>150854</v>
      </c>
      <c r="J2986" s="122">
        <v>137140</v>
      </c>
      <c r="K2986" s="122">
        <v>58</v>
      </c>
      <c r="L2986" s="122">
        <v>25141</v>
      </c>
      <c r="M2986" s="122">
        <v>19216</v>
      </c>
      <c r="N2986" s="122">
        <v>13206</v>
      </c>
      <c r="O2986" s="122">
        <v>4891</v>
      </c>
      <c r="P2986" s="122">
        <v>2376</v>
      </c>
      <c r="Q2986" s="122">
        <v>880</v>
      </c>
      <c r="R2986" s="122">
        <v>32674</v>
      </c>
      <c r="S2986" s="122">
        <v>29703</v>
      </c>
      <c r="T2986" s="122">
        <v>17542</v>
      </c>
      <c r="U2986" s="122">
        <v>6497</v>
      </c>
      <c r="V2986" s="122">
        <v>198328</v>
      </c>
      <c r="W2986" s="122">
        <f t="shared" si="94"/>
        <v>198327</v>
      </c>
      <c r="X2986" s="122">
        <f t="shared" si="95"/>
        <v>241793</v>
      </c>
    </row>
    <row r="2987" spans="2:24">
      <c r="B2987" t="s">
        <v>384</v>
      </c>
      <c r="C2987" t="s">
        <v>60</v>
      </c>
      <c r="D2987" t="s">
        <v>407</v>
      </c>
      <c r="E2987" t="s">
        <v>407</v>
      </c>
      <c r="F2987" s="122">
        <v>58</v>
      </c>
      <c r="G2987" s="122">
        <v>6581</v>
      </c>
      <c r="H2987" s="122">
        <v>19350</v>
      </c>
      <c r="I2987" s="122">
        <v>1345265</v>
      </c>
      <c r="J2987" s="122">
        <v>1222968</v>
      </c>
      <c r="K2987" s="122">
        <v>79</v>
      </c>
      <c r="L2987" s="122">
        <v>334896</v>
      </c>
      <c r="M2987" s="122">
        <v>294363</v>
      </c>
      <c r="N2987" s="122">
        <v>130534</v>
      </c>
      <c r="O2987" s="122">
        <v>48346</v>
      </c>
      <c r="P2987" s="122">
        <v>27756</v>
      </c>
      <c r="Q2987" s="122">
        <v>10280</v>
      </c>
      <c r="R2987" s="122">
        <v>278088</v>
      </c>
      <c r="S2987" s="122">
        <v>252807</v>
      </c>
      <c r="T2987" s="122">
        <v>91173</v>
      </c>
      <c r="U2987" s="122">
        <v>33768</v>
      </c>
      <c r="V2987" s="122">
        <v>1862532</v>
      </c>
      <c r="W2987" s="122">
        <f t="shared" si="94"/>
        <v>1862532</v>
      </c>
      <c r="X2987" s="122">
        <f t="shared" si="95"/>
        <v>2207712</v>
      </c>
    </row>
    <row r="2988" spans="2:24">
      <c r="B2988" t="s">
        <v>384</v>
      </c>
      <c r="C2988" t="s">
        <v>60</v>
      </c>
      <c r="D2988" t="s">
        <v>556</v>
      </c>
      <c r="E2988" t="s">
        <v>556</v>
      </c>
      <c r="F2988" s="122">
        <v>6</v>
      </c>
      <c r="G2988" s="122">
        <v>743</v>
      </c>
      <c r="H2988" s="122">
        <v>2117</v>
      </c>
      <c r="I2988" s="122">
        <v>167331</v>
      </c>
      <c r="J2988" s="122">
        <v>139443</v>
      </c>
      <c r="K2988" s="122">
        <v>59</v>
      </c>
      <c r="L2988" s="122">
        <v>19087</v>
      </c>
      <c r="M2988" s="122">
        <v>16380</v>
      </c>
      <c r="N2988" s="122">
        <v>15129</v>
      </c>
      <c r="O2988" s="122">
        <v>5603</v>
      </c>
      <c r="P2988" s="122">
        <v>2646</v>
      </c>
      <c r="Q2988" s="122">
        <v>980</v>
      </c>
      <c r="R2988" s="122">
        <v>34790</v>
      </c>
      <c r="S2988" s="122">
        <v>28992</v>
      </c>
      <c r="T2988" s="122">
        <v>16226</v>
      </c>
      <c r="U2988" s="122">
        <v>6010</v>
      </c>
      <c r="V2988" s="122">
        <v>197407</v>
      </c>
      <c r="W2988" s="122">
        <f t="shared" ref="W2988:W3051" si="96">SUM(ABS(J2988),ABS(M2988),ABS(O2988),ABS(Q2988),ABS(S2988),ABS(U2988))</f>
        <v>197408</v>
      </c>
      <c r="X2988" s="122">
        <f t="shared" ref="X2988:X3051" si="97">SUM(ABS(I2988),ABS(N2988),ABS(P2988),ABS(R2988),ABS(T2988),ABS(L2988))</f>
        <v>255209</v>
      </c>
    </row>
    <row r="2989" spans="2:24">
      <c r="B2989" t="s">
        <v>384</v>
      </c>
      <c r="C2989" t="s">
        <v>60</v>
      </c>
      <c r="D2989" t="s">
        <v>426</v>
      </c>
      <c r="E2989" t="s">
        <v>426</v>
      </c>
      <c r="F2989" s="122">
        <v>19</v>
      </c>
      <c r="G2989" s="122">
        <v>2008</v>
      </c>
      <c r="H2989" s="122">
        <v>6540</v>
      </c>
      <c r="I2989" s="122">
        <v>476469</v>
      </c>
      <c r="J2989" s="122">
        <v>433154</v>
      </c>
      <c r="K2989" s="122">
        <v>62</v>
      </c>
      <c r="L2989" s="122">
        <v>56191</v>
      </c>
      <c r="M2989" s="122">
        <v>48792</v>
      </c>
      <c r="N2989" s="122">
        <v>38227</v>
      </c>
      <c r="O2989" s="122">
        <v>14158</v>
      </c>
      <c r="P2989" s="122">
        <v>6939</v>
      </c>
      <c r="Q2989" s="122">
        <v>2570</v>
      </c>
      <c r="R2989" s="122">
        <v>87114</v>
      </c>
      <c r="S2989" s="122">
        <v>79194</v>
      </c>
      <c r="T2989" s="122">
        <v>43328</v>
      </c>
      <c r="U2989" s="122">
        <v>16047</v>
      </c>
      <c r="V2989" s="122">
        <v>593916</v>
      </c>
      <c r="W2989" s="122">
        <f t="shared" si="96"/>
        <v>593915</v>
      </c>
      <c r="X2989" s="122">
        <f t="shared" si="97"/>
        <v>708268</v>
      </c>
    </row>
    <row r="2990" spans="2:24">
      <c r="B2990" t="s">
        <v>384</v>
      </c>
      <c r="C2990" t="s">
        <v>60</v>
      </c>
      <c r="D2990" t="s">
        <v>408</v>
      </c>
      <c r="E2990" t="s">
        <v>408</v>
      </c>
      <c r="F2990" s="122">
        <v>2</v>
      </c>
      <c r="G2990" s="122">
        <v>267</v>
      </c>
      <c r="H2990" s="122">
        <v>700</v>
      </c>
      <c r="I2990" s="122">
        <v>65449</v>
      </c>
      <c r="J2990" s="122">
        <v>59500</v>
      </c>
      <c r="K2990" s="122">
        <v>73</v>
      </c>
      <c r="L2990" s="122">
        <v>9556</v>
      </c>
      <c r="M2990" s="122">
        <v>8687</v>
      </c>
      <c r="N2990" s="122">
        <v>5475</v>
      </c>
      <c r="O2990" s="122">
        <v>2028</v>
      </c>
      <c r="P2990" s="122">
        <v>702</v>
      </c>
      <c r="Q2990" s="122">
        <v>260</v>
      </c>
      <c r="R2990" s="122">
        <v>12021</v>
      </c>
      <c r="S2990" s="122">
        <v>10928</v>
      </c>
      <c r="T2990" s="122">
        <v>0</v>
      </c>
      <c r="U2990" s="122">
        <v>0</v>
      </c>
      <c r="V2990" s="122">
        <v>81402</v>
      </c>
      <c r="W2990" s="122">
        <f t="shared" si="96"/>
        <v>81403</v>
      </c>
      <c r="X2990" s="122">
        <f t="shared" si="97"/>
        <v>93203</v>
      </c>
    </row>
    <row r="2991" spans="2:24">
      <c r="B2991" t="s">
        <v>384</v>
      </c>
      <c r="C2991" t="s">
        <v>62</v>
      </c>
      <c r="D2991" t="s">
        <v>425</v>
      </c>
      <c r="E2991" t="s">
        <v>425</v>
      </c>
      <c r="F2991" s="122">
        <v>1</v>
      </c>
      <c r="G2991" s="122">
        <v>264</v>
      </c>
      <c r="H2991" s="122">
        <v>422</v>
      </c>
      <c r="I2991" s="122">
        <v>79058</v>
      </c>
      <c r="J2991" s="122">
        <v>71871</v>
      </c>
      <c r="K2991" s="122">
        <v>55</v>
      </c>
      <c r="L2991" s="122">
        <v>15285</v>
      </c>
      <c r="M2991" s="122">
        <v>13895</v>
      </c>
      <c r="N2991" s="122">
        <v>4759</v>
      </c>
      <c r="O2991" s="122">
        <v>1763</v>
      </c>
      <c r="P2991" s="122">
        <v>473</v>
      </c>
      <c r="Q2991" s="122">
        <v>175</v>
      </c>
      <c r="R2991" s="122">
        <v>11897</v>
      </c>
      <c r="S2991" s="122">
        <v>10815</v>
      </c>
      <c r="T2991" s="122">
        <v>0</v>
      </c>
      <c r="U2991" s="122">
        <v>0</v>
      </c>
      <c r="V2991" s="122">
        <v>98519</v>
      </c>
      <c r="W2991" s="122">
        <f t="shared" si="96"/>
        <v>98519</v>
      </c>
      <c r="X2991" s="122">
        <f t="shared" si="97"/>
        <v>111472</v>
      </c>
    </row>
    <row r="2992" spans="2:24">
      <c r="B2992" t="s">
        <v>384</v>
      </c>
      <c r="C2992" t="s">
        <v>62</v>
      </c>
      <c r="D2992" t="s">
        <v>425</v>
      </c>
      <c r="E2992" t="s">
        <v>406</v>
      </c>
      <c r="F2992" s="122">
        <v>1</v>
      </c>
      <c r="G2992" s="122">
        <v>70</v>
      </c>
      <c r="H2992" s="122">
        <v>428</v>
      </c>
      <c r="I2992" s="122">
        <v>16296</v>
      </c>
      <c r="J2992" s="122">
        <v>14815</v>
      </c>
      <c r="K2992" s="122">
        <v>86</v>
      </c>
      <c r="L2992" s="122">
        <v>2014</v>
      </c>
      <c r="M2992" s="122">
        <v>1831</v>
      </c>
      <c r="N2992" s="122">
        <v>1430</v>
      </c>
      <c r="O2992" s="122">
        <v>530</v>
      </c>
      <c r="P2992" s="122">
        <v>621</v>
      </c>
      <c r="Q2992" s="122">
        <v>230</v>
      </c>
      <c r="R2992" s="122">
        <v>5447</v>
      </c>
      <c r="S2992" s="122">
        <v>4951</v>
      </c>
      <c r="T2992" s="122">
        <v>4261</v>
      </c>
      <c r="U2992" s="122">
        <v>1578</v>
      </c>
      <c r="V2992" s="122">
        <v>23935</v>
      </c>
      <c r="W2992" s="122">
        <f t="shared" si="96"/>
        <v>23935</v>
      </c>
      <c r="X2992" s="122">
        <f t="shared" si="97"/>
        <v>30069</v>
      </c>
    </row>
    <row r="2993" spans="2:24">
      <c r="B2993" t="s">
        <v>384</v>
      </c>
      <c r="C2993" t="s">
        <v>62</v>
      </c>
      <c r="D2993" t="s">
        <v>405</v>
      </c>
      <c r="E2993" t="s">
        <v>405</v>
      </c>
      <c r="F2993" s="122">
        <v>1</v>
      </c>
      <c r="G2993" s="122">
        <v>114</v>
      </c>
      <c r="H2993" s="122">
        <v>422</v>
      </c>
      <c r="I2993" s="122">
        <v>34126</v>
      </c>
      <c r="J2993" s="122">
        <v>31024</v>
      </c>
      <c r="K2993" s="122">
        <v>65</v>
      </c>
      <c r="L2993" s="122">
        <v>4261</v>
      </c>
      <c r="M2993" s="122">
        <v>3873</v>
      </c>
      <c r="N2993" s="122">
        <v>2575</v>
      </c>
      <c r="O2993" s="122">
        <v>954</v>
      </c>
      <c r="P2993" s="122">
        <v>473</v>
      </c>
      <c r="Q2993" s="122">
        <v>175</v>
      </c>
      <c r="R2993" s="122">
        <v>6475</v>
      </c>
      <c r="S2993" s="122">
        <v>5887</v>
      </c>
      <c r="T2993" s="122">
        <v>0</v>
      </c>
      <c r="U2993" s="122">
        <v>0</v>
      </c>
      <c r="V2993" s="122">
        <v>41912</v>
      </c>
      <c r="W2993" s="122">
        <f t="shared" si="96"/>
        <v>41913</v>
      </c>
      <c r="X2993" s="122">
        <f t="shared" si="97"/>
        <v>47910</v>
      </c>
    </row>
    <row r="2994" spans="2:24">
      <c r="B2994" t="s">
        <v>384</v>
      </c>
      <c r="C2994" t="s">
        <v>62</v>
      </c>
      <c r="D2994" t="s">
        <v>137</v>
      </c>
      <c r="E2994" t="s">
        <v>137</v>
      </c>
      <c r="F2994" s="122">
        <v>22</v>
      </c>
      <c r="G2994" s="122">
        <v>2025</v>
      </c>
      <c r="H2994" s="122">
        <v>9257</v>
      </c>
      <c r="I2994" s="122">
        <v>545093</v>
      </c>
      <c r="J2994" s="122">
        <v>201886</v>
      </c>
      <c r="K2994" s="122">
        <v>107</v>
      </c>
      <c r="L2994" s="122">
        <v>102210</v>
      </c>
      <c r="M2994" s="122">
        <v>80776</v>
      </c>
      <c r="N2994" s="122">
        <v>41406</v>
      </c>
      <c r="O2994" s="122">
        <v>15336</v>
      </c>
      <c r="P2994" s="122">
        <v>251</v>
      </c>
      <c r="Q2994" s="122">
        <v>93</v>
      </c>
      <c r="R2994" s="122">
        <v>158086</v>
      </c>
      <c r="S2994" s="122">
        <v>58550</v>
      </c>
      <c r="T2994" s="122">
        <v>0</v>
      </c>
      <c r="U2994" s="122">
        <v>0</v>
      </c>
      <c r="V2994" s="122">
        <v>356641</v>
      </c>
      <c r="W2994" s="122">
        <f t="shared" si="96"/>
        <v>356641</v>
      </c>
      <c r="X2994" s="122">
        <f t="shared" si="97"/>
        <v>847046</v>
      </c>
    </row>
    <row r="2995" spans="2:24">
      <c r="B2995" t="s">
        <v>384</v>
      </c>
      <c r="C2995" t="s">
        <v>62</v>
      </c>
      <c r="D2995" t="s">
        <v>137</v>
      </c>
      <c r="E2995" t="s">
        <v>426</v>
      </c>
      <c r="F2995" s="122">
        <v>1</v>
      </c>
      <c r="G2995" s="122">
        <v>74</v>
      </c>
      <c r="H2995" s="122">
        <v>437</v>
      </c>
      <c r="I2995" s="122">
        <v>20890</v>
      </c>
      <c r="J2995" s="122">
        <v>7737</v>
      </c>
      <c r="K2995" s="122">
        <v>100</v>
      </c>
      <c r="L2995" s="122">
        <v>1891</v>
      </c>
      <c r="M2995" s="122">
        <v>1719</v>
      </c>
      <c r="N2995" s="122">
        <v>1525</v>
      </c>
      <c r="O2995" s="122">
        <v>565</v>
      </c>
      <c r="P2995" s="122">
        <v>0</v>
      </c>
      <c r="Q2995" s="122">
        <v>0</v>
      </c>
      <c r="R2995" s="122">
        <v>3755</v>
      </c>
      <c r="S2995" s="122">
        <v>3414</v>
      </c>
      <c r="T2995" s="122">
        <v>4313</v>
      </c>
      <c r="U2995" s="122">
        <v>1597</v>
      </c>
      <c r="V2995" s="122">
        <v>15033</v>
      </c>
      <c r="W2995" s="122">
        <f t="shared" si="96"/>
        <v>15032</v>
      </c>
      <c r="X2995" s="122">
        <f t="shared" si="97"/>
        <v>32374</v>
      </c>
    </row>
    <row r="2996" spans="2:24">
      <c r="B2996" t="s">
        <v>384</v>
      </c>
      <c r="C2996" t="s">
        <v>62</v>
      </c>
      <c r="D2996" t="s">
        <v>406</v>
      </c>
      <c r="E2996" t="s">
        <v>425</v>
      </c>
      <c r="F2996" s="122">
        <v>1</v>
      </c>
      <c r="G2996" s="122">
        <v>92</v>
      </c>
      <c r="H2996" s="122">
        <v>393</v>
      </c>
      <c r="I2996" s="122">
        <v>22401</v>
      </c>
      <c r="J2996" s="122">
        <v>20365</v>
      </c>
      <c r="K2996" s="122">
        <v>65</v>
      </c>
      <c r="L2996" s="122">
        <v>5127</v>
      </c>
      <c r="M2996" s="122">
        <v>4661</v>
      </c>
      <c r="N2996" s="122">
        <v>2157</v>
      </c>
      <c r="O2996" s="122">
        <v>799</v>
      </c>
      <c r="P2996" s="122">
        <v>621</v>
      </c>
      <c r="Q2996" s="122">
        <v>230</v>
      </c>
      <c r="R2996" s="122">
        <v>5936</v>
      </c>
      <c r="S2996" s="122">
        <v>5396</v>
      </c>
      <c r="T2996" s="122">
        <v>0</v>
      </c>
      <c r="U2996" s="122">
        <v>0</v>
      </c>
      <c r="V2996" s="122">
        <v>31451</v>
      </c>
      <c r="W2996" s="122">
        <f t="shared" si="96"/>
        <v>31451</v>
      </c>
      <c r="X2996" s="122">
        <f t="shared" si="97"/>
        <v>36242</v>
      </c>
    </row>
    <row r="2997" spans="2:24">
      <c r="B2997" t="s">
        <v>384</v>
      </c>
      <c r="C2997" t="s">
        <v>62</v>
      </c>
      <c r="D2997" t="s">
        <v>406</v>
      </c>
      <c r="E2997" t="s">
        <v>137</v>
      </c>
      <c r="F2997" s="122">
        <v>4</v>
      </c>
      <c r="G2997" s="122">
        <v>577</v>
      </c>
      <c r="H2997" s="122">
        <v>1673</v>
      </c>
      <c r="I2997" s="122">
        <v>171122</v>
      </c>
      <c r="J2997" s="122">
        <v>155566</v>
      </c>
      <c r="K2997" s="122">
        <v>75</v>
      </c>
      <c r="L2997" s="122">
        <v>31476</v>
      </c>
      <c r="M2997" s="122">
        <v>27749</v>
      </c>
      <c r="N2997" s="122">
        <v>12234</v>
      </c>
      <c r="O2997" s="122">
        <v>4531</v>
      </c>
      <c r="P2997" s="122">
        <v>2484</v>
      </c>
      <c r="Q2997" s="122">
        <v>920</v>
      </c>
      <c r="R2997" s="122">
        <v>25103</v>
      </c>
      <c r="S2997" s="122">
        <v>9297</v>
      </c>
      <c r="T2997" s="122">
        <v>0</v>
      </c>
      <c r="U2997" s="122">
        <v>0</v>
      </c>
      <c r="V2997" s="122">
        <v>198064</v>
      </c>
      <c r="W2997" s="122">
        <f t="shared" si="96"/>
        <v>198063</v>
      </c>
      <c r="X2997" s="122">
        <f t="shared" si="97"/>
        <v>242419</v>
      </c>
    </row>
    <row r="2998" spans="2:24">
      <c r="B2998" t="s">
        <v>384</v>
      </c>
      <c r="C2998" t="s">
        <v>62</v>
      </c>
      <c r="D2998" t="s">
        <v>406</v>
      </c>
      <c r="E2998" t="s">
        <v>406</v>
      </c>
      <c r="F2998" s="122">
        <v>214</v>
      </c>
      <c r="G2998" s="122">
        <v>25533</v>
      </c>
      <c r="H2998" s="122">
        <v>88408</v>
      </c>
      <c r="I2998" s="122">
        <v>7112802</v>
      </c>
      <c r="J2998" s="122">
        <v>6466184</v>
      </c>
      <c r="K2998" s="122">
        <v>76</v>
      </c>
      <c r="L2998" s="122">
        <v>1443609</v>
      </c>
      <c r="M2998" s="122">
        <v>1275770</v>
      </c>
      <c r="N2998" s="122">
        <v>542727</v>
      </c>
      <c r="O2998" s="122">
        <v>201010</v>
      </c>
      <c r="P2998" s="122">
        <v>136944</v>
      </c>
      <c r="Q2998" s="122">
        <v>50720</v>
      </c>
      <c r="R2998" s="122">
        <v>1126904</v>
      </c>
      <c r="S2998" s="122">
        <v>1024458</v>
      </c>
      <c r="T2998" s="122">
        <v>347200</v>
      </c>
      <c r="U2998" s="122">
        <v>128593</v>
      </c>
      <c r="V2998" s="122">
        <v>9146734</v>
      </c>
      <c r="W2998" s="122">
        <f t="shared" si="96"/>
        <v>9146735</v>
      </c>
      <c r="X2998" s="122">
        <f t="shared" si="97"/>
        <v>10710186</v>
      </c>
    </row>
    <row r="2999" spans="2:24">
      <c r="B2999" t="s">
        <v>384</v>
      </c>
      <c r="C2999" t="s">
        <v>62</v>
      </c>
      <c r="D2999" t="s">
        <v>427</v>
      </c>
      <c r="E2999" t="s">
        <v>137</v>
      </c>
      <c r="F2999" s="122">
        <v>1</v>
      </c>
      <c r="G2999" s="122">
        <v>282</v>
      </c>
      <c r="H2999" s="122">
        <v>397</v>
      </c>
      <c r="I2999" s="122">
        <v>98615</v>
      </c>
      <c r="J2999" s="122">
        <v>89650</v>
      </c>
      <c r="K2999" s="122">
        <v>30</v>
      </c>
      <c r="L2999" s="122">
        <v>0</v>
      </c>
      <c r="M2999" s="122">
        <v>0</v>
      </c>
      <c r="N2999" s="122">
        <v>3439</v>
      </c>
      <c r="O2999" s="122">
        <v>1274</v>
      </c>
      <c r="P2999" s="122">
        <v>0</v>
      </c>
      <c r="Q2999" s="122">
        <v>0</v>
      </c>
      <c r="R2999" s="122">
        <v>9954</v>
      </c>
      <c r="S2999" s="122">
        <v>3687</v>
      </c>
      <c r="T2999" s="122">
        <v>0</v>
      </c>
      <c r="U2999" s="122">
        <v>0</v>
      </c>
      <c r="V2999" s="122">
        <v>94610</v>
      </c>
      <c r="W2999" s="122">
        <f t="shared" si="96"/>
        <v>94611</v>
      </c>
      <c r="X2999" s="122">
        <f t="shared" si="97"/>
        <v>112008</v>
      </c>
    </row>
    <row r="3000" spans="2:24">
      <c r="B3000" t="s">
        <v>384</v>
      </c>
      <c r="C3000" t="s">
        <v>62</v>
      </c>
      <c r="D3000" t="s">
        <v>427</v>
      </c>
      <c r="E3000" t="s">
        <v>427</v>
      </c>
      <c r="F3000" s="122">
        <v>6</v>
      </c>
      <c r="G3000" s="122">
        <v>509</v>
      </c>
      <c r="H3000" s="122">
        <v>2436</v>
      </c>
      <c r="I3000" s="122">
        <v>122224</v>
      </c>
      <c r="J3000" s="122">
        <v>111113</v>
      </c>
      <c r="K3000" s="122">
        <v>58</v>
      </c>
      <c r="L3000" s="122">
        <v>21649</v>
      </c>
      <c r="M3000" s="122">
        <v>14625</v>
      </c>
      <c r="N3000" s="122">
        <v>8790</v>
      </c>
      <c r="O3000" s="122">
        <v>3255</v>
      </c>
      <c r="P3000" s="122">
        <v>2228</v>
      </c>
      <c r="Q3000" s="122">
        <v>825</v>
      </c>
      <c r="R3000" s="122">
        <v>44950</v>
      </c>
      <c r="S3000" s="122">
        <v>40864</v>
      </c>
      <c r="T3000" s="122">
        <v>6648</v>
      </c>
      <c r="U3000" s="122">
        <v>2462</v>
      </c>
      <c r="V3000" s="122">
        <v>173144</v>
      </c>
      <c r="W3000" s="122">
        <f t="shared" si="96"/>
        <v>173144</v>
      </c>
      <c r="X3000" s="122">
        <f t="shared" si="97"/>
        <v>206489</v>
      </c>
    </row>
    <row r="3001" spans="2:24">
      <c r="B3001" t="s">
        <v>384</v>
      </c>
      <c r="C3001" t="s">
        <v>62</v>
      </c>
      <c r="D3001" t="s">
        <v>407</v>
      </c>
      <c r="E3001" t="s">
        <v>407</v>
      </c>
      <c r="F3001" s="122">
        <v>21</v>
      </c>
      <c r="G3001" s="122">
        <v>2399</v>
      </c>
      <c r="H3001" s="122">
        <v>8774</v>
      </c>
      <c r="I3001" s="122">
        <v>667759</v>
      </c>
      <c r="J3001" s="122">
        <v>607053</v>
      </c>
      <c r="K3001" s="122">
        <v>76</v>
      </c>
      <c r="L3001" s="122">
        <v>156130</v>
      </c>
      <c r="M3001" s="122">
        <v>135302</v>
      </c>
      <c r="N3001" s="122">
        <v>53316</v>
      </c>
      <c r="O3001" s="122">
        <v>19747</v>
      </c>
      <c r="P3001" s="122">
        <v>9923</v>
      </c>
      <c r="Q3001" s="122">
        <v>3675</v>
      </c>
      <c r="R3001" s="122">
        <v>105965</v>
      </c>
      <c r="S3001" s="122">
        <v>96332</v>
      </c>
      <c r="T3001" s="122">
        <v>43427</v>
      </c>
      <c r="U3001" s="122">
        <v>16084</v>
      </c>
      <c r="V3001" s="122">
        <v>878193</v>
      </c>
      <c r="W3001" s="122">
        <f t="shared" si="96"/>
        <v>878193</v>
      </c>
      <c r="X3001" s="122">
        <f t="shared" si="97"/>
        <v>1036520</v>
      </c>
    </row>
    <row r="3002" spans="2:24">
      <c r="B3002" t="s">
        <v>384</v>
      </c>
      <c r="C3002" t="s">
        <v>62</v>
      </c>
      <c r="D3002" t="s">
        <v>556</v>
      </c>
      <c r="E3002" t="s">
        <v>556</v>
      </c>
      <c r="F3002" s="122">
        <v>5</v>
      </c>
      <c r="G3002" s="122">
        <v>568</v>
      </c>
      <c r="H3002" s="122">
        <v>2005</v>
      </c>
      <c r="I3002" s="122">
        <v>153132</v>
      </c>
      <c r="J3002" s="122">
        <v>127610</v>
      </c>
      <c r="K3002" s="122">
        <v>58</v>
      </c>
      <c r="L3002" s="122">
        <v>16282</v>
      </c>
      <c r="M3002" s="122">
        <v>14802</v>
      </c>
      <c r="N3002" s="122">
        <v>11915</v>
      </c>
      <c r="O3002" s="122">
        <v>4413</v>
      </c>
      <c r="P3002" s="122">
        <v>2025</v>
      </c>
      <c r="Q3002" s="122">
        <v>750</v>
      </c>
      <c r="R3002" s="122">
        <v>28602</v>
      </c>
      <c r="S3002" s="122">
        <v>23835</v>
      </c>
      <c r="T3002" s="122">
        <v>12961</v>
      </c>
      <c r="U3002" s="122">
        <v>4800</v>
      </c>
      <c r="V3002" s="122">
        <v>176210</v>
      </c>
      <c r="W3002" s="122">
        <f t="shared" si="96"/>
        <v>176210</v>
      </c>
      <c r="X3002" s="122">
        <f t="shared" si="97"/>
        <v>224917</v>
      </c>
    </row>
    <row r="3003" spans="2:24">
      <c r="B3003" t="s">
        <v>384</v>
      </c>
      <c r="C3003" t="s">
        <v>62</v>
      </c>
      <c r="D3003" t="s">
        <v>426</v>
      </c>
      <c r="E3003" t="s">
        <v>137</v>
      </c>
      <c r="F3003" s="122">
        <v>2</v>
      </c>
      <c r="G3003" s="122">
        <v>168</v>
      </c>
      <c r="H3003" s="122">
        <v>852</v>
      </c>
      <c r="I3003" s="122">
        <v>40590</v>
      </c>
      <c r="J3003" s="122">
        <v>36900</v>
      </c>
      <c r="K3003" s="122">
        <v>55</v>
      </c>
      <c r="L3003" s="122">
        <v>2840</v>
      </c>
      <c r="M3003" s="122">
        <v>1052</v>
      </c>
      <c r="N3003" s="122">
        <v>2510</v>
      </c>
      <c r="O3003" s="122">
        <v>930</v>
      </c>
      <c r="P3003" s="122">
        <v>702</v>
      </c>
      <c r="Q3003" s="122">
        <v>260</v>
      </c>
      <c r="R3003" s="122">
        <v>24550</v>
      </c>
      <c r="S3003" s="122">
        <v>9093</v>
      </c>
      <c r="T3003" s="122">
        <v>0</v>
      </c>
      <c r="U3003" s="122">
        <v>0</v>
      </c>
      <c r="V3003" s="122">
        <v>48234</v>
      </c>
      <c r="W3003" s="122">
        <f t="shared" si="96"/>
        <v>48235</v>
      </c>
      <c r="X3003" s="122">
        <f t="shared" si="97"/>
        <v>71192</v>
      </c>
    </row>
    <row r="3004" spans="2:24">
      <c r="B3004" t="s">
        <v>384</v>
      </c>
      <c r="C3004" t="s">
        <v>62</v>
      </c>
      <c r="D3004" t="s">
        <v>426</v>
      </c>
      <c r="E3004" t="s">
        <v>426</v>
      </c>
      <c r="F3004" s="122">
        <v>34</v>
      </c>
      <c r="G3004" s="122">
        <v>2947</v>
      </c>
      <c r="H3004" s="122">
        <v>14083</v>
      </c>
      <c r="I3004" s="122">
        <v>804388</v>
      </c>
      <c r="J3004" s="122">
        <v>731261</v>
      </c>
      <c r="K3004" s="122">
        <v>57</v>
      </c>
      <c r="L3004" s="122">
        <v>106570</v>
      </c>
      <c r="M3004" s="122">
        <v>74044</v>
      </c>
      <c r="N3004" s="122">
        <v>60175</v>
      </c>
      <c r="O3004" s="122">
        <v>22287</v>
      </c>
      <c r="P3004" s="122">
        <v>11583</v>
      </c>
      <c r="Q3004" s="122">
        <v>4290</v>
      </c>
      <c r="R3004" s="122">
        <v>181429</v>
      </c>
      <c r="S3004" s="122">
        <v>164935</v>
      </c>
      <c r="T3004" s="122">
        <v>66293</v>
      </c>
      <c r="U3004" s="122">
        <v>24553</v>
      </c>
      <c r="V3004" s="122">
        <v>1021371</v>
      </c>
      <c r="W3004" s="122">
        <f t="shared" si="96"/>
        <v>1021370</v>
      </c>
      <c r="X3004" s="122">
        <f t="shared" si="97"/>
        <v>1230438</v>
      </c>
    </row>
    <row r="3005" spans="2:24">
      <c r="B3005" t="s">
        <v>384</v>
      </c>
      <c r="C3005" t="s">
        <v>62</v>
      </c>
      <c r="D3005" t="s">
        <v>433</v>
      </c>
      <c r="E3005" t="s">
        <v>433</v>
      </c>
      <c r="F3005" s="122">
        <v>3</v>
      </c>
      <c r="G3005" s="122">
        <v>227</v>
      </c>
      <c r="H3005" s="122">
        <v>1318</v>
      </c>
      <c r="I3005" s="122">
        <v>64819</v>
      </c>
      <c r="J3005" s="122">
        <v>58927</v>
      </c>
      <c r="K3005" s="122">
        <v>55</v>
      </c>
      <c r="L3005" s="122">
        <v>6796</v>
      </c>
      <c r="M3005" s="122">
        <v>6178</v>
      </c>
      <c r="N3005" s="122">
        <v>4447</v>
      </c>
      <c r="O3005" s="122">
        <v>1647</v>
      </c>
      <c r="P3005" s="122">
        <v>1053</v>
      </c>
      <c r="Q3005" s="122">
        <v>390</v>
      </c>
      <c r="R3005" s="122">
        <v>18210</v>
      </c>
      <c r="S3005" s="122">
        <v>16555</v>
      </c>
      <c r="T3005" s="122">
        <v>3742</v>
      </c>
      <c r="U3005" s="122">
        <v>1386</v>
      </c>
      <c r="V3005" s="122">
        <v>85083</v>
      </c>
      <c r="W3005" s="122">
        <f t="shared" si="96"/>
        <v>85083</v>
      </c>
      <c r="X3005" s="122">
        <f t="shared" si="97"/>
        <v>99067</v>
      </c>
    </row>
    <row r="3006" spans="2:24">
      <c r="B3006" t="s">
        <v>384</v>
      </c>
      <c r="C3006" t="s">
        <v>62</v>
      </c>
      <c r="D3006" t="s">
        <v>408</v>
      </c>
      <c r="E3006" t="s">
        <v>408</v>
      </c>
      <c r="F3006" s="122">
        <v>1</v>
      </c>
      <c r="G3006" s="122">
        <v>247</v>
      </c>
      <c r="H3006" s="122">
        <v>401</v>
      </c>
      <c r="I3006" s="122">
        <v>69585</v>
      </c>
      <c r="J3006" s="122">
        <v>63259</v>
      </c>
      <c r="K3006" s="122">
        <v>65</v>
      </c>
      <c r="L3006" s="122">
        <v>16752</v>
      </c>
      <c r="M3006" s="122">
        <v>15229</v>
      </c>
      <c r="N3006" s="122">
        <v>3012</v>
      </c>
      <c r="O3006" s="122">
        <v>1116</v>
      </c>
      <c r="P3006" s="122">
        <v>351</v>
      </c>
      <c r="Q3006" s="122">
        <v>130</v>
      </c>
      <c r="R3006" s="122">
        <v>5563</v>
      </c>
      <c r="S3006" s="122">
        <v>5057</v>
      </c>
      <c r="T3006" s="122">
        <v>3828</v>
      </c>
      <c r="U3006" s="122">
        <v>1418</v>
      </c>
      <c r="V3006" s="122">
        <v>86208</v>
      </c>
      <c r="W3006" s="122">
        <f t="shared" si="96"/>
        <v>86209</v>
      </c>
      <c r="X3006" s="122">
        <f t="shared" si="97"/>
        <v>99091</v>
      </c>
    </row>
    <row r="3007" spans="2:24">
      <c r="B3007" t="s">
        <v>384</v>
      </c>
      <c r="C3007" t="s">
        <v>64</v>
      </c>
      <c r="D3007" t="s">
        <v>555</v>
      </c>
      <c r="E3007" t="s">
        <v>555</v>
      </c>
      <c r="F3007" s="122">
        <v>1</v>
      </c>
      <c r="G3007" s="122">
        <v>96</v>
      </c>
      <c r="H3007" s="122">
        <v>618</v>
      </c>
      <c r="I3007" s="122">
        <v>39644</v>
      </c>
      <c r="J3007" s="122">
        <v>36040</v>
      </c>
      <c r="K3007" s="122">
        <v>45</v>
      </c>
      <c r="L3007" s="122">
        <v>6607</v>
      </c>
      <c r="M3007" s="122">
        <v>6007</v>
      </c>
      <c r="N3007" s="122">
        <v>2174</v>
      </c>
      <c r="O3007" s="122">
        <v>805</v>
      </c>
      <c r="P3007" s="122">
        <v>351</v>
      </c>
      <c r="Q3007" s="122">
        <v>130</v>
      </c>
      <c r="R3007" s="122">
        <v>10477</v>
      </c>
      <c r="S3007" s="122">
        <v>9524</v>
      </c>
      <c r="T3007" s="122">
        <v>0</v>
      </c>
      <c r="U3007" s="122">
        <v>0</v>
      </c>
      <c r="V3007" s="122">
        <v>52506</v>
      </c>
      <c r="W3007" s="122">
        <f t="shared" si="96"/>
        <v>52506</v>
      </c>
      <c r="X3007" s="122">
        <f t="shared" si="97"/>
        <v>59253</v>
      </c>
    </row>
    <row r="3008" spans="2:24">
      <c r="B3008" t="s">
        <v>384</v>
      </c>
      <c r="C3008" t="s">
        <v>64</v>
      </c>
      <c r="D3008" t="s">
        <v>425</v>
      </c>
      <c r="E3008" t="s">
        <v>137</v>
      </c>
      <c r="F3008" s="122">
        <v>1</v>
      </c>
      <c r="G3008" s="122">
        <v>54</v>
      </c>
      <c r="H3008" s="122">
        <v>749</v>
      </c>
      <c r="I3008" s="122">
        <v>19490</v>
      </c>
      <c r="J3008" s="122">
        <v>17718</v>
      </c>
      <c r="K3008" s="122">
        <v>63</v>
      </c>
      <c r="L3008" s="122">
        <v>4548</v>
      </c>
      <c r="M3008" s="122">
        <v>4134</v>
      </c>
      <c r="N3008" s="122">
        <v>1320</v>
      </c>
      <c r="O3008" s="122">
        <v>489</v>
      </c>
      <c r="P3008" s="122">
        <v>0</v>
      </c>
      <c r="Q3008" s="122">
        <v>0</v>
      </c>
      <c r="R3008" s="122">
        <v>15208</v>
      </c>
      <c r="S3008" s="122">
        <v>5632</v>
      </c>
      <c r="T3008" s="122">
        <v>0</v>
      </c>
      <c r="U3008" s="122">
        <v>0</v>
      </c>
      <c r="V3008" s="122">
        <v>27974</v>
      </c>
      <c r="W3008" s="122">
        <f t="shared" si="96"/>
        <v>27973</v>
      </c>
      <c r="X3008" s="122">
        <f t="shared" si="97"/>
        <v>40566</v>
      </c>
    </row>
    <row r="3009" spans="2:24">
      <c r="B3009" t="s">
        <v>384</v>
      </c>
      <c r="C3009" t="s">
        <v>64</v>
      </c>
      <c r="D3009" t="s">
        <v>405</v>
      </c>
      <c r="E3009" t="s">
        <v>405</v>
      </c>
      <c r="F3009" s="122">
        <v>2</v>
      </c>
      <c r="G3009" s="122">
        <v>163</v>
      </c>
      <c r="H3009" s="122">
        <v>914</v>
      </c>
      <c r="I3009" s="122">
        <v>50216</v>
      </c>
      <c r="J3009" s="122">
        <v>45651</v>
      </c>
      <c r="K3009" s="122">
        <v>84</v>
      </c>
      <c r="L3009" s="122">
        <v>11270</v>
      </c>
      <c r="M3009" s="122">
        <v>10245</v>
      </c>
      <c r="N3009" s="122">
        <v>3342</v>
      </c>
      <c r="O3009" s="122">
        <v>1238</v>
      </c>
      <c r="P3009" s="122">
        <v>945</v>
      </c>
      <c r="Q3009" s="122">
        <v>350</v>
      </c>
      <c r="R3009" s="122">
        <v>8660</v>
      </c>
      <c r="S3009" s="122">
        <v>7872</v>
      </c>
      <c r="T3009" s="122">
        <v>0</v>
      </c>
      <c r="U3009" s="122">
        <v>0</v>
      </c>
      <c r="V3009" s="122">
        <v>65356</v>
      </c>
      <c r="W3009" s="122">
        <f t="shared" si="96"/>
        <v>65356</v>
      </c>
      <c r="X3009" s="122">
        <f t="shared" si="97"/>
        <v>74433</v>
      </c>
    </row>
    <row r="3010" spans="2:24">
      <c r="B3010" t="s">
        <v>384</v>
      </c>
      <c r="C3010" t="s">
        <v>64</v>
      </c>
      <c r="D3010" t="s">
        <v>137</v>
      </c>
      <c r="E3010" t="s">
        <v>137</v>
      </c>
      <c r="F3010" s="122">
        <v>73</v>
      </c>
      <c r="G3010" s="122">
        <v>5858</v>
      </c>
      <c r="H3010" s="122">
        <v>54126</v>
      </c>
      <c r="I3010" s="122">
        <v>3079850</v>
      </c>
      <c r="J3010" s="122">
        <v>1140685</v>
      </c>
      <c r="K3010" s="122">
        <v>100</v>
      </c>
      <c r="L3010" s="122">
        <v>479427</v>
      </c>
      <c r="M3010" s="122">
        <v>388624</v>
      </c>
      <c r="N3010" s="122">
        <v>130371</v>
      </c>
      <c r="O3010" s="122">
        <v>48286</v>
      </c>
      <c r="P3010" s="122">
        <v>351</v>
      </c>
      <c r="Q3010" s="122">
        <v>130</v>
      </c>
      <c r="R3010" s="122">
        <v>505236</v>
      </c>
      <c r="S3010" s="122">
        <v>187124</v>
      </c>
      <c r="T3010" s="122">
        <v>2126</v>
      </c>
      <c r="U3010" s="122">
        <v>787</v>
      </c>
      <c r="V3010" s="122">
        <v>1765637</v>
      </c>
      <c r="W3010" s="122">
        <f t="shared" si="96"/>
        <v>1765636</v>
      </c>
      <c r="X3010" s="122">
        <f t="shared" si="97"/>
        <v>4197361</v>
      </c>
    </row>
    <row r="3011" spans="2:24">
      <c r="B3011" t="s">
        <v>384</v>
      </c>
      <c r="C3011" t="s">
        <v>64</v>
      </c>
      <c r="D3011" t="s">
        <v>137</v>
      </c>
      <c r="E3011" t="s">
        <v>406</v>
      </c>
      <c r="F3011" s="122">
        <v>2</v>
      </c>
      <c r="G3011" s="122">
        <v>328</v>
      </c>
      <c r="H3011" s="122">
        <v>1096</v>
      </c>
      <c r="I3011" s="122">
        <v>138830</v>
      </c>
      <c r="J3011" s="122">
        <v>51419</v>
      </c>
      <c r="K3011" s="122">
        <v>100</v>
      </c>
      <c r="L3011" s="122">
        <v>11646</v>
      </c>
      <c r="M3011" s="122">
        <v>10587</v>
      </c>
      <c r="N3011" s="122">
        <v>6413</v>
      </c>
      <c r="O3011" s="122">
        <v>2375</v>
      </c>
      <c r="P3011" s="122">
        <v>621</v>
      </c>
      <c r="Q3011" s="122">
        <v>230</v>
      </c>
      <c r="R3011" s="122">
        <v>22476</v>
      </c>
      <c r="S3011" s="122">
        <v>20432</v>
      </c>
      <c r="T3011" s="122">
        <v>4929</v>
      </c>
      <c r="U3011" s="122">
        <v>1826</v>
      </c>
      <c r="V3011" s="122">
        <v>86869</v>
      </c>
      <c r="W3011" s="122">
        <f t="shared" si="96"/>
        <v>86869</v>
      </c>
      <c r="X3011" s="122">
        <f t="shared" si="97"/>
        <v>184915</v>
      </c>
    </row>
    <row r="3012" spans="2:24">
      <c r="B3012" t="s">
        <v>384</v>
      </c>
      <c r="C3012" t="s">
        <v>64</v>
      </c>
      <c r="D3012" t="s">
        <v>137</v>
      </c>
      <c r="E3012" t="s">
        <v>427</v>
      </c>
      <c r="F3012" s="122">
        <v>3</v>
      </c>
      <c r="G3012" s="122">
        <v>234</v>
      </c>
      <c r="H3012" s="122">
        <v>1807</v>
      </c>
      <c r="I3012" s="122">
        <v>102662</v>
      </c>
      <c r="J3012" s="122">
        <v>38023</v>
      </c>
      <c r="K3012" s="122">
        <v>100</v>
      </c>
      <c r="L3012" s="122">
        <v>10491</v>
      </c>
      <c r="M3012" s="122">
        <v>9537</v>
      </c>
      <c r="N3012" s="122">
        <v>5343</v>
      </c>
      <c r="O3012" s="122">
        <v>1979</v>
      </c>
      <c r="P3012" s="122">
        <v>0</v>
      </c>
      <c r="Q3012" s="122">
        <v>0</v>
      </c>
      <c r="R3012" s="122">
        <v>15717</v>
      </c>
      <c r="S3012" s="122">
        <v>14288</v>
      </c>
      <c r="T3012" s="122">
        <v>7623</v>
      </c>
      <c r="U3012" s="122">
        <v>2823</v>
      </c>
      <c r="V3012" s="122">
        <v>66650</v>
      </c>
      <c r="W3012" s="122">
        <f t="shared" si="96"/>
        <v>66650</v>
      </c>
      <c r="X3012" s="122">
        <f t="shared" si="97"/>
        <v>141836</v>
      </c>
    </row>
    <row r="3013" spans="2:24">
      <c r="B3013" t="s">
        <v>384</v>
      </c>
      <c r="C3013" t="s">
        <v>64</v>
      </c>
      <c r="D3013" t="s">
        <v>137</v>
      </c>
      <c r="E3013" t="s">
        <v>426</v>
      </c>
      <c r="F3013" s="122">
        <v>2</v>
      </c>
      <c r="G3013" s="122">
        <v>211</v>
      </c>
      <c r="H3013" s="122">
        <v>1693</v>
      </c>
      <c r="I3013" s="122">
        <v>133776</v>
      </c>
      <c r="J3013" s="122">
        <v>49547</v>
      </c>
      <c r="K3013" s="122">
        <v>100</v>
      </c>
      <c r="L3013" s="122">
        <v>21873</v>
      </c>
      <c r="M3013" s="122">
        <v>19885</v>
      </c>
      <c r="N3013" s="122">
        <v>4502</v>
      </c>
      <c r="O3013" s="122">
        <v>1667</v>
      </c>
      <c r="P3013" s="122">
        <v>702</v>
      </c>
      <c r="Q3013" s="122">
        <v>260</v>
      </c>
      <c r="R3013" s="122">
        <v>12622</v>
      </c>
      <c r="S3013" s="122">
        <v>11475</v>
      </c>
      <c r="T3013" s="122">
        <v>5264</v>
      </c>
      <c r="U3013" s="122">
        <v>1949</v>
      </c>
      <c r="V3013" s="122">
        <v>84783</v>
      </c>
      <c r="W3013" s="122">
        <f t="shared" si="96"/>
        <v>84783</v>
      </c>
      <c r="X3013" s="122">
        <f t="shared" si="97"/>
        <v>178739</v>
      </c>
    </row>
    <row r="3014" spans="2:24">
      <c r="B3014" t="s">
        <v>384</v>
      </c>
      <c r="C3014" t="s">
        <v>64</v>
      </c>
      <c r="D3014" t="s">
        <v>406</v>
      </c>
      <c r="E3014" t="s">
        <v>137</v>
      </c>
      <c r="F3014" s="122">
        <v>3</v>
      </c>
      <c r="G3014" s="122">
        <v>159</v>
      </c>
      <c r="H3014" s="122">
        <v>1873</v>
      </c>
      <c r="I3014" s="122">
        <v>66141</v>
      </c>
      <c r="J3014" s="122">
        <v>60128</v>
      </c>
      <c r="K3014" s="122">
        <v>75</v>
      </c>
      <c r="L3014" s="122">
        <v>13398</v>
      </c>
      <c r="M3014" s="122">
        <v>12180</v>
      </c>
      <c r="N3014" s="122">
        <v>3377</v>
      </c>
      <c r="O3014" s="122">
        <v>1251</v>
      </c>
      <c r="P3014" s="122">
        <v>1863</v>
      </c>
      <c r="Q3014" s="122">
        <v>690</v>
      </c>
      <c r="R3014" s="122">
        <v>15094</v>
      </c>
      <c r="S3014" s="122">
        <v>5590</v>
      </c>
      <c r="T3014" s="122">
        <v>0</v>
      </c>
      <c r="U3014" s="122">
        <v>0</v>
      </c>
      <c r="V3014" s="122">
        <v>79840</v>
      </c>
      <c r="W3014" s="122">
        <f t="shared" si="96"/>
        <v>79839</v>
      </c>
      <c r="X3014" s="122">
        <f t="shared" si="97"/>
        <v>99873</v>
      </c>
    </row>
    <row r="3015" spans="2:24">
      <c r="B3015" t="s">
        <v>384</v>
      </c>
      <c r="C3015" t="s">
        <v>64</v>
      </c>
      <c r="D3015" t="s">
        <v>406</v>
      </c>
      <c r="E3015" t="s">
        <v>406</v>
      </c>
      <c r="F3015" s="122">
        <v>208</v>
      </c>
      <c r="G3015" s="122">
        <v>22184</v>
      </c>
      <c r="H3015" s="122">
        <v>114713</v>
      </c>
      <c r="I3015" s="122">
        <v>8119154</v>
      </c>
      <c r="J3015" s="122">
        <v>7381049</v>
      </c>
      <c r="K3015" s="122">
        <v>74</v>
      </c>
      <c r="L3015" s="122">
        <v>1824959</v>
      </c>
      <c r="M3015" s="122">
        <v>1618244</v>
      </c>
      <c r="N3015" s="122">
        <v>478136</v>
      </c>
      <c r="O3015" s="122">
        <v>177087</v>
      </c>
      <c r="P3015" s="122">
        <v>134406</v>
      </c>
      <c r="Q3015" s="122">
        <v>49780</v>
      </c>
      <c r="R3015" s="122">
        <v>1057918</v>
      </c>
      <c r="S3015" s="122">
        <v>961744</v>
      </c>
      <c r="T3015" s="122">
        <v>371044</v>
      </c>
      <c r="U3015" s="122">
        <v>137424</v>
      </c>
      <c r="V3015" s="122">
        <v>10325328</v>
      </c>
      <c r="W3015" s="122">
        <f t="shared" si="96"/>
        <v>10325328</v>
      </c>
      <c r="X3015" s="122">
        <f t="shared" si="97"/>
        <v>11985617</v>
      </c>
    </row>
    <row r="3016" spans="2:24">
      <c r="B3016" t="s">
        <v>384</v>
      </c>
      <c r="C3016" t="s">
        <v>64</v>
      </c>
      <c r="D3016" t="s">
        <v>427</v>
      </c>
      <c r="E3016" t="s">
        <v>137</v>
      </c>
      <c r="F3016" s="122">
        <v>8</v>
      </c>
      <c r="G3016" s="122">
        <v>458</v>
      </c>
      <c r="H3016" s="122">
        <v>9089</v>
      </c>
      <c r="I3016" s="122">
        <v>415241</v>
      </c>
      <c r="J3016" s="122">
        <v>377491</v>
      </c>
      <c r="K3016" s="122">
        <v>41</v>
      </c>
      <c r="L3016" s="122">
        <v>79832</v>
      </c>
      <c r="M3016" s="122">
        <v>29567</v>
      </c>
      <c r="N3016" s="122">
        <v>10625</v>
      </c>
      <c r="O3016" s="122">
        <v>3935</v>
      </c>
      <c r="P3016" s="122">
        <v>0</v>
      </c>
      <c r="Q3016" s="122">
        <v>0</v>
      </c>
      <c r="R3016" s="122">
        <v>54234</v>
      </c>
      <c r="S3016" s="122">
        <v>20087</v>
      </c>
      <c r="T3016" s="122">
        <v>0</v>
      </c>
      <c r="U3016" s="122">
        <v>0</v>
      </c>
      <c r="V3016" s="122">
        <v>431081</v>
      </c>
      <c r="W3016" s="122">
        <f t="shared" si="96"/>
        <v>431080</v>
      </c>
      <c r="X3016" s="122">
        <f t="shared" si="97"/>
        <v>559932</v>
      </c>
    </row>
    <row r="3017" spans="2:24">
      <c r="B3017" t="s">
        <v>384</v>
      </c>
      <c r="C3017" t="s">
        <v>64</v>
      </c>
      <c r="D3017" t="s">
        <v>427</v>
      </c>
      <c r="E3017" t="s">
        <v>406</v>
      </c>
      <c r="F3017" s="122">
        <v>3</v>
      </c>
      <c r="G3017" s="122">
        <v>341</v>
      </c>
      <c r="H3017" s="122">
        <v>1945</v>
      </c>
      <c r="I3017" s="122">
        <v>191200</v>
      </c>
      <c r="J3017" s="122">
        <v>173818</v>
      </c>
      <c r="K3017" s="122">
        <v>47</v>
      </c>
      <c r="L3017" s="122">
        <v>22505</v>
      </c>
      <c r="M3017" s="122">
        <v>13802</v>
      </c>
      <c r="N3017" s="122">
        <v>6162</v>
      </c>
      <c r="O3017" s="122">
        <v>2282</v>
      </c>
      <c r="P3017" s="122">
        <v>972</v>
      </c>
      <c r="Q3017" s="122">
        <v>360</v>
      </c>
      <c r="R3017" s="122">
        <v>17559</v>
      </c>
      <c r="S3017" s="122">
        <v>15962</v>
      </c>
      <c r="T3017" s="122">
        <v>8580</v>
      </c>
      <c r="U3017" s="122">
        <v>3178</v>
      </c>
      <c r="V3017" s="122">
        <v>209402</v>
      </c>
      <c r="W3017" s="122">
        <f t="shared" si="96"/>
        <v>209402</v>
      </c>
      <c r="X3017" s="122">
        <f t="shared" si="97"/>
        <v>246978</v>
      </c>
    </row>
    <row r="3018" spans="2:24">
      <c r="B3018" t="s">
        <v>384</v>
      </c>
      <c r="C3018" t="s">
        <v>64</v>
      </c>
      <c r="D3018" t="s">
        <v>427</v>
      </c>
      <c r="E3018" t="s">
        <v>427</v>
      </c>
      <c r="F3018" s="122">
        <v>17</v>
      </c>
      <c r="G3018" s="122">
        <v>1262</v>
      </c>
      <c r="H3018" s="122">
        <v>12933</v>
      </c>
      <c r="I3018" s="122">
        <v>704388</v>
      </c>
      <c r="J3018" s="122">
        <v>640353</v>
      </c>
      <c r="K3018" s="122">
        <v>56</v>
      </c>
      <c r="L3018" s="122">
        <v>96676</v>
      </c>
      <c r="M3018" s="122">
        <v>94763</v>
      </c>
      <c r="N3018" s="122">
        <v>28564</v>
      </c>
      <c r="O3018" s="122">
        <v>10579</v>
      </c>
      <c r="P3018" s="122">
        <v>5724</v>
      </c>
      <c r="Q3018" s="122">
        <v>2120</v>
      </c>
      <c r="R3018" s="122">
        <v>106097</v>
      </c>
      <c r="S3018" s="122">
        <v>96452</v>
      </c>
      <c r="T3018" s="122">
        <v>20572</v>
      </c>
      <c r="U3018" s="122">
        <v>7619</v>
      </c>
      <c r="V3018" s="122">
        <v>851886</v>
      </c>
      <c r="W3018" s="122">
        <f t="shared" si="96"/>
        <v>851886</v>
      </c>
      <c r="X3018" s="122">
        <f t="shared" si="97"/>
        <v>962021</v>
      </c>
    </row>
    <row r="3019" spans="2:24">
      <c r="B3019" t="s">
        <v>384</v>
      </c>
      <c r="C3019" t="s">
        <v>64</v>
      </c>
      <c r="D3019" t="s">
        <v>407</v>
      </c>
      <c r="E3019" t="s">
        <v>407</v>
      </c>
      <c r="F3019" s="122">
        <v>7</v>
      </c>
      <c r="G3019" s="122">
        <v>864</v>
      </c>
      <c r="H3019" s="122">
        <v>3589</v>
      </c>
      <c r="I3019" s="122">
        <v>295934</v>
      </c>
      <c r="J3019" s="122">
        <v>269031</v>
      </c>
      <c r="K3019" s="122">
        <v>73</v>
      </c>
      <c r="L3019" s="122">
        <v>70861</v>
      </c>
      <c r="M3019" s="122">
        <v>60778</v>
      </c>
      <c r="N3019" s="122">
        <v>19066</v>
      </c>
      <c r="O3019" s="122">
        <v>7061</v>
      </c>
      <c r="P3019" s="122">
        <v>3308</v>
      </c>
      <c r="Q3019" s="122">
        <v>1225</v>
      </c>
      <c r="R3019" s="122">
        <v>36312</v>
      </c>
      <c r="S3019" s="122">
        <v>33011</v>
      </c>
      <c r="T3019" s="122">
        <v>13228</v>
      </c>
      <c r="U3019" s="122">
        <v>4899</v>
      </c>
      <c r="V3019" s="122">
        <v>376005</v>
      </c>
      <c r="W3019" s="122">
        <f t="shared" si="96"/>
        <v>376005</v>
      </c>
      <c r="X3019" s="122">
        <f t="shared" si="97"/>
        <v>438709</v>
      </c>
    </row>
    <row r="3020" spans="2:24">
      <c r="B3020" t="s">
        <v>384</v>
      </c>
      <c r="C3020" t="s">
        <v>64</v>
      </c>
      <c r="D3020" t="s">
        <v>556</v>
      </c>
      <c r="E3020" t="s">
        <v>137</v>
      </c>
      <c r="F3020" s="122">
        <v>3</v>
      </c>
      <c r="G3020" s="122">
        <v>299</v>
      </c>
      <c r="H3020" s="122">
        <v>3796</v>
      </c>
      <c r="I3020" s="122">
        <v>341545</v>
      </c>
      <c r="J3020" s="122">
        <v>284621</v>
      </c>
      <c r="K3020" s="122">
        <v>37</v>
      </c>
      <c r="L3020" s="122">
        <v>14759</v>
      </c>
      <c r="M3020" s="122">
        <v>12299</v>
      </c>
      <c r="N3020" s="122">
        <v>6806</v>
      </c>
      <c r="O3020" s="122">
        <v>2521</v>
      </c>
      <c r="P3020" s="122">
        <v>351</v>
      </c>
      <c r="Q3020" s="122">
        <v>130</v>
      </c>
      <c r="R3020" s="122">
        <v>19700</v>
      </c>
      <c r="S3020" s="122">
        <v>7296</v>
      </c>
      <c r="T3020" s="122">
        <v>0</v>
      </c>
      <c r="U3020" s="122">
        <v>0</v>
      </c>
      <c r="V3020" s="122">
        <v>306867</v>
      </c>
      <c r="W3020" s="122">
        <f t="shared" si="96"/>
        <v>306867</v>
      </c>
      <c r="X3020" s="122">
        <f t="shared" si="97"/>
        <v>383161</v>
      </c>
    </row>
    <row r="3021" spans="2:24">
      <c r="B3021" t="s">
        <v>384</v>
      </c>
      <c r="C3021" t="s">
        <v>64</v>
      </c>
      <c r="D3021" t="s">
        <v>556</v>
      </c>
      <c r="E3021" t="s">
        <v>556</v>
      </c>
      <c r="F3021" s="122">
        <v>5</v>
      </c>
      <c r="G3021" s="122">
        <v>674</v>
      </c>
      <c r="H3021" s="122">
        <v>3060</v>
      </c>
      <c r="I3021" s="122">
        <v>302264</v>
      </c>
      <c r="J3021" s="122">
        <v>251886</v>
      </c>
      <c r="K3021" s="122">
        <v>63</v>
      </c>
      <c r="L3021" s="122">
        <v>40992</v>
      </c>
      <c r="M3021" s="122">
        <v>30434</v>
      </c>
      <c r="N3021" s="122">
        <v>13854</v>
      </c>
      <c r="O3021" s="122">
        <v>5131</v>
      </c>
      <c r="P3021" s="122">
        <v>2376</v>
      </c>
      <c r="Q3021" s="122">
        <v>880</v>
      </c>
      <c r="R3021" s="122">
        <v>26504</v>
      </c>
      <c r="S3021" s="122">
        <v>22086</v>
      </c>
      <c r="T3021" s="122">
        <v>13129</v>
      </c>
      <c r="U3021" s="122">
        <v>4863</v>
      </c>
      <c r="V3021" s="122">
        <v>315280</v>
      </c>
      <c r="W3021" s="122">
        <f t="shared" si="96"/>
        <v>315280</v>
      </c>
      <c r="X3021" s="122">
        <f t="shared" si="97"/>
        <v>399119</v>
      </c>
    </row>
    <row r="3022" spans="2:24">
      <c r="B3022" t="s">
        <v>384</v>
      </c>
      <c r="C3022" t="s">
        <v>64</v>
      </c>
      <c r="D3022" t="s">
        <v>426</v>
      </c>
      <c r="E3022" t="s">
        <v>137</v>
      </c>
      <c r="F3022" s="122">
        <v>30</v>
      </c>
      <c r="G3022" s="122">
        <v>2288</v>
      </c>
      <c r="H3022" s="122">
        <v>34224</v>
      </c>
      <c r="I3022" s="122">
        <v>2185284</v>
      </c>
      <c r="J3022" s="122">
        <v>1986622</v>
      </c>
      <c r="K3022" s="122">
        <v>40</v>
      </c>
      <c r="L3022" s="122">
        <v>161851</v>
      </c>
      <c r="M3022" s="122">
        <v>76203</v>
      </c>
      <c r="N3022" s="122">
        <v>49198</v>
      </c>
      <c r="O3022" s="122">
        <v>18221</v>
      </c>
      <c r="P3022" s="122">
        <v>0</v>
      </c>
      <c r="Q3022" s="122">
        <v>0</v>
      </c>
      <c r="R3022" s="122">
        <v>162966</v>
      </c>
      <c r="S3022" s="122">
        <v>60358</v>
      </c>
      <c r="T3022" s="122">
        <v>0</v>
      </c>
      <c r="U3022" s="122">
        <v>0</v>
      </c>
      <c r="V3022" s="122">
        <v>2141404</v>
      </c>
      <c r="W3022" s="122">
        <f t="shared" si="96"/>
        <v>2141404</v>
      </c>
      <c r="X3022" s="122">
        <f t="shared" si="97"/>
        <v>2559299</v>
      </c>
    </row>
    <row r="3023" spans="2:24">
      <c r="B3023" t="s">
        <v>384</v>
      </c>
      <c r="C3023" t="s">
        <v>64</v>
      </c>
      <c r="D3023" t="s">
        <v>426</v>
      </c>
      <c r="E3023" t="s">
        <v>426</v>
      </c>
      <c r="F3023" s="122">
        <v>51</v>
      </c>
      <c r="G3023" s="122">
        <v>4344</v>
      </c>
      <c r="H3023" s="122">
        <v>37534</v>
      </c>
      <c r="I3023" s="122">
        <v>2329462</v>
      </c>
      <c r="J3023" s="122">
        <v>2117693</v>
      </c>
      <c r="K3023" s="122">
        <v>55</v>
      </c>
      <c r="L3023" s="122">
        <v>315368</v>
      </c>
      <c r="M3023" s="122">
        <v>225919</v>
      </c>
      <c r="N3023" s="122">
        <v>95758</v>
      </c>
      <c r="O3023" s="122">
        <v>35466</v>
      </c>
      <c r="P3023" s="122">
        <v>13460</v>
      </c>
      <c r="Q3023" s="122">
        <v>4985</v>
      </c>
      <c r="R3023" s="122">
        <v>275232</v>
      </c>
      <c r="S3023" s="122">
        <v>250211</v>
      </c>
      <c r="T3023" s="122">
        <v>83815</v>
      </c>
      <c r="U3023" s="122">
        <v>31043</v>
      </c>
      <c r="V3023" s="122">
        <v>2665316</v>
      </c>
      <c r="W3023" s="122">
        <f t="shared" si="96"/>
        <v>2665317</v>
      </c>
      <c r="X3023" s="122">
        <f t="shared" si="97"/>
        <v>3113095</v>
      </c>
    </row>
    <row r="3024" spans="2:24">
      <c r="B3024" t="s">
        <v>384</v>
      </c>
      <c r="C3024" t="s">
        <v>64</v>
      </c>
      <c r="D3024" t="s">
        <v>426</v>
      </c>
      <c r="E3024" t="s">
        <v>481</v>
      </c>
      <c r="F3024" s="122">
        <v>1</v>
      </c>
      <c r="G3024" s="122">
        <v>129</v>
      </c>
      <c r="H3024" s="122">
        <v>569</v>
      </c>
      <c r="I3024" s="122">
        <v>63342</v>
      </c>
      <c r="J3024" s="122">
        <v>57584</v>
      </c>
      <c r="K3024" s="122">
        <v>65</v>
      </c>
      <c r="L3024" s="122">
        <v>0</v>
      </c>
      <c r="M3024" s="122">
        <v>0</v>
      </c>
      <c r="N3024" s="122">
        <v>3147</v>
      </c>
      <c r="O3024" s="122">
        <v>1166</v>
      </c>
      <c r="P3024" s="122">
        <v>351</v>
      </c>
      <c r="Q3024" s="122">
        <v>130</v>
      </c>
      <c r="R3024" s="122">
        <v>4358</v>
      </c>
      <c r="S3024" s="122">
        <v>3962</v>
      </c>
      <c r="T3024" s="122">
        <v>2338</v>
      </c>
      <c r="U3024" s="122">
        <v>866</v>
      </c>
      <c r="V3024" s="122">
        <v>63708</v>
      </c>
      <c r="W3024" s="122">
        <f t="shared" si="96"/>
        <v>63708</v>
      </c>
      <c r="X3024" s="122">
        <f t="shared" si="97"/>
        <v>73536</v>
      </c>
    </row>
    <row r="3025" spans="2:24">
      <c r="B3025" t="s">
        <v>384</v>
      </c>
      <c r="C3025" t="s">
        <v>64</v>
      </c>
      <c r="D3025" t="s">
        <v>433</v>
      </c>
      <c r="E3025" t="s">
        <v>427</v>
      </c>
      <c r="F3025" s="122">
        <v>1</v>
      </c>
      <c r="G3025" s="122">
        <v>75</v>
      </c>
      <c r="H3025" s="122">
        <v>711</v>
      </c>
      <c r="I3025" s="122">
        <v>37353</v>
      </c>
      <c r="J3025" s="122">
        <v>33957</v>
      </c>
      <c r="K3025" s="122">
        <v>45</v>
      </c>
      <c r="L3025" s="122">
        <v>6225</v>
      </c>
      <c r="M3025" s="122">
        <v>5660</v>
      </c>
      <c r="N3025" s="122">
        <v>1238</v>
      </c>
      <c r="O3025" s="122">
        <v>458</v>
      </c>
      <c r="P3025" s="122">
        <v>351</v>
      </c>
      <c r="Q3025" s="122">
        <v>130</v>
      </c>
      <c r="R3025" s="122">
        <v>5847</v>
      </c>
      <c r="S3025" s="122">
        <v>5316</v>
      </c>
      <c r="T3025" s="122">
        <v>2094</v>
      </c>
      <c r="U3025" s="122">
        <v>776</v>
      </c>
      <c r="V3025" s="122">
        <v>46296</v>
      </c>
      <c r="W3025" s="122">
        <f t="shared" si="96"/>
        <v>46297</v>
      </c>
      <c r="X3025" s="122">
        <f t="shared" si="97"/>
        <v>53108</v>
      </c>
    </row>
    <row r="3026" spans="2:24">
      <c r="B3026" t="s">
        <v>385</v>
      </c>
      <c r="C3026" t="s">
        <v>48</v>
      </c>
      <c r="D3026" t="s">
        <v>405</v>
      </c>
      <c r="E3026" t="s">
        <v>137</v>
      </c>
      <c r="F3026" s="122">
        <v>1</v>
      </c>
      <c r="G3026" s="122">
        <v>244</v>
      </c>
      <c r="H3026" s="122">
        <v>64</v>
      </c>
      <c r="I3026" s="122">
        <v>3970</v>
      </c>
      <c r="J3026" s="122">
        <v>3609</v>
      </c>
      <c r="K3026" s="122">
        <v>90</v>
      </c>
      <c r="L3026" s="122">
        <v>663</v>
      </c>
      <c r="M3026" s="122">
        <v>603</v>
      </c>
      <c r="N3026" s="122">
        <v>2973</v>
      </c>
      <c r="O3026" s="122">
        <v>1101</v>
      </c>
      <c r="P3026" s="122">
        <v>2592</v>
      </c>
      <c r="Q3026" s="122">
        <v>960</v>
      </c>
      <c r="R3026" s="122">
        <v>5320</v>
      </c>
      <c r="S3026" s="122">
        <v>1970</v>
      </c>
      <c r="T3026" s="122">
        <v>0</v>
      </c>
      <c r="U3026" s="122">
        <v>0</v>
      </c>
      <c r="V3026" s="122">
        <v>8243</v>
      </c>
      <c r="W3026" s="122">
        <f t="shared" si="96"/>
        <v>8243</v>
      </c>
      <c r="X3026" s="122">
        <f t="shared" si="97"/>
        <v>15518</v>
      </c>
    </row>
    <row r="3027" spans="2:24">
      <c r="B3027" t="s">
        <v>385</v>
      </c>
      <c r="C3027" t="s">
        <v>48</v>
      </c>
      <c r="D3027" t="s">
        <v>137</v>
      </c>
      <c r="E3027" t="s">
        <v>137</v>
      </c>
      <c r="F3027" s="122">
        <v>90</v>
      </c>
      <c r="G3027" s="122">
        <v>19669</v>
      </c>
      <c r="H3027" s="122">
        <v>4970</v>
      </c>
      <c r="I3027" s="122">
        <v>171518</v>
      </c>
      <c r="J3027" s="122">
        <v>63525</v>
      </c>
      <c r="K3027" s="122">
        <v>454</v>
      </c>
      <c r="L3027" s="122">
        <v>45328</v>
      </c>
      <c r="M3027" s="122">
        <v>42611</v>
      </c>
      <c r="N3027" s="122">
        <v>263698</v>
      </c>
      <c r="O3027" s="122">
        <v>97666</v>
      </c>
      <c r="P3027" s="122">
        <v>150898</v>
      </c>
      <c r="Q3027" s="122">
        <v>55888</v>
      </c>
      <c r="R3027" s="122">
        <v>467459</v>
      </c>
      <c r="S3027" s="122">
        <v>173133</v>
      </c>
      <c r="T3027" s="122">
        <v>0</v>
      </c>
      <c r="U3027" s="122">
        <v>0</v>
      </c>
      <c r="V3027" s="122">
        <v>432823</v>
      </c>
      <c r="W3027" s="122">
        <f t="shared" si="96"/>
        <v>432823</v>
      </c>
      <c r="X3027" s="122">
        <f t="shared" si="97"/>
        <v>1098901</v>
      </c>
    </row>
    <row r="3028" spans="2:24">
      <c r="B3028" t="s">
        <v>385</v>
      </c>
      <c r="C3028" t="s">
        <v>48</v>
      </c>
      <c r="D3028" t="s">
        <v>430</v>
      </c>
      <c r="E3028" t="s">
        <v>483</v>
      </c>
      <c r="F3028" s="122">
        <v>1</v>
      </c>
      <c r="G3028" s="122">
        <v>148</v>
      </c>
      <c r="H3028" s="122">
        <v>70</v>
      </c>
      <c r="I3028" s="122">
        <v>3316</v>
      </c>
      <c r="J3028" s="122">
        <v>1228</v>
      </c>
      <c r="K3028" s="122">
        <v>320</v>
      </c>
      <c r="L3028" s="122">
        <v>1201</v>
      </c>
      <c r="M3028" s="122">
        <v>1092</v>
      </c>
      <c r="N3028" s="122">
        <v>2516</v>
      </c>
      <c r="O3028" s="122">
        <v>932</v>
      </c>
      <c r="P3028" s="122">
        <v>351</v>
      </c>
      <c r="Q3028" s="122">
        <v>130</v>
      </c>
      <c r="R3028" s="122">
        <v>2926</v>
      </c>
      <c r="S3028" s="122">
        <v>1084</v>
      </c>
      <c r="T3028" s="122">
        <v>0</v>
      </c>
      <c r="U3028" s="122">
        <v>0</v>
      </c>
      <c r="V3028" s="122">
        <v>4466</v>
      </c>
      <c r="W3028" s="122">
        <f t="shared" si="96"/>
        <v>4466</v>
      </c>
      <c r="X3028" s="122">
        <f t="shared" si="97"/>
        <v>10310</v>
      </c>
    </row>
    <row r="3029" spans="2:24">
      <c r="B3029" t="s">
        <v>385</v>
      </c>
      <c r="C3029" t="s">
        <v>48</v>
      </c>
      <c r="D3029" t="s">
        <v>406</v>
      </c>
      <c r="E3029" t="s">
        <v>406</v>
      </c>
      <c r="F3029" s="122">
        <v>10</v>
      </c>
      <c r="G3029" s="122">
        <v>2547</v>
      </c>
      <c r="H3029" s="122">
        <v>659</v>
      </c>
      <c r="I3029" s="122">
        <v>64495</v>
      </c>
      <c r="J3029" s="122">
        <v>58631</v>
      </c>
      <c r="K3029" s="122">
        <v>95</v>
      </c>
      <c r="L3029" s="122">
        <v>10009</v>
      </c>
      <c r="M3029" s="122">
        <v>9099</v>
      </c>
      <c r="N3029" s="122">
        <v>34232</v>
      </c>
      <c r="O3029" s="122">
        <v>12679</v>
      </c>
      <c r="P3029" s="122">
        <v>18450</v>
      </c>
      <c r="Q3029" s="122">
        <v>6833</v>
      </c>
      <c r="R3029" s="122">
        <v>40067</v>
      </c>
      <c r="S3029" s="122">
        <v>36425</v>
      </c>
      <c r="T3029" s="122">
        <v>0</v>
      </c>
      <c r="U3029" s="122">
        <v>0</v>
      </c>
      <c r="V3029" s="122">
        <v>123667</v>
      </c>
      <c r="W3029" s="122">
        <f t="shared" si="96"/>
        <v>123667</v>
      </c>
      <c r="X3029" s="122">
        <f t="shared" si="97"/>
        <v>167253</v>
      </c>
    </row>
    <row r="3030" spans="2:24">
      <c r="B3030" t="s">
        <v>385</v>
      </c>
      <c r="C3030" t="s">
        <v>48</v>
      </c>
      <c r="D3030" t="s">
        <v>407</v>
      </c>
      <c r="E3030" t="s">
        <v>407</v>
      </c>
      <c r="F3030" s="122">
        <v>6</v>
      </c>
      <c r="G3030" s="122">
        <v>1273</v>
      </c>
      <c r="H3030" s="122">
        <v>281</v>
      </c>
      <c r="I3030" s="122">
        <v>6348</v>
      </c>
      <c r="J3030" s="122">
        <v>5771</v>
      </c>
      <c r="K3030" s="122">
        <v>91</v>
      </c>
      <c r="L3030" s="122">
        <v>870</v>
      </c>
      <c r="M3030" s="122">
        <v>791</v>
      </c>
      <c r="N3030" s="122">
        <v>15504</v>
      </c>
      <c r="O3030" s="122">
        <v>5742</v>
      </c>
      <c r="P3030" s="122">
        <v>2835</v>
      </c>
      <c r="Q3030" s="122">
        <v>1050</v>
      </c>
      <c r="R3030" s="122">
        <v>32471</v>
      </c>
      <c r="S3030" s="122">
        <v>29519</v>
      </c>
      <c r="T3030" s="122">
        <v>0</v>
      </c>
      <c r="U3030" s="122">
        <v>0</v>
      </c>
      <c r="V3030" s="122">
        <v>42873</v>
      </c>
      <c r="W3030" s="122">
        <f t="shared" si="96"/>
        <v>42873</v>
      </c>
      <c r="X3030" s="122">
        <f t="shared" si="97"/>
        <v>58028</v>
      </c>
    </row>
    <row r="3031" spans="2:24">
      <c r="B3031" t="s">
        <v>385</v>
      </c>
      <c r="C3031" t="s">
        <v>50</v>
      </c>
      <c r="F3031" s="122">
        <v>1</v>
      </c>
      <c r="G3031" s="122">
        <v>108</v>
      </c>
      <c r="H3031" s="122">
        <v>89</v>
      </c>
      <c r="I3031" s="122"/>
      <c r="J3031" s="122">
        <v>0</v>
      </c>
      <c r="K3031" s="122"/>
      <c r="L3031" s="122"/>
      <c r="M3031" s="122">
        <v>0</v>
      </c>
      <c r="N3031" s="122">
        <v>1980</v>
      </c>
      <c r="O3031" s="122">
        <v>733</v>
      </c>
      <c r="P3031" s="122">
        <v>0</v>
      </c>
      <c r="Q3031" s="122">
        <v>0</v>
      </c>
      <c r="R3031" s="122"/>
      <c r="S3031" s="122">
        <v>0</v>
      </c>
      <c r="T3031" s="122">
        <v>0</v>
      </c>
      <c r="U3031" s="122">
        <v>0</v>
      </c>
      <c r="V3031" s="122">
        <v>733</v>
      </c>
      <c r="W3031" s="122">
        <f t="shared" si="96"/>
        <v>733</v>
      </c>
      <c r="X3031" s="122">
        <f t="shared" si="97"/>
        <v>1980</v>
      </c>
    </row>
    <row r="3032" spans="2:24">
      <c r="B3032" t="s">
        <v>385</v>
      </c>
      <c r="C3032" t="s">
        <v>50</v>
      </c>
      <c r="D3032" t="s">
        <v>137</v>
      </c>
      <c r="E3032" t="s">
        <v>137</v>
      </c>
      <c r="F3032" s="122">
        <v>21</v>
      </c>
      <c r="G3032" s="122">
        <v>5057</v>
      </c>
      <c r="H3032" s="122">
        <v>1827</v>
      </c>
      <c r="I3032" s="122">
        <v>174173</v>
      </c>
      <c r="J3032" s="122">
        <v>64508</v>
      </c>
      <c r="K3032" s="122">
        <v>368</v>
      </c>
      <c r="L3032" s="122">
        <v>45930</v>
      </c>
      <c r="M3032" s="122">
        <v>46968</v>
      </c>
      <c r="N3032" s="122">
        <v>85093</v>
      </c>
      <c r="O3032" s="122">
        <v>31516</v>
      </c>
      <c r="P3032" s="122">
        <v>21245</v>
      </c>
      <c r="Q3032" s="122">
        <v>7869</v>
      </c>
      <c r="R3032" s="122">
        <v>127246</v>
      </c>
      <c r="S3032" s="122">
        <v>47128</v>
      </c>
      <c r="T3032" s="122">
        <v>0</v>
      </c>
      <c r="U3032" s="122">
        <v>0</v>
      </c>
      <c r="V3032" s="122">
        <v>197989</v>
      </c>
      <c r="W3032" s="122">
        <f t="shared" si="96"/>
        <v>197989</v>
      </c>
      <c r="X3032" s="122">
        <f t="shared" si="97"/>
        <v>453687</v>
      </c>
    </row>
    <row r="3033" spans="2:24">
      <c r="B3033" t="s">
        <v>385</v>
      </c>
      <c r="C3033" t="s">
        <v>50</v>
      </c>
      <c r="D3033" t="s">
        <v>406</v>
      </c>
      <c r="E3033" t="s">
        <v>406</v>
      </c>
      <c r="F3033" s="122">
        <v>22</v>
      </c>
      <c r="G3033" s="122">
        <v>4811</v>
      </c>
      <c r="H3033" s="122">
        <v>2023</v>
      </c>
      <c r="I3033" s="122">
        <v>235921</v>
      </c>
      <c r="J3033" s="122">
        <v>214473</v>
      </c>
      <c r="K3033" s="122">
        <v>93</v>
      </c>
      <c r="L3033" s="122">
        <v>42649</v>
      </c>
      <c r="M3033" s="122">
        <v>38096</v>
      </c>
      <c r="N3033" s="122">
        <v>75030</v>
      </c>
      <c r="O3033" s="122">
        <v>27789</v>
      </c>
      <c r="P3033" s="122">
        <v>15768</v>
      </c>
      <c r="Q3033" s="122">
        <v>5840</v>
      </c>
      <c r="R3033" s="122">
        <v>104973</v>
      </c>
      <c r="S3033" s="122">
        <v>95430</v>
      </c>
      <c r="T3033" s="122">
        <v>0</v>
      </c>
      <c r="U3033" s="122">
        <v>0</v>
      </c>
      <c r="V3033" s="122">
        <v>381628</v>
      </c>
      <c r="W3033" s="122">
        <f t="shared" si="96"/>
        <v>381628</v>
      </c>
      <c r="X3033" s="122">
        <f t="shared" si="97"/>
        <v>474341</v>
      </c>
    </row>
    <row r="3034" spans="2:24">
      <c r="B3034" t="s">
        <v>385</v>
      </c>
      <c r="C3034" t="s">
        <v>50</v>
      </c>
      <c r="D3034" t="s">
        <v>407</v>
      </c>
      <c r="E3034" t="s">
        <v>407</v>
      </c>
      <c r="F3034" s="122">
        <v>2</v>
      </c>
      <c r="G3034" s="122">
        <v>395</v>
      </c>
      <c r="H3034" s="122">
        <v>176</v>
      </c>
      <c r="I3034" s="122">
        <v>13015</v>
      </c>
      <c r="J3034" s="122">
        <v>11832</v>
      </c>
      <c r="K3034" s="122">
        <v>90</v>
      </c>
      <c r="L3034" s="122">
        <v>3992</v>
      </c>
      <c r="M3034" s="122">
        <v>3327</v>
      </c>
      <c r="N3034" s="122">
        <v>4898</v>
      </c>
      <c r="O3034" s="122">
        <v>1814</v>
      </c>
      <c r="P3034" s="122">
        <v>945</v>
      </c>
      <c r="Q3034" s="122">
        <v>350</v>
      </c>
      <c r="R3034" s="122">
        <v>11698</v>
      </c>
      <c r="S3034" s="122">
        <v>10635</v>
      </c>
      <c r="T3034" s="122">
        <v>0</v>
      </c>
      <c r="U3034" s="122">
        <v>0</v>
      </c>
      <c r="V3034" s="122">
        <v>27958</v>
      </c>
      <c r="W3034" s="122">
        <f t="shared" si="96"/>
        <v>27958</v>
      </c>
      <c r="X3034" s="122">
        <f t="shared" si="97"/>
        <v>34548</v>
      </c>
    </row>
    <row r="3035" spans="2:24">
      <c r="B3035" t="s">
        <v>385</v>
      </c>
      <c r="C3035" t="s">
        <v>50</v>
      </c>
      <c r="D3035" t="s">
        <v>408</v>
      </c>
      <c r="E3035" t="s">
        <v>408</v>
      </c>
      <c r="F3035" s="122">
        <v>3</v>
      </c>
      <c r="G3035" s="122">
        <v>1076</v>
      </c>
      <c r="H3035" s="122">
        <v>264</v>
      </c>
      <c r="I3035" s="122">
        <v>56601</v>
      </c>
      <c r="J3035" s="122">
        <v>51456</v>
      </c>
      <c r="K3035" s="122">
        <v>86</v>
      </c>
      <c r="L3035" s="122">
        <v>12042</v>
      </c>
      <c r="M3035" s="122">
        <v>7213</v>
      </c>
      <c r="N3035" s="122">
        <v>14096</v>
      </c>
      <c r="O3035" s="122">
        <v>5221</v>
      </c>
      <c r="P3035" s="122">
        <v>4520</v>
      </c>
      <c r="Q3035" s="122">
        <v>1674</v>
      </c>
      <c r="R3035" s="122">
        <v>6836</v>
      </c>
      <c r="S3035" s="122">
        <v>6214</v>
      </c>
      <c r="T3035" s="122">
        <v>0</v>
      </c>
      <c r="U3035" s="122">
        <v>0</v>
      </c>
      <c r="V3035" s="122">
        <v>71778</v>
      </c>
      <c r="W3035" s="122">
        <f t="shared" si="96"/>
        <v>71778</v>
      </c>
      <c r="X3035" s="122">
        <f t="shared" si="97"/>
        <v>94095</v>
      </c>
    </row>
    <row r="3036" spans="2:24">
      <c r="B3036" t="s">
        <v>385</v>
      </c>
      <c r="C3036" t="s">
        <v>52</v>
      </c>
      <c r="D3036" t="s">
        <v>425</v>
      </c>
      <c r="E3036" t="s">
        <v>425</v>
      </c>
      <c r="F3036" s="122">
        <v>2</v>
      </c>
      <c r="G3036" s="122">
        <v>426</v>
      </c>
      <c r="H3036" s="122">
        <v>229</v>
      </c>
      <c r="I3036" s="122">
        <v>27343</v>
      </c>
      <c r="J3036" s="122">
        <v>24857</v>
      </c>
      <c r="K3036" s="122">
        <v>91</v>
      </c>
      <c r="L3036" s="122">
        <v>2533</v>
      </c>
      <c r="M3036" s="122">
        <v>2302</v>
      </c>
      <c r="N3036" s="122">
        <v>8497</v>
      </c>
      <c r="O3036" s="122">
        <v>3147</v>
      </c>
      <c r="P3036" s="122">
        <v>945</v>
      </c>
      <c r="Q3036" s="122">
        <v>350</v>
      </c>
      <c r="R3036" s="122">
        <v>8754</v>
      </c>
      <c r="S3036" s="122">
        <v>7958</v>
      </c>
      <c r="T3036" s="122">
        <v>0</v>
      </c>
      <c r="U3036" s="122">
        <v>0</v>
      </c>
      <c r="V3036" s="122">
        <v>38614</v>
      </c>
      <c r="W3036" s="122">
        <f t="shared" si="96"/>
        <v>38614</v>
      </c>
      <c r="X3036" s="122">
        <f t="shared" si="97"/>
        <v>48072</v>
      </c>
    </row>
    <row r="3037" spans="2:24">
      <c r="B3037" t="s">
        <v>385</v>
      </c>
      <c r="C3037" t="s">
        <v>52</v>
      </c>
      <c r="D3037" t="s">
        <v>405</v>
      </c>
      <c r="E3037" t="s">
        <v>405</v>
      </c>
      <c r="F3037" s="122">
        <v>2</v>
      </c>
      <c r="G3037" s="122">
        <v>714</v>
      </c>
      <c r="H3037" s="122">
        <v>230</v>
      </c>
      <c r="I3037" s="122">
        <v>42150</v>
      </c>
      <c r="J3037" s="122">
        <v>38318</v>
      </c>
      <c r="K3037" s="122">
        <v>91</v>
      </c>
      <c r="L3037" s="122">
        <v>11229</v>
      </c>
      <c r="M3037" s="122">
        <v>10208</v>
      </c>
      <c r="N3037" s="122">
        <v>14958</v>
      </c>
      <c r="O3037" s="122">
        <v>5540</v>
      </c>
      <c r="P3037" s="122">
        <v>945</v>
      </c>
      <c r="Q3037" s="122">
        <v>350</v>
      </c>
      <c r="R3037" s="122">
        <v>12475</v>
      </c>
      <c r="S3037" s="122">
        <v>11341</v>
      </c>
      <c r="T3037" s="122">
        <v>0</v>
      </c>
      <c r="U3037" s="122">
        <v>0</v>
      </c>
      <c r="V3037" s="122">
        <v>65757</v>
      </c>
      <c r="W3037" s="122">
        <f t="shared" si="96"/>
        <v>65757</v>
      </c>
      <c r="X3037" s="122">
        <f t="shared" si="97"/>
        <v>81757</v>
      </c>
    </row>
    <row r="3038" spans="2:24">
      <c r="B3038" t="s">
        <v>385</v>
      </c>
      <c r="C3038" t="s">
        <v>52</v>
      </c>
      <c r="D3038" t="s">
        <v>137</v>
      </c>
      <c r="E3038" t="s">
        <v>137</v>
      </c>
      <c r="F3038" s="122">
        <v>23</v>
      </c>
      <c r="G3038" s="122">
        <v>6056</v>
      </c>
      <c r="H3038" s="122">
        <v>2627</v>
      </c>
      <c r="I3038" s="122">
        <v>321431</v>
      </c>
      <c r="J3038" s="122">
        <v>119049</v>
      </c>
      <c r="K3038" s="122">
        <v>320</v>
      </c>
      <c r="L3038" s="122">
        <v>87652</v>
      </c>
      <c r="M3038" s="122">
        <v>79267</v>
      </c>
      <c r="N3038" s="122">
        <v>108180</v>
      </c>
      <c r="O3038" s="122">
        <v>40067</v>
      </c>
      <c r="P3038" s="122">
        <v>23749</v>
      </c>
      <c r="Q3038" s="122">
        <v>8796</v>
      </c>
      <c r="R3038" s="122">
        <v>177934</v>
      </c>
      <c r="S3038" s="122">
        <v>65902</v>
      </c>
      <c r="T3038" s="122">
        <v>0</v>
      </c>
      <c r="U3038" s="122">
        <v>0</v>
      </c>
      <c r="V3038" s="122">
        <v>313079</v>
      </c>
      <c r="W3038" s="122">
        <f t="shared" si="96"/>
        <v>313081</v>
      </c>
      <c r="X3038" s="122">
        <f t="shared" si="97"/>
        <v>718946</v>
      </c>
    </row>
    <row r="3039" spans="2:24">
      <c r="B3039" t="s">
        <v>385</v>
      </c>
      <c r="C3039" t="s">
        <v>52</v>
      </c>
      <c r="D3039" t="s">
        <v>406</v>
      </c>
      <c r="E3039" t="s">
        <v>406</v>
      </c>
      <c r="F3039" s="122">
        <v>82</v>
      </c>
      <c r="G3039" s="122">
        <v>20101</v>
      </c>
      <c r="H3039" s="122">
        <v>9659</v>
      </c>
      <c r="I3039" s="122">
        <v>1358763</v>
      </c>
      <c r="J3039" s="122">
        <v>1235239</v>
      </c>
      <c r="K3039" s="122">
        <v>92</v>
      </c>
      <c r="L3039" s="122">
        <v>233956</v>
      </c>
      <c r="M3039" s="122">
        <v>204252</v>
      </c>
      <c r="N3039" s="122">
        <v>344508</v>
      </c>
      <c r="O3039" s="122">
        <v>127596</v>
      </c>
      <c r="P3039" s="122">
        <v>67659</v>
      </c>
      <c r="Q3039" s="122">
        <v>25059</v>
      </c>
      <c r="R3039" s="122">
        <v>442884</v>
      </c>
      <c r="S3039" s="122">
        <v>402622</v>
      </c>
      <c r="T3039" s="122">
        <v>19004</v>
      </c>
      <c r="U3039" s="122">
        <v>7038</v>
      </c>
      <c r="V3039" s="122">
        <v>2001806</v>
      </c>
      <c r="W3039" s="122">
        <f t="shared" si="96"/>
        <v>2001806</v>
      </c>
      <c r="X3039" s="122">
        <f t="shared" si="97"/>
        <v>2466774</v>
      </c>
    </row>
    <row r="3040" spans="2:24">
      <c r="B3040" t="s">
        <v>385</v>
      </c>
      <c r="C3040" t="s">
        <v>52</v>
      </c>
      <c r="D3040" t="s">
        <v>407</v>
      </c>
      <c r="E3040" t="s">
        <v>407</v>
      </c>
      <c r="F3040" s="122">
        <v>5</v>
      </c>
      <c r="G3040" s="122">
        <v>643</v>
      </c>
      <c r="H3040" s="122">
        <v>585</v>
      </c>
      <c r="I3040" s="122">
        <v>48985</v>
      </c>
      <c r="J3040" s="122">
        <v>44532</v>
      </c>
      <c r="K3040" s="122">
        <v>89</v>
      </c>
      <c r="L3040" s="122">
        <v>7667</v>
      </c>
      <c r="M3040" s="122">
        <v>6970</v>
      </c>
      <c r="N3040" s="122">
        <v>8713</v>
      </c>
      <c r="O3040" s="122">
        <v>3227</v>
      </c>
      <c r="P3040" s="122">
        <v>2363</v>
      </c>
      <c r="Q3040" s="122">
        <v>875</v>
      </c>
      <c r="R3040" s="122">
        <v>8349</v>
      </c>
      <c r="S3040" s="122">
        <v>7590</v>
      </c>
      <c r="T3040" s="122">
        <v>0</v>
      </c>
      <c r="U3040" s="122">
        <v>0</v>
      </c>
      <c r="V3040" s="122">
        <v>63194</v>
      </c>
      <c r="W3040" s="122">
        <f t="shared" si="96"/>
        <v>63194</v>
      </c>
      <c r="X3040" s="122">
        <f t="shared" si="97"/>
        <v>76077</v>
      </c>
    </row>
    <row r="3041" spans="2:24">
      <c r="B3041" t="s">
        <v>385</v>
      </c>
      <c r="C3041" t="s">
        <v>52</v>
      </c>
      <c r="D3041" t="s">
        <v>426</v>
      </c>
      <c r="E3041" t="s">
        <v>137</v>
      </c>
      <c r="F3041" s="122">
        <v>1</v>
      </c>
      <c r="G3041" s="122">
        <v>371</v>
      </c>
      <c r="H3041" s="122">
        <v>109</v>
      </c>
      <c r="I3041" s="122">
        <v>27710</v>
      </c>
      <c r="J3041" s="122">
        <v>25191</v>
      </c>
      <c r="K3041" s="122">
        <v>80</v>
      </c>
      <c r="L3041" s="122">
        <v>4105</v>
      </c>
      <c r="M3041" s="122">
        <v>3732</v>
      </c>
      <c r="N3041" s="122">
        <v>4519</v>
      </c>
      <c r="O3041" s="122">
        <v>1674</v>
      </c>
      <c r="P3041" s="122">
        <v>351</v>
      </c>
      <c r="Q3041" s="122">
        <v>130</v>
      </c>
      <c r="R3041" s="122">
        <v>3776</v>
      </c>
      <c r="S3041" s="122">
        <v>1398</v>
      </c>
      <c r="T3041" s="122">
        <v>0</v>
      </c>
      <c r="U3041" s="122">
        <v>0</v>
      </c>
      <c r="V3041" s="122">
        <v>32125</v>
      </c>
      <c r="W3041" s="122">
        <f t="shared" si="96"/>
        <v>32125</v>
      </c>
      <c r="X3041" s="122">
        <f t="shared" si="97"/>
        <v>40461</v>
      </c>
    </row>
    <row r="3042" spans="2:24">
      <c r="B3042" t="s">
        <v>385</v>
      </c>
      <c r="C3042" t="s">
        <v>52</v>
      </c>
      <c r="D3042" t="s">
        <v>426</v>
      </c>
      <c r="E3042" t="s">
        <v>426</v>
      </c>
      <c r="F3042" s="122">
        <v>1</v>
      </c>
      <c r="G3042" s="122">
        <v>220</v>
      </c>
      <c r="H3042" s="122">
        <v>123</v>
      </c>
      <c r="I3042" s="122">
        <v>17831</v>
      </c>
      <c r="J3042" s="122">
        <v>16210</v>
      </c>
      <c r="K3042" s="122">
        <v>78</v>
      </c>
      <c r="L3042" s="122">
        <v>0</v>
      </c>
      <c r="M3042" s="122">
        <v>0</v>
      </c>
      <c r="N3042" s="122">
        <v>2680</v>
      </c>
      <c r="O3042" s="122">
        <v>993</v>
      </c>
      <c r="P3042" s="122">
        <v>351</v>
      </c>
      <c r="Q3042" s="122">
        <v>130</v>
      </c>
      <c r="R3042" s="122">
        <v>6277</v>
      </c>
      <c r="S3042" s="122">
        <v>5706</v>
      </c>
      <c r="T3042" s="122">
        <v>0</v>
      </c>
      <c r="U3042" s="122">
        <v>0</v>
      </c>
      <c r="V3042" s="122">
        <v>23039</v>
      </c>
      <c r="W3042" s="122">
        <f t="shared" si="96"/>
        <v>23039</v>
      </c>
      <c r="X3042" s="122">
        <f t="shared" si="97"/>
        <v>27139</v>
      </c>
    </row>
    <row r="3043" spans="2:24">
      <c r="B3043" t="s">
        <v>385</v>
      </c>
      <c r="C3043" t="s">
        <v>52</v>
      </c>
      <c r="D3043" t="s">
        <v>408</v>
      </c>
      <c r="E3043" t="s">
        <v>408</v>
      </c>
      <c r="F3043" s="122">
        <v>5</v>
      </c>
      <c r="G3043" s="122">
        <v>1206</v>
      </c>
      <c r="H3043" s="122">
        <v>598</v>
      </c>
      <c r="I3043" s="122">
        <v>70270</v>
      </c>
      <c r="J3043" s="122">
        <v>63882</v>
      </c>
      <c r="K3043" s="122">
        <v>90</v>
      </c>
      <c r="L3043" s="122">
        <v>19877</v>
      </c>
      <c r="M3043" s="122">
        <v>17869</v>
      </c>
      <c r="N3043" s="122">
        <v>24007</v>
      </c>
      <c r="O3043" s="122">
        <v>8892</v>
      </c>
      <c r="P3043" s="122">
        <v>3159</v>
      </c>
      <c r="Q3043" s="122">
        <v>1170</v>
      </c>
      <c r="R3043" s="122">
        <v>27905</v>
      </c>
      <c r="S3043" s="122">
        <v>25368</v>
      </c>
      <c r="T3043" s="122">
        <v>0</v>
      </c>
      <c r="U3043" s="122">
        <v>0</v>
      </c>
      <c r="V3043" s="122">
        <v>117180</v>
      </c>
      <c r="W3043" s="122">
        <f t="shared" si="96"/>
        <v>117181</v>
      </c>
      <c r="X3043" s="122">
        <f t="shared" si="97"/>
        <v>145218</v>
      </c>
    </row>
    <row r="3044" spans="2:24">
      <c r="B3044" t="s">
        <v>385</v>
      </c>
      <c r="C3044" t="s">
        <v>54</v>
      </c>
      <c r="D3044" t="s">
        <v>425</v>
      </c>
      <c r="E3044" t="s">
        <v>425</v>
      </c>
      <c r="F3044" s="122">
        <v>2</v>
      </c>
      <c r="G3044" s="122">
        <v>559</v>
      </c>
      <c r="H3044" s="122">
        <v>270</v>
      </c>
      <c r="I3044" s="122">
        <v>46995</v>
      </c>
      <c r="J3044" s="122">
        <v>42723</v>
      </c>
      <c r="K3044" s="122">
        <v>92</v>
      </c>
      <c r="L3044" s="122">
        <v>7809</v>
      </c>
      <c r="M3044" s="122">
        <v>7099</v>
      </c>
      <c r="N3044" s="122">
        <v>12375</v>
      </c>
      <c r="O3044" s="122">
        <v>4583</v>
      </c>
      <c r="P3044" s="122">
        <v>1917</v>
      </c>
      <c r="Q3044" s="122">
        <v>710</v>
      </c>
      <c r="R3044" s="122">
        <v>11875</v>
      </c>
      <c r="S3044" s="122">
        <v>10795</v>
      </c>
      <c r="T3044" s="122">
        <v>0</v>
      </c>
      <c r="U3044" s="122">
        <v>0</v>
      </c>
      <c r="V3044" s="122">
        <v>65910</v>
      </c>
      <c r="W3044" s="122">
        <f t="shared" si="96"/>
        <v>65910</v>
      </c>
      <c r="X3044" s="122">
        <f t="shared" si="97"/>
        <v>80971</v>
      </c>
    </row>
    <row r="3045" spans="2:24">
      <c r="B3045" t="s">
        <v>385</v>
      </c>
      <c r="C3045" t="s">
        <v>54</v>
      </c>
      <c r="D3045" t="s">
        <v>425</v>
      </c>
      <c r="E3045" t="s">
        <v>406</v>
      </c>
      <c r="F3045" s="122">
        <v>1</v>
      </c>
      <c r="G3045" s="122">
        <v>274</v>
      </c>
      <c r="H3045" s="122">
        <v>132</v>
      </c>
      <c r="I3045" s="122">
        <v>19978</v>
      </c>
      <c r="J3045" s="122">
        <v>18162</v>
      </c>
      <c r="K3045" s="122">
        <v>85</v>
      </c>
      <c r="L3045" s="122">
        <v>3152</v>
      </c>
      <c r="M3045" s="122">
        <v>2866</v>
      </c>
      <c r="N3045" s="122">
        <v>5766</v>
      </c>
      <c r="O3045" s="122">
        <v>2136</v>
      </c>
      <c r="P3045" s="122">
        <v>621</v>
      </c>
      <c r="Q3045" s="122">
        <v>230</v>
      </c>
      <c r="R3045" s="122">
        <v>6602</v>
      </c>
      <c r="S3045" s="122">
        <v>6002</v>
      </c>
      <c r="T3045" s="122">
        <v>0</v>
      </c>
      <c r="U3045" s="122">
        <v>0</v>
      </c>
      <c r="V3045" s="122">
        <v>29395</v>
      </c>
      <c r="W3045" s="122">
        <f t="shared" si="96"/>
        <v>29396</v>
      </c>
      <c r="X3045" s="122">
        <f t="shared" si="97"/>
        <v>36119</v>
      </c>
    </row>
    <row r="3046" spans="2:24">
      <c r="B3046" t="s">
        <v>385</v>
      </c>
      <c r="C3046" t="s">
        <v>54</v>
      </c>
      <c r="D3046" t="s">
        <v>405</v>
      </c>
      <c r="E3046" t="s">
        <v>405</v>
      </c>
      <c r="F3046" s="122">
        <v>18</v>
      </c>
      <c r="G3046" s="122">
        <v>3203</v>
      </c>
      <c r="H3046" s="122">
        <v>2584</v>
      </c>
      <c r="I3046" s="122">
        <v>269156</v>
      </c>
      <c r="J3046" s="122">
        <v>244687</v>
      </c>
      <c r="K3046" s="122">
        <v>89</v>
      </c>
      <c r="L3046" s="122">
        <v>56828</v>
      </c>
      <c r="M3046" s="122">
        <v>46702</v>
      </c>
      <c r="N3046" s="122">
        <v>56862</v>
      </c>
      <c r="O3046" s="122">
        <v>21060</v>
      </c>
      <c r="P3046" s="122">
        <v>8856</v>
      </c>
      <c r="Q3046" s="122">
        <v>3280</v>
      </c>
      <c r="R3046" s="122">
        <v>89889</v>
      </c>
      <c r="S3046" s="122">
        <v>81717</v>
      </c>
      <c r="T3046" s="122">
        <v>3260</v>
      </c>
      <c r="U3046" s="122">
        <v>1207</v>
      </c>
      <c r="V3046" s="122">
        <v>398654</v>
      </c>
      <c r="W3046" s="122">
        <f t="shared" si="96"/>
        <v>398653</v>
      </c>
      <c r="X3046" s="122">
        <f t="shared" si="97"/>
        <v>484851</v>
      </c>
    </row>
    <row r="3047" spans="2:24">
      <c r="B3047" t="s">
        <v>385</v>
      </c>
      <c r="C3047" t="s">
        <v>54</v>
      </c>
      <c r="D3047" t="s">
        <v>137</v>
      </c>
      <c r="E3047" t="s">
        <v>137</v>
      </c>
      <c r="F3047" s="122">
        <v>8</v>
      </c>
      <c r="G3047" s="122">
        <v>1470</v>
      </c>
      <c r="H3047" s="122">
        <v>1103</v>
      </c>
      <c r="I3047" s="122">
        <v>108863</v>
      </c>
      <c r="J3047" s="122">
        <v>40320</v>
      </c>
      <c r="K3047" s="122">
        <v>321</v>
      </c>
      <c r="L3047" s="122">
        <v>26855</v>
      </c>
      <c r="M3047" s="122">
        <v>23523</v>
      </c>
      <c r="N3047" s="122">
        <v>25052</v>
      </c>
      <c r="O3047" s="122">
        <v>9279</v>
      </c>
      <c r="P3047" s="122">
        <v>7139</v>
      </c>
      <c r="Q3047" s="122">
        <v>2644</v>
      </c>
      <c r="R3047" s="122">
        <v>56478</v>
      </c>
      <c r="S3047" s="122">
        <v>20918</v>
      </c>
      <c r="T3047" s="122">
        <v>0</v>
      </c>
      <c r="U3047" s="122">
        <v>0</v>
      </c>
      <c r="V3047" s="122">
        <v>96683</v>
      </c>
      <c r="W3047" s="122">
        <f t="shared" si="96"/>
        <v>96684</v>
      </c>
      <c r="X3047" s="122">
        <f t="shared" si="97"/>
        <v>224387</v>
      </c>
    </row>
    <row r="3048" spans="2:24">
      <c r="B3048" t="s">
        <v>385</v>
      </c>
      <c r="C3048" t="s">
        <v>54</v>
      </c>
      <c r="D3048" t="s">
        <v>406</v>
      </c>
      <c r="E3048" t="s">
        <v>425</v>
      </c>
      <c r="F3048" s="122">
        <v>1</v>
      </c>
      <c r="G3048" s="122">
        <v>158</v>
      </c>
      <c r="H3048" s="122">
        <v>125</v>
      </c>
      <c r="I3048" s="122">
        <v>17770</v>
      </c>
      <c r="J3048" s="122">
        <v>16155</v>
      </c>
      <c r="K3048" s="122">
        <v>93</v>
      </c>
      <c r="L3048" s="122">
        <v>2906</v>
      </c>
      <c r="M3048" s="122">
        <v>2642</v>
      </c>
      <c r="N3048" s="122">
        <v>2984</v>
      </c>
      <c r="O3048" s="122">
        <v>1105</v>
      </c>
      <c r="P3048" s="122">
        <v>621</v>
      </c>
      <c r="Q3048" s="122">
        <v>230</v>
      </c>
      <c r="R3048" s="122">
        <v>4087</v>
      </c>
      <c r="S3048" s="122">
        <v>3715</v>
      </c>
      <c r="T3048" s="122">
        <v>2371</v>
      </c>
      <c r="U3048" s="122">
        <v>878</v>
      </c>
      <c r="V3048" s="122">
        <v>24725</v>
      </c>
      <c r="W3048" s="122">
        <f t="shared" si="96"/>
        <v>24725</v>
      </c>
      <c r="X3048" s="122">
        <f t="shared" si="97"/>
        <v>30739</v>
      </c>
    </row>
    <row r="3049" spans="2:24">
      <c r="B3049" t="s">
        <v>385</v>
      </c>
      <c r="C3049" t="s">
        <v>54</v>
      </c>
      <c r="D3049" t="s">
        <v>406</v>
      </c>
      <c r="E3049" t="s">
        <v>137</v>
      </c>
      <c r="F3049" s="122">
        <v>1</v>
      </c>
      <c r="G3049" s="122">
        <v>227</v>
      </c>
      <c r="H3049" s="122">
        <v>142</v>
      </c>
      <c r="I3049" s="122">
        <v>17785</v>
      </c>
      <c r="J3049" s="122">
        <v>16168</v>
      </c>
      <c r="K3049" s="122">
        <v>94</v>
      </c>
      <c r="L3049" s="122">
        <v>3367</v>
      </c>
      <c r="M3049" s="122">
        <v>2806</v>
      </c>
      <c r="N3049" s="122">
        <v>5256</v>
      </c>
      <c r="O3049" s="122">
        <v>1947</v>
      </c>
      <c r="P3049" s="122">
        <v>621</v>
      </c>
      <c r="Q3049" s="122">
        <v>230</v>
      </c>
      <c r="R3049" s="122">
        <v>5279</v>
      </c>
      <c r="S3049" s="122">
        <v>1955</v>
      </c>
      <c r="T3049" s="122">
        <v>0</v>
      </c>
      <c r="U3049" s="122">
        <v>0</v>
      </c>
      <c r="V3049" s="122">
        <v>23106</v>
      </c>
      <c r="W3049" s="122">
        <f t="shared" si="96"/>
        <v>23106</v>
      </c>
      <c r="X3049" s="122">
        <f t="shared" si="97"/>
        <v>32308</v>
      </c>
    </row>
    <row r="3050" spans="2:24">
      <c r="B3050" t="s">
        <v>385</v>
      </c>
      <c r="C3050" t="s">
        <v>54</v>
      </c>
      <c r="D3050" t="s">
        <v>406</v>
      </c>
      <c r="E3050" t="s">
        <v>406</v>
      </c>
      <c r="F3050" s="122">
        <v>337</v>
      </c>
      <c r="G3050" s="122">
        <v>67562</v>
      </c>
      <c r="H3050" s="122">
        <v>47255</v>
      </c>
      <c r="I3050" s="122">
        <v>5561260</v>
      </c>
      <c r="J3050" s="122">
        <v>5055691</v>
      </c>
      <c r="K3050" s="122">
        <v>90</v>
      </c>
      <c r="L3050" s="122">
        <v>1090453</v>
      </c>
      <c r="M3050" s="122">
        <v>977683</v>
      </c>
      <c r="N3050" s="122">
        <v>1291491</v>
      </c>
      <c r="O3050" s="122">
        <v>478330</v>
      </c>
      <c r="P3050" s="122">
        <v>239874</v>
      </c>
      <c r="Q3050" s="122">
        <v>88842</v>
      </c>
      <c r="R3050" s="122">
        <v>1829019</v>
      </c>
      <c r="S3050" s="122">
        <v>1662744</v>
      </c>
      <c r="T3050" s="122">
        <v>99273</v>
      </c>
      <c r="U3050" s="122">
        <v>36768</v>
      </c>
      <c r="V3050" s="122">
        <v>8300058</v>
      </c>
      <c r="W3050" s="122">
        <f t="shared" si="96"/>
        <v>8300058</v>
      </c>
      <c r="X3050" s="122">
        <f t="shared" si="97"/>
        <v>10111370</v>
      </c>
    </row>
    <row r="3051" spans="2:24">
      <c r="B3051" t="s">
        <v>385</v>
      </c>
      <c r="C3051" t="s">
        <v>54</v>
      </c>
      <c r="D3051" t="s">
        <v>407</v>
      </c>
      <c r="E3051" t="s">
        <v>407</v>
      </c>
      <c r="F3051" s="122">
        <v>26</v>
      </c>
      <c r="G3051" s="122">
        <v>4066</v>
      </c>
      <c r="H3051" s="122">
        <v>3663</v>
      </c>
      <c r="I3051" s="122">
        <v>306957</v>
      </c>
      <c r="J3051" s="122">
        <v>279052</v>
      </c>
      <c r="K3051" s="122">
        <v>89</v>
      </c>
      <c r="L3051" s="122">
        <v>73441</v>
      </c>
      <c r="M3051" s="122">
        <v>64643</v>
      </c>
      <c r="N3051" s="122">
        <v>77003</v>
      </c>
      <c r="O3051" s="122">
        <v>28520</v>
      </c>
      <c r="P3051" s="122">
        <v>13138</v>
      </c>
      <c r="Q3051" s="122">
        <v>4866</v>
      </c>
      <c r="R3051" s="122">
        <v>123224</v>
      </c>
      <c r="S3051" s="122">
        <v>112022</v>
      </c>
      <c r="T3051" s="122">
        <v>2817</v>
      </c>
      <c r="U3051" s="122">
        <v>1043</v>
      </c>
      <c r="V3051" s="122">
        <v>490146</v>
      </c>
      <c r="W3051" s="122">
        <f t="shared" si="96"/>
        <v>490146</v>
      </c>
      <c r="X3051" s="122">
        <f t="shared" si="97"/>
        <v>596580</v>
      </c>
    </row>
    <row r="3052" spans="2:24">
      <c r="B3052" t="s">
        <v>385</v>
      </c>
      <c r="C3052" t="s">
        <v>54</v>
      </c>
      <c r="D3052" t="s">
        <v>426</v>
      </c>
      <c r="E3052" t="s">
        <v>426</v>
      </c>
      <c r="F3052" s="122">
        <v>1</v>
      </c>
      <c r="G3052" s="122">
        <v>331</v>
      </c>
      <c r="H3052" s="122">
        <v>133</v>
      </c>
      <c r="I3052" s="122">
        <v>23590</v>
      </c>
      <c r="J3052" s="122">
        <v>21446</v>
      </c>
      <c r="K3052" s="122">
        <v>65</v>
      </c>
      <c r="L3052" s="122">
        <v>2700</v>
      </c>
      <c r="M3052" s="122">
        <v>2454</v>
      </c>
      <c r="N3052" s="122">
        <v>6046</v>
      </c>
      <c r="O3052" s="122">
        <v>2239</v>
      </c>
      <c r="P3052" s="122">
        <v>702</v>
      </c>
      <c r="Q3052" s="122">
        <v>260</v>
      </c>
      <c r="R3052" s="122">
        <v>6648</v>
      </c>
      <c r="S3052" s="122">
        <v>6044</v>
      </c>
      <c r="T3052" s="122">
        <v>4420</v>
      </c>
      <c r="U3052" s="122">
        <v>1637</v>
      </c>
      <c r="V3052" s="122">
        <v>34080</v>
      </c>
      <c r="W3052" s="122">
        <f t="shared" ref="W3052:W3115" si="98">SUM(ABS(J3052),ABS(M3052),ABS(O3052),ABS(Q3052),ABS(S3052),ABS(U3052))</f>
        <v>34080</v>
      </c>
      <c r="X3052" s="122">
        <f t="shared" ref="X3052:X3115" si="99">SUM(ABS(I3052),ABS(N3052),ABS(P3052),ABS(R3052),ABS(T3052),ABS(L3052))</f>
        <v>44106</v>
      </c>
    </row>
    <row r="3053" spans="2:24">
      <c r="B3053" t="s">
        <v>385</v>
      </c>
      <c r="C3053" t="s">
        <v>54</v>
      </c>
      <c r="D3053" t="s">
        <v>408</v>
      </c>
      <c r="E3053" t="s">
        <v>408</v>
      </c>
      <c r="F3053" s="122">
        <v>2</v>
      </c>
      <c r="G3053" s="122">
        <v>538</v>
      </c>
      <c r="H3053" s="122">
        <v>291</v>
      </c>
      <c r="I3053" s="122">
        <v>41685</v>
      </c>
      <c r="J3053" s="122">
        <v>37896</v>
      </c>
      <c r="K3053" s="122">
        <v>88</v>
      </c>
      <c r="L3053" s="122">
        <v>13560</v>
      </c>
      <c r="M3053" s="122">
        <v>12327</v>
      </c>
      <c r="N3053" s="122">
        <v>9822</v>
      </c>
      <c r="O3053" s="122">
        <v>3638</v>
      </c>
      <c r="P3053" s="122">
        <v>702</v>
      </c>
      <c r="Q3053" s="122">
        <v>260</v>
      </c>
      <c r="R3053" s="122">
        <v>12568</v>
      </c>
      <c r="S3053" s="122">
        <v>11426</v>
      </c>
      <c r="T3053" s="122">
        <v>0</v>
      </c>
      <c r="U3053" s="122">
        <v>0</v>
      </c>
      <c r="V3053" s="122">
        <v>65546</v>
      </c>
      <c r="W3053" s="122">
        <f t="shared" si="98"/>
        <v>65547</v>
      </c>
      <c r="X3053" s="122">
        <f t="shared" si="99"/>
        <v>78337</v>
      </c>
    </row>
    <row r="3054" spans="2:24">
      <c r="B3054" t="s">
        <v>385</v>
      </c>
      <c r="C3054" t="s">
        <v>56</v>
      </c>
      <c r="D3054" t="s">
        <v>425</v>
      </c>
      <c r="E3054" t="s">
        <v>425</v>
      </c>
      <c r="F3054" s="122">
        <v>2</v>
      </c>
      <c r="G3054" s="122">
        <v>545</v>
      </c>
      <c r="H3054" s="122">
        <v>354</v>
      </c>
      <c r="I3054" s="122">
        <v>55747</v>
      </c>
      <c r="J3054" s="122">
        <v>50679</v>
      </c>
      <c r="K3054" s="122">
        <v>92</v>
      </c>
      <c r="L3054" s="122">
        <v>11318</v>
      </c>
      <c r="M3054" s="122">
        <v>10289</v>
      </c>
      <c r="N3054" s="122">
        <v>11086</v>
      </c>
      <c r="O3054" s="122">
        <v>4106</v>
      </c>
      <c r="P3054" s="122">
        <v>945</v>
      </c>
      <c r="Q3054" s="122">
        <v>350</v>
      </c>
      <c r="R3054" s="122">
        <v>9029</v>
      </c>
      <c r="S3054" s="122">
        <v>8208</v>
      </c>
      <c r="T3054" s="122">
        <v>4253</v>
      </c>
      <c r="U3054" s="122">
        <v>1575</v>
      </c>
      <c r="V3054" s="122">
        <v>75207</v>
      </c>
      <c r="W3054" s="122">
        <f t="shared" si="98"/>
        <v>75207</v>
      </c>
      <c r="X3054" s="122">
        <f t="shared" si="99"/>
        <v>92378</v>
      </c>
    </row>
    <row r="3055" spans="2:24">
      <c r="B3055" t="s">
        <v>385</v>
      </c>
      <c r="C3055" t="s">
        <v>56</v>
      </c>
      <c r="D3055" t="s">
        <v>425</v>
      </c>
      <c r="E3055" t="s">
        <v>405</v>
      </c>
      <c r="F3055" s="122">
        <v>1</v>
      </c>
      <c r="G3055" s="122">
        <v>141</v>
      </c>
      <c r="H3055" s="122">
        <v>170</v>
      </c>
      <c r="I3055" s="122">
        <v>11952</v>
      </c>
      <c r="J3055" s="122">
        <v>10865</v>
      </c>
      <c r="K3055" s="122">
        <v>78</v>
      </c>
      <c r="L3055" s="122">
        <v>1510</v>
      </c>
      <c r="M3055" s="122">
        <v>1373</v>
      </c>
      <c r="N3055" s="122">
        <v>3228</v>
      </c>
      <c r="O3055" s="122">
        <v>1195</v>
      </c>
      <c r="P3055" s="122">
        <v>473</v>
      </c>
      <c r="Q3055" s="122">
        <v>175</v>
      </c>
      <c r="R3055" s="122">
        <v>3875</v>
      </c>
      <c r="S3055" s="122">
        <v>3522</v>
      </c>
      <c r="T3055" s="122">
        <v>2919</v>
      </c>
      <c r="U3055" s="122">
        <v>1081</v>
      </c>
      <c r="V3055" s="122">
        <v>18212</v>
      </c>
      <c r="W3055" s="122">
        <f t="shared" si="98"/>
        <v>18211</v>
      </c>
      <c r="X3055" s="122">
        <f t="shared" si="99"/>
        <v>23957</v>
      </c>
    </row>
    <row r="3056" spans="2:24">
      <c r="B3056" t="s">
        <v>385</v>
      </c>
      <c r="C3056" t="s">
        <v>56</v>
      </c>
      <c r="D3056" t="s">
        <v>425</v>
      </c>
      <c r="E3056" t="s">
        <v>406</v>
      </c>
      <c r="F3056" s="122">
        <v>2</v>
      </c>
      <c r="G3056" s="122">
        <v>252</v>
      </c>
      <c r="H3056" s="122">
        <v>435</v>
      </c>
      <c r="I3056" s="122">
        <v>36590</v>
      </c>
      <c r="J3056" s="122">
        <v>33263</v>
      </c>
      <c r="K3056" s="122">
        <v>89</v>
      </c>
      <c r="L3056" s="122">
        <v>11422</v>
      </c>
      <c r="M3056" s="122">
        <v>10384</v>
      </c>
      <c r="N3056" s="122">
        <v>6325</v>
      </c>
      <c r="O3056" s="122">
        <v>2343</v>
      </c>
      <c r="P3056" s="122">
        <v>1242</v>
      </c>
      <c r="Q3056" s="122">
        <v>460</v>
      </c>
      <c r="R3056" s="122">
        <v>12165</v>
      </c>
      <c r="S3056" s="122">
        <v>11060</v>
      </c>
      <c r="T3056" s="122">
        <v>0</v>
      </c>
      <c r="U3056" s="122">
        <v>0</v>
      </c>
      <c r="V3056" s="122">
        <v>57509</v>
      </c>
      <c r="W3056" s="122">
        <f t="shared" si="98"/>
        <v>57510</v>
      </c>
      <c r="X3056" s="122">
        <f t="shared" si="99"/>
        <v>67744</v>
      </c>
    </row>
    <row r="3057" spans="2:24">
      <c r="B3057" t="s">
        <v>385</v>
      </c>
      <c r="C3057" t="s">
        <v>56</v>
      </c>
      <c r="D3057" t="s">
        <v>405</v>
      </c>
      <c r="E3057" t="s">
        <v>425</v>
      </c>
      <c r="F3057" s="122">
        <v>1</v>
      </c>
      <c r="G3057" s="122">
        <v>117</v>
      </c>
      <c r="H3057" s="122">
        <v>184</v>
      </c>
      <c r="I3057" s="122">
        <v>14287</v>
      </c>
      <c r="J3057" s="122">
        <v>12988</v>
      </c>
      <c r="K3057" s="122">
        <v>90</v>
      </c>
      <c r="L3057" s="122">
        <v>3515</v>
      </c>
      <c r="M3057" s="122">
        <v>1302</v>
      </c>
      <c r="N3057" s="122">
        <v>3516</v>
      </c>
      <c r="O3057" s="122">
        <v>1302</v>
      </c>
      <c r="P3057" s="122">
        <v>473</v>
      </c>
      <c r="Q3057" s="122">
        <v>175</v>
      </c>
      <c r="R3057" s="122">
        <v>4791</v>
      </c>
      <c r="S3057" s="122">
        <v>4356</v>
      </c>
      <c r="T3057" s="122">
        <v>0</v>
      </c>
      <c r="U3057" s="122">
        <v>0</v>
      </c>
      <c r="V3057" s="122">
        <v>20123</v>
      </c>
      <c r="W3057" s="122">
        <f t="shared" si="98"/>
        <v>20123</v>
      </c>
      <c r="X3057" s="122">
        <f t="shared" si="99"/>
        <v>26582</v>
      </c>
    </row>
    <row r="3058" spans="2:24">
      <c r="B3058" t="s">
        <v>385</v>
      </c>
      <c r="C3058" t="s">
        <v>56</v>
      </c>
      <c r="D3058" t="s">
        <v>405</v>
      </c>
      <c r="E3058" t="s">
        <v>405</v>
      </c>
      <c r="F3058" s="122">
        <v>56</v>
      </c>
      <c r="G3058" s="122">
        <v>8447</v>
      </c>
      <c r="H3058" s="122">
        <v>10777</v>
      </c>
      <c r="I3058" s="122">
        <v>922222</v>
      </c>
      <c r="J3058" s="122">
        <v>838383</v>
      </c>
      <c r="K3058" s="122">
        <v>84</v>
      </c>
      <c r="L3058" s="122">
        <v>195307</v>
      </c>
      <c r="M3058" s="122">
        <v>175699</v>
      </c>
      <c r="N3058" s="122">
        <v>163047</v>
      </c>
      <c r="O3058" s="122">
        <v>60388</v>
      </c>
      <c r="P3058" s="122">
        <v>27608</v>
      </c>
      <c r="Q3058" s="122">
        <v>10225</v>
      </c>
      <c r="R3058" s="122">
        <v>293180</v>
      </c>
      <c r="S3058" s="122">
        <v>266527</v>
      </c>
      <c r="T3058" s="122">
        <v>52301</v>
      </c>
      <c r="U3058" s="122">
        <v>19371</v>
      </c>
      <c r="V3058" s="122">
        <v>1370593</v>
      </c>
      <c r="W3058" s="122">
        <f t="shared" si="98"/>
        <v>1370593</v>
      </c>
      <c r="X3058" s="122">
        <f t="shared" si="99"/>
        <v>1653665</v>
      </c>
    </row>
    <row r="3059" spans="2:24">
      <c r="B3059" t="s">
        <v>385</v>
      </c>
      <c r="C3059" t="s">
        <v>56</v>
      </c>
      <c r="D3059" t="s">
        <v>137</v>
      </c>
      <c r="E3059" t="s">
        <v>137</v>
      </c>
      <c r="F3059" s="122">
        <v>19</v>
      </c>
      <c r="G3059" s="122">
        <v>2938</v>
      </c>
      <c r="H3059" s="122">
        <v>3557</v>
      </c>
      <c r="I3059" s="122">
        <v>267586</v>
      </c>
      <c r="J3059" s="122">
        <v>99106</v>
      </c>
      <c r="K3059" s="122">
        <v>256</v>
      </c>
      <c r="L3059" s="122">
        <v>82682</v>
      </c>
      <c r="M3059" s="122">
        <v>74625</v>
      </c>
      <c r="N3059" s="122">
        <v>59285</v>
      </c>
      <c r="O3059" s="122">
        <v>21957</v>
      </c>
      <c r="P3059" s="122">
        <v>15571</v>
      </c>
      <c r="Q3059" s="122">
        <v>5767</v>
      </c>
      <c r="R3059" s="122">
        <v>142686</v>
      </c>
      <c r="S3059" s="122">
        <v>52847</v>
      </c>
      <c r="T3059" s="122">
        <v>0</v>
      </c>
      <c r="U3059" s="122">
        <v>0</v>
      </c>
      <c r="V3059" s="122">
        <v>254302</v>
      </c>
      <c r="W3059" s="122">
        <f t="shared" si="98"/>
        <v>254302</v>
      </c>
      <c r="X3059" s="122">
        <f t="shared" si="99"/>
        <v>567810</v>
      </c>
    </row>
    <row r="3060" spans="2:24">
      <c r="B3060" t="s">
        <v>385</v>
      </c>
      <c r="C3060" t="s">
        <v>56</v>
      </c>
      <c r="D3060" t="s">
        <v>406</v>
      </c>
      <c r="E3060" t="s">
        <v>425</v>
      </c>
      <c r="F3060" s="122">
        <v>2</v>
      </c>
      <c r="G3060" s="122">
        <v>376</v>
      </c>
      <c r="H3060" s="122">
        <v>366</v>
      </c>
      <c r="I3060" s="122">
        <v>36962</v>
      </c>
      <c r="J3060" s="122">
        <v>33602</v>
      </c>
      <c r="K3060" s="122">
        <v>89</v>
      </c>
      <c r="L3060" s="122">
        <v>8576</v>
      </c>
      <c r="M3060" s="122">
        <v>7796</v>
      </c>
      <c r="N3060" s="122">
        <v>8692</v>
      </c>
      <c r="O3060" s="122">
        <v>3219</v>
      </c>
      <c r="P3060" s="122">
        <v>1242</v>
      </c>
      <c r="Q3060" s="122">
        <v>460</v>
      </c>
      <c r="R3060" s="122">
        <v>13143</v>
      </c>
      <c r="S3060" s="122">
        <v>11948</v>
      </c>
      <c r="T3060" s="122">
        <v>0</v>
      </c>
      <c r="U3060" s="122">
        <v>0</v>
      </c>
      <c r="V3060" s="122">
        <v>57025</v>
      </c>
      <c r="W3060" s="122">
        <f t="shared" si="98"/>
        <v>57025</v>
      </c>
      <c r="X3060" s="122">
        <f t="shared" si="99"/>
        <v>68615</v>
      </c>
    </row>
    <row r="3061" spans="2:24">
      <c r="B3061" t="s">
        <v>385</v>
      </c>
      <c r="C3061" t="s">
        <v>56</v>
      </c>
      <c r="D3061" t="s">
        <v>406</v>
      </c>
      <c r="E3061" t="s">
        <v>137</v>
      </c>
      <c r="F3061" s="122">
        <v>3</v>
      </c>
      <c r="G3061" s="122">
        <v>632</v>
      </c>
      <c r="H3061" s="122">
        <v>559</v>
      </c>
      <c r="I3061" s="122">
        <v>73906</v>
      </c>
      <c r="J3061" s="122">
        <v>67187</v>
      </c>
      <c r="K3061" s="122">
        <v>88</v>
      </c>
      <c r="L3061" s="122">
        <v>9553</v>
      </c>
      <c r="M3061" s="122">
        <v>8265</v>
      </c>
      <c r="N3061" s="122">
        <v>13406</v>
      </c>
      <c r="O3061" s="122">
        <v>4965</v>
      </c>
      <c r="P3061" s="122">
        <v>1863</v>
      </c>
      <c r="Q3061" s="122">
        <v>690</v>
      </c>
      <c r="R3061" s="122">
        <v>20368</v>
      </c>
      <c r="S3061" s="122">
        <v>7544</v>
      </c>
      <c r="T3061" s="122">
        <v>0</v>
      </c>
      <c r="U3061" s="122">
        <v>0</v>
      </c>
      <c r="V3061" s="122">
        <v>88651</v>
      </c>
      <c r="W3061" s="122">
        <f t="shared" si="98"/>
        <v>88651</v>
      </c>
      <c r="X3061" s="122">
        <f t="shared" si="99"/>
        <v>119096</v>
      </c>
    </row>
    <row r="3062" spans="2:24">
      <c r="B3062" t="s">
        <v>385</v>
      </c>
      <c r="C3062" t="s">
        <v>56</v>
      </c>
      <c r="D3062" t="s">
        <v>406</v>
      </c>
      <c r="E3062" t="s">
        <v>406</v>
      </c>
      <c r="F3062" s="122">
        <v>1850</v>
      </c>
      <c r="G3062" s="122">
        <v>302690</v>
      </c>
      <c r="H3062" s="122">
        <v>356322</v>
      </c>
      <c r="I3062" s="122">
        <v>34270864</v>
      </c>
      <c r="J3062" s="122">
        <v>31155331</v>
      </c>
      <c r="K3062" s="122">
        <v>85</v>
      </c>
      <c r="L3062" s="122">
        <v>7038676</v>
      </c>
      <c r="M3062" s="122">
        <v>6257461</v>
      </c>
      <c r="N3062" s="122">
        <v>6148874</v>
      </c>
      <c r="O3062" s="122">
        <v>2277361</v>
      </c>
      <c r="P3062" s="122">
        <v>1242520</v>
      </c>
      <c r="Q3062" s="122">
        <v>460192</v>
      </c>
      <c r="R3062" s="122">
        <v>10063007</v>
      </c>
      <c r="S3062" s="122">
        <v>9148188</v>
      </c>
      <c r="T3062" s="122">
        <v>1991441</v>
      </c>
      <c r="U3062" s="122">
        <v>737571</v>
      </c>
      <c r="V3062" s="122">
        <v>50036105</v>
      </c>
      <c r="W3062" s="122">
        <f t="shared" si="98"/>
        <v>50036104</v>
      </c>
      <c r="X3062" s="122">
        <f t="shared" si="99"/>
        <v>60755382</v>
      </c>
    </row>
    <row r="3063" spans="2:24">
      <c r="B3063" t="s">
        <v>385</v>
      </c>
      <c r="C3063" t="s">
        <v>56</v>
      </c>
      <c r="D3063" t="s">
        <v>406</v>
      </c>
      <c r="E3063" t="s">
        <v>407</v>
      </c>
      <c r="F3063" s="122">
        <v>1</v>
      </c>
      <c r="G3063" s="122">
        <v>144</v>
      </c>
      <c r="H3063" s="122">
        <v>198</v>
      </c>
      <c r="I3063" s="122">
        <v>15280</v>
      </c>
      <c r="J3063" s="122">
        <v>13891</v>
      </c>
      <c r="K3063" s="122">
        <v>79</v>
      </c>
      <c r="L3063" s="122">
        <v>4630</v>
      </c>
      <c r="M3063" s="122">
        <v>3859</v>
      </c>
      <c r="N3063" s="122">
        <v>2233</v>
      </c>
      <c r="O3063" s="122">
        <v>827</v>
      </c>
      <c r="P3063" s="122">
        <v>621</v>
      </c>
      <c r="Q3063" s="122">
        <v>230</v>
      </c>
      <c r="R3063" s="122">
        <v>5758</v>
      </c>
      <c r="S3063" s="122">
        <v>5235</v>
      </c>
      <c r="T3063" s="122">
        <v>0</v>
      </c>
      <c r="U3063" s="122">
        <v>0</v>
      </c>
      <c r="V3063" s="122">
        <v>24042</v>
      </c>
      <c r="W3063" s="122">
        <f t="shared" si="98"/>
        <v>24042</v>
      </c>
      <c r="X3063" s="122">
        <f t="shared" si="99"/>
        <v>28522</v>
      </c>
    </row>
    <row r="3064" spans="2:24">
      <c r="B3064" t="s">
        <v>385</v>
      </c>
      <c r="C3064" t="s">
        <v>56</v>
      </c>
      <c r="D3064" t="s">
        <v>406</v>
      </c>
      <c r="E3064" t="s">
        <v>426</v>
      </c>
      <c r="F3064" s="122">
        <v>1</v>
      </c>
      <c r="G3064" s="122">
        <v>241</v>
      </c>
      <c r="H3064" s="122">
        <v>217</v>
      </c>
      <c r="I3064" s="122">
        <v>31367</v>
      </c>
      <c r="J3064" s="122">
        <v>28516</v>
      </c>
      <c r="K3064" s="122">
        <v>65</v>
      </c>
      <c r="L3064" s="122">
        <v>3916</v>
      </c>
      <c r="M3064" s="122">
        <v>3560</v>
      </c>
      <c r="N3064" s="122">
        <v>4547</v>
      </c>
      <c r="O3064" s="122">
        <v>1684</v>
      </c>
      <c r="P3064" s="122">
        <v>621</v>
      </c>
      <c r="Q3064" s="122">
        <v>230</v>
      </c>
      <c r="R3064" s="122">
        <v>11687</v>
      </c>
      <c r="S3064" s="122">
        <v>10624</v>
      </c>
      <c r="T3064" s="122">
        <v>0</v>
      </c>
      <c r="U3064" s="122">
        <v>0</v>
      </c>
      <c r="V3064" s="122">
        <v>44614</v>
      </c>
      <c r="W3064" s="122">
        <f t="shared" si="98"/>
        <v>44614</v>
      </c>
      <c r="X3064" s="122">
        <f t="shared" si="99"/>
        <v>52138</v>
      </c>
    </row>
    <row r="3065" spans="2:24">
      <c r="B3065" t="s">
        <v>385</v>
      </c>
      <c r="C3065" t="s">
        <v>56</v>
      </c>
      <c r="D3065" t="s">
        <v>427</v>
      </c>
      <c r="E3065" t="s">
        <v>406</v>
      </c>
      <c r="F3065" s="122">
        <v>1</v>
      </c>
      <c r="G3065" s="122">
        <v>142</v>
      </c>
      <c r="H3065" s="122">
        <v>199</v>
      </c>
      <c r="I3065" s="122">
        <v>15375</v>
      </c>
      <c r="J3065" s="122">
        <v>13977</v>
      </c>
      <c r="K3065" s="122">
        <v>84</v>
      </c>
      <c r="L3065" s="122">
        <v>4555</v>
      </c>
      <c r="M3065" s="122">
        <v>4141</v>
      </c>
      <c r="N3065" s="122">
        <v>2422</v>
      </c>
      <c r="O3065" s="122">
        <v>897</v>
      </c>
      <c r="P3065" s="122">
        <v>621</v>
      </c>
      <c r="Q3065" s="122">
        <v>230</v>
      </c>
      <c r="R3065" s="122">
        <v>5225</v>
      </c>
      <c r="S3065" s="122">
        <v>4750</v>
      </c>
      <c r="T3065" s="122">
        <v>0</v>
      </c>
      <c r="U3065" s="122">
        <v>0</v>
      </c>
      <c r="V3065" s="122">
        <v>23995</v>
      </c>
      <c r="W3065" s="122">
        <f t="shared" si="98"/>
        <v>23995</v>
      </c>
      <c r="X3065" s="122">
        <f t="shared" si="99"/>
        <v>28198</v>
      </c>
    </row>
    <row r="3066" spans="2:24">
      <c r="B3066" t="s">
        <v>385</v>
      </c>
      <c r="C3066" t="s">
        <v>56</v>
      </c>
      <c r="D3066" t="s">
        <v>407</v>
      </c>
      <c r="E3066" t="s">
        <v>407</v>
      </c>
      <c r="F3066" s="122">
        <v>130</v>
      </c>
      <c r="G3066" s="122">
        <v>18699</v>
      </c>
      <c r="H3066" s="122">
        <v>24294</v>
      </c>
      <c r="I3066" s="122">
        <v>1864812</v>
      </c>
      <c r="J3066" s="122">
        <v>1695283</v>
      </c>
      <c r="K3066" s="122">
        <v>82</v>
      </c>
      <c r="L3066" s="122">
        <v>461349</v>
      </c>
      <c r="M3066" s="122">
        <v>411420</v>
      </c>
      <c r="N3066" s="122">
        <v>365862</v>
      </c>
      <c r="O3066" s="122">
        <v>135504</v>
      </c>
      <c r="P3066" s="122">
        <v>65689</v>
      </c>
      <c r="Q3066" s="122">
        <v>24329</v>
      </c>
      <c r="R3066" s="122">
        <v>698395</v>
      </c>
      <c r="S3066" s="122">
        <v>634904</v>
      </c>
      <c r="T3066" s="122">
        <v>91485</v>
      </c>
      <c r="U3066" s="122">
        <v>33883</v>
      </c>
      <c r="V3066" s="122">
        <v>2935324</v>
      </c>
      <c r="W3066" s="122">
        <f t="shared" si="98"/>
        <v>2935323</v>
      </c>
      <c r="X3066" s="122">
        <f t="shared" si="99"/>
        <v>3547592</v>
      </c>
    </row>
    <row r="3067" spans="2:24">
      <c r="B3067" t="s">
        <v>385</v>
      </c>
      <c r="C3067" t="s">
        <v>56</v>
      </c>
      <c r="D3067" t="s">
        <v>556</v>
      </c>
      <c r="E3067" t="s">
        <v>556</v>
      </c>
      <c r="F3067" s="122">
        <v>1</v>
      </c>
      <c r="G3067" s="122">
        <v>311</v>
      </c>
      <c r="H3067" s="122">
        <v>224</v>
      </c>
      <c r="I3067" s="122">
        <v>48806</v>
      </c>
      <c r="J3067" s="122">
        <v>40672</v>
      </c>
      <c r="K3067" s="122">
        <v>60</v>
      </c>
      <c r="L3067" s="122">
        <v>3207</v>
      </c>
      <c r="M3067" s="122">
        <v>2916</v>
      </c>
      <c r="N3067" s="122">
        <v>3829</v>
      </c>
      <c r="O3067" s="122">
        <v>1418</v>
      </c>
      <c r="P3067" s="122">
        <v>824</v>
      </c>
      <c r="Q3067" s="122">
        <v>305</v>
      </c>
      <c r="R3067" s="122">
        <v>13146</v>
      </c>
      <c r="S3067" s="122">
        <v>10955</v>
      </c>
      <c r="T3067" s="122">
        <v>0</v>
      </c>
      <c r="U3067" s="122">
        <v>0</v>
      </c>
      <c r="V3067" s="122">
        <v>56265</v>
      </c>
      <c r="W3067" s="122">
        <f t="shared" si="98"/>
        <v>56266</v>
      </c>
      <c r="X3067" s="122">
        <f t="shared" si="99"/>
        <v>69812</v>
      </c>
    </row>
    <row r="3068" spans="2:24">
      <c r="B3068" t="s">
        <v>385</v>
      </c>
      <c r="C3068" t="s">
        <v>56</v>
      </c>
      <c r="D3068" t="s">
        <v>428</v>
      </c>
      <c r="E3068" t="s">
        <v>428</v>
      </c>
      <c r="F3068" s="122">
        <v>1</v>
      </c>
      <c r="G3068" s="122">
        <v>155</v>
      </c>
      <c r="H3068" s="122">
        <v>183</v>
      </c>
      <c r="I3068" s="122">
        <v>18083</v>
      </c>
      <c r="J3068" s="122">
        <v>16439</v>
      </c>
      <c r="K3068" s="122">
        <v>65</v>
      </c>
      <c r="L3068" s="122">
        <v>1789</v>
      </c>
      <c r="M3068" s="122">
        <v>1626</v>
      </c>
      <c r="N3068" s="122">
        <v>2753</v>
      </c>
      <c r="O3068" s="122">
        <v>1019</v>
      </c>
      <c r="P3068" s="122">
        <v>824</v>
      </c>
      <c r="Q3068" s="122">
        <v>305</v>
      </c>
      <c r="R3068" s="122">
        <v>3686</v>
      </c>
      <c r="S3068" s="122">
        <v>3351</v>
      </c>
      <c r="T3068" s="122">
        <v>1178</v>
      </c>
      <c r="U3068" s="122">
        <v>436</v>
      </c>
      <c r="V3068" s="122">
        <v>23177</v>
      </c>
      <c r="W3068" s="122">
        <f t="shared" si="98"/>
        <v>23176</v>
      </c>
      <c r="X3068" s="122">
        <f t="shared" si="99"/>
        <v>28313</v>
      </c>
    </row>
    <row r="3069" spans="2:24">
      <c r="B3069" t="s">
        <v>385</v>
      </c>
      <c r="C3069" t="s">
        <v>56</v>
      </c>
      <c r="D3069" t="s">
        <v>426</v>
      </c>
      <c r="E3069" t="s">
        <v>426</v>
      </c>
      <c r="F3069" s="122">
        <v>8</v>
      </c>
      <c r="G3069" s="122">
        <v>1330</v>
      </c>
      <c r="H3069" s="122">
        <v>1625</v>
      </c>
      <c r="I3069" s="122">
        <v>181236</v>
      </c>
      <c r="J3069" s="122">
        <v>164760</v>
      </c>
      <c r="K3069" s="122">
        <v>68</v>
      </c>
      <c r="L3069" s="122">
        <v>18513</v>
      </c>
      <c r="M3069" s="122">
        <v>18525</v>
      </c>
      <c r="N3069" s="122">
        <v>27894</v>
      </c>
      <c r="O3069" s="122">
        <v>10331</v>
      </c>
      <c r="P3069" s="122">
        <v>3618</v>
      </c>
      <c r="Q3069" s="122">
        <v>1340</v>
      </c>
      <c r="R3069" s="122">
        <v>47989</v>
      </c>
      <c r="S3069" s="122">
        <v>43627</v>
      </c>
      <c r="T3069" s="122">
        <v>14423</v>
      </c>
      <c r="U3069" s="122">
        <v>5342</v>
      </c>
      <c r="V3069" s="122">
        <v>243925</v>
      </c>
      <c r="W3069" s="122">
        <f t="shared" si="98"/>
        <v>243925</v>
      </c>
      <c r="X3069" s="122">
        <f t="shared" si="99"/>
        <v>293673</v>
      </c>
    </row>
    <row r="3070" spans="2:24">
      <c r="B3070" t="s">
        <v>385</v>
      </c>
      <c r="C3070" t="s">
        <v>56</v>
      </c>
      <c r="D3070" t="s">
        <v>433</v>
      </c>
      <c r="E3070" t="s">
        <v>433</v>
      </c>
      <c r="F3070" s="122">
        <v>1</v>
      </c>
      <c r="G3070" s="122">
        <v>287</v>
      </c>
      <c r="H3070" s="122">
        <v>224</v>
      </c>
      <c r="I3070" s="122">
        <v>40328</v>
      </c>
      <c r="J3070" s="122">
        <v>36662</v>
      </c>
      <c r="K3070" s="122">
        <v>55</v>
      </c>
      <c r="L3070" s="122">
        <v>3898</v>
      </c>
      <c r="M3070" s="122">
        <v>3544</v>
      </c>
      <c r="N3070" s="122">
        <v>6749</v>
      </c>
      <c r="O3070" s="122">
        <v>2500</v>
      </c>
      <c r="P3070" s="122">
        <v>351</v>
      </c>
      <c r="Q3070" s="122">
        <v>130</v>
      </c>
      <c r="R3070" s="122">
        <v>8561</v>
      </c>
      <c r="S3070" s="122">
        <v>7783</v>
      </c>
      <c r="T3070" s="122">
        <v>4321</v>
      </c>
      <c r="U3070" s="122">
        <v>1600</v>
      </c>
      <c r="V3070" s="122">
        <v>52218</v>
      </c>
      <c r="W3070" s="122">
        <f t="shared" si="98"/>
        <v>52219</v>
      </c>
      <c r="X3070" s="122">
        <f t="shared" si="99"/>
        <v>64208</v>
      </c>
    </row>
    <row r="3071" spans="2:24">
      <c r="B3071" t="s">
        <v>385</v>
      </c>
      <c r="C3071" t="s">
        <v>56</v>
      </c>
      <c r="D3071" t="s">
        <v>408</v>
      </c>
      <c r="E3071" t="s">
        <v>408</v>
      </c>
      <c r="F3071" s="122">
        <v>12</v>
      </c>
      <c r="G3071" s="122">
        <v>2210</v>
      </c>
      <c r="H3071" s="122">
        <v>2307</v>
      </c>
      <c r="I3071" s="122">
        <v>250326</v>
      </c>
      <c r="J3071" s="122">
        <v>227569</v>
      </c>
      <c r="K3071" s="122">
        <v>77</v>
      </c>
      <c r="L3071" s="122">
        <v>45888</v>
      </c>
      <c r="M3071" s="122">
        <v>39719</v>
      </c>
      <c r="N3071" s="122">
        <v>41547</v>
      </c>
      <c r="O3071" s="122">
        <v>15388</v>
      </c>
      <c r="P3071" s="122">
        <v>5616</v>
      </c>
      <c r="Q3071" s="122">
        <v>2080</v>
      </c>
      <c r="R3071" s="122">
        <v>61273</v>
      </c>
      <c r="S3071" s="122">
        <v>55703</v>
      </c>
      <c r="T3071" s="122">
        <v>14817</v>
      </c>
      <c r="U3071" s="122">
        <v>5488</v>
      </c>
      <c r="V3071" s="122">
        <v>345946</v>
      </c>
      <c r="W3071" s="122">
        <f t="shared" si="98"/>
        <v>345947</v>
      </c>
      <c r="X3071" s="122">
        <f t="shared" si="99"/>
        <v>419467</v>
      </c>
    </row>
    <row r="3072" spans="2:24">
      <c r="B3072" t="s">
        <v>385</v>
      </c>
      <c r="C3072" t="s">
        <v>58</v>
      </c>
      <c r="D3072" t="s">
        <v>425</v>
      </c>
      <c r="E3072" t="s">
        <v>425</v>
      </c>
      <c r="F3072" s="122">
        <v>2</v>
      </c>
      <c r="G3072" s="122">
        <v>577</v>
      </c>
      <c r="H3072" s="122">
        <v>479</v>
      </c>
      <c r="I3072" s="122">
        <v>95881</v>
      </c>
      <c r="J3072" s="122">
        <v>87164</v>
      </c>
      <c r="K3072" s="122">
        <v>78</v>
      </c>
      <c r="L3072" s="122">
        <v>12561</v>
      </c>
      <c r="M3072" s="122">
        <v>11420</v>
      </c>
      <c r="N3072" s="122">
        <v>13286</v>
      </c>
      <c r="O3072" s="122">
        <v>4921</v>
      </c>
      <c r="P3072" s="122">
        <v>1215</v>
      </c>
      <c r="Q3072" s="122">
        <v>450</v>
      </c>
      <c r="R3072" s="122">
        <v>12489</v>
      </c>
      <c r="S3072" s="122">
        <v>11353</v>
      </c>
      <c r="T3072" s="122">
        <v>3180</v>
      </c>
      <c r="U3072" s="122">
        <v>1178</v>
      </c>
      <c r="V3072" s="122">
        <v>116486</v>
      </c>
      <c r="W3072" s="122">
        <f t="shared" si="98"/>
        <v>116486</v>
      </c>
      <c r="X3072" s="122">
        <f t="shared" si="99"/>
        <v>138612</v>
      </c>
    </row>
    <row r="3073" spans="2:24">
      <c r="B3073" t="s">
        <v>385</v>
      </c>
      <c r="C3073" t="s">
        <v>58</v>
      </c>
      <c r="D3073" t="s">
        <v>425</v>
      </c>
      <c r="E3073" t="s">
        <v>405</v>
      </c>
      <c r="F3073" s="122">
        <v>1</v>
      </c>
      <c r="G3073" s="122">
        <v>133</v>
      </c>
      <c r="H3073" s="122">
        <v>299</v>
      </c>
      <c r="I3073" s="122">
        <v>21384</v>
      </c>
      <c r="J3073" s="122">
        <v>19440</v>
      </c>
      <c r="K3073" s="122">
        <v>68</v>
      </c>
      <c r="L3073" s="122">
        <v>5116</v>
      </c>
      <c r="M3073" s="122">
        <v>4651</v>
      </c>
      <c r="N3073" s="122">
        <v>3148</v>
      </c>
      <c r="O3073" s="122">
        <v>1166</v>
      </c>
      <c r="P3073" s="122">
        <v>473</v>
      </c>
      <c r="Q3073" s="122">
        <v>175</v>
      </c>
      <c r="R3073" s="122">
        <v>5918</v>
      </c>
      <c r="S3073" s="122">
        <v>5380</v>
      </c>
      <c r="T3073" s="122">
        <v>3535</v>
      </c>
      <c r="U3073" s="122">
        <v>1309</v>
      </c>
      <c r="V3073" s="122">
        <v>32122</v>
      </c>
      <c r="W3073" s="122">
        <f t="shared" si="98"/>
        <v>32121</v>
      </c>
      <c r="X3073" s="122">
        <f t="shared" si="99"/>
        <v>39574</v>
      </c>
    </row>
    <row r="3074" spans="2:24">
      <c r="B3074" t="s">
        <v>385</v>
      </c>
      <c r="C3074" t="s">
        <v>58</v>
      </c>
      <c r="D3074" t="s">
        <v>405</v>
      </c>
      <c r="E3074" t="s">
        <v>405</v>
      </c>
      <c r="F3074" s="122">
        <v>18</v>
      </c>
      <c r="G3074" s="122">
        <v>2532</v>
      </c>
      <c r="H3074" s="122">
        <v>4647</v>
      </c>
      <c r="I3074" s="122">
        <v>398795</v>
      </c>
      <c r="J3074" s="122">
        <v>362541</v>
      </c>
      <c r="K3074" s="122">
        <v>84</v>
      </c>
      <c r="L3074" s="122">
        <v>90681</v>
      </c>
      <c r="M3074" s="122">
        <v>82050</v>
      </c>
      <c r="N3074" s="122">
        <v>51972</v>
      </c>
      <c r="O3074" s="122">
        <v>19249</v>
      </c>
      <c r="P3074" s="122">
        <v>8735</v>
      </c>
      <c r="Q3074" s="122">
        <v>3235</v>
      </c>
      <c r="R3074" s="122">
        <v>88806</v>
      </c>
      <c r="S3074" s="122">
        <v>80733</v>
      </c>
      <c r="T3074" s="122">
        <v>27201</v>
      </c>
      <c r="U3074" s="122">
        <v>10074</v>
      </c>
      <c r="V3074" s="122">
        <v>557882</v>
      </c>
      <c r="W3074" s="122">
        <f t="shared" si="98"/>
        <v>557882</v>
      </c>
      <c r="X3074" s="122">
        <f t="shared" si="99"/>
        <v>666190</v>
      </c>
    </row>
    <row r="3075" spans="2:24">
      <c r="B3075" t="s">
        <v>385</v>
      </c>
      <c r="C3075" t="s">
        <v>58</v>
      </c>
      <c r="D3075" t="s">
        <v>405</v>
      </c>
      <c r="E3075" t="s">
        <v>137</v>
      </c>
      <c r="F3075" s="122">
        <v>1</v>
      </c>
      <c r="G3075" s="122">
        <v>104</v>
      </c>
      <c r="H3075" s="122">
        <v>245</v>
      </c>
      <c r="I3075" s="122">
        <v>13473</v>
      </c>
      <c r="J3075" s="122">
        <v>12248</v>
      </c>
      <c r="K3075" s="122">
        <v>73</v>
      </c>
      <c r="L3075" s="122">
        <v>3463</v>
      </c>
      <c r="M3075" s="122">
        <v>3148</v>
      </c>
      <c r="N3075" s="122">
        <v>2530</v>
      </c>
      <c r="O3075" s="122">
        <v>937</v>
      </c>
      <c r="P3075" s="122">
        <v>473</v>
      </c>
      <c r="Q3075" s="122">
        <v>175</v>
      </c>
      <c r="R3075" s="122">
        <v>5505</v>
      </c>
      <c r="S3075" s="122">
        <v>2039</v>
      </c>
      <c r="T3075" s="122">
        <v>0</v>
      </c>
      <c r="U3075" s="122">
        <v>0</v>
      </c>
      <c r="V3075" s="122">
        <v>18548</v>
      </c>
      <c r="W3075" s="122">
        <f t="shared" si="98"/>
        <v>18547</v>
      </c>
      <c r="X3075" s="122">
        <f t="shared" si="99"/>
        <v>25444</v>
      </c>
    </row>
    <row r="3076" spans="2:24">
      <c r="B3076" t="s">
        <v>385</v>
      </c>
      <c r="C3076" t="s">
        <v>58</v>
      </c>
      <c r="D3076" t="s">
        <v>137</v>
      </c>
      <c r="E3076" t="s">
        <v>137</v>
      </c>
      <c r="F3076" s="122">
        <v>12</v>
      </c>
      <c r="G3076" s="122">
        <v>1961</v>
      </c>
      <c r="H3076" s="122">
        <v>3313</v>
      </c>
      <c r="I3076" s="122">
        <v>352439</v>
      </c>
      <c r="J3076" s="122">
        <v>130533</v>
      </c>
      <c r="K3076" s="122">
        <v>112</v>
      </c>
      <c r="L3076" s="122">
        <v>42207</v>
      </c>
      <c r="M3076" s="122">
        <v>35591</v>
      </c>
      <c r="N3076" s="122">
        <v>40307</v>
      </c>
      <c r="O3076" s="122">
        <v>14929</v>
      </c>
      <c r="P3076" s="122">
        <v>2073</v>
      </c>
      <c r="Q3076" s="122">
        <v>768</v>
      </c>
      <c r="R3076" s="122">
        <v>109944</v>
      </c>
      <c r="S3076" s="122">
        <v>40720</v>
      </c>
      <c r="T3076" s="122">
        <v>0</v>
      </c>
      <c r="U3076" s="122">
        <v>0</v>
      </c>
      <c r="V3076" s="122">
        <v>222540</v>
      </c>
      <c r="W3076" s="122">
        <f t="shared" si="98"/>
        <v>222541</v>
      </c>
      <c r="X3076" s="122">
        <f t="shared" si="99"/>
        <v>546970</v>
      </c>
    </row>
    <row r="3077" spans="2:24">
      <c r="B3077" t="s">
        <v>385</v>
      </c>
      <c r="C3077" t="s">
        <v>58</v>
      </c>
      <c r="D3077" t="s">
        <v>406</v>
      </c>
      <c r="E3077" t="s">
        <v>425</v>
      </c>
      <c r="F3077" s="122">
        <v>1</v>
      </c>
      <c r="G3077" s="122">
        <v>178</v>
      </c>
      <c r="H3077" s="122">
        <v>246</v>
      </c>
      <c r="I3077" s="122">
        <v>27896</v>
      </c>
      <c r="J3077" s="122">
        <v>25360</v>
      </c>
      <c r="K3077" s="122">
        <v>79</v>
      </c>
      <c r="L3077" s="122">
        <v>3576</v>
      </c>
      <c r="M3077" s="122">
        <v>3251</v>
      </c>
      <c r="N3077" s="122">
        <v>3259</v>
      </c>
      <c r="O3077" s="122">
        <v>1207</v>
      </c>
      <c r="P3077" s="122">
        <v>621</v>
      </c>
      <c r="Q3077" s="122">
        <v>230</v>
      </c>
      <c r="R3077" s="122">
        <v>4999</v>
      </c>
      <c r="S3077" s="122">
        <v>4545</v>
      </c>
      <c r="T3077" s="122">
        <v>3449</v>
      </c>
      <c r="U3077" s="122">
        <v>1277</v>
      </c>
      <c r="V3077" s="122">
        <v>35871</v>
      </c>
      <c r="W3077" s="122">
        <f t="shared" si="98"/>
        <v>35870</v>
      </c>
      <c r="X3077" s="122">
        <f t="shared" si="99"/>
        <v>43800</v>
      </c>
    </row>
    <row r="3078" spans="2:24">
      <c r="B3078" t="s">
        <v>385</v>
      </c>
      <c r="C3078" t="s">
        <v>58</v>
      </c>
      <c r="D3078" t="s">
        <v>406</v>
      </c>
      <c r="E3078" t="s">
        <v>137</v>
      </c>
      <c r="F3078" s="122">
        <v>3</v>
      </c>
      <c r="G3078" s="122">
        <v>652</v>
      </c>
      <c r="H3078" s="122">
        <v>800</v>
      </c>
      <c r="I3078" s="122">
        <v>114227</v>
      </c>
      <c r="J3078" s="122">
        <v>103843</v>
      </c>
      <c r="K3078" s="122">
        <v>80</v>
      </c>
      <c r="L3078" s="122">
        <v>26414</v>
      </c>
      <c r="M3078" s="122">
        <v>24013</v>
      </c>
      <c r="N3078" s="122">
        <v>13954</v>
      </c>
      <c r="O3078" s="122">
        <v>5168</v>
      </c>
      <c r="P3078" s="122">
        <v>1863</v>
      </c>
      <c r="Q3078" s="122">
        <v>690</v>
      </c>
      <c r="R3078" s="122">
        <v>20381</v>
      </c>
      <c r="S3078" s="122">
        <v>7549</v>
      </c>
      <c r="T3078" s="122">
        <v>0</v>
      </c>
      <c r="U3078" s="122">
        <v>0</v>
      </c>
      <c r="V3078" s="122">
        <v>141263</v>
      </c>
      <c r="W3078" s="122">
        <f t="shared" si="98"/>
        <v>141263</v>
      </c>
      <c r="X3078" s="122">
        <f t="shared" si="99"/>
        <v>176839</v>
      </c>
    </row>
    <row r="3079" spans="2:24">
      <c r="B3079" t="s">
        <v>385</v>
      </c>
      <c r="C3079" t="s">
        <v>58</v>
      </c>
      <c r="D3079" t="s">
        <v>406</v>
      </c>
      <c r="E3079" t="s">
        <v>406</v>
      </c>
      <c r="F3079" s="122">
        <v>1218</v>
      </c>
      <c r="G3079" s="122">
        <v>163379</v>
      </c>
      <c r="H3079" s="122">
        <v>316279</v>
      </c>
      <c r="I3079" s="122">
        <v>25357011</v>
      </c>
      <c r="J3079" s="122">
        <v>23051828</v>
      </c>
      <c r="K3079" s="122">
        <v>81</v>
      </c>
      <c r="L3079" s="122">
        <v>5223475</v>
      </c>
      <c r="M3079" s="122">
        <v>4631239</v>
      </c>
      <c r="N3079" s="122">
        <v>3311538</v>
      </c>
      <c r="O3079" s="122">
        <v>1226495</v>
      </c>
      <c r="P3079" s="122">
        <v>802621</v>
      </c>
      <c r="Q3079" s="122">
        <v>297267</v>
      </c>
      <c r="R3079" s="122">
        <v>6315128</v>
      </c>
      <c r="S3079" s="122">
        <v>5741025</v>
      </c>
      <c r="T3079" s="122">
        <v>2095073</v>
      </c>
      <c r="U3079" s="122">
        <v>775953</v>
      </c>
      <c r="V3079" s="122">
        <v>35723808</v>
      </c>
      <c r="W3079" s="122">
        <f t="shared" si="98"/>
        <v>35723807</v>
      </c>
      <c r="X3079" s="122">
        <f t="shared" si="99"/>
        <v>43104846</v>
      </c>
    </row>
    <row r="3080" spans="2:24">
      <c r="B3080" t="s">
        <v>385</v>
      </c>
      <c r="C3080" t="s">
        <v>58</v>
      </c>
      <c r="D3080" t="s">
        <v>406</v>
      </c>
      <c r="E3080" t="s">
        <v>427</v>
      </c>
      <c r="F3080" s="122">
        <v>1</v>
      </c>
      <c r="G3080" s="122">
        <v>126</v>
      </c>
      <c r="H3080" s="122">
        <v>240</v>
      </c>
      <c r="I3080" s="122">
        <v>16224</v>
      </c>
      <c r="J3080" s="122">
        <v>14749</v>
      </c>
      <c r="K3080" s="122">
        <v>86</v>
      </c>
      <c r="L3080" s="122">
        <v>4879</v>
      </c>
      <c r="M3080" s="122">
        <v>4436</v>
      </c>
      <c r="N3080" s="122">
        <v>2464</v>
      </c>
      <c r="O3080" s="122">
        <v>913</v>
      </c>
      <c r="P3080" s="122">
        <v>621</v>
      </c>
      <c r="Q3080" s="122">
        <v>230</v>
      </c>
      <c r="R3080" s="122">
        <v>3355</v>
      </c>
      <c r="S3080" s="122">
        <v>3050</v>
      </c>
      <c r="T3080" s="122">
        <v>2751</v>
      </c>
      <c r="U3080" s="122">
        <v>1019</v>
      </c>
      <c r="V3080" s="122">
        <v>24397</v>
      </c>
      <c r="W3080" s="122">
        <f t="shared" si="98"/>
        <v>24397</v>
      </c>
      <c r="X3080" s="122">
        <f t="shared" si="99"/>
        <v>30294</v>
      </c>
    </row>
    <row r="3081" spans="2:24">
      <c r="B3081" t="s">
        <v>385</v>
      </c>
      <c r="C3081" t="s">
        <v>58</v>
      </c>
      <c r="D3081" t="s">
        <v>406</v>
      </c>
      <c r="E3081" t="s">
        <v>431</v>
      </c>
      <c r="F3081" s="122">
        <v>1</v>
      </c>
      <c r="G3081" s="122">
        <v>214</v>
      </c>
      <c r="H3081" s="122">
        <v>239</v>
      </c>
      <c r="I3081" s="122">
        <v>25828</v>
      </c>
      <c r="J3081" s="122">
        <v>23480</v>
      </c>
      <c r="K3081" s="122">
        <v>70</v>
      </c>
      <c r="L3081" s="122">
        <v>4464</v>
      </c>
      <c r="M3081" s="122">
        <v>4058</v>
      </c>
      <c r="N3081" s="122">
        <v>4710</v>
      </c>
      <c r="O3081" s="122">
        <v>1744</v>
      </c>
      <c r="P3081" s="122">
        <v>621</v>
      </c>
      <c r="Q3081" s="122">
        <v>230</v>
      </c>
      <c r="R3081" s="122">
        <v>15425</v>
      </c>
      <c r="S3081" s="122">
        <v>14023</v>
      </c>
      <c r="T3081" s="122">
        <v>0</v>
      </c>
      <c r="U3081" s="122">
        <v>0</v>
      </c>
      <c r="V3081" s="122">
        <v>43535</v>
      </c>
      <c r="W3081" s="122">
        <f t="shared" si="98"/>
        <v>43535</v>
      </c>
      <c r="X3081" s="122">
        <f t="shared" si="99"/>
        <v>51048</v>
      </c>
    </row>
    <row r="3082" spans="2:24">
      <c r="B3082" t="s">
        <v>385</v>
      </c>
      <c r="C3082" t="s">
        <v>58</v>
      </c>
      <c r="D3082" t="s">
        <v>406</v>
      </c>
      <c r="E3082" t="s">
        <v>426</v>
      </c>
      <c r="F3082" s="122">
        <v>1</v>
      </c>
      <c r="G3082" s="122">
        <v>82</v>
      </c>
      <c r="H3082" s="122">
        <v>260</v>
      </c>
      <c r="I3082" s="122">
        <v>10629</v>
      </c>
      <c r="J3082" s="122">
        <v>9663</v>
      </c>
      <c r="K3082" s="122">
        <v>70</v>
      </c>
      <c r="L3082" s="122">
        <v>1963</v>
      </c>
      <c r="M3082" s="122">
        <v>1785</v>
      </c>
      <c r="N3082" s="122">
        <v>1992</v>
      </c>
      <c r="O3082" s="122">
        <v>738</v>
      </c>
      <c r="P3082" s="122">
        <v>621</v>
      </c>
      <c r="Q3082" s="122">
        <v>230</v>
      </c>
      <c r="R3082" s="122">
        <v>6082</v>
      </c>
      <c r="S3082" s="122">
        <v>5529</v>
      </c>
      <c r="T3082" s="122">
        <v>0</v>
      </c>
      <c r="U3082" s="122">
        <v>0</v>
      </c>
      <c r="V3082" s="122">
        <v>17945</v>
      </c>
      <c r="W3082" s="122">
        <f t="shared" si="98"/>
        <v>17945</v>
      </c>
      <c r="X3082" s="122">
        <f t="shared" si="99"/>
        <v>21287</v>
      </c>
    </row>
    <row r="3083" spans="2:24">
      <c r="B3083" t="s">
        <v>385</v>
      </c>
      <c r="C3083" t="s">
        <v>58</v>
      </c>
      <c r="D3083" t="s">
        <v>407</v>
      </c>
      <c r="E3083" t="s">
        <v>407</v>
      </c>
      <c r="F3083" s="122">
        <v>27</v>
      </c>
      <c r="G3083" s="122">
        <v>3113</v>
      </c>
      <c r="H3083" s="122">
        <v>6711</v>
      </c>
      <c r="I3083" s="122">
        <v>426012</v>
      </c>
      <c r="J3083" s="122">
        <v>387284</v>
      </c>
      <c r="K3083" s="122">
        <v>77</v>
      </c>
      <c r="L3083" s="122">
        <v>111414</v>
      </c>
      <c r="M3083" s="122">
        <v>99155</v>
      </c>
      <c r="N3083" s="122">
        <v>61817</v>
      </c>
      <c r="O3083" s="122">
        <v>22895</v>
      </c>
      <c r="P3083" s="122">
        <v>13811</v>
      </c>
      <c r="Q3083" s="122">
        <v>5115</v>
      </c>
      <c r="R3083" s="122">
        <v>140656</v>
      </c>
      <c r="S3083" s="122">
        <v>127869</v>
      </c>
      <c r="T3083" s="122">
        <v>27799</v>
      </c>
      <c r="U3083" s="122">
        <v>10296</v>
      </c>
      <c r="V3083" s="122">
        <v>652614</v>
      </c>
      <c r="W3083" s="122">
        <f t="shared" si="98"/>
        <v>652614</v>
      </c>
      <c r="X3083" s="122">
        <f t="shared" si="99"/>
        <v>781509</v>
      </c>
    </row>
    <row r="3084" spans="2:24">
      <c r="B3084" t="s">
        <v>385</v>
      </c>
      <c r="C3084" t="s">
        <v>58</v>
      </c>
      <c r="D3084" t="s">
        <v>556</v>
      </c>
      <c r="E3084" t="s">
        <v>556</v>
      </c>
      <c r="F3084" s="122">
        <v>5</v>
      </c>
      <c r="G3084" s="122">
        <v>685</v>
      </c>
      <c r="H3084" s="122">
        <v>1389</v>
      </c>
      <c r="I3084" s="122">
        <v>122166</v>
      </c>
      <c r="J3084" s="122">
        <v>101805</v>
      </c>
      <c r="K3084" s="122">
        <v>63</v>
      </c>
      <c r="L3084" s="122">
        <v>14282</v>
      </c>
      <c r="M3084" s="122">
        <v>12201</v>
      </c>
      <c r="N3084" s="122">
        <v>12072</v>
      </c>
      <c r="O3084" s="122">
        <v>4471</v>
      </c>
      <c r="P3084" s="122">
        <v>2295</v>
      </c>
      <c r="Q3084" s="122">
        <v>850</v>
      </c>
      <c r="R3084" s="122">
        <v>27167</v>
      </c>
      <c r="S3084" s="122">
        <v>22639</v>
      </c>
      <c r="T3084" s="122">
        <v>11747</v>
      </c>
      <c r="U3084" s="122">
        <v>4351</v>
      </c>
      <c r="V3084" s="122">
        <v>146318</v>
      </c>
      <c r="W3084" s="122">
        <f t="shared" si="98"/>
        <v>146317</v>
      </c>
      <c r="X3084" s="122">
        <f t="shared" si="99"/>
        <v>189729</v>
      </c>
    </row>
    <row r="3085" spans="2:24">
      <c r="B3085" t="s">
        <v>385</v>
      </c>
      <c r="C3085" t="s">
        <v>58</v>
      </c>
      <c r="D3085" t="s">
        <v>431</v>
      </c>
      <c r="E3085" t="s">
        <v>431</v>
      </c>
      <c r="F3085" s="122">
        <v>4</v>
      </c>
      <c r="G3085" s="122">
        <v>629</v>
      </c>
      <c r="H3085" s="122">
        <v>1073</v>
      </c>
      <c r="I3085" s="122">
        <v>115507</v>
      </c>
      <c r="J3085" s="122">
        <v>105006</v>
      </c>
      <c r="K3085" s="122">
        <v>61</v>
      </c>
      <c r="L3085" s="122">
        <v>12303</v>
      </c>
      <c r="M3085" s="122">
        <v>11184</v>
      </c>
      <c r="N3085" s="122">
        <v>12171</v>
      </c>
      <c r="O3085" s="122">
        <v>4508</v>
      </c>
      <c r="P3085" s="122">
        <v>2295</v>
      </c>
      <c r="Q3085" s="122">
        <v>850</v>
      </c>
      <c r="R3085" s="122">
        <v>29754</v>
      </c>
      <c r="S3085" s="122">
        <v>27049</v>
      </c>
      <c r="T3085" s="122">
        <v>6378</v>
      </c>
      <c r="U3085" s="122">
        <v>2362</v>
      </c>
      <c r="V3085" s="122">
        <v>150959</v>
      </c>
      <c r="W3085" s="122">
        <f t="shared" si="98"/>
        <v>150959</v>
      </c>
      <c r="X3085" s="122">
        <f t="shared" si="99"/>
        <v>178408</v>
      </c>
    </row>
    <row r="3086" spans="2:24">
      <c r="B3086" t="s">
        <v>385</v>
      </c>
      <c r="C3086" t="s">
        <v>58</v>
      </c>
      <c r="D3086" t="s">
        <v>426</v>
      </c>
      <c r="E3086" t="s">
        <v>137</v>
      </c>
      <c r="F3086" s="122">
        <v>1</v>
      </c>
      <c r="G3086" s="122">
        <v>64</v>
      </c>
      <c r="H3086" s="122">
        <v>290</v>
      </c>
      <c r="I3086" s="122">
        <v>10954</v>
      </c>
      <c r="J3086" s="122">
        <v>9958</v>
      </c>
      <c r="K3086" s="122">
        <v>60</v>
      </c>
      <c r="L3086" s="122">
        <v>1792</v>
      </c>
      <c r="M3086" s="122">
        <v>664</v>
      </c>
      <c r="N3086" s="122">
        <v>784</v>
      </c>
      <c r="O3086" s="122">
        <v>290</v>
      </c>
      <c r="P3086" s="122">
        <v>566</v>
      </c>
      <c r="Q3086" s="122">
        <v>210</v>
      </c>
      <c r="R3086" s="122">
        <v>4562</v>
      </c>
      <c r="S3086" s="122">
        <v>1690</v>
      </c>
      <c r="T3086" s="122">
        <v>0</v>
      </c>
      <c r="U3086" s="122">
        <v>0</v>
      </c>
      <c r="V3086" s="122">
        <v>12811</v>
      </c>
      <c r="W3086" s="122">
        <f t="shared" si="98"/>
        <v>12812</v>
      </c>
      <c r="X3086" s="122">
        <f t="shared" si="99"/>
        <v>18658</v>
      </c>
    </row>
    <row r="3087" spans="2:24">
      <c r="B3087" t="s">
        <v>385</v>
      </c>
      <c r="C3087" t="s">
        <v>58</v>
      </c>
      <c r="D3087" t="s">
        <v>426</v>
      </c>
      <c r="E3087" t="s">
        <v>426</v>
      </c>
      <c r="F3087" s="122">
        <v>53</v>
      </c>
      <c r="G3087" s="122">
        <v>7380</v>
      </c>
      <c r="H3087" s="122">
        <v>14313</v>
      </c>
      <c r="I3087" s="122">
        <v>1267575</v>
      </c>
      <c r="J3087" s="122">
        <v>1152341</v>
      </c>
      <c r="K3087" s="122">
        <v>64</v>
      </c>
      <c r="L3087" s="122">
        <v>163171</v>
      </c>
      <c r="M3087" s="122">
        <v>142909</v>
      </c>
      <c r="N3087" s="122">
        <v>144703</v>
      </c>
      <c r="O3087" s="122">
        <v>53594</v>
      </c>
      <c r="P3087" s="122">
        <v>29565</v>
      </c>
      <c r="Q3087" s="122">
        <v>10950</v>
      </c>
      <c r="R3087" s="122">
        <v>324165</v>
      </c>
      <c r="S3087" s="122">
        <v>294696</v>
      </c>
      <c r="T3087" s="122">
        <v>116718</v>
      </c>
      <c r="U3087" s="122">
        <v>43229</v>
      </c>
      <c r="V3087" s="122">
        <v>1697718</v>
      </c>
      <c r="W3087" s="122">
        <f t="shared" si="98"/>
        <v>1697719</v>
      </c>
      <c r="X3087" s="122">
        <f t="shared" si="99"/>
        <v>2045897</v>
      </c>
    </row>
    <row r="3088" spans="2:24">
      <c r="B3088" t="s">
        <v>385</v>
      </c>
      <c r="C3088" t="s">
        <v>58</v>
      </c>
      <c r="D3088" t="s">
        <v>433</v>
      </c>
      <c r="E3088" t="s">
        <v>433</v>
      </c>
      <c r="F3088" s="122">
        <v>3</v>
      </c>
      <c r="G3088" s="122">
        <v>367</v>
      </c>
      <c r="H3088" s="122">
        <v>870</v>
      </c>
      <c r="I3088" s="122">
        <v>78897</v>
      </c>
      <c r="J3088" s="122">
        <v>71724</v>
      </c>
      <c r="K3088" s="122">
        <v>65</v>
      </c>
      <c r="L3088" s="122">
        <v>11502</v>
      </c>
      <c r="M3088" s="122">
        <v>10456</v>
      </c>
      <c r="N3088" s="122">
        <v>7890</v>
      </c>
      <c r="O3088" s="122">
        <v>2922</v>
      </c>
      <c r="P3088" s="122">
        <v>1445</v>
      </c>
      <c r="Q3088" s="122">
        <v>535</v>
      </c>
      <c r="R3088" s="122">
        <v>17079</v>
      </c>
      <c r="S3088" s="122">
        <v>15527</v>
      </c>
      <c r="T3088" s="122">
        <v>2707</v>
      </c>
      <c r="U3088" s="122">
        <v>1003</v>
      </c>
      <c r="V3088" s="122">
        <v>102167</v>
      </c>
      <c r="W3088" s="122">
        <f t="shared" si="98"/>
        <v>102167</v>
      </c>
      <c r="X3088" s="122">
        <f t="shared" si="99"/>
        <v>119520</v>
      </c>
    </row>
    <row r="3089" spans="2:24">
      <c r="B3089" t="s">
        <v>385</v>
      </c>
      <c r="C3089" t="s">
        <v>58</v>
      </c>
      <c r="D3089" t="s">
        <v>408</v>
      </c>
      <c r="E3089" t="s">
        <v>408</v>
      </c>
      <c r="F3089" s="122">
        <v>3</v>
      </c>
      <c r="G3089" s="122">
        <v>362</v>
      </c>
      <c r="H3089" s="122">
        <v>769</v>
      </c>
      <c r="I3089" s="122">
        <v>61801</v>
      </c>
      <c r="J3089" s="122">
        <v>56183</v>
      </c>
      <c r="K3089" s="122">
        <v>73</v>
      </c>
      <c r="L3089" s="122">
        <v>6116</v>
      </c>
      <c r="M3089" s="122">
        <v>5306</v>
      </c>
      <c r="N3089" s="122">
        <v>7015</v>
      </c>
      <c r="O3089" s="122">
        <v>2598</v>
      </c>
      <c r="P3089" s="122">
        <v>1674</v>
      </c>
      <c r="Q3089" s="122">
        <v>620</v>
      </c>
      <c r="R3089" s="122">
        <v>14977</v>
      </c>
      <c r="S3089" s="122">
        <v>13615</v>
      </c>
      <c r="T3089" s="122">
        <v>0</v>
      </c>
      <c r="U3089" s="122">
        <v>0</v>
      </c>
      <c r="V3089" s="122">
        <v>78322</v>
      </c>
      <c r="W3089" s="122">
        <f t="shared" si="98"/>
        <v>78322</v>
      </c>
      <c r="X3089" s="122">
        <f t="shared" si="99"/>
        <v>91583</v>
      </c>
    </row>
    <row r="3090" spans="2:24">
      <c r="B3090" t="s">
        <v>385</v>
      </c>
      <c r="C3090" t="s">
        <v>58</v>
      </c>
      <c r="D3090" t="s">
        <v>429</v>
      </c>
      <c r="E3090" t="s">
        <v>429</v>
      </c>
      <c r="F3090" s="122">
        <v>4</v>
      </c>
      <c r="G3090" s="122">
        <v>542</v>
      </c>
      <c r="H3090" s="122">
        <v>980</v>
      </c>
      <c r="I3090" s="122">
        <v>80408</v>
      </c>
      <c r="J3090" s="122">
        <v>73098</v>
      </c>
      <c r="K3090" s="122">
        <v>74</v>
      </c>
      <c r="L3090" s="122">
        <v>9360</v>
      </c>
      <c r="M3090" s="122">
        <v>8338</v>
      </c>
      <c r="N3090" s="122">
        <v>9531</v>
      </c>
      <c r="O3090" s="122">
        <v>3530</v>
      </c>
      <c r="P3090" s="122">
        <v>2295</v>
      </c>
      <c r="Q3090" s="122">
        <v>850</v>
      </c>
      <c r="R3090" s="122">
        <v>24356</v>
      </c>
      <c r="S3090" s="122">
        <v>22142</v>
      </c>
      <c r="T3090" s="122">
        <v>4058</v>
      </c>
      <c r="U3090" s="122">
        <v>1503</v>
      </c>
      <c r="V3090" s="122">
        <v>109462</v>
      </c>
      <c r="W3090" s="122">
        <f t="shared" si="98"/>
        <v>109461</v>
      </c>
      <c r="X3090" s="122">
        <f t="shared" si="99"/>
        <v>130008</v>
      </c>
    </row>
    <row r="3091" spans="2:24">
      <c r="B3091" t="s">
        <v>385</v>
      </c>
      <c r="C3091" t="s">
        <v>60</v>
      </c>
      <c r="D3091" t="s">
        <v>555</v>
      </c>
      <c r="E3091" t="s">
        <v>555</v>
      </c>
      <c r="F3091" s="122">
        <v>1</v>
      </c>
      <c r="G3091" s="122">
        <v>120</v>
      </c>
      <c r="H3091" s="122">
        <v>367</v>
      </c>
      <c r="I3091" s="122">
        <v>26303</v>
      </c>
      <c r="J3091" s="122">
        <v>23912</v>
      </c>
      <c r="K3091" s="122">
        <v>55</v>
      </c>
      <c r="L3091" s="122">
        <v>5348</v>
      </c>
      <c r="M3091" s="122">
        <v>4862</v>
      </c>
      <c r="N3091" s="122">
        <v>1865</v>
      </c>
      <c r="O3091" s="122">
        <v>691</v>
      </c>
      <c r="P3091" s="122">
        <v>351</v>
      </c>
      <c r="Q3091" s="122">
        <v>130</v>
      </c>
      <c r="R3091" s="122">
        <v>10052</v>
      </c>
      <c r="S3091" s="122">
        <v>9139</v>
      </c>
      <c r="T3091" s="122">
        <v>0</v>
      </c>
      <c r="U3091" s="122">
        <v>0</v>
      </c>
      <c r="V3091" s="122">
        <v>38733</v>
      </c>
      <c r="W3091" s="122">
        <f t="shared" si="98"/>
        <v>38734</v>
      </c>
      <c r="X3091" s="122">
        <f t="shared" si="99"/>
        <v>43919</v>
      </c>
    </row>
    <row r="3092" spans="2:24">
      <c r="B3092" t="s">
        <v>385</v>
      </c>
      <c r="C3092" t="s">
        <v>60</v>
      </c>
      <c r="D3092" t="s">
        <v>425</v>
      </c>
      <c r="E3092" t="s">
        <v>406</v>
      </c>
      <c r="F3092" s="122">
        <v>1</v>
      </c>
      <c r="G3092" s="122">
        <v>201</v>
      </c>
      <c r="H3092" s="122">
        <v>303</v>
      </c>
      <c r="I3092" s="122">
        <v>37025</v>
      </c>
      <c r="J3092" s="122">
        <v>33660</v>
      </c>
      <c r="K3092" s="122">
        <v>46</v>
      </c>
      <c r="L3092" s="122">
        <v>5993</v>
      </c>
      <c r="M3092" s="122">
        <v>5448</v>
      </c>
      <c r="N3092" s="122">
        <v>4457</v>
      </c>
      <c r="O3092" s="122">
        <v>1651</v>
      </c>
      <c r="P3092" s="122">
        <v>972</v>
      </c>
      <c r="Q3092" s="122">
        <v>360</v>
      </c>
      <c r="R3092" s="122">
        <v>8558</v>
      </c>
      <c r="S3092" s="122">
        <v>7780</v>
      </c>
      <c r="T3092" s="122">
        <v>3978</v>
      </c>
      <c r="U3092" s="122">
        <v>1473</v>
      </c>
      <c r="V3092" s="122">
        <v>50372</v>
      </c>
      <c r="W3092" s="122">
        <f t="shared" si="98"/>
        <v>50372</v>
      </c>
      <c r="X3092" s="122">
        <f t="shared" si="99"/>
        <v>60983</v>
      </c>
    </row>
    <row r="3093" spans="2:24">
      <c r="B3093" t="s">
        <v>385</v>
      </c>
      <c r="C3093" t="s">
        <v>60</v>
      </c>
      <c r="D3093" t="s">
        <v>405</v>
      </c>
      <c r="E3093" t="s">
        <v>405</v>
      </c>
      <c r="F3093" s="122">
        <v>7</v>
      </c>
      <c r="G3093" s="122">
        <v>567</v>
      </c>
      <c r="H3093" s="122">
        <v>2352</v>
      </c>
      <c r="I3093" s="122">
        <v>115740</v>
      </c>
      <c r="J3093" s="122">
        <v>105218</v>
      </c>
      <c r="K3093" s="122">
        <v>77</v>
      </c>
      <c r="L3093" s="122">
        <v>23199</v>
      </c>
      <c r="M3093" s="122">
        <v>19034</v>
      </c>
      <c r="N3093" s="122">
        <v>10917</v>
      </c>
      <c r="O3093" s="122">
        <v>4043</v>
      </c>
      <c r="P3093" s="122">
        <v>3647</v>
      </c>
      <c r="Q3093" s="122">
        <v>1351</v>
      </c>
      <c r="R3093" s="122">
        <v>28026</v>
      </c>
      <c r="S3093" s="122">
        <v>25478</v>
      </c>
      <c r="T3093" s="122">
        <v>9230</v>
      </c>
      <c r="U3093" s="122">
        <v>3419</v>
      </c>
      <c r="V3093" s="122">
        <v>158543</v>
      </c>
      <c r="W3093" s="122">
        <f t="shared" si="98"/>
        <v>158543</v>
      </c>
      <c r="X3093" s="122">
        <f t="shared" si="99"/>
        <v>190759</v>
      </c>
    </row>
    <row r="3094" spans="2:24">
      <c r="B3094" t="s">
        <v>385</v>
      </c>
      <c r="C3094" t="s">
        <v>60</v>
      </c>
      <c r="D3094" t="s">
        <v>137</v>
      </c>
      <c r="E3094" t="s">
        <v>137</v>
      </c>
      <c r="F3094" s="122">
        <v>25</v>
      </c>
      <c r="G3094" s="122">
        <v>2519</v>
      </c>
      <c r="H3094" s="122">
        <v>8640</v>
      </c>
      <c r="I3094" s="122">
        <v>554598</v>
      </c>
      <c r="J3094" s="122">
        <v>205407</v>
      </c>
      <c r="K3094" s="122">
        <v>100</v>
      </c>
      <c r="L3094" s="122">
        <v>76441</v>
      </c>
      <c r="M3094" s="122">
        <v>56757</v>
      </c>
      <c r="N3094" s="122">
        <v>49261</v>
      </c>
      <c r="O3094" s="122">
        <v>18245</v>
      </c>
      <c r="P3094" s="122">
        <v>2808</v>
      </c>
      <c r="Q3094" s="122">
        <v>1040</v>
      </c>
      <c r="R3094" s="122">
        <v>188063</v>
      </c>
      <c r="S3094" s="122">
        <v>69653</v>
      </c>
      <c r="T3094" s="122">
        <v>0</v>
      </c>
      <c r="U3094" s="122">
        <v>0</v>
      </c>
      <c r="V3094" s="122">
        <v>351101</v>
      </c>
      <c r="W3094" s="122">
        <f t="shared" si="98"/>
        <v>351102</v>
      </c>
      <c r="X3094" s="122">
        <f t="shared" si="99"/>
        <v>871171</v>
      </c>
    </row>
    <row r="3095" spans="2:24">
      <c r="B3095" t="s">
        <v>385</v>
      </c>
      <c r="C3095" t="s">
        <v>60</v>
      </c>
      <c r="D3095" t="s">
        <v>137</v>
      </c>
      <c r="E3095" t="s">
        <v>406</v>
      </c>
      <c r="F3095" s="122">
        <v>1</v>
      </c>
      <c r="G3095" s="122">
        <v>154</v>
      </c>
      <c r="H3095" s="122">
        <v>307</v>
      </c>
      <c r="I3095" s="122">
        <v>36140</v>
      </c>
      <c r="J3095" s="122">
        <v>13385</v>
      </c>
      <c r="K3095" s="122">
        <v>100</v>
      </c>
      <c r="L3095" s="122">
        <v>1925</v>
      </c>
      <c r="M3095" s="122">
        <v>1750</v>
      </c>
      <c r="N3095" s="122">
        <v>2344</v>
      </c>
      <c r="O3095" s="122">
        <v>868</v>
      </c>
      <c r="P3095" s="122">
        <v>621</v>
      </c>
      <c r="Q3095" s="122">
        <v>230</v>
      </c>
      <c r="R3095" s="122">
        <v>6221</v>
      </c>
      <c r="S3095" s="122">
        <v>5655</v>
      </c>
      <c r="T3095" s="122">
        <v>0</v>
      </c>
      <c r="U3095" s="122">
        <v>0</v>
      </c>
      <c r="V3095" s="122">
        <v>21888</v>
      </c>
      <c r="W3095" s="122">
        <f t="shared" si="98"/>
        <v>21888</v>
      </c>
      <c r="X3095" s="122">
        <f t="shared" si="99"/>
        <v>47251</v>
      </c>
    </row>
    <row r="3096" spans="2:24">
      <c r="B3096" t="s">
        <v>385</v>
      </c>
      <c r="C3096" t="s">
        <v>60</v>
      </c>
      <c r="D3096" t="s">
        <v>137</v>
      </c>
      <c r="E3096" t="s">
        <v>426</v>
      </c>
      <c r="F3096" s="122">
        <v>1</v>
      </c>
      <c r="G3096" s="122">
        <v>90</v>
      </c>
      <c r="H3096" s="122">
        <v>366</v>
      </c>
      <c r="I3096" s="122">
        <v>20575</v>
      </c>
      <c r="J3096" s="122">
        <v>7620</v>
      </c>
      <c r="K3096" s="122">
        <v>100</v>
      </c>
      <c r="L3096" s="122">
        <v>1863</v>
      </c>
      <c r="M3096" s="122">
        <v>1693</v>
      </c>
      <c r="N3096" s="122">
        <v>2047</v>
      </c>
      <c r="O3096" s="122">
        <v>758</v>
      </c>
      <c r="P3096" s="122">
        <v>0</v>
      </c>
      <c r="Q3096" s="122">
        <v>0</v>
      </c>
      <c r="R3096" s="122">
        <v>6050</v>
      </c>
      <c r="S3096" s="122">
        <v>5500</v>
      </c>
      <c r="T3096" s="122">
        <v>2570</v>
      </c>
      <c r="U3096" s="122">
        <v>952</v>
      </c>
      <c r="V3096" s="122">
        <v>16524</v>
      </c>
      <c r="W3096" s="122">
        <f t="shared" si="98"/>
        <v>16523</v>
      </c>
      <c r="X3096" s="122">
        <f t="shared" si="99"/>
        <v>33105</v>
      </c>
    </row>
    <row r="3097" spans="2:24">
      <c r="B3097" t="s">
        <v>385</v>
      </c>
      <c r="C3097" t="s">
        <v>60</v>
      </c>
      <c r="D3097" t="s">
        <v>406</v>
      </c>
      <c r="E3097" t="s">
        <v>137</v>
      </c>
      <c r="F3097" s="122">
        <v>4</v>
      </c>
      <c r="G3097" s="122">
        <v>582</v>
      </c>
      <c r="H3097" s="122">
        <v>1372</v>
      </c>
      <c r="I3097" s="122">
        <v>114256</v>
      </c>
      <c r="J3097" s="122">
        <v>103869</v>
      </c>
      <c r="K3097" s="122">
        <v>75</v>
      </c>
      <c r="L3097" s="122">
        <v>28234</v>
      </c>
      <c r="M3097" s="122">
        <v>24559</v>
      </c>
      <c r="N3097" s="122">
        <v>13257</v>
      </c>
      <c r="O3097" s="122">
        <v>4910</v>
      </c>
      <c r="P3097" s="122">
        <v>2484</v>
      </c>
      <c r="Q3097" s="122">
        <v>920</v>
      </c>
      <c r="R3097" s="122">
        <v>39334</v>
      </c>
      <c r="S3097" s="122">
        <v>14568</v>
      </c>
      <c r="T3097" s="122">
        <v>0</v>
      </c>
      <c r="U3097" s="122">
        <v>0</v>
      </c>
      <c r="V3097" s="122">
        <v>148826</v>
      </c>
      <c r="W3097" s="122">
        <f t="shared" si="98"/>
        <v>148826</v>
      </c>
      <c r="X3097" s="122">
        <f t="shared" si="99"/>
        <v>197565</v>
      </c>
    </row>
    <row r="3098" spans="2:24">
      <c r="B3098" t="s">
        <v>385</v>
      </c>
      <c r="C3098" t="s">
        <v>60</v>
      </c>
      <c r="D3098" t="s">
        <v>406</v>
      </c>
      <c r="E3098" t="s">
        <v>406</v>
      </c>
      <c r="F3098" s="122">
        <v>503</v>
      </c>
      <c r="G3098" s="122">
        <v>61849</v>
      </c>
      <c r="H3098" s="122">
        <v>170558</v>
      </c>
      <c r="I3098" s="122">
        <v>13492390</v>
      </c>
      <c r="J3098" s="122">
        <v>12265809</v>
      </c>
      <c r="K3098" s="122">
        <v>77</v>
      </c>
      <c r="L3098" s="122">
        <v>2592908</v>
      </c>
      <c r="M3098" s="122">
        <v>2288218</v>
      </c>
      <c r="N3098" s="122">
        <v>1252148</v>
      </c>
      <c r="O3098" s="122">
        <v>463759</v>
      </c>
      <c r="P3098" s="122">
        <v>335120</v>
      </c>
      <c r="Q3098" s="122">
        <v>124118</v>
      </c>
      <c r="R3098" s="122">
        <v>2623423</v>
      </c>
      <c r="S3098" s="122">
        <v>2384930</v>
      </c>
      <c r="T3098" s="122">
        <v>930586</v>
      </c>
      <c r="U3098" s="122">
        <v>344662</v>
      </c>
      <c r="V3098" s="122">
        <v>17871496</v>
      </c>
      <c r="W3098" s="122">
        <f t="shared" si="98"/>
        <v>17871496</v>
      </c>
      <c r="X3098" s="122">
        <f t="shared" si="99"/>
        <v>21226575</v>
      </c>
    </row>
    <row r="3099" spans="2:24">
      <c r="B3099" t="s">
        <v>385</v>
      </c>
      <c r="C3099" t="s">
        <v>60</v>
      </c>
      <c r="D3099" t="s">
        <v>427</v>
      </c>
      <c r="E3099" t="s">
        <v>407</v>
      </c>
      <c r="F3099" s="122">
        <v>1</v>
      </c>
      <c r="G3099" s="122">
        <v>83</v>
      </c>
      <c r="H3099" s="122">
        <v>310</v>
      </c>
      <c r="I3099" s="122">
        <v>14938</v>
      </c>
      <c r="J3099" s="122">
        <v>13580</v>
      </c>
      <c r="K3099" s="122">
        <v>65</v>
      </c>
      <c r="L3099" s="122">
        <v>3596</v>
      </c>
      <c r="M3099" s="122">
        <v>3269</v>
      </c>
      <c r="N3099" s="122">
        <v>1739</v>
      </c>
      <c r="O3099" s="122">
        <v>644</v>
      </c>
      <c r="P3099" s="122">
        <v>473</v>
      </c>
      <c r="Q3099" s="122">
        <v>175</v>
      </c>
      <c r="R3099" s="122">
        <v>5012</v>
      </c>
      <c r="S3099" s="122">
        <v>4556</v>
      </c>
      <c r="T3099" s="122">
        <v>0</v>
      </c>
      <c r="U3099" s="122">
        <v>0</v>
      </c>
      <c r="V3099" s="122">
        <v>22225</v>
      </c>
      <c r="W3099" s="122">
        <f t="shared" si="98"/>
        <v>22224</v>
      </c>
      <c r="X3099" s="122">
        <f t="shared" si="99"/>
        <v>25758</v>
      </c>
    </row>
    <row r="3100" spans="2:24">
      <c r="B3100" t="s">
        <v>385</v>
      </c>
      <c r="C3100" t="s">
        <v>60</v>
      </c>
      <c r="D3100" t="s">
        <v>407</v>
      </c>
      <c r="E3100" t="s">
        <v>407</v>
      </c>
      <c r="F3100" s="122">
        <v>3</v>
      </c>
      <c r="G3100" s="122">
        <v>261</v>
      </c>
      <c r="H3100" s="122">
        <v>931</v>
      </c>
      <c r="I3100" s="122">
        <v>55614</v>
      </c>
      <c r="J3100" s="122">
        <v>50558</v>
      </c>
      <c r="K3100" s="122">
        <v>70</v>
      </c>
      <c r="L3100" s="122">
        <v>10086</v>
      </c>
      <c r="M3100" s="122">
        <v>3736</v>
      </c>
      <c r="N3100" s="122">
        <v>4449</v>
      </c>
      <c r="O3100" s="122">
        <v>1648</v>
      </c>
      <c r="P3100" s="122">
        <v>1418</v>
      </c>
      <c r="Q3100" s="122">
        <v>525</v>
      </c>
      <c r="R3100" s="122">
        <v>9404</v>
      </c>
      <c r="S3100" s="122">
        <v>8549</v>
      </c>
      <c r="T3100" s="122">
        <v>0</v>
      </c>
      <c r="U3100" s="122">
        <v>0</v>
      </c>
      <c r="V3100" s="122">
        <v>65015</v>
      </c>
      <c r="W3100" s="122">
        <f t="shared" si="98"/>
        <v>65016</v>
      </c>
      <c r="X3100" s="122">
        <f t="shared" si="99"/>
        <v>80971</v>
      </c>
    </row>
    <row r="3101" spans="2:24">
      <c r="B3101" t="s">
        <v>385</v>
      </c>
      <c r="C3101" t="s">
        <v>60</v>
      </c>
      <c r="D3101" t="s">
        <v>407</v>
      </c>
      <c r="E3101" t="s">
        <v>426</v>
      </c>
      <c r="F3101" s="122">
        <v>1</v>
      </c>
      <c r="G3101" s="122">
        <v>128</v>
      </c>
      <c r="H3101" s="122">
        <v>373</v>
      </c>
      <c r="I3101" s="122">
        <v>30215</v>
      </c>
      <c r="J3101" s="122">
        <v>27468</v>
      </c>
      <c r="K3101" s="122">
        <v>79</v>
      </c>
      <c r="L3101" s="122">
        <v>8382</v>
      </c>
      <c r="M3101" s="122">
        <v>7620</v>
      </c>
      <c r="N3101" s="122">
        <v>1555</v>
      </c>
      <c r="O3101" s="122">
        <v>576</v>
      </c>
      <c r="P3101" s="122">
        <v>473</v>
      </c>
      <c r="Q3101" s="122">
        <v>175</v>
      </c>
      <c r="R3101" s="122">
        <v>6928</v>
      </c>
      <c r="S3101" s="122">
        <v>6298</v>
      </c>
      <c r="T3101" s="122">
        <v>0</v>
      </c>
      <c r="U3101" s="122">
        <v>0</v>
      </c>
      <c r="V3101" s="122">
        <v>42137</v>
      </c>
      <c r="W3101" s="122">
        <f t="shared" si="98"/>
        <v>42137</v>
      </c>
      <c r="X3101" s="122">
        <f t="shared" si="99"/>
        <v>47553</v>
      </c>
    </row>
    <row r="3102" spans="2:24">
      <c r="B3102" t="s">
        <v>385</v>
      </c>
      <c r="C3102" t="s">
        <v>60</v>
      </c>
      <c r="D3102" t="s">
        <v>556</v>
      </c>
      <c r="E3102" t="s">
        <v>556</v>
      </c>
      <c r="F3102" s="122">
        <v>5</v>
      </c>
      <c r="G3102" s="122">
        <v>512</v>
      </c>
      <c r="H3102" s="122">
        <v>1778</v>
      </c>
      <c r="I3102" s="122">
        <v>132839</v>
      </c>
      <c r="J3102" s="122">
        <v>110699</v>
      </c>
      <c r="K3102" s="122">
        <v>65</v>
      </c>
      <c r="L3102" s="122">
        <v>17856</v>
      </c>
      <c r="M3102" s="122">
        <v>15257</v>
      </c>
      <c r="N3102" s="122">
        <v>10192</v>
      </c>
      <c r="O3102" s="122">
        <v>3775</v>
      </c>
      <c r="P3102" s="122">
        <v>2565</v>
      </c>
      <c r="Q3102" s="122">
        <v>950</v>
      </c>
      <c r="R3102" s="122">
        <v>25968</v>
      </c>
      <c r="S3102" s="122">
        <v>21640</v>
      </c>
      <c r="T3102" s="122">
        <v>13271</v>
      </c>
      <c r="U3102" s="122">
        <v>4915</v>
      </c>
      <c r="V3102" s="122">
        <v>157236</v>
      </c>
      <c r="W3102" s="122">
        <f t="shared" si="98"/>
        <v>157236</v>
      </c>
      <c r="X3102" s="122">
        <f t="shared" si="99"/>
        <v>202691</v>
      </c>
    </row>
    <row r="3103" spans="2:24">
      <c r="B3103" t="s">
        <v>385</v>
      </c>
      <c r="C3103" t="s">
        <v>60</v>
      </c>
      <c r="D3103" t="s">
        <v>431</v>
      </c>
      <c r="E3103" t="s">
        <v>428</v>
      </c>
      <c r="F3103" s="122">
        <v>1</v>
      </c>
      <c r="G3103" s="122">
        <v>130</v>
      </c>
      <c r="H3103" s="122">
        <v>324</v>
      </c>
      <c r="I3103" s="122">
        <v>37631</v>
      </c>
      <c r="J3103" s="122">
        <v>34210</v>
      </c>
      <c r="K3103" s="122">
        <v>45</v>
      </c>
      <c r="L3103" s="122">
        <v>6272</v>
      </c>
      <c r="M3103" s="122">
        <v>5702</v>
      </c>
      <c r="N3103" s="122">
        <v>3251</v>
      </c>
      <c r="O3103" s="122">
        <v>1204</v>
      </c>
      <c r="P3103" s="122">
        <v>621</v>
      </c>
      <c r="Q3103" s="122">
        <v>230</v>
      </c>
      <c r="R3103" s="122">
        <v>8553</v>
      </c>
      <c r="S3103" s="122">
        <v>7775</v>
      </c>
      <c r="T3103" s="122">
        <v>4110</v>
      </c>
      <c r="U3103" s="122">
        <v>1522</v>
      </c>
      <c r="V3103" s="122">
        <v>50644</v>
      </c>
      <c r="W3103" s="122">
        <f t="shared" si="98"/>
        <v>50643</v>
      </c>
      <c r="X3103" s="122">
        <f t="shared" si="99"/>
        <v>60438</v>
      </c>
    </row>
    <row r="3104" spans="2:24">
      <c r="B3104" t="s">
        <v>385</v>
      </c>
      <c r="C3104" t="s">
        <v>60</v>
      </c>
      <c r="D3104" t="s">
        <v>431</v>
      </c>
      <c r="E3104" t="s">
        <v>431</v>
      </c>
      <c r="F3104" s="122">
        <v>14</v>
      </c>
      <c r="G3104" s="122">
        <v>1420</v>
      </c>
      <c r="H3104" s="122">
        <v>4757</v>
      </c>
      <c r="I3104" s="122">
        <v>318306</v>
      </c>
      <c r="J3104" s="122">
        <v>289369</v>
      </c>
      <c r="K3104" s="122">
        <v>61</v>
      </c>
      <c r="L3104" s="122">
        <v>46995</v>
      </c>
      <c r="M3104" s="122">
        <v>41633</v>
      </c>
      <c r="N3104" s="122">
        <v>28777</v>
      </c>
      <c r="O3104" s="122">
        <v>10658</v>
      </c>
      <c r="P3104" s="122">
        <v>5724</v>
      </c>
      <c r="Q3104" s="122">
        <v>2120</v>
      </c>
      <c r="R3104" s="122">
        <v>74515</v>
      </c>
      <c r="S3104" s="122">
        <v>67741</v>
      </c>
      <c r="T3104" s="122">
        <v>26240</v>
      </c>
      <c r="U3104" s="122">
        <v>9718</v>
      </c>
      <c r="V3104" s="122">
        <v>421239</v>
      </c>
      <c r="W3104" s="122">
        <f t="shared" si="98"/>
        <v>421239</v>
      </c>
      <c r="X3104" s="122">
        <f t="shared" si="99"/>
        <v>500557</v>
      </c>
    </row>
    <row r="3105" spans="2:24">
      <c r="B3105" t="s">
        <v>385</v>
      </c>
      <c r="C3105" t="s">
        <v>60</v>
      </c>
      <c r="D3105" t="s">
        <v>426</v>
      </c>
      <c r="E3105" t="s">
        <v>406</v>
      </c>
      <c r="F3105" s="122">
        <v>1</v>
      </c>
      <c r="G3105" s="122">
        <v>136</v>
      </c>
      <c r="H3105" s="122">
        <v>333</v>
      </c>
      <c r="I3105" s="122">
        <v>24950</v>
      </c>
      <c r="J3105" s="122">
        <v>22681</v>
      </c>
      <c r="K3105" s="122">
        <v>55</v>
      </c>
      <c r="L3105" s="122">
        <v>5082</v>
      </c>
      <c r="M3105" s="122">
        <v>4620</v>
      </c>
      <c r="N3105" s="122">
        <v>2146</v>
      </c>
      <c r="O3105" s="122">
        <v>795</v>
      </c>
      <c r="P3105" s="122">
        <v>351</v>
      </c>
      <c r="Q3105" s="122">
        <v>130</v>
      </c>
      <c r="R3105" s="122">
        <v>12634</v>
      </c>
      <c r="S3105" s="122">
        <v>11485</v>
      </c>
      <c r="T3105" s="122">
        <v>0</v>
      </c>
      <c r="U3105" s="122">
        <v>0</v>
      </c>
      <c r="V3105" s="122">
        <v>39712</v>
      </c>
      <c r="W3105" s="122">
        <f t="shared" si="98"/>
        <v>39711</v>
      </c>
      <c r="X3105" s="122">
        <f t="shared" si="99"/>
        <v>45163</v>
      </c>
    </row>
    <row r="3106" spans="2:24">
      <c r="B3106" t="s">
        <v>385</v>
      </c>
      <c r="C3106" t="s">
        <v>60</v>
      </c>
      <c r="D3106" t="s">
        <v>426</v>
      </c>
      <c r="E3106" t="s">
        <v>426</v>
      </c>
      <c r="F3106" s="122">
        <v>52</v>
      </c>
      <c r="G3106" s="122">
        <v>5918</v>
      </c>
      <c r="H3106" s="122">
        <v>17857</v>
      </c>
      <c r="I3106" s="122">
        <v>1315083</v>
      </c>
      <c r="J3106" s="122">
        <v>1195530</v>
      </c>
      <c r="K3106" s="122">
        <v>59</v>
      </c>
      <c r="L3106" s="122">
        <v>194323</v>
      </c>
      <c r="M3106" s="122">
        <v>166219</v>
      </c>
      <c r="N3106" s="122">
        <v>122137</v>
      </c>
      <c r="O3106" s="122">
        <v>45236</v>
      </c>
      <c r="P3106" s="122">
        <v>20682</v>
      </c>
      <c r="Q3106" s="122">
        <v>7660</v>
      </c>
      <c r="R3106" s="122">
        <v>304745</v>
      </c>
      <c r="S3106" s="122">
        <v>277041</v>
      </c>
      <c r="T3106" s="122">
        <v>105993</v>
      </c>
      <c r="U3106" s="122">
        <v>39257</v>
      </c>
      <c r="V3106" s="122">
        <v>1730942</v>
      </c>
      <c r="W3106" s="122">
        <f t="shared" si="98"/>
        <v>1730943</v>
      </c>
      <c r="X3106" s="122">
        <f t="shared" si="99"/>
        <v>2062963</v>
      </c>
    </row>
    <row r="3107" spans="2:24">
      <c r="B3107" t="s">
        <v>385</v>
      </c>
      <c r="C3107" t="s">
        <v>60</v>
      </c>
      <c r="D3107" t="s">
        <v>433</v>
      </c>
      <c r="E3107" t="s">
        <v>433</v>
      </c>
      <c r="F3107" s="122">
        <v>2</v>
      </c>
      <c r="G3107" s="122">
        <v>151</v>
      </c>
      <c r="H3107" s="122">
        <v>684</v>
      </c>
      <c r="I3107" s="122">
        <v>33514</v>
      </c>
      <c r="J3107" s="122">
        <v>30467</v>
      </c>
      <c r="K3107" s="122">
        <v>65</v>
      </c>
      <c r="L3107" s="122">
        <v>4406</v>
      </c>
      <c r="M3107" s="122">
        <v>4005</v>
      </c>
      <c r="N3107" s="122">
        <v>2224</v>
      </c>
      <c r="O3107" s="122">
        <v>824</v>
      </c>
      <c r="P3107" s="122">
        <v>702</v>
      </c>
      <c r="Q3107" s="122">
        <v>260</v>
      </c>
      <c r="R3107" s="122">
        <v>6731</v>
      </c>
      <c r="S3107" s="122">
        <v>6119</v>
      </c>
      <c r="T3107" s="122">
        <v>4425</v>
      </c>
      <c r="U3107" s="122">
        <v>1639</v>
      </c>
      <c r="V3107" s="122">
        <v>43314</v>
      </c>
      <c r="W3107" s="122">
        <f t="shared" si="98"/>
        <v>43314</v>
      </c>
      <c r="X3107" s="122">
        <f t="shared" si="99"/>
        <v>52002</v>
      </c>
    </row>
    <row r="3108" spans="2:24">
      <c r="B3108" t="s">
        <v>385</v>
      </c>
      <c r="C3108" t="s">
        <v>60</v>
      </c>
      <c r="D3108" t="s">
        <v>408</v>
      </c>
      <c r="E3108" t="s">
        <v>408</v>
      </c>
      <c r="F3108" s="122">
        <v>2</v>
      </c>
      <c r="G3108" s="122">
        <v>235</v>
      </c>
      <c r="H3108" s="122">
        <v>687</v>
      </c>
      <c r="I3108" s="122">
        <v>52915</v>
      </c>
      <c r="J3108" s="122">
        <v>48104</v>
      </c>
      <c r="K3108" s="122">
        <v>78</v>
      </c>
      <c r="L3108" s="122">
        <v>10027</v>
      </c>
      <c r="M3108" s="122">
        <v>9116</v>
      </c>
      <c r="N3108" s="122">
        <v>4493</v>
      </c>
      <c r="O3108" s="122">
        <v>1664</v>
      </c>
      <c r="P3108" s="122">
        <v>702</v>
      </c>
      <c r="Q3108" s="122">
        <v>260</v>
      </c>
      <c r="R3108" s="122">
        <v>8176</v>
      </c>
      <c r="S3108" s="122">
        <v>7433</v>
      </c>
      <c r="T3108" s="122">
        <v>5436</v>
      </c>
      <c r="U3108" s="122">
        <v>2013</v>
      </c>
      <c r="V3108" s="122">
        <v>68591</v>
      </c>
      <c r="W3108" s="122">
        <f t="shared" si="98"/>
        <v>68590</v>
      </c>
      <c r="X3108" s="122">
        <f t="shared" si="99"/>
        <v>81749</v>
      </c>
    </row>
    <row r="3109" spans="2:24">
      <c r="B3109" t="s">
        <v>385</v>
      </c>
      <c r="C3109" t="s">
        <v>62</v>
      </c>
      <c r="F3109" s="122">
        <v>1</v>
      </c>
      <c r="G3109" s="122">
        <v>32</v>
      </c>
      <c r="H3109" s="122">
        <v>446</v>
      </c>
      <c r="I3109" s="122"/>
      <c r="J3109" s="122">
        <v>0</v>
      </c>
      <c r="K3109" s="122"/>
      <c r="L3109" s="122"/>
      <c r="M3109" s="122">
        <v>0</v>
      </c>
      <c r="N3109" s="122">
        <v>698</v>
      </c>
      <c r="O3109" s="122">
        <v>259</v>
      </c>
      <c r="P3109" s="122">
        <v>621</v>
      </c>
      <c r="Q3109" s="122">
        <v>230</v>
      </c>
      <c r="R3109" s="122"/>
      <c r="S3109" s="122">
        <v>0</v>
      </c>
      <c r="T3109" s="122">
        <v>1745</v>
      </c>
      <c r="U3109" s="122">
        <v>646</v>
      </c>
      <c r="V3109" s="122">
        <v>1135</v>
      </c>
      <c r="W3109" s="122">
        <f t="shared" si="98"/>
        <v>1135</v>
      </c>
      <c r="X3109" s="122">
        <f t="shared" si="99"/>
        <v>3064</v>
      </c>
    </row>
    <row r="3110" spans="2:24">
      <c r="B3110" t="s">
        <v>385</v>
      </c>
      <c r="C3110" t="s">
        <v>62</v>
      </c>
      <c r="D3110" t="s">
        <v>425</v>
      </c>
      <c r="E3110" t="s">
        <v>425</v>
      </c>
      <c r="F3110" s="122">
        <v>1</v>
      </c>
      <c r="G3110" s="122">
        <v>166</v>
      </c>
      <c r="H3110" s="122">
        <v>436</v>
      </c>
      <c r="I3110" s="122">
        <v>51979</v>
      </c>
      <c r="J3110" s="122">
        <v>47254</v>
      </c>
      <c r="K3110" s="122">
        <v>68</v>
      </c>
      <c r="L3110" s="122">
        <v>5740</v>
      </c>
      <c r="M3110" s="122">
        <v>5218</v>
      </c>
      <c r="N3110" s="122">
        <v>3969</v>
      </c>
      <c r="O3110" s="122">
        <v>1470</v>
      </c>
      <c r="P3110" s="122">
        <v>473</v>
      </c>
      <c r="Q3110" s="122">
        <v>175</v>
      </c>
      <c r="R3110" s="122">
        <v>6392</v>
      </c>
      <c r="S3110" s="122">
        <v>5811</v>
      </c>
      <c r="T3110" s="122">
        <v>3905</v>
      </c>
      <c r="U3110" s="122">
        <v>1446</v>
      </c>
      <c r="V3110" s="122">
        <v>61374</v>
      </c>
      <c r="W3110" s="122">
        <f t="shared" si="98"/>
        <v>61374</v>
      </c>
      <c r="X3110" s="122">
        <f t="shared" si="99"/>
        <v>72458</v>
      </c>
    </row>
    <row r="3111" spans="2:24">
      <c r="B3111" t="s">
        <v>385</v>
      </c>
      <c r="C3111" t="s">
        <v>62</v>
      </c>
      <c r="D3111" t="s">
        <v>405</v>
      </c>
      <c r="E3111" t="s">
        <v>405</v>
      </c>
      <c r="F3111" s="122">
        <v>3</v>
      </c>
      <c r="G3111" s="122">
        <v>351</v>
      </c>
      <c r="H3111" s="122">
        <v>1257</v>
      </c>
      <c r="I3111" s="122">
        <v>95169</v>
      </c>
      <c r="J3111" s="122">
        <v>86518</v>
      </c>
      <c r="K3111" s="122">
        <v>84</v>
      </c>
      <c r="L3111" s="122">
        <v>26732</v>
      </c>
      <c r="M3111" s="122">
        <v>23134</v>
      </c>
      <c r="N3111" s="122">
        <v>7816</v>
      </c>
      <c r="O3111" s="122">
        <v>2895</v>
      </c>
      <c r="P3111" s="122">
        <v>1296</v>
      </c>
      <c r="Q3111" s="122">
        <v>480</v>
      </c>
      <c r="R3111" s="122">
        <v>11989</v>
      </c>
      <c r="S3111" s="122">
        <v>10899</v>
      </c>
      <c r="T3111" s="122">
        <v>7371</v>
      </c>
      <c r="U3111" s="122">
        <v>2730</v>
      </c>
      <c r="V3111" s="122">
        <v>126655</v>
      </c>
      <c r="W3111" s="122">
        <f t="shared" si="98"/>
        <v>126656</v>
      </c>
      <c r="X3111" s="122">
        <f t="shared" si="99"/>
        <v>150373</v>
      </c>
    </row>
    <row r="3112" spans="2:24">
      <c r="B3112" t="s">
        <v>385</v>
      </c>
      <c r="C3112" t="s">
        <v>62</v>
      </c>
      <c r="D3112" t="s">
        <v>137</v>
      </c>
      <c r="E3112" t="s">
        <v>137</v>
      </c>
      <c r="F3112" s="122">
        <v>20</v>
      </c>
      <c r="G3112" s="122">
        <v>2676</v>
      </c>
      <c r="H3112" s="122">
        <v>8646</v>
      </c>
      <c r="I3112" s="122">
        <v>815685</v>
      </c>
      <c r="J3112" s="122">
        <v>302106</v>
      </c>
      <c r="K3112" s="122">
        <v>100</v>
      </c>
      <c r="L3112" s="122">
        <v>121880</v>
      </c>
      <c r="M3112" s="122">
        <v>110178</v>
      </c>
      <c r="N3112" s="122">
        <v>61610</v>
      </c>
      <c r="O3112" s="122">
        <v>22819</v>
      </c>
      <c r="P3112" s="122">
        <v>1916</v>
      </c>
      <c r="Q3112" s="122">
        <v>710</v>
      </c>
      <c r="R3112" s="122">
        <v>155612</v>
      </c>
      <c r="S3112" s="122">
        <v>57634</v>
      </c>
      <c r="T3112" s="122">
        <v>0</v>
      </c>
      <c r="U3112" s="122">
        <v>0</v>
      </c>
      <c r="V3112" s="122">
        <v>493446</v>
      </c>
      <c r="W3112" s="122">
        <f t="shared" si="98"/>
        <v>493447</v>
      </c>
      <c r="X3112" s="122">
        <f t="shared" si="99"/>
        <v>1156703</v>
      </c>
    </row>
    <row r="3113" spans="2:24">
      <c r="B3113" t="s">
        <v>385</v>
      </c>
      <c r="C3113" t="s">
        <v>62</v>
      </c>
      <c r="D3113" t="s">
        <v>137</v>
      </c>
      <c r="E3113" t="s">
        <v>426</v>
      </c>
      <c r="F3113" s="122">
        <v>2</v>
      </c>
      <c r="G3113" s="122">
        <v>164</v>
      </c>
      <c r="H3113" s="122">
        <v>821</v>
      </c>
      <c r="I3113" s="122">
        <v>43547</v>
      </c>
      <c r="J3113" s="122">
        <v>16129</v>
      </c>
      <c r="K3113" s="122">
        <v>100</v>
      </c>
      <c r="L3113" s="122">
        <v>4589</v>
      </c>
      <c r="M3113" s="122">
        <v>4172</v>
      </c>
      <c r="N3113" s="122">
        <v>3491</v>
      </c>
      <c r="O3113" s="122">
        <v>1293</v>
      </c>
      <c r="P3113" s="122">
        <v>0</v>
      </c>
      <c r="Q3113" s="122">
        <v>0</v>
      </c>
      <c r="R3113" s="122">
        <v>10751</v>
      </c>
      <c r="S3113" s="122">
        <v>9774</v>
      </c>
      <c r="T3113" s="122">
        <v>4830</v>
      </c>
      <c r="U3113" s="122">
        <v>1789</v>
      </c>
      <c r="V3113" s="122">
        <v>33155</v>
      </c>
      <c r="W3113" s="122">
        <f t="shared" si="98"/>
        <v>33157</v>
      </c>
      <c r="X3113" s="122">
        <f t="shared" si="99"/>
        <v>67208</v>
      </c>
    </row>
    <row r="3114" spans="2:24">
      <c r="B3114" t="s">
        <v>385</v>
      </c>
      <c r="C3114" t="s">
        <v>62</v>
      </c>
      <c r="D3114" t="s">
        <v>406</v>
      </c>
      <c r="E3114" t="s">
        <v>137</v>
      </c>
      <c r="F3114" s="122">
        <v>3</v>
      </c>
      <c r="G3114" s="122">
        <v>310</v>
      </c>
      <c r="H3114" s="122">
        <v>1240</v>
      </c>
      <c r="I3114" s="122">
        <v>88415</v>
      </c>
      <c r="J3114" s="122">
        <v>80377</v>
      </c>
      <c r="K3114" s="122">
        <v>76</v>
      </c>
      <c r="L3114" s="122">
        <v>16128</v>
      </c>
      <c r="M3114" s="122">
        <v>14661</v>
      </c>
      <c r="N3114" s="122">
        <v>6041</v>
      </c>
      <c r="O3114" s="122">
        <v>2237</v>
      </c>
      <c r="P3114" s="122">
        <v>2214</v>
      </c>
      <c r="Q3114" s="122">
        <v>820</v>
      </c>
      <c r="R3114" s="122">
        <v>16809</v>
      </c>
      <c r="S3114" s="122">
        <v>6226</v>
      </c>
      <c r="T3114" s="122">
        <v>0</v>
      </c>
      <c r="U3114" s="122">
        <v>0</v>
      </c>
      <c r="V3114" s="122">
        <v>104322</v>
      </c>
      <c r="W3114" s="122">
        <f t="shared" si="98"/>
        <v>104321</v>
      </c>
      <c r="X3114" s="122">
        <f t="shared" si="99"/>
        <v>129607</v>
      </c>
    </row>
    <row r="3115" spans="2:24">
      <c r="B3115" t="s">
        <v>385</v>
      </c>
      <c r="C3115" t="s">
        <v>62</v>
      </c>
      <c r="D3115" t="s">
        <v>406</v>
      </c>
      <c r="E3115" t="s">
        <v>406</v>
      </c>
      <c r="F3115" s="122">
        <v>233</v>
      </c>
      <c r="G3115" s="122">
        <v>25340</v>
      </c>
      <c r="H3115" s="122">
        <v>96355</v>
      </c>
      <c r="I3115" s="122">
        <v>6950787</v>
      </c>
      <c r="J3115" s="122">
        <v>6318897</v>
      </c>
      <c r="K3115" s="122">
        <v>76</v>
      </c>
      <c r="L3115" s="122">
        <v>1362818</v>
      </c>
      <c r="M3115" s="122">
        <v>1215244</v>
      </c>
      <c r="N3115" s="122">
        <v>524051</v>
      </c>
      <c r="O3115" s="122">
        <v>194093</v>
      </c>
      <c r="P3115" s="122">
        <v>153306</v>
      </c>
      <c r="Q3115" s="122">
        <v>56780</v>
      </c>
      <c r="R3115" s="122">
        <v>1170540</v>
      </c>
      <c r="S3115" s="122">
        <v>1064128</v>
      </c>
      <c r="T3115" s="122">
        <v>452126</v>
      </c>
      <c r="U3115" s="122">
        <v>167454</v>
      </c>
      <c r="V3115" s="122">
        <v>9016596</v>
      </c>
      <c r="W3115" s="122">
        <f t="shared" si="98"/>
        <v>9016596</v>
      </c>
      <c r="X3115" s="122">
        <f t="shared" si="99"/>
        <v>10613628</v>
      </c>
    </row>
    <row r="3116" spans="2:24">
      <c r="B3116" t="s">
        <v>385</v>
      </c>
      <c r="C3116" t="s">
        <v>62</v>
      </c>
      <c r="D3116" t="s">
        <v>406</v>
      </c>
      <c r="E3116" t="s">
        <v>426</v>
      </c>
      <c r="F3116" s="122">
        <v>1</v>
      </c>
      <c r="G3116" s="122">
        <v>191</v>
      </c>
      <c r="H3116" s="122">
        <v>434</v>
      </c>
      <c r="I3116" s="122">
        <v>60502</v>
      </c>
      <c r="J3116" s="122">
        <v>55002</v>
      </c>
      <c r="K3116" s="122">
        <v>70</v>
      </c>
      <c r="L3116" s="122">
        <v>7451</v>
      </c>
      <c r="M3116" s="122">
        <v>6773</v>
      </c>
      <c r="N3116" s="122">
        <v>4046</v>
      </c>
      <c r="O3116" s="122">
        <v>1499</v>
      </c>
      <c r="P3116" s="122">
        <v>621</v>
      </c>
      <c r="Q3116" s="122">
        <v>230</v>
      </c>
      <c r="R3116" s="122">
        <v>6805</v>
      </c>
      <c r="S3116" s="122">
        <v>6186</v>
      </c>
      <c r="T3116" s="122">
        <v>3438</v>
      </c>
      <c r="U3116" s="122">
        <v>1273</v>
      </c>
      <c r="V3116" s="122">
        <v>70963</v>
      </c>
      <c r="W3116" s="122">
        <f t="shared" ref="W3116:W3179" si="100">SUM(ABS(J3116),ABS(M3116),ABS(O3116),ABS(Q3116),ABS(S3116),ABS(U3116))</f>
        <v>70963</v>
      </c>
      <c r="X3116" s="122">
        <f t="shared" ref="X3116:X3179" si="101">SUM(ABS(I3116),ABS(N3116),ABS(P3116),ABS(R3116),ABS(T3116),ABS(L3116))</f>
        <v>82863</v>
      </c>
    </row>
    <row r="3117" spans="2:24">
      <c r="B3117" t="s">
        <v>385</v>
      </c>
      <c r="C3117" t="s">
        <v>62</v>
      </c>
      <c r="D3117" t="s">
        <v>427</v>
      </c>
      <c r="E3117" t="s">
        <v>137</v>
      </c>
      <c r="F3117" s="122">
        <v>1</v>
      </c>
      <c r="G3117" s="122">
        <v>86</v>
      </c>
      <c r="H3117" s="122">
        <v>425</v>
      </c>
      <c r="I3117" s="122">
        <v>21129</v>
      </c>
      <c r="J3117" s="122">
        <v>19208</v>
      </c>
      <c r="K3117" s="122">
        <v>60</v>
      </c>
      <c r="L3117" s="122">
        <v>4695</v>
      </c>
      <c r="M3117" s="122">
        <v>4269</v>
      </c>
      <c r="N3117" s="122">
        <v>1836</v>
      </c>
      <c r="O3117" s="122">
        <v>680</v>
      </c>
      <c r="P3117" s="122">
        <v>0</v>
      </c>
      <c r="Q3117" s="122">
        <v>0</v>
      </c>
      <c r="R3117" s="122">
        <v>8969</v>
      </c>
      <c r="S3117" s="122">
        <v>3322</v>
      </c>
      <c r="T3117" s="122">
        <v>0</v>
      </c>
      <c r="U3117" s="122">
        <v>0</v>
      </c>
      <c r="V3117" s="122">
        <v>27479</v>
      </c>
      <c r="W3117" s="122">
        <f t="shared" si="100"/>
        <v>27479</v>
      </c>
      <c r="X3117" s="122">
        <f t="shared" si="101"/>
        <v>36629</v>
      </c>
    </row>
    <row r="3118" spans="2:24">
      <c r="B3118" t="s">
        <v>385</v>
      </c>
      <c r="C3118" t="s">
        <v>62</v>
      </c>
      <c r="D3118" t="s">
        <v>427</v>
      </c>
      <c r="E3118" t="s">
        <v>427</v>
      </c>
      <c r="F3118" s="122">
        <v>2</v>
      </c>
      <c r="G3118" s="122">
        <v>176</v>
      </c>
      <c r="H3118" s="122">
        <v>862</v>
      </c>
      <c r="I3118" s="122">
        <v>52414</v>
      </c>
      <c r="J3118" s="122">
        <v>47649</v>
      </c>
      <c r="K3118" s="122">
        <v>65</v>
      </c>
      <c r="L3118" s="122">
        <v>4363</v>
      </c>
      <c r="M3118" s="122">
        <v>11266</v>
      </c>
      <c r="N3118" s="122">
        <v>3972</v>
      </c>
      <c r="O3118" s="122">
        <v>1471</v>
      </c>
      <c r="P3118" s="122">
        <v>702</v>
      </c>
      <c r="Q3118" s="122">
        <v>260</v>
      </c>
      <c r="R3118" s="122">
        <v>9171</v>
      </c>
      <c r="S3118" s="122">
        <v>8337</v>
      </c>
      <c r="T3118" s="122">
        <v>5388</v>
      </c>
      <c r="U3118" s="122">
        <v>1995</v>
      </c>
      <c r="V3118" s="122">
        <v>70979</v>
      </c>
      <c r="W3118" s="122">
        <f t="shared" si="100"/>
        <v>70978</v>
      </c>
      <c r="X3118" s="122">
        <f t="shared" si="101"/>
        <v>76010</v>
      </c>
    </row>
    <row r="3119" spans="2:24">
      <c r="B3119" t="s">
        <v>385</v>
      </c>
      <c r="C3119" t="s">
        <v>62</v>
      </c>
      <c r="D3119" t="s">
        <v>556</v>
      </c>
      <c r="E3119" t="s">
        <v>137</v>
      </c>
      <c r="F3119" s="122">
        <v>1</v>
      </c>
      <c r="G3119" s="122">
        <v>106</v>
      </c>
      <c r="H3119" s="122">
        <v>430</v>
      </c>
      <c r="I3119" s="122">
        <v>32821</v>
      </c>
      <c r="J3119" s="122">
        <v>27351</v>
      </c>
      <c r="K3119" s="122">
        <v>60</v>
      </c>
      <c r="L3119" s="122">
        <v>4923</v>
      </c>
      <c r="M3119" s="122">
        <v>1823</v>
      </c>
      <c r="N3119" s="122">
        <v>2583</v>
      </c>
      <c r="O3119" s="122">
        <v>957</v>
      </c>
      <c r="P3119" s="122">
        <v>0</v>
      </c>
      <c r="Q3119" s="122">
        <v>0</v>
      </c>
      <c r="R3119" s="122">
        <v>5301</v>
      </c>
      <c r="S3119" s="122">
        <v>1963</v>
      </c>
      <c r="T3119" s="122">
        <v>0</v>
      </c>
      <c r="U3119" s="122">
        <v>0</v>
      </c>
      <c r="V3119" s="122">
        <v>32095</v>
      </c>
      <c r="W3119" s="122">
        <f t="shared" si="100"/>
        <v>32094</v>
      </c>
      <c r="X3119" s="122">
        <f t="shared" si="101"/>
        <v>45628</v>
      </c>
    </row>
    <row r="3120" spans="2:24">
      <c r="B3120" t="s">
        <v>385</v>
      </c>
      <c r="C3120" t="s">
        <v>62</v>
      </c>
      <c r="D3120" t="s">
        <v>556</v>
      </c>
      <c r="E3120" t="s">
        <v>556</v>
      </c>
      <c r="F3120" s="122">
        <v>10</v>
      </c>
      <c r="G3120" s="122">
        <v>1063</v>
      </c>
      <c r="H3120" s="122">
        <v>4151</v>
      </c>
      <c r="I3120" s="122">
        <v>282820</v>
      </c>
      <c r="J3120" s="122">
        <v>235684</v>
      </c>
      <c r="K3120" s="122">
        <v>53</v>
      </c>
      <c r="L3120" s="122">
        <v>40179</v>
      </c>
      <c r="M3120" s="122">
        <v>33638</v>
      </c>
      <c r="N3120" s="122">
        <v>21342</v>
      </c>
      <c r="O3120" s="122">
        <v>7905</v>
      </c>
      <c r="P3120" s="122">
        <v>4131</v>
      </c>
      <c r="Q3120" s="122">
        <v>1530</v>
      </c>
      <c r="R3120" s="122">
        <v>70052</v>
      </c>
      <c r="S3120" s="122">
        <v>58377</v>
      </c>
      <c r="T3120" s="122">
        <v>20877</v>
      </c>
      <c r="U3120" s="122">
        <v>7732</v>
      </c>
      <c r="V3120" s="122">
        <v>344865</v>
      </c>
      <c r="W3120" s="122">
        <f t="shared" si="100"/>
        <v>344866</v>
      </c>
      <c r="X3120" s="122">
        <f t="shared" si="101"/>
        <v>439401</v>
      </c>
    </row>
    <row r="3121" spans="2:24">
      <c r="B3121" t="s">
        <v>385</v>
      </c>
      <c r="C3121" t="s">
        <v>62</v>
      </c>
      <c r="D3121" t="s">
        <v>428</v>
      </c>
      <c r="E3121" t="s">
        <v>137</v>
      </c>
      <c r="F3121" s="122">
        <v>1</v>
      </c>
      <c r="G3121" s="122">
        <v>120</v>
      </c>
      <c r="H3121" s="122">
        <v>446</v>
      </c>
      <c r="I3121" s="122">
        <v>35038</v>
      </c>
      <c r="J3121" s="122">
        <v>31853</v>
      </c>
      <c r="K3121" s="122">
        <v>65</v>
      </c>
      <c r="L3121" s="122">
        <v>8435</v>
      </c>
      <c r="M3121" s="122">
        <v>7668</v>
      </c>
      <c r="N3121" s="122">
        <v>2753</v>
      </c>
      <c r="O3121" s="122">
        <v>1020</v>
      </c>
      <c r="P3121" s="122">
        <v>351</v>
      </c>
      <c r="Q3121" s="122">
        <v>130</v>
      </c>
      <c r="R3121" s="122">
        <v>6741</v>
      </c>
      <c r="S3121" s="122">
        <v>2496</v>
      </c>
      <c r="T3121" s="122">
        <v>0</v>
      </c>
      <c r="U3121" s="122">
        <v>0</v>
      </c>
      <c r="V3121" s="122">
        <v>43167</v>
      </c>
      <c r="W3121" s="122">
        <f t="shared" si="100"/>
        <v>43167</v>
      </c>
      <c r="X3121" s="122">
        <f t="shared" si="101"/>
        <v>53318</v>
      </c>
    </row>
    <row r="3122" spans="2:24">
      <c r="B3122" t="s">
        <v>385</v>
      </c>
      <c r="C3122" t="s">
        <v>62</v>
      </c>
      <c r="D3122" t="s">
        <v>428</v>
      </c>
      <c r="E3122" t="s">
        <v>428</v>
      </c>
      <c r="F3122" s="122">
        <v>1</v>
      </c>
      <c r="G3122" s="122">
        <v>115</v>
      </c>
      <c r="H3122" s="122">
        <v>416</v>
      </c>
      <c r="I3122" s="122">
        <v>30257</v>
      </c>
      <c r="J3122" s="122">
        <v>27507</v>
      </c>
      <c r="K3122" s="122">
        <v>55</v>
      </c>
      <c r="L3122" s="122">
        <v>4539</v>
      </c>
      <c r="M3122" s="122">
        <v>1681</v>
      </c>
      <c r="N3122" s="122">
        <v>2655</v>
      </c>
      <c r="O3122" s="122">
        <v>983</v>
      </c>
      <c r="P3122" s="122">
        <v>351</v>
      </c>
      <c r="Q3122" s="122">
        <v>130</v>
      </c>
      <c r="R3122" s="122">
        <v>6633</v>
      </c>
      <c r="S3122" s="122">
        <v>6030</v>
      </c>
      <c r="T3122" s="122">
        <v>3323</v>
      </c>
      <c r="U3122" s="122">
        <v>1231</v>
      </c>
      <c r="V3122" s="122">
        <v>37562</v>
      </c>
      <c r="W3122" s="122">
        <f t="shared" si="100"/>
        <v>37562</v>
      </c>
      <c r="X3122" s="122">
        <f t="shared" si="101"/>
        <v>47758</v>
      </c>
    </row>
    <row r="3123" spans="2:24">
      <c r="B3123" t="s">
        <v>385</v>
      </c>
      <c r="C3123" t="s">
        <v>62</v>
      </c>
      <c r="D3123" t="s">
        <v>431</v>
      </c>
      <c r="E3123" t="s">
        <v>431</v>
      </c>
      <c r="F3123" s="122">
        <v>11</v>
      </c>
      <c r="G3123" s="122">
        <v>990</v>
      </c>
      <c r="H3123" s="122">
        <v>4485</v>
      </c>
      <c r="I3123" s="122">
        <v>248612</v>
      </c>
      <c r="J3123" s="122">
        <v>226011</v>
      </c>
      <c r="K3123" s="122">
        <v>51</v>
      </c>
      <c r="L3123" s="122">
        <v>36975</v>
      </c>
      <c r="M3123" s="122">
        <v>32634</v>
      </c>
      <c r="N3123" s="122">
        <v>19475</v>
      </c>
      <c r="O3123" s="122">
        <v>7213</v>
      </c>
      <c r="P3123" s="122">
        <v>3780</v>
      </c>
      <c r="Q3123" s="122">
        <v>1400</v>
      </c>
      <c r="R3123" s="122">
        <v>76655</v>
      </c>
      <c r="S3123" s="122">
        <v>69687</v>
      </c>
      <c r="T3123" s="122">
        <v>18976</v>
      </c>
      <c r="U3123" s="122">
        <v>7028</v>
      </c>
      <c r="V3123" s="122">
        <v>343973</v>
      </c>
      <c r="W3123" s="122">
        <f t="shared" si="100"/>
        <v>343973</v>
      </c>
      <c r="X3123" s="122">
        <f t="shared" si="101"/>
        <v>404473</v>
      </c>
    </row>
    <row r="3124" spans="2:24">
      <c r="B3124" t="s">
        <v>385</v>
      </c>
      <c r="C3124" t="s">
        <v>62</v>
      </c>
      <c r="D3124" t="s">
        <v>426</v>
      </c>
      <c r="E3124" t="s">
        <v>137</v>
      </c>
      <c r="F3124" s="122">
        <v>1</v>
      </c>
      <c r="G3124" s="122">
        <v>212</v>
      </c>
      <c r="H3124" s="122">
        <v>380</v>
      </c>
      <c r="I3124" s="122">
        <v>61027</v>
      </c>
      <c r="J3124" s="122">
        <v>55479</v>
      </c>
      <c r="K3124" s="122">
        <v>30</v>
      </c>
      <c r="L3124" s="122">
        <v>4743</v>
      </c>
      <c r="M3124" s="122">
        <v>1757</v>
      </c>
      <c r="N3124" s="122">
        <v>5166</v>
      </c>
      <c r="O3124" s="122">
        <v>1913</v>
      </c>
      <c r="P3124" s="122">
        <v>0</v>
      </c>
      <c r="Q3124" s="122">
        <v>0</v>
      </c>
      <c r="R3124" s="122">
        <v>9652</v>
      </c>
      <c r="S3124" s="122">
        <v>3575</v>
      </c>
      <c r="T3124" s="122">
        <v>0</v>
      </c>
      <c r="U3124" s="122">
        <v>0</v>
      </c>
      <c r="V3124" s="122">
        <v>62724</v>
      </c>
      <c r="W3124" s="122">
        <f t="shared" si="100"/>
        <v>62724</v>
      </c>
      <c r="X3124" s="122">
        <f t="shared" si="101"/>
        <v>80588</v>
      </c>
    </row>
    <row r="3125" spans="2:24">
      <c r="B3125" t="s">
        <v>385</v>
      </c>
      <c r="C3125" t="s">
        <v>62</v>
      </c>
      <c r="D3125" t="s">
        <v>426</v>
      </c>
      <c r="E3125" t="s">
        <v>426</v>
      </c>
      <c r="F3125" s="122">
        <v>59</v>
      </c>
      <c r="G3125" s="122">
        <v>6157</v>
      </c>
      <c r="H3125" s="122">
        <v>24406</v>
      </c>
      <c r="I3125" s="122">
        <v>1655214</v>
      </c>
      <c r="J3125" s="122">
        <v>1504740</v>
      </c>
      <c r="K3125" s="122">
        <v>52</v>
      </c>
      <c r="L3125" s="122">
        <v>249680</v>
      </c>
      <c r="M3125" s="122">
        <v>215770</v>
      </c>
      <c r="N3125" s="122">
        <v>126987</v>
      </c>
      <c r="O3125" s="122">
        <v>47032</v>
      </c>
      <c r="P3125" s="122">
        <v>23652</v>
      </c>
      <c r="Q3125" s="122">
        <v>8760</v>
      </c>
      <c r="R3125" s="122">
        <v>396949</v>
      </c>
      <c r="S3125" s="122">
        <v>360862</v>
      </c>
      <c r="T3125" s="122">
        <v>127482</v>
      </c>
      <c r="U3125" s="122">
        <v>47216</v>
      </c>
      <c r="V3125" s="122">
        <v>2184380</v>
      </c>
      <c r="W3125" s="122">
        <f t="shared" si="100"/>
        <v>2184380</v>
      </c>
      <c r="X3125" s="122">
        <f t="shared" si="101"/>
        <v>2579964</v>
      </c>
    </row>
    <row r="3126" spans="2:24">
      <c r="B3126" t="s">
        <v>385</v>
      </c>
      <c r="C3126" t="s">
        <v>62</v>
      </c>
      <c r="D3126" t="s">
        <v>433</v>
      </c>
      <c r="E3126" t="s">
        <v>426</v>
      </c>
      <c r="F3126" s="122">
        <v>1</v>
      </c>
      <c r="G3126" s="122">
        <v>145</v>
      </c>
      <c r="H3126" s="122">
        <v>384</v>
      </c>
      <c r="I3126" s="122">
        <v>43152</v>
      </c>
      <c r="J3126" s="122">
        <v>39229</v>
      </c>
      <c r="K3126" s="122">
        <v>55</v>
      </c>
      <c r="L3126" s="122">
        <v>4057</v>
      </c>
      <c r="M3126" s="122">
        <v>3688</v>
      </c>
      <c r="N3126" s="122">
        <v>1762</v>
      </c>
      <c r="O3126" s="122">
        <v>653</v>
      </c>
      <c r="P3126" s="122">
        <v>351</v>
      </c>
      <c r="Q3126" s="122">
        <v>130</v>
      </c>
      <c r="R3126" s="122">
        <v>6152</v>
      </c>
      <c r="S3126" s="122">
        <v>5593</v>
      </c>
      <c r="T3126" s="122">
        <v>0</v>
      </c>
      <c r="U3126" s="122">
        <v>0</v>
      </c>
      <c r="V3126" s="122">
        <v>49293</v>
      </c>
      <c r="W3126" s="122">
        <f t="shared" si="100"/>
        <v>49293</v>
      </c>
      <c r="X3126" s="122">
        <f t="shared" si="101"/>
        <v>55474</v>
      </c>
    </row>
    <row r="3127" spans="2:24">
      <c r="B3127" t="s">
        <v>385</v>
      </c>
      <c r="C3127" t="s">
        <v>62</v>
      </c>
      <c r="D3127" t="s">
        <v>433</v>
      </c>
      <c r="E3127" t="s">
        <v>433</v>
      </c>
      <c r="F3127" s="122">
        <v>1</v>
      </c>
      <c r="G3127" s="122">
        <v>100</v>
      </c>
      <c r="H3127" s="122">
        <v>423</v>
      </c>
      <c r="I3127" s="122">
        <v>25613</v>
      </c>
      <c r="J3127" s="122">
        <v>23285</v>
      </c>
      <c r="K3127" s="122">
        <v>45</v>
      </c>
      <c r="L3127" s="122">
        <v>4269</v>
      </c>
      <c r="M3127" s="122">
        <v>3881</v>
      </c>
      <c r="N3127" s="122">
        <v>2437</v>
      </c>
      <c r="O3127" s="122">
        <v>903</v>
      </c>
      <c r="P3127" s="122">
        <v>351</v>
      </c>
      <c r="Q3127" s="122">
        <v>130</v>
      </c>
      <c r="R3127" s="122">
        <v>9642</v>
      </c>
      <c r="S3127" s="122">
        <v>8766</v>
      </c>
      <c r="T3127" s="122">
        <v>0</v>
      </c>
      <c r="U3127" s="122">
        <v>0</v>
      </c>
      <c r="V3127" s="122">
        <v>36964</v>
      </c>
      <c r="W3127" s="122">
        <f t="shared" si="100"/>
        <v>36965</v>
      </c>
      <c r="X3127" s="122">
        <f t="shared" si="101"/>
        <v>42312</v>
      </c>
    </row>
    <row r="3128" spans="2:24">
      <c r="B3128" t="s">
        <v>385</v>
      </c>
      <c r="C3128" t="s">
        <v>62</v>
      </c>
      <c r="D3128" t="s">
        <v>408</v>
      </c>
      <c r="E3128" t="s">
        <v>408</v>
      </c>
      <c r="F3128" s="122">
        <v>1</v>
      </c>
      <c r="G3128" s="122">
        <v>108</v>
      </c>
      <c r="H3128" s="122">
        <v>420</v>
      </c>
      <c r="I3128" s="122">
        <v>31844</v>
      </c>
      <c r="J3128" s="122">
        <v>28949</v>
      </c>
      <c r="K3128" s="122">
        <v>65</v>
      </c>
      <c r="L3128" s="122">
        <v>5575</v>
      </c>
      <c r="M3128" s="122">
        <v>4646</v>
      </c>
      <c r="N3128" s="122">
        <v>1844</v>
      </c>
      <c r="O3128" s="122">
        <v>683</v>
      </c>
      <c r="P3128" s="122">
        <v>351</v>
      </c>
      <c r="Q3128" s="122">
        <v>130</v>
      </c>
      <c r="R3128" s="122">
        <v>5837</v>
      </c>
      <c r="S3128" s="122">
        <v>5306</v>
      </c>
      <c r="T3128" s="122">
        <v>0</v>
      </c>
      <c r="U3128" s="122">
        <v>0</v>
      </c>
      <c r="V3128" s="122">
        <v>39714</v>
      </c>
      <c r="W3128" s="122">
        <f t="shared" si="100"/>
        <v>39714</v>
      </c>
      <c r="X3128" s="122">
        <f t="shared" si="101"/>
        <v>45451</v>
      </c>
    </row>
    <row r="3129" spans="2:24">
      <c r="B3129" t="s">
        <v>385</v>
      </c>
      <c r="C3129" t="s">
        <v>64</v>
      </c>
      <c r="D3129" t="s">
        <v>425</v>
      </c>
      <c r="E3129" t="s">
        <v>425</v>
      </c>
      <c r="F3129" s="122">
        <v>1</v>
      </c>
      <c r="G3129" s="122">
        <v>161</v>
      </c>
      <c r="H3129" s="122">
        <v>529</v>
      </c>
      <c r="I3129" s="122">
        <v>62359</v>
      </c>
      <c r="J3129" s="122">
        <v>56690</v>
      </c>
      <c r="K3129" s="122">
        <v>65</v>
      </c>
      <c r="L3129" s="122">
        <v>10705</v>
      </c>
      <c r="M3129" s="122">
        <v>9732</v>
      </c>
      <c r="N3129" s="122">
        <v>3784</v>
      </c>
      <c r="O3129" s="122">
        <v>1401</v>
      </c>
      <c r="P3129" s="122">
        <v>473</v>
      </c>
      <c r="Q3129" s="122">
        <v>175</v>
      </c>
      <c r="R3129" s="122">
        <v>5062</v>
      </c>
      <c r="S3129" s="122">
        <v>4602</v>
      </c>
      <c r="T3129" s="122">
        <v>2692</v>
      </c>
      <c r="U3129" s="122">
        <v>997</v>
      </c>
      <c r="V3129" s="122">
        <v>73597</v>
      </c>
      <c r="W3129" s="122">
        <f t="shared" si="100"/>
        <v>73597</v>
      </c>
      <c r="X3129" s="122">
        <f t="shared" si="101"/>
        <v>85075</v>
      </c>
    </row>
    <row r="3130" spans="2:24">
      <c r="B3130" t="s">
        <v>385</v>
      </c>
      <c r="C3130" t="s">
        <v>64</v>
      </c>
      <c r="D3130" t="s">
        <v>405</v>
      </c>
      <c r="E3130" t="s">
        <v>405</v>
      </c>
      <c r="F3130" s="122">
        <v>1</v>
      </c>
      <c r="G3130" s="122">
        <v>90</v>
      </c>
      <c r="H3130" s="122">
        <v>489</v>
      </c>
      <c r="I3130" s="122">
        <v>31513</v>
      </c>
      <c r="J3130" s="122">
        <v>28648</v>
      </c>
      <c r="K3130" s="122">
        <v>65</v>
      </c>
      <c r="L3130" s="122">
        <v>3017</v>
      </c>
      <c r="M3130" s="122">
        <v>2742</v>
      </c>
      <c r="N3130" s="122">
        <v>1649</v>
      </c>
      <c r="O3130" s="122">
        <v>611</v>
      </c>
      <c r="P3130" s="122">
        <v>473</v>
      </c>
      <c r="Q3130" s="122">
        <v>175</v>
      </c>
      <c r="R3130" s="122">
        <v>4897</v>
      </c>
      <c r="S3130" s="122">
        <v>4452</v>
      </c>
      <c r="T3130" s="122">
        <v>2569</v>
      </c>
      <c r="U3130" s="122">
        <v>952</v>
      </c>
      <c r="V3130" s="122">
        <v>37580</v>
      </c>
      <c r="W3130" s="122">
        <f t="shared" si="100"/>
        <v>37580</v>
      </c>
      <c r="X3130" s="122">
        <f t="shared" si="101"/>
        <v>44118</v>
      </c>
    </row>
    <row r="3131" spans="2:24">
      <c r="B3131" t="s">
        <v>385</v>
      </c>
      <c r="C3131" t="s">
        <v>64</v>
      </c>
      <c r="D3131" t="s">
        <v>137</v>
      </c>
      <c r="E3131" t="s">
        <v>403</v>
      </c>
      <c r="F3131" s="122">
        <v>1</v>
      </c>
      <c r="G3131" s="122">
        <v>177</v>
      </c>
      <c r="H3131" s="122">
        <v>890</v>
      </c>
      <c r="I3131" s="122">
        <v>132846</v>
      </c>
      <c r="J3131" s="122">
        <v>49202</v>
      </c>
      <c r="K3131" s="122">
        <v>100</v>
      </c>
      <c r="L3131" s="122">
        <v>10023</v>
      </c>
      <c r="M3131" s="122">
        <v>9112</v>
      </c>
      <c r="N3131" s="122">
        <v>4313</v>
      </c>
      <c r="O3131" s="122">
        <v>1597</v>
      </c>
      <c r="P3131" s="122">
        <v>0</v>
      </c>
      <c r="Q3131" s="122">
        <v>0</v>
      </c>
      <c r="R3131" s="122">
        <v>10304</v>
      </c>
      <c r="S3131" s="122">
        <v>3816</v>
      </c>
      <c r="T3131" s="122">
        <v>0</v>
      </c>
      <c r="U3131" s="122">
        <v>0</v>
      </c>
      <c r="V3131" s="122">
        <v>63728</v>
      </c>
      <c r="W3131" s="122">
        <f t="shared" si="100"/>
        <v>63727</v>
      </c>
      <c r="X3131" s="122">
        <f t="shared" si="101"/>
        <v>157486</v>
      </c>
    </row>
    <row r="3132" spans="2:24">
      <c r="B3132" t="s">
        <v>385</v>
      </c>
      <c r="C3132" t="s">
        <v>64</v>
      </c>
      <c r="D3132" t="s">
        <v>137</v>
      </c>
      <c r="E3132" t="s">
        <v>137</v>
      </c>
      <c r="F3132" s="122">
        <v>71</v>
      </c>
      <c r="G3132" s="122">
        <v>6679</v>
      </c>
      <c r="H3132" s="122">
        <v>55563</v>
      </c>
      <c r="I3132" s="122">
        <v>3842262</v>
      </c>
      <c r="J3132" s="122">
        <v>1423060</v>
      </c>
      <c r="K3132" s="122">
        <v>100</v>
      </c>
      <c r="L3132" s="122">
        <v>533021</v>
      </c>
      <c r="M3132" s="122">
        <v>458289</v>
      </c>
      <c r="N3132" s="122">
        <v>148471</v>
      </c>
      <c r="O3132" s="122">
        <v>54989</v>
      </c>
      <c r="P3132" s="122">
        <v>2428</v>
      </c>
      <c r="Q3132" s="122">
        <v>899</v>
      </c>
      <c r="R3132" s="122">
        <v>485588</v>
      </c>
      <c r="S3132" s="122">
        <v>179847</v>
      </c>
      <c r="T3132" s="122">
        <v>3608</v>
      </c>
      <c r="U3132" s="122">
        <v>1336</v>
      </c>
      <c r="V3132" s="122">
        <v>2118421</v>
      </c>
      <c r="W3132" s="122">
        <f t="shared" si="100"/>
        <v>2118420</v>
      </c>
      <c r="X3132" s="122">
        <f t="shared" si="101"/>
        <v>5015378</v>
      </c>
    </row>
    <row r="3133" spans="2:24">
      <c r="B3133" t="s">
        <v>385</v>
      </c>
      <c r="C3133" t="s">
        <v>64</v>
      </c>
      <c r="D3133" t="s">
        <v>137</v>
      </c>
      <c r="E3133" t="s">
        <v>406</v>
      </c>
      <c r="F3133" s="122">
        <v>1</v>
      </c>
      <c r="G3133" s="122">
        <v>86</v>
      </c>
      <c r="H3133" s="122">
        <v>762</v>
      </c>
      <c r="I3133" s="122">
        <v>50755</v>
      </c>
      <c r="J3133" s="122">
        <v>18798</v>
      </c>
      <c r="K3133" s="122">
        <v>100</v>
      </c>
      <c r="L3133" s="122">
        <v>7659</v>
      </c>
      <c r="M3133" s="122">
        <v>6962</v>
      </c>
      <c r="N3133" s="122">
        <v>1563</v>
      </c>
      <c r="O3133" s="122">
        <v>579</v>
      </c>
      <c r="P3133" s="122">
        <v>0</v>
      </c>
      <c r="Q3133" s="122">
        <v>0</v>
      </c>
      <c r="R3133" s="122">
        <v>3404</v>
      </c>
      <c r="S3133" s="122">
        <v>3095</v>
      </c>
      <c r="T3133" s="122">
        <v>1794</v>
      </c>
      <c r="U3133" s="122">
        <v>664</v>
      </c>
      <c r="V3133" s="122">
        <v>30099</v>
      </c>
      <c r="W3133" s="122">
        <f t="shared" si="100"/>
        <v>30098</v>
      </c>
      <c r="X3133" s="122">
        <f t="shared" si="101"/>
        <v>65175</v>
      </c>
    </row>
    <row r="3134" spans="2:24">
      <c r="B3134" t="s">
        <v>385</v>
      </c>
      <c r="C3134" t="s">
        <v>64</v>
      </c>
      <c r="D3134" t="s">
        <v>137</v>
      </c>
      <c r="E3134" t="s">
        <v>431</v>
      </c>
      <c r="F3134" s="122">
        <v>4</v>
      </c>
      <c r="G3134" s="122">
        <v>429</v>
      </c>
      <c r="H3134" s="122">
        <v>2634</v>
      </c>
      <c r="I3134" s="122">
        <v>214854</v>
      </c>
      <c r="J3134" s="122">
        <v>79576</v>
      </c>
      <c r="K3134" s="122">
        <v>100</v>
      </c>
      <c r="L3134" s="122">
        <v>26703</v>
      </c>
      <c r="M3134" s="122">
        <v>24276</v>
      </c>
      <c r="N3134" s="122">
        <v>8852</v>
      </c>
      <c r="O3134" s="122">
        <v>3278</v>
      </c>
      <c r="P3134" s="122">
        <v>702</v>
      </c>
      <c r="Q3134" s="122">
        <v>260</v>
      </c>
      <c r="R3134" s="122">
        <v>27214</v>
      </c>
      <c r="S3134" s="122">
        <v>24740</v>
      </c>
      <c r="T3134" s="122">
        <v>11132</v>
      </c>
      <c r="U3134" s="122">
        <v>4123</v>
      </c>
      <c r="V3134" s="122">
        <v>136253</v>
      </c>
      <c r="W3134" s="122">
        <f t="shared" si="100"/>
        <v>136253</v>
      </c>
      <c r="X3134" s="122">
        <f t="shared" si="101"/>
        <v>289457</v>
      </c>
    </row>
    <row r="3135" spans="2:24">
      <c r="B3135" t="s">
        <v>385</v>
      </c>
      <c r="C3135" t="s">
        <v>64</v>
      </c>
      <c r="D3135" t="s">
        <v>137</v>
      </c>
      <c r="E3135" t="s">
        <v>426</v>
      </c>
      <c r="F3135" s="122">
        <v>15</v>
      </c>
      <c r="G3135" s="122">
        <v>1353</v>
      </c>
      <c r="H3135" s="122">
        <v>10491</v>
      </c>
      <c r="I3135" s="122">
        <v>698760</v>
      </c>
      <c r="J3135" s="122">
        <v>258800</v>
      </c>
      <c r="K3135" s="122">
        <v>100</v>
      </c>
      <c r="L3135" s="122">
        <v>118446</v>
      </c>
      <c r="M3135" s="122">
        <v>97485</v>
      </c>
      <c r="N3135" s="122">
        <v>30437</v>
      </c>
      <c r="O3135" s="122">
        <v>11273</v>
      </c>
      <c r="P3135" s="122">
        <v>1796</v>
      </c>
      <c r="Q3135" s="122">
        <v>665</v>
      </c>
      <c r="R3135" s="122">
        <v>95169</v>
      </c>
      <c r="S3135" s="122">
        <v>86517</v>
      </c>
      <c r="T3135" s="122">
        <v>21892</v>
      </c>
      <c r="U3135" s="122">
        <v>8108</v>
      </c>
      <c r="V3135" s="122">
        <v>462848</v>
      </c>
      <c r="W3135" s="122">
        <f t="shared" si="100"/>
        <v>462848</v>
      </c>
      <c r="X3135" s="122">
        <f t="shared" si="101"/>
        <v>966500</v>
      </c>
    </row>
    <row r="3136" spans="2:24">
      <c r="B3136" t="s">
        <v>385</v>
      </c>
      <c r="C3136" t="s">
        <v>64</v>
      </c>
      <c r="D3136" t="s">
        <v>406</v>
      </c>
      <c r="E3136" t="s">
        <v>137</v>
      </c>
      <c r="F3136" s="122">
        <v>7</v>
      </c>
      <c r="G3136" s="122">
        <v>849</v>
      </c>
      <c r="H3136" s="122">
        <v>3884</v>
      </c>
      <c r="I3136" s="122">
        <v>318152</v>
      </c>
      <c r="J3136" s="122">
        <v>289229</v>
      </c>
      <c r="K3136" s="122">
        <v>71</v>
      </c>
      <c r="L3136" s="122">
        <v>75174</v>
      </c>
      <c r="M3136" s="122">
        <v>68340</v>
      </c>
      <c r="N3136" s="122">
        <v>18669</v>
      </c>
      <c r="O3136" s="122">
        <v>6915</v>
      </c>
      <c r="P3136" s="122">
        <v>4077</v>
      </c>
      <c r="Q3136" s="122">
        <v>1510</v>
      </c>
      <c r="R3136" s="122">
        <v>51491</v>
      </c>
      <c r="S3136" s="122">
        <v>19071</v>
      </c>
      <c r="T3136" s="122">
        <v>0</v>
      </c>
      <c r="U3136" s="122">
        <v>0</v>
      </c>
      <c r="V3136" s="122">
        <v>385065</v>
      </c>
      <c r="W3136" s="122">
        <f t="shared" si="100"/>
        <v>385065</v>
      </c>
      <c r="X3136" s="122">
        <f t="shared" si="101"/>
        <v>467563</v>
      </c>
    </row>
    <row r="3137" spans="2:24">
      <c r="B3137" t="s">
        <v>385</v>
      </c>
      <c r="C3137" t="s">
        <v>64</v>
      </c>
      <c r="D3137" t="s">
        <v>406</v>
      </c>
      <c r="E3137" t="s">
        <v>406</v>
      </c>
      <c r="F3137" s="122">
        <v>290</v>
      </c>
      <c r="G3137" s="122">
        <v>29967</v>
      </c>
      <c r="H3137" s="122">
        <v>158334</v>
      </c>
      <c r="I3137" s="122">
        <v>11149850</v>
      </c>
      <c r="J3137" s="122">
        <v>10136227</v>
      </c>
      <c r="K3137" s="122">
        <v>73</v>
      </c>
      <c r="L3137" s="122">
        <v>2283166</v>
      </c>
      <c r="M3137" s="122">
        <v>2013993</v>
      </c>
      <c r="N3137" s="122">
        <v>645601</v>
      </c>
      <c r="O3137" s="122">
        <v>239111</v>
      </c>
      <c r="P3137" s="122">
        <v>188468</v>
      </c>
      <c r="Q3137" s="122">
        <v>69803</v>
      </c>
      <c r="R3137" s="122">
        <v>1446832</v>
      </c>
      <c r="S3137" s="122">
        <v>1315302</v>
      </c>
      <c r="T3137" s="122">
        <v>507024</v>
      </c>
      <c r="U3137" s="122">
        <v>187787</v>
      </c>
      <c r="V3137" s="122">
        <v>13962222</v>
      </c>
      <c r="W3137" s="122">
        <f t="shared" si="100"/>
        <v>13962223</v>
      </c>
      <c r="X3137" s="122">
        <f t="shared" si="101"/>
        <v>16220941</v>
      </c>
    </row>
    <row r="3138" spans="2:24">
      <c r="B3138" t="s">
        <v>385</v>
      </c>
      <c r="C3138" t="s">
        <v>64</v>
      </c>
      <c r="D3138" t="s">
        <v>427</v>
      </c>
      <c r="E3138" t="s">
        <v>427</v>
      </c>
      <c r="F3138" s="122">
        <v>6</v>
      </c>
      <c r="G3138" s="122">
        <v>489</v>
      </c>
      <c r="H3138" s="122">
        <v>5188</v>
      </c>
      <c r="I3138" s="122">
        <v>273090</v>
      </c>
      <c r="J3138" s="122">
        <v>248264</v>
      </c>
      <c r="K3138" s="122">
        <v>59</v>
      </c>
      <c r="L3138" s="122">
        <v>58330</v>
      </c>
      <c r="M3138" s="122">
        <v>53027</v>
      </c>
      <c r="N3138" s="122">
        <v>11539</v>
      </c>
      <c r="O3138" s="122">
        <v>4274</v>
      </c>
      <c r="P3138" s="122">
        <v>1755</v>
      </c>
      <c r="Q3138" s="122">
        <v>650</v>
      </c>
      <c r="R3138" s="122">
        <v>34823</v>
      </c>
      <c r="S3138" s="122">
        <v>31657</v>
      </c>
      <c r="T3138" s="122">
        <v>4567</v>
      </c>
      <c r="U3138" s="122">
        <v>1691</v>
      </c>
      <c r="V3138" s="122">
        <v>339563</v>
      </c>
      <c r="W3138" s="122">
        <f t="shared" si="100"/>
        <v>339563</v>
      </c>
      <c r="X3138" s="122">
        <f t="shared" si="101"/>
        <v>384104</v>
      </c>
    </row>
    <row r="3139" spans="2:24">
      <c r="B3139" t="s">
        <v>385</v>
      </c>
      <c r="C3139" t="s">
        <v>64</v>
      </c>
      <c r="D3139" t="s">
        <v>407</v>
      </c>
      <c r="E3139" t="s">
        <v>137</v>
      </c>
      <c r="F3139" s="122">
        <v>1</v>
      </c>
      <c r="G3139" s="122">
        <v>90</v>
      </c>
      <c r="H3139" s="122">
        <v>457</v>
      </c>
      <c r="I3139" s="122">
        <v>25756</v>
      </c>
      <c r="J3139" s="122">
        <v>23414</v>
      </c>
      <c r="K3139" s="122">
        <v>69</v>
      </c>
      <c r="L3139" s="122">
        <v>6816</v>
      </c>
      <c r="M3139" s="122">
        <v>5680</v>
      </c>
      <c r="N3139" s="122">
        <v>2193</v>
      </c>
      <c r="O3139" s="122">
        <v>812</v>
      </c>
      <c r="P3139" s="122">
        <v>473</v>
      </c>
      <c r="Q3139" s="122">
        <v>175</v>
      </c>
      <c r="R3139" s="122">
        <v>5910</v>
      </c>
      <c r="S3139" s="122">
        <v>2189</v>
      </c>
      <c r="T3139" s="122">
        <v>0</v>
      </c>
      <c r="U3139" s="122">
        <v>0</v>
      </c>
      <c r="V3139" s="122">
        <v>32271</v>
      </c>
      <c r="W3139" s="122">
        <f t="shared" si="100"/>
        <v>32270</v>
      </c>
      <c r="X3139" s="122">
        <f t="shared" si="101"/>
        <v>41148</v>
      </c>
    </row>
    <row r="3140" spans="2:24">
      <c r="B3140" t="s">
        <v>385</v>
      </c>
      <c r="C3140" t="s">
        <v>64</v>
      </c>
      <c r="D3140" t="s">
        <v>407</v>
      </c>
      <c r="E3140" t="s">
        <v>407</v>
      </c>
      <c r="F3140" s="122">
        <v>1</v>
      </c>
      <c r="G3140" s="122">
        <v>127</v>
      </c>
      <c r="H3140" s="122">
        <v>482</v>
      </c>
      <c r="I3140" s="122">
        <v>39177</v>
      </c>
      <c r="J3140" s="122">
        <v>35615</v>
      </c>
      <c r="K3140" s="122">
        <v>90</v>
      </c>
      <c r="L3140" s="122">
        <v>12420</v>
      </c>
      <c r="M3140" s="122">
        <v>11291</v>
      </c>
      <c r="N3140" s="122">
        <v>3104</v>
      </c>
      <c r="O3140" s="122">
        <v>1150</v>
      </c>
      <c r="P3140" s="122">
        <v>473</v>
      </c>
      <c r="Q3140" s="122">
        <v>175</v>
      </c>
      <c r="R3140" s="122">
        <v>3325</v>
      </c>
      <c r="S3140" s="122">
        <v>3022</v>
      </c>
      <c r="T3140" s="122">
        <v>2897</v>
      </c>
      <c r="U3140" s="122">
        <v>1073</v>
      </c>
      <c r="V3140" s="122">
        <v>52326</v>
      </c>
      <c r="W3140" s="122">
        <f t="shared" si="100"/>
        <v>52326</v>
      </c>
      <c r="X3140" s="122">
        <f t="shared" si="101"/>
        <v>61396</v>
      </c>
    </row>
    <row r="3141" spans="2:24">
      <c r="B3141" t="s">
        <v>385</v>
      </c>
      <c r="C3141" t="s">
        <v>64</v>
      </c>
      <c r="D3141" t="s">
        <v>556</v>
      </c>
      <c r="E3141" t="s">
        <v>137</v>
      </c>
      <c r="F3141" s="122">
        <v>3</v>
      </c>
      <c r="G3141" s="122">
        <v>364</v>
      </c>
      <c r="H3141" s="122">
        <v>3752</v>
      </c>
      <c r="I3141" s="122">
        <v>395009</v>
      </c>
      <c r="J3141" s="122">
        <v>329174</v>
      </c>
      <c r="K3141" s="122">
        <v>40</v>
      </c>
      <c r="L3141" s="122">
        <v>25600</v>
      </c>
      <c r="M3141" s="122">
        <v>13278</v>
      </c>
      <c r="N3141" s="122">
        <v>8862</v>
      </c>
      <c r="O3141" s="122">
        <v>3282</v>
      </c>
      <c r="P3141" s="122">
        <v>0</v>
      </c>
      <c r="Q3141" s="122">
        <v>0</v>
      </c>
      <c r="R3141" s="122">
        <v>17340</v>
      </c>
      <c r="S3141" s="122">
        <v>6422</v>
      </c>
      <c r="T3141" s="122">
        <v>0</v>
      </c>
      <c r="U3141" s="122">
        <v>0</v>
      </c>
      <c r="V3141" s="122">
        <v>352157</v>
      </c>
      <c r="W3141" s="122">
        <f t="shared" si="100"/>
        <v>352156</v>
      </c>
      <c r="X3141" s="122">
        <f t="shared" si="101"/>
        <v>446811</v>
      </c>
    </row>
    <row r="3142" spans="2:24">
      <c r="B3142" t="s">
        <v>385</v>
      </c>
      <c r="C3142" t="s">
        <v>64</v>
      </c>
      <c r="D3142" t="s">
        <v>556</v>
      </c>
      <c r="E3142" t="s">
        <v>556</v>
      </c>
      <c r="F3142" s="122">
        <v>28</v>
      </c>
      <c r="G3142" s="122">
        <v>2556</v>
      </c>
      <c r="H3142" s="122">
        <v>22101</v>
      </c>
      <c r="I3142" s="122">
        <v>1468568</v>
      </c>
      <c r="J3142" s="122">
        <v>1223807</v>
      </c>
      <c r="K3142" s="122">
        <v>50</v>
      </c>
      <c r="L3142" s="122">
        <v>209861</v>
      </c>
      <c r="M3142" s="122">
        <v>164624</v>
      </c>
      <c r="N3142" s="122">
        <v>56291</v>
      </c>
      <c r="O3142" s="122">
        <v>20849</v>
      </c>
      <c r="P3142" s="122">
        <v>9666</v>
      </c>
      <c r="Q3142" s="122">
        <v>3580</v>
      </c>
      <c r="R3142" s="122">
        <v>185771</v>
      </c>
      <c r="S3142" s="122">
        <v>154809</v>
      </c>
      <c r="T3142" s="122">
        <v>58387</v>
      </c>
      <c r="U3142" s="122">
        <v>21625</v>
      </c>
      <c r="V3142" s="122">
        <v>1589293</v>
      </c>
      <c r="W3142" s="122">
        <f t="shared" si="100"/>
        <v>1589294</v>
      </c>
      <c r="X3142" s="122">
        <f t="shared" si="101"/>
        <v>1988544</v>
      </c>
    </row>
    <row r="3143" spans="2:24">
      <c r="B3143" t="s">
        <v>385</v>
      </c>
      <c r="C3143" t="s">
        <v>64</v>
      </c>
      <c r="D3143" t="s">
        <v>428</v>
      </c>
      <c r="E3143" t="s">
        <v>428</v>
      </c>
      <c r="F3143" s="122">
        <v>5</v>
      </c>
      <c r="G3143" s="122">
        <v>412</v>
      </c>
      <c r="H3143" s="122">
        <v>3326</v>
      </c>
      <c r="I3143" s="122">
        <v>197128</v>
      </c>
      <c r="J3143" s="122">
        <v>179208</v>
      </c>
      <c r="K3143" s="122">
        <v>45</v>
      </c>
      <c r="L3143" s="122">
        <v>22076</v>
      </c>
      <c r="M3143" s="122">
        <v>16500</v>
      </c>
      <c r="N3143" s="122">
        <v>7957</v>
      </c>
      <c r="O3143" s="122">
        <v>2947</v>
      </c>
      <c r="P3143" s="122">
        <v>1755</v>
      </c>
      <c r="Q3143" s="122">
        <v>650</v>
      </c>
      <c r="R3143" s="122">
        <v>28615</v>
      </c>
      <c r="S3143" s="122">
        <v>26014</v>
      </c>
      <c r="T3143" s="122">
        <v>10563</v>
      </c>
      <c r="U3143" s="122">
        <v>3912</v>
      </c>
      <c r="V3143" s="122">
        <v>229231</v>
      </c>
      <c r="W3143" s="122">
        <f t="shared" si="100"/>
        <v>229231</v>
      </c>
      <c r="X3143" s="122">
        <f t="shared" si="101"/>
        <v>268094</v>
      </c>
    </row>
    <row r="3144" spans="2:24">
      <c r="B3144" t="s">
        <v>385</v>
      </c>
      <c r="C3144" t="s">
        <v>64</v>
      </c>
      <c r="D3144" t="s">
        <v>431</v>
      </c>
      <c r="E3144" t="s">
        <v>137</v>
      </c>
      <c r="F3144" s="122">
        <v>2</v>
      </c>
      <c r="G3144" s="122">
        <v>185</v>
      </c>
      <c r="H3144" s="122">
        <v>1923</v>
      </c>
      <c r="I3144" s="122">
        <v>148493</v>
      </c>
      <c r="J3144" s="122">
        <v>134993</v>
      </c>
      <c r="K3144" s="122">
        <v>43</v>
      </c>
      <c r="L3144" s="122">
        <v>5553</v>
      </c>
      <c r="M3144" s="122">
        <v>2057</v>
      </c>
      <c r="N3144" s="122">
        <v>4792</v>
      </c>
      <c r="O3144" s="122">
        <v>1775</v>
      </c>
      <c r="P3144" s="122">
        <v>351</v>
      </c>
      <c r="Q3144" s="122">
        <v>130</v>
      </c>
      <c r="R3144" s="122">
        <v>15721</v>
      </c>
      <c r="S3144" s="122">
        <v>5823</v>
      </c>
      <c r="T3144" s="122">
        <v>0</v>
      </c>
      <c r="U3144" s="122">
        <v>0</v>
      </c>
      <c r="V3144" s="122">
        <v>144778</v>
      </c>
      <c r="W3144" s="122">
        <f t="shared" si="100"/>
        <v>144778</v>
      </c>
      <c r="X3144" s="122">
        <f t="shared" si="101"/>
        <v>174910</v>
      </c>
    </row>
    <row r="3145" spans="2:24">
      <c r="B3145" t="s">
        <v>385</v>
      </c>
      <c r="C3145" t="s">
        <v>64</v>
      </c>
      <c r="D3145" t="s">
        <v>431</v>
      </c>
      <c r="E3145" t="s">
        <v>431</v>
      </c>
      <c r="F3145" s="122">
        <v>44</v>
      </c>
      <c r="G3145" s="122">
        <v>4128</v>
      </c>
      <c r="H3145" s="122">
        <v>31025</v>
      </c>
      <c r="I3145" s="122">
        <v>2010263</v>
      </c>
      <c r="J3145" s="122">
        <v>1827512</v>
      </c>
      <c r="K3145" s="122">
        <v>51</v>
      </c>
      <c r="L3145" s="122">
        <v>300552</v>
      </c>
      <c r="M3145" s="122">
        <v>250143</v>
      </c>
      <c r="N3145" s="122">
        <v>86473</v>
      </c>
      <c r="O3145" s="122">
        <v>32027</v>
      </c>
      <c r="P3145" s="122">
        <v>13365</v>
      </c>
      <c r="Q3145" s="122">
        <v>4950</v>
      </c>
      <c r="R3145" s="122">
        <v>299877</v>
      </c>
      <c r="S3145" s="122">
        <v>272616</v>
      </c>
      <c r="T3145" s="122">
        <v>95170</v>
      </c>
      <c r="U3145" s="122">
        <v>35248</v>
      </c>
      <c r="V3145" s="122">
        <v>2422496</v>
      </c>
      <c r="W3145" s="122">
        <f t="shared" si="100"/>
        <v>2422496</v>
      </c>
      <c r="X3145" s="122">
        <f t="shared" si="101"/>
        <v>2805700</v>
      </c>
    </row>
    <row r="3146" spans="2:24">
      <c r="B3146" t="s">
        <v>385</v>
      </c>
      <c r="C3146" t="s">
        <v>64</v>
      </c>
      <c r="D3146" t="s">
        <v>426</v>
      </c>
      <c r="E3146" t="s">
        <v>137</v>
      </c>
      <c r="F3146" s="122">
        <v>37</v>
      </c>
      <c r="G3146" s="122">
        <v>2921</v>
      </c>
      <c r="H3146" s="122">
        <v>41794</v>
      </c>
      <c r="I3146" s="122">
        <v>2615115</v>
      </c>
      <c r="J3146" s="122">
        <v>2377377</v>
      </c>
      <c r="K3146" s="122">
        <v>39</v>
      </c>
      <c r="L3146" s="122">
        <v>254419</v>
      </c>
      <c r="M3146" s="122">
        <v>191017</v>
      </c>
      <c r="N3146" s="122">
        <v>68546</v>
      </c>
      <c r="O3146" s="122">
        <v>25388</v>
      </c>
      <c r="P3146" s="122">
        <v>1053</v>
      </c>
      <c r="Q3146" s="122">
        <v>390</v>
      </c>
      <c r="R3146" s="122">
        <v>209234</v>
      </c>
      <c r="S3146" s="122">
        <v>77494</v>
      </c>
      <c r="T3146" s="122">
        <v>0</v>
      </c>
      <c r="U3146" s="122">
        <v>0</v>
      </c>
      <c r="V3146" s="122">
        <v>2671665</v>
      </c>
      <c r="W3146" s="122">
        <f t="shared" si="100"/>
        <v>2671666</v>
      </c>
      <c r="X3146" s="122">
        <f t="shared" si="101"/>
        <v>3148367</v>
      </c>
    </row>
    <row r="3147" spans="2:24">
      <c r="B3147" t="s">
        <v>385</v>
      </c>
      <c r="C3147" t="s">
        <v>64</v>
      </c>
      <c r="D3147" t="s">
        <v>426</v>
      </c>
      <c r="E3147" t="s">
        <v>406</v>
      </c>
      <c r="F3147" s="122">
        <v>1</v>
      </c>
      <c r="G3147" s="122">
        <v>186</v>
      </c>
      <c r="H3147" s="122">
        <v>1045</v>
      </c>
      <c r="I3147" s="122">
        <v>167746</v>
      </c>
      <c r="J3147" s="122">
        <v>152497</v>
      </c>
      <c r="K3147" s="122">
        <v>30</v>
      </c>
      <c r="L3147" s="122">
        <v>13725</v>
      </c>
      <c r="M3147" s="122">
        <v>5083</v>
      </c>
      <c r="N3147" s="122">
        <v>4208</v>
      </c>
      <c r="O3147" s="122">
        <v>1558</v>
      </c>
      <c r="P3147" s="122">
        <v>0</v>
      </c>
      <c r="Q3147" s="122">
        <v>0</v>
      </c>
      <c r="R3147" s="122">
        <v>8291</v>
      </c>
      <c r="S3147" s="122">
        <v>7537</v>
      </c>
      <c r="T3147" s="122">
        <v>0</v>
      </c>
      <c r="U3147" s="122">
        <v>0</v>
      </c>
      <c r="V3147" s="122">
        <v>166675</v>
      </c>
      <c r="W3147" s="122">
        <f t="shared" si="100"/>
        <v>166675</v>
      </c>
      <c r="X3147" s="122">
        <f t="shared" si="101"/>
        <v>193970</v>
      </c>
    </row>
    <row r="3148" spans="2:24">
      <c r="B3148" t="s">
        <v>385</v>
      </c>
      <c r="C3148" t="s">
        <v>64</v>
      </c>
      <c r="D3148" t="s">
        <v>426</v>
      </c>
      <c r="E3148" t="s">
        <v>426</v>
      </c>
      <c r="F3148" s="122">
        <v>198</v>
      </c>
      <c r="G3148" s="122">
        <v>17407</v>
      </c>
      <c r="H3148" s="122">
        <v>139174</v>
      </c>
      <c r="I3148" s="122">
        <v>8762365</v>
      </c>
      <c r="J3148" s="122">
        <v>7965786</v>
      </c>
      <c r="K3148" s="122">
        <v>50</v>
      </c>
      <c r="L3148" s="122">
        <v>1276948</v>
      </c>
      <c r="M3148" s="122">
        <v>1120395</v>
      </c>
      <c r="N3148" s="122">
        <v>378296</v>
      </c>
      <c r="O3148" s="122">
        <v>140110</v>
      </c>
      <c r="P3148" s="122">
        <v>65975</v>
      </c>
      <c r="Q3148" s="122">
        <v>24435</v>
      </c>
      <c r="R3148" s="122">
        <v>1244711</v>
      </c>
      <c r="S3148" s="122">
        <v>1131556</v>
      </c>
      <c r="T3148" s="122">
        <v>383879</v>
      </c>
      <c r="U3148" s="122">
        <v>142177</v>
      </c>
      <c r="V3148" s="122">
        <v>10524459</v>
      </c>
      <c r="W3148" s="122">
        <f t="shared" si="100"/>
        <v>10524459</v>
      </c>
      <c r="X3148" s="122">
        <f t="shared" si="101"/>
        <v>12112174</v>
      </c>
    </row>
    <row r="3149" spans="2:24">
      <c r="B3149" t="s">
        <v>385</v>
      </c>
      <c r="C3149" t="s">
        <v>64</v>
      </c>
      <c r="D3149" t="s">
        <v>433</v>
      </c>
      <c r="E3149" t="s">
        <v>433</v>
      </c>
      <c r="F3149" s="122">
        <v>2</v>
      </c>
      <c r="G3149" s="122">
        <v>306</v>
      </c>
      <c r="H3149" s="122">
        <v>1437</v>
      </c>
      <c r="I3149" s="122">
        <v>140757</v>
      </c>
      <c r="J3149" s="122">
        <v>127960</v>
      </c>
      <c r="K3149" s="122">
        <v>58</v>
      </c>
      <c r="L3149" s="122">
        <v>21936</v>
      </c>
      <c r="M3149" s="122">
        <v>19942</v>
      </c>
      <c r="N3149" s="122">
        <v>6973</v>
      </c>
      <c r="O3149" s="122">
        <v>2582</v>
      </c>
      <c r="P3149" s="122">
        <v>702</v>
      </c>
      <c r="Q3149" s="122">
        <v>260</v>
      </c>
      <c r="R3149" s="122">
        <v>15420</v>
      </c>
      <c r="S3149" s="122">
        <v>14018</v>
      </c>
      <c r="T3149" s="122">
        <v>4158</v>
      </c>
      <c r="U3149" s="122">
        <v>1540</v>
      </c>
      <c r="V3149" s="122">
        <v>166304</v>
      </c>
      <c r="W3149" s="122">
        <f t="shared" si="100"/>
        <v>166302</v>
      </c>
      <c r="X3149" s="122">
        <f t="shared" si="101"/>
        <v>189946</v>
      </c>
    </row>
    <row r="3150" spans="2:24">
      <c r="B3150" t="s">
        <v>386</v>
      </c>
      <c r="C3150" t="s">
        <v>48</v>
      </c>
      <c r="F3150" s="122">
        <v>1</v>
      </c>
      <c r="G3150" s="122">
        <v>376</v>
      </c>
      <c r="H3150" s="122">
        <v>75</v>
      </c>
      <c r="I3150" s="122"/>
      <c r="J3150" s="122">
        <v>0</v>
      </c>
      <c r="K3150" s="122"/>
      <c r="L3150" s="122"/>
      <c r="M3150" s="122">
        <v>0</v>
      </c>
      <c r="N3150" s="122">
        <v>6409</v>
      </c>
      <c r="O3150" s="122">
        <v>2374</v>
      </c>
      <c r="P3150" s="122">
        <v>351</v>
      </c>
      <c r="Q3150" s="122">
        <v>130</v>
      </c>
      <c r="R3150" s="122"/>
      <c r="S3150" s="122">
        <v>0</v>
      </c>
      <c r="T3150" s="122">
        <v>0</v>
      </c>
      <c r="U3150" s="122">
        <v>0</v>
      </c>
      <c r="V3150" s="122">
        <v>2504</v>
      </c>
      <c r="W3150" s="122">
        <f t="shared" si="100"/>
        <v>2504</v>
      </c>
      <c r="X3150" s="122">
        <f t="shared" si="101"/>
        <v>6760</v>
      </c>
    </row>
    <row r="3151" spans="2:24">
      <c r="B3151" t="s">
        <v>386</v>
      </c>
      <c r="C3151" t="s">
        <v>48</v>
      </c>
      <c r="D3151" t="s">
        <v>425</v>
      </c>
      <c r="E3151" t="s">
        <v>425</v>
      </c>
      <c r="F3151" s="122">
        <v>1</v>
      </c>
      <c r="G3151" s="122">
        <v>179</v>
      </c>
      <c r="H3151" s="122">
        <v>74</v>
      </c>
      <c r="I3151" s="122">
        <v>6069</v>
      </c>
      <c r="J3151" s="122">
        <v>5518</v>
      </c>
      <c r="K3151" s="122">
        <v>91</v>
      </c>
      <c r="L3151" s="122">
        <v>800</v>
      </c>
      <c r="M3151" s="122">
        <v>727</v>
      </c>
      <c r="N3151" s="122">
        <v>2178</v>
      </c>
      <c r="O3151" s="122">
        <v>807</v>
      </c>
      <c r="P3151" s="122">
        <v>473</v>
      </c>
      <c r="Q3151" s="122">
        <v>175</v>
      </c>
      <c r="R3151" s="122">
        <v>3755</v>
      </c>
      <c r="S3151" s="122">
        <v>3414</v>
      </c>
      <c r="T3151" s="122">
        <v>0</v>
      </c>
      <c r="U3151" s="122">
        <v>0</v>
      </c>
      <c r="V3151" s="122">
        <v>10641</v>
      </c>
      <c r="W3151" s="122">
        <f t="shared" si="100"/>
        <v>10641</v>
      </c>
      <c r="X3151" s="122">
        <f t="shared" si="101"/>
        <v>13275</v>
      </c>
    </row>
    <row r="3152" spans="2:24">
      <c r="B3152" t="s">
        <v>386</v>
      </c>
      <c r="C3152" t="s">
        <v>48</v>
      </c>
      <c r="D3152" t="s">
        <v>405</v>
      </c>
      <c r="E3152" t="s">
        <v>405</v>
      </c>
      <c r="F3152" s="122">
        <v>7</v>
      </c>
      <c r="G3152" s="122">
        <v>1545</v>
      </c>
      <c r="H3152" s="122">
        <v>387</v>
      </c>
      <c r="I3152" s="122">
        <v>25829</v>
      </c>
      <c r="J3152" s="122">
        <v>23481</v>
      </c>
      <c r="K3152" s="122">
        <v>92</v>
      </c>
      <c r="L3152" s="122">
        <v>3728</v>
      </c>
      <c r="M3152" s="122">
        <v>3389</v>
      </c>
      <c r="N3152" s="122">
        <v>19003</v>
      </c>
      <c r="O3152" s="122">
        <v>7038</v>
      </c>
      <c r="P3152" s="122">
        <v>10516</v>
      </c>
      <c r="Q3152" s="122">
        <v>3895</v>
      </c>
      <c r="R3152" s="122">
        <v>27396</v>
      </c>
      <c r="S3152" s="122">
        <v>24905</v>
      </c>
      <c r="T3152" s="122">
        <v>0</v>
      </c>
      <c r="U3152" s="122">
        <v>0</v>
      </c>
      <c r="V3152" s="122">
        <v>62708</v>
      </c>
      <c r="W3152" s="122">
        <f t="shared" si="100"/>
        <v>62708</v>
      </c>
      <c r="X3152" s="122">
        <f t="shared" si="101"/>
        <v>86472</v>
      </c>
    </row>
    <row r="3153" spans="2:24">
      <c r="B3153" t="s">
        <v>386</v>
      </c>
      <c r="C3153" t="s">
        <v>48</v>
      </c>
      <c r="D3153" t="s">
        <v>137</v>
      </c>
      <c r="E3153" t="s">
        <v>137</v>
      </c>
      <c r="F3153" s="122">
        <v>230</v>
      </c>
      <c r="G3153" s="122">
        <v>48234</v>
      </c>
      <c r="H3153" s="122">
        <v>12164</v>
      </c>
      <c r="I3153" s="122">
        <v>335296</v>
      </c>
      <c r="J3153" s="122">
        <v>124184</v>
      </c>
      <c r="K3153" s="122">
        <v>449</v>
      </c>
      <c r="L3153" s="122">
        <v>88844</v>
      </c>
      <c r="M3153" s="122">
        <v>71284</v>
      </c>
      <c r="N3153" s="122">
        <v>642487</v>
      </c>
      <c r="O3153" s="122">
        <v>237958</v>
      </c>
      <c r="P3153" s="122">
        <v>235009</v>
      </c>
      <c r="Q3153" s="122">
        <v>87040</v>
      </c>
      <c r="R3153" s="122">
        <v>1220282</v>
      </c>
      <c r="S3153" s="122">
        <v>451956</v>
      </c>
      <c r="T3153" s="122">
        <v>3077</v>
      </c>
      <c r="U3153" s="122">
        <v>1139</v>
      </c>
      <c r="V3153" s="122">
        <v>973562</v>
      </c>
      <c r="W3153" s="122">
        <f t="shared" si="100"/>
        <v>973561</v>
      </c>
      <c r="X3153" s="122">
        <f t="shared" si="101"/>
        <v>2524995</v>
      </c>
    </row>
    <row r="3154" spans="2:24">
      <c r="B3154" t="s">
        <v>386</v>
      </c>
      <c r="C3154" t="s">
        <v>48</v>
      </c>
      <c r="D3154" t="s">
        <v>137</v>
      </c>
      <c r="E3154" t="s">
        <v>406</v>
      </c>
      <c r="F3154" s="122">
        <v>1</v>
      </c>
      <c r="G3154" s="122">
        <v>172</v>
      </c>
      <c r="H3154" s="122">
        <v>55</v>
      </c>
      <c r="I3154" s="122">
        <v>3553</v>
      </c>
      <c r="J3154" s="122">
        <v>1316</v>
      </c>
      <c r="K3154" s="122">
        <v>396</v>
      </c>
      <c r="L3154" s="122">
        <v>2362</v>
      </c>
      <c r="M3154" s="122">
        <v>1969</v>
      </c>
      <c r="N3154" s="122">
        <v>2098</v>
      </c>
      <c r="O3154" s="122">
        <v>777</v>
      </c>
      <c r="P3154" s="122">
        <v>351</v>
      </c>
      <c r="Q3154" s="122">
        <v>130</v>
      </c>
      <c r="R3154" s="122">
        <v>1042</v>
      </c>
      <c r="S3154" s="122">
        <v>948</v>
      </c>
      <c r="T3154" s="122">
        <v>0</v>
      </c>
      <c r="U3154" s="122">
        <v>0</v>
      </c>
      <c r="V3154" s="122">
        <v>5139</v>
      </c>
      <c r="W3154" s="122">
        <f t="shared" si="100"/>
        <v>5140</v>
      </c>
      <c r="X3154" s="122">
        <f t="shared" si="101"/>
        <v>9406</v>
      </c>
    </row>
    <row r="3155" spans="2:24">
      <c r="B3155" t="s">
        <v>386</v>
      </c>
      <c r="C3155" t="s">
        <v>48</v>
      </c>
      <c r="D3155" t="s">
        <v>406</v>
      </c>
      <c r="E3155" t="s">
        <v>137</v>
      </c>
      <c r="F3155" s="122">
        <v>7</v>
      </c>
      <c r="G3155" s="122">
        <v>1687</v>
      </c>
      <c r="H3155" s="122">
        <v>380</v>
      </c>
      <c r="I3155" s="122">
        <v>25717</v>
      </c>
      <c r="J3155" s="122">
        <v>23379</v>
      </c>
      <c r="K3155" s="122">
        <v>95</v>
      </c>
      <c r="L3155" s="122">
        <v>3830</v>
      </c>
      <c r="M3155" s="122">
        <v>3453</v>
      </c>
      <c r="N3155" s="122">
        <v>20634</v>
      </c>
      <c r="O3155" s="122">
        <v>7642</v>
      </c>
      <c r="P3155" s="122">
        <v>10908</v>
      </c>
      <c r="Q3155" s="122">
        <v>4040</v>
      </c>
      <c r="R3155" s="122">
        <v>29264</v>
      </c>
      <c r="S3155" s="122">
        <v>10838</v>
      </c>
      <c r="T3155" s="122">
        <v>0</v>
      </c>
      <c r="U3155" s="122">
        <v>0</v>
      </c>
      <c r="V3155" s="122">
        <v>49352</v>
      </c>
      <c r="W3155" s="122">
        <f t="shared" si="100"/>
        <v>49352</v>
      </c>
      <c r="X3155" s="122">
        <f t="shared" si="101"/>
        <v>90353</v>
      </c>
    </row>
    <row r="3156" spans="2:24">
      <c r="B3156" t="s">
        <v>386</v>
      </c>
      <c r="C3156" t="s">
        <v>48</v>
      </c>
      <c r="D3156" t="s">
        <v>406</v>
      </c>
      <c r="E3156" t="s">
        <v>406</v>
      </c>
      <c r="F3156" s="122">
        <v>161</v>
      </c>
      <c r="G3156" s="122">
        <v>28240</v>
      </c>
      <c r="H3156" s="122">
        <v>9411</v>
      </c>
      <c r="I3156" s="122">
        <v>469295</v>
      </c>
      <c r="J3156" s="122">
        <v>426632</v>
      </c>
      <c r="K3156" s="122">
        <v>95</v>
      </c>
      <c r="L3156" s="122">
        <v>61105</v>
      </c>
      <c r="M3156" s="122">
        <v>55093</v>
      </c>
      <c r="N3156" s="122">
        <v>356851</v>
      </c>
      <c r="O3156" s="122">
        <v>132167</v>
      </c>
      <c r="P3156" s="122">
        <v>152913</v>
      </c>
      <c r="Q3156" s="122">
        <v>56635</v>
      </c>
      <c r="R3156" s="122">
        <v>602028</v>
      </c>
      <c r="S3156" s="122">
        <v>547298</v>
      </c>
      <c r="T3156" s="122">
        <v>11332</v>
      </c>
      <c r="U3156" s="122">
        <v>4197</v>
      </c>
      <c r="V3156" s="122">
        <v>1222021</v>
      </c>
      <c r="W3156" s="122">
        <f t="shared" si="100"/>
        <v>1222022</v>
      </c>
      <c r="X3156" s="122">
        <f t="shared" si="101"/>
        <v>1653524</v>
      </c>
    </row>
    <row r="3157" spans="2:24">
      <c r="B3157" t="s">
        <v>386</v>
      </c>
      <c r="C3157" t="s">
        <v>48</v>
      </c>
      <c r="D3157" t="s">
        <v>406</v>
      </c>
      <c r="E3157" t="s">
        <v>433</v>
      </c>
      <c r="F3157" s="122">
        <v>1</v>
      </c>
      <c r="G3157" s="122">
        <v>240</v>
      </c>
      <c r="H3157" s="122">
        <v>55</v>
      </c>
      <c r="I3157" s="122">
        <v>3279</v>
      </c>
      <c r="J3157" s="122">
        <v>2981</v>
      </c>
      <c r="K3157" s="122">
        <v>97</v>
      </c>
      <c r="L3157" s="122">
        <v>0</v>
      </c>
      <c r="M3157" s="122">
        <v>508</v>
      </c>
      <c r="N3157" s="122">
        <v>2918</v>
      </c>
      <c r="O3157" s="122">
        <v>1081</v>
      </c>
      <c r="P3157" s="122">
        <v>621</v>
      </c>
      <c r="Q3157" s="122">
        <v>230</v>
      </c>
      <c r="R3157" s="122">
        <v>6255</v>
      </c>
      <c r="S3157" s="122">
        <v>5686</v>
      </c>
      <c r="T3157" s="122">
        <v>0</v>
      </c>
      <c r="U3157" s="122">
        <v>0</v>
      </c>
      <c r="V3157" s="122">
        <v>10487</v>
      </c>
      <c r="W3157" s="122">
        <f t="shared" si="100"/>
        <v>10486</v>
      </c>
      <c r="X3157" s="122">
        <f t="shared" si="101"/>
        <v>13073</v>
      </c>
    </row>
    <row r="3158" spans="2:24">
      <c r="B3158" t="s">
        <v>386</v>
      </c>
      <c r="C3158" t="s">
        <v>48</v>
      </c>
      <c r="D3158" t="s">
        <v>408</v>
      </c>
      <c r="E3158" t="s">
        <v>408</v>
      </c>
      <c r="F3158" s="122">
        <v>2</v>
      </c>
      <c r="G3158" s="122">
        <v>480</v>
      </c>
      <c r="H3158" s="122">
        <v>139</v>
      </c>
      <c r="I3158" s="122">
        <v>16604</v>
      </c>
      <c r="J3158" s="122">
        <v>15095</v>
      </c>
      <c r="K3158" s="122">
        <v>91</v>
      </c>
      <c r="L3158" s="122">
        <v>645</v>
      </c>
      <c r="M3158" s="122">
        <v>586</v>
      </c>
      <c r="N3158" s="122">
        <v>5842</v>
      </c>
      <c r="O3158" s="122">
        <v>2164</v>
      </c>
      <c r="P3158" s="122">
        <v>5301</v>
      </c>
      <c r="Q3158" s="122">
        <v>1963</v>
      </c>
      <c r="R3158" s="122">
        <v>5648</v>
      </c>
      <c r="S3158" s="122">
        <v>5135</v>
      </c>
      <c r="T3158" s="122">
        <v>0</v>
      </c>
      <c r="U3158" s="122">
        <v>0</v>
      </c>
      <c r="V3158" s="122">
        <v>24943</v>
      </c>
      <c r="W3158" s="122">
        <f t="shared" si="100"/>
        <v>24943</v>
      </c>
      <c r="X3158" s="122">
        <f t="shared" si="101"/>
        <v>34040</v>
      </c>
    </row>
    <row r="3159" spans="2:24">
      <c r="B3159" t="s">
        <v>386</v>
      </c>
      <c r="C3159" t="s">
        <v>50</v>
      </c>
      <c r="D3159" t="s">
        <v>405</v>
      </c>
      <c r="E3159" t="s">
        <v>405</v>
      </c>
      <c r="F3159" s="122">
        <v>7</v>
      </c>
      <c r="G3159" s="122">
        <v>1818</v>
      </c>
      <c r="H3159" s="122">
        <v>610</v>
      </c>
      <c r="I3159" s="122">
        <v>97739</v>
      </c>
      <c r="J3159" s="122">
        <v>88854</v>
      </c>
      <c r="K3159" s="122">
        <v>93</v>
      </c>
      <c r="L3159" s="122">
        <v>14602</v>
      </c>
      <c r="M3159" s="122">
        <v>12129</v>
      </c>
      <c r="N3159" s="122">
        <v>33762</v>
      </c>
      <c r="O3159" s="122">
        <v>12504</v>
      </c>
      <c r="P3159" s="122">
        <v>5392</v>
      </c>
      <c r="Q3159" s="122">
        <v>1997</v>
      </c>
      <c r="R3159" s="122">
        <v>30744</v>
      </c>
      <c r="S3159" s="122">
        <v>27949</v>
      </c>
      <c r="T3159" s="122">
        <v>0</v>
      </c>
      <c r="U3159" s="122">
        <v>0</v>
      </c>
      <c r="V3159" s="122">
        <v>143433</v>
      </c>
      <c r="W3159" s="122">
        <f t="shared" si="100"/>
        <v>143433</v>
      </c>
      <c r="X3159" s="122">
        <f t="shared" si="101"/>
        <v>182239</v>
      </c>
    </row>
    <row r="3160" spans="2:24">
      <c r="B3160" t="s">
        <v>386</v>
      </c>
      <c r="C3160" t="s">
        <v>50</v>
      </c>
      <c r="D3160" t="s">
        <v>137</v>
      </c>
      <c r="E3160" t="s">
        <v>137</v>
      </c>
      <c r="F3160" s="122">
        <v>32</v>
      </c>
      <c r="G3160" s="122">
        <v>6951</v>
      </c>
      <c r="H3160" s="122">
        <v>2796</v>
      </c>
      <c r="I3160" s="122">
        <v>236333</v>
      </c>
      <c r="J3160" s="122">
        <v>87531</v>
      </c>
      <c r="K3160" s="122">
        <v>399</v>
      </c>
      <c r="L3160" s="122">
        <v>67661</v>
      </c>
      <c r="M3160" s="122">
        <v>67981</v>
      </c>
      <c r="N3160" s="122">
        <v>113554</v>
      </c>
      <c r="O3160" s="122">
        <v>42057</v>
      </c>
      <c r="P3160" s="122">
        <v>27486</v>
      </c>
      <c r="Q3160" s="122">
        <v>10180</v>
      </c>
      <c r="R3160" s="122">
        <v>183390</v>
      </c>
      <c r="S3160" s="122">
        <v>67922</v>
      </c>
      <c r="T3160" s="122">
        <v>0</v>
      </c>
      <c r="U3160" s="122">
        <v>0</v>
      </c>
      <c r="V3160" s="122">
        <v>275671</v>
      </c>
      <c r="W3160" s="122">
        <f t="shared" si="100"/>
        <v>275671</v>
      </c>
      <c r="X3160" s="122">
        <f t="shared" si="101"/>
        <v>628424</v>
      </c>
    </row>
    <row r="3161" spans="2:24">
      <c r="B3161" t="s">
        <v>386</v>
      </c>
      <c r="C3161" t="s">
        <v>50</v>
      </c>
      <c r="D3161" t="s">
        <v>137</v>
      </c>
      <c r="E3161" t="s">
        <v>406</v>
      </c>
      <c r="F3161" s="122">
        <v>1</v>
      </c>
      <c r="G3161" s="122">
        <v>234</v>
      </c>
      <c r="H3161" s="122">
        <v>96</v>
      </c>
      <c r="I3161" s="122">
        <v>6863</v>
      </c>
      <c r="J3161" s="122">
        <v>2542</v>
      </c>
      <c r="K3161" s="122">
        <v>320</v>
      </c>
      <c r="L3161" s="122">
        <v>1657</v>
      </c>
      <c r="M3161" s="122">
        <v>1506</v>
      </c>
      <c r="N3161" s="122">
        <v>4307</v>
      </c>
      <c r="O3161" s="122">
        <v>1595</v>
      </c>
      <c r="P3161" s="122">
        <v>351</v>
      </c>
      <c r="Q3161" s="122">
        <v>130</v>
      </c>
      <c r="R3161" s="122">
        <v>9244</v>
      </c>
      <c r="S3161" s="122">
        <v>8403</v>
      </c>
      <c r="T3161" s="122">
        <v>0</v>
      </c>
      <c r="U3161" s="122">
        <v>0</v>
      </c>
      <c r="V3161" s="122">
        <v>14177</v>
      </c>
      <c r="W3161" s="122">
        <f t="shared" si="100"/>
        <v>14176</v>
      </c>
      <c r="X3161" s="122">
        <f t="shared" si="101"/>
        <v>22422</v>
      </c>
    </row>
    <row r="3162" spans="2:24">
      <c r="B3162" t="s">
        <v>386</v>
      </c>
      <c r="C3162" t="s">
        <v>50</v>
      </c>
      <c r="D3162" t="s">
        <v>406</v>
      </c>
      <c r="E3162" t="s">
        <v>137</v>
      </c>
      <c r="F3162" s="122">
        <v>1</v>
      </c>
      <c r="G3162" s="122">
        <v>163</v>
      </c>
      <c r="H3162" s="122">
        <v>80</v>
      </c>
      <c r="I3162" s="122">
        <v>2575</v>
      </c>
      <c r="J3162" s="122">
        <v>2341</v>
      </c>
      <c r="K3162" s="122">
        <v>86</v>
      </c>
      <c r="L3162" s="122">
        <v>310</v>
      </c>
      <c r="M3162" s="122">
        <v>282</v>
      </c>
      <c r="N3162" s="122">
        <v>2358</v>
      </c>
      <c r="O3162" s="122">
        <v>873</v>
      </c>
      <c r="P3162" s="122">
        <v>621</v>
      </c>
      <c r="Q3162" s="122">
        <v>230</v>
      </c>
      <c r="R3162" s="122">
        <v>7133</v>
      </c>
      <c r="S3162" s="122">
        <v>2642</v>
      </c>
      <c r="T3162" s="122">
        <v>0</v>
      </c>
      <c r="U3162" s="122">
        <v>0</v>
      </c>
      <c r="V3162" s="122">
        <v>6368</v>
      </c>
      <c r="W3162" s="122">
        <f t="shared" si="100"/>
        <v>6368</v>
      </c>
      <c r="X3162" s="122">
        <f t="shared" si="101"/>
        <v>12997</v>
      </c>
    </row>
    <row r="3163" spans="2:24">
      <c r="B3163" t="s">
        <v>386</v>
      </c>
      <c r="C3163" t="s">
        <v>50</v>
      </c>
      <c r="D3163" t="s">
        <v>406</v>
      </c>
      <c r="E3163" t="s">
        <v>406</v>
      </c>
      <c r="F3163" s="122">
        <v>78</v>
      </c>
      <c r="G3163" s="122">
        <v>16505</v>
      </c>
      <c r="H3163" s="122">
        <v>7163</v>
      </c>
      <c r="I3163" s="122">
        <v>801591</v>
      </c>
      <c r="J3163" s="122">
        <v>728719</v>
      </c>
      <c r="K3163" s="122">
        <v>93</v>
      </c>
      <c r="L3163" s="122">
        <v>133143</v>
      </c>
      <c r="M3163" s="122">
        <v>120181</v>
      </c>
      <c r="N3163" s="122">
        <v>250815</v>
      </c>
      <c r="O3163" s="122">
        <v>92895</v>
      </c>
      <c r="P3163" s="122">
        <v>65396</v>
      </c>
      <c r="Q3163" s="122">
        <v>24221</v>
      </c>
      <c r="R3163" s="122">
        <v>327970</v>
      </c>
      <c r="S3163" s="122">
        <v>298154</v>
      </c>
      <c r="T3163" s="122">
        <v>7817</v>
      </c>
      <c r="U3163" s="122">
        <v>2895</v>
      </c>
      <c r="V3163" s="122">
        <v>1267064</v>
      </c>
      <c r="W3163" s="122">
        <f t="shared" si="100"/>
        <v>1267065</v>
      </c>
      <c r="X3163" s="122">
        <f t="shared" si="101"/>
        <v>1586732</v>
      </c>
    </row>
    <row r="3164" spans="2:24">
      <c r="B3164" t="s">
        <v>386</v>
      </c>
      <c r="C3164" t="s">
        <v>50</v>
      </c>
      <c r="D3164" t="s">
        <v>406</v>
      </c>
      <c r="E3164" t="s">
        <v>427</v>
      </c>
      <c r="F3164" s="122">
        <v>1</v>
      </c>
      <c r="G3164" s="122">
        <v>138</v>
      </c>
      <c r="H3164" s="122">
        <v>97</v>
      </c>
      <c r="I3164" s="122">
        <v>7695</v>
      </c>
      <c r="J3164" s="122">
        <v>6995</v>
      </c>
      <c r="K3164" s="122">
        <v>93</v>
      </c>
      <c r="L3164" s="122">
        <v>0</v>
      </c>
      <c r="M3164" s="122">
        <v>0</v>
      </c>
      <c r="N3164" s="122">
        <v>1681</v>
      </c>
      <c r="O3164" s="122">
        <v>623</v>
      </c>
      <c r="P3164" s="122">
        <v>1848</v>
      </c>
      <c r="Q3164" s="122">
        <v>685</v>
      </c>
      <c r="R3164" s="122">
        <v>2168</v>
      </c>
      <c r="S3164" s="122">
        <v>1971</v>
      </c>
      <c r="T3164" s="122">
        <v>0</v>
      </c>
      <c r="U3164" s="122">
        <v>0</v>
      </c>
      <c r="V3164" s="122">
        <v>10273</v>
      </c>
      <c r="W3164" s="122">
        <f t="shared" si="100"/>
        <v>10274</v>
      </c>
      <c r="X3164" s="122">
        <f t="shared" si="101"/>
        <v>13392</v>
      </c>
    </row>
    <row r="3165" spans="2:24">
      <c r="B3165" t="s">
        <v>386</v>
      </c>
      <c r="C3165" t="s">
        <v>50</v>
      </c>
      <c r="D3165" t="s">
        <v>433</v>
      </c>
      <c r="E3165" t="s">
        <v>433</v>
      </c>
      <c r="F3165" s="122">
        <v>1</v>
      </c>
      <c r="G3165" s="122">
        <v>289</v>
      </c>
      <c r="H3165" s="122">
        <v>88</v>
      </c>
      <c r="I3165" s="122">
        <v>9779</v>
      </c>
      <c r="J3165" s="122">
        <v>8890</v>
      </c>
      <c r="K3165" s="122">
        <v>65</v>
      </c>
      <c r="L3165" s="122">
        <v>0</v>
      </c>
      <c r="M3165" s="122">
        <v>0</v>
      </c>
      <c r="N3165" s="122">
        <v>3527</v>
      </c>
      <c r="O3165" s="122">
        <v>1306</v>
      </c>
      <c r="P3165" s="122">
        <v>3206</v>
      </c>
      <c r="Q3165" s="122">
        <v>1187</v>
      </c>
      <c r="R3165" s="122">
        <v>9098</v>
      </c>
      <c r="S3165" s="122">
        <v>8271</v>
      </c>
      <c r="T3165" s="122">
        <v>0</v>
      </c>
      <c r="U3165" s="122">
        <v>0</v>
      </c>
      <c r="V3165" s="122">
        <v>19654</v>
      </c>
      <c r="W3165" s="122">
        <f t="shared" si="100"/>
        <v>19654</v>
      </c>
      <c r="X3165" s="122">
        <f t="shared" si="101"/>
        <v>25610</v>
      </c>
    </row>
    <row r="3166" spans="2:24">
      <c r="B3166" t="s">
        <v>386</v>
      </c>
      <c r="C3166" t="s">
        <v>50</v>
      </c>
      <c r="D3166" t="s">
        <v>408</v>
      </c>
      <c r="E3166" t="s">
        <v>408</v>
      </c>
      <c r="F3166" s="122">
        <v>2</v>
      </c>
      <c r="G3166" s="122">
        <v>630</v>
      </c>
      <c r="H3166" s="122">
        <v>194</v>
      </c>
      <c r="I3166" s="122">
        <v>35239</v>
      </c>
      <c r="J3166" s="122">
        <v>32035</v>
      </c>
      <c r="K3166" s="122">
        <v>91</v>
      </c>
      <c r="L3166" s="122">
        <v>5528</v>
      </c>
      <c r="M3166" s="122">
        <v>5025</v>
      </c>
      <c r="N3166" s="122">
        <v>11328</v>
      </c>
      <c r="O3166" s="122">
        <v>4196</v>
      </c>
      <c r="P3166" s="122">
        <v>702</v>
      </c>
      <c r="Q3166" s="122">
        <v>260</v>
      </c>
      <c r="R3166" s="122">
        <v>8612</v>
      </c>
      <c r="S3166" s="122">
        <v>7830</v>
      </c>
      <c r="T3166" s="122">
        <v>0</v>
      </c>
      <c r="U3166" s="122">
        <v>0</v>
      </c>
      <c r="V3166" s="122">
        <v>49345</v>
      </c>
      <c r="W3166" s="122">
        <f t="shared" si="100"/>
        <v>49346</v>
      </c>
      <c r="X3166" s="122">
        <f t="shared" si="101"/>
        <v>61409</v>
      </c>
    </row>
    <row r="3167" spans="2:24">
      <c r="B3167" t="s">
        <v>386</v>
      </c>
      <c r="C3167" t="s">
        <v>52</v>
      </c>
      <c r="D3167" t="s">
        <v>405</v>
      </c>
      <c r="E3167" t="s">
        <v>425</v>
      </c>
      <c r="F3167" s="122">
        <v>1</v>
      </c>
      <c r="G3167" s="122">
        <v>271</v>
      </c>
      <c r="H3167" s="122">
        <v>119</v>
      </c>
      <c r="I3167" s="122">
        <v>18933</v>
      </c>
      <c r="J3167" s="122">
        <v>17212</v>
      </c>
      <c r="K3167" s="122">
        <v>91</v>
      </c>
      <c r="L3167" s="122">
        <v>3201</v>
      </c>
      <c r="M3167" s="122">
        <v>2910</v>
      </c>
      <c r="N3167" s="122">
        <v>3494</v>
      </c>
      <c r="O3167" s="122">
        <v>1294</v>
      </c>
      <c r="P3167" s="122">
        <v>473</v>
      </c>
      <c r="Q3167" s="122">
        <v>175</v>
      </c>
      <c r="R3167" s="122">
        <v>6134</v>
      </c>
      <c r="S3167" s="122">
        <v>5577</v>
      </c>
      <c r="T3167" s="122">
        <v>0</v>
      </c>
      <c r="U3167" s="122">
        <v>0</v>
      </c>
      <c r="V3167" s="122">
        <v>27168</v>
      </c>
      <c r="W3167" s="122">
        <f t="shared" si="100"/>
        <v>27168</v>
      </c>
      <c r="X3167" s="122">
        <f t="shared" si="101"/>
        <v>32235</v>
      </c>
    </row>
    <row r="3168" spans="2:24">
      <c r="B3168" t="s">
        <v>386</v>
      </c>
      <c r="C3168" t="s">
        <v>52</v>
      </c>
      <c r="D3168" t="s">
        <v>405</v>
      </c>
      <c r="E3168" t="s">
        <v>405</v>
      </c>
      <c r="F3168" s="122">
        <v>17</v>
      </c>
      <c r="G3168" s="122">
        <v>3872</v>
      </c>
      <c r="H3168" s="122">
        <v>2017</v>
      </c>
      <c r="I3168" s="122">
        <v>262868</v>
      </c>
      <c r="J3168" s="122">
        <v>238971</v>
      </c>
      <c r="K3168" s="122">
        <v>91</v>
      </c>
      <c r="L3168" s="122">
        <v>39591</v>
      </c>
      <c r="M3168" s="122">
        <v>35992</v>
      </c>
      <c r="N3168" s="122">
        <v>72166</v>
      </c>
      <c r="O3168" s="122">
        <v>26728</v>
      </c>
      <c r="P3168" s="122">
        <v>9673</v>
      </c>
      <c r="Q3168" s="122">
        <v>3583</v>
      </c>
      <c r="R3168" s="122">
        <v>89625</v>
      </c>
      <c r="S3168" s="122">
        <v>81477</v>
      </c>
      <c r="T3168" s="122">
        <v>1225</v>
      </c>
      <c r="U3168" s="122">
        <v>454</v>
      </c>
      <c r="V3168" s="122">
        <v>387205</v>
      </c>
      <c r="W3168" s="122">
        <f t="shared" si="100"/>
        <v>387205</v>
      </c>
      <c r="X3168" s="122">
        <f t="shared" si="101"/>
        <v>475148</v>
      </c>
    </row>
    <row r="3169" spans="2:24">
      <c r="B3169" t="s">
        <v>386</v>
      </c>
      <c r="C3169" t="s">
        <v>52</v>
      </c>
      <c r="D3169" t="s">
        <v>137</v>
      </c>
      <c r="E3169" t="s">
        <v>137</v>
      </c>
      <c r="F3169" s="122">
        <v>37</v>
      </c>
      <c r="G3169" s="122">
        <v>8470</v>
      </c>
      <c r="H3169" s="122">
        <v>4197</v>
      </c>
      <c r="I3169" s="122">
        <v>489782</v>
      </c>
      <c r="J3169" s="122">
        <v>181401</v>
      </c>
      <c r="K3169" s="122">
        <v>305</v>
      </c>
      <c r="L3169" s="122">
        <v>108378</v>
      </c>
      <c r="M3169" s="122">
        <v>88997</v>
      </c>
      <c r="N3169" s="122">
        <v>155435</v>
      </c>
      <c r="O3169" s="122">
        <v>57568</v>
      </c>
      <c r="P3169" s="122">
        <v>27063</v>
      </c>
      <c r="Q3169" s="122">
        <v>10023</v>
      </c>
      <c r="R3169" s="122">
        <v>256532</v>
      </c>
      <c r="S3169" s="122">
        <v>95012</v>
      </c>
      <c r="T3169" s="122">
        <v>4022</v>
      </c>
      <c r="U3169" s="122">
        <v>1489</v>
      </c>
      <c r="V3169" s="122">
        <v>434491</v>
      </c>
      <c r="W3169" s="122">
        <f t="shared" si="100"/>
        <v>434490</v>
      </c>
      <c r="X3169" s="122">
        <f t="shared" si="101"/>
        <v>1041212</v>
      </c>
    </row>
    <row r="3170" spans="2:24">
      <c r="B3170" t="s">
        <v>386</v>
      </c>
      <c r="C3170" t="s">
        <v>52</v>
      </c>
      <c r="D3170" t="s">
        <v>137</v>
      </c>
      <c r="E3170" t="s">
        <v>406</v>
      </c>
      <c r="F3170" s="122">
        <v>1</v>
      </c>
      <c r="G3170" s="122">
        <v>297</v>
      </c>
      <c r="H3170" s="122">
        <v>104</v>
      </c>
      <c r="I3170" s="122">
        <v>15173</v>
      </c>
      <c r="J3170" s="122">
        <v>5620</v>
      </c>
      <c r="K3170" s="122">
        <v>390</v>
      </c>
      <c r="L3170" s="122">
        <v>3128</v>
      </c>
      <c r="M3170" s="122">
        <v>2844</v>
      </c>
      <c r="N3170" s="122">
        <v>5575</v>
      </c>
      <c r="O3170" s="122">
        <v>2065</v>
      </c>
      <c r="P3170" s="122">
        <v>351</v>
      </c>
      <c r="Q3170" s="122">
        <v>130</v>
      </c>
      <c r="R3170" s="122">
        <v>6773</v>
      </c>
      <c r="S3170" s="122">
        <v>6157</v>
      </c>
      <c r="T3170" s="122">
        <v>0</v>
      </c>
      <c r="U3170" s="122">
        <v>0</v>
      </c>
      <c r="V3170" s="122">
        <v>16815</v>
      </c>
      <c r="W3170" s="122">
        <f t="shared" si="100"/>
        <v>16816</v>
      </c>
      <c r="X3170" s="122">
        <f t="shared" si="101"/>
        <v>31000</v>
      </c>
    </row>
    <row r="3171" spans="2:24">
      <c r="B3171" t="s">
        <v>386</v>
      </c>
      <c r="C3171" t="s">
        <v>52</v>
      </c>
      <c r="D3171" t="s">
        <v>406</v>
      </c>
      <c r="E3171" t="s">
        <v>137</v>
      </c>
      <c r="F3171" s="122">
        <v>1</v>
      </c>
      <c r="G3171" s="122">
        <v>222</v>
      </c>
      <c r="H3171" s="122">
        <v>122</v>
      </c>
      <c r="I3171" s="122">
        <v>13386</v>
      </c>
      <c r="J3171" s="122">
        <v>12169</v>
      </c>
      <c r="K3171" s="122">
        <v>95</v>
      </c>
      <c r="L3171" s="122">
        <v>5138</v>
      </c>
      <c r="M3171" s="122">
        <v>4282</v>
      </c>
      <c r="N3171" s="122">
        <v>2703</v>
      </c>
      <c r="O3171" s="122">
        <v>1001</v>
      </c>
      <c r="P3171" s="122">
        <v>621</v>
      </c>
      <c r="Q3171" s="122">
        <v>230</v>
      </c>
      <c r="R3171" s="122">
        <v>5260</v>
      </c>
      <c r="S3171" s="122">
        <v>1948</v>
      </c>
      <c r="T3171" s="122">
        <v>0</v>
      </c>
      <c r="U3171" s="122">
        <v>0</v>
      </c>
      <c r="V3171" s="122">
        <v>19630</v>
      </c>
      <c r="W3171" s="122">
        <f t="shared" si="100"/>
        <v>19630</v>
      </c>
      <c r="X3171" s="122">
        <f t="shared" si="101"/>
        <v>27108</v>
      </c>
    </row>
    <row r="3172" spans="2:24">
      <c r="B3172" t="s">
        <v>386</v>
      </c>
      <c r="C3172" t="s">
        <v>52</v>
      </c>
      <c r="D3172" t="s">
        <v>406</v>
      </c>
      <c r="E3172" t="s">
        <v>406</v>
      </c>
      <c r="F3172" s="122">
        <v>288</v>
      </c>
      <c r="G3172" s="122">
        <v>64476</v>
      </c>
      <c r="H3172" s="122">
        <v>33793</v>
      </c>
      <c r="I3172" s="122">
        <v>4363889</v>
      </c>
      <c r="J3172" s="122">
        <v>3967172</v>
      </c>
      <c r="K3172" s="122">
        <v>93</v>
      </c>
      <c r="L3172" s="122">
        <v>798940</v>
      </c>
      <c r="M3172" s="122">
        <v>741582</v>
      </c>
      <c r="N3172" s="122">
        <v>1043712</v>
      </c>
      <c r="O3172" s="122">
        <v>386560</v>
      </c>
      <c r="P3172" s="122">
        <v>223730</v>
      </c>
      <c r="Q3172" s="122">
        <v>82863</v>
      </c>
      <c r="R3172" s="122">
        <v>1470494</v>
      </c>
      <c r="S3172" s="122">
        <v>1336813</v>
      </c>
      <c r="T3172" s="122">
        <v>65002</v>
      </c>
      <c r="U3172" s="122">
        <v>24075</v>
      </c>
      <c r="V3172" s="122">
        <v>6539064</v>
      </c>
      <c r="W3172" s="122">
        <f t="shared" si="100"/>
        <v>6539065</v>
      </c>
      <c r="X3172" s="122">
        <f t="shared" si="101"/>
        <v>7965767</v>
      </c>
    </row>
    <row r="3173" spans="2:24">
      <c r="B3173" t="s">
        <v>386</v>
      </c>
      <c r="C3173" t="s">
        <v>52</v>
      </c>
      <c r="D3173" t="s">
        <v>433</v>
      </c>
      <c r="E3173" t="s">
        <v>137</v>
      </c>
      <c r="F3173" s="122">
        <v>1</v>
      </c>
      <c r="G3173" s="122">
        <v>363</v>
      </c>
      <c r="H3173" s="122">
        <v>121</v>
      </c>
      <c r="I3173" s="122">
        <v>26937</v>
      </c>
      <c r="J3173" s="122">
        <v>24488</v>
      </c>
      <c r="K3173" s="122">
        <v>75</v>
      </c>
      <c r="L3173" s="122">
        <v>2993</v>
      </c>
      <c r="M3173" s="122">
        <v>2721</v>
      </c>
      <c r="N3173" s="122">
        <v>4423</v>
      </c>
      <c r="O3173" s="122">
        <v>1638</v>
      </c>
      <c r="P3173" s="122">
        <v>3204</v>
      </c>
      <c r="Q3173" s="122">
        <v>1187</v>
      </c>
      <c r="R3173" s="122">
        <v>6356</v>
      </c>
      <c r="S3173" s="122">
        <v>2354</v>
      </c>
      <c r="T3173" s="122">
        <v>0</v>
      </c>
      <c r="U3173" s="122">
        <v>0</v>
      </c>
      <c r="V3173" s="122">
        <v>32388</v>
      </c>
      <c r="W3173" s="122">
        <f t="shared" si="100"/>
        <v>32388</v>
      </c>
      <c r="X3173" s="122">
        <f t="shared" si="101"/>
        <v>43913</v>
      </c>
    </row>
    <row r="3174" spans="2:24">
      <c r="B3174" t="s">
        <v>386</v>
      </c>
      <c r="C3174" t="s">
        <v>52</v>
      </c>
      <c r="D3174" t="s">
        <v>408</v>
      </c>
      <c r="E3174" t="s">
        <v>408</v>
      </c>
      <c r="F3174" s="122">
        <v>1</v>
      </c>
      <c r="G3174" s="122">
        <v>67</v>
      </c>
      <c r="H3174" s="122">
        <v>120</v>
      </c>
      <c r="I3174" s="122">
        <v>7932</v>
      </c>
      <c r="J3174" s="122">
        <v>7211</v>
      </c>
      <c r="K3174" s="122">
        <v>65</v>
      </c>
      <c r="L3174" s="122">
        <v>0</v>
      </c>
      <c r="M3174" s="122">
        <v>0</v>
      </c>
      <c r="N3174" s="122">
        <v>1512</v>
      </c>
      <c r="O3174" s="122">
        <v>560</v>
      </c>
      <c r="P3174" s="122">
        <v>1289</v>
      </c>
      <c r="Q3174" s="122">
        <v>477</v>
      </c>
      <c r="R3174" s="122">
        <v>4159</v>
      </c>
      <c r="S3174" s="122">
        <v>3781</v>
      </c>
      <c r="T3174" s="122">
        <v>0</v>
      </c>
      <c r="U3174" s="122">
        <v>0</v>
      </c>
      <c r="V3174" s="122">
        <v>12029</v>
      </c>
      <c r="W3174" s="122">
        <f t="shared" si="100"/>
        <v>12029</v>
      </c>
      <c r="X3174" s="122">
        <f t="shared" si="101"/>
        <v>14892</v>
      </c>
    </row>
    <row r="3175" spans="2:24">
      <c r="B3175" t="s">
        <v>386</v>
      </c>
      <c r="C3175" t="s">
        <v>54</v>
      </c>
      <c r="D3175" t="s">
        <v>425</v>
      </c>
      <c r="E3175" t="s">
        <v>425</v>
      </c>
      <c r="F3175" s="122">
        <v>1</v>
      </c>
      <c r="G3175" s="122">
        <v>216</v>
      </c>
      <c r="H3175" s="122">
        <v>143</v>
      </c>
      <c r="I3175" s="122">
        <v>16634</v>
      </c>
      <c r="J3175" s="122">
        <v>15121</v>
      </c>
      <c r="K3175" s="122">
        <v>92</v>
      </c>
      <c r="L3175" s="122">
        <v>2837</v>
      </c>
      <c r="M3175" s="122">
        <v>2579</v>
      </c>
      <c r="N3175" s="122">
        <v>5273</v>
      </c>
      <c r="O3175" s="122">
        <v>1953</v>
      </c>
      <c r="P3175" s="122">
        <v>473</v>
      </c>
      <c r="Q3175" s="122">
        <v>175</v>
      </c>
      <c r="R3175" s="122">
        <v>5646</v>
      </c>
      <c r="S3175" s="122">
        <v>5133</v>
      </c>
      <c r="T3175" s="122">
        <v>0</v>
      </c>
      <c r="U3175" s="122">
        <v>0</v>
      </c>
      <c r="V3175" s="122">
        <v>24961</v>
      </c>
      <c r="W3175" s="122">
        <f t="shared" si="100"/>
        <v>24961</v>
      </c>
      <c r="X3175" s="122">
        <f t="shared" si="101"/>
        <v>30863</v>
      </c>
    </row>
    <row r="3176" spans="2:24">
      <c r="B3176" t="s">
        <v>386</v>
      </c>
      <c r="C3176" t="s">
        <v>54</v>
      </c>
      <c r="D3176" t="s">
        <v>405</v>
      </c>
      <c r="E3176" t="s">
        <v>405</v>
      </c>
      <c r="F3176" s="122">
        <v>31</v>
      </c>
      <c r="G3176" s="122">
        <v>5760</v>
      </c>
      <c r="H3176" s="122">
        <v>4320</v>
      </c>
      <c r="I3176" s="122">
        <v>479900</v>
      </c>
      <c r="J3176" s="122">
        <v>436273</v>
      </c>
      <c r="K3176" s="122">
        <v>91</v>
      </c>
      <c r="L3176" s="122">
        <v>82736</v>
      </c>
      <c r="M3176" s="122">
        <v>75135</v>
      </c>
      <c r="N3176" s="122">
        <v>110179</v>
      </c>
      <c r="O3176" s="122">
        <v>40807</v>
      </c>
      <c r="P3176" s="122">
        <v>14621</v>
      </c>
      <c r="Q3176" s="122">
        <v>5415</v>
      </c>
      <c r="R3176" s="122">
        <v>162571</v>
      </c>
      <c r="S3176" s="122">
        <v>147792</v>
      </c>
      <c r="T3176" s="122">
        <v>0</v>
      </c>
      <c r="U3176" s="122">
        <v>0</v>
      </c>
      <c r="V3176" s="122">
        <v>705421</v>
      </c>
      <c r="W3176" s="122">
        <f t="shared" si="100"/>
        <v>705422</v>
      </c>
      <c r="X3176" s="122">
        <f t="shared" si="101"/>
        <v>850007</v>
      </c>
    </row>
    <row r="3177" spans="2:24">
      <c r="B3177" t="s">
        <v>386</v>
      </c>
      <c r="C3177" t="s">
        <v>54</v>
      </c>
      <c r="D3177" t="s">
        <v>137</v>
      </c>
      <c r="E3177" t="s">
        <v>137</v>
      </c>
      <c r="F3177" s="122">
        <v>37</v>
      </c>
      <c r="G3177" s="122">
        <v>7729</v>
      </c>
      <c r="H3177" s="122">
        <v>5151</v>
      </c>
      <c r="I3177" s="122">
        <v>533719</v>
      </c>
      <c r="J3177" s="122">
        <v>197674</v>
      </c>
      <c r="K3177" s="122">
        <v>314</v>
      </c>
      <c r="L3177" s="122">
        <v>138833</v>
      </c>
      <c r="M3177" s="122">
        <v>123874</v>
      </c>
      <c r="N3177" s="122">
        <v>146000</v>
      </c>
      <c r="O3177" s="122">
        <v>54074</v>
      </c>
      <c r="P3177" s="122">
        <v>35511</v>
      </c>
      <c r="Q3177" s="122">
        <v>13152</v>
      </c>
      <c r="R3177" s="122">
        <v>284146</v>
      </c>
      <c r="S3177" s="122">
        <v>105239</v>
      </c>
      <c r="T3177" s="122">
        <v>4052</v>
      </c>
      <c r="U3177" s="122">
        <v>1501</v>
      </c>
      <c r="V3177" s="122">
        <v>495513</v>
      </c>
      <c r="W3177" s="122">
        <f t="shared" si="100"/>
        <v>495514</v>
      </c>
      <c r="X3177" s="122">
        <f t="shared" si="101"/>
        <v>1142261</v>
      </c>
    </row>
    <row r="3178" spans="2:24">
      <c r="B3178" t="s">
        <v>386</v>
      </c>
      <c r="C3178" t="s">
        <v>54</v>
      </c>
      <c r="D3178" t="s">
        <v>406</v>
      </c>
      <c r="E3178" t="s">
        <v>137</v>
      </c>
      <c r="F3178" s="122">
        <v>3</v>
      </c>
      <c r="G3178" s="122">
        <v>535</v>
      </c>
      <c r="H3178" s="122">
        <v>414</v>
      </c>
      <c r="I3178" s="122">
        <v>49441</v>
      </c>
      <c r="J3178" s="122">
        <v>44947</v>
      </c>
      <c r="K3178" s="122">
        <v>89</v>
      </c>
      <c r="L3178" s="122">
        <v>9597</v>
      </c>
      <c r="M3178" s="122">
        <v>8725</v>
      </c>
      <c r="N3178" s="122">
        <v>10591</v>
      </c>
      <c r="O3178" s="122">
        <v>3922</v>
      </c>
      <c r="P3178" s="122">
        <v>1512</v>
      </c>
      <c r="Q3178" s="122">
        <v>560</v>
      </c>
      <c r="R3178" s="122">
        <v>15883</v>
      </c>
      <c r="S3178" s="122">
        <v>5882</v>
      </c>
      <c r="T3178" s="122">
        <v>0</v>
      </c>
      <c r="U3178" s="122">
        <v>0</v>
      </c>
      <c r="V3178" s="122">
        <v>64036</v>
      </c>
      <c r="W3178" s="122">
        <f t="shared" si="100"/>
        <v>64036</v>
      </c>
      <c r="X3178" s="122">
        <f t="shared" si="101"/>
        <v>87024</v>
      </c>
    </row>
    <row r="3179" spans="2:24">
      <c r="B3179" t="s">
        <v>386</v>
      </c>
      <c r="C3179" t="s">
        <v>54</v>
      </c>
      <c r="D3179" t="s">
        <v>406</v>
      </c>
      <c r="E3179" t="s">
        <v>406</v>
      </c>
      <c r="F3179" s="122">
        <v>859</v>
      </c>
      <c r="G3179" s="122">
        <v>174010</v>
      </c>
      <c r="H3179" s="122">
        <v>120476</v>
      </c>
      <c r="I3179" s="122">
        <v>14277711</v>
      </c>
      <c r="J3179" s="122">
        <v>12979737</v>
      </c>
      <c r="K3179" s="122">
        <v>90</v>
      </c>
      <c r="L3179" s="122">
        <v>2846122</v>
      </c>
      <c r="M3179" s="122">
        <v>2584270</v>
      </c>
      <c r="N3179" s="122">
        <v>3229810</v>
      </c>
      <c r="O3179" s="122">
        <v>1196226</v>
      </c>
      <c r="P3179" s="122">
        <v>607533</v>
      </c>
      <c r="Q3179" s="122">
        <v>225012</v>
      </c>
      <c r="R3179" s="122">
        <v>4598923</v>
      </c>
      <c r="S3179" s="122">
        <v>4180839</v>
      </c>
      <c r="T3179" s="122">
        <v>448386</v>
      </c>
      <c r="U3179" s="122">
        <v>166069</v>
      </c>
      <c r="V3179" s="122">
        <v>21332154</v>
      </c>
      <c r="W3179" s="122">
        <f t="shared" si="100"/>
        <v>21332153</v>
      </c>
      <c r="X3179" s="122">
        <f t="shared" si="101"/>
        <v>26008485</v>
      </c>
    </row>
    <row r="3180" spans="2:24">
      <c r="B3180" t="s">
        <v>386</v>
      </c>
      <c r="C3180" t="s">
        <v>54</v>
      </c>
      <c r="D3180" t="s">
        <v>407</v>
      </c>
      <c r="E3180" t="s">
        <v>407</v>
      </c>
      <c r="F3180" s="122">
        <v>7</v>
      </c>
      <c r="G3180" s="122">
        <v>1451</v>
      </c>
      <c r="H3180" s="122">
        <v>999</v>
      </c>
      <c r="I3180" s="122">
        <v>130252</v>
      </c>
      <c r="J3180" s="122">
        <v>118411</v>
      </c>
      <c r="K3180" s="122">
        <v>87</v>
      </c>
      <c r="L3180" s="122">
        <v>18168</v>
      </c>
      <c r="M3180" s="122">
        <v>15637</v>
      </c>
      <c r="N3180" s="122">
        <v>32414</v>
      </c>
      <c r="O3180" s="122">
        <v>12005</v>
      </c>
      <c r="P3180" s="122">
        <v>4010</v>
      </c>
      <c r="Q3180" s="122">
        <v>1485</v>
      </c>
      <c r="R3180" s="122">
        <v>33721</v>
      </c>
      <c r="S3180" s="122">
        <v>30656</v>
      </c>
      <c r="T3180" s="122">
        <v>0</v>
      </c>
      <c r="U3180" s="122">
        <v>0</v>
      </c>
      <c r="V3180" s="122">
        <v>178193</v>
      </c>
      <c r="W3180" s="122">
        <f t="shared" ref="W3180:W3243" si="102">SUM(ABS(J3180),ABS(M3180),ABS(O3180),ABS(Q3180),ABS(S3180),ABS(U3180))</f>
        <v>178194</v>
      </c>
      <c r="X3180" s="122">
        <f t="shared" ref="X3180:X3243" si="103">SUM(ABS(I3180),ABS(N3180),ABS(P3180),ABS(R3180),ABS(T3180),ABS(L3180))</f>
        <v>218565</v>
      </c>
    </row>
    <row r="3181" spans="2:24">
      <c r="B3181" t="s">
        <v>386</v>
      </c>
      <c r="C3181" t="s">
        <v>54</v>
      </c>
      <c r="D3181" t="s">
        <v>481</v>
      </c>
      <c r="E3181" t="s">
        <v>481</v>
      </c>
      <c r="F3181" s="122">
        <v>1</v>
      </c>
      <c r="G3181" s="122">
        <v>207</v>
      </c>
      <c r="H3181" s="122">
        <v>135</v>
      </c>
      <c r="I3181" s="122">
        <v>18580</v>
      </c>
      <c r="J3181" s="122">
        <v>16891</v>
      </c>
      <c r="K3181" s="122">
        <v>89</v>
      </c>
      <c r="L3181" s="122">
        <v>2042</v>
      </c>
      <c r="M3181" s="122">
        <v>1856</v>
      </c>
      <c r="N3181" s="122">
        <v>3788</v>
      </c>
      <c r="O3181" s="122">
        <v>1403</v>
      </c>
      <c r="P3181" s="122">
        <v>1175</v>
      </c>
      <c r="Q3181" s="122">
        <v>435</v>
      </c>
      <c r="R3181" s="122">
        <v>2337</v>
      </c>
      <c r="S3181" s="122">
        <v>2125</v>
      </c>
      <c r="T3181" s="122">
        <v>0</v>
      </c>
      <c r="U3181" s="122">
        <v>0</v>
      </c>
      <c r="V3181" s="122">
        <v>22710</v>
      </c>
      <c r="W3181" s="122">
        <f t="shared" si="102"/>
        <v>22710</v>
      </c>
      <c r="X3181" s="122">
        <f t="shared" si="103"/>
        <v>27922</v>
      </c>
    </row>
    <row r="3182" spans="2:24">
      <c r="B3182" t="s">
        <v>386</v>
      </c>
      <c r="C3182" t="s">
        <v>54</v>
      </c>
      <c r="D3182" t="s">
        <v>408</v>
      </c>
      <c r="E3182" t="s">
        <v>408</v>
      </c>
      <c r="F3182" s="122">
        <v>7</v>
      </c>
      <c r="G3182" s="122">
        <v>1662</v>
      </c>
      <c r="H3182" s="122">
        <v>1020</v>
      </c>
      <c r="I3182" s="122">
        <v>154773</v>
      </c>
      <c r="J3182" s="122">
        <v>140703</v>
      </c>
      <c r="K3182" s="122">
        <v>77</v>
      </c>
      <c r="L3182" s="122">
        <v>22905</v>
      </c>
      <c r="M3182" s="122">
        <v>20823</v>
      </c>
      <c r="N3182" s="122">
        <v>35639</v>
      </c>
      <c r="O3182" s="122">
        <v>13200</v>
      </c>
      <c r="P3182" s="122">
        <v>8517</v>
      </c>
      <c r="Q3182" s="122">
        <v>3154</v>
      </c>
      <c r="R3182" s="122">
        <v>40535</v>
      </c>
      <c r="S3182" s="122">
        <v>36850</v>
      </c>
      <c r="T3182" s="122">
        <v>3467</v>
      </c>
      <c r="U3182" s="122">
        <v>1284</v>
      </c>
      <c r="V3182" s="122">
        <v>216014</v>
      </c>
      <c r="W3182" s="122">
        <f t="shared" si="102"/>
        <v>216014</v>
      </c>
      <c r="X3182" s="122">
        <f t="shared" si="103"/>
        <v>265836</v>
      </c>
    </row>
    <row r="3183" spans="2:24">
      <c r="B3183" t="s">
        <v>386</v>
      </c>
      <c r="C3183" t="s">
        <v>56</v>
      </c>
      <c r="F3183" s="122">
        <v>3</v>
      </c>
      <c r="G3183" s="122">
        <v>665</v>
      </c>
      <c r="H3183" s="122">
        <v>630</v>
      </c>
      <c r="I3183" s="122"/>
      <c r="J3183" s="122">
        <v>0</v>
      </c>
      <c r="K3183" s="122"/>
      <c r="L3183" s="122"/>
      <c r="M3183" s="122">
        <v>0</v>
      </c>
      <c r="N3183" s="122">
        <v>12365</v>
      </c>
      <c r="O3183" s="122">
        <v>4580</v>
      </c>
      <c r="P3183" s="122">
        <v>4239</v>
      </c>
      <c r="Q3183" s="122">
        <v>1570</v>
      </c>
      <c r="R3183" s="122"/>
      <c r="S3183" s="122">
        <v>0</v>
      </c>
      <c r="T3183" s="122">
        <v>0</v>
      </c>
      <c r="U3183" s="122">
        <v>0</v>
      </c>
      <c r="V3183" s="122">
        <v>6150</v>
      </c>
      <c r="W3183" s="122">
        <f t="shared" si="102"/>
        <v>6150</v>
      </c>
      <c r="X3183" s="122">
        <f t="shared" si="103"/>
        <v>16604</v>
      </c>
    </row>
    <row r="3184" spans="2:24">
      <c r="B3184" t="s">
        <v>386</v>
      </c>
      <c r="C3184" t="s">
        <v>56</v>
      </c>
      <c r="D3184" t="s">
        <v>425</v>
      </c>
      <c r="E3184" t="s">
        <v>425</v>
      </c>
      <c r="F3184" s="122">
        <v>8</v>
      </c>
      <c r="G3184" s="122">
        <v>1225</v>
      </c>
      <c r="H3184" s="122">
        <v>1459</v>
      </c>
      <c r="I3184" s="122">
        <v>129416</v>
      </c>
      <c r="J3184" s="122">
        <v>117651</v>
      </c>
      <c r="K3184" s="122">
        <v>87</v>
      </c>
      <c r="L3184" s="122">
        <v>20590</v>
      </c>
      <c r="M3184" s="122">
        <v>18516</v>
      </c>
      <c r="N3184" s="122">
        <v>23262</v>
      </c>
      <c r="O3184" s="122">
        <v>8616</v>
      </c>
      <c r="P3184" s="122">
        <v>4361</v>
      </c>
      <c r="Q3184" s="122">
        <v>1615</v>
      </c>
      <c r="R3184" s="122">
        <v>43120</v>
      </c>
      <c r="S3184" s="122">
        <v>39200</v>
      </c>
      <c r="T3184" s="122">
        <v>3924</v>
      </c>
      <c r="U3184" s="122">
        <v>1453</v>
      </c>
      <c r="V3184" s="122">
        <v>187051</v>
      </c>
      <c r="W3184" s="122">
        <f t="shared" si="102"/>
        <v>187051</v>
      </c>
      <c r="X3184" s="122">
        <f t="shared" si="103"/>
        <v>224673</v>
      </c>
    </row>
    <row r="3185" spans="2:24">
      <c r="B3185" t="s">
        <v>386</v>
      </c>
      <c r="C3185" t="s">
        <v>56</v>
      </c>
      <c r="D3185" t="s">
        <v>425</v>
      </c>
      <c r="E3185" t="s">
        <v>405</v>
      </c>
      <c r="F3185" s="122">
        <v>1</v>
      </c>
      <c r="G3185" s="122">
        <v>122</v>
      </c>
      <c r="H3185" s="122">
        <v>210</v>
      </c>
      <c r="I3185" s="122">
        <v>16379</v>
      </c>
      <c r="J3185" s="122">
        <v>14890</v>
      </c>
      <c r="K3185" s="122">
        <v>93</v>
      </c>
      <c r="L3185" s="122">
        <v>2909</v>
      </c>
      <c r="M3185" s="122">
        <v>2424</v>
      </c>
      <c r="N3185" s="122">
        <v>2909</v>
      </c>
      <c r="O3185" s="122">
        <v>1077</v>
      </c>
      <c r="P3185" s="122">
        <v>881</v>
      </c>
      <c r="Q3185" s="122">
        <v>326</v>
      </c>
      <c r="R3185" s="122">
        <v>2698</v>
      </c>
      <c r="S3185" s="122">
        <v>2452</v>
      </c>
      <c r="T3185" s="122">
        <v>0</v>
      </c>
      <c r="U3185" s="122">
        <v>0</v>
      </c>
      <c r="V3185" s="122">
        <v>21170</v>
      </c>
      <c r="W3185" s="122">
        <f t="shared" si="102"/>
        <v>21169</v>
      </c>
      <c r="X3185" s="122">
        <f t="shared" si="103"/>
        <v>25776</v>
      </c>
    </row>
    <row r="3186" spans="2:24">
      <c r="B3186" t="s">
        <v>386</v>
      </c>
      <c r="C3186" t="s">
        <v>56</v>
      </c>
      <c r="D3186" t="s">
        <v>425</v>
      </c>
      <c r="E3186" t="s">
        <v>137</v>
      </c>
      <c r="F3186" s="122">
        <v>1</v>
      </c>
      <c r="G3186" s="122">
        <v>296</v>
      </c>
      <c r="H3186" s="122">
        <v>214</v>
      </c>
      <c r="I3186" s="122">
        <v>40192</v>
      </c>
      <c r="J3186" s="122">
        <v>36538</v>
      </c>
      <c r="K3186" s="122">
        <v>72</v>
      </c>
      <c r="L3186" s="122">
        <v>4466</v>
      </c>
      <c r="M3186" s="122">
        <v>4060</v>
      </c>
      <c r="N3186" s="122">
        <v>6201</v>
      </c>
      <c r="O3186" s="122">
        <v>2297</v>
      </c>
      <c r="P3186" s="122">
        <v>0</v>
      </c>
      <c r="Q3186" s="122">
        <v>0</v>
      </c>
      <c r="R3186" s="122">
        <v>12578</v>
      </c>
      <c r="S3186" s="122">
        <v>4659</v>
      </c>
      <c r="T3186" s="122">
        <v>0</v>
      </c>
      <c r="U3186" s="122">
        <v>0</v>
      </c>
      <c r="V3186" s="122">
        <v>47554</v>
      </c>
      <c r="W3186" s="122">
        <f t="shared" si="102"/>
        <v>47554</v>
      </c>
      <c r="X3186" s="122">
        <f t="shared" si="103"/>
        <v>63437</v>
      </c>
    </row>
    <row r="3187" spans="2:24">
      <c r="B3187" t="s">
        <v>386</v>
      </c>
      <c r="C3187" t="s">
        <v>56</v>
      </c>
      <c r="D3187" t="s">
        <v>425</v>
      </c>
      <c r="E3187" t="s">
        <v>406</v>
      </c>
      <c r="F3187" s="122">
        <v>2</v>
      </c>
      <c r="G3187" s="122">
        <v>269</v>
      </c>
      <c r="H3187" s="122">
        <v>403</v>
      </c>
      <c r="I3187" s="122">
        <v>27869</v>
      </c>
      <c r="J3187" s="122">
        <v>25335</v>
      </c>
      <c r="K3187" s="122">
        <v>82</v>
      </c>
      <c r="L3187" s="122">
        <v>6020</v>
      </c>
      <c r="M3187" s="122">
        <v>5472</v>
      </c>
      <c r="N3187" s="122">
        <v>5653</v>
      </c>
      <c r="O3187" s="122">
        <v>2094</v>
      </c>
      <c r="P3187" s="122">
        <v>1593</v>
      </c>
      <c r="Q3187" s="122">
        <v>590</v>
      </c>
      <c r="R3187" s="122">
        <v>10186</v>
      </c>
      <c r="S3187" s="122">
        <v>9260</v>
      </c>
      <c r="T3187" s="122">
        <v>2967</v>
      </c>
      <c r="U3187" s="122">
        <v>1099</v>
      </c>
      <c r="V3187" s="122">
        <v>43850</v>
      </c>
      <c r="W3187" s="122">
        <f t="shared" si="102"/>
        <v>43850</v>
      </c>
      <c r="X3187" s="122">
        <f t="shared" si="103"/>
        <v>54288</v>
      </c>
    </row>
    <row r="3188" spans="2:24">
      <c r="B3188" t="s">
        <v>386</v>
      </c>
      <c r="C3188" t="s">
        <v>56</v>
      </c>
      <c r="D3188" t="s">
        <v>405</v>
      </c>
      <c r="E3188" t="s">
        <v>425</v>
      </c>
      <c r="F3188" s="122">
        <v>3</v>
      </c>
      <c r="G3188" s="122">
        <v>569</v>
      </c>
      <c r="H3188" s="122">
        <v>513</v>
      </c>
      <c r="I3188" s="122">
        <v>62494</v>
      </c>
      <c r="J3188" s="122">
        <v>56812</v>
      </c>
      <c r="K3188" s="122">
        <v>87</v>
      </c>
      <c r="L3188" s="122">
        <v>9384</v>
      </c>
      <c r="M3188" s="122">
        <v>8531</v>
      </c>
      <c r="N3188" s="122">
        <v>10930</v>
      </c>
      <c r="O3188" s="122">
        <v>4048</v>
      </c>
      <c r="P3188" s="122">
        <v>1566</v>
      </c>
      <c r="Q3188" s="122">
        <v>580</v>
      </c>
      <c r="R3188" s="122">
        <v>14389</v>
      </c>
      <c r="S3188" s="122">
        <v>13081</v>
      </c>
      <c r="T3188" s="122">
        <v>0</v>
      </c>
      <c r="U3188" s="122">
        <v>0</v>
      </c>
      <c r="V3188" s="122">
        <v>83052</v>
      </c>
      <c r="W3188" s="122">
        <f t="shared" si="102"/>
        <v>83052</v>
      </c>
      <c r="X3188" s="122">
        <f t="shared" si="103"/>
        <v>98763</v>
      </c>
    </row>
    <row r="3189" spans="2:24">
      <c r="B3189" t="s">
        <v>386</v>
      </c>
      <c r="C3189" t="s">
        <v>56</v>
      </c>
      <c r="D3189" t="s">
        <v>405</v>
      </c>
      <c r="E3189" t="s">
        <v>405</v>
      </c>
      <c r="F3189" s="122">
        <v>171</v>
      </c>
      <c r="G3189" s="122">
        <v>27212</v>
      </c>
      <c r="H3189" s="122">
        <v>32337</v>
      </c>
      <c r="I3189" s="122">
        <v>3141382</v>
      </c>
      <c r="J3189" s="122">
        <v>2855802</v>
      </c>
      <c r="K3189" s="122">
        <v>87</v>
      </c>
      <c r="L3189" s="122">
        <v>701200</v>
      </c>
      <c r="M3189" s="122">
        <v>632576</v>
      </c>
      <c r="N3189" s="122">
        <v>565834</v>
      </c>
      <c r="O3189" s="122">
        <v>209568</v>
      </c>
      <c r="P3189" s="122">
        <v>87774</v>
      </c>
      <c r="Q3189" s="122">
        <v>32509</v>
      </c>
      <c r="R3189" s="122">
        <v>823514</v>
      </c>
      <c r="S3189" s="122">
        <v>748649</v>
      </c>
      <c r="T3189" s="122">
        <v>89411</v>
      </c>
      <c r="U3189" s="122">
        <v>33115</v>
      </c>
      <c r="V3189" s="122">
        <v>4512220</v>
      </c>
      <c r="W3189" s="122">
        <f t="shared" si="102"/>
        <v>4512219</v>
      </c>
      <c r="X3189" s="122">
        <f t="shared" si="103"/>
        <v>5409115</v>
      </c>
    </row>
    <row r="3190" spans="2:24">
      <c r="B3190" t="s">
        <v>386</v>
      </c>
      <c r="C3190" t="s">
        <v>56</v>
      </c>
      <c r="D3190" t="s">
        <v>405</v>
      </c>
      <c r="E3190" t="s">
        <v>137</v>
      </c>
      <c r="F3190" s="122">
        <v>1</v>
      </c>
      <c r="G3190" s="122">
        <v>443</v>
      </c>
      <c r="H3190" s="122">
        <v>205</v>
      </c>
      <c r="I3190" s="122">
        <v>61698</v>
      </c>
      <c r="J3190" s="122">
        <v>56089</v>
      </c>
      <c r="K3190" s="122">
        <v>92</v>
      </c>
      <c r="L3190" s="122">
        <v>5896</v>
      </c>
      <c r="M3190" s="122">
        <v>2184</v>
      </c>
      <c r="N3190" s="122">
        <v>9882</v>
      </c>
      <c r="O3190" s="122">
        <v>3660</v>
      </c>
      <c r="P3190" s="122">
        <v>824</v>
      </c>
      <c r="Q3190" s="122">
        <v>305</v>
      </c>
      <c r="R3190" s="122">
        <v>12637</v>
      </c>
      <c r="S3190" s="122">
        <v>4680</v>
      </c>
      <c r="T3190" s="122">
        <v>0</v>
      </c>
      <c r="U3190" s="122">
        <v>0</v>
      </c>
      <c r="V3190" s="122">
        <v>66918</v>
      </c>
      <c r="W3190" s="122">
        <f t="shared" si="102"/>
        <v>66918</v>
      </c>
      <c r="X3190" s="122">
        <f t="shared" si="103"/>
        <v>90937</v>
      </c>
    </row>
    <row r="3191" spans="2:24">
      <c r="B3191" t="s">
        <v>386</v>
      </c>
      <c r="C3191" t="s">
        <v>56</v>
      </c>
      <c r="D3191" t="s">
        <v>137</v>
      </c>
      <c r="E3191" t="s">
        <v>405</v>
      </c>
      <c r="F3191" s="122">
        <v>1</v>
      </c>
      <c r="G3191" s="122">
        <v>428</v>
      </c>
      <c r="H3191" s="122">
        <v>201</v>
      </c>
      <c r="I3191" s="122">
        <v>66922</v>
      </c>
      <c r="J3191" s="122">
        <v>24786</v>
      </c>
      <c r="K3191" s="122">
        <v>100</v>
      </c>
      <c r="L3191" s="122">
        <v>3307</v>
      </c>
      <c r="M3191" s="122">
        <v>3007</v>
      </c>
      <c r="N3191" s="122">
        <v>9396</v>
      </c>
      <c r="O3191" s="122">
        <v>3480</v>
      </c>
      <c r="P3191" s="122">
        <v>473</v>
      </c>
      <c r="Q3191" s="122">
        <v>175</v>
      </c>
      <c r="R3191" s="122">
        <v>5852</v>
      </c>
      <c r="S3191" s="122">
        <v>5320</v>
      </c>
      <c r="T3191" s="122">
        <v>0</v>
      </c>
      <c r="U3191" s="122">
        <v>0</v>
      </c>
      <c r="V3191" s="122">
        <v>36767</v>
      </c>
      <c r="W3191" s="122">
        <f t="shared" si="102"/>
        <v>36768</v>
      </c>
      <c r="X3191" s="122">
        <f t="shared" si="103"/>
        <v>85950</v>
      </c>
    </row>
    <row r="3192" spans="2:24">
      <c r="B3192" t="s">
        <v>386</v>
      </c>
      <c r="C3192" t="s">
        <v>56</v>
      </c>
      <c r="D3192" t="s">
        <v>137</v>
      </c>
      <c r="E3192" t="s">
        <v>137</v>
      </c>
      <c r="F3192" s="122">
        <v>35</v>
      </c>
      <c r="G3192" s="122">
        <v>6372</v>
      </c>
      <c r="H3192" s="122">
        <v>6508</v>
      </c>
      <c r="I3192" s="122">
        <v>693085</v>
      </c>
      <c r="J3192" s="122">
        <v>256698</v>
      </c>
      <c r="K3192" s="122">
        <v>197</v>
      </c>
      <c r="L3192" s="122">
        <v>137686</v>
      </c>
      <c r="M3192" s="122">
        <v>108072</v>
      </c>
      <c r="N3192" s="122">
        <v>144074</v>
      </c>
      <c r="O3192" s="122">
        <v>53361</v>
      </c>
      <c r="P3192" s="122">
        <v>13975</v>
      </c>
      <c r="Q3192" s="122">
        <v>5176</v>
      </c>
      <c r="R3192" s="122">
        <v>282089</v>
      </c>
      <c r="S3192" s="122">
        <v>104477</v>
      </c>
      <c r="T3192" s="122">
        <v>0</v>
      </c>
      <c r="U3192" s="122">
        <v>0</v>
      </c>
      <c r="V3192" s="122">
        <v>527784</v>
      </c>
      <c r="W3192" s="122">
        <f t="shared" si="102"/>
        <v>527784</v>
      </c>
      <c r="X3192" s="122">
        <f t="shared" si="103"/>
        <v>1270909</v>
      </c>
    </row>
    <row r="3193" spans="2:24">
      <c r="B3193" t="s">
        <v>386</v>
      </c>
      <c r="C3193" t="s">
        <v>56</v>
      </c>
      <c r="D3193" t="s">
        <v>406</v>
      </c>
      <c r="E3193" t="s">
        <v>425</v>
      </c>
      <c r="F3193" s="122">
        <v>2</v>
      </c>
      <c r="G3193" s="122">
        <v>303</v>
      </c>
      <c r="H3193" s="122">
        <v>356</v>
      </c>
      <c r="I3193" s="122">
        <v>30060</v>
      </c>
      <c r="J3193" s="122">
        <v>27328</v>
      </c>
      <c r="K3193" s="122">
        <v>86</v>
      </c>
      <c r="L3193" s="122">
        <v>4491</v>
      </c>
      <c r="M3193" s="122">
        <v>4082</v>
      </c>
      <c r="N3193" s="122">
        <v>5253</v>
      </c>
      <c r="O3193" s="122">
        <v>1946</v>
      </c>
      <c r="P3193" s="122">
        <v>1242</v>
      </c>
      <c r="Q3193" s="122">
        <v>460</v>
      </c>
      <c r="R3193" s="122">
        <v>12769</v>
      </c>
      <c r="S3193" s="122">
        <v>11608</v>
      </c>
      <c r="T3193" s="122">
        <v>0</v>
      </c>
      <c r="U3193" s="122">
        <v>0</v>
      </c>
      <c r="V3193" s="122">
        <v>45424</v>
      </c>
      <c r="W3193" s="122">
        <f t="shared" si="102"/>
        <v>45424</v>
      </c>
      <c r="X3193" s="122">
        <f t="shared" si="103"/>
        <v>53815</v>
      </c>
    </row>
    <row r="3194" spans="2:24">
      <c r="B3194" t="s">
        <v>386</v>
      </c>
      <c r="C3194" t="s">
        <v>56</v>
      </c>
      <c r="D3194" t="s">
        <v>406</v>
      </c>
      <c r="E3194" t="s">
        <v>137</v>
      </c>
      <c r="F3194" s="122">
        <v>16</v>
      </c>
      <c r="G3194" s="122">
        <v>2099</v>
      </c>
      <c r="H3194" s="122">
        <v>3149</v>
      </c>
      <c r="I3194" s="122">
        <v>241300</v>
      </c>
      <c r="J3194" s="122">
        <v>219364</v>
      </c>
      <c r="K3194" s="122">
        <v>85</v>
      </c>
      <c r="L3194" s="122">
        <v>41019</v>
      </c>
      <c r="M3194" s="122">
        <v>37290</v>
      </c>
      <c r="N3194" s="122">
        <v>43665</v>
      </c>
      <c r="O3194" s="122">
        <v>16172</v>
      </c>
      <c r="P3194" s="122">
        <v>9936</v>
      </c>
      <c r="Q3194" s="122">
        <v>3680</v>
      </c>
      <c r="R3194" s="122">
        <v>87095</v>
      </c>
      <c r="S3194" s="122">
        <v>32257</v>
      </c>
      <c r="T3194" s="122">
        <v>0</v>
      </c>
      <c r="U3194" s="122">
        <v>0</v>
      </c>
      <c r="V3194" s="122">
        <v>308763</v>
      </c>
      <c r="W3194" s="122">
        <f t="shared" si="102"/>
        <v>308763</v>
      </c>
      <c r="X3194" s="122">
        <f t="shared" si="103"/>
        <v>423015</v>
      </c>
    </row>
    <row r="3195" spans="2:24">
      <c r="B3195" t="s">
        <v>386</v>
      </c>
      <c r="C3195" t="s">
        <v>56</v>
      </c>
      <c r="D3195" t="s">
        <v>406</v>
      </c>
      <c r="E3195" t="s">
        <v>406</v>
      </c>
      <c r="F3195" s="122">
        <v>5457</v>
      </c>
      <c r="G3195" s="122">
        <v>870882</v>
      </c>
      <c r="H3195" s="122">
        <v>1046796</v>
      </c>
      <c r="I3195" s="122">
        <v>97065640</v>
      </c>
      <c r="J3195" s="122">
        <v>88241490</v>
      </c>
      <c r="K3195" s="122">
        <v>85</v>
      </c>
      <c r="L3195" s="122">
        <v>20346975</v>
      </c>
      <c r="M3195" s="122">
        <v>18185125</v>
      </c>
      <c r="N3195" s="122">
        <v>18024957</v>
      </c>
      <c r="O3195" s="122">
        <v>6675910</v>
      </c>
      <c r="P3195" s="122">
        <v>3572492</v>
      </c>
      <c r="Q3195" s="122">
        <v>1323145</v>
      </c>
      <c r="R3195" s="122">
        <v>28883987</v>
      </c>
      <c r="S3195" s="122">
        <v>26258169</v>
      </c>
      <c r="T3195" s="122">
        <v>7940645</v>
      </c>
      <c r="U3195" s="122">
        <v>2940980</v>
      </c>
      <c r="V3195" s="122">
        <v>143624819</v>
      </c>
      <c r="W3195" s="122">
        <f t="shared" si="102"/>
        <v>143624819</v>
      </c>
      <c r="X3195" s="122">
        <f t="shared" si="103"/>
        <v>175834696</v>
      </c>
    </row>
    <row r="3196" spans="2:24">
      <c r="B3196" t="s">
        <v>386</v>
      </c>
      <c r="C3196" t="s">
        <v>56</v>
      </c>
      <c r="D3196" t="s">
        <v>406</v>
      </c>
      <c r="E3196" t="s">
        <v>427</v>
      </c>
      <c r="F3196" s="122">
        <v>1</v>
      </c>
      <c r="G3196" s="122">
        <v>164</v>
      </c>
      <c r="H3196" s="122">
        <v>182</v>
      </c>
      <c r="I3196" s="122">
        <v>14668</v>
      </c>
      <c r="J3196" s="122">
        <v>13335</v>
      </c>
      <c r="K3196" s="122">
        <v>79</v>
      </c>
      <c r="L3196" s="122">
        <v>4075</v>
      </c>
      <c r="M3196" s="122">
        <v>3704</v>
      </c>
      <c r="N3196" s="122">
        <v>2594</v>
      </c>
      <c r="O3196" s="122">
        <v>961</v>
      </c>
      <c r="P3196" s="122">
        <v>621</v>
      </c>
      <c r="Q3196" s="122">
        <v>230</v>
      </c>
      <c r="R3196" s="122">
        <v>4689</v>
      </c>
      <c r="S3196" s="122">
        <v>4263</v>
      </c>
      <c r="T3196" s="122">
        <v>3167</v>
      </c>
      <c r="U3196" s="122">
        <v>1173</v>
      </c>
      <c r="V3196" s="122">
        <v>23665</v>
      </c>
      <c r="W3196" s="122">
        <f t="shared" si="102"/>
        <v>23666</v>
      </c>
      <c r="X3196" s="122">
        <f t="shared" si="103"/>
        <v>29814</v>
      </c>
    </row>
    <row r="3197" spans="2:24">
      <c r="B3197" t="s">
        <v>386</v>
      </c>
      <c r="C3197" t="s">
        <v>56</v>
      </c>
      <c r="D3197" t="s">
        <v>406</v>
      </c>
      <c r="E3197" t="s">
        <v>407</v>
      </c>
      <c r="F3197" s="122">
        <v>2</v>
      </c>
      <c r="G3197" s="122">
        <v>300</v>
      </c>
      <c r="H3197" s="122">
        <v>328</v>
      </c>
      <c r="I3197" s="122">
        <v>22506</v>
      </c>
      <c r="J3197" s="122">
        <v>20460</v>
      </c>
      <c r="K3197" s="122">
        <v>90</v>
      </c>
      <c r="L3197" s="122">
        <v>4423</v>
      </c>
      <c r="M3197" s="122">
        <v>2553</v>
      </c>
      <c r="N3197" s="122">
        <v>7073</v>
      </c>
      <c r="O3197" s="122">
        <v>2620</v>
      </c>
      <c r="P3197" s="122">
        <v>1242</v>
      </c>
      <c r="Q3197" s="122">
        <v>460</v>
      </c>
      <c r="R3197" s="122">
        <v>10255</v>
      </c>
      <c r="S3197" s="122">
        <v>9323</v>
      </c>
      <c r="T3197" s="122">
        <v>3329</v>
      </c>
      <c r="U3197" s="122">
        <v>1233</v>
      </c>
      <c r="V3197" s="122">
        <v>36648</v>
      </c>
      <c r="W3197" s="122">
        <f t="shared" si="102"/>
        <v>36649</v>
      </c>
      <c r="X3197" s="122">
        <f t="shared" si="103"/>
        <v>48828</v>
      </c>
    </row>
    <row r="3198" spans="2:24">
      <c r="B3198" t="s">
        <v>386</v>
      </c>
      <c r="C3198" t="s">
        <v>56</v>
      </c>
      <c r="D3198" t="s">
        <v>406</v>
      </c>
      <c r="E3198" t="s">
        <v>426</v>
      </c>
      <c r="F3198" s="122">
        <v>4</v>
      </c>
      <c r="G3198" s="122">
        <v>842</v>
      </c>
      <c r="H3198" s="122">
        <v>683</v>
      </c>
      <c r="I3198" s="122">
        <v>74797</v>
      </c>
      <c r="J3198" s="122">
        <v>67997</v>
      </c>
      <c r="K3198" s="122">
        <v>87</v>
      </c>
      <c r="L3198" s="122">
        <v>19898</v>
      </c>
      <c r="M3198" s="122">
        <v>17846</v>
      </c>
      <c r="N3198" s="122">
        <v>14146</v>
      </c>
      <c r="O3198" s="122">
        <v>5239</v>
      </c>
      <c r="P3198" s="122">
        <v>2484</v>
      </c>
      <c r="Q3198" s="122">
        <v>920</v>
      </c>
      <c r="R3198" s="122">
        <v>20960</v>
      </c>
      <c r="S3198" s="122">
        <v>19054</v>
      </c>
      <c r="T3198" s="122">
        <v>11501</v>
      </c>
      <c r="U3198" s="122">
        <v>4260</v>
      </c>
      <c r="V3198" s="122">
        <v>115317</v>
      </c>
      <c r="W3198" s="122">
        <f t="shared" si="102"/>
        <v>115316</v>
      </c>
      <c r="X3198" s="122">
        <f t="shared" si="103"/>
        <v>143786</v>
      </c>
    </row>
    <row r="3199" spans="2:24">
      <c r="B3199" t="s">
        <v>386</v>
      </c>
      <c r="C3199" t="s">
        <v>56</v>
      </c>
      <c r="D3199" t="s">
        <v>427</v>
      </c>
      <c r="E3199" t="s">
        <v>406</v>
      </c>
      <c r="F3199" s="122">
        <v>1</v>
      </c>
      <c r="G3199" s="122">
        <v>157</v>
      </c>
      <c r="H3199" s="122">
        <v>209</v>
      </c>
      <c r="I3199" s="122">
        <v>14887</v>
      </c>
      <c r="J3199" s="122">
        <v>13534</v>
      </c>
      <c r="K3199" s="122">
        <v>79</v>
      </c>
      <c r="L3199" s="122">
        <v>4135</v>
      </c>
      <c r="M3199" s="122">
        <v>3759</v>
      </c>
      <c r="N3199" s="122">
        <v>3413</v>
      </c>
      <c r="O3199" s="122">
        <v>1264</v>
      </c>
      <c r="P3199" s="122">
        <v>621</v>
      </c>
      <c r="Q3199" s="122">
        <v>230</v>
      </c>
      <c r="R3199" s="122">
        <v>9642</v>
      </c>
      <c r="S3199" s="122">
        <v>8765</v>
      </c>
      <c r="T3199" s="122">
        <v>0</v>
      </c>
      <c r="U3199" s="122">
        <v>0</v>
      </c>
      <c r="V3199" s="122">
        <v>27553</v>
      </c>
      <c r="W3199" s="122">
        <f t="shared" si="102"/>
        <v>27552</v>
      </c>
      <c r="X3199" s="122">
        <f t="shared" si="103"/>
        <v>32698</v>
      </c>
    </row>
    <row r="3200" spans="2:24">
      <c r="B3200" t="s">
        <v>386</v>
      </c>
      <c r="C3200" t="s">
        <v>56</v>
      </c>
      <c r="D3200" t="s">
        <v>407</v>
      </c>
      <c r="E3200" t="s">
        <v>407</v>
      </c>
      <c r="F3200" s="122">
        <v>30</v>
      </c>
      <c r="G3200" s="122">
        <v>4704</v>
      </c>
      <c r="H3200" s="122">
        <v>5745</v>
      </c>
      <c r="I3200" s="122">
        <v>519491</v>
      </c>
      <c r="J3200" s="122">
        <v>472264</v>
      </c>
      <c r="K3200" s="122">
        <v>84</v>
      </c>
      <c r="L3200" s="122">
        <v>109505</v>
      </c>
      <c r="M3200" s="122">
        <v>98289</v>
      </c>
      <c r="N3200" s="122">
        <v>92144</v>
      </c>
      <c r="O3200" s="122">
        <v>34127</v>
      </c>
      <c r="P3200" s="122">
        <v>14526</v>
      </c>
      <c r="Q3200" s="122">
        <v>5380</v>
      </c>
      <c r="R3200" s="122">
        <v>164531</v>
      </c>
      <c r="S3200" s="122">
        <v>149574</v>
      </c>
      <c r="T3200" s="122">
        <v>11421</v>
      </c>
      <c r="U3200" s="122">
        <v>4230</v>
      </c>
      <c r="V3200" s="122">
        <v>763865</v>
      </c>
      <c r="W3200" s="122">
        <f t="shared" si="102"/>
        <v>763864</v>
      </c>
      <c r="X3200" s="122">
        <f t="shared" si="103"/>
        <v>911618</v>
      </c>
    </row>
    <row r="3201" spans="2:24">
      <c r="B3201" t="s">
        <v>386</v>
      </c>
      <c r="C3201" t="s">
        <v>56</v>
      </c>
      <c r="D3201" t="s">
        <v>556</v>
      </c>
      <c r="E3201" t="s">
        <v>556</v>
      </c>
      <c r="F3201" s="122">
        <v>1</v>
      </c>
      <c r="G3201" s="122">
        <v>115</v>
      </c>
      <c r="H3201" s="122">
        <v>223</v>
      </c>
      <c r="I3201" s="122">
        <v>15400</v>
      </c>
      <c r="J3201" s="122">
        <v>12833</v>
      </c>
      <c r="K3201" s="122">
        <v>65</v>
      </c>
      <c r="L3201" s="122">
        <v>0</v>
      </c>
      <c r="M3201" s="122">
        <v>0</v>
      </c>
      <c r="N3201" s="122">
        <v>2023</v>
      </c>
      <c r="O3201" s="122">
        <v>749</v>
      </c>
      <c r="P3201" s="122">
        <v>351</v>
      </c>
      <c r="Q3201" s="122">
        <v>130</v>
      </c>
      <c r="R3201" s="122">
        <v>5131</v>
      </c>
      <c r="S3201" s="122">
        <v>4275</v>
      </c>
      <c r="T3201" s="122">
        <v>2609</v>
      </c>
      <c r="U3201" s="122">
        <v>966</v>
      </c>
      <c r="V3201" s="122">
        <v>18954</v>
      </c>
      <c r="W3201" s="122">
        <f t="shared" si="102"/>
        <v>18953</v>
      </c>
      <c r="X3201" s="122">
        <f t="shared" si="103"/>
        <v>25514</v>
      </c>
    </row>
    <row r="3202" spans="2:24">
      <c r="B3202" t="s">
        <v>386</v>
      </c>
      <c r="C3202" t="s">
        <v>56</v>
      </c>
      <c r="D3202" t="s">
        <v>426</v>
      </c>
      <c r="E3202" t="s">
        <v>426</v>
      </c>
      <c r="F3202" s="122">
        <v>11</v>
      </c>
      <c r="G3202" s="122">
        <v>1845</v>
      </c>
      <c r="H3202" s="122">
        <v>2315</v>
      </c>
      <c r="I3202" s="122">
        <v>256235</v>
      </c>
      <c r="J3202" s="122">
        <v>232941</v>
      </c>
      <c r="K3202" s="122">
        <v>64</v>
      </c>
      <c r="L3202" s="122">
        <v>24962</v>
      </c>
      <c r="M3202" s="122">
        <v>22673</v>
      </c>
      <c r="N3202" s="122">
        <v>33332</v>
      </c>
      <c r="O3202" s="122">
        <v>12345</v>
      </c>
      <c r="P3202" s="122">
        <v>4482</v>
      </c>
      <c r="Q3202" s="122">
        <v>1660</v>
      </c>
      <c r="R3202" s="122">
        <v>65214</v>
      </c>
      <c r="S3202" s="122">
        <v>59285</v>
      </c>
      <c r="T3202" s="122">
        <v>23665</v>
      </c>
      <c r="U3202" s="122">
        <v>8765</v>
      </c>
      <c r="V3202" s="122">
        <v>337670</v>
      </c>
      <c r="W3202" s="122">
        <f t="shared" si="102"/>
        <v>337669</v>
      </c>
      <c r="X3202" s="122">
        <f t="shared" si="103"/>
        <v>407890</v>
      </c>
    </row>
    <row r="3203" spans="2:24">
      <c r="B3203" t="s">
        <v>386</v>
      </c>
      <c r="C3203" t="s">
        <v>56</v>
      </c>
      <c r="D3203" t="s">
        <v>481</v>
      </c>
      <c r="E3203" t="s">
        <v>481</v>
      </c>
      <c r="F3203" s="122">
        <v>2</v>
      </c>
      <c r="G3203" s="122">
        <v>339</v>
      </c>
      <c r="H3203" s="122">
        <v>330</v>
      </c>
      <c r="I3203" s="122">
        <v>34657</v>
      </c>
      <c r="J3203" s="122">
        <v>31507</v>
      </c>
      <c r="K3203" s="122">
        <v>78</v>
      </c>
      <c r="L3203" s="122">
        <v>4878</v>
      </c>
      <c r="M3203" s="122">
        <v>4209</v>
      </c>
      <c r="N3203" s="122">
        <v>4758</v>
      </c>
      <c r="O3203" s="122">
        <v>1762</v>
      </c>
      <c r="P3203" s="122">
        <v>1404</v>
      </c>
      <c r="Q3203" s="122">
        <v>520</v>
      </c>
      <c r="R3203" s="122">
        <v>11212</v>
      </c>
      <c r="S3203" s="122">
        <v>10193</v>
      </c>
      <c r="T3203" s="122">
        <v>0</v>
      </c>
      <c r="U3203" s="122">
        <v>0</v>
      </c>
      <c r="V3203" s="122">
        <v>48190</v>
      </c>
      <c r="W3203" s="122">
        <f t="shared" si="102"/>
        <v>48191</v>
      </c>
      <c r="X3203" s="122">
        <f t="shared" si="103"/>
        <v>56909</v>
      </c>
    </row>
    <row r="3204" spans="2:24">
      <c r="B3204" t="s">
        <v>386</v>
      </c>
      <c r="C3204" t="s">
        <v>56</v>
      </c>
      <c r="D3204" t="s">
        <v>433</v>
      </c>
      <c r="E3204" t="s">
        <v>433</v>
      </c>
      <c r="F3204" s="122">
        <v>2</v>
      </c>
      <c r="G3204" s="122">
        <v>400</v>
      </c>
      <c r="H3204" s="122">
        <v>427</v>
      </c>
      <c r="I3204" s="122">
        <v>53672</v>
      </c>
      <c r="J3204" s="122">
        <v>48793</v>
      </c>
      <c r="K3204" s="122">
        <v>71</v>
      </c>
      <c r="L3204" s="122">
        <v>6165</v>
      </c>
      <c r="M3204" s="122">
        <v>5605</v>
      </c>
      <c r="N3204" s="122">
        <v>7926</v>
      </c>
      <c r="O3204" s="122">
        <v>2936</v>
      </c>
      <c r="P3204" s="122">
        <v>702</v>
      </c>
      <c r="Q3204" s="122">
        <v>260</v>
      </c>
      <c r="R3204" s="122">
        <v>10688</v>
      </c>
      <c r="S3204" s="122">
        <v>9716</v>
      </c>
      <c r="T3204" s="122">
        <v>6916</v>
      </c>
      <c r="U3204" s="122">
        <v>2562</v>
      </c>
      <c r="V3204" s="122">
        <v>69871</v>
      </c>
      <c r="W3204" s="122">
        <f t="shared" si="102"/>
        <v>69872</v>
      </c>
      <c r="X3204" s="122">
        <f t="shared" si="103"/>
        <v>86069</v>
      </c>
    </row>
    <row r="3205" spans="2:24">
      <c r="B3205" t="s">
        <v>386</v>
      </c>
      <c r="C3205" t="s">
        <v>56</v>
      </c>
      <c r="D3205" t="s">
        <v>408</v>
      </c>
      <c r="E3205" t="s">
        <v>404</v>
      </c>
      <c r="F3205" s="122">
        <v>1</v>
      </c>
      <c r="G3205" s="122">
        <v>196</v>
      </c>
      <c r="H3205" s="122">
        <v>171</v>
      </c>
      <c r="I3205" s="122">
        <v>12330</v>
      </c>
      <c r="J3205" s="122">
        <v>11209</v>
      </c>
      <c r="K3205" s="122">
        <v>87</v>
      </c>
      <c r="L3205" s="122">
        <v>1575</v>
      </c>
      <c r="M3205" s="122">
        <v>1431</v>
      </c>
      <c r="N3205" s="122">
        <v>2387</v>
      </c>
      <c r="O3205" s="122">
        <v>884</v>
      </c>
      <c r="P3205" s="122">
        <v>351</v>
      </c>
      <c r="Q3205" s="122">
        <v>130</v>
      </c>
      <c r="R3205" s="122">
        <v>16856</v>
      </c>
      <c r="S3205" s="122">
        <v>6243</v>
      </c>
      <c r="T3205" s="122">
        <v>0</v>
      </c>
      <c r="U3205" s="122">
        <v>0</v>
      </c>
      <c r="V3205" s="122">
        <v>19897</v>
      </c>
      <c r="W3205" s="122">
        <f t="shared" si="102"/>
        <v>19897</v>
      </c>
      <c r="X3205" s="122">
        <f t="shared" si="103"/>
        <v>33499</v>
      </c>
    </row>
    <row r="3206" spans="2:24">
      <c r="B3206" t="s">
        <v>386</v>
      </c>
      <c r="C3206" t="s">
        <v>56</v>
      </c>
      <c r="D3206" t="s">
        <v>408</v>
      </c>
      <c r="E3206" t="s">
        <v>408</v>
      </c>
      <c r="F3206" s="122">
        <v>25</v>
      </c>
      <c r="G3206" s="122">
        <v>5701</v>
      </c>
      <c r="H3206" s="122">
        <v>4660</v>
      </c>
      <c r="I3206" s="122">
        <v>694932</v>
      </c>
      <c r="J3206" s="122">
        <v>631756</v>
      </c>
      <c r="K3206" s="122">
        <v>71</v>
      </c>
      <c r="L3206" s="122">
        <v>105577</v>
      </c>
      <c r="M3206" s="122">
        <v>92364</v>
      </c>
      <c r="N3206" s="122">
        <v>112700</v>
      </c>
      <c r="O3206" s="122">
        <v>41741</v>
      </c>
      <c r="P3206" s="122">
        <v>18329</v>
      </c>
      <c r="Q3206" s="122">
        <v>6789</v>
      </c>
      <c r="R3206" s="122">
        <v>160061</v>
      </c>
      <c r="S3206" s="122">
        <v>145510</v>
      </c>
      <c r="T3206" s="122">
        <v>9928</v>
      </c>
      <c r="U3206" s="122">
        <v>3677</v>
      </c>
      <c r="V3206" s="122">
        <v>921837</v>
      </c>
      <c r="W3206" s="122">
        <f t="shared" si="102"/>
        <v>921837</v>
      </c>
      <c r="X3206" s="122">
        <f t="shared" si="103"/>
        <v>1101527</v>
      </c>
    </row>
    <row r="3207" spans="2:24">
      <c r="B3207" t="s">
        <v>386</v>
      </c>
      <c r="C3207" t="s">
        <v>56</v>
      </c>
      <c r="D3207" t="s">
        <v>429</v>
      </c>
      <c r="E3207" t="s">
        <v>429</v>
      </c>
      <c r="F3207" s="122">
        <v>3</v>
      </c>
      <c r="G3207" s="122">
        <v>329</v>
      </c>
      <c r="H3207" s="122">
        <v>540</v>
      </c>
      <c r="I3207" s="122">
        <v>31151</v>
      </c>
      <c r="J3207" s="122">
        <v>28320</v>
      </c>
      <c r="K3207" s="122">
        <v>89</v>
      </c>
      <c r="L3207" s="122">
        <v>6591</v>
      </c>
      <c r="M3207" s="122">
        <v>5685</v>
      </c>
      <c r="N3207" s="122">
        <v>6767</v>
      </c>
      <c r="O3207" s="122">
        <v>2506</v>
      </c>
      <c r="P3207" s="122">
        <v>1053</v>
      </c>
      <c r="Q3207" s="122">
        <v>390</v>
      </c>
      <c r="R3207" s="122">
        <v>14026</v>
      </c>
      <c r="S3207" s="122">
        <v>12751</v>
      </c>
      <c r="T3207" s="122">
        <v>0</v>
      </c>
      <c r="U3207" s="122">
        <v>0</v>
      </c>
      <c r="V3207" s="122">
        <v>49652</v>
      </c>
      <c r="W3207" s="122">
        <f t="shared" si="102"/>
        <v>49652</v>
      </c>
      <c r="X3207" s="122">
        <f t="shared" si="103"/>
        <v>59588</v>
      </c>
    </row>
    <row r="3208" spans="2:24">
      <c r="B3208" t="s">
        <v>386</v>
      </c>
      <c r="C3208" t="s">
        <v>58</v>
      </c>
      <c r="F3208" s="122">
        <v>1</v>
      </c>
      <c r="G3208" s="122">
        <v>119</v>
      </c>
      <c r="H3208" s="122">
        <v>231</v>
      </c>
      <c r="I3208" s="122"/>
      <c r="J3208" s="122">
        <v>0</v>
      </c>
      <c r="K3208" s="122"/>
      <c r="L3208" s="122"/>
      <c r="M3208" s="122">
        <v>0</v>
      </c>
      <c r="N3208" s="122">
        <v>2617</v>
      </c>
      <c r="O3208" s="122">
        <v>969</v>
      </c>
      <c r="P3208" s="122">
        <v>621</v>
      </c>
      <c r="Q3208" s="122">
        <v>230</v>
      </c>
      <c r="R3208" s="122"/>
      <c r="S3208" s="122">
        <v>0</v>
      </c>
      <c r="T3208" s="122">
        <v>0</v>
      </c>
      <c r="U3208" s="122">
        <v>0</v>
      </c>
      <c r="V3208" s="122">
        <v>1199</v>
      </c>
      <c r="W3208" s="122">
        <f t="shared" si="102"/>
        <v>1199</v>
      </c>
      <c r="X3208" s="122">
        <f t="shared" si="103"/>
        <v>3238</v>
      </c>
    </row>
    <row r="3209" spans="2:24">
      <c r="B3209" t="s">
        <v>386</v>
      </c>
      <c r="C3209" t="s">
        <v>58</v>
      </c>
      <c r="D3209" t="s">
        <v>425</v>
      </c>
      <c r="E3209" t="s">
        <v>425</v>
      </c>
      <c r="F3209" s="122">
        <v>4</v>
      </c>
      <c r="G3209" s="122">
        <v>293</v>
      </c>
      <c r="H3209" s="122">
        <v>1136</v>
      </c>
      <c r="I3209" s="122">
        <v>49903</v>
      </c>
      <c r="J3209" s="122">
        <v>45366</v>
      </c>
      <c r="K3209" s="122">
        <v>78</v>
      </c>
      <c r="L3209" s="122">
        <v>8186</v>
      </c>
      <c r="M3209" s="122">
        <v>7442</v>
      </c>
      <c r="N3209" s="122">
        <v>5071</v>
      </c>
      <c r="O3209" s="122">
        <v>1878</v>
      </c>
      <c r="P3209" s="122">
        <v>1769</v>
      </c>
      <c r="Q3209" s="122">
        <v>655</v>
      </c>
      <c r="R3209" s="122">
        <v>14826</v>
      </c>
      <c r="S3209" s="122">
        <v>13478</v>
      </c>
      <c r="T3209" s="122">
        <v>4179</v>
      </c>
      <c r="U3209" s="122">
        <v>1548</v>
      </c>
      <c r="V3209" s="122">
        <v>70368</v>
      </c>
      <c r="W3209" s="122">
        <f t="shared" si="102"/>
        <v>70367</v>
      </c>
      <c r="X3209" s="122">
        <f t="shared" si="103"/>
        <v>83934</v>
      </c>
    </row>
    <row r="3210" spans="2:24">
      <c r="B3210" t="s">
        <v>386</v>
      </c>
      <c r="C3210" t="s">
        <v>58</v>
      </c>
      <c r="D3210" t="s">
        <v>425</v>
      </c>
      <c r="E3210" t="s">
        <v>406</v>
      </c>
      <c r="F3210" s="122">
        <v>2</v>
      </c>
      <c r="G3210" s="122">
        <v>215</v>
      </c>
      <c r="H3210" s="122">
        <v>502</v>
      </c>
      <c r="I3210" s="122">
        <v>32543</v>
      </c>
      <c r="J3210" s="122">
        <v>29584</v>
      </c>
      <c r="K3210" s="122">
        <v>85</v>
      </c>
      <c r="L3210" s="122">
        <v>9002</v>
      </c>
      <c r="M3210" s="122">
        <v>8183</v>
      </c>
      <c r="N3210" s="122">
        <v>6214</v>
      </c>
      <c r="O3210" s="122">
        <v>2301</v>
      </c>
      <c r="P3210" s="122">
        <v>1593</v>
      </c>
      <c r="Q3210" s="122">
        <v>590</v>
      </c>
      <c r="R3210" s="122">
        <v>13684</v>
      </c>
      <c r="S3210" s="122">
        <v>12440</v>
      </c>
      <c r="T3210" s="122">
        <v>3576</v>
      </c>
      <c r="U3210" s="122">
        <v>1324</v>
      </c>
      <c r="V3210" s="122">
        <v>54423</v>
      </c>
      <c r="W3210" s="122">
        <f t="shared" si="102"/>
        <v>54422</v>
      </c>
      <c r="X3210" s="122">
        <f t="shared" si="103"/>
        <v>66612</v>
      </c>
    </row>
    <row r="3211" spans="2:24">
      <c r="B3211" t="s">
        <v>386</v>
      </c>
      <c r="C3211" t="s">
        <v>58</v>
      </c>
      <c r="D3211" t="s">
        <v>405</v>
      </c>
      <c r="E3211" t="s">
        <v>405</v>
      </c>
      <c r="F3211" s="122">
        <v>86</v>
      </c>
      <c r="G3211" s="122">
        <v>11175</v>
      </c>
      <c r="H3211" s="122">
        <v>22318</v>
      </c>
      <c r="I3211" s="122">
        <v>1772367</v>
      </c>
      <c r="J3211" s="122">
        <v>1611242</v>
      </c>
      <c r="K3211" s="122">
        <v>80</v>
      </c>
      <c r="L3211" s="122">
        <v>415477</v>
      </c>
      <c r="M3211" s="122">
        <v>373106</v>
      </c>
      <c r="N3211" s="122">
        <v>240713</v>
      </c>
      <c r="O3211" s="122">
        <v>89153</v>
      </c>
      <c r="P3211" s="122">
        <v>46367</v>
      </c>
      <c r="Q3211" s="122">
        <v>17173</v>
      </c>
      <c r="R3211" s="122">
        <v>421473</v>
      </c>
      <c r="S3211" s="122">
        <v>383157</v>
      </c>
      <c r="T3211" s="122">
        <v>98562</v>
      </c>
      <c r="U3211" s="122">
        <v>36504</v>
      </c>
      <c r="V3211" s="122">
        <v>2510335</v>
      </c>
      <c r="W3211" s="122">
        <f t="shared" si="102"/>
        <v>2510335</v>
      </c>
      <c r="X3211" s="122">
        <f t="shared" si="103"/>
        <v>2994959</v>
      </c>
    </row>
    <row r="3212" spans="2:24">
      <c r="B3212" t="s">
        <v>386</v>
      </c>
      <c r="C3212" t="s">
        <v>58</v>
      </c>
      <c r="D3212" t="s">
        <v>405</v>
      </c>
      <c r="E3212" t="s">
        <v>137</v>
      </c>
      <c r="F3212" s="122">
        <v>1</v>
      </c>
      <c r="G3212" s="122">
        <v>201</v>
      </c>
      <c r="H3212" s="122">
        <v>235</v>
      </c>
      <c r="I3212" s="122">
        <v>35158</v>
      </c>
      <c r="J3212" s="122">
        <v>31962</v>
      </c>
      <c r="K3212" s="122">
        <v>76</v>
      </c>
      <c r="L3212" s="122">
        <v>9896</v>
      </c>
      <c r="M3212" s="122">
        <v>8997</v>
      </c>
      <c r="N3212" s="122">
        <v>4731</v>
      </c>
      <c r="O3212" s="122">
        <v>1752</v>
      </c>
      <c r="P3212" s="122">
        <v>2844</v>
      </c>
      <c r="Q3212" s="122">
        <v>1053</v>
      </c>
      <c r="R3212" s="122">
        <v>-5437</v>
      </c>
      <c r="S3212" s="122">
        <v>-2014</v>
      </c>
      <c r="T3212" s="122">
        <v>0</v>
      </c>
      <c r="U3212" s="122">
        <v>0</v>
      </c>
      <c r="V3212" s="122">
        <v>41751</v>
      </c>
      <c r="W3212" s="122">
        <f t="shared" si="102"/>
        <v>45778</v>
      </c>
      <c r="X3212" s="122">
        <f t="shared" si="103"/>
        <v>58066</v>
      </c>
    </row>
    <row r="3213" spans="2:24">
      <c r="B3213" t="s">
        <v>386</v>
      </c>
      <c r="C3213" t="s">
        <v>58</v>
      </c>
      <c r="D3213" t="s">
        <v>137</v>
      </c>
      <c r="E3213" t="s">
        <v>137</v>
      </c>
      <c r="F3213" s="122">
        <v>147</v>
      </c>
      <c r="G3213" s="122">
        <v>19690</v>
      </c>
      <c r="H3213" s="122">
        <v>39711</v>
      </c>
      <c r="I3213" s="122">
        <v>3367488</v>
      </c>
      <c r="J3213" s="122">
        <v>1247218</v>
      </c>
      <c r="K3213" s="122">
        <v>101</v>
      </c>
      <c r="L3213" s="122">
        <v>579266</v>
      </c>
      <c r="M3213" s="122">
        <v>463058</v>
      </c>
      <c r="N3213" s="122">
        <v>456799</v>
      </c>
      <c r="O3213" s="122">
        <v>169185</v>
      </c>
      <c r="P3213" s="122">
        <v>3444</v>
      </c>
      <c r="Q3213" s="122">
        <v>1276</v>
      </c>
      <c r="R3213" s="122">
        <v>1313714</v>
      </c>
      <c r="S3213" s="122">
        <v>486561</v>
      </c>
      <c r="T3213" s="122">
        <v>3381</v>
      </c>
      <c r="U3213" s="122">
        <v>1252</v>
      </c>
      <c r="V3213" s="122">
        <v>2368549</v>
      </c>
      <c r="W3213" s="122">
        <f t="shared" si="102"/>
        <v>2368550</v>
      </c>
      <c r="X3213" s="122">
        <f t="shared" si="103"/>
        <v>5724092</v>
      </c>
    </row>
    <row r="3214" spans="2:24">
      <c r="B3214" t="s">
        <v>386</v>
      </c>
      <c r="C3214" t="s">
        <v>58</v>
      </c>
      <c r="D3214" t="s">
        <v>137</v>
      </c>
      <c r="E3214" t="s">
        <v>406</v>
      </c>
      <c r="F3214" s="122">
        <v>1</v>
      </c>
      <c r="G3214" s="122">
        <v>145</v>
      </c>
      <c r="H3214" s="122">
        <v>265</v>
      </c>
      <c r="I3214" s="122">
        <v>25551</v>
      </c>
      <c r="J3214" s="122">
        <v>9463</v>
      </c>
      <c r="K3214" s="122">
        <v>100</v>
      </c>
      <c r="L3214" s="122">
        <v>3470</v>
      </c>
      <c r="M3214" s="122">
        <v>3154</v>
      </c>
      <c r="N3214" s="122">
        <v>1998</v>
      </c>
      <c r="O3214" s="122">
        <v>740</v>
      </c>
      <c r="P3214" s="122">
        <v>621</v>
      </c>
      <c r="Q3214" s="122">
        <v>230</v>
      </c>
      <c r="R3214" s="122">
        <v>6892</v>
      </c>
      <c r="S3214" s="122">
        <v>6265</v>
      </c>
      <c r="T3214" s="122">
        <v>0</v>
      </c>
      <c r="U3214" s="122">
        <v>0</v>
      </c>
      <c r="V3214" s="122">
        <v>19853</v>
      </c>
      <c r="W3214" s="122">
        <f t="shared" si="102"/>
        <v>19852</v>
      </c>
      <c r="X3214" s="122">
        <f t="shared" si="103"/>
        <v>38532</v>
      </c>
    </row>
    <row r="3215" spans="2:24">
      <c r="B3215" t="s">
        <v>386</v>
      </c>
      <c r="C3215" t="s">
        <v>58</v>
      </c>
      <c r="D3215" t="s">
        <v>137</v>
      </c>
      <c r="E3215" t="s">
        <v>426</v>
      </c>
      <c r="F3215" s="122">
        <v>1</v>
      </c>
      <c r="G3215" s="122">
        <v>120</v>
      </c>
      <c r="H3215" s="122">
        <v>279</v>
      </c>
      <c r="I3215" s="122">
        <v>25581</v>
      </c>
      <c r="J3215" s="122">
        <v>9474</v>
      </c>
      <c r="K3215" s="122">
        <v>100</v>
      </c>
      <c r="L3215" s="122">
        <v>1782</v>
      </c>
      <c r="M3215" s="122">
        <v>1620</v>
      </c>
      <c r="N3215" s="122">
        <v>1463</v>
      </c>
      <c r="O3215" s="122">
        <v>542</v>
      </c>
      <c r="P3215" s="122">
        <v>0</v>
      </c>
      <c r="Q3215" s="122">
        <v>0</v>
      </c>
      <c r="R3215" s="122">
        <v>4727</v>
      </c>
      <c r="S3215" s="122">
        <v>4297</v>
      </c>
      <c r="T3215" s="122">
        <v>0</v>
      </c>
      <c r="U3215" s="122">
        <v>0</v>
      </c>
      <c r="V3215" s="122">
        <v>15933</v>
      </c>
      <c r="W3215" s="122">
        <f t="shared" si="102"/>
        <v>15933</v>
      </c>
      <c r="X3215" s="122">
        <f t="shared" si="103"/>
        <v>33553</v>
      </c>
    </row>
    <row r="3216" spans="2:24">
      <c r="B3216" t="s">
        <v>386</v>
      </c>
      <c r="C3216" t="s">
        <v>58</v>
      </c>
      <c r="D3216" t="s">
        <v>406</v>
      </c>
      <c r="E3216" t="s">
        <v>137</v>
      </c>
      <c r="F3216" s="122">
        <v>12</v>
      </c>
      <c r="G3216" s="122">
        <v>1405</v>
      </c>
      <c r="H3216" s="122">
        <v>3132</v>
      </c>
      <c r="I3216" s="122">
        <v>213119</v>
      </c>
      <c r="J3216" s="122">
        <v>193744</v>
      </c>
      <c r="K3216" s="122">
        <v>79</v>
      </c>
      <c r="L3216" s="122">
        <v>41706</v>
      </c>
      <c r="M3216" s="122">
        <v>35163</v>
      </c>
      <c r="N3216" s="122">
        <v>29953</v>
      </c>
      <c r="O3216" s="122">
        <v>11094</v>
      </c>
      <c r="P3216" s="122">
        <v>6831</v>
      </c>
      <c r="Q3216" s="122">
        <v>2530</v>
      </c>
      <c r="R3216" s="122">
        <v>88935</v>
      </c>
      <c r="S3216" s="122">
        <v>32939</v>
      </c>
      <c r="T3216" s="122">
        <v>0</v>
      </c>
      <c r="U3216" s="122">
        <v>0</v>
      </c>
      <c r="V3216" s="122">
        <v>275470</v>
      </c>
      <c r="W3216" s="122">
        <f t="shared" si="102"/>
        <v>275470</v>
      </c>
      <c r="X3216" s="122">
        <f t="shared" si="103"/>
        <v>380544</v>
      </c>
    </row>
    <row r="3217" spans="2:24">
      <c r="B3217" t="s">
        <v>386</v>
      </c>
      <c r="C3217" t="s">
        <v>58</v>
      </c>
      <c r="D3217" t="s">
        <v>406</v>
      </c>
      <c r="E3217" t="s">
        <v>406</v>
      </c>
      <c r="F3217" s="122">
        <v>3187</v>
      </c>
      <c r="G3217" s="122">
        <v>402106</v>
      </c>
      <c r="H3217" s="122">
        <v>819833</v>
      </c>
      <c r="I3217" s="122">
        <v>61096073</v>
      </c>
      <c r="J3217" s="122">
        <v>55541884</v>
      </c>
      <c r="K3217" s="122">
        <v>80</v>
      </c>
      <c r="L3217" s="122">
        <v>12930028</v>
      </c>
      <c r="M3217" s="122">
        <v>11540410</v>
      </c>
      <c r="N3217" s="122">
        <v>8371370</v>
      </c>
      <c r="O3217" s="122">
        <v>3100507</v>
      </c>
      <c r="P3217" s="122">
        <v>2061715</v>
      </c>
      <c r="Q3217" s="122">
        <v>763598</v>
      </c>
      <c r="R3217" s="122">
        <v>16213804</v>
      </c>
      <c r="S3217" s="122">
        <v>14739822</v>
      </c>
      <c r="T3217" s="122">
        <v>5728521</v>
      </c>
      <c r="U3217" s="122">
        <v>2121675</v>
      </c>
      <c r="V3217" s="122">
        <v>87807896</v>
      </c>
      <c r="W3217" s="122">
        <f t="shared" si="102"/>
        <v>87807896</v>
      </c>
      <c r="X3217" s="122">
        <f t="shared" si="103"/>
        <v>106401511</v>
      </c>
    </row>
    <row r="3218" spans="2:24">
      <c r="B3218" t="s">
        <v>386</v>
      </c>
      <c r="C3218" t="s">
        <v>58</v>
      </c>
      <c r="D3218" t="s">
        <v>406</v>
      </c>
      <c r="E3218" t="s">
        <v>427</v>
      </c>
      <c r="F3218" s="122">
        <v>3</v>
      </c>
      <c r="G3218" s="122">
        <v>316</v>
      </c>
      <c r="H3218" s="122">
        <v>745</v>
      </c>
      <c r="I3218" s="122">
        <v>46138</v>
      </c>
      <c r="J3218" s="122">
        <v>41944</v>
      </c>
      <c r="K3218" s="122">
        <v>90</v>
      </c>
      <c r="L3218" s="122">
        <v>6100</v>
      </c>
      <c r="M3218" s="122">
        <v>5546</v>
      </c>
      <c r="N3218" s="122">
        <v>6477</v>
      </c>
      <c r="O3218" s="122">
        <v>2399</v>
      </c>
      <c r="P3218" s="122">
        <v>1242</v>
      </c>
      <c r="Q3218" s="122">
        <v>460</v>
      </c>
      <c r="R3218" s="122">
        <v>15570</v>
      </c>
      <c r="S3218" s="122">
        <v>14155</v>
      </c>
      <c r="T3218" s="122">
        <v>2105</v>
      </c>
      <c r="U3218" s="122">
        <v>780</v>
      </c>
      <c r="V3218" s="122">
        <v>65283</v>
      </c>
      <c r="W3218" s="122">
        <f t="shared" si="102"/>
        <v>65284</v>
      </c>
      <c r="X3218" s="122">
        <f t="shared" si="103"/>
        <v>77632</v>
      </c>
    </row>
    <row r="3219" spans="2:24">
      <c r="B3219" t="s">
        <v>386</v>
      </c>
      <c r="C3219" t="s">
        <v>58</v>
      </c>
      <c r="D3219" t="s">
        <v>406</v>
      </c>
      <c r="E3219" t="s">
        <v>426</v>
      </c>
      <c r="F3219" s="122">
        <v>3</v>
      </c>
      <c r="G3219" s="122">
        <v>323</v>
      </c>
      <c r="H3219" s="122">
        <v>781</v>
      </c>
      <c r="I3219" s="122">
        <v>46564</v>
      </c>
      <c r="J3219" s="122">
        <v>42331</v>
      </c>
      <c r="K3219" s="122">
        <v>80</v>
      </c>
      <c r="L3219" s="122">
        <v>17443</v>
      </c>
      <c r="M3219" s="122">
        <v>9918</v>
      </c>
      <c r="N3219" s="122">
        <v>7927</v>
      </c>
      <c r="O3219" s="122">
        <v>2936</v>
      </c>
      <c r="P3219" s="122">
        <v>1985</v>
      </c>
      <c r="Q3219" s="122">
        <v>735</v>
      </c>
      <c r="R3219" s="122">
        <v>12952</v>
      </c>
      <c r="S3219" s="122">
        <v>11775</v>
      </c>
      <c r="T3219" s="122">
        <v>8995</v>
      </c>
      <c r="U3219" s="122">
        <v>3332</v>
      </c>
      <c r="V3219" s="122">
        <v>71026</v>
      </c>
      <c r="W3219" s="122">
        <f t="shared" si="102"/>
        <v>71027</v>
      </c>
      <c r="X3219" s="122">
        <f t="shared" si="103"/>
        <v>95866</v>
      </c>
    </row>
    <row r="3220" spans="2:24">
      <c r="B3220" t="s">
        <v>386</v>
      </c>
      <c r="C3220" t="s">
        <v>58</v>
      </c>
      <c r="D3220" t="s">
        <v>406</v>
      </c>
      <c r="E3220" t="s">
        <v>433</v>
      </c>
      <c r="F3220" s="122">
        <v>1</v>
      </c>
      <c r="G3220" s="122">
        <v>112</v>
      </c>
      <c r="H3220" s="122">
        <v>300</v>
      </c>
      <c r="I3220" s="122">
        <v>23459</v>
      </c>
      <c r="J3220" s="122">
        <v>21326</v>
      </c>
      <c r="K3220" s="122">
        <v>86</v>
      </c>
      <c r="L3220" s="122">
        <v>3528</v>
      </c>
      <c r="M3220" s="122">
        <v>3207</v>
      </c>
      <c r="N3220" s="122">
        <v>1363</v>
      </c>
      <c r="O3220" s="122">
        <v>505</v>
      </c>
      <c r="P3220" s="122">
        <v>621</v>
      </c>
      <c r="Q3220" s="122">
        <v>230</v>
      </c>
      <c r="R3220" s="122">
        <v>3021</v>
      </c>
      <c r="S3220" s="122">
        <v>2746</v>
      </c>
      <c r="T3220" s="122">
        <v>1548</v>
      </c>
      <c r="U3220" s="122">
        <v>573</v>
      </c>
      <c r="V3220" s="122">
        <v>28587</v>
      </c>
      <c r="W3220" s="122">
        <f t="shared" si="102"/>
        <v>28587</v>
      </c>
      <c r="X3220" s="122">
        <f t="shared" si="103"/>
        <v>33540</v>
      </c>
    </row>
    <row r="3221" spans="2:24">
      <c r="B3221" t="s">
        <v>386</v>
      </c>
      <c r="C3221" t="s">
        <v>58</v>
      </c>
      <c r="D3221" t="s">
        <v>427</v>
      </c>
      <c r="E3221" t="s">
        <v>137</v>
      </c>
      <c r="F3221" s="122">
        <v>1</v>
      </c>
      <c r="G3221" s="122">
        <v>131</v>
      </c>
      <c r="H3221" s="122">
        <v>262</v>
      </c>
      <c r="I3221" s="122">
        <v>26152</v>
      </c>
      <c r="J3221" s="122">
        <v>23775</v>
      </c>
      <c r="K3221" s="122">
        <v>65</v>
      </c>
      <c r="L3221" s="122">
        <v>3148</v>
      </c>
      <c r="M3221" s="122">
        <v>2862</v>
      </c>
      <c r="N3221" s="122">
        <v>1717</v>
      </c>
      <c r="O3221" s="122">
        <v>636</v>
      </c>
      <c r="P3221" s="122">
        <v>351</v>
      </c>
      <c r="Q3221" s="122">
        <v>130</v>
      </c>
      <c r="R3221" s="122">
        <v>2788</v>
      </c>
      <c r="S3221" s="122">
        <v>1033</v>
      </c>
      <c r="T3221" s="122">
        <v>0</v>
      </c>
      <c r="U3221" s="122">
        <v>0</v>
      </c>
      <c r="V3221" s="122">
        <v>28435</v>
      </c>
      <c r="W3221" s="122">
        <f t="shared" si="102"/>
        <v>28436</v>
      </c>
      <c r="X3221" s="122">
        <f t="shared" si="103"/>
        <v>34156</v>
      </c>
    </row>
    <row r="3222" spans="2:24">
      <c r="B3222" t="s">
        <v>386</v>
      </c>
      <c r="C3222" t="s">
        <v>58</v>
      </c>
      <c r="D3222" t="s">
        <v>427</v>
      </c>
      <c r="E3222" t="s">
        <v>406</v>
      </c>
      <c r="F3222" s="122">
        <v>1</v>
      </c>
      <c r="G3222" s="122">
        <v>85</v>
      </c>
      <c r="H3222" s="122">
        <v>286</v>
      </c>
      <c r="I3222" s="122">
        <v>12509</v>
      </c>
      <c r="J3222" s="122">
        <v>11372</v>
      </c>
      <c r="K3222" s="122">
        <v>70</v>
      </c>
      <c r="L3222" s="122">
        <v>2269</v>
      </c>
      <c r="M3222" s="122">
        <v>840</v>
      </c>
      <c r="N3222" s="122">
        <v>2066</v>
      </c>
      <c r="O3222" s="122">
        <v>765</v>
      </c>
      <c r="P3222" s="122">
        <v>621</v>
      </c>
      <c r="Q3222" s="122">
        <v>230</v>
      </c>
      <c r="R3222" s="122">
        <v>6820</v>
      </c>
      <c r="S3222" s="122">
        <v>6200</v>
      </c>
      <c r="T3222" s="122">
        <v>0</v>
      </c>
      <c r="U3222" s="122">
        <v>0</v>
      </c>
      <c r="V3222" s="122">
        <v>19408</v>
      </c>
      <c r="W3222" s="122">
        <f t="shared" si="102"/>
        <v>19407</v>
      </c>
      <c r="X3222" s="122">
        <f t="shared" si="103"/>
        <v>24285</v>
      </c>
    </row>
    <row r="3223" spans="2:24">
      <c r="B3223" t="s">
        <v>386</v>
      </c>
      <c r="C3223" t="s">
        <v>58</v>
      </c>
      <c r="D3223" t="s">
        <v>427</v>
      </c>
      <c r="E3223" t="s">
        <v>427</v>
      </c>
      <c r="F3223" s="122">
        <v>8</v>
      </c>
      <c r="G3223" s="122">
        <v>1056</v>
      </c>
      <c r="H3223" s="122">
        <v>2197</v>
      </c>
      <c r="I3223" s="122">
        <v>175392</v>
      </c>
      <c r="J3223" s="122">
        <v>159447</v>
      </c>
      <c r="K3223" s="122">
        <v>63</v>
      </c>
      <c r="L3223" s="122">
        <v>24998</v>
      </c>
      <c r="M3223" s="122">
        <v>14948</v>
      </c>
      <c r="N3223" s="122">
        <v>19578</v>
      </c>
      <c r="O3223" s="122">
        <v>7251</v>
      </c>
      <c r="P3223" s="122">
        <v>2808</v>
      </c>
      <c r="Q3223" s="122">
        <v>1040</v>
      </c>
      <c r="R3223" s="122">
        <v>51286</v>
      </c>
      <c r="S3223" s="122">
        <v>46624</v>
      </c>
      <c r="T3223" s="122">
        <v>13575</v>
      </c>
      <c r="U3223" s="122">
        <v>5028</v>
      </c>
      <c r="V3223" s="122">
        <v>234338</v>
      </c>
      <c r="W3223" s="122">
        <f t="shared" si="102"/>
        <v>234338</v>
      </c>
      <c r="X3223" s="122">
        <f t="shared" si="103"/>
        <v>287637</v>
      </c>
    </row>
    <row r="3224" spans="2:24">
      <c r="B3224" t="s">
        <v>386</v>
      </c>
      <c r="C3224" t="s">
        <v>58</v>
      </c>
      <c r="D3224" t="s">
        <v>407</v>
      </c>
      <c r="E3224" t="s">
        <v>407</v>
      </c>
      <c r="F3224" s="122">
        <v>28</v>
      </c>
      <c r="G3224" s="122">
        <v>3260</v>
      </c>
      <c r="H3224" s="122">
        <v>7216</v>
      </c>
      <c r="I3224" s="122">
        <v>469296</v>
      </c>
      <c r="J3224" s="122">
        <v>426633</v>
      </c>
      <c r="K3224" s="122">
        <v>80</v>
      </c>
      <c r="L3224" s="122">
        <v>117715</v>
      </c>
      <c r="M3224" s="122">
        <v>106734</v>
      </c>
      <c r="N3224" s="122">
        <v>69295</v>
      </c>
      <c r="O3224" s="122">
        <v>25665</v>
      </c>
      <c r="P3224" s="122">
        <v>13230</v>
      </c>
      <c r="Q3224" s="122">
        <v>4900</v>
      </c>
      <c r="R3224" s="122">
        <v>132130</v>
      </c>
      <c r="S3224" s="122">
        <v>120118</v>
      </c>
      <c r="T3224" s="122">
        <v>62254</v>
      </c>
      <c r="U3224" s="122">
        <v>23057</v>
      </c>
      <c r="V3224" s="122">
        <v>707107</v>
      </c>
      <c r="W3224" s="122">
        <f t="shared" si="102"/>
        <v>707107</v>
      </c>
      <c r="X3224" s="122">
        <f t="shared" si="103"/>
        <v>863920</v>
      </c>
    </row>
    <row r="3225" spans="2:24">
      <c r="B3225" t="s">
        <v>386</v>
      </c>
      <c r="C3225" t="s">
        <v>58</v>
      </c>
      <c r="D3225" t="s">
        <v>556</v>
      </c>
      <c r="E3225" t="s">
        <v>556</v>
      </c>
      <c r="F3225" s="122">
        <v>1</v>
      </c>
      <c r="G3225" s="122">
        <v>83</v>
      </c>
      <c r="H3225" s="122">
        <v>259</v>
      </c>
      <c r="I3225" s="122">
        <v>11777</v>
      </c>
      <c r="J3225" s="122">
        <v>9814</v>
      </c>
      <c r="K3225" s="122">
        <v>70</v>
      </c>
      <c r="L3225" s="122">
        <v>1309</v>
      </c>
      <c r="M3225" s="122">
        <v>1090</v>
      </c>
      <c r="N3225" s="122">
        <v>1728</v>
      </c>
      <c r="O3225" s="122">
        <v>640</v>
      </c>
      <c r="P3225" s="122">
        <v>351</v>
      </c>
      <c r="Q3225" s="122">
        <v>130</v>
      </c>
      <c r="R3225" s="122">
        <v>4168</v>
      </c>
      <c r="S3225" s="122">
        <v>3474</v>
      </c>
      <c r="T3225" s="122">
        <v>2161</v>
      </c>
      <c r="U3225" s="122">
        <v>800</v>
      </c>
      <c r="V3225" s="122">
        <v>15949</v>
      </c>
      <c r="W3225" s="122">
        <f t="shared" si="102"/>
        <v>15948</v>
      </c>
      <c r="X3225" s="122">
        <f t="shared" si="103"/>
        <v>21494</v>
      </c>
    </row>
    <row r="3226" spans="2:24">
      <c r="B3226" t="s">
        <v>386</v>
      </c>
      <c r="C3226" t="s">
        <v>58</v>
      </c>
      <c r="D3226" t="s">
        <v>426</v>
      </c>
      <c r="E3226" t="s">
        <v>137</v>
      </c>
      <c r="F3226" s="122">
        <v>4</v>
      </c>
      <c r="G3226" s="122">
        <v>332</v>
      </c>
      <c r="H3226" s="122">
        <v>1117</v>
      </c>
      <c r="I3226" s="122">
        <v>51662</v>
      </c>
      <c r="J3226" s="122">
        <v>46966</v>
      </c>
      <c r="K3226" s="122">
        <v>60</v>
      </c>
      <c r="L3226" s="122">
        <v>8488</v>
      </c>
      <c r="M3226" s="122">
        <v>3144</v>
      </c>
      <c r="N3226" s="122">
        <v>5946</v>
      </c>
      <c r="O3226" s="122">
        <v>2202</v>
      </c>
      <c r="P3226" s="122">
        <v>0</v>
      </c>
      <c r="Q3226" s="122">
        <v>0</v>
      </c>
      <c r="R3226" s="122">
        <v>26444</v>
      </c>
      <c r="S3226" s="122">
        <v>9794</v>
      </c>
      <c r="T3226" s="122">
        <v>0</v>
      </c>
      <c r="U3226" s="122">
        <v>0</v>
      </c>
      <c r="V3226" s="122">
        <v>62106</v>
      </c>
      <c r="W3226" s="122">
        <f t="shared" si="102"/>
        <v>62106</v>
      </c>
      <c r="X3226" s="122">
        <f t="shared" si="103"/>
        <v>92540</v>
      </c>
    </row>
    <row r="3227" spans="2:24">
      <c r="B3227" t="s">
        <v>386</v>
      </c>
      <c r="C3227" t="s">
        <v>58</v>
      </c>
      <c r="D3227" t="s">
        <v>426</v>
      </c>
      <c r="E3227" t="s">
        <v>406</v>
      </c>
      <c r="F3227" s="122">
        <v>1</v>
      </c>
      <c r="G3227" s="122">
        <v>177</v>
      </c>
      <c r="H3227" s="122">
        <v>265</v>
      </c>
      <c r="I3227" s="122">
        <v>27418</v>
      </c>
      <c r="J3227" s="122">
        <v>24925</v>
      </c>
      <c r="K3227" s="122">
        <v>65</v>
      </c>
      <c r="L3227" s="122">
        <v>3765</v>
      </c>
      <c r="M3227" s="122">
        <v>3423</v>
      </c>
      <c r="N3227" s="122">
        <v>3927</v>
      </c>
      <c r="O3227" s="122">
        <v>1454</v>
      </c>
      <c r="P3227" s="122">
        <v>972</v>
      </c>
      <c r="Q3227" s="122">
        <v>360</v>
      </c>
      <c r="R3227" s="122">
        <v>6836</v>
      </c>
      <c r="S3227" s="122">
        <v>6215</v>
      </c>
      <c r="T3227" s="122">
        <v>4016</v>
      </c>
      <c r="U3227" s="122">
        <v>1487</v>
      </c>
      <c r="V3227" s="122">
        <v>37865</v>
      </c>
      <c r="W3227" s="122">
        <f t="shared" si="102"/>
        <v>37864</v>
      </c>
      <c r="X3227" s="122">
        <f t="shared" si="103"/>
        <v>46934</v>
      </c>
    </row>
    <row r="3228" spans="2:24">
      <c r="B3228" t="s">
        <v>386</v>
      </c>
      <c r="C3228" t="s">
        <v>58</v>
      </c>
      <c r="D3228" t="s">
        <v>426</v>
      </c>
      <c r="E3228" t="s">
        <v>431</v>
      </c>
      <c r="F3228" s="122">
        <v>1</v>
      </c>
      <c r="G3228" s="122">
        <v>196</v>
      </c>
      <c r="H3228" s="122">
        <v>267</v>
      </c>
      <c r="I3228" s="122">
        <v>58476</v>
      </c>
      <c r="J3228" s="122">
        <v>53160</v>
      </c>
      <c r="K3228" s="122">
        <v>55</v>
      </c>
      <c r="L3228" s="122">
        <v>11912</v>
      </c>
      <c r="M3228" s="122">
        <v>10829</v>
      </c>
      <c r="N3228" s="122">
        <v>7068</v>
      </c>
      <c r="O3228" s="122">
        <v>2618</v>
      </c>
      <c r="P3228" s="122">
        <v>351</v>
      </c>
      <c r="Q3228" s="122">
        <v>130</v>
      </c>
      <c r="R3228" s="122">
        <v>8299</v>
      </c>
      <c r="S3228" s="122">
        <v>7544</v>
      </c>
      <c r="T3228" s="122">
        <v>4431</v>
      </c>
      <c r="U3228" s="122">
        <v>1641</v>
      </c>
      <c r="V3228" s="122">
        <v>75922</v>
      </c>
      <c r="W3228" s="122">
        <f t="shared" si="102"/>
        <v>75922</v>
      </c>
      <c r="X3228" s="122">
        <f t="shared" si="103"/>
        <v>90537</v>
      </c>
    </row>
    <row r="3229" spans="2:24">
      <c r="B3229" t="s">
        <v>386</v>
      </c>
      <c r="C3229" t="s">
        <v>58</v>
      </c>
      <c r="D3229" t="s">
        <v>426</v>
      </c>
      <c r="E3229" t="s">
        <v>426</v>
      </c>
      <c r="F3229" s="122">
        <v>97</v>
      </c>
      <c r="G3229" s="122">
        <v>10818</v>
      </c>
      <c r="H3229" s="122">
        <v>26308</v>
      </c>
      <c r="I3229" s="122">
        <v>1860100</v>
      </c>
      <c r="J3229" s="122">
        <v>1691000</v>
      </c>
      <c r="K3229" s="122">
        <v>62</v>
      </c>
      <c r="L3229" s="122">
        <v>192863</v>
      </c>
      <c r="M3229" s="122">
        <v>143588</v>
      </c>
      <c r="N3229" s="122">
        <v>206140</v>
      </c>
      <c r="O3229" s="122">
        <v>76348</v>
      </c>
      <c r="P3229" s="122">
        <v>37341</v>
      </c>
      <c r="Q3229" s="122">
        <v>13830</v>
      </c>
      <c r="R3229" s="122">
        <v>490374</v>
      </c>
      <c r="S3229" s="122">
        <v>445795</v>
      </c>
      <c r="T3229" s="122">
        <v>208368</v>
      </c>
      <c r="U3229" s="122">
        <v>77173</v>
      </c>
      <c r="V3229" s="122">
        <v>2447735</v>
      </c>
      <c r="W3229" s="122">
        <f t="shared" si="102"/>
        <v>2447734</v>
      </c>
      <c r="X3229" s="122">
        <f t="shared" si="103"/>
        <v>2995186</v>
      </c>
    </row>
    <row r="3230" spans="2:24">
      <c r="B3230" t="s">
        <v>386</v>
      </c>
      <c r="C3230" t="s">
        <v>58</v>
      </c>
      <c r="D3230" t="s">
        <v>481</v>
      </c>
      <c r="E3230" t="s">
        <v>481</v>
      </c>
      <c r="F3230" s="122">
        <v>1</v>
      </c>
      <c r="G3230" s="122">
        <v>218</v>
      </c>
      <c r="H3230" s="122">
        <v>247</v>
      </c>
      <c r="I3230" s="122">
        <v>34610</v>
      </c>
      <c r="J3230" s="122">
        <v>31464</v>
      </c>
      <c r="K3230" s="122">
        <v>65</v>
      </c>
      <c r="L3230" s="122">
        <v>4545</v>
      </c>
      <c r="M3230" s="122">
        <v>4132</v>
      </c>
      <c r="N3230" s="122">
        <v>5150</v>
      </c>
      <c r="O3230" s="122">
        <v>1907</v>
      </c>
      <c r="P3230" s="122">
        <v>351</v>
      </c>
      <c r="Q3230" s="122">
        <v>130</v>
      </c>
      <c r="R3230" s="122">
        <v>5376</v>
      </c>
      <c r="S3230" s="122">
        <v>4888</v>
      </c>
      <c r="T3230" s="122">
        <v>3681</v>
      </c>
      <c r="U3230" s="122">
        <v>1363</v>
      </c>
      <c r="V3230" s="122">
        <v>43884</v>
      </c>
      <c r="W3230" s="122">
        <f t="shared" si="102"/>
        <v>43884</v>
      </c>
      <c r="X3230" s="122">
        <f t="shared" si="103"/>
        <v>53713</v>
      </c>
    </row>
    <row r="3231" spans="2:24">
      <c r="B3231" t="s">
        <v>386</v>
      </c>
      <c r="C3231" t="s">
        <v>58</v>
      </c>
      <c r="D3231" t="s">
        <v>408</v>
      </c>
      <c r="E3231" t="s">
        <v>408</v>
      </c>
      <c r="F3231" s="122">
        <v>5</v>
      </c>
      <c r="G3231" s="122">
        <v>890</v>
      </c>
      <c r="H3231" s="122">
        <v>1332</v>
      </c>
      <c r="I3231" s="122">
        <v>140076</v>
      </c>
      <c r="J3231" s="122">
        <v>127341</v>
      </c>
      <c r="K3231" s="122">
        <v>65</v>
      </c>
      <c r="L3231" s="122">
        <v>29376</v>
      </c>
      <c r="M3231" s="122">
        <v>26706</v>
      </c>
      <c r="N3231" s="122">
        <v>21350</v>
      </c>
      <c r="O3231" s="122">
        <v>7907</v>
      </c>
      <c r="P3231" s="122">
        <v>2376</v>
      </c>
      <c r="Q3231" s="122">
        <v>880</v>
      </c>
      <c r="R3231" s="122">
        <v>35046</v>
      </c>
      <c r="S3231" s="122">
        <v>31860</v>
      </c>
      <c r="T3231" s="122">
        <v>8664</v>
      </c>
      <c r="U3231" s="122">
        <v>3209</v>
      </c>
      <c r="V3231" s="122">
        <v>197903</v>
      </c>
      <c r="W3231" s="122">
        <f t="shared" si="102"/>
        <v>197903</v>
      </c>
      <c r="X3231" s="122">
        <f t="shared" si="103"/>
        <v>236888</v>
      </c>
    </row>
    <row r="3232" spans="2:24">
      <c r="B3232" t="s">
        <v>386</v>
      </c>
      <c r="C3232" t="s">
        <v>58</v>
      </c>
      <c r="D3232" t="s">
        <v>429</v>
      </c>
      <c r="E3232" t="s">
        <v>429</v>
      </c>
      <c r="F3232" s="122">
        <v>1</v>
      </c>
      <c r="G3232" s="122">
        <v>112</v>
      </c>
      <c r="H3232" s="122">
        <v>277</v>
      </c>
      <c r="I3232" s="122">
        <v>21803</v>
      </c>
      <c r="J3232" s="122">
        <v>19821</v>
      </c>
      <c r="K3232" s="122">
        <v>65</v>
      </c>
      <c r="L3232" s="122">
        <v>0</v>
      </c>
      <c r="M3232" s="122">
        <v>0</v>
      </c>
      <c r="N3232" s="122">
        <v>1736</v>
      </c>
      <c r="O3232" s="122">
        <v>643</v>
      </c>
      <c r="P3232" s="122">
        <v>351</v>
      </c>
      <c r="Q3232" s="122">
        <v>130</v>
      </c>
      <c r="R3232" s="122">
        <v>7220</v>
      </c>
      <c r="S3232" s="122">
        <v>6563</v>
      </c>
      <c r="T3232" s="122">
        <v>0</v>
      </c>
      <c r="U3232" s="122">
        <v>0</v>
      </c>
      <c r="V3232" s="122">
        <v>27157</v>
      </c>
      <c r="W3232" s="122">
        <f t="shared" si="102"/>
        <v>27157</v>
      </c>
      <c r="X3232" s="122">
        <f t="shared" si="103"/>
        <v>31110</v>
      </c>
    </row>
    <row r="3233" spans="2:24">
      <c r="B3233" t="s">
        <v>386</v>
      </c>
      <c r="C3233" t="s">
        <v>60</v>
      </c>
      <c r="D3233" t="s">
        <v>425</v>
      </c>
      <c r="E3233" t="s">
        <v>425</v>
      </c>
      <c r="F3233" s="122">
        <v>3</v>
      </c>
      <c r="G3233" s="122">
        <v>710</v>
      </c>
      <c r="H3233" s="122">
        <v>1049</v>
      </c>
      <c r="I3233" s="122">
        <v>175846</v>
      </c>
      <c r="J3233" s="122">
        <v>159860</v>
      </c>
      <c r="K3233" s="122">
        <v>74</v>
      </c>
      <c r="L3233" s="122">
        <v>38105</v>
      </c>
      <c r="M3233" s="122">
        <v>36045</v>
      </c>
      <c r="N3233" s="122">
        <v>16371</v>
      </c>
      <c r="O3233" s="122">
        <v>6063</v>
      </c>
      <c r="P3233" s="122">
        <v>1296</v>
      </c>
      <c r="Q3233" s="122">
        <v>480</v>
      </c>
      <c r="R3233" s="122">
        <v>16108</v>
      </c>
      <c r="S3233" s="122">
        <v>14643</v>
      </c>
      <c r="T3233" s="122">
        <v>9647</v>
      </c>
      <c r="U3233" s="122">
        <v>3573</v>
      </c>
      <c r="V3233" s="122">
        <v>220665</v>
      </c>
      <c r="W3233" s="122">
        <f t="shared" si="102"/>
        <v>220664</v>
      </c>
      <c r="X3233" s="122">
        <f t="shared" si="103"/>
        <v>257373</v>
      </c>
    </row>
    <row r="3234" spans="2:24">
      <c r="B3234" t="s">
        <v>386</v>
      </c>
      <c r="C3234" t="s">
        <v>60</v>
      </c>
      <c r="D3234" t="s">
        <v>425</v>
      </c>
      <c r="E3234" t="s">
        <v>405</v>
      </c>
      <c r="F3234" s="122">
        <v>1</v>
      </c>
      <c r="G3234" s="122">
        <v>95</v>
      </c>
      <c r="H3234" s="122">
        <v>314</v>
      </c>
      <c r="I3234" s="122">
        <v>17190</v>
      </c>
      <c r="J3234" s="122">
        <v>15627</v>
      </c>
      <c r="K3234" s="122">
        <v>73</v>
      </c>
      <c r="L3234" s="122">
        <v>4418</v>
      </c>
      <c r="M3234" s="122">
        <v>4017</v>
      </c>
      <c r="N3234" s="122">
        <v>2262</v>
      </c>
      <c r="O3234" s="122">
        <v>838</v>
      </c>
      <c r="P3234" s="122">
        <v>351</v>
      </c>
      <c r="Q3234" s="122">
        <v>130</v>
      </c>
      <c r="R3234" s="122">
        <v>5655</v>
      </c>
      <c r="S3234" s="122">
        <v>5141</v>
      </c>
      <c r="T3234" s="122">
        <v>0</v>
      </c>
      <c r="U3234" s="122">
        <v>0</v>
      </c>
      <c r="V3234" s="122">
        <v>25753</v>
      </c>
      <c r="W3234" s="122">
        <f t="shared" si="102"/>
        <v>25753</v>
      </c>
      <c r="X3234" s="122">
        <f t="shared" si="103"/>
        <v>29876</v>
      </c>
    </row>
    <row r="3235" spans="2:24">
      <c r="B3235" t="s">
        <v>386</v>
      </c>
      <c r="C3235" t="s">
        <v>60</v>
      </c>
      <c r="D3235" t="s">
        <v>425</v>
      </c>
      <c r="E3235" t="s">
        <v>137</v>
      </c>
      <c r="F3235" s="122">
        <v>1</v>
      </c>
      <c r="G3235" s="122">
        <v>94</v>
      </c>
      <c r="H3235" s="122">
        <v>360</v>
      </c>
      <c r="I3235" s="122">
        <v>20507</v>
      </c>
      <c r="J3235" s="122">
        <v>18643</v>
      </c>
      <c r="K3235" s="122">
        <v>50</v>
      </c>
      <c r="L3235" s="122">
        <v>2796</v>
      </c>
      <c r="M3235" s="122">
        <v>1036</v>
      </c>
      <c r="N3235" s="122">
        <v>2285</v>
      </c>
      <c r="O3235" s="122">
        <v>846</v>
      </c>
      <c r="P3235" s="122">
        <v>0</v>
      </c>
      <c r="Q3235" s="122">
        <v>0</v>
      </c>
      <c r="R3235" s="122">
        <v>8194</v>
      </c>
      <c r="S3235" s="122">
        <v>3035</v>
      </c>
      <c r="T3235" s="122">
        <v>0</v>
      </c>
      <c r="U3235" s="122">
        <v>0</v>
      </c>
      <c r="V3235" s="122">
        <v>23560</v>
      </c>
      <c r="W3235" s="122">
        <f t="shared" si="102"/>
        <v>23560</v>
      </c>
      <c r="X3235" s="122">
        <f t="shared" si="103"/>
        <v>33782</v>
      </c>
    </row>
    <row r="3236" spans="2:24">
      <c r="B3236" t="s">
        <v>386</v>
      </c>
      <c r="C3236" t="s">
        <v>60</v>
      </c>
      <c r="D3236" t="s">
        <v>405</v>
      </c>
      <c r="E3236" t="s">
        <v>425</v>
      </c>
      <c r="F3236" s="122">
        <v>1</v>
      </c>
      <c r="G3236" s="122">
        <v>118</v>
      </c>
      <c r="H3236" s="122">
        <v>323</v>
      </c>
      <c r="I3236" s="122">
        <v>25069</v>
      </c>
      <c r="J3236" s="122">
        <v>22790</v>
      </c>
      <c r="K3236" s="122">
        <v>65</v>
      </c>
      <c r="L3236" s="122">
        <v>2869</v>
      </c>
      <c r="M3236" s="122">
        <v>2608</v>
      </c>
      <c r="N3236" s="122">
        <v>1870</v>
      </c>
      <c r="O3236" s="122">
        <v>693</v>
      </c>
      <c r="P3236" s="122">
        <v>621</v>
      </c>
      <c r="Q3236" s="122">
        <v>230</v>
      </c>
      <c r="R3236" s="122">
        <v>5008</v>
      </c>
      <c r="S3236" s="122">
        <v>4553</v>
      </c>
      <c r="T3236" s="122">
        <v>2652</v>
      </c>
      <c r="U3236" s="122">
        <v>982</v>
      </c>
      <c r="V3236" s="122">
        <v>31855</v>
      </c>
      <c r="W3236" s="122">
        <f t="shared" si="102"/>
        <v>31856</v>
      </c>
      <c r="X3236" s="122">
        <f t="shared" si="103"/>
        <v>38089</v>
      </c>
    </row>
    <row r="3237" spans="2:24">
      <c r="B3237" t="s">
        <v>386</v>
      </c>
      <c r="C3237" t="s">
        <v>60</v>
      </c>
      <c r="D3237" t="s">
        <v>405</v>
      </c>
      <c r="E3237" t="s">
        <v>405</v>
      </c>
      <c r="F3237" s="122">
        <v>27</v>
      </c>
      <c r="G3237" s="122">
        <v>3663</v>
      </c>
      <c r="H3237" s="122">
        <v>9151</v>
      </c>
      <c r="I3237" s="122">
        <v>847269</v>
      </c>
      <c r="J3237" s="122">
        <v>770245</v>
      </c>
      <c r="K3237" s="122">
        <v>79</v>
      </c>
      <c r="L3237" s="122">
        <v>171779</v>
      </c>
      <c r="M3237" s="122">
        <v>154625</v>
      </c>
      <c r="N3237" s="122">
        <v>73413</v>
      </c>
      <c r="O3237" s="122">
        <v>27190</v>
      </c>
      <c r="P3237" s="122">
        <v>13082</v>
      </c>
      <c r="Q3237" s="122">
        <v>4845</v>
      </c>
      <c r="R3237" s="122">
        <v>146891</v>
      </c>
      <c r="S3237" s="122">
        <v>133537</v>
      </c>
      <c r="T3237" s="122">
        <v>29769</v>
      </c>
      <c r="U3237" s="122">
        <v>11025</v>
      </c>
      <c r="V3237" s="122">
        <v>1101467</v>
      </c>
      <c r="W3237" s="122">
        <f t="shared" si="102"/>
        <v>1101467</v>
      </c>
      <c r="X3237" s="122">
        <f t="shared" si="103"/>
        <v>1282203</v>
      </c>
    </row>
    <row r="3238" spans="2:24">
      <c r="B3238" t="s">
        <v>386</v>
      </c>
      <c r="C3238" t="s">
        <v>60</v>
      </c>
      <c r="D3238" t="s">
        <v>405</v>
      </c>
      <c r="E3238" t="s">
        <v>137</v>
      </c>
      <c r="F3238" s="122">
        <v>1</v>
      </c>
      <c r="G3238" s="122">
        <v>116</v>
      </c>
      <c r="H3238" s="122">
        <v>323</v>
      </c>
      <c r="I3238" s="122">
        <v>17854</v>
      </c>
      <c r="J3238" s="122">
        <v>16231</v>
      </c>
      <c r="K3238" s="122">
        <v>93</v>
      </c>
      <c r="L3238" s="122">
        <v>5819</v>
      </c>
      <c r="M3238" s="122">
        <v>5290</v>
      </c>
      <c r="N3238" s="122">
        <v>2671</v>
      </c>
      <c r="O3238" s="122">
        <v>989</v>
      </c>
      <c r="P3238" s="122">
        <v>473</v>
      </c>
      <c r="Q3238" s="122">
        <v>175</v>
      </c>
      <c r="R3238" s="122">
        <v>10659</v>
      </c>
      <c r="S3238" s="122">
        <v>3948</v>
      </c>
      <c r="T3238" s="122">
        <v>0</v>
      </c>
      <c r="U3238" s="122">
        <v>0</v>
      </c>
      <c r="V3238" s="122">
        <v>26633</v>
      </c>
      <c r="W3238" s="122">
        <f t="shared" si="102"/>
        <v>26633</v>
      </c>
      <c r="X3238" s="122">
        <f t="shared" si="103"/>
        <v>37476</v>
      </c>
    </row>
    <row r="3239" spans="2:24">
      <c r="B3239" t="s">
        <v>386</v>
      </c>
      <c r="C3239" t="s">
        <v>60</v>
      </c>
      <c r="D3239" t="s">
        <v>137</v>
      </c>
      <c r="E3239" t="s">
        <v>137</v>
      </c>
      <c r="F3239" s="122">
        <v>214</v>
      </c>
      <c r="G3239" s="122">
        <v>21390</v>
      </c>
      <c r="H3239" s="122">
        <v>72332</v>
      </c>
      <c r="I3239" s="122">
        <v>4628774</v>
      </c>
      <c r="J3239" s="122">
        <v>1714361</v>
      </c>
      <c r="K3239" s="122">
        <v>100</v>
      </c>
      <c r="L3239" s="122">
        <v>867685</v>
      </c>
      <c r="M3239" s="122">
        <v>664620</v>
      </c>
      <c r="N3239" s="122">
        <v>480234</v>
      </c>
      <c r="O3239" s="122">
        <v>177864</v>
      </c>
      <c r="P3239" s="122">
        <v>1033</v>
      </c>
      <c r="Q3239" s="122">
        <v>382</v>
      </c>
      <c r="R3239" s="122">
        <v>1719508</v>
      </c>
      <c r="S3239" s="122">
        <v>636855</v>
      </c>
      <c r="T3239" s="122">
        <v>2421</v>
      </c>
      <c r="U3239" s="122">
        <v>897</v>
      </c>
      <c r="V3239" s="122">
        <v>3194979</v>
      </c>
      <c r="W3239" s="122">
        <f t="shared" si="102"/>
        <v>3194979</v>
      </c>
      <c r="X3239" s="122">
        <f t="shared" si="103"/>
        <v>7699655</v>
      </c>
    </row>
    <row r="3240" spans="2:24">
      <c r="B3240" t="s">
        <v>386</v>
      </c>
      <c r="C3240" t="s">
        <v>60</v>
      </c>
      <c r="D3240" t="s">
        <v>137</v>
      </c>
      <c r="E3240" t="s">
        <v>426</v>
      </c>
      <c r="F3240" s="122">
        <v>5</v>
      </c>
      <c r="G3240" s="122">
        <v>480</v>
      </c>
      <c r="H3240" s="122">
        <v>1759</v>
      </c>
      <c r="I3240" s="122">
        <v>117874</v>
      </c>
      <c r="J3240" s="122">
        <v>43657</v>
      </c>
      <c r="K3240" s="122">
        <v>100</v>
      </c>
      <c r="L3240" s="122">
        <v>11862</v>
      </c>
      <c r="M3240" s="122">
        <v>12916</v>
      </c>
      <c r="N3240" s="122">
        <v>8880</v>
      </c>
      <c r="O3240" s="122">
        <v>3289</v>
      </c>
      <c r="P3240" s="122">
        <v>351</v>
      </c>
      <c r="Q3240" s="122">
        <v>130</v>
      </c>
      <c r="R3240" s="122">
        <v>24935</v>
      </c>
      <c r="S3240" s="122">
        <v>22668</v>
      </c>
      <c r="T3240" s="122">
        <v>6251</v>
      </c>
      <c r="U3240" s="122">
        <v>2315</v>
      </c>
      <c r="V3240" s="122">
        <v>84975</v>
      </c>
      <c r="W3240" s="122">
        <f t="shared" si="102"/>
        <v>84975</v>
      </c>
      <c r="X3240" s="122">
        <f t="shared" si="103"/>
        <v>170153</v>
      </c>
    </row>
    <row r="3241" spans="2:24">
      <c r="B3241" t="s">
        <v>386</v>
      </c>
      <c r="C3241" t="s">
        <v>60</v>
      </c>
      <c r="D3241" t="s">
        <v>406</v>
      </c>
      <c r="E3241" t="s">
        <v>425</v>
      </c>
      <c r="F3241" s="122">
        <v>1</v>
      </c>
      <c r="G3241" s="122">
        <v>414</v>
      </c>
      <c r="H3241" s="122">
        <v>346</v>
      </c>
      <c r="I3241" s="122">
        <v>90338</v>
      </c>
      <c r="J3241" s="122">
        <v>82125</v>
      </c>
      <c r="K3241" s="122">
        <v>94</v>
      </c>
      <c r="L3241" s="122">
        <v>32631</v>
      </c>
      <c r="M3241" s="122">
        <v>27193</v>
      </c>
      <c r="N3241" s="122">
        <v>9336</v>
      </c>
      <c r="O3241" s="122">
        <v>3458</v>
      </c>
      <c r="P3241" s="122">
        <v>621</v>
      </c>
      <c r="Q3241" s="122">
        <v>230</v>
      </c>
      <c r="R3241" s="122">
        <v>10616</v>
      </c>
      <c r="S3241" s="122">
        <v>9651</v>
      </c>
      <c r="T3241" s="122">
        <v>0</v>
      </c>
      <c r="U3241" s="122">
        <v>0</v>
      </c>
      <c r="V3241" s="122">
        <v>122657</v>
      </c>
      <c r="W3241" s="122">
        <f t="shared" si="102"/>
        <v>122657</v>
      </c>
      <c r="X3241" s="122">
        <f t="shared" si="103"/>
        <v>143542</v>
      </c>
    </row>
    <row r="3242" spans="2:24">
      <c r="B3242" t="s">
        <v>386</v>
      </c>
      <c r="C3242" t="s">
        <v>60</v>
      </c>
      <c r="D3242" t="s">
        <v>406</v>
      </c>
      <c r="E3242" t="s">
        <v>137</v>
      </c>
      <c r="F3242" s="122">
        <v>8</v>
      </c>
      <c r="G3242" s="122">
        <v>765</v>
      </c>
      <c r="H3242" s="122">
        <v>2766</v>
      </c>
      <c r="I3242" s="122">
        <v>152193</v>
      </c>
      <c r="J3242" s="122">
        <v>138357</v>
      </c>
      <c r="K3242" s="122">
        <v>83</v>
      </c>
      <c r="L3242" s="122">
        <v>25821</v>
      </c>
      <c r="M3242" s="122">
        <v>18670</v>
      </c>
      <c r="N3242" s="122">
        <v>15757</v>
      </c>
      <c r="O3242" s="122">
        <v>5836</v>
      </c>
      <c r="P3242" s="122">
        <v>4968</v>
      </c>
      <c r="Q3242" s="122">
        <v>1840</v>
      </c>
      <c r="R3242" s="122">
        <v>58788</v>
      </c>
      <c r="S3242" s="122">
        <v>21773</v>
      </c>
      <c r="T3242" s="122">
        <v>4717</v>
      </c>
      <c r="U3242" s="122">
        <v>1747</v>
      </c>
      <c r="V3242" s="122">
        <v>188223</v>
      </c>
      <c r="W3242" s="122">
        <f t="shared" si="102"/>
        <v>188223</v>
      </c>
      <c r="X3242" s="122">
        <f t="shared" si="103"/>
        <v>262244</v>
      </c>
    </row>
    <row r="3243" spans="2:24">
      <c r="B3243" t="s">
        <v>386</v>
      </c>
      <c r="C3243" t="s">
        <v>60</v>
      </c>
      <c r="D3243" t="s">
        <v>406</v>
      </c>
      <c r="E3243" t="s">
        <v>406</v>
      </c>
      <c r="F3243" s="122">
        <v>935</v>
      </c>
      <c r="G3243" s="122">
        <v>113175</v>
      </c>
      <c r="H3243" s="122">
        <v>315361</v>
      </c>
      <c r="I3243" s="122">
        <v>24517096</v>
      </c>
      <c r="J3243" s="122">
        <v>22288269</v>
      </c>
      <c r="K3243" s="122">
        <v>76</v>
      </c>
      <c r="L3243" s="122">
        <v>4706435</v>
      </c>
      <c r="M3243" s="122">
        <v>4192654</v>
      </c>
      <c r="N3243" s="122">
        <v>2337657</v>
      </c>
      <c r="O3243" s="122">
        <v>865799</v>
      </c>
      <c r="P3243" s="122">
        <v>604611</v>
      </c>
      <c r="Q3243" s="122">
        <v>223930</v>
      </c>
      <c r="R3243" s="122">
        <v>4935843</v>
      </c>
      <c r="S3243" s="122">
        <v>4487130</v>
      </c>
      <c r="T3243" s="122">
        <v>1761006</v>
      </c>
      <c r="U3243" s="122">
        <v>652224</v>
      </c>
      <c r="V3243" s="122">
        <v>32710006</v>
      </c>
      <c r="W3243" s="122">
        <f t="shared" si="102"/>
        <v>32710006</v>
      </c>
      <c r="X3243" s="122">
        <f t="shared" si="103"/>
        <v>38862648</v>
      </c>
    </row>
    <row r="3244" spans="2:24">
      <c r="B3244" t="s">
        <v>386</v>
      </c>
      <c r="C3244" t="s">
        <v>60</v>
      </c>
      <c r="D3244" t="s">
        <v>406</v>
      </c>
      <c r="E3244" t="s">
        <v>407</v>
      </c>
      <c r="F3244" s="122">
        <v>1</v>
      </c>
      <c r="G3244" s="122">
        <v>97</v>
      </c>
      <c r="H3244" s="122">
        <v>303</v>
      </c>
      <c r="I3244" s="122">
        <v>16475</v>
      </c>
      <c r="J3244" s="122">
        <v>14977</v>
      </c>
      <c r="K3244" s="122">
        <v>70</v>
      </c>
      <c r="L3244" s="122">
        <v>6086</v>
      </c>
      <c r="M3244" s="122">
        <v>5533</v>
      </c>
      <c r="N3244" s="122">
        <v>2202</v>
      </c>
      <c r="O3244" s="122">
        <v>815</v>
      </c>
      <c r="P3244" s="122">
        <v>621</v>
      </c>
      <c r="Q3244" s="122">
        <v>230</v>
      </c>
      <c r="R3244" s="122">
        <v>2834</v>
      </c>
      <c r="S3244" s="122">
        <v>2577</v>
      </c>
      <c r="T3244" s="122">
        <v>1079</v>
      </c>
      <c r="U3244" s="122">
        <v>400</v>
      </c>
      <c r="V3244" s="122">
        <v>24532</v>
      </c>
      <c r="W3244" s="122">
        <f t="shared" ref="W3244:W3307" si="104">SUM(ABS(J3244),ABS(M3244),ABS(O3244),ABS(Q3244),ABS(S3244),ABS(U3244))</f>
        <v>24532</v>
      </c>
      <c r="X3244" s="122">
        <f t="shared" ref="X3244:X3307" si="105">SUM(ABS(I3244),ABS(N3244),ABS(P3244),ABS(R3244),ABS(T3244),ABS(L3244))</f>
        <v>29297</v>
      </c>
    </row>
    <row r="3245" spans="2:24">
      <c r="B3245" t="s">
        <v>386</v>
      </c>
      <c r="C3245" t="s">
        <v>60</v>
      </c>
      <c r="D3245" t="s">
        <v>406</v>
      </c>
      <c r="E3245" t="s">
        <v>426</v>
      </c>
      <c r="F3245" s="122">
        <v>2</v>
      </c>
      <c r="G3245" s="122">
        <v>287</v>
      </c>
      <c r="H3245" s="122">
        <v>722</v>
      </c>
      <c r="I3245" s="122">
        <v>69462</v>
      </c>
      <c r="J3245" s="122">
        <v>63147</v>
      </c>
      <c r="K3245" s="122">
        <v>75</v>
      </c>
      <c r="L3245" s="122">
        <v>11301</v>
      </c>
      <c r="M3245" s="122">
        <v>10274</v>
      </c>
      <c r="N3245" s="122">
        <v>6064</v>
      </c>
      <c r="O3245" s="122">
        <v>2246</v>
      </c>
      <c r="P3245" s="122">
        <v>1242</v>
      </c>
      <c r="Q3245" s="122">
        <v>460</v>
      </c>
      <c r="R3245" s="122">
        <v>13351</v>
      </c>
      <c r="S3245" s="122">
        <v>12137</v>
      </c>
      <c r="T3245" s="122">
        <v>3117</v>
      </c>
      <c r="U3245" s="122">
        <v>1154</v>
      </c>
      <c r="V3245" s="122">
        <v>89419</v>
      </c>
      <c r="W3245" s="122">
        <f t="shared" si="104"/>
        <v>89418</v>
      </c>
      <c r="X3245" s="122">
        <f t="shared" si="105"/>
        <v>104537</v>
      </c>
    </row>
    <row r="3246" spans="2:24">
      <c r="B3246" t="s">
        <v>386</v>
      </c>
      <c r="C3246" t="s">
        <v>60</v>
      </c>
      <c r="D3246" t="s">
        <v>427</v>
      </c>
      <c r="E3246" t="s">
        <v>137</v>
      </c>
      <c r="F3246" s="122">
        <v>4</v>
      </c>
      <c r="G3246" s="122">
        <v>448</v>
      </c>
      <c r="H3246" s="122">
        <v>1440</v>
      </c>
      <c r="I3246" s="122">
        <v>101671</v>
      </c>
      <c r="J3246" s="122">
        <v>92428</v>
      </c>
      <c r="K3246" s="122">
        <v>54</v>
      </c>
      <c r="L3246" s="122">
        <v>12893</v>
      </c>
      <c r="M3246" s="122">
        <v>9742</v>
      </c>
      <c r="N3246" s="122">
        <v>7980</v>
      </c>
      <c r="O3246" s="122">
        <v>2956</v>
      </c>
      <c r="P3246" s="122">
        <v>0</v>
      </c>
      <c r="Q3246" s="122">
        <v>0</v>
      </c>
      <c r="R3246" s="122">
        <v>40333</v>
      </c>
      <c r="S3246" s="122">
        <v>14938</v>
      </c>
      <c r="T3246" s="122">
        <v>0</v>
      </c>
      <c r="U3246" s="122">
        <v>0</v>
      </c>
      <c r="V3246" s="122">
        <v>120064</v>
      </c>
      <c r="W3246" s="122">
        <f t="shared" si="104"/>
        <v>120064</v>
      </c>
      <c r="X3246" s="122">
        <f t="shared" si="105"/>
        <v>162877</v>
      </c>
    </row>
    <row r="3247" spans="2:24">
      <c r="B3247" t="s">
        <v>386</v>
      </c>
      <c r="C3247" t="s">
        <v>60</v>
      </c>
      <c r="D3247" t="s">
        <v>427</v>
      </c>
      <c r="E3247" t="s">
        <v>427</v>
      </c>
      <c r="F3247" s="122">
        <v>12</v>
      </c>
      <c r="G3247" s="122">
        <v>1187</v>
      </c>
      <c r="H3247" s="122">
        <v>3990</v>
      </c>
      <c r="I3247" s="122">
        <v>237853</v>
      </c>
      <c r="J3247" s="122">
        <v>216230</v>
      </c>
      <c r="K3247" s="122">
        <v>59</v>
      </c>
      <c r="L3247" s="122">
        <v>36839</v>
      </c>
      <c r="M3247" s="122">
        <v>30795</v>
      </c>
      <c r="N3247" s="122">
        <v>23270</v>
      </c>
      <c r="O3247" s="122">
        <v>8619</v>
      </c>
      <c r="P3247" s="122">
        <v>4212</v>
      </c>
      <c r="Q3247" s="122">
        <v>1560</v>
      </c>
      <c r="R3247" s="122">
        <v>69886</v>
      </c>
      <c r="S3247" s="122">
        <v>63533</v>
      </c>
      <c r="T3247" s="122">
        <v>20066</v>
      </c>
      <c r="U3247" s="122">
        <v>7432</v>
      </c>
      <c r="V3247" s="122">
        <v>328168</v>
      </c>
      <c r="W3247" s="122">
        <f t="shared" si="104"/>
        <v>328169</v>
      </c>
      <c r="X3247" s="122">
        <f t="shared" si="105"/>
        <v>392126</v>
      </c>
    </row>
    <row r="3248" spans="2:24">
      <c r="B3248" t="s">
        <v>386</v>
      </c>
      <c r="C3248" t="s">
        <v>60</v>
      </c>
      <c r="D3248" t="s">
        <v>407</v>
      </c>
      <c r="E3248" t="s">
        <v>407</v>
      </c>
      <c r="F3248" s="122">
        <v>5</v>
      </c>
      <c r="G3248" s="122">
        <v>634</v>
      </c>
      <c r="H3248" s="122">
        <v>1557</v>
      </c>
      <c r="I3248" s="122">
        <v>117386</v>
      </c>
      <c r="J3248" s="122">
        <v>106714</v>
      </c>
      <c r="K3248" s="122">
        <v>76</v>
      </c>
      <c r="L3248" s="122">
        <v>26652</v>
      </c>
      <c r="M3248" s="122">
        <v>24229</v>
      </c>
      <c r="N3248" s="122">
        <v>13968</v>
      </c>
      <c r="O3248" s="122">
        <v>5173</v>
      </c>
      <c r="P3248" s="122">
        <v>2363</v>
      </c>
      <c r="Q3248" s="122">
        <v>875</v>
      </c>
      <c r="R3248" s="122">
        <v>24903</v>
      </c>
      <c r="S3248" s="122">
        <v>22639</v>
      </c>
      <c r="T3248" s="122">
        <v>12350</v>
      </c>
      <c r="U3248" s="122">
        <v>4574</v>
      </c>
      <c r="V3248" s="122">
        <v>164204</v>
      </c>
      <c r="W3248" s="122">
        <f t="shared" si="104"/>
        <v>164204</v>
      </c>
      <c r="X3248" s="122">
        <f t="shared" si="105"/>
        <v>197622</v>
      </c>
    </row>
    <row r="3249" spans="2:24">
      <c r="B3249" t="s">
        <v>386</v>
      </c>
      <c r="C3249" t="s">
        <v>60</v>
      </c>
      <c r="D3249" t="s">
        <v>556</v>
      </c>
      <c r="E3249" t="s">
        <v>137</v>
      </c>
      <c r="F3249" s="122">
        <v>2</v>
      </c>
      <c r="G3249" s="122">
        <v>179</v>
      </c>
      <c r="H3249" s="122">
        <v>688</v>
      </c>
      <c r="I3249" s="122">
        <v>28140</v>
      </c>
      <c r="J3249" s="122">
        <v>23450</v>
      </c>
      <c r="K3249" s="122">
        <v>65</v>
      </c>
      <c r="L3249" s="122">
        <v>0</v>
      </c>
      <c r="M3249" s="122">
        <v>0</v>
      </c>
      <c r="N3249" s="122">
        <v>3710</v>
      </c>
      <c r="O3249" s="122">
        <v>1374</v>
      </c>
      <c r="P3249" s="122">
        <v>702</v>
      </c>
      <c r="Q3249" s="122">
        <v>260</v>
      </c>
      <c r="R3249" s="122">
        <v>23315</v>
      </c>
      <c r="S3249" s="122">
        <v>8635</v>
      </c>
      <c r="T3249" s="122">
        <v>5290</v>
      </c>
      <c r="U3249" s="122">
        <v>1959</v>
      </c>
      <c r="V3249" s="122">
        <v>35679</v>
      </c>
      <c r="W3249" s="122">
        <f t="shared" si="104"/>
        <v>35678</v>
      </c>
      <c r="X3249" s="122">
        <f t="shared" si="105"/>
        <v>61157</v>
      </c>
    </row>
    <row r="3250" spans="2:24">
      <c r="B3250" t="s">
        <v>386</v>
      </c>
      <c r="C3250" t="s">
        <v>60</v>
      </c>
      <c r="D3250" t="s">
        <v>556</v>
      </c>
      <c r="E3250" t="s">
        <v>556</v>
      </c>
      <c r="F3250" s="122">
        <v>6</v>
      </c>
      <c r="G3250" s="122">
        <v>465</v>
      </c>
      <c r="H3250" s="122">
        <v>2125</v>
      </c>
      <c r="I3250" s="122">
        <v>99104</v>
      </c>
      <c r="J3250" s="122">
        <v>82587</v>
      </c>
      <c r="K3250" s="122">
        <v>55</v>
      </c>
      <c r="L3250" s="122">
        <v>5033</v>
      </c>
      <c r="M3250" s="122">
        <v>2476</v>
      </c>
      <c r="N3250" s="122">
        <v>7991</v>
      </c>
      <c r="O3250" s="122">
        <v>2960</v>
      </c>
      <c r="P3250" s="122">
        <v>2106</v>
      </c>
      <c r="Q3250" s="122">
        <v>780</v>
      </c>
      <c r="R3250" s="122">
        <v>34579</v>
      </c>
      <c r="S3250" s="122">
        <v>28816</v>
      </c>
      <c r="T3250" s="122">
        <v>14555</v>
      </c>
      <c r="U3250" s="122">
        <v>5391</v>
      </c>
      <c r="V3250" s="122">
        <v>123009</v>
      </c>
      <c r="W3250" s="122">
        <f t="shared" si="104"/>
        <v>123010</v>
      </c>
      <c r="X3250" s="122">
        <f t="shared" si="105"/>
        <v>163368</v>
      </c>
    </row>
    <row r="3251" spans="2:24">
      <c r="B3251" t="s">
        <v>386</v>
      </c>
      <c r="C3251" t="s">
        <v>60</v>
      </c>
      <c r="D3251" t="s">
        <v>431</v>
      </c>
      <c r="E3251" t="s">
        <v>431</v>
      </c>
      <c r="F3251" s="122">
        <v>1</v>
      </c>
      <c r="G3251" s="122">
        <v>104</v>
      </c>
      <c r="H3251" s="122">
        <v>333</v>
      </c>
      <c r="I3251" s="122">
        <v>21813</v>
      </c>
      <c r="J3251" s="122">
        <v>19830</v>
      </c>
      <c r="K3251" s="122">
        <v>65</v>
      </c>
      <c r="L3251" s="122">
        <v>2626</v>
      </c>
      <c r="M3251" s="122">
        <v>2387</v>
      </c>
      <c r="N3251" s="122">
        <v>1908</v>
      </c>
      <c r="O3251" s="122">
        <v>707</v>
      </c>
      <c r="P3251" s="122">
        <v>351</v>
      </c>
      <c r="Q3251" s="122">
        <v>130</v>
      </c>
      <c r="R3251" s="122">
        <v>5110</v>
      </c>
      <c r="S3251" s="122">
        <v>4646</v>
      </c>
      <c r="T3251" s="122">
        <v>2929</v>
      </c>
      <c r="U3251" s="122">
        <v>1085</v>
      </c>
      <c r="V3251" s="122">
        <v>28784</v>
      </c>
      <c r="W3251" s="122">
        <f t="shared" si="104"/>
        <v>28785</v>
      </c>
      <c r="X3251" s="122">
        <f t="shared" si="105"/>
        <v>34737</v>
      </c>
    </row>
    <row r="3252" spans="2:24">
      <c r="B3252" t="s">
        <v>386</v>
      </c>
      <c r="C3252" t="s">
        <v>60</v>
      </c>
      <c r="D3252" t="s">
        <v>426</v>
      </c>
      <c r="E3252" t="s">
        <v>137</v>
      </c>
      <c r="F3252" s="122">
        <v>10</v>
      </c>
      <c r="G3252" s="122">
        <v>1018</v>
      </c>
      <c r="H3252" s="122">
        <v>3491</v>
      </c>
      <c r="I3252" s="122">
        <v>242347</v>
      </c>
      <c r="J3252" s="122">
        <v>220315</v>
      </c>
      <c r="K3252" s="122">
        <v>54</v>
      </c>
      <c r="L3252" s="122">
        <v>28170</v>
      </c>
      <c r="M3252" s="122">
        <v>18498</v>
      </c>
      <c r="N3252" s="122">
        <v>24251</v>
      </c>
      <c r="O3252" s="122">
        <v>8982</v>
      </c>
      <c r="P3252" s="122">
        <v>702</v>
      </c>
      <c r="Q3252" s="122">
        <v>260</v>
      </c>
      <c r="R3252" s="122">
        <v>78510</v>
      </c>
      <c r="S3252" s="122">
        <v>29078</v>
      </c>
      <c r="T3252" s="122">
        <v>0</v>
      </c>
      <c r="U3252" s="122">
        <v>0</v>
      </c>
      <c r="V3252" s="122">
        <v>277133</v>
      </c>
      <c r="W3252" s="122">
        <f t="shared" si="104"/>
        <v>277133</v>
      </c>
      <c r="X3252" s="122">
        <f t="shared" si="105"/>
        <v>373980</v>
      </c>
    </row>
    <row r="3253" spans="2:24">
      <c r="B3253" t="s">
        <v>386</v>
      </c>
      <c r="C3253" t="s">
        <v>60</v>
      </c>
      <c r="D3253" t="s">
        <v>426</v>
      </c>
      <c r="E3253" t="s">
        <v>556</v>
      </c>
      <c r="F3253" s="122">
        <v>1</v>
      </c>
      <c r="G3253" s="122">
        <v>340</v>
      </c>
      <c r="H3253" s="122">
        <v>346</v>
      </c>
      <c r="I3253" s="122">
        <v>82191</v>
      </c>
      <c r="J3253" s="122">
        <v>74719</v>
      </c>
      <c r="K3253" s="122">
        <v>65</v>
      </c>
      <c r="L3253" s="122">
        <v>7514</v>
      </c>
      <c r="M3253" s="122">
        <v>6831</v>
      </c>
      <c r="N3253" s="122">
        <v>7824</v>
      </c>
      <c r="O3253" s="122">
        <v>2898</v>
      </c>
      <c r="P3253" s="122">
        <v>1323</v>
      </c>
      <c r="Q3253" s="122">
        <v>490</v>
      </c>
      <c r="R3253" s="122">
        <v>11495</v>
      </c>
      <c r="S3253" s="122">
        <v>9579</v>
      </c>
      <c r="T3253" s="122">
        <v>7193</v>
      </c>
      <c r="U3253" s="122">
        <v>2664</v>
      </c>
      <c r="V3253" s="122">
        <v>97181</v>
      </c>
      <c r="W3253" s="122">
        <f t="shared" si="104"/>
        <v>97181</v>
      </c>
      <c r="X3253" s="122">
        <f t="shared" si="105"/>
        <v>117540</v>
      </c>
    </row>
    <row r="3254" spans="2:24">
      <c r="B3254" t="s">
        <v>386</v>
      </c>
      <c r="C3254" t="s">
        <v>60</v>
      </c>
      <c r="D3254" t="s">
        <v>426</v>
      </c>
      <c r="E3254" t="s">
        <v>426</v>
      </c>
      <c r="F3254" s="122">
        <v>166</v>
      </c>
      <c r="G3254" s="122">
        <v>15445</v>
      </c>
      <c r="H3254" s="122">
        <v>56073</v>
      </c>
      <c r="I3254" s="122">
        <v>3413005</v>
      </c>
      <c r="J3254" s="122">
        <v>3102732</v>
      </c>
      <c r="K3254" s="122">
        <v>58</v>
      </c>
      <c r="L3254" s="122">
        <v>328710</v>
      </c>
      <c r="M3254" s="122">
        <v>250427</v>
      </c>
      <c r="N3254" s="122">
        <v>303561</v>
      </c>
      <c r="O3254" s="122">
        <v>112430</v>
      </c>
      <c r="P3254" s="122">
        <v>61479</v>
      </c>
      <c r="Q3254" s="122">
        <v>22770</v>
      </c>
      <c r="R3254" s="122">
        <v>852499</v>
      </c>
      <c r="S3254" s="122">
        <v>774999</v>
      </c>
      <c r="T3254" s="122">
        <v>375238</v>
      </c>
      <c r="U3254" s="122">
        <v>138977</v>
      </c>
      <c r="V3254" s="122">
        <v>4402334</v>
      </c>
      <c r="W3254" s="122">
        <f t="shared" si="104"/>
        <v>4402335</v>
      </c>
      <c r="X3254" s="122">
        <f t="shared" si="105"/>
        <v>5334492</v>
      </c>
    </row>
    <row r="3255" spans="2:24">
      <c r="B3255" t="s">
        <v>386</v>
      </c>
      <c r="C3255" t="s">
        <v>60</v>
      </c>
      <c r="D3255" t="s">
        <v>426</v>
      </c>
      <c r="E3255" t="s">
        <v>481</v>
      </c>
      <c r="F3255" s="122">
        <v>1</v>
      </c>
      <c r="G3255" s="122">
        <v>86</v>
      </c>
      <c r="H3255" s="122">
        <v>354</v>
      </c>
      <c r="I3255" s="122">
        <v>21199</v>
      </c>
      <c r="J3255" s="122">
        <v>19272</v>
      </c>
      <c r="K3255" s="122">
        <v>55</v>
      </c>
      <c r="L3255" s="122">
        <v>2355</v>
      </c>
      <c r="M3255" s="122">
        <v>2141</v>
      </c>
      <c r="N3255" s="122">
        <v>1051</v>
      </c>
      <c r="O3255" s="122">
        <v>389</v>
      </c>
      <c r="P3255" s="122">
        <v>351</v>
      </c>
      <c r="Q3255" s="122">
        <v>130</v>
      </c>
      <c r="R3255" s="122">
        <v>5568</v>
      </c>
      <c r="S3255" s="122">
        <v>5062</v>
      </c>
      <c r="T3255" s="122">
        <v>0</v>
      </c>
      <c r="U3255" s="122">
        <v>0</v>
      </c>
      <c r="V3255" s="122">
        <v>26995</v>
      </c>
      <c r="W3255" s="122">
        <f t="shared" si="104"/>
        <v>26994</v>
      </c>
      <c r="X3255" s="122">
        <f t="shared" si="105"/>
        <v>30524</v>
      </c>
    </row>
    <row r="3256" spans="2:24">
      <c r="B3256" t="s">
        <v>386</v>
      </c>
      <c r="C3256" t="s">
        <v>60</v>
      </c>
      <c r="D3256" t="s">
        <v>433</v>
      </c>
      <c r="E3256" t="s">
        <v>137</v>
      </c>
      <c r="F3256" s="122">
        <v>2</v>
      </c>
      <c r="G3256" s="122">
        <v>194</v>
      </c>
      <c r="H3256" s="122">
        <v>666</v>
      </c>
      <c r="I3256" s="122">
        <v>44426</v>
      </c>
      <c r="J3256" s="122">
        <v>40388</v>
      </c>
      <c r="K3256" s="122">
        <v>63</v>
      </c>
      <c r="L3256" s="122">
        <v>3212</v>
      </c>
      <c r="M3256" s="122">
        <v>2763</v>
      </c>
      <c r="N3256" s="122">
        <v>3264</v>
      </c>
      <c r="O3256" s="122">
        <v>1209</v>
      </c>
      <c r="P3256" s="122">
        <v>0</v>
      </c>
      <c r="Q3256" s="122">
        <v>0</v>
      </c>
      <c r="R3256" s="122">
        <v>14461</v>
      </c>
      <c r="S3256" s="122">
        <v>5356</v>
      </c>
      <c r="T3256" s="122">
        <v>0</v>
      </c>
      <c r="U3256" s="122">
        <v>0</v>
      </c>
      <c r="V3256" s="122">
        <v>49715</v>
      </c>
      <c r="W3256" s="122">
        <f t="shared" si="104"/>
        <v>49716</v>
      </c>
      <c r="X3256" s="122">
        <f t="shared" si="105"/>
        <v>65363</v>
      </c>
    </row>
    <row r="3257" spans="2:24">
      <c r="B3257" t="s">
        <v>386</v>
      </c>
      <c r="C3257" t="s">
        <v>60</v>
      </c>
      <c r="D3257" t="s">
        <v>433</v>
      </c>
      <c r="E3257" t="s">
        <v>433</v>
      </c>
      <c r="F3257" s="122">
        <v>4</v>
      </c>
      <c r="G3257" s="122">
        <v>580</v>
      </c>
      <c r="H3257" s="122">
        <v>1368</v>
      </c>
      <c r="I3257" s="122">
        <v>134764</v>
      </c>
      <c r="J3257" s="122">
        <v>122513</v>
      </c>
      <c r="K3257" s="122">
        <v>61</v>
      </c>
      <c r="L3257" s="122">
        <v>16310</v>
      </c>
      <c r="M3257" s="122">
        <v>12239</v>
      </c>
      <c r="N3257" s="122">
        <v>11515</v>
      </c>
      <c r="O3257" s="122">
        <v>4265</v>
      </c>
      <c r="P3257" s="122">
        <v>1404</v>
      </c>
      <c r="Q3257" s="122">
        <v>520</v>
      </c>
      <c r="R3257" s="122">
        <v>22573</v>
      </c>
      <c r="S3257" s="122">
        <v>20521</v>
      </c>
      <c r="T3257" s="122">
        <v>8765</v>
      </c>
      <c r="U3257" s="122">
        <v>3246</v>
      </c>
      <c r="V3257" s="122">
        <v>163304</v>
      </c>
      <c r="W3257" s="122">
        <f t="shared" si="104"/>
        <v>163304</v>
      </c>
      <c r="X3257" s="122">
        <f t="shared" si="105"/>
        <v>195331</v>
      </c>
    </row>
    <row r="3258" spans="2:24">
      <c r="B3258" t="s">
        <v>386</v>
      </c>
      <c r="C3258" t="s">
        <v>60</v>
      </c>
      <c r="D3258" t="s">
        <v>408</v>
      </c>
      <c r="E3258" t="s">
        <v>408</v>
      </c>
      <c r="F3258" s="122">
        <v>4</v>
      </c>
      <c r="G3258" s="122">
        <v>840</v>
      </c>
      <c r="H3258" s="122">
        <v>1365</v>
      </c>
      <c r="I3258" s="122">
        <v>206847</v>
      </c>
      <c r="J3258" s="122">
        <v>188043</v>
      </c>
      <c r="K3258" s="122">
        <v>73</v>
      </c>
      <c r="L3258" s="122">
        <v>33344</v>
      </c>
      <c r="M3258" s="122">
        <v>27328</v>
      </c>
      <c r="N3258" s="122">
        <v>11142</v>
      </c>
      <c r="O3258" s="122">
        <v>4127</v>
      </c>
      <c r="P3258" s="122">
        <v>1404</v>
      </c>
      <c r="Q3258" s="122">
        <v>520</v>
      </c>
      <c r="R3258" s="122">
        <v>21164</v>
      </c>
      <c r="S3258" s="122">
        <v>19240</v>
      </c>
      <c r="T3258" s="122">
        <v>1332</v>
      </c>
      <c r="U3258" s="122">
        <v>493</v>
      </c>
      <c r="V3258" s="122">
        <v>239752</v>
      </c>
      <c r="W3258" s="122">
        <f t="shared" si="104"/>
        <v>239751</v>
      </c>
      <c r="X3258" s="122">
        <f t="shared" si="105"/>
        <v>275233</v>
      </c>
    </row>
    <row r="3259" spans="2:24">
      <c r="B3259" t="s">
        <v>386</v>
      </c>
      <c r="C3259" t="s">
        <v>60</v>
      </c>
      <c r="D3259" t="s">
        <v>429</v>
      </c>
      <c r="E3259" t="s">
        <v>429</v>
      </c>
      <c r="F3259" s="122">
        <v>1</v>
      </c>
      <c r="G3259" s="122">
        <v>77</v>
      </c>
      <c r="H3259" s="122">
        <v>331</v>
      </c>
      <c r="I3259" s="122">
        <v>17408</v>
      </c>
      <c r="J3259" s="122">
        <v>15826</v>
      </c>
      <c r="K3259" s="122">
        <v>65</v>
      </c>
      <c r="L3259" s="122">
        <v>0</v>
      </c>
      <c r="M3259" s="122">
        <v>0</v>
      </c>
      <c r="N3259" s="122">
        <v>938</v>
      </c>
      <c r="O3259" s="122">
        <v>347</v>
      </c>
      <c r="P3259" s="122">
        <v>351</v>
      </c>
      <c r="Q3259" s="122">
        <v>130</v>
      </c>
      <c r="R3259" s="122">
        <v>4428</v>
      </c>
      <c r="S3259" s="122">
        <v>4026</v>
      </c>
      <c r="T3259" s="122">
        <v>2393</v>
      </c>
      <c r="U3259" s="122">
        <v>886</v>
      </c>
      <c r="V3259" s="122">
        <v>21215</v>
      </c>
      <c r="W3259" s="122">
        <f t="shared" si="104"/>
        <v>21215</v>
      </c>
      <c r="X3259" s="122">
        <f t="shared" si="105"/>
        <v>25518</v>
      </c>
    </row>
    <row r="3260" spans="2:24">
      <c r="B3260" t="s">
        <v>386</v>
      </c>
      <c r="C3260" t="s">
        <v>62</v>
      </c>
      <c r="D3260" t="s">
        <v>425</v>
      </c>
      <c r="E3260" t="s">
        <v>425</v>
      </c>
      <c r="F3260" s="122">
        <v>1</v>
      </c>
      <c r="G3260" s="122">
        <v>100</v>
      </c>
      <c r="H3260" s="122">
        <v>389</v>
      </c>
      <c r="I3260" s="122">
        <v>24163</v>
      </c>
      <c r="J3260" s="122">
        <v>21967</v>
      </c>
      <c r="K3260" s="122">
        <v>75</v>
      </c>
      <c r="L3260" s="122">
        <v>4806</v>
      </c>
      <c r="M3260" s="122">
        <v>4369</v>
      </c>
      <c r="N3260" s="122">
        <v>2271</v>
      </c>
      <c r="O3260" s="122">
        <v>841</v>
      </c>
      <c r="P3260" s="122">
        <v>473</v>
      </c>
      <c r="Q3260" s="122">
        <v>175</v>
      </c>
      <c r="R3260" s="122">
        <v>7075</v>
      </c>
      <c r="S3260" s="122">
        <v>6432</v>
      </c>
      <c r="T3260" s="122">
        <v>0</v>
      </c>
      <c r="U3260" s="122">
        <v>0</v>
      </c>
      <c r="V3260" s="122">
        <v>33783</v>
      </c>
      <c r="W3260" s="122">
        <f t="shared" si="104"/>
        <v>33784</v>
      </c>
      <c r="X3260" s="122">
        <f t="shared" si="105"/>
        <v>38788</v>
      </c>
    </row>
    <row r="3261" spans="2:24">
      <c r="B3261" t="s">
        <v>386</v>
      </c>
      <c r="C3261" t="s">
        <v>62</v>
      </c>
      <c r="D3261" t="s">
        <v>405</v>
      </c>
      <c r="E3261" t="s">
        <v>405</v>
      </c>
      <c r="F3261" s="122">
        <v>6</v>
      </c>
      <c r="G3261" s="122">
        <v>924</v>
      </c>
      <c r="H3261" s="122">
        <v>2493</v>
      </c>
      <c r="I3261" s="122">
        <v>278345</v>
      </c>
      <c r="J3261" s="122">
        <v>253041</v>
      </c>
      <c r="K3261" s="122">
        <v>84</v>
      </c>
      <c r="L3261" s="122">
        <v>54806</v>
      </c>
      <c r="M3261" s="122">
        <v>49823</v>
      </c>
      <c r="N3261" s="122">
        <v>20392</v>
      </c>
      <c r="O3261" s="122">
        <v>7553</v>
      </c>
      <c r="P3261" s="122">
        <v>4428</v>
      </c>
      <c r="Q3261" s="122">
        <v>1640</v>
      </c>
      <c r="R3261" s="122">
        <v>30207</v>
      </c>
      <c r="S3261" s="122">
        <v>27461</v>
      </c>
      <c r="T3261" s="122">
        <v>7257</v>
      </c>
      <c r="U3261" s="122">
        <v>2688</v>
      </c>
      <c r="V3261" s="122">
        <v>342205</v>
      </c>
      <c r="W3261" s="122">
        <f t="shared" si="104"/>
        <v>342206</v>
      </c>
      <c r="X3261" s="122">
        <f t="shared" si="105"/>
        <v>395435</v>
      </c>
    </row>
    <row r="3262" spans="2:24">
      <c r="B3262" t="s">
        <v>386</v>
      </c>
      <c r="C3262" t="s">
        <v>62</v>
      </c>
      <c r="D3262" t="s">
        <v>137</v>
      </c>
      <c r="E3262" t="s">
        <v>137</v>
      </c>
      <c r="F3262" s="122">
        <v>106</v>
      </c>
      <c r="G3262" s="122">
        <v>9110</v>
      </c>
      <c r="H3262" s="122">
        <v>43916</v>
      </c>
      <c r="I3262" s="122">
        <v>2754123</v>
      </c>
      <c r="J3262" s="122">
        <v>1020046</v>
      </c>
      <c r="K3262" s="122">
        <v>100</v>
      </c>
      <c r="L3262" s="122">
        <v>491836</v>
      </c>
      <c r="M3262" s="122">
        <v>354881</v>
      </c>
      <c r="N3262" s="122">
        <v>215111</v>
      </c>
      <c r="O3262" s="122">
        <v>79671</v>
      </c>
      <c r="P3262" s="122">
        <v>2015</v>
      </c>
      <c r="Q3262" s="122">
        <v>746</v>
      </c>
      <c r="R3262" s="122">
        <v>830925</v>
      </c>
      <c r="S3262" s="122">
        <v>307750</v>
      </c>
      <c r="T3262" s="122">
        <v>0</v>
      </c>
      <c r="U3262" s="122">
        <v>0</v>
      </c>
      <c r="V3262" s="122">
        <v>1763094</v>
      </c>
      <c r="W3262" s="122">
        <f t="shared" si="104"/>
        <v>1763094</v>
      </c>
      <c r="X3262" s="122">
        <f t="shared" si="105"/>
        <v>4294010</v>
      </c>
    </row>
    <row r="3263" spans="2:24">
      <c r="B3263" t="s">
        <v>386</v>
      </c>
      <c r="C3263" t="s">
        <v>62</v>
      </c>
      <c r="D3263" t="s">
        <v>137</v>
      </c>
      <c r="E3263" t="s">
        <v>406</v>
      </c>
      <c r="F3263" s="122">
        <v>2</v>
      </c>
      <c r="G3263" s="122">
        <v>671</v>
      </c>
      <c r="H3263" s="122">
        <v>858</v>
      </c>
      <c r="I3263" s="122">
        <v>212257</v>
      </c>
      <c r="J3263" s="122">
        <v>78614</v>
      </c>
      <c r="K3263" s="122">
        <v>100</v>
      </c>
      <c r="L3263" s="122">
        <v>41405</v>
      </c>
      <c r="M3263" s="122">
        <v>17208</v>
      </c>
      <c r="N3263" s="122">
        <v>15304</v>
      </c>
      <c r="O3263" s="122">
        <v>5668</v>
      </c>
      <c r="P3263" s="122">
        <v>621</v>
      </c>
      <c r="Q3263" s="122">
        <v>230</v>
      </c>
      <c r="R3263" s="122">
        <v>16457</v>
      </c>
      <c r="S3263" s="122">
        <v>14961</v>
      </c>
      <c r="T3263" s="122">
        <v>5589</v>
      </c>
      <c r="U3263" s="122">
        <v>2070</v>
      </c>
      <c r="V3263" s="122">
        <v>118751</v>
      </c>
      <c r="W3263" s="122">
        <f t="shared" si="104"/>
        <v>118751</v>
      </c>
      <c r="X3263" s="122">
        <f t="shared" si="105"/>
        <v>291633</v>
      </c>
    </row>
    <row r="3264" spans="2:24">
      <c r="B3264" t="s">
        <v>386</v>
      </c>
      <c r="C3264" t="s">
        <v>62</v>
      </c>
      <c r="D3264" t="s">
        <v>137</v>
      </c>
      <c r="E3264" t="s">
        <v>426</v>
      </c>
      <c r="F3264" s="122">
        <v>4</v>
      </c>
      <c r="G3264" s="122">
        <v>324</v>
      </c>
      <c r="H3264" s="122">
        <v>1686</v>
      </c>
      <c r="I3264" s="122">
        <v>85655</v>
      </c>
      <c r="J3264" s="122">
        <v>31724</v>
      </c>
      <c r="K3264" s="122">
        <v>100</v>
      </c>
      <c r="L3264" s="122">
        <v>12007</v>
      </c>
      <c r="M3264" s="122">
        <v>10915</v>
      </c>
      <c r="N3264" s="122">
        <v>7565</v>
      </c>
      <c r="O3264" s="122">
        <v>2802</v>
      </c>
      <c r="P3264" s="122">
        <v>702</v>
      </c>
      <c r="Q3264" s="122">
        <v>260</v>
      </c>
      <c r="R3264" s="122">
        <v>20719</v>
      </c>
      <c r="S3264" s="122">
        <v>18836</v>
      </c>
      <c r="T3264" s="122">
        <v>9562</v>
      </c>
      <c r="U3264" s="122">
        <v>3541</v>
      </c>
      <c r="V3264" s="122">
        <v>68078</v>
      </c>
      <c r="W3264" s="122">
        <f t="shared" si="104"/>
        <v>68078</v>
      </c>
      <c r="X3264" s="122">
        <f t="shared" si="105"/>
        <v>136210</v>
      </c>
    </row>
    <row r="3265" spans="2:24">
      <c r="B3265" t="s">
        <v>386</v>
      </c>
      <c r="C3265" t="s">
        <v>62</v>
      </c>
      <c r="D3265" t="s">
        <v>137</v>
      </c>
      <c r="E3265" t="s">
        <v>433</v>
      </c>
      <c r="F3265" s="122">
        <v>1</v>
      </c>
      <c r="G3265" s="122">
        <v>84</v>
      </c>
      <c r="H3265" s="122">
        <v>440</v>
      </c>
      <c r="I3265" s="122">
        <v>24640</v>
      </c>
      <c r="J3265" s="122">
        <v>9126</v>
      </c>
      <c r="K3265" s="122">
        <v>100</v>
      </c>
      <c r="L3265" s="122">
        <v>3718</v>
      </c>
      <c r="M3265" s="122">
        <v>3380</v>
      </c>
      <c r="N3265" s="122">
        <v>2046</v>
      </c>
      <c r="O3265" s="122">
        <v>758</v>
      </c>
      <c r="P3265" s="122">
        <v>0</v>
      </c>
      <c r="Q3265" s="122">
        <v>0</v>
      </c>
      <c r="R3265" s="122">
        <v>4732</v>
      </c>
      <c r="S3265" s="122">
        <v>4302</v>
      </c>
      <c r="T3265" s="122">
        <v>1773</v>
      </c>
      <c r="U3265" s="122">
        <v>657</v>
      </c>
      <c r="V3265" s="122">
        <v>18222</v>
      </c>
      <c r="W3265" s="122">
        <f t="shared" si="104"/>
        <v>18223</v>
      </c>
      <c r="X3265" s="122">
        <f t="shared" si="105"/>
        <v>36909</v>
      </c>
    </row>
    <row r="3266" spans="2:24">
      <c r="B3266" t="s">
        <v>386</v>
      </c>
      <c r="C3266" t="s">
        <v>62</v>
      </c>
      <c r="D3266" t="s">
        <v>406</v>
      </c>
      <c r="E3266" t="s">
        <v>137</v>
      </c>
      <c r="F3266" s="122">
        <v>5</v>
      </c>
      <c r="G3266" s="122">
        <v>784</v>
      </c>
      <c r="H3266" s="122">
        <v>2131</v>
      </c>
      <c r="I3266" s="122">
        <v>217261</v>
      </c>
      <c r="J3266" s="122">
        <v>197510</v>
      </c>
      <c r="K3266" s="122">
        <v>79</v>
      </c>
      <c r="L3266" s="122">
        <v>49752</v>
      </c>
      <c r="M3266" s="122">
        <v>44545</v>
      </c>
      <c r="N3266" s="122">
        <v>18574</v>
      </c>
      <c r="O3266" s="122">
        <v>6879</v>
      </c>
      <c r="P3266" s="122">
        <v>3807</v>
      </c>
      <c r="Q3266" s="122">
        <v>1410</v>
      </c>
      <c r="R3266" s="122">
        <v>48545</v>
      </c>
      <c r="S3266" s="122">
        <v>17980</v>
      </c>
      <c r="T3266" s="122">
        <v>0</v>
      </c>
      <c r="U3266" s="122">
        <v>0</v>
      </c>
      <c r="V3266" s="122">
        <v>268324</v>
      </c>
      <c r="W3266" s="122">
        <f t="shared" si="104"/>
        <v>268324</v>
      </c>
      <c r="X3266" s="122">
        <f t="shared" si="105"/>
        <v>337939</v>
      </c>
    </row>
    <row r="3267" spans="2:24">
      <c r="B3267" t="s">
        <v>386</v>
      </c>
      <c r="C3267" t="s">
        <v>62</v>
      </c>
      <c r="D3267" t="s">
        <v>406</v>
      </c>
      <c r="E3267" t="s">
        <v>406</v>
      </c>
      <c r="F3267" s="122">
        <v>402</v>
      </c>
      <c r="G3267" s="122">
        <v>49143</v>
      </c>
      <c r="H3267" s="122">
        <v>166412</v>
      </c>
      <c r="I3267" s="122">
        <v>13786922</v>
      </c>
      <c r="J3267" s="122">
        <v>12533565</v>
      </c>
      <c r="K3267" s="122">
        <v>76</v>
      </c>
      <c r="L3267" s="122">
        <v>2716979</v>
      </c>
      <c r="M3267" s="122">
        <v>2440205</v>
      </c>
      <c r="N3267" s="122">
        <v>1046576</v>
      </c>
      <c r="O3267" s="122">
        <v>387621</v>
      </c>
      <c r="P3267" s="122">
        <v>257162</v>
      </c>
      <c r="Q3267" s="122">
        <v>95245</v>
      </c>
      <c r="R3267" s="122">
        <v>2069465</v>
      </c>
      <c r="S3267" s="122">
        <v>1881331</v>
      </c>
      <c r="T3267" s="122">
        <v>794353</v>
      </c>
      <c r="U3267" s="122">
        <v>294205</v>
      </c>
      <c r="V3267" s="122">
        <v>17632172</v>
      </c>
      <c r="W3267" s="122">
        <f t="shared" si="104"/>
        <v>17632172</v>
      </c>
      <c r="X3267" s="122">
        <f t="shared" si="105"/>
        <v>20671457</v>
      </c>
    </row>
    <row r="3268" spans="2:24">
      <c r="B3268" t="s">
        <v>386</v>
      </c>
      <c r="C3268" t="s">
        <v>62</v>
      </c>
      <c r="D3268" t="s">
        <v>406</v>
      </c>
      <c r="E3268" t="s">
        <v>556</v>
      </c>
      <c r="F3268" s="122">
        <v>1</v>
      </c>
      <c r="G3268" s="122">
        <v>103</v>
      </c>
      <c r="H3268" s="122">
        <v>389</v>
      </c>
      <c r="I3268" s="122">
        <v>23409</v>
      </c>
      <c r="J3268" s="122">
        <v>21281</v>
      </c>
      <c r="K3268" s="122">
        <v>86</v>
      </c>
      <c r="L3268" s="122">
        <v>7040</v>
      </c>
      <c r="M3268" s="122">
        <v>6400</v>
      </c>
      <c r="N3268" s="122">
        <v>2505</v>
      </c>
      <c r="O3268" s="122">
        <v>928</v>
      </c>
      <c r="P3268" s="122">
        <v>621</v>
      </c>
      <c r="Q3268" s="122">
        <v>230</v>
      </c>
      <c r="R3268" s="122">
        <v>3944</v>
      </c>
      <c r="S3268" s="122">
        <v>3287</v>
      </c>
      <c r="T3268" s="122">
        <v>2463</v>
      </c>
      <c r="U3268" s="122">
        <v>912</v>
      </c>
      <c r="V3268" s="122">
        <v>33038</v>
      </c>
      <c r="W3268" s="122">
        <f t="shared" si="104"/>
        <v>33038</v>
      </c>
      <c r="X3268" s="122">
        <f t="shared" si="105"/>
        <v>39982</v>
      </c>
    </row>
    <row r="3269" spans="2:24">
      <c r="B3269" t="s">
        <v>386</v>
      </c>
      <c r="C3269" t="s">
        <v>62</v>
      </c>
      <c r="D3269" t="s">
        <v>406</v>
      </c>
      <c r="E3269" t="s">
        <v>426</v>
      </c>
      <c r="F3269" s="122">
        <v>2</v>
      </c>
      <c r="G3269" s="122">
        <v>165</v>
      </c>
      <c r="H3269" s="122">
        <v>847</v>
      </c>
      <c r="I3269" s="122">
        <v>44734</v>
      </c>
      <c r="J3269" s="122">
        <v>40668</v>
      </c>
      <c r="K3269" s="122">
        <v>68</v>
      </c>
      <c r="L3269" s="122">
        <v>11579</v>
      </c>
      <c r="M3269" s="122">
        <v>8075</v>
      </c>
      <c r="N3269" s="122">
        <v>3718</v>
      </c>
      <c r="O3269" s="122">
        <v>1377</v>
      </c>
      <c r="P3269" s="122">
        <v>1242</v>
      </c>
      <c r="Q3269" s="122">
        <v>460</v>
      </c>
      <c r="R3269" s="122">
        <v>8120</v>
      </c>
      <c r="S3269" s="122">
        <v>7382</v>
      </c>
      <c r="T3269" s="122">
        <v>0</v>
      </c>
      <c r="U3269" s="122">
        <v>0</v>
      </c>
      <c r="V3269" s="122">
        <v>57961</v>
      </c>
      <c r="W3269" s="122">
        <f t="shared" si="104"/>
        <v>57962</v>
      </c>
      <c r="X3269" s="122">
        <f t="shared" si="105"/>
        <v>69393</v>
      </c>
    </row>
    <row r="3270" spans="2:24">
      <c r="B3270" t="s">
        <v>386</v>
      </c>
      <c r="C3270" t="s">
        <v>62</v>
      </c>
      <c r="D3270" t="s">
        <v>427</v>
      </c>
      <c r="E3270" t="s">
        <v>427</v>
      </c>
      <c r="F3270" s="122">
        <v>14</v>
      </c>
      <c r="G3270" s="122">
        <v>1427</v>
      </c>
      <c r="H3270" s="122">
        <v>5804</v>
      </c>
      <c r="I3270" s="122">
        <v>377696</v>
      </c>
      <c r="J3270" s="122">
        <v>343360</v>
      </c>
      <c r="K3270" s="122">
        <v>59</v>
      </c>
      <c r="L3270" s="122">
        <v>64810</v>
      </c>
      <c r="M3270" s="122">
        <v>57099</v>
      </c>
      <c r="N3270" s="122">
        <v>28845</v>
      </c>
      <c r="O3270" s="122">
        <v>10683</v>
      </c>
      <c r="P3270" s="122">
        <v>4914</v>
      </c>
      <c r="Q3270" s="122">
        <v>1820</v>
      </c>
      <c r="R3270" s="122">
        <v>91375</v>
      </c>
      <c r="S3270" s="122">
        <v>83068</v>
      </c>
      <c r="T3270" s="122">
        <v>25056</v>
      </c>
      <c r="U3270" s="122">
        <v>9280</v>
      </c>
      <c r="V3270" s="122">
        <v>505310</v>
      </c>
      <c r="W3270" s="122">
        <f t="shared" si="104"/>
        <v>505310</v>
      </c>
      <c r="X3270" s="122">
        <f t="shared" si="105"/>
        <v>592696</v>
      </c>
    </row>
    <row r="3271" spans="2:24">
      <c r="B3271" t="s">
        <v>386</v>
      </c>
      <c r="C3271" t="s">
        <v>62</v>
      </c>
      <c r="D3271" t="s">
        <v>556</v>
      </c>
      <c r="E3271" t="s">
        <v>556</v>
      </c>
      <c r="F3271" s="122">
        <v>5</v>
      </c>
      <c r="G3271" s="122">
        <v>357</v>
      </c>
      <c r="H3271" s="122">
        <v>2150</v>
      </c>
      <c r="I3271" s="122">
        <v>104288</v>
      </c>
      <c r="J3271" s="122">
        <v>86907</v>
      </c>
      <c r="K3271" s="122">
        <v>57</v>
      </c>
      <c r="L3271" s="122">
        <v>3773</v>
      </c>
      <c r="M3271" s="122">
        <v>3271</v>
      </c>
      <c r="N3271" s="122">
        <v>7279</v>
      </c>
      <c r="O3271" s="122">
        <v>2696</v>
      </c>
      <c r="P3271" s="122">
        <v>1755</v>
      </c>
      <c r="Q3271" s="122">
        <v>650</v>
      </c>
      <c r="R3271" s="122">
        <v>27624</v>
      </c>
      <c r="S3271" s="122">
        <v>23020</v>
      </c>
      <c r="T3271" s="122">
        <v>7693</v>
      </c>
      <c r="U3271" s="122">
        <v>2849</v>
      </c>
      <c r="V3271" s="122">
        <v>119392</v>
      </c>
      <c r="W3271" s="122">
        <f t="shared" si="104"/>
        <v>119393</v>
      </c>
      <c r="X3271" s="122">
        <f t="shared" si="105"/>
        <v>152412</v>
      </c>
    </row>
    <row r="3272" spans="2:24">
      <c r="B3272" t="s">
        <v>386</v>
      </c>
      <c r="C3272" t="s">
        <v>62</v>
      </c>
      <c r="D3272" t="s">
        <v>428</v>
      </c>
      <c r="E3272" t="s">
        <v>428</v>
      </c>
      <c r="F3272" s="122">
        <v>2</v>
      </c>
      <c r="G3272" s="122">
        <v>137</v>
      </c>
      <c r="H3272" s="122">
        <v>822</v>
      </c>
      <c r="I3272" s="122">
        <v>37808</v>
      </c>
      <c r="J3272" s="122">
        <v>34371</v>
      </c>
      <c r="K3272" s="122">
        <v>65</v>
      </c>
      <c r="L3272" s="122">
        <v>2360</v>
      </c>
      <c r="M3272" s="122">
        <v>2145</v>
      </c>
      <c r="N3272" s="122">
        <v>3138</v>
      </c>
      <c r="O3272" s="122">
        <v>1162</v>
      </c>
      <c r="P3272" s="122">
        <v>702</v>
      </c>
      <c r="Q3272" s="122">
        <v>260</v>
      </c>
      <c r="R3272" s="122">
        <v>7880</v>
      </c>
      <c r="S3272" s="122">
        <v>7164</v>
      </c>
      <c r="T3272" s="122">
        <v>4018</v>
      </c>
      <c r="U3272" s="122">
        <v>1488</v>
      </c>
      <c r="V3272" s="122">
        <v>46591</v>
      </c>
      <c r="W3272" s="122">
        <f t="shared" si="104"/>
        <v>46590</v>
      </c>
      <c r="X3272" s="122">
        <f t="shared" si="105"/>
        <v>55906</v>
      </c>
    </row>
    <row r="3273" spans="2:24">
      <c r="B3273" t="s">
        <v>386</v>
      </c>
      <c r="C3273" t="s">
        <v>62</v>
      </c>
      <c r="D3273" t="s">
        <v>431</v>
      </c>
      <c r="E3273" t="s">
        <v>431</v>
      </c>
      <c r="F3273" s="122">
        <v>1</v>
      </c>
      <c r="G3273" s="122">
        <v>105</v>
      </c>
      <c r="H3273" s="122">
        <v>416</v>
      </c>
      <c r="I3273" s="122">
        <v>28485</v>
      </c>
      <c r="J3273" s="122">
        <v>25895</v>
      </c>
      <c r="K3273" s="122">
        <v>45</v>
      </c>
      <c r="L3273" s="122">
        <v>4747</v>
      </c>
      <c r="M3273" s="122">
        <v>4316</v>
      </c>
      <c r="N3273" s="122">
        <v>2044</v>
      </c>
      <c r="O3273" s="122">
        <v>757</v>
      </c>
      <c r="P3273" s="122">
        <v>351</v>
      </c>
      <c r="Q3273" s="122">
        <v>130</v>
      </c>
      <c r="R3273" s="122">
        <v>5410</v>
      </c>
      <c r="S3273" s="122">
        <v>4918</v>
      </c>
      <c r="T3273" s="122">
        <v>2622</v>
      </c>
      <c r="U3273" s="122">
        <v>971</v>
      </c>
      <c r="V3273" s="122">
        <v>36988</v>
      </c>
      <c r="W3273" s="122">
        <f t="shared" si="104"/>
        <v>36987</v>
      </c>
      <c r="X3273" s="122">
        <f t="shared" si="105"/>
        <v>43659</v>
      </c>
    </row>
    <row r="3274" spans="2:24">
      <c r="B3274" t="s">
        <v>386</v>
      </c>
      <c r="C3274" t="s">
        <v>62</v>
      </c>
      <c r="D3274" t="s">
        <v>426</v>
      </c>
      <c r="E3274" t="s">
        <v>137</v>
      </c>
      <c r="F3274" s="122">
        <v>4</v>
      </c>
      <c r="G3274" s="122">
        <v>425</v>
      </c>
      <c r="H3274" s="122">
        <v>1648</v>
      </c>
      <c r="I3274" s="122">
        <v>118990</v>
      </c>
      <c r="J3274" s="122">
        <v>108172</v>
      </c>
      <c r="K3274" s="122">
        <v>55</v>
      </c>
      <c r="L3274" s="122">
        <v>14649</v>
      </c>
      <c r="M3274" s="122">
        <v>13317</v>
      </c>
      <c r="N3274" s="122">
        <v>7921</v>
      </c>
      <c r="O3274" s="122">
        <v>2934</v>
      </c>
      <c r="P3274" s="122">
        <v>1404</v>
      </c>
      <c r="Q3274" s="122">
        <v>520</v>
      </c>
      <c r="R3274" s="122">
        <v>31194</v>
      </c>
      <c r="S3274" s="122">
        <v>11554</v>
      </c>
      <c r="T3274" s="122">
        <v>0</v>
      </c>
      <c r="U3274" s="122">
        <v>0</v>
      </c>
      <c r="V3274" s="122">
        <v>136497</v>
      </c>
      <c r="W3274" s="122">
        <f t="shared" si="104"/>
        <v>136497</v>
      </c>
      <c r="X3274" s="122">
        <f t="shared" si="105"/>
        <v>174158</v>
      </c>
    </row>
    <row r="3275" spans="2:24">
      <c r="B3275" t="s">
        <v>386</v>
      </c>
      <c r="C3275" t="s">
        <v>62</v>
      </c>
      <c r="D3275" t="s">
        <v>426</v>
      </c>
      <c r="E3275" t="s">
        <v>426</v>
      </c>
      <c r="F3275" s="122">
        <v>62</v>
      </c>
      <c r="G3275" s="122">
        <v>6237</v>
      </c>
      <c r="H3275" s="122">
        <v>25647</v>
      </c>
      <c r="I3275" s="122">
        <v>1757483</v>
      </c>
      <c r="J3275" s="122">
        <v>1597712</v>
      </c>
      <c r="K3275" s="122">
        <v>58</v>
      </c>
      <c r="L3275" s="122">
        <v>221169</v>
      </c>
      <c r="M3275" s="122">
        <v>175875</v>
      </c>
      <c r="N3275" s="122">
        <v>129043</v>
      </c>
      <c r="O3275" s="122">
        <v>47794</v>
      </c>
      <c r="P3275" s="122">
        <v>23045</v>
      </c>
      <c r="Q3275" s="122">
        <v>8535</v>
      </c>
      <c r="R3275" s="122">
        <v>351473</v>
      </c>
      <c r="S3275" s="122">
        <v>319521</v>
      </c>
      <c r="T3275" s="122">
        <v>130799</v>
      </c>
      <c r="U3275" s="122">
        <v>48444</v>
      </c>
      <c r="V3275" s="122">
        <v>2197881</v>
      </c>
      <c r="W3275" s="122">
        <f t="shared" si="104"/>
        <v>2197881</v>
      </c>
      <c r="X3275" s="122">
        <f t="shared" si="105"/>
        <v>2613012</v>
      </c>
    </row>
    <row r="3276" spans="2:24">
      <c r="B3276" t="s">
        <v>386</v>
      </c>
      <c r="C3276" t="s">
        <v>62</v>
      </c>
      <c r="D3276" t="s">
        <v>426</v>
      </c>
      <c r="E3276" t="s">
        <v>481</v>
      </c>
      <c r="F3276" s="122">
        <v>2</v>
      </c>
      <c r="G3276" s="122">
        <v>163</v>
      </c>
      <c r="H3276" s="122">
        <v>812</v>
      </c>
      <c r="I3276" s="122">
        <v>41028</v>
      </c>
      <c r="J3276" s="122">
        <v>37299</v>
      </c>
      <c r="K3276" s="122">
        <v>65</v>
      </c>
      <c r="L3276" s="122">
        <v>5611</v>
      </c>
      <c r="M3276" s="122">
        <v>5101</v>
      </c>
      <c r="N3276" s="122">
        <v>2610</v>
      </c>
      <c r="O3276" s="122">
        <v>967</v>
      </c>
      <c r="P3276" s="122">
        <v>702</v>
      </c>
      <c r="Q3276" s="122">
        <v>260</v>
      </c>
      <c r="R3276" s="122">
        <v>9602</v>
      </c>
      <c r="S3276" s="122">
        <v>8729</v>
      </c>
      <c r="T3276" s="122">
        <v>6137</v>
      </c>
      <c r="U3276" s="122">
        <v>2273</v>
      </c>
      <c r="V3276" s="122">
        <v>54628</v>
      </c>
      <c r="W3276" s="122">
        <f t="shared" si="104"/>
        <v>54629</v>
      </c>
      <c r="X3276" s="122">
        <f t="shared" si="105"/>
        <v>65690</v>
      </c>
    </row>
    <row r="3277" spans="2:24">
      <c r="B3277" t="s">
        <v>386</v>
      </c>
      <c r="C3277" t="s">
        <v>62</v>
      </c>
      <c r="D3277" t="s">
        <v>433</v>
      </c>
      <c r="E3277" t="s">
        <v>433</v>
      </c>
      <c r="F3277" s="122">
        <v>1</v>
      </c>
      <c r="G3277" s="122">
        <v>80</v>
      </c>
      <c r="H3277" s="122">
        <v>410</v>
      </c>
      <c r="I3277" s="122">
        <v>18139</v>
      </c>
      <c r="J3277" s="122">
        <v>16490</v>
      </c>
      <c r="K3277" s="122">
        <v>45</v>
      </c>
      <c r="L3277" s="122">
        <v>3023</v>
      </c>
      <c r="M3277" s="122">
        <v>2748</v>
      </c>
      <c r="N3277" s="122">
        <v>1938</v>
      </c>
      <c r="O3277" s="122">
        <v>718</v>
      </c>
      <c r="P3277" s="122">
        <v>351</v>
      </c>
      <c r="Q3277" s="122">
        <v>130</v>
      </c>
      <c r="R3277" s="122">
        <v>6279</v>
      </c>
      <c r="S3277" s="122">
        <v>5708</v>
      </c>
      <c r="T3277" s="122">
        <v>2872</v>
      </c>
      <c r="U3277" s="122">
        <v>1064</v>
      </c>
      <c r="V3277" s="122">
        <v>26858</v>
      </c>
      <c r="W3277" s="122">
        <f t="shared" si="104"/>
        <v>26858</v>
      </c>
      <c r="X3277" s="122">
        <f t="shared" si="105"/>
        <v>32602</v>
      </c>
    </row>
    <row r="3278" spans="2:24">
      <c r="B3278" t="s">
        <v>386</v>
      </c>
      <c r="C3278" t="s">
        <v>62</v>
      </c>
      <c r="D3278" t="s">
        <v>408</v>
      </c>
      <c r="E3278" t="s">
        <v>408</v>
      </c>
      <c r="F3278" s="122">
        <v>1</v>
      </c>
      <c r="G3278" s="122">
        <v>83</v>
      </c>
      <c r="H3278" s="122">
        <v>392</v>
      </c>
      <c r="I3278" s="122">
        <v>22051</v>
      </c>
      <c r="J3278" s="122">
        <v>20046</v>
      </c>
      <c r="K3278" s="122">
        <v>65</v>
      </c>
      <c r="L3278" s="122">
        <v>2046</v>
      </c>
      <c r="M3278" s="122">
        <v>1860</v>
      </c>
      <c r="N3278" s="122">
        <v>2032</v>
      </c>
      <c r="O3278" s="122">
        <v>753</v>
      </c>
      <c r="P3278" s="122">
        <v>351</v>
      </c>
      <c r="Q3278" s="122">
        <v>130</v>
      </c>
      <c r="R3278" s="122">
        <v>4084</v>
      </c>
      <c r="S3278" s="122">
        <v>3713</v>
      </c>
      <c r="T3278" s="122">
        <v>2122</v>
      </c>
      <c r="U3278" s="122">
        <v>786</v>
      </c>
      <c r="V3278" s="122">
        <v>27288</v>
      </c>
      <c r="W3278" s="122">
        <f t="shared" si="104"/>
        <v>27288</v>
      </c>
      <c r="X3278" s="122">
        <f t="shared" si="105"/>
        <v>32686</v>
      </c>
    </row>
    <row r="3279" spans="2:24">
      <c r="B3279" t="s">
        <v>386</v>
      </c>
      <c r="C3279" t="s">
        <v>64</v>
      </c>
      <c r="D3279" t="s">
        <v>425</v>
      </c>
      <c r="E3279" t="s">
        <v>425</v>
      </c>
      <c r="F3279" s="122">
        <v>3</v>
      </c>
      <c r="G3279" s="122">
        <v>456</v>
      </c>
      <c r="H3279" s="122">
        <v>1681</v>
      </c>
      <c r="I3279" s="122">
        <v>187988</v>
      </c>
      <c r="J3279" s="122">
        <v>170898</v>
      </c>
      <c r="K3279" s="122">
        <v>67</v>
      </c>
      <c r="L3279" s="122">
        <v>36920</v>
      </c>
      <c r="M3279" s="122">
        <v>28030</v>
      </c>
      <c r="N3279" s="122">
        <v>11689</v>
      </c>
      <c r="O3279" s="122">
        <v>4329</v>
      </c>
      <c r="P3279" s="122">
        <v>1445</v>
      </c>
      <c r="Q3279" s="122">
        <v>535</v>
      </c>
      <c r="R3279" s="122">
        <v>21608</v>
      </c>
      <c r="S3279" s="122">
        <v>19643</v>
      </c>
      <c r="T3279" s="122">
        <v>6834</v>
      </c>
      <c r="U3279" s="122">
        <v>2531</v>
      </c>
      <c r="V3279" s="122">
        <v>225967</v>
      </c>
      <c r="W3279" s="122">
        <f t="shared" si="104"/>
        <v>225966</v>
      </c>
      <c r="X3279" s="122">
        <f t="shared" si="105"/>
        <v>266484</v>
      </c>
    </row>
    <row r="3280" spans="2:24">
      <c r="B3280" t="s">
        <v>386</v>
      </c>
      <c r="C3280" t="s">
        <v>64</v>
      </c>
      <c r="D3280" t="s">
        <v>405</v>
      </c>
      <c r="E3280" t="s">
        <v>405</v>
      </c>
      <c r="F3280" s="122">
        <v>2</v>
      </c>
      <c r="G3280" s="122">
        <v>190</v>
      </c>
      <c r="H3280" s="122">
        <v>1023</v>
      </c>
      <c r="I3280" s="122">
        <v>69847</v>
      </c>
      <c r="J3280" s="122">
        <v>63498</v>
      </c>
      <c r="K3280" s="122">
        <v>65</v>
      </c>
      <c r="L3280" s="122">
        <v>4061</v>
      </c>
      <c r="M3280" s="122">
        <v>3692</v>
      </c>
      <c r="N3280" s="122">
        <v>4105</v>
      </c>
      <c r="O3280" s="122">
        <v>1520</v>
      </c>
      <c r="P3280" s="122">
        <v>824</v>
      </c>
      <c r="Q3280" s="122">
        <v>305</v>
      </c>
      <c r="R3280" s="122">
        <v>16067</v>
      </c>
      <c r="S3280" s="122">
        <v>14606</v>
      </c>
      <c r="T3280" s="122">
        <v>2209</v>
      </c>
      <c r="U3280" s="122">
        <v>818</v>
      </c>
      <c r="V3280" s="122">
        <v>84439</v>
      </c>
      <c r="W3280" s="122">
        <f t="shared" si="104"/>
        <v>84439</v>
      </c>
      <c r="X3280" s="122">
        <f t="shared" si="105"/>
        <v>97113</v>
      </c>
    </row>
    <row r="3281" spans="2:24">
      <c r="B3281" t="s">
        <v>386</v>
      </c>
      <c r="C3281" t="s">
        <v>64</v>
      </c>
      <c r="D3281" t="s">
        <v>137</v>
      </c>
      <c r="E3281" t="s">
        <v>137</v>
      </c>
      <c r="F3281" s="122">
        <v>280</v>
      </c>
      <c r="G3281" s="122">
        <v>24263</v>
      </c>
      <c r="H3281" s="122">
        <v>201483</v>
      </c>
      <c r="I3281" s="122">
        <v>12330304</v>
      </c>
      <c r="J3281" s="122">
        <v>4566779</v>
      </c>
      <c r="K3281" s="122">
        <v>100</v>
      </c>
      <c r="L3281" s="122">
        <v>2551890</v>
      </c>
      <c r="M3281" s="122">
        <v>2230732</v>
      </c>
      <c r="N3281" s="122">
        <v>553774</v>
      </c>
      <c r="O3281" s="122">
        <v>205101</v>
      </c>
      <c r="P3281" s="122">
        <v>3968</v>
      </c>
      <c r="Q3281" s="122">
        <v>1470</v>
      </c>
      <c r="R3281" s="122">
        <v>1984465</v>
      </c>
      <c r="S3281" s="122">
        <v>734987</v>
      </c>
      <c r="T3281" s="122">
        <v>13857</v>
      </c>
      <c r="U3281" s="122">
        <v>5132</v>
      </c>
      <c r="V3281" s="122">
        <v>7744201</v>
      </c>
      <c r="W3281" s="122">
        <f t="shared" si="104"/>
        <v>7744201</v>
      </c>
      <c r="X3281" s="122">
        <f t="shared" si="105"/>
        <v>17438258</v>
      </c>
    </row>
    <row r="3282" spans="2:24">
      <c r="B3282" t="s">
        <v>386</v>
      </c>
      <c r="C3282" t="s">
        <v>64</v>
      </c>
      <c r="D3282" t="s">
        <v>137</v>
      </c>
      <c r="E3282" t="s">
        <v>406</v>
      </c>
      <c r="F3282" s="122">
        <v>5</v>
      </c>
      <c r="G3282" s="122">
        <v>1190</v>
      </c>
      <c r="H3282" s="122">
        <v>2882</v>
      </c>
      <c r="I3282" s="122">
        <v>540150</v>
      </c>
      <c r="J3282" s="122">
        <v>200056</v>
      </c>
      <c r="K3282" s="122">
        <v>100</v>
      </c>
      <c r="L3282" s="122">
        <v>76846</v>
      </c>
      <c r="M3282" s="122">
        <v>61134</v>
      </c>
      <c r="N3282" s="122">
        <v>23749</v>
      </c>
      <c r="O3282" s="122">
        <v>8796</v>
      </c>
      <c r="P3282" s="122">
        <v>1242</v>
      </c>
      <c r="Q3282" s="122">
        <v>460</v>
      </c>
      <c r="R3282" s="122">
        <v>38559</v>
      </c>
      <c r="S3282" s="122">
        <v>35054</v>
      </c>
      <c r="T3282" s="122">
        <v>16849</v>
      </c>
      <c r="U3282" s="122">
        <v>6240</v>
      </c>
      <c r="V3282" s="122">
        <v>311740</v>
      </c>
      <c r="W3282" s="122">
        <f t="shared" si="104"/>
        <v>311740</v>
      </c>
      <c r="X3282" s="122">
        <f t="shared" si="105"/>
        <v>697395</v>
      </c>
    </row>
    <row r="3283" spans="2:24">
      <c r="B3283" t="s">
        <v>386</v>
      </c>
      <c r="C3283" t="s">
        <v>64</v>
      </c>
      <c r="D3283" t="s">
        <v>137</v>
      </c>
      <c r="E3283" t="s">
        <v>427</v>
      </c>
      <c r="F3283" s="122">
        <v>4</v>
      </c>
      <c r="G3283" s="122">
        <v>444</v>
      </c>
      <c r="H3283" s="122">
        <v>2644</v>
      </c>
      <c r="I3283" s="122">
        <v>227889</v>
      </c>
      <c r="J3283" s="122">
        <v>84403</v>
      </c>
      <c r="K3283" s="122">
        <v>100</v>
      </c>
      <c r="L3283" s="122">
        <v>17076</v>
      </c>
      <c r="M3283" s="122">
        <v>15524</v>
      </c>
      <c r="N3283" s="122">
        <v>10118</v>
      </c>
      <c r="O3283" s="122">
        <v>3747</v>
      </c>
      <c r="P3283" s="122">
        <v>351</v>
      </c>
      <c r="Q3283" s="122">
        <v>130</v>
      </c>
      <c r="R3283" s="122">
        <v>30681</v>
      </c>
      <c r="S3283" s="122">
        <v>27892</v>
      </c>
      <c r="T3283" s="122">
        <v>10609</v>
      </c>
      <c r="U3283" s="122">
        <v>3929</v>
      </c>
      <c r="V3283" s="122">
        <v>135626</v>
      </c>
      <c r="W3283" s="122">
        <f t="shared" si="104"/>
        <v>135625</v>
      </c>
      <c r="X3283" s="122">
        <f t="shared" si="105"/>
        <v>296724</v>
      </c>
    </row>
    <row r="3284" spans="2:24">
      <c r="B3284" t="s">
        <v>386</v>
      </c>
      <c r="C3284" t="s">
        <v>64</v>
      </c>
      <c r="D3284" t="s">
        <v>137</v>
      </c>
      <c r="E3284" t="s">
        <v>556</v>
      </c>
      <c r="F3284" s="122">
        <v>2</v>
      </c>
      <c r="G3284" s="122">
        <v>134</v>
      </c>
      <c r="H3284" s="122">
        <v>1551</v>
      </c>
      <c r="I3284" s="122">
        <v>80634</v>
      </c>
      <c r="J3284" s="122">
        <v>29864</v>
      </c>
      <c r="K3284" s="122">
        <v>100</v>
      </c>
      <c r="L3284" s="122">
        <v>11468</v>
      </c>
      <c r="M3284" s="122">
        <v>9556</v>
      </c>
      <c r="N3284" s="122">
        <v>2896</v>
      </c>
      <c r="O3284" s="122">
        <v>1073</v>
      </c>
      <c r="P3284" s="122">
        <v>351</v>
      </c>
      <c r="Q3284" s="122">
        <v>130</v>
      </c>
      <c r="R3284" s="122">
        <v>6555</v>
      </c>
      <c r="S3284" s="122">
        <v>5463</v>
      </c>
      <c r="T3284" s="122">
        <v>1604</v>
      </c>
      <c r="U3284" s="122">
        <v>594</v>
      </c>
      <c r="V3284" s="122">
        <v>46680</v>
      </c>
      <c r="W3284" s="122">
        <f t="shared" si="104"/>
        <v>46680</v>
      </c>
      <c r="X3284" s="122">
        <f t="shared" si="105"/>
        <v>103508</v>
      </c>
    </row>
    <row r="3285" spans="2:24">
      <c r="B3285" t="s">
        <v>386</v>
      </c>
      <c r="C3285" t="s">
        <v>64</v>
      </c>
      <c r="D3285" t="s">
        <v>137</v>
      </c>
      <c r="E3285" t="s">
        <v>426</v>
      </c>
      <c r="F3285" s="122">
        <v>14</v>
      </c>
      <c r="G3285" s="122">
        <v>1441</v>
      </c>
      <c r="H3285" s="122">
        <v>10041</v>
      </c>
      <c r="I3285" s="122">
        <v>788423</v>
      </c>
      <c r="J3285" s="122">
        <v>292008</v>
      </c>
      <c r="K3285" s="122">
        <v>100</v>
      </c>
      <c r="L3285" s="122">
        <v>97174</v>
      </c>
      <c r="M3285" s="122">
        <v>86039</v>
      </c>
      <c r="N3285" s="122">
        <v>30916</v>
      </c>
      <c r="O3285" s="122">
        <v>11450</v>
      </c>
      <c r="P3285" s="122">
        <v>1755</v>
      </c>
      <c r="Q3285" s="122">
        <v>650</v>
      </c>
      <c r="R3285" s="122">
        <v>78598</v>
      </c>
      <c r="S3285" s="122">
        <v>71453</v>
      </c>
      <c r="T3285" s="122">
        <v>30782</v>
      </c>
      <c r="U3285" s="122">
        <v>11401</v>
      </c>
      <c r="V3285" s="122">
        <v>473002</v>
      </c>
      <c r="W3285" s="122">
        <f t="shared" si="104"/>
        <v>473001</v>
      </c>
      <c r="X3285" s="122">
        <f t="shared" si="105"/>
        <v>1027648</v>
      </c>
    </row>
    <row r="3286" spans="2:24">
      <c r="B3286" t="s">
        <v>386</v>
      </c>
      <c r="C3286" t="s">
        <v>64</v>
      </c>
      <c r="D3286" t="s">
        <v>406</v>
      </c>
      <c r="E3286" t="s">
        <v>137</v>
      </c>
      <c r="F3286" s="122">
        <v>16</v>
      </c>
      <c r="G3286" s="122">
        <v>1676</v>
      </c>
      <c r="H3286" s="122">
        <v>8637</v>
      </c>
      <c r="I3286" s="122">
        <v>636378</v>
      </c>
      <c r="J3286" s="122">
        <v>578525</v>
      </c>
      <c r="K3286" s="122">
        <v>72</v>
      </c>
      <c r="L3286" s="122">
        <v>96139</v>
      </c>
      <c r="M3286" s="122">
        <v>87399</v>
      </c>
      <c r="N3286" s="122">
        <v>39214</v>
      </c>
      <c r="O3286" s="122">
        <v>14524</v>
      </c>
      <c r="P3286" s="122">
        <v>9467</v>
      </c>
      <c r="Q3286" s="122">
        <v>3506</v>
      </c>
      <c r="R3286" s="122">
        <v>122701</v>
      </c>
      <c r="S3286" s="122">
        <v>45445</v>
      </c>
      <c r="T3286" s="122">
        <v>2751</v>
      </c>
      <c r="U3286" s="122">
        <v>1019</v>
      </c>
      <c r="V3286" s="122">
        <v>730418</v>
      </c>
      <c r="W3286" s="122">
        <f t="shared" si="104"/>
        <v>730418</v>
      </c>
      <c r="X3286" s="122">
        <f t="shared" si="105"/>
        <v>906650</v>
      </c>
    </row>
    <row r="3287" spans="2:24">
      <c r="B3287" t="s">
        <v>386</v>
      </c>
      <c r="C3287" t="s">
        <v>64</v>
      </c>
      <c r="D3287" t="s">
        <v>406</v>
      </c>
      <c r="E3287" t="s">
        <v>406</v>
      </c>
      <c r="F3287" s="122">
        <v>409</v>
      </c>
      <c r="G3287" s="122">
        <v>44085</v>
      </c>
      <c r="H3287" s="122">
        <v>241229</v>
      </c>
      <c r="I3287" s="122">
        <v>16969524</v>
      </c>
      <c r="J3287" s="122">
        <v>15426840</v>
      </c>
      <c r="K3287" s="122">
        <v>71</v>
      </c>
      <c r="L3287" s="122">
        <v>6014913</v>
      </c>
      <c r="M3287" s="122">
        <v>4079460</v>
      </c>
      <c r="N3287" s="122">
        <v>950078</v>
      </c>
      <c r="O3287" s="122">
        <v>351881</v>
      </c>
      <c r="P3287" s="122">
        <v>262692</v>
      </c>
      <c r="Q3287" s="122">
        <v>97293</v>
      </c>
      <c r="R3287" s="122">
        <v>2167560</v>
      </c>
      <c r="S3287" s="122">
        <v>1970509</v>
      </c>
      <c r="T3287" s="122">
        <v>773688</v>
      </c>
      <c r="U3287" s="122">
        <v>286551</v>
      </c>
      <c r="V3287" s="122">
        <v>22212534</v>
      </c>
      <c r="W3287" s="122">
        <f t="shared" si="104"/>
        <v>22212534</v>
      </c>
      <c r="X3287" s="122">
        <f t="shared" si="105"/>
        <v>27138455</v>
      </c>
    </row>
    <row r="3288" spans="2:24">
      <c r="B3288" t="s">
        <v>386</v>
      </c>
      <c r="C3288" t="s">
        <v>64</v>
      </c>
      <c r="D3288" t="s">
        <v>406</v>
      </c>
      <c r="E3288" t="s">
        <v>407</v>
      </c>
      <c r="F3288" s="122">
        <v>1</v>
      </c>
      <c r="G3288" s="122">
        <v>60</v>
      </c>
      <c r="H3288" s="122">
        <v>613</v>
      </c>
      <c r="I3288" s="122">
        <v>24356</v>
      </c>
      <c r="J3288" s="122">
        <v>22142</v>
      </c>
      <c r="K3288" s="122">
        <v>86</v>
      </c>
      <c r="L3288" s="122">
        <v>3381</v>
      </c>
      <c r="M3288" s="122">
        <v>3073</v>
      </c>
      <c r="N3288" s="122">
        <v>1467</v>
      </c>
      <c r="O3288" s="122">
        <v>543</v>
      </c>
      <c r="P3288" s="122">
        <v>972</v>
      </c>
      <c r="Q3288" s="122">
        <v>360</v>
      </c>
      <c r="R3288" s="122">
        <v>3942</v>
      </c>
      <c r="S3288" s="122">
        <v>3583</v>
      </c>
      <c r="T3288" s="122">
        <v>2784</v>
      </c>
      <c r="U3288" s="122">
        <v>1031</v>
      </c>
      <c r="V3288" s="122">
        <v>30732</v>
      </c>
      <c r="W3288" s="122">
        <f t="shared" si="104"/>
        <v>30732</v>
      </c>
      <c r="X3288" s="122">
        <f t="shared" si="105"/>
        <v>36902</v>
      </c>
    </row>
    <row r="3289" spans="2:24">
      <c r="B3289" t="s">
        <v>386</v>
      </c>
      <c r="C3289" t="s">
        <v>64</v>
      </c>
      <c r="D3289" t="s">
        <v>406</v>
      </c>
      <c r="E3289" t="s">
        <v>426</v>
      </c>
      <c r="F3289" s="122">
        <v>4</v>
      </c>
      <c r="G3289" s="122">
        <v>357</v>
      </c>
      <c r="H3289" s="122">
        <v>2044</v>
      </c>
      <c r="I3289" s="122">
        <v>118327</v>
      </c>
      <c r="J3289" s="122">
        <v>107570</v>
      </c>
      <c r="K3289" s="122">
        <v>79</v>
      </c>
      <c r="L3289" s="122">
        <v>26404</v>
      </c>
      <c r="M3289" s="122">
        <v>24004</v>
      </c>
      <c r="N3289" s="122">
        <v>7815</v>
      </c>
      <c r="O3289" s="122">
        <v>2895</v>
      </c>
      <c r="P3289" s="122">
        <v>2835</v>
      </c>
      <c r="Q3289" s="122">
        <v>1050</v>
      </c>
      <c r="R3289" s="122">
        <v>15201</v>
      </c>
      <c r="S3289" s="122">
        <v>13819</v>
      </c>
      <c r="T3289" s="122">
        <v>9365</v>
      </c>
      <c r="U3289" s="122">
        <v>3468</v>
      </c>
      <c r="V3289" s="122">
        <v>152806</v>
      </c>
      <c r="W3289" s="122">
        <f t="shared" si="104"/>
        <v>152806</v>
      </c>
      <c r="X3289" s="122">
        <f t="shared" si="105"/>
        <v>179947</v>
      </c>
    </row>
    <row r="3290" spans="2:24">
      <c r="B3290" t="s">
        <v>386</v>
      </c>
      <c r="C3290" t="s">
        <v>64</v>
      </c>
      <c r="D3290" t="s">
        <v>427</v>
      </c>
      <c r="E3290" t="s">
        <v>137</v>
      </c>
      <c r="F3290" s="122">
        <v>10</v>
      </c>
      <c r="G3290" s="122">
        <v>716</v>
      </c>
      <c r="H3290" s="122">
        <v>10643</v>
      </c>
      <c r="I3290" s="122">
        <v>597980</v>
      </c>
      <c r="J3290" s="122">
        <v>543618</v>
      </c>
      <c r="K3290" s="122">
        <v>40</v>
      </c>
      <c r="L3290" s="122">
        <v>77876</v>
      </c>
      <c r="M3290" s="122">
        <v>34624</v>
      </c>
      <c r="N3290" s="122">
        <v>16104</v>
      </c>
      <c r="O3290" s="122">
        <v>5964</v>
      </c>
      <c r="P3290" s="122">
        <v>702</v>
      </c>
      <c r="Q3290" s="122">
        <v>260</v>
      </c>
      <c r="R3290" s="122">
        <v>79808</v>
      </c>
      <c r="S3290" s="122">
        <v>29559</v>
      </c>
      <c r="T3290" s="122">
        <v>0</v>
      </c>
      <c r="U3290" s="122">
        <v>0</v>
      </c>
      <c r="V3290" s="122">
        <v>614025</v>
      </c>
      <c r="W3290" s="122">
        <f t="shared" si="104"/>
        <v>614025</v>
      </c>
      <c r="X3290" s="122">
        <f t="shared" si="105"/>
        <v>772470</v>
      </c>
    </row>
    <row r="3291" spans="2:24">
      <c r="B3291" t="s">
        <v>386</v>
      </c>
      <c r="C3291" t="s">
        <v>64</v>
      </c>
      <c r="D3291" t="s">
        <v>427</v>
      </c>
      <c r="E3291" t="s">
        <v>427</v>
      </c>
      <c r="F3291" s="122">
        <v>18</v>
      </c>
      <c r="G3291" s="122">
        <v>1447</v>
      </c>
      <c r="H3291" s="122">
        <v>12128</v>
      </c>
      <c r="I3291" s="122">
        <v>739963</v>
      </c>
      <c r="J3291" s="122">
        <v>672694</v>
      </c>
      <c r="K3291" s="122">
        <v>56</v>
      </c>
      <c r="L3291" s="122">
        <v>86221</v>
      </c>
      <c r="M3291" s="122">
        <v>45347</v>
      </c>
      <c r="N3291" s="122">
        <v>32244</v>
      </c>
      <c r="O3291" s="122">
        <v>11942</v>
      </c>
      <c r="P3291" s="122">
        <v>5535</v>
      </c>
      <c r="Q3291" s="122">
        <v>2050</v>
      </c>
      <c r="R3291" s="122">
        <v>113807</v>
      </c>
      <c r="S3291" s="122">
        <v>103461</v>
      </c>
      <c r="T3291" s="122">
        <v>39907</v>
      </c>
      <c r="U3291" s="122">
        <v>14780</v>
      </c>
      <c r="V3291" s="122">
        <v>850274</v>
      </c>
      <c r="W3291" s="122">
        <f t="shared" si="104"/>
        <v>850274</v>
      </c>
      <c r="X3291" s="122">
        <f t="shared" si="105"/>
        <v>1017677</v>
      </c>
    </row>
    <row r="3292" spans="2:24">
      <c r="B3292" t="s">
        <v>386</v>
      </c>
      <c r="C3292" t="s">
        <v>64</v>
      </c>
      <c r="D3292" t="s">
        <v>407</v>
      </c>
      <c r="E3292" t="s">
        <v>407</v>
      </c>
      <c r="F3292" s="122">
        <v>1</v>
      </c>
      <c r="G3292" s="122">
        <v>76</v>
      </c>
      <c r="H3292" s="122">
        <v>547</v>
      </c>
      <c r="I3292" s="122">
        <v>29018</v>
      </c>
      <c r="J3292" s="122">
        <v>26380</v>
      </c>
      <c r="K3292" s="122">
        <v>68</v>
      </c>
      <c r="L3292" s="122">
        <v>3471</v>
      </c>
      <c r="M3292" s="122">
        <v>3156</v>
      </c>
      <c r="N3292" s="122">
        <v>930</v>
      </c>
      <c r="O3292" s="122">
        <v>345</v>
      </c>
      <c r="P3292" s="122">
        <v>473</v>
      </c>
      <c r="Q3292" s="122">
        <v>175</v>
      </c>
      <c r="R3292" s="122">
        <v>5015</v>
      </c>
      <c r="S3292" s="122">
        <v>4559</v>
      </c>
      <c r="T3292" s="122">
        <v>2830</v>
      </c>
      <c r="U3292" s="122">
        <v>1048</v>
      </c>
      <c r="V3292" s="122">
        <v>35663</v>
      </c>
      <c r="W3292" s="122">
        <f t="shared" si="104"/>
        <v>35663</v>
      </c>
      <c r="X3292" s="122">
        <f t="shared" si="105"/>
        <v>41737</v>
      </c>
    </row>
    <row r="3293" spans="2:24">
      <c r="B3293" t="s">
        <v>386</v>
      </c>
      <c r="C3293" t="s">
        <v>64</v>
      </c>
      <c r="D3293" t="s">
        <v>556</v>
      </c>
      <c r="E3293" t="s">
        <v>137</v>
      </c>
      <c r="F3293" s="122">
        <v>4</v>
      </c>
      <c r="G3293" s="122">
        <v>516</v>
      </c>
      <c r="H3293" s="122">
        <v>4135</v>
      </c>
      <c r="I3293" s="122">
        <v>400723</v>
      </c>
      <c r="J3293" s="122">
        <v>333935</v>
      </c>
      <c r="K3293" s="122">
        <v>30</v>
      </c>
      <c r="L3293" s="122">
        <v>30054</v>
      </c>
      <c r="M3293" s="122">
        <v>11131</v>
      </c>
      <c r="N3293" s="122">
        <v>12319</v>
      </c>
      <c r="O3293" s="122">
        <v>4562</v>
      </c>
      <c r="P3293" s="122">
        <v>0</v>
      </c>
      <c r="Q3293" s="122">
        <v>0</v>
      </c>
      <c r="R3293" s="122">
        <v>34133</v>
      </c>
      <c r="S3293" s="122">
        <v>12642</v>
      </c>
      <c r="T3293" s="122">
        <v>0</v>
      </c>
      <c r="U3293" s="122">
        <v>0</v>
      </c>
      <c r="V3293" s="122">
        <v>362271</v>
      </c>
      <c r="W3293" s="122">
        <f t="shared" si="104"/>
        <v>362270</v>
      </c>
      <c r="X3293" s="122">
        <f t="shared" si="105"/>
        <v>477229</v>
      </c>
    </row>
    <row r="3294" spans="2:24">
      <c r="B3294" t="s">
        <v>386</v>
      </c>
      <c r="C3294" t="s">
        <v>64</v>
      </c>
      <c r="D3294" t="s">
        <v>556</v>
      </c>
      <c r="E3294" t="s">
        <v>556</v>
      </c>
      <c r="F3294" s="122">
        <v>9</v>
      </c>
      <c r="G3294" s="122">
        <v>644</v>
      </c>
      <c r="H3294" s="122">
        <v>6101</v>
      </c>
      <c r="I3294" s="122">
        <v>335719</v>
      </c>
      <c r="J3294" s="122">
        <v>279766</v>
      </c>
      <c r="K3294" s="122">
        <v>54</v>
      </c>
      <c r="L3294" s="122">
        <v>30773</v>
      </c>
      <c r="M3294" s="122">
        <v>21038</v>
      </c>
      <c r="N3294" s="122">
        <v>12948</v>
      </c>
      <c r="O3294" s="122">
        <v>4796</v>
      </c>
      <c r="P3294" s="122">
        <v>3159</v>
      </c>
      <c r="Q3294" s="122">
        <v>1170</v>
      </c>
      <c r="R3294" s="122">
        <v>51322</v>
      </c>
      <c r="S3294" s="122">
        <v>42768</v>
      </c>
      <c r="T3294" s="122">
        <v>17001</v>
      </c>
      <c r="U3294" s="122">
        <v>6297</v>
      </c>
      <c r="V3294" s="122">
        <v>355835</v>
      </c>
      <c r="W3294" s="122">
        <f t="shared" si="104"/>
        <v>355835</v>
      </c>
      <c r="X3294" s="122">
        <f t="shared" si="105"/>
        <v>450922</v>
      </c>
    </row>
    <row r="3295" spans="2:24">
      <c r="B3295" t="s">
        <v>386</v>
      </c>
      <c r="C3295" t="s">
        <v>64</v>
      </c>
      <c r="D3295" t="s">
        <v>428</v>
      </c>
      <c r="E3295" t="s">
        <v>428</v>
      </c>
      <c r="F3295" s="122">
        <v>1</v>
      </c>
      <c r="G3295" s="122">
        <v>75</v>
      </c>
      <c r="H3295" s="122">
        <v>1213</v>
      </c>
      <c r="I3295" s="122">
        <v>78234</v>
      </c>
      <c r="J3295" s="122">
        <v>71121</v>
      </c>
      <c r="K3295" s="122">
        <v>30</v>
      </c>
      <c r="L3295" s="122">
        <v>0</v>
      </c>
      <c r="M3295" s="122">
        <v>0</v>
      </c>
      <c r="N3295" s="122">
        <v>1828</v>
      </c>
      <c r="O3295" s="122">
        <v>677</v>
      </c>
      <c r="P3295" s="122">
        <v>351</v>
      </c>
      <c r="Q3295" s="122">
        <v>130</v>
      </c>
      <c r="R3295" s="122">
        <v>7751</v>
      </c>
      <c r="S3295" s="122">
        <v>7047</v>
      </c>
      <c r="T3295" s="122">
        <v>2811</v>
      </c>
      <c r="U3295" s="122">
        <v>1041</v>
      </c>
      <c r="V3295" s="122">
        <v>80016</v>
      </c>
      <c r="W3295" s="122">
        <f t="shared" si="104"/>
        <v>80016</v>
      </c>
      <c r="X3295" s="122">
        <f t="shared" si="105"/>
        <v>90975</v>
      </c>
    </row>
    <row r="3296" spans="2:24">
      <c r="B3296" t="s">
        <v>386</v>
      </c>
      <c r="C3296" t="s">
        <v>64</v>
      </c>
      <c r="D3296" t="s">
        <v>426</v>
      </c>
      <c r="E3296" t="s">
        <v>137</v>
      </c>
      <c r="F3296" s="122">
        <v>61</v>
      </c>
      <c r="G3296" s="122">
        <v>5460</v>
      </c>
      <c r="H3296" s="122">
        <v>61825</v>
      </c>
      <c r="I3296" s="122">
        <v>4447130</v>
      </c>
      <c r="J3296" s="122">
        <v>4042845</v>
      </c>
      <c r="K3296" s="122">
        <v>42</v>
      </c>
      <c r="L3296" s="122">
        <v>461885</v>
      </c>
      <c r="M3296" s="122">
        <v>231974</v>
      </c>
      <c r="N3296" s="122">
        <v>122797</v>
      </c>
      <c r="O3296" s="122">
        <v>45480</v>
      </c>
      <c r="P3296" s="122">
        <v>1989</v>
      </c>
      <c r="Q3296" s="122">
        <v>737</v>
      </c>
      <c r="R3296" s="122">
        <v>474096</v>
      </c>
      <c r="S3296" s="122">
        <v>175591</v>
      </c>
      <c r="T3296" s="122">
        <v>0</v>
      </c>
      <c r="U3296" s="122">
        <v>0</v>
      </c>
      <c r="V3296" s="122">
        <v>4496628</v>
      </c>
      <c r="W3296" s="122">
        <f t="shared" si="104"/>
        <v>4496627</v>
      </c>
      <c r="X3296" s="122">
        <f t="shared" si="105"/>
        <v>5507897</v>
      </c>
    </row>
    <row r="3297" spans="2:24">
      <c r="B3297" t="s">
        <v>386</v>
      </c>
      <c r="C3297" t="s">
        <v>64</v>
      </c>
      <c r="D3297" t="s">
        <v>426</v>
      </c>
      <c r="E3297" t="s">
        <v>556</v>
      </c>
      <c r="F3297" s="122">
        <v>1</v>
      </c>
      <c r="G3297" s="122">
        <v>63</v>
      </c>
      <c r="H3297" s="122">
        <v>866</v>
      </c>
      <c r="I3297" s="122">
        <v>37783</v>
      </c>
      <c r="J3297" s="122">
        <v>34348</v>
      </c>
      <c r="K3297" s="122">
        <v>74</v>
      </c>
      <c r="L3297" s="122">
        <v>8924</v>
      </c>
      <c r="M3297" s="122">
        <v>8113</v>
      </c>
      <c r="N3297" s="122">
        <v>1525</v>
      </c>
      <c r="O3297" s="122">
        <v>565</v>
      </c>
      <c r="P3297" s="122">
        <v>351</v>
      </c>
      <c r="Q3297" s="122">
        <v>130</v>
      </c>
      <c r="R3297" s="122">
        <v>3655</v>
      </c>
      <c r="S3297" s="122">
        <v>3046</v>
      </c>
      <c r="T3297" s="122">
        <v>1926</v>
      </c>
      <c r="U3297" s="122">
        <v>713</v>
      </c>
      <c r="V3297" s="122">
        <v>46914</v>
      </c>
      <c r="W3297" s="122">
        <f t="shared" si="104"/>
        <v>46915</v>
      </c>
      <c r="X3297" s="122">
        <f t="shared" si="105"/>
        <v>54164</v>
      </c>
    </row>
    <row r="3298" spans="2:24">
      <c r="B3298" t="s">
        <v>386</v>
      </c>
      <c r="C3298" t="s">
        <v>64</v>
      </c>
      <c r="D3298" t="s">
        <v>426</v>
      </c>
      <c r="E3298" t="s">
        <v>426</v>
      </c>
      <c r="F3298" s="122">
        <v>158</v>
      </c>
      <c r="G3298" s="122">
        <v>13752</v>
      </c>
      <c r="H3298" s="122">
        <v>115623</v>
      </c>
      <c r="I3298" s="122">
        <v>7336777</v>
      </c>
      <c r="J3298" s="122">
        <v>6669797</v>
      </c>
      <c r="K3298" s="122">
        <v>55</v>
      </c>
      <c r="L3298" s="122">
        <v>972981</v>
      </c>
      <c r="M3298" s="122">
        <v>743125</v>
      </c>
      <c r="N3298" s="122">
        <v>295592</v>
      </c>
      <c r="O3298" s="122">
        <v>109479</v>
      </c>
      <c r="P3298" s="122">
        <v>53406</v>
      </c>
      <c r="Q3298" s="122">
        <v>19780</v>
      </c>
      <c r="R3298" s="122">
        <v>923676</v>
      </c>
      <c r="S3298" s="122">
        <v>839705</v>
      </c>
      <c r="T3298" s="122">
        <v>311237</v>
      </c>
      <c r="U3298" s="122">
        <v>115273</v>
      </c>
      <c r="V3298" s="122">
        <v>8497158</v>
      </c>
      <c r="W3298" s="122">
        <f t="shared" si="104"/>
        <v>8497159</v>
      </c>
      <c r="X3298" s="122">
        <f t="shared" si="105"/>
        <v>9893669</v>
      </c>
    </row>
    <row r="3299" spans="2:24">
      <c r="B3299" t="s">
        <v>386</v>
      </c>
      <c r="C3299" t="s">
        <v>64</v>
      </c>
      <c r="D3299" t="s">
        <v>433</v>
      </c>
      <c r="E3299" t="s">
        <v>433</v>
      </c>
      <c r="F3299" s="122">
        <v>12</v>
      </c>
      <c r="G3299" s="122">
        <v>1347</v>
      </c>
      <c r="H3299" s="122">
        <v>8155</v>
      </c>
      <c r="I3299" s="122">
        <v>695985</v>
      </c>
      <c r="J3299" s="122">
        <v>632714</v>
      </c>
      <c r="K3299" s="122">
        <v>53</v>
      </c>
      <c r="L3299" s="122">
        <v>70604</v>
      </c>
      <c r="M3299" s="122">
        <v>56292</v>
      </c>
      <c r="N3299" s="122">
        <v>30960</v>
      </c>
      <c r="O3299" s="122">
        <v>11467</v>
      </c>
      <c r="P3299" s="122">
        <v>4563</v>
      </c>
      <c r="Q3299" s="122">
        <v>1690</v>
      </c>
      <c r="R3299" s="122">
        <v>68366</v>
      </c>
      <c r="S3299" s="122">
        <v>62151</v>
      </c>
      <c r="T3299" s="122">
        <v>30533</v>
      </c>
      <c r="U3299" s="122">
        <v>11308</v>
      </c>
      <c r="V3299" s="122">
        <v>775621</v>
      </c>
      <c r="W3299" s="122">
        <f t="shared" si="104"/>
        <v>775622</v>
      </c>
      <c r="X3299" s="122">
        <f t="shared" si="105"/>
        <v>901011</v>
      </c>
    </row>
    <row r="3300" spans="2:24">
      <c r="B3300" t="s">
        <v>386</v>
      </c>
      <c r="C3300" t="s">
        <v>64</v>
      </c>
      <c r="D3300" t="s">
        <v>408</v>
      </c>
      <c r="E3300" t="s">
        <v>137</v>
      </c>
      <c r="F3300" s="122">
        <v>1</v>
      </c>
      <c r="G3300" s="122">
        <v>47</v>
      </c>
      <c r="H3300" s="122">
        <v>460</v>
      </c>
      <c r="I3300" s="122">
        <v>11890</v>
      </c>
      <c r="J3300" s="122">
        <v>10809</v>
      </c>
      <c r="K3300" s="122">
        <v>65</v>
      </c>
      <c r="L3300" s="122">
        <v>2108</v>
      </c>
      <c r="M3300" s="122">
        <v>781</v>
      </c>
      <c r="N3300" s="122">
        <v>685</v>
      </c>
      <c r="O3300" s="122">
        <v>254</v>
      </c>
      <c r="P3300" s="122">
        <v>351</v>
      </c>
      <c r="Q3300" s="122">
        <v>130</v>
      </c>
      <c r="R3300" s="122">
        <v>6504</v>
      </c>
      <c r="S3300" s="122">
        <v>2409</v>
      </c>
      <c r="T3300" s="122">
        <v>0</v>
      </c>
      <c r="U3300" s="122">
        <v>0</v>
      </c>
      <c r="V3300" s="122">
        <v>14382</v>
      </c>
      <c r="W3300" s="122">
        <f t="shared" si="104"/>
        <v>14383</v>
      </c>
      <c r="X3300" s="122">
        <f t="shared" si="105"/>
        <v>21538</v>
      </c>
    </row>
    <row r="3301" spans="2:24">
      <c r="B3301" t="s">
        <v>387</v>
      </c>
      <c r="C3301" t="s">
        <v>48</v>
      </c>
      <c r="D3301" t="s">
        <v>425</v>
      </c>
      <c r="E3301" t="s">
        <v>425</v>
      </c>
      <c r="F3301" s="122">
        <v>1</v>
      </c>
      <c r="G3301" s="122">
        <v>149</v>
      </c>
      <c r="H3301" s="122">
        <v>69</v>
      </c>
      <c r="I3301" s="122">
        <v>1017</v>
      </c>
      <c r="J3301" s="122">
        <v>925</v>
      </c>
      <c r="K3301" s="122">
        <v>91</v>
      </c>
      <c r="L3301" s="122">
        <v>172</v>
      </c>
      <c r="M3301" s="122">
        <v>157</v>
      </c>
      <c r="N3301" s="122">
        <v>2048</v>
      </c>
      <c r="O3301" s="122">
        <v>758</v>
      </c>
      <c r="P3301" s="122">
        <v>1692</v>
      </c>
      <c r="Q3301" s="122">
        <v>627</v>
      </c>
      <c r="R3301" s="122">
        <v>5396</v>
      </c>
      <c r="S3301" s="122">
        <v>4905</v>
      </c>
      <c r="T3301" s="122">
        <v>0</v>
      </c>
      <c r="U3301" s="122">
        <v>0</v>
      </c>
      <c r="V3301" s="122">
        <v>7372</v>
      </c>
      <c r="W3301" s="122">
        <f t="shared" si="104"/>
        <v>7372</v>
      </c>
      <c r="X3301" s="122">
        <f t="shared" si="105"/>
        <v>10325</v>
      </c>
    </row>
    <row r="3302" spans="2:24">
      <c r="B3302" t="s">
        <v>387</v>
      </c>
      <c r="C3302" t="s">
        <v>48</v>
      </c>
      <c r="D3302" t="s">
        <v>405</v>
      </c>
      <c r="E3302" t="s">
        <v>405</v>
      </c>
      <c r="F3302" s="122">
        <v>1</v>
      </c>
      <c r="G3302" s="122">
        <v>134</v>
      </c>
      <c r="H3302" s="122">
        <v>56</v>
      </c>
      <c r="I3302" s="122">
        <v>371</v>
      </c>
      <c r="J3302" s="122">
        <v>337</v>
      </c>
      <c r="K3302" s="122">
        <v>92</v>
      </c>
      <c r="L3302" s="122">
        <v>138</v>
      </c>
      <c r="M3302" s="122">
        <v>115</v>
      </c>
      <c r="N3302" s="122">
        <v>1631</v>
      </c>
      <c r="O3302" s="122">
        <v>604</v>
      </c>
      <c r="P3302" s="122">
        <v>1690</v>
      </c>
      <c r="Q3302" s="122">
        <v>626</v>
      </c>
      <c r="R3302" s="122">
        <v>3641</v>
      </c>
      <c r="S3302" s="122">
        <v>3310</v>
      </c>
      <c r="T3302" s="122">
        <v>0</v>
      </c>
      <c r="U3302" s="122">
        <v>0</v>
      </c>
      <c r="V3302" s="122">
        <v>4993</v>
      </c>
      <c r="W3302" s="122">
        <f t="shared" si="104"/>
        <v>4992</v>
      </c>
      <c r="X3302" s="122">
        <f t="shared" si="105"/>
        <v>7471</v>
      </c>
    </row>
    <row r="3303" spans="2:24">
      <c r="B3303" t="s">
        <v>387</v>
      </c>
      <c r="C3303" t="s">
        <v>48</v>
      </c>
      <c r="D3303" t="s">
        <v>137</v>
      </c>
      <c r="E3303" t="s">
        <v>137</v>
      </c>
      <c r="F3303" s="122">
        <v>276</v>
      </c>
      <c r="G3303" s="122">
        <v>53529</v>
      </c>
      <c r="H3303" s="122">
        <v>14689</v>
      </c>
      <c r="I3303" s="122">
        <v>340570</v>
      </c>
      <c r="J3303" s="122">
        <v>126137</v>
      </c>
      <c r="K3303" s="122">
        <v>455</v>
      </c>
      <c r="L3303" s="122">
        <v>88124</v>
      </c>
      <c r="M3303" s="122">
        <v>68294</v>
      </c>
      <c r="N3303" s="122">
        <v>716298</v>
      </c>
      <c r="O3303" s="122">
        <v>265296</v>
      </c>
      <c r="P3303" s="122">
        <v>340193</v>
      </c>
      <c r="Q3303" s="122">
        <v>125997</v>
      </c>
      <c r="R3303" s="122">
        <v>1372545</v>
      </c>
      <c r="S3303" s="122">
        <v>508350</v>
      </c>
      <c r="T3303" s="122">
        <v>0</v>
      </c>
      <c r="U3303" s="122">
        <v>0</v>
      </c>
      <c r="V3303" s="122">
        <v>1094073</v>
      </c>
      <c r="W3303" s="122">
        <f t="shared" si="104"/>
        <v>1094074</v>
      </c>
      <c r="X3303" s="122">
        <f t="shared" si="105"/>
        <v>2857730</v>
      </c>
    </row>
    <row r="3304" spans="2:24">
      <c r="B3304" t="s">
        <v>387</v>
      </c>
      <c r="C3304" t="s">
        <v>48</v>
      </c>
      <c r="D3304" t="s">
        <v>406</v>
      </c>
      <c r="E3304" t="s">
        <v>137</v>
      </c>
      <c r="F3304" s="122">
        <v>1</v>
      </c>
      <c r="G3304" s="122">
        <v>252</v>
      </c>
      <c r="H3304" s="122">
        <v>73</v>
      </c>
      <c r="I3304" s="122">
        <v>4425</v>
      </c>
      <c r="J3304" s="122">
        <v>4023</v>
      </c>
      <c r="K3304" s="122">
        <v>94</v>
      </c>
      <c r="L3304" s="122">
        <v>585</v>
      </c>
      <c r="M3304" s="122">
        <v>532</v>
      </c>
      <c r="N3304" s="122">
        <v>3069</v>
      </c>
      <c r="O3304" s="122">
        <v>1137</v>
      </c>
      <c r="P3304" s="122">
        <v>4134</v>
      </c>
      <c r="Q3304" s="122">
        <v>1531</v>
      </c>
      <c r="R3304" s="122">
        <v>6219</v>
      </c>
      <c r="S3304" s="122">
        <v>2303</v>
      </c>
      <c r="T3304" s="122">
        <v>0</v>
      </c>
      <c r="U3304" s="122">
        <v>0</v>
      </c>
      <c r="V3304" s="122">
        <v>9526</v>
      </c>
      <c r="W3304" s="122">
        <f t="shared" si="104"/>
        <v>9526</v>
      </c>
      <c r="X3304" s="122">
        <f t="shared" si="105"/>
        <v>18432</v>
      </c>
    </row>
    <row r="3305" spans="2:24">
      <c r="B3305" t="s">
        <v>387</v>
      </c>
      <c r="C3305" t="s">
        <v>48</v>
      </c>
      <c r="D3305" t="s">
        <v>406</v>
      </c>
      <c r="E3305" t="s">
        <v>406</v>
      </c>
      <c r="F3305" s="122">
        <v>24</v>
      </c>
      <c r="G3305" s="122">
        <v>4735</v>
      </c>
      <c r="H3305" s="122">
        <v>1502</v>
      </c>
      <c r="I3305" s="122">
        <v>100810</v>
      </c>
      <c r="J3305" s="122">
        <v>91645</v>
      </c>
      <c r="K3305" s="122">
        <v>95</v>
      </c>
      <c r="L3305" s="122">
        <v>16400</v>
      </c>
      <c r="M3305" s="122">
        <v>14638</v>
      </c>
      <c r="N3305" s="122">
        <v>65344</v>
      </c>
      <c r="O3305" s="122">
        <v>24202</v>
      </c>
      <c r="P3305" s="122">
        <v>28427</v>
      </c>
      <c r="Q3305" s="122">
        <v>10528</v>
      </c>
      <c r="R3305" s="122">
        <v>93031</v>
      </c>
      <c r="S3305" s="122">
        <v>84574</v>
      </c>
      <c r="T3305" s="122">
        <v>0</v>
      </c>
      <c r="U3305" s="122">
        <v>0</v>
      </c>
      <c r="V3305" s="122">
        <v>225587</v>
      </c>
      <c r="W3305" s="122">
        <f t="shared" si="104"/>
        <v>225587</v>
      </c>
      <c r="X3305" s="122">
        <f t="shared" si="105"/>
        <v>304012</v>
      </c>
    </row>
    <row r="3306" spans="2:24">
      <c r="B3306" t="s">
        <v>387</v>
      </c>
      <c r="C3306" t="s">
        <v>48</v>
      </c>
      <c r="D3306" t="s">
        <v>407</v>
      </c>
      <c r="E3306" t="s">
        <v>137</v>
      </c>
      <c r="F3306" s="122">
        <v>13</v>
      </c>
      <c r="G3306" s="122">
        <v>1852</v>
      </c>
      <c r="H3306" s="122">
        <v>657</v>
      </c>
      <c r="I3306" s="122">
        <v>19360</v>
      </c>
      <c r="J3306" s="122">
        <v>17600</v>
      </c>
      <c r="K3306" s="122">
        <v>91</v>
      </c>
      <c r="L3306" s="122">
        <v>511</v>
      </c>
      <c r="M3306" s="122">
        <v>465</v>
      </c>
      <c r="N3306" s="122">
        <v>22565</v>
      </c>
      <c r="O3306" s="122">
        <v>8357</v>
      </c>
      <c r="P3306" s="122">
        <v>6143</v>
      </c>
      <c r="Q3306" s="122">
        <v>2275</v>
      </c>
      <c r="R3306" s="122">
        <v>45636</v>
      </c>
      <c r="S3306" s="122">
        <v>16902</v>
      </c>
      <c r="T3306" s="122">
        <v>0</v>
      </c>
      <c r="U3306" s="122">
        <v>0</v>
      </c>
      <c r="V3306" s="122">
        <v>45600</v>
      </c>
      <c r="W3306" s="122">
        <f t="shared" si="104"/>
        <v>45599</v>
      </c>
      <c r="X3306" s="122">
        <f t="shared" si="105"/>
        <v>94215</v>
      </c>
    </row>
    <row r="3307" spans="2:24">
      <c r="B3307" t="s">
        <v>387</v>
      </c>
      <c r="C3307" t="s">
        <v>48</v>
      </c>
      <c r="D3307" t="s">
        <v>407</v>
      </c>
      <c r="E3307" t="s">
        <v>407</v>
      </c>
      <c r="F3307" s="122">
        <v>169</v>
      </c>
      <c r="G3307" s="122">
        <v>24908</v>
      </c>
      <c r="H3307" s="122">
        <v>10286</v>
      </c>
      <c r="I3307" s="122">
        <v>456929</v>
      </c>
      <c r="J3307" s="122">
        <v>415390</v>
      </c>
      <c r="K3307" s="122">
        <v>90</v>
      </c>
      <c r="L3307" s="122">
        <v>20177</v>
      </c>
      <c r="M3307" s="122">
        <v>16829</v>
      </c>
      <c r="N3307" s="122">
        <v>307831</v>
      </c>
      <c r="O3307" s="122">
        <v>114011</v>
      </c>
      <c r="P3307" s="122">
        <v>167945</v>
      </c>
      <c r="Q3307" s="122">
        <v>62202</v>
      </c>
      <c r="R3307" s="122">
        <v>535823</v>
      </c>
      <c r="S3307" s="122">
        <v>487111</v>
      </c>
      <c r="T3307" s="122">
        <v>0</v>
      </c>
      <c r="U3307" s="122">
        <v>0</v>
      </c>
      <c r="V3307" s="122">
        <v>1095544</v>
      </c>
      <c r="W3307" s="122">
        <f t="shared" si="104"/>
        <v>1095543</v>
      </c>
      <c r="X3307" s="122">
        <f t="shared" si="105"/>
        <v>1488705</v>
      </c>
    </row>
    <row r="3308" spans="2:24">
      <c r="B3308" t="s">
        <v>387</v>
      </c>
      <c r="C3308" t="s">
        <v>48</v>
      </c>
      <c r="D3308" t="s">
        <v>433</v>
      </c>
      <c r="E3308" t="s">
        <v>433</v>
      </c>
      <c r="F3308" s="122">
        <v>3</v>
      </c>
      <c r="G3308" s="122">
        <v>612</v>
      </c>
      <c r="H3308" s="122">
        <v>206</v>
      </c>
      <c r="I3308" s="122">
        <v>14131</v>
      </c>
      <c r="J3308" s="122">
        <v>12846</v>
      </c>
      <c r="K3308" s="122">
        <v>82</v>
      </c>
      <c r="L3308" s="122">
        <v>2241</v>
      </c>
      <c r="M3308" s="122">
        <v>1087</v>
      </c>
      <c r="N3308" s="122">
        <v>7457</v>
      </c>
      <c r="O3308" s="122">
        <v>2762</v>
      </c>
      <c r="P3308" s="122">
        <v>6380</v>
      </c>
      <c r="Q3308" s="122">
        <v>2363</v>
      </c>
      <c r="R3308" s="122">
        <v>11345</v>
      </c>
      <c r="S3308" s="122">
        <v>10313</v>
      </c>
      <c r="T3308" s="122">
        <v>0</v>
      </c>
      <c r="U3308" s="122">
        <v>0</v>
      </c>
      <c r="V3308" s="122">
        <v>29371</v>
      </c>
      <c r="W3308" s="122">
        <f t="shared" ref="W3308:W3371" si="106">SUM(ABS(J3308),ABS(M3308),ABS(O3308),ABS(Q3308),ABS(S3308),ABS(U3308))</f>
        <v>29371</v>
      </c>
      <c r="X3308" s="122">
        <f t="shared" ref="X3308:X3371" si="107">SUM(ABS(I3308),ABS(N3308),ABS(P3308),ABS(R3308),ABS(T3308),ABS(L3308))</f>
        <v>41554</v>
      </c>
    </row>
    <row r="3309" spans="2:24">
      <c r="B3309" t="s">
        <v>387</v>
      </c>
      <c r="C3309" t="s">
        <v>50</v>
      </c>
      <c r="D3309" t="s">
        <v>405</v>
      </c>
      <c r="E3309" t="s">
        <v>405</v>
      </c>
      <c r="F3309" s="122">
        <v>3</v>
      </c>
      <c r="G3309" s="122">
        <v>617</v>
      </c>
      <c r="H3309" s="122">
        <v>273</v>
      </c>
      <c r="I3309" s="122">
        <v>25939</v>
      </c>
      <c r="J3309" s="122">
        <v>23581</v>
      </c>
      <c r="K3309" s="122">
        <v>92</v>
      </c>
      <c r="L3309" s="122">
        <v>4017</v>
      </c>
      <c r="M3309" s="122">
        <v>3652</v>
      </c>
      <c r="N3309" s="122">
        <v>10492</v>
      </c>
      <c r="O3309" s="122">
        <v>3886</v>
      </c>
      <c r="P3309" s="122">
        <v>5029</v>
      </c>
      <c r="Q3309" s="122">
        <v>1862</v>
      </c>
      <c r="R3309" s="122">
        <v>14476</v>
      </c>
      <c r="S3309" s="122">
        <v>13160</v>
      </c>
      <c r="T3309" s="122">
        <v>0</v>
      </c>
      <c r="U3309" s="122">
        <v>0</v>
      </c>
      <c r="V3309" s="122">
        <v>46141</v>
      </c>
      <c r="W3309" s="122">
        <f t="shared" si="106"/>
        <v>46141</v>
      </c>
      <c r="X3309" s="122">
        <f t="shared" si="107"/>
        <v>59953</v>
      </c>
    </row>
    <row r="3310" spans="2:24">
      <c r="B3310" t="s">
        <v>387</v>
      </c>
      <c r="C3310" t="s">
        <v>50</v>
      </c>
      <c r="D3310" t="s">
        <v>137</v>
      </c>
      <c r="E3310" t="s">
        <v>137</v>
      </c>
      <c r="F3310" s="122">
        <v>37</v>
      </c>
      <c r="G3310" s="122">
        <v>10331</v>
      </c>
      <c r="H3310" s="122">
        <v>3311</v>
      </c>
      <c r="I3310" s="122">
        <v>419181</v>
      </c>
      <c r="J3310" s="122">
        <v>155252</v>
      </c>
      <c r="K3310" s="122">
        <v>353</v>
      </c>
      <c r="L3310" s="122">
        <v>103435</v>
      </c>
      <c r="M3310" s="122">
        <v>92995</v>
      </c>
      <c r="N3310" s="122">
        <v>183870</v>
      </c>
      <c r="O3310" s="122">
        <v>68100</v>
      </c>
      <c r="P3310" s="122">
        <v>42000</v>
      </c>
      <c r="Q3310" s="122">
        <v>15555</v>
      </c>
      <c r="R3310" s="122">
        <v>213488</v>
      </c>
      <c r="S3310" s="122">
        <v>79069</v>
      </c>
      <c r="T3310" s="122">
        <v>8862</v>
      </c>
      <c r="U3310" s="122">
        <v>3282</v>
      </c>
      <c r="V3310" s="122">
        <v>414255</v>
      </c>
      <c r="W3310" s="122">
        <f t="shared" si="106"/>
        <v>414253</v>
      </c>
      <c r="X3310" s="122">
        <f t="shared" si="107"/>
        <v>970836</v>
      </c>
    </row>
    <row r="3311" spans="2:24">
      <c r="B3311" t="s">
        <v>387</v>
      </c>
      <c r="C3311" t="s">
        <v>50</v>
      </c>
      <c r="D3311" t="s">
        <v>430</v>
      </c>
      <c r="E3311" t="s">
        <v>430</v>
      </c>
      <c r="F3311" s="122">
        <v>1</v>
      </c>
      <c r="G3311" s="122">
        <v>213</v>
      </c>
      <c r="H3311" s="122">
        <v>95</v>
      </c>
      <c r="I3311" s="122">
        <v>6799</v>
      </c>
      <c r="J3311" s="122">
        <v>2518</v>
      </c>
      <c r="K3311" s="122">
        <v>320</v>
      </c>
      <c r="L3311" s="122">
        <v>0</v>
      </c>
      <c r="M3311" s="122">
        <v>0</v>
      </c>
      <c r="N3311" s="122">
        <v>2858</v>
      </c>
      <c r="O3311" s="122">
        <v>1059</v>
      </c>
      <c r="P3311" s="122">
        <v>1935</v>
      </c>
      <c r="Q3311" s="122">
        <v>717</v>
      </c>
      <c r="R3311" s="122">
        <v>5174</v>
      </c>
      <c r="S3311" s="122">
        <v>1916</v>
      </c>
      <c r="T3311" s="122">
        <v>3553</v>
      </c>
      <c r="U3311" s="122">
        <v>1316</v>
      </c>
      <c r="V3311" s="122">
        <v>7526</v>
      </c>
      <c r="W3311" s="122">
        <f t="shared" si="106"/>
        <v>7526</v>
      </c>
      <c r="X3311" s="122">
        <f t="shared" si="107"/>
        <v>20319</v>
      </c>
    </row>
    <row r="3312" spans="2:24">
      <c r="B3312" t="s">
        <v>387</v>
      </c>
      <c r="C3312" t="s">
        <v>50</v>
      </c>
      <c r="D3312" t="s">
        <v>406</v>
      </c>
      <c r="E3312" t="s">
        <v>137</v>
      </c>
      <c r="F3312" s="122">
        <v>1</v>
      </c>
      <c r="G3312" s="122">
        <v>270</v>
      </c>
      <c r="H3312" s="122">
        <v>92</v>
      </c>
      <c r="I3312" s="122">
        <v>8551</v>
      </c>
      <c r="J3312" s="122">
        <v>7773</v>
      </c>
      <c r="K3312" s="122">
        <v>97</v>
      </c>
      <c r="L3312" s="122">
        <v>1676</v>
      </c>
      <c r="M3312" s="122">
        <v>1396</v>
      </c>
      <c r="N3312" s="122">
        <v>4176</v>
      </c>
      <c r="O3312" s="122">
        <v>1547</v>
      </c>
      <c r="P3312" s="122">
        <v>2904</v>
      </c>
      <c r="Q3312" s="122">
        <v>1076</v>
      </c>
      <c r="R3312" s="122">
        <v>7602</v>
      </c>
      <c r="S3312" s="122">
        <v>2816</v>
      </c>
      <c r="T3312" s="122">
        <v>0</v>
      </c>
      <c r="U3312" s="122">
        <v>0</v>
      </c>
      <c r="V3312" s="122">
        <v>14608</v>
      </c>
      <c r="W3312" s="122">
        <f t="shared" si="106"/>
        <v>14608</v>
      </c>
      <c r="X3312" s="122">
        <f t="shared" si="107"/>
        <v>24909</v>
      </c>
    </row>
    <row r="3313" spans="2:24">
      <c r="B3313" t="s">
        <v>387</v>
      </c>
      <c r="C3313" t="s">
        <v>50</v>
      </c>
      <c r="D3313" t="s">
        <v>406</v>
      </c>
      <c r="E3313" t="s">
        <v>406</v>
      </c>
      <c r="F3313" s="122">
        <v>23</v>
      </c>
      <c r="G3313" s="122">
        <v>4322</v>
      </c>
      <c r="H3313" s="122">
        <v>2116</v>
      </c>
      <c r="I3313" s="122">
        <v>211790</v>
      </c>
      <c r="J3313" s="122">
        <v>192537</v>
      </c>
      <c r="K3313" s="122">
        <v>94</v>
      </c>
      <c r="L3313" s="122">
        <v>32808</v>
      </c>
      <c r="M3313" s="122">
        <v>32683</v>
      </c>
      <c r="N3313" s="122">
        <v>65831</v>
      </c>
      <c r="O3313" s="122">
        <v>24382</v>
      </c>
      <c r="P3313" s="122">
        <v>24257</v>
      </c>
      <c r="Q3313" s="122">
        <v>8984</v>
      </c>
      <c r="R3313" s="122">
        <v>94297</v>
      </c>
      <c r="S3313" s="122">
        <v>85725</v>
      </c>
      <c r="T3313" s="122">
        <v>0</v>
      </c>
      <c r="U3313" s="122">
        <v>0</v>
      </c>
      <c r="V3313" s="122">
        <v>344310</v>
      </c>
      <c r="W3313" s="122">
        <f t="shared" si="106"/>
        <v>344311</v>
      </c>
      <c r="X3313" s="122">
        <f t="shared" si="107"/>
        <v>428983</v>
      </c>
    </row>
    <row r="3314" spans="2:24">
      <c r="B3314" t="s">
        <v>387</v>
      </c>
      <c r="C3314" t="s">
        <v>50</v>
      </c>
      <c r="D3314" t="s">
        <v>407</v>
      </c>
      <c r="E3314" t="s">
        <v>407</v>
      </c>
      <c r="F3314" s="122">
        <v>22</v>
      </c>
      <c r="G3314" s="122">
        <v>4722</v>
      </c>
      <c r="H3314" s="122">
        <v>2014</v>
      </c>
      <c r="I3314" s="122">
        <v>257432</v>
      </c>
      <c r="J3314" s="122">
        <v>234029</v>
      </c>
      <c r="K3314" s="122">
        <v>90</v>
      </c>
      <c r="L3314" s="122">
        <v>25061</v>
      </c>
      <c r="M3314" s="122">
        <v>31577</v>
      </c>
      <c r="N3314" s="122">
        <v>66931</v>
      </c>
      <c r="O3314" s="122">
        <v>24789</v>
      </c>
      <c r="P3314" s="122">
        <v>15138</v>
      </c>
      <c r="Q3314" s="122">
        <v>5607</v>
      </c>
      <c r="R3314" s="122">
        <v>91807</v>
      </c>
      <c r="S3314" s="122">
        <v>83461</v>
      </c>
      <c r="T3314" s="122">
        <v>0</v>
      </c>
      <c r="U3314" s="122">
        <v>0</v>
      </c>
      <c r="V3314" s="122">
        <v>379464</v>
      </c>
      <c r="W3314" s="122">
        <f t="shared" si="106"/>
        <v>379463</v>
      </c>
      <c r="X3314" s="122">
        <f t="shared" si="107"/>
        <v>456369</v>
      </c>
    </row>
    <row r="3315" spans="2:24">
      <c r="B3315" t="s">
        <v>387</v>
      </c>
      <c r="C3315" t="s">
        <v>50</v>
      </c>
      <c r="D3315" t="s">
        <v>408</v>
      </c>
      <c r="E3315" t="s">
        <v>408</v>
      </c>
      <c r="F3315" s="122">
        <v>1</v>
      </c>
      <c r="G3315" s="122">
        <v>306</v>
      </c>
      <c r="H3315" s="122">
        <v>97</v>
      </c>
      <c r="I3315" s="122">
        <v>16389</v>
      </c>
      <c r="J3315" s="122">
        <v>14899</v>
      </c>
      <c r="K3315" s="122">
        <v>95</v>
      </c>
      <c r="L3315" s="122">
        <v>5791</v>
      </c>
      <c r="M3315" s="122">
        <v>5264</v>
      </c>
      <c r="N3315" s="122">
        <v>3728</v>
      </c>
      <c r="O3315" s="122">
        <v>1381</v>
      </c>
      <c r="P3315" s="122">
        <v>351</v>
      </c>
      <c r="Q3315" s="122">
        <v>130</v>
      </c>
      <c r="R3315" s="122">
        <v>2716</v>
      </c>
      <c r="S3315" s="122">
        <v>2469</v>
      </c>
      <c r="T3315" s="122">
        <v>685</v>
      </c>
      <c r="U3315" s="122">
        <v>254</v>
      </c>
      <c r="V3315" s="122">
        <v>24397</v>
      </c>
      <c r="W3315" s="122">
        <f t="shared" si="106"/>
        <v>24397</v>
      </c>
      <c r="X3315" s="122">
        <f t="shared" si="107"/>
        <v>29660</v>
      </c>
    </row>
    <row r="3316" spans="2:24">
      <c r="B3316" t="s">
        <v>387</v>
      </c>
      <c r="C3316" t="s">
        <v>50</v>
      </c>
      <c r="D3316" t="s">
        <v>429</v>
      </c>
      <c r="E3316" t="s">
        <v>429</v>
      </c>
      <c r="F3316" s="122">
        <v>1</v>
      </c>
      <c r="G3316" s="122">
        <v>162</v>
      </c>
      <c r="H3316" s="122">
        <v>84</v>
      </c>
      <c r="I3316" s="122">
        <v>7084</v>
      </c>
      <c r="J3316" s="122">
        <v>6440</v>
      </c>
      <c r="K3316" s="122">
        <v>83</v>
      </c>
      <c r="L3316" s="122">
        <v>0</v>
      </c>
      <c r="M3316" s="122">
        <v>0</v>
      </c>
      <c r="N3316" s="122">
        <v>1975</v>
      </c>
      <c r="O3316" s="122">
        <v>731</v>
      </c>
      <c r="P3316" s="122">
        <v>351</v>
      </c>
      <c r="Q3316" s="122">
        <v>130</v>
      </c>
      <c r="R3316" s="122">
        <v>4237</v>
      </c>
      <c r="S3316" s="122">
        <v>3852</v>
      </c>
      <c r="T3316" s="122">
        <v>0</v>
      </c>
      <c r="U3316" s="122">
        <v>0</v>
      </c>
      <c r="V3316" s="122">
        <v>11153</v>
      </c>
      <c r="W3316" s="122">
        <f t="shared" si="106"/>
        <v>11153</v>
      </c>
      <c r="X3316" s="122">
        <f t="shared" si="107"/>
        <v>13647</v>
      </c>
    </row>
    <row r="3317" spans="2:24">
      <c r="B3317" t="s">
        <v>387</v>
      </c>
      <c r="C3317" t="s">
        <v>52</v>
      </c>
      <c r="D3317" t="s">
        <v>405</v>
      </c>
      <c r="E3317" t="s">
        <v>405</v>
      </c>
      <c r="F3317" s="122">
        <v>6</v>
      </c>
      <c r="G3317" s="122">
        <v>1679</v>
      </c>
      <c r="H3317" s="122">
        <v>679</v>
      </c>
      <c r="I3317" s="122">
        <v>129530</v>
      </c>
      <c r="J3317" s="122">
        <v>117754</v>
      </c>
      <c r="K3317" s="122">
        <v>92</v>
      </c>
      <c r="L3317" s="122">
        <v>18939</v>
      </c>
      <c r="M3317" s="122">
        <v>15836</v>
      </c>
      <c r="N3317" s="122">
        <v>28156</v>
      </c>
      <c r="O3317" s="122">
        <v>10428</v>
      </c>
      <c r="P3317" s="122">
        <v>3902</v>
      </c>
      <c r="Q3317" s="122">
        <v>1445</v>
      </c>
      <c r="R3317" s="122">
        <v>32894</v>
      </c>
      <c r="S3317" s="122">
        <v>29904</v>
      </c>
      <c r="T3317" s="122">
        <v>0</v>
      </c>
      <c r="U3317" s="122">
        <v>0</v>
      </c>
      <c r="V3317" s="122">
        <v>175367</v>
      </c>
      <c r="W3317" s="122">
        <f t="shared" si="106"/>
        <v>175367</v>
      </c>
      <c r="X3317" s="122">
        <f t="shared" si="107"/>
        <v>213421</v>
      </c>
    </row>
    <row r="3318" spans="2:24">
      <c r="B3318" t="s">
        <v>387</v>
      </c>
      <c r="C3318" t="s">
        <v>52</v>
      </c>
      <c r="D3318" t="s">
        <v>405</v>
      </c>
      <c r="E3318" t="s">
        <v>137</v>
      </c>
      <c r="F3318" s="122">
        <v>1</v>
      </c>
      <c r="G3318" s="122">
        <v>128</v>
      </c>
      <c r="H3318" s="122">
        <v>112</v>
      </c>
      <c r="I3318" s="122">
        <v>14870</v>
      </c>
      <c r="J3318" s="122">
        <v>13518</v>
      </c>
      <c r="K3318" s="122">
        <v>91</v>
      </c>
      <c r="L3318" s="122">
        <v>2186</v>
      </c>
      <c r="M3318" s="122">
        <v>1987</v>
      </c>
      <c r="N3318" s="122">
        <v>2877</v>
      </c>
      <c r="O3318" s="122">
        <v>1066</v>
      </c>
      <c r="P3318" s="122">
        <v>473</v>
      </c>
      <c r="Q3318" s="122">
        <v>175</v>
      </c>
      <c r="R3318" s="122">
        <v>2798</v>
      </c>
      <c r="S3318" s="122">
        <v>1036</v>
      </c>
      <c r="T3318" s="122">
        <v>0</v>
      </c>
      <c r="U3318" s="122">
        <v>0</v>
      </c>
      <c r="V3318" s="122">
        <v>17782</v>
      </c>
      <c r="W3318" s="122">
        <f t="shared" si="106"/>
        <v>17782</v>
      </c>
      <c r="X3318" s="122">
        <f t="shared" si="107"/>
        <v>23204</v>
      </c>
    </row>
    <row r="3319" spans="2:24">
      <c r="B3319" t="s">
        <v>387</v>
      </c>
      <c r="C3319" t="s">
        <v>52</v>
      </c>
      <c r="D3319" t="s">
        <v>137</v>
      </c>
      <c r="E3319" t="s">
        <v>137</v>
      </c>
      <c r="F3319" s="122">
        <v>38</v>
      </c>
      <c r="G3319" s="122">
        <v>10751</v>
      </c>
      <c r="H3319" s="122">
        <v>4394</v>
      </c>
      <c r="I3319" s="122">
        <v>607221</v>
      </c>
      <c r="J3319" s="122">
        <v>224897</v>
      </c>
      <c r="K3319" s="122">
        <v>333</v>
      </c>
      <c r="L3319" s="122">
        <v>165199</v>
      </c>
      <c r="M3319" s="122">
        <v>147706</v>
      </c>
      <c r="N3319" s="122">
        <v>219797</v>
      </c>
      <c r="O3319" s="122">
        <v>81406</v>
      </c>
      <c r="P3319" s="122">
        <v>28497</v>
      </c>
      <c r="Q3319" s="122">
        <v>10554</v>
      </c>
      <c r="R3319" s="122">
        <v>294113</v>
      </c>
      <c r="S3319" s="122">
        <v>108931</v>
      </c>
      <c r="T3319" s="122">
        <v>0</v>
      </c>
      <c r="U3319" s="122">
        <v>0</v>
      </c>
      <c r="V3319" s="122">
        <v>573494</v>
      </c>
      <c r="W3319" s="122">
        <f t="shared" si="106"/>
        <v>573494</v>
      </c>
      <c r="X3319" s="122">
        <f t="shared" si="107"/>
        <v>1314827</v>
      </c>
    </row>
    <row r="3320" spans="2:24">
      <c r="B3320" t="s">
        <v>387</v>
      </c>
      <c r="C3320" t="s">
        <v>52</v>
      </c>
      <c r="D3320" t="s">
        <v>406</v>
      </c>
      <c r="E3320" t="s">
        <v>137</v>
      </c>
      <c r="F3320" s="122">
        <v>2</v>
      </c>
      <c r="G3320" s="122">
        <v>358</v>
      </c>
      <c r="H3320" s="122">
        <v>220</v>
      </c>
      <c r="I3320" s="122">
        <v>20027</v>
      </c>
      <c r="J3320" s="122">
        <v>18207</v>
      </c>
      <c r="K3320" s="122">
        <v>94</v>
      </c>
      <c r="L3320" s="122">
        <v>3480</v>
      </c>
      <c r="M3320" s="122">
        <v>3163</v>
      </c>
      <c r="N3320" s="122">
        <v>4366</v>
      </c>
      <c r="O3320" s="122">
        <v>1617</v>
      </c>
      <c r="P3320" s="122">
        <v>1242</v>
      </c>
      <c r="Q3320" s="122">
        <v>460</v>
      </c>
      <c r="R3320" s="122">
        <v>10084</v>
      </c>
      <c r="S3320" s="122">
        <v>3735</v>
      </c>
      <c r="T3320" s="122">
        <v>0</v>
      </c>
      <c r="U3320" s="122">
        <v>0</v>
      </c>
      <c r="V3320" s="122">
        <v>27182</v>
      </c>
      <c r="W3320" s="122">
        <f t="shared" si="106"/>
        <v>27182</v>
      </c>
      <c r="X3320" s="122">
        <f t="shared" si="107"/>
        <v>39199</v>
      </c>
    </row>
    <row r="3321" spans="2:24">
      <c r="B3321" t="s">
        <v>387</v>
      </c>
      <c r="C3321" t="s">
        <v>52</v>
      </c>
      <c r="D3321" t="s">
        <v>406</v>
      </c>
      <c r="E3321" t="s">
        <v>406</v>
      </c>
      <c r="F3321" s="122">
        <v>102</v>
      </c>
      <c r="G3321" s="122">
        <v>23432</v>
      </c>
      <c r="H3321" s="122">
        <v>11827</v>
      </c>
      <c r="I3321" s="122">
        <v>1634846</v>
      </c>
      <c r="J3321" s="122">
        <v>1486224</v>
      </c>
      <c r="K3321" s="122">
        <v>93</v>
      </c>
      <c r="L3321" s="122">
        <v>293510</v>
      </c>
      <c r="M3321" s="122">
        <v>260323</v>
      </c>
      <c r="N3321" s="122">
        <v>420062</v>
      </c>
      <c r="O3321" s="122">
        <v>155579</v>
      </c>
      <c r="P3321" s="122">
        <v>73563</v>
      </c>
      <c r="Q3321" s="122">
        <v>27246</v>
      </c>
      <c r="R3321" s="122">
        <v>496858</v>
      </c>
      <c r="S3321" s="122">
        <v>451689</v>
      </c>
      <c r="T3321" s="122">
        <v>27336</v>
      </c>
      <c r="U3321" s="122">
        <v>10124</v>
      </c>
      <c r="V3321" s="122">
        <v>2391184</v>
      </c>
      <c r="W3321" s="122">
        <f t="shared" si="106"/>
        <v>2391185</v>
      </c>
      <c r="X3321" s="122">
        <f t="shared" si="107"/>
        <v>2946175</v>
      </c>
    </row>
    <row r="3322" spans="2:24">
      <c r="B3322" t="s">
        <v>387</v>
      </c>
      <c r="C3322" t="s">
        <v>52</v>
      </c>
      <c r="D3322" t="s">
        <v>407</v>
      </c>
      <c r="E3322" t="s">
        <v>137</v>
      </c>
      <c r="F3322" s="122">
        <v>1</v>
      </c>
      <c r="G3322" s="122">
        <v>173</v>
      </c>
      <c r="H3322" s="122">
        <v>121</v>
      </c>
      <c r="I3322" s="122">
        <v>11404</v>
      </c>
      <c r="J3322" s="122">
        <v>10367</v>
      </c>
      <c r="K3322" s="122">
        <v>91</v>
      </c>
      <c r="L3322" s="122">
        <v>1911</v>
      </c>
      <c r="M3322" s="122">
        <v>1738</v>
      </c>
      <c r="N3322" s="122">
        <v>2107</v>
      </c>
      <c r="O3322" s="122">
        <v>780</v>
      </c>
      <c r="P3322" s="122">
        <v>473</v>
      </c>
      <c r="Q3322" s="122">
        <v>175</v>
      </c>
      <c r="R3322" s="122">
        <v>5070</v>
      </c>
      <c r="S3322" s="122">
        <v>1878</v>
      </c>
      <c r="T3322" s="122">
        <v>0</v>
      </c>
      <c r="U3322" s="122">
        <v>0</v>
      </c>
      <c r="V3322" s="122">
        <v>14938</v>
      </c>
      <c r="W3322" s="122">
        <f t="shared" si="106"/>
        <v>14938</v>
      </c>
      <c r="X3322" s="122">
        <f t="shared" si="107"/>
        <v>20965</v>
      </c>
    </row>
    <row r="3323" spans="2:24">
      <c r="B3323" t="s">
        <v>387</v>
      </c>
      <c r="C3323" t="s">
        <v>52</v>
      </c>
      <c r="D3323" t="s">
        <v>407</v>
      </c>
      <c r="E3323" t="s">
        <v>407</v>
      </c>
      <c r="F3323" s="122">
        <v>80</v>
      </c>
      <c r="G3323" s="122">
        <v>13438</v>
      </c>
      <c r="H3323" s="122">
        <v>9499</v>
      </c>
      <c r="I3323" s="122">
        <v>842099</v>
      </c>
      <c r="J3323" s="122">
        <v>765545</v>
      </c>
      <c r="K3323" s="122">
        <v>90</v>
      </c>
      <c r="L3323" s="122">
        <v>138532</v>
      </c>
      <c r="M3323" s="122">
        <v>122947</v>
      </c>
      <c r="N3323" s="122">
        <v>272487</v>
      </c>
      <c r="O3323" s="122">
        <v>100921</v>
      </c>
      <c r="P3323" s="122">
        <v>42051</v>
      </c>
      <c r="Q3323" s="122">
        <v>15574</v>
      </c>
      <c r="R3323" s="122">
        <v>381094</v>
      </c>
      <c r="S3323" s="122">
        <v>346449</v>
      </c>
      <c r="T3323" s="122">
        <v>1147</v>
      </c>
      <c r="U3323" s="122">
        <v>425</v>
      </c>
      <c r="V3323" s="122">
        <v>1351861</v>
      </c>
      <c r="W3323" s="122">
        <f t="shared" si="106"/>
        <v>1351861</v>
      </c>
      <c r="X3323" s="122">
        <f t="shared" si="107"/>
        <v>1677410</v>
      </c>
    </row>
    <row r="3324" spans="2:24">
      <c r="B3324" t="s">
        <v>387</v>
      </c>
      <c r="C3324" t="s">
        <v>52</v>
      </c>
      <c r="D3324" t="s">
        <v>408</v>
      </c>
      <c r="E3324" t="s">
        <v>408</v>
      </c>
      <c r="F3324" s="122">
        <v>4</v>
      </c>
      <c r="G3324" s="122">
        <v>756</v>
      </c>
      <c r="H3324" s="122">
        <v>476</v>
      </c>
      <c r="I3324" s="122">
        <v>59698</v>
      </c>
      <c r="J3324" s="122">
        <v>54271</v>
      </c>
      <c r="K3324" s="122">
        <v>85</v>
      </c>
      <c r="L3324" s="122">
        <v>10965</v>
      </c>
      <c r="M3324" s="122">
        <v>9968</v>
      </c>
      <c r="N3324" s="122">
        <v>10986</v>
      </c>
      <c r="O3324" s="122">
        <v>4069</v>
      </c>
      <c r="P3324" s="122">
        <v>1404</v>
      </c>
      <c r="Q3324" s="122">
        <v>520</v>
      </c>
      <c r="R3324" s="122">
        <v>19894</v>
      </c>
      <c r="S3324" s="122">
        <v>18085</v>
      </c>
      <c r="T3324" s="122">
        <v>0</v>
      </c>
      <c r="U3324" s="122">
        <v>0</v>
      </c>
      <c r="V3324" s="122">
        <v>86913</v>
      </c>
      <c r="W3324" s="122">
        <f t="shared" si="106"/>
        <v>86913</v>
      </c>
      <c r="X3324" s="122">
        <f t="shared" si="107"/>
        <v>102947</v>
      </c>
    </row>
    <row r="3325" spans="2:24">
      <c r="B3325" t="s">
        <v>387</v>
      </c>
      <c r="C3325" t="s">
        <v>54</v>
      </c>
      <c r="D3325" t="s">
        <v>405</v>
      </c>
      <c r="E3325" t="s">
        <v>425</v>
      </c>
      <c r="F3325" s="122">
        <v>1</v>
      </c>
      <c r="G3325" s="122">
        <v>436</v>
      </c>
      <c r="H3325" s="122">
        <v>136</v>
      </c>
      <c r="I3325" s="122">
        <v>35840</v>
      </c>
      <c r="J3325" s="122">
        <v>32582</v>
      </c>
      <c r="K3325" s="122">
        <v>93</v>
      </c>
      <c r="L3325" s="122">
        <v>12611</v>
      </c>
      <c r="M3325" s="122">
        <v>11464</v>
      </c>
      <c r="N3325" s="122">
        <v>11964</v>
      </c>
      <c r="O3325" s="122">
        <v>4431</v>
      </c>
      <c r="P3325" s="122">
        <v>743</v>
      </c>
      <c r="Q3325" s="122">
        <v>275</v>
      </c>
      <c r="R3325" s="122">
        <v>5645</v>
      </c>
      <c r="S3325" s="122">
        <v>5132</v>
      </c>
      <c r="T3325" s="122">
        <v>0</v>
      </c>
      <c r="U3325" s="122">
        <v>0</v>
      </c>
      <c r="V3325" s="122">
        <v>53884</v>
      </c>
      <c r="W3325" s="122">
        <f t="shared" si="106"/>
        <v>53884</v>
      </c>
      <c r="X3325" s="122">
        <f t="shared" si="107"/>
        <v>66803</v>
      </c>
    </row>
    <row r="3326" spans="2:24">
      <c r="B3326" t="s">
        <v>387</v>
      </c>
      <c r="C3326" t="s">
        <v>54</v>
      </c>
      <c r="D3326" t="s">
        <v>405</v>
      </c>
      <c r="E3326" t="s">
        <v>405</v>
      </c>
      <c r="F3326" s="122">
        <v>22</v>
      </c>
      <c r="G3326" s="122">
        <v>5820</v>
      </c>
      <c r="H3326" s="122">
        <v>3036</v>
      </c>
      <c r="I3326" s="122">
        <v>479727</v>
      </c>
      <c r="J3326" s="122">
        <v>436116</v>
      </c>
      <c r="K3326" s="122">
        <v>90</v>
      </c>
      <c r="L3326" s="122">
        <v>112979</v>
      </c>
      <c r="M3326" s="122">
        <v>99336</v>
      </c>
      <c r="N3326" s="122">
        <v>130205</v>
      </c>
      <c r="O3326" s="122">
        <v>48224</v>
      </c>
      <c r="P3326" s="122">
        <v>14046</v>
      </c>
      <c r="Q3326" s="122">
        <v>5202</v>
      </c>
      <c r="R3326" s="122">
        <v>133615</v>
      </c>
      <c r="S3326" s="122">
        <v>121468</v>
      </c>
      <c r="T3326" s="122">
        <v>7457</v>
      </c>
      <c r="U3326" s="122">
        <v>2762</v>
      </c>
      <c r="V3326" s="122">
        <v>713108</v>
      </c>
      <c r="W3326" s="122">
        <f t="shared" si="106"/>
        <v>713108</v>
      </c>
      <c r="X3326" s="122">
        <f t="shared" si="107"/>
        <v>878029</v>
      </c>
    </row>
    <row r="3327" spans="2:24">
      <c r="B3327" t="s">
        <v>387</v>
      </c>
      <c r="C3327" t="s">
        <v>54</v>
      </c>
      <c r="D3327" t="s">
        <v>405</v>
      </c>
      <c r="E3327" t="s">
        <v>137</v>
      </c>
      <c r="F3327" s="122">
        <v>2</v>
      </c>
      <c r="G3327" s="122">
        <v>263</v>
      </c>
      <c r="H3327" s="122">
        <v>296</v>
      </c>
      <c r="I3327" s="122">
        <v>23990</v>
      </c>
      <c r="J3327" s="122">
        <v>21809</v>
      </c>
      <c r="K3327" s="122">
        <v>91</v>
      </c>
      <c r="L3327" s="122">
        <v>3486</v>
      </c>
      <c r="M3327" s="122">
        <v>3169</v>
      </c>
      <c r="N3327" s="122">
        <v>5169</v>
      </c>
      <c r="O3327" s="122">
        <v>1914</v>
      </c>
      <c r="P3327" s="122">
        <v>945</v>
      </c>
      <c r="Q3327" s="122">
        <v>350</v>
      </c>
      <c r="R3327" s="122">
        <v>10720</v>
      </c>
      <c r="S3327" s="122">
        <v>3970</v>
      </c>
      <c r="T3327" s="122">
        <v>0</v>
      </c>
      <c r="U3327" s="122">
        <v>0</v>
      </c>
      <c r="V3327" s="122">
        <v>31212</v>
      </c>
      <c r="W3327" s="122">
        <f t="shared" si="106"/>
        <v>31212</v>
      </c>
      <c r="X3327" s="122">
        <f t="shared" si="107"/>
        <v>44310</v>
      </c>
    </row>
    <row r="3328" spans="2:24">
      <c r="B3328" t="s">
        <v>387</v>
      </c>
      <c r="C3328" t="s">
        <v>54</v>
      </c>
      <c r="D3328" t="s">
        <v>137</v>
      </c>
      <c r="E3328" t="s">
        <v>137</v>
      </c>
      <c r="F3328" s="122">
        <v>24</v>
      </c>
      <c r="G3328" s="122">
        <v>5858</v>
      </c>
      <c r="H3328" s="122">
        <v>3346</v>
      </c>
      <c r="I3328" s="122">
        <v>396876</v>
      </c>
      <c r="J3328" s="122">
        <v>146991</v>
      </c>
      <c r="K3328" s="122">
        <v>295</v>
      </c>
      <c r="L3328" s="122">
        <v>114032</v>
      </c>
      <c r="M3328" s="122">
        <v>96506</v>
      </c>
      <c r="N3328" s="122">
        <v>114774</v>
      </c>
      <c r="O3328" s="122">
        <v>42509</v>
      </c>
      <c r="P3328" s="122">
        <v>10978</v>
      </c>
      <c r="Q3328" s="122">
        <v>4066</v>
      </c>
      <c r="R3328" s="122">
        <v>204292</v>
      </c>
      <c r="S3328" s="122">
        <v>75664</v>
      </c>
      <c r="T3328" s="122">
        <v>0</v>
      </c>
      <c r="U3328" s="122">
        <v>0</v>
      </c>
      <c r="V3328" s="122">
        <v>365736</v>
      </c>
      <c r="W3328" s="122">
        <f t="shared" si="106"/>
        <v>365736</v>
      </c>
      <c r="X3328" s="122">
        <f t="shared" si="107"/>
        <v>840952</v>
      </c>
    </row>
    <row r="3329" spans="2:24">
      <c r="B3329" t="s">
        <v>387</v>
      </c>
      <c r="C3329" t="s">
        <v>54</v>
      </c>
      <c r="D3329" t="s">
        <v>137</v>
      </c>
      <c r="E3329" t="s">
        <v>408</v>
      </c>
      <c r="F3329" s="122">
        <v>1</v>
      </c>
      <c r="G3329" s="122">
        <v>275</v>
      </c>
      <c r="H3329" s="122">
        <v>148</v>
      </c>
      <c r="I3329" s="122">
        <v>24321</v>
      </c>
      <c r="J3329" s="122">
        <v>9008</v>
      </c>
      <c r="K3329" s="122">
        <v>250</v>
      </c>
      <c r="L3329" s="122">
        <v>3211</v>
      </c>
      <c r="M3329" s="122">
        <v>2919</v>
      </c>
      <c r="N3329" s="122">
        <v>3346</v>
      </c>
      <c r="O3329" s="122">
        <v>1239</v>
      </c>
      <c r="P3329" s="122">
        <v>351</v>
      </c>
      <c r="Q3329" s="122">
        <v>130</v>
      </c>
      <c r="R3329" s="122">
        <v>9345</v>
      </c>
      <c r="S3329" s="122">
        <v>8495</v>
      </c>
      <c r="T3329" s="122">
        <v>0</v>
      </c>
      <c r="U3329" s="122">
        <v>0</v>
      </c>
      <c r="V3329" s="122">
        <v>21791</v>
      </c>
      <c r="W3329" s="122">
        <f t="shared" si="106"/>
        <v>21791</v>
      </c>
      <c r="X3329" s="122">
        <f t="shared" si="107"/>
        <v>40574</v>
      </c>
    </row>
    <row r="3330" spans="2:24">
      <c r="B3330" t="s">
        <v>387</v>
      </c>
      <c r="C3330" t="s">
        <v>54</v>
      </c>
      <c r="D3330" t="s">
        <v>406</v>
      </c>
      <c r="E3330" t="s">
        <v>425</v>
      </c>
      <c r="F3330" s="122">
        <v>1</v>
      </c>
      <c r="G3330" s="122">
        <v>311</v>
      </c>
      <c r="H3330" s="122">
        <v>149</v>
      </c>
      <c r="I3330" s="122">
        <v>26882</v>
      </c>
      <c r="J3330" s="122">
        <v>24438</v>
      </c>
      <c r="K3330" s="122">
        <v>70</v>
      </c>
      <c r="L3330" s="122">
        <v>6969</v>
      </c>
      <c r="M3330" s="122">
        <v>6336</v>
      </c>
      <c r="N3330" s="122">
        <v>3869</v>
      </c>
      <c r="O3330" s="122">
        <v>1433</v>
      </c>
      <c r="P3330" s="122">
        <v>621</v>
      </c>
      <c r="Q3330" s="122">
        <v>230</v>
      </c>
      <c r="R3330" s="122">
        <v>8193</v>
      </c>
      <c r="S3330" s="122">
        <v>7448</v>
      </c>
      <c r="T3330" s="122">
        <v>0</v>
      </c>
      <c r="U3330" s="122">
        <v>0</v>
      </c>
      <c r="V3330" s="122">
        <v>39886</v>
      </c>
      <c r="W3330" s="122">
        <f t="shared" si="106"/>
        <v>39885</v>
      </c>
      <c r="X3330" s="122">
        <f t="shared" si="107"/>
        <v>46534</v>
      </c>
    </row>
    <row r="3331" spans="2:24">
      <c r="B3331" t="s">
        <v>387</v>
      </c>
      <c r="C3331" t="s">
        <v>54</v>
      </c>
      <c r="D3331" t="s">
        <v>406</v>
      </c>
      <c r="E3331" t="s">
        <v>137</v>
      </c>
      <c r="F3331" s="122">
        <v>6</v>
      </c>
      <c r="G3331" s="122">
        <v>1440</v>
      </c>
      <c r="H3331" s="122">
        <v>804</v>
      </c>
      <c r="I3331" s="122">
        <v>117446</v>
      </c>
      <c r="J3331" s="122">
        <v>106769</v>
      </c>
      <c r="K3331" s="122">
        <v>89</v>
      </c>
      <c r="L3331" s="122">
        <v>15799</v>
      </c>
      <c r="M3331" s="122">
        <v>14362</v>
      </c>
      <c r="N3331" s="122">
        <v>26365</v>
      </c>
      <c r="O3331" s="122">
        <v>9765</v>
      </c>
      <c r="P3331" s="122">
        <v>3726</v>
      </c>
      <c r="Q3331" s="122">
        <v>1380</v>
      </c>
      <c r="R3331" s="122">
        <v>38284</v>
      </c>
      <c r="S3331" s="122">
        <v>14179</v>
      </c>
      <c r="T3331" s="122">
        <v>0</v>
      </c>
      <c r="U3331" s="122">
        <v>0</v>
      </c>
      <c r="V3331" s="122">
        <v>146455</v>
      </c>
      <c r="W3331" s="122">
        <f t="shared" si="106"/>
        <v>146455</v>
      </c>
      <c r="X3331" s="122">
        <f t="shared" si="107"/>
        <v>201620</v>
      </c>
    </row>
    <row r="3332" spans="2:24">
      <c r="B3332" t="s">
        <v>387</v>
      </c>
      <c r="C3332" t="s">
        <v>54</v>
      </c>
      <c r="D3332" t="s">
        <v>406</v>
      </c>
      <c r="E3332" t="s">
        <v>406</v>
      </c>
      <c r="F3332" s="122">
        <v>364</v>
      </c>
      <c r="G3332" s="122">
        <v>73804</v>
      </c>
      <c r="H3332" s="122">
        <v>51277</v>
      </c>
      <c r="I3332" s="122">
        <v>6456621</v>
      </c>
      <c r="J3332" s="122">
        <v>5869656</v>
      </c>
      <c r="K3332" s="122">
        <v>91</v>
      </c>
      <c r="L3332" s="122">
        <v>1256370</v>
      </c>
      <c r="M3332" s="122">
        <v>1101820</v>
      </c>
      <c r="N3332" s="122">
        <v>1478848</v>
      </c>
      <c r="O3332" s="122">
        <v>547722</v>
      </c>
      <c r="P3332" s="122">
        <v>250587</v>
      </c>
      <c r="Q3332" s="122">
        <v>92810</v>
      </c>
      <c r="R3332" s="122">
        <v>1935572</v>
      </c>
      <c r="S3332" s="122">
        <v>1759611</v>
      </c>
      <c r="T3332" s="122">
        <v>143986</v>
      </c>
      <c r="U3332" s="122">
        <v>53328</v>
      </c>
      <c r="V3332" s="122">
        <v>9424947</v>
      </c>
      <c r="W3332" s="122">
        <f t="shared" si="106"/>
        <v>9424947</v>
      </c>
      <c r="X3332" s="122">
        <f t="shared" si="107"/>
        <v>11521984</v>
      </c>
    </row>
    <row r="3333" spans="2:24">
      <c r="B3333" t="s">
        <v>387</v>
      </c>
      <c r="C3333" t="s">
        <v>54</v>
      </c>
      <c r="D3333" t="s">
        <v>406</v>
      </c>
      <c r="E3333" t="s">
        <v>427</v>
      </c>
      <c r="F3333" s="122">
        <v>1</v>
      </c>
      <c r="G3333" s="122">
        <v>216</v>
      </c>
      <c r="H3333" s="122">
        <v>149</v>
      </c>
      <c r="I3333" s="122">
        <v>17019</v>
      </c>
      <c r="J3333" s="122">
        <v>15472</v>
      </c>
      <c r="K3333" s="122">
        <v>86</v>
      </c>
      <c r="L3333" s="122">
        <v>5402</v>
      </c>
      <c r="M3333" s="122">
        <v>4911</v>
      </c>
      <c r="N3333" s="122">
        <v>3290</v>
      </c>
      <c r="O3333" s="122">
        <v>1218</v>
      </c>
      <c r="P3333" s="122">
        <v>621</v>
      </c>
      <c r="Q3333" s="122">
        <v>230</v>
      </c>
      <c r="R3333" s="122">
        <v>5742</v>
      </c>
      <c r="S3333" s="122">
        <v>5220</v>
      </c>
      <c r="T3333" s="122">
        <v>0</v>
      </c>
      <c r="U3333" s="122">
        <v>0</v>
      </c>
      <c r="V3333" s="122">
        <v>27051</v>
      </c>
      <c r="W3333" s="122">
        <f t="shared" si="106"/>
        <v>27051</v>
      </c>
      <c r="X3333" s="122">
        <f t="shared" si="107"/>
        <v>32074</v>
      </c>
    </row>
    <row r="3334" spans="2:24">
      <c r="B3334" t="s">
        <v>387</v>
      </c>
      <c r="C3334" t="s">
        <v>54</v>
      </c>
      <c r="D3334" t="s">
        <v>407</v>
      </c>
      <c r="E3334" t="s">
        <v>407</v>
      </c>
      <c r="F3334" s="122">
        <v>195</v>
      </c>
      <c r="G3334" s="122">
        <v>37128</v>
      </c>
      <c r="H3334" s="122">
        <v>27265</v>
      </c>
      <c r="I3334" s="122">
        <v>2913927</v>
      </c>
      <c r="J3334" s="122">
        <v>2649024</v>
      </c>
      <c r="K3334" s="122">
        <v>88</v>
      </c>
      <c r="L3334" s="122">
        <v>656225</v>
      </c>
      <c r="M3334" s="122">
        <v>582736</v>
      </c>
      <c r="N3334" s="122">
        <v>782380</v>
      </c>
      <c r="O3334" s="122">
        <v>289770</v>
      </c>
      <c r="P3334" s="122">
        <v>106779</v>
      </c>
      <c r="Q3334" s="122">
        <v>39548</v>
      </c>
      <c r="R3334" s="122">
        <v>1044584</v>
      </c>
      <c r="S3334" s="122">
        <v>949622</v>
      </c>
      <c r="T3334" s="122">
        <v>28860</v>
      </c>
      <c r="U3334" s="122">
        <v>10689</v>
      </c>
      <c r="V3334" s="122">
        <v>4521390</v>
      </c>
      <c r="W3334" s="122">
        <f t="shared" si="106"/>
        <v>4521389</v>
      </c>
      <c r="X3334" s="122">
        <f t="shared" si="107"/>
        <v>5532755</v>
      </c>
    </row>
    <row r="3335" spans="2:24">
      <c r="B3335" t="s">
        <v>387</v>
      </c>
      <c r="C3335" t="s">
        <v>54</v>
      </c>
      <c r="D3335" t="s">
        <v>481</v>
      </c>
      <c r="E3335" t="s">
        <v>481</v>
      </c>
      <c r="F3335" s="122">
        <v>1</v>
      </c>
      <c r="G3335" s="122">
        <v>322</v>
      </c>
      <c r="H3335" s="122">
        <v>130</v>
      </c>
      <c r="I3335" s="122">
        <v>26403</v>
      </c>
      <c r="J3335" s="122">
        <v>24003</v>
      </c>
      <c r="K3335" s="122">
        <v>83</v>
      </c>
      <c r="L3335" s="122">
        <v>4039</v>
      </c>
      <c r="M3335" s="122">
        <v>3672</v>
      </c>
      <c r="N3335" s="122">
        <v>5768</v>
      </c>
      <c r="O3335" s="122">
        <v>2136</v>
      </c>
      <c r="P3335" s="122">
        <v>351</v>
      </c>
      <c r="Q3335" s="122">
        <v>130</v>
      </c>
      <c r="R3335" s="122">
        <v>5201</v>
      </c>
      <c r="S3335" s="122">
        <v>4728</v>
      </c>
      <c r="T3335" s="122">
        <v>0</v>
      </c>
      <c r="U3335" s="122">
        <v>0</v>
      </c>
      <c r="V3335" s="122">
        <v>34669</v>
      </c>
      <c r="W3335" s="122">
        <f t="shared" si="106"/>
        <v>34669</v>
      </c>
      <c r="X3335" s="122">
        <f t="shared" si="107"/>
        <v>41762</v>
      </c>
    </row>
    <row r="3336" spans="2:24">
      <c r="B3336" t="s">
        <v>387</v>
      </c>
      <c r="C3336" t="s">
        <v>54</v>
      </c>
      <c r="D3336" t="s">
        <v>408</v>
      </c>
      <c r="E3336" t="s">
        <v>408</v>
      </c>
      <c r="F3336" s="122">
        <v>4</v>
      </c>
      <c r="G3336" s="122">
        <v>984</v>
      </c>
      <c r="H3336" s="122">
        <v>574</v>
      </c>
      <c r="I3336" s="122">
        <v>84817</v>
      </c>
      <c r="J3336" s="122">
        <v>77106</v>
      </c>
      <c r="K3336" s="122">
        <v>84</v>
      </c>
      <c r="L3336" s="122">
        <v>16070</v>
      </c>
      <c r="M3336" s="122">
        <v>14162</v>
      </c>
      <c r="N3336" s="122">
        <v>15982</v>
      </c>
      <c r="O3336" s="122">
        <v>5919</v>
      </c>
      <c r="P3336" s="122">
        <v>2666</v>
      </c>
      <c r="Q3336" s="122">
        <v>988</v>
      </c>
      <c r="R3336" s="122">
        <v>21701</v>
      </c>
      <c r="S3336" s="122">
        <v>19728</v>
      </c>
      <c r="T3336" s="122">
        <v>0</v>
      </c>
      <c r="U3336" s="122">
        <v>0</v>
      </c>
      <c r="V3336" s="122">
        <v>117903</v>
      </c>
      <c r="W3336" s="122">
        <f t="shared" si="106"/>
        <v>117903</v>
      </c>
      <c r="X3336" s="122">
        <f t="shared" si="107"/>
        <v>141236</v>
      </c>
    </row>
    <row r="3337" spans="2:24">
      <c r="B3337" t="s">
        <v>387</v>
      </c>
      <c r="C3337" t="s">
        <v>56</v>
      </c>
      <c r="F3337" s="122">
        <v>1</v>
      </c>
      <c r="G3337" s="122">
        <v>80</v>
      </c>
      <c r="H3337" s="122">
        <v>186</v>
      </c>
      <c r="I3337" s="122"/>
      <c r="J3337" s="122">
        <v>0</v>
      </c>
      <c r="K3337" s="122"/>
      <c r="L3337" s="122"/>
      <c r="M3337" s="122">
        <v>0</v>
      </c>
      <c r="N3337" s="122">
        <v>971</v>
      </c>
      <c r="O3337" s="122">
        <v>360</v>
      </c>
      <c r="P3337" s="122">
        <v>0</v>
      </c>
      <c r="Q3337" s="122">
        <v>0</v>
      </c>
      <c r="R3337" s="122"/>
      <c r="S3337" s="122">
        <v>0</v>
      </c>
      <c r="T3337" s="122">
        <v>0</v>
      </c>
      <c r="U3337" s="122">
        <v>0</v>
      </c>
      <c r="V3337" s="122">
        <v>360</v>
      </c>
      <c r="W3337" s="122">
        <f t="shared" si="106"/>
        <v>360</v>
      </c>
      <c r="X3337" s="122">
        <f t="shared" si="107"/>
        <v>971</v>
      </c>
    </row>
    <row r="3338" spans="2:24">
      <c r="B3338" t="s">
        <v>387</v>
      </c>
      <c r="C3338" t="s">
        <v>56</v>
      </c>
      <c r="D3338" t="s">
        <v>425</v>
      </c>
      <c r="E3338" t="s">
        <v>425</v>
      </c>
      <c r="F3338" s="122">
        <v>7</v>
      </c>
      <c r="G3338" s="122">
        <v>1139</v>
      </c>
      <c r="H3338" s="122">
        <v>1284</v>
      </c>
      <c r="I3338" s="122">
        <v>126050</v>
      </c>
      <c r="J3338" s="122">
        <v>114591</v>
      </c>
      <c r="K3338" s="122">
        <v>89</v>
      </c>
      <c r="L3338" s="122">
        <v>22632</v>
      </c>
      <c r="M3338" s="122">
        <v>19545</v>
      </c>
      <c r="N3338" s="122">
        <v>21431</v>
      </c>
      <c r="O3338" s="122">
        <v>7937</v>
      </c>
      <c r="P3338" s="122">
        <v>3308</v>
      </c>
      <c r="Q3338" s="122">
        <v>1225</v>
      </c>
      <c r="R3338" s="122">
        <v>33809</v>
      </c>
      <c r="S3338" s="122">
        <v>30735</v>
      </c>
      <c r="T3338" s="122">
        <v>2815</v>
      </c>
      <c r="U3338" s="122">
        <v>1043</v>
      </c>
      <c r="V3338" s="122">
        <v>175077</v>
      </c>
      <c r="W3338" s="122">
        <f t="shared" si="106"/>
        <v>175076</v>
      </c>
      <c r="X3338" s="122">
        <f t="shared" si="107"/>
        <v>210045</v>
      </c>
    </row>
    <row r="3339" spans="2:24">
      <c r="B3339" t="s">
        <v>387</v>
      </c>
      <c r="C3339" t="s">
        <v>56</v>
      </c>
      <c r="D3339" t="s">
        <v>405</v>
      </c>
      <c r="E3339" t="s">
        <v>405</v>
      </c>
      <c r="F3339" s="122">
        <v>71</v>
      </c>
      <c r="G3339" s="122">
        <v>13081</v>
      </c>
      <c r="H3339" s="122">
        <v>12971</v>
      </c>
      <c r="I3339" s="122">
        <v>1439238</v>
      </c>
      <c r="J3339" s="122">
        <v>1308398</v>
      </c>
      <c r="K3339" s="122">
        <v>87</v>
      </c>
      <c r="L3339" s="122">
        <v>369385</v>
      </c>
      <c r="M3339" s="122">
        <v>325215</v>
      </c>
      <c r="N3339" s="122">
        <v>301061</v>
      </c>
      <c r="O3339" s="122">
        <v>111504</v>
      </c>
      <c r="P3339" s="122">
        <v>40065</v>
      </c>
      <c r="Q3339" s="122">
        <v>14839</v>
      </c>
      <c r="R3339" s="122">
        <v>393680</v>
      </c>
      <c r="S3339" s="122">
        <v>357891</v>
      </c>
      <c r="T3339" s="122">
        <v>54137</v>
      </c>
      <c r="U3339" s="122">
        <v>20051</v>
      </c>
      <c r="V3339" s="122">
        <v>2137898</v>
      </c>
      <c r="W3339" s="122">
        <f t="shared" si="106"/>
        <v>2137898</v>
      </c>
      <c r="X3339" s="122">
        <f t="shared" si="107"/>
        <v>2597566</v>
      </c>
    </row>
    <row r="3340" spans="2:24">
      <c r="B3340" t="s">
        <v>387</v>
      </c>
      <c r="C3340" t="s">
        <v>56</v>
      </c>
      <c r="D3340" t="s">
        <v>137</v>
      </c>
      <c r="E3340" t="s">
        <v>137</v>
      </c>
      <c r="F3340" s="122">
        <v>28</v>
      </c>
      <c r="G3340" s="122">
        <v>5865</v>
      </c>
      <c r="H3340" s="122">
        <v>5245</v>
      </c>
      <c r="I3340" s="122">
        <v>680844</v>
      </c>
      <c r="J3340" s="122">
        <v>252165</v>
      </c>
      <c r="K3340" s="122">
        <v>229</v>
      </c>
      <c r="L3340" s="122">
        <v>120383</v>
      </c>
      <c r="M3340" s="122">
        <v>96808</v>
      </c>
      <c r="N3340" s="122">
        <v>121164</v>
      </c>
      <c r="O3340" s="122">
        <v>44876</v>
      </c>
      <c r="P3340" s="122">
        <v>16097</v>
      </c>
      <c r="Q3340" s="122">
        <v>5962</v>
      </c>
      <c r="R3340" s="122">
        <v>200445</v>
      </c>
      <c r="S3340" s="122">
        <v>74239</v>
      </c>
      <c r="T3340" s="122">
        <v>8800</v>
      </c>
      <c r="U3340" s="122">
        <v>3259</v>
      </c>
      <c r="V3340" s="122">
        <v>477308</v>
      </c>
      <c r="W3340" s="122">
        <f t="shared" si="106"/>
        <v>477309</v>
      </c>
      <c r="X3340" s="122">
        <f t="shared" si="107"/>
        <v>1147733</v>
      </c>
    </row>
    <row r="3341" spans="2:24">
      <c r="B3341" t="s">
        <v>387</v>
      </c>
      <c r="C3341" t="s">
        <v>56</v>
      </c>
      <c r="D3341" t="s">
        <v>406</v>
      </c>
      <c r="E3341" t="s">
        <v>425</v>
      </c>
      <c r="F3341" s="122">
        <v>1</v>
      </c>
      <c r="G3341" s="122">
        <v>206</v>
      </c>
      <c r="H3341" s="122">
        <v>160</v>
      </c>
      <c r="I3341" s="122">
        <v>18685</v>
      </c>
      <c r="J3341" s="122">
        <v>16986</v>
      </c>
      <c r="K3341" s="122">
        <v>70</v>
      </c>
      <c r="L3341" s="122">
        <v>2510</v>
      </c>
      <c r="M3341" s="122">
        <v>2092</v>
      </c>
      <c r="N3341" s="122">
        <v>2507</v>
      </c>
      <c r="O3341" s="122">
        <v>929</v>
      </c>
      <c r="P3341" s="122">
        <v>621</v>
      </c>
      <c r="Q3341" s="122">
        <v>230</v>
      </c>
      <c r="R3341" s="122">
        <v>8656</v>
      </c>
      <c r="S3341" s="122">
        <v>7869</v>
      </c>
      <c r="T3341" s="122">
        <v>0</v>
      </c>
      <c r="U3341" s="122">
        <v>0</v>
      </c>
      <c r="V3341" s="122">
        <v>28105</v>
      </c>
      <c r="W3341" s="122">
        <f t="shared" si="106"/>
        <v>28106</v>
      </c>
      <c r="X3341" s="122">
        <f t="shared" si="107"/>
        <v>32979</v>
      </c>
    </row>
    <row r="3342" spans="2:24">
      <c r="B3342" t="s">
        <v>387</v>
      </c>
      <c r="C3342" t="s">
        <v>56</v>
      </c>
      <c r="D3342" t="s">
        <v>406</v>
      </c>
      <c r="E3342" t="s">
        <v>137</v>
      </c>
      <c r="F3342" s="122">
        <v>6</v>
      </c>
      <c r="G3342" s="122">
        <v>1168</v>
      </c>
      <c r="H3342" s="122">
        <v>1077</v>
      </c>
      <c r="I3342" s="122">
        <v>122376</v>
      </c>
      <c r="J3342" s="122">
        <v>111251</v>
      </c>
      <c r="K3342" s="122">
        <v>88</v>
      </c>
      <c r="L3342" s="122">
        <v>27757</v>
      </c>
      <c r="M3342" s="122">
        <v>24283</v>
      </c>
      <c r="N3342" s="122">
        <v>21777</v>
      </c>
      <c r="O3342" s="122">
        <v>8065</v>
      </c>
      <c r="P3342" s="122">
        <v>4428</v>
      </c>
      <c r="Q3342" s="122">
        <v>1640</v>
      </c>
      <c r="R3342" s="122">
        <v>48546</v>
      </c>
      <c r="S3342" s="122">
        <v>17980</v>
      </c>
      <c r="T3342" s="122">
        <v>0</v>
      </c>
      <c r="U3342" s="122">
        <v>0</v>
      </c>
      <c r="V3342" s="122">
        <v>163220</v>
      </c>
      <c r="W3342" s="122">
        <f t="shared" si="106"/>
        <v>163219</v>
      </c>
      <c r="X3342" s="122">
        <f t="shared" si="107"/>
        <v>224884</v>
      </c>
    </row>
    <row r="3343" spans="2:24">
      <c r="B3343" t="s">
        <v>387</v>
      </c>
      <c r="C3343" t="s">
        <v>56</v>
      </c>
      <c r="D3343" t="s">
        <v>406</v>
      </c>
      <c r="E3343" t="s">
        <v>406</v>
      </c>
      <c r="F3343" s="122">
        <v>2020</v>
      </c>
      <c r="G3343" s="122">
        <v>336479</v>
      </c>
      <c r="H3343" s="122">
        <v>387702</v>
      </c>
      <c r="I3343" s="122">
        <v>39335326</v>
      </c>
      <c r="J3343" s="122">
        <v>35759387</v>
      </c>
      <c r="K3343" s="122">
        <v>86</v>
      </c>
      <c r="L3343" s="122">
        <v>8346448</v>
      </c>
      <c r="M3343" s="122">
        <v>7370673</v>
      </c>
      <c r="N3343" s="122">
        <v>7302432</v>
      </c>
      <c r="O3343" s="122">
        <v>2704605</v>
      </c>
      <c r="P3343" s="122">
        <v>1340535</v>
      </c>
      <c r="Q3343" s="122">
        <v>496494</v>
      </c>
      <c r="R3343" s="122">
        <v>10715173</v>
      </c>
      <c r="S3343" s="122">
        <v>9741066</v>
      </c>
      <c r="T3343" s="122">
        <v>2533767</v>
      </c>
      <c r="U3343" s="122">
        <v>938432</v>
      </c>
      <c r="V3343" s="122">
        <v>57010657</v>
      </c>
      <c r="W3343" s="122">
        <f t="shared" si="106"/>
        <v>57010657</v>
      </c>
      <c r="X3343" s="122">
        <f t="shared" si="107"/>
        <v>69573681</v>
      </c>
    </row>
    <row r="3344" spans="2:24">
      <c r="B3344" t="s">
        <v>387</v>
      </c>
      <c r="C3344" t="s">
        <v>56</v>
      </c>
      <c r="D3344" t="s">
        <v>406</v>
      </c>
      <c r="E3344" t="s">
        <v>427</v>
      </c>
      <c r="F3344" s="122">
        <v>2</v>
      </c>
      <c r="G3344" s="122">
        <v>341</v>
      </c>
      <c r="H3344" s="122">
        <v>406</v>
      </c>
      <c r="I3344" s="122">
        <v>37456</v>
      </c>
      <c r="J3344" s="122">
        <v>34051</v>
      </c>
      <c r="K3344" s="122">
        <v>77</v>
      </c>
      <c r="L3344" s="122">
        <v>7973</v>
      </c>
      <c r="M3344" s="122">
        <v>7057</v>
      </c>
      <c r="N3344" s="122">
        <v>7074</v>
      </c>
      <c r="O3344" s="122">
        <v>2620</v>
      </c>
      <c r="P3344" s="122">
        <v>1242</v>
      </c>
      <c r="Q3344" s="122">
        <v>460</v>
      </c>
      <c r="R3344" s="122">
        <v>12001</v>
      </c>
      <c r="S3344" s="122">
        <v>10910</v>
      </c>
      <c r="T3344" s="122">
        <v>3227</v>
      </c>
      <c r="U3344" s="122">
        <v>1195</v>
      </c>
      <c r="V3344" s="122">
        <v>56293</v>
      </c>
      <c r="W3344" s="122">
        <f t="shared" si="106"/>
        <v>56293</v>
      </c>
      <c r="X3344" s="122">
        <f t="shared" si="107"/>
        <v>68973</v>
      </c>
    </row>
    <row r="3345" spans="2:24">
      <c r="B3345" t="s">
        <v>387</v>
      </c>
      <c r="C3345" t="s">
        <v>56</v>
      </c>
      <c r="D3345" t="s">
        <v>406</v>
      </c>
      <c r="E3345" t="s">
        <v>407</v>
      </c>
      <c r="F3345" s="122">
        <v>1</v>
      </c>
      <c r="G3345" s="122">
        <v>158</v>
      </c>
      <c r="H3345" s="122">
        <v>169</v>
      </c>
      <c r="I3345" s="122">
        <v>15800</v>
      </c>
      <c r="J3345" s="122">
        <v>14364</v>
      </c>
      <c r="K3345" s="122">
        <v>92</v>
      </c>
      <c r="L3345" s="122">
        <v>2949</v>
      </c>
      <c r="M3345" s="122">
        <v>2458</v>
      </c>
      <c r="N3345" s="122">
        <v>2437</v>
      </c>
      <c r="O3345" s="122">
        <v>903</v>
      </c>
      <c r="P3345" s="122">
        <v>621</v>
      </c>
      <c r="Q3345" s="122">
        <v>230</v>
      </c>
      <c r="R3345" s="122">
        <v>4870</v>
      </c>
      <c r="S3345" s="122">
        <v>4427</v>
      </c>
      <c r="T3345" s="122">
        <v>0</v>
      </c>
      <c r="U3345" s="122">
        <v>0</v>
      </c>
      <c r="V3345" s="122">
        <v>22381</v>
      </c>
      <c r="W3345" s="122">
        <f t="shared" si="106"/>
        <v>22382</v>
      </c>
      <c r="X3345" s="122">
        <f t="shared" si="107"/>
        <v>26677</v>
      </c>
    </row>
    <row r="3346" spans="2:24">
      <c r="B3346" t="s">
        <v>387</v>
      </c>
      <c r="C3346" t="s">
        <v>56</v>
      </c>
      <c r="D3346" t="s">
        <v>406</v>
      </c>
      <c r="E3346" t="s">
        <v>428</v>
      </c>
      <c r="F3346" s="122">
        <v>1</v>
      </c>
      <c r="G3346" s="122">
        <v>101</v>
      </c>
      <c r="H3346" s="122">
        <v>221</v>
      </c>
      <c r="I3346" s="122">
        <v>19318</v>
      </c>
      <c r="J3346" s="122">
        <v>17561</v>
      </c>
      <c r="K3346" s="122">
        <v>79</v>
      </c>
      <c r="L3346" s="122">
        <v>5366</v>
      </c>
      <c r="M3346" s="122">
        <v>4878</v>
      </c>
      <c r="N3346" s="122">
        <v>3988</v>
      </c>
      <c r="O3346" s="122">
        <v>1477</v>
      </c>
      <c r="P3346" s="122">
        <v>621</v>
      </c>
      <c r="Q3346" s="122">
        <v>230</v>
      </c>
      <c r="R3346" s="122">
        <v>6850</v>
      </c>
      <c r="S3346" s="122">
        <v>6227</v>
      </c>
      <c r="T3346" s="122">
        <v>0</v>
      </c>
      <c r="U3346" s="122">
        <v>0</v>
      </c>
      <c r="V3346" s="122">
        <v>30374</v>
      </c>
      <c r="W3346" s="122">
        <f t="shared" si="106"/>
        <v>30373</v>
      </c>
      <c r="X3346" s="122">
        <f t="shared" si="107"/>
        <v>36143</v>
      </c>
    </row>
    <row r="3347" spans="2:24">
      <c r="B3347" t="s">
        <v>387</v>
      </c>
      <c r="C3347" t="s">
        <v>56</v>
      </c>
      <c r="D3347" t="s">
        <v>406</v>
      </c>
      <c r="E3347" t="s">
        <v>426</v>
      </c>
      <c r="F3347" s="122">
        <v>2</v>
      </c>
      <c r="G3347" s="122">
        <v>389</v>
      </c>
      <c r="H3347" s="122">
        <v>371</v>
      </c>
      <c r="I3347" s="122">
        <v>35529</v>
      </c>
      <c r="J3347" s="122">
        <v>32299</v>
      </c>
      <c r="K3347" s="122">
        <v>85</v>
      </c>
      <c r="L3347" s="122">
        <v>11896</v>
      </c>
      <c r="M3347" s="122">
        <v>7112</v>
      </c>
      <c r="N3347" s="122">
        <v>7073</v>
      </c>
      <c r="O3347" s="122">
        <v>2620</v>
      </c>
      <c r="P3347" s="122">
        <v>2646</v>
      </c>
      <c r="Q3347" s="122">
        <v>980</v>
      </c>
      <c r="R3347" s="122">
        <v>11181</v>
      </c>
      <c r="S3347" s="122">
        <v>10164</v>
      </c>
      <c r="T3347" s="122">
        <v>3309</v>
      </c>
      <c r="U3347" s="122">
        <v>1226</v>
      </c>
      <c r="V3347" s="122">
        <v>54400</v>
      </c>
      <c r="W3347" s="122">
        <f t="shared" si="106"/>
        <v>54401</v>
      </c>
      <c r="X3347" s="122">
        <f t="shared" si="107"/>
        <v>71634</v>
      </c>
    </row>
    <row r="3348" spans="2:24">
      <c r="B3348" t="s">
        <v>387</v>
      </c>
      <c r="C3348" t="s">
        <v>56</v>
      </c>
      <c r="D3348" t="s">
        <v>407</v>
      </c>
      <c r="E3348" t="s">
        <v>137</v>
      </c>
      <c r="F3348" s="122">
        <v>1</v>
      </c>
      <c r="G3348" s="122">
        <v>260</v>
      </c>
      <c r="H3348" s="122">
        <v>173</v>
      </c>
      <c r="I3348" s="122">
        <v>23785</v>
      </c>
      <c r="J3348" s="122">
        <v>21622</v>
      </c>
      <c r="K3348" s="122">
        <v>80</v>
      </c>
      <c r="L3348" s="122">
        <v>10095</v>
      </c>
      <c r="M3348" s="122">
        <v>9177</v>
      </c>
      <c r="N3348" s="122">
        <v>3614</v>
      </c>
      <c r="O3348" s="122">
        <v>1339</v>
      </c>
      <c r="P3348" s="122">
        <v>473</v>
      </c>
      <c r="Q3348" s="122">
        <v>175</v>
      </c>
      <c r="R3348" s="122">
        <v>7158</v>
      </c>
      <c r="S3348" s="122">
        <v>2651</v>
      </c>
      <c r="T3348" s="122">
        <v>0</v>
      </c>
      <c r="U3348" s="122">
        <v>0</v>
      </c>
      <c r="V3348" s="122">
        <v>34965</v>
      </c>
      <c r="W3348" s="122">
        <f t="shared" si="106"/>
        <v>34964</v>
      </c>
      <c r="X3348" s="122">
        <f t="shared" si="107"/>
        <v>45125</v>
      </c>
    </row>
    <row r="3349" spans="2:24">
      <c r="B3349" t="s">
        <v>387</v>
      </c>
      <c r="C3349" t="s">
        <v>56</v>
      </c>
      <c r="D3349" t="s">
        <v>407</v>
      </c>
      <c r="E3349" t="s">
        <v>407</v>
      </c>
      <c r="F3349" s="122">
        <v>737</v>
      </c>
      <c r="G3349" s="122">
        <v>118854</v>
      </c>
      <c r="H3349" s="122">
        <v>138450</v>
      </c>
      <c r="I3349" s="122">
        <v>12601804</v>
      </c>
      <c r="J3349" s="122">
        <v>11456186</v>
      </c>
      <c r="K3349" s="122">
        <v>84</v>
      </c>
      <c r="L3349" s="122">
        <v>3096046</v>
      </c>
      <c r="M3349" s="122">
        <v>2718206</v>
      </c>
      <c r="N3349" s="122">
        <v>2457670</v>
      </c>
      <c r="O3349" s="122">
        <v>910248</v>
      </c>
      <c r="P3349" s="122">
        <v>366886</v>
      </c>
      <c r="Q3349" s="122">
        <v>135884</v>
      </c>
      <c r="R3349" s="122">
        <v>3992233</v>
      </c>
      <c r="S3349" s="122">
        <v>3629303</v>
      </c>
      <c r="T3349" s="122">
        <v>480880</v>
      </c>
      <c r="U3349" s="122">
        <v>178104</v>
      </c>
      <c r="V3349" s="122">
        <v>19027930</v>
      </c>
      <c r="W3349" s="122">
        <f t="shared" si="106"/>
        <v>19027931</v>
      </c>
      <c r="X3349" s="122">
        <f t="shared" si="107"/>
        <v>22995519</v>
      </c>
    </row>
    <row r="3350" spans="2:24">
      <c r="B3350" t="s">
        <v>387</v>
      </c>
      <c r="C3350" t="s">
        <v>56</v>
      </c>
      <c r="D3350" t="s">
        <v>426</v>
      </c>
      <c r="E3350" t="s">
        <v>406</v>
      </c>
      <c r="F3350" s="122">
        <v>1</v>
      </c>
      <c r="G3350" s="122">
        <v>267</v>
      </c>
      <c r="H3350" s="122">
        <v>183</v>
      </c>
      <c r="I3350" s="122">
        <v>25853</v>
      </c>
      <c r="J3350" s="122">
        <v>23503</v>
      </c>
      <c r="K3350" s="122">
        <v>86</v>
      </c>
      <c r="L3350" s="122">
        <v>7794</v>
      </c>
      <c r="M3350" s="122">
        <v>7086</v>
      </c>
      <c r="N3350" s="122">
        <v>6514</v>
      </c>
      <c r="O3350" s="122">
        <v>2413</v>
      </c>
      <c r="P3350" s="122">
        <v>621</v>
      </c>
      <c r="Q3350" s="122">
        <v>230</v>
      </c>
      <c r="R3350" s="122">
        <v>8008</v>
      </c>
      <c r="S3350" s="122">
        <v>7280</v>
      </c>
      <c r="T3350" s="122">
        <v>0</v>
      </c>
      <c r="U3350" s="122">
        <v>0</v>
      </c>
      <c r="V3350" s="122">
        <v>40511</v>
      </c>
      <c r="W3350" s="122">
        <f t="shared" si="106"/>
        <v>40512</v>
      </c>
      <c r="X3350" s="122">
        <f t="shared" si="107"/>
        <v>48790</v>
      </c>
    </row>
    <row r="3351" spans="2:24">
      <c r="B3351" t="s">
        <v>387</v>
      </c>
      <c r="C3351" t="s">
        <v>56</v>
      </c>
      <c r="D3351" t="s">
        <v>426</v>
      </c>
      <c r="E3351" t="s">
        <v>426</v>
      </c>
      <c r="F3351" s="122">
        <v>4</v>
      </c>
      <c r="G3351" s="122">
        <v>970</v>
      </c>
      <c r="H3351" s="122">
        <v>793</v>
      </c>
      <c r="I3351" s="122">
        <v>119756</v>
      </c>
      <c r="J3351" s="122">
        <v>108869</v>
      </c>
      <c r="K3351" s="122">
        <v>63</v>
      </c>
      <c r="L3351" s="122">
        <v>8974</v>
      </c>
      <c r="M3351" s="122">
        <v>8159</v>
      </c>
      <c r="N3351" s="122">
        <v>18609</v>
      </c>
      <c r="O3351" s="122">
        <v>6892</v>
      </c>
      <c r="P3351" s="122">
        <v>2331</v>
      </c>
      <c r="Q3351" s="122">
        <v>863</v>
      </c>
      <c r="R3351" s="122">
        <v>27963</v>
      </c>
      <c r="S3351" s="122">
        <v>25421</v>
      </c>
      <c r="T3351" s="122">
        <v>8991</v>
      </c>
      <c r="U3351" s="122">
        <v>3330</v>
      </c>
      <c r="V3351" s="122">
        <v>153534</v>
      </c>
      <c r="W3351" s="122">
        <f t="shared" si="106"/>
        <v>153534</v>
      </c>
      <c r="X3351" s="122">
        <f t="shared" si="107"/>
        <v>186624</v>
      </c>
    </row>
    <row r="3352" spans="2:24">
      <c r="B3352" t="s">
        <v>387</v>
      </c>
      <c r="C3352" t="s">
        <v>56</v>
      </c>
      <c r="D3352" t="s">
        <v>408</v>
      </c>
      <c r="E3352" t="s">
        <v>137</v>
      </c>
      <c r="F3352" s="122">
        <v>1</v>
      </c>
      <c r="G3352" s="122">
        <v>221</v>
      </c>
      <c r="H3352" s="122">
        <v>160</v>
      </c>
      <c r="I3352" s="122">
        <v>23217</v>
      </c>
      <c r="J3352" s="122">
        <v>21107</v>
      </c>
      <c r="K3352" s="122">
        <v>65</v>
      </c>
      <c r="L3352" s="122">
        <v>2580</v>
      </c>
      <c r="M3352" s="122">
        <v>2345</v>
      </c>
      <c r="N3352" s="122">
        <v>3559</v>
      </c>
      <c r="O3352" s="122">
        <v>1318</v>
      </c>
      <c r="P3352" s="122">
        <v>351</v>
      </c>
      <c r="Q3352" s="122">
        <v>130</v>
      </c>
      <c r="R3352" s="122">
        <v>5653</v>
      </c>
      <c r="S3352" s="122">
        <v>2094</v>
      </c>
      <c r="T3352" s="122">
        <v>0</v>
      </c>
      <c r="U3352" s="122">
        <v>0</v>
      </c>
      <c r="V3352" s="122">
        <v>26994</v>
      </c>
      <c r="W3352" s="122">
        <f t="shared" si="106"/>
        <v>26994</v>
      </c>
      <c r="X3352" s="122">
        <f t="shared" si="107"/>
        <v>35360</v>
      </c>
    </row>
    <row r="3353" spans="2:24">
      <c r="B3353" t="s">
        <v>387</v>
      </c>
      <c r="C3353" t="s">
        <v>56</v>
      </c>
      <c r="D3353" t="s">
        <v>408</v>
      </c>
      <c r="E3353" t="s">
        <v>408</v>
      </c>
      <c r="F3353" s="122">
        <v>17</v>
      </c>
      <c r="G3353" s="122">
        <v>4150</v>
      </c>
      <c r="H3353" s="122">
        <v>3049</v>
      </c>
      <c r="I3353" s="122">
        <v>498818</v>
      </c>
      <c r="J3353" s="122">
        <v>453471</v>
      </c>
      <c r="K3353" s="122">
        <v>70</v>
      </c>
      <c r="L3353" s="122">
        <v>67316</v>
      </c>
      <c r="M3353" s="122">
        <v>60246</v>
      </c>
      <c r="N3353" s="122">
        <v>84624</v>
      </c>
      <c r="O3353" s="122">
        <v>31342</v>
      </c>
      <c r="P3353" s="122">
        <v>7290</v>
      </c>
      <c r="Q3353" s="122">
        <v>2700</v>
      </c>
      <c r="R3353" s="122">
        <v>116023</v>
      </c>
      <c r="S3353" s="122">
        <v>105475</v>
      </c>
      <c r="T3353" s="122">
        <v>13568</v>
      </c>
      <c r="U3353" s="122">
        <v>5025</v>
      </c>
      <c r="V3353" s="122">
        <v>658260</v>
      </c>
      <c r="W3353" s="122">
        <f t="shared" si="106"/>
        <v>658259</v>
      </c>
      <c r="X3353" s="122">
        <f t="shared" si="107"/>
        <v>787639</v>
      </c>
    </row>
    <row r="3354" spans="2:24">
      <c r="B3354" t="s">
        <v>387</v>
      </c>
      <c r="C3354" t="s">
        <v>58</v>
      </c>
      <c r="F3354" s="122">
        <v>2</v>
      </c>
      <c r="G3354" s="122">
        <v>172</v>
      </c>
      <c r="H3354" s="122">
        <v>538</v>
      </c>
      <c r="I3354" s="122"/>
      <c r="J3354" s="122">
        <v>0</v>
      </c>
      <c r="K3354" s="122"/>
      <c r="L3354" s="122"/>
      <c r="M3354" s="122">
        <v>0</v>
      </c>
      <c r="N3354" s="122">
        <v>2812</v>
      </c>
      <c r="O3354" s="122">
        <v>1042</v>
      </c>
      <c r="P3354" s="122">
        <v>1242</v>
      </c>
      <c r="Q3354" s="122">
        <v>460</v>
      </c>
      <c r="R3354" s="122"/>
      <c r="S3354" s="122">
        <v>0</v>
      </c>
      <c r="T3354" s="122">
        <v>0</v>
      </c>
      <c r="U3354" s="122">
        <v>0</v>
      </c>
      <c r="V3354" s="122">
        <v>1502</v>
      </c>
      <c r="W3354" s="122">
        <f t="shared" si="106"/>
        <v>1502</v>
      </c>
      <c r="X3354" s="122">
        <f t="shared" si="107"/>
        <v>4054</v>
      </c>
    </row>
    <row r="3355" spans="2:24">
      <c r="B3355" t="s">
        <v>387</v>
      </c>
      <c r="C3355" t="s">
        <v>58</v>
      </c>
      <c r="D3355" t="s">
        <v>425</v>
      </c>
      <c r="E3355" t="s">
        <v>425</v>
      </c>
      <c r="F3355" s="122">
        <v>2</v>
      </c>
      <c r="G3355" s="122">
        <v>365</v>
      </c>
      <c r="H3355" s="122">
        <v>576</v>
      </c>
      <c r="I3355" s="122">
        <v>60940</v>
      </c>
      <c r="J3355" s="122">
        <v>55400</v>
      </c>
      <c r="K3355" s="122">
        <v>85</v>
      </c>
      <c r="L3355" s="122">
        <v>19211</v>
      </c>
      <c r="M3355" s="122">
        <v>16807</v>
      </c>
      <c r="N3355" s="122">
        <v>7543</v>
      </c>
      <c r="O3355" s="122">
        <v>2794</v>
      </c>
      <c r="P3355" s="122">
        <v>945</v>
      </c>
      <c r="Q3355" s="122">
        <v>350</v>
      </c>
      <c r="R3355" s="122">
        <v>8939</v>
      </c>
      <c r="S3355" s="122">
        <v>8126</v>
      </c>
      <c r="T3355" s="122">
        <v>7241</v>
      </c>
      <c r="U3355" s="122">
        <v>2682</v>
      </c>
      <c r="V3355" s="122">
        <v>86159</v>
      </c>
      <c r="W3355" s="122">
        <f t="shared" si="106"/>
        <v>86159</v>
      </c>
      <c r="X3355" s="122">
        <f t="shared" si="107"/>
        <v>104819</v>
      </c>
    </row>
    <row r="3356" spans="2:24">
      <c r="B3356" t="s">
        <v>387</v>
      </c>
      <c r="C3356" t="s">
        <v>58</v>
      </c>
      <c r="D3356" t="s">
        <v>425</v>
      </c>
      <c r="E3356" t="s">
        <v>405</v>
      </c>
      <c r="F3356" s="122">
        <v>1</v>
      </c>
      <c r="G3356" s="122">
        <v>91</v>
      </c>
      <c r="H3356" s="122">
        <v>254</v>
      </c>
      <c r="I3356" s="122">
        <v>15901</v>
      </c>
      <c r="J3356" s="122">
        <v>14456</v>
      </c>
      <c r="K3356" s="122">
        <v>78</v>
      </c>
      <c r="L3356" s="122">
        <v>0</v>
      </c>
      <c r="M3356" s="122">
        <v>0</v>
      </c>
      <c r="N3356" s="122">
        <v>1504</v>
      </c>
      <c r="O3356" s="122">
        <v>557</v>
      </c>
      <c r="P3356" s="122">
        <v>473</v>
      </c>
      <c r="Q3356" s="122">
        <v>175</v>
      </c>
      <c r="R3356" s="122">
        <v>5185</v>
      </c>
      <c r="S3356" s="122">
        <v>4714</v>
      </c>
      <c r="T3356" s="122">
        <v>0</v>
      </c>
      <c r="U3356" s="122">
        <v>0</v>
      </c>
      <c r="V3356" s="122">
        <v>19902</v>
      </c>
      <c r="W3356" s="122">
        <f t="shared" si="106"/>
        <v>19902</v>
      </c>
      <c r="X3356" s="122">
        <f t="shared" si="107"/>
        <v>23063</v>
      </c>
    </row>
    <row r="3357" spans="2:24">
      <c r="B3357" t="s">
        <v>387</v>
      </c>
      <c r="C3357" t="s">
        <v>58</v>
      </c>
      <c r="D3357" t="s">
        <v>425</v>
      </c>
      <c r="E3357" t="s">
        <v>406</v>
      </c>
      <c r="F3357" s="122">
        <v>1</v>
      </c>
      <c r="G3357" s="122">
        <v>152</v>
      </c>
      <c r="H3357" s="122">
        <v>251</v>
      </c>
      <c r="I3357" s="122">
        <v>20914</v>
      </c>
      <c r="J3357" s="122">
        <v>19013</v>
      </c>
      <c r="K3357" s="122">
        <v>70</v>
      </c>
      <c r="L3357" s="122">
        <v>5619</v>
      </c>
      <c r="M3357" s="122">
        <v>4683</v>
      </c>
      <c r="N3357" s="122">
        <v>2616</v>
      </c>
      <c r="O3357" s="122">
        <v>969</v>
      </c>
      <c r="P3357" s="122">
        <v>621</v>
      </c>
      <c r="Q3357" s="122">
        <v>230</v>
      </c>
      <c r="R3357" s="122">
        <v>5305</v>
      </c>
      <c r="S3357" s="122">
        <v>4823</v>
      </c>
      <c r="T3357" s="122">
        <v>3178</v>
      </c>
      <c r="U3357" s="122">
        <v>1177</v>
      </c>
      <c r="V3357" s="122">
        <v>30895</v>
      </c>
      <c r="W3357" s="122">
        <f t="shared" si="106"/>
        <v>30895</v>
      </c>
      <c r="X3357" s="122">
        <f t="shared" si="107"/>
        <v>38253</v>
      </c>
    </row>
    <row r="3358" spans="2:24">
      <c r="B3358" t="s">
        <v>387</v>
      </c>
      <c r="C3358" t="s">
        <v>58</v>
      </c>
      <c r="D3358" t="s">
        <v>405</v>
      </c>
      <c r="E3358" t="s">
        <v>405</v>
      </c>
      <c r="F3358" s="122">
        <v>25</v>
      </c>
      <c r="G3358" s="122">
        <v>3166</v>
      </c>
      <c r="H3358" s="122">
        <v>6523</v>
      </c>
      <c r="I3358" s="122">
        <v>537645</v>
      </c>
      <c r="J3358" s="122">
        <v>488768</v>
      </c>
      <c r="K3358" s="122">
        <v>82</v>
      </c>
      <c r="L3358" s="122">
        <v>103437</v>
      </c>
      <c r="M3358" s="122">
        <v>91187</v>
      </c>
      <c r="N3358" s="122">
        <v>70512</v>
      </c>
      <c r="O3358" s="122">
        <v>26116</v>
      </c>
      <c r="P3358" s="122">
        <v>17431</v>
      </c>
      <c r="Q3358" s="122">
        <v>6456</v>
      </c>
      <c r="R3358" s="122">
        <v>127129</v>
      </c>
      <c r="S3358" s="122">
        <v>115572</v>
      </c>
      <c r="T3358" s="122">
        <v>22644</v>
      </c>
      <c r="U3358" s="122">
        <v>8387</v>
      </c>
      <c r="V3358" s="122">
        <v>736486</v>
      </c>
      <c r="W3358" s="122">
        <f t="shared" si="106"/>
        <v>736486</v>
      </c>
      <c r="X3358" s="122">
        <f t="shared" si="107"/>
        <v>878798</v>
      </c>
    </row>
    <row r="3359" spans="2:24">
      <c r="B3359" t="s">
        <v>387</v>
      </c>
      <c r="C3359" t="s">
        <v>58</v>
      </c>
      <c r="D3359" t="s">
        <v>137</v>
      </c>
      <c r="E3359" t="s">
        <v>137</v>
      </c>
      <c r="F3359" s="122">
        <v>49</v>
      </c>
      <c r="G3359" s="122">
        <v>6283</v>
      </c>
      <c r="H3359" s="122">
        <v>13204</v>
      </c>
      <c r="I3359" s="122">
        <v>1050335</v>
      </c>
      <c r="J3359" s="122">
        <v>389013</v>
      </c>
      <c r="K3359" s="122">
        <v>114</v>
      </c>
      <c r="L3359" s="122">
        <v>213984</v>
      </c>
      <c r="M3359" s="122">
        <v>917399</v>
      </c>
      <c r="N3359" s="122">
        <v>141965</v>
      </c>
      <c r="O3359" s="122">
        <v>52580</v>
      </c>
      <c r="P3359" s="122">
        <v>12851</v>
      </c>
      <c r="Q3359" s="122">
        <v>4760</v>
      </c>
      <c r="R3359" s="122">
        <v>407342</v>
      </c>
      <c r="S3359" s="122">
        <v>150868</v>
      </c>
      <c r="T3359" s="122">
        <v>0</v>
      </c>
      <c r="U3359" s="122">
        <v>0</v>
      </c>
      <c r="V3359" s="122">
        <v>1514619</v>
      </c>
      <c r="W3359" s="122">
        <f t="shared" si="106"/>
        <v>1514620</v>
      </c>
      <c r="X3359" s="122">
        <f t="shared" si="107"/>
        <v>1826477</v>
      </c>
    </row>
    <row r="3360" spans="2:24">
      <c r="B3360" t="s">
        <v>387</v>
      </c>
      <c r="C3360" t="s">
        <v>58</v>
      </c>
      <c r="D3360" t="s">
        <v>406</v>
      </c>
      <c r="E3360" t="s">
        <v>425</v>
      </c>
      <c r="F3360" s="122">
        <v>1</v>
      </c>
      <c r="G3360" s="122">
        <v>145</v>
      </c>
      <c r="H3360" s="122">
        <v>268</v>
      </c>
      <c r="I3360" s="122">
        <v>24541</v>
      </c>
      <c r="J3360" s="122">
        <v>22310</v>
      </c>
      <c r="K3360" s="122">
        <v>85</v>
      </c>
      <c r="L3360" s="122">
        <v>3668</v>
      </c>
      <c r="M3360" s="122">
        <v>3334</v>
      </c>
      <c r="N3360" s="122">
        <v>2818</v>
      </c>
      <c r="O3360" s="122">
        <v>1044</v>
      </c>
      <c r="P3360" s="122">
        <v>621</v>
      </c>
      <c r="Q3360" s="122">
        <v>230</v>
      </c>
      <c r="R3360" s="122">
        <v>4145</v>
      </c>
      <c r="S3360" s="122">
        <v>3768</v>
      </c>
      <c r="T3360" s="122">
        <v>2960</v>
      </c>
      <c r="U3360" s="122">
        <v>1096</v>
      </c>
      <c r="V3360" s="122">
        <v>31782</v>
      </c>
      <c r="W3360" s="122">
        <f t="shared" si="106"/>
        <v>31782</v>
      </c>
      <c r="X3360" s="122">
        <f t="shared" si="107"/>
        <v>38753</v>
      </c>
    </row>
    <row r="3361" spans="2:24">
      <c r="B3361" t="s">
        <v>387</v>
      </c>
      <c r="C3361" t="s">
        <v>58</v>
      </c>
      <c r="D3361" t="s">
        <v>406</v>
      </c>
      <c r="E3361" t="s">
        <v>405</v>
      </c>
      <c r="F3361" s="122">
        <v>2</v>
      </c>
      <c r="G3361" s="122">
        <v>679</v>
      </c>
      <c r="H3361" s="122">
        <v>538</v>
      </c>
      <c r="I3361" s="122">
        <v>122408</v>
      </c>
      <c r="J3361" s="122">
        <v>111280</v>
      </c>
      <c r="K3361" s="122">
        <v>78</v>
      </c>
      <c r="L3361" s="122">
        <v>31842</v>
      </c>
      <c r="M3361" s="122">
        <v>18094</v>
      </c>
      <c r="N3361" s="122">
        <v>14952</v>
      </c>
      <c r="O3361" s="122">
        <v>5538</v>
      </c>
      <c r="P3361" s="122">
        <v>1863</v>
      </c>
      <c r="Q3361" s="122">
        <v>690</v>
      </c>
      <c r="R3361" s="122">
        <v>15299</v>
      </c>
      <c r="S3361" s="122">
        <v>13908</v>
      </c>
      <c r="T3361" s="122">
        <v>0</v>
      </c>
      <c r="U3361" s="122">
        <v>0</v>
      </c>
      <c r="V3361" s="122">
        <v>149510</v>
      </c>
      <c r="W3361" s="122">
        <f t="shared" si="106"/>
        <v>149510</v>
      </c>
      <c r="X3361" s="122">
        <f t="shared" si="107"/>
        <v>186364</v>
      </c>
    </row>
    <row r="3362" spans="2:24">
      <c r="B3362" t="s">
        <v>387</v>
      </c>
      <c r="C3362" t="s">
        <v>58</v>
      </c>
      <c r="D3362" t="s">
        <v>406</v>
      </c>
      <c r="E3362" t="s">
        <v>137</v>
      </c>
      <c r="F3362" s="122">
        <v>12</v>
      </c>
      <c r="G3362" s="122">
        <v>1860</v>
      </c>
      <c r="H3362" s="122">
        <v>3115</v>
      </c>
      <c r="I3362" s="122">
        <v>289005</v>
      </c>
      <c r="J3362" s="122">
        <v>262732</v>
      </c>
      <c r="K3362" s="122">
        <v>80</v>
      </c>
      <c r="L3362" s="122">
        <v>62326</v>
      </c>
      <c r="M3362" s="122">
        <v>54180</v>
      </c>
      <c r="N3362" s="122">
        <v>40877</v>
      </c>
      <c r="O3362" s="122">
        <v>15140</v>
      </c>
      <c r="P3362" s="122">
        <v>7803</v>
      </c>
      <c r="Q3362" s="122">
        <v>2890</v>
      </c>
      <c r="R3362" s="122">
        <v>101778</v>
      </c>
      <c r="S3362" s="122">
        <v>37695</v>
      </c>
      <c r="T3362" s="122">
        <v>0</v>
      </c>
      <c r="U3362" s="122">
        <v>0</v>
      </c>
      <c r="V3362" s="122">
        <v>372637</v>
      </c>
      <c r="W3362" s="122">
        <f t="shared" si="106"/>
        <v>372637</v>
      </c>
      <c r="X3362" s="122">
        <f t="shared" si="107"/>
        <v>501789</v>
      </c>
    </row>
    <row r="3363" spans="2:24">
      <c r="B3363" t="s">
        <v>387</v>
      </c>
      <c r="C3363" t="s">
        <v>58</v>
      </c>
      <c r="D3363" t="s">
        <v>406</v>
      </c>
      <c r="E3363" t="s">
        <v>406</v>
      </c>
      <c r="F3363" s="122">
        <v>1522</v>
      </c>
      <c r="G3363" s="122">
        <v>207494</v>
      </c>
      <c r="H3363" s="122">
        <v>395633</v>
      </c>
      <c r="I3363" s="122">
        <v>33051240</v>
      </c>
      <c r="J3363" s="122">
        <v>30046582</v>
      </c>
      <c r="K3363" s="122">
        <v>81</v>
      </c>
      <c r="L3363" s="122">
        <v>7076791</v>
      </c>
      <c r="M3363" s="122">
        <v>6236811</v>
      </c>
      <c r="N3363" s="122">
        <v>4477035</v>
      </c>
      <c r="O3363" s="122">
        <v>1658161</v>
      </c>
      <c r="P3363" s="122">
        <v>982945</v>
      </c>
      <c r="Q3363" s="122">
        <v>364054</v>
      </c>
      <c r="R3363" s="122">
        <v>7835826</v>
      </c>
      <c r="S3363" s="122">
        <v>7123478</v>
      </c>
      <c r="T3363" s="122">
        <v>2690231</v>
      </c>
      <c r="U3363" s="122">
        <v>996382</v>
      </c>
      <c r="V3363" s="122">
        <v>46425468</v>
      </c>
      <c r="W3363" s="122">
        <f t="shared" si="106"/>
        <v>46425468</v>
      </c>
      <c r="X3363" s="122">
        <f t="shared" si="107"/>
        <v>56114068</v>
      </c>
    </row>
    <row r="3364" spans="2:24">
      <c r="B3364" t="s">
        <v>387</v>
      </c>
      <c r="C3364" t="s">
        <v>58</v>
      </c>
      <c r="D3364" t="s">
        <v>406</v>
      </c>
      <c r="E3364" t="s">
        <v>427</v>
      </c>
      <c r="F3364" s="122">
        <v>1</v>
      </c>
      <c r="G3364" s="122">
        <v>93</v>
      </c>
      <c r="H3364" s="122">
        <v>254</v>
      </c>
      <c r="I3364" s="122">
        <v>12624</v>
      </c>
      <c r="J3364" s="122">
        <v>11476</v>
      </c>
      <c r="K3364" s="122">
        <v>85</v>
      </c>
      <c r="L3364" s="122">
        <v>2058</v>
      </c>
      <c r="M3364" s="122">
        <v>1871</v>
      </c>
      <c r="N3364" s="122">
        <v>2272</v>
      </c>
      <c r="O3364" s="122">
        <v>842</v>
      </c>
      <c r="P3364" s="122">
        <v>621</v>
      </c>
      <c r="Q3364" s="122">
        <v>230</v>
      </c>
      <c r="R3364" s="122">
        <v>6143</v>
      </c>
      <c r="S3364" s="122">
        <v>5585</v>
      </c>
      <c r="T3364" s="122">
        <v>0</v>
      </c>
      <c r="U3364" s="122">
        <v>0</v>
      </c>
      <c r="V3364" s="122">
        <v>20004</v>
      </c>
      <c r="W3364" s="122">
        <f t="shared" si="106"/>
        <v>20004</v>
      </c>
      <c r="X3364" s="122">
        <f t="shared" si="107"/>
        <v>23718</v>
      </c>
    </row>
    <row r="3365" spans="2:24">
      <c r="B3365" t="s">
        <v>387</v>
      </c>
      <c r="C3365" t="s">
        <v>58</v>
      </c>
      <c r="D3365" t="s">
        <v>406</v>
      </c>
      <c r="E3365" t="s">
        <v>407</v>
      </c>
      <c r="F3365" s="122">
        <v>1</v>
      </c>
      <c r="G3365" s="122">
        <v>54</v>
      </c>
      <c r="H3365" s="122">
        <v>290</v>
      </c>
      <c r="I3365" s="122">
        <v>8161</v>
      </c>
      <c r="J3365" s="122">
        <v>7419</v>
      </c>
      <c r="K3365" s="122">
        <v>86</v>
      </c>
      <c r="L3365" s="122">
        <v>1133</v>
      </c>
      <c r="M3365" s="122">
        <v>1030</v>
      </c>
      <c r="N3365" s="122">
        <v>794</v>
      </c>
      <c r="O3365" s="122">
        <v>294</v>
      </c>
      <c r="P3365" s="122">
        <v>621</v>
      </c>
      <c r="Q3365" s="122">
        <v>230</v>
      </c>
      <c r="R3365" s="122">
        <v>3085</v>
      </c>
      <c r="S3365" s="122">
        <v>2805</v>
      </c>
      <c r="T3365" s="122">
        <v>1942</v>
      </c>
      <c r="U3365" s="122">
        <v>719</v>
      </c>
      <c r="V3365" s="122">
        <v>12497</v>
      </c>
      <c r="W3365" s="122">
        <f t="shared" si="106"/>
        <v>12497</v>
      </c>
      <c r="X3365" s="122">
        <f t="shared" si="107"/>
        <v>15736</v>
      </c>
    </row>
    <row r="3366" spans="2:24">
      <c r="B3366" t="s">
        <v>387</v>
      </c>
      <c r="C3366" t="s">
        <v>58</v>
      </c>
      <c r="D3366" t="s">
        <v>427</v>
      </c>
      <c r="E3366" t="s">
        <v>427</v>
      </c>
      <c r="F3366" s="122">
        <v>1</v>
      </c>
      <c r="G3366" s="122">
        <v>124</v>
      </c>
      <c r="H3366" s="122">
        <v>258</v>
      </c>
      <c r="I3366" s="122">
        <v>30708</v>
      </c>
      <c r="J3366" s="122">
        <v>27917</v>
      </c>
      <c r="K3366" s="122">
        <v>45</v>
      </c>
      <c r="L3366" s="122">
        <v>5118</v>
      </c>
      <c r="M3366" s="122">
        <v>4653</v>
      </c>
      <c r="N3366" s="122">
        <v>4670</v>
      </c>
      <c r="O3366" s="122">
        <v>1730</v>
      </c>
      <c r="P3366" s="122">
        <v>351</v>
      </c>
      <c r="Q3366" s="122">
        <v>130</v>
      </c>
      <c r="R3366" s="122">
        <v>7487</v>
      </c>
      <c r="S3366" s="122">
        <v>6806</v>
      </c>
      <c r="T3366" s="122">
        <v>3529</v>
      </c>
      <c r="U3366" s="122">
        <v>1307</v>
      </c>
      <c r="V3366" s="122">
        <v>42542</v>
      </c>
      <c r="W3366" s="122">
        <f t="shared" si="106"/>
        <v>42543</v>
      </c>
      <c r="X3366" s="122">
        <f t="shared" si="107"/>
        <v>51863</v>
      </c>
    </row>
    <row r="3367" spans="2:24">
      <c r="B3367" t="s">
        <v>387</v>
      </c>
      <c r="C3367" t="s">
        <v>58</v>
      </c>
      <c r="D3367" t="s">
        <v>407</v>
      </c>
      <c r="E3367" t="s">
        <v>137</v>
      </c>
      <c r="F3367" s="122">
        <v>2</v>
      </c>
      <c r="G3367" s="122">
        <v>404</v>
      </c>
      <c r="H3367" s="122">
        <v>544</v>
      </c>
      <c r="I3367" s="122">
        <v>65468</v>
      </c>
      <c r="J3367" s="122">
        <v>59516</v>
      </c>
      <c r="K3367" s="122">
        <v>78</v>
      </c>
      <c r="L3367" s="122">
        <v>14967</v>
      </c>
      <c r="M3367" s="122">
        <v>12472</v>
      </c>
      <c r="N3367" s="122">
        <v>8015</v>
      </c>
      <c r="O3367" s="122">
        <v>2969</v>
      </c>
      <c r="P3367" s="122">
        <v>945</v>
      </c>
      <c r="Q3367" s="122">
        <v>350</v>
      </c>
      <c r="R3367" s="122">
        <v>18548</v>
      </c>
      <c r="S3367" s="122">
        <v>6870</v>
      </c>
      <c r="T3367" s="122">
        <v>0</v>
      </c>
      <c r="U3367" s="122">
        <v>0</v>
      </c>
      <c r="V3367" s="122">
        <v>82177</v>
      </c>
      <c r="W3367" s="122">
        <f t="shared" si="106"/>
        <v>82177</v>
      </c>
      <c r="X3367" s="122">
        <f t="shared" si="107"/>
        <v>107943</v>
      </c>
    </row>
    <row r="3368" spans="2:24">
      <c r="B3368" t="s">
        <v>387</v>
      </c>
      <c r="C3368" t="s">
        <v>58</v>
      </c>
      <c r="D3368" t="s">
        <v>407</v>
      </c>
      <c r="E3368" t="s">
        <v>407</v>
      </c>
      <c r="F3368" s="122">
        <v>355</v>
      </c>
      <c r="G3368" s="122">
        <v>45377</v>
      </c>
      <c r="H3368" s="122">
        <v>91625</v>
      </c>
      <c r="I3368" s="122">
        <v>6673428</v>
      </c>
      <c r="J3368" s="122">
        <v>6066753</v>
      </c>
      <c r="K3368" s="122">
        <v>80</v>
      </c>
      <c r="L3368" s="122">
        <v>1918322</v>
      </c>
      <c r="M3368" s="122">
        <v>1660371</v>
      </c>
      <c r="N3368" s="122">
        <v>963877</v>
      </c>
      <c r="O3368" s="122">
        <v>356991</v>
      </c>
      <c r="P3368" s="122">
        <v>170600</v>
      </c>
      <c r="Q3368" s="122">
        <v>63185</v>
      </c>
      <c r="R3368" s="122">
        <v>1897734</v>
      </c>
      <c r="S3368" s="122">
        <v>1725213</v>
      </c>
      <c r="T3368" s="122">
        <v>417485</v>
      </c>
      <c r="U3368" s="122">
        <v>154624</v>
      </c>
      <c r="V3368" s="122">
        <v>10027137</v>
      </c>
      <c r="W3368" s="122">
        <f t="shared" si="106"/>
        <v>10027137</v>
      </c>
      <c r="X3368" s="122">
        <f t="shared" si="107"/>
        <v>12041446</v>
      </c>
    </row>
    <row r="3369" spans="2:24">
      <c r="B3369" t="s">
        <v>387</v>
      </c>
      <c r="C3369" t="s">
        <v>58</v>
      </c>
      <c r="D3369" t="s">
        <v>556</v>
      </c>
      <c r="E3369" t="s">
        <v>556</v>
      </c>
      <c r="F3369" s="122">
        <v>3</v>
      </c>
      <c r="G3369" s="122">
        <v>504</v>
      </c>
      <c r="H3369" s="122">
        <v>808</v>
      </c>
      <c r="I3369" s="122">
        <v>97098</v>
      </c>
      <c r="J3369" s="122">
        <v>80915</v>
      </c>
      <c r="K3369" s="122">
        <v>62</v>
      </c>
      <c r="L3369" s="122">
        <v>8177</v>
      </c>
      <c r="M3369" s="122">
        <v>6814</v>
      </c>
      <c r="N3369" s="122">
        <v>12248</v>
      </c>
      <c r="O3369" s="122">
        <v>4536</v>
      </c>
      <c r="P3369" s="122">
        <v>1053</v>
      </c>
      <c r="Q3369" s="122">
        <v>390</v>
      </c>
      <c r="R3369" s="122">
        <v>23099</v>
      </c>
      <c r="S3369" s="122">
        <v>19249</v>
      </c>
      <c r="T3369" s="122">
        <v>5981</v>
      </c>
      <c r="U3369" s="122">
        <v>2215</v>
      </c>
      <c r="V3369" s="122">
        <v>114120</v>
      </c>
      <c r="W3369" s="122">
        <f t="shared" si="106"/>
        <v>114119</v>
      </c>
      <c r="X3369" s="122">
        <f t="shared" si="107"/>
        <v>147656</v>
      </c>
    </row>
    <row r="3370" spans="2:24">
      <c r="B3370" t="s">
        <v>387</v>
      </c>
      <c r="C3370" t="s">
        <v>58</v>
      </c>
      <c r="D3370" t="s">
        <v>428</v>
      </c>
      <c r="E3370" t="s">
        <v>428</v>
      </c>
      <c r="F3370" s="122">
        <v>1</v>
      </c>
      <c r="G3370" s="122">
        <v>123</v>
      </c>
      <c r="H3370" s="122">
        <v>271</v>
      </c>
      <c r="I3370" s="122">
        <v>18695</v>
      </c>
      <c r="J3370" s="122">
        <v>16996</v>
      </c>
      <c r="K3370" s="122">
        <v>65</v>
      </c>
      <c r="L3370" s="122">
        <v>4501</v>
      </c>
      <c r="M3370" s="122">
        <v>4092</v>
      </c>
      <c r="N3370" s="122">
        <v>2295</v>
      </c>
      <c r="O3370" s="122">
        <v>850</v>
      </c>
      <c r="P3370" s="122">
        <v>351</v>
      </c>
      <c r="Q3370" s="122">
        <v>130</v>
      </c>
      <c r="R3370" s="122">
        <v>4835</v>
      </c>
      <c r="S3370" s="122">
        <v>4395</v>
      </c>
      <c r="T3370" s="122">
        <v>2712</v>
      </c>
      <c r="U3370" s="122">
        <v>1005</v>
      </c>
      <c r="V3370" s="122">
        <v>27467</v>
      </c>
      <c r="W3370" s="122">
        <f t="shared" si="106"/>
        <v>27468</v>
      </c>
      <c r="X3370" s="122">
        <f t="shared" si="107"/>
        <v>33389</v>
      </c>
    </row>
    <row r="3371" spans="2:24">
      <c r="B3371" t="s">
        <v>387</v>
      </c>
      <c r="C3371" t="s">
        <v>58</v>
      </c>
      <c r="D3371" t="s">
        <v>426</v>
      </c>
      <c r="E3371" t="s">
        <v>137</v>
      </c>
      <c r="F3371" s="122">
        <v>2</v>
      </c>
      <c r="G3371" s="122">
        <v>323</v>
      </c>
      <c r="H3371" s="122">
        <v>599</v>
      </c>
      <c r="I3371" s="122">
        <v>70641</v>
      </c>
      <c r="J3371" s="122">
        <v>64219</v>
      </c>
      <c r="K3371" s="122">
        <v>48</v>
      </c>
      <c r="L3371" s="122">
        <v>7319</v>
      </c>
      <c r="M3371" s="122">
        <v>2711</v>
      </c>
      <c r="N3371" s="122">
        <v>8743</v>
      </c>
      <c r="O3371" s="122">
        <v>3238</v>
      </c>
      <c r="P3371" s="122">
        <v>0</v>
      </c>
      <c r="Q3371" s="122">
        <v>0</v>
      </c>
      <c r="R3371" s="122">
        <v>21675</v>
      </c>
      <c r="S3371" s="122">
        <v>8028</v>
      </c>
      <c r="T3371" s="122">
        <v>0</v>
      </c>
      <c r="U3371" s="122">
        <v>0</v>
      </c>
      <c r="V3371" s="122">
        <v>78196</v>
      </c>
      <c r="W3371" s="122">
        <f t="shared" si="106"/>
        <v>78196</v>
      </c>
      <c r="X3371" s="122">
        <f t="shared" si="107"/>
        <v>108378</v>
      </c>
    </row>
    <row r="3372" spans="2:24">
      <c r="B3372" t="s">
        <v>387</v>
      </c>
      <c r="C3372" t="s">
        <v>58</v>
      </c>
      <c r="D3372" t="s">
        <v>426</v>
      </c>
      <c r="E3372" t="s">
        <v>426</v>
      </c>
      <c r="F3372" s="122">
        <v>18</v>
      </c>
      <c r="G3372" s="122">
        <v>2164</v>
      </c>
      <c r="H3372" s="122">
        <v>4809</v>
      </c>
      <c r="I3372" s="122">
        <v>380080</v>
      </c>
      <c r="J3372" s="122">
        <v>345527</v>
      </c>
      <c r="K3372" s="122">
        <v>64</v>
      </c>
      <c r="L3372" s="122">
        <v>42981</v>
      </c>
      <c r="M3372" s="122">
        <v>37195</v>
      </c>
      <c r="N3372" s="122">
        <v>43851</v>
      </c>
      <c r="O3372" s="122">
        <v>16241</v>
      </c>
      <c r="P3372" s="122">
        <v>10425</v>
      </c>
      <c r="Q3372" s="122">
        <v>3861</v>
      </c>
      <c r="R3372" s="122">
        <v>95027</v>
      </c>
      <c r="S3372" s="122">
        <v>86389</v>
      </c>
      <c r="T3372" s="122">
        <v>29898</v>
      </c>
      <c r="U3372" s="122">
        <v>11073</v>
      </c>
      <c r="V3372" s="122">
        <v>500287</v>
      </c>
      <c r="W3372" s="122">
        <f t="shared" ref="W3372:W3431" si="108">SUM(ABS(J3372),ABS(M3372),ABS(O3372),ABS(Q3372),ABS(S3372),ABS(U3372))</f>
        <v>500286</v>
      </c>
      <c r="X3372" s="122">
        <f t="shared" ref="X3372:X3431" si="109">SUM(ABS(I3372),ABS(N3372),ABS(P3372),ABS(R3372),ABS(T3372),ABS(L3372))</f>
        <v>602262</v>
      </c>
    </row>
    <row r="3373" spans="2:24">
      <c r="B3373" t="s">
        <v>387</v>
      </c>
      <c r="C3373" t="s">
        <v>58</v>
      </c>
      <c r="D3373" t="s">
        <v>433</v>
      </c>
      <c r="E3373" t="s">
        <v>137</v>
      </c>
      <c r="F3373" s="122">
        <v>1</v>
      </c>
      <c r="G3373" s="122">
        <v>181</v>
      </c>
      <c r="H3373" s="122">
        <v>292</v>
      </c>
      <c r="I3373" s="122">
        <v>28417</v>
      </c>
      <c r="J3373" s="122">
        <v>25833</v>
      </c>
      <c r="K3373" s="122">
        <v>65</v>
      </c>
      <c r="L3373" s="122">
        <v>11334</v>
      </c>
      <c r="M3373" s="122">
        <v>4198</v>
      </c>
      <c r="N3373" s="122">
        <v>2335</v>
      </c>
      <c r="O3373" s="122">
        <v>865</v>
      </c>
      <c r="P3373" s="122">
        <v>0</v>
      </c>
      <c r="Q3373" s="122">
        <v>0</v>
      </c>
      <c r="R3373" s="122">
        <v>10663</v>
      </c>
      <c r="S3373" s="122">
        <v>3949</v>
      </c>
      <c r="T3373" s="122">
        <v>0</v>
      </c>
      <c r="U3373" s="122">
        <v>0</v>
      </c>
      <c r="V3373" s="122">
        <v>34845</v>
      </c>
      <c r="W3373" s="122">
        <f t="shared" si="108"/>
        <v>34845</v>
      </c>
      <c r="X3373" s="122">
        <f t="shared" si="109"/>
        <v>52749</v>
      </c>
    </row>
    <row r="3374" spans="2:24">
      <c r="B3374" t="s">
        <v>387</v>
      </c>
      <c r="C3374" t="s">
        <v>58</v>
      </c>
      <c r="D3374" t="s">
        <v>408</v>
      </c>
      <c r="E3374" t="s">
        <v>408</v>
      </c>
      <c r="F3374" s="122">
        <v>6</v>
      </c>
      <c r="G3374" s="122">
        <v>908</v>
      </c>
      <c r="H3374" s="122">
        <v>1534</v>
      </c>
      <c r="I3374" s="122">
        <v>158546</v>
      </c>
      <c r="J3374" s="122">
        <v>144133</v>
      </c>
      <c r="K3374" s="122">
        <v>68</v>
      </c>
      <c r="L3374" s="122">
        <v>19486</v>
      </c>
      <c r="M3374" s="122">
        <v>17127</v>
      </c>
      <c r="N3374" s="122">
        <v>16280</v>
      </c>
      <c r="O3374" s="122">
        <v>6030</v>
      </c>
      <c r="P3374" s="122">
        <v>2106</v>
      </c>
      <c r="Q3374" s="122">
        <v>780</v>
      </c>
      <c r="R3374" s="122">
        <v>27746</v>
      </c>
      <c r="S3374" s="122">
        <v>25224</v>
      </c>
      <c r="T3374" s="122">
        <v>7871</v>
      </c>
      <c r="U3374" s="122">
        <v>2915</v>
      </c>
      <c r="V3374" s="122">
        <v>196209</v>
      </c>
      <c r="W3374" s="122">
        <f t="shared" si="108"/>
        <v>196209</v>
      </c>
      <c r="X3374" s="122">
        <f t="shared" si="109"/>
        <v>232035</v>
      </c>
    </row>
    <row r="3375" spans="2:24">
      <c r="B3375" t="s">
        <v>387</v>
      </c>
      <c r="C3375" t="s">
        <v>60</v>
      </c>
      <c r="F3375" s="122">
        <v>1</v>
      </c>
      <c r="G3375" s="122">
        <v>226</v>
      </c>
      <c r="H3375" s="122">
        <v>354</v>
      </c>
      <c r="I3375" s="122"/>
      <c r="J3375" s="122">
        <v>0</v>
      </c>
      <c r="K3375" s="122"/>
      <c r="L3375" s="122"/>
      <c r="M3375" s="122">
        <v>0</v>
      </c>
      <c r="N3375" s="122">
        <v>5513</v>
      </c>
      <c r="O3375" s="122">
        <v>2042</v>
      </c>
      <c r="P3375" s="122">
        <v>621</v>
      </c>
      <c r="Q3375" s="122">
        <v>230</v>
      </c>
      <c r="R3375" s="122"/>
      <c r="S3375" s="122">
        <v>0</v>
      </c>
      <c r="T3375" s="122">
        <v>0</v>
      </c>
      <c r="U3375" s="122">
        <v>0</v>
      </c>
      <c r="V3375" s="122">
        <v>2272</v>
      </c>
      <c r="W3375" s="122">
        <f t="shared" si="108"/>
        <v>2272</v>
      </c>
      <c r="X3375" s="122">
        <f t="shared" si="109"/>
        <v>6134</v>
      </c>
    </row>
    <row r="3376" spans="2:24">
      <c r="B3376" t="s">
        <v>387</v>
      </c>
      <c r="C3376" t="s">
        <v>60</v>
      </c>
      <c r="D3376" t="s">
        <v>425</v>
      </c>
      <c r="E3376" t="s">
        <v>425</v>
      </c>
      <c r="F3376" s="122">
        <v>1</v>
      </c>
      <c r="G3376" s="122">
        <v>67</v>
      </c>
      <c r="H3376" s="122">
        <v>319</v>
      </c>
      <c r="I3376" s="122">
        <v>10444</v>
      </c>
      <c r="J3376" s="122">
        <v>9495</v>
      </c>
      <c r="K3376" s="122">
        <v>90</v>
      </c>
      <c r="L3376" s="122">
        <v>2483</v>
      </c>
      <c r="M3376" s="122">
        <v>2258</v>
      </c>
      <c r="N3376" s="122">
        <v>1637</v>
      </c>
      <c r="O3376" s="122">
        <v>606</v>
      </c>
      <c r="P3376" s="122">
        <v>473</v>
      </c>
      <c r="Q3376" s="122">
        <v>175</v>
      </c>
      <c r="R3376" s="122">
        <v>3663</v>
      </c>
      <c r="S3376" s="122">
        <v>3330</v>
      </c>
      <c r="T3376" s="122">
        <v>2704</v>
      </c>
      <c r="U3376" s="122">
        <v>1001</v>
      </c>
      <c r="V3376" s="122">
        <v>16865</v>
      </c>
      <c r="W3376" s="122">
        <f t="shared" si="108"/>
        <v>16865</v>
      </c>
      <c r="X3376" s="122">
        <f t="shared" si="109"/>
        <v>21404</v>
      </c>
    </row>
    <row r="3377" spans="2:24">
      <c r="B3377" t="s">
        <v>387</v>
      </c>
      <c r="C3377" t="s">
        <v>60</v>
      </c>
      <c r="D3377" t="s">
        <v>405</v>
      </c>
      <c r="E3377" t="s">
        <v>405</v>
      </c>
      <c r="F3377" s="122">
        <v>17</v>
      </c>
      <c r="G3377" s="122">
        <v>2071</v>
      </c>
      <c r="H3377" s="122">
        <v>5796</v>
      </c>
      <c r="I3377" s="122">
        <v>464068</v>
      </c>
      <c r="J3377" s="122">
        <v>421880</v>
      </c>
      <c r="K3377" s="122">
        <v>81</v>
      </c>
      <c r="L3377" s="122">
        <v>92593</v>
      </c>
      <c r="M3377" s="122">
        <v>79962</v>
      </c>
      <c r="N3377" s="122">
        <v>41369</v>
      </c>
      <c r="O3377" s="122">
        <v>15322</v>
      </c>
      <c r="P3377" s="122">
        <v>8262</v>
      </c>
      <c r="Q3377" s="122">
        <v>3060</v>
      </c>
      <c r="R3377" s="122">
        <v>89082</v>
      </c>
      <c r="S3377" s="122">
        <v>80983</v>
      </c>
      <c r="T3377" s="122">
        <v>9055</v>
      </c>
      <c r="U3377" s="122">
        <v>3354</v>
      </c>
      <c r="V3377" s="122">
        <v>604561</v>
      </c>
      <c r="W3377" s="122">
        <f t="shared" si="108"/>
        <v>604561</v>
      </c>
      <c r="X3377" s="122">
        <f t="shared" si="109"/>
        <v>704429</v>
      </c>
    </row>
    <row r="3378" spans="2:24">
      <c r="B3378" t="s">
        <v>387</v>
      </c>
      <c r="C3378" t="s">
        <v>60</v>
      </c>
      <c r="D3378" t="s">
        <v>405</v>
      </c>
      <c r="E3378" t="s">
        <v>406</v>
      </c>
      <c r="F3378" s="122">
        <v>1</v>
      </c>
      <c r="G3378" s="122">
        <v>257</v>
      </c>
      <c r="H3378" s="122">
        <v>348</v>
      </c>
      <c r="I3378" s="122">
        <v>69003</v>
      </c>
      <c r="J3378" s="122">
        <v>62730</v>
      </c>
      <c r="K3378" s="122">
        <v>73</v>
      </c>
      <c r="L3378" s="122">
        <v>8868</v>
      </c>
      <c r="M3378" s="122">
        <v>8062</v>
      </c>
      <c r="N3378" s="122">
        <v>3134</v>
      </c>
      <c r="O3378" s="122">
        <v>1161</v>
      </c>
      <c r="P3378" s="122">
        <v>351</v>
      </c>
      <c r="Q3378" s="122">
        <v>130</v>
      </c>
      <c r="R3378" s="122">
        <v>8070</v>
      </c>
      <c r="S3378" s="122">
        <v>7337</v>
      </c>
      <c r="T3378" s="122">
        <v>0</v>
      </c>
      <c r="U3378" s="122">
        <v>0</v>
      </c>
      <c r="V3378" s="122">
        <v>79419</v>
      </c>
      <c r="W3378" s="122">
        <f t="shared" si="108"/>
        <v>79420</v>
      </c>
      <c r="X3378" s="122">
        <f t="shared" si="109"/>
        <v>89426</v>
      </c>
    </row>
    <row r="3379" spans="2:24">
      <c r="B3379" t="s">
        <v>387</v>
      </c>
      <c r="C3379" t="s">
        <v>60</v>
      </c>
      <c r="D3379" t="s">
        <v>405</v>
      </c>
      <c r="E3379" t="s">
        <v>407</v>
      </c>
      <c r="F3379" s="122">
        <v>1</v>
      </c>
      <c r="G3379" s="122">
        <v>78</v>
      </c>
      <c r="H3379" s="122">
        <v>318</v>
      </c>
      <c r="I3379" s="122">
        <v>14144</v>
      </c>
      <c r="J3379" s="122">
        <v>12859</v>
      </c>
      <c r="K3379" s="122">
        <v>65</v>
      </c>
      <c r="L3379" s="122">
        <v>2507</v>
      </c>
      <c r="M3379" s="122">
        <v>929</v>
      </c>
      <c r="N3379" s="122">
        <v>949</v>
      </c>
      <c r="O3379" s="122">
        <v>352</v>
      </c>
      <c r="P3379" s="122">
        <v>351</v>
      </c>
      <c r="Q3379" s="122">
        <v>130</v>
      </c>
      <c r="R3379" s="122">
        <v>4443</v>
      </c>
      <c r="S3379" s="122">
        <v>4040</v>
      </c>
      <c r="T3379" s="122">
        <v>2405</v>
      </c>
      <c r="U3379" s="122">
        <v>891</v>
      </c>
      <c r="V3379" s="122">
        <v>19199</v>
      </c>
      <c r="W3379" s="122">
        <f t="shared" si="108"/>
        <v>19201</v>
      </c>
      <c r="X3379" s="122">
        <f t="shared" si="109"/>
        <v>24799</v>
      </c>
    </row>
    <row r="3380" spans="2:24">
      <c r="B3380" t="s">
        <v>387</v>
      </c>
      <c r="C3380" t="s">
        <v>60</v>
      </c>
      <c r="D3380" t="s">
        <v>137</v>
      </c>
      <c r="E3380" t="s">
        <v>137</v>
      </c>
      <c r="F3380" s="122">
        <v>66</v>
      </c>
      <c r="G3380" s="122">
        <v>6663</v>
      </c>
      <c r="H3380" s="122">
        <v>22462</v>
      </c>
      <c r="I3380" s="122">
        <v>1504308</v>
      </c>
      <c r="J3380" s="122">
        <v>557151</v>
      </c>
      <c r="K3380" s="122">
        <v>100</v>
      </c>
      <c r="L3380" s="122">
        <v>241144</v>
      </c>
      <c r="M3380" s="122">
        <v>187112</v>
      </c>
      <c r="N3380" s="122">
        <v>144029</v>
      </c>
      <c r="O3380" s="122">
        <v>53344</v>
      </c>
      <c r="P3380" s="122">
        <v>0</v>
      </c>
      <c r="Q3380" s="122">
        <v>0</v>
      </c>
      <c r="R3380" s="122">
        <v>518773</v>
      </c>
      <c r="S3380" s="122">
        <v>192138</v>
      </c>
      <c r="T3380" s="122">
        <v>0</v>
      </c>
      <c r="U3380" s="122">
        <v>0</v>
      </c>
      <c r="V3380" s="122">
        <v>989746</v>
      </c>
      <c r="W3380" s="122">
        <f t="shared" si="108"/>
        <v>989745</v>
      </c>
      <c r="X3380" s="122">
        <f t="shared" si="109"/>
        <v>2408254</v>
      </c>
    </row>
    <row r="3381" spans="2:24">
      <c r="B3381" t="s">
        <v>387</v>
      </c>
      <c r="C3381" t="s">
        <v>60</v>
      </c>
      <c r="D3381" t="s">
        <v>137</v>
      </c>
      <c r="E3381" t="s">
        <v>556</v>
      </c>
      <c r="F3381" s="122">
        <v>1</v>
      </c>
      <c r="G3381" s="122">
        <v>57</v>
      </c>
      <c r="H3381" s="122">
        <v>328</v>
      </c>
      <c r="I3381" s="122">
        <v>7791</v>
      </c>
      <c r="J3381" s="122">
        <v>2886</v>
      </c>
      <c r="K3381" s="122">
        <v>100</v>
      </c>
      <c r="L3381" s="122">
        <v>770</v>
      </c>
      <c r="M3381" s="122">
        <v>641</v>
      </c>
      <c r="N3381" s="122">
        <v>1082</v>
      </c>
      <c r="O3381" s="122">
        <v>401</v>
      </c>
      <c r="P3381" s="122">
        <v>0</v>
      </c>
      <c r="Q3381" s="122">
        <v>0</v>
      </c>
      <c r="R3381" s="122">
        <v>6589</v>
      </c>
      <c r="S3381" s="122">
        <v>5491</v>
      </c>
      <c r="T3381" s="122">
        <v>2564</v>
      </c>
      <c r="U3381" s="122">
        <v>950</v>
      </c>
      <c r="V3381" s="122">
        <v>10368</v>
      </c>
      <c r="W3381" s="122">
        <f t="shared" si="108"/>
        <v>10369</v>
      </c>
      <c r="X3381" s="122">
        <f t="shared" si="109"/>
        <v>18796</v>
      </c>
    </row>
    <row r="3382" spans="2:24">
      <c r="B3382" t="s">
        <v>387</v>
      </c>
      <c r="C3382" t="s">
        <v>60</v>
      </c>
      <c r="D3382" t="s">
        <v>406</v>
      </c>
      <c r="E3382" t="s">
        <v>425</v>
      </c>
      <c r="F3382" s="122">
        <v>1</v>
      </c>
      <c r="G3382" s="122">
        <v>100</v>
      </c>
      <c r="H3382" s="122">
        <v>339</v>
      </c>
      <c r="I3382" s="122">
        <v>22170</v>
      </c>
      <c r="J3382" s="122">
        <v>20154</v>
      </c>
      <c r="K3382" s="122">
        <v>85</v>
      </c>
      <c r="L3382" s="122">
        <v>3155</v>
      </c>
      <c r="M3382" s="122">
        <v>2868</v>
      </c>
      <c r="N3382" s="122">
        <v>2403</v>
      </c>
      <c r="O3382" s="122">
        <v>890</v>
      </c>
      <c r="P3382" s="122">
        <v>621</v>
      </c>
      <c r="Q3382" s="122">
        <v>230</v>
      </c>
      <c r="R3382" s="122">
        <v>5580</v>
      </c>
      <c r="S3382" s="122">
        <v>5073</v>
      </c>
      <c r="T3382" s="122">
        <v>0</v>
      </c>
      <c r="U3382" s="122">
        <v>0</v>
      </c>
      <c r="V3382" s="122">
        <v>29215</v>
      </c>
      <c r="W3382" s="122">
        <f t="shared" si="108"/>
        <v>29215</v>
      </c>
      <c r="X3382" s="122">
        <f t="shared" si="109"/>
        <v>33929</v>
      </c>
    </row>
    <row r="3383" spans="2:24">
      <c r="B3383" t="s">
        <v>387</v>
      </c>
      <c r="C3383" t="s">
        <v>60</v>
      </c>
      <c r="D3383" t="s">
        <v>406</v>
      </c>
      <c r="E3383" t="s">
        <v>137</v>
      </c>
      <c r="F3383" s="122">
        <v>6</v>
      </c>
      <c r="G3383" s="122">
        <v>719</v>
      </c>
      <c r="H3383" s="122">
        <v>2128</v>
      </c>
      <c r="I3383" s="122">
        <v>157787</v>
      </c>
      <c r="J3383" s="122">
        <v>143443</v>
      </c>
      <c r="K3383" s="122">
        <v>72</v>
      </c>
      <c r="L3383" s="122">
        <v>29332</v>
      </c>
      <c r="M3383" s="122">
        <v>26337</v>
      </c>
      <c r="N3383" s="122">
        <v>15510</v>
      </c>
      <c r="O3383" s="122">
        <v>5745</v>
      </c>
      <c r="P3383" s="122">
        <v>3726</v>
      </c>
      <c r="Q3383" s="122">
        <v>1380</v>
      </c>
      <c r="R3383" s="122">
        <v>49590</v>
      </c>
      <c r="S3383" s="122">
        <v>18367</v>
      </c>
      <c r="T3383" s="122">
        <v>0</v>
      </c>
      <c r="U3383" s="122">
        <v>0</v>
      </c>
      <c r="V3383" s="122">
        <v>195270</v>
      </c>
      <c r="W3383" s="122">
        <f t="shared" si="108"/>
        <v>195272</v>
      </c>
      <c r="X3383" s="122">
        <f t="shared" si="109"/>
        <v>255945</v>
      </c>
    </row>
    <row r="3384" spans="2:24">
      <c r="B3384" t="s">
        <v>387</v>
      </c>
      <c r="C3384" t="s">
        <v>60</v>
      </c>
      <c r="D3384" t="s">
        <v>406</v>
      </c>
      <c r="E3384" t="s">
        <v>406</v>
      </c>
      <c r="F3384" s="122">
        <v>631</v>
      </c>
      <c r="G3384" s="122">
        <v>86754</v>
      </c>
      <c r="H3384" s="122">
        <v>213195</v>
      </c>
      <c r="I3384" s="122">
        <v>19154486</v>
      </c>
      <c r="J3384" s="122">
        <v>17413169</v>
      </c>
      <c r="K3384" s="122">
        <v>78</v>
      </c>
      <c r="L3384" s="122">
        <v>4099377</v>
      </c>
      <c r="M3384" s="122">
        <v>3563445</v>
      </c>
      <c r="N3384" s="122">
        <v>1871381</v>
      </c>
      <c r="O3384" s="122">
        <v>693104</v>
      </c>
      <c r="P3384" s="122">
        <v>402867</v>
      </c>
      <c r="Q3384" s="122">
        <v>149210</v>
      </c>
      <c r="R3384" s="122">
        <v>3366048</v>
      </c>
      <c r="S3384" s="122">
        <v>3060044</v>
      </c>
      <c r="T3384" s="122">
        <v>1113665</v>
      </c>
      <c r="U3384" s="122">
        <v>412469</v>
      </c>
      <c r="V3384" s="122">
        <v>25291441</v>
      </c>
      <c r="W3384" s="122">
        <f t="shared" si="108"/>
        <v>25291441</v>
      </c>
      <c r="X3384" s="122">
        <f t="shared" si="109"/>
        <v>30007824</v>
      </c>
    </row>
    <row r="3385" spans="2:24">
      <c r="B3385" t="s">
        <v>387</v>
      </c>
      <c r="C3385" t="s">
        <v>60</v>
      </c>
      <c r="D3385" t="s">
        <v>406</v>
      </c>
      <c r="E3385" t="s">
        <v>407</v>
      </c>
      <c r="F3385" s="122">
        <v>2</v>
      </c>
      <c r="G3385" s="122">
        <v>638</v>
      </c>
      <c r="H3385" s="122">
        <v>660</v>
      </c>
      <c r="I3385" s="122">
        <v>134912</v>
      </c>
      <c r="J3385" s="122">
        <v>122648</v>
      </c>
      <c r="K3385" s="122">
        <v>78</v>
      </c>
      <c r="L3385" s="122">
        <v>44116</v>
      </c>
      <c r="M3385" s="122">
        <v>40105</v>
      </c>
      <c r="N3385" s="122">
        <v>15486</v>
      </c>
      <c r="O3385" s="122">
        <v>5735</v>
      </c>
      <c r="P3385" s="122">
        <v>1242</v>
      </c>
      <c r="Q3385" s="122">
        <v>460</v>
      </c>
      <c r="R3385" s="122">
        <v>10043</v>
      </c>
      <c r="S3385" s="122">
        <v>9130</v>
      </c>
      <c r="T3385" s="122">
        <v>7443</v>
      </c>
      <c r="U3385" s="122">
        <v>2757</v>
      </c>
      <c r="V3385" s="122">
        <v>180835</v>
      </c>
      <c r="W3385" s="122">
        <f t="shared" si="108"/>
        <v>180835</v>
      </c>
      <c r="X3385" s="122">
        <f t="shared" si="109"/>
        <v>213242</v>
      </c>
    </row>
    <row r="3386" spans="2:24">
      <c r="B3386" t="s">
        <v>387</v>
      </c>
      <c r="C3386" t="s">
        <v>60</v>
      </c>
      <c r="D3386" t="s">
        <v>427</v>
      </c>
      <c r="E3386" t="s">
        <v>427</v>
      </c>
      <c r="F3386" s="122">
        <v>4</v>
      </c>
      <c r="G3386" s="122">
        <v>391</v>
      </c>
      <c r="H3386" s="122">
        <v>1430</v>
      </c>
      <c r="I3386" s="122">
        <v>87370</v>
      </c>
      <c r="J3386" s="122">
        <v>79427</v>
      </c>
      <c r="K3386" s="122">
        <v>58</v>
      </c>
      <c r="L3386" s="122">
        <v>13122</v>
      </c>
      <c r="M3386" s="122">
        <v>11929</v>
      </c>
      <c r="N3386" s="122">
        <v>7187</v>
      </c>
      <c r="O3386" s="122">
        <v>2662</v>
      </c>
      <c r="P3386" s="122">
        <v>1796</v>
      </c>
      <c r="Q3386" s="122">
        <v>665</v>
      </c>
      <c r="R3386" s="122">
        <v>24594</v>
      </c>
      <c r="S3386" s="122">
        <v>22358</v>
      </c>
      <c r="T3386" s="122">
        <v>9034</v>
      </c>
      <c r="U3386" s="122">
        <v>3346</v>
      </c>
      <c r="V3386" s="122">
        <v>120387</v>
      </c>
      <c r="W3386" s="122">
        <f t="shared" si="108"/>
        <v>120387</v>
      </c>
      <c r="X3386" s="122">
        <f t="shared" si="109"/>
        <v>143103</v>
      </c>
    </row>
    <row r="3387" spans="2:24">
      <c r="B3387" t="s">
        <v>387</v>
      </c>
      <c r="C3387" t="s">
        <v>60</v>
      </c>
      <c r="D3387" t="s">
        <v>407</v>
      </c>
      <c r="E3387" t="s">
        <v>407</v>
      </c>
      <c r="F3387" s="122">
        <v>121</v>
      </c>
      <c r="G3387" s="122">
        <v>14950</v>
      </c>
      <c r="H3387" s="122">
        <v>41034</v>
      </c>
      <c r="I3387" s="122">
        <v>3090922</v>
      </c>
      <c r="J3387" s="122">
        <v>2809929</v>
      </c>
      <c r="K3387" s="122">
        <v>80</v>
      </c>
      <c r="L3387" s="122">
        <v>899141</v>
      </c>
      <c r="M3387" s="122">
        <v>779182</v>
      </c>
      <c r="N3387" s="122">
        <v>318631</v>
      </c>
      <c r="O3387" s="122">
        <v>118012</v>
      </c>
      <c r="P3387" s="122">
        <v>59009</v>
      </c>
      <c r="Q3387" s="122">
        <v>21855</v>
      </c>
      <c r="R3387" s="122">
        <v>617595</v>
      </c>
      <c r="S3387" s="122">
        <v>561450</v>
      </c>
      <c r="T3387" s="122">
        <v>184414</v>
      </c>
      <c r="U3387" s="122">
        <v>68302</v>
      </c>
      <c r="V3387" s="122">
        <v>4358730</v>
      </c>
      <c r="W3387" s="122">
        <f t="shared" si="108"/>
        <v>4358730</v>
      </c>
      <c r="X3387" s="122">
        <f t="shared" si="109"/>
        <v>5169712</v>
      </c>
    </row>
    <row r="3388" spans="2:24">
      <c r="B3388" t="s">
        <v>387</v>
      </c>
      <c r="C3388" t="s">
        <v>60</v>
      </c>
      <c r="D3388" t="s">
        <v>556</v>
      </c>
      <c r="E3388" t="s">
        <v>137</v>
      </c>
      <c r="F3388" s="122">
        <v>1</v>
      </c>
      <c r="G3388" s="122">
        <v>88</v>
      </c>
      <c r="H3388" s="122">
        <v>341</v>
      </c>
      <c r="I3388" s="122">
        <v>14216</v>
      </c>
      <c r="J3388" s="122">
        <v>11846</v>
      </c>
      <c r="K3388" s="122">
        <v>65</v>
      </c>
      <c r="L3388" s="122">
        <v>2310</v>
      </c>
      <c r="M3388" s="122">
        <v>856</v>
      </c>
      <c r="N3388" s="122">
        <v>1851</v>
      </c>
      <c r="O3388" s="122">
        <v>686</v>
      </c>
      <c r="P3388" s="122">
        <v>351</v>
      </c>
      <c r="Q3388" s="122">
        <v>130</v>
      </c>
      <c r="R3388" s="122">
        <v>11204</v>
      </c>
      <c r="S3388" s="122">
        <v>4150</v>
      </c>
      <c r="T3388" s="122">
        <v>0</v>
      </c>
      <c r="U3388" s="122">
        <v>0</v>
      </c>
      <c r="V3388" s="122">
        <v>17667</v>
      </c>
      <c r="W3388" s="122">
        <f t="shared" si="108"/>
        <v>17668</v>
      </c>
      <c r="X3388" s="122">
        <f t="shared" si="109"/>
        <v>29932</v>
      </c>
    </row>
    <row r="3389" spans="2:24">
      <c r="B3389" t="s">
        <v>387</v>
      </c>
      <c r="C3389" t="s">
        <v>60</v>
      </c>
      <c r="D3389" t="s">
        <v>556</v>
      </c>
      <c r="E3389" t="s">
        <v>556</v>
      </c>
      <c r="F3389" s="122">
        <v>6</v>
      </c>
      <c r="G3389" s="122">
        <v>713</v>
      </c>
      <c r="H3389" s="122">
        <v>2021</v>
      </c>
      <c r="I3389" s="122">
        <v>170846</v>
      </c>
      <c r="J3389" s="122">
        <v>142372</v>
      </c>
      <c r="K3389" s="122">
        <v>65</v>
      </c>
      <c r="L3389" s="122">
        <v>14660</v>
      </c>
      <c r="M3389" s="122">
        <v>10077</v>
      </c>
      <c r="N3389" s="122">
        <v>14307</v>
      </c>
      <c r="O3389" s="122">
        <v>5299</v>
      </c>
      <c r="P3389" s="122">
        <v>2376</v>
      </c>
      <c r="Q3389" s="122">
        <v>880</v>
      </c>
      <c r="R3389" s="122">
        <v>35557</v>
      </c>
      <c r="S3389" s="122">
        <v>29631</v>
      </c>
      <c r="T3389" s="122">
        <v>14765</v>
      </c>
      <c r="U3389" s="122">
        <v>5469</v>
      </c>
      <c r="V3389" s="122">
        <v>193727</v>
      </c>
      <c r="W3389" s="122">
        <f t="shared" si="108"/>
        <v>193728</v>
      </c>
      <c r="X3389" s="122">
        <f t="shared" si="109"/>
        <v>252511</v>
      </c>
    </row>
    <row r="3390" spans="2:24">
      <c r="B3390" t="s">
        <v>387</v>
      </c>
      <c r="C3390" t="s">
        <v>60</v>
      </c>
      <c r="D3390" t="s">
        <v>431</v>
      </c>
      <c r="E3390" t="s">
        <v>431</v>
      </c>
      <c r="F3390" s="122">
        <v>1</v>
      </c>
      <c r="G3390" s="122">
        <v>111</v>
      </c>
      <c r="H3390" s="122">
        <v>355</v>
      </c>
      <c r="I3390" s="122">
        <v>31911</v>
      </c>
      <c r="J3390" s="122">
        <v>29010</v>
      </c>
      <c r="K3390" s="122">
        <v>65</v>
      </c>
      <c r="L3390" s="122">
        <v>3546</v>
      </c>
      <c r="M3390" s="122">
        <v>3223</v>
      </c>
      <c r="N3390" s="122">
        <v>1356</v>
      </c>
      <c r="O3390" s="122">
        <v>502</v>
      </c>
      <c r="P3390" s="122">
        <v>351</v>
      </c>
      <c r="Q3390" s="122">
        <v>130</v>
      </c>
      <c r="R3390" s="122">
        <v>2384</v>
      </c>
      <c r="S3390" s="122">
        <v>2168</v>
      </c>
      <c r="T3390" s="122">
        <v>0</v>
      </c>
      <c r="U3390" s="122">
        <v>0</v>
      </c>
      <c r="V3390" s="122">
        <v>35033</v>
      </c>
      <c r="W3390" s="122">
        <f t="shared" si="108"/>
        <v>35033</v>
      </c>
      <c r="X3390" s="122">
        <f t="shared" si="109"/>
        <v>39548</v>
      </c>
    </row>
    <row r="3391" spans="2:24">
      <c r="B3391" t="s">
        <v>387</v>
      </c>
      <c r="C3391" t="s">
        <v>60</v>
      </c>
      <c r="D3391" t="s">
        <v>426</v>
      </c>
      <c r="E3391" t="s">
        <v>137</v>
      </c>
      <c r="F3391" s="122">
        <v>3</v>
      </c>
      <c r="G3391" s="122">
        <v>261</v>
      </c>
      <c r="H3391" s="122">
        <v>1057</v>
      </c>
      <c r="I3391" s="122">
        <v>55448</v>
      </c>
      <c r="J3391" s="122">
        <v>50407</v>
      </c>
      <c r="K3391" s="122">
        <v>60</v>
      </c>
      <c r="L3391" s="122">
        <v>9073</v>
      </c>
      <c r="M3391" s="122">
        <v>3360</v>
      </c>
      <c r="N3391" s="122">
        <v>6349</v>
      </c>
      <c r="O3391" s="122">
        <v>2352</v>
      </c>
      <c r="P3391" s="122">
        <v>0</v>
      </c>
      <c r="Q3391" s="122">
        <v>0</v>
      </c>
      <c r="R3391" s="122">
        <v>19939</v>
      </c>
      <c r="S3391" s="122">
        <v>7385</v>
      </c>
      <c r="T3391" s="122">
        <v>0</v>
      </c>
      <c r="U3391" s="122">
        <v>0</v>
      </c>
      <c r="V3391" s="122">
        <v>63504</v>
      </c>
      <c r="W3391" s="122">
        <f t="shared" si="108"/>
        <v>63504</v>
      </c>
      <c r="X3391" s="122">
        <f t="shared" si="109"/>
        <v>90809</v>
      </c>
    </row>
    <row r="3392" spans="2:24">
      <c r="B3392" t="s">
        <v>387</v>
      </c>
      <c r="C3392" t="s">
        <v>60</v>
      </c>
      <c r="D3392" t="s">
        <v>426</v>
      </c>
      <c r="E3392" t="s">
        <v>426</v>
      </c>
      <c r="F3392" s="122">
        <v>24</v>
      </c>
      <c r="G3392" s="122">
        <v>2442</v>
      </c>
      <c r="H3392" s="122">
        <v>8307</v>
      </c>
      <c r="I3392" s="122">
        <v>578464</v>
      </c>
      <c r="J3392" s="122">
        <v>525876</v>
      </c>
      <c r="K3392" s="122">
        <v>61</v>
      </c>
      <c r="L3392" s="122">
        <v>63735</v>
      </c>
      <c r="M3392" s="122">
        <v>53137</v>
      </c>
      <c r="N3392" s="122">
        <v>51461</v>
      </c>
      <c r="O3392" s="122">
        <v>19060</v>
      </c>
      <c r="P3392" s="122">
        <v>9855</v>
      </c>
      <c r="Q3392" s="122">
        <v>3650</v>
      </c>
      <c r="R3392" s="122">
        <v>122207</v>
      </c>
      <c r="S3392" s="122">
        <v>111097</v>
      </c>
      <c r="T3392" s="122">
        <v>54615</v>
      </c>
      <c r="U3392" s="122">
        <v>20228</v>
      </c>
      <c r="V3392" s="122">
        <v>733048</v>
      </c>
      <c r="W3392" s="122">
        <f t="shared" si="108"/>
        <v>733048</v>
      </c>
      <c r="X3392" s="122">
        <f t="shared" si="109"/>
        <v>880337</v>
      </c>
    </row>
    <row r="3393" spans="2:24">
      <c r="B3393" t="s">
        <v>387</v>
      </c>
      <c r="C3393" t="s">
        <v>60</v>
      </c>
      <c r="D3393" t="s">
        <v>433</v>
      </c>
      <c r="E3393" t="s">
        <v>433</v>
      </c>
      <c r="F3393" s="122">
        <v>5</v>
      </c>
      <c r="G3393" s="122">
        <v>670</v>
      </c>
      <c r="H3393" s="122">
        <v>1637</v>
      </c>
      <c r="I3393" s="122">
        <v>136490</v>
      </c>
      <c r="J3393" s="122">
        <v>124082</v>
      </c>
      <c r="K3393" s="122">
        <v>61</v>
      </c>
      <c r="L3393" s="122">
        <v>21866</v>
      </c>
      <c r="M3393" s="122">
        <v>19879</v>
      </c>
      <c r="N3393" s="122">
        <v>12580</v>
      </c>
      <c r="O3393" s="122">
        <v>4659</v>
      </c>
      <c r="P3393" s="122">
        <v>2025</v>
      </c>
      <c r="Q3393" s="122">
        <v>750</v>
      </c>
      <c r="R3393" s="122">
        <v>30924</v>
      </c>
      <c r="S3393" s="122">
        <v>28113</v>
      </c>
      <c r="T3393" s="122">
        <v>13014</v>
      </c>
      <c r="U3393" s="122">
        <v>4820</v>
      </c>
      <c r="V3393" s="122">
        <v>182302</v>
      </c>
      <c r="W3393" s="122">
        <f t="shared" si="108"/>
        <v>182303</v>
      </c>
      <c r="X3393" s="122">
        <f t="shared" si="109"/>
        <v>216899</v>
      </c>
    </row>
    <row r="3394" spans="2:24">
      <c r="B3394" t="s">
        <v>387</v>
      </c>
      <c r="C3394" t="s">
        <v>60</v>
      </c>
      <c r="D3394" t="s">
        <v>408</v>
      </c>
      <c r="E3394" t="s">
        <v>137</v>
      </c>
      <c r="F3394" s="122">
        <v>1</v>
      </c>
      <c r="G3394" s="122">
        <v>195</v>
      </c>
      <c r="H3394" s="122">
        <v>344</v>
      </c>
      <c r="I3394" s="122">
        <v>46523</v>
      </c>
      <c r="J3394" s="122">
        <v>42293</v>
      </c>
      <c r="K3394" s="122">
        <v>65</v>
      </c>
      <c r="L3394" s="122">
        <v>5600</v>
      </c>
      <c r="M3394" s="122">
        <v>5091</v>
      </c>
      <c r="N3394" s="122">
        <v>3910</v>
      </c>
      <c r="O3394" s="122">
        <v>1448</v>
      </c>
      <c r="P3394" s="122">
        <v>351</v>
      </c>
      <c r="Q3394" s="122">
        <v>130</v>
      </c>
      <c r="R3394" s="122">
        <v>10522</v>
      </c>
      <c r="S3394" s="122">
        <v>3897</v>
      </c>
      <c r="T3394" s="122">
        <v>0</v>
      </c>
      <c r="U3394" s="122">
        <v>0</v>
      </c>
      <c r="V3394" s="122">
        <v>52860</v>
      </c>
      <c r="W3394" s="122">
        <f t="shared" si="108"/>
        <v>52859</v>
      </c>
      <c r="X3394" s="122">
        <f t="shared" si="109"/>
        <v>66906</v>
      </c>
    </row>
    <row r="3395" spans="2:24">
      <c r="B3395" t="s">
        <v>387</v>
      </c>
      <c r="C3395" t="s">
        <v>60</v>
      </c>
      <c r="D3395" t="s">
        <v>429</v>
      </c>
      <c r="E3395" t="s">
        <v>429</v>
      </c>
      <c r="F3395" s="122">
        <v>1</v>
      </c>
      <c r="G3395" s="122">
        <v>254</v>
      </c>
      <c r="H3395" s="122">
        <v>323</v>
      </c>
      <c r="I3395" s="122">
        <v>54256</v>
      </c>
      <c r="J3395" s="122">
        <v>49324</v>
      </c>
      <c r="K3395" s="122">
        <v>65</v>
      </c>
      <c r="L3395" s="122">
        <v>13062</v>
      </c>
      <c r="M3395" s="122">
        <v>11874</v>
      </c>
      <c r="N3395" s="122">
        <v>4864</v>
      </c>
      <c r="O3395" s="122">
        <v>1801</v>
      </c>
      <c r="P3395" s="122">
        <v>351</v>
      </c>
      <c r="Q3395" s="122">
        <v>130</v>
      </c>
      <c r="R3395" s="122">
        <v>9602</v>
      </c>
      <c r="S3395" s="122">
        <v>8729</v>
      </c>
      <c r="T3395" s="122">
        <v>0</v>
      </c>
      <c r="U3395" s="122">
        <v>0</v>
      </c>
      <c r="V3395" s="122">
        <v>71859</v>
      </c>
      <c r="W3395" s="122">
        <f t="shared" si="108"/>
        <v>71858</v>
      </c>
      <c r="X3395" s="122">
        <f t="shared" si="109"/>
        <v>82135</v>
      </c>
    </row>
    <row r="3396" spans="2:24">
      <c r="B3396" t="s">
        <v>387</v>
      </c>
      <c r="C3396" t="s">
        <v>62</v>
      </c>
      <c r="D3396" t="s">
        <v>405</v>
      </c>
      <c r="E3396" t="s">
        <v>405</v>
      </c>
      <c r="F3396" s="122">
        <v>7</v>
      </c>
      <c r="G3396" s="122">
        <v>582</v>
      </c>
      <c r="H3396" s="122">
        <v>2939</v>
      </c>
      <c r="I3396" s="122">
        <v>170426</v>
      </c>
      <c r="J3396" s="122">
        <v>154933</v>
      </c>
      <c r="K3396" s="122">
        <v>73</v>
      </c>
      <c r="L3396" s="122">
        <v>35220</v>
      </c>
      <c r="M3396" s="122">
        <v>30896</v>
      </c>
      <c r="N3396" s="122">
        <v>14626</v>
      </c>
      <c r="O3396" s="122">
        <v>5417</v>
      </c>
      <c r="P3396" s="122">
        <v>3456</v>
      </c>
      <c r="Q3396" s="122">
        <v>1280</v>
      </c>
      <c r="R3396" s="122">
        <v>32192</v>
      </c>
      <c r="S3396" s="122">
        <v>29265</v>
      </c>
      <c r="T3396" s="122">
        <v>9954</v>
      </c>
      <c r="U3396" s="122">
        <v>3687</v>
      </c>
      <c r="V3396" s="122">
        <v>225478</v>
      </c>
      <c r="W3396" s="122">
        <f t="shared" si="108"/>
        <v>225478</v>
      </c>
      <c r="X3396" s="122">
        <f t="shared" si="109"/>
        <v>265874</v>
      </c>
    </row>
    <row r="3397" spans="2:24">
      <c r="B3397" t="s">
        <v>387</v>
      </c>
      <c r="C3397" t="s">
        <v>62</v>
      </c>
      <c r="D3397" t="s">
        <v>137</v>
      </c>
      <c r="E3397" t="s">
        <v>137</v>
      </c>
      <c r="F3397" s="122">
        <v>44</v>
      </c>
      <c r="G3397" s="122">
        <v>3755</v>
      </c>
      <c r="H3397" s="122">
        <v>18455</v>
      </c>
      <c r="I3397" s="122">
        <v>1030154</v>
      </c>
      <c r="J3397" s="122">
        <v>381539</v>
      </c>
      <c r="K3397" s="122">
        <v>100</v>
      </c>
      <c r="L3397" s="122">
        <v>173713</v>
      </c>
      <c r="M3397" s="122">
        <v>129002</v>
      </c>
      <c r="N3397" s="122">
        <v>81576</v>
      </c>
      <c r="O3397" s="122">
        <v>30214</v>
      </c>
      <c r="P3397" s="122">
        <v>0</v>
      </c>
      <c r="Q3397" s="122">
        <v>0</v>
      </c>
      <c r="R3397" s="122">
        <v>321661</v>
      </c>
      <c r="S3397" s="122">
        <v>119134</v>
      </c>
      <c r="T3397" s="122">
        <v>0</v>
      </c>
      <c r="U3397" s="122">
        <v>0</v>
      </c>
      <c r="V3397" s="122">
        <v>659888</v>
      </c>
      <c r="W3397" s="122">
        <f t="shared" si="108"/>
        <v>659889</v>
      </c>
      <c r="X3397" s="122">
        <f t="shared" si="109"/>
        <v>1607104</v>
      </c>
    </row>
    <row r="3398" spans="2:24">
      <c r="B3398" t="s">
        <v>387</v>
      </c>
      <c r="C3398" t="s">
        <v>62</v>
      </c>
      <c r="D3398" t="s">
        <v>406</v>
      </c>
      <c r="E3398" t="s">
        <v>555</v>
      </c>
      <c r="F3398" s="122">
        <v>1</v>
      </c>
      <c r="G3398" s="122">
        <v>197</v>
      </c>
      <c r="H3398" s="122">
        <v>435</v>
      </c>
      <c r="I3398" s="122">
        <v>58885</v>
      </c>
      <c r="J3398" s="122">
        <v>53532</v>
      </c>
      <c r="K3398" s="122">
        <v>70</v>
      </c>
      <c r="L3398" s="122">
        <v>7911</v>
      </c>
      <c r="M3398" s="122">
        <v>7192</v>
      </c>
      <c r="N3398" s="122">
        <v>4804</v>
      </c>
      <c r="O3398" s="122">
        <v>1779</v>
      </c>
      <c r="P3398" s="122">
        <v>621</v>
      </c>
      <c r="Q3398" s="122">
        <v>230</v>
      </c>
      <c r="R3398" s="122">
        <v>13568</v>
      </c>
      <c r="S3398" s="122">
        <v>12334</v>
      </c>
      <c r="T3398" s="122">
        <v>0</v>
      </c>
      <c r="U3398" s="122">
        <v>0</v>
      </c>
      <c r="V3398" s="122">
        <v>75067</v>
      </c>
      <c r="W3398" s="122">
        <f t="shared" si="108"/>
        <v>75067</v>
      </c>
      <c r="X3398" s="122">
        <f t="shared" si="109"/>
        <v>85789</v>
      </c>
    </row>
    <row r="3399" spans="2:24">
      <c r="B3399" t="s">
        <v>387</v>
      </c>
      <c r="C3399" t="s">
        <v>62</v>
      </c>
      <c r="D3399" t="s">
        <v>406</v>
      </c>
      <c r="E3399" t="s">
        <v>137</v>
      </c>
      <c r="F3399" s="122">
        <v>3</v>
      </c>
      <c r="G3399" s="122">
        <v>418</v>
      </c>
      <c r="H3399" s="122">
        <v>1241</v>
      </c>
      <c r="I3399" s="122">
        <v>114460</v>
      </c>
      <c r="J3399" s="122">
        <v>104054</v>
      </c>
      <c r="K3399" s="122">
        <v>78</v>
      </c>
      <c r="L3399" s="122">
        <v>25002</v>
      </c>
      <c r="M3399" s="122">
        <v>21375</v>
      </c>
      <c r="N3399" s="122">
        <v>7070</v>
      </c>
      <c r="O3399" s="122">
        <v>2618</v>
      </c>
      <c r="P3399" s="122">
        <v>1863</v>
      </c>
      <c r="Q3399" s="122">
        <v>690</v>
      </c>
      <c r="R3399" s="122">
        <v>22164</v>
      </c>
      <c r="S3399" s="122">
        <v>8209</v>
      </c>
      <c r="T3399" s="122">
        <v>0</v>
      </c>
      <c r="U3399" s="122">
        <v>0</v>
      </c>
      <c r="V3399" s="122">
        <v>136947</v>
      </c>
      <c r="W3399" s="122">
        <f t="shared" si="108"/>
        <v>136946</v>
      </c>
      <c r="X3399" s="122">
        <f t="shared" si="109"/>
        <v>170559</v>
      </c>
    </row>
    <row r="3400" spans="2:24">
      <c r="B3400" t="s">
        <v>387</v>
      </c>
      <c r="C3400" t="s">
        <v>62</v>
      </c>
      <c r="D3400" t="s">
        <v>406</v>
      </c>
      <c r="E3400" t="s">
        <v>406</v>
      </c>
      <c r="F3400" s="122">
        <v>320</v>
      </c>
      <c r="G3400" s="122">
        <v>43908</v>
      </c>
      <c r="H3400" s="122">
        <v>132861</v>
      </c>
      <c r="I3400" s="122">
        <v>12441974</v>
      </c>
      <c r="J3400" s="122">
        <v>11310885</v>
      </c>
      <c r="K3400" s="122">
        <v>77</v>
      </c>
      <c r="L3400" s="122">
        <v>2645148</v>
      </c>
      <c r="M3400" s="122">
        <v>2319523</v>
      </c>
      <c r="N3400" s="122">
        <v>972680</v>
      </c>
      <c r="O3400" s="122">
        <v>360252</v>
      </c>
      <c r="P3400" s="122">
        <v>202959</v>
      </c>
      <c r="Q3400" s="122">
        <v>75170</v>
      </c>
      <c r="R3400" s="122">
        <v>1706691</v>
      </c>
      <c r="S3400" s="122">
        <v>1551537</v>
      </c>
      <c r="T3400" s="122">
        <v>647223</v>
      </c>
      <c r="U3400" s="122">
        <v>239712</v>
      </c>
      <c r="V3400" s="122">
        <v>15857080</v>
      </c>
      <c r="W3400" s="122">
        <f t="shared" si="108"/>
        <v>15857079</v>
      </c>
      <c r="X3400" s="122">
        <f t="shared" si="109"/>
        <v>18616675</v>
      </c>
    </row>
    <row r="3401" spans="2:24">
      <c r="B3401" t="s">
        <v>387</v>
      </c>
      <c r="C3401" t="s">
        <v>62</v>
      </c>
      <c r="D3401" t="s">
        <v>427</v>
      </c>
      <c r="E3401" t="s">
        <v>427</v>
      </c>
      <c r="F3401" s="122">
        <v>2</v>
      </c>
      <c r="G3401" s="122">
        <v>157</v>
      </c>
      <c r="H3401" s="122">
        <v>826</v>
      </c>
      <c r="I3401" s="122">
        <v>33614</v>
      </c>
      <c r="J3401" s="122">
        <v>30558</v>
      </c>
      <c r="K3401" s="122">
        <v>55</v>
      </c>
      <c r="L3401" s="122">
        <v>8319</v>
      </c>
      <c r="M3401" s="122">
        <v>5563</v>
      </c>
      <c r="N3401" s="122">
        <v>3675</v>
      </c>
      <c r="O3401" s="122">
        <v>1361</v>
      </c>
      <c r="P3401" s="122">
        <v>351</v>
      </c>
      <c r="Q3401" s="122">
        <v>130</v>
      </c>
      <c r="R3401" s="122">
        <v>12452</v>
      </c>
      <c r="S3401" s="122">
        <v>11320</v>
      </c>
      <c r="T3401" s="122">
        <v>6649</v>
      </c>
      <c r="U3401" s="122">
        <v>2463</v>
      </c>
      <c r="V3401" s="122">
        <v>51394</v>
      </c>
      <c r="W3401" s="122">
        <f t="shared" si="108"/>
        <v>51395</v>
      </c>
      <c r="X3401" s="122">
        <f t="shared" si="109"/>
        <v>65060</v>
      </c>
    </row>
    <row r="3402" spans="2:24">
      <c r="B3402" t="s">
        <v>387</v>
      </c>
      <c r="C3402" t="s">
        <v>62</v>
      </c>
      <c r="D3402" t="s">
        <v>407</v>
      </c>
      <c r="E3402" t="s">
        <v>407</v>
      </c>
      <c r="F3402" s="122">
        <v>58</v>
      </c>
      <c r="G3402" s="122">
        <v>7435</v>
      </c>
      <c r="H3402" s="122">
        <v>24196</v>
      </c>
      <c r="I3402" s="122">
        <v>2004341</v>
      </c>
      <c r="J3402" s="122">
        <v>1822129</v>
      </c>
      <c r="K3402" s="122">
        <v>77</v>
      </c>
      <c r="L3402" s="122">
        <v>530835</v>
      </c>
      <c r="M3402" s="122">
        <v>450937</v>
      </c>
      <c r="N3402" s="122">
        <v>161199</v>
      </c>
      <c r="O3402" s="122">
        <v>59703</v>
      </c>
      <c r="P3402" s="122">
        <v>27864</v>
      </c>
      <c r="Q3402" s="122">
        <v>10320</v>
      </c>
      <c r="R3402" s="122">
        <v>296902</v>
      </c>
      <c r="S3402" s="122">
        <v>269911</v>
      </c>
      <c r="T3402" s="122">
        <v>113776</v>
      </c>
      <c r="U3402" s="122">
        <v>42139</v>
      </c>
      <c r="V3402" s="122">
        <v>2655139</v>
      </c>
      <c r="W3402" s="122">
        <f t="shared" si="108"/>
        <v>2655139</v>
      </c>
      <c r="X3402" s="122">
        <f t="shared" si="109"/>
        <v>3134917</v>
      </c>
    </row>
    <row r="3403" spans="2:24">
      <c r="B3403" t="s">
        <v>387</v>
      </c>
      <c r="C3403" t="s">
        <v>62</v>
      </c>
      <c r="D3403" t="s">
        <v>556</v>
      </c>
      <c r="E3403" t="s">
        <v>556</v>
      </c>
      <c r="F3403" s="122">
        <v>4</v>
      </c>
      <c r="G3403" s="122">
        <v>315</v>
      </c>
      <c r="H3403" s="122">
        <v>1632</v>
      </c>
      <c r="I3403" s="122">
        <v>87426</v>
      </c>
      <c r="J3403" s="122">
        <v>72855</v>
      </c>
      <c r="K3403" s="122">
        <v>63</v>
      </c>
      <c r="L3403" s="122">
        <v>5461</v>
      </c>
      <c r="M3403" s="122">
        <v>3236</v>
      </c>
      <c r="N3403" s="122">
        <v>5557</v>
      </c>
      <c r="O3403" s="122">
        <v>2058</v>
      </c>
      <c r="P3403" s="122">
        <v>1404</v>
      </c>
      <c r="Q3403" s="122">
        <v>520</v>
      </c>
      <c r="R3403" s="122">
        <v>21686</v>
      </c>
      <c r="S3403" s="122">
        <v>18072</v>
      </c>
      <c r="T3403" s="122">
        <v>6268</v>
      </c>
      <c r="U3403" s="122">
        <v>2321</v>
      </c>
      <c r="V3403" s="122">
        <v>99062</v>
      </c>
      <c r="W3403" s="122">
        <f t="shared" si="108"/>
        <v>99062</v>
      </c>
      <c r="X3403" s="122">
        <f t="shared" si="109"/>
        <v>127802</v>
      </c>
    </row>
    <row r="3404" spans="2:24">
      <c r="B3404" t="s">
        <v>387</v>
      </c>
      <c r="C3404" t="s">
        <v>62</v>
      </c>
      <c r="D3404" t="s">
        <v>428</v>
      </c>
      <c r="E3404" t="s">
        <v>428</v>
      </c>
      <c r="F3404" s="122">
        <v>1</v>
      </c>
      <c r="G3404" s="122">
        <v>91</v>
      </c>
      <c r="H3404" s="122">
        <v>436</v>
      </c>
      <c r="I3404" s="122">
        <v>31740</v>
      </c>
      <c r="J3404" s="122">
        <v>28855</v>
      </c>
      <c r="K3404" s="122">
        <v>60</v>
      </c>
      <c r="L3404" s="122">
        <v>0</v>
      </c>
      <c r="M3404" s="122">
        <v>3206</v>
      </c>
      <c r="N3404" s="122">
        <v>1432</v>
      </c>
      <c r="O3404" s="122">
        <v>531</v>
      </c>
      <c r="P3404" s="122">
        <v>351</v>
      </c>
      <c r="Q3404" s="122">
        <v>130</v>
      </c>
      <c r="R3404" s="122">
        <v>3939</v>
      </c>
      <c r="S3404" s="122">
        <v>3581</v>
      </c>
      <c r="T3404" s="122">
        <v>2314</v>
      </c>
      <c r="U3404" s="122">
        <v>857</v>
      </c>
      <c r="V3404" s="122">
        <v>37159</v>
      </c>
      <c r="W3404" s="122">
        <f t="shared" si="108"/>
        <v>37160</v>
      </c>
      <c r="X3404" s="122">
        <f t="shared" si="109"/>
        <v>39776</v>
      </c>
    </row>
    <row r="3405" spans="2:24">
      <c r="B3405" t="s">
        <v>387</v>
      </c>
      <c r="C3405" t="s">
        <v>62</v>
      </c>
      <c r="D3405" t="s">
        <v>426</v>
      </c>
      <c r="E3405" t="s">
        <v>137</v>
      </c>
      <c r="F3405" s="122">
        <v>3</v>
      </c>
      <c r="G3405" s="122">
        <v>232</v>
      </c>
      <c r="H3405" s="122">
        <v>1225</v>
      </c>
      <c r="I3405" s="122">
        <v>62842</v>
      </c>
      <c r="J3405" s="122">
        <v>57129</v>
      </c>
      <c r="K3405" s="122">
        <v>58</v>
      </c>
      <c r="L3405" s="122">
        <v>6200</v>
      </c>
      <c r="M3405" s="122">
        <v>2296</v>
      </c>
      <c r="N3405" s="122">
        <v>4508</v>
      </c>
      <c r="O3405" s="122">
        <v>1670</v>
      </c>
      <c r="P3405" s="122">
        <v>702</v>
      </c>
      <c r="Q3405" s="122">
        <v>260</v>
      </c>
      <c r="R3405" s="122">
        <v>20182</v>
      </c>
      <c r="S3405" s="122">
        <v>7475</v>
      </c>
      <c r="T3405" s="122">
        <v>0</v>
      </c>
      <c r="U3405" s="122">
        <v>0</v>
      </c>
      <c r="V3405" s="122">
        <v>68829</v>
      </c>
      <c r="W3405" s="122">
        <f t="shared" si="108"/>
        <v>68830</v>
      </c>
      <c r="X3405" s="122">
        <f t="shared" si="109"/>
        <v>94434</v>
      </c>
    </row>
    <row r="3406" spans="2:24">
      <c r="B3406" t="s">
        <v>387</v>
      </c>
      <c r="C3406" t="s">
        <v>62</v>
      </c>
      <c r="D3406" t="s">
        <v>426</v>
      </c>
      <c r="E3406" t="s">
        <v>426</v>
      </c>
      <c r="F3406" s="122">
        <v>33</v>
      </c>
      <c r="G3406" s="122">
        <v>2825</v>
      </c>
      <c r="H3406" s="122">
        <v>13590</v>
      </c>
      <c r="I3406" s="122">
        <v>800050</v>
      </c>
      <c r="J3406" s="122">
        <v>727319</v>
      </c>
      <c r="K3406" s="122">
        <v>57</v>
      </c>
      <c r="L3406" s="122">
        <v>103614</v>
      </c>
      <c r="M3406" s="122">
        <v>86653</v>
      </c>
      <c r="N3406" s="122">
        <v>58661</v>
      </c>
      <c r="O3406" s="122">
        <v>21726</v>
      </c>
      <c r="P3406" s="122">
        <v>11583</v>
      </c>
      <c r="Q3406" s="122">
        <v>4290</v>
      </c>
      <c r="R3406" s="122">
        <v>166483</v>
      </c>
      <c r="S3406" s="122">
        <v>151348</v>
      </c>
      <c r="T3406" s="122">
        <v>78214</v>
      </c>
      <c r="U3406" s="122">
        <v>28968</v>
      </c>
      <c r="V3406" s="122">
        <v>1020304</v>
      </c>
      <c r="W3406" s="122">
        <f t="shared" si="108"/>
        <v>1020304</v>
      </c>
      <c r="X3406" s="122">
        <f t="shared" si="109"/>
        <v>1218605</v>
      </c>
    </row>
    <row r="3407" spans="2:24">
      <c r="B3407" t="s">
        <v>387</v>
      </c>
      <c r="C3407" t="s">
        <v>62</v>
      </c>
      <c r="D3407" t="s">
        <v>433</v>
      </c>
      <c r="E3407" t="s">
        <v>433</v>
      </c>
      <c r="F3407" s="122">
        <v>1</v>
      </c>
      <c r="G3407" s="122">
        <v>132</v>
      </c>
      <c r="H3407" s="122">
        <v>414</v>
      </c>
      <c r="I3407" s="122">
        <v>37945</v>
      </c>
      <c r="J3407" s="122">
        <v>34495</v>
      </c>
      <c r="K3407" s="122">
        <v>65</v>
      </c>
      <c r="L3407" s="122">
        <v>6727</v>
      </c>
      <c r="M3407" s="122">
        <v>2491</v>
      </c>
      <c r="N3407" s="122">
        <v>3208</v>
      </c>
      <c r="O3407" s="122">
        <v>1188</v>
      </c>
      <c r="P3407" s="122">
        <v>0</v>
      </c>
      <c r="Q3407" s="122">
        <v>0</v>
      </c>
      <c r="R3407" s="122">
        <v>6561</v>
      </c>
      <c r="S3407" s="122">
        <v>5965</v>
      </c>
      <c r="T3407" s="122">
        <v>0</v>
      </c>
      <c r="U3407" s="122">
        <v>0</v>
      </c>
      <c r="V3407" s="122">
        <v>44139</v>
      </c>
      <c r="W3407" s="122">
        <f t="shared" si="108"/>
        <v>44139</v>
      </c>
      <c r="X3407" s="122">
        <f t="shared" si="109"/>
        <v>54441</v>
      </c>
    </row>
    <row r="3408" spans="2:24">
      <c r="B3408" t="s">
        <v>387</v>
      </c>
      <c r="C3408" t="s">
        <v>64</v>
      </c>
      <c r="F3408" s="122">
        <v>3</v>
      </c>
      <c r="G3408" s="122">
        <v>590</v>
      </c>
      <c r="H3408" s="122">
        <v>2184</v>
      </c>
      <c r="I3408" s="122"/>
      <c r="J3408" s="122">
        <v>0</v>
      </c>
      <c r="K3408" s="122"/>
      <c r="L3408" s="122"/>
      <c r="M3408" s="122">
        <v>0</v>
      </c>
      <c r="N3408" s="122">
        <v>12489</v>
      </c>
      <c r="O3408" s="122">
        <v>4626</v>
      </c>
      <c r="P3408" s="122">
        <v>1593</v>
      </c>
      <c r="Q3408" s="122">
        <v>590</v>
      </c>
      <c r="R3408" s="122"/>
      <c r="S3408" s="122">
        <v>0</v>
      </c>
      <c r="T3408" s="122">
        <v>5749</v>
      </c>
      <c r="U3408" s="122">
        <v>2129</v>
      </c>
      <c r="V3408" s="122">
        <v>7345</v>
      </c>
      <c r="W3408" s="122">
        <f t="shared" si="108"/>
        <v>7345</v>
      </c>
      <c r="X3408" s="122">
        <f t="shared" si="109"/>
        <v>19831</v>
      </c>
    </row>
    <row r="3409" spans="2:24">
      <c r="B3409" t="s">
        <v>387</v>
      </c>
      <c r="C3409" t="s">
        <v>64</v>
      </c>
      <c r="D3409" t="s">
        <v>555</v>
      </c>
      <c r="E3409" t="s">
        <v>555</v>
      </c>
      <c r="F3409" s="122">
        <v>2</v>
      </c>
      <c r="G3409" s="122">
        <v>194</v>
      </c>
      <c r="H3409" s="122">
        <v>1412</v>
      </c>
      <c r="I3409" s="122">
        <v>112724</v>
      </c>
      <c r="J3409" s="122">
        <v>102477</v>
      </c>
      <c r="K3409" s="122">
        <v>63</v>
      </c>
      <c r="L3409" s="122">
        <v>6296</v>
      </c>
      <c r="M3409" s="122">
        <v>17992</v>
      </c>
      <c r="N3409" s="122">
        <v>3988</v>
      </c>
      <c r="O3409" s="122">
        <v>1477</v>
      </c>
      <c r="P3409" s="122">
        <v>702</v>
      </c>
      <c r="Q3409" s="122">
        <v>260</v>
      </c>
      <c r="R3409" s="122">
        <v>11159</v>
      </c>
      <c r="S3409" s="122">
        <v>10145</v>
      </c>
      <c r="T3409" s="122">
        <v>2430</v>
      </c>
      <c r="U3409" s="122">
        <v>900</v>
      </c>
      <c r="V3409" s="122">
        <v>133250</v>
      </c>
      <c r="W3409" s="122">
        <f t="shared" si="108"/>
        <v>133251</v>
      </c>
      <c r="X3409" s="122">
        <f t="shared" si="109"/>
        <v>137299</v>
      </c>
    </row>
    <row r="3410" spans="2:24">
      <c r="B3410" t="s">
        <v>387</v>
      </c>
      <c r="C3410" t="s">
        <v>64</v>
      </c>
      <c r="D3410" t="s">
        <v>425</v>
      </c>
      <c r="E3410" t="s">
        <v>425</v>
      </c>
      <c r="F3410" s="122">
        <v>2</v>
      </c>
      <c r="G3410" s="122">
        <v>240</v>
      </c>
      <c r="H3410" s="122">
        <v>1156</v>
      </c>
      <c r="I3410" s="122">
        <v>83772</v>
      </c>
      <c r="J3410" s="122">
        <v>76156</v>
      </c>
      <c r="K3410" s="122">
        <v>65</v>
      </c>
      <c r="L3410" s="122">
        <v>20270</v>
      </c>
      <c r="M3410" s="122">
        <v>17431</v>
      </c>
      <c r="N3410" s="122">
        <v>5844</v>
      </c>
      <c r="O3410" s="122">
        <v>2164</v>
      </c>
      <c r="P3410" s="122">
        <v>945</v>
      </c>
      <c r="Q3410" s="122">
        <v>350</v>
      </c>
      <c r="R3410" s="122">
        <v>14828</v>
      </c>
      <c r="S3410" s="122">
        <v>13480</v>
      </c>
      <c r="T3410" s="122">
        <v>2473</v>
      </c>
      <c r="U3410" s="122">
        <v>916</v>
      </c>
      <c r="V3410" s="122">
        <v>110498</v>
      </c>
      <c r="W3410" s="122">
        <f t="shared" si="108"/>
        <v>110497</v>
      </c>
      <c r="X3410" s="122">
        <f t="shared" si="109"/>
        <v>128132</v>
      </c>
    </row>
    <row r="3411" spans="2:24">
      <c r="B3411" t="s">
        <v>387</v>
      </c>
      <c r="C3411" t="s">
        <v>64</v>
      </c>
      <c r="D3411" t="s">
        <v>425</v>
      </c>
      <c r="E3411" t="s">
        <v>406</v>
      </c>
      <c r="F3411" s="122">
        <v>1</v>
      </c>
      <c r="G3411" s="122">
        <v>82</v>
      </c>
      <c r="H3411" s="122">
        <v>661</v>
      </c>
      <c r="I3411" s="122">
        <v>31885</v>
      </c>
      <c r="J3411" s="122">
        <v>28986</v>
      </c>
      <c r="K3411" s="122">
        <v>86</v>
      </c>
      <c r="L3411" s="122">
        <v>9589</v>
      </c>
      <c r="M3411" s="122">
        <v>8717</v>
      </c>
      <c r="N3411" s="122">
        <v>1996</v>
      </c>
      <c r="O3411" s="122">
        <v>739</v>
      </c>
      <c r="P3411" s="122">
        <v>621</v>
      </c>
      <c r="Q3411" s="122">
        <v>230</v>
      </c>
      <c r="R3411" s="122">
        <v>5607</v>
      </c>
      <c r="S3411" s="122">
        <v>5097</v>
      </c>
      <c r="T3411" s="122">
        <v>4419</v>
      </c>
      <c r="U3411" s="122">
        <v>1637</v>
      </c>
      <c r="V3411" s="122">
        <v>45406</v>
      </c>
      <c r="W3411" s="122">
        <f t="shared" si="108"/>
        <v>45406</v>
      </c>
      <c r="X3411" s="122">
        <f t="shared" si="109"/>
        <v>54117</v>
      </c>
    </row>
    <row r="3412" spans="2:24">
      <c r="B3412" t="s">
        <v>387</v>
      </c>
      <c r="C3412" t="s">
        <v>64</v>
      </c>
      <c r="D3412" t="s">
        <v>405</v>
      </c>
      <c r="E3412" t="s">
        <v>405</v>
      </c>
      <c r="F3412" s="122">
        <v>8</v>
      </c>
      <c r="G3412" s="122">
        <v>912</v>
      </c>
      <c r="H3412" s="122">
        <v>4472</v>
      </c>
      <c r="I3412" s="122">
        <v>347070</v>
      </c>
      <c r="J3412" s="122">
        <v>315518</v>
      </c>
      <c r="K3412" s="122">
        <v>69</v>
      </c>
      <c r="L3412" s="122">
        <v>78436</v>
      </c>
      <c r="M3412" s="122">
        <v>62301</v>
      </c>
      <c r="N3412" s="122">
        <v>21305</v>
      </c>
      <c r="O3412" s="122">
        <v>7891</v>
      </c>
      <c r="P3412" s="122">
        <v>4280</v>
      </c>
      <c r="Q3412" s="122">
        <v>1585</v>
      </c>
      <c r="R3412" s="122">
        <v>52108</v>
      </c>
      <c r="S3412" s="122">
        <v>47371</v>
      </c>
      <c r="T3412" s="122">
        <v>10240</v>
      </c>
      <c r="U3412" s="122">
        <v>3792</v>
      </c>
      <c r="V3412" s="122">
        <v>438458</v>
      </c>
      <c r="W3412" s="122">
        <f t="shared" si="108"/>
        <v>438458</v>
      </c>
      <c r="X3412" s="122">
        <f t="shared" si="109"/>
        <v>513439</v>
      </c>
    </row>
    <row r="3413" spans="2:24">
      <c r="B3413" t="s">
        <v>387</v>
      </c>
      <c r="C3413" t="s">
        <v>64</v>
      </c>
      <c r="D3413" t="s">
        <v>137</v>
      </c>
      <c r="E3413" t="s">
        <v>405</v>
      </c>
      <c r="F3413" s="122">
        <v>1</v>
      </c>
      <c r="G3413" s="122">
        <v>350</v>
      </c>
      <c r="H3413" s="122">
        <v>490</v>
      </c>
      <c r="I3413" s="122">
        <v>132514</v>
      </c>
      <c r="J3413" s="122">
        <v>49079</v>
      </c>
      <c r="K3413" s="122">
        <v>100</v>
      </c>
      <c r="L3413" s="122">
        <v>19995</v>
      </c>
      <c r="M3413" s="122">
        <v>18177</v>
      </c>
      <c r="N3413" s="122">
        <v>7963</v>
      </c>
      <c r="O3413" s="122">
        <v>2949</v>
      </c>
      <c r="P3413" s="122">
        <v>122</v>
      </c>
      <c r="Q3413" s="122">
        <v>45</v>
      </c>
      <c r="R3413" s="122">
        <v>10480</v>
      </c>
      <c r="S3413" s="122">
        <v>9528</v>
      </c>
      <c r="T3413" s="122">
        <v>0</v>
      </c>
      <c r="U3413" s="122">
        <v>0</v>
      </c>
      <c r="V3413" s="122">
        <v>79779</v>
      </c>
      <c r="W3413" s="122">
        <f t="shared" si="108"/>
        <v>79778</v>
      </c>
      <c r="X3413" s="122">
        <f t="shared" si="109"/>
        <v>171074</v>
      </c>
    </row>
    <row r="3414" spans="2:24">
      <c r="B3414" t="s">
        <v>387</v>
      </c>
      <c r="C3414" t="s">
        <v>64</v>
      </c>
      <c r="D3414" t="s">
        <v>137</v>
      </c>
      <c r="E3414" t="s">
        <v>137</v>
      </c>
      <c r="F3414" s="122">
        <v>149</v>
      </c>
      <c r="G3414" s="122">
        <v>13263</v>
      </c>
      <c r="H3414" s="122">
        <v>109146</v>
      </c>
      <c r="I3414" s="122">
        <v>6977361</v>
      </c>
      <c r="J3414" s="122">
        <v>2584208</v>
      </c>
      <c r="K3414" s="122">
        <v>100</v>
      </c>
      <c r="L3414" s="122">
        <v>1092529</v>
      </c>
      <c r="M3414" s="122">
        <v>928656</v>
      </c>
      <c r="N3414" s="122">
        <v>293208</v>
      </c>
      <c r="O3414" s="122">
        <v>108596</v>
      </c>
      <c r="P3414" s="122">
        <v>1755</v>
      </c>
      <c r="Q3414" s="122">
        <v>650</v>
      </c>
      <c r="R3414" s="122">
        <v>1035303</v>
      </c>
      <c r="S3414" s="122">
        <v>383446</v>
      </c>
      <c r="T3414" s="122">
        <v>4426</v>
      </c>
      <c r="U3414" s="122">
        <v>1639</v>
      </c>
      <c r="V3414" s="122">
        <v>4007194</v>
      </c>
      <c r="W3414" s="122">
        <f t="shared" si="108"/>
        <v>4007195</v>
      </c>
      <c r="X3414" s="122">
        <f t="shared" si="109"/>
        <v>9404582</v>
      </c>
    </row>
    <row r="3415" spans="2:24">
      <c r="B3415" t="s">
        <v>387</v>
      </c>
      <c r="C3415" t="s">
        <v>64</v>
      </c>
      <c r="D3415" t="s">
        <v>137</v>
      </c>
      <c r="E3415" t="s">
        <v>406</v>
      </c>
      <c r="F3415" s="122">
        <v>1</v>
      </c>
      <c r="G3415" s="122">
        <v>188</v>
      </c>
      <c r="H3415" s="122">
        <v>591</v>
      </c>
      <c r="I3415" s="122">
        <v>83058</v>
      </c>
      <c r="J3415" s="122">
        <v>30762</v>
      </c>
      <c r="K3415" s="122">
        <v>100</v>
      </c>
      <c r="L3415" s="122">
        <v>13672</v>
      </c>
      <c r="M3415" s="122">
        <v>11393</v>
      </c>
      <c r="N3415" s="122">
        <v>4588</v>
      </c>
      <c r="O3415" s="122">
        <v>1699</v>
      </c>
      <c r="P3415" s="122">
        <v>621</v>
      </c>
      <c r="Q3415" s="122">
        <v>230</v>
      </c>
      <c r="R3415" s="122">
        <v>9259</v>
      </c>
      <c r="S3415" s="122">
        <v>8418</v>
      </c>
      <c r="T3415" s="122">
        <v>0</v>
      </c>
      <c r="U3415" s="122">
        <v>0</v>
      </c>
      <c r="V3415" s="122">
        <v>52503</v>
      </c>
      <c r="W3415" s="122">
        <f t="shared" si="108"/>
        <v>52502</v>
      </c>
      <c r="X3415" s="122">
        <f t="shared" si="109"/>
        <v>111198</v>
      </c>
    </row>
    <row r="3416" spans="2:24">
      <c r="B3416" t="s">
        <v>387</v>
      </c>
      <c r="C3416" t="s">
        <v>64</v>
      </c>
      <c r="D3416" t="s">
        <v>137</v>
      </c>
      <c r="E3416" t="s">
        <v>426</v>
      </c>
      <c r="F3416" s="122">
        <v>6</v>
      </c>
      <c r="G3416" s="122">
        <v>392</v>
      </c>
      <c r="H3416" s="122">
        <v>4886</v>
      </c>
      <c r="I3416" s="122">
        <v>242779</v>
      </c>
      <c r="J3416" s="122">
        <v>89918</v>
      </c>
      <c r="K3416" s="122">
        <v>100</v>
      </c>
      <c r="L3416" s="122">
        <v>36544</v>
      </c>
      <c r="M3416" s="122">
        <v>32130</v>
      </c>
      <c r="N3416" s="122">
        <v>7289</v>
      </c>
      <c r="O3416" s="122">
        <v>2699</v>
      </c>
      <c r="P3416" s="122">
        <v>351</v>
      </c>
      <c r="Q3416" s="122">
        <v>130</v>
      </c>
      <c r="R3416" s="122">
        <v>27557</v>
      </c>
      <c r="S3416" s="122">
        <v>25052</v>
      </c>
      <c r="T3416" s="122">
        <v>10954</v>
      </c>
      <c r="U3416" s="122">
        <v>4057</v>
      </c>
      <c r="V3416" s="122">
        <v>153987</v>
      </c>
      <c r="W3416" s="122">
        <f t="shared" si="108"/>
        <v>153986</v>
      </c>
      <c r="X3416" s="122">
        <f t="shared" si="109"/>
        <v>325474</v>
      </c>
    </row>
    <row r="3417" spans="2:24">
      <c r="B3417" t="s">
        <v>387</v>
      </c>
      <c r="C3417" t="s">
        <v>64</v>
      </c>
      <c r="D3417" t="s">
        <v>137</v>
      </c>
      <c r="E3417" t="s">
        <v>481</v>
      </c>
      <c r="F3417" s="122">
        <v>1</v>
      </c>
      <c r="G3417" s="122">
        <v>67</v>
      </c>
      <c r="H3417" s="122">
        <v>934</v>
      </c>
      <c r="I3417" s="122">
        <v>47598</v>
      </c>
      <c r="J3417" s="122">
        <v>17629</v>
      </c>
      <c r="K3417" s="122">
        <v>100</v>
      </c>
      <c r="L3417" s="122">
        <v>11407</v>
      </c>
      <c r="M3417" s="122">
        <v>10370</v>
      </c>
      <c r="N3417" s="122">
        <v>1423</v>
      </c>
      <c r="O3417" s="122">
        <v>527</v>
      </c>
      <c r="P3417" s="122">
        <v>0</v>
      </c>
      <c r="Q3417" s="122">
        <v>0</v>
      </c>
      <c r="R3417" s="122">
        <v>1900</v>
      </c>
      <c r="S3417" s="122">
        <v>1727</v>
      </c>
      <c r="T3417" s="122">
        <v>0</v>
      </c>
      <c r="U3417" s="122">
        <v>0</v>
      </c>
      <c r="V3417" s="122">
        <v>30253</v>
      </c>
      <c r="W3417" s="122">
        <f t="shared" si="108"/>
        <v>30253</v>
      </c>
      <c r="X3417" s="122">
        <f t="shared" si="109"/>
        <v>62328</v>
      </c>
    </row>
    <row r="3418" spans="2:24">
      <c r="B3418" t="s">
        <v>387</v>
      </c>
      <c r="C3418" t="s">
        <v>64</v>
      </c>
      <c r="D3418" t="s">
        <v>406</v>
      </c>
      <c r="E3418" t="s">
        <v>137</v>
      </c>
      <c r="F3418" s="122">
        <v>18</v>
      </c>
      <c r="G3418" s="122">
        <v>2062</v>
      </c>
      <c r="H3418" s="122">
        <v>10824</v>
      </c>
      <c r="I3418" s="122">
        <v>832998</v>
      </c>
      <c r="J3418" s="122">
        <v>757271</v>
      </c>
      <c r="K3418" s="122">
        <v>67</v>
      </c>
      <c r="L3418" s="122">
        <v>150358</v>
      </c>
      <c r="M3418" s="122">
        <v>132095</v>
      </c>
      <c r="N3418" s="122">
        <v>49203</v>
      </c>
      <c r="O3418" s="122">
        <v>18223</v>
      </c>
      <c r="P3418" s="122">
        <v>11178</v>
      </c>
      <c r="Q3418" s="122">
        <v>4140</v>
      </c>
      <c r="R3418" s="122">
        <v>137684</v>
      </c>
      <c r="S3418" s="122">
        <v>50994</v>
      </c>
      <c r="T3418" s="122">
        <v>0</v>
      </c>
      <c r="U3418" s="122">
        <v>0</v>
      </c>
      <c r="V3418" s="122">
        <v>962723</v>
      </c>
      <c r="W3418" s="122">
        <f t="shared" si="108"/>
        <v>962723</v>
      </c>
      <c r="X3418" s="122">
        <f t="shared" si="109"/>
        <v>1181421</v>
      </c>
    </row>
    <row r="3419" spans="2:24">
      <c r="B3419" t="s">
        <v>387</v>
      </c>
      <c r="C3419" t="s">
        <v>64</v>
      </c>
      <c r="D3419" t="s">
        <v>406</v>
      </c>
      <c r="E3419" t="s">
        <v>406</v>
      </c>
      <c r="F3419" s="122">
        <v>341</v>
      </c>
      <c r="G3419" s="122">
        <v>38007</v>
      </c>
      <c r="H3419" s="122">
        <v>187392</v>
      </c>
      <c r="I3419" s="122">
        <v>14441203</v>
      </c>
      <c r="J3419" s="122">
        <v>13128367</v>
      </c>
      <c r="K3419" s="122">
        <v>71</v>
      </c>
      <c r="L3419" s="122">
        <v>2943001</v>
      </c>
      <c r="M3419" s="122">
        <v>2591353</v>
      </c>
      <c r="N3419" s="122">
        <v>845163</v>
      </c>
      <c r="O3419" s="122">
        <v>313023</v>
      </c>
      <c r="P3419" s="122">
        <v>216578</v>
      </c>
      <c r="Q3419" s="122">
        <v>80214</v>
      </c>
      <c r="R3419" s="122">
        <v>1863130</v>
      </c>
      <c r="S3419" s="122">
        <v>1693754</v>
      </c>
      <c r="T3419" s="122">
        <v>672984</v>
      </c>
      <c r="U3419" s="122">
        <v>249253</v>
      </c>
      <c r="V3419" s="122">
        <v>18055964</v>
      </c>
      <c r="W3419" s="122">
        <f t="shared" si="108"/>
        <v>18055964</v>
      </c>
      <c r="X3419" s="122">
        <f t="shared" si="109"/>
        <v>20982059</v>
      </c>
    </row>
    <row r="3420" spans="2:24">
      <c r="B3420" t="s">
        <v>387</v>
      </c>
      <c r="C3420" t="s">
        <v>64</v>
      </c>
      <c r="D3420" t="s">
        <v>427</v>
      </c>
      <c r="E3420" t="s">
        <v>137</v>
      </c>
      <c r="F3420" s="122">
        <v>1</v>
      </c>
      <c r="G3420" s="122">
        <v>353</v>
      </c>
      <c r="H3420" s="122">
        <v>1067</v>
      </c>
      <c r="I3420" s="122">
        <v>376713</v>
      </c>
      <c r="J3420" s="122">
        <v>342466</v>
      </c>
      <c r="K3420" s="122">
        <v>30</v>
      </c>
      <c r="L3420" s="122">
        <v>30822</v>
      </c>
      <c r="M3420" s="122">
        <v>11416</v>
      </c>
      <c r="N3420" s="122">
        <v>10000</v>
      </c>
      <c r="O3420" s="122">
        <v>3704</v>
      </c>
      <c r="P3420" s="122">
        <v>0</v>
      </c>
      <c r="Q3420" s="122">
        <v>0</v>
      </c>
      <c r="R3420" s="122">
        <v>20177</v>
      </c>
      <c r="S3420" s="122">
        <v>7473</v>
      </c>
      <c r="T3420" s="122">
        <v>0</v>
      </c>
      <c r="U3420" s="122">
        <v>0</v>
      </c>
      <c r="V3420" s="122">
        <v>365058</v>
      </c>
      <c r="W3420" s="122">
        <f t="shared" si="108"/>
        <v>365059</v>
      </c>
      <c r="X3420" s="122">
        <f t="shared" si="109"/>
        <v>437712</v>
      </c>
    </row>
    <row r="3421" spans="2:24">
      <c r="B3421" t="s">
        <v>387</v>
      </c>
      <c r="C3421" t="s">
        <v>64</v>
      </c>
      <c r="D3421" t="s">
        <v>427</v>
      </c>
      <c r="E3421" t="s">
        <v>427</v>
      </c>
      <c r="F3421" s="122">
        <v>12</v>
      </c>
      <c r="G3421" s="122">
        <v>1085</v>
      </c>
      <c r="H3421" s="122">
        <v>8302</v>
      </c>
      <c r="I3421" s="122">
        <v>525740</v>
      </c>
      <c r="J3421" s="122">
        <v>477945</v>
      </c>
      <c r="K3421" s="122">
        <v>53</v>
      </c>
      <c r="L3421" s="122">
        <v>73470</v>
      </c>
      <c r="M3421" s="122">
        <v>60902</v>
      </c>
      <c r="N3421" s="122">
        <v>23843</v>
      </c>
      <c r="O3421" s="122">
        <v>8831</v>
      </c>
      <c r="P3421" s="122">
        <v>3861</v>
      </c>
      <c r="Q3421" s="122">
        <v>1430</v>
      </c>
      <c r="R3421" s="122">
        <v>74912</v>
      </c>
      <c r="S3421" s="122">
        <v>68102</v>
      </c>
      <c r="T3421" s="122">
        <v>30478</v>
      </c>
      <c r="U3421" s="122">
        <v>11288</v>
      </c>
      <c r="V3421" s="122">
        <v>628498</v>
      </c>
      <c r="W3421" s="122">
        <f t="shared" si="108"/>
        <v>628498</v>
      </c>
      <c r="X3421" s="122">
        <f t="shared" si="109"/>
        <v>732304</v>
      </c>
    </row>
    <row r="3422" spans="2:24">
      <c r="B3422" t="s">
        <v>387</v>
      </c>
      <c r="C3422" t="s">
        <v>64</v>
      </c>
      <c r="D3422" t="s">
        <v>407</v>
      </c>
      <c r="E3422" t="s">
        <v>137</v>
      </c>
      <c r="F3422" s="122">
        <v>1</v>
      </c>
      <c r="G3422" s="122">
        <v>140</v>
      </c>
      <c r="H3422" s="122">
        <v>519</v>
      </c>
      <c r="I3422" s="122">
        <v>52206</v>
      </c>
      <c r="J3422" s="122">
        <v>47460</v>
      </c>
      <c r="K3422" s="122">
        <v>58</v>
      </c>
      <c r="L3422" s="122">
        <v>5801</v>
      </c>
      <c r="M3422" s="122">
        <v>5273</v>
      </c>
      <c r="N3422" s="122">
        <v>3399</v>
      </c>
      <c r="O3422" s="122">
        <v>1259</v>
      </c>
      <c r="P3422" s="122">
        <v>0</v>
      </c>
      <c r="Q3422" s="122">
        <v>0</v>
      </c>
      <c r="R3422" s="122">
        <v>10956</v>
      </c>
      <c r="S3422" s="122">
        <v>4058</v>
      </c>
      <c r="T3422" s="122">
        <v>0</v>
      </c>
      <c r="U3422" s="122">
        <v>0</v>
      </c>
      <c r="V3422" s="122">
        <v>58050</v>
      </c>
      <c r="W3422" s="122">
        <f t="shared" si="108"/>
        <v>58050</v>
      </c>
      <c r="X3422" s="122">
        <f t="shared" si="109"/>
        <v>72362</v>
      </c>
    </row>
    <row r="3423" spans="2:24">
      <c r="B3423" t="s">
        <v>387</v>
      </c>
      <c r="C3423" t="s">
        <v>64</v>
      </c>
      <c r="D3423" t="s">
        <v>407</v>
      </c>
      <c r="E3423" t="s">
        <v>407</v>
      </c>
      <c r="F3423" s="122">
        <v>48</v>
      </c>
      <c r="G3423" s="122">
        <v>5587</v>
      </c>
      <c r="H3423" s="122">
        <v>26079</v>
      </c>
      <c r="I3423" s="122">
        <v>2062359</v>
      </c>
      <c r="J3423" s="122">
        <v>1874872</v>
      </c>
      <c r="K3423" s="122">
        <v>73</v>
      </c>
      <c r="L3423" s="122">
        <v>526946</v>
      </c>
      <c r="M3423" s="122">
        <v>449534</v>
      </c>
      <c r="N3423" s="122">
        <v>122255</v>
      </c>
      <c r="O3423" s="122">
        <v>45280</v>
      </c>
      <c r="P3423" s="122">
        <v>22483</v>
      </c>
      <c r="Q3423" s="122">
        <v>8327</v>
      </c>
      <c r="R3423" s="122">
        <v>280186</v>
      </c>
      <c r="S3423" s="122">
        <v>254714</v>
      </c>
      <c r="T3423" s="122">
        <v>75166</v>
      </c>
      <c r="U3423" s="122">
        <v>27839</v>
      </c>
      <c r="V3423" s="122">
        <v>2660566</v>
      </c>
      <c r="W3423" s="122">
        <f t="shared" si="108"/>
        <v>2660566</v>
      </c>
      <c r="X3423" s="122">
        <f t="shared" si="109"/>
        <v>3089395</v>
      </c>
    </row>
    <row r="3424" spans="2:24">
      <c r="B3424" t="s">
        <v>387</v>
      </c>
      <c r="C3424" t="s">
        <v>64</v>
      </c>
      <c r="D3424" t="s">
        <v>556</v>
      </c>
      <c r="E3424" t="s">
        <v>137</v>
      </c>
      <c r="F3424" s="122">
        <v>10</v>
      </c>
      <c r="G3424" s="122">
        <v>1341</v>
      </c>
      <c r="H3424" s="122">
        <v>10078</v>
      </c>
      <c r="I3424" s="122">
        <v>1161852</v>
      </c>
      <c r="J3424" s="122">
        <v>968210</v>
      </c>
      <c r="K3424" s="122">
        <v>37</v>
      </c>
      <c r="L3424" s="122">
        <v>36717</v>
      </c>
      <c r="M3424" s="122">
        <v>31777</v>
      </c>
      <c r="N3424" s="122">
        <v>27659</v>
      </c>
      <c r="O3424" s="122">
        <v>10244</v>
      </c>
      <c r="P3424" s="122">
        <v>702</v>
      </c>
      <c r="Q3424" s="122">
        <v>260</v>
      </c>
      <c r="R3424" s="122">
        <v>64437</v>
      </c>
      <c r="S3424" s="122">
        <v>23866</v>
      </c>
      <c r="T3424" s="122">
        <v>1761</v>
      </c>
      <c r="U3424" s="122">
        <v>652</v>
      </c>
      <c r="V3424" s="122">
        <v>1035009</v>
      </c>
      <c r="W3424" s="122">
        <f t="shared" si="108"/>
        <v>1035009</v>
      </c>
      <c r="X3424" s="122">
        <f t="shared" si="109"/>
        <v>1293128</v>
      </c>
    </row>
    <row r="3425" spans="2:24">
      <c r="B3425" t="s">
        <v>387</v>
      </c>
      <c r="C3425" t="s">
        <v>64</v>
      </c>
      <c r="D3425" t="s">
        <v>556</v>
      </c>
      <c r="E3425" t="s">
        <v>556</v>
      </c>
      <c r="F3425" s="122">
        <v>12</v>
      </c>
      <c r="G3425" s="122">
        <v>1160</v>
      </c>
      <c r="H3425" s="122">
        <v>9609</v>
      </c>
      <c r="I3425" s="122">
        <v>694374</v>
      </c>
      <c r="J3425" s="122">
        <v>578645</v>
      </c>
      <c r="K3425" s="122">
        <v>51</v>
      </c>
      <c r="L3425" s="122">
        <v>103223</v>
      </c>
      <c r="M3425" s="122">
        <v>84163</v>
      </c>
      <c r="N3425" s="122">
        <v>24654</v>
      </c>
      <c r="O3425" s="122">
        <v>9131</v>
      </c>
      <c r="P3425" s="122">
        <v>3159</v>
      </c>
      <c r="Q3425" s="122">
        <v>1170</v>
      </c>
      <c r="R3425" s="122">
        <v>75968</v>
      </c>
      <c r="S3425" s="122">
        <v>63307</v>
      </c>
      <c r="T3425" s="122">
        <v>21444</v>
      </c>
      <c r="U3425" s="122">
        <v>7942</v>
      </c>
      <c r="V3425" s="122">
        <v>744359</v>
      </c>
      <c r="W3425" s="122">
        <f t="shared" si="108"/>
        <v>744358</v>
      </c>
      <c r="X3425" s="122">
        <f t="shared" si="109"/>
        <v>922822</v>
      </c>
    </row>
    <row r="3426" spans="2:24">
      <c r="B3426" t="s">
        <v>387</v>
      </c>
      <c r="C3426" t="s">
        <v>64</v>
      </c>
      <c r="D3426" t="s">
        <v>428</v>
      </c>
      <c r="E3426" t="s">
        <v>428</v>
      </c>
      <c r="F3426" s="122">
        <v>1</v>
      </c>
      <c r="G3426" s="122">
        <v>112</v>
      </c>
      <c r="H3426" s="122">
        <v>468</v>
      </c>
      <c r="I3426" s="122">
        <v>36024</v>
      </c>
      <c r="J3426" s="122">
        <v>32749</v>
      </c>
      <c r="K3426" s="122">
        <v>45</v>
      </c>
      <c r="L3426" s="122">
        <v>4421</v>
      </c>
      <c r="M3426" s="122">
        <v>1637</v>
      </c>
      <c r="N3426" s="122">
        <v>2464</v>
      </c>
      <c r="O3426" s="122">
        <v>913</v>
      </c>
      <c r="P3426" s="122">
        <v>351</v>
      </c>
      <c r="Q3426" s="122">
        <v>130</v>
      </c>
      <c r="R3426" s="122">
        <v>6223</v>
      </c>
      <c r="S3426" s="122">
        <v>5657</v>
      </c>
      <c r="T3426" s="122">
        <v>2842</v>
      </c>
      <c r="U3426" s="122">
        <v>1053</v>
      </c>
      <c r="V3426" s="122">
        <v>42139</v>
      </c>
      <c r="W3426" s="122">
        <f t="shared" si="108"/>
        <v>42139</v>
      </c>
      <c r="X3426" s="122">
        <f t="shared" si="109"/>
        <v>52325</v>
      </c>
    </row>
    <row r="3427" spans="2:24">
      <c r="B3427" t="s">
        <v>387</v>
      </c>
      <c r="C3427" t="s">
        <v>64</v>
      </c>
      <c r="D3427" t="s">
        <v>426</v>
      </c>
      <c r="E3427" t="s">
        <v>137</v>
      </c>
      <c r="F3427" s="122">
        <v>49</v>
      </c>
      <c r="G3427" s="122">
        <v>5172</v>
      </c>
      <c r="H3427" s="122">
        <v>57286</v>
      </c>
      <c r="I3427" s="122">
        <v>4714773</v>
      </c>
      <c r="J3427" s="122">
        <v>4286157</v>
      </c>
      <c r="K3427" s="122">
        <v>36</v>
      </c>
      <c r="L3427" s="122">
        <v>394712</v>
      </c>
      <c r="M3427" s="122">
        <v>237946</v>
      </c>
      <c r="N3427" s="122">
        <v>121789</v>
      </c>
      <c r="O3427" s="122">
        <v>45107</v>
      </c>
      <c r="P3427" s="122">
        <v>1404</v>
      </c>
      <c r="Q3427" s="122">
        <v>520</v>
      </c>
      <c r="R3427" s="122">
        <v>300622</v>
      </c>
      <c r="S3427" s="122">
        <v>111341</v>
      </c>
      <c r="T3427" s="122">
        <v>6643</v>
      </c>
      <c r="U3427" s="122">
        <v>2460</v>
      </c>
      <c r="V3427" s="122">
        <v>4683532</v>
      </c>
      <c r="W3427" s="122">
        <f t="shared" si="108"/>
        <v>4683531</v>
      </c>
      <c r="X3427" s="122">
        <f t="shared" si="109"/>
        <v>5539943</v>
      </c>
    </row>
    <row r="3428" spans="2:24">
      <c r="B3428" t="s">
        <v>387</v>
      </c>
      <c r="C3428" t="s">
        <v>64</v>
      </c>
      <c r="D3428" t="s">
        <v>426</v>
      </c>
      <c r="E3428" t="s">
        <v>426</v>
      </c>
      <c r="F3428" s="122">
        <v>82</v>
      </c>
      <c r="G3428" s="122">
        <v>7006</v>
      </c>
      <c r="H3428" s="122">
        <v>59933</v>
      </c>
      <c r="I3428" s="122">
        <v>3623014</v>
      </c>
      <c r="J3428" s="122">
        <v>3293649</v>
      </c>
      <c r="K3428" s="122">
        <v>52</v>
      </c>
      <c r="L3428" s="122">
        <v>436876</v>
      </c>
      <c r="M3428" s="122">
        <v>386755</v>
      </c>
      <c r="N3428" s="122">
        <v>156949</v>
      </c>
      <c r="O3428" s="122">
        <v>58129</v>
      </c>
      <c r="P3428" s="122">
        <v>26946</v>
      </c>
      <c r="Q3428" s="122">
        <v>9980</v>
      </c>
      <c r="R3428" s="122">
        <v>517349</v>
      </c>
      <c r="S3428" s="122">
        <v>470317</v>
      </c>
      <c r="T3428" s="122">
        <v>175004</v>
      </c>
      <c r="U3428" s="122">
        <v>64816</v>
      </c>
      <c r="V3428" s="122">
        <v>4283647</v>
      </c>
      <c r="W3428" s="122">
        <f t="shared" si="108"/>
        <v>4283646</v>
      </c>
      <c r="X3428" s="122">
        <f t="shared" si="109"/>
        <v>4936138</v>
      </c>
    </row>
    <row r="3429" spans="2:24">
      <c r="B3429" t="s">
        <v>387</v>
      </c>
      <c r="C3429" t="s">
        <v>64</v>
      </c>
      <c r="D3429" t="s">
        <v>433</v>
      </c>
      <c r="E3429" t="s">
        <v>137</v>
      </c>
      <c r="F3429" s="122">
        <v>2</v>
      </c>
      <c r="G3429" s="122">
        <v>113</v>
      </c>
      <c r="H3429" s="122">
        <v>3197</v>
      </c>
      <c r="I3429" s="122">
        <v>145233</v>
      </c>
      <c r="J3429" s="122">
        <v>132030</v>
      </c>
      <c r="K3429" s="122">
        <v>33</v>
      </c>
      <c r="L3429" s="122">
        <v>13056</v>
      </c>
      <c r="M3429" s="122">
        <v>4836</v>
      </c>
      <c r="N3429" s="122">
        <v>2761</v>
      </c>
      <c r="O3429" s="122">
        <v>1023</v>
      </c>
      <c r="P3429" s="122">
        <v>0</v>
      </c>
      <c r="Q3429" s="122">
        <v>0</v>
      </c>
      <c r="R3429" s="122">
        <v>16002</v>
      </c>
      <c r="S3429" s="122">
        <v>5927</v>
      </c>
      <c r="T3429" s="122">
        <v>0</v>
      </c>
      <c r="U3429" s="122">
        <v>0</v>
      </c>
      <c r="V3429" s="122">
        <v>143815</v>
      </c>
      <c r="W3429" s="122">
        <f t="shared" si="108"/>
        <v>143816</v>
      </c>
      <c r="X3429" s="122">
        <f t="shared" si="109"/>
        <v>177052</v>
      </c>
    </row>
    <row r="3430" spans="2:24">
      <c r="B3430" t="s">
        <v>387</v>
      </c>
      <c r="C3430" t="s">
        <v>64</v>
      </c>
      <c r="D3430" t="s">
        <v>433</v>
      </c>
      <c r="E3430" t="s">
        <v>433</v>
      </c>
      <c r="F3430" s="122">
        <v>7</v>
      </c>
      <c r="G3430" s="122">
        <v>533</v>
      </c>
      <c r="H3430" s="122">
        <v>4328</v>
      </c>
      <c r="I3430" s="122">
        <v>252051</v>
      </c>
      <c r="J3430" s="122">
        <v>229137</v>
      </c>
      <c r="K3430" s="122">
        <v>59</v>
      </c>
      <c r="L3430" s="122">
        <v>5559</v>
      </c>
      <c r="M3430" s="122">
        <v>5053</v>
      </c>
      <c r="N3430" s="122">
        <v>11972</v>
      </c>
      <c r="O3430" s="122">
        <v>4434</v>
      </c>
      <c r="P3430" s="122">
        <v>2457</v>
      </c>
      <c r="Q3430" s="122">
        <v>910</v>
      </c>
      <c r="R3430" s="122">
        <v>40821</v>
      </c>
      <c r="S3430" s="122">
        <v>37110</v>
      </c>
      <c r="T3430" s="122">
        <v>15802</v>
      </c>
      <c r="U3430" s="122">
        <v>5852</v>
      </c>
      <c r="V3430" s="122">
        <v>282497</v>
      </c>
      <c r="W3430" s="122">
        <f t="shared" si="108"/>
        <v>282496</v>
      </c>
      <c r="X3430" s="122">
        <f t="shared" si="109"/>
        <v>328662</v>
      </c>
    </row>
    <row r="3431" spans="2:24">
      <c r="B3431" t="s">
        <v>387</v>
      </c>
      <c r="C3431" t="s">
        <v>64</v>
      </c>
      <c r="D3431" t="s">
        <v>408</v>
      </c>
      <c r="E3431" t="s">
        <v>408</v>
      </c>
      <c r="F3431" s="122">
        <v>3</v>
      </c>
      <c r="G3431" s="122">
        <v>338</v>
      </c>
      <c r="H3431" s="122">
        <v>1697</v>
      </c>
      <c r="I3431" s="122">
        <v>135875</v>
      </c>
      <c r="J3431" s="122">
        <v>123523</v>
      </c>
      <c r="K3431" s="122">
        <v>63</v>
      </c>
      <c r="L3431" s="122">
        <v>21929</v>
      </c>
      <c r="M3431" s="122">
        <v>19936</v>
      </c>
      <c r="N3431" s="122">
        <v>7258</v>
      </c>
      <c r="O3431" s="122">
        <v>2688</v>
      </c>
      <c r="P3431" s="122">
        <v>1053</v>
      </c>
      <c r="Q3431" s="122">
        <v>390</v>
      </c>
      <c r="R3431" s="122">
        <v>14075</v>
      </c>
      <c r="S3431" s="122">
        <v>12796</v>
      </c>
      <c r="T3431" s="122">
        <v>7468</v>
      </c>
      <c r="U3431" s="122">
        <v>2766</v>
      </c>
      <c r="V3431" s="122">
        <v>162098</v>
      </c>
      <c r="W3431" s="122">
        <f t="shared" si="108"/>
        <v>162099</v>
      </c>
      <c r="X3431" s="122">
        <f t="shared" si="109"/>
        <v>187658</v>
      </c>
    </row>
  </sheetData>
  <mergeCells count="1">
    <mergeCell ref="A1:I1"/>
  </mergeCells>
  <pageMargins left="0.7" right="0.7" top="0.75" bottom="0.75" header="0.3" footer="0.3"/>
  <pageSetup orientation="portrait" horizontalDpi="300" verticalDpi="30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Cover</vt:lpstr>
      <vt:lpstr>Intro</vt:lpstr>
      <vt:lpstr>Regions</vt:lpstr>
      <vt:lpstr>SETUP</vt:lpstr>
      <vt:lpstr>EB2018</vt:lpstr>
      <vt:lpstr>RSD_Balance</vt:lpstr>
      <vt:lpstr>Fuel-Age_Adj</vt:lpstr>
      <vt:lpstr>COMM</vt:lpstr>
      <vt:lpstr>EMIS</vt:lpstr>
      <vt:lpstr>Sector_Fuels</vt:lpstr>
      <vt:lpstr>ArchetypeDemand</vt:lpstr>
      <vt:lpstr>Non-ArchetypeDemand</vt:lpstr>
      <vt:lpstr>DwellingStocks</vt:lpstr>
      <vt:lpstr>SHWLP-Apt</vt:lpstr>
      <vt:lpstr>SHWLP-Att</vt:lpstr>
      <vt:lpstr>SHWLP-Det</vt:lpstr>
      <vt:lpstr>ApartmentEnergyData</vt:lpstr>
      <vt:lpstr>AttachedEnergyData</vt:lpstr>
      <vt:lpstr>DettachedEnergyData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2020-10-08T09:19:26Z</dcterms:created>
  <dcterms:modified xsi:type="dcterms:W3CDTF">2025-03-19T16:51:12Z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200451076030731</vt:r8>
  </property>
</Properties>
</file>